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slicers/slicer1.xml" ContentType="application/vnd.ms-excel.slicer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rat\Desktop\SX_Однолинейка\odnolineyka\_Разработка\2026-10-04_v5\"/>
    </mc:Choice>
  </mc:AlternateContent>
  <xr:revisionPtr revIDLastSave="0" documentId="8_{4188C71C-3981-44AF-9BBD-AA9D13C003D6}" xr6:coauthVersionLast="47" xr6:coauthVersionMax="47" xr10:uidLastSave="{00000000-0000-0000-0000-000000000000}"/>
  <bookViews>
    <workbookView xWindow="-108" yWindow="-108" windowWidth="23256" windowHeight="13896" activeTab="4" xr2:uid="{6F064ABD-BBF2-4C61-AEC3-7F7A262BA80C}"/>
  </bookViews>
  <sheets>
    <sheet name="Гайд" sheetId="64" r:id="rId1"/>
    <sheet name="Проверка" sheetId="62" r:id="rId2"/>
    <sheet name="Объект" sheetId="52" r:id="rId3"/>
    <sheet name="Щиты" sheetId="55" r:id="rId4"/>
    <sheet name="Линии" sheetId="56" r:id="rId5"/>
    <sheet name="Коды" sheetId="53" r:id="rId6"/>
    <sheet name="Экспликация" sheetId="54" r:id="rId7"/>
    <sheet name="Шины" sheetId="57" r:id="rId8"/>
    <sheet name="Итоги_щитов" sheetId="61" r:id="rId9"/>
    <sheet name="Режимы" sheetId="58" r:id="rId10"/>
    <sheet name="Расчёт_нагрузок" sheetId="59" r:id="rId11"/>
    <sheet name="Кабельный_журнал" sheetId="60" r:id="rId12"/>
    <sheet name="Спецификация" sheetId="44" r:id="rId13"/>
    <sheet name="Бирки" sheetId="43" r:id="rId14"/>
    <sheet name="Каталог" sheetId="42" r:id="rId15"/>
    <sheet name="Спецификация_авто" sheetId="16" r:id="rId16"/>
    <sheet name="Однолинейка" sheetId="40" r:id="rId17"/>
    <sheet name="Методика" sheetId="65" r:id="rId18"/>
    <sheet name="Таблицы_норм" sheetId="10" r:id="rId19"/>
    <sheet name="Справочная_потребители" sheetId="19" state="hidden" r:id="rId20"/>
    <sheet name="_формулы" sheetId="63" state="veryHidden" r:id="rId21"/>
  </sheets>
  <functionGroups builtInGroupCount="19"/>
  <definedNames>
    <definedName name="_xlpm.a" hidden="1" xlm="1">#NAME?</definedName>
    <definedName name="_xlpm.a_" hidden="1" xlm="1">#NAME?</definedName>
    <definedName name="_xlpm.aa_" hidden="1" xlm="1">#NAME?</definedName>
    <definedName name="_xlpm.acc" hidden="1" xlm="1">#NAME?</definedName>
    <definedName name="_xlpm.ap" hidden="1" xlm="1">#NAME?</definedName>
    <definedName name="_xlpm.aq" hidden="1" xlm="1">#NAME?</definedName>
    <definedName name="_xlpm.avr" hidden="1" xlm="1">#NAME?</definedName>
    <definedName name="_xlpm.b" hidden="1" xlm="1">#NAME?</definedName>
    <definedName name="_xlpm.b_" hidden="1" xlm="1">#NAME?</definedName>
    <definedName name="_xlpm.b0" hidden="1" xlm="1">#NAME?</definedName>
    <definedName name="_xlpm.bb_" hidden="1" xlm="1">#NAME?</definedName>
    <definedName name="_xlpm.bc" hidden="1" xlm="1">#NAME?</definedName>
    <definedName name="_xlpm.body" hidden="1" xlm="1">#NAME?</definedName>
    <definedName name="_xlpm.bt" hidden="1" xlm="1">#NAME?</definedName>
    <definedName name="_xlpm.byt" hidden="1" xlm="1">#NAME?</definedName>
    <definedName name="_xlpm.c0" hidden="1" xlm="1">#NAME?</definedName>
    <definedName name="_xlpm.cc" hidden="1" xlm="1">#NAME?</definedName>
    <definedName name="_xlpm.cc_" hidden="1" xlm="1">#NAME?</definedName>
    <definedName name="_xlpm.ch" hidden="1" xlm="1">#NAME?</definedName>
    <definedName name="_xlpm.cs" hidden="1" xlm="1">#NAME?</definedName>
    <definedName name="_xlpm.cs_" hidden="1" xlm="1">#NAME?</definedName>
    <definedName name="_xlpm.dpn" hidden="1" xlm="1">#NAME?</definedName>
    <definedName name="_xlpm.dpv" hidden="1" xlm="1">#NAME?</definedName>
    <definedName name="_xlpm.du_" hidden="1" xlm="1">#NAME?</definedName>
    <definedName name="_xlpm.ex" hidden="1" xlm="1">#NAME?</definedName>
    <definedName name="_xlpm.f" hidden="1" xlm="1">#NAME?</definedName>
    <definedName name="_xlpm.fire" hidden="1" xlm="1">#NAME?</definedName>
    <definedName name="_xlpm.fr" hidden="1" xlm="1">#NAME?</definedName>
    <definedName name="_xlpm.gp" hidden="1" xlm="1">#NAME?</definedName>
    <definedName name="_xlpm.h" hidden="1" xlm="1">#NAME?</definedName>
    <definedName name="_xlpm.ids" hidden="1" xlm="1">#NAME?</definedName>
    <definedName name="_xlpm.ig" hidden="1" xlm="1">#NAME?</definedName>
    <definedName name="_xlpm.ii" hidden="1" xlm="1">#NAME?</definedName>
    <definedName name="_xlpm.inf" hidden="1" xlm="1">#NAME?</definedName>
    <definedName name="_xlpm.inn" hidden="1" xlm="1">#NAME?</definedName>
    <definedName name="_xlpm.inp" hidden="1" xlm="1">#NAME?</definedName>
    <definedName name="_xlpm.k" hidden="1" xlm="1">#NAME?</definedName>
    <definedName name="_xlpm.kc" hidden="1" xlm="1">#NAME?</definedName>
    <definedName name="_xlpm.kinds" hidden="1" xlm="1">#NAME?</definedName>
    <definedName name="_xlpm.kk" hidden="1" xlm="1">#NAME?</definedName>
    <definedName name="_xlpm.ko" hidden="1" xlm="1">#NAME?</definedName>
    <definedName name="_xlpm.kz" hidden="1" xlm="1">#NAME?</definedName>
    <definedName name="_xlpm.l" hidden="1" xlm="1">#NAME?</definedName>
    <definedName name="_xlpm.L_" hidden="1" xlm="1">#NAME?</definedName>
    <definedName name="_xlpm.ld" hidden="1" xlm="1">#NAME?</definedName>
    <definedName name="_xlpm.m" hidden="1" xlm="1">#NAME?</definedName>
    <definedName name="_xlpm.m0" hidden="1" xlm="1">#NAME?</definedName>
    <definedName name="_xlpm.man" hidden="1" xlm="1">#NAME?</definedName>
    <definedName name="_xlpm.md" hidden="1" xlm="1">#NAME?</definedName>
    <definedName name="_xlpm.mk" hidden="1" xlm="1">#NAME?</definedName>
    <definedName name="_xlpm.mm" hidden="1" xlm="1">#NAME?</definedName>
    <definedName name="_xlpm.mn" hidden="1" xlm="1">#NAME?</definedName>
    <definedName name="_xlpm.n" hidden="1" xlm="1">#NAME?</definedName>
    <definedName name="_xlpm.n0" hidden="1" xlm="1">#NAME?</definedName>
    <definedName name="_xlpm.names" hidden="1" xlm="1">#NAME?</definedName>
    <definedName name="_xlpm.nd" hidden="1" xlm="1">#NAME?</definedName>
    <definedName name="_xlpm.nm" hidden="1" xlm="1">#NAME?</definedName>
    <definedName name="_xlpm.nn" hidden="1" xlm="1">#NAME?</definedName>
    <definedName name="_xlpm.nx" hidden="1" xlm="1">#NAME?</definedName>
    <definedName name="_xlpm.ok" hidden="1" xlm="1">#NAME?</definedName>
    <definedName name="_xlpm.oo_" hidden="1" xlm="1">#NAME?</definedName>
    <definedName name="_xlpm.ord" hidden="1" xlm="1">#NAME?</definedName>
    <definedName name="_xlpm.otop" hidden="1" xlm="1">#NAME?</definedName>
    <definedName name="_xlpm.own" hidden="1" xlm="1">#NAME?</definedName>
    <definedName name="_xlpm.pall" hidden="1" xlm="1">#NAME?</definedName>
    <definedName name="_xlpm.pc" hidden="1" xlm="1">#NAME?</definedName>
    <definedName name="_xlpm.pn" hidden="1" xlm="1">#NAME?</definedName>
    <definedName name="_xlpm.post" hidden="1" xlm="1">#NAME?</definedName>
    <definedName name="_xlpm.pp_" hidden="1" xlm="1">#NAME?</definedName>
    <definedName name="_xlpm.pr" hidden="1" xlm="1">#NAME?</definedName>
    <definedName name="_xlpm.pr0" hidden="1" xlm="1">#NAME?</definedName>
    <definedName name="_xlpm.prev" hidden="1" xlm="1">#NAME?</definedName>
    <definedName name="_xlpm.prr_" hidden="1" xlm="1">#NAME?</definedName>
    <definedName name="_xlpm.pth" hidden="1" xlm="1">#NAME?</definedName>
    <definedName name="_xlpm.pv" hidden="1" xlm="1">#NAME?</definedName>
    <definedName name="_xlpm.pw" hidden="1" xlm="1">#NAME?</definedName>
    <definedName name="_xlpm.q" hidden="1" xlm="1">#NAME?</definedName>
    <definedName name="_xlpm.q0" hidden="1" xlm="1">#NAME?</definedName>
    <definedName name="_xlpm.qq_" hidden="1" xlm="1">#NAME?</definedName>
    <definedName name="_xlpm.qv_" hidden="1" xlm="1">#NAME?</definedName>
    <definedName name="_xlpm.r" hidden="1" xlm="1">#NAME?</definedName>
    <definedName name="_xlpm.r_" hidden="1" xlm="1">#NAME?</definedName>
    <definedName name="_xlpm.res" hidden="1" xlm="1">#NAME?</definedName>
    <definedName name="_xlpm.rho" hidden="1" xlm="1">#NAME?</definedName>
    <definedName name="_xlpm.rm" hidden="1" xlm="1">#NAME?</definedName>
    <definedName name="_xlpm.rows" hidden="1" xlm="1">#NAME?</definedName>
    <definedName name="_xlpm.sel" hidden="1" xlm="1">#NAME?</definedName>
    <definedName name="_xlpm.sil" hidden="1" xlm="1">#NAME?</definedName>
    <definedName name="_xlpm.smin" hidden="1" xlm="1">#NAME?</definedName>
    <definedName name="_xlpm.sr" hidden="1" xlm="1">#NAME?</definedName>
    <definedName name="_xlpm.src" hidden="1" xlm="1">#NAME?</definedName>
    <definedName name="_xlpm.ss_" hidden="1" xlm="1">#NAME?</definedName>
    <definedName name="_xlpm.sz" hidden="1" xlm="1">#NAME?</definedName>
    <definedName name="_xlpm.t" hidden="1" xlm="1">#NAME?</definedName>
    <definedName name="_xlpm.t_" hidden="1" xlm="1">#NAME?</definedName>
    <definedName name="_xlpm.tk" hidden="1" xlm="1">#NAME?</definedName>
    <definedName name="_xlpm.tr" hidden="1" xlm="1">#NAME?</definedName>
    <definedName name="_xlpm.u" hidden="1" xlm="1">#NAME?</definedName>
    <definedName name="_xlpm.up" hidden="1" xlm="1">#NAME?</definedName>
    <definedName name="_xlpm.v" hidden="1" xlm="1">#NAME?</definedName>
    <definedName name="_xlpm.vng" hidden="1" xlm="1">#NAME?</definedName>
    <definedName name="_xlpm.vv_" hidden="1" xlm="1">#NAME?</definedName>
    <definedName name="_xlpm.w" hidden="1" xlm="1">#NAME?</definedName>
    <definedName name="_xlpm.ww_" hidden="1" xlm="1">#NAME?</definedName>
    <definedName name="_xlpm.x" hidden="1" xlm="1">#NAME?</definedName>
    <definedName name="_xlpm.xx" hidden="1" xlm="1">#NAME?</definedName>
    <definedName name="_xlpm.л1_" hidden="1" xlm="1">#NAME?</definedName>
    <definedName name="_xlpm.л2_" hidden="1" xlm="1">#NAME?</definedName>
    <definedName name="_xlpm.л3_" hidden="1" xlm="1">#NAME?</definedName>
    <definedName name="_xlpm.нг" hidden="1" xlm="1">#NAME?</definedName>
    <definedName name="_xlpm.п0" hidden="1" xlm="1">#NAME?</definedName>
    <definedName name="_xlpm.п1" hidden="1" xlm="1">#NAME?</definedName>
    <definedName name="_xlpm.п2" hidden="1" xlm="1">#NAME?</definedName>
    <definedName name="_xlpm.п3" hidden="1" xlm="1">#NAME?</definedName>
    <definedName name="_xlpm.п4" hidden="1" xlm="1">#NAME?</definedName>
    <definedName name="_xlpm.п5" hidden="1" xlm="1">#NAME?</definedName>
    <definedName name="_xlpm.п6" hidden="1" xlm="1">#NAME?</definedName>
    <definedName name="_xlpm.п7" hidden="1" xlm="1">#NAME?</definedName>
    <definedName name="_xlpm.РАСЧЁТ" hidden="1" xlm="1">#NAME?</definedName>
    <definedName name="_xlpm.тр_" hidden="1" xlm="1">#NAME?</definedName>
    <definedName name="_xlpm.ф" hidden="1" xlm="1">#NAME?</definedName>
    <definedName name="_xlpm.фа" hidden="1" xlm="1">#NAME?</definedName>
    <definedName name="_xlpm.фб" hidden="1" xlm="1">#NAME?</definedName>
    <definedName name="_xlpm.фв" hidden="1" xlm="1">#NAME?</definedName>
    <definedName name="_xlpm.фз_" hidden="1" xlm="1">#NAME?</definedName>
    <definedName name="_xlpm.щ" hidden="1" xlm="1">#NAME?</definedName>
    <definedName name="_xlpm.щит_" hidden="1" xlm="1">#NAME?</definedName>
    <definedName name="_xlnm._FilterDatabase" localSheetId="14" hidden="1">Каталог!$A$3:$P$500</definedName>
    <definedName name="_xlnm._FilterDatabase" localSheetId="16" hidden="1">Однолинейка!$A$2:$AD$1000</definedName>
    <definedName name="c_min">Объект!$C$7</definedName>
    <definedName name="dU_пит">Таблицы_норм!$BQ$31</definedName>
    <definedName name="Iдоп_1ж">Таблицы_норм!$BY$4:$BY$18</definedName>
    <definedName name="Iдоп_2ж">Таблицы_норм!$BZ$4:$BZ$17</definedName>
    <definedName name="Iдоп_3ж">Таблицы_норм!$CA$4:$CA$17</definedName>
    <definedName name="Iдоп_S">Таблицы_норм!$BX$4:$BX$18</definedName>
    <definedName name="k_пк">Объект!$C$9</definedName>
    <definedName name="R_пер">Объект!$C$6</definedName>
    <definedName name="Uн_лин">Таблицы_норм!$BQ$29</definedName>
    <definedName name="ρкз_Al">Объект!$C$5</definedName>
    <definedName name="ρкз_Cu">Объект!$C$4</definedName>
    <definedName name="Автомат_номиналы">Таблицы_норм!$F$4:$G$23</definedName>
    <definedName name="гофра_пвх">Справочная_потребители!$Z$4:$AB$9</definedName>
    <definedName name="гофра_пнд">Справочная_потребители!$AD$4:$AF$9</definedName>
    <definedName name="Запас_кабеля">Кабельный_журнал!$P$2</definedName>
    <definedName name="ИБП_cos_вх">Объект!$C$22</definedName>
    <definedName name="ИБП_cos_вых">Объект!$C$16</definedName>
    <definedName name="ИБП_k">Объект!$C$20</definedName>
    <definedName name="ИБП_t">Объект!$C$17</definedName>
    <definedName name="ИБП_U">Объект!$C$18</definedName>
    <definedName name="ИБП_загрузка">Объект!$C$15</definedName>
    <definedName name="ИБП_заряд">Объект!$C$21</definedName>
    <definedName name="ИБП_КПД">Объект!$C$19</definedName>
    <definedName name="ИБП_ряд">Объект!$C$24:$N$24</definedName>
    <definedName name="Имя_пом">Объект!$C$11</definedName>
    <definedName name="Имя_режим">Объект!$C$10</definedName>
    <definedName name="К_прокл">Таблицы_норм!$BQ$30</definedName>
    <definedName name="Кабель_диаметр">Справочная_потребители!$T$4:$X$503</definedName>
    <definedName name="Кабель_номиналы">Таблицы_норм!$I$4:$J$19</definedName>
    <definedName name="Кабель_обозначение">Кабели[]</definedName>
    <definedName name="Кабель_сопротивление">Таблицы_норм!$B$4:$D$19</definedName>
    <definedName name="Категории_ПЗ">Таблицы_норм!$BT$4:$BT$33</definedName>
    <definedName name="Ко_сил">Таблицы_норм!$BQ$14</definedName>
    <definedName name="Коды_апп">Коды[Аппараты]</definedName>
    <definedName name="Коды_вид">Коды[Вид нагрузки]</definedName>
    <definedName name="Коды_группа">Коды[Группа Кс]</definedName>
    <definedName name="Коды_имя">Коды[Наименование]</definedName>
    <definedName name="Коды_квт">Коды[кВт на шт]</definedName>
    <definedName name="Коды_код">Коды[Код]</definedName>
    <definedName name="Коды_пожарная">Коды[Пожарная]</definedName>
    <definedName name="Коды_режим">Коды[1 - этаж/2 - шлейф]</definedName>
    <definedName name="Коды_упр">Коды[Управление]</definedName>
    <definedName name="Коды_утечка">Коды[Вид аппарата утечки]</definedName>
    <definedName name="Коды_хар">Коды[Характеристика (B/C/D)]</definedName>
    <definedName name="Кс_К">Таблицы_норм!$BQ$4:$BQ$11</definedName>
    <definedName name="Кс_Р">Таблицы_норм!$BP$4:$BP$11</definedName>
    <definedName name="Кс75_k">Объект!$G$3:$G$14</definedName>
    <definedName name="Кс75_n">Объект!$F$3:$F$14</definedName>
    <definedName name="Марка_пож">Объект!$C$12</definedName>
    <definedName name="Методика">Объект!$C$8</definedName>
    <definedName name="Мин_автомат_БП">Таблицы_норм!$BF$5</definedName>
    <definedName name="Модели_список">OFFSET(Каталог!$AB$3,0,0,1+MAX(Каталог!$AA$4:$AA$500),1)</definedName>
    <definedName name="Модули_спр">Каталог!$C$4:$F$500</definedName>
    <definedName name="Потребители_обозначение">Коды[[Код]:[Сечение]]</definedName>
    <definedName name="Спецификация">Спецификация!$B$3:$J$60</definedName>
    <definedName name="Список_автоматов">OFFSET(Каталог!$X$3,0,0,1+MAX(Каталог!$W$4:$W$500),1)</definedName>
    <definedName name="Список_аппаратов">OFFSET(Каталог!$Z$4,0,0,MAX(1,MAX(Каталог!$Y$4:$Y$500)),1)</definedName>
    <definedName name="Список_марок">Кабели[Обозначение]</definedName>
    <definedName name="Список_модулей">OFFSET(Каталог!$AB$3,0,0,1+MAX(Каталог!$AA$4:$AA$500),1)</definedName>
    <definedName name="Список_произв">OFFSET(Каталог!$AD$3,0,0,1+MAX(Каталог!$AC$4:$AC$500),1)</definedName>
    <definedName name="Список_щитов">Щиты[Щит]</definedName>
    <definedName name="Справочная_двигатели">Справочная_потребители!$B$4:$K$37</definedName>
    <definedName name="Справочная_ЛЭД">Справочная_потребители!$M$4:$O$19</definedName>
    <definedName name="Справочная_ПТО">Таблицы_норм!$AJ$4:$AK$200</definedName>
    <definedName name="Срез_Щит">#N/A</definedName>
    <definedName name="Столбцов_на_лист">Таблицы_норм!$BF$4</definedName>
    <definedName name="УГО_блоки">Таблицы_норм!$BA$4:$BC$30</definedName>
    <definedName name="УГО_спр">УГО[]</definedName>
    <definedName name="Управление_цвета">Таблицы_норм!$AQ$4:$AS$10</definedName>
    <definedName name="Щит_спец">Спецификация!$L$1</definedName>
    <definedName name="Этаж_обозначение">Этажи[]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4" i="42" l="1"/>
  <c r="U5" i="42"/>
  <c r="U6" i="42"/>
  <c r="U7" i="42"/>
  <c r="U8" i="42"/>
  <c r="U9" i="42"/>
  <c r="U10" i="42"/>
  <c r="V10" i="42" s="1"/>
  <c r="U11" i="42"/>
  <c r="U12" i="42"/>
  <c r="U13" i="42"/>
  <c r="V13" i="42" s="1"/>
  <c r="U14" i="42"/>
  <c r="U15" i="42"/>
  <c r="V15" i="42" s="1"/>
  <c r="U16" i="42"/>
  <c r="U17" i="42"/>
  <c r="U18" i="42"/>
  <c r="V18" i="42" s="1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V34" i="42" s="1"/>
  <c r="U35" i="42"/>
  <c r="U36" i="42"/>
  <c r="U37" i="42"/>
  <c r="U38" i="42"/>
  <c r="U39" i="42"/>
  <c r="U40" i="42"/>
  <c r="U41" i="42"/>
  <c r="U42" i="42"/>
  <c r="U43" i="42"/>
  <c r="U44" i="42"/>
  <c r="U45" i="42"/>
  <c r="V45" i="42" s="1"/>
  <c r="U46" i="42"/>
  <c r="U47" i="42"/>
  <c r="U48" i="42"/>
  <c r="U49" i="42"/>
  <c r="V49" i="42" s="1"/>
  <c r="U50" i="42"/>
  <c r="V50" i="42" s="1"/>
  <c r="U51" i="42"/>
  <c r="U52" i="42"/>
  <c r="U53" i="42"/>
  <c r="U54" i="42"/>
  <c r="U55" i="42"/>
  <c r="U56" i="42"/>
  <c r="U57" i="42"/>
  <c r="U58" i="42"/>
  <c r="U59" i="42"/>
  <c r="V59" i="42" s="1"/>
  <c r="U60" i="42"/>
  <c r="U61" i="42"/>
  <c r="U62" i="42"/>
  <c r="U63" i="42"/>
  <c r="V63" i="42" s="1"/>
  <c r="U64" i="42"/>
  <c r="V64" i="42" s="1"/>
  <c r="U65" i="42"/>
  <c r="U66" i="42"/>
  <c r="U67" i="42"/>
  <c r="U68" i="42"/>
  <c r="U69" i="42"/>
  <c r="U70" i="42"/>
  <c r="U71" i="42"/>
  <c r="U72" i="42"/>
  <c r="U73" i="42"/>
  <c r="U74" i="42"/>
  <c r="U75" i="42"/>
  <c r="U76" i="42"/>
  <c r="U77" i="42"/>
  <c r="V77" i="42" s="1"/>
  <c r="U78" i="42"/>
  <c r="V78" i="42" s="1"/>
  <c r="U79" i="42"/>
  <c r="U80" i="42"/>
  <c r="U81" i="42"/>
  <c r="V81" i="42" s="1"/>
  <c r="U82" i="42"/>
  <c r="V82" i="42" s="1"/>
  <c r="U83" i="42"/>
  <c r="U84" i="42"/>
  <c r="U85" i="42"/>
  <c r="U86" i="42"/>
  <c r="U87" i="42"/>
  <c r="U88" i="42"/>
  <c r="U89" i="42"/>
  <c r="U90" i="42"/>
  <c r="U91" i="42"/>
  <c r="U92" i="42"/>
  <c r="V92" i="42" s="1"/>
  <c r="U93" i="42"/>
  <c r="V93" i="42" s="1"/>
  <c r="U94" i="42"/>
  <c r="U95" i="42"/>
  <c r="U96" i="42"/>
  <c r="U97" i="42"/>
  <c r="V97" i="42" s="1"/>
  <c r="U98" i="42"/>
  <c r="U99" i="42"/>
  <c r="U100" i="42"/>
  <c r="U101" i="42"/>
  <c r="U102" i="42"/>
  <c r="U103" i="42"/>
  <c r="U104" i="42"/>
  <c r="U105" i="42"/>
  <c r="U106" i="42"/>
  <c r="U107" i="42"/>
  <c r="U108" i="42"/>
  <c r="V108" i="42" s="1"/>
  <c r="U109" i="42"/>
  <c r="U110" i="42"/>
  <c r="U111" i="42"/>
  <c r="V111" i="42" s="1"/>
  <c r="U112" i="42"/>
  <c r="U113" i="42"/>
  <c r="U114" i="42"/>
  <c r="U115" i="42"/>
  <c r="U116" i="42"/>
  <c r="U117" i="42"/>
  <c r="U118" i="42"/>
  <c r="U119" i="42"/>
  <c r="U120" i="42"/>
  <c r="U121" i="42"/>
  <c r="U122" i="42"/>
  <c r="U123" i="42"/>
  <c r="U124" i="42"/>
  <c r="U125" i="42"/>
  <c r="U126" i="42"/>
  <c r="U127" i="42"/>
  <c r="U128" i="42"/>
  <c r="V128" i="42" s="1"/>
  <c r="U129" i="42"/>
  <c r="V129" i="42" s="1"/>
  <c r="U130" i="42"/>
  <c r="V130" i="42" s="1"/>
  <c r="U131" i="42"/>
  <c r="U132" i="42"/>
  <c r="U133" i="42"/>
  <c r="U134" i="42"/>
  <c r="U135" i="42"/>
  <c r="U136" i="42"/>
  <c r="U137" i="42"/>
  <c r="U138" i="42"/>
  <c r="U139" i="42"/>
  <c r="U140" i="42"/>
  <c r="V140" i="42" s="1"/>
  <c r="U141" i="42"/>
  <c r="U142" i="42"/>
  <c r="U143" i="42"/>
  <c r="V143" i="42" s="1"/>
  <c r="U144" i="42"/>
  <c r="V144" i="42" s="1"/>
  <c r="U145" i="42"/>
  <c r="U146" i="42"/>
  <c r="U147" i="42"/>
  <c r="U148" i="42"/>
  <c r="U149" i="42"/>
  <c r="U150" i="42"/>
  <c r="U151" i="42"/>
  <c r="U152" i="42"/>
  <c r="U153" i="42"/>
  <c r="U154" i="42"/>
  <c r="U155" i="42"/>
  <c r="U156" i="42"/>
  <c r="V156" i="42" s="1"/>
  <c r="U157" i="42"/>
  <c r="V157" i="42" s="1"/>
  <c r="U158" i="42"/>
  <c r="U159" i="42"/>
  <c r="V159" i="42" s="1"/>
  <c r="U160" i="42"/>
  <c r="V160" i="42" s="1"/>
  <c r="U161" i="42"/>
  <c r="U162" i="42"/>
  <c r="V162" i="42" s="1"/>
  <c r="U163" i="42"/>
  <c r="U164" i="42"/>
  <c r="U165" i="42"/>
  <c r="U166" i="42"/>
  <c r="U167" i="42"/>
  <c r="U168" i="42"/>
  <c r="U169" i="42"/>
  <c r="U170" i="42"/>
  <c r="U171" i="42"/>
  <c r="U172" i="42"/>
  <c r="U173" i="42"/>
  <c r="V173" i="42" s="1"/>
  <c r="U174" i="42"/>
  <c r="U175" i="42"/>
  <c r="U176" i="42"/>
  <c r="V176" i="42" s="1"/>
  <c r="U177" i="42"/>
  <c r="V177" i="42" s="1"/>
  <c r="U178" i="42"/>
  <c r="U179" i="42"/>
  <c r="U180" i="42"/>
  <c r="U181" i="42"/>
  <c r="U182" i="42"/>
  <c r="U183" i="42"/>
  <c r="U184" i="42"/>
  <c r="U185" i="42"/>
  <c r="U186" i="42"/>
  <c r="U187" i="42"/>
  <c r="U188" i="42"/>
  <c r="U189" i="42"/>
  <c r="U190" i="42"/>
  <c r="U191" i="42"/>
  <c r="V191" i="42" s="1"/>
  <c r="U192" i="42"/>
  <c r="V192" i="42" s="1"/>
  <c r="U193" i="42"/>
  <c r="U194" i="42"/>
  <c r="U195" i="42"/>
  <c r="U196" i="42"/>
  <c r="U197" i="42"/>
  <c r="U198" i="42"/>
  <c r="U199" i="42"/>
  <c r="U200" i="42"/>
  <c r="U201" i="42"/>
  <c r="U202" i="42"/>
  <c r="U203" i="42"/>
  <c r="U204" i="42"/>
  <c r="U205" i="42"/>
  <c r="U206" i="42"/>
  <c r="V206" i="42" s="1"/>
  <c r="U207" i="42"/>
  <c r="U208" i="42"/>
  <c r="U209" i="42"/>
  <c r="U210" i="42"/>
  <c r="U211" i="42"/>
  <c r="U212" i="42"/>
  <c r="U213" i="42"/>
  <c r="U214" i="42"/>
  <c r="U215" i="42"/>
  <c r="U216" i="42"/>
  <c r="U217" i="42"/>
  <c r="V217" i="42" s="1"/>
  <c r="U218" i="42"/>
  <c r="U219" i="42"/>
  <c r="U220" i="42"/>
  <c r="V220" i="42" s="1"/>
  <c r="U221" i="42"/>
  <c r="V221" i="42" s="1"/>
  <c r="U222" i="42"/>
  <c r="U223" i="42"/>
  <c r="U224" i="42"/>
  <c r="V224" i="42" s="1"/>
  <c r="U225" i="42"/>
  <c r="V225" i="42" s="1"/>
  <c r="U226" i="42"/>
  <c r="V226" i="42" s="1"/>
  <c r="U227" i="42"/>
  <c r="U228" i="42"/>
  <c r="U229" i="42"/>
  <c r="U230" i="42"/>
  <c r="U231" i="42"/>
  <c r="U232" i="42"/>
  <c r="U233" i="42"/>
  <c r="U234" i="42"/>
  <c r="V234" i="42" s="1"/>
  <c r="U235" i="42"/>
  <c r="U236" i="42"/>
  <c r="V236" i="42" s="1"/>
  <c r="U237" i="42"/>
  <c r="V237" i="42" s="1"/>
  <c r="U238" i="42"/>
  <c r="U239" i="42"/>
  <c r="V239" i="42" s="1"/>
  <c r="U240" i="42"/>
  <c r="U241" i="42"/>
  <c r="V241" i="42" s="1"/>
  <c r="U242" i="42"/>
  <c r="U243" i="42"/>
  <c r="U244" i="42"/>
  <c r="U245" i="42"/>
  <c r="U246" i="42"/>
  <c r="U247" i="42"/>
  <c r="U248" i="42"/>
  <c r="U249" i="42"/>
  <c r="U250" i="42"/>
  <c r="U251" i="42"/>
  <c r="V251" i="42" s="1"/>
  <c r="U252" i="42"/>
  <c r="V252" i="42" s="1"/>
  <c r="U253" i="42"/>
  <c r="U254" i="42"/>
  <c r="U255" i="42"/>
  <c r="V255" i="42" s="1"/>
  <c r="U256" i="42"/>
  <c r="U257" i="42"/>
  <c r="U258" i="42"/>
  <c r="U259" i="42"/>
  <c r="U260" i="42"/>
  <c r="U261" i="42"/>
  <c r="U262" i="42"/>
  <c r="U263" i="42"/>
  <c r="U264" i="42"/>
  <c r="U265" i="42"/>
  <c r="V265" i="42" s="1"/>
  <c r="U266" i="42"/>
  <c r="U267" i="42"/>
  <c r="U268" i="42"/>
  <c r="V268" i="42" s="1"/>
  <c r="U269" i="42"/>
  <c r="U270" i="42"/>
  <c r="V270" i="42" s="1"/>
  <c r="U271" i="42"/>
  <c r="U272" i="42"/>
  <c r="V272" i="42" s="1"/>
  <c r="U273" i="42"/>
  <c r="V273" i="42" s="1"/>
  <c r="U274" i="42"/>
  <c r="V274" i="42" s="1"/>
  <c r="U275" i="42"/>
  <c r="U276" i="42"/>
  <c r="U277" i="42"/>
  <c r="U278" i="42"/>
  <c r="U279" i="42"/>
  <c r="U280" i="42"/>
  <c r="U281" i="42"/>
  <c r="U282" i="42"/>
  <c r="U283" i="42"/>
  <c r="U284" i="42"/>
  <c r="U285" i="42"/>
  <c r="U286" i="42"/>
  <c r="U287" i="42"/>
  <c r="V287" i="42" s="1"/>
  <c r="U288" i="42"/>
  <c r="V288" i="42" s="1"/>
  <c r="U289" i="42"/>
  <c r="U290" i="42"/>
  <c r="U291" i="42"/>
  <c r="U292" i="42"/>
  <c r="U293" i="42"/>
  <c r="U294" i="42"/>
  <c r="U295" i="42"/>
  <c r="U296" i="42"/>
  <c r="U297" i="42"/>
  <c r="U298" i="42"/>
  <c r="U299" i="42"/>
  <c r="V299" i="42" s="1"/>
  <c r="U300" i="42"/>
  <c r="U301" i="42"/>
  <c r="U302" i="42"/>
  <c r="V302" i="42" s="1"/>
  <c r="U303" i="42"/>
  <c r="V303" i="42" s="1"/>
  <c r="U304" i="42"/>
  <c r="U305" i="42"/>
  <c r="V305" i="42" s="1"/>
  <c r="U306" i="42"/>
  <c r="V306" i="42" s="1"/>
  <c r="U307" i="42"/>
  <c r="U308" i="42"/>
  <c r="U309" i="42"/>
  <c r="U310" i="42"/>
  <c r="U311" i="42"/>
  <c r="U312" i="42"/>
  <c r="V312" i="42" s="1"/>
  <c r="U313" i="42"/>
  <c r="U314" i="42"/>
  <c r="U315" i="42"/>
  <c r="U316" i="42"/>
  <c r="U317" i="42"/>
  <c r="U318" i="42"/>
  <c r="U319" i="42"/>
  <c r="V319" i="42" s="1"/>
  <c r="U320" i="42"/>
  <c r="V320" i="42" s="1"/>
  <c r="U321" i="42"/>
  <c r="V321" i="42" s="1"/>
  <c r="U322" i="42"/>
  <c r="V322" i="42" s="1"/>
  <c r="U323" i="42"/>
  <c r="U324" i="42"/>
  <c r="U325" i="42"/>
  <c r="U326" i="42"/>
  <c r="U327" i="42"/>
  <c r="U328" i="42"/>
  <c r="U329" i="42"/>
  <c r="V329" i="42" s="1"/>
  <c r="U330" i="42"/>
  <c r="U331" i="42"/>
  <c r="U332" i="42"/>
  <c r="U333" i="42"/>
  <c r="U334" i="42"/>
  <c r="U335" i="42"/>
  <c r="U336" i="42"/>
  <c r="V336" i="42" s="1"/>
  <c r="U337" i="42"/>
  <c r="V337" i="42" s="1"/>
  <c r="U338" i="42"/>
  <c r="V338" i="42" s="1"/>
  <c r="U339" i="42"/>
  <c r="U340" i="42"/>
  <c r="U341" i="42"/>
  <c r="U342" i="42"/>
  <c r="U343" i="42"/>
  <c r="U344" i="42"/>
  <c r="U345" i="42"/>
  <c r="U346" i="42"/>
  <c r="U347" i="42"/>
  <c r="V347" i="42" s="1"/>
  <c r="U348" i="42"/>
  <c r="U349" i="42"/>
  <c r="V349" i="42" s="1"/>
  <c r="U350" i="42"/>
  <c r="V350" i="42" s="1"/>
  <c r="U351" i="42"/>
  <c r="U352" i="42"/>
  <c r="U353" i="42"/>
  <c r="V353" i="42" s="1"/>
  <c r="U354" i="42"/>
  <c r="U355" i="42"/>
  <c r="U356" i="42"/>
  <c r="U357" i="42"/>
  <c r="U358" i="42"/>
  <c r="U359" i="42"/>
  <c r="U360" i="42"/>
  <c r="U361" i="42"/>
  <c r="V361" i="42" s="1"/>
  <c r="U362" i="42"/>
  <c r="U363" i="42"/>
  <c r="U364" i="42"/>
  <c r="V364" i="42" s="1"/>
  <c r="U365" i="42"/>
  <c r="U366" i="42"/>
  <c r="U367" i="42"/>
  <c r="V367" i="42" s="1"/>
  <c r="U368" i="42"/>
  <c r="U369" i="42"/>
  <c r="V369" i="42" s="1"/>
  <c r="U370" i="42"/>
  <c r="U371" i="42"/>
  <c r="U372" i="42"/>
  <c r="U373" i="42"/>
  <c r="U374" i="42"/>
  <c r="U375" i="42"/>
  <c r="U376" i="42"/>
  <c r="U377" i="42"/>
  <c r="U378" i="42"/>
  <c r="V378" i="42" s="1"/>
  <c r="U379" i="42"/>
  <c r="U380" i="42"/>
  <c r="U381" i="42"/>
  <c r="U382" i="42"/>
  <c r="U383" i="42"/>
  <c r="V383" i="42" s="1"/>
  <c r="U384" i="42"/>
  <c r="U385" i="42"/>
  <c r="V385" i="42" s="1"/>
  <c r="U386" i="42"/>
  <c r="V386" i="42" s="1"/>
  <c r="U387" i="42"/>
  <c r="U388" i="42"/>
  <c r="U389" i="42"/>
  <c r="U390" i="42"/>
  <c r="U391" i="42"/>
  <c r="U392" i="42"/>
  <c r="V392" i="42" s="1"/>
  <c r="U393" i="42"/>
  <c r="U394" i="42"/>
  <c r="U395" i="42"/>
  <c r="V395" i="42" s="1"/>
  <c r="U396" i="42"/>
  <c r="V396" i="42" s="1"/>
  <c r="U397" i="42"/>
  <c r="V397" i="42" s="1"/>
  <c r="U398" i="42"/>
  <c r="V398" i="42" s="1"/>
  <c r="U399" i="42"/>
  <c r="V399" i="42" s="1"/>
  <c r="U400" i="42"/>
  <c r="V400" i="42" s="1"/>
  <c r="U401" i="42"/>
  <c r="U402" i="42"/>
  <c r="V402" i="42" s="1"/>
  <c r="U403" i="42"/>
  <c r="U404" i="42"/>
  <c r="U405" i="42"/>
  <c r="U406" i="42"/>
  <c r="U407" i="42"/>
  <c r="U408" i="42"/>
  <c r="U409" i="42"/>
  <c r="V409" i="42" s="1"/>
  <c r="U410" i="42"/>
  <c r="U411" i="42"/>
  <c r="U412" i="42"/>
  <c r="V412" i="42" s="1"/>
  <c r="U413" i="42"/>
  <c r="U414" i="42"/>
  <c r="V414" i="42" s="1"/>
  <c r="U415" i="42"/>
  <c r="V415" i="42" s="1"/>
  <c r="U416" i="42"/>
  <c r="U417" i="42"/>
  <c r="V417" i="42" s="1"/>
  <c r="U418" i="42"/>
  <c r="V418" i="42" s="1"/>
  <c r="U419" i="42"/>
  <c r="U420" i="42"/>
  <c r="U421" i="42"/>
  <c r="U422" i="42"/>
  <c r="U423" i="42"/>
  <c r="U424" i="42"/>
  <c r="U425" i="42"/>
  <c r="U426" i="42"/>
  <c r="U427" i="42"/>
  <c r="U428" i="42"/>
  <c r="U429" i="42"/>
  <c r="V429" i="42" s="1"/>
  <c r="U430" i="42"/>
  <c r="V430" i="42" s="1"/>
  <c r="U431" i="42"/>
  <c r="U432" i="42"/>
  <c r="V432" i="42" s="1"/>
  <c r="U433" i="42"/>
  <c r="V433" i="42" s="1"/>
  <c r="U434" i="42"/>
  <c r="V434" i="42" s="1"/>
  <c r="U435" i="42"/>
  <c r="U436" i="42"/>
  <c r="U437" i="42"/>
  <c r="U438" i="42"/>
  <c r="U439" i="42"/>
  <c r="U440" i="42"/>
  <c r="U441" i="42"/>
  <c r="U442" i="42"/>
  <c r="V442" i="42" s="1"/>
  <c r="U443" i="42"/>
  <c r="U444" i="42"/>
  <c r="V444" i="42" s="1"/>
  <c r="U445" i="42"/>
  <c r="V445" i="42" s="1"/>
  <c r="U446" i="42"/>
  <c r="U447" i="42"/>
  <c r="V447" i="42" s="1"/>
  <c r="U448" i="42"/>
  <c r="V448" i="42" s="1"/>
  <c r="U449" i="42"/>
  <c r="V449" i="42" s="1"/>
  <c r="U450" i="42"/>
  <c r="V450" i="42" s="1"/>
  <c r="U451" i="42"/>
  <c r="U452" i="42"/>
  <c r="U453" i="42"/>
  <c r="U454" i="42"/>
  <c r="U455" i="42"/>
  <c r="U456" i="42"/>
  <c r="U457" i="42"/>
  <c r="U458" i="42"/>
  <c r="U459" i="42"/>
  <c r="V459" i="42" s="1"/>
  <c r="U460" i="42"/>
  <c r="U461" i="42"/>
  <c r="V461" i="42" s="1"/>
  <c r="U462" i="42"/>
  <c r="V462" i="42" s="1"/>
  <c r="U463" i="42"/>
  <c r="U464" i="42"/>
  <c r="V464" i="42" s="1"/>
  <c r="U465" i="42"/>
  <c r="V465" i="42" s="1"/>
  <c r="U466" i="42"/>
  <c r="U467" i="42"/>
  <c r="U468" i="42"/>
  <c r="U469" i="42"/>
  <c r="U470" i="42"/>
  <c r="U471" i="42"/>
  <c r="U472" i="42"/>
  <c r="U473" i="42"/>
  <c r="U474" i="42"/>
  <c r="U475" i="42"/>
  <c r="U476" i="42"/>
  <c r="V476" i="42" s="1"/>
  <c r="U477" i="42"/>
  <c r="U478" i="42"/>
  <c r="U479" i="42"/>
  <c r="U480" i="42"/>
  <c r="V480" i="42" s="1"/>
  <c r="U481" i="42"/>
  <c r="U482" i="42"/>
  <c r="U483" i="42"/>
  <c r="U484" i="42"/>
  <c r="U485" i="42"/>
  <c r="U486" i="42"/>
  <c r="U487" i="42"/>
  <c r="U488" i="42"/>
  <c r="U489" i="42"/>
  <c r="U490" i="42"/>
  <c r="V490" i="42" s="1"/>
  <c r="U491" i="42"/>
  <c r="U492" i="42"/>
  <c r="U493" i="42"/>
  <c r="V493" i="42" s="1"/>
  <c r="U494" i="42"/>
  <c r="U495" i="42"/>
  <c r="V495" i="42" s="1"/>
  <c r="U496" i="42"/>
  <c r="U497" i="42"/>
  <c r="V497" i="42" s="1"/>
  <c r="U498" i="42"/>
  <c r="U499" i="42"/>
  <c r="U500" i="42"/>
  <c r="N35" i="42"/>
  <c r="N36" i="42"/>
  <c r="N37" i="42"/>
  <c r="N38" i="42"/>
  <c r="N39" i="42"/>
  <c r="P39" i="42" s="1"/>
  <c r="AE39" i="42" s="1"/>
  <c r="AF39" i="42" s="1"/>
  <c r="N40" i="42"/>
  <c r="N41" i="42"/>
  <c r="N42" i="42"/>
  <c r="P42" i="42" s="1"/>
  <c r="AE42" i="42" s="1"/>
  <c r="AF42" i="42" s="1"/>
  <c r="N43" i="42"/>
  <c r="N44" i="42"/>
  <c r="N45" i="42"/>
  <c r="P45" i="42" s="1"/>
  <c r="AE45" i="42" s="1"/>
  <c r="AF45" i="42" s="1"/>
  <c r="N46" i="42"/>
  <c r="P46" i="42" s="1"/>
  <c r="AE46" i="42" s="1"/>
  <c r="AF46" i="42" s="1"/>
  <c r="N47" i="42"/>
  <c r="P47" i="42" s="1"/>
  <c r="AE47" i="42" s="1"/>
  <c r="AF47" i="42" s="1"/>
  <c r="N48" i="42"/>
  <c r="P48" i="42" s="1"/>
  <c r="AE48" i="42" s="1"/>
  <c r="AF48" i="42" s="1"/>
  <c r="N49" i="42"/>
  <c r="P49" i="42" s="1"/>
  <c r="AE49" i="42" s="1"/>
  <c r="AF49" i="42" s="1"/>
  <c r="N50" i="42"/>
  <c r="N51" i="42"/>
  <c r="N52" i="42"/>
  <c r="N53" i="42"/>
  <c r="N54" i="42"/>
  <c r="N55" i="42"/>
  <c r="N56" i="42"/>
  <c r="P56" i="42" s="1"/>
  <c r="AE56" i="42" s="1"/>
  <c r="AF56" i="42" s="1"/>
  <c r="N57" i="42"/>
  <c r="N58" i="42"/>
  <c r="P58" i="42" s="1"/>
  <c r="AE58" i="42" s="1"/>
  <c r="AF58" i="42" s="1"/>
  <c r="N59" i="42"/>
  <c r="P59" i="42" s="1"/>
  <c r="AE59" i="42" s="1"/>
  <c r="AF59" i="42" s="1"/>
  <c r="N60" i="42"/>
  <c r="P60" i="42" s="1"/>
  <c r="AE60" i="42" s="1"/>
  <c r="AF60" i="42" s="1"/>
  <c r="N61" i="42"/>
  <c r="N62" i="42"/>
  <c r="P62" i="42" s="1"/>
  <c r="AE62" i="42" s="1"/>
  <c r="AF62" i="42" s="1"/>
  <c r="N63" i="42"/>
  <c r="P63" i="42" s="1"/>
  <c r="AE63" i="42" s="1"/>
  <c r="AF63" i="42" s="1"/>
  <c r="N64" i="42"/>
  <c r="P64" i="42" s="1"/>
  <c r="AE64" i="42" s="1"/>
  <c r="AF64" i="42" s="1"/>
  <c r="N65" i="42"/>
  <c r="P65" i="42" s="1"/>
  <c r="AE65" i="42" s="1"/>
  <c r="AF65" i="42" s="1"/>
  <c r="N66" i="42"/>
  <c r="N67" i="42"/>
  <c r="N68" i="42"/>
  <c r="N69" i="42"/>
  <c r="N70" i="42"/>
  <c r="P70" i="42" s="1"/>
  <c r="AE70" i="42" s="1"/>
  <c r="AF70" i="42" s="1"/>
  <c r="N71" i="42"/>
  <c r="N72" i="42"/>
  <c r="P72" i="42" s="1"/>
  <c r="AE72" i="42" s="1"/>
  <c r="AF72" i="42" s="1"/>
  <c r="N73" i="42"/>
  <c r="P73" i="42" s="1"/>
  <c r="AE73" i="42" s="1"/>
  <c r="AF73" i="42" s="1"/>
  <c r="N74" i="42"/>
  <c r="P74" i="42" s="1"/>
  <c r="AE74" i="42" s="1"/>
  <c r="AF74" i="42" s="1"/>
  <c r="N75" i="42"/>
  <c r="P75" i="42" s="1"/>
  <c r="AE75" i="42" s="1"/>
  <c r="AF75" i="42" s="1"/>
  <c r="N76" i="42"/>
  <c r="N77" i="42"/>
  <c r="P77" i="42" s="1"/>
  <c r="AE77" i="42" s="1"/>
  <c r="AF77" i="42" s="1"/>
  <c r="N78" i="42"/>
  <c r="P78" i="42" s="1"/>
  <c r="AE78" i="42" s="1"/>
  <c r="AF78" i="42" s="1"/>
  <c r="N79" i="42"/>
  <c r="P79" i="42" s="1"/>
  <c r="AE79" i="42" s="1"/>
  <c r="AF79" i="42" s="1"/>
  <c r="N80" i="42"/>
  <c r="P80" i="42" s="1"/>
  <c r="AE80" i="42" s="1"/>
  <c r="AF80" i="42" s="1"/>
  <c r="N81" i="42"/>
  <c r="P81" i="42" s="1"/>
  <c r="AE81" i="42" s="1"/>
  <c r="AF81" i="42" s="1"/>
  <c r="N82" i="42"/>
  <c r="N83" i="42"/>
  <c r="N84" i="42"/>
  <c r="N85" i="42"/>
  <c r="N86" i="42"/>
  <c r="N87" i="42"/>
  <c r="P87" i="42" s="1"/>
  <c r="AE87" i="42" s="1"/>
  <c r="AF87" i="42" s="1"/>
  <c r="N88" i="42"/>
  <c r="P88" i="42" s="1"/>
  <c r="AE88" i="42" s="1"/>
  <c r="AF88" i="42" s="1"/>
  <c r="N89" i="42"/>
  <c r="P89" i="42" s="1"/>
  <c r="AE89" i="42" s="1"/>
  <c r="AF89" i="42" s="1"/>
  <c r="N90" i="42"/>
  <c r="P90" i="42" s="1"/>
  <c r="AE90" i="42" s="1"/>
  <c r="AF90" i="42" s="1"/>
  <c r="N91" i="42"/>
  <c r="P91" i="42" s="1"/>
  <c r="AE91" i="42" s="1"/>
  <c r="AF91" i="42" s="1"/>
  <c r="N92" i="42"/>
  <c r="N93" i="42"/>
  <c r="P93" i="42" s="1"/>
  <c r="AE93" i="42" s="1"/>
  <c r="AF93" i="42" s="1"/>
  <c r="N94" i="42"/>
  <c r="P94" i="42" s="1"/>
  <c r="AE94" i="42" s="1"/>
  <c r="AF94" i="42" s="1"/>
  <c r="N95" i="42"/>
  <c r="P95" i="42" s="1"/>
  <c r="AE95" i="42" s="1"/>
  <c r="AF95" i="42" s="1"/>
  <c r="N96" i="42"/>
  <c r="P96" i="42" s="1"/>
  <c r="AE96" i="42" s="1"/>
  <c r="AF96" i="42" s="1"/>
  <c r="N97" i="42"/>
  <c r="P97" i="42" s="1"/>
  <c r="AE97" i="42" s="1"/>
  <c r="AF97" i="42" s="1"/>
  <c r="N98" i="42"/>
  <c r="N99" i="42"/>
  <c r="N100" i="42"/>
  <c r="N101" i="42"/>
  <c r="N102" i="42"/>
  <c r="N103" i="42"/>
  <c r="N104" i="42"/>
  <c r="N105" i="42"/>
  <c r="P105" i="42" s="1"/>
  <c r="AE105" i="42" s="1"/>
  <c r="AF105" i="42" s="1"/>
  <c r="N106" i="42"/>
  <c r="P106" i="42" s="1"/>
  <c r="AE106" i="42" s="1"/>
  <c r="AF106" i="42" s="1"/>
  <c r="N107" i="42"/>
  <c r="P107" i="42" s="1"/>
  <c r="AE107" i="42" s="1"/>
  <c r="AF107" i="42" s="1"/>
  <c r="N108" i="42"/>
  <c r="P108" i="42" s="1"/>
  <c r="AE108" i="42" s="1"/>
  <c r="AF108" i="42" s="1"/>
  <c r="N109" i="42"/>
  <c r="N110" i="42"/>
  <c r="P110" i="42" s="1"/>
  <c r="AE110" i="42" s="1"/>
  <c r="AF110" i="42" s="1"/>
  <c r="N111" i="42"/>
  <c r="P111" i="42" s="1"/>
  <c r="AE111" i="42" s="1"/>
  <c r="AF111" i="42" s="1"/>
  <c r="N112" i="42"/>
  <c r="P112" i="42" s="1"/>
  <c r="AE112" i="42" s="1"/>
  <c r="AF112" i="42" s="1"/>
  <c r="N113" i="42"/>
  <c r="P113" i="42" s="1"/>
  <c r="AE113" i="42" s="1"/>
  <c r="AF113" i="42" s="1"/>
  <c r="N114" i="42"/>
  <c r="N115" i="42"/>
  <c r="N116" i="42"/>
  <c r="N117" i="42"/>
  <c r="N118" i="42"/>
  <c r="N119" i="42"/>
  <c r="P119" i="42" s="1"/>
  <c r="AE119" i="42" s="1"/>
  <c r="AF119" i="42" s="1"/>
  <c r="N120" i="42"/>
  <c r="P120" i="42" s="1"/>
  <c r="AE120" i="42" s="1"/>
  <c r="AF120" i="42" s="1"/>
  <c r="N121" i="42"/>
  <c r="P121" i="42" s="1"/>
  <c r="AE121" i="42" s="1"/>
  <c r="AF121" i="42" s="1"/>
  <c r="N122" i="42"/>
  <c r="P122" i="42" s="1"/>
  <c r="AE122" i="42" s="1"/>
  <c r="AF122" i="42" s="1"/>
  <c r="N123" i="42"/>
  <c r="P123" i="42" s="1"/>
  <c r="AE123" i="42" s="1"/>
  <c r="AF123" i="42" s="1"/>
  <c r="N124" i="42"/>
  <c r="P124" i="42" s="1"/>
  <c r="AE124" i="42" s="1"/>
  <c r="AF124" i="42" s="1"/>
  <c r="N125" i="42"/>
  <c r="N126" i="42"/>
  <c r="P126" i="42" s="1"/>
  <c r="AE126" i="42" s="1"/>
  <c r="AF126" i="42" s="1"/>
  <c r="N127" i="42"/>
  <c r="P127" i="42" s="1"/>
  <c r="AE127" i="42" s="1"/>
  <c r="AF127" i="42" s="1"/>
  <c r="N128" i="42"/>
  <c r="P128" i="42" s="1"/>
  <c r="AE128" i="42" s="1"/>
  <c r="AF128" i="42" s="1"/>
  <c r="N129" i="42"/>
  <c r="P129" i="42" s="1"/>
  <c r="AE129" i="42" s="1"/>
  <c r="AF129" i="42" s="1"/>
  <c r="N130" i="42"/>
  <c r="N131" i="42"/>
  <c r="N132" i="42"/>
  <c r="N133" i="42"/>
  <c r="N134" i="42"/>
  <c r="N135" i="42"/>
  <c r="N136" i="42"/>
  <c r="N137" i="42"/>
  <c r="P137" i="42" s="1"/>
  <c r="AE137" i="42" s="1"/>
  <c r="AF137" i="42" s="1"/>
  <c r="N138" i="42"/>
  <c r="P138" i="42" s="1"/>
  <c r="AE138" i="42" s="1"/>
  <c r="AF138" i="42" s="1"/>
  <c r="N139" i="42"/>
  <c r="N140" i="42"/>
  <c r="P140" i="42" s="1"/>
  <c r="AE140" i="42" s="1"/>
  <c r="AF140" i="42" s="1"/>
  <c r="N141" i="42"/>
  <c r="P141" i="42" s="1"/>
  <c r="AE141" i="42" s="1"/>
  <c r="AF141" i="42" s="1"/>
  <c r="N142" i="42"/>
  <c r="P142" i="42" s="1"/>
  <c r="AE142" i="42" s="1"/>
  <c r="AF142" i="42" s="1"/>
  <c r="N143" i="42"/>
  <c r="P143" i="42" s="1"/>
  <c r="AE143" i="42" s="1"/>
  <c r="AF143" i="42" s="1"/>
  <c r="N144" i="42"/>
  <c r="P144" i="42" s="1"/>
  <c r="AE144" i="42" s="1"/>
  <c r="AF144" i="42" s="1"/>
  <c r="N145" i="42"/>
  <c r="P145" i="42" s="1"/>
  <c r="AE145" i="42" s="1"/>
  <c r="AF145" i="42" s="1"/>
  <c r="N146" i="42"/>
  <c r="N147" i="42"/>
  <c r="N148" i="42"/>
  <c r="N149" i="42"/>
  <c r="N150" i="42"/>
  <c r="P150" i="42" s="1"/>
  <c r="AE150" i="42" s="1"/>
  <c r="AF150" i="42" s="1"/>
  <c r="N151" i="42"/>
  <c r="N152" i="42"/>
  <c r="N153" i="42"/>
  <c r="P153" i="42" s="1"/>
  <c r="AE153" i="42" s="1"/>
  <c r="AF153" i="42" s="1"/>
  <c r="N154" i="42"/>
  <c r="P154" i="42" s="1"/>
  <c r="AE154" i="42" s="1"/>
  <c r="AF154" i="42" s="1"/>
  <c r="N155" i="42"/>
  <c r="P155" i="42" s="1"/>
  <c r="AE155" i="42" s="1"/>
  <c r="AF155" i="42" s="1"/>
  <c r="N156" i="42"/>
  <c r="P156" i="42" s="1"/>
  <c r="AE156" i="42" s="1"/>
  <c r="AF156" i="42" s="1"/>
  <c r="N157" i="42"/>
  <c r="P157" i="42" s="1"/>
  <c r="AE157" i="42" s="1"/>
  <c r="AF157" i="42" s="1"/>
  <c r="N158" i="42"/>
  <c r="P158" i="42" s="1"/>
  <c r="AE158" i="42" s="1"/>
  <c r="AF158" i="42" s="1"/>
  <c r="N159" i="42"/>
  <c r="P159" i="42" s="1"/>
  <c r="AE159" i="42" s="1"/>
  <c r="AF159" i="42" s="1"/>
  <c r="N160" i="42"/>
  <c r="P160" i="42" s="1"/>
  <c r="AE160" i="42" s="1"/>
  <c r="AF160" i="42" s="1"/>
  <c r="N161" i="42"/>
  <c r="P161" i="42" s="1"/>
  <c r="AE161" i="42" s="1"/>
  <c r="AF161" i="42" s="1"/>
  <c r="N162" i="42"/>
  <c r="N163" i="42"/>
  <c r="N164" i="42"/>
  <c r="N165" i="42"/>
  <c r="N166" i="42"/>
  <c r="N167" i="42"/>
  <c r="P167" i="42" s="1"/>
  <c r="AE167" i="42" s="1"/>
  <c r="AF167" i="42" s="1"/>
  <c r="N168" i="42"/>
  <c r="N169" i="42"/>
  <c r="P169" i="42" s="1"/>
  <c r="AE169" i="42" s="1"/>
  <c r="AF169" i="42" s="1"/>
  <c r="N170" i="42"/>
  <c r="P170" i="42" s="1"/>
  <c r="AE170" i="42" s="1"/>
  <c r="AF170" i="42" s="1"/>
  <c r="N171" i="42"/>
  <c r="P171" i="42" s="1"/>
  <c r="AE171" i="42" s="1"/>
  <c r="AF171" i="42" s="1"/>
  <c r="N172" i="42"/>
  <c r="N173" i="42"/>
  <c r="P173" i="42" s="1"/>
  <c r="AE173" i="42" s="1"/>
  <c r="AF173" i="42" s="1"/>
  <c r="N174" i="42"/>
  <c r="P174" i="42" s="1"/>
  <c r="AE174" i="42" s="1"/>
  <c r="AF174" i="42" s="1"/>
  <c r="N175" i="42"/>
  <c r="P175" i="42" s="1"/>
  <c r="AE175" i="42" s="1"/>
  <c r="AF175" i="42" s="1"/>
  <c r="N176" i="42"/>
  <c r="P176" i="42" s="1"/>
  <c r="AE176" i="42" s="1"/>
  <c r="AF176" i="42" s="1"/>
  <c r="N177" i="42"/>
  <c r="P177" i="42" s="1"/>
  <c r="AE177" i="42" s="1"/>
  <c r="AF177" i="42" s="1"/>
  <c r="N178" i="42"/>
  <c r="N179" i="42"/>
  <c r="N180" i="42"/>
  <c r="N181" i="42"/>
  <c r="N182" i="42"/>
  <c r="N183" i="42"/>
  <c r="N184" i="42"/>
  <c r="N185" i="42"/>
  <c r="P185" i="42" s="1"/>
  <c r="AE185" i="42" s="1"/>
  <c r="AF185" i="42" s="1"/>
  <c r="N186" i="42"/>
  <c r="N187" i="42"/>
  <c r="N188" i="42"/>
  <c r="P188" i="42" s="1"/>
  <c r="AE188" i="42" s="1"/>
  <c r="AF188" i="42" s="1"/>
  <c r="N189" i="42"/>
  <c r="P189" i="42" s="1"/>
  <c r="AE189" i="42" s="1"/>
  <c r="AF189" i="42" s="1"/>
  <c r="N190" i="42"/>
  <c r="P190" i="42" s="1"/>
  <c r="AE190" i="42" s="1"/>
  <c r="AF190" i="42" s="1"/>
  <c r="N191" i="42"/>
  <c r="P191" i="42" s="1"/>
  <c r="AE191" i="42" s="1"/>
  <c r="AF191" i="42" s="1"/>
  <c r="N192" i="42"/>
  <c r="P192" i="42" s="1"/>
  <c r="AE192" i="42" s="1"/>
  <c r="AF192" i="42" s="1"/>
  <c r="N193" i="42"/>
  <c r="P193" i="42" s="1"/>
  <c r="AE193" i="42" s="1"/>
  <c r="AF193" i="42" s="1"/>
  <c r="N194" i="42"/>
  <c r="N195" i="42"/>
  <c r="N196" i="42"/>
  <c r="N197" i="42"/>
  <c r="N198" i="42"/>
  <c r="N199" i="42"/>
  <c r="P199" i="42" s="1"/>
  <c r="AE199" i="42" s="1"/>
  <c r="AF199" i="42" s="1"/>
  <c r="N200" i="42"/>
  <c r="N201" i="42"/>
  <c r="P201" i="42" s="1"/>
  <c r="AE201" i="42" s="1"/>
  <c r="AF201" i="42" s="1"/>
  <c r="N202" i="42"/>
  <c r="P202" i="42" s="1"/>
  <c r="AE202" i="42" s="1"/>
  <c r="AF202" i="42" s="1"/>
  <c r="N203" i="42"/>
  <c r="P203" i="42" s="1"/>
  <c r="AE203" i="42" s="1"/>
  <c r="AF203" i="42" s="1"/>
  <c r="N204" i="42"/>
  <c r="N205" i="42"/>
  <c r="P205" i="42" s="1"/>
  <c r="AE205" i="42" s="1"/>
  <c r="AF205" i="42" s="1"/>
  <c r="N206" i="42"/>
  <c r="P206" i="42" s="1"/>
  <c r="AE206" i="42" s="1"/>
  <c r="AF206" i="42" s="1"/>
  <c r="N207" i="42"/>
  <c r="P207" i="42" s="1"/>
  <c r="AE207" i="42" s="1"/>
  <c r="AF207" i="42" s="1"/>
  <c r="N208" i="42"/>
  <c r="P208" i="42" s="1"/>
  <c r="AE208" i="42" s="1"/>
  <c r="AF208" i="42" s="1"/>
  <c r="N209" i="42"/>
  <c r="P209" i="42" s="1"/>
  <c r="AE209" i="42" s="1"/>
  <c r="AF209" i="42" s="1"/>
  <c r="N210" i="42"/>
  <c r="N211" i="42"/>
  <c r="N212" i="42"/>
  <c r="N213" i="42"/>
  <c r="N214" i="42"/>
  <c r="N215" i="42"/>
  <c r="N216" i="42"/>
  <c r="P216" i="42" s="1"/>
  <c r="AE216" i="42" s="1"/>
  <c r="AF216" i="42" s="1"/>
  <c r="N217" i="42"/>
  <c r="P217" i="42" s="1"/>
  <c r="AE217" i="42" s="1"/>
  <c r="AF217" i="42" s="1"/>
  <c r="N218" i="42"/>
  <c r="P218" i="42" s="1"/>
  <c r="AE218" i="42" s="1"/>
  <c r="AF218" i="42" s="1"/>
  <c r="N219" i="42"/>
  <c r="P219" i="42" s="1"/>
  <c r="AE219" i="42" s="1"/>
  <c r="AF219" i="42" s="1"/>
  <c r="N220" i="42"/>
  <c r="P220" i="42" s="1"/>
  <c r="AE220" i="42" s="1"/>
  <c r="AF220" i="42" s="1"/>
  <c r="N221" i="42"/>
  <c r="P221" i="42" s="1"/>
  <c r="AE221" i="42" s="1"/>
  <c r="AF221" i="42" s="1"/>
  <c r="N222" i="42"/>
  <c r="P222" i="42" s="1"/>
  <c r="AE222" i="42" s="1"/>
  <c r="AF222" i="42" s="1"/>
  <c r="N223" i="42"/>
  <c r="P223" i="42" s="1"/>
  <c r="AE223" i="42" s="1"/>
  <c r="AF223" i="42" s="1"/>
  <c r="N224" i="42"/>
  <c r="P224" i="42" s="1"/>
  <c r="AE224" i="42" s="1"/>
  <c r="AF224" i="42" s="1"/>
  <c r="N225" i="42"/>
  <c r="P225" i="42" s="1"/>
  <c r="AE225" i="42" s="1"/>
  <c r="AF225" i="42" s="1"/>
  <c r="N226" i="42"/>
  <c r="N227" i="42"/>
  <c r="N228" i="42"/>
  <c r="N229" i="42"/>
  <c r="N230" i="42"/>
  <c r="P230" i="42" s="1"/>
  <c r="AE230" i="42" s="1"/>
  <c r="AF230" i="42" s="1"/>
  <c r="N231" i="42"/>
  <c r="N232" i="42"/>
  <c r="N233" i="42"/>
  <c r="P233" i="42" s="1"/>
  <c r="AE233" i="42" s="1"/>
  <c r="AF233" i="42" s="1"/>
  <c r="N234" i="42"/>
  <c r="P234" i="42" s="1"/>
  <c r="AE234" i="42" s="1"/>
  <c r="AF234" i="42" s="1"/>
  <c r="N235" i="42"/>
  <c r="N236" i="42"/>
  <c r="N237" i="42"/>
  <c r="P237" i="42" s="1"/>
  <c r="AE237" i="42" s="1"/>
  <c r="AF237" i="42" s="1"/>
  <c r="N238" i="42"/>
  <c r="P238" i="42" s="1"/>
  <c r="AE238" i="42" s="1"/>
  <c r="AF238" i="42" s="1"/>
  <c r="N239" i="42"/>
  <c r="P239" i="42" s="1"/>
  <c r="AE239" i="42" s="1"/>
  <c r="AF239" i="42" s="1"/>
  <c r="N240" i="42"/>
  <c r="P240" i="42" s="1"/>
  <c r="AE240" i="42" s="1"/>
  <c r="AF240" i="42" s="1"/>
  <c r="N241" i="42"/>
  <c r="P241" i="42" s="1"/>
  <c r="AE241" i="42" s="1"/>
  <c r="AF241" i="42" s="1"/>
  <c r="N242" i="42"/>
  <c r="N243" i="42"/>
  <c r="N244" i="42"/>
  <c r="N245" i="42"/>
  <c r="N246" i="42"/>
  <c r="N247" i="42"/>
  <c r="P247" i="42" s="1"/>
  <c r="AE247" i="42" s="1"/>
  <c r="AF247" i="42" s="1"/>
  <c r="N248" i="42"/>
  <c r="N249" i="42"/>
  <c r="P249" i="42" s="1"/>
  <c r="AE249" i="42" s="1"/>
  <c r="AF249" i="42" s="1"/>
  <c r="N250" i="42"/>
  <c r="N251" i="42"/>
  <c r="P251" i="42" s="1"/>
  <c r="AE251" i="42" s="1"/>
  <c r="AF251" i="42" s="1"/>
  <c r="N252" i="42"/>
  <c r="P252" i="42" s="1"/>
  <c r="AE252" i="42" s="1"/>
  <c r="AF252" i="42" s="1"/>
  <c r="N253" i="42"/>
  <c r="P253" i="42" s="1"/>
  <c r="AE253" i="42" s="1"/>
  <c r="AF253" i="42" s="1"/>
  <c r="N254" i="42"/>
  <c r="P254" i="42" s="1"/>
  <c r="AE254" i="42" s="1"/>
  <c r="AF254" i="42" s="1"/>
  <c r="N255" i="42"/>
  <c r="P255" i="42" s="1"/>
  <c r="AE255" i="42" s="1"/>
  <c r="AF255" i="42" s="1"/>
  <c r="N256" i="42"/>
  <c r="P256" i="42" s="1"/>
  <c r="AE256" i="42" s="1"/>
  <c r="AF256" i="42" s="1"/>
  <c r="N257" i="42"/>
  <c r="P257" i="42" s="1"/>
  <c r="AE257" i="42" s="1"/>
  <c r="AF257" i="42" s="1"/>
  <c r="N258" i="42"/>
  <c r="N259" i="42"/>
  <c r="N260" i="42"/>
  <c r="N261" i="42"/>
  <c r="N262" i="42"/>
  <c r="P262" i="42" s="1"/>
  <c r="AE262" i="42" s="1"/>
  <c r="AF262" i="42" s="1"/>
  <c r="N263" i="42"/>
  <c r="N264" i="42"/>
  <c r="N265" i="42"/>
  <c r="P265" i="42" s="1"/>
  <c r="AE265" i="42" s="1"/>
  <c r="AF265" i="42" s="1"/>
  <c r="N266" i="42"/>
  <c r="P266" i="42" s="1"/>
  <c r="AE266" i="42" s="1"/>
  <c r="AF266" i="42" s="1"/>
  <c r="N267" i="42"/>
  <c r="P267" i="42" s="1"/>
  <c r="AE267" i="42" s="1"/>
  <c r="AF267" i="42" s="1"/>
  <c r="N268" i="42"/>
  <c r="P268" i="42" s="1"/>
  <c r="AE268" i="42" s="1"/>
  <c r="AF268" i="42" s="1"/>
  <c r="N269" i="42"/>
  <c r="P269" i="42" s="1"/>
  <c r="AE269" i="42" s="1"/>
  <c r="AF269" i="42" s="1"/>
  <c r="N270" i="42"/>
  <c r="P270" i="42" s="1"/>
  <c r="AE270" i="42" s="1"/>
  <c r="AF270" i="42" s="1"/>
  <c r="N271" i="42"/>
  <c r="P271" i="42" s="1"/>
  <c r="AE271" i="42" s="1"/>
  <c r="AF271" i="42" s="1"/>
  <c r="N272" i="42"/>
  <c r="P272" i="42" s="1"/>
  <c r="AE272" i="42" s="1"/>
  <c r="AF272" i="42" s="1"/>
  <c r="N273" i="42"/>
  <c r="P273" i="42" s="1"/>
  <c r="AE273" i="42" s="1"/>
  <c r="AF273" i="42" s="1"/>
  <c r="N274" i="42"/>
  <c r="N275" i="42"/>
  <c r="N276" i="42"/>
  <c r="N277" i="42"/>
  <c r="N278" i="42"/>
  <c r="P278" i="42" s="1"/>
  <c r="AE278" i="42" s="1"/>
  <c r="AF278" i="42" s="1"/>
  <c r="N279" i="42"/>
  <c r="N280" i="42"/>
  <c r="P280" i="42" s="1"/>
  <c r="AE280" i="42" s="1"/>
  <c r="AF280" i="42" s="1"/>
  <c r="N281" i="42"/>
  <c r="P281" i="42" s="1"/>
  <c r="AE281" i="42" s="1"/>
  <c r="AF281" i="42" s="1"/>
  <c r="N282" i="42"/>
  <c r="P282" i="42" s="1"/>
  <c r="AE282" i="42" s="1"/>
  <c r="AF282" i="42" s="1"/>
  <c r="N283" i="42"/>
  <c r="N284" i="42"/>
  <c r="P284" i="42" s="1"/>
  <c r="AE284" i="42" s="1"/>
  <c r="AF284" i="42" s="1"/>
  <c r="N285" i="42"/>
  <c r="P285" i="42" s="1"/>
  <c r="AE285" i="42" s="1"/>
  <c r="AF285" i="42" s="1"/>
  <c r="N286" i="42"/>
  <c r="P286" i="42" s="1"/>
  <c r="AE286" i="42" s="1"/>
  <c r="AF286" i="42" s="1"/>
  <c r="N287" i="42"/>
  <c r="P287" i="42" s="1"/>
  <c r="AE287" i="42" s="1"/>
  <c r="AF287" i="42" s="1"/>
  <c r="N288" i="42"/>
  <c r="P288" i="42" s="1"/>
  <c r="AE288" i="42" s="1"/>
  <c r="AF288" i="42" s="1"/>
  <c r="N289" i="42"/>
  <c r="P289" i="42" s="1"/>
  <c r="AE289" i="42" s="1"/>
  <c r="AF289" i="42" s="1"/>
  <c r="N290" i="42"/>
  <c r="N291" i="42"/>
  <c r="N292" i="42"/>
  <c r="N293" i="42"/>
  <c r="N294" i="42"/>
  <c r="N295" i="42"/>
  <c r="N296" i="42"/>
  <c r="P296" i="42" s="1"/>
  <c r="AE296" i="42" s="1"/>
  <c r="AF296" i="42" s="1"/>
  <c r="N297" i="42"/>
  <c r="P297" i="42" s="1"/>
  <c r="AE297" i="42" s="1"/>
  <c r="AF297" i="42" s="1"/>
  <c r="N298" i="42"/>
  <c r="P298" i="42" s="1"/>
  <c r="AE298" i="42" s="1"/>
  <c r="AF298" i="42" s="1"/>
  <c r="N299" i="42"/>
  <c r="P299" i="42" s="1"/>
  <c r="AE299" i="42" s="1"/>
  <c r="AF299" i="42" s="1"/>
  <c r="N300" i="42"/>
  <c r="N301" i="42"/>
  <c r="P301" i="42" s="1"/>
  <c r="AE301" i="42" s="1"/>
  <c r="AF301" i="42" s="1"/>
  <c r="N302" i="42"/>
  <c r="P302" i="42" s="1"/>
  <c r="AE302" i="42" s="1"/>
  <c r="AF302" i="42" s="1"/>
  <c r="N303" i="42"/>
  <c r="P303" i="42" s="1"/>
  <c r="AE303" i="42" s="1"/>
  <c r="AF303" i="42" s="1"/>
  <c r="N304" i="42"/>
  <c r="N305" i="42"/>
  <c r="P305" i="42" s="1"/>
  <c r="AE305" i="42" s="1"/>
  <c r="AF305" i="42" s="1"/>
  <c r="N306" i="42"/>
  <c r="N307" i="42"/>
  <c r="N308" i="42"/>
  <c r="N309" i="42"/>
  <c r="N310" i="42"/>
  <c r="N311" i="42"/>
  <c r="N312" i="42"/>
  <c r="P312" i="42" s="1"/>
  <c r="AE312" i="42" s="1"/>
  <c r="AF312" i="42" s="1"/>
  <c r="N313" i="42"/>
  <c r="N314" i="42"/>
  <c r="P314" i="42" s="1"/>
  <c r="AE314" i="42" s="1"/>
  <c r="AF314" i="42" s="1"/>
  <c r="N315" i="42"/>
  <c r="N316" i="42"/>
  <c r="P316" i="42" s="1"/>
  <c r="AE316" i="42" s="1"/>
  <c r="AF316" i="42" s="1"/>
  <c r="N317" i="42"/>
  <c r="P317" i="42" s="1"/>
  <c r="AE317" i="42" s="1"/>
  <c r="AF317" i="42" s="1"/>
  <c r="N318" i="42"/>
  <c r="P318" i="42" s="1"/>
  <c r="AE318" i="42" s="1"/>
  <c r="AF318" i="42" s="1"/>
  <c r="N319" i="42"/>
  <c r="P319" i="42" s="1"/>
  <c r="AE319" i="42" s="1"/>
  <c r="AF319" i="42" s="1"/>
  <c r="N320" i="42"/>
  <c r="P320" i="42" s="1"/>
  <c r="AE320" i="42" s="1"/>
  <c r="AF320" i="42" s="1"/>
  <c r="N321" i="42"/>
  <c r="P321" i="42" s="1"/>
  <c r="AE321" i="42" s="1"/>
  <c r="AF321" i="42" s="1"/>
  <c r="N322" i="42"/>
  <c r="N323" i="42"/>
  <c r="N324" i="42"/>
  <c r="N325" i="42"/>
  <c r="N326" i="42"/>
  <c r="P326" i="42" s="1"/>
  <c r="AE326" i="42" s="1"/>
  <c r="AF326" i="42" s="1"/>
  <c r="N327" i="42"/>
  <c r="N328" i="42"/>
  <c r="P328" i="42" s="1"/>
  <c r="AE328" i="42" s="1"/>
  <c r="AF328" i="42" s="1"/>
  <c r="N329" i="42"/>
  <c r="P329" i="42" s="1"/>
  <c r="AE329" i="42" s="1"/>
  <c r="AF329" i="42" s="1"/>
  <c r="N330" i="42"/>
  <c r="P330" i="42" s="1"/>
  <c r="AE330" i="42" s="1"/>
  <c r="AF330" i="42" s="1"/>
  <c r="N331" i="42"/>
  <c r="P331" i="42" s="1"/>
  <c r="AE331" i="42" s="1"/>
  <c r="AF331" i="42" s="1"/>
  <c r="N332" i="42"/>
  <c r="P332" i="42" s="1"/>
  <c r="AE332" i="42" s="1"/>
  <c r="AF332" i="42" s="1"/>
  <c r="N333" i="42"/>
  <c r="P333" i="42" s="1"/>
  <c r="AE333" i="42" s="1"/>
  <c r="AF333" i="42" s="1"/>
  <c r="N334" i="42"/>
  <c r="P334" i="42" s="1"/>
  <c r="AE334" i="42" s="1"/>
  <c r="AF334" i="42" s="1"/>
  <c r="N335" i="42"/>
  <c r="P335" i="42" s="1"/>
  <c r="AE335" i="42" s="1"/>
  <c r="AF335" i="42" s="1"/>
  <c r="N336" i="42"/>
  <c r="P336" i="42" s="1"/>
  <c r="AE336" i="42" s="1"/>
  <c r="AF336" i="42" s="1"/>
  <c r="N337" i="42"/>
  <c r="P337" i="42" s="1"/>
  <c r="AE337" i="42" s="1"/>
  <c r="AF337" i="42" s="1"/>
  <c r="N338" i="42"/>
  <c r="N339" i="42"/>
  <c r="N340" i="42"/>
  <c r="N341" i="42"/>
  <c r="N342" i="42"/>
  <c r="N343" i="42"/>
  <c r="N344" i="42"/>
  <c r="P344" i="42" s="1"/>
  <c r="AE344" i="42" s="1"/>
  <c r="AF344" i="42" s="1"/>
  <c r="N345" i="42"/>
  <c r="P345" i="42" s="1"/>
  <c r="AE345" i="42" s="1"/>
  <c r="AF345" i="42" s="1"/>
  <c r="N346" i="42"/>
  <c r="P346" i="42" s="1"/>
  <c r="AE346" i="42" s="1"/>
  <c r="AF346" i="42" s="1"/>
  <c r="N347" i="42"/>
  <c r="P347" i="42" s="1"/>
  <c r="AE347" i="42" s="1"/>
  <c r="AF347" i="42" s="1"/>
  <c r="N348" i="42"/>
  <c r="N349" i="42"/>
  <c r="P349" i="42" s="1"/>
  <c r="AE349" i="42" s="1"/>
  <c r="AF349" i="42" s="1"/>
  <c r="N350" i="42"/>
  <c r="P350" i="42" s="1"/>
  <c r="AE350" i="42" s="1"/>
  <c r="AF350" i="42" s="1"/>
  <c r="N351" i="42"/>
  <c r="P351" i="42" s="1"/>
  <c r="AE351" i="42" s="1"/>
  <c r="AF351" i="42" s="1"/>
  <c r="N352" i="42"/>
  <c r="P352" i="42" s="1"/>
  <c r="AE352" i="42" s="1"/>
  <c r="AF352" i="42" s="1"/>
  <c r="N353" i="42"/>
  <c r="P353" i="42" s="1"/>
  <c r="AE353" i="42" s="1"/>
  <c r="AF353" i="42" s="1"/>
  <c r="N354" i="42"/>
  <c r="N355" i="42"/>
  <c r="N356" i="42"/>
  <c r="N357" i="42"/>
  <c r="N358" i="42"/>
  <c r="P358" i="42" s="1"/>
  <c r="AE358" i="42" s="1"/>
  <c r="AF358" i="42" s="1"/>
  <c r="N359" i="42"/>
  <c r="N360" i="42"/>
  <c r="N361" i="42"/>
  <c r="P361" i="42" s="1"/>
  <c r="AE361" i="42" s="1"/>
  <c r="AF361" i="42" s="1"/>
  <c r="N362" i="42"/>
  <c r="P362" i="42" s="1"/>
  <c r="AE362" i="42" s="1"/>
  <c r="AF362" i="42" s="1"/>
  <c r="N363" i="42"/>
  <c r="N364" i="42"/>
  <c r="P364" i="42" s="1"/>
  <c r="AE364" i="42" s="1"/>
  <c r="AF364" i="42" s="1"/>
  <c r="N365" i="42"/>
  <c r="P365" i="42" s="1"/>
  <c r="AE365" i="42" s="1"/>
  <c r="AF365" i="42" s="1"/>
  <c r="N366" i="42"/>
  <c r="P366" i="42" s="1"/>
  <c r="AE366" i="42" s="1"/>
  <c r="AF366" i="42" s="1"/>
  <c r="N367" i="42"/>
  <c r="P367" i="42" s="1"/>
  <c r="AE367" i="42" s="1"/>
  <c r="AF367" i="42" s="1"/>
  <c r="N368" i="42"/>
  <c r="P368" i="42" s="1"/>
  <c r="AE368" i="42" s="1"/>
  <c r="AF368" i="42" s="1"/>
  <c r="N369" i="42"/>
  <c r="P369" i="42" s="1"/>
  <c r="AE369" i="42" s="1"/>
  <c r="AF369" i="42" s="1"/>
  <c r="N370" i="42"/>
  <c r="N371" i="42"/>
  <c r="N372" i="42"/>
  <c r="N373" i="42"/>
  <c r="N374" i="42"/>
  <c r="N375" i="42"/>
  <c r="P375" i="42" s="1"/>
  <c r="AE375" i="42" s="1"/>
  <c r="AF375" i="42" s="1"/>
  <c r="N376" i="42"/>
  <c r="N377" i="42"/>
  <c r="P377" i="42" s="1"/>
  <c r="AE377" i="42" s="1"/>
  <c r="AF377" i="42" s="1"/>
  <c r="N378" i="42"/>
  <c r="P378" i="42" s="1"/>
  <c r="AE378" i="42" s="1"/>
  <c r="AF378" i="42" s="1"/>
  <c r="N379" i="42"/>
  <c r="P379" i="42" s="1"/>
  <c r="AE379" i="42" s="1"/>
  <c r="AF379" i="42" s="1"/>
  <c r="N380" i="42"/>
  <c r="N381" i="42"/>
  <c r="P381" i="42" s="1"/>
  <c r="AE381" i="42" s="1"/>
  <c r="AF381" i="42" s="1"/>
  <c r="N382" i="42"/>
  <c r="P382" i="42" s="1"/>
  <c r="AE382" i="42" s="1"/>
  <c r="AF382" i="42" s="1"/>
  <c r="N383" i="42"/>
  <c r="P383" i="42" s="1"/>
  <c r="AE383" i="42" s="1"/>
  <c r="AF383" i="42" s="1"/>
  <c r="N384" i="42"/>
  <c r="N385" i="42"/>
  <c r="P385" i="42" s="1"/>
  <c r="AE385" i="42" s="1"/>
  <c r="AF385" i="42" s="1"/>
  <c r="N386" i="42"/>
  <c r="N387" i="42"/>
  <c r="N388" i="42"/>
  <c r="N389" i="42"/>
  <c r="N390" i="42"/>
  <c r="N391" i="42"/>
  <c r="N392" i="42"/>
  <c r="P392" i="42" s="1"/>
  <c r="AE392" i="42" s="1"/>
  <c r="AF392" i="42" s="1"/>
  <c r="N393" i="42"/>
  <c r="N394" i="42"/>
  <c r="P394" i="42" s="1"/>
  <c r="AE394" i="42" s="1"/>
  <c r="AF394" i="42" s="1"/>
  <c r="N395" i="42"/>
  <c r="P395" i="42" s="1"/>
  <c r="AE395" i="42" s="1"/>
  <c r="AF395" i="42" s="1"/>
  <c r="N396" i="42"/>
  <c r="P396" i="42" s="1"/>
  <c r="AE396" i="42" s="1"/>
  <c r="AF396" i="42" s="1"/>
  <c r="N397" i="42"/>
  <c r="P397" i="42" s="1"/>
  <c r="AE397" i="42" s="1"/>
  <c r="AF397" i="42" s="1"/>
  <c r="N398" i="42"/>
  <c r="N399" i="42"/>
  <c r="P399" i="42" s="1"/>
  <c r="AE399" i="42" s="1"/>
  <c r="AF399" i="42" s="1"/>
  <c r="N400" i="42"/>
  <c r="P400" i="42" s="1"/>
  <c r="AE400" i="42" s="1"/>
  <c r="AF400" i="42" s="1"/>
  <c r="N401" i="42"/>
  <c r="P401" i="42" s="1"/>
  <c r="AE401" i="42" s="1"/>
  <c r="AF401" i="42" s="1"/>
  <c r="N402" i="42"/>
  <c r="N403" i="42"/>
  <c r="N404" i="42"/>
  <c r="N405" i="42"/>
  <c r="N406" i="42"/>
  <c r="N407" i="42"/>
  <c r="N408" i="42"/>
  <c r="P408" i="42" s="1"/>
  <c r="AE408" i="42" s="1"/>
  <c r="AF408" i="42" s="1"/>
  <c r="N409" i="42"/>
  <c r="P409" i="42" s="1"/>
  <c r="AE409" i="42" s="1"/>
  <c r="AF409" i="42" s="1"/>
  <c r="N410" i="42"/>
  <c r="N411" i="42"/>
  <c r="P411" i="42" s="1"/>
  <c r="AE411" i="42" s="1"/>
  <c r="AF411" i="42" s="1"/>
  <c r="N412" i="42"/>
  <c r="P412" i="42" s="1"/>
  <c r="AE412" i="42" s="1"/>
  <c r="AF412" i="42" s="1"/>
  <c r="N413" i="42"/>
  <c r="P413" i="42" s="1"/>
  <c r="AE413" i="42" s="1"/>
  <c r="AF413" i="42" s="1"/>
  <c r="N414" i="42"/>
  <c r="P414" i="42" s="1"/>
  <c r="AE414" i="42" s="1"/>
  <c r="AF414" i="42" s="1"/>
  <c r="N415" i="42"/>
  <c r="P415" i="42" s="1"/>
  <c r="AE415" i="42" s="1"/>
  <c r="AF415" i="42" s="1"/>
  <c r="N416" i="42"/>
  <c r="P416" i="42" s="1"/>
  <c r="AE416" i="42" s="1"/>
  <c r="AF416" i="42" s="1"/>
  <c r="N417" i="42"/>
  <c r="P417" i="42" s="1"/>
  <c r="AE417" i="42" s="1"/>
  <c r="AF417" i="42" s="1"/>
  <c r="N418" i="42"/>
  <c r="N419" i="42"/>
  <c r="N420" i="42"/>
  <c r="N421" i="42"/>
  <c r="N422" i="42"/>
  <c r="P422" i="42" s="1"/>
  <c r="AE422" i="42" s="1"/>
  <c r="AF422" i="42" s="1"/>
  <c r="N423" i="42"/>
  <c r="N424" i="42"/>
  <c r="P424" i="42" s="1"/>
  <c r="AE424" i="42" s="1"/>
  <c r="AF424" i="42" s="1"/>
  <c r="N425" i="42"/>
  <c r="P425" i="42" s="1"/>
  <c r="AE425" i="42" s="1"/>
  <c r="AF425" i="42" s="1"/>
  <c r="N426" i="42"/>
  <c r="P426" i="42" s="1"/>
  <c r="AE426" i="42" s="1"/>
  <c r="AF426" i="42" s="1"/>
  <c r="N427" i="42"/>
  <c r="N428" i="42"/>
  <c r="N429" i="42"/>
  <c r="P429" i="42" s="1"/>
  <c r="AE429" i="42" s="1"/>
  <c r="AF429" i="42" s="1"/>
  <c r="N430" i="42"/>
  <c r="P430" i="42" s="1"/>
  <c r="AE430" i="42" s="1"/>
  <c r="AF430" i="42" s="1"/>
  <c r="N431" i="42"/>
  <c r="P431" i="42" s="1"/>
  <c r="AE431" i="42" s="1"/>
  <c r="AF431" i="42" s="1"/>
  <c r="N432" i="42"/>
  <c r="P432" i="42" s="1"/>
  <c r="AE432" i="42" s="1"/>
  <c r="AF432" i="42" s="1"/>
  <c r="N433" i="42"/>
  <c r="P433" i="42" s="1"/>
  <c r="AE433" i="42" s="1"/>
  <c r="AF433" i="42" s="1"/>
  <c r="N434" i="42"/>
  <c r="N435" i="42"/>
  <c r="N436" i="42"/>
  <c r="N437" i="42"/>
  <c r="N438" i="42"/>
  <c r="N439" i="42"/>
  <c r="P439" i="42" s="1"/>
  <c r="AE439" i="42" s="1"/>
  <c r="AF439" i="42" s="1"/>
  <c r="N440" i="42"/>
  <c r="P440" i="42" s="1"/>
  <c r="AE440" i="42" s="1"/>
  <c r="AF440" i="42" s="1"/>
  <c r="N441" i="42"/>
  <c r="N442" i="42"/>
  <c r="P442" i="42" s="1"/>
  <c r="AE442" i="42" s="1"/>
  <c r="AF442" i="42" s="1"/>
  <c r="N443" i="42"/>
  <c r="P443" i="42" s="1"/>
  <c r="AE443" i="42" s="1"/>
  <c r="AF443" i="42" s="1"/>
  <c r="N444" i="42"/>
  <c r="P444" i="42" s="1"/>
  <c r="AE444" i="42" s="1"/>
  <c r="AF444" i="42" s="1"/>
  <c r="N445" i="42"/>
  <c r="P445" i="42" s="1"/>
  <c r="AE445" i="42" s="1"/>
  <c r="AF445" i="42" s="1"/>
  <c r="N446" i="42"/>
  <c r="P446" i="42" s="1"/>
  <c r="AE446" i="42" s="1"/>
  <c r="AF446" i="42" s="1"/>
  <c r="N447" i="42"/>
  <c r="P447" i="42" s="1"/>
  <c r="AE447" i="42" s="1"/>
  <c r="AF447" i="42" s="1"/>
  <c r="N448" i="42"/>
  <c r="P448" i="42" s="1"/>
  <c r="AE448" i="42" s="1"/>
  <c r="AF448" i="42" s="1"/>
  <c r="N449" i="42"/>
  <c r="P449" i="42" s="1"/>
  <c r="AE449" i="42" s="1"/>
  <c r="AF449" i="42" s="1"/>
  <c r="N450" i="42"/>
  <c r="N451" i="42"/>
  <c r="N452" i="42"/>
  <c r="N453" i="42"/>
  <c r="N454" i="42"/>
  <c r="N455" i="42"/>
  <c r="N456" i="42"/>
  <c r="P456" i="42" s="1"/>
  <c r="AE456" i="42" s="1"/>
  <c r="AF456" i="42" s="1"/>
  <c r="N457" i="42"/>
  <c r="P457" i="42" s="1"/>
  <c r="AE457" i="42" s="1"/>
  <c r="AF457" i="42" s="1"/>
  <c r="N458" i="42"/>
  <c r="P458" i="42" s="1"/>
  <c r="AE458" i="42" s="1"/>
  <c r="AF458" i="42" s="1"/>
  <c r="N459" i="42"/>
  <c r="P459" i="42" s="1"/>
  <c r="AE459" i="42" s="1"/>
  <c r="AF459" i="42" s="1"/>
  <c r="N460" i="42"/>
  <c r="N461" i="42"/>
  <c r="P461" i="42" s="1"/>
  <c r="AE461" i="42" s="1"/>
  <c r="AF461" i="42" s="1"/>
  <c r="N462" i="42"/>
  <c r="P462" i="42" s="1"/>
  <c r="AE462" i="42" s="1"/>
  <c r="AF462" i="42" s="1"/>
  <c r="N463" i="42"/>
  <c r="P463" i="42" s="1"/>
  <c r="AE463" i="42" s="1"/>
  <c r="AF463" i="42" s="1"/>
  <c r="N464" i="42"/>
  <c r="P464" i="42" s="1"/>
  <c r="AE464" i="42" s="1"/>
  <c r="AF464" i="42" s="1"/>
  <c r="N465" i="42"/>
  <c r="P465" i="42" s="1"/>
  <c r="AE465" i="42" s="1"/>
  <c r="AF465" i="42" s="1"/>
  <c r="N466" i="42"/>
  <c r="N467" i="42"/>
  <c r="N468" i="42"/>
  <c r="N469" i="42"/>
  <c r="N470" i="42"/>
  <c r="N471" i="42"/>
  <c r="N472" i="42"/>
  <c r="P472" i="42" s="1"/>
  <c r="AE472" i="42" s="1"/>
  <c r="AF472" i="42" s="1"/>
  <c r="N473" i="42"/>
  <c r="P473" i="42" s="1"/>
  <c r="AE473" i="42" s="1"/>
  <c r="AF473" i="42" s="1"/>
  <c r="N474" i="42"/>
  <c r="N475" i="42"/>
  <c r="P475" i="42" s="1"/>
  <c r="AE475" i="42" s="1"/>
  <c r="AF475" i="42" s="1"/>
  <c r="N476" i="42"/>
  <c r="P476" i="42" s="1"/>
  <c r="AE476" i="42" s="1"/>
  <c r="AF476" i="42" s="1"/>
  <c r="N477" i="42"/>
  <c r="P477" i="42" s="1"/>
  <c r="AE477" i="42" s="1"/>
  <c r="AF477" i="42" s="1"/>
  <c r="N478" i="42"/>
  <c r="P478" i="42" s="1"/>
  <c r="AE478" i="42" s="1"/>
  <c r="AF478" i="42" s="1"/>
  <c r="N479" i="42"/>
  <c r="P479" i="42" s="1"/>
  <c r="AE479" i="42" s="1"/>
  <c r="AF479" i="42" s="1"/>
  <c r="N480" i="42"/>
  <c r="P480" i="42" s="1"/>
  <c r="AE480" i="42" s="1"/>
  <c r="AF480" i="42" s="1"/>
  <c r="N481" i="42"/>
  <c r="N482" i="42"/>
  <c r="N483" i="42"/>
  <c r="N484" i="42"/>
  <c r="N485" i="42"/>
  <c r="N486" i="42"/>
  <c r="N487" i="42"/>
  <c r="N488" i="42"/>
  <c r="N489" i="42"/>
  <c r="P489" i="42" s="1"/>
  <c r="AE489" i="42" s="1"/>
  <c r="AF489" i="42" s="1"/>
  <c r="N490" i="42"/>
  <c r="P490" i="42" s="1"/>
  <c r="AE490" i="42" s="1"/>
  <c r="AF490" i="42" s="1"/>
  <c r="N491" i="42"/>
  <c r="P491" i="42" s="1"/>
  <c r="AE491" i="42" s="1"/>
  <c r="AF491" i="42" s="1"/>
  <c r="N492" i="42"/>
  <c r="N493" i="42"/>
  <c r="P493" i="42" s="1"/>
  <c r="AE493" i="42" s="1"/>
  <c r="AF493" i="42" s="1"/>
  <c r="N494" i="42"/>
  <c r="P494" i="42" s="1"/>
  <c r="AE494" i="42" s="1"/>
  <c r="AF494" i="42" s="1"/>
  <c r="N495" i="42"/>
  <c r="P495" i="42" s="1"/>
  <c r="AE495" i="42" s="1"/>
  <c r="AF495" i="42" s="1"/>
  <c r="N496" i="42"/>
  <c r="P496" i="42" s="1"/>
  <c r="AE496" i="42" s="1"/>
  <c r="AF496" i="42" s="1"/>
  <c r="N497" i="42"/>
  <c r="P497" i="42" s="1"/>
  <c r="AE497" i="42" s="1"/>
  <c r="AF497" i="42" s="1"/>
  <c r="N498" i="42"/>
  <c r="N499" i="42"/>
  <c r="N500" i="42"/>
  <c r="K1" i="16"/>
  <c r="L1" i="44"/>
  <c r="G4" i="59"/>
  <c r="E5" i="58"/>
  <c r="D3" i="58"/>
  <c r="BH10" i="55"/>
  <c r="BH11" i="55"/>
  <c r="BH12" i="55"/>
  <c r="BH13" i="55"/>
  <c r="BH14" i="55"/>
  <c r="BH15" i="55"/>
  <c r="BH16" i="55"/>
  <c r="BH17" i="55"/>
  <c r="BH18" i="55"/>
  <c r="BH19" i="55"/>
  <c r="BH20" i="55"/>
  <c r="BH21" i="55"/>
  <c r="BH22" i="55"/>
  <c r="BH23" i="55"/>
  <c r="BH24" i="55"/>
  <c r="BH25" i="55"/>
  <c r="BH26" i="55"/>
  <c r="BF10" i="55"/>
  <c r="BF11" i="55"/>
  <c r="BF12" i="55"/>
  <c r="BF13" i="55"/>
  <c r="BF14" i="55"/>
  <c r="BF15" i="55"/>
  <c r="BF16" i="55"/>
  <c r="BF17" i="55"/>
  <c r="BF18" i="55"/>
  <c r="BF19" i="55"/>
  <c r="BF20" i="55"/>
  <c r="BF21" i="55"/>
  <c r="BF22" i="55"/>
  <c r="BF23" i="55"/>
  <c r="BF24" i="55"/>
  <c r="BF25" i="55"/>
  <c r="BF26" i="55"/>
  <c r="IS3" i="56"/>
  <c r="IS4" i="56"/>
  <c r="IS5" i="56"/>
  <c r="IS6" i="56"/>
  <c r="IS7" i="56"/>
  <c r="IS8" i="56"/>
  <c r="IS9" i="56"/>
  <c r="IS10" i="56"/>
  <c r="IS11" i="56"/>
  <c r="IS12" i="56"/>
  <c r="IS13" i="56"/>
  <c r="IS14" i="56"/>
  <c r="IS15" i="56"/>
  <c r="IS16" i="56"/>
  <c r="IS17" i="56"/>
  <c r="IS18" i="56"/>
  <c r="IS19" i="56"/>
  <c r="IS20" i="56"/>
  <c r="IS21" i="56"/>
  <c r="IS22" i="56"/>
  <c r="IS23" i="56"/>
  <c r="IS24" i="56"/>
  <c r="IS25" i="56"/>
  <c r="IS26" i="56"/>
  <c r="IS27" i="56"/>
  <c r="IS28" i="56"/>
  <c r="IS29" i="56"/>
  <c r="IS30" i="56"/>
  <c r="IS31" i="56"/>
  <c r="IS32" i="56"/>
  <c r="IS33" i="56"/>
  <c r="IS34" i="56"/>
  <c r="IS35" i="56"/>
  <c r="IS36" i="56"/>
  <c r="IS37" i="56"/>
  <c r="IS38" i="56"/>
  <c r="IS39" i="56"/>
  <c r="IS40" i="56"/>
  <c r="IS41" i="56"/>
  <c r="IS42" i="56"/>
  <c r="IS43" i="56"/>
  <c r="IS44" i="56"/>
  <c r="IS45" i="56"/>
  <c r="IS46" i="56"/>
  <c r="IS47" i="56"/>
  <c r="IS48" i="56"/>
  <c r="IS49" i="56"/>
  <c r="IS50" i="56"/>
  <c r="IS51" i="56"/>
  <c r="IS52" i="56"/>
  <c r="IS53" i="56"/>
  <c r="IS54" i="56"/>
  <c r="IS55" i="56"/>
  <c r="IS56" i="56"/>
  <c r="IS57" i="56"/>
  <c r="IS58" i="56"/>
  <c r="IS59" i="56"/>
  <c r="IS60" i="56"/>
  <c r="IS61" i="56"/>
  <c r="IS62" i="56"/>
  <c r="IS63" i="56"/>
  <c r="IS64" i="56"/>
  <c r="IS65" i="56"/>
  <c r="IS66" i="56"/>
  <c r="IS67" i="56"/>
  <c r="IS68" i="56"/>
  <c r="IS69" i="56"/>
  <c r="IS70" i="56"/>
  <c r="IS71" i="56"/>
  <c r="IS72" i="56"/>
  <c r="IS73" i="56"/>
  <c r="IS74" i="56"/>
  <c r="IS75" i="56"/>
  <c r="IS76" i="56"/>
  <c r="IS77" i="56"/>
  <c r="IS78" i="56"/>
  <c r="IS79" i="56"/>
  <c r="IS80" i="56"/>
  <c r="IS81" i="56"/>
  <c r="IS82" i="56"/>
  <c r="IS83" i="56"/>
  <c r="IS84" i="56"/>
  <c r="IS85" i="56"/>
  <c r="IS86" i="56"/>
  <c r="IS87" i="56"/>
  <c r="IS88" i="56"/>
  <c r="IS89" i="56"/>
  <c r="IS90" i="56"/>
  <c r="IS91" i="56"/>
  <c r="IS92" i="56"/>
  <c r="IS93" i="56"/>
  <c r="IS94" i="56"/>
  <c r="IS95" i="56"/>
  <c r="IS96" i="56"/>
  <c r="IS97" i="56"/>
  <c r="IS98" i="56"/>
  <c r="IS99" i="56"/>
  <c r="IS100" i="56"/>
  <c r="IS101" i="56"/>
  <c r="IS102" i="56"/>
  <c r="IS103" i="56"/>
  <c r="IS104" i="56"/>
  <c r="IS105" i="56"/>
  <c r="IS106" i="56"/>
  <c r="IS107" i="56"/>
  <c r="IS108" i="56"/>
  <c r="IS109" i="56"/>
  <c r="IS110" i="56"/>
  <c r="IS111" i="56"/>
  <c r="IS112" i="56"/>
  <c r="IS113" i="56"/>
  <c r="IS114" i="56"/>
  <c r="IS115" i="56"/>
  <c r="IS116" i="56"/>
  <c r="IS117" i="56"/>
  <c r="IS118" i="56"/>
  <c r="IS119" i="56"/>
  <c r="IS120" i="56"/>
  <c r="IS121" i="56"/>
  <c r="IS122" i="56"/>
  <c r="IS123" i="56"/>
  <c r="IS124" i="56"/>
  <c r="IS125" i="56"/>
  <c r="IS126" i="56"/>
  <c r="IS127" i="56"/>
  <c r="IS128" i="56"/>
  <c r="IS129" i="56"/>
  <c r="IS130" i="56"/>
  <c r="IS131" i="56"/>
  <c r="IS132" i="56"/>
  <c r="IS133" i="56"/>
  <c r="IS134" i="56"/>
  <c r="IS135" i="56"/>
  <c r="IS136" i="56"/>
  <c r="IS137" i="56"/>
  <c r="IS138" i="56"/>
  <c r="IS139" i="56"/>
  <c r="IS140" i="56"/>
  <c r="IS141" i="56"/>
  <c r="IS142" i="56"/>
  <c r="IS143" i="56"/>
  <c r="IS144" i="56"/>
  <c r="IS145" i="56"/>
  <c r="IS146" i="56"/>
  <c r="IS147" i="56"/>
  <c r="IS148" i="56"/>
  <c r="IS149" i="56"/>
  <c r="IS150" i="56"/>
  <c r="IS151" i="56"/>
  <c r="IS152" i="56"/>
  <c r="IS153" i="56"/>
  <c r="IS154" i="56"/>
  <c r="IS155" i="56"/>
  <c r="IS156" i="56"/>
  <c r="IS157" i="56"/>
  <c r="IS158" i="56"/>
  <c r="IS159" i="56"/>
  <c r="IS160" i="56"/>
  <c r="IS161" i="56"/>
  <c r="IS162" i="56"/>
  <c r="IS163" i="56"/>
  <c r="IS164" i="56"/>
  <c r="IS165" i="56"/>
  <c r="IS166" i="56"/>
  <c r="IS167" i="56"/>
  <c r="IS168" i="56"/>
  <c r="IS169" i="56"/>
  <c r="IS170" i="56"/>
  <c r="IS171" i="56"/>
  <c r="IS172" i="56"/>
  <c r="IS173" i="56"/>
  <c r="IS174" i="56"/>
  <c r="IS175" i="56"/>
  <c r="IS176" i="56"/>
  <c r="IS177" i="56"/>
  <c r="IS178" i="56"/>
  <c r="IS179" i="56"/>
  <c r="IS180" i="56"/>
  <c r="IS181" i="56"/>
  <c r="IS182" i="56"/>
  <c r="IS183" i="56"/>
  <c r="IS184" i="56"/>
  <c r="IS185" i="56"/>
  <c r="IS186" i="56"/>
  <c r="IS187" i="56"/>
  <c r="IS188" i="56"/>
  <c r="IS189" i="56"/>
  <c r="IS190" i="56"/>
  <c r="IS191" i="56"/>
  <c r="IS192" i="56"/>
  <c r="IS193" i="56"/>
  <c r="IS194" i="56"/>
  <c r="IS195" i="56"/>
  <c r="IS196" i="56"/>
  <c r="IS197" i="56"/>
  <c r="IS198" i="56"/>
  <c r="IS199" i="56"/>
  <c r="IS200" i="56"/>
  <c r="IS201" i="56"/>
  <c r="IS202" i="56"/>
  <c r="IS203" i="56"/>
  <c r="IS204" i="56"/>
  <c r="IS205" i="56"/>
  <c r="IS206" i="56"/>
  <c r="IS207" i="56"/>
  <c r="IS208" i="56"/>
  <c r="IS209" i="56"/>
  <c r="IS210" i="56"/>
  <c r="IS211" i="56"/>
  <c r="IS212" i="56"/>
  <c r="IS213" i="56"/>
  <c r="IS214" i="56"/>
  <c r="IS215" i="56"/>
  <c r="IS216" i="56"/>
  <c r="IS217" i="56"/>
  <c r="IS218" i="56"/>
  <c r="IS219" i="56"/>
  <c r="IS220" i="56"/>
  <c r="IS221" i="56"/>
  <c r="IS222" i="56"/>
  <c r="IS223" i="56"/>
  <c r="IS224" i="56"/>
  <c r="IS225" i="56"/>
  <c r="IS226" i="56"/>
  <c r="IS227" i="56"/>
  <c r="IS228" i="56"/>
  <c r="IS229" i="56"/>
  <c r="IS230" i="56"/>
  <c r="IS231" i="56"/>
  <c r="IS232" i="56"/>
  <c r="IS233" i="56"/>
  <c r="IS234" i="56"/>
  <c r="IS235" i="56"/>
  <c r="IS236" i="56"/>
  <c r="IS237" i="56"/>
  <c r="IS238" i="56"/>
  <c r="IS239" i="56"/>
  <c r="IS240" i="56"/>
  <c r="IS241" i="56"/>
  <c r="IS242" i="56"/>
  <c r="IS243" i="56"/>
  <c r="IS244" i="56"/>
  <c r="IS245" i="56"/>
  <c r="IS246" i="56"/>
  <c r="IS247" i="56"/>
  <c r="IS248" i="56"/>
  <c r="IS249" i="56"/>
  <c r="IS250" i="56"/>
  <c r="IS251" i="56"/>
  <c r="IS252" i="56"/>
  <c r="IS253" i="56"/>
  <c r="IS254" i="56"/>
  <c r="IS255" i="56"/>
  <c r="IS256" i="56"/>
  <c r="IS257" i="56"/>
  <c r="IS258" i="56"/>
  <c r="IS259" i="56"/>
  <c r="IS260" i="56"/>
  <c r="IS261" i="56"/>
  <c r="IS262" i="56"/>
  <c r="IS263" i="56"/>
  <c r="IS264" i="56"/>
  <c r="IS265" i="56"/>
  <c r="IS266" i="56"/>
  <c r="IS267" i="56"/>
  <c r="IS268" i="56"/>
  <c r="IS269" i="56"/>
  <c r="IS270" i="56"/>
  <c r="IS271" i="56"/>
  <c r="IS272" i="56"/>
  <c r="IS273" i="56"/>
  <c r="IS274" i="56"/>
  <c r="IS275" i="56"/>
  <c r="IS276" i="56"/>
  <c r="IS277" i="56"/>
  <c r="IS278" i="56"/>
  <c r="IS279" i="56"/>
  <c r="IS280" i="56"/>
  <c r="IS281" i="56"/>
  <c r="IS282" i="56"/>
  <c r="IS283" i="56"/>
  <c r="IS284" i="56"/>
  <c r="IS285" i="56"/>
  <c r="IS286" i="56"/>
  <c r="IS287" i="56"/>
  <c r="IS288" i="56"/>
  <c r="IS289" i="56"/>
  <c r="IS290" i="56"/>
  <c r="IS291" i="56"/>
  <c r="IS292" i="56"/>
  <c r="IS293" i="56"/>
  <c r="IS294" i="56"/>
  <c r="IS295" i="56"/>
  <c r="IS296" i="56"/>
  <c r="IS297" i="56"/>
  <c r="IS298" i="56"/>
  <c r="IS299" i="56"/>
  <c r="IS300" i="56"/>
  <c r="IS301" i="56"/>
  <c r="IS302" i="56"/>
  <c r="IS303" i="56"/>
  <c r="IS304" i="56"/>
  <c r="IS305" i="56"/>
  <c r="IS306" i="56"/>
  <c r="IS307" i="56"/>
  <c r="IS308" i="56"/>
  <c r="IS309" i="56"/>
  <c r="IS310" i="56"/>
  <c r="IS311" i="56"/>
  <c r="IS312" i="56"/>
  <c r="IS313" i="56"/>
  <c r="IS314" i="56"/>
  <c r="IS315" i="56"/>
  <c r="IS316" i="56"/>
  <c r="IS317" i="56"/>
  <c r="IS318" i="56"/>
  <c r="IS319" i="56"/>
  <c r="IS320" i="56"/>
  <c r="IS321" i="56"/>
  <c r="IS322" i="56"/>
  <c r="IS323" i="56"/>
  <c r="IS324" i="56"/>
  <c r="IS325" i="56"/>
  <c r="IS326" i="56"/>
  <c r="IS327" i="56"/>
  <c r="IS328" i="56"/>
  <c r="IS329" i="56"/>
  <c r="IS330" i="56"/>
  <c r="IS331" i="56"/>
  <c r="IS332" i="56"/>
  <c r="IS333" i="56"/>
  <c r="IS334" i="56"/>
  <c r="IS335" i="56"/>
  <c r="IS336" i="56"/>
  <c r="IS337" i="56"/>
  <c r="IS338" i="56"/>
  <c r="IS339" i="56"/>
  <c r="IS340" i="56"/>
  <c r="IS341" i="56"/>
  <c r="IS342" i="56"/>
  <c r="IS343" i="56"/>
  <c r="IS344" i="56"/>
  <c r="IS345" i="56"/>
  <c r="IS346" i="56"/>
  <c r="IS347" i="56"/>
  <c r="IS348" i="56"/>
  <c r="IS349" i="56"/>
  <c r="IS350" i="56"/>
  <c r="IS351" i="56"/>
  <c r="IS352" i="56"/>
  <c r="IM3" i="56"/>
  <c r="IM4" i="56"/>
  <c r="IM5" i="56"/>
  <c r="IM6" i="56"/>
  <c r="IM7" i="56"/>
  <c r="IM8" i="56"/>
  <c r="IM9" i="56"/>
  <c r="IM10" i="56"/>
  <c r="IM11" i="56"/>
  <c r="IM12" i="56"/>
  <c r="IM13" i="56"/>
  <c r="IM14" i="56"/>
  <c r="IM15" i="56"/>
  <c r="IM16" i="56"/>
  <c r="IM17" i="56"/>
  <c r="IM18" i="56"/>
  <c r="IM19" i="56"/>
  <c r="IM20" i="56"/>
  <c r="IM21" i="56"/>
  <c r="IM22" i="56"/>
  <c r="IM23" i="56"/>
  <c r="IM24" i="56"/>
  <c r="IM25" i="56"/>
  <c r="IM26" i="56"/>
  <c r="IM27" i="56"/>
  <c r="IM28" i="56"/>
  <c r="IM29" i="56"/>
  <c r="IM30" i="56"/>
  <c r="IM31" i="56"/>
  <c r="IM32" i="56"/>
  <c r="IM33" i="56"/>
  <c r="IM34" i="56"/>
  <c r="IM35" i="56"/>
  <c r="IM36" i="56"/>
  <c r="IM37" i="56"/>
  <c r="IM38" i="56"/>
  <c r="IM39" i="56"/>
  <c r="IM40" i="56"/>
  <c r="IM41" i="56"/>
  <c r="IM42" i="56"/>
  <c r="IM43" i="56"/>
  <c r="IM44" i="56"/>
  <c r="IM45" i="56"/>
  <c r="IM46" i="56"/>
  <c r="IM47" i="56"/>
  <c r="IM48" i="56"/>
  <c r="IM49" i="56"/>
  <c r="IM50" i="56"/>
  <c r="IM51" i="56"/>
  <c r="IM52" i="56"/>
  <c r="IM53" i="56"/>
  <c r="IM54" i="56"/>
  <c r="IM55" i="56"/>
  <c r="IM56" i="56"/>
  <c r="IM57" i="56"/>
  <c r="IM58" i="56"/>
  <c r="IM59" i="56"/>
  <c r="IM60" i="56"/>
  <c r="IM61" i="56"/>
  <c r="IM62" i="56"/>
  <c r="IM63" i="56"/>
  <c r="IM64" i="56"/>
  <c r="IM65" i="56"/>
  <c r="IM66" i="56"/>
  <c r="IM67" i="56"/>
  <c r="IM68" i="56"/>
  <c r="IM69" i="56"/>
  <c r="IM70" i="56"/>
  <c r="IM71" i="56"/>
  <c r="IM72" i="56"/>
  <c r="IM73" i="56"/>
  <c r="IM74" i="56"/>
  <c r="IM75" i="56"/>
  <c r="IM76" i="56"/>
  <c r="IM77" i="56"/>
  <c r="IM78" i="56"/>
  <c r="IM79" i="56"/>
  <c r="IM80" i="56"/>
  <c r="IM81" i="56"/>
  <c r="IM82" i="56"/>
  <c r="IM83" i="56"/>
  <c r="IM84" i="56"/>
  <c r="IM85" i="56"/>
  <c r="IM86" i="56"/>
  <c r="IM87" i="56"/>
  <c r="IM88" i="56"/>
  <c r="IM89" i="56"/>
  <c r="IM90" i="56"/>
  <c r="IM91" i="56"/>
  <c r="IM92" i="56"/>
  <c r="IM93" i="56"/>
  <c r="IM94" i="56"/>
  <c r="IM95" i="56"/>
  <c r="IM96" i="56"/>
  <c r="IM97" i="56"/>
  <c r="IM98" i="56"/>
  <c r="IM99" i="56"/>
  <c r="IM100" i="56"/>
  <c r="IM101" i="56"/>
  <c r="IM102" i="56"/>
  <c r="IM103" i="56"/>
  <c r="IM104" i="56"/>
  <c r="IM105" i="56"/>
  <c r="IM106" i="56"/>
  <c r="IM107" i="56"/>
  <c r="IM108" i="56"/>
  <c r="IM109" i="56"/>
  <c r="IM110" i="56"/>
  <c r="IM111" i="56"/>
  <c r="IM112" i="56"/>
  <c r="IM113" i="56"/>
  <c r="IM114" i="56"/>
  <c r="IM115" i="56"/>
  <c r="IM116" i="56"/>
  <c r="IM117" i="56"/>
  <c r="IM118" i="56"/>
  <c r="IM119" i="56"/>
  <c r="IM120" i="56"/>
  <c r="IM121" i="56"/>
  <c r="IM122" i="56"/>
  <c r="IM123" i="56"/>
  <c r="IM124" i="56"/>
  <c r="IM125" i="56"/>
  <c r="IM126" i="56"/>
  <c r="IM127" i="56"/>
  <c r="IM128" i="56"/>
  <c r="IM129" i="56"/>
  <c r="IM130" i="56"/>
  <c r="IM131" i="56"/>
  <c r="IM132" i="56"/>
  <c r="IM133" i="56"/>
  <c r="IM134" i="56"/>
  <c r="IM135" i="56"/>
  <c r="IM136" i="56"/>
  <c r="IM137" i="56"/>
  <c r="IM138" i="56"/>
  <c r="IM139" i="56"/>
  <c r="IM140" i="56"/>
  <c r="IM141" i="56"/>
  <c r="IM142" i="56"/>
  <c r="IM143" i="56"/>
  <c r="IM144" i="56"/>
  <c r="IM145" i="56"/>
  <c r="IM146" i="56"/>
  <c r="IM147" i="56"/>
  <c r="IM148" i="56"/>
  <c r="IM149" i="56"/>
  <c r="IM150" i="56"/>
  <c r="IM151" i="56"/>
  <c r="IM152" i="56"/>
  <c r="IM153" i="56"/>
  <c r="IM154" i="56"/>
  <c r="IM155" i="56"/>
  <c r="IM156" i="56"/>
  <c r="IM157" i="56"/>
  <c r="IM158" i="56"/>
  <c r="IM159" i="56"/>
  <c r="IM160" i="56"/>
  <c r="IM161" i="56"/>
  <c r="IM162" i="56"/>
  <c r="IM163" i="56"/>
  <c r="IM164" i="56"/>
  <c r="IM165" i="56"/>
  <c r="IM166" i="56"/>
  <c r="IM167" i="56"/>
  <c r="IM168" i="56"/>
  <c r="IM169" i="56"/>
  <c r="IM170" i="56"/>
  <c r="IM171" i="56"/>
  <c r="IM172" i="56"/>
  <c r="IM173" i="56"/>
  <c r="IM174" i="56"/>
  <c r="IM175" i="56"/>
  <c r="IM176" i="56"/>
  <c r="IM177" i="56"/>
  <c r="IM178" i="56"/>
  <c r="IM179" i="56"/>
  <c r="IM180" i="56"/>
  <c r="IM181" i="56"/>
  <c r="IM182" i="56"/>
  <c r="IM183" i="56"/>
  <c r="IM184" i="56"/>
  <c r="IM185" i="56"/>
  <c r="IM186" i="56"/>
  <c r="IM187" i="56"/>
  <c r="IM188" i="56"/>
  <c r="IM189" i="56"/>
  <c r="IM190" i="56"/>
  <c r="IM191" i="56"/>
  <c r="IM192" i="56"/>
  <c r="IM193" i="56"/>
  <c r="IM194" i="56"/>
  <c r="IM195" i="56"/>
  <c r="IM196" i="56"/>
  <c r="IM197" i="56"/>
  <c r="IM198" i="56"/>
  <c r="IM199" i="56"/>
  <c r="IM200" i="56"/>
  <c r="IM201" i="56"/>
  <c r="IM202" i="56"/>
  <c r="IM203" i="56"/>
  <c r="IM204" i="56"/>
  <c r="IM205" i="56"/>
  <c r="IM206" i="56"/>
  <c r="IM207" i="56"/>
  <c r="IM208" i="56"/>
  <c r="IM209" i="56"/>
  <c r="IM210" i="56"/>
  <c r="IM211" i="56"/>
  <c r="IM212" i="56"/>
  <c r="IM213" i="56"/>
  <c r="IM214" i="56"/>
  <c r="IM215" i="56"/>
  <c r="IM216" i="56"/>
  <c r="IM217" i="56"/>
  <c r="IM218" i="56"/>
  <c r="IM219" i="56"/>
  <c r="IM220" i="56"/>
  <c r="IM221" i="56"/>
  <c r="IM222" i="56"/>
  <c r="IM223" i="56"/>
  <c r="IM224" i="56"/>
  <c r="IM225" i="56"/>
  <c r="IM226" i="56"/>
  <c r="IM227" i="56"/>
  <c r="IM228" i="56"/>
  <c r="IM229" i="56"/>
  <c r="IM230" i="56"/>
  <c r="IM231" i="56"/>
  <c r="IM232" i="56"/>
  <c r="IM233" i="56"/>
  <c r="IM234" i="56"/>
  <c r="IM235" i="56"/>
  <c r="IM236" i="56"/>
  <c r="IM237" i="56"/>
  <c r="IM238" i="56"/>
  <c r="IM239" i="56"/>
  <c r="IM240" i="56"/>
  <c r="IM241" i="56"/>
  <c r="IM242" i="56"/>
  <c r="IM243" i="56"/>
  <c r="IM244" i="56"/>
  <c r="IM245" i="56"/>
  <c r="IM246" i="56"/>
  <c r="IM247" i="56"/>
  <c r="IM248" i="56"/>
  <c r="IM249" i="56"/>
  <c r="IM250" i="56"/>
  <c r="IM251" i="56"/>
  <c r="IM252" i="56"/>
  <c r="IM253" i="56"/>
  <c r="IM254" i="56"/>
  <c r="IM255" i="56"/>
  <c r="IM256" i="56"/>
  <c r="IM257" i="56"/>
  <c r="IM258" i="56"/>
  <c r="IM259" i="56"/>
  <c r="IM260" i="56"/>
  <c r="IM261" i="56"/>
  <c r="IM262" i="56"/>
  <c r="IM263" i="56"/>
  <c r="IM264" i="56"/>
  <c r="IM265" i="56"/>
  <c r="IM266" i="56"/>
  <c r="IM267" i="56"/>
  <c r="IM268" i="56"/>
  <c r="IM269" i="56"/>
  <c r="IM270" i="56"/>
  <c r="IM271" i="56"/>
  <c r="IM272" i="56"/>
  <c r="IM273" i="56"/>
  <c r="IM274" i="56"/>
  <c r="IM275" i="56"/>
  <c r="IM276" i="56"/>
  <c r="IM277" i="56"/>
  <c r="IM278" i="56"/>
  <c r="IM279" i="56"/>
  <c r="IM280" i="56"/>
  <c r="IM281" i="56"/>
  <c r="IM282" i="56"/>
  <c r="IM283" i="56"/>
  <c r="IM284" i="56"/>
  <c r="IM285" i="56"/>
  <c r="IM286" i="56"/>
  <c r="IM287" i="56"/>
  <c r="IM288" i="56"/>
  <c r="IM289" i="56"/>
  <c r="IM290" i="56"/>
  <c r="IM291" i="56"/>
  <c r="IM292" i="56"/>
  <c r="IM293" i="56"/>
  <c r="IM294" i="56"/>
  <c r="IM295" i="56"/>
  <c r="IM296" i="56"/>
  <c r="IM297" i="56"/>
  <c r="IM298" i="56"/>
  <c r="IM299" i="56"/>
  <c r="IM300" i="56"/>
  <c r="IM301" i="56"/>
  <c r="IM302" i="56"/>
  <c r="IM303" i="56"/>
  <c r="IM304" i="56"/>
  <c r="IM305" i="56"/>
  <c r="IM306" i="56"/>
  <c r="IM307" i="56"/>
  <c r="IM308" i="56"/>
  <c r="IM309" i="56"/>
  <c r="IM310" i="56"/>
  <c r="IM311" i="56"/>
  <c r="IM312" i="56"/>
  <c r="IM313" i="56"/>
  <c r="IM314" i="56"/>
  <c r="IM315" i="56"/>
  <c r="IM316" i="56"/>
  <c r="IM317" i="56"/>
  <c r="IM318" i="56"/>
  <c r="IM319" i="56"/>
  <c r="IM320" i="56"/>
  <c r="IM321" i="56"/>
  <c r="IM322" i="56"/>
  <c r="IM323" i="56"/>
  <c r="IM324" i="56"/>
  <c r="IM325" i="56"/>
  <c r="IM326" i="56"/>
  <c r="IM327" i="56"/>
  <c r="IM328" i="56"/>
  <c r="IM329" i="56"/>
  <c r="IM330" i="56"/>
  <c r="IM331" i="56"/>
  <c r="IM332" i="56"/>
  <c r="IM333" i="56"/>
  <c r="IM334" i="56"/>
  <c r="IM335" i="56"/>
  <c r="IM336" i="56"/>
  <c r="IM337" i="56"/>
  <c r="IM338" i="56"/>
  <c r="IM339" i="56"/>
  <c r="IM340" i="56"/>
  <c r="IM341" i="56"/>
  <c r="IM342" i="56"/>
  <c r="IM343" i="56"/>
  <c r="IM344" i="56"/>
  <c r="IM345" i="56"/>
  <c r="IM346" i="56"/>
  <c r="IM347" i="56"/>
  <c r="IM348" i="56"/>
  <c r="IM349" i="56"/>
  <c r="IM350" i="56"/>
  <c r="IM351" i="56"/>
  <c r="IM352" i="56"/>
  <c r="IC3" i="56"/>
  <c r="IC4" i="56"/>
  <c r="IC5" i="56"/>
  <c r="IC6" i="56"/>
  <c r="IC7" i="56"/>
  <c r="IC8" i="56"/>
  <c r="IC9" i="56"/>
  <c r="IC10" i="56"/>
  <c r="IC11" i="56"/>
  <c r="IC12" i="56"/>
  <c r="IC13" i="56"/>
  <c r="IC14" i="56"/>
  <c r="IC15" i="56"/>
  <c r="IC16" i="56"/>
  <c r="IC17" i="56"/>
  <c r="IC18" i="56"/>
  <c r="IC19" i="56"/>
  <c r="IC20" i="56"/>
  <c r="IC21" i="56"/>
  <c r="IC22" i="56"/>
  <c r="IC23" i="56"/>
  <c r="IC24" i="56"/>
  <c r="IC25" i="56"/>
  <c r="IC26" i="56"/>
  <c r="IC27" i="56"/>
  <c r="IC28" i="56"/>
  <c r="IC29" i="56"/>
  <c r="IC30" i="56"/>
  <c r="IC31" i="56"/>
  <c r="IC32" i="56"/>
  <c r="IC33" i="56"/>
  <c r="IC34" i="56"/>
  <c r="IC35" i="56"/>
  <c r="IC36" i="56"/>
  <c r="IC37" i="56"/>
  <c r="IC38" i="56"/>
  <c r="IC39" i="56"/>
  <c r="IC40" i="56"/>
  <c r="IC41" i="56"/>
  <c r="IC42" i="56"/>
  <c r="IC43" i="56"/>
  <c r="IC44" i="56"/>
  <c r="IC45" i="56"/>
  <c r="IC46" i="56"/>
  <c r="IC47" i="56"/>
  <c r="IC48" i="56"/>
  <c r="IC49" i="56"/>
  <c r="IC50" i="56"/>
  <c r="IC51" i="56"/>
  <c r="IC52" i="56"/>
  <c r="IC53" i="56"/>
  <c r="IC54" i="56"/>
  <c r="IC55" i="56"/>
  <c r="IC56" i="56"/>
  <c r="IC57" i="56"/>
  <c r="IC58" i="56"/>
  <c r="IC59" i="56"/>
  <c r="IC60" i="56"/>
  <c r="IC61" i="56"/>
  <c r="IC62" i="56"/>
  <c r="IC63" i="56"/>
  <c r="IC64" i="56"/>
  <c r="IC65" i="56"/>
  <c r="IC66" i="56"/>
  <c r="IC67" i="56"/>
  <c r="IC68" i="56"/>
  <c r="IC69" i="56"/>
  <c r="IC70" i="56"/>
  <c r="IC71" i="56"/>
  <c r="IC72" i="56"/>
  <c r="IC73" i="56"/>
  <c r="IC74" i="56"/>
  <c r="IC75" i="56"/>
  <c r="IC76" i="56"/>
  <c r="IC77" i="56"/>
  <c r="IC78" i="56"/>
  <c r="IC79" i="56"/>
  <c r="IC80" i="56"/>
  <c r="IC81" i="56"/>
  <c r="IC82" i="56"/>
  <c r="IC83" i="56"/>
  <c r="IC84" i="56"/>
  <c r="IC85" i="56"/>
  <c r="IC86" i="56"/>
  <c r="IC87" i="56"/>
  <c r="IC88" i="56"/>
  <c r="IC89" i="56"/>
  <c r="IC90" i="56"/>
  <c r="IC91" i="56"/>
  <c r="IC92" i="56"/>
  <c r="IC93" i="56"/>
  <c r="IC94" i="56"/>
  <c r="IC95" i="56"/>
  <c r="IC96" i="56"/>
  <c r="IC97" i="56"/>
  <c r="IC98" i="56"/>
  <c r="IC99" i="56"/>
  <c r="IC100" i="56"/>
  <c r="IC101" i="56"/>
  <c r="IC102" i="56"/>
  <c r="IC103" i="56"/>
  <c r="IC104" i="56"/>
  <c r="IC105" i="56"/>
  <c r="IC106" i="56"/>
  <c r="IC107" i="56"/>
  <c r="IC108" i="56"/>
  <c r="IC109" i="56"/>
  <c r="IC110" i="56"/>
  <c r="IC111" i="56"/>
  <c r="IC112" i="56"/>
  <c r="IC113" i="56"/>
  <c r="IC114" i="56"/>
  <c r="IC115" i="56"/>
  <c r="IC116" i="56"/>
  <c r="IC117" i="56"/>
  <c r="IC118" i="56"/>
  <c r="IC119" i="56"/>
  <c r="IC120" i="56"/>
  <c r="IC121" i="56"/>
  <c r="IC122" i="56"/>
  <c r="IC123" i="56"/>
  <c r="IC124" i="56"/>
  <c r="IC125" i="56"/>
  <c r="IC126" i="56"/>
  <c r="IC127" i="56"/>
  <c r="IC128" i="56"/>
  <c r="IC129" i="56"/>
  <c r="IC130" i="56"/>
  <c r="IC131" i="56"/>
  <c r="IC132" i="56"/>
  <c r="IC133" i="56"/>
  <c r="IC134" i="56"/>
  <c r="IC135" i="56"/>
  <c r="IC136" i="56"/>
  <c r="IC137" i="56"/>
  <c r="IC138" i="56"/>
  <c r="IC139" i="56"/>
  <c r="IC140" i="56"/>
  <c r="IC141" i="56"/>
  <c r="IC142" i="56"/>
  <c r="IC143" i="56"/>
  <c r="IC144" i="56"/>
  <c r="IC145" i="56"/>
  <c r="IC146" i="56"/>
  <c r="IC147" i="56"/>
  <c r="IC148" i="56"/>
  <c r="IC149" i="56"/>
  <c r="IC150" i="56"/>
  <c r="IC151" i="56"/>
  <c r="IC152" i="56"/>
  <c r="IC153" i="56"/>
  <c r="IC154" i="56"/>
  <c r="IC155" i="56"/>
  <c r="IC156" i="56"/>
  <c r="IC157" i="56"/>
  <c r="IC158" i="56"/>
  <c r="IC159" i="56"/>
  <c r="IC160" i="56"/>
  <c r="IC161" i="56"/>
  <c r="IC162" i="56"/>
  <c r="IC163" i="56"/>
  <c r="IC164" i="56"/>
  <c r="IC165" i="56"/>
  <c r="IC166" i="56"/>
  <c r="IC167" i="56"/>
  <c r="IC168" i="56"/>
  <c r="IC169" i="56"/>
  <c r="IC170" i="56"/>
  <c r="IC171" i="56"/>
  <c r="IC172" i="56"/>
  <c r="IC173" i="56"/>
  <c r="IC174" i="56"/>
  <c r="IC175" i="56"/>
  <c r="IC176" i="56"/>
  <c r="IC177" i="56"/>
  <c r="IC178" i="56"/>
  <c r="IC179" i="56"/>
  <c r="IC180" i="56"/>
  <c r="IC181" i="56"/>
  <c r="IC182" i="56"/>
  <c r="IC183" i="56"/>
  <c r="IC184" i="56"/>
  <c r="IC185" i="56"/>
  <c r="IC186" i="56"/>
  <c r="IC187" i="56"/>
  <c r="IC188" i="56"/>
  <c r="IC189" i="56"/>
  <c r="IC190" i="56"/>
  <c r="IC191" i="56"/>
  <c r="IC192" i="56"/>
  <c r="IC193" i="56"/>
  <c r="IC194" i="56"/>
  <c r="IC195" i="56"/>
  <c r="IC196" i="56"/>
  <c r="IC197" i="56"/>
  <c r="IC198" i="56"/>
  <c r="IC199" i="56"/>
  <c r="IC200" i="56"/>
  <c r="IC201" i="56"/>
  <c r="IC202" i="56"/>
  <c r="IC203" i="56"/>
  <c r="IC204" i="56"/>
  <c r="IC205" i="56"/>
  <c r="IC206" i="56"/>
  <c r="IC207" i="56"/>
  <c r="IC208" i="56"/>
  <c r="IC209" i="56"/>
  <c r="IC210" i="56"/>
  <c r="IC211" i="56"/>
  <c r="IC212" i="56"/>
  <c r="IC213" i="56"/>
  <c r="IC214" i="56"/>
  <c r="IC215" i="56"/>
  <c r="IC216" i="56"/>
  <c r="IC217" i="56"/>
  <c r="IC218" i="56"/>
  <c r="IC219" i="56"/>
  <c r="IC220" i="56"/>
  <c r="IC221" i="56"/>
  <c r="IC222" i="56"/>
  <c r="IC223" i="56"/>
  <c r="IC224" i="56"/>
  <c r="IC225" i="56"/>
  <c r="IC226" i="56"/>
  <c r="IC227" i="56"/>
  <c r="IC228" i="56"/>
  <c r="IC229" i="56"/>
  <c r="IC230" i="56"/>
  <c r="IC231" i="56"/>
  <c r="IC232" i="56"/>
  <c r="IC233" i="56"/>
  <c r="IC234" i="56"/>
  <c r="IC235" i="56"/>
  <c r="IC236" i="56"/>
  <c r="IC237" i="56"/>
  <c r="IC238" i="56"/>
  <c r="IC239" i="56"/>
  <c r="IC240" i="56"/>
  <c r="IC241" i="56"/>
  <c r="IC242" i="56"/>
  <c r="IC243" i="56"/>
  <c r="IC244" i="56"/>
  <c r="IC245" i="56"/>
  <c r="IC246" i="56"/>
  <c r="IC247" i="56"/>
  <c r="IC248" i="56"/>
  <c r="IC249" i="56"/>
  <c r="IC250" i="56"/>
  <c r="IC251" i="56"/>
  <c r="IC252" i="56"/>
  <c r="IC253" i="56"/>
  <c r="IC254" i="56"/>
  <c r="IC255" i="56"/>
  <c r="IC256" i="56"/>
  <c r="IC257" i="56"/>
  <c r="IC258" i="56"/>
  <c r="IC259" i="56"/>
  <c r="IC260" i="56"/>
  <c r="IC261" i="56"/>
  <c r="IC262" i="56"/>
  <c r="IC263" i="56"/>
  <c r="IC264" i="56"/>
  <c r="IC265" i="56"/>
  <c r="IC266" i="56"/>
  <c r="IC267" i="56"/>
  <c r="IC268" i="56"/>
  <c r="IC269" i="56"/>
  <c r="IC270" i="56"/>
  <c r="IC271" i="56"/>
  <c r="IC272" i="56"/>
  <c r="IC273" i="56"/>
  <c r="IC274" i="56"/>
  <c r="IC275" i="56"/>
  <c r="IC276" i="56"/>
  <c r="IC277" i="56"/>
  <c r="IC278" i="56"/>
  <c r="IC279" i="56"/>
  <c r="IC280" i="56"/>
  <c r="IC281" i="56"/>
  <c r="IC282" i="56"/>
  <c r="IC283" i="56"/>
  <c r="IC284" i="56"/>
  <c r="IC285" i="56"/>
  <c r="IC286" i="56"/>
  <c r="IC287" i="56"/>
  <c r="IC288" i="56"/>
  <c r="IC289" i="56"/>
  <c r="IC290" i="56"/>
  <c r="IC291" i="56"/>
  <c r="IC292" i="56"/>
  <c r="IC293" i="56"/>
  <c r="IC294" i="56"/>
  <c r="IC295" i="56"/>
  <c r="IC296" i="56"/>
  <c r="IC297" i="56"/>
  <c r="IC298" i="56"/>
  <c r="IC299" i="56"/>
  <c r="IC300" i="56"/>
  <c r="IC301" i="56"/>
  <c r="IC302" i="56"/>
  <c r="IC303" i="56"/>
  <c r="IC304" i="56"/>
  <c r="IC305" i="56"/>
  <c r="IC306" i="56"/>
  <c r="IC307" i="56"/>
  <c r="IC308" i="56"/>
  <c r="IC309" i="56"/>
  <c r="IC310" i="56"/>
  <c r="IC311" i="56"/>
  <c r="IC312" i="56"/>
  <c r="IC313" i="56"/>
  <c r="IC314" i="56"/>
  <c r="IC315" i="56"/>
  <c r="IC316" i="56"/>
  <c r="IC317" i="56"/>
  <c r="IC318" i="56"/>
  <c r="IC319" i="56"/>
  <c r="IC320" i="56"/>
  <c r="IC321" i="56"/>
  <c r="IC322" i="56"/>
  <c r="IC323" i="56"/>
  <c r="IC324" i="56"/>
  <c r="IC325" i="56"/>
  <c r="IC326" i="56"/>
  <c r="IC327" i="56"/>
  <c r="IC328" i="56"/>
  <c r="IC329" i="56"/>
  <c r="IC330" i="56"/>
  <c r="IC331" i="56"/>
  <c r="IC332" i="56"/>
  <c r="IC333" i="56"/>
  <c r="IC334" i="56"/>
  <c r="IC335" i="56"/>
  <c r="IC336" i="56"/>
  <c r="IC337" i="56"/>
  <c r="IC338" i="56"/>
  <c r="IC339" i="56"/>
  <c r="IC340" i="56"/>
  <c r="IC341" i="56"/>
  <c r="IC342" i="56"/>
  <c r="IC343" i="56"/>
  <c r="IC344" i="56"/>
  <c r="IC345" i="56"/>
  <c r="IC346" i="56"/>
  <c r="IC347" i="56"/>
  <c r="IC348" i="56"/>
  <c r="IC349" i="56"/>
  <c r="IC350" i="56"/>
  <c r="IC351" i="56"/>
  <c r="IC352" i="56"/>
  <c r="IB26" i="56"/>
  <c r="IB31" i="56"/>
  <c r="IB88" i="56"/>
  <c r="IB102" i="56"/>
  <c r="IB130" i="56"/>
  <c r="IB330" i="56"/>
  <c r="IA3" i="56"/>
  <c r="IB3" i="56" s="1"/>
  <c r="IA4" i="56"/>
  <c r="IB4" i="56" s="1"/>
  <c r="IA16" i="56"/>
  <c r="IB16" i="56" s="1"/>
  <c r="IA26" i="56"/>
  <c r="IA27" i="56"/>
  <c r="IB27" i="56" s="1"/>
  <c r="IA28" i="56"/>
  <c r="IB28" i="56" s="1"/>
  <c r="IA31" i="56"/>
  <c r="IA53" i="56"/>
  <c r="IB53" i="56" s="1"/>
  <c r="IA88" i="56"/>
  <c r="IA102" i="56"/>
  <c r="IA130" i="56"/>
  <c r="IA154" i="56"/>
  <c r="IB154" i="56" s="1"/>
  <c r="IA184" i="56"/>
  <c r="IB184" i="56" s="1"/>
  <c r="IA224" i="56"/>
  <c r="IB224" i="56" s="1"/>
  <c r="IA283" i="56"/>
  <c r="IB283" i="56" s="1"/>
  <c r="IA313" i="56"/>
  <c r="IB313" i="56" s="1"/>
  <c r="IA317" i="56"/>
  <c r="IB317" i="56" s="1"/>
  <c r="IA325" i="56"/>
  <c r="IB325" i="56" s="1"/>
  <c r="IA330" i="56"/>
  <c r="IA335" i="56"/>
  <c r="IB335" i="56" s="1"/>
  <c r="IA336" i="56"/>
  <c r="IB336" i="56" s="1"/>
  <c r="IA341" i="56"/>
  <c r="IB341" i="56" s="1"/>
  <c r="HW3" i="56"/>
  <c r="HW4" i="56"/>
  <c r="HW5" i="56"/>
  <c r="HW6" i="56"/>
  <c r="HW7" i="56"/>
  <c r="HW8" i="56"/>
  <c r="HW9" i="56"/>
  <c r="HW10" i="56"/>
  <c r="HW11" i="56"/>
  <c r="HW12" i="56"/>
  <c r="HW13" i="56"/>
  <c r="HW14" i="56"/>
  <c r="HW15" i="56"/>
  <c r="HW16" i="56"/>
  <c r="HW17" i="56"/>
  <c r="HW18" i="56"/>
  <c r="HW19" i="56"/>
  <c r="HW20" i="56"/>
  <c r="HW21" i="56"/>
  <c r="HW22" i="56"/>
  <c r="HW23" i="56"/>
  <c r="HW24" i="56"/>
  <c r="HW25" i="56"/>
  <c r="HW26" i="56"/>
  <c r="HW27" i="56"/>
  <c r="HW28" i="56"/>
  <c r="HW29" i="56"/>
  <c r="HW30" i="56"/>
  <c r="HW31" i="56"/>
  <c r="HW32" i="56"/>
  <c r="HW33" i="56"/>
  <c r="HW34" i="56"/>
  <c r="HW35" i="56"/>
  <c r="HW36" i="56"/>
  <c r="HW37" i="56"/>
  <c r="HW38" i="56"/>
  <c r="HW39" i="56"/>
  <c r="HW40" i="56"/>
  <c r="HW41" i="56"/>
  <c r="HW42" i="56"/>
  <c r="HW43" i="56"/>
  <c r="HW44" i="56"/>
  <c r="HW45" i="56"/>
  <c r="HW46" i="56"/>
  <c r="HW47" i="56"/>
  <c r="HW48" i="56"/>
  <c r="HW49" i="56"/>
  <c r="HW50" i="56"/>
  <c r="HW51" i="56"/>
  <c r="HW52" i="56"/>
  <c r="HW53" i="56"/>
  <c r="HW54" i="56"/>
  <c r="HW55" i="56"/>
  <c r="HW56" i="56"/>
  <c r="HW57" i="56"/>
  <c r="HW58" i="56"/>
  <c r="HW59" i="56"/>
  <c r="HW60" i="56"/>
  <c r="HW61" i="56"/>
  <c r="HW62" i="56"/>
  <c r="HW63" i="56"/>
  <c r="HW64" i="56"/>
  <c r="HW65" i="56"/>
  <c r="HW66" i="56"/>
  <c r="HW67" i="56"/>
  <c r="HW68" i="56"/>
  <c r="HW69" i="56"/>
  <c r="HW70" i="56"/>
  <c r="HW71" i="56"/>
  <c r="HW72" i="56"/>
  <c r="HW73" i="56"/>
  <c r="HW74" i="56"/>
  <c r="HW75" i="56"/>
  <c r="HW76" i="56"/>
  <c r="HW77" i="56"/>
  <c r="HW78" i="56"/>
  <c r="HW79" i="56"/>
  <c r="HW80" i="56"/>
  <c r="HW81" i="56"/>
  <c r="HW82" i="56"/>
  <c r="HW83" i="56"/>
  <c r="HW84" i="56"/>
  <c r="HW85" i="56"/>
  <c r="HW86" i="56"/>
  <c r="HW87" i="56"/>
  <c r="HW88" i="56"/>
  <c r="HW89" i="56"/>
  <c r="HW90" i="56"/>
  <c r="HW91" i="56"/>
  <c r="HW92" i="56"/>
  <c r="HW93" i="56"/>
  <c r="HW94" i="56"/>
  <c r="HW95" i="56"/>
  <c r="HW96" i="56"/>
  <c r="HW97" i="56"/>
  <c r="HW98" i="56"/>
  <c r="HW99" i="56"/>
  <c r="HW100" i="56"/>
  <c r="HW101" i="56"/>
  <c r="HW102" i="56"/>
  <c r="HW103" i="56"/>
  <c r="HW104" i="56"/>
  <c r="HW105" i="56"/>
  <c r="HW106" i="56"/>
  <c r="HW107" i="56"/>
  <c r="HW108" i="56"/>
  <c r="HW109" i="56"/>
  <c r="HW110" i="56"/>
  <c r="HW111" i="56"/>
  <c r="HW112" i="56"/>
  <c r="HW113" i="56"/>
  <c r="HW114" i="56"/>
  <c r="HW115" i="56"/>
  <c r="HW116" i="56"/>
  <c r="HW117" i="56"/>
  <c r="HW118" i="56"/>
  <c r="HW119" i="56"/>
  <c r="HW120" i="56"/>
  <c r="HW121" i="56"/>
  <c r="HW122" i="56"/>
  <c r="HW123" i="56"/>
  <c r="HW124" i="56"/>
  <c r="HW125" i="56"/>
  <c r="HW126" i="56"/>
  <c r="HW127" i="56"/>
  <c r="HW128" i="56"/>
  <c r="HW129" i="56"/>
  <c r="HW130" i="56"/>
  <c r="HW131" i="56"/>
  <c r="HW132" i="56"/>
  <c r="HW133" i="56"/>
  <c r="HW134" i="56"/>
  <c r="HW135" i="56"/>
  <c r="HW136" i="56"/>
  <c r="HW137" i="56"/>
  <c r="HW138" i="56"/>
  <c r="HW139" i="56"/>
  <c r="HW140" i="56"/>
  <c r="HW141" i="56"/>
  <c r="HW142" i="56"/>
  <c r="HW143" i="56"/>
  <c r="HW144" i="56"/>
  <c r="HW145" i="56"/>
  <c r="HW146" i="56"/>
  <c r="HW147" i="56"/>
  <c r="HW148" i="56"/>
  <c r="HW149" i="56"/>
  <c r="HW150" i="56"/>
  <c r="HW151" i="56"/>
  <c r="HW152" i="56"/>
  <c r="HW153" i="56"/>
  <c r="HW154" i="56"/>
  <c r="HW155" i="56"/>
  <c r="HW156" i="56"/>
  <c r="HW157" i="56"/>
  <c r="HW158" i="56"/>
  <c r="HW159" i="56"/>
  <c r="HW160" i="56"/>
  <c r="HW161" i="56"/>
  <c r="HW162" i="56"/>
  <c r="HW163" i="56"/>
  <c r="HW164" i="56"/>
  <c r="HW165" i="56"/>
  <c r="HW166" i="56"/>
  <c r="HW167" i="56"/>
  <c r="HW168" i="56"/>
  <c r="HW169" i="56"/>
  <c r="HW170" i="56"/>
  <c r="HW171" i="56"/>
  <c r="HW172" i="56"/>
  <c r="HW173" i="56"/>
  <c r="HW174" i="56"/>
  <c r="HW175" i="56"/>
  <c r="HW176" i="56"/>
  <c r="HW177" i="56"/>
  <c r="HW178" i="56"/>
  <c r="HW179" i="56"/>
  <c r="HW180" i="56"/>
  <c r="HW181" i="56"/>
  <c r="HW182" i="56"/>
  <c r="HW183" i="56"/>
  <c r="HW184" i="56"/>
  <c r="HW185" i="56"/>
  <c r="HW186" i="56"/>
  <c r="HW187" i="56"/>
  <c r="HW188" i="56"/>
  <c r="HW189" i="56"/>
  <c r="HW190" i="56"/>
  <c r="HW191" i="56"/>
  <c r="HW192" i="56"/>
  <c r="HW193" i="56"/>
  <c r="HW194" i="56"/>
  <c r="HW195" i="56"/>
  <c r="HW196" i="56"/>
  <c r="HW197" i="56"/>
  <c r="HW198" i="56"/>
  <c r="HW199" i="56"/>
  <c r="HW200" i="56"/>
  <c r="HW201" i="56"/>
  <c r="HW202" i="56"/>
  <c r="HW203" i="56"/>
  <c r="HW204" i="56"/>
  <c r="HW205" i="56"/>
  <c r="HW206" i="56"/>
  <c r="HW207" i="56"/>
  <c r="HW208" i="56"/>
  <c r="HW209" i="56"/>
  <c r="HW210" i="56"/>
  <c r="HW211" i="56"/>
  <c r="HW212" i="56"/>
  <c r="HW213" i="56"/>
  <c r="HW214" i="56"/>
  <c r="HW215" i="56"/>
  <c r="HW216" i="56"/>
  <c r="HW217" i="56"/>
  <c r="HW218" i="56"/>
  <c r="HW219" i="56"/>
  <c r="HW220" i="56"/>
  <c r="HW221" i="56"/>
  <c r="HW222" i="56"/>
  <c r="HW223" i="56"/>
  <c r="HW224" i="56"/>
  <c r="HW225" i="56"/>
  <c r="HW226" i="56"/>
  <c r="HW227" i="56"/>
  <c r="HW228" i="56"/>
  <c r="HW229" i="56"/>
  <c r="HW230" i="56"/>
  <c r="HW231" i="56"/>
  <c r="HW232" i="56"/>
  <c r="HW233" i="56"/>
  <c r="HW234" i="56"/>
  <c r="HW235" i="56"/>
  <c r="HW236" i="56"/>
  <c r="HW237" i="56"/>
  <c r="HW238" i="56"/>
  <c r="HW239" i="56"/>
  <c r="HW240" i="56"/>
  <c r="HW241" i="56"/>
  <c r="HW242" i="56"/>
  <c r="HW243" i="56"/>
  <c r="HW244" i="56"/>
  <c r="HW245" i="56"/>
  <c r="HW246" i="56"/>
  <c r="HW247" i="56"/>
  <c r="HW248" i="56"/>
  <c r="HW249" i="56"/>
  <c r="HW250" i="56"/>
  <c r="HW251" i="56"/>
  <c r="HW252" i="56"/>
  <c r="HW253" i="56"/>
  <c r="HW254" i="56"/>
  <c r="HW255" i="56"/>
  <c r="HW256" i="56"/>
  <c r="HW257" i="56"/>
  <c r="HW258" i="56"/>
  <c r="HW259" i="56"/>
  <c r="HW260" i="56"/>
  <c r="HW261" i="56"/>
  <c r="HW262" i="56"/>
  <c r="HW263" i="56"/>
  <c r="HW264" i="56"/>
  <c r="HW265" i="56"/>
  <c r="HW266" i="56"/>
  <c r="HW267" i="56"/>
  <c r="HW268" i="56"/>
  <c r="HW269" i="56"/>
  <c r="HW270" i="56"/>
  <c r="HW271" i="56"/>
  <c r="HW272" i="56"/>
  <c r="HW273" i="56"/>
  <c r="HW274" i="56"/>
  <c r="HW275" i="56"/>
  <c r="HW276" i="56"/>
  <c r="HW277" i="56"/>
  <c r="HW278" i="56"/>
  <c r="HW279" i="56"/>
  <c r="HW280" i="56"/>
  <c r="HW281" i="56"/>
  <c r="HW282" i="56"/>
  <c r="HW283" i="56"/>
  <c r="HW284" i="56"/>
  <c r="HW285" i="56"/>
  <c r="HW286" i="56"/>
  <c r="HW287" i="56"/>
  <c r="HW288" i="56"/>
  <c r="HW289" i="56"/>
  <c r="HW290" i="56"/>
  <c r="HW291" i="56"/>
  <c r="HW292" i="56"/>
  <c r="HW293" i="56"/>
  <c r="HW294" i="56"/>
  <c r="HW295" i="56"/>
  <c r="HW296" i="56"/>
  <c r="HW297" i="56"/>
  <c r="HW298" i="56"/>
  <c r="HW299" i="56"/>
  <c r="HW300" i="56"/>
  <c r="HW301" i="56"/>
  <c r="HW302" i="56"/>
  <c r="HW303" i="56"/>
  <c r="HW304" i="56"/>
  <c r="HW305" i="56"/>
  <c r="HW306" i="56"/>
  <c r="HW307" i="56"/>
  <c r="HW308" i="56"/>
  <c r="HW309" i="56"/>
  <c r="HW310" i="56"/>
  <c r="HW311" i="56"/>
  <c r="HW312" i="56"/>
  <c r="HW313" i="56"/>
  <c r="HW314" i="56"/>
  <c r="HW315" i="56"/>
  <c r="HW316" i="56"/>
  <c r="HW317" i="56"/>
  <c r="HW318" i="56"/>
  <c r="HW319" i="56"/>
  <c r="HW320" i="56"/>
  <c r="HW321" i="56"/>
  <c r="HW322" i="56"/>
  <c r="HW323" i="56"/>
  <c r="HW324" i="56"/>
  <c r="HW325" i="56"/>
  <c r="HW326" i="56"/>
  <c r="HW327" i="56"/>
  <c r="HW328" i="56"/>
  <c r="HW329" i="56"/>
  <c r="HW330" i="56"/>
  <c r="HW331" i="56"/>
  <c r="HW332" i="56"/>
  <c r="HW333" i="56"/>
  <c r="HW334" i="56"/>
  <c r="HW335" i="56"/>
  <c r="HW336" i="56"/>
  <c r="HW337" i="56"/>
  <c r="HW338" i="56"/>
  <c r="HW339" i="56"/>
  <c r="HW340" i="56"/>
  <c r="HW341" i="56"/>
  <c r="HW342" i="56"/>
  <c r="HW343" i="56"/>
  <c r="HW344" i="56"/>
  <c r="HW345" i="56"/>
  <c r="HW346" i="56"/>
  <c r="HW347" i="56"/>
  <c r="HW348" i="56"/>
  <c r="HW349" i="56"/>
  <c r="HW350" i="56"/>
  <c r="HW351" i="56"/>
  <c r="HW352" i="56"/>
  <c r="HU3" i="56"/>
  <c r="HU4" i="56"/>
  <c r="HU5" i="56"/>
  <c r="HU6" i="56"/>
  <c r="HU7" i="56"/>
  <c r="HU8" i="56"/>
  <c r="HU9" i="56"/>
  <c r="HU10" i="56"/>
  <c r="HU11" i="56"/>
  <c r="HU12" i="56"/>
  <c r="HU13" i="56"/>
  <c r="HU14" i="56"/>
  <c r="HU15" i="56"/>
  <c r="HU16" i="56"/>
  <c r="HU17" i="56"/>
  <c r="HU18" i="56"/>
  <c r="HU19" i="56"/>
  <c r="HU20" i="56"/>
  <c r="HU21" i="56"/>
  <c r="HU22" i="56"/>
  <c r="HU23" i="56"/>
  <c r="HU24" i="56"/>
  <c r="HU25" i="56"/>
  <c r="HU26" i="56"/>
  <c r="HU27" i="56"/>
  <c r="HU28" i="56"/>
  <c r="HU29" i="56"/>
  <c r="HU30" i="56"/>
  <c r="HU31" i="56"/>
  <c r="HU32" i="56"/>
  <c r="HU33" i="56"/>
  <c r="HU34" i="56"/>
  <c r="HU35" i="56"/>
  <c r="HU36" i="56"/>
  <c r="HU37" i="56"/>
  <c r="HU38" i="56"/>
  <c r="HU39" i="56"/>
  <c r="HU40" i="56"/>
  <c r="HU41" i="56"/>
  <c r="HU42" i="56"/>
  <c r="HU43" i="56"/>
  <c r="HU44" i="56"/>
  <c r="HU45" i="56"/>
  <c r="HU46" i="56"/>
  <c r="HU47" i="56"/>
  <c r="HU48" i="56"/>
  <c r="HU49" i="56"/>
  <c r="HU50" i="56"/>
  <c r="HU51" i="56"/>
  <c r="HU52" i="56"/>
  <c r="HU53" i="56"/>
  <c r="HU54" i="56"/>
  <c r="HU55" i="56"/>
  <c r="HU56" i="56"/>
  <c r="HU57" i="56"/>
  <c r="HU58" i="56"/>
  <c r="HU59" i="56"/>
  <c r="HU60" i="56"/>
  <c r="HU61" i="56"/>
  <c r="HU62" i="56"/>
  <c r="HU63" i="56"/>
  <c r="HU64" i="56"/>
  <c r="HU65" i="56"/>
  <c r="HU66" i="56"/>
  <c r="HU67" i="56"/>
  <c r="HU68" i="56"/>
  <c r="HU69" i="56"/>
  <c r="HU70" i="56"/>
  <c r="HU71" i="56"/>
  <c r="HU72" i="56"/>
  <c r="HU73" i="56"/>
  <c r="HU74" i="56"/>
  <c r="HU75" i="56"/>
  <c r="HU76" i="56"/>
  <c r="HU77" i="56"/>
  <c r="HU78" i="56"/>
  <c r="HU79" i="56"/>
  <c r="HU80" i="56"/>
  <c r="HU81" i="56"/>
  <c r="HU82" i="56"/>
  <c r="HU83" i="56"/>
  <c r="HU84" i="56"/>
  <c r="HU85" i="56"/>
  <c r="HU86" i="56"/>
  <c r="HU87" i="56"/>
  <c r="HU88" i="56"/>
  <c r="HU89" i="56"/>
  <c r="HU90" i="56"/>
  <c r="HU91" i="56"/>
  <c r="HU92" i="56"/>
  <c r="HU93" i="56"/>
  <c r="HU94" i="56"/>
  <c r="HU95" i="56"/>
  <c r="HU96" i="56"/>
  <c r="HU97" i="56"/>
  <c r="HU98" i="56"/>
  <c r="HU99" i="56"/>
  <c r="HU100" i="56"/>
  <c r="HU101" i="56"/>
  <c r="HU102" i="56"/>
  <c r="HU103" i="56"/>
  <c r="HU104" i="56"/>
  <c r="HU105" i="56"/>
  <c r="HU106" i="56"/>
  <c r="HU107" i="56"/>
  <c r="HU108" i="56"/>
  <c r="HU109" i="56"/>
  <c r="HU110" i="56"/>
  <c r="HU111" i="56"/>
  <c r="HU112" i="56"/>
  <c r="HU113" i="56"/>
  <c r="HU114" i="56"/>
  <c r="HU115" i="56"/>
  <c r="HU116" i="56"/>
  <c r="HU117" i="56"/>
  <c r="HU118" i="56"/>
  <c r="HU119" i="56"/>
  <c r="HU120" i="56"/>
  <c r="HU121" i="56"/>
  <c r="HU122" i="56"/>
  <c r="HU123" i="56"/>
  <c r="HU124" i="56"/>
  <c r="HU125" i="56"/>
  <c r="HU126" i="56"/>
  <c r="HU127" i="56"/>
  <c r="HU128" i="56"/>
  <c r="HU129" i="56"/>
  <c r="HU130" i="56"/>
  <c r="HU131" i="56"/>
  <c r="HU132" i="56"/>
  <c r="HU133" i="56"/>
  <c r="HU134" i="56"/>
  <c r="HU135" i="56"/>
  <c r="HU136" i="56"/>
  <c r="HU137" i="56"/>
  <c r="HU138" i="56"/>
  <c r="HU139" i="56"/>
  <c r="HU140" i="56"/>
  <c r="HU141" i="56"/>
  <c r="HU142" i="56"/>
  <c r="HU143" i="56"/>
  <c r="HU144" i="56"/>
  <c r="HU145" i="56"/>
  <c r="HU146" i="56"/>
  <c r="HU147" i="56"/>
  <c r="HU148" i="56"/>
  <c r="HU149" i="56"/>
  <c r="HU150" i="56"/>
  <c r="HU151" i="56"/>
  <c r="HU152" i="56"/>
  <c r="HU153" i="56"/>
  <c r="HU154" i="56"/>
  <c r="HU155" i="56"/>
  <c r="HU156" i="56"/>
  <c r="HU157" i="56"/>
  <c r="HU158" i="56"/>
  <c r="HU159" i="56"/>
  <c r="HU160" i="56"/>
  <c r="HU161" i="56"/>
  <c r="HU162" i="56"/>
  <c r="HU163" i="56"/>
  <c r="HU164" i="56"/>
  <c r="HU165" i="56"/>
  <c r="HU166" i="56"/>
  <c r="HU167" i="56"/>
  <c r="HU168" i="56"/>
  <c r="HU169" i="56"/>
  <c r="HU170" i="56"/>
  <c r="HU171" i="56"/>
  <c r="HU172" i="56"/>
  <c r="HU173" i="56"/>
  <c r="HU174" i="56"/>
  <c r="HU175" i="56"/>
  <c r="HU176" i="56"/>
  <c r="HU177" i="56"/>
  <c r="HU178" i="56"/>
  <c r="HU179" i="56"/>
  <c r="HU180" i="56"/>
  <c r="HU181" i="56"/>
  <c r="HU182" i="56"/>
  <c r="HU183" i="56"/>
  <c r="HU184" i="56"/>
  <c r="HU185" i="56"/>
  <c r="HU186" i="56"/>
  <c r="HU187" i="56"/>
  <c r="HU188" i="56"/>
  <c r="HU189" i="56"/>
  <c r="HU190" i="56"/>
  <c r="HU191" i="56"/>
  <c r="HU192" i="56"/>
  <c r="HU193" i="56"/>
  <c r="HU194" i="56"/>
  <c r="HU195" i="56"/>
  <c r="HU196" i="56"/>
  <c r="HU197" i="56"/>
  <c r="HU198" i="56"/>
  <c r="HU199" i="56"/>
  <c r="HU200" i="56"/>
  <c r="HU201" i="56"/>
  <c r="HU202" i="56"/>
  <c r="HU203" i="56"/>
  <c r="HU204" i="56"/>
  <c r="HU205" i="56"/>
  <c r="HU206" i="56"/>
  <c r="HU207" i="56"/>
  <c r="HU208" i="56"/>
  <c r="HU209" i="56"/>
  <c r="HU210" i="56"/>
  <c r="HU211" i="56"/>
  <c r="HU212" i="56"/>
  <c r="HU213" i="56"/>
  <c r="HU214" i="56"/>
  <c r="HU215" i="56"/>
  <c r="HU216" i="56"/>
  <c r="HU217" i="56"/>
  <c r="HU218" i="56"/>
  <c r="HU219" i="56"/>
  <c r="HU220" i="56"/>
  <c r="HU221" i="56"/>
  <c r="HU222" i="56"/>
  <c r="HU223" i="56"/>
  <c r="HU224" i="56"/>
  <c r="HU225" i="56"/>
  <c r="HU226" i="56"/>
  <c r="HU227" i="56"/>
  <c r="HU228" i="56"/>
  <c r="HU229" i="56"/>
  <c r="HU230" i="56"/>
  <c r="HU231" i="56"/>
  <c r="HU232" i="56"/>
  <c r="HU233" i="56"/>
  <c r="HU234" i="56"/>
  <c r="HU235" i="56"/>
  <c r="HU236" i="56"/>
  <c r="HU237" i="56"/>
  <c r="HU238" i="56"/>
  <c r="HU239" i="56"/>
  <c r="HU240" i="56"/>
  <c r="HU241" i="56"/>
  <c r="HU242" i="56"/>
  <c r="HU243" i="56"/>
  <c r="HU244" i="56"/>
  <c r="HU245" i="56"/>
  <c r="HU246" i="56"/>
  <c r="HU247" i="56"/>
  <c r="HU248" i="56"/>
  <c r="HU249" i="56"/>
  <c r="HU250" i="56"/>
  <c r="HU251" i="56"/>
  <c r="HU252" i="56"/>
  <c r="HU253" i="56"/>
  <c r="HU254" i="56"/>
  <c r="HU255" i="56"/>
  <c r="HU256" i="56"/>
  <c r="HU257" i="56"/>
  <c r="HU258" i="56"/>
  <c r="HU259" i="56"/>
  <c r="HU260" i="56"/>
  <c r="HU261" i="56"/>
  <c r="HU262" i="56"/>
  <c r="HU263" i="56"/>
  <c r="HU264" i="56"/>
  <c r="HU265" i="56"/>
  <c r="HU266" i="56"/>
  <c r="HU267" i="56"/>
  <c r="HU268" i="56"/>
  <c r="HU269" i="56"/>
  <c r="HU270" i="56"/>
  <c r="HU271" i="56"/>
  <c r="HU272" i="56"/>
  <c r="HU273" i="56"/>
  <c r="HU274" i="56"/>
  <c r="HU275" i="56"/>
  <c r="HU276" i="56"/>
  <c r="HU277" i="56"/>
  <c r="HU278" i="56"/>
  <c r="HU279" i="56"/>
  <c r="HU280" i="56"/>
  <c r="HU281" i="56"/>
  <c r="HU282" i="56"/>
  <c r="HU283" i="56"/>
  <c r="HU284" i="56"/>
  <c r="HU285" i="56"/>
  <c r="HU286" i="56"/>
  <c r="HU287" i="56"/>
  <c r="HU288" i="56"/>
  <c r="HU289" i="56"/>
  <c r="HU290" i="56"/>
  <c r="HU291" i="56"/>
  <c r="HU292" i="56"/>
  <c r="HU293" i="56"/>
  <c r="HU294" i="56"/>
  <c r="HU295" i="56"/>
  <c r="HU296" i="56"/>
  <c r="HU297" i="56"/>
  <c r="HU298" i="56"/>
  <c r="HU299" i="56"/>
  <c r="HU300" i="56"/>
  <c r="HU301" i="56"/>
  <c r="HU302" i="56"/>
  <c r="HU303" i="56"/>
  <c r="HU304" i="56"/>
  <c r="HU305" i="56"/>
  <c r="HU306" i="56"/>
  <c r="HU307" i="56"/>
  <c r="HU308" i="56"/>
  <c r="HU309" i="56"/>
  <c r="HU310" i="56"/>
  <c r="HU311" i="56"/>
  <c r="HU312" i="56"/>
  <c r="HU313" i="56"/>
  <c r="HU314" i="56"/>
  <c r="HU315" i="56"/>
  <c r="HU316" i="56"/>
  <c r="HU317" i="56"/>
  <c r="HU318" i="56"/>
  <c r="HU319" i="56"/>
  <c r="HU320" i="56"/>
  <c r="HU321" i="56"/>
  <c r="HU322" i="56"/>
  <c r="HU323" i="56"/>
  <c r="HU324" i="56"/>
  <c r="HU325" i="56"/>
  <c r="HU326" i="56"/>
  <c r="HU327" i="56"/>
  <c r="HU328" i="56"/>
  <c r="HU329" i="56"/>
  <c r="HU330" i="56"/>
  <c r="HU331" i="56"/>
  <c r="HU332" i="56"/>
  <c r="HU333" i="56"/>
  <c r="HU334" i="56"/>
  <c r="HU335" i="56"/>
  <c r="HU336" i="56"/>
  <c r="HU337" i="56"/>
  <c r="HU338" i="56"/>
  <c r="HU339" i="56"/>
  <c r="HU340" i="56"/>
  <c r="HU341" i="56"/>
  <c r="HU342" i="56"/>
  <c r="HU343" i="56"/>
  <c r="HU344" i="56"/>
  <c r="HU345" i="56"/>
  <c r="HU346" i="56"/>
  <c r="HU347" i="56"/>
  <c r="HU348" i="56"/>
  <c r="HU349" i="56"/>
  <c r="HU350" i="56"/>
  <c r="HU351" i="56"/>
  <c r="HU352" i="56"/>
  <c r="GS7" i="56"/>
  <c r="GS9" i="56"/>
  <c r="GS10" i="56"/>
  <c r="GS11" i="56"/>
  <c r="GS12" i="56"/>
  <c r="GS13" i="56"/>
  <c r="GS14" i="56"/>
  <c r="GS15" i="56"/>
  <c r="GS16" i="56"/>
  <c r="GS17" i="56"/>
  <c r="GS18" i="56"/>
  <c r="GS19" i="56"/>
  <c r="GS20" i="56"/>
  <c r="GS21" i="56"/>
  <c r="GS24" i="56"/>
  <c r="GS57" i="56"/>
  <c r="GS59" i="56"/>
  <c r="GS60" i="56"/>
  <c r="GS61" i="56"/>
  <c r="GS62" i="56"/>
  <c r="GS63" i="56"/>
  <c r="GS64" i="56"/>
  <c r="GS65" i="56"/>
  <c r="GS66" i="56"/>
  <c r="GS67" i="56"/>
  <c r="GS68" i="56"/>
  <c r="GS69" i="56"/>
  <c r="GS70" i="56"/>
  <c r="GS71" i="56"/>
  <c r="GS74" i="56"/>
  <c r="GS75" i="56"/>
  <c r="GS76" i="56"/>
  <c r="GS77" i="56"/>
  <c r="GS78" i="56"/>
  <c r="GS79" i="56"/>
  <c r="GS80" i="56"/>
  <c r="GS89" i="56"/>
  <c r="GS91" i="56"/>
  <c r="GS92" i="56"/>
  <c r="GS93" i="56"/>
  <c r="GS94" i="56"/>
  <c r="GS95" i="56"/>
  <c r="GS96" i="56"/>
  <c r="GS97" i="56"/>
  <c r="GS98" i="56"/>
  <c r="GS99" i="56"/>
  <c r="GS100" i="56"/>
  <c r="GS101" i="56"/>
  <c r="GS107" i="56"/>
  <c r="GS109" i="56"/>
  <c r="GS110" i="56"/>
  <c r="GS111" i="56"/>
  <c r="GS112" i="56"/>
  <c r="GS113" i="56"/>
  <c r="GS114" i="56"/>
  <c r="GS115" i="56"/>
  <c r="GS116" i="56"/>
  <c r="GS117" i="56"/>
  <c r="GS118" i="56"/>
  <c r="GS119" i="56"/>
  <c r="GS120" i="56"/>
  <c r="GS121" i="56"/>
  <c r="GS124" i="56"/>
  <c r="GS125" i="56"/>
  <c r="GS126" i="56"/>
  <c r="GS127" i="56"/>
  <c r="GS128" i="56"/>
  <c r="GS135" i="56"/>
  <c r="GS137" i="56"/>
  <c r="GS138" i="56"/>
  <c r="GS139" i="56"/>
  <c r="GS140" i="56"/>
  <c r="GS141" i="56"/>
  <c r="GS142" i="56"/>
  <c r="GS143" i="56"/>
  <c r="GS144" i="56"/>
  <c r="GS145" i="56"/>
  <c r="GS146" i="56"/>
  <c r="GS147" i="56"/>
  <c r="GS148" i="56"/>
  <c r="GS149" i="56"/>
  <c r="GS152" i="56"/>
  <c r="GS153" i="56"/>
  <c r="GS164" i="56"/>
  <c r="GS166" i="56"/>
  <c r="GS167" i="56"/>
  <c r="GS168" i="56"/>
  <c r="GS169" i="56"/>
  <c r="GS170" i="56"/>
  <c r="GS171" i="56"/>
  <c r="GS172" i="56"/>
  <c r="GS173" i="56"/>
  <c r="GS174" i="56"/>
  <c r="GS175" i="56"/>
  <c r="GS176" i="56"/>
  <c r="GS177" i="56"/>
  <c r="GS178" i="56"/>
  <c r="GS181" i="56"/>
  <c r="GS182" i="56"/>
  <c r="GS183" i="56"/>
  <c r="GS193" i="56"/>
  <c r="GS195" i="56"/>
  <c r="GS196" i="56"/>
  <c r="GS197" i="56"/>
  <c r="GS198" i="56"/>
  <c r="GS199" i="56"/>
  <c r="GS200" i="56"/>
  <c r="GS201" i="56"/>
  <c r="GS202" i="56"/>
  <c r="GS203" i="56"/>
  <c r="GS204" i="56"/>
  <c r="GS205" i="56"/>
  <c r="GS206" i="56"/>
  <c r="GS207" i="56"/>
  <c r="GS210" i="56"/>
  <c r="GS211" i="56"/>
  <c r="GS212" i="56"/>
  <c r="GS213" i="56"/>
  <c r="GS214" i="56"/>
  <c r="GS215" i="56"/>
  <c r="GS216" i="56"/>
  <c r="GS217" i="56"/>
  <c r="GS218" i="56"/>
  <c r="GS219" i="56"/>
  <c r="GS224" i="56"/>
  <c r="GS233" i="56"/>
  <c r="GS235" i="56"/>
  <c r="GS236" i="56"/>
  <c r="GS237" i="56"/>
  <c r="GS238" i="56"/>
  <c r="GS239" i="56"/>
  <c r="GS240" i="56"/>
  <c r="GS241" i="56"/>
  <c r="GS242" i="56"/>
  <c r="GS243" i="56"/>
  <c r="GS244" i="56"/>
  <c r="GS245" i="56"/>
  <c r="GS246" i="56"/>
  <c r="GS247" i="56"/>
  <c r="GS250" i="56"/>
  <c r="GS251" i="56"/>
  <c r="GS252" i="56"/>
  <c r="GS253" i="56"/>
  <c r="GS254" i="56"/>
  <c r="GS255" i="56"/>
  <c r="GS256" i="56"/>
  <c r="GS257" i="56"/>
  <c r="GS258" i="56"/>
  <c r="GS259" i="56"/>
  <c r="GS292" i="56"/>
  <c r="GS294" i="56"/>
  <c r="GS295" i="56"/>
  <c r="GS296" i="56"/>
  <c r="GS297" i="56"/>
  <c r="GS298" i="56"/>
  <c r="GS299" i="56"/>
  <c r="GS300" i="56"/>
  <c r="GS301" i="56"/>
  <c r="GS302" i="56"/>
  <c r="GS303" i="56"/>
  <c r="GS304" i="56"/>
  <c r="GS305" i="56"/>
  <c r="GS306" i="56"/>
  <c r="GS309" i="56"/>
  <c r="GS310" i="56"/>
  <c r="GS311" i="56"/>
  <c r="GS312" i="56"/>
  <c r="GS344" i="56"/>
  <c r="GS346" i="56"/>
  <c r="GS347" i="56"/>
  <c r="GS348" i="56"/>
  <c r="GS349" i="56"/>
  <c r="GS350" i="56"/>
  <c r="GS351" i="56"/>
  <c r="GS352" i="56"/>
  <c r="GQ26" i="56"/>
  <c r="GQ31" i="56"/>
  <c r="GQ53" i="56"/>
  <c r="GQ88" i="56"/>
  <c r="GR88" i="56" s="1"/>
  <c r="N88" i="56" s="1"/>
  <c r="GS88" i="56" s="1"/>
  <c r="GQ102" i="56"/>
  <c r="GQ130" i="56"/>
  <c r="GQ154" i="56"/>
  <c r="GR154" i="56" s="1"/>
  <c r="N154" i="56" s="1"/>
  <c r="GS154" i="56" s="1"/>
  <c r="GQ184" i="56"/>
  <c r="GQ224" i="56"/>
  <c r="GR224" i="56" s="1"/>
  <c r="N224" i="56" s="1"/>
  <c r="GQ283" i="56"/>
  <c r="GQ313" i="56"/>
  <c r="GR313" i="56" s="1"/>
  <c r="N313" i="56" s="1"/>
  <c r="GS313" i="56" s="1"/>
  <c r="GQ317" i="56"/>
  <c r="GQ325" i="56"/>
  <c r="GQ330" i="56"/>
  <c r="GQ335" i="56"/>
  <c r="GQ336" i="56"/>
  <c r="GR336" i="56" s="1"/>
  <c r="N336" i="56" s="1"/>
  <c r="GS336" i="56" s="1"/>
  <c r="GQ341" i="56"/>
  <c r="GR341" i="56" s="1"/>
  <c r="N341" i="56" s="1"/>
  <c r="GS341" i="56" s="1"/>
  <c r="GL4" i="56"/>
  <c r="GL20" i="56"/>
  <c r="GL23" i="56"/>
  <c r="GL24" i="56"/>
  <c r="GL25" i="56"/>
  <c r="GL39" i="56"/>
  <c r="GL40" i="56"/>
  <c r="GL41" i="56"/>
  <c r="GL42" i="56"/>
  <c r="GL49" i="56"/>
  <c r="GL52" i="56"/>
  <c r="GL53" i="56"/>
  <c r="GL59" i="56"/>
  <c r="GL65" i="56"/>
  <c r="GL82" i="56"/>
  <c r="GL87" i="56"/>
  <c r="GL88" i="56"/>
  <c r="GL90" i="56"/>
  <c r="GL97" i="56"/>
  <c r="GL98" i="56"/>
  <c r="GL138" i="56"/>
  <c r="GL139" i="56"/>
  <c r="GL144" i="56"/>
  <c r="GL145" i="56"/>
  <c r="GL148" i="56"/>
  <c r="GL149" i="56"/>
  <c r="GL152" i="56"/>
  <c r="GL162" i="56"/>
  <c r="GL168" i="56"/>
  <c r="GL193" i="56"/>
  <c r="GL212" i="56"/>
  <c r="GL216" i="56"/>
  <c r="GL218" i="56"/>
  <c r="GL224" i="56"/>
  <c r="GL225" i="56"/>
  <c r="GL234" i="56"/>
  <c r="GL235" i="56"/>
  <c r="GL242" i="56"/>
  <c r="GL247" i="56"/>
  <c r="GL260" i="56"/>
  <c r="GL264" i="56"/>
  <c r="GL265" i="56"/>
  <c r="GL281" i="56"/>
  <c r="GL282" i="56"/>
  <c r="GL292" i="56"/>
  <c r="GL295" i="56"/>
  <c r="GL296" i="56"/>
  <c r="GL305" i="56"/>
  <c r="GL306" i="56"/>
  <c r="GL308" i="56"/>
  <c r="GL325" i="56"/>
  <c r="GL327" i="56"/>
  <c r="GL328" i="56"/>
  <c r="GL337" i="56"/>
  <c r="GL340" i="56"/>
  <c r="GL343" i="56"/>
  <c r="GL344" i="56"/>
  <c r="GL346" i="56"/>
  <c r="GL347" i="56"/>
  <c r="GK3" i="56"/>
  <c r="GL3" i="56" s="1"/>
  <c r="GK4" i="56"/>
  <c r="GK5" i="56"/>
  <c r="GL5" i="56" s="1"/>
  <c r="GK6" i="56"/>
  <c r="GL6" i="56" s="1"/>
  <c r="GK7" i="56"/>
  <c r="GL7" i="56" s="1"/>
  <c r="GK8" i="56"/>
  <c r="GL8" i="56" s="1"/>
  <c r="GK9" i="56"/>
  <c r="GL9" i="56" s="1"/>
  <c r="GK10" i="56"/>
  <c r="GL10" i="56" s="1"/>
  <c r="GK11" i="56"/>
  <c r="GL11" i="56" s="1"/>
  <c r="GK12" i="56"/>
  <c r="GL12" i="56" s="1"/>
  <c r="GK13" i="56"/>
  <c r="GL13" i="56" s="1"/>
  <c r="GK14" i="56"/>
  <c r="GL14" i="56" s="1"/>
  <c r="GK15" i="56"/>
  <c r="GL15" i="56" s="1"/>
  <c r="GK16" i="56"/>
  <c r="GL16" i="56" s="1"/>
  <c r="GK17" i="56"/>
  <c r="GL17" i="56" s="1"/>
  <c r="GK18" i="56"/>
  <c r="GL18" i="56" s="1"/>
  <c r="GK19" i="56"/>
  <c r="GL19" i="56" s="1"/>
  <c r="GK20" i="56"/>
  <c r="GK21" i="56"/>
  <c r="GL21" i="56" s="1"/>
  <c r="GK22" i="56"/>
  <c r="GL22" i="56" s="1"/>
  <c r="GK23" i="56"/>
  <c r="GK24" i="56"/>
  <c r="GK25" i="56"/>
  <c r="GK26" i="56"/>
  <c r="GL26" i="56" s="1"/>
  <c r="GK27" i="56"/>
  <c r="GL27" i="56" s="1"/>
  <c r="GK28" i="56"/>
  <c r="GL28" i="56" s="1"/>
  <c r="GK29" i="56"/>
  <c r="GL29" i="56" s="1"/>
  <c r="GK30" i="56"/>
  <c r="GL30" i="56" s="1"/>
  <c r="GK31" i="56"/>
  <c r="GL31" i="56" s="1"/>
  <c r="GK32" i="56"/>
  <c r="GL32" i="56" s="1"/>
  <c r="GK33" i="56"/>
  <c r="GL33" i="56" s="1"/>
  <c r="GK34" i="56"/>
  <c r="GL34" i="56" s="1"/>
  <c r="GK35" i="56"/>
  <c r="GL35" i="56" s="1"/>
  <c r="GK36" i="56"/>
  <c r="GL36" i="56" s="1"/>
  <c r="GK37" i="56"/>
  <c r="GL37" i="56" s="1"/>
  <c r="GK38" i="56"/>
  <c r="GL38" i="56" s="1"/>
  <c r="GK39" i="56"/>
  <c r="GK40" i="56"/>
  <c r="GK41" i="56"/>
  <c r="GK42" i="56"/>
  <c r="GK43" i="56"/>
  <c r="GL43" i="56" s="1"/>
  <c r="GK44" i="56"/>
  <c r="GL44" i="56" s="1"/>
  <c r="GK45" i="56"/>
  <c r="GL45" i="56" s="1"/>
  <c r="GK46" i="56"/>
  <c r="GL46" i="56" s="1"/>
  <c r="GK47" i="56"/>
  <c r="GL47" i="56" s="1"/>
  <c r="GK48" i="56"/>
  <c r="GL48" i="56" s="1"/>
  <c r="GK49" i="56"/>
  <c r="GK50" i="56"/>
  <c r="GL50" i="56" s="1"/>
  <c r="GK51" i="56"/>
  <c r="GL51" i="56" s="1"/>
  <c r="GK52" i="56"/>
  <c r="GK53" i="56"/>
  <c r="GK54" i="56"/>
  <c r="GL54" i="56" s="1"/>
  <c r="GK55" i="56"/>
  <c r="GL55" i="56" s="1"/>
  <c r="GK56" i="56"/>
  <c r="GL56" i="56" s="1"/>
  <c r="GK57" i="56"/>
  <c r="GL57" i="56" s="1"/>
  <c r="GK58" i="56"/>
  <c r="GL58" i="56" s="1"/>
  <c r="GK59" i="56"/>
  <c r="GK60" i="56"/>
  <c r="GL60" i="56" s="1"/>
  <c r="GK61" i="56"/>
  <c r="GL61" i="56" s="1"/>
  <c r="GK62" i="56"/>
  <c r="GL62" i="56" s="1"/>
  <c r="GK63" i="56"/>
  <c r="GL63" i="56" s="1"/>
  <c r="GK64" i="56"/>
  <c r="GL64" i="56" s="1"/>
  <c r="GK65" i="56"/>
  <c r="GK66" i="56"/>
  <c r="GL66" i="56" s="1"/>
  <c r="GK67" i="56"/>
  <c r="GL67" i="56" s="1"/>
  <c r="GK68" i="56"/>
  <c r="GL68" i="56" s="1"/>
  <c r="GK69" i="56"/>
  <c r="GL69" i="56" s="1"/>
  <c r="GK70" i="56"/>
  <c r="GL70" i="56" s="1"/>
  <c r="GK71" i="56"/>
  <c r="GL71" i="56" s="1"/>
  <c r="GK72" i="56"/>
  <c r="GL72" i="56" s="1"/>
  <c r="GK73" i="56"/>
  <c r="GL73" i="56" s="1"/>
  <c r="GK74" i="56"/>
  <c r="GL74" i="56" s="1"/>
  <c r="GK75" i="56"/>
  <c r="GL75" i="56" s="1"/>
  <c r="GK76" i="56"/>
  <c r="GL76" i="56" s="1"/>
  <c r="GK77" i="56"/>
  <c r="GL77" i="56" s="1"/>
  <c r="GK78" i="56"/>
  <c r="GL78" i="56" s="1"/>
  <c r="GK79" i="56"/>
  <c r="GL79" i="56" s="1"/>
  <c r="GK80" i="56"/>
  <c r="GL80" i="56" s="1"/>
  <c r="GK81" i="56"/>
  <c r="GL81" i="56" s="1"/>
  <c r="GK82" i="56"/>
  <c r="GK83" i="56"/>
  <c r="GL83" i="56" s="1"/>
  <c r="GK84" i="56"/>
  <c r="GL84" i="56" s="1"/>
  <c r="GK85" i="56"/>
  <c r="GL85" i="56" s="1"/>
  <c r="GK86" i="56"/>
  <c r="GL86" i="56" s="1"/>
  <c r="GK87" i="56"/>
  <c r="GK88" i="56"/>
  <c r="GK89" i="56"/>
  <c r="GL89" i="56" s="1"/>
  <c r="GK90" i="56"/>
  <c r="GK91" i="56"/>
  <c r="GL91" i="56" s="1"/>
  <c r="GK92" i="56"/>
  <c r="GL92" i="56" s="1"/>
  <c r="GK93" i="56"/>
  <c r="GL93" i="56" s="1"/>
  <c r="GK94" i="56"/>
  <c r="GL94" i="56" s="1"/>
  <c r="GK95" i="56"/>
  <c r="GL95" i="56" s="1"/>
  <c r="GK96" i="56"/>
  <c r="GL96" i="56" s="1"/>
  <c r="GK97" i="56"/>
  <c r="GK98" i="56"/>
  <c r="GK99" i="56"/>
  <c r="GL99" i="56" s="1"/>
  <c r="GK100" i="56"/>
  <c r="GL100" i="56" s="1"/>
  <c r="GK101" i="56"/>
  <c r="GL101" i="56" s="1"/>
  <c r="GK102" i="56"/>
  <c r="GL102" i="56" s="1"/>
  <c r="GK103" i="56"/>
  <c r="GL103" i="56" s="1"/>
  <c r="GK104" i="56"/>
  <c r="GL104" i="56" s="1"/>
  <c r="GK105" i="56"/>
  <c r="GL105" i="56" s="1"/>
  <c r="GK106" i="56"/>
  <c r="GL106" i="56" s="1"/>
  <c r="GK107" i="56"/>
  <c r="GL107" i="56" s="1"/>
  <c r="GK108" i="56"/>
  <c r="GL108" i="56" s="1"/>
  <c r="GK109" i="56"/>
  <c r="GL109" i="56" s="1"/>
  <c r="GK110" i="56"/>
  <c r="GL110" i="56" s="1"/>
  <c r="GK111" i="56"/>
  <c r="GL111" i="56" s="1"/>
  <c r="GK112" i="56"/>
  <c r="GL112" i="56" s="1"/>
  <c r="GK113" i="56"/>
  <c r="GL113" i="56" s="1"/>
  <c r="GK114" i="56"/>
  <c r="GL114" i="56" s="1"/>
  <c r="GK115" i="56"/>
  <c r="GL115" i="56" s="1"/>
  <c r="GK116" i="56"/>
  <c r="GL116" i="56" s="1"/>
  <c r="GK117" i="56"/>
  <c r="GL117" i="56" s="1"/>
  <c r="GK118" i="56"/>
  <c r="GL118" i="56" s="1"/>
  <c r="GK119" i="56"/>
  <c r="GL119" i="56" s="1"/>
  <c r="GK120" i="56"/>
  <c r="GL120" i="56" s="1"/>
  <c r="GK121" i="56"/>
  <c r="GL121" i="56" s="1"/>
  <c r="GK122" i="56"/>
  <c r="GL122" i="56" s="1"/>
  <c r="GK123" i="56"/>
  <c r="GL123" i="56" s="1"/>
  <c r="GK124" i="56"/>
  <c r="GL124" i="56" s="1"/>
  <c r="GK125" i="56"/>
  <c r="GL125" i="56" s="1"/>
  <c r="GK126" i="56"/>
  <c r="GL126" i="56" s="1"/>
  <c r="GK127" i="56"/>
  <c r="GL127" i="56" s="1"/>
  <c r="GK128" i="56"/>
  <c r="GL128" i="56" s="1"/>
  <c r="GK129" i="56"/>
  <c r="GL129" i="56" s="1"/>
  <c r="GK130" i="56"/>
  <c r="GL130" i="56" s="1"/>
  <c r="GK131" i="56"/>
  <c r="GL131" i="56" s="1"/>
  <c r="GK132" i="56"/>
  <c r="GL132" i="56" s="1"/>
  <c r="GK133" i="56"/>
  <c r="GL133" i="56" s="1"/>
  <c r="GK134" i="56"/>
  <c r="GL134" i="56" s="1"/>
  <c r="GK135" i="56"/>
  <c r="GL135" i="56" s="1"/>
  <c r="GK136" i="56"/>
  <c r="GL136" i="56" s="1"/>
  <c r="GK137" i="56"/>
  <c r="GL137" i="56" s="1"/>
  <c r="GK138" i="56"/>
  <c r="GK139" i="56"/>
  <c r="GK140" i="56"/>
  <c r="GL140" i="56" s="1"/>
  <c r="GK141" i="56"/>
  <c r="GL141" i="56" s="1"/>
  <c r="GK142" i="56"/>
  <c r="GL142" i="56" s="1"/>
  <c r="GK143" i="56"/>
  <c r="GL143" i="56" s="1"/>
  <c r="GK144" i="56"/>
  <c r="GK145" i="56"/>
  <c r="GK146" i="56"/>
  <c r="GL146" i="56" s="1"/>
  <c r="GK147" i="56"/>
  <c r="GL147" i="56" s="1"/>
  <c r="GK148" i="56"/>
  <c r="GK149" i="56"/>
  <c r="GK150" i="56"/>
  <c r="GL150" i="56" s="1"/>
  <c r="GK151" i="56"/>
  <c r="GL151" i="56" s="1"/>
  <c r="GK152" i="56"/>
  <c r="GK153" i="56"/>
  <c r="GL153" i="56" s="1"/>
  <c r="GK154" i="56"/>
  <c r="GL154" i="56" s="1"/>
  <c r="GK155" i="56"/>
  <c r="GL155" i="56" s="1"/>
  <c r="GK156" i="56"/>
  <c r="GL156" i="56" s="1"/>
  <c r="GK157" i="56"/>
  <c r="GL157" i="56" s="1"/>
  <c r="GK158" i="56"/>
  <c r="GL158" i="56" s="1"/>
  <c r="GK159" i="56"/>
  <c r="GL159" i="56" s="1"/>
  <c r="GK160" i="56"/>
  <c r="GL160" i="56" s="1"/>
  <c r="GK161" i="56"/>
  <c r="GL161" i="56" s="1"/>
  <c r="GK162" i="56"/>
  <c r="GK163" i="56"/>
  <c r="GL163" i="56" s="1"/>
  <c r="GK164" i="56"/>
  <c r="GL164" i="56" s="1"/>
  <c r="GK165" i="56"/>
  <c r="GL165" i="56" s="1"/>
  <c r="GK166" i="56"/>
  <c r="GL166" i="56" s="1"/>
  <c r="GK167" i="56"/>
  <c r="GL167" i="56" s="1"/>
  <c r="GK168" i="56"/>
  <c r="GK169" i="56"/>
  <c r="GL169" i="56" s="1"/>
  <c r="GK170" i="56"/>
  <c r="GL170" i="56" s="1"/>
  <c r="GK171" i="56"/>
  <c r="GL171" i="56" s="1"/>
  <c r="GK172" i="56"/>
  <c r="GL172" i="56" s="1"/>
  <c r="GK173" i="56"/>
  <c r="GL173" i="56" s="1"/>
  <c r="GK174" i="56"/>
  <c r="GL174" i="56" s="1"/>
  <c r="GK175" i="56"/>
  <c r="GL175" i="56" s="1"/>
  <c r="GK176" i="56"/>
  <c r="GL176" i="56" s="1"/>
  <c r="GK177" i="56"/>
  <c r="GL177" i="56" s="1"/>
  <c r="GK178" i="56"/>
  <c r="GL178" i="56" s="1"/>
  <c r="GK179" i="56"/>
  <c r="GL179" i="56" s="1"/>
  <c r="GK180" i="56"/>
  <c r="GL180" i="56" s="1"/>
  <c r="GK181" i="56"/>
  <c r="GL181" i="56" s="1"/>
  <c r="GK182" i="56"/>
  <c r="GL182" i="56" s="1"/>
  <c r="GK183" i="56"/>
  <c r="GL183" i="56" s="1"/>
  <c r="GK184" i="56"/>
  <c r="GL184" i="56" s="1"/>
  <c r="GK185" i="56"/>
  <c r="GL185" i="56" s="1"/>
  <c r="GK186" i="56"/>
  <c r="GL186" i="56" s="1"/>
  <c r="GK187" i="56"/>
  <c r="GL187" i="56" s="1"/>
  <c r="GK188" i="56"/>
  <c r="GL188" i="56" s="1"/>
  <c r="GK189" i="56"/>
  <c r="GL189" i="56" s="1"/>
  <c r="GK190" i="56"/>
  <c r="GL190" i="56" s="1"/>
  <c r="GK191" i="56"/>
  <c r="GL191" i="56" s="1"/>
  <c r="GK192" i="56"/>
  <c r="GL192" i="56" s="1"/>
  <c r="GK193" i="56"/>
  <c r="GK194" i="56"/>
  <c r="GL194" i="56" s="1"/>
  <c r="GK195" i="56"/>
  <c r="GL195" i="56" s="1"/>
  <c r="GK196" i="56"/>
  <c r="GL196" i="56" s="1"/>
  <c r="GK197" i="56"/>
  <c r="GL197" i="56" s="1"/>
  <c r="GK198" i="56"/>
  <c r="GL198" i="56" s="1"/>
  <c r="GK199" i="56"/>
  <c r="GL199" i="56" s="1"/>
  <c r="GK200" i="56"/>
  <c r="GL200" i="56" s="1"/>
  <c r="GK201" i="56"/>
  <c r="GL201" i="56" s="1"/>
  <c r="GK202" i="56"/>
  <c r="GL202" i="56" s="1"/>
  <c r="GK203" i="56"/>
  <c r="GL203" i="56" s="1"/>
  <c r="GK204" i="56"/>
  <c r="GL204" i="56" s="1"/>
  <c r="GK205" i="56"/>
  <c r="GL205" i="56" s="1"/>
  <c r="GK206" i="56"/>
  <c r="GL206" i="56" s="1"/>
  <c r="GK207" i="56"/>
  <c r="GL207" i="56" s="1"/>
  <c r="GK208" i="56"/>
  <c r="GL208" i="56" s="1"/>
  <c r="GK209" i="56"/>
  <c r="GL209" i="56" s="1"/>
  <c r="GK210" i="56"/>
  <c r="GL210" i="56" s="1"/>
  <c r="GK211" i="56"/>
  <c r="GL211" i="56" s="1"/>
  <c r="GK212" i="56"/>
  <c r="GK213" i="56"/>
  <c r="GL213" i="56" s="1"/>
  <c r="GK214" i="56"/>
  <c r="GL214" i="56" s="1"/>
  <c r="GK215" i="56"/>
  <c r="GL215" i="56" s="1"/>
  <c r="GK216" i="56"/>
  <c r="GK217" i="56"/>
  <c r="GL217" i="56" s="1"/>
  <c r="GK218" i="56"/>
  <c r="GK219" i="56"/>
  <c r="GL219" i="56" s="1"/>
  <c r="GK220" i="56"/>
  <c r="GL220" i="56" s="1"/>
  <c r="GK221" i="56"/>
  <c r="GL221" i="56" s="1"/>
  <c r="GK222" i="56"/>
  <c r="GL222" i="56" s="1"/>
  <c r="GK223" i="56"/>
  <c r="GL223" i="56" s="1"/>
  <c r="GK224" i="56"/>
  <c r="GK225" i="56"/>
  <c r="GK226" i="56"/>
  <c r="GL226" i="56" s="1"/>
  <c r="GK227" i="56"/>
  <c r="GL227" i="56" s="1"/>
  <c r="GK228" i="56"/>
  <c r="GL228" i="56" s="1"/>
  <c r="GK229" i="56"/>
  <c r="GL229" i="56" s="1"/>
  <c r="GK230" i="56"/>
  <c r="GL230" i="56" s="1"/>
  <c r="GK231" i="56"/>
  <c r="GL231" i="56" s="1"/>
  <c r="GK232" i="56"/>
  <c r="GL232" i="56" s="1"/>
  <c r="GK233" i="56"/>
  <c r="GL233" i="56" s="1"/>
  <c r="GK234" i="56"/>
  <c r="GK235" i="56"/>
  <c r="GK236" i="56"/>
  <c r="GL236" i="56" s="1"/>
  <c r="GK237" i="56"/>
  <c r="GL237" i="56" s="1"/>
  <c r="GK238" i="56"/>
  <c r="GL238" i="56" s="1"/>
  <c r="GK239" i="56"/>
  <c r="GL239" i="56" s="1"/>
  <c r="GK240" i="56"/>
  <c r="GL240" i="56" s="1"/>
  <c r="GK241" i="56"/>
  <c r="GL241" i="56" s="1"/>
  <c r="GK242" i="56"/>
  <c r="GK243" i="56"/>
  <c r="GL243" i="56" s="1"/>
  <c r="GK244" i="56"/>
  <c r="GL244" i="56" s="1"/>
  <c r="GK245" i="56"/>
  <c r="GL245" i="56" s="1"/>
  <c r="GK246" i="56"/>
  <c r="GL246" i="56" s="1"/>
  <c r="GK247" i="56"/>
  <c r="GK248" i="56"/>
  <c r="GL248" i="56" s="1"/>
  <c r="GK249" i="56"/>
  <c r="GL249" i="56" s="1"/>
  <c r="GK250" i="56"/>
  <c r="GL250" i="56" s="1"/>
  <c r="GK251" i="56"/>
  <c r="GL251" i="56" s="1"/>
  <c r="GK252" i="56"/>
  <c r="GL252" i="56" s="1"/>
  <c r="GK253" i="56"/>
  <c r="GL253" i="56" s="1"/>
  <c r="GK254" i="56"/>
  <c r="GL254" i="56" s="1"/>
  <c r="GK255" i="56"/>
  <c r="GL255" i="56" s="1"/>
  <c r="GK256" i="56"/>
  <c r="GL256" i="56" s="1"/>
  <c r="GK257" i="56"/>
  <c r="GL257" i="56" s="1"/>
  <c r="GK258" i="56"/>
  <c r="GL258" i="56" s="1"/>
  <c r="GK259" i="56"/>
  <c r="GL259" i="56" s="1"/>
  <c r="GK260" i="56"/>
  <c r="GK261" i="56"/>
  <c r="GL261" i="56" s="1"/>
  <c r="GK262" i="56"/>
  <c r="GL262" i="56" s="1"/>
  <c r="GK263" i="56"/>
  <c r="GL263" i="56" s="1"/>
  <c r="GK264" i="56"/>
  <c r="GK265" i="56"/>
  <c r="GK266" i="56"/>
  <c r="GL266" i="56" s="1"/>
  <c r="GK267" i="56"/>
  <c r="GL267" i="56" s="1"/>
  <c r="GK268" i="56"/>
  <c r="GL268" i="56" s="1"/>
  <c r="GK269" i="56"/>
  <c r="GL269" i="56" s="1"/>
  <c r="GK270" i="56"/>
  <c r="GL270" i="56" s="1"/>
  <c r="GK271" i="56"/>
  <c r="GL271" i="56" s="1"/>
  <c r="GK272" i="56"/>
  <c r="GL272" i="56" s="1"/>
  <c r="GK273" i="56"/>
  <c r="GL273" i="56" s="1"/>
  <c r="GK274" i="56"/>
  <c r="GL274" i="56" s="1"/>
  <c r="GK275" i="56"/>
  <c r="GL275" i="56" s="1"/>
  <c r="GK276" i="56"/>
  <c r="GL276" i="56" s="1"/>
  <c r="GK277" i="56"/>
  <c r="GL277" i="56" s="1"/>
  <c r="GK278" i="56"/>
  <c r="GL278" i="56" s="1"/>
  <c r="GK279" i="56"/>
  <c r="GL279" i="56" s="1"/>
  <c r="GK280" i="56"/>
  <c r="GL280" i="56" s="1"/>
  <c r="GK281" i="56"/>
  <c r="GK282" i="56"/>
  <c r="GK283" i="56"/>
  <c r="GL283" i="56" s="1"/>
  <c r="GK284" i="56"/>
  <c r="GL284" i="56" s="1"/>
  <c r="GK285" i="56"/>
  <c r="GL285" i="56" s="1"/>
  <c r="GK286" i="56"/>
  <c r="GL286" i="56" s="1"/>
  <c r="GK287" i="56"/>
  <c r="GL287" i="56" s="1"/>
  <c r="GK288" i="56"/>
  <c r="GL288" i="56" s="1"/>
  <c r="GK289" i="56"/>
  <c r="GL289" i="56" s="1"/>
  <c r="GK290" i="56"/>
  <c r="GL290" i="56" s="1"/>
  <c r="GK291" i="56"/>
  <c r="GL291" i="56" s="1"/>
  <c r="GK292" i="56"/>
  <c r="GK293" i="56"/>
  <c r="GL293" i="56" s="1"/>
  <c r="GK294" i="56"/>
  <c r="GL294" i="56" s="1"/>
  <c r="GK295" i="56"/>
  <c r="GK296" i="56"/>
  <c r="GK297" i="56"/>
  <c r="GL297" i="56" s="1"/>
  <c r="GK298" i="56"/>
  <c r="GL298" i="56" s="1"/>
  <c r="GK299" i="56"/>
  <c r="GL299" i="56" s="1"/>
  <c r="GK300" i="56"/>
  <c r="GL300" i="56" s="1"/>
  <c r="GK301" i="56"/>
  <c r="GL301" i="56" s="1"/>
  <c r="GK302" i="56"/>
  <c r="GL302" i="56" s="1"/>
  <c r="GK303" i="56"/>
  <c r="GL303" i="56" s="1"/>
  <c r="GK304" i="56"/>
  <c r="GL304" i="56" s="1"/>
  <c r="GK305" i="56"/>
  <c r="GK306" i="56"/>
  <c r="GK307" i="56"/>
  <c r="GL307" i="56" s="1"/>
  <c r="GK308" i="56"/>
  <c r="GK309" i="56"/>
  <c r="GL309" i="56" s="1"/>
  <c r="GK310" i="56"/>
  <c r="GL310" i="56" s="1"/>
  <c r="GK311" i="56"/>
  <c r="GL311" i="56" s="1"/>
  <c r="GK312" i="56"/>
  <c r="GL312" i="56" s="1"/>
  <c r="GK313" i="56"/>
  <c r="GL313" i="56" s="1"/>
  <c r="GK314" i="56"/>
  <c r="GL314" i="56" s="1"/>
  <c r="GK315" i="56"/>
  <c r="GL315" i="56" s="1"/>
  <c r="GK316" i="56"/>
  <c r="GL316" i="56" s="1"/>
  <c r="GK317" i="56"/>
  <c r="GL317" i="56" s="1"/>
  <c r="GK318" i="56"/>
  <c r="GL318" i="56" s="1"/>
  <c r="GK319" i="56"/>
  <c r="GL319" i="56" s="1"/>
  <c r="GK320" i="56"/>
  <c r="GL320" i="56" s="1"/>
  <c r="GK321" i="56"/>
  <c r="GL321" i="56" s="1"/>
  <c r="GK322" i="56"/>
  <c r="GL322" i="56" s="1"/>
  <c r="GK323" i="56"/>
  <c r="GL323" i="56" s="1"/>
  <c r="GK324" i="56"/>
  <c r="GL324" i="56" s="1"/>
  <c r="GK325" i="56"/>
  <c r="GK326" i="56"/>
  <c r="GL326" i="56" s="1"/>
  <c r="GK327" i="56"/>
  <c r="GK328" i="56"/>
  <c r="GK329" i="56"/>
  <c r="GL329" i="56" s="1"/>
  <c r="GK330" i="56"/>
  <c r="GL330" i="56" s="1"/>
  <c r="GK331" i="56"/>
  <c r="GL331" i="56" s="1"/>
  <c r="GK332" i="56"/>
  <c r="GL332" i="56" s="1"/>
  <c r="GK333" i="56"/>
  <c r="GL333" i="56" s="1"/>
  <c r="GK334" i="56"/>
  <c r="GL334" i="56" s="1"/>
  <c r="GK335" i="56"/>
  <c r="GL335" i="56" s="1"/>
  <c r="GK336" i="56"/>
  <c r="GL336" i="56" s="1"/>
  <c r="GK337" i="56"/>
  <c r="GK338" i="56"/>
  <c r="GL338" i="56" s="1"/>
  <c r="GK339" i="56"/>
  <c r="GL339" i="56" s="1"/>
  <c r="GK340" i="56"/>
  <c r="GK341" i="56"/>
  <c r="GL341" i="56" s="1"/>
  <c r="GK342" i="56"/>
  <c r="GL342" i="56" s="1"/>
  <c r="GK343" i="56"/>
  <c r="GK344" i="56"/>
  <c r="GK345" i="56"/>
  <c r="GL345" i="56" s="1"/>
  <c r="GK346" i="56"/>
  <c r="GK347" i="56"/>
  <c r="GK348" i="56"/>
  <c r="GL348" i="56" s="1"/>
  <c r="GK349" i="56"/>
  <c r="GL349" i="56" s="1"/>
  <c r="GK350" i="56"/>
  <c r="GL350" i="56" s="1"/>
  <c r="GK351" i="56"/>
  <c r="GL351" i="56" s="1"/>
  <c r="GK352" i="56"/>
  <c r="GL352" i="56" s="1"/>
  <c r="IJ352" i="56" s="1"/>
  <c r="FV5" i="56"/>
  <c r="FV6" i="56"/>
  <c r="FV7" i="56"/>
  <c r="FV8" i="56"/>
  <c r="FV9" i="56"/>
  <c r="FV10" i="56"/>
  <c r="FV11" i="56"/>
  <c r="FV12" i="56"/>
  <c r="FV13" i="56"/>
  <c r="FV14" i="56"/>
  <c r="FV15" i="56"/>
  <c r="FV16" i="56"/>
  <c r="FV17" i="56"/>
  <c r="FV18" i="56"/>
  <c r="FV19" i="56"/>
  <c r="FV20" i="56"/>
  <c r="FV21" i="56"/>
  <c r="FV22" i="56"/>
  <c r="FV23" i="56"/>
  <c r="FV24" i="56"/>
  <c r="FV29" i="56"/>
  <c r="FV30" i="56"/>
  <c r="FV32" i="56"/>
  <c r="FV33" i="56"/>
  <c r="FV34" i="56"/>
  <c r="FV35" i="56"/>
  <c r="FV36" i="56"/>
  <c r="FV37" i="56"/>
  <c r="FV38" i="56"/>
  <c r="FV39" i="56"/>
  <c r="FV40" i="56"/>
  <c r="FV41" i="56"/>
  <c r="FV42" i="56"/>
  <c r="FV43" i="56"/>
  <c r="FV44" i="56"/>
  <c r="FV45" i="56"/>
  <c r="FV46" i="56"/>
  <c r="FV47" i="56"/>
  <c r="FV48" i="56"/>
  <c r="FV49" i="56"/>
  <c r="FV50" i="56"/>
  <c r="FV51" i="56"/>
  <c r="FV52" i="56"/>
  <c r="FV54" i="56"/>
  <c r="FV55" i="56"/>
  <c r="FV56" i="56"/>
  <c r="FV57" i="56"/>
  <c r="FV58" i="56"/>
  <c r="FV59" i="56"/>
  <c r="FV60" i="56"/>
  <c r="FV61" i="56"/>
  <c r="FV62" i="56"/>
  <c r="FV63" i="56"/>
  <c r="FV64" i="56"/>
  <c r="FV65" i="56"/>
  <c r="FV66" i="56"/>
  <c r="FV67" i="56"/>
  <c r="FV68" i="56"/>
  <c r="FV69" i="56"/>
  <c r="FV70" i="56"/>
  <c r="FV71" i="56"/>
  <c r="FV72" i="56"/>
  <c r="FV73" i="56"/>
  <c r="FV74" i="56"/>
  <c r="FV75" i="56"/>
  <c r="FV76" i="56"/>
  <c r="FV77" i="56"/>
  <c r="FV78" i="56"/>
  <c r="FV79" i="56"/>
  <c r="FV80" i="56"/>
  <c r="FV81" i="56"/>
  <c r="FV82" i="56"/>
  <c r="FV83" i="56"/>
  <c r="FV84" i="56"/>
  <c r="FV85" i="56"/>
  <c r="FV86" i="56"/>
  <c r="FV87" i="56"/>
  <c r="FV89" i="56"/>
  <c r="FV90" i="56"/>
  <c r="FV91" i="56"/>
  <c r="FV92" i="56"/>
  <c r="FV93" i="56"/>
  <c r="FV94" i="56"/>
  <c r="FV95" i="56"/>
  <c r="FV96" i="56"/>
  <c r="FV97" i="56"/>
  <c r="FV98" i="56"/>
  <c r="FV99" i="56"/>
  <c r="FV100" i="56"/>
  <c r="FV101" i="56"/>
  <c r="FV103" i="56"/>
  <c r="FV104" i="56"/>
  <c r="FV105" i="56"/>
  <c r="FV106" i="56"/>
  <c r="FV107" i="56"/>
  <c r="FV108" i="56"/>
  <c r="FV109" i="56"/>
  <c r="FV110" i="56"/>
  <c r="FV111" i="56"/>
  <c r="FV112" i="56"/>
  <c r="FV113" i="56"/>
  <c r="FV114" i="56"/>
  <c r="FV115" i="56"/>
  <c r="FV116" i="56"/>
  <c r="FV117" i="56"/>
  <c r="FV118" i="56"/>
  <c r="FV119" i="56"/>
  <c r="FV120" i="56"/>
  <c r="FV121" i="56"/>
  <c r="FV122" i="56"/>
  <c r="FV123" i="56"/>
  <c r="FV124" i="56"/>
  <c r="FV125" i="56"/>
  <c r="FV126" i="56"/>
  <c r="FV127" i="56"/>
  <c r="FV128" i="56"/>
  <c r="FV129" i="56"/>
  <c r="FV131" i="56"/>
  <c r="FV132" i="56"/>
  <c r="FV133" i="56"/>
  <c r="FV134" i="56"/>
  <c r="FV135" i="56"/>
  <c r="FV136" i="56"/>
  <c r="FV137" i="56"/>
  <c r="FV138" i="56"/>
  <c r="FV139" i="56"/>
  <c r="FV140" i="56"/>
  <c r="FV141" i="56"/>
  <c r="FV142" i="56"/>
  <c r="FV143" i="56"/>
  <c r="FV144" i="56"/>
  <c r="FV145" i="56"/>
  <c r="FV146" i="56"/>
  <c r="FV147" i="56"/>
  <c r="FV148" i="56"/>
  <c r="FV149" i="56"/>
  <c r="FV150" i="56"/>
  <c r="FV151" i="56"/>
  <c r="FV152" i="56"/>
  <c r="FV153" i="56"/>
  <c r="FV155" i="56"/>
  <c r="FV156" i="56"/>
  <c r="FV157" i="56"/>
  <c r="FV158" i="56"/>
  <c r="FV159" i="56"/>
  <c r="FV160" i="56"/>
  <c r="FV161" i="56"/>
  <c r="FV162" i="56"/>
  <c r="FV163" i="56"/>
  <c r="FV164" i="56"/>
  <c r="FV165" i="56"/>
  <c r="FV166" i="56"/>
  <c r="FV167" i="56"/>
  <c r="FV168" i="56"/>
  <c r="FV169" i="56"/>
  <c r="FV170" i="56"/>
  <c r="FV171" i="56"/>
  <c r="FV172" i="56"/>
  <c r="FV173" i="56"/>
  <c r="FV174" i="56"/>
  <c r="FV175" i="56"/>
  <c r="FV176" i="56"/>
  <c r="FV177" i="56"/>
  <c r="FV178" i="56"/>
  <c r="FV179" i="56"/>
  <c r="FV180" i="56"/>
  <c r="FV181" i="56"/>
  <c r="FV182" i="56"/>
  <c r="FV183" i="56"/>
  <c r="FV185" i="56"/>
  <c r="FV186" i="56"/>
  <c r="FV187" i="56"/>
  <c r="FV188" i="56"/>
  <c r="FV189" i="56"/>
  <c r="FV190" i="56"/>
  <c r="FV191" i="56"/>
  <c r="FV192" i="56"/>
  <c r="FV193" i="56"/>
  <c r="FV194" i="56"/>
  <c r="FV195" i="56"/>
  <c r="FV196" i="56"/>
  <c r="FV197" i="56"/>
  <c r="FV198" i="56"/>
  <c r="FV199" i="56"/>
  <c r="FV200" i="56"/>
  <c r="FV201" i="56"/>
  <c r="FV202" i="56"/>
  <c r="FV203" i="56"/>
  <c r="FV204" i="56"/>
  <c r="FV205" i="56"/>
  <c r="FV206" i="56"/>
  <c r="FV207" i="56"/>
  <c r="FV208" i="56"/>
  <c r="FV209" i="56"/>
  <c r="FV210" i="56"/>
  <c r="FV211" i="56"/>
  <c r="FV212" i="56"/>
  <c r="FV213" i="56"/>
  <c r="FV214" i="56"/>
  <c r="FV215" i="56"/>
  <c r="FV216" i="56"/>
  <c r="FV217" i="56"/>
  <c r="FV218" i="56"/>
  <c r="FV219" i="56"/>
  <c r="FV220" i="56"/>
  <c r="FV221" i="56"/>
  <c r="FV222" i="56"/>
  <c r="FV223" i="56"/>
  <c r="FV225" i="56"/>
  <c r="FV226" i="56"/>
  <c r="FV227" i="56"/>
  <c r="FV228" i="56"/>
  <c r="FV229" i="56"/>
  <c r="FV230" i="56"/>
  <c r="FV231" i="56"/>
  <c r="FV232" i="56"/>
  <c r="FV233" i="56"/>
  <c r="FV234" i="56"/>
  <c r="FV235" i="56"/>
  <c r="FV236" i="56"/>
  <c r="FV237" i="56"/>
  <c r="FV238" i="56"/>
  <c r="FV239" i="56"/>
  <c r="FV240" i="56"/>
  <c r="FV241" i="56"/>
  <c r="FV242" i="56"/>
  <c r="FV243" i="56"/>
  <c r="FV244" i="56"/>
  <c r="FV245" i="56"/>
  <c r="FV246" i="56"/>
  <c r="FV247" i="56"/>
  <c r="FV248" i="56"/>
  <c r="FV249" i="56"/>
  <c r="FV250" i="56"/>
  <c r="FV251" i="56"/>
  <c r="FV252" i="56"/>
  <c r="FV253" i="56"/>
  <c r="FV254" i="56"/>
  <c r="FV255" i="56"/>
  <c r="FV256" i="56"/>
  <c r="FV257" i="56"/>
  <c r="FV258" i="56"/>
  <c r="FV259" i="56"/>
  <c r="FV260" i="56"/>
  <c r="FV261" i="56"/>
  <c r="FV262" i="56"/>
  <c r="FV263" i="56"/>
  <c r="FV264" i="56"/>
  <c r="FV265" i="56"/>
  <c r="FV266" i="56"/>
  <c r="FV267" i="56"/>
  <c r="FV268" i="56"/>
  <c r="FV269" i="56"/>
  <c r="FV270" i="56"/>
  <c r="FV271" i="56"/>
  <c r="FV272" i="56"/>
  <c r="FV273" i="56"/>
  <c r="FV274" i="56"/>
  <c r="FV275" i="56"/>
  <c r="FV276" i="56"/>
  <c r="FV277" i="56"/>
  <c r="FV278" i="56"/>
  <c r="FV279" i="56"/>
  <c r="FV280" i="56"/>
  <c r="FV281" i="56"/>
  <c r="FV282" i="56"/>
  <c r="FV284" i="56"/>
  <c r="FV285" i="56"/>
  <c r="FV286" i="56"/>
  <c r="FV287" i="56"/>
  <c r="FV288" i="56"/>
  <c r="FV289" i="56"/>
  <c r="FV290" i="56"/>
  <c r="FV291" i="56"/>
  <c r="FV292" i="56"/>
  <c r="FV293" i="56"/>
  <c r="FV294" i="56"/>
  <c r="FV295" i="56"/>
  <c r="FV296" i="56"/>
  <c r="FV297" i="56"/>
  <c r="FV298" i="56"/>
  <c r="FV299" i="56"/>
  <c r="FV300" i="56"/>
  <c r="FV301" i="56"/>
  <c r="FV302" i="56"/>
  <c r="FV303" i="56"/>
  <c r="FV304" i="56"/>
  <c r="FV305" i="56"/>
  <c r="FV306" i="56"/>
  <c r="FV307" i="56"/>
  <c r="FV308" i="56"/>
  <c r="FV309" i="56"/>
  <c r="FV310" i="56"/>
  <c r="FV311" i="56"/>
  <c r="FV312" i="56"/>
  <c r="FV314" i="56"/>
  <c r="FV315" i="56"/>
  <c r="FV316" i="56"/>
  <c r="FV318" i="56"/>
  <c r="FV319" i="56"/>
  <c r="FV320" i="56"/>
  <c r="FV321" i="56"/>
  <c r="FV322" i="56"/>
  <c r="FV323" i="56"/>
  <c r="FV324" i="56"/>
  <c r="FV326" i="56"/>
  <c r="FV327" i="56"/>
  <c r="FV328" i="56"/>
  <c r="FV329" i="56"/>
  <c r="FV331" i="56"/>
  <c r="FV332" i="56"/>
  <c r="FV333" i="56"/>
  <c r="FV334" i="56"/>
  <c r="FV337" i="56"/>
  <c r="FV338" i="56"/>
  <c r="FV339" i="56"/>
  <c r="FV340" i="56"/>
  <c r="FV342" i="56"/>
  <c r="FV343" i="56"/>
  <c r="FV344" i="56"/>
  <c r="FV345" i="56"/>
  <c r="FV346" i="56"/>
  <c r="FV347" i="56"/>
  <c r="FV348" i="56"/>
  <c r="FV349" i="56"/>
  <c r="FV350" i="56"/>
  <c r="FV351" i="56"/>
  <c r="FV352" i="56"/>
  <c r="FR9" i="56"/>
  <c r="FR59" i="56"/>
  <c r="FR135" i="56"/>
  <c r="FR266" i="56"/>
  <c r="FR308" i="56"/>
  <c r="FN3" i="56"/>
  <c r="FN4" i="56"/>
  <c r="FN5" i="56"/>
  <c r="FN6" i="56"/>
  <c r="FN7" i="56"/>
  <c r="FN8" i="56"/>
  <c r="FN9" i="56"/>
  <c r="FN10" i="56"/>
  <c r="FN11" i="56"/>
  <c r="FN12" i="56"/>
  <c r="FN13" i="56"/>
  <c r="FN14" i="56"/>
  <c r="FN15" i="56"/>
  <c r="FN16" i="56"/>
  <c r="FN17" i="56"/>
  <c r="FN18" i="56"/>
  <c r="FN19" i="56"/>
  <c r="FN20" i="56"/>
  <c r="FN21" i="56"/>
  <c r="FN22" i="56"/>
  <c r="FN23" i="56"/>
  <c r="FN24" i="56"/>
  <c r="FN25" i="56"/>
  <c r="FN26" i="56"/>
  <c r="FN27" i="56"/>
  <c r="FN28" i="56"/>
  <c r="FN29" i="56"/>
  <c r="FN30" i="56"/>
  <c r="FN31" i="56"/>
  <c r="FN32" i="56"/>
  <c r="FN33" i="56"/>
  <c r="FN34" i="56"/>
  <c r="FN35" i="56"/>
  <c r="FN36" i="56"/>
  <c r="FN37" i="56"/>
  <c r="FN38" i="56"/>
  <c r="FN39" i="56"/>
  <c r="FN40" i="56"/>
  <c r="FN41" i="56"/>
  <c r="FN42" i="56"/>
  <c r="FN43" i="56"/>
  <c r="FN44" i="56"/>
  <c r="FN45" i="56"/>
  <c r="FN46" i="56"/>
  <c r="FN47" i="56"/>
  <c r="FN48" i="56"/>
  <c r="FN49" i="56"/>
  <c r="FN50" i="56"/>
  <c r="FN51" i="56"/>
  <c r="FN52" i="56"/>
  <c r="FN53" i="56"/>
  <c r="FN54" i="56"/>
  <c r="FN55" i="56"/>
  <c r="FN56" i="56"/>
  <c r="FN57" i="56"/>
  <c r="FN58" i="56"/>
  <c r="FN59" i="56"/>
  <c r="FN60" i="56"/>
  <c r="FN61" i="56"/>
  <c r="FN62" i="56"/>
  <c r="FN63" i="56"/>
  <c r="FN64" i="56"/>
  <c r="FN65" i="56"/>
  <c r="FN66" i="56"/>
  <c r="FN67" i="56"/>
  <c r="FN68" i="56"/>
  <c r="FN69" i="56"/>
  <c r="FN70" i="56"/>
  <c r="FN71" i="56"/>
  <c r="FN72" i="56"/>
  <c r="FN73" i="56"/>
  <c r="FN74" i="56"/>
  <c r="FN75" i="56"/>
  <c r="FN76" i="56"/>
  <c r="FN77" i="56"/>
  <c r="FN78" i="56"/>
  <c r="FN79" i="56"/>
  <c r="FN80" i="56"/>
  <c r="FN81" i="56"/>
  <c r="FN82" i="56"/>
  <c r="FN83" i="56"/>
  <c r="FN84" i="56"/>
  <c r="FN85" i="56"/>
  <c r="FN86" i="56"/>
  <c r="FN87" i="56"/>
  <c r="FN88" i="56"/>
  <c r="FN89" i="56"/>
  <c r="FN90" i="56"/>
  <c r="FN91" i="56"/>
  <c r="FN92" i="56"/>
  <c r="FN93" i="56"/>
  <c r="FN94" i="56"/>
  <c r="FN95" i="56"/>
  <c r="FN96" i="56"/>
  <c r="FN97" i="56"/>
  <c r="FN98" i="56"/>
  <c r="FN99" i="56"/>
  <c r="FN100" i="56"/>
  <c r="FN101" i="56"/>
  <c r="FN102" i="56"/>
  <c r="FN103" i="56"/>
  <c r="FN104" i="56"/>
  <c r="FN105" i="56"/>
  <c r="FN106" i="56"/>
  <c r="FN107" i="56"/>
  <c r="FN108" i="56"/>
  <c r="FN109" i="56"/>
  <c r="FN110" i="56"/>
  <c r="FN111" i="56"/>
  <c r="FN112" i="56"/>
  <c r="FN113" i="56"/>
  <c r="FN114" i="56"/>
  <c r="FN115" i="56"/>
  <c r="FN116" i="56"/>
  <c r="FN117" i="56"/>
  <c r="FN118" i="56"/>
  <c r="FN119" i="56"/>
  <c r="FN120" i="56"/>
  <c r="FN121" i="56"/>
  <c r="FN122" i="56"/>
  <c r="FN123" i="56"/>
  <c r="FN124" i="56"/>
  <c r="FN125" i="56"/>
  <c r="FN126" i="56"/>
  <c r="FN127" i="56"/>
  <c r="FN128" i="56"/>
  <c r="FN129" i="56"/>
  <c r="FN130" i="56"/>
  <c r="FN131" i="56"/>
  <c r="FN132" i="56"/>
  <c r="FN133" i="56"/>
  <c r="FN134" i="56"/>
  <c r="FN135" i="56"/>
  <c r="FN136" i="56"/>
  <c r="FN137" i="56"/>
  <c r="FN138" i="56"/>
  <c r="FN139" i="56"/>
  <c r="FN140" i="56"/>
  <c r="FN141" i="56"/>
  <c r="FN142" i="56"/>
  <c r="FN143" i="56"/>
  <c r="FN144" i="56"/>
  <c r="FN145" i="56"/>
  <c r="FN146" i="56"/>
  <c r="FN147" i="56"/>
  <c r="FN148" i="56"/>
  <c r="FN149" i="56"/>
  <c r="FN150" i="56"/>
  <c r="FN151" i="56"/>
  <c r="FN152" i="56"/>
  <c r="FN153" i="56"/>
  <c r="FN154" i="56"/>
  <c r="FN155" i="56"/>
  <c r="FN156" i="56"/>
  <c r="FN157" i="56"/>
  <c r="FN158" i="56"/>
  <c r="FN159" i="56"/>
  <c r="FN160" i="56"/>
  <c r="FN161" i="56"/>
  <c r="FN162" i="56"/>
  <c r="FN163" i="56"/>
  <c r="FN164" i="56"/>
  <c r="FN165" i="56"/>
  <c r="FN166" i="56"/>
  <c r="FN167" i="56"/>
  <c r="FN168" i="56"/>
  <c r="FN169" i="56"/>
  <c r="FN170" i="56"/>
  <c r="FN171" i="56"/>
  <c r="FN172" i="56"/>
  <c r="FN173" i="56"/>
  <c r="FN174" i="56"/>
  <c r="FN175" i="56"/>
  <c r="FN176" i="56"/>
  <c r="FN177" i="56"/>
  <c r="FN178" i="56"/>
  <c r="FN179" i="56"/>
  <c r="FN180" i="56"/>
  <c r="FN181" i="56"/>
  <c r="FN182" i="56"/>
  <c r="FN183" i="56"/>
  <c r="FN184" i="56"/>
  <c r="FN185" i="56"/>
  <c r="FN186" i="56"/>
  <c r="FN187" i="56"/>
  <c r="FN188" i="56"/>
  <c r="FN189" i="56"/>
  <c r="FN190" i="56"/>
  <c r="FN191" i="56"/>
  <c r="FN192" i="56"/>
  <c r="FN193" i="56"/>
  <c r="FN194" i="56"/>
  <c r="FN195" i="56"/>
  <c r="FN196" i="56"/>
  <c r="FN197" i="56"/>
  <c r="FN198" i="56"/>
  <c r="FN199" i="56"/>
  <c r="FN200" i="56"/>
  <c r="FN201" i="56"/>
  <c r="FN202" i="56"/>
  <c r="FN203" i="56"/>
  <c r="FN204" i="56"/>
  <c r="FN205" i="56"/>
  <c r="FN206" i="56"/>
  <c r="FN207" i="56"/>
  <c r="FN208" i="56"/>
  <c r="FN209" i="56"/>
  <c r="FN210" i="56"/>
  <c r="FN211" i="56"/>
  <c r="FN212" i="56"/>
  <c r="FN213" i="56"/>
  <c r="FN214" i="56"/>
  <c r="FN215" i="56"/>
  <c r="FN216" i="56"/>
  <c r="FN217" i="56"/>
  <c r="FN218" i="56"/>
  <c r="FN219" i="56"/>
  <c r="FN220" i="56"/>
  <c r="FN221" i="56"/>
  <c r="FN222" i="56"/>
  <c r="FN223" i="56"/>
  <c r="FN224" i="56"/>
  <c r="FN225" i="56"/>
  <c r="FN226" i="56"/>
  <c r="FN227" i="56"/>
  <c r="FN228" i="56"/>
  <c r="FN229" i="56"/>
  <c r="FN230" i="56"/>
  <c r="FN231" i="56"/>
  <c r="FN232" i="56"/>
  <c r="FN233" i="56"/>
  <c r="FN234" i="56"/>
  <c r="FN235" i="56"/>
  <c r="FN236" i="56"/>
  <c r="FN237" i="56"/>
  <c r="FN238" i="56"/>
  <c r="FN239" i="56"/>
  <c r="FN240" i="56"/>
  <c r="FN241" i="56"/>
  <c r="FN242" i="56"/>
  <c r="FN243" i="56"/>
  <c r="FN244" i="56"/>
  <c r="FN245" i="56"/>
  <c r="FN246" i="56"/>
  <c r="FN247" i="56"/>
  <c r="FN248" i="56"/>
  <c r="FN249" i="56"/>
  <c r="FN250" i="56"/>
  <c r="FN251" i="56"/>
  <c r="FN252" i="56"/>
  <c r="FN253" i="56"/>
  <c r="FN254" i="56"/>
  <c r="FN255" i="56"/>
  <c r="FN256" i="56"/>
  <c r="FN257" i="56"/>
  <c r="FN258" i="56"/>
  <c r="FN259" i="56"/>
  <c r="FN260" i="56"/>
  <c r="FN261" i="56"/>
  <c r="FN262" i="56"/>
  <c r="FN263" i="56"/>
  <c r="FN264" i="56"/>
  <c r="FN265" i="56"/>
  <c r="FN266" i="56"/>
  <c r="FN267" i="56"/>
  <c r="FN268" i="56"/>
  <c r="FN269" i="56"/>
  <c r="FN270" i="56"/>
  <c r="FN271" i="56"/>
  <c r="FN272" i="56"/>
  <c r="FN273" i="56"/>
  <c r="FN274" i="56"/>
  <c r="FN275" i="56"/>
  <c r="FN276" i="56"/>
  <c r="FN277" i="56"/>
  <c r="FN278" i="56"/>
  <c r="FN279" i="56"/>
  <c r="FN280" i="56"/>
  <c r="FN281" i="56"/>
  <c r="FN282" i="56"/>
  <c r="FN283" i="56"/>
  <c r="FN284" i="56"/>
  <c r="FN285" i="56"/>
  <c r="FN286" i="56"/>
  <c r="FN287" i="56"/>
  <c r="FN288" i="56"/>
  <c r="FN289" i="56"/>
  <c r="FN290" i="56"/>
  <c r="FN291" i="56"/>
  <c r="FN292" i="56"/>
  <c r="FN293" i="56"/>
  <c r="FN294" i="56"/>
  <c r="FN295" i="56"/>
  <c r="FN296" i="56"/>
  <c r="FN297" i="56"/>
  <c r="FN298" i="56"/>
  <c r="FN299" i="56"/>
  <c r="FN300" i="56"/>
  <c r="FN301" i="56"/>
  <c r="FN302" i="56"/>
  <c r="FN303" i="56"/>
  <c r="FN304" i="56"/>
  <c r="FN305" i="56"/>
  <c r="FN306" i="56"/>
  <c r="FN307" i="56"/>
  <c r="FN308" i="56"/>
  <c r="FN309" i="56"/>
  <c r="FN310" i="56"/>
  <c r="FN311" i="56"/>
  <c r="FN312" i="56"/>
  <c r="FN313" i="56"/>
  <c r="FN314" i="56"/>
  <c r="FN315" i="56"/>
  <c r="FN316" i="56"/>
  <c r="FN317" i="56"/>
  <c r="FN318" i="56"/>
  <c r="FN319" i="56"/>
  <c r="FN320" i="56"/>
  <c r="FN321" i="56"/>
  <c r="FN322" i="56"/>
  <c r="FN323" i="56"/>
  <c r="FN324" i="56"/>
  <c r="FN325" i="56"/>
  <c r="FN326" i="56"/>
  <c r="FN327" i="56"/>
  <c r="FN328" i="56"/>
  <c r="FN329" i="56"/>
  <c r="FN330" i="56"/>
  <c r="FN331" i="56"/>
  <c r="FN332" i="56"/>
  <c r="FN333" i="56"/>
  <c r="FN334" i="56"/>
  <c r="FN335" i="56"/>
  <c r="FN336" i="56"/>
  <c r="FN337" i="56"/>
  <c r="FN338" i="56"/>
  <c r="FN339" i="56"/>
  <c r="FN340" i="56"/>
  <c r="FN341" i="56"/>
  <c r="FN342" i="56"/>
  <c r="FN343" i="56"/>
  <c r="FN344" i="56"/>
  <c r="FN345" i="56"/>
  <c r="FN346" i="56"/>
  <c r="FN347" i="56"/>
  <c r="FN348" i="56"/>
  <c r="FN349" i="56"/>
  <c r="FN350" i="56"/>
  <c r="FN351" i="56"/>
  <c r="FN352" i="56"/>
  <c r="FL29" i="56"/>
  <c r="FM29" i="56" s="1"/>
  <c r="FO29" i="56" s="1" a="1"/>
  <c r="FO29" i="56" s="1"/>
  <c r="FL30" i="56"/>
  <c r="FM30" i="56" s="1"/>
  <c r="FO30" i="56" s="1" a="1"/>
  <c r="FO30" i="56" s="1"/>
  <c r="FL72" i="56"/>
  <c r="FM72" i="56" s="1"/>
  <c r="FO72" i="56" s="1" a="1"/>
  <c r="FO72" i="56" s="1"/>
  <c r="FK5" i="56"/>
  <c r="FK6" i="56"/>
  <c r="FK337" i="56"/>
  <c r="FK338" i="56"/>
  <c r="FK339" i="56"/>
  <c r="FK340" i="56"/>
  <c r="FJ3" i="56" a="1"/>
  <c r="FJ3" i="56" s="1"/>
  <c r="FJ4" i="56" a="1"/>
  <c r="FJ4" i="56" s="1"/>
  <c r="FR4" i="56" s="1"/>
  <c r="FJ5" i="56" a="1"/>
  <c r="FJ5" i="56" s="1"/>
  <c r="FR5" i="56" s="1"/>
  <c r="FJ6" i="56" a="1"/>
  <c r="FJ6" i="56" s="1"/>
  <c r="FR6" i="56" s="1"/>
  <c r="FJ7" i="56" a="1"/>
  <c r="FJ7" i="56" s="1"/>
  <c r="FR7" i="56" s="1"/>
  <c r="FJ8" i="56" a="1"/>
  <c r="FJ8" i="56"/>
  <c r="FR8" i="56" s="1"/>
  <c r="FJ9" i="56" a="1"/>
  <c r="FJ9" i="56" s="1"/>
  <c r="FJ10" i="56" a="1"/>
  <c r="FJ10" i="56" s="1"/>
  <c r="FR10" i="56" s="1"/>
  <c r="FJ11" i="56" a="1"/>
  <c r="FJ11" i="56" s="1"/>
  <c r="FR11" i="56" s="1"/>
  <c r="FJ12" i="56" a="1"/>
  <c r="FJ12" i="56" s="1"/>
  <c r="FR12" i="56" s="1"/>
  <c r="FJ13" i="56" a="1"/>
  <c r="FJ13" i="56" s="1"/>
  <c r="FR13" i="56" s="1"/>
  <c r="FJ14" i="56" a="1"/>
  <c r="FJ14" i="56" s="1"/>
  <c r="FR14" i="56" s="1"/>
  <c r="FJ15" i="56" a="1"/>
  <c r="FJ15" i="56" s="1"/>
  <c r="FR15" i="56" s="1"/>
  <c r="FJ16" i="56" a="1"/>
  <c r="FJ16" i="56" s="1"/>
  <c r="FR16" i="56" s="1"/>
  <c r="FJ17" i="56" a="1"/>
  <c r="FJ17" i="56" s="1"/>
  <c r="FR17" i="56" s="1"/>
  <c r="FJ18" i="56" a="1"/>
  <c r="FJ18" i="56" s="1"/>
  <c r="FR18" i="56" s="1"/>
  <c r="FJ19" i="56" a="1"/>
  <c r="FJ19" i="56"/>
  <c r="FR19" i="56" s="1"/>
  <c r="FJ20" i="56" a="1"/>
  <c r="FJ20" i="56" s="1"/>
  <c r="FR20" i="56" s="1"/>
  <c r="FJ21" i="56" a="1"/>
  <c r="FJ21" i="56"/>
  <c r="FR21" i="56" s="1"/>
  <c r="FJ22" i="56" a="1"/>
  <c r="FJ22" i="56" s="1"/>
  <c r="FR22" i="56" s="1"/>
  <c r="FJ23" i="56" a="1"/>
  <c r="FJ23" i="56"/>
  <c r="FR23" i="56" s="1"/>
  <c r="FJ24" i="56" a="1"/>
  <c r="FJ24" i="56" s="1"/>
  <c r="FR24" i="56" s="1"/>
  <c r="FJ25" i="56" a="1"/>
  <c r="FJ25" i="56" s="1"/>
  <c r="FR25" i="56" s="1"/>
  <c r="FJ26" i="56" a="1"/>
  <c r="FJ26" i="56" s="1"/>
  <c r="FR26" i="56" s="1"/>
  <c r="FJ27" i="56" a="1"/>
  <c r="FJ27" i="56"/>
  <c r="FR27" i="56" s="1"/>
  <c r="FJ28" i="56" a="1"/>
  <c r="FJ28" i="56" s="1"/>
  <c r="FR28" i="56" s="1"/>
  <c r="FJ29" i="56" a="1"/>
  <c r="FJ29" i="56" s="1"/>
  <c r="FR29" i="56" s="1"/>
  <c r="FJ30" i="56" a="1"/>
  <c r="FJ30" i="56" s="1"/>
  <c r="FR30" i="56" s="1"/>
  <c r="FJ31" i="56" a="1"/>
  <c r="FJ31" i="56" s="1"/>
  <c r="FR31" i="56" s="1"/>
  <c r="FJ32" i="56" a="1"/>
  <c r="FJ32" i="56" s="1"/>
  <c r="FR32" i="56" s="1"/>
  <c r="FJ33" i="56" a="1"/>
  <c r="FJ33" i="56" s="1"/>
  <c r="FR33" i="56" s="1"/>
  <c r="FJ34" i="56" a="1"/>
  <c r="FJ34" i="56" s="1"/>
  <c r="FR34" i="56" s="1"/>
  <c r="FJ35" i="56" a="1"/>
  <c r="FJ35" i="56"/>
  <c r="FR35" i="56" s="1"/>
  <c r="FJ36" i="56" a="1"/>
  <c r="FJ36" i="56" s="1"/>
  <c r="FR36" i="56" s="1"/>
  <c r="FJ37" i="56" a="1"/>
  <c r="FJ37" i="56" s="1"/>
  <c r="FR37" i="56" s="1"/>
  <c r="FJ38" i="56" a="1"/>
  <c r="FJ38" i="56"/>
  <c r="FR38" i="56" s="1"/>
  <c r="FJ39" i="56" a="1"/>
  <c r="FJ39" i="56" s="1"/>
  <c r="FR39" i="56" s="1"/>
  <c r="FJ40" i="56" a="1"/>
  <c r="FJ40" i="56"/>
  <c r="FR40" i="56" s="1"/>
  <c r="FJ41" i="56" a="1"/>
  <c r="FJ41" i="56" s="1"/>
  <c r="FR41" i="56" s="1"/>
  <c r="FJ42" i="56" a="1"/>
  <c r="FJ42" i="56" s="1"/>
  <c r="FR42" i="56" s="1"/>
  <c r="FJ43" i="56" a="1"/>
  <c r="FJ43" i="56" s="1"/>
  <c r="FR43" i="56" s="1"/>
  <c r="FJ44" i="56" a="1"/>
  <c r="FJ44" i="56" s="1"/>
  <c r="FR44" i="56" s="1"/>
  <c r="FJ45" i="56" a="1"/>
  <c r="FJ45" i="56" s="1"/>
  <c r="FR45" i="56" s="1"/>
  <c r="FJ46" i="56" a="1"/>
  <c r="FJ46" i="56" s="1"/>
  <c r="FR46" i="56" s="1"/>
  <c r="FJ47" i="56" a="1"/>
  <c r="FJ47" i="56" s="1"/>
  <c r="FR47" i="56" s="1"/>
  <c r="FJ48" i="56" a="1"/>
  <c r="FJ48" i="56"/>
  <c r="FR48" i="56" s="1"/>
  <c r="FJ49" i="56" a="1"/>
  <c r="FJ49" i="56" s="1"/>
  <c r="FR49" i="56" s="1"/>
  <c r="FJ50" i="56" a="1"/>
  <c r="FJ50" i="56" s="1"/>
  <c r="FR50" i="56" s="1"/>
  <c r="FJ51" i="56" a="1"/>
  <c r="FJ51" i="56" s="1"/>
  <c r="FR51" i="56" s="1"/>
  <c r="FJ52" i="56" a="1"/>
  <c r="FJ52" i="56" s="1"/>
  <c r="FR52" i="56" s="1"/>
  <c r="FJ53" i="56" a="1"/>
  <c r="FJ53" i="56"/>
  <c r="FR53" i="56" s="1"/>
  <c r="FJ54" i="56" a="1"/>
  <c r="FJ54" i="56" s="1"/>
  <c r="FR54" i="56" s="1"/>
  <c r="FJ55" i="56" a="1"/>
  <c r="FJ55" i="56"/>
  <c r="FR55" i="56" s="1"/>
  <c r="FJ56" i="56" a="1"/>
  <c r="FJ56" i="56" s="1"/>
  <c r="FR56" i="56" s="1"/>
  <c r="FJ57" i="56" a="1"/>
  <c r="FJ57" i="56" s="1"/>
  <c r="FR57" i="56" s="1"/>
  <c r="FJ58" i="56" a="1"/>
  <c r="FJ58" i="56"/>
  <c r="FR58" i="56" s="1"/>
  <c r="FJ59" i="56" a="1"/>
  <c r="FJ59" i="56"/>
  <c r="FJ60" i="56" a="1"/>
  <c r="FJ60" i="56" s="1"/>
  <c r="FR60" i="56" s="1"/>
  <c r="FJ61" i="56" a="1"/>
  <c r="FJ61" i="56" s="1"/>
  <c r="FR61" i="56" s="1"/>
  <c r="FJ62" i="56" a="1"/>
  <c r="FJ62" i="56" s="1"/>
  <c r="FR62" i="56" s="1"/>
  <c r="FJ63" i="56" a="1"/>
  <c r="FJ63" i="56" s="1"/>
  <c r="FR63" i="56" s="1"/>
  <c r="FJ64" i="56" a="1"/>
  <c r="FJ64" i="56" s="1"/>
  <c r="FR64" i="56" s="1"/>
  <c r="FJ65" i="56" a="1"/>
  <c r="FJ65" i="56" s="1"/>
  <c r="FR65" i="56" s="1"/>
  <c r="FJ66" i="56" a="1"/>
  <c r="FJ66" i="56" s="1"/>
  <c r="FR66" i="56" s="1"/>
  <c r="FJ67" i="56" a="1"/>
  <c r="FJ67" i="56"/>
  <c r="FR67" i="56" s="1"/>
  <c r="FJ68" i="56" a="1"/>
  <c r="FJ68" i="56" s="1"/>
  <c r="FR68" i="56" s="1"/>
  <c r="FJ69" i="56" a="1"/>
  <c r="FJ69" i="56" s="1"/>
  <c r="FR69" i="56" s="1"/>
  <c r="FJ70" i="56" a="1"/>
  <c r="FJ70" i="56" s="1"/>
  <c r="FR70" i="56" s="1"/>
  <c r="FJ71" i="56" a="1"/>
  <c r="FJ71" i="56" s="1"/>
  <c r="FR71" i="56" s="1"/>
  <c r="FJ72" i="56" a="1"/>
  <c r="FJ72" i="56" s="1"/>
  <c r="FR72" i="56" s="1"/>
  <c r="FJ73" i="56" a="1"/>
  <c r="FJ73" i="56" s="1"/>
  <c r="FR73" i="56" s="1"/>
  <c r="FJ74" i="56" a="1"/>
  <c r="FJ74" i="56"/>
  <c r="FR74" i="56" s="1"/>
  <c r="FJ75" i="56" a="1"/>
  <c r="FJ75" i="56"/>
  <c r="FR75" i="56" s="1"/>
  <c r="FJ76" i="56" a="1"/>
  <c r="FJ76" i="56" s="1"/>
  <c r="FR76" i="56" s="1"/>
  <c r="FJ77" i="56" a="1"/>
  <c r="FJ77" i="56" s="1"/>
  <c r="FR77" i="56" s="1"/>
  <c r="FJ78" i="56" a="1"/>
  <c r="FJ78" i="56" s="1"/>
  <c r="FR78" i="56" s="1"/>
  <c r="FJ79" i="56" a="1"/>
  <c r="FJ79" i="56" s="1"/>
  <c r="FR79" i="56" s="1"/>
  <c r="FJ80" i="56" a="1"/>
  <c r="FJ80" i="56" s="1"/>
  <c r="FR80" i="56" s="1"/>
  <c r="FJ81" i="56" a="1"/>
  <c r="FJ81" i="56" s="1"/>
  <c r="FR81" i="56" s="1"/>
  <c r="FJ82" i="56" a="1"/>
  <c r="FJ82" i="56" s="1"/>
  <c r="FR82" i="56" s="1"/>
  <c r="FJ83" i="56" a="1"/>
  <c r="FJ83" i="56" s="1"/>
  <c r="FR83" i="56" s="1"/>
  <c r="FJ84" i="56" a="1"/>
  <c r="FJ84" i="56" s="1"/>
  <c r="FR84" i="56" s="1"/>
  <c r="FJ85" i="56" a="1"/>
  <c r="FJ85" i="56" s="1"/>
  <c r="FR85" i="56" s="1"/>
  <c r="FJ86" i="56" a="1"/>
  <c r="FJ86" i="56" s="1"/>
  <c r="FR86" i="56" s="1"/>
  <c r="FJ87" i="56" a="1"/>
  <c r="FJ87" i="56" s="1"/>
  <c r="FR87" i="56" s="1"/>
  <c r="FJ88" i="56" a="1"/>
  <c r="FJ88" i="56" s="1"/>
  <c r="FR88" i="56" s="1"/>
  <c r="FJ89" i="56" a="1"/>
  <c r="FJ89" i="56" s="1"/>
  <c r="FR89" i="56" s="1"/>
  <c r="FJ90" i="56" a="1"/>
  <c r="FJ90" i="56" s="1"/>
  <c r="FR90" i="56" s="1"/>
  <c r="FJ91" i="56" a="1"/>
  <c r="FJ91" i="56"/>
  <c r="FR91" i="56" s="1"/>
  <c r="FJ92" i="56" a="1"/>
  <c r="FJ92" i="56"/>
  <c r="FR92" i="56" s="1"/>
  <c r="FJ93" i="56" a="1"/>
  <c r="FJ93" i="56" s="1"/>
  <c r="FR93" i="56" s="1"/>
  <c r="FJ94" i="56" a="1"/>
  <c r="FJ94" i="56" s="1"/>
  <c r="FR94" i="56" s="1"/>
  <c r="FJ95" i="56" a="1"/>
  <c r="FJ95" i="56" s="1"/>
  <c r="FR95" i="56" s="1"/>
  <c r="FJ96" i="56" a="1"/>
  <c r="FJ96" i="56" s="1"/>
  <c r="FR96" i="56" s="1"/>
  <c r="FJ97" i="56" a="1"/>
  <c r="FJ97" i="56" s="1"/>
  <c r="FR97" i="56" s="1"/>
  <c r="FJ98" i="56" a="1"/>
  <c r="FJ98" i="56" s="1"/>
  <c r="FR98" i="56" s="1"/>
  <c r="FJ99" i="56" a="1"/>
  <c r="FJ99" i="56" s="1"/>
  <c r="FR99" i="56" s="1"/>
  <c r="FJ100" i="56" a="1"/>
  <c r="FJ100" i="56" s="1"/>
  <c r="FR100" i="56" s="1"/>
  <c r="FJ101" i="56" a="1"/>
  <c r="FJ101" i="56" s="1"/>
  <c r="FR101" i="56" s="1"/>
  <c r="FJ102" i="56" a="1"/>
  <c r="FJ102" i="56"/>
  <c r="FR102" i="56" s="1"/>
  <c r="FJ103" i="56" a="1"/>
  <c r="FJ103" i="56" s="1"/>
  <c r="FR103" i="56" s="1"/>
  <c r="FJ104" i="56" a="1"/>
  <c r="FJ104" i="56"/>
  <c r="FR104" i="56" s="1"/>
  <c r="FJ105" i="56" a="1"/>
  <c r="FJ105" i="56" s="1"/>
  <c r="FR105" i="56" s="1"/>
  <c r="FJ106" i="56" a="1"/>
  <c r="FJ106" i="56" s="1"/>
  <c r="FR106" i="56" s="1"/>
  <c r="FJ107" i="56" a="1"/>
  <c r="FJ107" i="56"/>
  <c r="FR107" i="56" s="1"/>
  <c r="FJ108" i="56" a="1"/>
  <c r="FJ108" i="56" s="1"/>
  <c r="FR108" i="56" s="1"/>
  <c r="FJ109" i="56" a="1"/>
  <c r="FJ109" i="56"/>
  <c r="FR109" i="56" s="1"/>
  <c r="FJ110" i="56" a="1"/>
  <c r="FJ110" i="56" s="1"/>
  <c r="FR110" i="56" s="1"/>
  <c r="FJ111" i="56" a="1"/>
  <c r="FJ111" i="56" s="1"/>
  <c r="FR111" i="56" s="1"/>
  <c r="FJ112" i="56" a="1"/>
  <c r="FJ112" i="56" s="1"/>
  <c r="FR112" i="56" s="1"/>
  <c r="FJ113" i="56" a="1"/>
  <c r="FJ113" i="56" s="1"/>
  <c r="FR113" i="56" s="1"/>
  <c r="FJ114" i="56" a="1"/>
  <c r="FJ114" i="56"/>
  <c r="FR114" i="56" s="1"/>
  <c r="FJ115" i="56" a="1"/>
  <c r="FJ115" i="56"/>
  <c r="FR115" i="56" s="1"/>
  <c r="FJ116" i="56" a="1"/>
  <c r="FJ116" i="56" s="1"/>
  <c r="FR116" i="56" s="1"/>
  <c r="FJ117" i="56" a="1"/>
  <c r="FJ117" i="56"/>
  <c r="FR117" i="56" s="1"/>
  <c r="FJ118" i="56" a="1"/>
  <c r="FJ118" i="56"/>
  <c r="FR118" i="56" s="1"/>
  <c r="FJ119" i="56" a="1"/>
  <c r="FJ119" i="56" s="1"/>
  <c r="FR119" i="56" s="1"/>
  <c r="FJ120" i="56" a="1"/>
  <c r="FJ120" i="56" s="1"/>
  <c r="FR120" i="56" s="1"/>
  <c r="FJ121" i="56" a="1"/>
  <c r="FJ121" i="56" s="1"/>
  <c r="FR121" i="56" s="1"/>
  <c r="FJ122" i="56" a="1"/>
  <c r="FJ122" i="56" s="1"/>
  <c r="FR122" i="56" s="1"/>
  <c r="FJ123" i="56" a="1"/>
  <c r="FJ123" i="56" s="1"/>
  <c r="FR123" i="56" s="1"/>
  <c r="FJ124" i="56" a="1"/>
  <c r="FJ124" i="56" s="1"/>
  <c r="FR124" i="56" s="1"/>
  <c r="FJ125" i="56" a="1"/>
  <c r="FJ125" i="56" s="1"/>
  <c r="FR125" i="56" s="1"/>
  <c r="FJ126" i="56" a="1"/>
  <c r="FJ126" i="56" s="1"/>
  <c r="FR126" i="56" s="1"/>
  <c r="FJ127" i="56" a="1"/>
  <c r="FJ127" i="56" s="1"/>
  <c r="FR127" i="56" s="1"/>
  <c r="FJ128" i="56" a="1"/>
  <c r="FJ128" i="56" s="1"/>
  <c r="FR128" i="56" s="1"/>
  <c r="FJ129" i="56" a="1"/>
  <c r="FJ129" i="56" s="1"/>
  <c r="FR129" i="56" s="1"/>
  <c r="FJ130" i="56" a="1"/>
  <c r="FJ130" i="56"/>
  <c r="FR130" i="56" s="1"/>
  <c r="FJ131" i="56" a="1"/>
  <c r="FJ131" i="56"/>
  <c r="FR131" i="56" s="1"/>
  <c r="FJ132" i="56" a="1"/>
  <c r="FJ132" i="56" s="1"/>
  <c r="FR132" i="56" s="1"/>
  <c r="FJ133" i="56" a="1"/>
  <c r="FJ133" i="56" s="1"/>
  <c r="FR133" i="56" s="1"/>
  <c r="FJ134" i="56" a="1"/>
  <c r="FJ134" i="56" s="1"/>
  <c r="FR134" i="56" s="1"/>
  <c r="FJ135" i="56" a="1"/>
  <c r="FJ135" i="56" s="1"/>
  <c r="FJ136" i="56" a="1"/>
  <c r="FJ136" i="56" s="1"/>
  <c r="FR136" i="56" s="1"/>
  <c r="FJ137" i="56" a="1"/>
  <c r="FJ137" i="56" s="1"/>
  <c r="FR137" i="56" s="1"/>
  <c r="FJ138" i="56" a="1"/>
  <c r="FJ138" i="56" s="1"/>
  <c r="FR138" i="56" s="1"/>
  <c r="FJ139" i="56" a="1"/>
  <c r="FJ139" i="56"/>
  <c r="FR139" i="56" s="1"/>
  <c r="FJ140" i="56" a="1"/>
  <c r="FJ140" i="56" s="1"/>
  <c r="FR140" i="56" s="1"/>
  <c r="FJ141" i="56" a="1"/>
  <c r="FJ141" i="56" s="1"/>
  <c r="FR141" i="56" s="1"/>
  <c r="FJ142" i="56" a="1"/>
  <c r="FJ142" i="56"/>
  <c r="FR142" i="56" s="1"/>
  <c r="FJ143" i="56" a="1"/>
  <c r="FJ143" i="56"/>
  <c r="FR143" i="56" s="1"/>
  <c r="FJ144" i="56" a="1"/>
  <c r="FJ144" i="56" s="1"/>
  <c r="FR144" i="56" s="1"/>
  <c r="FJ145" i="56" a="1"/>
  <c r="FJ145" i="56" s="1"/>
  <c r="FR145" i="56" s="1"/>
  <c r="FJ146" i="56" a="1"/>
  <c r="FJ146" i="56" s="1"/>
  <c r="FR146" i="56" s="1"/>
  <c r="FJ147" i="56" a="1"/>
  <c r="FJ147" i="56"/>
  <c r="FR147" i="56" s="1"/>
  <c r="FJ148" i="56" a="1"/>
  <c r="FJ148" i="56"/>
  <c r="FR148" i="56" s="1"/>
  <c r="FJ149" i="56" a="1"/>
  <c r="FJ149" i="56" s="1"/>
  <c r="FR149" i="56" s="1"/>
  <c r="FJ150" i="56" a="1"/>
  <c r="FJ150" i="56" s="1"/>
  <c r="FR150" i="56" s="1"/>
  <c r="FJ151" i="56" a="1"/>
  <c r="FJ151" i="56" s="1"/>
  <c r="FR151" i="56" s="1"/>
  <c r="FJ152" i="56" a="1"/>
  <c r="FJ152" i="56"/>
  <c r="FR152" i="56" s="1"/>
  <c r="FJ153" i="56" a="1"/>
  <c r="FJ153" i="56" s="1"/>
  <c r="FR153" i="56" s="1"/>
  <c r="FJ154" i="56" a="1"/>
  <c r="FJ154" i="56" s="1"/>
  <c r="FR154" i="56" s="1"/>
  <c r="FJ155" i="56" a="1"/>
  <c r="FJ155" i="56" s="1"/>
  <c r="FR155" i="56" s="1"/>
  <c r="FJ156" i="56" a="1"/>
  <c r="FJ156" i="56" s="1"/>
  <c r="FR156" i="56" s="1"/>
  <c r="FJ157" i="56" a="1"/>
  <c r="FJ157" i="56" s="1"/>
  <c r="FR157" i="56" s="1"/>
  <c r="FJ158" i="56" a="1"/>
  <c r="FJ158" i="56" s="1"/>
  <c r="FR158" i="56" s="1"/>
  <c r="FJ159" i="56" a="1"/>
  <c r="FJ159" i="56"/>
  <c r="FR159" i="56" s="1"/>
  <c r="FJ160" i="56" a="1"/>
  <c r="FJ160" i="56"/>
  <c r="FR160" i="56" s="1"/>
  <c r="FJ161" i="56" a="1"/>
  <c r="FJ161" i="56" s="1"/>
  <c r="FR161" i="56" s="1"/>
  <c r="FJ162" i="56" a="1"/>
  <c r="FJ162" i="56"/>
  <c r="FR162" i="56" s="1"/>
  <c r="FJ163" i="56" a="1"/>
  <c r="FJ163" i="56"/>
  <c r="FR163" i="56" s="1"/>
  <c r="FJ164" i="56" a="1"/>
  <c r="FJ164" i="56"/>
  <c r="FR164" i="56" s="1"/>
  <c r="FJ165" i="56" a="1"/>
  <c r="FJ165" i="56" s="1"/>
  <c r="FR165" i="56" s="1"/>
  <c r="FJ166" i="56" a="1"/>
  <c r="FJ166" i="56" s="1"/>
  <c r="FR166" i="56" s="1"/>
  <c r="FJ167" i="56" a="1"/>
  <c r="FJ167" i="56" s="1"/>
  <c r="FR167" i="56" s="1"/>
  <c r="FJ168" i="56" a="1"/>
  <c r="FJ168" i="56"/>
  <c r="FR168" i="56" s="1"/>
  <c r="FJ169" i="56" a="1"/>
  <c r="FJ169" i="56" s="1"/>
  <c r="FR169" i="56" s="1"/>
  <c r="FJ170" i="56" a="1"/>
  <c r="FJ170" i="56"/>
  <c r="FR170" i="56" s="1"/>
  <c r="FJ171" i="56" a="1"/>
  <c r="FJ171" i="56" s="1"/>
  <c r="FR171" i="56" s="1"/>
  <c r="FJ172" i="56" a="1"/>
  <c r="FJ172" i="56" s="1"/>
  <c r="FR172" i="56" s="1"/>
  <c r="FJ173" i="56" a="1"/>
  <c r="FJ173" i="56" s="1"/>
  <c r="FR173" i="56" s="1"/>
  <c r="FJ174" i="56" a="1"/>
  <c r="FJ174" i="56" s="1"/>
  <c r="FR174" i="56" s="1"/>
  <c r="FJ175" i="56" a="1"/>
  <c r="FJ175" i="56" s="1"/>
  <c r="FR175" i="56" s="1"/>
  <c r="FJ176" i="56" a="1"/>
  <c r="FJ176" i="56" s="1"/>
  <c r="FR176" i="56" s="1"/>
  <c r="FJ177" i="56" a="1"/>
  <c r="FJ177" i="56" s="1"/>
  <c r="FR177" i="56" s="1"/>
  <c r="FJ178" i="56" a="1"/>
  <c r="FJ178" i="56" s="1"/>
  <c r="FR178" i="56" s="1"/>
  <c r="FJ179" i="56" a="1"/>
  <c r="FJ179" i="56"/>
  <c r="FR179" i="56" s="1"/>
  <c r="FJ180" i="56" a="1"/>
  <c r="FJ180" i="56" s="1"/>
  <c r="FR180" i="56" s="1"/>
  <c r="FJ181" i="56" a="1"/>
  <c r="FJ181" i="56"/>
  <c r="FR181" i="56" s="1"/>
  <c r="FJ182" i="56" a="1"/>
  <c r="FJ182" i="56"/>
  <c r="FR182" i="56" s="1"/>
  <c r="FJ183" i="56" a="1"/>
  <c r="FJ183" i="56" s="1"/>
  <c r="FR183" i="56" s="1"/>
  <c r="FJ184" i="56" a="1"/>
  <c r="FJ184" i="56" s="1"/>
  <c r="FR184" i="56" s="1"/>
  <c r="FJ185" i="56" a="1"/>
  <c r="FJ185" i="56" s="1"/>
  <c r="FR185" i="56" s="1"/>
  <c r="FJ186" i="56" a="1"/>
  <c r="FJ186" i="56" s="1"/>
  <c r="FR186" i="56" s="1"/>
  <c r="FJ187" i="56" a="1"/>
  <c r="FJ187" i="56" s="1"/>
  <c r="FR187" i="56" s="1"/>
  <c r="FJ188" i="56" a="1"/>
  <c r="FJ188" i="56" s="1"/>
  <c r="FR188" i="56" s="1"/>
  <c r="FJ189" i="56" a="1"/>
  <c r="FJ189" i="56" s="1"/>
  <c r="FR189" i="56" s="1"/>
  <c r="FJ190" i="56" a="1"/>
  <c r="FJ190" i="56" s="1"/>
  <c r="FR190" i="56" s="1"/>
  <c r="FJ191" i="56" a="1"/>
  <c r="FJ191" i="56" s="1"/>
  <c r="FR191" i="56" s="1"/>
  <c r="FJ192" i="56" a="1"/>
  <c r="FJ192" i="56" s="1"/>
  <c r="FR192" i="56" s="1"/>
  <c r="FJ193" i="56" a="1"/>
  <c r="FJ193" i="56" s="1"/>
  <c r="FR193" i="56" s="1"/>
  <c r="FJ194" i="56" a="1"/>
  <c r="FJ194" i="56"/>
  <c r="FR194" i="56" s="1"/>
  <c r="FJ195" i="56" a="1"/>
  <c r="FJ195" i="56"/>
  <c r="FR195" i="56" s="1"/>
  <c r="FJ196" i="56" a="1"/>
  <c r="FJ196" i="56" s="1"/>
  <c r="FR196" i="56" s="1"/>
  <c r="FJ197" i="56" a="1"/>
  <c r="FJ197" i="56" s="1"/>
  <c r="FR197" i="56" s="1"/>
  <c r="FJ198" i="56" a="1"/>
  <c r="FJ198" i="56"/>
  <c r="FR198" i="56" s="1"/>
  <c r="FJ199" i="56" a="1"/>
  <c r="FJ199" i="56" s="1"/>
  <c r="FR199" i="56" s="1"/>
  <c r="FJ200" i="56" a="1"/>
  <c r="FJ200" i="56" s="1"/>
  <c r="FR200" i="56" s="1"/>
  <c r="FJ201" i="56" a="1"/>
  <c r="FJ201" i="56" s="1"/>
  <c r="FR201" i="56" s="1"/>
  <c r="FJ202" i="56" a="1"/>
  <c r="FJ202" i="56"/>
  <c r="FR202" i="56" s="1"/>
  <c r="FJ203" i="56" a="1"/>
  <c r="FJ203" i="56" s="1"/>
  <c r="FR203" i="56" s="1"/>
  <c r="FJ204" i="56" a="1"/>
  <c r="FJ204" i="56"/>
  <c r="FR204" i="56" s="1"/>
  <c r="FJ205" i="56" a="1"/>
  <c r="FJ205" i="56" s="1"/>
  <c r="FR205" i="56" s="1"/>
  <c r="FJ206" i="56" a="1"/>
  <c r="FJ206" i="56" s="1"/>
  <c r="FR206" i="56" s="1"/>
  <c r="FJ207" i="56" a="1"/>
  <c r="FJ207" i="56" s="1"/>
  <c r="FR207" i="56" s="1"/>
  <c r="FJ208" i="56" a="1"/>
  <c r="FJ208" i="56" s="1"/>
  <c r="FR208" i="56" s="1"/>
  <c r="FJ209" i="56" a="1"/>
  <c r="FJ209" i="56" s="1"/>
  <c r="FR209" i="56" s="1"/>
  <c r="FJ210" i="56" a="1"/>
  <c r="FJ210" i="56" s="1"/>
  <c r="FR210" i="56" s="1"/>
  <c r="FJ211" i="56" a="1"/>
  <c r="FJ211" i="56"/>
  <c r="FR211" i="56" s="1"/>
  <c r="FJ212" i="56" a="1"/>
  <c r="FJ212" i="56"/>
  <c r="FR212" i="56" s="1"/>
  <c r="FJ213" i="56" a="1"/>
  <c r="FJ213" i="56"/>
  <c r="FR213" i="56" s="1"/>
  <c r="FJ214" i="56" a="1"/>
  <c r="FJ214" i="56" s="1"/>
  <c r="FR214" i="56" s="1"/>
  <c r="FJ215" i="56" a="1"/>
  <c r="FJ215" i="56" s="1"/>
  <c r="FR215" i="56" s="1"/>
  <c r="FJ216" i="56" a="1"/>
  <c r="FJ216" i="56"/>
  <c r="FR216" i="56" s="1"/>
  <c r="FJ217" i="56" a="1"/>
  <c r="FJ217" i="56" s="1"/>
  <c r="FR217" i="56" s="1"/>
  <c r="FJ218" i="56" a="1"/>
  <c r="FJ218" i="56" s="1"/>
  <c r="FR218" i="56" s="1"/>
  <c r="FJ219" i="56" a="1"/>
  <c r="FJ219" i="56"/>
  <c r="FR219" i="56" s="1"/>
  <c r="FJ220" i="56" a="1"/>
  <c r="FJ220" i="56" s="1"/>
  <c r="FR220" i="56" s="1"/>
  <c r="FJ221" i="56" a="1"/>
  <c r="FJ221" i="56" s="1"/>
  <c r="FR221" i="56" s="1"/>
  <c r="FJ222" i="56" a="1"/>
  <c r="FJ222" i="56" s="1"/>
  <c r="FR222" i="56" s="1"/>
  <c r="FJ223" i="56" a="1"/>
  <c r="FJ223" i="56" s="1"/>
  <c r="FR223" i="56" s="1"/>
  <c r="FJ224" i="56" a="1"/>
  <c r="FJ224" i="56" s="1"/>
  <c r="FR224" i="56" s="1"/>
  <c r="FJ225" i="56" a="1"/>
  <c r="FJ225" i="56" s="1"/>
  <c r="FR225" i="56" s="1"/>
  <c r="FJ226" i="56" a="1"/>
  <c r="FJ226" i="56"/>
  <c r="FR226" i="56" s="1"/>
  <c r="FJ227" i="56" a="1"/>
  <c r="FJ227" i="56" s="1"/>
  <c r="FR227" i="56" s="1"/>
  <c r="FJ228" i="56" a="1"/>
  <c r="FJ228" i="56"/>
  <c r="FR228" i="56" s="1"/>
  <c r="FJ229" i="56" a="1"/>
  <c r="FJ229" i="56" s="1"/>
  <c r="FR229" i="56" s="1"/>
  <c r="FJ230" i="56" a="1"/>
  <c r="FJ230" i="56" s="1"/>
  <c r="FR230" i="56" s="1"/>
  <c r="FJ231" i="56" a="1"/>
  <c r="FJ231" i="56" s="1"/>
  <c r="FR231" i="56" s="1"/>
  <c r="FJ232" i="56" a="1"/>
  <c r="FJ232" i="56"/>
  <c r="FR232" i="56" s="1"/>
  <c r="FJ233" i="56" a="1"/>
  <c r="FJ233" i="56" s="1"/>
  <c r="FR233" i="56" s="1"/>
  <c r="FJ234" i="56" a="1"/>
  <c r="FJ234" i="56" s="1"/>
  <c r="FR234" i="56" s="1"/>
  <c r="FJ235" i="56" a="1"/>
  <c r="FJ235" i="56"/>
  <c r="FR235" i="56" s="1"/>
  <c r="FJ236" i="56" a="1"/>
  <c r="FJ236" i="56"/>
  <c r="FR236" i="56" s="1"/>
  <c r="FJ237" i="56" a="1"/>
  <c r="FJ237" i="56" s="1"/>
  <c r="FR237" i="56" s="1"/>
  <c r="FJ238" i="56" a="1"/>
  <c r="FJ238" i="56" s="1"/>
  <c r="FR238" i="56" s="1"/>
  <c r="FJ239" i="56" a="1"/>
  <c r="FJ239" i="56" s="1"/>
  <c r="FR239" i="56" s="1"/>
  <c r="FJ240" i="56" a="1"/>
  <c r="FJ240" i="56" s="1"/>
  <c r="FR240" i="56" s="1"/>
  <c r="FJ241" i="56" a="1"/>
  <c r="FJ241" i="56" s="1"/>
  <c r="FR241" i="56" s="1"/>
  <c r="FJ242" i="56" a="1"/>
  <c r="FJ242" i="56" s="1"/>
  <c r="FR242" i="56" s="1"/>
  <c r="FJ243" i="56" a="1"/>
  <c r="FJ243" i="56"/>
  <c r="FR243" i="56" s="1"/>
  <c r="FJ244" i="56" a="1"/>
  <c r="FJ244" i="56" s="1"/>
  <c r="FR244" i="56" s="1"/>
  <c r="FJ245" i="56" a="1"/>
  <c r="FJ245" i="56" s="1"/>
  <c r="FR245" i="56" s="1"/>
  <c r="FJ246" i="56" a="1"/>
  <c r="FJ246" i="56"/>
  <c r="FR246" i="56" s="1"/>
  <c r="FJ247" i="56" a="1"/>
  <c r="FJ247" i="56"/>
  <c r="FR247" i="56" s="1"/>
  <c r="FJ248" i="56" a="1"/>
  <c r="FJ248" i="56" s="1"/>
  <c r="FR248" i="56" s="1"/>
  <c r="FJ249" i="56" a="1"/>
  <c r="FJ249" i="56" s="1"/>
  <c r="FR249" i="56" s="1"/>
  <c r="FJ250" i="56" a="1"/>
  <c r="FJ250" i="56" s="1"/>
  <c r="FR250" i="56" s="1"/>
  <c r="FJ251" i="56" a="1"/>
  <c r="FJ251" i="56"/>
  <c r="FR251" i="56" s="1"/>
  <c r="FJ252" i="56" a="1"/>
  <c r="FJ252" i="56" s="1"/>
  <c r="FR252" i="56" s="1"/>
  <c r="FJ253" i="56" a="1"/>
  <c r="FJ253" i="56" s="1"/>
  <c r="FR253" i="56" s="1"/>
  <c r="FJ254" i="56" a="1"/>
  <c r="FJ254" i="56" s="1"/>
  <c r="FR254" i="56" s="1"/>
  <c r="FJ255" i="56" a="1"/>
  <c r="FJ255" i="56" s="1"/>
  <c r="FR255" i="56" s="1"/>
  <c r="FJ256" i="56" a="1"/>
  <c r="FJ256" i="56" s="1"/>
  <c r="FR256" i="56" s="1"/>
  <c r="FJ257" i="56" a="1"/>
  <c r="FJ257" i="56" s="1"/>
  <c r="FR257" i="56" s="1"/>
  <c r="FJ258" i="56" a="1"/>
  <c r="FJ258" i="56"/>
  <c r="FR258" i="56" s="1"/>
  <c r="FJ259" i="56" a="1"/>
  <c r="FJ259" i="56"/>
  <c r="FR259" i="56" s="1"/>
  <c r="FJ260" i="56" a="1"/>
  <c r="FJ260" i="56" s="1"/>
  <c r="FR260" i="56" s="1"/>
  <c r="FJ261" i="56" a="1"/>
  <c r="FJ261" i="56" s="1"/>
  <c r="FR261" i="56" s="1"/>
  <c r="FJ262" i="56" a="1"/>
  <c r="FJ262" i="56"/>
  <c r="FR262" i="56" s="1"/>
  <c r="FJ263" i="56" a="1"/>
  <c r="FJ263" i="56" s="1"/>
  <c r="FR263" i="56" s="1"/>
  <c r="FJ264" i="56" a="1"/>
  <c r="FJ264" i="56" s="1"/>
  <c r="FR264" i="56" s="1"/>
  <c r="FJ265" i="56" a="1"/>
  <c r="FJ265" i="56" s="1"/>
  <c r="FR265" i="56" s="1"/>
  <c r="FJ266" i="56" a="1"/>
  <c r="FJ266" i="56" s="1"/>
  <c r="FJ267" i="56" a="1"/>
  <c r="FJ267" i="56"/>
  <c r="FR267" i="56" s="1"/>
  <c r="FJ268" i="56" a="1"/>
  <c r="FJ268" i="56" s="1"/>
  <c r="FR268" i="56" s="1"/>
  <c r="FJ269" i="56" a="1"/>
  <c r="FJ269" i="56" s="1"/>
  <c r="FR269" i="56" s="1"/>
  <c r="FJ270" i="56" a="1"/>
  <c r="FJ270" i="56"/>
  <c r="FR270" i="56" s="1"/>
  <c r="FJ271" i="56" a="1"/>
  <c r="FJ271" i="56" s="1"/>
  <c r="FR271" i="56" s="1"/>
  <c r="FJ272" i="56" a="1"/>
  <c r="FJ272" i="56" s="1"/>
  <c r="FR272" i="56" s="1"/>
  <c r="FJ273" i="56" a="1"/>
  <c r="FJ273" i="56" s="1"/>
  <c r="FR273" i="56" s="1"/>
  <c r="FJ274" i="56" a="1"/>
  <c r="FJ274" i="56" s="1"/>
  <c r="FR274" i="56" s="1"/>
  <c r="FJ275" i="56" a="1"/>
  <c r="FJ275" i="56"/>
  <c r="FR275" i="56" s="1"/>
  <c r="FJ276" i="56" a="1"/>
  <c r="FJ276" i="56" s="1"/>
  <c r="FR276" i="56" s="1"/>
  <c r="FJ277" i="56" a="1"/>
  <c r="FJ277" i="56" s="1"/>
  <c r="FR277" i="56" s="1"/>
  <c r="FJ278" i="56" a="1"/>
  <c r="FJ278" i="56" s="1"/>
  <c r="FR278" i="56" s="1"/>
  <c r="FJ279" i="56" a="1"/>
  <c r="FJ279" i="56"/>
  <c r="FR279" i="56" s="1"/>
  <c r="FJ280" i="56" a="1"/>
  <c r="FJ280" i="56" s="1"/>
  <c r="FR280" i="56" s="1"/>
  <c r="FJ281" i="56" a="1"/>
  <c r="FJ281" i="56" s="1"/>
  <c r="FR281" i="56" s="1"/>
  <c r="FJ282" i="56" a="1"/>
  <c r="FJ282" i="56" s="1"/>
  <c r="FR282" i="56" s="1"/>
  <c r="FJ283" i="56" a="1"/>
  <c r="FJ283" i="56"/>
  <c r="FR283" i="56" s="1"/>
  <c r="FJ284" i="56" a="1"/>
  <c r="FJ284" i="56" s="1"/>
  <c r="FR284" i="56" s="1"/>
  <c r="FJ285" i="56" a="1"/>
  <c r="FJ285" i="56" s="1"/>
  <c r="FR285" i="56" s="1"/>
  <c r="FJ286" i="56" a="1"/>
  <c r="FJ286" i="56" s="1"/>
  <c r="FR286" i="56" s="1"/>
  <c r="FJ287" i="56" a="1"/>
  <c r="FJ287" i="56"/>
  <c r="FR287" i="56" s="1"/>
  <c r="FJ288" i="56" a="1"/>
  <c r="FJ288" i="56"/>
  <c r="FR288" i="56" s="1"/>
  <c r="FJ289" i="56" a="1"/>
  <c r="FJ289" i="56" s="1"/>
  <c r="FR289" i="56" s="1"/>
  <c r="FJ290" i="56" a="1"/>
  <c r="FJ290" i="56" s="1"/>
  <c r="FR290" i="56" s="1"/>
  <c r="FJ291" i="56" a="1"/>
  <c r="FJ291" i="56"/>
  <c r="FR291" i="56" s="1"/>
  <c r="FJ292" i="56" a="1"/>
  <c r="FJ292" i="56"/>
  <c r="FR292" i="56" s="1"/>
  <c r="FJ293" i="56" a="1"/>
  <c r="FJ293" i="56"/>
  <c r="FR293" i="56" s="1"/>
  <c r="FJ294" i="56" a="1"/>
  <c r="FJ294" i="56" s="1"/>
  <c r="FR294" i="56" s="1"/>
  <c r="FJ295" i="56" a="1"/>
  <c r="FJ295" i="56" s="1"/>
  <c r="FR295" i="56" s="1"/>
  <c r="FJ296" i="56" a="1"/>
  <c r="FJ296" i="56"/>
  <c r="FR296" i="56" s="1"/>
  <c r="FJ297" i="56" a="1"/>
  <c r="FJ297" i="56" s="1"/>
  <c r="FR297" i="56" s="1"/>
  <c r="FJ298" i="56" a="1"/>
  <c r="FJ298" i="56"/>
  <c r="FR298" i="56" s="1"/>
  <c r="FJ299" i="56" a="1"/>
  <c r="FJ299" i="56"/>
  <c r="FR299" i="56" s="1"/>
  <c r="FJ300" i="56" a="1"/>
  <c r="FJ300" i="56"/>
  <c r="FR300" i="56" s="1"/>
  <c r="FJ301" i="56" a="1"/>
  <c r="FJ301" i="56" s="1"/>
  <c r="FR301" i="56" s="1"/>
  <c r="FJ302" i="56" a="1"/>
  <c r="FJ302" i="56" s="1"/>
  <c r="FR302" i="56" s="1"/>
  <c r="FJ303" i="56" a="1"/>
  <c r="FJ303" i="56" s="1"/>
  <c r="FR303" i="56" s="1"/>
  <c r="FJ304" i="56" a="1"/>
  <c r="FJ304" i="56"/>
  <c r="FR304" i="56" s="1"/>
  <c r="FJ305" i="56" a="1"/>
  <c r="FJ305" i="56" s="1"/>
  <c r="FR305" i="56" s="1"/>
  <c r="FJ306" i="56" a="1"/>
  <c r="FJ306" i="56" s="1"/>
  <c r="FR306" i="56" s="1"/>
  <c r="FJ307" i="56" a="1"/>
  <c r="FJ307" i="56"/>
  <c r="FR307" i="56" s="1"/>
  <c r="FJ308" i="56" a="1"/>
  <c r="FJ308" i="56" s="1"/>
  <c r="FJ309" i="56" a="1"/>
  <c r="FJ309" i="56" s="1"/>
  <c r="FR309" i="56" s="1"/>
  <c r="FJ310" i="56" a="1"/>
  <c r="FJ310" i="56"/>
  <c r="FR310" i="56" s="1"/>
  <c r="FJ311" i="56" a="1"/>
  <c r="FJ311" i="56"/>
  <c r="FR311" i="56" s="1"/>
  <c r="FJ312" i="56" a="1"/>
  <c r="FJ312" i="56" s="1"/>
  <c r="FR312" i="56" s="1"/>
  <c r="FJ313" i="56" a="1"/>
  <c r="FJ313" i="56" s="1"/>
  <c r="FR313" i="56" s="1"/>
  <c r="FJ314" i="56" a="1"/>
  <c r="FJ314" i="56" s="1"/>
  <c r="FR314" i="56" s="1"/>
  <c r="FJ315" i="56" a="1"/>
  <c r="FJ315" i="56"/>
  <c r="FR315" i="56" s="1"/>
  <c r="FJ316" i="56" a="1"/>
  <c r="FJ316" i="56" s="1"/>
  <c r="FR316" i="56" s="1"/>
  <c r="FJ317" i="56" a="1"/>
  <c r="FJ317" i="56"/>
  <c r="FR317" i="56" s="1"/>
  <c r="FJ318" i="56" a="1"/>
  <c r="FJ318" i="56" s="1"/>
  <c r="FR318" i="56" s="1"/>
  <c r="FJ319" i="56" a="1"/>
  <c r="FJ319" i="56" s="1"/>
  <c r="FR319" i="56" s="1"/>
  <c r="FJ320" i="56" a="1"/>
  <c r="FJ320" i="56" s="1"/>
  <c r="FR320" i="56" s="1"/>
  <c r="FJ321" i="56" a="1"/>
  <c r="FJ321" i="56" s="1"/>
  <c r="FR321" i="56" s="1"/>
  <c r="FJ322" i="56" a="1"/>
  <c r="FJ322" i="56" s="1"/>
  <c r="FR322" i="56" s="1"/>
  <c r="FJ323" i="56" a="1"/>
  <c r="FJ323" i="56"/>
  <c r="FR323" i="56" s="1"/>
  <c r="FJ324" i="56" a="1"/>
  <c r="FJ324" i="56" s="1"/>
  <c r="FR324" i="56" s="1"/>
  <c r="FJ325" i="56" a="1"/>
  <c r="FJ325" i="56" s="1"/>
  <c r="FR325" i="56" s="1"/>
  <c r="FJ326" i="56" a="1"/>
  <c r="FJ326" i="56"/>
  <c r="FR326" i="56" s="1"/>
  <c r="FJ327" i="56" a="1"/>
  <c r="FJ327" i="56" s="1"/>
  <c r="FR327" i="56" s="1"/>
  <c r="FJ328" i="56" a="1"/>
  <c r="FJ328" i="56" s="1"/>
  <c r="FR328" i="56" s="1"/>
  <c r="FJ329" i="56" a="1"/>
  <c r="FJ329" i="56" s="1"/>
  <c r="FR329" i="56" s="1"/>
  <c r="FJ330" i="56" a="1"/>
  <c r="FJ330" i="56"/>
  <c r="FR330" i="56" s="1"/>
  <c r="FJ331" i="56" a="1"/>
  <c r="FJ331" i="56" s="1"/>
  <c r="FR331" i="56" s="1"/>
  <c r="FJ332" i="56" a="1"/>
  <c r="FJ332" i="56" s="1"/>
  <c r="FR332" i="56" s="1"/>
  <c r="FJ333" i="56" a="1"/>
  <c r="FJ333" i="56" s="1"/>
  <c r="FR333" i="56" s="1"/>
  <c r="FJ334" i="56" a="1"/>
  <c r="FJ334" i="56" s="1"/>
  <c r="FR334" i="56" s="1"/>
  <c r="FJ335" i="56" a="1"/>
  <c r="FJ335" i="56" s="1"/>
  <c r="FR335" i="56" s="1"/>
  <c r="FJ336" i="56" a="1"/>
  <c r="FJ336" i="56" s="1"/>
  <c r="FR336" i="56" s="1"/>
  <c r="FJ337" i="56" a="1"/>
  <c r="FJ337" i="56" s="1"/>
  <c r="FR337" i="56" s="1"/>
  <c r="FJ338" i="56" a="1"/>
  <c r="FJ338" i="56" s="1"/>
  <c r="FR338" i="56" s="1"/>
  <c r="FJ339" i="56" a="1"/>
  <c r="FJ339" i="56" s="1"/>
  <c r="FR339" i="56" s="1"/>
  <c r="FJ340" i="56" a="1"/>
  <c r="FJ340" i="56" s="1"/>
  <c r="FR340" i="56" s="1"/>
  <c r="FJ341" i="56" a="1"/>
  <c r="FJ341" i="56" s="1"/>
  <c r="FR341" i="56" s="1"/>
  <c r="FJ342" i="56" a="1"/>
  <c r="FJ342" i="56" s="1"/>
  <c r="FR342" i="56" s="1"/>
  <c r="FJ343" i="56" a="1"/>
  <c r="FJ343" i="56" s="1"/>
  <c r="FR343" i="56" s="1"/>
  <c r="FJ344" i="56" a="1"/>
  <c r="FJ344" i="56"/>
  <c r="FR344" i="56" s="1"/>
  <c r="FJ345" i="56" a="1"/>
  <c r="FJ345" i="56" s="1"/>
  <c r="FR345" i="56" s="1"/>
  <c r="FJ346" i="56" a="1"/>
  <c r="FJ346" i="56" s="1"/>
  <c r="FR346" i="56" s="1"/>
  <c r="FJ347" i="56" a="1"/>
  <c r="FJ347" i="56" s="1"/>
  <c r="FR347" i="56" s="1"/>
  <c r="FJ348" i="56" a="1"/>
  <c r="FJ348" i="56" s="1"/>
  <c r="FR348" i="56" s="1"/>
  <c r="FJ349" i="56" a="1"/>
  <c r="FJ349" i="56" s="1"/>
  <c r="FR349" i="56" s="1"/>
  <c r="FJ350" i="56" a="1"/>
  <c r="FJ350" i="56" s="1"/>
  <c r="FR350" i="56" s="1"/>
  <c r="FJ351" i="56" a="1"/>
  <c r="FJ351" i="56" s="1"/>
  <c r="FR351" i="56" s="1"/>
  <c r="FJ352" i="56" a="1"/>
  <c r="FJ352" i="56" s="1"/>
  <c r="FR352" i="56" s="1"/>
  <c r="FE89" i="56"/>
  <c r="FE90" i="56"/>
  <c r="FE91" i="56"/>
  <c r="FE93" i="56"/>
  <c r="FE94" i="56"/>
  <c r="FE95" i="56"/>
  <c r="FE96" i="56"/>
  <c r="FE97" i="56"/>
  <c r="FE98" i="56"/>
  <c r="FE99" i="56"/>
  <c r="FE100" i="56"/>
  <c r="FE101" i="56"/>
  <c r="FE105" i="56"/>
  <c r="FE131" i="56"/>
  <c r="FE134" i="56"/>
  <c r="FE135" i="56"/>
  <c r="FE138" i="56"/>
  <c r="FE141" i="56"/>
  <c r="FE144" i="56"/>
  <c r="FE147" i="56"/>
  <c r="FE155" i="56"/>
  <c r="FE156" i="56"/>
  <c r="FE157" i="56"/>
  <c r="FE158" i="56"/>
  <c r="FE159" i="56"/>
  <c r="FE160" i="56"/>
  <c r="FE161" i="56"/>
  <c r="FE162" i="56"/>
  <c r="FE163" i="56"/>
  <c r="FE164" i="56"/>
  <c r="FE165" i="56"/>
  <c r="FE166" i="56"/>
  <c r="FE167" i="56"/>
  <c r="FE168" i="56"/>
  <c r="FE169" i="56"/>
  <c r="FE170" i="56"/>
  <c r="FE171" i="56"/>
  <c r="FE172" i="56"/>
  <c r="FE173" i="56"/>
  <c r="FE174" i="56"/>
  <c r="FE175" i="56"/>
  <c r="FE176" i="56"/>
  <c r="FE177" i="56"/>
  <c r="FE178" i="56"/>
  <c r="FE179" i="56"/>
  <c r="FE180" i="56"/>
  <c r="FE181" i="56"/>
  <c r="FE182" i="56"/>
  <c r="FE183" i="56"/>
  <c r="FE185" i="56"/>
  <c r="FE186" i="56"/>
  <c r="FE187" i="56"/>
  <c r="FE188" i="56"/>
  <c r="FE189" i="56"/>
  <c r="FE190" i="56"/>
  <c r="FE191" i="56"/>
  <c r="FE192" i="56"/>
  <c r="FE193" i="56"/>
  <c r="FE194" i="56"/>
  <c r="FE195" i="56"/>
  <c r="FE196" i="56"/>
  <c r="FE197" i="56"/>
  <c r="FE198" i="56"/>
  <c r="FE199" i="56"/>
  <c r="FE200" i="56"/>
  <c r="FE201" i="56"/>
  <c r="FE202" i="56"/>
  <c r="FE203" i="56"/>
  <c r="FE204" i="56"/>
  <c r="FE205" i="56"/>
  <c r="FE206" i="56"/>
  <c r="FE207" i="56"/>
  <c r="FE208" i="56"/>
  <c r="FE209" i="56"/>
  <c r="FE210" i="56"/>
  <c r="FE211" i="56"/>
  <c r="FE212" i="56"/>
  <c r="FE213" i="56"/>
  <c r="FE214" i="56"/>
  <c r="FE215" i="56"/>
  <c r="FE216" i="56"/>
  <c r="FE217" i="56"/>
  <c r="FE218" i="56"/>
  <c r="FE219" i="56"/>
  <c r="FE220" i="56"/>
  <c r="FE221" i="56"/>
  <c r="FE222" i="56"/>
  <c r="FE223" i="56"/>
  <c r="FE225" i="56"/>
  <c r="FE228" i="56"/>
  <c r="FE235" i="56"/>
  <c r="FE242" i="56"/>
  <c r="FE249" i="56"/>
  <c r="FE252" i="56"/>
  <c r="FE258" i="56"/>
  <c r="FE261" i="56"/>
  <c r="FE284" i="56"/>
  <c r="FE285" i="56"/>
  <c r="FE286" i="56"/>
  <c r="FE287" i="56"/>
  <c r="FE288" i="56"/>
  <c r="FE289" i="56"/>
  <c r="FE290" i="56"/>
  <c r="FE291" i="56"/>
  <c r="FE292" i="56"/>
  <c r="FE293" i="56"/>
  <c r="FE294" i="56"/>
  <c r="FE295" i="56"/>
  <c r="FE296" i="56"/>
  <c r="FE297" i="56"/>
  <c r="FE298" i="56"/>
  <c r="FE299" i="56"/>
  <c r="FE300" i="56"/>
  <c r="FE301" i="56"/>
  <c r="FE302" i="56"/>
  <c r="FE303" i="56"/>
  <c r="FE304" i="56"/>
  <c r="FE305" i="56"/>
  <c r="FE306" i="56"/>
  <c r="FE307" i="56"/>
  <c r="FE308" i="56"/>
  <c r="FE309" i="56"/>
  <c r="FE310" i="56"/>
  <c r="FE311" i="56"/>
  <c r="FE312" i="56"/>
  <c r="FE318" i="56"/>
  <c r="FE319" i="56"/>
  <c r="FE320" i="56"/>
  <c r="FE321" i="56"/>
  <c r="FE322" i="56"/>
  <c r="FE323" i="56"/>
  <c r="FE324" i="56"/>
  <c r="FE326" i="56"/>
  <c r="FE327" i="56"/>
  <c r="FE328" i="56"/>
  <c r="FE329" i="56"/>
  <c r="FE331" i="56"/>
  <c r="FE332" i="56"/>
  <c r="FE333" i="56"/>
  <c r="FE334" i="56"/>
  <c r="FE342" i="56"/>
  <c r="FE343" i="56"/>
  <c r="FE344" i="56"/>
  <c r="FE345" i="56"/>
  <c r="FE346" i="56"/>
  <c r="FE347" i="56"/>
  <c r="FE348" i="56"/>
  <c r="FE349" i="56"/>
  <c r="FE350" i="56"/>
  <c r="FC3" i="56"/>
  <c r="FC4" i="56"/>
  <c r="FC5" i="56"/>
  <c r="FC6" i="56"/>
  <c r="FC7" i="56"/>
  <c r="FC8" i="56"/>
  <c r="FC9" i="56"/>
  <c r="FC10" i="56"/>
  <c r="FC11" i="56"/>
  <c r="FC12" i="56"/>
  <c r="FC13" i="56"/>
  <c r="FC14" i="56"/>
  <c r="FC15" i="56"/>
  <c r="FC16" i="56"/>
  <c r="FC17" i="56"/>
  <c r="FC18" i="56"/>
  <c r="FC19" i="56"/>
  <c r="FC20" i="56"/>
  <c r="FC21" i="56"/>
  <c r="FC22" i="56"/>
  <c r="FC23" i="56"/>
  <c r="FC24" i="56"/>
  <c r="FC25" i="56"/>
  <c r="FC26" i="56"/>
  <c r="FC27" i="56"/>
  <c r="FC28" i="56"/>
  <c r="FC29" i="56"/>
  <c r="FC30" i="56"/>
  <c r="FC31" i="56"/>
  <c r="FC32" i="56"/>
  <c r="FC33" i="56"/>
  <c r="FC34" i="56"/>
  <c r="FC35" i="56"/>
  <c r="FC36" i="56"/>
  <c r="FC37" i="56"/>
  <c r="FC38" i="56"/>
  <c r="FC39" i="56"/>
  <c r="FC40" i="56"/>
  <c r="FC41" i="56"/>
  <c r="FC42" i="56"/>
  <c r="FC43" i="56"/>
  <c r="FC44" i="56"/>
  <c r="FC45" i="56"/>
  <c r="FC46" i="56"/>
  <c r="FC47" i="56"/>
  <c r="FC48" i="56"/>
  <c r="FC49" i="56"/>
  <c r="FC50" i="56"/>
  <c r="FC51" i="56"/>
  <c r="FC52" i="56"/>
  <c r="FC53" i="56"/>
  <c r="FC54" i="56"/>
  <c r="FC55" i="56"/>
  <c r="FC56" i="56"/>
  <c r="FC57" i="56"/>
  <c r="FC58" i="56"/>
  <c r="FC59" i="56"/>
  <c r="FC60" i="56"/>
  <c r="FC61" i="56"/>
  <c r="FC62" i="56"/>
  <c r="FC63" i="56"/>
  <c r="FC64" i="56"/>
  <c r="FC65" i="56"/>
  <c r="FC66" i="56"/>
  <c r="FC67" i="56"/>
  <c r="FC68" i="56"/>
  <c r="FC69" i="56"/>
  <c r="FC70" i="56"/>
  <c r="FC71" i="56"/>
  <c r="FC72" i="56"/>
  <c r="FC73" i="56"/>
  <c r="FC74" i="56"/>
  <c r="FC75" i="56"/>
  <c r="FC76" i="56"/>
  <c r="FC77" i="56"/>
  <c r="FC78" i="56"/>
  <c r="FC79" i="56"/>
  <c r="FC80" i="56"/>
  <c r="FC81" i="56"/>
  <c r="FC82" i="56"/>
  <c r="FC83" i="56"/>
  <c r="FC84" i="56"/>
  <c r="FC85" i="56"/>
  <c r="FC86" i="56"/>
  <c r="FC87" i="56"/>
  <c r="FC88" i="56"/>
  <c r="FC89" i="56"/>
  <c r="FC90" i="56"/>
  <c r="FC91" i="56"/>
  <c r="FC92" i="56"/>
  <c r="FC93" i="56"/>
  <c r="FC94" i="56"/>
  <c r="FC95" i="56"/>
  <c r="FC96" i="56"/>
  <c r="FC97" i="56"/>
  <c r="FC98" i="56"/>
  <c r="FC99" i="56"/>
  <c r="FC100" i="56"/>
  <c r="FC101" i="56"/>
  <c r="FC102" i="56"/>
  <c r="FC103" i="56"/>
  <c r="FC104" i="56"/>
  <c r="FC105" i="56"/>
  <c r="FC106" i="56"/>
  <c r="FC107" i="56"/>
  <c r="FC108" i="56"/>
  <c r="FC109" i="56"/>
  <c r="FC110" i="56"/>
  <c r="FC111" i="56"/>
  <c r="FC112" i="56"/>
  <c r="FC113" i="56"/>
  <c r="FC114" i="56"/>
  <c r="FC115" i="56"/>
  <c r="FC116" i="56"/>
  <c r="FC117" i="56"/>
  <c r="FC118" i="56"/>
  <c r="FC119" i="56"/>
  <c r="FC120" i="56"/>
  <c r="FC121" i="56"/>
  <c r="FC122" i="56"/>
  <c r="FC123" i="56"/>
  <c r="FC124" i="56"/>
  <c r="FC125" i="56"/>
  <c r="FC126" i="56"/>
  <c r="FC127" i="56"/>
  <c r="FC128" i="56"/>
  <c r="FC129" i="56"/>
  <c r="FC130" i="56"/>
  <c r="FC131" i="56"/>
  <c r="FC132" i="56"/>
  <c r="FC133" i="56"/>
  <c r="FC134" i="56"/>
  <c r="FC135" i="56"/>
  <c r="FC136" i="56"/>
  <c r="FC137" i="56"/>
  <c r="FC138" i="56"/>
  <c r="FC139" i="56"/>
  <c r="FC140" i="56"/>
  <c r="FC141" i="56"/>
  <c r="FC142" i="56"/>
  <c r="FC143" i="56"/>
  <c r="FC144" i="56"/>
  <c r="FC145" i="56"/>
  <c r="FC146" i="56"/>
  <c r="FC147" i="56"/>
  <c r="FC148" i="56"/>
  <c r="FC149" i="56"/>
  <c r="FC150" i="56"/>
  <c r="FC151" i="56"/>
  <c r="FC152" i="56"/>
  <c r="FC153" i="56"/>
  <c r="FC154" i="56"/>
  <c r="FC155" i="56"/>
  <c r="FC156" i="56"/>
  <c r="FC157" i="56"/>
  <c r="FC158" i="56"/>
  <c r="FC159" i="56"/>
  <c r="FC160" i="56"/>
  <c r="FC161" i="56"/>
  <c r="FC162" i="56"/>
  <c r="FC163" i="56"/>
  <c r="FC164" i="56"/>
  <c r="FC165" i="56"/>
  <c r="FC166" i="56"/>
  <c r="FC167" i="56"/>
  <c r="FC168" i="56"/>
  <c r="FC169" i="56"/>
  <c r="FC170" i="56"/>
  <c r="FC171" i="56"/>
  <c r="FC172" i="56"/>
  <c r="FC173" i="56"/>
  <c r="FC174" i="56"/>
  <c r="FC175" i="56"/>
  <c r="FC176" i="56"/>
  <c r="FC177" i="56"/>
  <c r="FC178" i="56"/>
  <c r="FC179" i="56"/>
  <c r="FC180" i="56"/>
  <c r="FC181" i="56"/>
  <c r="FC182" i="56"/>
  <c r="FC183" i="56"/>
  <c r="FC184" i="56"/>
  <c r="FC185" i="56"/>
  <c r="FC186" i="56"/>
  <c r="FC187" i="56"/>
  <c r="FC188" i="56"/>
  <c r="FC189" i="56"/>
  <c r="FC190" i="56"/>
  <c r="FC191" i="56"/>
  <c r="FC192" i="56"/>
  <c r="FC193" i="56"/>
  <c r="FC194" i="56"/>
  <c r="FC195" i="56"/>
  <c r="FC196" i="56"/>
  <c r="FC197" i="56"/>
  <c r="FC198" i="56"/>
  <c r="FC199" i="56"/>
  <c r="FC200" i="56"/>
  <c r="FC201" i="56"/>
  <c r="FC202" i="56"/>
  <c r="FC203" i="56"/>
  <c r="FC204" i="56"/>
  <c r="FC205" i="56"/>
  <c r="FC206" i="56"/>
  <c r="FC207" i="56"/>
  <c r="FC208" i="56"/>
  <c r="FC209" i="56"/>
  <c r="FC210" i="56"/>
  <c r="FC211" i="56"/>
  <c r="FC212" i="56"/>
  <c r="FC213" i="56"/>
  <c r="FC214" i="56"/>
  <c r="FC215" i="56"/>
  <c r="FC216" i="56"/>
  <c r="FC217" i="56"/>
  <c r="FC218" i="56"/>
  <c r="FC219" i="56"/>
  <c r="FC220" i="56"/>
  <c r="FC221" i="56"/>
  <c r="FC222" i="56"/>
  <c r="FC223" i="56"/>
  <c r="FC224" i="56"/>
  <c r="FC225" i="56"/>
  <c r="FC226" i="56"/>
  <c r="FC227" i="56"/>
  <c r="FC228" i="56"/>
  <c r="FC229" i="56"/>
  <c r="FC230" i="56"/>
  <c r="FC231" i="56"/>
  <c r="FC232" i="56"/>
  <c r="FC233" i="56"/>
  <c r="FC234" i="56"/>
  <c r="FC235" i="56"/>
  <c r="FC236" i="56"/>
  <c r="FC237" i="56"/>
  <c r="FC238" i="56"/>
  <c r="FC239" i="56"/>
  <c r="FC240" i="56"/>
  <c r="FC241" i="56"/>
  <c r="FC242" i="56"/>
  <c r="FC243" i="56"/>
  <c r="FC244" i="56"/>
  <c r="FC245" i="56"/>
  <c r="FC246" i="56"/>
  <c r="FC247" i="56"/>
  <c r="FC248" i="56"/>
  <c r="FC249" i="56"/>
  <c r="FC250" i="56"/>
  <c r="FC251" i="56"/>
  <c r="FC252" i="56"/>
  <c r="FC253" i="56"/>
  <c r="FC254" i="56"/>
  <c r="FC255" i="56"/>
  <c r="FC256" i="56"/>
  <c r="FC257" i="56"/>
  <c r="FC258" i="56"/>
  <c r="FC259" i="56"/>
  <c r="FC260" i="56"/>
  <c r="FC261" i="56"/>
  <c r="FC262" i="56"/>
  <c r="FC263" i="56"/>
  <c r="FC264" i="56"/>
  <c r="FC265" i="56"/>
  <c r="FC266" i="56"/>
  <c r="FC267" i="56"/>
  <c r="FC268" i="56"/>
  <c r="FC269" i="56"/>
  <c r="FC270" i="56"/>
  <c r="FC271" i="56"/>
  <c r="FC272" i="56"/>
  <c r="FC273" i="56"/>
  <c r="FC274" i="56"/>
  <c r="FC275" i="56"/>
  <c r="FC276" i="56"/>
  <c r="FC277" i="56"/>
  <c r="FC278" i="56"/>
  <c r="FC279" i="56"/>
  <c r="FC280" i="56"/>
  <c r="FC281" i="56"/>
  <c r="FC282" i="56"/>
  <c r="FC283" i="56"/>
  <c r="FC284" i="56"/>
  <c r="FC285" i="56"/>
  <c r="FC286" i="56"/>
  <c r="FC287" i="56"/>
  <c r="FC288" i="56"/>
  <c r="FC289" i="56"/>
  <c r="FC290" i="56"/>
  <c r="FC291" i="56"/>
  <c r="FC292" i="56"/>
  <c r="FC293" i="56"/>
  <c r="FC294" i="56"/>
  <c r="FC295" i="56"/>
  <c r="FC296" i="56"/>
  <c r="FC297" i="56"/>
  <c r="FC298" i="56"/>
  <c r="FC299" i="56"/>
  <c r="FC300" i="56"/>
  <c r="FC301" i="56"/>
  <c r="FC302" i="56"/>
  <c r="FC303" i="56"/>
  <c r="FC304" i="56"/>
  <c r="FC305" i="56"/>
  <c r="FC306" i="56"/>
  <c r="FC307" i="56"/>
  <c r="FC308" i="56"/>
  <c r="FC309" i="56"/>
  <c r="FC310" i="56"/>
  <c r="FC311" i="56"/>
  <c r="FC312" i="56"/>
  <c r="FC313" i="56"/>
  <c r="FC314" i="56"/>
  <c r="FC315" i="56"/>
  <c r="FC316" i="56"/>
  <c r="FC317" i="56"/>
  <c r="FC318" i="56"/>
  <c r="FC319" i="56"/>
  <c r="FC320" i="56"/>
  <c r="FC321" i="56"/>
  <c r="FC322" i="56"/>
  <c r="FC323" i="56"/>
  <c r="FC324" i="56"/>
  <c r="FC325" i="56"/>
  <c r="FC326" i="56"/>
  <c r="FC327" i="56"/>
  <c r="FC328" i="56"/>
  <c r="FC329" i="56"/>
  <c r="FC330" i="56"/>
  <c r="FC331" i="56"/>
  <c r="FC332" i="56"/>
  <c r="FC333" i="56"/>
  <c r="FC334" i="56"/>
  <c r="FC335" i="56"/>
  <c r="FC336" i="56"/>
  <c r="FC337" i="56"/>
  <c r="FC338" i="56"/>
  <c r="FC339" i="56"/>
  <c r="FC340" i="56"/>
  <c r="FC341" i="56"/>
  <c r="FC342" i="56"/>
  <c r="FC343" i="56"/>
  <c r="FC344" i="56"/>
  <c r="FC345" i="56"/>
  <c r="FC346" i="56"/>
  <c r="FC347" i="56"/>
  <c r="FC348" i="56"/>
  <c r="FC349" i="56"/>
  <c r="FC350" i="56"/>
  <c r="FC351" i="56"/>
  <c r="FC352" i="56"/>
  <c r="EP7" i="56"/>
  <c r="EP8" i="56"/>
  <c r="EP9" i="56"/>
  <c r="EP10" i="56"/>
  <c r="EP16" i="56"/>
  <c r="EP17" i="56"/>
  <c r="EP18" i="56"/>
  <c r="EP19" i="56"/>
  <c r="EP21" i="56"/>
  <c r="EP22" i="56"/>
  <c r="EP23" i="56"/>
  <c r="EP54" i="56"/>
  <c r="EP55" i="56"/>
  <c r="EP56" i="56"/>
  <c r="EP57" i="56"/>
  <c r="EP58" i="56"/>
  <c r="EP59" i="56"/>
  <c r="EP60" i="56"/>
  <c r="EP61" i="56"/>
  <c r="EP62" i="56"/>
  <c r="EP63" i="56"/>
  <c r="EP64" i="56"/>
  <c r="EP65" i="56"/>
  <c r="EP66" i="56"/>
  <c r="EP67" i="56"/>
  <c r="EP68" i="56"/>
  <c r="EP69" i="56"/>
  <c r="EP70" i="56"/>
  <c r="EP71" i="56"/>
  <c r="EP72" i="56"/>
  <c r="EP73" i="56"/>
  <c r="EP74" i="56"/>
  <c r="EP75" i="56"/>
  <c r="EP76" i="56"/>
  <c r="EP77" i="56"/>
  <c r="EP78" i="56"/>
  <c r="EP79" i="56"/>
  <c r="EP80" i="56"/>
  <c r="EP81" i="56"/>
  <c r="EP82" i="56"/>
  <c r="EP83" i="56"/>
  <c r="EP84" i="56"/>
  <c r="EP85" i="56"/>
  <c r="EP86" i="56"/>
  <c r="EP87" i="56"/>
  <c r="EP89" i="56"/>
  <c r="EP90" i="56"/>
  <c r="EP91" i="56"/>
  <c r="EP92" i="56"/>
  <c r="EP93" i="56"/>
  <c r="EP94" i="56"/>
  <c r="EP95" i="56"/>
  <c r="EP96" i="56"/>
  <c r="EP97" i="56"/>
  <c r="EP98" i="56"/>
  <c r="EP99" i="56"/>
  <c r="EP100" i="56"/>
  <c r="EP101" i="56"/>
  <c r="EP103" i="56"/>
  <c r="EP104" i="56"/>
  <c r="EP105" i="56"/>
  <c r="EP106" i="56"/>
  <c r="EP107" i="56"/>
  <c r="EP108" i="56"/>
  <c r="EP109" i="56"/>
  <c r="EP110" i="56"/>
  <c r="EP111" i="56"/>
  <c r="EP112" i="56"/>
  <c r="EP113" i="56"/>
  <c r="EP114" i="56"/>
  <c r="EP115" i="56"/>
  <c r="EP116" i="56"/>
  <c r="EP117" i="56"/>
  <c r="EP118" i="56"/>
  <c r="EP119" i="56"/>
  <c r="EP120" i="56"/>
  <c r="EP121" i="56"/>
  <c r="EP122" i="56"/>
  <c r="EP123" i="56"/>
  <c r="EP124" i="56"/>
  <c r="EP125" i="56"/>
  <c r="EP126" i="56"/>
  <c r="EP127" i="56"/>
  <c r="EP128" i="56"/>
  <c r="EP129" i="56"/>
  <c r="EP131" i="56"/>
  <c r="EP132" i="56"/>
  <c r="EP133" i="56"/>
  <c r="EP134" i="56"/>
  <c r="EP135" i="56"/>
  <c r="EP136" i="56"/>
  <c r="EP137" i="56"/>
  <c r="EP138" i="56"/>
  <c r="EP139" i="56"/>
  <c r="EP140" i="56"/>
  <c r="EP141" i="56"/>
  <c r="EP142" i="56"/>
  <c r="EP143" i="56"/>
  <c r="EP144" i="56"/>
  <c r="EP145" i="56"/>
  <c r="EP146" i="56"/>
  <c r="EP147" i="56"/>
  <c r="EP148" i="56"/>
  <c r="EP149" i="56"/>
  <c r="EP150" i="56"/>
  <c r="EP151" i="56"/>
  <c r="EP152" i="56"/>
  <c r="EP153" i="56"/>
  <c r="EP314" i="56"/>
  <c r="EP315" i="56"/>
  <c r="EP316" i="56"/>
  <c r="EP318" i="56"/>
  <c r="EP319" i="56"/>
  <c r="EP320" i="56"/>
  <c r="EP321" i="56"/>
  <c r="EP322" i="56"/>
  <c r="EP323" i="56"/>
  <c r="EP324" i="56"/>
  <c r="EP326" i="56"/>
  <c r="EP327" i="56"/>
  <c r="EP328" i="56"/>
  <c r="EP329" i="56"/>
  <c r="EP331" i="56"/>
  <c r="EP332" i="56"/>
  <c r="EP333" i="56"/>
  <c r="EP334" i="56"/>
  <c r="EE7" i="56"/>
  <c r="EE8" i="56"/>
  <c r="EE9" i="56"/>
  <c r="EE10" i="56"/>
  <c r="EE11" i="56"/>
  <c r="EE12" i="56"/>
  <c r="EE13" i="56"/>
  <c r="EE14" i="56"/>
  <c r="EE15" i="56"/>
  <c r="EE16" i="56"/>
  <c r="EE17" i="56"/>
  <c r="EE18" i="56"/>
  <c r="EE19" i="56"/>
  <c r="EE20" i="56"/>
  <c r="EE21" i="56"/>
  <c r="EE29" i="56"/>
  <c r="EE32" i="56"/>
  <c r="EE33" i="56"/>
  <c r="EE34" i="56"/>
  <c r="EE35" i="56"/>
  <c r="EE36" i="56"/>
  <c r="EE38" i="56"/>
  <c r="EE39" i="56"/>
  <c r="EE40" i="56"/>
  <c r="EE41" i="56"/>
  <c r="EE42" i="56"/>
  <c r="EE44" i="56"/>
  <c r="EE47" i="56"/>
  <c r="EE48" i="56"/>
  <c r="EE49" i="56"/>
  <c r="EE80" i="56"/>
  <c r="EE81" i="56"/>
  <c r="EE82" i="56"/>
  <c r="EE83" i="56"/>
  <c r="EE84" i="56"/>
  <c r="EE85" i="56"/>
  <c r="EE86" i="56"/>
  <c r="EE87" i="56"/>
  <c r="EE126" i="56"/>
  <c r="EE127" i="56"/>
  <c r="EE155" i="56"/>
  <c r="EE156" i="56"/>
  <c r="EE157" i="56"/>
  <c r="EE158" i="56"/>
  <c r="EE159" i="56"/>
  <c r="EE160" i="56"/>
  <c r="EE161" i="56"/>
  <c r="EE162" i="56"/>
  <c r="EE163" i="56"/>
  <c r="EE164" i="56"/>
  <c r="EE166" i="56"/>
  <c r="EE167" i="56"/>
  <c r="EE168" i="56"/>
  <c r="EE169" i="56"/>
  <c r="EE170" i="56"/>
  <c r="EE171" i="56"/>
  <c r="EE172" i="56"/>
  <c r="EE173" i="56"/>
  <c r="EE174" i="56"/>
  <c r="EE175" i="56"/>
  <c r="EE176" i="56"/>
  <c r="EE177" i="56"/>
  <c r="EE178" i="56"/>
  <c r="EE185" i="56"/>
  <c r="EE186" i="56"/>
  <c r="EE187" i="56"/>
  <c r="EE188" i="56"/>
  <c r="EE189" i="56"/>
  <c r="EE190" i="56"/>
  <c r="EE191" i="56"/>
  <c r="EE192" i="56"/>
  <c r="EE193" i="56"/>
  <c r="EE194" i="56"/>
  <c r="EE195" i="56"/>
  <c r="EE196" i="56"/>
  <c r="EE197" i="56"/>
  <c r="EE198" i="56"/>
  <c r="EE199" i="56"/>
  <c r="EE200" i="56"/>
  <c r="EE201" i="56"/>
  <c r="EE202" i="56"/>
  <c r="EE203" i="56"/>
  <c r="EE204" i="56"/>
  <c r="EE205" i="56"/>
  <c r="EE206" i="56"/>
  <c r="EE207" i="56"/>
  <c r="EE208" i="56"/>
  <c r="EE209" i="56"/>
  <c r="EE210" i="56"/>
  <c r="EE211" i="56"/>
  <c r="EE212" i="56"/>
  <c r="EE213" i="56"/>
  <c r="EE214" i="56"/>
  <c r="EE215" i="56"/>
  <c r="EE216" i="56"/>
  <c r="EE217" i="56"/>
  <c r="EE219" i="56"/>
  <c r="EE225" i="56"/>
  <c r="EE226" i="56"/>
  <c r="EE227" i="56"/>
  <c r="EE228" i="56"/>
  <c r="EE229" i="56"/>
  <c r="EE230" i="56"/>
  <c r="EE231" i="56"/>
  <c r="EE232" i="56"/>
  <c r="EE233" i="56"/>
  <c r="EE234" i="56"/>
  <c r="EE235" i="56"/>
  <c r="EE236" i="56"/>
  <c r="EE237" i="56"/>
  <c r="EE238" i="56"/>
  <c r="EE239" i="56"/>
  <c r="EE240" i="56"/>
  <c r="EE241" i="56"/>
  <c r="EE242" i="56"/>
  <c r="EE244" i="56"/>
  <c r="EE245" i="56"/>
  <c r="EE246" i="56"/>
  <c r="EE247" i="56"/>
  <c r="EE248" i="56"/>
  <c r="EE249" i="56"/>
  <c r="EE250" i="56"/>
  <c r="EE251" i="56"/>
  <c r="EE252" i="56"/>
  <c r="EE253" i="56"/>
  <c r="EE254" i="56"/>
  <c r="EE255" i="56"/>
  <c r="EE256" i="56"/>
  <c r="EE257" i="56"/>
  <c r="EE258" i="56"/>
  <c r="EE259" i="56"/>
  <c r="EE260" i="56"/>
  <c r="EE261" i="56"/>
  <c r="EE262" i="56"/>
  <c r="EE263" i="56"/>
  <c r="EE264" i="56"/>
  <c r="EE265" i="56"/>
  <c r="EE266" i="56"/>
  <c r="EE267" i="56"/>
  <c r="EE268" i="56"/>
  <c r="EE269" i="56"/>
  <c r="EE270" i="56"/>
  <c r="EE271" i="56"/>
  <c r="EE272" i="56"/>
  <c r="EE273" i="56"/>
  <c r="EE274" i="56"/>
  <c r="EE275" i="56"/>
  <c r="EE276" i="56"/>
  <c r="EE277" i="56"/>
  <c r="EE278" i="56"/>
  <c r="EE279" i="56"/>
  <c r="EE280" i="56"/>
  <c r="EE281" i="56"/>
  <c r="EE284" i="56"/>
  <c r="EE288" i="56"/>
  <c r="EE289" i="56"/>
  <c r="EE291" i="56"/>
  <c r="EE294" i="56"/>
  <c r="EE295" i="56"/>
  <c r="EE296" i="56"/>
  <c r="EE297" i="56"/>
  <c r="EE298" i="56"/>
  <c r="EE299" i="56"/>
  <c r="EE303" i="56"/>
  <c r="EE304" i="56"/>
  <c r="EE318" i="56"/>
  <c r="EE319" i="56"/>
  <c r="EE320" i="56"/>
  <c r="EE321" i="56"/>
  <c r="EE322" i="56"/>
  <c r="EE323" i="56"/>
  <c r="EE324" i="56"/>
  <c r="EE326" i="56"/>
  <c r="EE327" i="56"/>
  <c r="EE328" i="56"/>
  <c r="EE329" i="56"/>
  <c r="EE333" i="56"/>
  <c r="EE334" i="56"/>
  <c r="EE342" i="56"/>
  <c r="EE343" i="56"/>
  <c r="EE344" i="56"/>
  <c r="EE345" i="56"/>
  <c r="EE346" i="56"/>
  <c r="EE347" i="56"/>
  <c r="EE348" i="56"/>
  <c r="EE349" i="56"/>
  <c r="EE350" i="56"/>
  <c r="EE351" i="56"/>
  <c r="EE352" i="56"/>
  <c r="ED5" i="56"/>
  <c r="ED6" i="56"/>
  <c r="ED7" i="56"/>
  <c r="ED8" i="56"/>
  <c r="ED9" i="56"/>
  <c r="ED10" i="56"/>
  <c r="ED11" i="56"/>
  <c r="ED12" i="56"/>
  <c r="ED13" i="56"/>
  <c r="ED14" i="56"/>
  <c r="ED15" i="56"/>
  <c r="ED16" i="56"/>
  <c r="ED17" i="56"/>
  <c r="ED18" i="56"/>
  <c r="ED19" i="56"/>
  <c r="ED20" i="56"/>
  <c r="ED21" i="56"/>
  <c r="ED22" i="56"/>
  <c r="ED23" i="56"/>
  <c r="ED24" i="56"/>
  <c r="ED26" i="56"/>
  <c r="ED29" i="56"/>
  <c r="ED30" i="56"/>
  <c r="ED32" i="56"/>
  <c r="ED33" i="56"/>
  <c r="ED34" i="56"/>
  <c r="ED35" i="56"/>
  <c r="ED36" i="56"/>
  <c r="ED37" i="56"/>
  <c r="ED38" i="56"/>
  <c r="ED39" i="56"/>
  <c r="ED40" i="56"/>
  <c r="ED41" i="56"/>
  <c r="ED42" i="56"/>
  <c r="ED43" i="56"/>
  <c r="ED44" i="56"/>
  <c r="ED45" i="56"/>
  <c r="ED46" i="56"/>
  <c r="ED47" i="56"/>
  <c r="ED48" i="56"/>
  <c r="ED49" i="56"/>
  <c r="ED51" i="56"/>
  <c r="ED52" i="56"/>
  <c r="ED53" i="56"/>
  <c r="ED54" i="56"/>
  <c r="ED55" i="56"/>
  <c r="ED56" i="56"/>
  <c r="ED57" i="56"/>
  <c r="ED58" i="56"/>
  <c r="ED59" i="56"/>
  <c r="ED60" i="56"/>
  <c r="ED61" i="56"/>
  <c r="ED62" i="56"/>
  <c r="ED63" i="56"/>
  <c r="ED64" i="56"/>
  <c r="ED65" i="56"/>
  <c r="ED66" i="56"/>
  <c r="ED67" i="56"/>
  <c r="ED68" i="56"/>
  <c r="ED69" i="56"/>
  <c r="ED70" i="56"/>
  <c r="ED71" i="56"/>
  <c r="ED72" i="56"/>
  <c r="ED73" i="56"/>
  <c r="ED74" i="56"/>
  <c r="ED75" i="56"/>
  <c r="ED76" i="56"/>
  <c r="ED77" i="56"/>
  <c r="ED78" i="56"/>
  <c r="ED79" i="56"/>
  <c r="ED80" i="56"/>
  <c r="ED81" i="56"/>
  <c r="ED82" i="56"/>
  <c r="ED83" i="56"/>
  <c r="ED84" i="56"/>
  <c r="ED85" i="56"/>
  <c r="ED86" i="56"/>
  <c r="ED87" i="56"/>
  <c r="ED88" i="56"/>
  <c r="ED89" i="56"/>
  <c r="ED90" i="56"/>
  <c r="ED91" i="56"/>
  <c r="ED92" i="56"/>
  <c r="ED93" i="56"/>
  <c r="ED94" i="56"/>
  <c r="ED95" i="56"/>
  <c r="ED96" i="56"/>
  <c r="ED97" i="56"/>
  <c r="ED98" i="56"/>
  <c r="ED99" i="56"/>
  <c r="ED100" i="56"/>
  <c r="ED101" i="56"/>
  <c r="ED102" i="56"/>
  <c r="ED103" i="56"/>
  <c r="ED104" i="56"/>
  <c r="ED105" i="56"/>
  <c r="ED106" i="56"/>
  <c r="ED107" i="56"/>
  <c r="ED108" i="56"/>
  <c r="ED109" i="56"/>
  <c r="ED110" i="56"/>
  <c r="ED111" i="56"/>
  <c r="ED112" i="56"/>
  <c r="ED113" i="56"/>
  <c r="ED114" i="56"/>
  <c r="ED115" i="56"/>
  <c r="ED116" i="56"/>
  <c r="ED117" i="56"/>
  <c r="ED118" i="56"/>
  <c r="ED119" i="56"/>
  <c r="ED120" i="56"/>
  <c r="ED121" i="56"/>
  <c r="ED122" i="56"/>
  <c r="ED123" i="56"/>
  <c r="ED124" i="56"/>
  <c r="ED125" i="56"/>
  <c r="ED126" i="56"/>
  <c r="ED127" i="56"/>
  <c r="ED128" i="56"/>
  <c r="ED129" i="56"/>
  <c r="ED130" i="56"/>
  <c r="ED131" i="56"/>
  <c r="ED132" i="56"/>
  <c r="ED133" i="56"/>
  <c r="ED134" i="56"/>
  <c r="ED135" i="56"/>
  <c r="ED136" i="56"/>
  <c r="ED137" i="56"/>
  <c r="ED138" i="56"/>
  <c r="ED139" i="56"/>
  <c r="ED140" i="56"/>
  <c r="ED141" i="56"/>
  <c r="ED142" i="56"/>
  <c r="ED143" i="56"/>
  <c r="ED144" i="56"/>
  <c r="ED145" i="56"/>
  <c r="ED146" i="56"/>
  <c r="ED147" i="56"/>
  <c r="ED148" i="56"/>
  <c r="ED149" i="56"/>
  <c r="ED150" i="56"/>
  <c r="ED151" i="56"/>
  <c r="ED152" i="56"/>
  <c r="ED153" i="56"/>
  <c r="ED155" i="56"/>
  <c r="ED156" i="56"/>
  <c r="ED157" i="56"/>
  <c r="ED158" i="56"/>
  <c r="ED159" i="56"/>
  <c r="ED160" i="56"/>
  <c r="ED161" i="56"/>
  <c r="ED162" i="56"/>
  <c r="ED163" i="56"/>
  <c r="ED164" i="56"/>
  <c r="ED165" i="56"/>
  <c r="ED166" i="56"/>
  <c r="ED167" i="56"/>
  <c r="ED168" i="56"/>
  <c r="ED169" i="56"/>
  <c r="ED170" i="56"/>
  <c r="ED171" i="56"/>
  <c r="ED172" i="56"/>
  <c r="ED173" i="56"/>
  <c r="ED174" i="56"/>
  <c r="ED175" i="56"/>
  <c r="ED176" i="56"/>
  <c r="ED177" i="56"/>
  <c r="ED178" i="56"/>
  <c r="ED179" i="56"/>
  <c r="ED180" i="56"/>
  <c r="ED181" i="56"/>
  <c r="ED182" i="56"/>
  <c r="ED183" i="56"/>
  <c r="ED185" i="56"/>
  <c r="ED186" i="56"/>
  <c r="ED187" i="56"/>
  <c r="ED188" i="56"/>
  <c r="ED189" i="56"/>
  <c r="ED190" i="56"/>
  <c r="ED191" i="56"/>
  <c r="ED192" i="56"/>
  <c r="ED193" i="56"/>
  <c r="ED194" i="56"/>
  <c r="ED195" i="56"/>
  <c r="ED196" i="56"/>
  <c r="ED197" i="56"/>
  <c r="ED198" i="56"/>
  <c r="ED199" i="56"/>
  <c r="ED200" i="56"/>
  <c r="ED201" i="56"/>
  <c r="ED202" i="56"/>
  <c r="ED203" i="56"/>
  <c r="ED204" i="56"/>
  <c r="ED205" i="56"/>
  <c r="ED206" i="56"/>
  <c r="ED207" i="56"/>
  <c r="ED208" i="56"/>
  <c r="ED209" i="56"/>
  <c r="ED210" i="56"/>
  <c r="ED211" i="56"/>
  <c r="ED212" i="56"/>
  <c r="ED213" i="56"/>
  <c r="ED214" i="56"/>
  <c r="ED215" i="56"/>
  <c r="ED216" i="56"/>
  <c r="ED217" i="56"/>
  <c r="ED218" i="56"/>
  <c r="ED219" i="56"/>
  <c r="ED220" i="56"/>
  <c r="ED221" i="56"/>
  <c r="ED222" i="56"/>
  <c r="ED223" i="56"/>
  <c r="ED225" i="56"/>
  <c r="ED226" i="56"/>
  <c r="ED227" i="56"/>
  <c r="ED228" i="56"/>
  <c r="ED229" i="56"/>
  <c r="ED230" i="56"/>
  <c r="ED231" i="56"/>
  <c r="ED232" i="56"/>
  <c r="ED233" i="56"/>
  <c r="ED234" i="56"/>
  <c r="ED235" i="56"/>
  <c r="ED236" i="56"/>
  <c r="ED237" i="56"/>
  <c r="ED238" i="56"/>
  <c r="ED239" i="56"/>
  <c r="ED240" i="56"/>
  <c r="ED241" i="56"/>
  <c r="ED242" i="56"/>
  <c r="ED243" i="56"/>
  <c r="ED244" i="56"/>
  <c r="ED245" i="56"/>
  <c r="ED246" i="56"/>
  <c r="ED247" i="56"/>
  <c r="ED248" i="56"/>
  <c r="ED249" i="56"/>
  <c r="ED250" i="56"/>
  <c r="ED251" i="56"/>
  <c r="ED252" i="56"/>
  <c r="ED253" i="56"/>
  <c r="ED254" i="56"/>
  <c r="ED255" i="56"/>
  <c r="ED256" i="56"/>
  <c r="ED257" i="56"/>
  <c r="ED258" i="56"/>
  <c r="ED259" i="56"/>
  <c r="ED260" i="56"/>
  <c r="ED261" i="56"/>
  <c r="ED262" i="56"/>
  <c r="ED263" i="56"/>
  <c r="ED264" i="56"/>
  <c r="ED266" i="56"/>
  <c r="ED267" i="56"/>
  <c r="ED268" i="56"/>
  <c r="ED269" i="56"/>
  <c r="ED270" i="56"/>
  <c r="ED271" i="56"/>
  <c r="ED272" i="56"/>
  <c r="ED273" i="56"/>
  <c r="ED274" i="56"/>
  <c r="ED275" i="56"/>
  <c r="ED276" i="56"/>
  <c r="ED277" i="56"/>
  <c r="ED278" i="56"/>
  <c r="ED279" i="56"/>
  <c r="ED280" i="56"/>
  <c r="ED281" i="56"/>
  <c r="ED282" i="56"/>
  <c r="ED284" i="56"/>
  <c r="ED285" i="56"/>
  <c r="ED286" i="56"/>
  <c r="ED287" i="56"/>
  <c r="ED288" i="56"/>
  <c r="ED289" i="56"/>
  <c r="ED290" i="56"/>
  <c r="ED291" i="56"/>
  <c r="ED292" i="56"/>
  <c r="ED293" i="56"/>
  <c r="ED294" i="56"/>
  <c r="ED295" i="56"/>
  <c r="ED296" i="56"/>
  <c r="ED297" i="56"/>
  <c r="ED298" i="56"/>
  <c r="ED299" i="56"/>
  <c r="ED300" i="56"/>
  <c r="ED301" i="56"/>
  <c r="ED302" i="56"/>
  <c r="ED303" i="56"/>
  <c r="ED304" i="56"/>
  <c r="ED305" i="56"/>
  <c r="ED306" i="56"/>
  <c r="ED307" i="56"/>
  <c r="ED308" i="56"/>
  <c r="ED309" i="56"/>
  <c r="ED310" i="56"/>
  <c r="ED311" i="56"/>
  <c r="ED312" i="56"/>
  <c r="ED313" i="56"/>
  <c r="ED314" i="56"/>
  <c r="ED315" i="56"/>
  <c r="ED316" i="56"/>
  <c r="ED317" i="56"/>
  <c r="ED318" i="56"/>
  <c r="ED319" i="56"/>
  <c r="ED320" i="56"/>
  <c r="ED321" i="56"/>
  <c r="ED322" i="56"/>
  <c r="ED323" i="56"/>
  <c r="ED324" i="56"/>
  <c r="ED325" i="56"/>
  <c r="ED326" i="56"/>
  <c r="ED327" i="56"/>
  <c r="ED328" i="56"/>
  <c r="ED329" i="56"/>
  <c r="ED330" i="56"/>
  <c r="ED331" i="56"/>
  <c r="ED332" i="56"/>
  <c r="ED333" i="56"/>
  <c r="ED334" i="56"/>
  <c r="ED335" i="56"/>
  <c r="ED336" i="56"/>
  <c r="ED337" i="56"/>
  <c r="ED338" i="56"/>
  <c r="ED339" i="56"/>
  <c r="ED340" i="56"/>
  <c r="ED341" i="56"/>
  <c r="ED342" i="56"/>
  <c r="ED343" i="56"/>
  <c r="ED344" i="56"/>
  <c r="ED345" i="56"/>
  <c r="ED346" i="56"/>
  <c r="ED347" i="56"/>
  <c r="ED348" i="56"/>
  <c r="ED349" i="56"/>
  <c r="ED350" i="56"/>
  <c r="ED351" i="56"/>
  <c r="ED352" i="56"/>
  <c r="EC22" i="56"/>
  <c r="EC38" i="56"/>
  <c r="EC39" i="56"/>
  <c r="EC40" i="56"/>
  <c r="EC71" i="56"/>
  <c r="EC90" i="56"/>
  <c r="EC95" i="56"/>
  <c r="EC119" i="56"/>
  <c r="EC186" i="56"/>
  <c r="EC198" i="56"/>
  <c r="EC199" i="56"/>
  <c r="EC234" i="56"/>
  <c r="EC247" i="56"/>
  <c r="EC250" i="56"/>
  <c r="EC265" i="56"/>
  <c r="EC279" i="56"/>
  <c r="EC282" i="56"/>
  <c r="EC327" i="56"/>
  <c r="EC328" i="56"/>
  <c r="EC330" i="56"/>
  <c r="EC346" i="56"/>
  <c r="EB5" i="56"/>
  <c r="EB19" i="56"/>
  <c r="EB23" i="56"/>
  <c r="EB29" i="56"/>
  <c r="EB58" i="56"/>
  <c r="EB74" i="56"/>
  <c r="EB87" i="56"/>
  <c r="EB90" i="56"/>
  <c r="EB103" i="56"/>
  <c r="EB119" i="56"/>
  <c r="EB153" i="56"/>
  <c r="EB154" i="56"/>
  <c r="EB161" i="56"/>
  <c r="EB164" i="56"/>
  <c r="EB231" i="56"/>
  <c r="EB232" i="56"/>
  <c r="EB250" i="56"/>
  <c r="EB263" i="56"/>
  <c r="EB266" i="56"/>
  <c r="EB296" i="56"/>
  <c r="EB311" i="56"/>
  <c r="EB327" i="56"/>
  <c r="EB330" i="56"/>
  <c r="DX5" i="56"/>
  <c r="DX6" i="56"/>
  <c r="EB6" i="56" s="1"/>
  <c r="DX7" i="56"/>
  <c r="EC7" i="56" s="1"/>
  <c r="DX8" i="56"/>
  <c r="DX9" i="56"/>
  <c r="EB9" i="56" s="1"/>
  <c r="DX10" i="56"/>
  <c r="DX12" i="56"/>
  <c r="DX13" i="56"/>
  <c r="DX14" i="56"/>
  <c r="DX15" i="56"/>
  <c r="DX16" i="56"/>
  <c r="DX17" i="56"/>
  <c r="EB17" i="56" s="1"/>
  <c r="DX18" i="56"/>
  <c r="EB18" i="56" s="1"/>
  <c r="DX19" i="56"/>
  <c r="EC19" i="56" s="1"/>
  <c r="DX20" i="56"/>
  <c r="EB20" i="56" s="1"/>
  <c r="DX21" i="56"/>
  <c r="EC21" i="56" s="1"/>
  <c r="DX22" i="56"/>
  <c r="EB22" i="56" s="1"/>
  <c r="DX23" i="56"/>
  <c r="EC23" i="56" s="1"/>
  <c r="DX24" i="56"/>
  <c r="DX26" i="56"/>
  <c r="DX29" i="56"/>
  <c r="DX30" i="56"/>
  <c r="DX31" i="56"/>
  <c r="DX32" i="56"/>
  <c r="EC32" i="56" s="1"/>
  <c r="DX33" i="56"/>
  <c r="EC33" i="56" s="1"/>
  <c r="DX34" i="56"/>
  <c r="DX35" i="56"/>
  <c r="EB35" i="56" s="1"/>
  <c r="DX36" i="56"/>
  <c r="EB36" i="56" s="1"/>
  <c r="DX37" i="56"/>
  <c r="EB37" i="56" s="1"/>
  <c r="DX38" i="56"/>
  <c r="DX39" i="56"/>
  <c r="EB39" i="56" s="1"/>
  <c r="DX40" i="56"/>
  <c r="DX41" i="56"/>
  <c r="DX42" i="56"/>
  <c r="DX43" i="56"/>
  <c r="DX44" i="56"/>
  <c r="DX45" i="56"/>
  <c r="DX46" i="56"/>
  <c r="DX47" i="56"/>
  <c r="DX48" i="56"/>
  <c r="DX49" i="56"/>
  <c r="DX51" i="56"/>
  <c r="DX52" i="56"/>
  <c r="DX53" i="56"/>
  <c r="DX54" i="56"/>
  <c r="EC54" i="56" s="1"/>
  <c r="DX55" i="56"/>
  <c r="DX56" i="56"/>
  <c r="EB56" i="56" s="1"/>
  <c r="DX57" i="56"/>
  <c r="DX58" i="56"/>
  <c r="DX59" i="56"/>
  <c r="DX60" i="56"/>
  <c r="EC60" i="56" s="1"/>
  <c r="DX61" i="56"/>
  <c r="EC61" i="56" s="1"/>
  <c r="DX62" i="56"/>
  <c r="EC62" i="56" s="1"/>
  <c r="DX63" i="56"/>
  <c r="EB63" i="56" s="1"/>
  <c r="DX64" i="56"/>
  <c r="DX65" i="56"/>
  <c r="DX66" i="56"/>
  <c r="EC66" i="56" s="1"/>
  <c r="DX67" i="56"/>
  <c r="EC67" i="56" s="1"/>
  <c r="DX68" i="56"/>
  <c r="EB68" i="56" s="1"/>
  <c r="DX69" i="56"/>
  <c r="EB69" i="56" s="1"/>
  <c r="DX70" i="56"/>
  <c r="DX71" i="56"/>
  <c r="EB71" i="56" s="1"/>
  <c r="DX72" i="56"/>
  <c r="DX73" i="56"/>
  <c r="DX74" i="56"/>
  <c r="DX75" i="56"/>
  <c r="DX76" i="56"/>
  <c r="DX77" i="56"/>
  <c r="DX78" i="56"/>
  <c r="DX79" i="56"/>
  <c r="DX80" i="56"/>
  <c r="EC80" i="56" s="1"/>
  <c r="DX81" i="56"/>
  <c r="EB81" i="56" s="1"/>
  <c r="DX82" i="56"/>
  <c r="EB82" i="56" s="1"/>
  <c r="DX83" i="56"/>
  <c r="EB83" i="56" s="1"/>
  <c r="DX84" i="56"/>
  <c r="DX85" i="56"/>
  <c r="DX86" i="56"/>
  <c r="EC86" i="56" s="1"/>
  <c r="DX87" i="56"/>
  <c r="EC87" i="56" s="1"/>
  <c r="DX88" i="56"/>
  <c r="EC88" i="56" s="1"/>
  <c r="DX89" i="56"/>
  <c r="EB89" i="56" s="1"/>
  <c r="DX90" i="56"/>
  <c r="DX91" i="56"/>
  <c r="DX92" i="56"/>
  <c r="DX93" i="56"/>
  <c r="EB93" i="56" s="1"/>
  <c r="DX94" i="56"/>
  <c r="EB94" i="56" s="1"/>
  <c r="DX95" i="56"/>
  <c r="EB95" i="56" s="1"/>
  <c r="DX96" i="56"/>
  <c r="EC96" i="56" s="1"/>
  <c r="DX97" i="56"/>
  <c r="DX98" i="56"/>
  <c r="EC98" i="56" s="1"/>
  <c r="DX99" i="56"/>
  <c r="EC99" i="56" s="1"/>
  <c r="DX100" i="56"/>
  <c r="DX101" i="56"/>
  <c r="DX102" i="56"/>
  <c r="DX103" i="56"/>
  <c r="EC103" i="56" s="1"/>
  <c r="DX104" i="56"/>
  <c r="DX105" i="56"/>
  <c r="DX106" i="56"/>
  <c r="DX107" i="56"/>
  <c r="DX108" i="56"/>
  <c r="DX109" i="56"/>
  <c r="DX110" i="56"/>
  <c r="DX111" i="56"/>
  <c r="DX112" i="56"/>
  <c r="DX113" i="56"/>
  <c r="EB113" i="56" s="1"/>
  <c r="DX114" i="56"/>
  <c r="DX115" i="56"/>
  <c r="DX116" i="56"/>
  <c r="EB116" i="56" s="1"/>
  <c r="DX117" i="56"/>
  <c r="EC117" i="56" s="1"/>
  <c r="DX118" i="56"/>
  <c r="EB118" i="56" s="1"/>
  <c r="DX119" i="56"/>
  <c r="DX120" i="56"/>
  <c r="DX121" i="56"/>
  <c r="DX122" i="56"/>
  <c r="DX123" i="56"/>
  <c r="DX124" i="56"/>
  <c r="DX125" i="56"/>
  <c r="DX126" i="56"/>
  <c r="DX127" i="56"/>
  <c r="DX128" i="56"/>
  <c r="EB128" i="56" s="1"/>
  <c r="DX129" i="56"/>
  <c r="EC129" i="56" s="1"/>
  <c r="DX130" i="56"/>
  <c r="EC130" i="56" s="1"/>
  <c r="DX131" i="56"/>
  <c r="DX132" i="56"/>
  <c r="EB132" i="56" s="1"/>
  <c r="DX133" i="56"/>
  <c r="EB133" i="56" s="1"/>
  <c r="DX134" i="56"/>
  <c r="EB134" i="56" s="1"/>
  <c r="DX135" i="56"/>
  <c r="EB135" i="56" s="1"/>
  <c r="DX136" i="56"/>
  <c r="EB136" i="56" s="1"/>
  <c r="DX137" i="56"/>
  <c r="DX138" i="56"/>
  <c r="EC138" i="56" s="1"/>
  <c r="DX139" i="56"/>
  <c r="DX140" i="56"/>
  <c r="DX141" i="56"/>
  <c r="DX142" i="56"/>
  <c r="DX143" i="56"/>
  <c r="DX144" i="56"/>
  <c r="DX145" i="56"/>
  <c r="EB145" i="56" s="1"/>
  <c r="DX146" i="56"/>
  <c r="EB146" i="56" s="1"/>
  <c r="DX147" i="56"/>
  <c r="DX148" i="56"/>
  <c r="DX149" i="56"/>
  <c r="EC149" i="56" s="1"/>
  <c r="DX150" i="56"/>
  <c r="DX151" i="56"/>
  <c r="DX152" i="56"/>
  <c r="DX153" i="56"/>
  <c r="EC153" i="56" s="1"/>
  <c r="DX154" i="56"/>
  <c r="EC154" i="56" s="1"/>
  <c r="DX155" i="56"/>
  <c r="DX156" i="56"/>
  <c r="EB156" i="56" s="1"/>
  <c r="DX157" i="56"/>
  <c r="EB157" i="56" s="1"/>
  <c r="DX158" i="56"/>
  <c r="DX159" i="56"/>
  <c r="DX160" i="56"/>
  <c r="DX161" i="56"/>
  <c r="DX162" i="56"/>
  <c r="DX163" i="56"/>
  <c r="DX164" i="56"/>
  <c r="DX165" i="56"/>
  <c r="EB165" i="56" s="1"/>
  <c r="DX166" i="56"/>
  <c r="EB166" i="56" s="1"/>
  <c r="DX167" i="56"/>
  <c r="EC167" i="56" s="1"/>
  <c r="DX168" i="56"/>
  <c r="EC168" i="56" s="1"/>
  <c r="DX169" i="56"/>
  <c r="EC169" i="56" s="1"/>
  <c r="DX170" i="56"/>
  <c r="DX171" i="56"/>
  <c r="DX172" i="56"/>
  <c r="EB172" i="56" s="1"/>
  <c r="DX173" i="56"/>
  <c r="DX174" i="56"/>
  <c r="DX175" i="56"/>
  <c r="DX176" i="56"/>
  <c r="DX177" i="56"/>
  <c r="DX178" i="56"/>
  <c r="DX179" i="56"/>
  <c r="DX180" i="56"/>
  <c r="DX181" i="56"/>
  <c r="DX182" i="56"/>
  <c r="EC182" i="56" s="1"/>
  <c r="DX183" i="56"/>
  <c r="EC183" i="56" s="1"/>
  <c r="DX184" i="56"/>
  <c r="EB184" i="56" s="1"/>
  <c r="DX185" i="56"/>
  <c r="EB185" i="56" s="1"/>
  <c r="DX186" i="56"/>
  <c r="DX187" i="56"/>
  <c r="DX188" i="56"/>
  <c r="EC188" i="56" s="1"/>
  <c r="DX189" i="56"/>
  <c r="DX190" i="56"/>
  <c r="DX191" i="56"/>
  <c r="DX192" i="56"/>
  <c r="DX193" i="56"/>
  <c r="DX194" i="56"/>
  <c r="DX195" i="56"/>
  <c r="EC195" i="56" s="1"/>
  <c r="DX196" i="56"/>
  <c r="DX197" i="56"/>
  <c r="EB197" i="56" s="1"/>
  <c r="DX198" i="56"/>
  <c r="EB198" i="56" s="1"/>
  <c r="DX199" i="56"/>
  <c r="EB199" i="56" s="1"/>
  <c r="DX200" i="56"/>
  <c r="DX201" i="56"/>
  <c r="DX202" i="56"/>
  <c r="DX203" i="56"/>
  <c r="DX204" i="56"/>
  <c r="EB204" i="56" s="1"/>
  <c r="DX205" i="56"/>
  <c r="DX206" i="56"/>
  <c r="DX207" i="56"/>
  <c r="DX208" i="56"/>
  <c r="DX209" i="56"/>
  <c r="DX210" i="56"/>
  <c r="DX211" i="56"/>
  <c r="DX212" i="56"/>
  <c r="DX213" i="56"/>
  <c r="DX214" i="56"/>
  <c r="EB214" i="56" s="1"/>
  <c r="DX215" i="56"/>
  <c r="EB215" i="56" s="1"/>
  <c r="DX216" i="56"/>
  <c r="DX217" i="56"/>
  <c r="DX218" i="56"/>
  <c r="DX219" i="56"/>
  <c r="DX220" i="56"/>
  <c r="EC220" i="56" s="1"/>
  <c r="DX221" i="56"/>
  <c r="DX222" i="56"/>
  <c r="DX223" i="56"/>
  <c r="DX224" i="56"/>
  <c r="EC224" i="56" s="1"/>
  <c r="DX225" i="56"/>
  <c r="EC225" i="56" s="1"/>
  <c r="DX226" i="56"/>
  <c r="DX227" i="56"/>
  <c r="DX228" i="56"/>
  <c r="EB228" i="56" s="1"/>
  <c r="DX229" i="56"/>
  <c r="DX230" i="56"/>
  <c r="DX231" i="56"/>
  <c r="EC231" i="56" s="1"/>
  <c r="DX232" i="56"/>
  <c r="EC232" i="56" s="1"/>
  <c r="DX233" i="56"/>
  <c r="EB233" i="56" s="1"/>
  <c r="DX234" i="56"/>
  <c r="DX235" i="56"/>
  <c r="DX236" i="56"/>
  <c r="DX237" i="56"/>
  <c r="DX238" i="56"/>
  <c r="EC238" i="56" s="1"/>
  <c r="DX239" i="56"/>
  <c r="EB239" i="56" s="1"/>
  <c r="DX240" i="56"/>
  <c r="DX241" i="56"/>
  <c r="DX242" i="56"/>
  <c r="DX243" i="56"/>
  <c r="DX244" i="56"/>
  <c r="DX245" i="56"/>
  <c r="EC245" i="56" s="1"/>
  <c r="DX246" i="56"/>
  <c r="DX247" i="56"/>
  <c r="EB247" i="56" s="1"/>
  <c r="DX248" i="56"/>
  <c r="EC248" i="56" s="1"/>
  <c r="DX249" i="56"/>
  <c r="EC249" i="56" s="1"/>
  <c r="DX250" i="56"/>
  <c r="DX251" i="56"/>
  <c r="DX252" i="56"/>
  <c r="EB252" i="56" s="1"/>
  <c r="DX253" i="56"/>
  <c r="DX254" i="56"/>
  <c r="EC254" i="56" s="1"/>
  <c r="DX255" i="56"/>
  <c r="DX256" i="56"/>
  <c r="DX257" i="56"/>
  <c r="DX258" i="56"/>
  <c r="EC258" i="56" s="1"/>
  <c r="DX259" i="56"/>
  <c r="DX260" i="56"/>
  <c r="DX261" i="56"/>
  <c r="EB261" i="56" s="1"/>
  <c r="DX262" i="56"/>
  <c r="DX263" i="56"/>
  <c r="EC263" i="56" s="1"/>
  <c r="DX264" i="56"/>
  <c r="EC264" i="56" s="1"/>
  <c r="DX265" i="56"/>
  <c r="DX266" i="56"/>
  <c r="DX267" i="56"/>
  <c r="DX268" i="56"/>
  <c r="EB268" i="56" s="1"/>
  <c r="DX269" i="56"/>
  <c r="EB269" i="56" s="1"/>
  <c r="DX270" i="56"/>
  <c r="DX271" i="56"/>
  <c r="DX272" i="56"/>
  <c r="DX273" i="56"/>
  <c r="DX274" i="56"/>
  <c r="DX275" i="56"/>
  <c r="DX276" i="56"/>
  <c r="DX277" i="56"/>
  <c r="DX278" i="56"/>
  <c r="EC278" i="56" s="1"/>
  <c r="DX279" i="56"/>
  <c r="EB279" i="56" s="1"/>
  <c r="DX280" i="56"/>
  <c r="EB280" i="56" s="1"/>
  <c r="DX281" i="56"/>
  <c r="EB281" i="56" s="1"/>
  <c r="DX282" i="56"/>
  <c r="EB282" i="56" s="1"/>
  <c r="DX283" i="56"/>
  <c r="DX284" i="56"/>
  <c r="EC284" i="56" s="1"/>
  <c r="DX285" i="56"/>
  <c r="DX286" i="56"/>
  <c r="DX287" i="56"/>
  <c r="DX288" i="56"/>
  <c r="EC288" i="56" s="1"/>
  <c r="DX289" i="56"/>
  <c r="DX290" i="56"/>
  <c r="EC290" i="56" s="1"/>
  <c r="DX291" i="56"/>
  <c r="EB291" i="56" s="1"/>
  <c r="DX292" i="56"/>
  <c r="DX293" i="56"/>
  <c r="EC293" i="56" s="1"/>
  <c r="DX294" i="56"/>
  <c r="DX295" i="56"/>
  <c r="DX296" i="56"/>
  <c r="DX297" i="56"/>
  <c r="DX298" i="56"/>
  <c r="DX299" i="56"/>
  <c r="DX300" i="56"/>
  <c r="EB300" i="56" s="1"/>
  <c r="DX301" i="56"/>
  <c r="DX302" i="56"/>
  <c r="DX303" i="56"/>
  <c r="DX304" i="56"/>
  <c r="DX305" i="56"/>
  <c r="DX306" i="56"/>
  <c r="DX307" i="56"/>
  <c r="DX308" i="56"/>
  <c r="DX309" i="56"/>
  <c r="EB309" i="56" s="1"/>
  <c r="DX310" i="56"/>
  <c r="EC310" i="56" s="1"/>
  <c r="DX311" i="56"/>
  <c r="EC311" i="56" s="1"/>
  <c r="DX312" i="56"/>
  <c r="DX313" i="56"/>
  <c r="DX314" i="56"/>
  <c r="DX315" i="56"/>
  <c r="DX316" i="56"/>
  <c r="DX317" i="56"/>
  <c r="EB317" i="56" s="1"/>
  <c r="DX318" i="56"/>
  <c r="DX319" i="56"/>
  <c r="DX320" i="56"/>
  <c r="DX321" i="56"/>
  <c r="DX322" i="56"/>
  <c r="DX323" i="56"/>
  <c r="DX324" i="56"/>
  <c r="DX325" i="56"/>
  <c r="EB325" i="56" s="1"/>
  <c r="DX326" i="56"/>
  <c r="DX327" i="56"/>
  <c r="DX328" i="56"/>
  <c r="EB328" i="56" s="1"/>
  <c r="DX329" i="56"/>
  <c r="EB329" i="56" s="1"/>
  <c r="DX330" i="56"/>
  <c r="DX331" i="56"/>
  <c r="DX332" i="56"/>
  <c r="DX333" i="56"/>
  <c r="DX334" i="56"/>
  <c r="EC334" i="56" s="1"/>
  <c r="DX335" i="56"/>
  <c r="DX336" i="56"/>
  <c r="DX337" i="56"/>
  <c r="DX338" i="56"/>
  <c r="DX339" i="56"/>
  <c r="DX340" i="56"/>
  <c r="DX341" i="56"/>
  <c r="EB341" i="56" s="1"/>
  <c r="DX342" i="56"/>
  <c r="DX343" i="56"/>
  <c r="DX344" i="56"/>
  <c r="DX345" i="56"/>
  <c r="DX346" i="56"/>
  <c r="DX347" i="56"/>
  <c r="DX348" i="56"/>
  <c r="DX349" i="56"/>
  <c r="EC349" i="56" s="1"/>
  <c r="DX350" i="56"/>
  <c r="EC350" i="56" s="1"/>
  <c r="DX351" i="56"/>
  <c r="EC351" i="56" s="1"/>
  <c r="DX352" i="56"/>
  <c r="DT246" i="56"/>
  <c r="DS5" i="56"/>
  <c r="EE5" i="56" s="1"/>
  <c r="DS6" i="56"/>
  <c r="EE6" i="56" s="1"/>
  <c r="DS7" i="56"/>
  <c r="DS8" i="56"/>
  <c r="DS9" i="56"/>
  <c r="DS10" i="56"/>
  <c r="DS11" i="56"/>
  <c r="DS12" i="56"/>
  <c r="DS13" i="56"/>
  <c r="DS14" i="56"/>
  <c r="DS15" i="56"/>
  <c r="DS16" i="56"/>
  <c r="DS17" i="56"/>
  <c r="DS18" i="56"/>
  <c r="DS19" i="56"/>
  <c r="Q19" i="56" s="1"/>
  <c r="EK19" i="56" s="1"/>
  <c r="DS20" i="56"/>
  <c r="DS21" i="56"/>
  <c r="Q21" i="56" s="1"/>
  <c r="DS22" i="56"/>
  <c r="EE22" i="56" s="1"/>
  <c r="DS23" i="56"/>
  <c r="EE23" i="56" s="1"/>
  <c r="DS24" i="56"/>
  <c r="EE24" i="56" s="1"/>
  <c r="DS26" i="56"/>
  <c r="EE26" i="56" s="1"/>
  <c r="DS29" i="56"/>
  <c r="DS30" i="56"/>
  <c r="EE30" i="56" s="1"/>
  <c r="DS32" i="56"/>
  <c r="DS33" i="56"/>
  <c r="DS34" i="56"/>
  <c r="DS35" i="56"/>
  <c r="DS36" i="56"/>
  <c r="DS37" i="56"/>
  <c r="EE37" i="56" s="1"/>
  <c r="DS38" i="56"/>
  <c r="DS39" i="56"/>
  <c r="DS40" i="56"/>
  <c r="DS41" i="56"/>
  <c r="DS42" i="56"/>
  <c r="Q42" i="56" s="1"/>
  <c r="EK42" i="56" s="1"/>
  <c r="DS43" i="56"/>
  <c r="EE43" i="56" s="1"/>
  <c r="DS44" i="56"/>
  <c r="DS45" i="56"/>
  <c r="EE45" i="56" s="1"/>
  <c r="DS46" i="56"/>
  <c r="EE46" i="56" s="1"/>
  <c r="DS47" i="56"/>
  <c r="DS48" i="56"/>
  <c r="DS49" i="56"/>
  <c r="DS50" i="56"/>
  <c r="ED50" i="56" s="1"/>
  <c r="DS51" i="56"/>
  <c r="EE51" i="56" s="1"/>
  <c r="DS52" i="56"/>
  <c r="EE52" i="56" s="1"/>
  <c r="DS53" i="56"/>
  <c r="EE53" i="56" s="1"/>
  <c r="DS54" i="56"/>
  <c r="DS55" i="56"/>
  <c r="EE55" i="56" s="1"/>
  <c r="DS56" i="56"/>
  <c r="EE56" i="56" s="1"/>
  <c r="DS57" i="56"/>
  <c r="EE57" i="56" s="1"/>
  <c r="DS58" i="56"/>
  <c r="EE58" i="56" s="1"/>
  <c r="DS59" i="56"/>
  <c r="EE59" i="56" s="1"/>
  <c r="DS60" i="56"/>
  <c r="EE60" i="56" s="1"/>
  <c r="DS61" i="56"/>
  <c r="EE61" i="56" s="1"/>
  <c r="DS62" i="56"/>
  <c r="EE62" i="56" s="1"/>
  <c r="DS63" i="56"/>
  <c r="EE63" i="56" s="1"/>
  <c r="DS64" i="56"/>
  <c r="EE64" i="56" s="1"/>
  <c r="DS65" i="56"/>
  <c r="EE65" i="56" s="1"/>
  <c r="DS66" i="56"/>
  <c r="EE66" i="56" s="1"/>
  <c r="DS67" i="56"/>
  <c r="EE67" i="56" s="1"/>
  <c r="DS68" i="56"/>
  <c r="EE68" i="56" s="1"/>
  <c r="DS69" i="56"/>
  <c r="EE69" i="56" s="1"/>
  <c r="DS70" i="56"/>
  <c r="EE70" i="56" s="1"/>
  <c r="DS71" i="56"/>
  <c r="EE71" i="56" s="1"/>
  <c r="DS72" i="56"/>
  <c r="EE72" i="56" s="1"/>
  <c r="DS73" i="56"/>
  <c r="EE73" i="56" s="1"/>
  <c r="DS74" i="56"/>
  <c r="EE74" i="56" s="1"/>
  <c r="DS75" i="56"/>
  <c r="EE75" i="56" s="1"/>
  <c r="DS76" i="56"/>
  <c r="EE76" i="56" s="1"/>
  <c r="DS77" i="56"/>
  <c r="EE77" i="56" s="1"/>
  <c r="DS78" i="56"/>
  <c r="EE78" i="56" s="1"/>
  <c r="DS79" i="56"/>
  <c r="EE79" i="56" s="1"/>
  <c r="DS80" i="56"/>
  <c r="DS81" i="56"/>
  <c r="DS82" i="56"/>
  <c r="DS83" i="56"/>
  <c r="DS84" i="56"/>
  <c r="DS85" i="56"/>
  <c r="DS86" i="56"/>
  <c r="DS87" i="56"/>
  <c r="DS88" i="56"/>
  <c r="EE88" i="56" s="1"/>
  <c r="DS89" i="56"/>
  <c r="EE89" i="56" s="1"/>
  <c r="DS90" i="56"/>
  <c r="EE90" i="56" s="1"/>
  <c r="DS91" i="56"/>
  <c r="EE91" i="56" s="1"/>
  <c r="DS92" i="56"/>
  <c r="EE92" i="56" s="1"/>
  <c r="DS93" i="56"/>
  <c r="EE93" i="56" s="1"/>
  <c r="DS94" i="56"/>
  <c r="EE94" i="56" s="1"/>
  <c r="DS95" i="56"/>
  <c r="EE95" i="56" s="1"/>
  <c r="DS96" i="56"/>
  <c r="EE96" i="56" s="1"/>
  <c r="DS97" i="56"/>
  <c r="EE97" i="56" s="1"/>
  <c r="DS98" i="56"/>
  <c r="EE98" i="56" s="1"/>
  <c r="DS99" i="56"/>
  <c r="EE99" i="56" s="1"/>
  <c r="DS100" i="56"/>
  <c r="EE100" i="56" s="1"/>
  <c r="DS101" i="56"/>
  <c r="EE101" i="56" s="1"/>
  <c r="DS102" i="56"/>
  <c r="DS103" i="56"/>
  <c r="EE103" i="56" s="1"/>
  <c r="DS104" i="56"/>
  <c r="EE104" i="56" s="1"/>
  <c r="DS105" i="56"/>
  <c r="EE105" i="56" s="1"/>
  <c r="DS106" i="56"/>
  <c r="EE106" i="56" s="1"/>
  <c r="DS107" i="56"/>
  <c r="EE107" i="56" s="1"/>
  <c r="DS108" i="56"/>
  <c r="EE108" i="56" s="1"/>
  <c r="DS109" i="56"/>
  <c r="EE109" i="56" s="1"/>
  <c r="DS110" i="56"/>
  <c r="EE110" i="56" s="1"/>
  <c r="DS111" i="56"/>
  <c r="EE111" i="56" s="1"/>
  <c r="DS112" i="56"/>
  <c r="EE112" i="56" s="1"/>
  <c r="DS113" i="56"/>
  <c r="EE113" i="56" s="1"/>
  <c r="DS114" i="56"/>
  <c r="EE114" i="56" s="1"/>
  <c r="DS115" i="56"/>
  <c r="EE115" i="56" s="1"/>
  <c r="DS116" i="56"/>
  <c r="EE116" i="56" s="1"/>
  <c r="DS117" i="56"/>
  <c r="EE117" i="56" s="1"/>
  <c r="DS118" i="56"/>
  <c r="EE118" i="56" s="1"/>
  <c r="DS119" i="56"/>
  <c r="EE119" i="56" s="1"/>
  <c r="DS120" i="56"/>
  <c r="EE120" i="56" s="1"/>
  <c r="DS121" i="56"/>
  <c r="EE121" i="56" s="1"/>
  <c r="DS122" i="56"/>
  <c r="EE122" i="56" s="1"/>
  <c r="DS123" i="56"/>
  <c r="EE123" i="56" s="1"/>
  <c r="DS124" i="56"/>
  <c r="EE124" i="56" s="1"/>
  <c r="DS125" i="56"/>
  <c r="EE125" i="56" s="1"/>
  <c r="DS126" i="56"/>
  <c r="DS127" i="56"/>
  <c r="DS128" i="56"/>
  <c r="EE128" i="56" s="1"/>
  <c r="DS129" i="56"/>
  <c r="EE129" i="56" s="1"/>
  <c r="DS130" i="56"/>
  <c r="EE130" i="56" s="1"/>
  <c r="DS131" i="56"/>
  <c r="EE131" i="56" s="1"/>
  <c r="DS132" i="56"/>
  <c r="EE132" i="56" s="1"/>
  <c r="DS133" i="56"/>
  <c r="EE133" i="56" s="1"/>
  <c r="DS134" i="56"/>
  <c r="EE134" i="56" s="1"/>
  <c r="DS135" i="56"/>
  <c r="EE135" i="56" s="1"/>
  <c r="DS136" i="56"/>
  <c r="EE136" i="56" s="1"/>
  <c r="DS137" i="56"/>
  <c r="EE137" i="56" s="1"/>
  <c r="DS138" i="56"/>
  <c r="EE138" i="56" s="1"/>
  <c r="DS139" i="56"/>
  <c r="EE139" i="56" s="1"/>
  <c r="DS140" i="56"/>
  <c r="EE140" i="56" s="1"/>
  <c r="DS141" i="56"/>
  <c r="EE141" i="56" s="1"/>
  <c r="DS142" i="56"/>
  <c r="EE142" i="56" s="1"/>
  <c r="DS143" i="56"/>
  <c r="EE143" i="56" s="1"/>
  <c r="DS144" i="56"/>
  <c r="EE144" i="56" s="1"/>
  <c r="DS145" i="56"/>
  <c r="EE145" i="56" s="1"/>
  <c r="DS146" i="56"/>
  <c r="EE146" i="56" s="1"/>
  <c r="DS147" i="56"/>
  <c r="EE147" i="56" s="1"/>
  <c r="DS148" i="56"/>
  <c r="EE148" i="56" s="1"/>
  <c r="DS149" i="56"/>
  <c r="EE149" i="56" s="1"/>
  <c r="DS150" i="56"/>
  <c r="EE150" i="56" s="1"/>
  <c r="DS151" i="56"/>
  <c r="EE151" i="56" s="1"/>
  <c r="DS152" i="56"/>
  <c r="EE152" i="56" s="1"/>
  <c r="DS153" i="56"/>
  <c r="EE153" i="56" s="1"/>
  <c r="DS155" i="56"/>
  <c r="DS156" i="56"/>
  <c r="DS157" i="56"/>
  <c r="DS158" i="56"/>
  <c r="DS159" i="56"/>
  <c r="DS160" i="56"/>
  <c r="DS161" i="56"/>
  <c r="DS162" i="56"/>
  <c r="DS163" i="56"/>
  <c r="DS164" i="56"/>
  <c r="DS165" i="56"/>
  <c r="EE165" i="56" s="1"/>
  <c r="DS166" i="56"/>
  <c r="DS167" i="56"/>
  <c r="DS168" i="56"/>
  <c r="DS169" i="56"/>
  <c r="DS170" i="56"/>
  <c r="DS171" i="56"/>
  <c r="DS172" i="56"/>
  <c r="DS173" i="56"/>
  <c r="DS174" i="56"/>
  <c r="DS175" i="56"/>
  <c r="DS176" i="56"/>
  <c r="DS177" i="56"/>
  <c r="DS178" i="56"/>
  <c r="DS179" i="56"/>
  <c r="EE179" i="56" s="1"/>
  <c r="DS180" i="56"/>
  <c r="EE180" i="56" s="1"/>
  <c r="DS181" i="56"/>
  <c r="EE181" i="56" s="1"/>
  <c r="DS182" i="56"/>
  <c r="EE182" i="56" s="1"/>
  <c r="DS183" i="56"/>
  <c r="EE183" i="56" s="1"/>
  <c r="DS185" i="56"/>
  <c r="DS186" i="56"/>
  <c r="DS187" i="56"/>
  <c r="DS188" i="56"/>
  <c r="DS189" i="56"/>
  <c r="DS190" i="56"/>
  <c r="DS191" i="56"/>
  <c r="DS192" i="56"/>
  <c r="DS193" i="56"/>
  <c r="DS194" i="56"/>
  <c r="DS195" i="56"/>
  <c r="DS196" i="56"/>
  <c r="DS197" i="56"/>
  <c r="DS198" i="56"/>
  <c r="DS199" i="56"/>
  <c r="DS200" i="56"/>
  <c r="DS201" i="56"/>
  <c r="DS202" i="56"/>
  <c r="DS203" i="56"/>
  <c r="DS204" i="56"/>
  <c r="DS205" i="56"/>
  <c r="DS206" i="56"/>
  <c r="DS207" i="56"/>
  <c r="DS208" i="56"/>
  <c r="DS209" i="56"/>
  <c r="DS210" i="56"/>
  <c r="DS211" i="56"/>
  <c r="DS212" i="56"/>
  <c r="DS213" i="56"/>
  <c r="DS214" i="56"/>
  <c r="DS215" i="56"/>
  <c r="DS216" i="56"/>
  <c r="DS217" i="56"/>
  <c r="DS218" i="56"/>
  <c r="EE218" i="56" s="1"/>
  <c r="DS219" i="56"/>
  <c r="DS220" i="56"/>
  <c r="EE220" i="56" s="1"/>
  <c r="DS221" i="56"/>
  <c r="EE221" i="56" s="1"/>
  <c r="DS222" i="56"/>
  <c r="EE222" i="56" s="1"/>
  <c r="DS223" i="56"/>
  <c r="EE223" i="56" s="1"/>
  <c r="DS225" i="56"/>
  <c r="DS226" i="56"/>
  <c r="DS227" i="56"/>
  <c r="DS228" i="56"/>
  <c r="DS229" i="56"/>
  <c r="DS230" i="56"/>
  <c r="DS231" i="56"/>
  <c r="DS232" i="56"/>
  <c r="DS233" i="56"/>
  <c r="DS234" i="56"/>
  <c r="DS235" i="56"/>
  <c r="DS236" i="56"/>
  <c r="DS237" i="56"/>
  <c r="DS238" i="56"/>
  <c r="DS239" i="56"/>
  <c r="DS240" i="56"/>
  <c r="DS241" i="56"/>
  <c r="DS242" i="56"/>
  <c r="DS243" i="56"/>
  <c r="EE243" i="56" s="1"/>
  <c r="DS244" i="56"/>
  <c r="DS245" i="56"/>
  <c r="DS246" i="56"/>
  <c r="DS247" i="56"/>
  <c r="DS248" i="56"/>
  <c r="DS249" i="56"/>
  <c r="DS250" i="56"/>
  <c r="DS251" i="56"/>
  <c r="DS252" i="56"/>
  <c r="DS253" i="56"/>
  <c r="DS254" i="56"/>
  <c r="DS255" i="56"/>
  <c r="DS256" i="56"/>
  <c r="DS257" i="56"/>
  <c r="DS258" i="56"/>
  <c r="DS259" i="56"/>
  <c r="DS260" i="56"/>
  <c r="DS261" i="56"/>
  <c r="DS262" i="56"/>
  <c r="DS263" i="56"/>
  <c r="DS264" i="56"/>
  <c r="DS265" i="56"/>
  <c r="ED265" i="56" s="1"/>
  <c r="DS266" i="56"/>
  <c r="DS267" i="56"/>
  <c r="DS268" i="56"/>
  <c r="DS269" i="56"/>
  <c r="DS270" i="56"/>
  <c r="DS271" i="56"/>
  <c r="DS272" i="56"/>
  <c r="DS273" i="56"/>
  <c r="DS274" i="56"/>
  <c r="DS275" i="56"/>
  <c r="DS276" i="56"/>
  <c r="DS277" i="56"/>
  <c r="DS278" i="56"/>
  <c r="DS279" i="56"/>
  <c r="DS280" i="56"/>
  <c r="DS281" i="56"/>
  <c r="DS282" i="56"/>
  <c r="EE282" i="56" s="1"/>
  <c r="DS283" i="56"/>
  <c r="DS284" i="56"/>
  <c r="DS285" i="56"/>
  <c r="DS286" i="56"/>
  <c r="DS287" i="56"/>
  <c r="DS288" i="56"/>
  <c r="DS289" i="56"/>
  <c r="DS290" i="56"/>
  <c r="DS291" i="56"/>
  <c r="DS292" i="56"/>
  <c r="EE292" i="56" s="1"/>
  <c r="DS293" i="56"/>
  <c r="DS294" i="56"/>
  <c r="DS295" i="56"/>
  <c r="DS296" i="56"/>
  <c r="DS297" i="56"/>
  <c r="DS298" i="56"/>
  <c r="DS299" i="56"/>
  <c r="DS300" i="56"/>
  <c r="DS301" i="56"/>
  <c r="DS302" i="56"/>
  <c r="DS303" i="56"/>
  <c r="DS304" i="56"/>
  <c r="DS305" i="56"/>
  <c r="DS306" i="56"/>
  <c r="DS307" i="56"/>
  <c r="DS308" i="56"/>
  <c r="DS309" i="56"/>
  <c r="DS310" i="56"/>
  <c r="EE310" i="56" s="1"/>
  <c r="DS311" i="56"/>
  <c r="EE311" i="56" s="1"/>
  <c r="DS312" i="56"/>
  <c r="EE312" i="56" s="1"/>
  <c r="DS313" i="56"/>
  <c r="EE313" i="56" s="1"/>
  <c r="DS314" i="56"/>
  <c r="EE314" i="56" s="1"/>
  <c r="DS315" i="56"/>
  <c r="EE315" i="56" s="1"/>
  <c r="DS316" i="56"/>
  <c r="EE316" i="56" s="1"/>
  <c r="DS317" i="56"/>
  <c r="EE317" i="56" s="1"/>
  <c r="DS318" i="56"/>
  <c r="DS319" i="56"/>
  <c r="DS320" i="56"/>
  <c r="DS321" i="56"/>
  <c r="DS322" i="56"/>
  <c r="DS323" i="56"/>
  <c r="DS324" i="56"/>
  <c r="DS325" i="56"/>
  <c r="EE325" i="56" s="1"/>
  <c r="DS326" i="56"/>
  <c r="DS327" i="56"/>
  <c r="DS328" i="56"/>
  <c r="DS329" i="56"/>
  <c r="DS330" i="56"/>
  <c r="EE330" i="56" s="1"/>
  <c r="DS331" i="56"/>
  <c r="EE331" i="56" s="1"/>
  <c r="DS332" i="56"/>
  <c r="EE332" i="56" s="1"/>
  <c r="DS333" i="56"/>
  <c r="DS334" i="56"/>
  <c r="DS335" i="56"/>
  <c r="EE335" i="56" s="1"/>
  <c r="DS336" i="56"/>
  <c r="EE336" i="56" s="1"/>
  <c r="DS337" i="56"/>
  <c r="EE337" i="56" s="1"/>
  <c r="DS338" i="56"/>
  <c r="EE338" i="56" s="1"/>
  <c r="DS339" i="56"/>
  <c r="EE339" i="56" s="1"/>
  <c r="DS340" i="56"/>
  <c r="EE340" i="56" s="1"/>
  <c r="DS341" i="56"/>
  <c r="EE341" i="56" s="1"/>
  <c r="DS342" i="56"/>
  <c r="DS343" i="56"/>
  <c r="DS344" i="56"/>
  <c r="DS345" i="56"/>
  <c r="DS346" i="56"/>
  <c r="DS347" i="56"/>
  <c r="DS348" i="56"/>
  <c r="DS349" i="56"/>
  <c r="DS350" i="56"/>
  <c r="DS351" i="56"/>
  <c r="DS352" i="56"/>
  <c r="DR3" i="56"/>
  <c r="L3" i="56" s="1"/>
  <c r="DS3" i="56" s="1"/>
  <c r="DR4" i="56"/>
  <c r="L4" i="56" s="1"/>
  <c r="DS4" i="56" s="1"/>
  <c r="DR5" i="56"/>
  <c r="DR6" i="56"/>
  <c r="DR7" i="56"/>
  <c r="DR8" i="56"/>
  <c r="DR9" i="56"/>
  <c r="DR10" i="56"/>
  <c r="DR11" i="56"/>
  <c r="DR12" i="56"/>
  <c r="DR13" i="56"/>
  <c r="DR14" i="56"/>
  <c r="DR15" i="56"/>
  <c r="DR16" i="56"/>
  <c r="DR17" i="56"/>
  <c r="DR18" i="56"/>
  <c r="DR19" i="56"/>
  <c r="DR20" i="56"/>
  <c r="DR21" i="56"/>
  <c r="DR22" i="56"/>
  <c r="DR23" i="56"/>
  <c r="DR24" i="56"/>
  <c r="DR25" i="56"/>
  <c r="L25" i="56" s="1"/>
  <c r="DS25" i="56" s="1"/>
  <c r="DR26" i="56"/>
  <c r="DR27" i="56"/>
  <c r="L27" i="56" s="1"/>
  <c r="DS27" i="56" s="1"/>
  <c r="DR28" i="56"/>
  <c r="L28" i="56" s="1"/>
  <c r="DS28" i="56" s="1"/>
  <c r="DR29" i="56"/>
  <c r="DR30" i="56"/>
  <c r="DR31" i="56"/>
  <c r="L31" i="56" s="1"/>
  <c r="DS31" i="56" s="1"/>
  <c r="DR32" i="56"/>
  <c r="DR33" i="56"/>
  <c r="DR34" i="56"/>
  <c r="DR35" i="56"/>
  <c r="DR36" i="56"/>
  <c r="DR37" i="56"/>
  <c r="DR38" i="56"/>
  <c r="DR39" i="56"/>
  <c r="DR40" i="56"/>
  <c r="DR41" i="56"/>
  <c r="DR42" i="56"/>
  <c r="DR43" i="56"/>
  <c r="DR44" i="56"/>
  <c r="DR45" i="56"/>
  <c r="DR46" i="56"/>
  <c r="DR47" i="56"/>
  <c r="DR48" i="56"/>
  <c r="DR49" i="56"/>
  <c r="DR50" i="56"/>
  <c r="DR51" i="56"/>
  <c r="DR52" i="56"/>
  <c r="DR53" i="56"/>
  <c r="DR54" i="56"/>
  <c r="DR55" i="56"/>
  <c r="DR56" i="56"/>
  <c r="DR57" i="56"/>
  <c r="DR58" i="56"/>
  <c r="DR59" i="56"/>
  <c r="DR60" i="56"/>
  <c r="DR61" i="56"/>
  <c r="DR62" i="56"/>
  <c r="DR63" i="56"/>
  <c r="DR64" i="56"/>
  <c r="DR65" i="56"/>
  <c r="DR66" i="56"/>
  <c r="DR67" i="56"/>
  <c r="DR68" i="56"/>
  <c r="DR69" i="56"/>
  <c r="DR70" i="56"/>
  <c r="DR71" i="56"/>
  <c r="DR72" i="56"/>
  <c r="DR73" i="56"/>
  <c r="DR74" i="56"/>
  <c r="DR75" i="56"/>
  <c r="DR76" i="56"/>
  <c r="DR77" i="56"/>
  <c r="DR78" i="56"/>
  <c r="DR79" i="56"/>
  <c r="DR80" i="56"/>
  <c r="DR81" i="56"/>
  <c r="DR82" i="56"/>
  <c r="DR83" i="56"/>
  <c r="DR84" i="56"/>
  <c r="DR85" i="56"/>
  <c r="DR86" i="56"/>
  <c r="DR87" i="56"/>
  <c r="DR88" i="56"/>
  <c r="DR89" i="56"/>
  <c r="DR90" i="56"/>
  <c r="DR91" i="56"/>
  <c r="DR92" i="56"/>
  <c r="DR93" i="56"/>
  <c r="DR94" i="56"/>
  <c r="DR95" i="56"/>
  <c r="DR96" i="56"/>
  <c r="DR97" i="56"/>
  <c r="DR98" i="56"/>
  <c r="DR99" i="56"/>
  <c r="DR100" i="56"/>
  <c r="DR101" i="56"/>
  <c r="DR102" i="56"/>
  <c r="DR103" i="56"/>
  <c r="DR104" i="56"/>
  <c r="DR105" i="56"/>
  <c r="DR106" i="56"/>
  <c r="DR107" i="56"/>
  <c r="DR108" i="56"/>
  <c r="DR109" i="56"/>
  <c r="DR110" i="56"/>
  <c r="DR111" i="56"/>
  <c r="DR112" i="56"/>
  <c r="DR113" i="56"/>
  <c r="DR114" i="56"/>
  <c r="DR115" i="56"/>
  <c r="DR116" i="56"/>
  <c r="DR117" i="56"/>
  <c r="DR118" i="56"/>
  <c r="DR119" i="56"/>
  <c r="DR120" i="56"/>
  <c r="DR121" i="56"/>
  <c r="DR122" i="56"/>
  <c r="DR123" i="56"/>
  <c r="DR124" i="56"/>
  <c r="DR125" i="56"/>
  <c r="DR126" i="56"/>
  <c r="DR127" i="56"/>
  <c r="DR128" i="56"/>
  <c r="DR129" i="56"/>
  <c r="DR130" i="56"/>
  <c r="DR131" i="56"/>
  <c r="DR132" i="56"/>
  <c r="DR133" i="56"/>
  <c r="DR134" i="56"/>
  <c r="DR135" i="56"/>
  <c r="DR136" i="56"/>
  <c r="DR137" i="56"/>
  <c r="DR138" i="56"/>
  <c r="DR139" i="56"/>
  <c r="DR140" i="56"/>
  <c r="DR141" i="56"/>
  <c r="DR142" i="56"/>
  <c r="DR143" i="56"/>
  <c r="DR144" i="56"/>
  <c r="DR145" i="56"/>
  <c r="DR146" i="56"/>
  <c r="DR147" i="56"/>
  <c r="DR148" i="56"/>
  <c r="DR149" i="56"/>
  <c r="DR150" i="56"/>
  <c r="DR151" i="56"/>
  <c r="DR152" i="56"/>
  <c r="DR153" i="56"/>
  <c r="DR154" i="56"/>
  <c r="L154" i="56" s="1"/>
  <c r="DS154" i="56" s="1"/>
  <c r="DR155" i="56"/>
  <c r="DR156" i="56"/>
  <c r="DR157" i="56"/>
  <c r="DR158" i="56"/>
  <c r="DR159" i="56"/>
  <c r="DR160" i="56"/>
  <c r="DR161" i="56"/>
  <c r="DR162" i="56"/>
  <c r="DR163" i="56"/>
  <c r="DR164" i="56"/>
  <c r="DR165" i="56"/>
  <c r="DR166" i="56"/>
  <c r="DR167" i="56"/>
  <c r="DR168" i="56"/>
  <c r="DR169" i="56"/>
  <c r="DR170" i="56"/>
  <c r="DR171" i="56"/>
  <c r="DR172" i="56"/>
  <c r="DR173" i="56"/>
  <c r="DR174" i="56"/>
  <c r="DR175" i="56"/>
  <c r="DR176" i="56"/>
  <c r="DR177" i="56"/>
  <c r="DR178" i="56"/>
  <c r="DR179" i="56"/>
  <c r="DR180" i="56"/>
  <c r="DR181" i="56"/>
  <c r="DR182" i="56"/>
  <c r="DR183" i="56"/>
  <c r="DR184" i="56"/>
  <c r="L184" i="56" s="1"/>
  <c r="DS184" i="56" s="1"/>
  <c r="DR185" i="56"/>
  <c r="DR186" i="56"/>
  <c r="DR187" i="56"/>
  <c r="DR188" i="56"/>
  <c r="DR189" i="56"/>
  <c r="DR190" i="56"/>
  <c r="DR191" i="56"/>
  <c r="DR192" i="56"/>
  <c r="DR193" i="56"/>
  <c r="DR194" i="56"/>
  <c r="DR195" i="56"/>
  <c r="DR196" i="56"/>
  <c r="DR197" i="56"/>
  <c r="DR198" i="56"/>
  <c r="DR199" i="56"/>
  <c r="DR200" i="56"/>
  <c r="DR201" i="56"/>
  <c r="DR202" i="56"/>
  <c r="DR203" i="56"/>
  <c r="DR204" i="56"/>
  <c r="DR205" i="56"/>
  <c r="DR206" i="56"/>
  <c r="DR207" i="56"/>
  <c r="DR208" i="56"/>
  <c r="DR209" i="56"/>
  <c r="DR210" i="56"/>
  <c r="DR211" i="56"/>
  <c r="DR212" i="56"/>
  <c r="DR213" i="56"/>
  <c r="DR214" i="56"/>
  <c r="DR215" i="56"/>
  <c r="DR216" i="56"/>
  <c r="DR217" i="56"/>
  <c r="DR218" i="56"/>
  <c r="DR219" i="56"/>
  <c r="DR220" i="56"/>
  <c r="DR221" i="56"/>
  <c r="DR222" i="56"/>
  <c r="DR223" i="56"/>
  <c r="DR224" i="56"/>
  <c r="L224" i="56" s="1"/>
  <c r="DS224" i="56" s="1"/>
  <c r="DR225" i="56"/>
  <c r="DR226" i="56"/>
  <c r="DR227" i="56"/>
  <c r="DR228" i="56"/>
  <c r="DR229" i="56"/>
  <c r="DR230" i="56"/>
  <c r="DR231" i="56"/>
  <c r="DR232" i="56"/>
  <c r="DR233" i="56"/>
  <c r="DR234" i="56"/>
  <c r="DR235" i="56"/>
  <c r="DR236" i="56"/>
  <c r="DR237" i="56"/>
  <c r="DR238" i="56"/>
  <c r="DR239" i="56"/>
  <c r="DR240" i="56"/>
  <c r="DR241" i="56"/>
  <c r="DR242" i="56"/>
  <c r="DR243" i="56"/>
  <c r="DR244" i="56"/>
  <c r="DR245" i="56"/>
  <c r="DR246" i="56"/>
  <c r="DR247" i="56"/>
  <c r="DR248" i="56"/>
  <c r="DR249" i="56"/>
  <c r="DR250" i="56"/>
  <c r="DR251" i="56"/>
  <c r="DR252" i="56"/>
  <c r="DR253" i="56"/>
  <c r="DR254" i="56"/>
  <c r="DR255" i="56"/>
  <c r="DR256" i="56"/>
  <c r="DR257" i="56"/>
  <c r="DR258" i="56"/>
  <c r="DR259" i="56"/>
  <c r="DR260" i="56"/>
  <c r="DR261" i="56"/>
  <c r="DR262" i="56"/>
  <c r="DR263" i="56"/>
  <c r="DR264" i="56"/>
  <c r="DR265" i="56"/>
  <c r="DR266" i="56"/>
  <c r="DR267" i="56"/>
  <c r="DR268" i="56"/>
  <c r="DR269" i="56"/>
  <c r="DR270" i="56"/>
  <c r="DR271" i="56"/>
  <c r="DR272" i="56"/>
  <c r="DR273" i="56"/>
  <c r="DR274" i="56"/>
  <c r="DR275" i="56"/>
  <c r="DR276" i="56"/>
  <c r="DR277" i="56"/>
  <c r="DR278" i="56"/>
  <c r="DR279" i="56"/>
  <c r="DR280" i="56"/>
  <c r="DR281" i="56"/>
  <c r="DR282" i="56"/>
  <c r="DR283" i="56"/>
  <c r="L283" i="56" s="1"/>
  <c r="DR284" i="56"/>
  <c r="DR285" i="56"/>
  <c r="DR286" i="56"/>
  <c r="DR287" i="56"/>
  <c r="DR288" i="56"/>
  <c r="DR289" i="56"/>
  <c r="DR290" i="56"/>
  <c r="DR291" i="56"/>
  <c r="DR292" i="56"/>
  <c r="DR293" i="56"/>
  <c r="DR294" i="56"/>
  <c r="DR295" i="56"/>
  <c r="DR296" i="56"/>
  <c r="DR297" i="56"/>
  <c r="DR298" i="56"/>
  <c r="DR299" i="56"/>
  <c r="DR300" i="56"/>
  <c r="DR301" i="56"/>
  <c r="DR302" i="56"/>
  <c r="DR303" i="56"/>
  <c r="DR304" i="56"/>
  <c r="DR305" i="56"/>
  <c r="DR306" i="56"/>
  <c r="DR307" i="56"/>
  <c r="DR308" i="56"/>
  <c r="DR309" i="56"/>
  <c r="DR310" i="56"/>
  <c r="DR311" i="56"/>
  <c r="DR312" i="56"/>
  <c r="DR313" i="56"/>
  <c r="DR314" i="56"/>
  <c r="DR315" i="56"/>
  <c r="DR316" i="56"/>
  <c r="DR317" i="56"/>
  <c r="DR318" i="56"/>
  <c r="DR319" i="56"/>
  <c r="DR320" i="56"/>
  <c r="DR321" i="56"/>
  <c r="DR322" i="56"/>
  <c r="DR323" i="56"/>
  <c r="DR324" i="56"/>
  <c r="DR325" i="56"/>
  <c r="DR326" i="56"/>
  <c r="DR327" i="56"/>
  <c r="DR328" i="56"/>
  <c r="DR329" i="56"/>
  <c r="DR330" i="56"/>
  <c r="DR331" i="56"/>
  <c r="DR332" i="56"/>
  <c r="DR333" i="56"/>
  <c r="DR334" i="56"/>
  <c r="DR335" i="56"/>
  <c r="DR336" i="56"/>
  <c r="DR337" i="56"/>
  <c r="DR338" i="56"/>
  <c r="DR339" i="56"/>
  <c r="DR340" i="56"/>
  <c r="DR341" i="56"/>
  <c r="DR342" i="56"/>
  <c r="DR343" i="56"/>
  <c r="DR344" i="56"/>
  <c r="DR345" i="56"/>
  <c r="DR346" i="56"/>
  <c r="DR347" i="56"/>
  <c r="DR348" i="56"/>
  <c r="DR349" i="56"/>
  <c r="DR350" i="56"/>
  <c r="DR351" i="56"/>
  <c r="DR352" i="56"/>
  <c r="DK3" i="56"/>
  <c r="DK4" i="56"/>
  <c r="DK5" i="56"/>
  <c r="DK6" i="56"/>
  <c r="DK7" i="56"/>
  <c r="DK8" i="56"/>
  <c r="DK9" i="56"/>
  <c r="DK10" i="56"/>
  <c r="DK11" i="56"/>
  <c r="DK12" i="56"/>
  <c r="DK13" i="56"/>
  <c r="DK14" i="56"/>
  <c r="DK15" i="56"/>
  <c r="DK16" i="56"/>
  <c r="DK17" i="56"/>
  <c r="DK18" i="56"/>
  <c r="DK19" i="56"/>
  <c r="DK20" i="56"/>
  <c r="DK21" i="56"/>
  <c r="DK22" i="56"/>
  <c r="DK23" i="56"/>
  <c r="DK24" i="56"/>
  <c r="DK25" i="56"/>
  <c r="DK26" i="56"/>
  <c r="DK27" i="56"/>
  <c r="DK28" i="56"/>
  <c r="DK29" i="56"/>
  <c r="DK30" i="56"/>
  <c r="DK31" i="56"/>
  <c r="DK32" i="56"/>
  <c r="DK33" i="56"/>
  <c r="DK34" i="56"/>
  <c r="DK35" i="56"/>
  <c r="DK36" i="56"/>
  <c r="DK37" i="56"/>
  <c r="DK38" i="56"/>
  <c r="DK39" i="56"/>
  <c r="DK40" i="56"/>
  <c r="DK41" i="56"/>
  <c r="DK42" i="56"/>
  <c r="DK43" i="56"/>
  <c r="DK44" i="56"/>
  <c r="DK45" i="56"/>
  <c r="DK46" i="56"/>
  <c r="DK47" i="56"/>
  <c r="DK48" i="56"/>
  <c r="DK49" i="56"/>
  <c r="DK50" i="56"/>
  <c r="DK51" i="56"/>
  <c r="DK52" i="56"/>
  <c r="DK53" i="56"/>
  <c r="DK54" i="56"/>
  <c r="DK55" i="56"/>
  <c r="DK56" i="56"/>
  <c r="DK57" i="56"/>
  <c r="DK58" i="56"/>
  <c r="DK59" i="56"/>
  <c r="DK60" i="56"/>
  <c r="DK61" i="56"/>
  <c r="DK62" i="56"/>
  <c r="DK63" i="56"/>
  <c r="DK64" i="56"/>
  <c r="DK65" i="56"/>
  <c r="DK66" i="56"/>
  <c r="DK67" i="56"/>
  <c r="DK68" i="56"/>
  <c r="DK69" i="56"/>
  <c r="DK70" i="56"/>
  <c r="DK71" i="56"/>
  <c r="DK72" i="56"/>
  <c r="DK73" i="56"/>
  <c r="DK74" i="56"/>
  <c r="DK75" i="56"/>
  <c r="DK76" i="56"/>
  <c r="DK77" i="56"/>
  <c r="DK78" i="56"/>
  <c r="DK79" i="56"/>
  <c r="DK80" i="56"/>
  <c r="DK81" i="56"/>
  <c r="DK82" i="56"/>
  <c r="DK83" i="56"/>
  <c r="DK84" i="56"/>
  <c r="DK85" i="56"/>
  <c r="DK86" i="56"/>
  <c r="DK87" i="56"/>
  <c r="DK88" i="56"/>
  <c r="DK89" i="56"/>
  <c r="DK90" i="56"/>
  <c r="DK91" i="56"/>
  <c r="DK92" i="56"/>
  <c r="DK93" i="56"/>
  <c r="DK94" i="56"/>
  <c r="DK95" i="56"/>
  <c r="DK96" i="56"/>
  <c r="DK97" i="56"/>
  <c r="DK98" i="56"/>
  <c r="DK99" i="56"/>
  <c r="DK100" i="56"/>
  <c r="DK101" i="56"/>
  <c r="DK102" i="56"/>
  <c r="DK103" i="56"/>
  <c r="DK104" i="56"/>
  <c r="DK105" i="56"/>
  <c r="DK106" i="56"/>
  <c r="DK107" i="56"/>
  <c r="DK108" i="56"/>
  <c r="DK109" i="56"/>
  <c r="DK110" i="56"/>
  <c r="DK111" i="56"/>
  <c r="DK112" i="56"/>
  <c r="DK113" i="56"/>
  <c r="DK114" i="56"/>
  <c r="DK115" i="56"/>
  <c r="DK116" i="56"/>
  <c r="DK117" i="56"/>
  <c r="DK118" i="56"/>
  <c r="DK119" i="56"/>
  <c r="DK120" i="56"/>
  <c r="DK121" i="56"/>
  <c r="DK122" i="56"/>
  <c r="DK123" i="56"/>
  <c r="DK124" i="56"/>
  <c r="DK125" i="56"/>
  <c r="DK126" i="56"/>
  <c r="DK127" i="56"/>
  <c r="DK128" i="56"/>
  <c r="DK129" i="56"/>
  <c r="DK130" i="56"/>
  <c r="DK131" i="56"/>
  <c r="DK132" i="56"/>
  <c r="DK133" i="56"/>
  <c r="DK134" i="56"/>
  <c r="DK135" i="56"/>
  <c r="DK136" i="56"/>
  <c r="DK137" i="56"/>
  <c r="DK138" i="56"/>
  <c r="DK139" i="56"/>
  <c r="DK140" i="56"/>
  <c r="DK141" i="56"/>
  <c r="DK142" i="56"/>
  <c r="DK143" i="56"/>
  <c r="DK144" i="56"/>
  <c r="DK145" i="56"/>
  <c r="DK146" i="56"/>
  <c r="DK147" i="56"/>
  <c r="DK148" i="56"/>
  <c r="DK149" i="56"/>
  <c r="DK150" i="56"/>
  <c r="DK151" i="56"/>
  <c r="DK152" i="56"/>
  <c r="DK153" i="56"/>
  <c r="DK154" i="56"/>
  <c r="DK155" i="56"/>
  <c r="DK156" i="56"/>
  <c r="DK157" i="56"/>
  <c r="DK158" i="56"/>
  <c r="DK159" i="56"/>
  <c r="DK160" i="56"/>
  <c r="DK161" i="56"/>
  <c r="DK162" i="56"/>
  <c r="DK163" i="56"/>
  <c r="DK164" i="56"/>
  <c r="DK165" i="56"/>
  <c r="DK166" i="56"/>
  <c r="DK167" i="56"/>
  <c r="DK168" i="56"/>
  <c r="DK169" i="56"/>
  <c r="DK170" i="56"/>
  <c r="DK171" i="56"/>
  <c r="DK172" i="56"/>
  <c r="DK173" i="56"/>
  <c r="DK174" i="56"/>
  <c r="DK175" i="56"/>
  <c r="DK176" i="56"/>
  <c r="DK177" i="56"/>
  <c r="DK178" i="56"/>
  <c r="DK179" i="56"/>
  <c r="DK180" i="56"/>
  <c r="DK181" i="56"/>
  <c r="DK182" i="56"/>
  <c r="DK183" i="56"/>
  <c r="DK184" i="56"/>
  <c r="DK185" i="56"/>
  <c r="DK186" i="56"/>
  <c r="DK187" i="56"/>
  <c r="DK188" i="56"/>
  <c r="DK189" i="56"/>
  <c r="DK190" i="56"/>
  <c r="DK191" i="56"/>
  <c r="DK192" i="56"/>
  <c r="DK193" i="56"/>
  <c r="DK194" i="56"/>
  <c r="DK195" i="56"/>
  <c r="DK196" i="56"/>
  <c r="DK197" i="56"/>
  <c r="DK198" i="56"/>
  <c r="DK199" i="56"/>
  <c r="DK200" i="56"/>
  <c r="DK201" i="56"/>
  <c r="DK202" i="56"/>
  <c r="DK203" i="56"/>
  <c r="DK204" i="56"/>
  <c r="DK205" i="56"/>
  <c r="DK206" i="56"/>
  <c r="DK207" i="56"/>
  <c r="DK208" i="56"/>
  <c r="DK209" i="56"/>
  <c r="DK210" i="56"/>
  <c r="DK211" i="56"/>
  <c r="DK212" i="56"/>
  <c r="DK213" i="56"/>
  <c r="DK214" i="56"/>
  <c r="DK215" i="56"/>
  <c r="DK216" i="56"/>
  <c r="DK217" i="56"/>
  <c r="DK218" i="56"/>
  <c r="DK219" i="56"/>
  <c r="DK220" i="56"/>
  <c r="DK221" i="56"/>
  <c r="DK222" i="56"/>
  <c r="DK223" i="56"/>
  <c r="DK224" i="56"/>
  <c r="DK225" i="56"/>
  <c r="DK226" i="56"/>
  <c r="DK227" i="56"/>
  <c r="DK228" i="56"/>
  <c r="DK229" i="56"/>
  <c r="DK230" i="56"/>
  <c r="DK231" i="56"/>
  <c r="DK232" i="56"/>
  <c r="DK233" i="56"/>
  <c r="DK234" i="56"/>
  <c r="DK235" i="56"/>
  <c r="DK236" i="56"/>
  <c r="DK237" i="56"/>
  <c r="DK238" i="56"/>
  <c r="DK239" i="56"/>
  <c r="DK240" i="56"/>
  <c r="DK241" i="56"/>
  <c r="DK242" i="56"/>
  <c r="DK243" i="56"/>
  <c r="DK244" i="56"/>
  <c r="DK245" i="56"/>
  <c r="DK246" i="56"/>
  <c r="DK247" i="56"/>
  <c r="DK248" i="56"/>
  <c r="DK249" i="56"/>
  <c r="DK250" i="56"/>
  <c r="DK251" i="56"/>
  <c r="DK252" i="56"/>
  <c r="DK253" i="56"/>
  <c r="DK254" i="56"/>
  <c r="DK255" i="56"/>
  <c r="DK256" i="56"/>
  <c r="DK257" i="56"/>
  <c r="DK258" i="56"/>
  <c r="DK259" i="56"/>
  <c r="DK260" i="56"/>
  <c r="DK261" i="56"/>
  <c r="DK262" i="56"/>
  <c r="DK263" i="56"/>
  <c r="DK264" i="56"/>
  <c r="DK265" i="56"/>
  <c r="DK266" i="56"/>
  <c r="DK267" i="56"/>
  <c r="DK268" i="56"/>
  <c r="DK269" i="56"/>
  <c r="DK270" i="56"/>
  <c r="DK271" i="56"/>
  <c r="DK272" i="56"/>
  <c r="DK273" i="56"/>
  <c r="DK274" i="56"/>
  <c r="DK275" i="56"/>
  <c r="DK276" i="56"/>
  <c r="DK277" i="56"/>
  <c r="DK278" i="56"/>
  <c r="DK279" i="56"/>
  <c r="DK280" i="56"/>
  <c r="DK281" i="56"/>
  <c r="DK282" i="56"/>
  <c r="DK283" i="56"/>
  <c r="DK284" i="56"/>
  <c r="DK285" i="56"/>
  <c r="DK286" i="56"/>
  <c r="DK287" i="56"/>
  <c r="DK288" i="56"/>
  <c r="DK289" i="56"/>
  <c r="DK290" i="56"/>
  <c r="DK291" i="56"/>
  <c r="DK292" i="56"/>
  <c r="DK293" i="56"/>
  <c r="DK294" i="56"/>
  <c r="DK295" i="56"/>
  <c r="DK296" i="56"/>
  <c r="DK297" i="56"/>
  <c r="DK298" i="56"/>
  <c r="DK299" i="56"/>
  <c r="DK300" i="56"/>
  <c r="DK301" i="56"/>
  <c r="DK302" i="56"/>
  <c r="DK303" i="56"/>
  <c r="DK304" i="56"/>
  <c r="DK305" i="56"/>
  <c r="DK306" i="56"/>
  <c r="DK307" i="56"/>
  <c r="DK308" i="56"/>
  <c r="DK309" i="56"/>
  <c r="DK310" i="56"/>
  <c r="DK311" i="56"/>
  <c r="DK312" i="56"/>
  <c r="DK313" i="56"/>
  <c r="DK314" i="56"/>
  <c r="DK315" i="56"/>
  <c r="DK316" i="56"/>
  <c r="DK317" i="56"/>
  <c r="DK318" i="56"/>
  <c r="DK319" i="56"/>
  <c r="DK320" i="56"/>
  <c r="DK321" i="56"/>
  <c r="DK322" i="56"/>
  <c r="DK323" i="56"/>
  <c r="DK324" i="56"/>
  <c r="DK325" i="56"/>
  <c r="DK326" i="56"/>
  <c r="DK327" i="56"/>
  <c r="DK328" i="56"/>
  <c r="DK329" i="56"/>
  <c r="DK330" i="56"/>
  <c r="DK331" i="56"/>
  <c r="DK332" i="56"/>
  <c r="DK333" i="56"/>
  <c r="DK334" i="56"/>
  <c r="DK335" i="56"/>
  <c r="DK336" i="56"/>
  <c r="DK337" i="56"/>
  <c r="DK338" i="56"/>
  <c r="DK339" i="56"/>
  <c r="DK340" i="56"/>
  <c r="DK341" i="56"/>
  <c r="DK342" i="56"/>
  <c r="DK343" i="56"/>
  <c r="DK344" i="56"/>
  <c r="DK345" i="56"/>
  <c r="DK346" i="56"/>
  <c r="DK347" i="56"/>
  <c r="DK348" i="56"/>
  <c r="DK349" i="56"/>
  <c r="DK350" i="56"/>
  <c r="DK351" i="56"/>
  <c r="DK352" i="56"/>
  <c r="CZ5" i="56"/>
  <c r="CZ6" i="56"/>
  <c r="CZ7" i="56"/>
  <c r="CZ8" i="56"/>
  <c r="CZ9" i="56"/>
  <c r="CZ10" i="56"/>
  <c r="CZ12" i="56"/>
  <c r="CZ13" i="56"/>
  <c r="CZ14" i="56"/>
  <c r="CZ15" i="56"/>
  <c r="CZ16" i="56"/>
  <c r="CZ17" i="56"/>
  <c r="CZ18" i="56"/>
  <c r="CZ19" i="56"/>
  <c r="CZ20" i="56"/>
  <c r="CZ21" i="56"/>
  <c r="CZ22" i="56"/>
  <c r="CZ23" i="56"/>
  <c r="CZ24" i="56"/>
  <c r="CZ26" i="56"/>
  <c r="CZ31" i="56"/>
  <c r="CZ53" i="56"/>
  <c r="CZ54" i="56"/>
  <c r="CZ55" i="56"/>
  <c r="CZ56" i="56"/>
  <c r="CZ57" i="56"/>
  <c r="CZ58" i="56"/>
  <c r="CZ59" i="56"/>
  <c r="CZ60" i="56"/>
  <c r="CZ61" i="56"/>
  <c r="CZ62" i="56"/>
  <c r="CZ63" i="56"/>
  <c r="CZ64" i="56"/>
  <c r="CZ65" i="56"/>
  <c r="CZ66" i="56"/>
  <c r="CZ67" i="56"/>
  <c r="CZ68" i="56"/>
  <c r="CZ69" i="56"/>
  <c r="CZ70" i="56"/>
  <c r="CZ71" i="56"/>
  <c r="CZ72" i="56"/>
  <c r="CZ73" i="56"/>
  <c r="CZ74" i="56"/>
  <c r="CZ75" i="56"/>
  <c r="CZ76" i="56"/>
  <c r="CZ77" i="56"/>
  <c r="CZ78" i="56"/>
  <c r="CZ79" i="56"/>
  <c r="CZ80" i="56"/>
  <c r="CZ81" i="56"/>
  <c r="CZ82" i="56"/>
  <c r="CZ83" i="56"/>
  <c r="CZ84" i="56"/>
  <c r="CZ85" i="56"/>
  <c r="CZ86" i="56"/>
  <c r="CZ87" i="56"/>
  <c r="CZ88" i="56"/>
  <c r="CZ89" i="56"/>
  <c r="CZ90" i="56"/>
  <c r="CZ91" i="56"/>
  <c r="CZ92" i="56"/>
  <c r="CZ93" i="56"/>
  <c r="CZ94" i="56"/>
  <c r="CZ95" i="56"/>
  <c r="CZ96" i="56"/>
  <c r="CZ97" i="56"/>
  <c r="CZ98" i="56"/>
  <c r="CZ99" i="56"/>
  <c r="CZ100" i="56"/>
  <c r="CZ101" i="56"/>
  <c r="CZ102" i="56"/>
  <c r="CZ103" i="56"/>
  <c r="CZ104" i="56"/>
  <c r="CZ105" i="56"/>
  <c r="CZ106" i="56"/>
  <c r="CZ107" i="56"/>
  <c r="CZ108" i="56"/>
  <c r="CZ109" i="56"/>
  <c r="CZ110" i="56"/>
  <c r="CZ111" i="56"/>
  <c r="CZ112" i="56"/>
  <c r="CZ113" i="56"/>
  <c r="CZ114" i="56"/>
  <c r="CZ115" i="56"/>
  <c r="CZ116" i="56"/>
  <c r="CZ117" i="56"/>
  <c r="CZ118" i="56"/>
  <c r="CZ119" i="56"/>
  <c r="CZ120" i="56"/>
  <c r="CZ121" i="56"/>
  <c r="CZ122" i="56"/>
  <c r="CZ123" i="56"/>
  <c r="CZ124" i="56"/>
  <c r="CZ125" i="56"/>
  <c r="CZ126" i="56"/>
  <c r="CZ127" i="56"/>
  <c r="CZ128" i="56"/>
  <c r="CZ129" i="56"/>
  <c r="CZ130" i="56"/>
  <c r="CZ154" i="56"/>
  <c r="CZ155" i="56"/>
  <c r="CZ156" i="56"/>
  <c r="CZ157" i="56"/>
  <c r="CZ158" i="56"/>
  <c r="CZ159" i="56"/>
  <c r="CZ160" i="56"/>
  <c r="CZ161" i="56"/>
  <c r="CZ162" i="56"/>
  <c r="CZ163" i="56"/>
  <c r="CZ164" i="56"/>
  <c r="CZ165" i="56"/>
  <c r="CZ166" i="56"/>
  <c r="CZ167" i="56"/>
  <c r="CZ168" i="56"/>
  <c r="CZ169" i="56"/>
  <c r="CZ170" i="56"/>
  <c r="CZ171" i="56"/>
  <c r="CZ172" i="56"/>
  <c r="CZ173" i="56"/>
  <c r="CZ174" i="56"/>
  <c r="CZ175" i="56"/>
  <c r="CZ176" i="56"/>
  <c r="CZ177" i="56"/>
  <c r="CZ178" i="56"/>
  <c r="CZ179" i="56"/>
  <c r="CZ180" i="56"/>
  <c r="CZ181" i="56"/>
  <c r="CZ182" i="56"/>
  <c r="CZ183" i="56"/>
  <c r="CZ184" i="56"/>
  <c r="CZ220" i="56"/>
  <c r="CZ221" i="56"/>
  <c r="CZ222" i="56"/>
  <c r="CZ223" i="56"/>
  <c r="CZ224" i="56"/>
  <c r="CZ283" i="56"/>
  <c r="CZ284" i="56"/>
  <c r="CZ285" i="56"/>
  <c r="CZ286" i="56"/>
  <c r="CZ287" i="56"/>
  <c r="CZ288" i="56"/>
  <c r="CZ289" i="56"/>
  <c r="CZ290" i="56"/>
  <c r="CZ291" i="56"/>
  <c r="CZ292" i="56"/>
  <c r="CZ293" i="56"/>
  <c r="CZ294" i="56"/>
  <c r="CZ295" i="56"/>
  <c r="CZ296" i="56"/>
  <c r="CZ297" i="56"/>
  <c r="CZ298" i="56"/>
  <c r="CZ299" i="56"/>
  <c r="CZ300" i="56"/>
  <c r="CZ301" i="56"/>
  <c r="CZ302" i="56"/>
  <c r="CZ303" i="56"/>
  <c r="CZ304" i="56"/>
  <c r="CZ305" i="56"/>
  <c r="CZ306" i="56"/>
  <c r="CZ307" i="56"/>
  <c r="CZ308" i="56"/>
  <c r="CZ309" i="56"/>
  <c r="CZ310" i="56"/>
  <c r="CZ311" i="56"/>
  <c r="CZ312" i="56"/>
  <c r="CZ313" i="56"/>
  <c r="CZ314" i="56"/>
  <c r="CZ315" i="56"/>
  <c r="CZ316" i="56"/>
  <c r="CZ317" i="56"/>
  <c r="CZ318" i="56"/>
  <c r="CZ319" i="56"/>
  <c r="CZ320" i="56"/>
  <c r="CZ321" i="56"/>
  <c r="CZ322" i="56"/>
  <c r="CZ323" i="56"/>
  <c r="CZ324" i="56"/>
  <c r="CZ325" i="56"/>
  <c r="CZ326" i="56"/>
  <c r="CZ327" i="56"/>
  <c r="CZ328" i="56"/>
  <c r="CZ329" i="56"/>
  <c r="CZ330" i="56"/>
  <c r="CZ331" i="56"/>
  <c r="CZ332" i="56"/>
  <c r="CZ333" i="56"/>
  <c r="CZ334" i="56"/>
  <c r="CZ335" i="56"/>
  <c r="CZ336" i="56"/>
  <c r="CZ337" i="56"/>
  <c r="CZ338" i="56"/>
  <c r="CZ339" i="56"/>
  <c r="CZ340" i="56"/>
  <c r="CZ341" i="56"/>
  <c r="CZ344" i="56"/>
  <c r="CZ345" i="56"/>
  <c r="CZ346" i="56"/>
  <c r="CZ347" i="56"/>
  <c r="CZ348" i="56"/>
  <c r="CZ349" i="56"/>
  <c r="CZ350" i="56"/>
  <c r="CZ351" i="56"/>
  <c r="CZ352" i="56"/>
  <c r="CL3" i="56"/>
  <c r="CL4" i="56"/>
  <c r="CL16" i="56"/>
  <c r="CL26" i="56"/>
  <c r="CL27" i="56"/>
  <c r="CL28" i="56"/>
  <c r="CL31" i="56"/>
  <c r="CL53" i="56"/>
  <c r="CL88" i="56"/>
  <c r="CL102" i="56"/>
  <c r="CL130" i="56"/>
  <c r="CL154" i="56"/>
  <c r="CL184" i="56"/>
  <c r="CL224" i="56"/>
  <c r="CL261" i="56"/>
  <c r="CL283" i="56"/>
  <c r="CL313" i="56"/>
  <c r="CL317" i="56"/>
  <c r="CL325" i="56"/>
  <c r="CL330" i="56"/>
  <c r="CL335" i="56"/>
  <c r="CL336" i="56"/>
  <c r="CL341" i="56"/>
  <c r="CG277" i="56"/>
  <c r="CH277" i="56" s="1"/>
  <c r="H277" i="56" s="1"/>
  <c r="CG280" i="56"/>
  <c r="CH280" i="56" s="1"/>
  <c r="H280" i="56" s="1"/>
  <c r="CF14" i="56"/>
  <c r="CF16" i="56"/>
  <c r="CF22" i="56"/>
  <c r="CF37" i="56"/>
  <c r="CF39" i="56"/>
  <c r="CF42" i="56"/>
  <c r="CF61" i="56"/>
  <c r="CF62" i="56"/>
  <c r="CF70" i="56"/>
  <c r="CF71" i="56"/>
  <c r="CF90" i="56"/>
  <c r="CF103" i="56"/>
  <c r="CF104" i="56"/>
  <c r="CF106" i="56"/>
  <c r="CF107" i="56"/>
  <c r="CF119" i="56"/>
  <c r="CF122" i="56"/>
  <c r="CF123" i="56"/>
  <c r="CF150" i="56"/>
  <c r="CF151" i="56"/>
  <c r="CF160" i="56"/>
  <c r="CF161" i="56"/>
  <c r="CF162" i="56"/>
  <c r="CF163" i="56"/>
  <c r="CF166" i="56"/>
  <c r="CF167" i="56"/>
  <c r="CF168" i="56"/>
  <c r="CF184" i="56"/>
  <c r="CF198" i="56"/>
  <c r="CF202" i="56"/>
  <c r="CF203" i="56"/>
  <c r="CF213" i="56"/>
  <c r="CF219" i="56"/>
  <c r="CF221" i="56"/>
  <c r="CF224" i="56"/>
  <c r="CF232" i="56"/>
  <c r="CF233" i="56"/>
  <c r="CF234" i="56"/>
  <c r="CF269" i="56"/>
  <c r="CF278" i="56"/>
  <c r="CF294" i="56"/>
  <c r="CF296" i="56"/>
  <c r="CF317" i="56"/>
  <c r="CF326" i="56"/>
  <c r="CF330" i="56"/>
  <c r="CF331" i="56"/>
  <c r="CF333" i="56"/>
  <c r="CF341" i="56"/>
  <c r="CF352" i="56"/>
  <c r="CE7" i="56"/>
  <c r="CE8" i="56"/>
  <c r="CE23" i="56"/>
  <c r="CE27" i="56"/>
  <c r="CE29" i="56"/>
  <c r="CE47" i="56"/>
  <c r="CE53" i="56"/>
  <c r="CE55" i="56"/>
  <c r="CE56" i="56"/>
  <c r="CE64" i="56"/>
  <c r="CE71" i="56"/>
  <c r="CE85" i="56"/>
  <c r="CE92" i="56"/>
  <c r="CE93" i="56"/>
  <c r="CE101" i="56"/>
  <c r="CE102" i="56"/>
  <c r="CE103" i="56"/>
  <c r="CE106" i="56"/>
  <c r="CE107" i="56"/>
  <c r="CE108" i="56"/>
  <c r="CE109" i="56"/>
  <c r="CE118" i="56"/>
  <c r="CE135" i="56"/>
  <c r="CE136" i="56"/>
  <c r="CE138" i="56"/>
  <c r="CE139" i="56"/>
  <c r="CE144" i="56"/>
  <c r="CE151" i="56"/>
  <c r="CE165" i="56"/>
  <c r="CE166" i="56"/>
  <c r="CE167" i="56"/>
  <c r="CE181" i="56"/>
  <c r="CE184" i="56"/>
  <c r="CE209" i="56"/>
  <c r="CE211" i="56"/>
  <c r="CE213" i="56"/>
  <c r="CE218" i="56"/>
  <c r="CE229" i="56"/>
  <c r="CE230" i="56"/>
  <c r="CE237" i="56"/>
  <c r="CE245" i="56"/>
  <c r="CE246" i="56"/>
  <c r="CE250" i="56"/>
  <c r="CE251" i="56"/>
  <c r="CE252" i="56"/>
  <c r="CE262" i="56"/>
  <c r="CE298" i="56"/>
  <c r="CE300" i="56"/>
  <c r="CE301" i="56"/>
  <c r="CE309" i="56"/>
  <c r="CE310" i="56"/>
  <c r="CE336" i="56"/>
  <c r="CE337" i="56"/>
  <c r="CE352" i="56"/>
  <c r="CD5" i="56"/>
  <c r="CD6" i="56"/>
  <c r="CD7" i="56"/>
  <c r="CD8" i="56"/>
  <c r="CD10" i="56"/>
  <c r="CD22" i="56"/>
  <c r="CD23" i="56"/>
  <c r="CD24" i="56"/>
  <c r="CD26" i="56"/>
  <c r="CD27" i="56"/>
  <c r="CD28" i="56"/>
  <c r="CD29" i="56"/>
  <c r="CD55" i="56"/>
  <c r="CD58" i="56"/>
  <c r="CD59" i="56"/>
  <c r="CD61" i="56"/>
  <c r="CD70" i="56"/>
  <c r="CD71" i="56"/>
  <c r="CD77" i="56"/>
  <c r="CD113" i="56"/>
  <c r="CD119" i="56"/>
  <c r="CD122" i="56"/>
  <c r="CD123" i="56"/>
  <c r="CD124" i="56"/>
  <c r="CD133" i="56"/>
  <c r="CD134" i="56"/>
  <c r="CD141" i="56"/>
  <c r="CD149" i="56"/>
  <c r="CD150" i="56"/>
  <c r="CD166" i="56"/>
  <c r="CD167" i="56"/>
  <c r="CD168" i="56"/>
  <c r="CD170" i="56"/>
  <c r="CD184" i="56"/>
  <c r="CD186" i="56"/>
  <c r="CD187" i="56"/>
  <c r="CD189" i="56"/>
  <c r="CD202" i="56"/>
  <c r="CD213" i="56"/>
  <c r="CD214" i="56"/>
  <c r="CD232" i="56"/>
  <c r="CD250" i="56"/>
  <c r="CD251" i="56"/>
  <c r="CD259" i="56"/>
  <c r="CD261" i="56"/>
  <c r="CD262" i="56"/>
  <c r="CD278" i="56"/>
  <c r="CD280" i="56"/>
  <c r="CD283" i="56"/>
  <c r="CD294" i="56"/>
  <c r="CD296" i="56"/>
  <c r="CD298" i="56"/>
  <c r="CD314" i="56"/>
  <c r="CD315" i="56"/>
  <c r="CD331" i="56"/>
  <c r="CD333" i="56"/>
  <c r="CD341" i="56"/>
  <c r="CD352" i="56"/>
  <c r="CC10" i="56"/>
  <c r="CC23" i="56"/>
  <c r="CC26" i="56"/>
  <c r="CC38" i="56"/>
  <c r="CC39" i="56"/>
  <c r="CC54" i="56"/>
  <c r="CC55" i="56"/>
  <c r="CC56" i="56"/>
  <c r="CC58" i="56"/>
  <c r="CC60" i="56"/>
  <c r="CC61" i="56"/>
  <c r="CC70" i="56"/>
  <c r="CC71" i="56"/>
  <c r="CC74" i="56"/>
  <c r="CC75" i="56"/>
  <c r="CC103" i="56"/>
  <c r="CC106" i="56"/>
  <c r="CC107" i="56"/>
  <c r="CC108" i="56"/>
  <c r="CC109" i="56"/>
  <c r="CC117" i="56"/>
  <c r="CC118" i="56"/>
  <c r="CC119" i="56"/>
  <c r="CC135" i="56"/>
  <c r="CC136" i="56"/>
  <c r="CC151" i="56"/>
  <c r="CC154" i="56"/>
  <c r="CC155" i="56"/>
  <c r="CC165" i="56"/>
  <c r="CC166" i="56"/>
  <c r="CC172" i="56"/>
  <c r="CC173" i="56"/>
  <c r="CC181" i="56"/>
  <c r="CC182" i="56"/>
  <c r="CC184" i="56"/>
  <c r="CC198" i="56"/>
  <c r="CC204" i="56"/>
  <c r="CC205" i="56"/>
  <c r="CC208" i="56"/>
  <c r="CC218" i="56"/>
  <c r="CC219" i="56"/>
  <c r="CC225" i="56"/>
  <c r="CC227" i="56"/>
  <c r="CC252" i="56"/>
  <c r="CC253" i="56"/>
  <c r="CC261" i="56"/>
  <c r="CC262" i="56"/>
  <c r="CC272" i="56"/>
  <c r="CC299" i="56"/>
  <c r="CC325" i="56"/>
  <c r="CC326" i="56"/>
  <c r="CC330" i="56"/>
  <c r="CC331" i="56"/>
  <c r="CC333" i="56"/>
  <c r="CC352" i="56"/>
  <c r="CB3" i="56"/>
  <c r="CB7" i="56"/>
  <c r="CB10" i="56"/>
  <c r="CB11" i="56"/>
  <c r="CB21" i="56"/>
  <c r="CB22" i="56"/>
  <c r="CB23" i="56"/>
  <c r="CB37" i="56"/>
  <c r="CB39" i="56"/>
  <c r="CB40" i="56"/>
  <c r="CB51" i="56"/>
  <c r="CB53" i="56"/>
  <c r="CB54" i="56"/>
  <c r="CB55" i="56"/>
  <c r="CB58" i="56"/>
  <c r="CB75" i="56"/>
  <c r="CB76" i="56"/>
  <c r="CB77" i="56"/>
  <c r="CB86" i="56"/>
  <c r="CB87" i="56"/>
  <c r="CB90" i="56"/>
  <c r="CB91" i="56"/>
  <c r="CB92" i="56"/>
  <c r="CB93" i="56"/>
  <c r="CB107" i="56"/>
  <c r="CB120" i="56"/>
  <c r="CB122" i="56"/>
  <c r="CB123" i="56"/>
  <c r="CB124" i="56"/>
  <c r="CB125" i="56"/>
  <c r="CB129" i="56"/>
  <c r="CB135" i="56"/>
  <c r="CB151" i="56"/>
  <c r="CB157" i="56"/>
  <c r="CB197" i="56"/>
  <c r="CB198" i="56"/>
  <c r="CB202" i="56"/>
  <c r="CB203" i="56"/>
  <c r="CB209" i="56"/>
  <c r="CB213" i="56"/>
  <c r="CB214" i="56"/>
  <c r="CB230" i="56"/>
  <c r="CB232" i="56"/>
  <c r="CB234" i="56"/>
  <c r="CB235" i="56"/>
  <c r="CB236" i="56"/>
  <c r="CB237" i="56"/>
  <c r="CB246" i="56"/>
  <c r="CB248" i="56"/>
  <c r="CB256" i="56"/>
  <c r="CB270" i="56"/>
  <c r="CB285" i="56"/>
  <c r="CB300" i="56"/>
  <c r="CB301" i="56"/>
  <c r="CB309" i="56"/>
  <c r="CB325" i="56"/>
  <c r="CB326" i="56"/>
  <c r="CB330" i="56"/>
  <c r="CB346" i="56"/>
  <c r="CB349" i="56"/>
  <c r="CB352" i="56"/>
  <c r="CA5" i="56"/>
  <c r="CA7" i="56"/>
  <c r="CA8" i="56"/>
  <c r="CA9" i="56"/>
  <c r="CA27" i="56"/>
  <c r="CA28" i="56"/>
  <c r="CA30" i="56"/>
  <c r="CA33" i="56"/>
  <c r="CA40" i="56"/>
  <c r="CA43" i="56"/>
  <c r="CA56" i="56"/>
  <c r="CA72" i="56"/>
  <c r="CA77" i="56"/>
  <c r="CA78" i="56"/>
  <c r="CA79" i="56"/>
  <c r="CA80" i="56"/>
  <c r="CA81" i="56"/>
  <c r="CA103" i="56"/>
  <c r="CA104" i="56"/>
  <c r="CA105" i="56"/>
  <c r="CA123" i="56"/>
  <c r="CA124" i="56"/>
  <c r="CA139" i="56"/>
  <c r="CA140" i="56"/>
  <c r="CA141" i="56"/>
  <c r="CA142" i="56"/>
  <c r="CA152" i="56"/>
  <c r="DC152" i="56" s="1"/>
  <c r="CA155" i="56"/>
  <c r="DC155" i="56" s="1"/>
  <c r="CA156" i="56"/>
  <c r="CA157" i="56"/>
  <c r="DC157" i="56" s="1"/>
  <c r="CA158" i="56"/>
  <c r="CA187" i="56"/>
  <c r="CA204" i="56"/>
  <c r="CA205" i="56"/>
  <c r="CA215" i="56"/>
  <c r="CA231" i="56"/>
  <c r="CA235" i="56"/>
  <c r="CA240" i="56"/>
  <c r="CA241" i="56"/>
  <c r="CA251" i="56"/>
  <c r="CA263" i="56"/>
  <c r="CA268" i="56"/>
  <c r="CA270" i="56"/>
  <c r="CA276" i="56"/>
  <c r="CA283" i="56"/>
  <c r="CA284" i="56"/>
  <c r="CA286" i="56"/>
  <c r="CA295" i="56"/>
  <c r="CA299" i="56"/>
  <c r="CA300" i="56"/>
  <c r="CA302" i="56"/>
  <c r="CA331" i="56"/>
  <c r="CA343" i="56"/>
  <c r="CA348" i="56"/>
  <c r="CA350" i="56"/>
  <c r="BZ3" i="56"/>
  <c r="CA3" i="56" s="1"/>
  <c r="BZ4" i="56"/>
  <c r="CA4" i="56" s="1"/>
  <c r="BZ5" i="56"/>
  <c r="BZ6" i="56"/>
  <c r="CC5" i="56" s="1"/>
  <c r="BZ7" i="56"/>
  <c r="BZ8" i="56"/>
  <c r="BZ9" i="56"/>
  <c r="BZ10" i="56"/>
  <c r="CA10" i="56" s="1"/>
  <c r="BZ11" i="56"/>
  <c r="BZ12" i="56"/>
  <c r="BZ13" i="56"/>
  <c r="CB12" i="56" s="1"/>
  <c r="BZ14" i="56"/>
  <c r="BZ15" i="56"/>
  <c r="BZ16" i="56"/>
  <c r="BZ17" i="56"/>
  <c r="BZ18" i="56"/>
  <c r="BZ19" i="56"/>
  <c r="CB18" i="56" s="1"/>
  <c r="BZ20" i="56"/>
  <c r="BZ21" i="56"/>
  <c r="BZ22" i="56"/>
  <c r="BZ23" i="56"/>
  <c r="BZ24" i="56"/>
  <c r="CF23" i="56" s="1"/>
  <c r="BZ25" i="56"/>
  <c r="BZ26" i="56"/>
  <c r="CF25" i="56" s="1"/>
  <c r="BZ27" i="56"/>
  <c r="BZ28" i="56"/>
  <c r="BZ29" i="56"/>
  <c r="CE28" i="56" s="1"/>
  <c r="BZ30" i="56"/>
  <c r="BZ31" i="56"/>
  <c r="BZ32" i="56"/>
  <c r="CB31" i="56" s="1"/>
  <c r="BZ33" i="56"/>
  <c r="BZ34" i="56"/>
  <c r="BZ35" i="56"/>
  <c r="BZ36" i="56"/>
  <c r="CC35" i="56" s="1"/>
  <c r="BZ37" i="56"/>
  <c r="BZ38" i="56"/>
  <c r="BZ39" i="56"/>
  <c r="BZ40" i="56"/>
  <c r="CE39" i="56" s="1"/>
  <c r="BZ41" i="56"/>
  <c r="BZ42" i="56"/>
  <c r="CD41" i="56" s="1"/>
  <c r="BZ43" i="56"/>
  <c r="BZ44" i="56"/>
  <c r="BZ45" i="56"/>
  <c r="BZ46" i="56"/>
  <c r="BZ47" i="56"/>
  <c r="BZ48" i="56"/>
  <c r="BZ49" i="56"/>
  <c r="BZ50" i="56"/>
  <c r="BZ51" i="56"/>
  <c r="BZ52" i="56"/>
  <c r="CF51" i="56" s="1"/>
  <c r="BZ53" i="56"/>
  <c r="BZ54" i="56"/>
  <c r="BZ55" i="56"/>
  <c r="BZ56" i="56"/>
  <c r="CF55" i="56" s="1"/>
  <c r="BZ57" i="56"/>
  <c r="BZ58" i="56"/>
  <c r="CA58" i="56" s="1"/>
  <c r="BZ59" i="56"/>
  <c r="CA59" i="56" s="1"/>
  <c r="BZ60" i="56"/>
  <c r="BZ61" i="56"/>
  <c r="BZ62" i="56"/>
  <c r="BZ63" i="56"/>
  <c r="CD62" i="56" s="1"/>
  <c r="BZ64" i="56"/>
  <c r="BZ65" i="56"/>
  <c r="CB64" i="56" s="1"/>
  <c r="BZ66" i="56"/>
  <c r="BZ67" i="56"/>
  <c r="BZ68" i="56"/>
  <c r="CA68" i="56" s="1"/>
  <c r="BZ69" i="56"/>
  <c r="BZ70" i="56"/>
  <c r="CB69" i="56" s="1"/>
  <c r="BZ71" i="56"/>
  <c r="BZ72" i="56"/>
  <c r="CB71" i="56" s="1"/>
  <c r="BZ73" i="56"/>
  <c r="CC72" i="56" s="1"/>
  <c r="BZ74" i="56"/>
  <c r="CF73" i="56" s="1"/>
  <c r="BZ75" i="56"/>
  <c r="BZ76" i="56"/>
  <c r="BZ77" i="56"/>
  <c r="CD76" i="56" s="1"/>
  <c r="BZ78" i="56"/>
  <c r="BZ79" i="56"/>
  <c r="CC78" i="56" s="1"/>
  <c r="BZ80" i="56"/>
  <c r="BZ81" i="56"/>
  <c r="CC80" i="56" s="1"/>
  <c r="BZ82" i="56"/>
  <c r="BZ83" i="56"/>
  <c r="BZ84" i="56"/>
  <c r="CE83" i="56" s="1"/>
  <c r="BZ85" i="56"/>
  <c r="BZ86" i="56"/>
  <c r="BZ87" i="56"/>
  <c r="BZ88" i="56"/>
  <c r="BZ89" i="56"/>
  <c r="CC88" i="56" s="1"/>
  <c r="BZ90" i="56"/>
  <c r="BZ91" i="56"/>
  <c r="BZ92" i="56"/>
  <c r="BZ93" i="56"/>
  <c r="CC92" i="56" s="1"/>
  <c r="BZ94" i="56"/>
  <c r="BZ95" i="56"/>
  <c r="BZ96" i="56"/>
  <c r="CF95" i="56" s="1"/>
  <c r="BZ97" i="56"/>
  <c r="CC96" i="56" s="1"/>
  <c r="BZ98" i="56"/>
  <c r="BZ99" i="56"/>
  <c r="BZ100" i="56"/>
  <c r="BZ101" i="56"/>
  <c r="BZ102" i="56"/>
  <c r="CB101" i="56" s="1"/>
  <c r="BZ103" i="56"/>
  <c r="BZ104" i="56"/>
  <c r="CB103" i="56" s="1"/>
  <c r="BZ105" i="56"/>
  <c r="CC104" i="56" s="1"/>
  <c r="BZ106" i="56"/>
  <c r="BZ107" i="56"/>
  <c r="BZ108" i="56"/>
  <c r="CD107" i="56" s="1"/>
  <c r="BZ109" i="56"/>
  <c r="BZ110" i="56"/>
  <c r="BZ111" i="56"/>
  <c r="BZ112" i="56"/>
  <c r="BZ113" i="56"/>
  <c r="BZ114" i="56"/>
  <c r="CA114" i="56" s="1"/>
  <c r="BZ115" i="56"/>
  <c r="BZ116" i="56"/>
  <c r="CD115" i="56" s="1"/>
  <c r="BZ117" i="56"/>
  <c r="BZ118" i="56"/>
  <c r="BZ119" i="56"/>
  <c r="CA119" i="56" s="1"/>
  <c r="BZ120" i="56"/>
  <c r="CE119" i="56" s="1"/>
  <c r="BZ121" i="56"/>
  <c r="CE120" i="56" s="1"/>
  <c r="BZ122" i="56"/>
  <c r="BZ123" i="56"/>
  <c r="BZ124" i="56"/>
  <c r="BZ125" i="56"/>
  <c r="BZ126" i="56"/>
  <c r="BZ127" i="56"/>
  <c r="CF126" i="56" s="1"/>
  <c r="BZ128" i="56"/>
  <c r="CF127" i="56" s="1"/>
  <c r="BZ129" i="56"/>
  <c r="BZ130" i="56"/>
  <c r="CC129" i="56" s="1"/>
  <c r="BZ131" i="56"/>
  <c r="BZ132" i="56"/>
  <c r="CA132" i="56" s="1"/>
  <c r="BZ133" i="56"/>
  <c r="BZ134" i="56"/>
  <c r="BZ135" i="56"/>
  <c r="CA135" i="56" s="1"/>
  <c r="BZ136" i="56"/>
  <c r="BZ137" i="56"/>
  <c r="CA137" i="56" s="1"/>
  <c r="BZ138" i="56"/>
  <c r="CA138" i="56" s="1"/>
  <c r="DC138" i="56" s="1"/>
  <c r="BZ139" i="56"/>
  <c r="BZ140" i="56"/>
  <c r="BZ141" i="56"/>
  <c r="BZ142" i="56"/>
  <c r="BZ143" i="56"/>
  <c r="BZ144" i="56"/>
  <c r="CC143" i="56" s="1"/>
  <c r="BZ145" i="56"/>
  <c r="BZ146" i="56"/>
  <c r="BZ147" i="56"/>
  <c r="BZ148" i="56"/>
  <c r="CC147" i="56" s="1"/>
  <c r="BZ149" i="56"/>
  <c r="BZ150" i="56"/>
  <c r="BZ151" i="56"/>
  <c r="BZ152" i="56"/>
  <c r="CD151" i="56" s="1"/>
  <c r="BZ153" i="56"/>
  <c r="CD152" i="56" s="1"/>
  <c r="BZ154" i="56"/>
  <c r="CC153" i="56" s="1"/>
  <c r="BZ155" i="56"/>
  <c r="BZ156" i="56"/>
  <c r="BZ157" i="56"/>
  <c r="BZ158" i="56"/>
  <c r="BZ159" i="56"/>
  <c r="CA159" i="56" s="1"/>
  <c r="BZ160" i="56"/>
  <c r="BZ161" i="56"/>
  <c r="BZ162" i="56"/>
  <c r="CB161" i="56" s="1"/>
  <c r="BZ163" i="56"/>
  <c r="BZ164" i="56"/>
  <c r="CC163" i="56" s="1"/>
  <c r="BZ165" i="56"/>
  <c r="BZ166" i="56"/>
  <c r="CB165" i="56" s="1"/>
  <c r="BZ167" i="56"/>
  <c r="CA167" i="56" s="1"/>
  <c r="BZ168" i="56"/>
  <c r="CC167" i="56" s="1"/>
  <c r="BZ169" i="56"/>
  <c r="CA169" i="56" s="1"/>
  <c r="BZ170" i="56"/>
  <c r="BZ171" i="56"/>
  <c r="BZ172" i="56"/>
  <c r="BZ173" i="56"/>
  <c r="BZ174" i="56"/>
  <c r="BZ175" i="56"/>
  <c r="BZ176" i="56"/>
  <c r="CE175" i="56" s="1"/>
  <c r="BZ177" i="56"/>
  <c r="CE176" i="56" s="1"/>
  <c r="BZ178" i="56"/>
  <c r="BZ179" i="56"/>
  <c r="BZ180" i="56"/>
  <c r="BZ181" i="56"/>
  <c r="BZ182" i="56"/>
  <c r="BZ183" i="56"/>
  <c r="BZ184" i="56"/>
  <c r="BZ185" i="56"/>
  <c r="CA185" i="56" s="1"/>
  <c r="BZ186" i="56"/>
  <c r="CA186" i="56" s="1"/>
  <c r="BZ187" i="56"/>
  <c r="BZ188" i="56"/>
  <c r="BZ189" i="56"/>
  <c r="CC188" i="56" s="1"/>
  <c r="BZ190" i="56"/>
  <c r="BZ191" i="56"/>
  <c r="BZ192" i="56"/>
  <c r="BZ193" i="56"/>
  <c r="BZ194" i="56"/>
  <c r="BZ195" i="56"/>
  <c r="BZ196" i="56"/>
  <c r="BZ197" i="56"/>
  <c r="BZ198" i="56"/>
  <c r="CF197" i="56" s="1"/>
  <c r="BZ199" i="56"/>
  <c r="BZ200" i="56"/>
  <c r="BZ201" i="56"/>
  <c r="CC200" i="56" s="1"/>
  <c r="BZ202" i="56"/>
  <c r="BZ203" i="56"/>
  <c r="BZ204" i="56"/>
  <c r="BZ205" i="56"/>
  <c r="CD204" i="56" s="1"/>
  <c r="BZ206" i="56"/>
  <c r="BZ207" i="56"/>
  <c r="CD206" i="56" s="1"/>
  <c r="BZ208" i="56"/>
  <c r="BZ209" i="56"/>
  <c r="CA209" i="56" s="1"/>
  <c r="BZ210" i="56"/>
  <c r="CA210" i="56" s="1"/>
  <c r="BZ211" i="56"/>
  <c r="BZ212" i="56"/>
  <c r="CB211" i="56" s="1"/>
  <c r="BZ213" i="56"/>
  <c r="BZ214" i="56"/>
  <c r="BZ215" i="56"/>
  <c r="CF214" i="56" s="1"/>
  <c r="BZ216" i="56"/>
  <c r="CC215" i="56" s="1"/>
  <c r="BZ217" i="56"/>
  <c r="CF216" i="56" s="1"/>
  <c r="BZ218" i="56"/>
  <c r="BZ219" i="56"/>
  <c r="BZ220" i="56"/>
  <c r="BZ221" i="56"/>
  <c r="BZ222" i="56"/>
  <c r="BZ223" i="56"/>
  <c r="BZ224" i="56"/>
  <c r="BZ225" i="56"/>
  <c r="CA225" i="56" s="1"/>
  <c r="BZ226" i="56"/>
  <c r="BZ227" i="56"/>
  <c r="CA227" i="56" s="1"/>
  <c r="BZ228" i="56"/>
  <c r="BZ229" i="56"/>
  <c r="BZ230" i="56"/>
  <c r="BZ231" i="56"/>
  <c r="BZ232" i="56"/>
  <c r="BZ233" i="56"/>
  <c r="CA233" i="56" s="1"/>
  <c r="BZ234" i="56"/>
  <c r="BZ235" i="56"/>
  <c r="BZ236" i="56"/>
  <c r="BZ237" i="56"/>
  <c r="BZ238" i="56"/>
  <c r="BZ239" i="56"/>
  <c r="BZ240" i="56"/>
  <c r="CF239" i="56" s="1"/>
  <c r="BZ241" i="56"/>
  <c r="BZ242" i="56"/>
  <c r="CA242" i="56" s="1"/>
  <c r="BZ243" i="56"/>
  <c r="BZ244" i="56"/>
  <c r="CD243" i="56" s="1"/>
  <c r="BZ245" i="56"/>
  <c r="BZ246" i="56"/>
  <c r="CC245" i="56" s="1"/>
  <c r="BZ247" i="56"/>
  <c r="BZ248" i="56"/>
  <c r="BZ249" i="56"/>
  <c r="CA249" i="56" s="1"/>
  <c r="BZ250" i="56"/>
  <c r="CF249" i="56" s="1"/>
  <c r="BZ251" i="56"/>
  <c r="BZ252" i="56"/>
  <c r="BZ253" i="56"/>
  <c r="CA253" i="56" s="1"/>
  <c r="DC253" i="56" s="1"/>
  <c r="BZ254" i="56"/>
  <c r="BZ255" i="56"/>
  <c r="CC254" i="56" s="1"/>
  <c r="BZ256" i="56"/>
  <c r="BZ257" i="56"/>
  <c r="BZ258" i="56"/>
  <c r="BZ259" i="56"/>
  <c r="CA259" i="56" s="1"/>
  <c r="BZ260" i="56"/>
  <c r="CA260" i="56" s="1"/>
  <c r="BZ261" i="56"/>
  <c r="BZ262" i="56"/>
  <c r="CF261" i="56" s="1"/>
  <c r="BZ263" i="56"/>
  <c r="BZ264" i="56"/>
  <c r="BZ265" i="56"/>
  <c r="BZ266" i="56"/>
  <c r="BZ267" i="56"/>
  <c r="BZ268" i="56"/>
  <c r="BZ269" i="56"/>
  <c r="CD268" i="56" s="1"/>
  <c r="BZ270" i="56"/>
  <c r="BZ271" i="56"/>
  <c r="BZ272" i="56"/>
  <c r="CF271" i="56" s="1"/>
  <c r="BZ273" i="56"/>
  <c r="BZ274" i="56"/>
  <c r="CC273" i="56" s="1"/>
  <c r="BZ275" i="56"/>
  <c r="BZ276" i="56"/>
  <c r="CB275" i="56" s="1"/>
  <c r="BZ277" i="56"/>
  <c r="BZ278" i="56"/>
  <c r="CC277" i="56" s="1"/>
  <c r="BZ279" i="56"/>
  <c r="BZ280" i="56"/>
  <c r="BZ281" i="56"/>
  <c r="CE280" i="56" s="1"/>
  <c r="BZ282" i="56"/>
  <c r="BZ283" i="56"/>
  <c r="BZ284" i="56"/>
  <c r="BZ285" i="56"/>
  <c r="CE284" i="56" s="1"/>
  <c r="BZ286" i="56"/>
  <c r="BZ287" i="56"/>
  <c r="BZ288" i="56"/>
  <c r="BZ289" i="56"/>
  <c r="BZ290" i="56"/>
  <c r="BZ291" i="56"/>
  <c r="BZ292" i="56"/>
  <c r="BZ293" i="56"/>
  <c r="BZ294" i="56"/>
  <c r="CB293" i="56" s="1"/>
  <c r="BZ295" i="56"/>
  <c r="CB294" i="56" s="1"/>
  <c r="BZ296" i="56"/>
  <c r="BZ297" i="56"/>
  <c r="CA297" i="56" s="1"/>
  <c r="BZ298" i="56"/>
  <c r="BZ299" i="56"/>
  <c r="BZ300" i="56"/>
  <c r="BZ301" i="56"/>
  <c r="BZ302" i="56"/>
  <c r="BZ303" i="56"/>
  <c r="BZ304" i="56"/>
  <c r="BZ305" i="56"/>
  <c r="CB304" i="56" s="1"/>
  <c r="BZ306" i="56"/>
  <c r="BZ307" i="56"/>
  <c r="CF306" i="56" s="1"/>
  <c r="BZ308" i="56"/>
  <c r="CF307" i="56" s="1"/>
  <c r="BZ309" i="56"/>
  <c r="BZ310" i="56"/>
  <c r="CF309" i="56" s="1"/>
  <c r="BZ311" i="56"/>
  <c r="BZ312" i="56"/>
  <c r="BZ313" i="56"/>
  <c r="BZ314" i="56"/>
  <c r="CD313" i="56" s="1"/>
  <c r="BZ315" i="56"/>
  <c r="BZ316" i="56"/>
  <c r="BZ317" i="56"/>
  <c r="CA317" i="56" s="1"/>
  <c r="BZ318" i="56"/>
  <c r="BZ319" i="56"/>
  <c r="CA319" i="56" s="1"/>
  <c r="BZ320" i="56"/>
  <c r="BZ321" i="56"/>
  <c r="CB320" i="56" s="1"/>
  <c r="BZ322" i="56"/>
  <c r="BZ323" i="56"/>
  <c r="CC322" i="56" s="1"/>
  <c r="BZ324" i="56"/>
  <c r="CD323" i="56" s="1"/>
  <c r="BZ325" i="56"/>
  <c r="BZ326" i="56"/>
  <c r="CE325" i="56" s="1"/>
  <c r="BZ327" i="56"/>
  <c r="BZ328" i="56"/>
  <c r="BZ329" i="56"/>
  <c r="BZ330" i="56"/>
  <c r="BZ331" i="56"/>
  <c r="BZ332" i="56"/>
  <c r="BZ333" i="56"/>
  <c r="BZ334" i="56"/>
  <c r="CE333" i="56" s="1"/>
  <c r="BZ335" i="56"/>
  <c r="BZ336" i="56"/>
  <c r="BZ337" i="56"/>
  <c r="BZ338" i="56"/>
  <c r="CA338" i="56" s="1"/>
  <c r="BZ339" i="56"/>
  <c r="CE338" i="56" s="1"/>
  <c r="BZ340" i="56"/>
  <c r="CA340" i="56" s="1"/>
  <c r="BZ341" i="56"/>
  <c r="BZ342" i="56"/>
  <c r="BZ343" i="56"/>
  <c r="CB342" i="56" s="1"/>
  <c r="BZ344" i="56"/>
  <c r="CF343" i="56" s="1"/>
  <c r="BZ345" i="56"/>
  <c r="CF344" i="56" s="1"/>
  <c r="BZ346" i="56"/>
  <c r="BZ347" i="56"/>
  <c r="BZ348" i="56"/>
  <c r="BZ349" i="56"/>
  <c r="BZ350" i="56"/>
  <c r="BZ351" i="56"/>
  <c r="CC350" i="56" s="1"/>
  <c r="BZ352" i="56"/>
  <c r="BX138" i="56"/>
  <c r="BX181" i="56"/>
  <c r="BX326" i="56"/>
  <c r="BX327" i="56"/>
  <c r="BW62" i="56"/>
  <c r="BW157" i="56"/>
  <c r="BW201" i="56"/>
  <c r="BW249" i="56"/>
  <c r="BV5" i="56"/>
  <c r="BV6" i="56"/>
  <c r="BV7" i="56"/>
  <c r="BV8" i="56"/>
  <c r="BV9" i="56"/>
  <c r="BV10" i="56"/>
  <c r="BV12" i="56"/>
  <c r="BV13" i="56"/>
  <c r="BV14" i="56"/>
  <c r="BV15" i="56"/>
  <c r="BV16" i="56"/>
  <c r="BV17" i="56"/>
  <c r="BV18" i="56"/>
  <c r="BV19" i="56"/>
  <c r="BV20" i="56"/>
  <c r="BV21" i="56"/>
  <c r="BV22" i="56"/>
  <c r="BV23" i="56"/>
  <c r="BV24" i="56"/>
  <c r="BV26" i="56"/>
  <c r="BV29" i="56"/>
  <c r="BV30" i="56"/>
  <c r="BV31" i="56"/>
  <c r="BV32" i="56"/>
  <c r="BV33" i="56"/>
  <c r="BV34" i="56"/>
  <c r="BV35" i="56"/>
  <c r="BV36" i="56"/>
  <c r="BV37" i="56"/>
  <c r="BV38" i="56"/>
  <c r="BV39" i="56"/>
  <c r="BV40" i="56"/>
  <c r="BV41" i="56"/>
  <c r="BV42" i="56"/>
  <c r="BV43" i="56"/>
  <c r="BV44" i="56"/>
  <c r="BV45" i="56"/>
  <c r="BV46" i="56"/>
  <c r="BV47" i="56"/>
  <c r="BV48" i="56"/>
  <c r="BV49" i="56"/>
  <c r="BV51" i="56"/>
  <c r="BV52" i="56"/>
  <c r="BV53" i="56"/>
  <c r="BV54" i="56"/>
  <c r="BV55" i="56"/>
  <c r="BV56" i="56"/>
  <c r="BV57" i="56"/>
  <c r="BV58" i="56"/>
  <c r="BV59" i="56"/>
  <c r="BV60" i="56"/>
  <c r="BV61" i="56"/>
  <c r="BV62" i="56"/>
  <c r="BV63" i="56"/>
  <c r="BV64" i="56"/>
  <c r="BV65" i="56"/>
  <c r="BV66" i="56"/>
  <c r="BV67" i="56"/>
  <c r="BV68" i="56"/>
  <c r="BV69" i="56"/>
  <c r="BV70" i="56"/>
  <c r="BV71" i="56"/>
  <c r="BV72" i="56"/>
  <c r="BV73" i="56"/>
  <c r="BV74" i="56"/>
  <c r="BV75" i="56"/>
  <c r="BV76" i="56"/>
  <c r="BV77" i="56"/>
  <c r="BV78" i="56"/>
  <c r="BV79" i="56"/>
  <c r="BV80" i="56"/>
  <c r="BV81" i="56"/>
  <c r="BV82" i="56"/>
  <c r="BV83" i="56"/>
  <c r="BV84" i="56"/>
  <c r="BV85" i="56"/>
  <c r="BV86" i="56"/>
  <c r="BV87" i="56"/>
  <c r="BV88" i="56"/>
  <c r="BV89" i="56"/>
  <c r="BV90" i="56"/>
  <c r="BV91" i="56"/>
  <c r="BV92" i="56"/>
  <c r="BV93" i="56"/>
  <c r="BV94" i="56"/>
  <c r="BV95" i="56"/>
  <c r="BV96" i="56"/>
  <c r="BV97" i="56"/>
  <c r="BV98" i="56"/>
  <c r="BV99" i="56"/>
  <c r="BV100" i="56"/>
  <c r="BV101" i="56"/>
  <c r="BV102" i="56"/>
  <c r="BV103" i="56"/>
  <c r="BV104" i="56"/>
  <c r="BV105" i="56"/>
  <c r="BV106" i="56"/>
  <c r="BV107" i="56"/>
  <c r="BV108" i="56"/>
  <c r="BV109" i="56"/>
  <c r="BV110" i="56"/>
  <c r="BV111" i="56"/>
  <c r="BV112" i="56"/>
  <c r="BV113" i="56"/>
  <c r="BV114" i="56"/>
  <c r="BV115" i="56"/>
  <c r="BV116" i="56"/>
  <c r="BV117" i="56"/>
  <c r="BV118" i="56"/>
  <c r="BV119" i="56"/>
  <c r="BV120" i="56"/>
  <c r="BV121" i="56"/>
  <c r="BV122" i="56"/>
  <c r="BV123" i="56"/>
  <c r="BV124" i="56"/>
  <c r="BV125" i="56"/>
  <c r="BV126" i="56"/>
  <c r="BV127" i="56"/>
  <c r="BV128" i="56"/>
  <c r="BV129" i="56"/>
  <c r="BV130" i="56"/>
  <c r="BV131" i="56"/>
  <c r="BV132" i="56"/>
  <c r="BV133" i="56"/>
  <c r="BV134" i="56"/>
  <c r="BV135" i="56"/>
  <c r="BV136" i="56"/>
  <c r="BV137" i="56"/>
  <c r="BV138" i="56"/>
  <c r="BV139" i="56"/>
  <c r="BV140" i="56"/>
  <c r="BV141" i="56"/>
  <c r="BV142" i="56"/>
  <c r="BV143" i="56"/>
  <c r="BV144" i="56"/>
  <c r="BV145" i="56"/>
  <c r="BV146" i="56"/>
  <c r="BV147" i="56"/>
  <c r="BV148" i="56"/>
  <c r="BV149" i="56"/>
  <c r="BV150" i="56"/>
  <c r="BV151" i="56"/>
  <c r="BV152" i="56"/>
  <c r="BV153" i="56"/>
  <c r="BV154" i="56"/>
  <c r="BV155" i="56"/>
  <c r="BV156" i="56"/>
  <c r="BV157" i="56"/>
  <c r="BV158" i="56"/>
  <c r="BV159" i="56"/>
  <c r="BV160" i="56"/>
  <c r="BV161" i="56"/>
  <c r="BV162" i="56"/>
  <c r="BV163" i="56"/>
  <c r="BV164" i="56"/>
  <c r="BV165" i="56"/>
  <c r="BV166" i="56"/>
  <c r="BV167" i="56"/>
  <c r="BV168" i="56"/>
  <c r="BV169" i="56"/>
  <c r="BV170" i="56"/>
  <c r="BV171" i="56"/>
  <c r="BV172" i="56"/>
  <c r="BV173" i="56"/>
  <c r="BV174" i="56"/>
  <c r="BV175" i="56"/>
  <c r="BV176" i="56"/>
  <c r="BV177" i="56"/>
  <c r="BV178" i="56"/>
  <c r="BV179" i="56"/>
  <c r="BV180" i="56"/>
  <c r="BV181" i="56"/>
  <c r="BV182" i="56"/>
  <c r="BV183" i="56"/>
  <c r="BV184" i="56"/>
  <c r="BV185" i="56"/>
  <c r="BV186" i="56"/>
  <c r="BV187" i="56"/>
  <c r="BV188" i="56"/>
  <c r="BV189" i="56"/>
  <c r="BV190" i="56"/>
  <c r="BV191" i="56"/>
  <c r="BV192" i="56"/>
  <c r="BV193" i="56"/>
  <c r="BV194" i="56"/>
  <c r="BV195" i="56"/>
  <c r="BV196" i="56"/>
  <c r="BV197" i="56"/>
  <c r="BV198" i="56"/>
  <c r="BV199" i="56"/>
  <c r="BV200" i="56"/>
  <c r="BV201" i="56"/>
  <c r="BV202" i="56"/>
  <c r="BV203" i="56"/>
  <c r="BV204" i="56"/>
  <c r="BV205" i="56"/>
  <c r="BV206" i="56"/>
  <c r="BV207" i="56"/>
  <c r="BV208" i="56"/>
  <c r="BV209" i="56"/>
  <c r="BV210" i="56"/>
  <c r="BV211" i="56"/>
  <c r="BV212" i="56"/>
  <c r="BV213" i="56"/>
  <c r="BV214" i="56"/>
  <c r="BV215" i="56"/>
  <c r="BV216" i="56"/>
  <c r="BV217" i="56"/>
  <c r="BV218" i="56"/>
  <c r="BV219" i="56"/>
  <c r="BV220" i="56"/>
  <c r="BV221" i="56"/>
  <c r="BV222" i="56"/>
  <c r="BV223" i="56"/>
  <c r="BV224" i="56"/>
  <c r="BV225" i="56"/>
  <c r="BV226" i="56"/>
  <c r="BV227" i="56"/>
  <c r="BV228" i="56"/>
  <c r="BV229" i="56"/>
  <c r="BV230" i="56"/>
  <c r="BV231" i="56"/>
  <c r="BV232" i="56"/>
  <c r="BV233" i="56"/>
  <c r="BV234" i="56"/>
  <c r="BV235" i="56"/>
  <c r="BV236" i="56"/>
  <c r="BV237" i="56"/>
  <c r="BV238" i="56"/>
  <c r="BV239" i="56"/>
  <c r="BV240" i="56"/>
  <c r="BV241" i="56"/>
  <c r="BV242" i="56"/>
  <c r="BV243" i="56"/>
  <c r="BV244" i="56"/>
  <c r="BV245" i="56"/>
  <c r="BV246" i="56"/>
  <c r="BV247" i="56"/>
  <c r="BV248" i="56"/>
  <c r="BV249" i="56"/>
  <c r="BV250" i="56"/>
  <c r="BV251" i="56"/>
  <c r="BV252" i="56"/>
  <c r="BV253" i="56"/>
  <c r="BV254" i="56"/>
  <c r="BV255" i="56"/>
  <c r="BV256" i="56"/>
  <c r="BV257" i="56"/>
  <c r="BV258" i="56"/>
  <c r="BV259" i="56"/>
  <c r="BV260" i="56"/>
  <c r="BV261" i="56"/>
  <c r="BV262" i="56"/>
  <c r="BV263" i="56"/>
  <c r="BV264" i="56"/>
  <c r="BV265" i="56"/>
  <c r="BV266" i="56"/>
  <c r="BV267" i="56"/>
  <c r="BV268" i="56"/>
  <c r="BV269" i="56"/>
  <c r="BV270" i="56"/>
  <c r="BV271" i="56"/>
  <c r="BV272" i="56"/>
  <c r="BV273" i="56"/>
  <c r="BV274" i="56"/>
  <c r="BV275" i="56"/>
  <c r="BV276" i="56"/>
  <c r="BV277" i="56"/>
  <c r="BV278" i="56"/>
  <c r="BV279" i="56"/>
  <c r="BV280" i="56"/>
  <c r="BV281" i="56"/>
  <c r="BV282" i="56"/>
  <c r="BV283" i="56"/>
  <c r="BV284" i="56"/>
  <c r="BV285" i="56"/>
  <c r="BV286" i="56"/>
  <c r="BV287" i="56"/>
  <c r="BV288" i="56"/>
  <c r="BV289" i="56"/>
  <c r="BV290" i="56"/>
  <c r="BV291" i="56"/>
  <c r="BV292" i="56"/>
  <c r="BV293" i="56"/>
  <c r="BV294" i="56"/>
  <c r="BV295" i="56"/>
  <c r="BV296" i="56"/>
  <c r="BV297" i="56"/>
  <c r="BV298" i="56"/>
  <c r="BV299" i="56"/>
  <c r="BV300" i="56"/>
  <c r="BV301" i="56"/>
  <c r="BV302" i="56"/>
  <c r="BV303" i="56"/>
  <c r="BV304" i="56"/>
  <c r="BV305" i="56"/>
  <c r="BV306" i="56"/>
  <c r="BV307" i="56"/>
  <c r="BV308" i="56"/>
  <c r="BV309" i="56"/>
  <c r="BV310" i="56"/>
  <c r="BV311" i="56"/>
  <c r="BV312" i="56"/>
  <c r="BV313" i="56"/>
  <c r="BV314" i="56"/>
  <c r="BV315" i="56"/>
  <c r="BV316" i="56"/>
  <c r="BV317" i="56"/>
  <c r="BV318" i="56"/>
  <c r="BV319" i="56"/>
  <c r="BV320" i="56"/>
  <c r="BV321" i="56"/>
  <c r="BV322" i="56"/>
  <c r="BV323" i="56"/>
  <c r="BV324" i="56"/>
  <c r="BV325" i="56"/>
  <c r="BV326" i="56"/>
  <c r="BV327" i="56"/>
  <c r="BV328" i="56"/>
  <c r="BV329" i="56"/>
  <c r="BV330" i="56"/>
  <c r="BV331" i="56"/>
  <c r="BV332" i="56"/>
  <c r="BV333" i="56"/>
  <c r="BV334" i="56"/>
  <c r="BV335" i="56"/>
  <c r="BV336" i="56"/>
  <c r="BV337" i="56"/>
  <c r="BV338" i="56"/>
  <c r="BV339" i="56"/>
  <c r="BV340" i="56"/>
  <c r="BV341" i="56"/>
  <c r="BV342" i="56"/>
  <c r="BV343" i="56"/>
  <c r="BV344" i="56"/>
  <c r="BV345" i="56"/>
  <c r="BV346" i="56"/>
  <c r="BV347" i="56"/>
  <c r="BV348" i="56"/>
  <c r="BV349" i="56"/>
  <c r="BV350" i="56"/>
  <c r="BV351" i="56"/>
  <c r="BV352" i="56"/>
  <c r="BU21" i="56"/>
  <c r="BU148" i="56"/>
  <c r="BU245" i="56"/>
  <c r="BT5" i="56"/>
  <c r="BT6" i="56"/>
  <c r="BT7" i="56"/>
  <c r="BT8" i="56"/>
  <c r="BT9" i="56"/>
  <c r="BU9" i="56" s="1"/>
  <c r="BT10" i="56"/>
  <c r="BT12" i="56"/>
  <c r="BT13" i="56"/>
  <c r="BT14" i="56"/>
  <c r="BT15" i="56"/>
  <c r="BT16" i="56"/>
  <c r="BT17" i="56"/>
  <c r="BT18" i="56"/>
  <c r="BT19" i="56"/>
  <c r="BT20" i="56"/>
  <c r="BT21" i="56"/>
  <c r="BT22" i="56"/>
  <c r="BT23" i="56"/>
  <c r="BT24" i="56"/>
  <c r="BT26" i="56"/>
  <c r="BT29" i="56"/>
  <c r="BT30" i="56"/>
  <c r="BT31" i="56"/>
  <c r="BT32" i="56"/>
  <c r="BT33" i="56"/>
  <c r="BT34" i="56"/>
  <c r="BT35" i="56"/>
  <c r="BT36" i="56"/>
  <c r="BT37" i="56"/>
  <c r="BT38" i="56"/>
  <c r="BT39" i="56"/>
  <c r="BT40" i="56"/>
  <c r="BT41" i="56"/>
  <c r="BT42" i="56"/>
  <c r="BT43" i="56"/>
  <c r="BT44" i="56"/>
  <c r="BT45" i="56"/>
  <c r="BT46" i="56"/>
  <c r="BT47" i="56"/>
  <c r="BT48" i="56"/>
  <c r="BT49" i="56"/>
  <c r="BT51" i="56"/>
  <c r="BT52" i="56"/>
  <c r="BT53" i="56"/>
  <c r="BT54" i="56"/>
  <c r="BT55" i="56"/>
  <c r="BT56" i="56"/>
  <c r="BT57" i="56"/>
  <c r="BT58" i="56"/>
  <c r="BT59" i="56"/>
  <c r="BT60" i="56"/>
  <c r="BT61" i="56"/>
  <c r="BT62" i="56"/>
  <c r="BT63" i="56"/>
  <c r="BT64" i="56"/>
  <c r="BT65" i="56"/>
  <c r="BT66" i="56"/>
  <c r="BT67" i="56"/>
  <c r="BT68" i="56"/>
  <c r="BT69" i="56"/>
  <c r="BT70" i="56"/>
  <c r="BT71" i="56"/>
  <c r="BT72" i="56"/>
  <c r="BT73" i="56"/>
  <c r="BT74" i="56"/>
  <c r="BT75" i="56"/>
  <c r="BT76" i="56"/>
  <c r="BT77" i="56"/>
  <c r="BT78" i="56"/>
  <c r="BT79" i="56"/>
  <c r="BT80" i="56"/>
  <c r="BT81" i="56"/>
  <c r="BT82" i="56"/>
  <c r="BT83" i="56"/>
  <c r="BT84" i="56"/>
  <c r="BT85" i="56"/>
  <c r="BT86" i="56"/>
  <c r="BT87" i="56"/>
  <c r="BT88" i="56"/>
  <c r="BT89" i="56"/>
  <c r="BT90" i="56"/>
  <c r="BT91" i="56"/>
  <c r="BT92" i="56"/>
  <c r="BT93" i="56"/>
  <c r="BT94" i="56"/>
  <c r="BT95" i="56"/>
  <c r="BT96" i="56"/>
  <c r="DM96" i="56" s="1"/>
  <c r="BT97" i="56"/>
  <c r="DM97" i="56" s="1"/>
  <c r="BT98" i="56"/>
  <c r="BT99" i="56"/>
  <c r="BT100" i="56"/>
  <c r="BT101" i="56"/>
  <c r="BT102" i="56"/>
  <c r="BT103" i="56"/>
  <c r="BT104" i="56"/>
  <c r="BT105" i="56"/>
  <c r="BT106" i="56"/>
  <c r="BT107" i="56"/>
  <c r="BT108" i="56"/>
  <c r="BT109" i="56"/>
  <c r="BT110" i="56"/>
  <c r="BT111" i="56"/>
  <c r="BT112" i="56"/>
  <c r="BT113" i="56"/>
  <c r="BT114" i="56"/>
  <c r="BT115" i="56"/>
  <c r="BT116" i="56"/>
  <c r="BT117" i="56"/>
  <c r="BT118" i="56"/>
  <c r="BT119" i="56"/>
  <c r="BT120" i="56"/>
  <c r="BT121" i="56"/>
  <c r="BT122" i="56"/>
  <c r="BT123" i="56"/>
  <c r="BT124" i="56"/>
  <c r="BT125" i="56"/>
  <c r="BT126" i="56"/>
  <c r="BT127" i="56"/>
  <c r="BT128" i="56"/>
  <c r="BT129" i="56"/>
  <c r="BT130" i="56"/>
  <c r="BT131" i="56"/>
  <c r="BT132" i="56"/>
  <c r="BT133" i="56"/>
  <c r="BT134" i="56"/>
  <c r="BT135" i="56"/>
  <c r="BT136" i="56"/>
  <c r="BT137" i="56"/>
  <c r="BT138" i="56"/>
  <c r="BT139" i="56"/>
  <c r="BT140" i="56"/>
  <c r="BT141" i="56"/>
  <c r="BT142" i="56"/>
  <c r="BT143" i="56"/>
  <c r="BT144" i="56"/>
  <c r="BT145" i="56"/>
  <c r="BT146" i="56"/>
  <c r="BT147" i="56"/>
  <c r="BT148" i="56"/>
  <c r="BT149" i="56"/>
  <c r="BT150" i="56"/>
  <c r="BT151" i="56"/>
  <c r="BT152" i="56"/>
  <c r="BT153" i="56"/>
  <c r="BT154" i="56"/>
  <c r="BT155" i="56"/>
  <c r="BT156" i="56"/>
  <c r="BT157" i="56"/>
  <c r="BT158" i="56"/>
  <c r="BT159" i="56"/>
  <c r="BT160" i="56"/>
  <c r="BT161" i="56"/>
  <c r="BT162" i="56"/>
  <c r="BT163" i="56"/>
  <c r="BT164" i="56"/>
  <c r="BT165" i="56"/>
  <c r="BT166" i="56"/>
  <c r="BT167" i="56"/>
  <c r="BT168" i="56"/>
  <c r="BT169" i="56"/>
  <c r="BT170" i="56"/>
  <c r="BT171" i="56"/>
  <c r="BT172" i="56"/>
  <c r="BT173" i="56"/>
  <c r="BT174" i="56"/>
  <c r="BT175" i="56"/>
  <c r="BT176" i="56"/>
  <c r="BT177" i="56"/>
  <c r="BT178" i="56"/>
  <c r="BT179" i="56"/>
  <c r="BT180" i="56"/>
  <c r="BT181" i="56"/>
  <c r="BT182" i="56"/>
  <c r="BT183" i="56"/>
  <c r="BT184" i="56"/>
  <c r="BT185" i="56"/>
  <c r="BT186" i="56"/>
  <c r="BT187" i="56"/>
  <c r="BT188" i="56"/>
  <c r="BT189" i="56"/>
  <c r="BT190" i="56"/>
  <c r="BT191" i="56"/>
  <c r="BT192" i="56"/>
  <c r="BT193" i="56"/>
  <c r="BT194" i="56"/>
  <c r="BT195" i="56"/>
  <c r="BT196" i="56"/>
  <c r="BT197" i="56"/>
  <c r="BT198" i="56"/>
  <c r="BT199" i="56"/>
  <c r="BT200" i="56"/>
  <c r="BT201" i="56"/>
  <c r="BT202" i="56"/>
  <c r="BT203" i="56"/>
  <c r="BT204" i="56"/>
  <c r="BT205" i="56"/>
  <c r="BT206" i="56"/>
  <c r="BT207" i="56"/>
  <c r="BT208" i="56"/>
  <c r="BT209" i="56"/>
  <c r="BT210" i="56"/>
  <c r="BT211" i="56"/>
  <c r="BT212" i="56"/>
  <c r="BT213" i="56"/>
  <c r="BT214" i="56"/>
  <c r="BT215" i="56"/>
  <c r="BT216" i="56"/>
  <c r="BT217" i="56"/>
  <c r="BT218" i="56"/>
  <c r="BT219" i="56"/>
  <c r="BT220" i="56"/>
  <c r="BT221" i="56"/>
  <c r="BT222" i="56"/>
  <c r="BT223" i="56"/>
  <c r="BT224" i="56"/>
  <c r="BT225" i="56"/>
  <c r="BT226" i="56"/>
  <c r="BT227" i="56"/>
  <c r="BT228" i="56"/>
  <c r="BT229" i="56"/>
  <c r="BT230" i="56"/>
  <c r="BT231" i="56"/>
  <c r="BT232" i="56"/>
  <c r="BT233" i="56"/>
  <c r="BT234" i="56"/>
  <c r="BT235" i="56"/>
  <c r="BT236" i="56"/>
  <c r="BT237" i="56"/>
  <c r="BT238" i="56"/>
  <c r="BT239" i="56"/>
  <c r="BT240" i="56"/>
  <c r="BT241" i="56"/>
  <c r="DM241" i="56" s="1"/>
  <c r="BT242" i="56"/>
  <c r="BT243" i="56"/>
  <c r="BT244" i="56"/>
  <c r="BT245" i="56"/>
  <c r="BT246" i="56"/>
  <c r="BU246" i="56" s="1"/>
  <c r="BT247" i="56"/>
  <c r="BT248" i="56"/>
  <c r="DM248" i="56" s="1"/>
  <c r="BT249" i="56"/>
  <c r="BT250" i="56"/>
  <c r="BT251" i="56"/>
  <c r="BT252" i="56"/>
  <c r="BT253" i="56"/>
  <c r="BT254" i="56"/>
  <c r="BT255" i="56"/>
  <c r="BT256" i="56"/>
  <c r="BT257" i="56"/>
  <c r="BT258" i="56"/>
  <c r="BT259" i="56"/>
  <c r="BT260" i="56"/>
  <c r="BT261" i="56"/>
  <c r="BT262" i="56"/>
  <c r="BT263" i="56"/>
  <c r="BT264" i="56"/>
  <c r="BT265" i="56"/>
  <c r="BT266" i="56"/>
  <c r="BT267" i="56"/>
  <c r="BT268" i="56"/>
  <c r="BT269" i="56"/>
  <c r="BT270" i="56"/>
  <c r="BT271" i="56"/>
  <c r="BT272" i="56"/>
  <c r="BT273" i="56"/>
  <c r="BT274" i="56"/>
  <c r="BT275" i="56"/>
  <c r="BT276" i="56"/>
  <c r="BT277" i="56"/>
  <c r="BT278" i="56"/>
  <c r="BT279" i="56"/>
  <c r="BT280" i="56"/>
  <c r="BT281" i="56"/>
  <c r="BT282" i="56"/>
  <c r="BT283" i="56"/>
  <c r="BT284" i="56"/>
  <c r="BT285" i="56"/>
  <c r="BT286" i="56"/>
  <c r="BT287" i="56"/>
  <c r="BT288" i="56"/>
  <c r="BT289" i="56"/>
  <c r="BT290" i="56"/>
  <c r="BT291" i="56"/>
  <c r="BT292" i="56"/>
  <c r="BT293" i="56"/>
  <c r="BT294" i="56"/>
  <c r="BT295" i="56"/>
  <c r="BT296" i="56"/>
  <c r="BT297" i="56"/>
  <c r="BT298" i="56"/>
  <c r="BT299" i="56"/>
  <c r="BT300" i="56"/>
  <c r="BT301" i="56"/>
  <c r="BT302" i="56"/>
  <c r="BT303" i="56"/>
  <c r="BT304" i="56"/>
  <c r="BT305" i="56"/>
  <c r="BT306" i="56"/>
  <c r="BT307" i="56"/>
  <c r="BT308" i="56"/>
  <c r="BT309" i="56"/>
  <c r="BT310" i="56"/>
  <c r="BT311" i="56"/>
  <c r="BT312" i="56"/>
  <c r="BT313" i="56"/>
  <c r="BT314" i="56"/>
  <c r="BT315" i="56"/>
  <c r="BT316" i="56"/>
  <c r="BT317" i="56"/>
  <c r="BT318" i="56"/>
  <c r="BT319" i="56"/>
  <c r="BT320" i="56"/>
  <c r="BT321" i="56"/>
  <c r="BT322" i="56"/>
  <c r="BT323" i="56"/>
  <c r="BT324" i="56"/>
  <c r="BT325" i="56"/>
  <c r="BT326" i="56"/>
  <c r="BT327" i="56"/>
  <c r="DM327" i="56" s="1"/>
  <c r="BT328" i="56"/>
  <c r="BT329" i="56"/>
  <c r="BT330" i="56"/>
  <c r="BT331" i="56"/>
  <c r="BT332" i="56"/>
  <c r="DM332" i="56" s="1"/>
  <c r="BT333" i="56"/>
  <c r="BT334" i="56"/>
  <c r="DM334" i="56" s="1"/>
  <c r="BT335" i="56"/>
  <c r="BT336" i="56"/>
  <c r="BT337" i="56"/>
  <c r="BT338" i="56"/>
  <c r="BT339" i="56"/>
  <c r="BT340" i="56"/>
  <c r="BT341" i="56"/>
  <c r="BT342" i="56"/>
  <c r="BU342" i="56" s="1"/>
  <c r="BT343" i="56"/>
  <c r="BT344" i="56"/>
  <c r="BT345" i="56"/>
  <c r="BT346" i="56"/>
  <c r="BT347" i="56"/>
  <c r="BT348" i="56"/>
  <c r="BT349" i="56"/>
  <c r="BT350" i="56"/>
  <c r="BT351" i="56"/>
  <c r="BT352" i="56"/>
  <c r="BR3" i="56"/>
  <c r="BR4" i="56"/>
  <c r="BR5" i="56"/>
  <c r="CV5" i="56" s="1"/>
  <c r="BR6" i="56"/>
  <c r="BR7" i="56"/>
  <c r="BR8" i="56"/>
  <c r="BR9" i="56"/>
  <c r="BR10" i="56"/>
  <c r="BR11" i="56"/>
  <c r="BR12" i="56"/>
  <c r="BR13" i="56"/>
  <c r="BR14" i="56"/>
  <c r="BR15" i="56"/>
  <c r="BR16" i="56"/>
  <c r="BR17" i="56"/>
  <c r="BR18" i="56"/>
  <c r="BR19" i="56"/>
  <c r="BR20" i="56"/>
  <c r="BR21" i="56"/>
  <c r="BR22" i="56"/>
  <c r="BR23" i="56"/>
  <c r="BR24" i="56"/>
  <c r="BR26" i="56"/>
  <c r="BU26" i="56" s="1"/>
  <c r="BR27" i="56"/>
  <c r="BR29" i="56"/>
  <c r="BR30" i="56"/>
  <c r="BR31" i="56"/>
  <c r="BR32" i="56"/>
  <c r="BR33" i="56"/>
  <c r="BR34" i="56"/>
  <c r="BR35" i="56"/>
  <c r="BR36" i="56"/>
  <c r="BR37" i="56"/>
  <c r="BR38" i="56"/>
  <c r="BR39" i="56"/>
  <c r="BR40" i="56"/>
  <c r="BR41" i="56"/>
  <c r="BR42" i="56"/>
  <c r="BR43" i="56"/>
  <c r="BR44" i="56"/>
  <c r="BR45" i="56"/>
  <c r="BR46" i="56"/>
  <c r="BR47" i="56"/>
  <c r="BR48" i="56"/>
  <c r="BR49" i="56"/>
  <c r="BR50" i="56"/>
  <c r="BR51" i="56"/>
  <c r="BR52" i="56"/>
  <c r="BR53" i="56"/>
  <c r="BR54" i="56"/>
  <c r="BR55" i="56"/>
  <c r="BR56" i="56"/>
  <c r="BR57" i="56"/>
  <c r="BR58" i="56"/>
  <c r="BR59" i="56"/>
  <c r="BR60" i="56"/>
  <c r="BR61" i="56"/>
  <c r="BR62" i="56"/>
  <c r="BR63" i="56"/>
  <c r="BR64" i="56"/>
  <c r="BR65" i="56"/>
  <c r="BR66" i="56"/>
  <c r="BR67" i="56"/>
  <c r="BR68" i="56"/>
  <c r="BR69" i="56"/>
  <c r="BR70" i="56"/>
  <c r="BR71" i="56"/>
  <c r="BR72" i="56"/>
  <c r="BR73" i="56"/>
  <c r="BR74" i="56"/>
  <c r="BR75" i="56"/>
  <c r="BR76" i="56"/>
  <c r="BR77" i="56"/>
  <c r="BR78" i="56"/>
  <c r="BR79" i="56"/>
  <c r="BR80" i="56"/>
  <c r="BR81" i="56"/>
  <c r="BR82" i="56"/>
  <c r="BR83" i="56"/>
  <c r="BR84" i="56"/>
  <c r="BR85" i="56"/>
  <c r="BR86" i="56"/>
  <c r="BR87" i="56"/>
  <c r="BR88" i="56"/>
  <c r="BR89" i="56"/>
  <c r="BR90" i="56"/>
  <c r="BR91" i="56"/>
  <c r="BR92" i="56"/>
  <c r="BR93" i="56"/>
  <c r="BR94" i="56"/>
  <c r="BR95" i="56"/>
  <c r="BR96" i="56"/>
  <c r="BR97" i="56"/>
  <c r="BR98" i="56"/>
  <c r="BR99" i="56"/>
  <c r="BR100" i="56"/>
  <c r="BR101" i="56"/>
  <c r="BR102" i="56"/>
  <c r="BR103" i="56"/>
  <c r="BR104" i="56"/>
  <c r="BR105" i="56"/>
  <c r="BR106" i="56"/>
  <c r="BR107" i="56"/>
  <c r="BR108" i="56"/>
  <c r="BR109" i="56"/>
  <c r="BR110" i="56"/>
  <c r="BR111" i="56"/>
  <c r="BR112" i="56"/>
  <c r="BR113" i="56"/>
  <c r="BR114" i="56"/>
  <c r="BR115" i="56"/>
  <c r="DJ115" i="56" s="1"/>
  <c r="BR116" i="56"/>
  <c r="BR117" i="56"/>
  <c r="BR118" i="56"/>
  <c r="BR119" i="56"/>
  <c r="BR120" i="56"/>
  <c r="BR121" i="56"/>
  <c r="BR122" i="56"/>
  <c r="BR123" i="56"/>
  <c r="BR124" i="56"/>
  <c r="BR125" i="56"/>
  <c r="BR126" i="56"/>
  <c r="BR127" i="56"/>
  <c r="BR128" i="56"/>
  <c r="BR129" i="56"/>
  <c r="BR130" i="56"/>
  <c r="BR131" i="56"/>
  <c r="BR132" i="56"/>
  <c r="BR133" i="56"/>
  <c r="BR134" i="56"/>
  <c r="BR135" i="56"/>
  <c r="BR136" i="56"/>
  <c r="BR137" i="56"/>
  <c r="BR138" i="56"/>
  <c r="BR139" i="56"/>
  <c r="BR140" i="56"/>
  <c r="BR141" i="56"/>
  <c r="BR142" i="56"/>
  <c r="BR143" i="56"/>
  <c r="BR144" i="56"/>
  <c r="BR145" i="56"/>
  <c r="BR146" i="56"/>
  <c r="BR147" i="56"/>
  <c r="BR148" i="56"/>
  <c r="BR149" i="56"/>
  <c r="BR150" i="56"/>
  <c r="BR151" i="56"/>
  <c r="BR152" i="56"/>
  <c r="BR153" i="56"/>
  <c r="BR154" i="56"/>
  <c r="BR155" i="56"/>
  <c r="BR156" i="56"/>
  <c r="BR157" i="56"/>
  <c r="BR158" i="56"/>
  <c r="BR159" i="56"/>
  <c r="BR160" i="56"/>
  <c r="BR161" i="56"/>
  <c r="BR162" i="56"/>
  <c r="BR163" i="56"/>
  <c r="BR164" i="56"/>
  <c r="BR165" i="56"/>
  <c r="BR166" i="56"/>
  <c r="BR167" i="56"/>
  <c r="BR168" i="56"/>
  <c r="BR169" i="56"/>
  <c r="BR170" i="56"/>
  <c r="BR171" i="56"/>
  <c r="BR172" i="56"/>
  <c r="BR173" i="56"/>
  <c r="BR174" i="56"/>
  <c r="BR175" i="56"/>
  <c r="BR176" i="56"/>
  <c r="BR177" i="56"/>
  <c r="BR178" i="56"/>
  <c r="BR179" i="56"/>
  <c r="BR180" i="56"/>
  <c r="BR181" i="56"/>
  <c r="BR182" i="56"/>
  <c r="BR183" i="56"/>
  <c r="BR184" i="56"/>
  <c r="BR185" i="56"/>
  <c r="BR186" i="56"/>
  <c r="BR187" i="56"/>
  <c r="BR188" i="56"/>
  <c r="BR189" i="56"/>
  <c r="BR190" i="56"/>
  <c r="BR191" i="56"/>
  <c r="BR192" i="56"/>
  <c r="BR193" i="56"/>
  <c r="BR194" i="56"/>
  <c r="BR195" i="56"/>
  <c r="BR196" i="56"/>
  <c r="BR197" i="56"/>
  <c r="BR198" i="56"/>
  <c r="BR199" i="56"/>
  <c r="BR200" i="56"/>
  <c r="BR201" i="56"/>
  <c r="BR202" i="56"/>
  <c r="BR203" i="56"/>
  <c r="BR204" i="56"/>
  <c r="BR205" i="56"/>
  <c r="BR206" i="56"/>
  <c r="CV206" i="56" s="1"/>
  <c r="BR207" i="56"/>
  <c r="BR208" i="56"/>
  <c r="BR209" i="56"/>
  <c r="BR210" i="56"/>
  <c r="BR211" i="56"/>
  <c r="BR212" i="56"/>
  <c r="DT212" i="56" s="1"/>
  <c r="BR213" i="56"/>
  <c r="BR214" i="56"/>
  <c r="BR215" i="56"/>
  <c r="BR216" i="56"/>
  <c r="BR217" i="56"/>
  <c r="BR218" i="56"/>
  <c r="BR219" i="56"/>
  <c r="BR220" i="56"/>
  <c r="BR221" i="56"/>
  <c r="BR222" i="56"/>
  <c r="BR223" i="56"/>
  <c r="BR224" i="56"/>
  <c r="BR225" i="56"/>
  <c r="BR226" i="56"/>
  <c r="BR227" i="56"/>
  <c r="BR228" i="56"/>
  <c r="BR229" i="56"/>
  <c r="BR230" i="56"/>
  <c r="BR231" i="56"/>
  <c r="BR232" i="56"/>
  <c r="BR233" i="56"/>
  <c r="BR234" i="56"/>
  <c r="BR235" i="56"/>
  <c r="BR236" i="56"/>
  <c r="BR237" i="56"/>
  <c r="BR238" i="56"/>
  <c r="BR239" i="56"/>
  <c r="BR240" i="56"/>
  <c r="BR241" i="56"/>
  <c r="BR242" i="56"/>
  <c r="BR243" i="56"/>
  <c r="BR244" i="56"/>
  <c r="BR245" i="56"/>
  <c r="BR246" i="56"/>
  <c r="BR247" i="56"/>
  <c r="BR248" i="56"/>
  <c r="DT248" i="56" s="1"/>
  <c r="BR249" i="56"/>
  <c r="BR250" i="56"/>
  <c r="BR251" i="56"/>
  <c r="BR252" i="56"/>
  <c r="BR253" i="56"/>
  <c r="BR254" i="56"/>
  <c r="BR255" i="56"/>
  <c r="BR256" i="56"/>
  <c r="BR257" i="56"/>
  <c r="BR258" i="56"/>
  <c r="BR259" i="56"/>
  <c r="BR260" i="56"/>
  <c r="BR261" i="56"/>
  <c r="BR262" i="56"/>
  <c r="BR263" i="56"/>
  <c r="BR264" i="56"/>
  <c r="BR265" i="56"/>
  <c r="BR266" i="56"/>
  <c r="BR267" i="56"/>
  <c r="BR268" i="56"/>
  <c r="BR269" i="56"/>
  <c r="BR270" i="56"/>
  <c r="BR271" i="56"/>
  <c r="BR272" i="56"/>
  <c r="BR273" i="56"/>
  <c r="BR274" i="56"/>
  <c r="BR275" i="56"/>
  <c r="BR276" i="56"/>
  <c r="BR277" i="56"/>
  <c r="BR278" i="56"/>
  <c r="BR279" i="56"/>
  <c r="BR280" i="56"/>
  <c r="BR281" i="56"/>
  <c r="BR282" i="56"/>
  <c r="BR283" i="56"/>
  <c r="BR284" i="56"/>
  <c r="BR285" i="56"/>
  <c r="BR286" i="56"/>
  <c r="BR287" i="56"/>
  <c r="BR288" i="56"/>
  <c r="BR289" i="56"/>
  <c r="BR290" i="56"/>
  <c r="BR291" i="56"/>
  <c r="BR292" i="56"/>
  <c r="BR293" i="56"/>
  <c r="BR294" i="56"/>
  <c r="BR295" i="56"/>
  <c r="BR296" i="56"/>
  <c r="BR297" i="56"/>
  <c r="BR298" i="56"/>
  <c r="BR299" i="56"/>
  <c r="BR300" i="56"/>
  <c r="BR301" i="56"/>
  <c r="BR302" i="56"/>
  <c r="BR303" i="56"/>
  <c r="BR304" i="56"/>
  <c r="BR305" i="56"/>
  <c r="BR306" i="56"/>
  <c r="BR307" i="56"/>
  <c r="BR308" i="56"/>
  <c r="BR309" i="56"/>
  <c r="BR310" i="56"/>
  <c r="BR311" i="56"/>
  <c r="BR312" i="56"/>
  <c r="BR313" i="56"/>
  <c r="BR314" i="56"/>
  <c r="BR315" i="56"/>
  <c r="BR316" i="56"/>
  <c r="BR317" i="56"/>
  <c r="BR318" i="56"/>
  <c r="BR319" i="56"/>
  <c r="BR320" i="56"/>
  <c r="BR321" i="56"/>
  <c r="BR322" i="56"/>
  <c r="BR323" i="56"/>
  <c r="BR324" i="56"/>
  <c r="BR325" i="56"/>
  <c r="BR326" i="56"/>
  <c r="BR327" i="56"/>
  <c r="BR328" i="56"/>
  <c r="BR329" i="56"/>
  <c r="BR330" i="56"/>
  <c r="BR331" i="56"/>
  <c r="BR332" i="56"/>
  <c r="BR333" i="56"/>
  <c r="BR334" i="56"/>
  <c r="BR335" i="56"/>
  <c r="BR336" i="56"/>
  <c r="BR337" i="56"/>
  <c r="BR338" i="56"/>
  <c r="BR339" i="56"/>
  <c r="BR340" i="56"/>
  <c r="BR341" i="56"/>
  <c r="BR342" i="56"/>
  <c r="BR343" i="56"/>
  <c r="BR344" i="56"/>
  <c r="BR345" i="56"/>
  <c r="BR346" i="56"/>
  <c r="BR347" i="56"/>
  <c r="BR348" i="56"/>
  <c r="BR349" i="56"/>
  <c r="BR350" i="56"/>
  <c r="BR351" i="56"/>
  <c r="BR352" i="56"/>
  <c r="BQ168" i="56"/>
  <c r="BP3" i="56"/>
  <c r="BP4" i="56"/>
  <c r="BP5" i="56"/>
  <c r="BP6" i="56"/>
  <c r="BP7" i="56"/>
  <c r="BP8" i="56"/>
  <c r="BP9" i="56"/>
  <c r="BP10" i="56"/>
  <c r="BP11" i="56"/>
  <c r="BP12" i="56"/>
  <c r="BP13" i="56"/>
  <c r="BP14" i="56"/>
  <c r="BP15" i="56"/>
  <c r="BP16" i="56"/>
  <c r="BP17" i="56"/>
  <c r="BP18" i="56"/>
  <c r="BP19" i="56"/>
  <c r="BP20" i="56"/>
  <c r="BP21" i="56"/>
  <c r="BP22" i="56"/>
  <c r="BP23" i="56"/>
  <c r="BP24" i="56"/>
  <c r="BP26" i="56"/>
  <c r="BP27" i="56"/>
  <c r="BP28" i="56"/>
  <c r="BP29" i="56"/>
  <c r="BP30" i="56"/>
  <c r="BP31" i="56"/>
  <c r="BP32" i="56"/>
  <c r="BP33" i="56"/>
  <c r="BP34" i="56"/>
  <c r="BP35" i="56"/>
  <c r="BP36" i="56"/>
  <c r="BP37" i="56"/>
  <c r="BP38" i="56"/>
  <c r="BP39" i="56"/>
  <c r="BP40" i="56"/>
  <c r="BP41" i="56"/>
  <c r="BP42" i="56"/>
  <c r="BP43" i="56"/>
  <c r="BP44" i="56"/>
  <c r="BP45" i="56"/>
  <c r="BP46" i="56"/>
  <c r="BP47" i="56"/>
  <c r="BP48" i="56"/>
  <c r="BP49" i="56"/>
  <c r="BP50" i="56"/>
  <c r="BP51" i="56"/>
  <c r="BP52" i="56"/>
  <c r="BP53" i="56"/>
  <c r="BP54" i="56"/>
  <c r="BP55" i="56"/>
  <c r="BP56" i="56"/>
  <c r="BP57" i="56"/>
  <c r="BP58" i="56"/>
  <c r="BP59" i="56"/>
  <c r="BP60" i="56"/>
  <c r="BP61" i="56"/>
  <c r="BP62" i="56"/>
  <c r="BP63" i="56"/>
  <c r="BP64" i="56"/>
  <c r="BP65" i="56"/>
  <c r="BP66" i="56"/>
  <c r="BP67" i="56"/>
  <c r="BP68" i="56"/>
  <c r="BP69" i="56"/>
  <c r="BP70" i="56"/>
  <c r="BP71" i="56"/>
  <c r="BP72" i="56"/>
  <c r="BP73" i="56"/>
  <c r="BP74" i="56"/>
  <c r="BP75" i="56"/>
  <c r="BP76" i="56"/>
  <c r="BP77" i="56"/>
  <c r="BP78" i="56"/>
  <c r="BP79" i="56"/>
  <c r="BP80" i="56"/>
  <c r="BP81" i="56"/>
  <c r="BP82" i="56"/>
  <c r="BP83" i="56"/>
  <c r="BP84" i="56"/>
  <c r="BP85" i="56"/>
  <c r="BP86" i="56"/>
  <c r="BP87" i="56"/>
  <c r="BP88" i="56"/>
  <c r="BP89" i="56"/>
  <c r="BP90" i="56"/>
  <c r="BP91" i="56"/>
  <c r="BP92" i="56"/>
  <c r="BP93" i="56"/>
  <c r="BP94" i="56"/>
  <c r="BP95" i="56"/>
  <c r="BP96" i="56"/>
  <c r="BP97" i="56"/>
  <c r="BP98" i="56"/>
  <c r="BP99" i="56"/>
  <c r="BP100" i="56"/>
  <c r="BP101" i="56"/>
  <c r="BP102" i="56"/>
  <c r="BP103" i="56"/>
  <c r="BP104" i="56"/>
  <c r="BP105" i="56"/>
  <c r="BP106" i="56"/>
  <c r="BP107" i="56"/>
  <c r="BP108" i="56"/>
  <c r="BP109" i="56"/>
  <c r="BP110" i="56"/>
  <c r="BP111" i="56"/>
  <c r="BP112" i="56"/>
  <c r="BP113" i="56"/>
  <c r="BP114" i="56"/>
  <c r="BP115" i="56"/>
  <c r="BP116" i="56"/>
  <c r="BP117" i="56"/>
  <c r="BP118" i="56"/>
  <c r="BP119" i="56"/>
  <c r="BP120" i="56"/>
  <c r="BP121" i="56"/>
  <c r="BP122" i="56"/>
  <c r="BP123" i="56"/>
  <c r="BP124" i="56"/>
  <c r="BP125" i="56"/>
  <c r="BP126" i="56"/>
  <c r="BP127" i="56"/>
  <c r="BP128" i="56"/>
  <c r="BP129" i="56"/>
  <c r="BP130" i="56"/>
  <c r="BP131" i="56"/>
  <c r="BP132" i="56"/>
  <c r="BP133" i="56"/>
  <c r="BP134" i="56"/>
  <c r="BP135" i="56"/>
  <c r="BP136" i="56"/>
  <c r="BP137" i="56"/>
  <c r="BP138" i="56"/>
  <c r="BP139" i="56"/>
  <c r="BP140" i="56"/>
  <c r="BP141" i="56"/>
  <c r="BP142" i="56"/>
  <c r="BP143" i="56"/>
  <c r="BP144" i="56"/>
  <c r="BP145" i="56"/>
  <c r="BP146" i="56"/>
  <c r="BP147" i="56"/>
  <c r="BP148" i="56"/>
  <c r="BP149" i="56"/>
  <c r="BP150" i="56"/>
  <c r="BP151" i="56"/>
  <c r="BP152" i="56"/>
  <c r="BP153" i="56"/>
  <c r="BP154" i="56"/>
  <c r="BP155" i="56"/>
  <c r="BP156" i="56"/>
  <c r="BP157" i="56"/>
  <c r="BP158" i="56"/>
  <c r="BP159" i="56"/>
  <c r="BP160" i="56"/>
  <c r="BP161" i="56"/>
  <c r="BP162" i="56"/>
  <c r="BP163" i="56"/>
  <c r="BP164" i="56"/>
  <c r="BP165" i="56"/>
  <c r="BP166" i="56"/>
  <c r="BP167" i="56"/>
  <c r="BP168" i="56"/>
  <c r="BP169" i="56"/>
  <c r="BP170" i="56"/>
  <c r="BP171" i="56"/>
  <c r="BP172" i="56"/>
  <c r="BP173" i="56"/>
  <c r="BP174" i="56"/>
  <c r="BP175" i="56"/>
  <c r="BP176" i="56"/>
  <c r="BP177" i="56"/>
  <c r="BP178" i="56"/>
  <c r="BP179" i="56"/>
  <c r="BP180" i="56"/>
  <c r="BP181" i="56"/>
  <c r="BP182" i="56"/>
  <c r="BP183" i="56"/>
  <c r="BP184" i="56"/>
  <c r="BP185" i="56"/>
  <c r="BP186" i="56"/>
  <c r="BP187" i="56"/>
  <c r="BP188" i="56"/>
  <c r="BP189" i="56"/>
  <c r="BP190" i="56"/>
  <c r="BP191" i="56"/>
  <c r="BP192" i="56"/>
  <c r="BP193" i="56"/>
  <c r="BP194" i="56"/>
  <c r="BP195" i="56"/>
  <c r="BP196" i="56"/>
  <c r="BP197" i="56"/>
  <c r="BP198" i="56"/>
  <c r="BP199" i="56"/>
  <c r="BP200" i="56"/>
  <c r="BP201" i="56"/>
  <c r="BP202" i="56"/>
  <c r="BP203" i="56"/>
  <c r="BP204" i="56"/>
  <c r="BP205" i="56"/>
  <c r="BP206" i="56"/>
  <c r="BP207" i="56"/>
  <c r="BP208" i="56"/>
  <c r="BP209" i="56"/>
  <c r="BP210" i="56"/>
  <c r="BP211" i="56"/>
  <c r="BP212" i="56"/>
  <c r="BP213" i="56"/>
  <c r="BP214" i="56"/>
  <c r="BP215" i="56"/>
  <c r="BP216" i="56"/>
  <c r="BP217" i="56"/>
  <c r="BP218" i="56"/>
  <c r="BP219" i="56"/>
  <c r="BP220" i="56"/>
  <c r="BP221" i="56"/>
  <c r="BP222" i="56"/>
  <c r="BP223" i="56"/>
  <c r="BP224" i="56"/>
  <c r="BP225" i="56"/>
  <c r="BP226" i="56"/>
  <c r="BP227" i="56"/>
  <c r="BP228" i="56"/>
  <c r="BP229" i="56"/>
  <c r="BP230" i="56"/>
  <c r="BP231" i="56"/>
  <c r="BP232" i="56"/>
  <c r="BP233" i="56"/>
  <c r="BP234" i="56"/>
  <c r="BP235" i="56"/>
  <c r="BP236" i="56"/>
  <c r="BP237" i="56"/>
  <c r="BP238" i="56"/>
  <c r="BP239" i="56"/>
  <c r="BP240" i="56"/>
  <c r="BP241" i="56"/>
  <c r="BP242" i="56"/>
  <c r="BP243" i="56"/>
  <c r="BP244" i="56"/>
  <c r="BP245" i="56"/>
  <c r="BP246" i="56"/>
  <c r="BP247" i="56"/>
  <c r="BP248" i="56"/>
  <c r="BP249" i="56"/>
  <c r="BP250" i="56"/>
  <c r="BP251" i="56"/>
  <c r="BP252" i="56"/>
  <c r="BP253" i="56"/>
  <c r="BP254" i="56"/>
  <c r="BP255" i="56"/>
  <c r="BP256" i="56"/>
  <c r="BP257" i="56"/>
  <c r="BP258" i="56"/>
  <c r="BP259" i="56"/>
  <c r="BP260" i="56"/>
  <c r="BP261" i="56"/>
  <c r="BP262" i="56"/>
  <c r="BP263" i="56"/>
  <c r="BP264" i="56"/>
  <c r="BP265" i="56"/>
  <c r="BP266" i="56"/>
  <c r="BP267" i="56"/>
  <c r="BP268" i="56"/>
  <c r="BP269" i="56"/>
  <c r="BP270" i="56"/>
  <c r="BP271" i="56"/>
  <c r="BP272" i="56"/>
  <c r="BP273" i="56"/>
  <c r="BP274" i="56"/>
  <c r="BP275" i="56"/>
  <c r="BP276" i="56"/>
  <c r="BP277" i="56"/>
  <c r="BP278" i="56"/>
  <c r="BP279" i="56"/>
  <c r="BP280" i="56"/>
  <c r="BP281" i="56"/>
  <c r="BP282" i="56"/>
  <c r="BP283" i="56"/>
  <c r="BP284" i="56"/>
  <c r="BP285" i="56"/>
  <c r="BP286" i="56"/>
  <c r="BP287" i="56"/>
  <c r="BP288" i="56"/>
  <c r="BP289" i="56"/>
  <c r="BP290" i="56"/>
  <c r="BP291" i="56"/>
  <c r="BP292" i="56"/>
  <c r="BP293" i="56"/>
  <c r="BP294" i="56"/>
  <c r="BP295" i="56"/>
  <c r="BP296" i="56"/>
  <c r="BP297" i="56"/>
  <c r="BP298" i="56"/>
  <c r="BP299" i="56"/>
  <c r="BP300" i="56"/>
  <c r="BP301" i="56"/>
  <c r="BP302" i="56"/>
  <c r="BP303" i="56"/>
  <c r="BP304" i="56"/>
  <c r="BP305" i="56"/>
  <c r="BP306" i="56"/>
  <c r="BP307" i="56"/>
  <c r="BP308" i="56"/>
  <c r="BP309" i="56"/>
  <c r="BP310" i="56"/>
  <c r="BP311" i="56"/>
  <c r="BP312" i="56"/>
  <c r="BP313" i="56"/>
  <c r="BP314" i="56"/>
  <c r="BP315" i="56"/>
  <c r="BP316" i="56"/>
  <c r="BP317" i="56"/>
  <c r="BP318" i="56"/>
  <c r="BP319" i="56"/>
  <c r="BP320" i="56"/>
  <c r="BP321" i="56"/>
  <c r="BP322" i="56"/>
  <c r="BP323" i="56"/>
  <c r="BP324" i="56"/>
  <c r="BP325" i="56"/>
  <c r="BP326" i="56"/>
  <c r="BP327" i="56"/>
  <c r="BP328" i="56"/>
  <c r="BP329" i="56"/>
  <c r="BP330" i="56"/>
  <c r="BP331" i="56"/>
  <c r="BP332" i="56"/>
  <c r="BP333" i="56"/>
  <c r="BP334" i="56"/>
  <c r="BP335" i="56"/>
  <c r="BP336" i="56"/>
  <c r="BP337" i="56"/>
  <c r="BP338" i="56"/>
  <c r="BP339" i="56"/>
  <c r="BP340" i="56"/>
  <c r="BP341" i="56"/>
  <c r="BP342" i="56"/>
  <c r="BP343" i="56"/>
  <c r="BP344" i="56"/>
  <c r="BP345" i="56"/>
  <c r="BP346" i="56"/>
  <c r="BP347" i="56"/>
  <c r="BP348" i="56"/>
  <c r="BP349" i="56"/>
  <c r="BP350" i="56"/>
  <c r="BP351" i="56"/>
  <c r="BP352" i="56"/>
  <c r="BO3" i="56"/>
  <c r="BO6" i="56"/>
  <c r="BO7" i="56"/>
  <c r="BO25" i="56"/>
  <c r="W25" i="56" s="1"/>
  <c r="BP25" i="56" s="1"/>
  <c r="BO56" i="56"/>
  <c r="BO70" i="56"/>
  <c r="BO82" i="56"/>
  <c r="BO84" i="56"/>
  <c r="BO134" i="56"/>
  <c r="BO162" i="56"/>
  <c r="BO182" i="56"/>
  <c r="BO231" i="56"/>
  <c r="BO232" i="56"/>
  <c r="BO233" i="56"/>
  <c r="BO312" i="56"/>
  <c r="BN78" i="56"/>
  <c r="FY78" i="56" s="1"/>
  <c r="BN88" i="56"/>
  <c r="FY88" i="56" s="1"/>
  <c r="BN104" i="56"/>
  <c r="FY104" i="56" s="1"/>
  <c r="BN190" i="56"/>
  <c r="BM5" i="56"/>
  <c r="BM6" i="56"/>
  <c r="BM7" i="56"/>
  <c r="BM8" i="56"/>
  <c r="BM9" i="56"/>
  <c r="BM10" i="56"/>
  <c r="BM12" i="56"/>
  <c r="BM13" i="56"/>
  <c r="BM14" i="56"/>
  <c r="BM15" i="56"/>
  <c r="BM16" i="56"/>
  <c r="BM17" i="56"/>
  <c r="BM18" i="56"/>
  <c r="BM19" i="56"/>
  <c r="BM20" i="56"/>
  <c r="BM21" i="56"/>
  <c r="BM22" i="56"/>
  <c r="BM23" i="56"/>
  <c r="BM24" i="56"/>
  <c r="BM26" i="56"/>
  <c r="BM31" i="56"/>
  <c r="BM32" i="56"/>
  <c r="BM33" i="56"/>
  <c r="BM34" i="56"/>
  <c r="BM35" i="56"/>
  <c r="BM36" i="56"/>
  <c r="BM37" i="56"/>
  <c r="BM38" i="56"/>
  <c r="BM39" i="56"/>
  <c r="BM40" i="56"/>
  <c r="BN40" i="56" s="1"/>
  <c r="FY40" i="56" s="1"/>
  <c r="BM41" i="56"/>
  <c r="BM42" i="56"/>
  <c r="BM43" i="56"/>
  <c r="BM44" i="56"/>
  <c r="BM45" i="56"/>
  <c r="BM46" i="56"/>
  <c r="BM47" i="56"/>
  <c r="BM48" i="56"/>
  <c r="BM49" i="56"/>
  <c r="BM52" i="56"/>
  <c r="BM53" i="56"/>
  <c r="BM54" i="56"/>
  <c r="BM55" i="56"/>
  <c r="BM56" i="56"/>
  <c r="BM57" i="56"/>
  <c r="BM58" i="56"/>
  <c r="BM59" i="56"/>
  <c r="BM60" i="56"/>
  <c r="BM61" i="56"/>
  <c r="BM62" i="56"/>
  <c r="BM63" i="56"/>
  <c r="BM64" i="56"/>
  <c r="BM65" i="56"/>
  <c r="BM66" i="56"/>
  <c r="BM67" i="56"/>
  <c r="BM68" i="56"/>
  <c r="BM69" i="56"/>
  <c r="BM70" i="56"/>
  <c r="BM71" i="56"/>
  <c r="BM72" i="56"/>
  <c r="BM73" i="56"/>
  <c r="BM74" i="56"/>
  <c r="BM75" i="56"/>
  <c r="BM76" i="56"/>
  <c r="BM77" i="56"/>
  <c r="BM78" i="56"/>
  <c r="BM79" i="56"/>
  <c r="BM80" i="56"/>
  <c r="BM81" i="56"/>
  <c r="BM82" i="56"/>
  <c r="BM83" i="56"/>
  <c r="BM84" i="56"/>
  <c r="BM85" i="56"/>
  <c r="BM86" i="56"/>
  <c r="BM87" i="56"/>
  <c r="BM88" i="56"/>
  <c r="BM89" i="56"/>
  <c r="BM90" i="56"/>
  <c r="BM91" i="56"/>
  <c r="BM92" i="56"/>
  <c r="BM93" i="56"/>
  <c r="BM94" i="56"/>
  <c r="BM95" i="56"/>
  <c r="BM96" i="56"/>
  <c r="BM97" i="56"/>
  <c r="BM98" i="56"/>
  <c r="BM99" i="56"/>
  <c r="BM100" i="56"/>
  <c r="BM101" i="56"/>
  <c r="BM102" i="56"/>
  <c r="BM103" i="56"/>
  <c r="BM104" i="56"/>
  <c r="BM105" i="56"/>
  <c r="BM106" i="56"/>
  <c r="BM107" i="56"/>
  <c r="BM108" i="56"/>
  <c r="BM109" i="56"/>
  <c r="BM110" i="56"/>
  <c r="BM111" i="56"/>
  <c r="BM112" i="56"/>
  <c r="BM113" i="56"/>
  <c r="BM114" i="56"/>
  <c r="BM115" i="56"/>
  <c r="BM116" i="56"/>
  <c r="BM117" i="56"/>
  <c r="BM118" i="56"/>
  <c r="BM119" i="56"/>
  <c r="BM120" i="56"/>
  <c r="BM121" i="56"/>
  <c r="BM122" i="56"/>
  <c r="BM123" i="56"/>
  <c r="BM124" i="56"/>
  <c r="BM125" i="56"/>
  <c r="BM126" i="56"/>
  <c r="BM127" i="56"/>
  <c r="BM128" i="56"/>
  <c r="BM129" i="56"/>
  <c r="BM130" i="56"/>
  <c r="BM131" i="56"/>
  <c r="BM132" i="56"/>
  <c r="BM133" i="56"/>
  <c r="BM134" i="56"/>
  <c r="BM135" i="56"/>
  <c r="BM136" i="56"/>
  <c r="BM137" i="56"/>
  <c r="BM138" i="56"/>
  <c r="BM139" i="56"/>
  <c r="BM140" i="56"/>
  <c r="BM141" i="56"/>
  <c r="BM142" i="56"/>
  <c r="BM143" i="56"/>
  <c r="BM144" i="56"/>
  <c r="BM145" i="56"/>
  <c r="BM146" i="56"/>
  <c r="BM147" i="56"/>
  <c r="BM148" i="56"/>
  <c r="BM149" i="56"/>
  <c r="BM150" i="56"/>
  <c r="BM151" i="56"/>
  <c r="BM152" i="56"/>
  <c r="BM153" i="56"/>
  <c r="BM154" i="56"/>
  <c r="BM155" i="56"/>
  <c r="BM156" i="56"/>
  <c r="BM157" i="56"/>
  <c r="BM158" i="56"/>
  <c r="BM159" i="56"/>
  <c r="BM160" i="56"/>
  <c r="BM161" i="56"/>
  <c r="BM162" i="56"/>
  <c r="BM163" i="56"/>
  <c r="BM164" i="56"/>
  <c r="BM165" i="56"/>
  <c r="BM166" i="56"/>
  <c r="BM167" i="56"/>
  <c r="BM168" i="56"/>
  <c r="BM169" i="56"/>
  <c r="BN169" i="56" s="1"/>
  <c r="FY169" i="56" s="1"/>
  <c r="BM170" i="56"/>
  <c r="BM171" i="56"/>
  <c r="BM172" i="56"/>
  <c r="BM173" i="56"/>
  <c r="BM174" i="56"/>
  <c r="BM175" i="56"/>
  <c r="BM176" i="56"/>
  <c r="BM177" i="56"/>
  <c r="BM178" i="56"/>
  <c r="BM179" i="56"/>
  <c r="BM180" i="56"/>
  <c r="BM181" i="56"/>
  <c r="BM182" i="56"/>
  <c r="BM183" i="56"/>
  <c r="BM184" i="56"/>
  <c r="BM185" i="56"/>
  <c r="BM186" i="56"/>
  <c r="BM187" i="56"/>
  <c r="BM188" i="56"/>
  <c r="BM189" i="56"/>
  <c r="BM190" i="56"/>
  <c r="BM191" i="56"/>
  <c r="BM192" i="56"/>
  <c r="BM193" i="56"/>
  <c r="BM194" i="56"/>
  <c r="BM195" i="56"/>
  <c r="BM196" i="56"/>
  <c r="BM197" i="56"/>
  <c r="BM198" i="56"/>
  <c r="BM199" i="56"/>
  <c r="BM200" i="56"/>
  <c r="BM201" i="56"/>
  <c r="BM202" i="56"/>
  <c r="BM203" i="56"/>
  <c r="BM204" i="56"/>
  <c r="BM205" i="56"/>
  <c r="BM206" i="56"/>
  <c r="BM207" i="56"/>
  <c r="BM208" i="56"/>
  <c r="BM209" i="56"/>
  <c r="BM210" i="56"/>
  <c r="BM211" i="56"/>
  <c r="BM212" i="56"/>
  <c r="BM213" i="56"/>
  <c r="BM214" i="56"/>
  <c r="BM215" i="56"/>
  <c r="BM216" i="56"/>
  <c r="BM217" i="56"/>
  <c r="BM218" i="56"/>
  <c r="BM219" i="56"/>
  <c r="BN219" i="56" s="1"/>
  <c r="FY219" i="56" s="1"/>
  <c r="BM220" i="56"/>
  <c r="BM221" i="56"/>
  <c r="BM222" i="56"/>
  <c r="BM223" i="56"/>
  <c r="BM224" i="56"/>
  <c r="BM225" i="56"/>
  <c r="BM226" i="56"/>
  <c r="BM227" i="56"/>
  <c r="BM228" i="56"/>
  <c r="BM229" i="56"/>
  <c r="BM230" i="56"/>
  <c r="BM231" i="56"/>
  <c r="BM232" i="56"/>
  <c r="BM233" i="56"/>
  <c r="BM234" i="56"/>
  <c r="BM235" i="56"/>
  <c r="BM236" i="56"/>
  <c r="BM237" i="56"/>
  <c r="BM238" i="56"/>
  <c r="BM239" i="56"/>
  <c r="BM240" i="56"/>
  <c r="BM241" i="56"/>
  <c r="BM242" i="56"/>
  <c r="BM243" i="56"/>
  <c r="BM244" i="56"/>
  <c r="BM245" i="56"/>
  <c r="BM246" i="56"/>
  <c r="BM247" i="56"/>
  <c r="BM248" i="56"/>
  <c r="BM249" i="56"/>
  <c r="BM250" i="56"/>
  <c r="BM251" i="56"/>
  <c r="BM252" i="56"/>
  <c r="BM253" i="56"/>
  <c r="BM254" i="56"/>
  <c r="BM255" i="56"/>
  <c r="BM256" i="56"/>
  <c r="BM257" i="56"/>
  <c r="BM258" i="56"/>
  <c r="BM259" i="56"/>
  <c r="BM260" i="56"/>
  <c r="BM261" i="56"/>
  <c r="BM262" i="56"/>
  <c r="BM263" i="56"/>
  <c r="BM264" i="56"/>
  <c r="BM265" i="56"/>
  <c r="BM266" i="56"/>
  <c r="BM267" i="56"/>
  <c r="BM268" i="56"/>
  <c r="BM269" i="56"/>
  <c r="BM270" i="56"/>
  <c r="BM271" i="56"/>
  <c r="BM272" i="56"/>
  <c r="BM273" i="56"/>
  <c r="BM274" i="56"/>
  <c r="BM275" i="56"/>
  <c r="BM276" i="56"/>
  <c r="BM277" i="56"/>
  <c r="BM278" i="56"/>
  <c r="BM279" i="56"/>
  <c r="BM281" i="56"/>
  <c r="BM282" i="56"/>
  <c r="BM283" i="56"/>
  <c r="BM284" i="56"/>
  <c r="BM285" i="56"/>
  <c r="BM286" i="56"/>
  <c r="BM287" i="56"/>
  <c r="BM288" i="56"/>
  <c r="BM289" i="56"/>
  <c r="BM290" i="56"/>
  <c r="BM291" i="56"/>
  <c r="BM292" i="56"/>
  <c r="BM293" i="56"/>
  <c r="BM294" i="56"/>
  <c r="BM295" i="56"/>
  <c r="BM296" i="56"/>
  <c r="BM297" i="56"/>
  <c r="BM298" i="56"/>
  <c r="BM299" i="56"/>
  <c r="BM300" i="56"/>
  <c r="BM301" i="56"/>
  <c r="BM302" i="56"/>
  <c r="BM303" i="56"/>
  <c r="BM304" i="56"/>
  <c r="BM305" i="56"/>
  <c r="BM306" i="56"/>
  <c r="BM307" i="56"/>
  <c r="BM308" i="56"/>
  <c r="BM309" i="56"/>
  <c r="BM310" i="56"/>
  <c r="BM311" i="56"/>
  <c r="BM312" i="56"/>
  <c r="BM313" i="56"/>
  <c r="BM314" i="56"/>
  <c r="BM315" i="56"/>
  <c r="BM316" i="56"/>
  <c r="BM317" i="56"/>
  <c r="BM318" i="56"/>
  <c r="BM319" i="56"/>
  <c r="BM320" i="56"/>
  <c r="BM321" i="56"/>
  <c r="BM322" i="56"/>
  <c r="BM323" i="56"/>
  <c r="BM324" i="56"/>
  <c r="BM325" i="56"/>
  <c r="BM326" i="56"/>
  <c r="BM327" i="56"/>
  <c r="BM328" i="56"/>
  <c r="BM329" i="56"/>
  <c r="BM330" i="56"/>
  <c r="BM331" i="56"/>
  <c r="BM332" i="56"/>
  <c r="BM333" i="56"/>
  <c r="BM334" i="56"/>
  <c r="BM335" i="56"/>
  <c r="BM336" i="56"/>
  <c r="BM337" i="56"/>
  <c r="BM338" i="56"/>
  <c r="BM339" i="56"/>
  <c r="BM340" i="56"/>
  <c r="BM341" i="56"/>
  <c r="BM342" i="56"/>
  <c r="BM343" i="56"/>
  <c r="BM344" i="56"/>
  <c r="BM345" i="56"/>
  <c r="BM346" i="56"/>
  <c r="BM347" i="56"/>
  <c r="BM348" i="56"/>
  <c r="BM349" i="56"/>
  <c r="BM350" i="56"/>
  <c r="BM351" i="56"/>
  <c r="BM352" i="56"/>
  <c r="BK8" i="56"/>
  <c r="BK14" i="56"/>
  <c r="BK30" i="56"/>
  <c r="BK41" i="56"/>
  <c r="BK58" i="56"/>
  <c r="BK68" i="56"/>
  <c r="BK116" i="56"/>
  <c r="BK122" i="56"/>
  <c r="BK170" i="56"/>
  <c r="BK172" i="56"/>
  <c r="BK174" i="56"/>
  <c r="BK186" i="56"/>
  <c r="BK248" i="56"/>
  <c r="BK249" i="56"/>
  <c r="BK329" i="56"/>
  <c r="BK346" i="56"/>
  <c r="BK348" i="56"/>
  <c r="BK350" i="56"/>
  <c r="BJ10" i="56"/>
  <c r="BJ22" i="56"/>
  <c r="BJ70" i="56"/>
  <c r="BJ74" i="56"/>
  <c r="BJ82" i="56"/>
  <c r="BJ90" i="56"/>
  <c r="BJ118" i="56"/>
  <c r="BJ122" i="56"/>
  <c r="BJ139" i="56"/>
  <c r="BJ140" i="56"/>
  <c r="BJ141" i="56"/>
  <c r="BJ170" i="56"/>
  <c r="BJ230" i="56"/>
  <c r="BJ246" i="56"/>
  <c r="BJ258" i="56"/>
  <c r="BJ275" i="56"/>
  <c r="BJ286" i="56"/>
  <c r="BI8" i="56"/>
  <c r="BI37" i="56"/>
  <c r="BI45" i="56"/>
  <c r="BI46" i="56"/>
  <c r="BI49" i="56"/>
  <c r="BI120" i="56"/>
  <c r="BI184" i="56"/>
  <c r="T184" i="56" s="1"/>
  <c r="BI188" i="56"/>
  <c r="T188" i="56" s="1"/>
  <c r="BH3" i="56"/>
  <c r="BH4" i="56"/>
  <c r="BH5" i="56"/>
  <c r="BH6" i="56"/>
  <c r="BH7" i="56"/>
  <c r="BH8" i="56"/>
  <c r="T8" i="56" s="1"/>
  <c r="BH9" i="56"/>
  <c r="BH10" i="56"/>
  <c r="BH11" i="56"/>
  <c r="BI11" i="56" s="1"/>
  <c r="BH12" i="56"/>
  <c r="BH13" i="56"/>
  <c r="BH14" i="56"/>
  <c r="BH15" i="56"/>
  <c r="BH16" i="56"/>
  <c r="BH17" i="56"/>
  <c r="BH18" i="56"/>
  <c r="BH19" i="56"/>
  <c r="BI19" i="56" s="1"/>
  <c r="BH20" i="56"/>
  <c r="BI20" i="56" s="1"/>
  <c r="BH21" i="56"/>
  <c r="BH22" i="56"/>
  <c r="BH23" i="56"/>
  <c r="BH24" i="56"/>
  <c r="BH25" i="56"/>
  <c r="BI25" i="56" s="1"/>
  <c r="BH26" i="56"/>
  <c r="BH27" i="56"/>
  <c r="BI27" i="56" s="1"/>
  <c r="BH28" i="56"/>
  <c r="BH29" i="56"/>
  <c r="BH30" i="56"/>
  <c r="BH31" i="56"/>
  <c r="BH32" i="56"/>
  <c r="BH33" i="56"/>
  <c r="BI33" i="56" s="1"/>
  <c r="BH34" i="56"/>
  <c r="BH35" i="56"/>
  <c r="BH36" i="56"/>
  <c r="BI36" i="56" s="1"/>
  <c r="BH37" i="56"/>
  <c r="BH38" i="56"/>
  <c r="BH39" i="56"/>
  <c r="T39" i="56" s="1"/>
  <c r="BH40" i="56"/>
  <c r="BI40" i="56" s="1"/>
  <c r="BH41" i="56"/>
  <c r="T41" i="56" s="1"/>
  <c r="BH42" i="56"/>
  <c r="T42" i="56" s="1"/>
  <c r="BH43" i="56"/>
  <c r="BI43" i="56" s="1"/>
  <c r="BH44" i="56"/>
  <c r="BI44" i="56" s="1"/>
  <c r="BH45" i="56"/>
  <c r="BH46" i="56"/>
  <c r="BH47" i="56"/>
  <c r="BH48" i="56"/>
  <c r="BH49" i="56"/>
  <c r="T49" i="56" s="1"/>
  <c r="BH50" i="56"/>
  <c r="T50" i="56" s="1"/>
  <c r="BH51" i="56"/>
  <c r="T51" i="56" s="1"/>
  <c r="BH52" i="56"/>
  <c r="BI52" i="56" s="1"/>
  <c r="BH53" i="56"/>
  <c r="BH54" i="56"/>
  <c r="BH55" i="56"/>
  <c r="BH56" i="56"/>
  <c r="BI56" i="56" s="1"/>
  <c r="T56" i="56" s="1"/>
  <c r="BH57" i="56"/>
  <c r="BH58" i="56"/>
  <c r="BH59" i="56"/>
  <c r="BI59" i="56" s="1"/>
  <c r="BH60" i="56"/>
  <c r="BH61" i="56"/>
  <c r="BI61" i="56" s="1"/>
  <c r="T61" i="56" s="1"/>
  <c r="BH62" i="56"/>
  <c r="BH63" i="56"/>
  <c r="BH64" i="56"/>
  <c r="BH65" i="56"/>
  <c r="BH66" i="56"/>
  <c r="BH67" i="56"/>
  <c r="BH68" i="56"/>
  <c r="BI68" i="56" s="1"/>
  <c r="BH69" i="56"/>
  <c r="BH70" i="56"/>
  <c r="BH71" i="56"/>
  <c r="BH72" i="56"/>
  <c r="BH73" i="56"/>
  <c r="BH74" i="56"/>
  <c r="BH75" i="56"/>
  <c r="BH76" i="56"/>
  <c r="BI76" i="56" s="1"/>
  <c r="T76" i="56" s="1"/>
  <c r="BH77" i="56"/>
  <c r="BH78" i="56"/>
  <c r="BH79" i="56"/>
  <c r="BH80" i="56"/>
  <c r="BH81" i="56"/>
  <c r="BH82" i="56"/>
  <c r="BH83" i="56"/>
  <c r="BI83" i="56" s="1"/>
  <c r="T83" i="56" s="1"/>
  <c r="BH84" i="56"/>
  <c r="BI84" i="56" s="1"/>
  <c r="BH85" i="56"/>
  <c r="BI85" i="56" s="1"/>
  <c r="BH86" i="56"/>
  <c r="BH87" i="56"/>
  <c r="BH88" i="56"/>
  <c r="BI88" i="56" s="1"/>
  <c r="BH89" i="56"/>
  <c r="BH90" i="56"/>
  <c r="BH91" i="56"/>
  <c r="BI91" i="56" s="1"/>
  <c r="BH92" i="56"/>
  <c r="BH93" i="56"/>
  <c r="BH94" i="56"/>
  <c r="BH95" i="56"/>
  <c r="BH96" i="56"/>
  <c r="BH97" i="56"/>
  <c r="BH98" i="56"/>
  <c r="BH99" i="56"/>
  <c r="BI99" i="56" s="1"/>
  <c r="T99" i="56" s="1"/>
  <c r="BH100" i="56"/>
  <c r="BI100" i="56" s="1"/>
  <c r="BH101" i="56"/>
  <c r="BH102" i="56"/>
  <c r="BH103" i="56"/>
  <c r="BH104" i="56"/>
  <c r="BI104" i="56" s="1"/>
  <c r="BH105" i="56"/>
  <c r="BH106" i="56"/>
  <c r="BH107" i="56"/>
  <c r="BI107" i="56" s="1"/>
  <c r="BH108" i="56"/>
  <c r="BH109" i="56"/>
  <c r="BH110" i="56"/>
  <c r="BH111" i="56"/>
  <c r="BH112" i="56"/>
  <c r="BH113" i="56"/>
  <c r="BH114" i="56"/>
  <c r="BI114" i="56" s="1"/>
  <c r="T114" i="56" s="1"/>
  <c r="BH115" i="56"/>
  <c r="BI115" i="56" s="1"/>
  <c r="T115" i="56" s="1"/>
  <c r="BH116" i="56"/>
  <c r="BH117" i="56"/>
  <c r="BH118" i="56"/>
  <c r="BH119" i="56"/>
  <c r="BH120" i="56"/>
  <c r="BH121" i="56"/>
  <c r="BH122" i="56"/>
  <c r="BH123" i="56"/>
  <c r="BI123" i="56" s="1"/>
  <c r="BH124" i="56"/>
  <c r="BH125" i="56"/>
  <c r="BH126" i="56"/>
  <c r="BH127" i="56"/>
  <c r="BH128" i="56"/>
  <c r="BH129" i="56"/>
  <c r="BI129" i="56" s="1"/>
  <c r="BH130" i="56"/>
  <c r="BH131" i="56"/>
  <c r="BI131" i="56" s="1"/>
  <c r="BH132" i="56"/>
  <c r="BI132" i="56" s="1"/>
  <c r="T132" i="56" s="1"/>
  <c r="BH133" i="56"/>
  <c r="BH134" i="56"/>
  <c r="BH135" i="56"/>
  <c r="BH136" i="56"/>
  <c r="BI136" i="56" s="1"/>
  <c r="T136" i="56" s="1"/>
  <c r="BH137" i="56"/>
  <c r="BH138" i="56"/>
  <c r="BH139" i="56"/>
  <c r="BI139" i="56" s="1"/>
  <c r="T139" i="56" s="1"/>
  <c r="BH140" i="56"/>
  <c r="BH141" i="56"/>
  <c r="BH142" i="56"/>
  <c r="BH143" i="56"/>
  <c r="BH144" i="56"/>
  <c r="BH145" i="56"/>
  <c r="BH146" i="56"/>
  <c r="BH147" i="56"/>
  <c r="BH148" i="56"/>
  <c r="BH149" i="56"/>
  <c r="BH150" i="56"/>
  <c r="BH151" i="56"/>
  <c r="BH152" i="56"/>
  <c r="BI152" i="56" s="1"/>
  <c r="BH153" i="56"/>
  <c r="BH154" i="56"/>
  <c r="BH155" i="56"/>
  <c r="BI155" i="56" s="1"/>
  <c r="BH156" i="56"/>
  <c r="BH157" i="56"/>
  <c r="BH158" i="56"/>
  <c r="BH159" i="56"/>
  <c r="BH160" i="56"/>
  <c r="BH161" i="56"/>
  <c r="BH162" i="56"/>
  <c r="BI162" i="56" s="1"/>
  <c r="T162" i="56" s="1"/>
  <c r="BH163" i="56"/>
  <c r="BH164" i="56"/>
  <c r="BH165" i="56"/>
  <c r="BH166" i="56"/>
  <c r="BH167" i="56"/>
  <c r="BH168" i="56"/>
  <c r="BI168" i="56" s="1"/>
  <c r="T168" i="56" s="1"/>
  <c r="BH169" i="56"/>
  <c r="BH170" i="56"/>
  <c r="BH171" i="56"/>
  <c r="BI171" i="56" s="1"/>
  <c r="BH172" i="56"/>
  <c r="BH173" i="56"/>
  <c r="BH174" i="56"/>
  <c r="BH175" i="56"/>
  <c r="BH176" i="56"/>
  <c r="BH177" i="56"/>
  <c r="BH178" i="56"/>
  <c r="BH179" i="56"/>
  <c r="BI179" i="56" s="1"/>
  <c r="T179" i="56" s="1"/>
  <c r="BH180" i="56"/>
  <c r="BI180" i="56" s="1"/>
  <c r="T180" i="56" s="1"/>
  <c r="BH181" i="56"/>
  <c r="BH182" i="56"/>
  <c r="BH183" i="56"/>
  <c r="BH184" i="56"/>
  <c r="BH185" i="56"/>
  <c r="BH186" i="56"/>
  <c r="BH187" i="56"/>
  <c r="BI187" i="56" s="1"/>
  <c r="BH188" i="56"/>
  <c r="BH189" i="56"/>
  <c r="BH190" i="56"/>
  <c r="BH191" i="56"/>
  <c r="BH192" i="56"/>
  <c r="BH193" i="56"/>
  <c r="BH194" i="56"/>
  <c r="BH195" i="56"/>
  <c r="BI195" i="56" s="1"/>
  <c r="T195" i="56" s="1"/>
  <c r="BH196" i="56"/>
  <c r="BI196" i="56" s="1"/>
  <c r="BH197" i="56"/>
  <c r="BH198" i="56"/>
  <c r="BH199" i="56"/>
  <c r="BH200" i="56"/>
  <c r="BI200" i="56" s="1"/>
  <c r="BH201" i="56"/>
  <c r="BH202" i="56"/>
  <c r="BH203" i="56"/>
  <c r="BI203" i="56" s="1"/>
  <c r="BH204" i="56"/>
  <c r="BH205" i="56"/>
  <c r="BH206" i="56"/>
  <c r="BH207" i="56"/>
  <c r="BH208" i="56"/>
  <c r="BH209" i="56"/>
  <c r="BH210" i="56"/>
  <c r="BH211" i="56"/>
  <c r="BH212" i="56"/>
  <c r="BH213" i="56"/>
  <c r="BH214" i="56"/>
  <c r="BH215" i="56"/>
  <c r="BH216" i="56"/>
  <c r="BH217" i="56"/>
  <c r="BH218" i="56"/>
  <c r="BH219" i="56"/>
  <c r="BI219" i="56" s="1"/>
  <c r="BH220" i="56"/>
  <c r="BH221" i="56"/>
  <c r="BH222" i="56"/>
  <c r="BH223" i="56"/>
  <c r="BH224" i="56"/>
  <c r="BH225" i="56"/>
  <c r="BH226" i="56"/>
  <c r="BH227" i="56"/>
  <c r="BI227" i="56" s="1"/>
  <c r="T227" i="56" s="1"/>
  <c r="BH228" i="56"/>
  <c r="BI228" i="56" s="1"/>
  <c r="T228" i="56" s="1"/>
  <c r="BH229" i="56"/>
  <c r="BH230" i="56"/>
  <c r="BH231" i="56"/>
  <c r="BH232" i="56"/>
  <c r="BI232" i="56" s="1"/>
  <c r="T232" i="56" s="1"/>
  <c r="BH233" i="56"/>
  <c r="BH234" i="56"/>
  <c r="BH235" i="56"/>
  <c r="BI235" i="56" s="1"/>
  <c r="BH236" i="56"/>
  <c r="BH237" i="56"/>
  <c r="BH238" i="56"/>
  <c r="BH239" i="56"/>
  <c r="BH240" i="56"/>
  <c r="BH241" i="56"/>
  <c r="BH242" i="56"/>
  <c r="BH243" i="56"/>
  <c r="BI243" i="56" s="1"/>
  <c r="T243" i="56" s="1"/>
  <c r="BH244" i="56"/>
  <c r="BI244" i="56" s="1"/>
  <c r="T244" i="56" s="1"/>
  <c r="BH245" i="56"/>
  <c r="BH246" i="56"/>
  <c r="BH247" i="56"/>
  <c r="BH248" i="56"/>
  <c r="BI248" i="56" s="1"/>
  <c r="BH249" i="56"/>
  <c r="BH250" i="56"/>
  <c r="BH251" i="56"/>
  <c r="BI251" i="56" s="1"/>
  <c r="BH252" i="56"/>
  <c r="BH253" i="56"/>
  <c r="BI253" i="56" s="1"/>
  <c r="T253" i="56" s="1"/>
  <c r="BH254" i="56"/>
  <c r="BH255" i="56"/>
  <c r="BH256" i="56"/>
  <c r="BH257" i="56"/>
  <c r="BH258" i="56"/>
  <c r="BH259" i="56"/>
  <c r="BH260" i="56"/>
  <c r="BH261" i="56"/>
  <c r="BH262" i="56"/>
  <c r="BH263" i="56"/>
  <c r="BH264" i="56"/>
  <c r="BH265" i="56"/>
  <c r="BH266" i="56"/>
  <c r="BH267" i="56"/>
  <c r="BI267" i="56" s="1"/>
  <c r="BH268" i="56"/>
  <c r="BH269" i="56"/>
  <c r="BH270" i="56"/>
  <c r="BH271" i="56"/>
  <c r="BH272" i="56"/>
  <c r="BH273" i="56"/>
  <c r="BH274" i="56"/>
  <c r="BH275" i="56"/>
  <c r="BI275" i="56" s="1"/>
  <c r="BH276" i="56"/>
  <c r="BI276" i="56" s="1"/>
  <c r="BH277" i="56"/>
  <c r="BI277" i="56" s="1"/>
  <c r="BH278" i="56"/>
  <c r="BH279" i="56"/>
  <c r="BH280" i="56"/>
  <c r="BI280" i="56" s="1"/>
  <c r="BH281" i="56"/>
  <c r="BH282" i="56"/>
  <c r="BH283" i="56"/>
  <c r="BI283" i="56" s="1"/>
  <c r="BH284" i="56"/>
  <c r="BH285" i="56"/>
  <c r="BH286" i="56"/>
  <c r="BH287" i="56"/>
  <c r="BH288" i="56"/>
  <c r="BH289" i="56"/>
  <c r="BH290" i="56"/>
  <c r="BH291" i="56"/>
  <c r="BI291" i="56" s="1"/>
  <c r="T291" i="56" s="1"/>
  <c r="BH292" i="56"/>
  <c r="BH293" i="56"/>
  <c r="BH294" i="56"/>
  <c r="BH295" i="56"/>
  <c r="BH296" i="56"/>
  <c r="BI296" i="56" s="1"/>
  <c r="T296" i="56" s="1"/>
  <c r="BH297" i="56"/>
  <c r="BH298" i="56"/>
  <c r="BH299" i="56"/>
  <c r="BI299" i="56" s="1"/>
  <c r="BH300" i="56"/>
  <c r="BH301" i="56"/>
  <c r="BI301" i="56" s="1"/>
  <c r="T301" i="56" s="1"/>
  <c r="BH302" i="56"/>
  <c r="BH303" i="56"/>
  <c r="BH304" i="56"/>
  <c r="BH305" i="56"/>
  <c r="BH306" i="56"/>
  <c r="BH307" i="56"/>
  <c r="BH308" i="56"/>
  <c r="BI308" i="56" s="1"/>
  <c r="T308" i="56" s="1"/>
  <c r="BH309" i="56"/>
  <c r="BH310" i="56"/>
  <c r="BH311" i="56"/>
  <c r="BH312" i="56"/>
  <c r="BI312" i="56" s="1"/>
  <c r="T312" i="56" s="1"/>
  <c r="BH313" i="56"/>
  <c r="BH314" i="56"/>
  <c r="BH315" i="56"/>
  <c r="BH316" i="56"/>
  <c r="BH317" i="56"/>
  <c r="BH318" i="56"/>
  <c r="BH319" i="56"/>
  <c r="BH320" i="56"/>
  <c r="BH321" i="56"/>
  <c r="BH322" i="56"/>
  <c r="BH323" i="56"/>
  <c r="BI323" i="56" s="1"/>
  <c r="T323" i="56" s="1"/>
  <c r="BH324" i="56"/>
  <c r="BI324" i="56" s="1"/>
  <c r="T324" i="56" s="1"/>
  <c r="BH325" i="56"/>
  <c r="BH326" i="56"/>
  <c r="BH327" i="56"/>
  <c r="BH328" i="56"/>
  <c r="BH329" i="56"/>
  <c r="BH330" i="56"/>
  <c r="BH331" i="56"/>
  <c r="BI331" i="56" s="1"/>
  <c r="BH332" i="56"/>
  <c r="BH333" i="56"/>
  <c r="BH334" i="56"/>
  <c r="BH335" i="56"/>
  <c r="BH336" i="56"/>
  <c r="BH337" i="56"/>
  <c r="BH338" i="56"/>
  <c r="BH339" i="56"/>
  <c r="BI339" i="56" s="1"/>
  <c r="T339" i="56" s="1"/>
  <c r="BH340" i="56"/>
  <c r="BI340" i="56" s="1"/>
  <c r="T340" i="56" s="1"/>
  <c r="BH341" i="56"/>
  <c r="BH342" i="56"/>
  <c r="BH343" i="56"/>
  <c r="BH344" i="56"/>
  <c r="BI344" i="56" s="1"/>
  <c r="T344" i="56" s="1"/>
  <c r="BH345" i="56"/>
  <c r="BH346" i="56"/>
  <c r="BH347" i="56"/>
  <c r="BI347" i="56" s="1"/>
  <c r="BH348" i="56"/>
  <c r="BH349" i="56"/>
  <c r="BH350" i="56"/>
  <c r="BH351" i="56"/>
  <c r="BH352" i="56"/>
  <c r="BG3" i="56"/>
  <c r="BG4" i="56"/>
  <c r="BG5" i="56"/>
  <c r="BI5" i="56" s="1"/>
  <c r="BG6" i="56"/>
  <c r="BG7" i="56"/>
  <c r="BG8" i="56"/>
  <c r="BG9" i="56"/>
  <c r="BG10" i="56"/>
  <c r="BG11" i="56"/>
  <c r="BG12" i="56"/>
  <c r="BI12" i="56" s="1"/>
  <c r="T12" i="56" s="1"/>
  <c r="BG13" i="56"/>
  <c r="BI13" i="56" s="1"/>
  <c r="T13" i="56" s="1"/>
  <c r="BG14" i="56"/>
  <c r="BG15" i="56"/>
  <c r="BG16" i="56"/>
  <c r="BG17" i="56"/>
  <c r="BG18" i="56"/>
  <c r="BG19" i="56"/>
  <c r="BG20" i="56"/>
  <c r="BG21" i="56"/>
  <c r="BG22" i="56"/>
  <c r="BG23" i="56"/>
  <c r="BG24" i="56"/>
  <c r="BG25" i="56"/>
  <c r="BG26" i="56"/>
  <c r="BG27" i="56"/>
  <c r="BG28" i="56"/>
  <c r="BI28" i="56" s="1"/>
  <c r="T28" i="56" s="1"/>
  <c r="BG29" i="56"/>
  <c r="BI29" i="56" s="1"/>
  <c r="T29" i="56" s="1"/>
  <c r="BG30" i="56"/>
  <c r="BG31" i="56"/>
  <c r="BG32" i="56"/>
  <c r="BG33" i="56"/>
  <c r="BG34" i="56"/>
  <c r="BG35" i="56"/>
  <c r="BG36" i="56"/>
  <c r="BG37" i="56"/>
  <c r="BG38" i="56"/>
  <c r="BG39" i="56"/>
  <c r="BG40" i="56"/>
  <c r="BG41" i="56"/>
  <c r="BG42" i="56"/>
  <c r="BG43" i="56"/>
  <c r="BG44" i="56"/>
  <c r="BG45" i="56"/>
  <c r="BG46" i="56"/>
  <c r="BG47" i="56"/>
  <c r="BG48" i="56"/>
  <c r="BG49" i="56"/>
  <c r="BG50" i="56"/>
  <c r="BG51" i="56"/>
  <c r="BG52" i="56"/>
  <c r="BG53" i="56"/>
  <c r="BG54" i="56"/>
  <c r="BG55" i="56"/>
  <c r="BG56" i="56"/>
  <c r="BG57" i="56"/>
  <c r="BG58" i="56"/>
  <c r="BG59" i="56"/>
  <c r="BG60" i="56"/>
  <c r="BI60" i="56" s="1"/>
  <c r="T60" i="56" s="1"/>
  <c r="BG61" i="56"/>
  <c r="BG62" i="56"/>
  <c r="BG63" i="56"/>
  <c r="BG64" i="56"/>
  <c r="BG65" i="56"/>
  <c r="BG66" i="56"/>
  <c r="BG67" i="56"/>
  <c r="BG68" i="56"/>
  <c r="BG69" i="56"/>
  <c r="BI69" i="56" s="1"/>
  <c r="BG70" i="56"/>
  <c r="BG71" i="56"/>
  <c r="BG72" i="56"/>
  <c r="BG73" i="56"/>
  <c r="BG74" i="56"/>
  <c r="BG75" i="56"/>
  <c r="BG76" i="56"/>
  <c r="BG77" i="56"/>
  <c r="BG78" i="56"/>
  <c r="BG79" i="56"/>
  <c r="BG80" i="56"/>
  <c r="BI80" i="56" s="1"/>
  <c r="BG81" i="56"/>
  <c r="BG82" i="56"/>
  <c r="BG83" i="56"/>
  <c r="BG84" i="56"/>
  <c r="BG85" i="56"/>
  <c r="BG86" i="56"/>
  <c r="BG87" i="56"/>
  <c r="BG88" i="56"/>
  <c r="BG89" i="56"/>
  <c r="BG90" i="56"/>
  <c r="BG91" i="56"/>
  <c r="BG92" i="56"/>
  <c r="BI92" i="56" s="1"/>
  <c r="T92" i="56" s="1"/>
  <c r="BG93" i="56"/>
  <c r="BI93" i="56" s="1"/>
  <c r="T93" i="56" s="1"/>
  <c r="BG94" i="56"/>
  <c r="BG95" i="56"/>
  <c r="BG96" i="56"/>
  <c r="BG97" i="56"/>
  <c r="BG98" i="56"/>
  <c r="BG99" i="56"/>
  <c r="BG100" i="56"/>
  <c r="BG101" i="56"/>
  <c r="BI101" i="56" s="1"/>
  <c r="BG102" i="56"/>
  <c r="BG103" i="56"/>
  <c r="BG104" i="56"/>
  <c r="BG105" i="56"/>
  <c r="BG106" i="56"/>
  <c r="BG107" i="56"/>
  <c r="BG108" i="56"/>
  <c r="BI108" i="56" s="1"/>
  <c r="T108" i="56" s="1"/>
  <c r="BG109" i="56"/>
  <c r="BI109" i="56" s="1"/>
  <c r="T109" i="56" s="1"/>
  <c r="BG110" i="56"/>
  <c r="BG111" i="56"/>
  <c r="BG112" i="56"/>
  <c r="BG113" i="56"/>
  <c r="BG114" i="56"/>
  <c r="BG115" i="56"/>
  <c r="BG116" i="56"/>
  <c r="BG117" i="56"/>
  <c r="BI117" i="56" s="1"/>
  <c r="BG118" i="56"/>
  <c r="BG119" i="56"/>
  <c r="BG120" i="56"/>
  <c r="BG121" i="56"/>
  <c r="BG122" i="56"/>
  <c r="BG123" i="56"/>
  <c r="BG124" i="56"/>
  <c r="BI124" i="56" s="1"/>
  <c r="T124" i="56" s="1"/>
  <c r="BG125" i="56"/>
  <c r="BI125" i="56" s="1"/>
  <c r="T125" i="56" s="1"/>
  <c r="BG126" i="56"/>
  <c r="BG127" i="56"/>
  <c r="BG128" i="56"/>
  <c r="BG129" i="56"/>
  <c r="BG130" i="56"/>
  <c r="BG131" i="56"/>
  <c r="BG132" i="56"/>
  <c r="BG133" i="56"/>
  <c r="BG134" i="56"/>
  <c r="BG135" i="56"/>
  <c r="BG136" i="56"/>
  <c r="BG137" i="56"/>
  <c r="BG138" i="56"/>
  <c r="BG139" i="56"/>
  <c r="BG140" i="56"/>
  <c r="BI140" i="56" s="1"/>
  <c r="T140" i="56" s="1"/>
  <c r="BG141" i="56"/>
  <c r="BG142" i="56"/>
  <c r="BG143" i="56"/>
  <c r="BG144" i="56"/>
  <c r="BG145" i="56"/>
  <c r="BG146" i="56"/>
  <c r="BG147" i="56"/>
  <c r="BG148" i="56"/>
  <c r="BG149" i="56"/>
  <c r="BI149" i="56" s="1"/>
  <c r="BG150" i="56"/>
  <c r="BG151" i="56"/>
  <c r="BG152" i="56"/>
  <c r="BG153" i="56"/>
  <c r="BG154" i="56"/>
  <c r="BG155" i="56"/>
  <c r="BG156" i="56"/>
  <c r="BI156" i="56" s="1"/>
  <c r="T156" i="56" s="1"/>
  <c r="BG157" i="56"/>
  <c r="BI157" i="56" s="1"/>
  <c r="T157" i="56" s="1"/>
  <c r="BG158" i="56"/>
  <c r="BG159" i="56"/>
  <c r="BG160" i="56"/>
  <c r="BG161" i="56"/>
  <c r="BG162" i="56"/>
  <c r="BG163" i="56"/>
  <c r="BG164" i="56"/>
  <c r="BG165" i="56"/>
  <c r="BI165" i="56" s="1"/>
  <c r="BG166" i="56"/>
  <c r="BG167" i="56"/>
  <c r="BG168" i="56"/>
  <c r="BG169" i="56"/>
  <c r="BG170" i="56"/>
  <c r="BG171" i="56"/>
  <c r="BG172" i="56"/>
  <c r="BI172" i="56" s="1"/>
  <c r="T172" i="56" s="1"/>
  <c r="BG173" i="56"/>
  <c r="BI173" i="56" s="1"/>
  <c r="T173" i="56" s="1"/>
  <c r="BG174" i="56"/>
  <c r="BG175" i="56"/>
  <c r="BG176" i="56"/>
  <c r="BG177" i="56"/>
  <c r="BG178" i="56"/>
  <c r="BG179" i="56"/>
  <c r="BG180" i="56"/>
  <c r="BG181" i="56"/>
  <c r="BI181" i="56" s="1"/>
  <c r="BG182" i="56"/>
  <c r="BG183" i="56"/>
  <c r="BG184" i="56"/>
  <c r="BG185" i="56"/>
  <c r="BG186" i="56"/>
  <c r="BG187" i="56"/>
  <c r="BG188" i="56"/>
  <c r="BG189" i="56"/>
  <c r="BI189" i="56" s="1"/>
  <c r="T189" i="56" s="1"/>
  <c r="BG190" i="56"/>
  <c r="BG191" i="56"/>
  <c r="BG192" i="56"/>
  <c r="BG193" i="56"/>
  <c r="BG194" i="56"/>
  <c r="BG195" i="56"/>
  <c r="BG196" i="56"/>
  <c r="BG197" i="56"/>
  <c r="BI197" i="56" s="1"/>
  <c r="BG198" i="56"/>
  <c r="BG199" i="56"/>
  <c r="BG200" i="56"/>
  <c r="BG201" i="56"/>
  <c r="BG202" i="56"/>
  <c r="BG203" i="56"/>
  <c r="BG204" i="56"/>
  <c r="BI204" i="56" s="1"/>
  <c r="T204" i="56" s="1"/>
  <c r="BG205" i="56"/>
  <c r="BG206" i="56"/>
  <c r="BG207" i="56"/>
  <c r="BG208" i="56"/>
  <c r="BG209" i="56"/>
  <c r="BG210" i="56"/>
  <c r="BG211" i="56"/>
  <c r="BG212" i="56"/>
  <c r="BG213" i="56"/>
  <c r="BG214" i="56"/>
  <c r="BG215" i="56"/>
  <c r="BG216" i="56"/>
  <c r="BG217" i="56"/>
  <c r="BG218" i="56"/>
  <c r="BG219" i="56"/>
  <c r="BG220" i="56"/>
  <c r="BI220" i="56" s="1"/>
  <c r="T220" i="56" s="1"/>
  <c r="BG221" i="56"/>
  <c r="BG222" i="56"/>
  <c r="BG223" i="56"/>
  <c r="BG224" i="56"/>
  <c r="BG225" i="56"/>
  <c r="BG226" i="56"/>
  <c r="BG227" i="56"/>
  <c r="BG228" i="56"/>
  <c r="BG229" i="56"/>
  <c r="BI229" i="56" s="1"/>
  <c r="BG230" i="56"/>
  <c r="BG231" i="56"/>
  <c r="BG232" i="56"/>
  <c r="BG233" i="56"/>
  <c r="BG234" i="56"/>
  <c r="BG235" i="56"/>
  <c r="BG236" i="56"/>
  <c r="BI236" i="56" s="1"/>
  <c r="T236" i="56" s="1"/>
  <c r="BG237" i="56"/>
  <c r="BI237" i="56" s="1"/>
  <c r="T237" i="56" s="1"/>
  <c r="BG238" i="56"/>
  <c r="BG239" i="56"/>
  <c r="BG240" i="56"/>
  <c r="BG241" i="56"/>
  <c r="BG242" i="56"/>
  <c r="BG243" i="56"/>
  <c r="BG244" i="56"/>
  <c r="BG245" i="56"/>
  <c r="BI245" i="56" s="1"/>
  <c r="BG246" i="56"/>
  <c r="BG247" i="56"/>
  <c r="BG248" i="56"/>
  <c r="BG249" i="56"/>
  <c r="BG250" i="56"/>
  <c r="BG251" i="56"/>
  <c r="BG252" i="56"/>
  <c r="BI252" i="56" s="1"/>
  <c r="T252" i="56" s="1"/>
  <c r="BG253" i="56"/>
  <c r="BG254" i="56"/>
  <c r="BG255" i="56"/>
  <c r="BG256" i="56"/>
  <c r="BG257" i="56"/>
  <c r="BG258" i="56"/>
  <c r="BG259" i="56"/>
  <c r="BG260" i="56"/>
  <c r="BG261" i="56"/>
  <c r="BG262" i="56"/>
  <c r="BG263" i="56"/>
  <c r="BG264" i="56"/>
  <c r="BG265" i="56"/>
  <c r="BG266" i="56"/>
  <c r="BG267" i="56"/>
  <c r="BG268" i="56"/>
  <c r="BI268" i="56" s="1"/>
  <c r="T268" i="56" s="1"/>
  <c r="BG269" i="56"/>
  <c r="BI269" i="56" s="1"/>
  <c r="T269" i="56" s="1"/>
  <c r="BG270" i="56"/>
  <c r="BG271" i="56"/>
  <c r="BG272" i="56"/>
  <c r="BG273" i="56"/>
  <c r="BG274" i="56"/>
  <c r="BG275" i="56"/>
  <c r="BG276" i="56"/>
  <c r="BG277" i="56"/>
  <c r="BG278" i="56"/>
  <c r="BG279" i="56"/>
  <c r="BG280" i="56"/>
  <c r="BG281" i="56"/>
  <c r="BG282" i="56"/>
  <c r="BG283" i="56"/>
  <c r="BG284" i="56"/>
  <c r="BI284" i="56" s="1"/>
  <c r="T284" i="56" s="1"/>
  <c r="BG285" i="56"/>
  <c r="BI285" i="56" s="1"/>
  <c r="T285" i="56" s="1"/>
  <c r="BG286" i="56"/>
  <c r="BG287" i="56"/>
  <c r="BG288" i="56"/>
  <c r="BG289" i="56"/>
  <c r="BG290" i="56"/>
  <c r="BG291" i="56"/>
  <c r="BG292" i="56"/>
  <c r="BG293" i="56"/>
  <c r="BI293" i="56" s="1"/>
  <c r="BG294" i="56"/>
  <c r="BG295" i="56"/>
  <c r="BG296" i="56"/>
  <c r="BG297" i="56"/>
  <c r="BG298" i="56"/>
  <c r="BG299" i="56"/>
  <c r="BG300" i="56"/>
  <c r="BG301" i="56"/>
  <c r="BG302" i="56"/>
  <c r="BG303" i="56"/>
  <c r="BG304" i="56"/>
  <c r="BG305" i="56"/>
  <c r="BG306" i="56"/>
  <c r="BG307" i="56"/>
  <c r="BG308" i="56"/>
  <c r="BG309" i="56"/>
  <c r="BG310" i="56"/>
  <c r="BG311" i="56"/>
  <c r="BG312" i="56"/>
  <c r="BG313" i="56"/>
  <c r="BG314" i="56"/>
  <c r="BG315" i="56"/>
  <c r="BG316" i="56"/>
  <c r="BI316" i="56" s="1"/>
  <c r="T316" i="56" s="1"/>
  <c r="BG317" i="56"/>
  <c r="BI317" i="56" s="1"/>
  <c r="T317" i="56" s="1"/>
  <c r="BG318" i="56"/>
  <c r="BG319" i="56"/>
  <c r="BG320" i="56"/>
  <c r="BG321" i="56"/>
  <c r="BG322" i="56"/>
  <c r="BG323" i="56"/>
  <c r="BG324" i="56"/>
  <c r="BG325" i="56"/>
  <c r="BI325" i="56" s="1"/>
  <c r="BG326" i="56"/>
  <c r="BG327" i="56"/>
  <c r="BG328" i="56"/>
  <c r="BG329" i="56"/>
  <c r="BG330" i="56"/>
  <c r="BG331" i="56"/>
  <c r="BG332" i="56"/>
  <c r="BI332" i="56" s="1"/>
  <c r="T332" i="56" s="1"/>
  <c r="BG333" i="56"/>
  <c r="BI333" i="56" s="1"/>
  <c r="T333" i="56" s="1"/>
  <c r="BG334" i="56"/>
  <c r="BG335" i="56"/>
  <c r="BG336" i="56"/>
  <c r="BG337" i="56"/>
  <c r="BG338" i="56"/>
  <c r="BG339" i="56"/>
  <c r="BG340" i="56"/>
  <c r="BG341" i="56"/>
  <c r="BI341" i="56" s="1"/>
  <c r="BG342" i="56"/>
  <c r="BG343" i="56"/>
  <c r="BG344" i="56"/>
  <c r="BG345" i="56"/>
  <c r="BG346" i="56"/>
  <c r="BG347" i="56"/>
  <c r="BG348" i="56"/>
  <c r="BI348" i="56" s="1"/>
  <c r="T348" i="56" s="1"/>
  <c r="BG349" i="56"/>
  <c r="BI349" i="56" s="1"/>
  <c r="T349" i="56" s="1"/>
  <c r="BG350" i="56"/>
  <c r="BG351" i="56"/>
  <c r="BG352" i="56"/>
  <c r="BF3" i="56"/>
  <c r="BF4" i="56"/>
  <c r="BF5" i="56"/>
  <c r="BF6" i="56"/>
  <c r="BF7" i="56"/>
  <c r="BF8" i="56"/>
  <c r="BF9" i="56"/>
  <c r="BF10" i="56"/>
  <c r="BF11" i="56"/>
  <c r="BF12" i="56"/>
  <c r="BF13" i="56"/>
  <c r="BF14" i="56"/>
  <c r="BF15" i="56"/>
  <c r="BF16" i="56"/>
  <c r="BF17" i="56"/>
  <c r="BF18" i="56"/>
  <c r="BF19" i="56"/>
  <c r="BF20" i="56"/>
  <c r="BF21" i="56"/>
  <c r="BF22" i="56"/>
  <c r="BF23" i="56"/>
  <c r="BF24" i="56"/>
  <c r="BF25" i="56"/>
  <c r="BF26" i="56"/>
  <c r="BF27" i="56"/>
  <c r="BF28" i="56"/>
  <c r="BF29" i="56"/>
  <c r="BF30" i="56"/>
  <c r="BF31" i="56"/>
  <c r="BF32" i="56"/>
  <c r="BF33" i="56"/>
  <c r="BF34" i="56"/>
  <c r="BF35" i="56"/>
  <c r="BF36" i="56"/>
  <c r="BF37" i="56"/>
  <c r="BF38" i="56"/>
  <c r="BF39" i="56"/>
  <c r="BF40" i="56"/>
  <c r="BF41" i="56"/>
  <c r="BF42" i="56"/>
  <c r="BF43" i="56"/>
  <c r="BF44" i="56"/>
  <c r="BF45" i="56"/>
  <c r="BF46" i="56"/>
  <c r="BF47" i="56"/>
  <c r="BF48" i="56"/>
  <c r="BF49" i="56"/>
  <c r="BF50" i="56"/>
  <c r="BF51" i="56"/>
  <c r="BF52" i="56"/>
  <c r="BF53" i="56"/>
  <c r="BF54" i="56"/>
  <c r="BF55" i="56"/>
  <c r="BF56" i="56"/>
  <c r="BF57" i="56"/>
  <c r="BF58" i="56"/>
  <c r="BF59" i="56"/>
  <c r="BF60" i="56"/>
  <c r="BF61" i="56"/>
  <c r="BF62" i="56"/>
  <c r="BF63" i="56"/>
  <c r="BF64" i="56"/>
  <c r="BF65" i="56"/>
  <c r="BF66" i="56"/>
  <c r="BF67" i="56"/>
  <c r="BF68" i="56"/>
  <c r="BF69" i="56"/>
  <c r="BF70" i="56"/>
  <c r="BF71" i="56"/>
  <c r="BF72" i="56"/>
  <c r="BF73" i="56"/>
  <c r="BF74" i="56"/>
  <c r="BF75" i="56"/>
  <c r="BF76" i="56"/>
  <c r="BF77" i="56"/>
  <c r="BF78" i="56"/>
  <c r="BF79" i="56"/>
  <c r="BF80" i="56"/>
  <c r="BF81" i="56"/>
  <c r="BF82" i="56"/>
  <c r="BF83" i="56"/>
  <c r="BF84" i="56"/>
  <c r="BF85" i="56"/>
  <c r="BF86" i="56"/>
  <c r="BF87" i="56"/>
  <c r="BF88" i="56"/>
  <c r="BF89" i="56"/>
  <c r="BF90" i="56"/>
  <c r="BF91" i="56"/>
  <c r="BF92" i="56"/>
  <c r="BF93" i="56"/>
  <c r="BF94" i="56"/>
  <c r="BF95" i="56"/>
  <c r="BF96" i="56"/>
  <c r="BF97" i="56"/>
  <c r="BF98" i="56"/>
  <c r="BF99" i="56"/>
  <c r="BF100" i="56"/>
  <c r="BF101" i="56"/>
  <c r="BF102" i="56"/>
  <c r="BF103" i="56"/>
  <c r="BF104" i="56"/>
  <c r="BF105" i="56"/>
  <c r="BF106" i="56"/>
  <c r="BF107" i="56"/>
  <c r="BF108" i="56"/>
  <c r="BF109" i="56"/>
  <c r="BF110" i="56"/>
  <c r="BF111" i="56"/>
  <c r="BF112" i="56"/>
  <c r="BF113" i="56"/>
  <c r="BF114" i="56"/>
  <c r="BF115" i="56"/>
  <c r="BF116" i="56"/>
  <c r="BF117" i="56"/>
  <c r="BF118" i="56"/>
  <c r="BF119" i="56"/>
  <c r="BF120" i="56"/>
  <c r="BF121" i="56"/>
  <c r="BF122" i="56"/>
  <c r="BF123" i="56"/>
  <c r="BF124" i="56"/>
  <c r="BF125" i="56"/>
  <c r="BF126" i="56"/>
  <c r="BF127" i="56"/>
  <c r="BF128" i="56"/>
  <c r="BF129" i="56"/>
  <c r="BF130" i="56"/>
  <c r="BF131" i="56"/>
  <c r="BF132" i="56"/>
  <c r="BF133" i="56"/>
  <c r="BF134" i="56"/>
  <c r="BF135" i="56"/>
  <c r="BF136" i="56"/>
  <c r="BF137" i="56"/>
  <c r="BF138" i="56"/>
  <c r="BF139" i="56"/>
  <c r="BF140" i="56"/>
  <c r="BF141" i="56"/>
  <c r="BF142" i="56"/>
  <c r="BF143" i="56"/>
  <c r="BF144" i="56"/>
  <c r="BF145" i="56"/>
  <c r="BF146" i="56"/>
  <c r="BF147" i="56"/>
  <c r="BF148" i="56"/>
  <c r="BF149" i="56"/>
  <c r="BF150" i="56"/>
  <c r="BF151" i="56"/>
  <c r="BF152" i="56"/>
  <c r="BF153" i="56"/>
  <c r="BF154" i="56"/>
  <c r="BF155" i="56"/>
  <c r="BF156" i="56"/>
  <c r="BF157" i="56"/>
  <c r="BF158" i="56"/>
  <c r="BF159" i="56"/>
  <c r="BF160" i="56"/>
  <c r="BF161" i="56"/>
  <c r="BF162" i="56"/>
  <c r="BF163" i="56"/>
  <c r="BF164" i="56"/>
  <c r="BF165" i="56"/>
  <c r="BF166" i="56"/>
  <c r="BF167" i="56"/>
  <c r="BF168" i="56"/>
  <c r="BF169" i="56"/>
  <c r="BF170" i="56"/>
  <c r="BF171" i="56"/>
  <c r="BF172" i="56"/>
  <c r="BF173" i="56"/>
  <c r="BF174" i="56"/>
  <c r="BF175" i="56"/>
  <c r="BF176" i="56"/>
  <c r="BF177" i="56"/>
  <c r="BF178" i="56"/>
  <c r="BF179" i="56"/>
  <c r="BF180" i="56"/>
  <c r="BF181" i="56"/>
  <c r="BF182" i="56"/>
  <c r="BF183" i="56"/>
  <c r="BF184" i="56"/>
  <c r="BF185" i="56"/>
  <c r="BF186" i="56"/>
  <c r="BF187" i="56"/>
  <c r="BF188" i="56"/>
  <c r="BF189" i="56"/>
  <c r="BF190" i="56"/>
  <c r="BF191" i="56"/>
  <c r="BF192" i="56"/>
  <c r="BF193" i="56"/>
  <c r="BF194" i="56"/>
  <c r="BF195" i="56"/>
  <c r="BF196" i="56"/>
  <c r="BF197" i="56"/>
  <c r="BF198" i="56"/>
  <c r="BF199" i="56"/>
  <c r="BF200" i="56"/>
  <c r="BF201" i="56"/>
  <c r="BF202" i="56"/>
  <c r="BF203" i="56"/>
  <c r="BF204" i="56"/>
  <c r="BF205" i="56"/>
  <c r="BF206" i="56"/>
  <c r="BF207" i="56"/>
  <c r="BF208" i="56"/>
  <c r="BF209" i="56"/>
  <c r="BF210" i="56"/>
  <c r="BF211" i="56"/>
  <c r="BF212" i="56"/>
  <c r="BF213" i="56"/>
  <c r="BF214" i="56"/>
  <c r="BF215" i="56"/>
  <c r="BF216" i="56"/>
  <c r="BF217" i="56"/>
  <c r="BF218" i="56"/>
  <c r="BF219" i="56"/>
  <c r="BF220" i="56"/>
  <c r="BF221" i="56"/>
  <c r="BF222" i="56"/>
  <c r="BF223" i="56"/>
  <c r="BF224" i="56"/>
  <c r="BF225" i="56"/>
  <c r="BF226" i="56"/>
  <c r="BF227" i="56"/>
  <c r="BF228" i="56"/>
  <c r="BF229" i="56"/>
  <c r="BF230" i="56"/>
  <c r="BF231" i="56"/>
  <c r="BF232" i="56"/>
  <c r="BF233" i="56"/>
  <c r="BF234" i="56"/>
  <c r="BF235" i="56"/>
  <c r="BF236" i="56"/>
  <c r="BF237" i="56"/>
  <c r="BF238" i="56"/>
  <c r="BF239" i="56"/>
  <c r="BF240" i="56"/>
  <c r="BF241" i="56"/>
  <c r="BF242" i="56"/>
  <c r="BF243" i="56"/>
  <c r="BF244" i="56"/>
  <c r="BF245" i="56"/>
  <c r="BF246" i="56"/>
  <c r="BF247" i="56"/>
  <c r="BF248" i="56"/>
  <c r="BF249" i="56"/>
  <c r="BF250" i="56"/>
  <c r="BF251" i="56"/>
  <c r="BF252" i="56"/>
  <c r="BF253" i="56"/>
  <c r="BF254" i="56"/>
  <c r="BF255" i="56"/>
  <c r="BF256" i="56"/>
  <c r="BF257" i="56"/>
  <c r="BF258" i="56"/>
  <c r="BF259" i="56"/>
  <c r="BF260" i="56"/>
  <c r="BF261" i="56"/>
  <c r="BF262" i="56"/>
  <c r="BF263" i="56"/>
  <c r="BF264" i="56"/>
  <c r="BF265" i="56"/>
  <c r="BF266" i="56"/>
  <c r="BF267" i="56"/>
  <c r="BF268" i="56"/>
  <c r="BF269" i="56"/>
  <c r="BF270" i="56"/>
  <c r="BF271" i="56"/>
  <c r="BF272" i="56"/>
  <c r="BF273" i="56"/>
  <c r="BF274" i="56"/>
  <c r="BF275" i="56"/>
  <c r="BF276" i="56"/>
  <c r="BF277" i="56"/>
  <c r="BF278" i="56"/>
  <c r="BF279" i="56"/>
  <c r="BF280" i="56"/>
  <c r="BF281" i="56"/>
  <c r="BF282" i="56"/>
  <c r="BF283" i="56"/>
  <c r="BF284" i="56"/>
  <c r="BF285" i="56"/>
  <c r="BF286" i="56"/>
  <c r="BF287" i="56"/>
  <c r="BF288" i="56"/>
  <c r="BF289" i="56"/>
  <c r="BF290" i="56"/>
  <c r="BF291" i="56"/>
  <c r="BF292" i="56"/>
  <c r="BF293" i="56"/>
  <c r="BF294" i="56"/>
  <c r="BF295" i="56"/>
  <c r="BF296" i="56"/>
  <c r="BF297" i="56"/>
  <c r="BF298" i="56"/>
  <c r="BF299" i="56"/>
  <c r="BF300" i="56"/>
  <c r="BF301" i="56"/>
  <c r="BF302" i="56"/>
  <c r="BF303" i="56"/>
  <c r="BF304" i="56"/>
  <c r="BF305" i="56"/>
  <c r="BF306" i="56"/>
  <c r="BF307" i="56"/>
  <c r="BF308" i="56"/>
  <c r="BF309" i="56"/>
  <c r="BF310" i="56"/>
  <c r="BF311" i="56"/>
  <c r="BF312" i="56"/>
  <c r="BF313" i="56"/>
  <c r="BF314" i="56"/>
  <c r="BF315" i="56"/>
  <c r="BF316" i="56"/>
  <c r="BF317" i="56"/>
  <c r="BF318" i="56"/>
  <c r="BF319" i="56"/>
  <c r="BF320" i="56"/>
  <c r="BF321" i="56"/>
  <c r="BF322" i="56"/>
  <c r="BF323" i="56"/>
  <c r="BF324" i="56"/>
  <c r="BF325" i="56"/>
  <c r="BF326" i="56"/>
  <c r="BF327" i="56"/>
  <c r="BF328" i="56"/>
  <c r="BF329" i="56"/>
  <c r="BF330" i="56"/>
  <c r="BF331" i="56"/>
  <c r="BF332" i="56"/>
  <c r="BF333" i="56"/>
  <c r="BF334" i="56"/>
  <c r="BF335" i="56"/>
  <c r="BF336" i="56"/>
  <c r="BF337" i="56"/>
  <c r="BF338" i="56"/>
  <c r="BF339" i="56"/>
  <c r="BF340" i="56"/>
  <c r="BF341" i="56"/>
  <c r="BF342" i="56"/>
  <c r="BF343" i="56"/>
  <c r="BF344" i="56"/>
  <c r="BF345" i="56"/>
  <c r="BF346" i="56"/>
  <c r="BF347" i="56"/>
  <c r="BF348" i="56"/>
  <c r="BF349" i="56"/>
  <c r="BF350" i="56"/>
  <c r="BF351" i="56"/>
  <c r="BF352" i="56"/>
  <c r="BE3" i="56"/>
  <c r="BE4" i="56"/>
  <c r="BE5" i="56"/>
  <c r="BE6" i="56"/>
  <c r="BE7" i="56"/>
  <c r="BE8" i="56"/>
  <c r="BE9" i="56"/>
  <c r="BE10" i="56"/>
  <c r="BE11" i="56"/>
  <c r="BE12" i="56"/>
  <c r="BE13" i="56"/>
  <c r="BE14" i="56"/>
  <c r="BE15" i="56"/>
  <c r="BE16" i="56"/>
  <c r="BE17" i="56"/>
  <c r="BE18" i="56"/>
  <c r="BE19" i="56"/>
  <c r="BE20" i="56"/>
  <c r="BE21" i="56"/>
  <c r="BE22" i="56"/>
  <c r="BE23" i="56"/>
  <c r="BE24" i="56"/>
  <c r="BE29" i="56"/>
  <c r="BE30" i="56"/>
  <c r="BE31" i="56"/>
  <c r="BE53" i="56"/>
  <c r="BE54" i="56"/>
  <c r="BE55" i="56"/>
  <c r="BE56" i="56"/>
  <c r="BE57" i="56"/>
  <c r="BE58" i="56"/>
  <c r="BE59" i="56"/>
  <c r="BE60" i="56"/>
  <c r="BE61" i="56"/>
  <c r="BE62" i="56"/>
  <c r="BE63" i="56"/>
  <c r="BE64" i="56"/>
  <c r="BE65" i="56"/>
  <c r="BE66" i="56"/>
  <c r="BE67" i="56"/>
  <c r="BE68" i="56"/>
  <c r="BE69" i="56"/>
  <c r="BE70" i="56"/>
  <c r="BE71" i="56"/>
  <c r="BE72" i="56"/>
  <c r="BE73" i="56"/>
  <c r="BE74" i="56"/>
  <c r="BE75" i="56"/>
  <c r="BE76" i="56"/>
  <c r="BE77" i="56"/>
  <c r="BE78" i="56"/>
  <c r="BE79" i="56"/>
  <c r="BE80" i="56"/>
  <c r="BE81" i="56"/>
  <c r="BE82" i="56"/>
  <c r="BE83" i="56"/>
  <c r="BE84" i="56"/>
  <c r="BE85" i="56"/>
  <c r="BE86" i="56"/>
  <c r="BE87" i="56"/>
  <c r="BE88" i="56"/>
  <c r="BE89" i="56"/>
  <c r="BE90" i="56"/>
  <c r="BE91" i="56"/>
  <c r="BE92" i="56"/>
  <c r="BE93" i="56"/>
  <c r="BE94" i="56"/>
  <c r="BE95" i="56"/>
  <c r="BE96" i="56"/>
  <c r="BE97" i="56"/>
  <c r="BE98" i="56"/>
  <c r="BE99" i="56"/>
  <c r="BE100" i="56"/>
  <c r="BE101" i="56"/>
  <c r="BE102" i="56"/>
  <c r="BE103" i="56"/>
  <c r="BE104" i="56"/>
  <c r="BE105" i="56"/>
  <c r="BE106" i="56"/>
  <c r="BE107" i="56"/>
  <c r="BE108" i="56"/>
  <c r="BE109" i="56"/>
  <c r="BE110" i="56"/>
  <c r="BE111" i="56"/>
  <c r="BE112" i="56"/>
  <c r="BE113" i="56"/>
  <c r="BE114" i="56"/>
  <c r="BE115" i="56"/>
  <c r="BE116" i="56"/>
  <c r="BE117" i="56"/>
  <c r="BE118" i="56"/>
  <c r="BE119" i="56"/>
  <c r="BE120" i="56"/>
  <c r="BE121" i="56"/>
  <c r="BE122" i="56"/>
  <c r="BE123" i="56"/>
  <c r="BE124" i="56"/>
  <c r="BE125" i="56"/>
  <c r="BE126" i="56"/>
  <c r="BE127" i="56"/>
  <c r="BE128" i="56"/>
  <c r="BE129" i="56"/>
  <c r="BE131" i="56"/>
  <c r="BE132" i="56"/>
  <c r="BE133" i="56"/>
  <c r="BE134" i="56"/>
  <c r="BE135" i="56"/>
  <c r="BE136" i="56"/>
  <c r="BE137" i="56"/>
  <c r="BE138" i="56"/>
  <c r="BE139" i="56"/>
  <c r="BE140" i="56"/>
  <c r="BE141" i="56"/>
  <c r="BE142" i="56"/>
  <c r="BE143" i="56"/>
  <c r="BE144" i="56"/>
  <c r="BE145" i="56"/>
  <c r="BE146" i="56"/>
  <c r="BE147" i="56"/>
  <c r="BE148" i="56"/>
  <c r="BE149" i="56"/>
  <c r="BE150" i="56"/>
  <c r="BE151" i="56"/>
  <c r="BE152" i="56"/>
  <c r="BE153" i="56"/>
  <c r="BE154" i="56"/>
  <c r="BE179" i="56"/>
  <c r="BE180" i="56"/>
  <c r="BE181" i="56"/>
  <c r="BE182" i="56"/>
  <c r="BE183" i="56"/>
  <c r="BE184" i="56"/>
  <c r="BE195" i="56"/>
  <c r="BE196" i="56"/>
  <c r="BE200" i="56"/>
  <c r="BE210" i="56"/>
  <c r="BE211" i="56"/>
  <c r="BE220" i="56"/>
  <c r="BE221" i="56"/>
  <c r="BE222" i="56"/>
  <c r="BE223" i="56"/>
  <c r="BE224" i="56"/>
  <c r="BE226" i="56"/>
  <c r="BE228" i="56"/>
  <c r="BE230" i="56"/>
  <c r="BE232" i="56"/>
  <c r="BE233" i="56"/>
  <c r="BE234" i="56"/>
  <c r="BE235" i="56"/>
  <c r="BE265" i="56"/>
  <c r="BE267" i="56"/>
  <c r="BE268" i="56"/>
  <c r="BE270" i="56"/>
  <c r="BE271" i="56"/>
  <c r="BE272" i="56"/>
  <c r="BE273" i="56"/>
  <c r="BE274" i="56"/>
  <c r="BE276" i="56"/>
  <c r="BE277" i="56"/>
  <c r="BE280" i="56"/>
  <c r="BE282" i="56"/>
  <c r="BE283" i="56"/>
  <c r="BE294" i="56"/>
  <c r="BE310" i="56"/>
  <c r="BE311" i="56"/>
  <c r="BE312" i="56"/>
  <c r="BE314" i="56"/>
  <c r="BE315" i="56"/>
  <c r="BE316" i="56"/>
  <c r="BE324" i="56"/>
  <c r="BE333" i="56"/>
  <c r="BE334" i="56"/>
  <c r="BE335" i="56"/>
  <c r="BE336" i="56"/>
  <c r="BE337" i="56"/>
  <c r="BE338" i="56"/>
  <c r="BE339" i="56"/>
  <c r="BE340" i="56"/>
  <c r="BE346" i="56"/>
  <c r="BE347" i="56"/>
  <c r="BE348" i="56"/>
  <c r="BE349" i="56"/>
  <c r="BE350" i="56"/>
  <c r="BE351" i="56"/>
  <c r="BE352" i="56"/>
  <c r="BD7" i="56" a="1"/>
  <c r="BD7" i="56" s="1"/>
  <c r="BD14" i="56" a="1"/>
  <c r="BD14" i="56" s="1"/>
  <c r="BD15" i="56" a="1"/>
  <c r="BD15" i="56" s="1"/>
  <c r="BD135" i="56" a="1"/>
  <c r="BD135" i="56" s="1"/>
  <c r="BC3" i="56"/>
  <c r="BC4" i="56"/>
  <c r="EQ4" i="56" s="1"/>
  <c r="BC5" i="56"/>
  <c r="BC6" i="56"/>
  <c r="BC7" i="56"/>
  <c r="BC8" i="56"/>
  <c r="BQ8" i="56" s="1"/>
  <c r="BC9" i="56"/>
  <c r="BC10" i="56"/>
  <c r="BC11" i="56"/>
  <c r="BC12" i="56"/>
  <c r="BQ12" i="56" s="1"/>
  <c r="BC13" i="56"/>
  <c r="BC14" i="56"/>
  <c r="BQ14" i="56" s="1"/>
  <c r="BC15" i="56"/>
  <c r="BQ15" i="56" s="1"/>
  <c r="BC16" i="56"/>
  <c r="BQ16" i="56" s="1"/>
  <c r="BC17" i="56"/>
  <c r="BC18" i="56"/>
  <c r="BC19" i="56"/>
  <c r="BQ19" i="56" s="1"/>
  <c r="BC20" i="56"/>
  <c r="BC21" i="56"/>
  <c r="BC22" i="56"/>
  <c r="BC23" i="56"/>
  <c r="BC24" i="56"/>
  <c r="BC25" i="56"/>
  <c r="BD25" i="56" s="1" a="1"/>
  <c r="BD25" i="56" s="1"/>
  <c r="C25" i="56" s="1"/>
  <c r="BE25" i="56" s="1"/>
  <c r="BC26" i="56"/>
  <c r="BC27" i="56"/>
  <c r="BC28" i="56"/>
  <c r="BC29" i="56"/>
  <c r="BC30" i="56"/>
  <c r="BC31" i="56"/>
  <c r="BC32" i="56"/>
  <c r="BC33" i="56"/>
  <c r="BC34" i="56"/>
  <c r="BC35" i="56"/>
  <c r="BC36" i="56"/>
  <c r="EQ36" i="56" s="1"/>
  <c r="BC37" i="56"/>
  <c r="BC38" i="56"/>
  <c r="BC39" i="56"/>
  <c r="BC40" i="56"/>
  <c r="BC41" i="56"/>
  <c r="BC42" i="56"/>
  <c r="BC43" i="56"/>
  <c r="BC44" i="56"/>
  <c r="BC45" i="56"/>
  <c r="BC46" i="56"/>
  <c r="BC47" i="56"/>
  <c r="BC48" i="56"/>
  <c r="BC49" i="56"/>
  <c r="BC50" i="56"/>
  <c r="BC51" i="56"/>
  <c r="BC52" i="56"/>
  <c r="EQ52" i="56" s="1"/>
  <c r="BC53" i="56"/>
  <c r="EQ53" i="56" s="1"/>
  <c r="BC54" i="56"/>
  <c r="BC55" i="56"/>
  <c r="BC56" i="56"/>
  <c r="BC57" i="56"/>
  <c r="BC58" i="56"/>
  <c r="BC59" i="56"/>
  <c r="BC60" i="56"/>
  <c r="BQ60" i="56" s="1"/>
  <c r="BC61" i="56"/>
  <c r="BC62" i="56"/>
  <c r="BC63" i="56"/>
  <c r="BC64" i="56"/>
  <c r="BC65" i="56"/>
  <c r="BC66" i="56"/>
  <c r="BN66" i="56" s="1"/>
  <c r="FY66" i="56" s="1"/>
  <c r="BC67" i="56"/>
  <c r="BN67" i="56" s="1"/>
  <c r="FY67" i="56" s="1"/>
  <c r="BC68" i="56"/>
  <c r="BC69" i="56"/>
  <c r="BC70" i="56"/>
  <c r="BC71" i="56"/>
  <c r="BD71" i="56" s="1" a="1"/>
  <c r="BD71" i="56" s="1"/>
  <c r="BC72" i="56"/>
  <c r="BC73" i="56"/>
  <c r="BC74" i="56"/>
  <c r="BC75" i="56"/>
  <c r="BC76" i="56"/>
  <c r="BC77" i="56"/>
  <c r="BC78" i="56"/>
  <c r="BC79" i="56"/>
  <c r="BC80" i="56"/>
  <c r="BC81" i="56"/>
  <c r="BC82" i="56"/>
  <c r="BC83" i="56"/>
  <c r="BC84" i="56"/>
  <c r="EQ84" i="56" s="1"/>
  <c r="BC85" i="56"/>
  <c r="BC86" i="56"/>
  <c r="BC87" i="56"/>
  <c r="BC88" i="56"/>
  <c r="BQ88" i="56" s="1"/>
  <c r="BC89" i="56"/>
  <c r="BC90" i="56"/>
  <c r="BC91" i="56"/>
  <c r="BC92" i="56"/>
  <c r="BC93" i="56"/>
  <c r="BC94" i="56"/>
  <c r="BC95" i="56"/>
  <c r="BC96" i="56"/>
  <c r="BC97" i="56"/>
  <c r="BC98" i="56"/>
  <c r="BC99" i="56"/>
  <c r="BC100" i="56"/>
  <c r="EQ100" i="56" s="1"/>
  <c r="BC101" i="56"/>
  <c r="EQ101" i="56" s="1"/>
  <c r="BC102" i="56"/>
  <c r="BC103" i="56"/>
  <c r="BC104" i="56"/>
  <c r="BQ104" i="56" s="1"/>
  <c r="BC105" i="56"/>
  <c r="BC106" i="56"/>
  <c r="BC107" i="56"/>
  <c r="BC108" i="56"/>
  <c r="BC109" i="56"/>
  <c r="BC110" i="56"/>
  <c r="BC111" i="56"/>
  <c r="BC112" i="56"/>
  <c r="BC113" i="56"/>
  <c r="BC114" i="56"/>
  <c r="BC115" i="56"/>
  <c r="BC116" i="56"/>
  <c r="EQ116" i="56" s="1"/>
  <c r="BC117" i="56"/>
  <c r="BC118" i="56"/>
  <c r="BC119" i="56"/>
  <c r="BC120" i="56"/>
  <c r="BQ120" i="56" s="1"/>
  <c r="BC121" i="56"/>
  <c r="BC122" i="56"/>
  <c r="BC123" i="56"/>
  <c r="BC124" i="56"/>
  <c r="BQ124" i="56" s="1"/>
  <c r="BC125" i="56"/>
  <c r="BC126" i="56"/>
  <c r="EQ126" i="56" s="1"/>
  <c r="BC127" i="56"/>
  <c r="BC128" i="56"/>
  <c r="BC129" i="56"/>
  <c r="BC130" i="56"/>
  <c r="BC131" i="56"/>
  <c r="BC132" i="56"/>
  <c r="EQ132" i="56" s="1"/>
  <c r="BC133" i="56"/>
  <c r="EQ133" i="56" s="1"/>
  <c r="BC134" i="56"/>
  <c r="BC135" i="56"/>
  <c r="BC136" i="56"/>
  <c r="EQ136" i="56" s="1"/>
  <c r="BC137" i="56"/>
  <c r="BC138" i="56"/>
  <c r="BN138" i="56" s="1"/>
  <c r="FY138" i="56" s="1"/>
  <c r="BC139" i="56"/>
  <c r="BC140" i="56"/>
  <c r="BC141" i="56"/>
  <c r="BC142" i="56"/>
  <c r="BN142" i="56" s="1"/>
  <c r="FY142" i="56" s="1"/>
  <c r="BC143" i="56"/>
  <c r="BC144" i="56"/>
  <c r="BC145" i="56"/>
  <c r="BC146" i="56"/>
  <c r="BC147" i="56"/>
  <c r="BC148" i="56"/>
  <c r="EQ148" i="56" s="1"/>
  <c r="BC149" i="56"/>
  <c r="EQ149" i="56" s="1"/>
  <c r="BC150" i="56"/>
  <c r="BC151" i="56"/>
  <c r="BC152" i="56"/>
  <c r="EQ152" i="56" s="1"/>
  <c r="BC153" i="56"/>
  <c r="BC154" i="56"/>
  <c r="BC155" i="56"/>
  <c r="BC156" i="56"/>
  <c r="BC157" i="56"/>
  <c r="BC158" i="56"/>
  <c r="BC159" i="56"/>
  <c r="BC160" i="56"/>
  <c r="BC161" i="56"/>
  <c r="BC162" i="56"/>
  <c r="BC163" i="56"/>
  <c r="BC164" i="56"/>
  <c r="EQ164" i="56" s="1"/>
  <c r="BC165" i="56"/>
  <c r="BC166" i="56"/>
  <c r="BC167" i="56"/>
  <c r="BC168" i="56"/>
  <c r="BC169" i="56"/>
  <c r="BC170" i="56"/>
  <c r="BC171" i="56"/>
  <c r="BC172" i="56"/>
  <c r="BQ172" i="56" s="1"/>
  <c r="BC173" i="56"/>
  <c r="BC174" i="56"/>
  <c r="BC175" i="56"/>
  <c r="BC176" i="56"/>
  <c r="BC177" i="56"/>
  <c r="BC178" i="56"/>
  <c r="BC179" i="56"/>
  <c r="BC180" i="56"/>
  <c r="EQ180" i="56" s="1"/>
  <c r="BC181" i="56"/>
  <c r="EQ181" i="56" s="1"/>
  <c r="BC182" i="56"/>
  <c r="BC183" i="56"/>
  <c r="BC184" i="56"/>
  <c r="EQ184" i="56" s="1"/>
  <c r="BC185" i="56"/>
  <c r="BC186" i="56"/>
  <c r="BC187" i="56"/>
  <c r="BN187" i="56" s="1"/>
  <c r="FY187" i="56" s="1"/>
  <c r="BC188" i="56"/>
  <c r="BC189" i="56"/>
  <c r="BC190" i="56"/>
  <c r="EQ190" i="56" s="1"/>
  <c r="BC191" i="56"/>
  <c r="BC192" i="56"/>
  <c r="BC193" i="56"/>
  <c r="BC194" i="56"/>
  <c r="BN194" i="56" s="1"/>
  <c r="FY194" i="56" s="1"/>
  <c r="BC195" i="56"/>
  <c r="BN195" i="56" s="1"/>
  <c r="FY195" i="56" s="1"/>
  <c r="BC196" i="56"/>
  <c r="BC197" i="56"/>
  <c r="BC198" i="56"/>
  <c r="BD198" i="56" s="1" a="1"/>
  <c r="BD198" i="56" s="1"/>
  <c r="C198" i="56" s="1"/>
  <c r="BE198" i="56" s="1"/>
  <c r="BC199" i="56"/>
  <c r="BC200" i="56"/>
  <c r="BC201" i="56"/>
  <c r="BC202" i="56"/>
  <c r="BC203" i="56"/>
  <c r="BC204" i="56"/>
  <c r="BC205" i="56"/>
  <c r="BC206" i="56"/>
  <c r="BN206" i="56" s="1"/>
  <c r="FY206" i="56" s="1"/>
  <c r="BC207" i="56"/>
  <c r="BC208" i="56"/>
  <c r="BC209" i="56"/>
  <c r="BC210" i="56"/>
  <c r="BC211" i="56"/>
  <c r="BC212" i="56"/>
  <c r="EQ212" i="56" s="1"/>
  <c r="BC213" i="56"/>
  <c r="BC214" i="56"/>
  <c r="BC215" i="56"/>
  <c r="BC216" i="56"/>
  <c r="BC217" i="56"/>
  <c r="BC218" i="56"/>
  <c r="BC219" i="56"/>
  <c r="BC220" i="56"/>
  <c r="BC221" i="56"/>
  <c r="BC222" i="56"/>
  <c r="BC223" i="56"/>
  <c r="BC224" i="56"/>
  <c r="BC225" i="56"/>
  <c r="BC226" i="56"/>
  <c r="BC227" i="56"/>
  <c r="BC228" i="56"/>
  <c r="EQ228" i="56" s="1"/>
  <c r="BC229" i="56"/>
  <c r="EQ229" i="56" s="1"/>
  <c r="BC230" i="56"/>
  <c r="BC231" i="56"/>
  <c r="BC232" i="56"/>
  <c r="BC233" i="56"/>
  <c r="BC234" i="56"/>
  <c r="BC235" i="56"/>
  <c r="BC236" i="56"/>
  <c r="BC237" i="56"/>
  <c r="BC238" i="56"/>
  <c r="BC239" i="56"/>
  <c r="BC240" i="56"/>
  <c r="BC241" i="56"/>
  <c r="BC242" i="56"/>
  <c r="BC243" i="56"/>
  <c r="BN243" i="56" s="1"/>
  <c r="FY243" i="56" s="1"/>
  <c r="BC244" i="56"/>
  <c r="BC245" i="56"/>
  <c r="EQ245" i="56" s="1"/>
  <c r="BC246" i="56"/>
  <c r="BC247" i="56"/>
  <c r="BC248" i="56"/>
  <c r="BQ248" i="56" s="1"/>
  <c r="BC249" i="56"/>
  <c r="BC250" i="56"/>
  <c r="BC251" i="56"/>
  <c r="BC252" i="56"/>
  <c r="BC253" i="56"/>
  <c r="BC254" i="56"/>
  <c r="BC255" i="56"/>
  <c r="BC256" i="56"/>
  <c r="BC257" i="56"/>
  <c r="BC258" i="56"/>
  <c r="BC259" i="56"/>
  <c r="BC260" i="56"/>
  <c r="EQ260" i="56" s="1"/>
  <c r="BC261" i="56"/>
  <c r="EQ261" i="56" s="1"/>
  <c r="BC262" i="56"/>
  <c r="BD262" i="56" s="1" a="1"/>
  <c r="BD262" i="56" s="1"/>
  <c r="C262" i="56" s="1"/>
  <c r="BE262" i="56" s="1"/>
  <c r="BC263" i="56"/>
  <c r="BC264" i="56"/>
  <c r="EQ264" i="56" s="1"/>
  <c r="BC265" i="56"/>
  <c r="BC266" i="56"/>
  <c r="BC267" i="56"/>
  <c r="BC268" i="56"/>
  <c r="BC269" i="56"/>
  <c r="BC270" i="56"/>
  <c r="BC271" i="56"/>
  <c r="BC272" i="56"/>
  <c r="BC273" i="56"/>
  <c r="BC274" i="56"/>
  <c r="BN274" i="56" s="1"/>
  <c r="FY274" i="56" s="1"/>
  <c r="BC275" i="56"/>
  <c r="BC276" i="56"/>
  <c r="EQ276" i="56" s="1"/>
  <c r="BC277" i="56"/>
  <c r="EQ277" i="56" s="1"/>
  <c r="BC278" i="56"/>
  <c r="BC279" i="56"/>
  <c r="BC280" i="56"/>
  <c r="EQ280" i="56" s="1"/>
  <c r="BC281" i="56"/>
  <c r="BC282" i="56"/>
  <c r="BC283" i="56"/>
  <c r="BC284" i="56"/>
  <c r="BC285" i="56"/>
  <c r="BC286" i="56"/>
  <c r="BC287" i="56"/>
  <c r="BC288" i="56"/>
  <c r="BC289" i="56"/>
  <c r="BC290" i="56"/>
  <c r="BC291" i="56"/>
  <c r="BC292" i="56"/>
  <c r="EQ292" i="56" s="1"/>
  <c r="BC293" i="56"/>
  <c r="EQ293" i="56" s="1"/>
  <c r="BC294" i="56"/>
  <c r="BN294" i="56" s="1"/>
  <c r="FY294" i="56" s="1"/>
  <c r="BC295" i="56"/>
  <c r="BC296" i="56"/>
  <c r="BC297" i="56"/>
  <c r="BC298" i="56"/>
  <c r="BC299" i="56"/>
  <c r="BC300" i="56"/>
  <c r="BC301" i="56"/>
  <c r="BC302" i="56"/>
  <c r="BC303" i="56"/>
  <c r="BC304" i="56"/>
  <c r="BC305" i="56"/>
  <c r="BC306" i="56"/>
  <c r="BC307" i="56"/>
  <c r="BC308" i="56"/>
  <c r="EQ308" i="56" s="1"/>
  <c r="BC309" i="56"/>
  <c r="EQ309" i="56" s="1"/>
  <c r="BC310" i="56"/>
  <c r="BC311" i="56"/>
  <c r="BC312" i="56"/>
  <c r="EQ312" i="56" s="1"/>
  <c r="BC313" i="56"/>
  <c r="BC314" i="56"/>
  <c r="BC315" i="56"/>
  <c r="BC316" i="56"/>
  <c r="BC317" i="56"/>
  <c r="BC318" i="56"/>
  <c r="BC319" i="56"/>
  <c r="BC320" i="56"/>
  <c r="BC321" i="56"/>
  <c r="BC322" i="56"/>
  <c r="BN322" i="56" s="1"/>
  <c r="FY322" i="56" s="1"/>
  <c r="BC323" i="56"/>
  <c r="BN323" i="56" s="1"/>
  <c r="FY323" i="56" s="1"/>
  <c r="BC324" i="56"/>
  <c r="BC325" i="56"/>
  <c r="BC326" i="56"/>
  <c r="BC327" i="56"/>
  <c r="BC328" i="56"/>
  <c r="BC329" i="56"/>
  <c r="BC330" i="56"/>
  <c r="BN330" i="56" s="1"/>
  <c r="FY330" i="56" s="1"/>
  <c r="BC331" i="56"/>
  <c r="BC332" i="56"/>
  <c r="BC333" i="56"/>
  <c r="BC334" i="56"/>
  <c r="BC335" i="56"/>
  <c r="BC336" i="56"/>
  <c r="BC337" i="56"/>
  <c r="EQ337" i="56" s="1"/>
  <c r="BC338" i="56"/>
  <c r="BC339" i="56"/>
  <c r="BC340" i="56"/>
  <c r="EQ340" i="56" s="1"/>
  <c r="BC341" i="56"/>
  <c r="BD341" i="56" s="1" a="1"/>
  <c r="BD341" i="56" s="1"/>
  <c r="C341" i="56" s="1"/>
  <c r="BE341" i="56" s="1"/>
  <c r="BC342" i="56"/>
  <c r="BC343" i="56"/>
  <c r="BC344" i="56"/>
  <c r="BC345" i="56"/>
  <c r="BC346" i="56"/>
  <c r="BN346" i="56" s="1"/>
  <c r="FY346" i="56" s="1"/>
  <c r="BC347" i="56"/>
  <c r="BN347" i="56" s="1"/>
  <c r="FY347" i="56" s="1"/>
  <c r="BC348" i="56"/>
  <c r="BC349" i="56"/>
  <c r="BC350" i="56"/>
  <c r="BC351" i="56"/>
  <c r="BC352" i="56"/>
  <c r="BB24" i="56"/>
  <c r="BB35" i="56"/>
  <c r="BB40" i="56"/>
  <c r="BB104" i="56"/>
  <c r="BB136" i="56"/>
  <c r="BB168" i="56"/>
  <c r="BB201" i="56"/>
  <c r="BB264" i="56"/>
  <c r="BB280" i="56"/>
  <c r="BD280" i="56" s="1" a="1"/>
  <c r="BD280" i="56" s="1"/>
  <c r="BB344" i="56"/>
  <c r="BA4" i="56"/>
  <c r="BB4" i="56" s="1"/>
  <c r="BA7" i="56"/>
  <c r="BB7" i="56" s="1"/>
  <c r="BA20" i="56"/>
  <c r="BB20" i="56" s="1"/>
  <c r="BA21" i="56"/>
  <c r="BB21" i="56" s="1"/>
  <c r="BA42" i="56"/>
  <c r="BB42" i="56" s="1"/>
  <c r="BA51" i="56"/>
  <c r="BB51" i="56" s="1"/>
  <c r="BA55" i="56"/>
  <c r="BB55" i="56" s="1"/>
  <c r="BA58" i="56"/>
  <c r="BB58" i="56" s="1"/>
  <c r="BA59" i="56"/>
  <c r="BB59" i="56" s="1"/>
  <c r="BA69" i="56"/>
  <c r="BB69" i="56" s="1"/>
  <c r="BA84" i="56"/>
  <c r="BB84" i="56" s="1"/>
  <c r="BA87" i="56"/>
  <c r="BB87" i="56" s="1"/>
  <c r="BA112" i="56"/>
  <c r="BB112" i="56" s="1"/>
  <c r="BA114" i="56"/>
  <c r="BB114" i="56" s="1"/>
  <c r="BA115" i="56"/>
  <c r="BB115" i="56" s="1"/>
  <c r="BA116" i="56"/>
  <c r="BB116" i="56" s="1"/>
  <c r="BA119" i="56"/>
  <c r="BB119" i="56" s="1"/>
  <c r="BA122" i="56"/>
  <c r="BB122" i="56" s="1"/>
  <c r="BA123" i="56"/>
  <c r="BB123" i="56" s="1"/>
  <c r="BA124" i="56"/>
  <c r="BB124" i="56" s="1"/>
  <c r="BA132" i="56"/>
  <c r="BB132" i="56" s="1"/>
  <c r="BA139" i="56"/>
  <c r="BB139" i="56" s="1"/>
  <c r="BA148" i="56"/>
  <c r="BB148" i="56" s="1"/>
  <c r="BA150" i="56"/>
  <c r="BB150" i="56" s="1"/>
  <c r="BA151" i="56"/>
  <c r="BB151" i="56" s="1"/>
  <c r="BA166" i="56"/>
  <c r="BB166" i="56" s="1"/>
  <c r="BA208" i="56"/>
  <c r="BB208" i="56" s="1"/>
  <c r="BA212" i="56"/>
  <c r="BB212" i="56" s="1"/>
  <c r="BA215" i="56"/>
  <c r="BB215" i="56" s="1"/>
  <c r="BA240" i="56"/>
  <c r="BB240" i="56" s="1"/>
  <c r="BA241" i="56"/>
  <c r="BB241" i="56" s="1"/>
  <c r="BA242" i="56"/>
  <c r="BB242" i="56" s="1"/>
  <c r="BA243" i="56"/>
  <c r="BB243" i="56" s="1"/>
  <c r="BA244" i="56"/>
  <c r="BB244" i="56" s="1"/>
  <c r="BA259" i="56"/>
  <c r="BB259" i="56" s="1"/>
  <c r="BA260" i="56"/>
  <c r="BB260" i="56" s="1"/>
  <c r="BA261" i="56"/>
  <c r="BB261" i="56" s="1"/>
  <c r="BA262" i="56"/>
  <c r="BB262" i="56" s="1"/>
  <c r="BA263" i="56"/>
  <c r="BB263" i="56" s="1"/>
  <c r="BA276" i="56"/>
  <c r="BB276" i="56" s="1"/>
  <c r="BA285" i="56"/>
  <c r="BB285" i="56" s="1"/>
  <c r="BA294" i="56"/>
  <c r="BB294" i="56" s="1"/>
  <c r="BA295" i="56"/>
  <c r="BB295" i="56" s="1"/>
  <c r="BA336" i="56"/>
  <c r="BB336" i="56" s="1"/>
  <c r="BA339" i="56"/>
  <c r="BB339" i="56" s="1"/>
  <c r="BA340" i="56"/>
  <c r="BB340" i="56" s="1"/>
  <c r="BA343" i="56"/>
  <c r="BB343" i="56" s="1"/>
  <c r="AZ7" i="56"/>
  <c r="AZ12" i="56"/>
  <c r="AZ18" i="56"/>
  <c r="AZ20" i="56"/>
  <c r="AZ21" i="56"/>
  <c r="AZ22" i="56"/>
  <c r="AZ23" i="56"/>
  <c r="AZ38" i="56"/>
  <c r="Q38" i="56" s="1"/>
  <c r="EK38" i="56" s="1"/>
  <c r="AZ40" i="56"/>
  <c r="Q40" i="56" s="1"/>
  <c r="EK40" i="56" s="1"/>
  <c r="AZ49" i="56"/>
  <c r="AZ67" i="56"/>
  <c r="AZ85" i="56"/>
  <c r="AZ88" i="56"/>
  <c r="AZ92" i="56"/>
  <c r="AZ99" i="56"/>
  <c r="AZ100" i="56"/>
  <c r="AZ113" i="56"/>
  <c r="AZ131" i="56"/>
  <c r="AZ132" i="56"/>
  <c r="AZ135" i="56"/>
  <c r="AZ136" i="56"/>
  <c r="AZ147" i="56"/>
  <c r="AZ148" i="56"/>
  <c r="AZ164" i="56"/>
  <c r="AZ172" i="56"/>
  <c r="Q172" i="56" s="1"/>
  <c r="EK172" i="56" s="1"/>
  <c r="AZ182" i="56"/>
  <c r="AZ183" i="56"/>
  <c r="AZ184" i="56"/>
  <c r="AZ195" i="56"/>
  <c r="AZ216" i="56"/>
  <c r="AZ227" i="56"/>
  <c r="AZ228" i="56"/>
  <c r="AZ231" i="56"/>
  <c r="Q231" i="56" s="1"/>
  <c r="AZ249" i="56"/>
  <c r="AZ258" i="56"/>
  <c r="AZ260" i="56"/>
  <c r="AZ263" i="56"/>
  <c r="AZ275" i="56"/>
  <c r="AZ278" i="56"/>
  <c r="Q278" i="56" s="1"/>
  <c r="AZ280" i="56"/>
  <c r="AZ292" i="56"/>
  <c r="AZ293" i="56"/>
  <c r="Q293" i="56" s="1"/>
  <c r="EK293" i="56" s="1"/>
  <c r="AZ310" i="56"/>
  <c r="AZ323" i="56"/>
  <c r="AZ327" i="56"/>
  <c r="AZ328" i="56"/>
  <c r="Q328" i="56" s="1"/>
  <c r="EK328" i="56" s="1"/>
  <c r="AZ329" i="56"/>
  <c r="AZ332" i="56"/>
  <c r="Q332" i="56" s="1"/>
  <c r="AZ341" i="56"/>
  <c r="AZ344" i="56"/>
  <c r="AY3" i="56"/>
  <c r="AY4" i="56"/>
  <c r="AZ4" i="56" s="1"/>
  <c r="AY5" i="56"/>
  <c r="AZ5" i="56" s="1"/>
  <c r="AY6" i="56"/>
  <c r="AZ6" i="56" s="1"/>
  <c r="AY7" i="56"/>
  <c r="AY8" i="56"/>
  <c r="AY9" i="56"/>
  <c r="AY10" i="56"/>
  <c r="AZ10" i="56" s="1"/>
  <c r="AY11" i="56"/>
  <c r="AZ11" i="56" s="1"/>
  <c r="AY12" i="56"/>
  <c r="BA12" i="56" s="1"/>
  <c r="BB12" i="56" s="1"/>
  <c r="AY13" i="56"/>
  <c r="AZ13" i="56" s="1"/>
  <c r="AY14" i="56"/>
  <c r="AY15" i="56"/>
  <c r="AZ15" i="56" s="1"/>
  <c r="AY16" i="56"/>
  <c r="AY17" i="56"/>
  <c r="AY18" i="56"/>
  <c r="BA18" i="56" s="1"/>
  <c r="BB18" i="56" s="1"/>
  <c r="AY19" i="56"/>
  <c r="BA19" i="56" s="1"/>
  <c r="BB19" i="56" s="1"/>
  <c r="AY20" i="56"/>
  <c r="AY21" i="56"/>
  <c r="AY22" i="56"/>
  <c r="BA22" i="56" s="1"/>
  <c r="BB22" i="56" s="1"/>
  <c r="AY23" i="56"/>
  <c r="BA23" i="56" s="1"/>
  <c r="BB23" i="56" s="1"/>
  <c r="AY24" i="56"/>
  <c r="BA24" i="56" s="1"/>
  <c r="AY25" i="56"/>
  <c r="AY26" i="56"/>
  <c r="AY27" i="56"/>
  <c r="AY28" i="56"/>
  <c r="AY29" i="56"/>
  <c r="BA29" i="56" s="1"/>
  <c r="BB29" i="56" s="1"/>
  <c r="AY30" i="56"/>
  <c r="AY31" i="56"/>
  <c r="BA31" i="56" s="1"/>
  <c r="BB31" i="56" s="1"/>
  <c r="AY32" i="56"/>
  <c r="AY33" i="56"/>
  <c r="AZ33" i="56" s="1"/>
  <c r="AY34" i="56"/>
  <c r="AY35" i="56"/>
  <c r="BA35" i="56" s="1"/>
  <c r="AY36" i="56"/>
  <c r="BA36" i="56" s="1"/>
  <c r="BB36" i="56" s="1"/>
  <c r="AY37" i="56"/>
  <c r="AY38" i="56"/>
  <c r="BA38" i="56" s="1"/>
  <c r="BB38" i="56" s="1"/>
  <c r="AY39" i="56"/>
  <c r="AZ39" i="56" s="1"/>
  <c r="AY40" i="56"/>
  <c r="BA40" i="56" s="1"/>
  <c r="AY41" i="56"/>
  <c r="AY42" i="56"/>
  <c r="AZ42" i="56" s="1"/>
  <c r="AY43" i="56"/>
  <c r="AY44" i="56"/>
  <c r="BA44" i="56" s="1"/>
  <c r="BB44" i="56" s="1"/>
  <c r="AY45" i="56"/>
  <c r="BA45" i="56" s="1"/>
  <c r="BB45" i="56" s="1"/>
  <c r="AY46" i="56"/>
  <c r="AY47" i="56"/>
  <c r="AY48" i="56"/>
  <c r="AY49" i="56"/>
  <c r="BA49" i="56" s="1"/>
  <c r="BB49" i="56" s="1"/>
  <c r="AY50" i="56"/>
  <c r="AY51" i="56"/>
  <c r="AZ51" i="56" s="1"/>
  <c r="AY52" i="56"/>
  <c r="BA52" i="56" s="1"/>
  <c r="BB52" i="56" s="1"/>
  <c r="AY53" i="56"/>
  <c r="BA53" i="56" s="1"/>
  <c r="BB53" i="56" s="1"/>
  <c r="AY54" i="56"/>
  <c r="BA54" i="56" s="1"/>
  <c r="BB54" i="56" s="1"/>
  <c r="AY55" i="56"/>
  <c r="AZ55" i="56" s="1"/>
  <c r="AY56" i="56"/>
  <c r="BA56" i="56" s="1"/>
  <c r="BB56" i="56" s="1"/>
  <c r="AY57" i="56"/>
  <c r="AY58" i="56"/>
  <c r="AZ58" i="56" s="1"/>
  <c r="AY59" i="56"/>
  <c r="AZ59" i="56" s="1"/>
  <c r="AY60" i="56"/>
  <c r="BA60" i="56" s="1"/>
  <c r="BB60" i="56" s="1"/>
  <c r="AY61" i="56"/>
  <c r="AY62" i="56"/>
  <c r="AY63" i="56"/>
  <c r="AY64" i="56"/>
  <c r="AY65" i="56"/>
  <c r="AY66" i="56"/>
  <c r="AY67" i="56"/>
  <c r="BA67" i="56" s="1"/>
  <c r="BB67" i="56" s="1"/>
  <c r="AY68" i="56"/>
  <c r="BA68" i="56" s="1"/>
  <c r="BB68" i="56" s="1"/>
  <c r="AY69" i="56"/>
  <c r="AZ69" i="56" s="1"/>
  <c r="AY70" i="56"/>
  <c r="BA70" i="56" s="1"/>
  <c r="BB70" i="56" s="1"/>
  <c r="AY71" i="56"/>
  <c r="BA71" i="56" s="1"/>
  <c r="BB71" i="56" s="1"/>
  <c r="AY72" i="56"/>
  <c r="AY73" i="56"/>
  <c r="AY74" i="56"/>
  <c r="AY75" i="56"/>
  <c r="AZ75" i="56" s="1"/>
  <c r="AY76" i="56"/>
  <c r="AZ76" i="56" s="1"/>
  <c r="Q76" i="56" s="1"/>
  <c r="AY77" i="56"/>
  <c r="AZ77" i="56" s="1"/>
  <c r="Q77" i="56" s="1"/>
  <c r="AY78" i="56"/>
  <c r="BA78" i="56" s="1"/>
  <c r="BB78" i="56" s="1"/>
  <c r="BD78" i="56" s="1" a="1"/>
  <c r="BD78" i="56" s="1"/>
  <c r="AY79" i="56"/>
  <c r="AY80" i="56"/>
  <c r="AZ80" i="56" s="1"/>
  <c r="AY81" i="56"/>
  <c r="AY82" i="56"/>
  <c r="AY83" i="56"/>
  <c r="AZ83" i="56" s="1"/>
  <c r="AY84" i="56"/>
  <c r="AZ84" i="56" s="1"/>
  <c r="AY85" i="56"/>
  <c r="BA85" i="56" s="1"/>
  <c r="BB85" i="56" s="1"/>
  <c r="AY86" i="56"/>
  <c r="BA86" i="56" s="1"/>
  <c r="BB86" i="56" s="1"/>
  <c r="AY87" i="56"/>
  <c r="AZ87" i="56" s="1"/>
  <c r="AY88" i="56"/>
  <c r="BA88" i="56" s="1"/>
  <c r="BB88" i="56" s="1"/>
  <c r="BD88" i="56" s="1" a="1"/>
  <c r="BD88" i="56" s="1"/>
  <c r="AY89" i="56"/>
  <c r="AY90" i="56"/>
  <c r="AZ90" i="56" s="1"/>
  <c r="AY91" i="56"/>
  <c r="AZ91" i="56" s="1"/>
  <c r="AY92" i="56"/>
  <c r="BA92" i="56" s="1"/>
  <c r="BB92" i="56" s="1"/>
  <c r="AY93" i="56"/>
  <c r="BA93" i="56" s="1"/>
  <c r="BB93" i="56" s="1"/>
  <c r="AY94" i="56"/>
  <c r="BA94" i="56" s="1"/>
  <c r="BB94" i="56" s="1"/>
  <c r="BD94" i="56" s="1" a="1"/>
  <c r="BD94" i="56" s="1"/>
  <c r="AY95" i="56"/>
  <c r="AZ95" i="56" s="1"/>
  <c r="Q95" i="56" s="1"/>
  <c r="EK95" i="56" s="1"/>
  <c r="AY96" i="56"/>
  <c r="AZ96" i="56" s="1"/>
  <c r="AY97" i="56"/>
  <c r="AZ97" i="56" s="1"/>
  <c r="AY98" i="56"/>
  <c r="AZ98" i="56" s="1"/>
  <c r="AY99" i="56"/>
  <c r="BA99" i="56" s="1"/>
  <c r="BB99" i="56" s="1"/>
  <c r="AY100" i="56"/>
  <c r="BA100" i="56" s="1"/>
  <c r="BB100" i="56" s="1"/>
  <c r="AY101" i="56"/>
  <c r="BA101" i="56" s="1"/>
  <c r="BB101" i="56" s="1"/>
  <c r="AY102" i="56"/>
  <c r="BA102" i="56" s="1"/>
  <c r="BB102" i="56" s="1"/>
  <c r="AY103" i="56"/>
  <c r="BA103" i="56" s="1"/>
  <c r="BB103" i="56" s="1"/>
  <c r="AY104" i="56"/>
  <c r="BA104" i="56" s="1"/>
  <c r="AY105" i="56"/>
  <c r="AY106" i="56"/>
  <c r="AZ106" i="56" s="1"/>
  <c r="AY107" i="56"/>
  <c r="AY108" i="56"/>
  <c r="AY109" i="56"/>
  <c r="BA109" i="56" s="1"/>
  <c r="BB109" i="56" s="1"/>
  <c r="AY110" i="56"/>
  <c r="BA110" i="56" s="1"/>
  <c r="BB110" i="56" s="1"/>
  <c r="BD110" i="56" s="1" a="1"/>
  <c r="BD110" i="56" s="1"/>
  <c r="AY111" i="56"/>
  <c r="AY112" i="56"/>
  <c r="AZ112" i="56" s="1"/>
  <c r="AY113" i="56"/>
  <c r="BA113" i="56" s="1"/>
  <c r="BB113" i="56" s="1"/>
  <c r="AY114" i="56"/>
  <c r="AZ114" i="56" s="1"/>
  <c r="AY115" i="56"/>
  <c r="AZ115" i="56" s="1"/>
  <c r="AY116" i="56"/>
  <c r="AZ116" i="56" s="1"/>
  <c r="AY117" i="56"/>
  <c r="BA117" i="56" s="1"/>
  <c r="BB117" i="56" s="1"/>
  <c r="AY118" i="56"/>
  <c r="BA118" i="56" s="1"/>
  <c r="BB118" i="56" s="1"/>
  <c r="AY119" i="56"/>
  <c r="AZ119" i="56" s="1"/>
  <c r="AY120" i="56"/>
  <c r="BA120" i="56" s="1"/>
  <c r="BB120" i="56" s="1"/>
  <c r="AY121" i="56"/>
  <c r="AY122" i="56"/>
  <c r="AZ122" i="56" s="1"/>
  <c r="AY123" i="56"/>
  <c r="AZ123" i="56" s="1"/>
  <c r="AY124" i="56"/>
  <c r="AZ124" i="56" s="1"/>
  <c r="AY125" i="56"/>
  <c r="AY126" i="56"/>
  <c r="AY127" i="56"/>
  <c r="AY128" i="56"/>
  <c r="BA128" i="56" s="1"/>
  <c r="BB128" i="56" s="1"/>
  <c r="AY129" i="56"/>
  <c r="BA129" i="56" s="1"/>
  <c r="BB129" i="56" s="1"/>
  <c r="AY130" i="56"/>
  <c r="AZ130" i="56" s="1"/>
  <c r="AY131" i="56"/>
  <c r="BA131" i="56" s="1"/>
  <c r="BB131" i="56" s="1"/>
  <c r="AY132" i="56"/>
  <c r="AY133" i="56"/>
  <c r="AZ133" i="56" s="1"/>
  <c r="AY134" i="56"/>
  <c r="AY135" i="56"/>
  <c r="BA135" i="56" s="1"/>
  <c r="BB135" i="56" s="1"/>
  <c r="AY136" i="56"/>
  <c r="BA136" i="56" s="1"/>
  <c r="AY137" i="56"/>
  <c r="AY138" i="56"/>
  <c r="AY139" i="56"/>
  <c r="AZ139" i="56" s="1"/>
  <c r="AY140" i="56"/>
  <c r="BA140" i="56" s="1"/>
  <c r="BB140" i="56" s="1"/>
  <c r="AY141" i="56"/>
  <c r="BA141" i="56" s="1"/>
  <c r="BB141" i="56" s="1"/>
  <c r="AY142" i="56"/>
  <c r="AY143" i="56"/>
  <c r="AY144" i="56"/>
  <c r="AY145" i="56"/>
  <c r="AY146" i="56"/>
  <c r="BA146" i="56" s="1"/>
  <c r="BB146" i="56" s="1"/>
  <c r="AY147" i="56"/>
  <c r="BA147" i="56" s="1"/>
  <c r="BB147" i="56" s="1"/>
  <c r="AY148" i="56"/>
  <c r="AY149" i="56"/>
  <c r="AZ149" i="56" s="1"/>
  <c r="AY150" i="56"/>
  <c r="AZ150" i="56" s="1"/>
  <c r="AY151" i="56"/>
  <c r="AZ151" i="56" s="1"/>
  <c r="AY152" i="56"/>
  <c r="BA152" i="56" s="1"/>
  <c r="BB152" i="56" s="1"/>
  <c r="AY153" i="56"/>
  <c r="AY154" i="56"/>
  <c r="AZ154" i="56" s="1"/>
  <c r="AY155" i="56"/>
  <c r="AZ155" i="56" s="1"/>
  <c r="AY156" i="56"/>
  <c r="AZ156" i="56" s="1"/>
  <c r="Q156" i="56" s="1"/>
  <c r="AY157" i="56"/>
  <c r="AZ157" i="56" s="1"/>
  <c r="AY158" i="56"/>
  <c r="AY159" i="56"/>
  <c r="BA159" i="56" s="1"/>
  <c r="BB159" i="56" s="1"/>
  <c r="AY160" i="56"/>
  <c r="AY161" i="56"/>
  <c r="AZ161" i="56" s="1"/>
  <c r="AY162" i="56"/>
  <c r="AY163" i="56"/>
  <c r="BA163" i="56" s="1"/>
  <c r="BB163" i="56" s="1"/>
  <c r="AY164" i="56"/>
  <c r="BA164" i="56" s="1"/>
  <c r="BB164" i="56" s="1"/>
  <c r="AY165" i="56"/>
  <c r="BA165" i="56" s="1"/>
  <c r="BB165" i="56" s="1"/>
  <c r="AY166" i="56"/>
  <c r="AZ166" i="56" s="1"/>
  <c r="Q166" i="56" s="1"/>
  <c r="EK166" i="56" s="1"/>
  <c r="AY167" i="56"/>
  <c r="BA167" i="56" s="1"/>
  <c r="BB167" i="56" s="1"/>
  <c r="AY168" i="56"/>
  <c r="BA168" i="56" s="1"/>
  <c r="AY169" i="56"/>
  <c r="AY170" i="56"/>
  <c r="AY171" i="56"/>
  <c r="AY172" i="56"/>
  <c r="BA172" i="56" s="1"/>
  <c r="BB172" i="56" s="1"/>
  <c r="AY173" i="56"/>
  <c r="BA173" i="56" s="1"/>
  <c r="BB173" i="56" s="1"/>
  <c r="AY174" i="56"/>
  <c r="AY175" i="56"/>
  <c r="AY176" i="56"/>
  <c r="AY177" i="56"/>
  <c r="BA177" i="56" s="1"/>
  <c r="BB177" i="56" s="1"/>
  <c r="AY178" i="56"/>
  <c r="AY179" i="56"/>
  <c r="AZ179" i="56" s="1"/>
  <c r="AY180" i="56"/>
  <c r="BA180" i="56" s="1"/>
  <c r="BB180" i="56" s="1"/>
  <c r="AY181" i="56"/>
  <c r="BA181" i="56" s="1"/>
  <c r="BB181" i="56" s="1"/>
  <c r="AY182" i="56"/>
  <c r="BA182" i="56" s="1"/>
  <c r="BB182" i="56" s="1"/>
  <c r="AY183" i="56"/>
  <c r="BA183" i="56" s="1"/>
  <c r="BB183" i="56" s="1"/>
  <c r="AY184" i="56"/>
  <c r="BA184" i="56" s="1"/>
  <c r="BB184" i="56" s="1"/>
  <c r="AY185" i="56"/>
  <c r="BA185" i="56" s="1"/>
  <c r="BB185" i="56" s="1"/>
  <c r="AY186" i="56"/>
  <c r="AY187" i="56"/>
  <c r="AZ187" i="56" s="1"/>
  <c r="AY188" i="56"/>
  <c r="AY189" i="56"/>
  <c r="AY190" i="56"/>
  <c r="AY191" i="56"/>
  <c r="AY192" i="56"/>
  <c r="AY193" i="56"/>
  <c r="AY194" i="56"/>
  <c r="AY195" i="56"/>
  <c r="BA195" i="56" s="1"/>
  <c r="BB195" i="56" s="1"/>
  <c r="AY196" i="56"/>
  <c r="BA196" i="56" s="1"/>
  <c r="BB196" i="56" s="1"/>
  <c r="AY197" i="56"/>
  <c r="AZ197" i="56" s="1"/>
  <c r="AY198" i="56"/>
  <c r="BA198" i="56" s="1"/>
  <c r="BB198" i="56" s="1"/>
  <c r="AY199" i="56"/>
  <c r="AY200" i="56"/>
  <c r="BA200" i="56" s="1"/>
  <c r="BB200" i="56" s="1"/>
  <c r="AY201" i="56"/>
  <c r="BA201" i="56" s="1"/>
  <c r="AY202" i="56"/>
  <c r="AZ202" i="56" s="1"/>
  <c r="AY203" i="56"/>
  <c r="AZ203" i="56" s="1"/>
  <c r="AY204" i="56"/>
  <c r="AZ204" i="56" s="1"/>
  <c r="Q204" i="56" s="1"/>
  <c r="AY205" i="56"/>
  <c r="AY206" i="56"/>
  <c r="AY207" i="56"/>
  <c r="AY208" i="56"/>
  <c r="AZ208" i="56" s="1"/>
  <c r="AY209" i="56"/>
  <c r="AY210" i="56"/>
  <c r="AY211" i="56"/>
  <c r="AY212" i="56"/>
  <c r="AZ212" i="56" s="1"/>
  <c r="AY213" i="56"/>
  <c r="BA213" i="56" s="1"/>
  <c r="BB213" i="56" s="1"/>
  <c r="AY214" i="56"/>
  <c r="BA214" i="56" s="1"/>
  <c r="BB214" i="56" s="1"/>
  <c r="AY215" i="56"/>
  <c r="AZ215" i="56" s="1"/>
  <c r="AY216" i="56"/>
  <c r="BA216" i="56" s="1"/>
  <c r="BB216" i="56" s="1"/>
  <c r="AY217" i="56"/>
  <c r="AY218" i="56"/>
  <c r="AZ218" i="56" s="1"/>
  <c r="AY219" i="56"/>
  <c r="AZ219" i="56" s="1"/>
  <c r="AY220" i="56"/>
  <c r="AZ220" i="56" s="1"/>
  <c r="AY221" i="56"/>
  <c r="AY222" i="56"/>
  <c r="AY223" i="56"/>
  <c r="AY224" i="56"/>
  <c r="AZ224" i="56" s="1"/>
  <c r="AY225" i="56"/>
  <c r="AZ225" i="56" s="1"/>
  <c r="AY226" i="56"/>
  <c r="AZ226" i="56" s="1"/>
  <c r="AY227" i="56"/>
  <c r="BA227" i="56" s="1"/>
  <c r="BB227" i="56" s="1"/>
  <c r="AY228" i="56"/>
  <c r="BA228" i="56" s="1"/>
  <c r="BB228" i="56" s="1"/>
  <c r="AY229" i="56"/>
  <c r="BA229" i="56" s="1"/>
  <c r="BB229" i="56" s="1"/>
  <c r="AY230" i="56"/>
  <c r="BA230" i="56" s="1"/>
  <c r="BB230" i="56" s="1"/>
  <c r="AY231" i="56"/>
  <c r="BA231" i="56" s="1"/>
  <c r="BB231" i="56" s="1"/>
  <c r="AY232" i="56"/>
  <c r="AY233" i="56"/>
  <c r="AY234" i="56"/>
  <c r="AZ234" i="56" s="1"/>
  <c r="AY235" i="56"/>
  <c r="AY236" i="56"/>
  <c r="AY237" i="56"/>
  <c r="BA237" i="56" s="1"/>
  <c r="BB237" i="56" s="1"/>
  <c r="AY238" i="56"/>
  <c r="AY239" i="56"/>
  <c r="BA239" i="56" s="1"/>
  <c r="BB239" i="56" s="1"/>
  <c r="AY240" i="56"/>
  <c r="AZ240" i="56" s="1"/>
  <c r="AY241" i="56"/>
  <c r="AZ241" i="56" s="1"/>
  <c r="AY242" i="56"/>
  <c r="AZ242" i="56" s="1"/>
  <c r="AY243" i="56"/>
  <c r="AZ243" i="56" s="1"/>
  <c r="AY244" i="56"/>
  <c r="AZ244" i="56" s="1"/>
  <c r="AY245" i="56"/>
  <c r="BA245" i="56" s="1"/>
  <c r="BB245" i="56" s="1"/>
  <c r="AY246" i="56"/>
  <c r="BA246" i="56" s="1"/>
  <c r="BB246" i="56" s="1"/>
  <c r="AY247" i="56"/>
  <c r="AY248" i="56"/>
  <c r="BA248" i="56" s="1"/>
  <c r="BB248" i="56" s="1"/>
  <c r="AY249" i="56"/>
  <c r="BA249" i="56" s="1"/>
  <c r="BB249" i="56" s="1"/>
  <c r="AY250" i="56"/>
  <c r="AY251" i="56"/>
  <c r="AZ251" i="56" s="1"/>
  <c r="AY252" i="56"/>
  <c r="BA252" i="56" s="1"/>
  <c r="BB252" i="56" s="1"/>
  <c r="AY253" i="56"/>
  <c r="BA253" i="56" s="1"/>
  <c r="BB253" i="56" s="1"/>
  <c r="AY254" i="56"/>
  <c r="AY255" i="56"/>
  <c r="AY256" i="56"/>
  <c r="BA256" i="56" s="1"/>
  <c r="BB256" i="56" s="1"/>
  <c r="AY257" i="56"/>
  <c r="BA257" i="56" s="1"/>
  <c r="BB257" i="56" s="1"/>
  <c r="AY258" i="56"/>
  <c r="BA258" i="56" s="1"/>
  <c r="BB258" i="56" s="1"/>
  <c r="AY259" i="56"/>
  <c r="AZ259" i="56" s="1"/>
  <c r="AY260" i="56"/>
  <c r="AY261" i="56"/>
  <c r="AZ261" i="56" s="1"/>
  <c r="Q261" i="56" s="1"/>
  <c r="AY262" i="56"/>
  <c r="AZ262" i="56" s="1"/>
  <c r="AY263" i="56"/>
  <c r="AY264" i="56"/>
  <c r="BA264" i="56" s="1"/>
  <c r="AY265" i="56"/>
  <c r="AY266" i="56"/>
  <c r="AY267" i="56"/>
  <c r="AY268" i="56"/>
  <c r="AY269" i="56"/>
  <c r="AY270" i="56"/>
  <c r="AY271" i="56"/>
  <c r="AZ271" i="56" s="1"/>
  <c r="AY272" i="56"/>
  <c r="AY273" i="56"/>
  <c r="AY274" i="56"/>
  <c r="BA274" i="56" s="1"/>
  <c r="BB274" i="56" s="1"/>
  <c r="AY275" i="56"/>
  <c r="BA275" i="56" s="1"/>
  <c r="BB275" i="56" s="1"/>
  <c r="AY276" i="56"/>
  <c r="AZ276" i="56" s="1"/>
  <c r="AY277" i="56"/>
  <c r="AY278" i="56"/>
  <c r="BA278" i="56" s="1"/>
  <c r="BB278" i="56" s="1"/>
  <c r="AY279" i="56"/>
  <c r="AZ279" i="56" s="1"/>
  <c r="AY280" i="56"/>
  <c r="BA280" i="56" s="1"/>
  <c r="AY281" i="56"/>
  <c r="AY282" i="56"/>
  <c r="AY283" i="56"/>
  <c r="AY284" i="56"/>
  <c r="BA284" i="56" s="1"/>
  <c r="BB284" i="56" s="1"/>
  <c r="AY285" i="56"/>
  <c r="AZ285" i="56" s="1"/>
  <c r="Q285" i="56" s="1"/>
  <c r="AY286" i="56"/>
  <c r="AY287" i="56"/>
  <c r="BA287" i="56" s="1"/>
  <c r="BB287" i="56" s="1"/>
  <c r="AY288" i="56"/>
  <c r="AY289" i="56"/>
  <c r="AZ289" i="56" s="1"/>
  <c r="AY290" i="56"/>
  <c r="AY291" i="56"/>
  <c r="BA291" i="56" s="1"/>
  <c r="BB291" i="56" s="1"/>
  <c r="AY292" i="56"/>
  <c r="BA292" i="56" s="1"/>
  <c r="BB292" i="56" s="1"/>
  <c r="AY293" i="56"/>
  <c r="BA293" i="56" s="1"/>
  <c r="BB293" i="56" s="1"/>
  <c r="AY294" i="56"/>
  <c r="AZ294" i="56" s="1"/>
  <c r="Q294" i="56" s="1"/>
  <c r="AY295" i="56"/>
  <c r="AZ295" i="56" s="1"/>
  <c r="Q295" i="56" s="1"/>
  <c r="AY296" i="56"/>
  <c r="BA296" i="56" s="1"/>
  <c r="BB296" i="56" s="1"/>
  <c r="AY297" i="56"/>
  <c r="AY298" i="56"/>
  <c r="AZ298" i="56" s="1"/>
  <c r="AY299" i="56"/>
  <c r="AZ299" i="56" s="1"/>
  <c r="AY300" i="56"/>
  <c r="AZ300" i="56" s="1"/>
  <c r="Q300" i="56" s="1"/>
  <c r="AY301" i="56"/>
  <c r="BA301" i="56" s="1"/>
  <c r="BB301" i="56" s="1"/>
  <c r="AY302" i="56"/>
  <c r="AY303" i="56"/>
  <c r="AY304" i="56"/>
  <c r="AY305" i="56"/>
  <c r="BA305" i="56" s="1"/>
  <c r="BB305" i="56" s="1"/>
  <c r="AY306" i="56"/>
  <c r="AY307" i="56"/>
  <c r="AZ307" i="56" s="1"/>
  <c r="AY308" i="56"/>
  <c r="BA308" i="56" s="1"/>
  <c r="BB308" i="56" s="1"/>
  <c r="AY309" i="56"/>
  <c r="BA309" i="56" s="1"/>
  <c r="BB309" i="56" s="1"/>
  <c r="AY310" i="56"/>
  <c r="BA310" i="56" s="1"/>
  <c r="BB310" i="56" s="1"/>
  <c r="AY311" i="56"/>
  <c r="AZ311" i="56" s="1"/>
  <c r="AY312" i="56"/>
  <c r="AY313" i="56"/>
  <c r="AY314" i="56"/>
  <c r="AY315" i="56"/>
  <c r="AY316" i="56"/>
  <c r="AY317" i="56"/>
  <c r="AY318" i="56"/>
  <c r="AZ318" i="56" s="1"/>
  <c r="Q318" i="56" s="1"/>
  <c r="AY319" i="56"/>
  <c r="AY320" i="56"/>
  <c r="AY321" i="56"/>
  <c r="AY322" i="56"/>
  <c r="AY323" i="56"/>
  <c r="BA323" i="56" s="1"/>
  <c r="BB323" i="56" s="1"/>
  <c r="AY324" i="56"/>
  <c r="BA324" i="56" s="1"/>
  <c r="BB324" i="56" s="1"/>
  <c r="AY325" i="56"/>
  <c r="AY326" i="56"/>
  <c r="BA326" i="56" s="1"/>
  <c r="BB326" i="56" s="1"/>
  <c r="AY327" i="56"/>
  <c r="BA327" i="56" s="1"/>
  <c r="BB327" i="56" s="1"/>
  <c r="AY328" i="56"/>
  <c r="BA328" i="56" s="1"/>
  <c r="BB328" i="56" s="1"/>
  <c r="AY329" i="56"/>
  <c r="BA329" i="56" s="1"/>
  <c r="BB329" i="56" s="1"/>
  <c r="AY330" i="56"/>
  <c r="AY331" i="56"/>
  <c r="AZ331" i="56" s="1"/>
  <c r="AY332" i="56"/>
  <c r="BA332" i="56" s="1"/>
  <c r="BB332" i="56" s="1"/>
  <c r="AY333" i="56"/>
  <c r="BA333" i="56" s="1"/>
  <c r="BB333" i="56" s="1"/>
  <c r="AY334" i="56"/>
  <c r="AY335" i="56"/>
  <c r="AY336" i="56"/>
  <c r="AZ336" i="56" s="1"/>
  <c r="AY337" i="56"/>
  <c r="AY338" i="56"/>
  <c r="AY339" i="56"/>
  <c r="AZ339" i="56" s="1"/>
  <c r="AY340" i="56"/>
  <c r="AZ340" i="56" s="1"/>
  <c r="AY341" i="56"/>
  <c r="BA341" i="56" s="1"/>
  <c r="BB341" i="56" s="1"/>
  <c r="AY342" i="56"/>
  <c r="BA342" i="56" s="1"/>
  <c r="BB342" i="56" s="1"/>
  <c r="AY343" i="56"/>
  <c r="AZ343" i="56" s="1"/>
  <c r="AY344" i="56"/>
  <c r="BA344" i="56" s="1"/>
  <c r="AY345" i="56"/>
  <c r="AY346" i="56"/>
  <c r="AZ346" i="56" s="1"/>
  <c r="AY347" i="56"/>
  <c r="AZ347" i="56" s="1"/>
  <c r="AY348" i="56"/>
  <c r="AZ348" i="56" s="1"/>
  <c r="AY349" i="56"/>
  <c r="AY350" i="56"/>
  <c r="AY351" i="56"/>
  <c r="AY352" i="56"/>
  <c r="AX3" i="56"/>
  <c r="AX4" i="56"/>
  <c r="AX5" i="56"/>
  <c r="BX5" i="56" s="1"/>
  <c r="AX6" i="56"/>
  <c r="AX7" i="56"/>
  <c r="AX8" i="56"/>
  <c r="AX9" i="56"/>
  <c r="Q9" i="56" s="1"/>
  <c r="EK9" i="56" s="1"/>
  <c r="AX10" i="56"/>
  <c r="AX11" i="56"/>
  <c r="AX12" i="56"/>
  <c r="AX13" i="56"/>
  <c r="BU13" i="56" s="1"/>
  <c r="AX14" i="56"/>
  <c r="BW14" i="56" s="1"/>
  <c r="AX15" i="56"/>
  <c r="BK15" i="56" s="1"/>
  <c r="AX16" i="56"/>
  <c r="AX17" i="56"/>
  <c r="AX18" i="56"/>
  <c r="Q18" i="56" s="1"/>
  <c r="EK18" i="56" s="1"/>
  <c r="AX19" i="56"/>
  <c r="AX20" i="56"/>
  <c r="BK20" i="56" s="1"/>
  <c r="AX21" i="56"/>
  <c r="AX22" i="56"/>
  <c r="AX23" i="56"/>
  <c r="CL23" i="56" s="1"/>
  <c r="AX24" i="56"/>
  <c r="BO24" i="56" s="1"/>
  <c r="AX25" i="56"/>
  <c r="CG25" i="56" s="1"/>
  <c r="CH25" i="56" s="1"/>
  <c r="H25" i="56" s="1"/>
  <c r="AX26" i="56"/>
  <c r="AX27" i="56"/>
  <c r="AX28" i="56"/>
  <c r="AX29" i="56"/>
  <c r="AX30" i="56"/>
  <c r="AX31" i="56"/>
  <c r="AX32" i="56"/>
  <c r="AX33" i="56"/>
  <c r="AX34" i="56"/>
  <c r="BO34" i="56" s="1"/>
  <c r="AX35" i="56"/>
  <c r="AX36" i="56"/>
  <c r="AX37" i="56"/>
  <c r="AX38" i="56"/>
  <c r="BO38" i="56" s="1"/>
  <c r="AX39" i="56"/>
  <c r="BO39" i="56" s="1"/>
  <c r="AX40" i="56"/>
  <c r="BO40" i="56" s="1"/>
  <c r="AX41" i="56"/>
  <c r="BW41" i="56" s="1"/>
  <c r="AX42" i="56"/>
  <c r="CL42" i="56" s="1"/>
  <c r="AX43" i="56"/>
  <c r="BK43" i="56" s="1"/>
  <c r="AX44" i="56"/>
  <c r="AX45" i="56"/>
  <c r="BJ45" i="56" s="1"/>
  <c r="AX46" i="56"/>
  <c r="AX47" i="56"/>
  <c r="AX48" i="56"/>
  <c r="BJ48" i="56" s="1"/>
  <c r="AX49" i="56"/>
  <c r="AX50" i="56"/>
  <c r="AX51" i="56"/>
  <c r="AX52" i="56"/>
  <c r="AX53" i="56"/>
  <c r="BX53" i="56" s="1"/>
  <c r="AX54" i="56"/>
  <c r="AX55" i="56"/>
  <c r="AX56" i="56"/>
  <c r="AX57" i="56"/>
  <c r="AX58" i="56"/>
  <c r="BJ58" i="56" s="1"/>
  <c r="AX59" i="56"/>
  <c r="AX60" i="56"/>
  <c r="AX61" i="56"/>
  <c r="AX62" i="56"/>
  <c r="AX63" i="56"/>
  <c r="AX64" i="56"/>
  <c r="BK64" i="56" s="1"/>
  <c r="AX65" i="56"/>
  <c r="AX66" i="56"/>
  <c r="AX67" i="56"/>
  <c r="BJ67" i="56" s="1"/>
  <c r="AX68" i="56"/>
  <c r="AX69" i="56"/>
  <c r="AX70" i="56"/>
  <c r="AX71" i="56"/>
  <c r="BO71" i="56" s="1"/>
  <c r="AX72" i="56"/>
  <c r="AX73" i="56"/>
  <c r="BK73" i="56" s="1"/>
  <c r="AX74" i="56"/>
  <c r="AX75" i="56"/>
  <c r="BJ75" i="56" s="1"/>
  <c r="AX76" i="56"/>
  <c r="AX77" i="56"/>
  <c r="BX77" i="56" s="1"/>
  <c r="AX78" i="56"/>
  <c r="AX79" i="56"/>
  <c r="BW79" i="56" s="1"/>
  <c r="AX80" i="56"/>
  <c r="AX81" i="56"/>
  <c r="BO81" i="56" s="1"/>
  <c r="AX82" i="56"/>
  <c r="AX83" i="56"/>
  <c r="AX84" i="56"/>
  <c r="AX85" i="56"/>
  <c r="AX86" i="56"/>
  <c r="AX87" i="56"/>
  <c r="AX88" i="56"/>
  <c r="Q88" i="56" s="1"/>
  <c r="EK88" i="56" s="1"/>
  <c r="AX89" i="56"/>
  <c r="AX90" i="56"/>
  <c r="BK90" i="56" s="1"/>
  <c r="AX91" i="56"/>
  <c r="BK91" i="56" s="1"/>
  <c r="AX92" i="56"/>
  <c r="AX93" i="56"/>
  <c r="BJ93" i="56" s="1"/>
  <c r="AX94" i="56"/>
  <c r="AX95" i="56"/>
  <c r="AX96" i="56"/>
  <c r="BK96" i="56" s="1"/>
  <c r="AX97" i="56"/>
  <c r="Q97" i="56" s="1"/>
  <c r="AX98" i="56"/>
  <c r="AX99" i="56"/>
  <c r="AX100" i="56"/>
  <c r="AX101" i="56"/>
  <c r="AX102" i="56"/>
  <c r="CG102" i="56" s="1"/>
  <c r="CH102" i="56" s="1"/>
  <c r="H102" i="56" s="1"/>
  <c r="AX103" i="56"/>
  <c r="AX104" i="56"/>
  <c r="AX105" i="56"/>
  <c r="AX106" i="56"/>
  <c r="AX107" i="56"/>
  <c r="AX108" i="56"/>
  <c r="AX109" i="56"/>
  <c r="AX110" i="56"/>
  <c r="AX111" i="56"/>
  <c r="AX112" i="56"/>
  <c r="AX113" i="56"/>
  <c r="AX114" i="56"/>
  <c r="BJ114" i="56" s="1"/>
  <c r="AX115" i="56"/>
  <c r="AX116" i="56"/>
  <c r="AX117" i="56"/>
  <c r="CI117" i="56" s="1"/>
  <c r="AX118" i="56"/>
  <c r="AX119" i="56"/>
  <c r="AX120" i="56"/>
  <c r="BO120" i="56" s="1"/>
  <c r="AX121" i="56"/>
  <c r="BK121" i="56" s="1"/>
  <c r="AX122" i="56"/>
  <c r="AX123" i="56"/>
  <c r="AX124" i="56"/>
  <c r="BO124" i="56" s="1"/>
  <c r="AX125" i="56"/>
  <c r="AX126" i="56"/>
  <c r="AX127" i="56"/>
  <c r="AX128" i="56"/>
  <c r="AX129" i="56"/>
  <c r="BJ129" i="56" s="1"/>
  <c r="AX130" i="56"/>
  <c r="AX131" i="56"/>
  <c r="AX132" i="56"/>
  <c r="AX133" i="56"/>
  <c r="AX134" i="56"/>
  <c r="BW134" i="56" s="1"/>
  <c r="AX135" i="56"/>
  <c r="AX136" i="56"/>
  <c r="AX137" i="56"/>
  <c r="BX137" i="56" s="1"/>
  <c r="AX138" i="56"/>
  <c r="AX139" i="56"/>
  <c r="AX140" i="56"/>
  <c r="AX141" i="56"/>
  <c r="AX142" i="56"/>
  <c r="BJ142" i="56" s="1"/>
  <c r="AX143" i="56"/>
  <c r="AX144" i="56"/>
  <c r="AX145" i="56"/>
  <c r="AX146" i="56"/>
  <c r="CM146" i="56" s="1"/>
  <c r="J146" i="56" s="1"/>
  <c r="CN146" i="56" s="1"/>
  <c r="AX147" i="56"/>
  <c r="AX148" i="56"/>
  <c r="AX149" i="56"/>
  <c r="BW149" i="56" s="1"/>
  <c r="AX150" i="56"/>
  <c r="BJ150" i="56" s="1"/>
  <c r="AX151" i="56"/>
  <c r="AX152" i="56"/>
  <c r="BX152" i="56" s="1"/>
  <c r="AX153" i="56"/>
  <c r="AX154" i="56"/>
  <c r="BW154" i="56" s="1"/>
  <c r="AX155" i="56"/>
  <c r="AX156" i="56"/>
  <c r="AX157" i="56"/>
  <c r="CI157" i="56" s="1"/>
  <c r="AX158" i="56"/>
  <c r="AX159" i="56"/>
  <c r="AX160" i="56"/>
  <c r="BO160" i="56" s="1"/>
  <c r="AX161" i="56"/>
  <c r="BO161" i="56" s="1"/>
  <c r="AX162" i="56"/>
  <c r="BJ162" i="56" s="1"/>
  <c r="AX163" i="56"/>
  <c r="AX164" i="56"/>
  <c r="AX165" i="56"/>
  <c r="BW165" i="56" s="1"/>
  <c r="AX166" i="56"/>
  <c r="BO166" i="56" s="1"/>
  <c r="AX167" i="56"/>
  <c r="AX168" i="56"/>
  <c r="CG168" i="56" s="1"/>
  <c r="CH168" i="56" s="1"/>
  <c r="H168" i="56" s="1"/>
  <c r="AX169" i="56"/>
  <c r="BO169" i="56" s="1"/>
  <c r="AX170" i="56"/>
  <c r="AX171" i="56"/>
  <c r="AX172" i="56"/>
  <c r="AX173" i="56"/>
  <c r="BX173" i="56" s="1"/>
  <c r="AX174" i="56"/>
  <c r="BW174" i="56" s="1"/>
  <c r="AX175" i="56"/>
  <c r="BX175" i="56" s="1"/>
  <c r="AX176" i="56"/>
  <c r="BJ176" i="56" s="1"/>
  <c r="AX177" i="56"/>
  <c r="AX178" i="56"/>
  <c r="AX179" i="56"/>
  <c r="AX180" i="56"/>
  <c r="AX181" i="56"/>
  <c r="AX182" i="56"/>
  <c r="AX183" i="56"/>
  <c r="AX184" i="56"/>
  <c r="AX185" i="56"/>
  <c r="BO185" i="56" s="1"/>
  <c r="AX186" i="56"/>
  <c r="AX187" i="56"/>
  <c r="BJ187" i="56" s="1"/>
  <c r="AX188" i="56"/>
  <c r="AX189" i="56"/>
  <c r="AX190" i="56"/>
  <c r="BJ190" i="56" s="1"/>
  <c r="AX191" i="56"/>
  <c r="AX192" i="56"/>
  <c r="AX193" i="56"/>
  <c r="AX194" i="56"/>
  <c r="AX195" i="56"/>
  <c r="AX196" i="56"/>
  <c r="BK196" i="56" s="1"/>
  <c r="AX197" i="56"/>
  <c r="AX198" i="56"/>
  <c r="AX199" i="56"/>
  <c r="AX200" i="56"/>
  <c r="BX200" i="56" s="1"/>
  <c r="AX201" i="56"/>
  <c r="BK201" i="56" s="1"/>
  <c r="AX202" i="56"/>
  <c r="AX203" i="56"/>
  <c r="AX204" i="56"/>
  <c r="BJ204" i="56" s="1"/>
  <c r="AX205" i="56"/>
  <c r="AX206" i="56"/>
  <c r="AX207" i="56"/>
  <c r="AX208" i="56"/>
  <c r="AX209" i="56"/>
  <c r="BK209" i="56" s="1"/>
  <c r="AX210" i="56"/>
  <c r="BO210" i="56" s="1"/>
  <c r="AX211" i="56"/>
  <c r="BO211" i="56" s="1"/>
  <c r="AX212" i="56"/>
  <c r="AX213" i="56"/>
  <c r="AX214" i="56"/>
  <c r="AX215" i="56"/>
  <c r="CL215" i="56" s="1"/>
  <c r="AX216" i="56"/>
  <c r="BW216" i="56" s="1"/>
  <c r="AX217" i="56"/>
  <c r="AX218" i="56"/>
  <c r="AX219" i="56"/>
  <c r="BK219" i="56" s="1"/>
  <c r="AX220" i="56"/>
  <c r="AX221" i="56"/>
  <c r="BW221" i="56" s="1"/>
  <c r="AX222" i="56"/>
  <c r="AX223" i="56"/>
  <c r="AX224" i="56"/>
  <c r="AX225" i="56"/>
  <c r="AX226" i="56"/>
  <c r="Q226" i="56" s="1"/>
  <c r="AX227" i="56"/>
  <c r="AX228" i="56"/>
  <c r="AX229" i="56"/>
  <c r="AX230" i="56"/>
  <c r="AX231" i="56"/>
  <c r="AX232" i="56"/>
  <c r="AX233" i="56"/>
  <c r="BW233" i="56" s="1"/>
  <c r="AX234" i="56"/>
  <c r="BJ234" i="56" s="1"/>
  <c r="AX235" i="56"/>
  <c r="AX236" i="56"/>
  <c r="AX237" i="56"/>
  <c r="AX238" i="56"/>
  <c r="AX239" i="56"/>
  <c r="AX240" i="56"/>
  <c r="BO240" i="56" s="1"/>
  <c r="AX241" i="56"/>
  <c r="CS241" i="56" s="1"/>
  <c r="I241" i="56" s="1"/>
  <c r="CT241" i="56" s="1"/>
  <c r="AX242" i="56"/>
  <c r="AX243" i="56"/>
  <c r="AX244" i="56"/>
  <c r="AX245" i="56"/>
  <c r="BX245" i="56" s="1"/>
  <c r="AX246" i="56"/>
  <c r="BO246" i="56" s="1"/>
  <c r="AX247" i="56"/>
  <c r="BO247" i="56" s="1"/>
  <c r="AX248" i="56"/>
  <c r="BO248" i="56" s="1"/>
  <c r="AX249" i="56"/>
  <c r="CX249" i="56" s="1"/>
  <c r="AX250" i="56"/>
  <c r="BJ250" i="56" s="1"/>
  <c r="AX251" i="56"/>
  <c r="BK251" i="56" s="1"/>
  <c r="AX252" i="56"/>
  <c r="AX253" i="56"/>
  <c r="AX254" i="56"/>
  <c r="AX255" i="56"/>
  <c r="AX256" i="56"/>
  <c r="BJ256" i="56" s="1"/>
  <c r="AX257" i="56"/>
  <c r="BJ257" i="56" s="1"/>
  <c r="AX258" i="56"/>
  <c r="AX259" i="56"/>
  <c r="BO259" i="56" s="1"/>
  <c r="AX260" i="56"/>
  <c r="AX261" i="56"/>
  <c r="AX262" i="56"/>
  <c r="CL262" i="56" s="1"/>
  <c r="AX263" i="56"/>
  <c r="AX264" i="56"/>
  <c r="AX265" i="56"/>
  <c r="BX265" i="56" s="1"/>
  <c r="AX266" i="56"/>
  <c r="AX267" i="56"/>
  <c r="AX268" i="56"/>
  <c r="BU268" i="56" s="1"/>
  <c r="AX269" i="56"/>
  <c r="AX270" i="56"/>
  <c r="AX271" i="56"/>
  <c r="AX272" i="56"/>
  <c r="AX273" i="56"/>
  <c r="AX274" i="56"/>
  <c r="BW274" i="56" s="1"/>
  <c r="AX275" i="56"/>
  <c r="AX276" i="56"/>
  <c r="AX277" i="56"/>
  <c r="AX278" i="56"/>
  <c r="AX279" i="56"/>
  <c r="BO279" i="56" s="1"/>
  <c r="AX280" i="56"/>
  <c r="BO280" i="56" s="1"/>
  <c r="AX281" i="56"/>
  <c r="AX282" i="56"/>
  <c r="AX283" i="56"/>
  <c r="AX284" i="56"/>
  <c r="AX285" i="56"/>
  <c r="BW285" i="56" s="1"/>
  <c r="AX286" i="56"/>
  <c r="AX287" i="56"/>
  <c r="BK287" i="56" s="1"/>
  <c r="AX288" i="56"/>
  <c r="AX289" i="56"/>
  <c r="AX290" i="56"/>
  <c r="AX291" i="56"/>
  <c r="AX292" i="56"/>
  <c r="AX293" i="56"/>
  <c r="AX294" i="56"/>
  <c r="BO294" i="56" s="1"/>
  <c r="AX295" i="56"/>
  <c r="BO295" i="56" s="1"/>
  <c r="AX296" i="56"/>
  <c r="BO296" i="56" s="1"/>
  <c r="AX297" i="56"/>
  <c r="BO297" i="56" s="1"/>
  <c r="AX298" i="56"/>
  <c r="AX299" i="56"/>
  <c r="BK299" i="56" s="1"/>
  <c r="AX300" i="56"/>
  <c r="AX301" i="56"/>
  <c r="BJ301" i="56" s="1"/>
  <c r="AX302" i="56"/>
  <c r="AX303" i="56"/>
  <c r="AX304" i="56"/>
  <c r="BJ304" i="56" s="1"/>
  <c r="AX305" i="56"/>
  <c r="BJ305" i="56" s="1"/>
  <c r="AX306" i="56"/>
  <c r="AX307" i="56"/>
  <c r="AX308" i="56"/>
  <c r="AX309" i="56"/>
  <c r="AX310" i="56"/>
  <c r="AX311" i="56"/>
  <c r="AX312" i="56"/>
  <c r="BK312" i="56" s="1"/>
  <c r="AX313" i="56"/>
  <c r="BK313" i="56" s="1"/>
  <c r="AX314" i="56"/>
  <c r="AX315" i="56"/>
  <c r="AX316" i="56"/>
  <c r="AX317" i="56"/>
  <c r="AX318" i="56"/>
  <c r="AX319" i="56"/>
  <c r="AX320" i="56"/>
  <c r="AX321" i="56"/>
  <c r="AX322" i="56"/>
  <c r="AX323" i="56"/>
  <c r="AX324" i="56"/>
  <c r="BK324" i="56" s="1"/>
  <c r="AX325" i="56"/>
  <c r="AX326" i="56"/>
  <c r="AX327" i="56"/>
  <c r="Q327" i="56" s="1"/>
  <c r="AX328" i="56"/>
  <c r="BK328" i="56" s="1"/>
  <c r="AX329" i="56"/>
  <c r="AX330" i="56"/>
  <c r="AX331" i="56"/>
  <c r="BJ331" i="56" s="1"/>
  <c r="AX332" i="56"/>
  <c r="AX333" i="56"/>
  <c r="AX334" i="56"/>
  <c r="AX335" i="56"/>
  <c r="AX336" i="56"/>
  <c r="Q336" i="56" s="1"/>
  <c r="AX337" i="56"/>
  <c r="BO337" i="56" s="1"/>
  <c r="AX338" i="56"/>
  <c r="BJ338" i="56" s="1"/>
  <c r="AX339" i="56"/>
  <c r="AX340" i="56"/>
  <c r="BO340" i="56" s="1"/>
  <c r="AX341" i="56"/>
  <c r="AX342" i="56"/>
  <c r="BX342" i="56" s="1"/>
  <c r="AX343" i="56"/>
  <c r="AX344" i="56"/>
  <c r="CI344" i="56" s="1"/>
  <c r="AX345" i="56"/>
  <c r="AX346" i="56"/>
  <c r="BJ346" i="56" s="1"/>
  <c r="AX347" i="56"/>
  <c r="BK347" i="56" s="1"/>
  <c r="AX348" i="56"/>
  <c r="AX349" i="56"/>
  <c r="BJ349" i="56" s="1"/>
  <c r="AX350" i="56"/>
  <c r="AX351" i="56"/>
  <c r="BK351" i="56" s="1"/>
  <c r="AX352" i="56"/>
  <c r="Q352" i="56" s="1"/>
  <c r="EK352" i="56" s="1"/>
  <c r="AW3" i="56" a="1"/>
  <c r="AW3" i="56" s="1"/>
  <c r="AW4" i="56" a="1"/>
  <c r="AW4" i="56" s="1"/>
  <c r="AW5" i="56" a="1"/>
  <c r="AW5" i="56" s="1"/>
  <c r="AW6" i="56" a="1"/>
  <c r="AW6" i="56" s="1"/>
  <c r="AW7" i="56" a="1"/>
  <c r="AW7" i="56" s="1"/>
  <c r="AW8" i="56" a="1"/>
  <c r="AW8" i="56" s="1"/>
  <c r="AW9" i="56" a="1"/>
  <c r="AW9" i="56" s="1"/>
  <c r="AW10" i="56" a="1"/>
  <c r="AW10" i="56"/>
  <c r="AW11" i="56" a="1"/>
  <c r="AW11" i="56" s="1"/>
  <c r="AW12" i="56" a="1"/>
  <c r="AW12" i="56" s="1"/>
  <c r="AW13" i="56" a="1"/>
  <c r="AW13" i="56" s="1"/>
  <c r="AW14" i="56" a="1"/>
  <c r="AW14" i="56"/>
  <c r="AW15" i="56" a="1"/>
  <c r="AW15" i="56" s="1"/>
  <c r="AW16" i="56" a="1"/>
  <c r="AW16" i="56" s="1"/>
  <c r="AW17" i="56" a="1"/>
  <c r="AW17" i="56" s="1"/>
  <c r="AW18" i="56" a="1"/>
  <c r="AW18" i="56" s="1"/>
  <c r="AW19" i="56" a="1"/>
  <c r="AW19" i="56"/>
  <c r="AW20" i="56" a="1"/>
  <c r="AW20" i="56" s="1"/>
  <c r="AW21" i="56" a="1"/>
  <c r="AW21" i="56"/>
  <c r="AW22" i="56" a="1"/>
  <c r="AW22" i="56" s="1"/>
  <c r="AW23" i="56" a="1"/>
  <c r="AW23" i="56" s="1"/>
  <c r="AW24" i="56" a="1"/>
  <c r="AW24" i="56" s="1"/>
  <c r="AW25" i="56" a="1"/>
  <c r="AW25" i="56" s="1"/>
  <c r="AW26" i="56" a="1"/>
  <c r="AW26" i="56"/>
  <c r="AW27" i="56" a="1"/>
  <c r="AW27" i="56" s="1"/>
  <c r="AW28" i="56" a="1"/>
  <c r="AW28" i="56" s="1"/>
  <c r="AW29" i="56" a="1"/>
  <c r="AW29" i="56"/>
  <c r="AW30" i="56" a="1"/>
  <c r="AW30" i="56" s="1"/>
  <c r="AW31" i="56" a="1"/>
  <c r="AW31" i="56" s="1"/>
  <c r="AW32" i="56" a="1"/>
  <c r="AW32" i="56" s="1"/>
  <c r="AW33" i="56" a="1"/>
  <c r="AW33" i="56" s="1"/>
  <c r="AW34" i="56" a="1"/>
  <c r="AW34" i="56"/>
  <c r="AW35" i="56" a="1"/>
  <c r="AW35" i="56" s="1"/>
  <c r="AW36" i="56" a="1"/>
  <c r="AW36" i="56" s="1"/>
  <c r="AW37" i="56" a="1"/>
  <c r="AW37" i="56" s="1"/>
  <c r="AW38" i="56" a="1"/>
  <c r="AW38" i="56" s="1"/>
  <c r="AW39" i="56" a="1"/>
  <c r="AW39" i="56" s="1"/>
  <c r="AW40" i="56" a="1"/>
  <c r="AW40" i="56" s="1"/>
  <c r="AW41" i="56" a="1"/>
  <c r="AW41" i="56" s="1"/>
  <c r="AW42" i="56" a="1"/>
  <c r="AW42" i="56"/>
  <c r="AW43" i="56" a="1"/>
  <c r="AW43" i="56" s="1"/>
  <c r="AW44" i="56" a="1"/>
  <c r="AW44" i="56"/>
  <c r="AW45" i="56" a="1"/>
  <c r="AW45" i="56" s="1"/>
  <c r="AW46" i="56" a="1"/>
  <c r="AW46" i="56"/>
  <c r="AW47" i="56" a="1"/>
  <c r="AW47" i="56" s="1"/>
  <c r="AW48" i="56" a="1"/>
  <c r="AW48" i="56" s="1"/>
  <c r="AW49" i="56" a="1"/>
  <c r="AW49" i="56" s="1"/>
  <c r="AW50" i="56" a="1"/>
  <c r="AW50" i="56" s="1"/>
  <c r="AW51" i="56" a="1"/>
  <c r="AW51" i="56" s="1"/>
  <c r="AW52" i="56" a="1"/>
  <c r="AW52" i="56"/>
  <c r="AW53" i="56" a="1"/>
  <c r="AW53" i="56"/>
  <c r="AW54" i="56" a="1"/>
  <c r="AW54" i="56"/>
  <c r="AW55" i="56" a="1"/>
  <c r="AW55" i="56"/>
  <c r="AW56" i="56" a="1"/>
  <c r="AW56" i="56" s="1"/>
  <c r="AW57" i="56" a="1"/>
  <c r="AW57" i="56" s="1"/>
  <c r="AW58" i="56" a="1"/>
  <c r="AW58" i="56" s="1"/>
  <c r="AW59" i="56" a="1"/>
  <c r="AW59" i="56"/>
  <c r="AW60" i="56" a="1"/>
  <c r="AW60" i="56" s="1"/>
  <c r="AW61" i="56" a="1"/>
  <c r="AW61" i="56" s="1"/>
  <c r="AW62" i="56" a="1"/>
  <c r="AW62" i="56" s="1"/>
  <c r="AW63" i="56" a="1"/>
  <c r="AW63" i="56" s="1"/>
  <c r="AW64" i="56" a="1"/>
  <c r="AW64" i="56" s="1"/>
  <c r="AW65" i="56" a="1"/>
  <c r="AW65" i="56" s="1"/>
  <c r="AW66" i="56" a="1"/>
  <c r="AW66" i="56"/>
  <c r="AW67" i="56" a="1"/>
  <c r="AW67" i="56" s="1"/>
  <c r="AW68" i="56" a="1"/>
  <c r="AW68" i="56" s="1"/>
  <c r="AW69" i="56" a="1"/>
  <c r="AW69" i="56" s="1"/>
  <c r="AW70" i="56" a="1"/>
  <c r="AW70" i="56"/>
  <c r="AW71" i="56" a="1"/>
  <c r="AW71" i="56" s="1"/>
  <c r="AW72" i="56" a="1"/>
  <c r="AW72" i="56" s="1"/>
  <c r="AW73" i="56" a="1"/>
  <c r="AW73" i="56" s="1"/>
  <c r="AW74" i="56" a="1"/>
  <c r="AW74" i="56" s="1"/>
  <c r="AW75" i="56" a="1"/>
  <c r="AW75" i="56" s="1"/>
  <c r="AW76" i="56" a="1"/>
  <c r="AW76" i="56"/>
  <c r="AW77" i="56" a="1"/>
  <c r="AW77" i="56" s="1"/>
  <c r="AW78" i="56" a="1"/>
  <c r="AW78" i="56"/>
  <c r="AW79" i="56" a="1"/>
  <c r="AW79" i="56" s="1"/>
  <c r="AW80" i="56" a="1"/>
  <c r="AW80" i="56" s="1"/>
  <c r="AW81" i="56" a="1"/>
  <c r="AW81" i="56" s="1"/>
  <c r="AW82" i="56" a="1"/>
  <c r="AW82" i="56"/>
  <c r="AW83" i="56" a="1"/>
  <c r="AW83" i="56" s="1"/>
  <c r="AW84" i="56" a="1"/>
  <c r="AW84" i="56" s="1"/>
  <c r="AW85" i="56" a="1"/>
  <c r="AW85" i="56" s="1"/>
  <c r="AW86" i="56" a="1"/>
  <c r="AW86" i="56" s="1"/>
  <c r="AW87" i="56" a="1"/>
  <c r="AW87" i="56"/>
  <c r="AW88" i="56" a="1"/>
  <c r="AW88" i="56" s="1"/>
  <c r="AW89" i="56" a="1"/>
  <c r="AW89" i="56" s="1"/>
  <c r="AW90" i="56" a="1"/>
  <c r="AW90" i="56" s="1"/>
  <c r="AW91" i="56" a="1"/>
  <c r="AW91" i="56"/>
  <c r="GB91" i="56" s="1"/>
  <c r="AW92" i="56" a="1"/>
  <c r="AW92" i="56" s="1"/>
  <c r="AW93" i="56" a="1"/>
  <c r="AW93" i="56"/>
  <c r="AW94" i="56" a="1"/>
  <c r="AW94" i="56" s="1"/>
  <c r="AW95" i="56" a="1"/>
  <c r="AW95" i="56" s="1"/>
  <c r="AW96" i="56" a="1"/>
  <c r="AW96" i="56" s="1"/>
  <c r="AW97" i="56" a="1"/>
  <c r="AW97" i="56" s="1"/>
  <c r="AW98" i="56" a="1"/>
  <c r="AW98" i="56"/>
  <c r="AW99" i="56" a="1"/>
  <c r="AW99" i="56" s="1"/>
  <c r="AW100" i="56" a="1"/>
  <c r="AW100" i="56" s="1"/>
  <c r="AW101" i="56" a="1"/>
  <c r="AW101" i="56" s="1"/>
  <c r="AW102" i="56" a="1"/>
  <c r="AW102" i="56" s="1"/>
  <c r="AW103" i="56" a="1"/>
  <c r="AW103" i="56"/>
  <c r="AW104" i="56" a="1"/>
  <c r="AW104" i="56" s="1"/>
  <c r="AW105" i="56" a="1"/>
  <c r="AW105" i="56" s="1"/>
  <c r="AW106" i="56" a="1"/>
  <c r="AW106" i="56" s="1"/>
  <c r="AW107" i="56" a="1"/>
  <c r="AW107" i="56" s="1"/>
  <c r="AW108" i="56" a="1"/>
  <c r="AW108" i="56"/>
  <c r="AW109" i="56" a="1"/>
  <c r="AW109" i="56" s="1"/>
  <c r="AW110" i="56" a="1"/>
  <c r="AW110" i="56" s="1"/>
  <c r="AW111" i="56" a="1"/>
  <c r="AW111" i="56" s="1"/>
  <c r="AW112" i="56" a="1"/>
  <c r="AW112" i="56" s="1"/>
  <c r="AW113" i="56" a="1"/>
  <c r="AW113" i="56" s="1"/>
  <c r="AW114" i="56" a="1"/>
  <c r="AW114" i="56"/>
  <c r="AW115" i="56" a="1"/>
  <c r="AW115" i="56" s="1"/>
  <c r="AW116" i="56" a="1"/>
  <c r="AW116" i="56" s="1"/>
  <c r="AW117" i="56" a="1"/>
  <c r="AW117" i="56" s="1"/>
  <c r="AW118" i="56" a="1"/>
  <c r="AW118" i="56" s="1"/>
  <c r="AW119" i="56" a="1"/>
  <c r="AW119" i="56" s="1"/>
  <c r="AW120" i="56" a="1"/>
  <c r="AW120" i="56" s="1"/>
  <c r="AW121" i="56" a="1"/>
  <c r="AW121" i="56" s="1"/>
  <c r="AW122" i="56" a="1"/>
  <c r="AW122" i="56"/>
  <c r="AW123" i="56" a="1"/>
  <c r="AW123" i="56" s="1"/>
  <c r="AW124" i="56" a="1"/>
  <c r="AW124" i="56" s="1"/>
  <c r="AW125" i="56" a="1"/>
  <c r="AW125" i="56"/>
  <c r="AW126" i="56" a="1"/>
  <c r="AW126" i="56" s="1"/>
  <c r="AW127" i="56" a="1"/>
  <c r="AW127" i="56"/>
  <c r="AW128" i="56" a="1"/>
  <c r="AW128" i="56" s="1"/>
  <c r="AW129" i="56" a="1"/>
  <c r="AW129" i="56" s="1"/>
  <c r="AW130" i="56" a="1"/>
  <c r="AW130" i="56" s="1"/>
  <c r="AW131" i="56" a="1"/>
  <c r="AW131" i="56" s="1"/>
  <c r="AW132" i="56" a="1"/>
  <c r="AW132" i="56"/>
  <c r="AW133" i="56" a="1"/>
  <c r="AW133" i="56" s="1"/>
  <c r="AW134" i="56" a="1"/>
  <c r="AW134" i="56" s="1"/>
  <c r="AW135" i="56" a="1"/>
  <c r="AW135" i="56" s="1"/>
  <c r="AW136" i="56" a="1"/>
  <c r="AW136" i="56" s="1"/>
  <c r="AW137" i="56" a="1"/>
  <c r="AW137" i="56" s="1"/>
  <c r="AW138" i="56" a="1"/>
  <c r="AW138" i="56"/>
  <c r="AW139" i="56" a="1"/>
  <c r="AW139" i="56"/>
  <c r="AW140" i="56" a="1"/>
  <c r="AW140" i="56"/>
  <c r="AW141" i="56" a="1"/>
  <c r="AW141" i="56" s="1"/>
  <c r="AW142" i="56" a="1"/>
  <c r="AW142" i="56" s="1"/>
  <c r="AW143" i="56" a="1"/>
  <c r="AW143" i="56" s="1"/>
  <c r="AW144" i="56" a="1"/>
  <c r="AW144" i="56"/>
  <c r="AW145" i="56" a="1"/>
  <c r="AW145" i="56" s="1"/>
  <c r="AW146" i="56" a="1"/>
  <c r="AW146" i="56"/>
  <c r="AW147" i="56" a="1"/>
  <c r="AW147" i="56"/>
  <c r="AW148" i="56" a="1"/>
  <c r="AW148" i="56"/>
  <c r="AW149" i="56" a="1"/>
  <c r="AW149" i="56"/>
  <c r="AW150" i="56" a="1"/>
  <c r="AW150" i="56" s="1"/>
  <c r="AW151" i="56" a="1"/>
  <c r="AW151" i="56" s="1"/>
  <c r="AW152" i="56" a="1"/>
  <c r="AW152" i="56" s="1"/>
  <c r="AW153" i="56" a="1"/>
  <c r="AW153" i="56" s="1"/>
  <c r="AW154" i="56" a="1"/>
  <c r="AW154" i="56"/>
  <c r="AW155" i="56" a="1"/>
  <c r="AW155" i="56" s="1"/>
  <c r="AW156" i="56" a="1"/>
  <c r="AW156" i="56"/>
  <c r="AW157" i="56" a="1"/>
  <c r="AW157" i="56" s="1"/>
  <c r="AW158" i="56" a="1"/>
  <c r="AW158" i="56" s="1"/>
  <c r="AW159" i="56" a="1"/>
  <c r="AW159" i="56"/>
  <c r="AW160" i="56" a="1"/>
  <c r="AW160" i="56" s="1"/>
  <c r="AW161" i="56" a="1"/>
  <c r="AW161" i="56" s="1"/>
  <c r="AW162" i="56" a="1"/>
  <c r="AW162" i="56" s="1"/>
  <c r="AW163" i="56" a="1"/>
  <c r="AW163" i="56" s="1"/>
  <c r="AW164" i="56" a="1"/>
  <c r="AW164" i="56"/>
  <c r="AW165" i="56" a="1"/>
  <c r="AW165" i="56" s="1"/>
  <c r="AW166" i="56" a="1"/>
  <c r="AW166" i="56" s="1"/>
  <c r="AW167" i="56" a="1"/>
  <c r="AW167" i="56" s="1"/>
  <c r="AW168" i="56" a="1"/>
  <c r="AW168" i="56" s="1"/>
  <c r="AW169" i="56" a="1"/>
  <c r="AW169" i="56" s="1"/>
  <c r="AW170" i="56" a="1"/>
  <c r="AW170" i="56" s="1"/>
  <c r="AW171" i="56" a="1"/>
  <c r="AW171" i="56" s="1"/>
  <c r="AW172" i="56" a="1"/>
  <c r="AW172" i="56"/>
  <c r="AW173" i="56" a="1"/>
  <c r="AW173" i="56" s="1"/>
  <c r="AW174" i="56" a="1"/>
  <c r="AW174" i="56" s="1"/>
  <c r="AW175" i="56" a="1"/>
  <c r="AW175" i="56" s="1"/>
  <c r="AW176" i="56" a="1"/>
  <c r="AW176" i="56"/>
  <c r="AW177" i="56" a="1"/>
  <c r="AW177" i="56" s="1"/>
  <c r="AW178" i="56" a="1"/>
  <c r="AW178" i="56" s="1"/>
  <c r="AW179" i="56" a="1"/>
  <c r="AW179" i="56" s="1"/>
  <c r="AW180" i="56" a="1"/>
  <c r="AW180" i="56"/>
  <c r="AW181" i="56" a="1"/>
  <c r="AW181" i="56"/>
  <c r="AW182" i="56" a="1"/>
  <c r="AW182" i="56"/>
  <c r="AW183" i="56" a="1"/>
  <c r="AW183" i="56"/>
  <c r="AW184" i="56" a="1"/>
  <c r="AW184" i="56" s="1"/>
  <c r="AW185" i="56" a="1"/>
  <c r="AW185" i="56" s="1"/>
  <c r="AW186" i="56" a="1"/>
  <c r="AW186" i="56" s="1"/>
  <c r="AW187" i="56" a="1"/>
  <c r="AW187" i="56" s="1"/>
  <c r="AW188" i="56" a="1"/>
  <c r="AW188" i="56" s="1"/>
  <c r="AW189" i="56" a="1"/>
  <c r="AW189" i="56" s="1"/>
  <c r="AW190" i="56" a="1"/>
  <c r="AW190" i="56"/>
  <c r="AW191" i="56" a="1"/>
  <c r="AW191" i="56" s="1"/>
  <c r="AW192" i="56" a="1"/>
  <c r="AW192" i="56" s="1"/>
  <c r="AW193" i="56" a="1"/>
  <c r="AW193" i="56" s="1"/>
  <c r="AW194" i="56" a="1"/>
  <c r="AW194" i="56" s="1"/>
  <c r="AW195" i="56" a="1"/>
  <c r="AW195" i="56" s="1"/>
  <c r="AW196" i="56" a="1"/>
  <c r="AW196" i="56" s="1"/>
  <c r="AW197" i="56" a="1"/>
  <c r="AW197" i="56" s="1"/>
  <c r="AW198" i="56" a="1"/>
  <c r="AW198" i="56" s="1"/>
  <c r="AW199" i="56" a="1"/>
  <c r="AW199" i="56"/>
  <c r="AW200" i="56" a="1"/>
  <c r="AW200" i="56" s="1"/>
  <c r="AW201" i="56" a="1"/>
  <c r="AW201" i="56" s="1"/>
  <c r="AW202" i="56" a="1"/>
  <c r="AW202" i="56" s="1"/>
  <c r="AW203" i="56" a="1"/>
  <c r="AW203" i="56" s="1"/>
  <c r="AW204" i="56" a="1"/>
  <c r="AW204" i="56" s="1"/>
  <c r="AW205" i="56" a="1"/>
  <c r="AW205" i="56" s="1"/>
  <c r="AW206" i="56" a="1"/>
  <c r="AW206" i="56" s="1"/>
  <c r="AW207" i="56" a="1"/>
  <c r="AW207" i="56" s="1"/>
  <c r="AW208" i="56" a="1"/>
  <c r="AW208" i="56" s="1"/>
  <c r="AW209" i="56" a="1"/>
  <c r="AW209" i="56" s="1"/>
  <c r="AW210" i="56" a="1"/>
  <c r="AW210" i="56"/>
  <c r="AW211" i="56" a="1"/>
  <c r="AW211" i="56" s="1"/>
  <c r="AW212" i="56" a="1"/>
  <c r="AW212" i="56" s="1"/>
  <c r="AW213" i="56" a="1"/>
  <c r="AW213" i="56" s="1"/>
  <c r="AW214" i="56" a="1"/>
  <c r="AW214" i="56" s="1"/>
  <c r="AW215" i="56" a="1"/>
  <c r="AW215" i="56"/>
  <c r="AW216" i="56" a="1"/>
  <c r="AW216" i="56"/>
  <c r="AW217" i="56" a="1"/>
  <c r="AW217" i="56" s="1"/>
  <c r="AW218" i="56" a="1"/>
  <c r="AW218" i="56" s="1"/>
  <c r="AW219" i="56" a="1"/>
  <c r="AW219" i="56"/>
  <c r="AW220" i="56" a="1"/>
  <c r="AW220" i="56" s="1"/>
  <c r="AW221" i="56" a="1"/>
  <c r="AW221" i="56"/>
  <c r="AW222" i="56" a="1"/>
  <c r="AW222" i="56" s="1"/>
  <c r="AW223" i="56" a="1"/>
  <c r="AW223" i="56"/>
  <c r="AW224" i="56" a="1"/>
  <c r="AW224" i="56" s="1"/>
  <c r="AW225" i="56" a="1"/>
  <c r="AW225" i="56" s="1"/>
  <c r="AW226" i="56" a="1"/>
  <c r="AW226" i="56"/>
  <c r="AW227" i="56" a="1"/>
  <c r="AW227" i="56" s="1"/>
  <c r="AW228" i="56" a="1"/>
  <c r="AW228" i="56" s="1"/>
  <c r="AW229" i="56" a="1"/>
  <c r="AW229" i="56" s="1"/>
  <c r="AW230" i="56" a="1"/>
  <c r="AW230" i="56" s="1"/>
  <c r="AW231" i="56" a="1"/>
  <c r="AW231" i="56"/>
  <c r="AW232" i="56" a="1"/>
  <c r="AW232" i="56"/>
  <c r="AW233" i="56" a="1"/>
  <c r="AW233" i="56" s="1"/>
  <c r="AW234" i="56" a="1"/>
  <c r="AW234" i="56"/>
  <c r="AW235" i="56" a="1"/>
  <c r="AW235" i="56" s="1"/>
  <c r="AW236" i="56" a="1"/>
  <c r="AW236" i="56" s="1"/>
  <c r="AW237" i="56" a="1"/>
  <c r="AW237" i="56" s="1"/>
  <c r="AW238" i="56" a="1"/>
  <c r="AW238" i="56" s="1"/>
  <c r="AW239" i="56" a="1"/>
  <c r="AW239" i="56" s="1"/>
  <c r="AW240" i="56" a="1"/>
  <c r="AW240" i="56" s="1"/>
  <c r="AW241" i="56" a="1"/>
  <c r="AW241" i="56" s="1"/>
  <c r="AW242" i="56" a="1"/>
  <c r="AW242" i="56" s="1"/>
  <c r="AW243" i="56" a="1"/>
  <c r="AW243" i="56" s="1"/>
  <c r="AW244" i="56" a="1"/>
  <c r="AW244" i="56" s="1"/>
  <c r="AW245" i="56" a="1"/>
  <c r="AW245" i="56" s="1"/>
  <c r="AW246" i="56" a="1"/>
  <c r="AW246" i="56" s="1"/>
  <c r="AW247" i="56" a="1"/>
  <c r="AW247" i="56" s="1"/>
  <c r="AW248" i="56" a="1"/>
  <c r="AW248" i="56"/>
  <c r="AW249" i="56" a="1"/>
  <c r="AW249" i="56" s="1"/>
  <c r="AW250" i="56" a="1"/>
  <c r="AW250" i="56" s="1"/>
  <c r="AW251" i="56" a="1"/>
  <c r="AW251" i="56" s="1"/>
  <c r="AW252" i="56" a="1"/>
  <c r="AW252" i="56" s="1"/>
  <c r="AW253" i="56" a="1"/>
  <c r="AW253" i="56"/>
  <c r="AW254" i="56" a="1"/>
  <c r="AW254" i="56" s="1"/>
  <c r="AW255" i="56" a="1"/>
  <c r="AW255" i="56"/>
  <c r="AW256" i="56" a="1"/>
  <c r="AW256" i="56" s="1"/>
  <c r="AW257" i="56" a="1"/>
  <c r="AW257" i="56" s="1"/>
  <c r="AW258" i="56" a="1"/>
  <c r="AW258" i="56"/>
  <c r="AW259" i="56" a="1"/>
  <c r="AW259" i="56" s="1"/>
  <c r="AW260" i="56" a="1"/>
  <c r="AW260" i="56" s="1"/>
  <c r="AW261" i="56" a="1"/>
  <c r="AW261" i="56" s="1"/>
  <c r="AW262" i="56" a="1"/>
  <c r="AW262" i="56" s="1"/>
  <c r="AW263" i="56" a="1"/>
  <c r="AW263" i="56" s="1"/>
  <c r="AW264" i="56" a="1"/>
  <c r="AW264" i="56" s="1"/>
  <c r="AW265" i="56" a="1"/>
  <c r="AW265" i="56" s="1"/>
  <c r="AW266" i="56" a="1"/>
  <c r="AW266" i="56"/>
  <c r="AW267" i="56" a="1"/>
  <c r="AW267" i="56" s="1"/>
  <c r="AW268" i="56" a="1"/>
  <c r="AW268" i="56" s="1"/>
  <c r="AW269" i="56" a="1"/>
  <c r="AW269" i="56" s="1"/>
  <c r="AW270" i="56" a="1"/>
  <c r="AW270" i="56"/>
  <c r="AW271" i="56" a="1"/>
  <c r="AW271" i="56" s="1"/>
  <c r="AW272" i="56" a="1"/>
  <c r="AW272" i="56" s="1"/>
  <c r="AW273" i="56" a="1"/>
  <c r="AW273" i="56" s="1"/>
  <c r="AW274" i="56" a="1"/>
  <c r="AW274" i="56" s="1"/>
  <c r="AW275" i="56" a="1"/>
  <c r="AW275" i="56" s="1"/>
  <c r="AW276" i="56" a="1"/>
  <c r="AW276" i="56" s="1"/>
  <c r="AW277" i="56" a="1"/>
  <c r="AW277" i="56"/>
  <c r="AW278" i="56" a="1"/>
  <c r="AW278" i="56" s="1"/>
  <c r="AW279" i="56" a="1"/>
  <c r="AW279" i="56" s="1"/>
  <c r="AW280" i="56" a="1"/>
  <c r="AW280" i="56" s="1"/>
  <c r="AW281" i="56" a="1"/>
  <c r="AW281" i="56" s="1"/>
  <c r="AW282" i="56" a="1"/>
  <c r="AW282" i="56"/>
  <c r="AW283" i="56" a="1"/>
  <c r="AW283" i="56" s="1"/>
  <c r="AW284" i="56" a="1"/>
  <c r="AW284" i="56" s="1"/>
  <c r="AW285" i="56" a="1"/>
  <c r="AW285" i="56" s="1"/>
  <c r="AW286" i="56" a="1"/>
  <c r="AW286" i="56" s="1"/>
  <c r="AW287" i="56" a="1"/>
  <c r="AW287" i="56" s="1"/>
  <c r="AW288" i="56" a="1"/>
  <c r="AW288" i="56" s="1"/>
  <c r="AW289" i="56" a="1"/>
  <c r="AW289" i="56" s="1"/>
  <c r="AW290" i="56" a="1"/>
  <c r="AW290" i="56"/>
  <c r="AW291" i="56" a="1"/>
  <c r="AW291" i="56"/>
  <c r="AW292" i="56" a="1"/>
  <c r="AW292" i="56"/>
  <c r="AW293" i="56" a="1"/>
  <c r="AW293" i="56"/>
  <c r="AW294" i="56" a="1"/>
  <c r="AW294" i="56" s="1"/>
  <c r="AW295" i="56" a="1"/>
  <c r="AW295" i="56" s="1"/>
  <c r="AW296" i="56" a="1"/>
  <c r="AW296" i="56" s="1"/>
  <c r="AW297" i="56" a="1"/>
  <c r="AW297" i="56" s="1"/>
  <c r="AW298" i="56" a="1"/>
  <c r="AW298" i="56" s="1"/>
  <c r="AW299" i="56" a="1"/>
  <c r="AW299" i="56" s="1"/>
  <c r="AW300" i="56" a="1"/>
  <c r="AW300" i="56"/>
  <c r="AW301" i="56" a="1"/>
  <c r="AW301" i="56" s="1"/>
  <c r="AW302" i="56" a="1"/>
  <c r="AW302" i="56" s="1"/>
  <c r="AW303" i="56" a="1"/>
  <c r="AW303" i="56" s="1"/>
  <c r="AW304" i="56" a="1"/>
  <c r="AW304" i="56"/>
  <c r="AW305" i="56" a="1"/>
  <c r="AW305" i="56" s="1"/>
  <c r="AW306" i="56" a="1"/>
  <c r="AW306" i="56" s="1"/>
  <c r="AW307" i="56" a="1"/>
  <c r="AW307" i="56" s="1"/>
  <c r="AW308" i="56" a="1"/>
  <c r="AW308" i="56" s="1"/>
  <c r="AW309" i="56" a="1"/>
  <c r="AW309" i="56" s="1"/>
  <c r="AW310" i="56" a="1"/>
  <c r="AW310" i="56" s="1"/>
  <c r="AW311" i="56" a="1"/>
  <c r="AW311" i="56"/>
  <c r="AW312" i="56" a="1"/>
  <c r="AW312" i="56" s="1"/>
  <c r="AW313" i="56" a="1"/>
  <c r="AW313" i="56" s="1"/>
  <c r="AW314" i="56" a="1"/>
  <c r="AW314" i="56"/>
  <c r="AW315" i="56" a="1"/>
  <c r="AW315" i="56"/>
  <c r="AW316" i="56" a="1"/>
  <c r="AW316" i="56" s="1"/>
  <c r="AW317" i="56" a="1"/>
  <c r="AW317" i="56"/>
  <c r="AW318" i="56" a="1"/>
  <c r="AW318" i="56" s="1"/>
  <c r="AW319" i="56" a="1"/>
  <c r="AW319" i="56" s="1"/>
  <c r="AW320" i="56" a="1"/>
  <c r="AW320" i="56" s="1"/>
  <c r="AW321" i="56" a="1"/>
  <c r="AW321" i="56" s="1"/>
  <c r="AW322" i="56" a="1"/>
  <c r="AW322" i="56"/>
  <c r="AW323" i="56" a="1"/>
  <c r="AW323" i="56" s="1"/>
  <c r="AW324" i="56" a="1"/>
  <c r="AW324" i="56" s="1"/>
  <c r="AW325" i="56" a="1"/>
  <c r="AW325" i="56"/>
  <c r="AW326" i="56" a="1"/>
  <c r="AW326" i="56"/>
  <c r="AW327" i="56" a="1"/>
  <c r="AW327" i="56" s="1"/>
  <c r="AW328" i="56" a="1"/>
  <c r="AW328" i="56" s="1"/>
  <c r="AW329" i="56" a="1"/>
  <c r="AW329" i="56" s="1"/>
  <c r="AW330" i="56" a="1"/>
  <c r="AW330" i="56"/>
  <c r="AW331" i="56" a="1"/>
  <c r="AW331" i="56" s="1"/>
  <c r="AW332" i="56" a="1"/>
  <c r="AW332" i="56" s="1"/>
  <c r="AW333" i="56" a="1"/>
  <c r="AW333" i="56" s="1"/>
  <c r="AW334" i="56" a="1"/>
  <c r="AW334" i="56"/>
  <c r="AW335" i="56" a="1"/>
  <c r="AW335" i="56" s="1"/>
  <c r="AW336" i="56" a="1"/>
  <c r="AW336" i="56"/>
  <c r="AW337" i="56" a="1"/>
  <c r="AW337" i="56" s="1"/>
  <c r="AW338" i="56" a="1"/>
  <c r="AW338" i="56" s="1"/>
  <c r="AW339" i="56" a="1"/>
  <c r="AW339" i="56" s="1"/>
  <c r="AW340" i="56" a="1"/>
  <c r="AW340" i="56" s="1"/>
  <c r="AW341" i="56" a="1"/>
  <c r="AW341" i="56" s="1"/>
  <c r="AW342" i="56" a="1"/>
  <c r="AW342" i="56"/>
  <c r="AW343" i="56" a="1"/>
  <c r="AW343" i="56" s="1"/>
  <c r="AW344" i="56" a="1"/>
  <c r="AW344" i="56"/>
  <c r="AW345" i="56" a="1"/>
  <c r="AW345" i="56" s="1"/>
  <c r="AW346" i="56" a="1"/>
  <c r="AW346" i="56" s="1"/>
  <c r="AW347" i="56" a="1"/>
  <c r="AW347" i="56"/>
  <c r="AW348" i="56" a="1"/>
  <c r="AW348" i="56" s="1"/>
  <c r="AW349" i="56" a="1"/>
  <c r="AW349" i="56" s="1"/>
  <c r="AW350" i="56" a="1"/>
  <c r="AW350" i="56" s="1"/>
  <c r="AW351" i="56" a="1"/>
  <c r="AW351" i="56"/>
  <c r="AW352" i="56" a="1"/>
  <c r="AW352" i="56" s="1"/>
  <c r="T25" i="56"/>
  <c r="T32" i="56"/>
  <c r="T38" i="56"/>
  <c r="T44" i="56"/>
  <c r="T45" i="56"/>
  <c r="T104" i="56"/>
  <c r="T107" i="56"/>
  <c r="T200" i="56"/>
  <c r="T248" i="56"/>
  <c r="T251" i="56"/>
  <c r="Q6" i="56"/>
  <c r="Q7" i="56"/>
  <c r="Q8" i="56"/>
  <c r="EK8" i="56" s="1"/>
  <c r="Q10" i="56"/>
  <c r="EK10" i="56" s="1"/>
  <c r="Q22" i="56"/>
  <c r="Q23" i="56"/>
  <c r="Q24" i="56"/>
  <c r="Q26" i="56"/>
  <c r="Q29" i="56"/>
  <c r="Q51" i="56"/>
  <c r="Q53" i="56"/>
  <c r="Q56" i="56"/>
  <c r="EK56" i="56" s="1"/>
  <c r="Q58" i="56"/>
  <c r="EK58" i="56" s="1"/>
  <c r="Q66" i="56"/>
  <c r="Q67" i="56"/>
  <c r="Q80" i="56"/>
  <c r="EK80" i="56" s="1"/>
  <c r="Q85" i="56"/>
  <c r="Q86" i="56"/>
  <c r="EK86" i="56" s="1"/>
  <c r="Q98" i="56"/>
  <c r="Q99" i="56"/>
  <c r="Q103" i="56"/>
  <c r="Q104" i="56"/>
  <c r="Q106" i="56"/>
  <c r="EK106" i="56" s="1"/>
  <c r="Q122" i="56"/>
  <c r="Q124" i="56"/>
  <c r="Q131" i="56"/>
  <c r="Q149" i="56"/>
  <c r="Q150" i="56"/>
  <c r="EK150" i="56" s="1"/>
  <c r="Q154" i="56"/>
  <c r="EK154" i="56" s="1"/>
  <c r="Q181" i="56"/>
  <c r="Q182" i="56"/>
  <c r="EK182" i="56" s="1"/>
  <c r="Q183" i="56"/>
  <c r="Q216" i="56"/>
  <c r="EK216" i="56" s="1"/>
  <c r="Q218" i="56"/>
  <c r="Q221" i="56"/>
  <c r="EK221" i="56" s="1"/>
  <c r="Q222" i="56"/>
  <c r="EK222" i="56" s="1"/>
  <c r="Q223" i="56"/>
  <c r="EK223" i="56" s="1"/>
  <c r="Q234" i="56"/>
  <c r="Q275" i="56"/>
  <c r="Q279" i="56"/>
  <c r="Q280" i="56"/>
  <c r="EK280" i="56" s="1"/>
  <c r="Q282" i="56"/>
  <c r="EK282" i="56" s="1"/>
  <c r="Q298" i="56"/>
  <c r="Q307" i="56"/>
  <c r="EK307" i="56" s="1"/>
  <c r="Q310" i="56"/>
  <c r="EK310" i="56" s="1"/>
  <c r="Q311" i="56"/>
  <c r="Q341" i="56"/>
  <c r="Q342" i="56"/>
  <c r="Q343" i="56"/>
  <c r="Q344" i="56"/>
  <c r="EK344" i="56" s="1"/>
  <c r="Q346" i="56"/>
  <c r="EK346" i="56" s="1"/>
  <c r="Q348" i="56"/>
  <c r="EK348" i="56" s="1"/>
  <c r="Q349" i="56"/>
  <c r="EK349" i="56" s="1"/>
  <c r="V503" i="19"/>
  <c r="X503" i="19" s="1"/>
  <c r="V502" i="19"/>
  <c r="X502" i="19" s="1"/>
  <c r="V501" i="19"/>
  <c r="V500" i="19"/>
  <c r="V499" i="19"/>
  <c r="V498" i="19"/>
  <c r="W498" i="19" s="1"/>
  <c r="V497" i="19"/>
  <c r="V496" i="19"/>
  <c r="X496" i="19" s="1"/>
  <c r="V495" i="19"/>
  <c r="V494" i="19"/>
  <c r="W493" i="19"/>
  <c r="V493" i="19"/>
  <c r="X493" i="19" s="1"/>
  <c r="V492" i="19"/>
  <c r="X492" i="19" s="1"/>
  <c r="V491" i="19"/>
  <c r="V490" i="19"/>
  <c r="X490" i="19" s="1"/>
  <c r="V489" i="19"/>
  <c r="V488" i="19"/>
  <c r="X488" i="19" s="1"/>
  <c r="V487" i="19"/>
  <c r="X487" i="19" s="1"/>
  <c r="V486" i="19"/>
  <c r="X486" i="19" s="1"/>
  <c r="V485" i="19"/>
  <c r="X485" i="19" s="1"/>
  <c r="V484" i="19"/>
  <c r="X484" i="19" s="1"/>
  <c r="V483" i="19"/>
  <c r="X483" i="19" s="1"/>
  <c r="V482" i="19"/>
  <c r="W482" i="19" s="1"/>
  <c r="V481" i="19"/>
  <c r="V480" i="19"/>
  <c r="V479" i="19"/>
  <c r="V478" i="19"/>
  <c r="X478" i="19" s="1"/>
  <c r="V477" i="19"/>
  <c r="V476" i="19"/>
  <c r="X476" i="19" s="1"/>
  <c r="V475" i="19"/>
  <c r="X475" i="19" s="1"/>
  <c r="V474" i="19"/>
  <c r="W474" i="19" s="1"/>
  <c r="V473" i="19"/>
  <c r="V472" i="19"/>
  <c r="W472" i="19" s="1"/>
  <c r="V471" i="19"/>
  <c r="X471" i="19" s="1"/>
  <c r="V470" i="19"/>
  <c r="X470" i="19" s="1"/>
  <c r="V469" i="19"/>
  <c r="V468" i="19"/>
  <c r="V467" i="19"/>
  <c r="V466" i="19"/>
  <c r="W466" i="19" s="1"/>
  <c r="V465" i="19"/>
  <c r="V464" i="19"/>
  <c r="X464" i="19" s="1"/>
  <c r="V463" i="19"/>
  <c r="V462" i="19"/>
  <c r="X462" i="19" s="1"/>
  <c r="V461" i="19"/>
  <c r="X461" i="19" s="1"/>
  <c r="V460" i="19"/>
  <c r="X460" i="19" s="1"/>
  <c r="V459" i="19"/>
  <c r="V458" i="19"/>
  <c r="W458" i="19" s="1"/>
  <c r="V457" i="19"/>
  <c r="V456" i="19"/>
  <c r="X456" i="19" s="1"/>
  <c r="V455" i="19"/>
  <c r="X455" i="19" s="1"/>
  <c r="V454" i="19"/>
  <c r="X454" i="19" s="1"/>
  <c r="V453" i="19"/>
  <c r="V452" i="19"/>
  <c r="X452" i="19" s="1"/>
  <c r="V451" i="19"/>
  <c r="X451" i="19" s="1"/>
  <c r="V450" i="19"/>
  <c r="W450" i="19" s="1"/>
  <c r="V449" i="19"/>
  <c r="V448" i="19"/>
  <c r="V447" i="19"/>
  <c r="V446" i="19"/>
  <c r="V445" i="19"/>
  <c r="W445" i="19" s="1"/>
  <c r="V444" i="19"/>
  <c r="X444" i="19" s="1"/>
  <c r="V443" i="19"/>
  <c r="X443" i="19" s="1"/>
  <c r="V442" i="19"/>
  <c r="X442" i="19" s="1"/>
  <c r="V441" i="19"/>
  <c r="V440" i="19"/>
  <c r="X440" i="19" s="1"/>
  <c r="V439" i="19"/>
  <c r="X439" i="19" s="1"/>
  <c r="V438" i="19"/>
  <c r="X438" i="19" s="1"/>
  <c r="V437" i="19"/>
  <c r="V436" i="19"/>
  <c r="W436" i="19" s="1"/>
  <c r="V435" i="19"/>
  <c r="V434" i="19"/>
  <c r="V433" i="19"/>
  <c r="V432" i="19"/>
  <c r="X432" i="19" s="1"/>
  <c r="V431" i="19"/>
  <c r="V430" i="19"/>
  <c r="V429" i="19"/>
  <c r="W429" i="19" s="1"/>
  <c r="V428" i="19"/>
  <c r="X428" i="19" s="1"/>
  <c r="V427" i="19"/>
  <c r="V426" i="19"/>
  <c r="X426" i="19" s="1"/>
  <c r="V425" i="19"/>
  <c r="V424" i="19"/>
  <c r="X424" i="19" s="1"/>
  <c r="V423" i="19"/>
  <c r="X423" i="19" s="1"/>
  <c r="V422" i="19"/>
  <c r="X422" i="19" s="1"/>
  <c r="V421" i="19"/>
  <c r="W421" i="19" s="1"/>
  <c r="V420" i="19"/>
  <c r="W420" i="19" s="1"/>
  <c r="V419" i="19"/>
  <c r="V418" i="19"/>
  <c r="W418" i="19" s="1"/>
  <c r="V417" i="19"/>
  <c r="V416" i="19"/>
  <c r="W416" i="19" s="1"/>
  <c r="V415" i="19"/>
  <c r="W415" i="19" s="1"/>
  <c r="V414" i="19"/>
  <c r="V413" i="19"/>
  <c r="X413" i="19" s="1"/>
  <c r="V412" i="19"/>
  <c r="X412" i="19" s="1"/>
  <c r="V411" i="19"/>
  <c r="X411" i="19" s="1"/>
  <c r="V410" i="19"/>
  <c r="X410" i="19" s="1"/>
  <c r="V409" i="19"/>
  <c r="V408" i="19"/>
  <c r="X408" i="19" s="1"/>
  <c r="V407" i="19"/>
  <c r="X407" i="19" s="1"/>
  <c r="V406" i="19"/>
  <c r="X406" i="19" s="1"/>
  <c r="V405" i="19"/>
  <c r="V404" i="19"/>
  <c r="V403" i="19"/>
  <c r="X403" i="19" s="1"/>
  <c r="V402" i="19"/>
  <c r="V401" i="19"/>
  <c r="V400" i="19"/>
  <c r="X400" i="19" s="1"/>
  <c r="V399" i="19"/>
  <c r="V398" i="19"/>
  <c r="W398" i="19" s="1"/>
  <c r="V397" i="19"/>
  <c r="X397" i="19" s="1"/>
  <c r="V396" i="19"/>
  <c r="X396" i="19" s="1"/>
  <c r="V395" i="19"/>
  <c r="W395" i="19" s="1"/>
  <c r="V394" i="19"/>
  <c r="V393" i="19"/>
  <c r="V392" i="19"/>
  <c r="X392" i="19" s="1"/>
  <c r="V391" i="19"/>
  <c r="X391" i="19" s="1"/>
  <c r="V390" i="19"/>
  <c r="X390" i="19" s="1"/>
  <c r="V389" i="19"/>
  <c r="W389" i="19" s="1"/>
  <c r="V388" i="19"/>
  <c r="W388" i="19" s="1"/>
  <c r="V387" i="19"/>
  <c r="X387" i="19" s="1"/>
  <c r="V386" i="19"/>
  <c r="V385" i="19"/>
  <c r="V384" i="19"/>
  <c r="X384" i="19" s="1"/>
  <c r="V383" i="19"/>
  <c r="V382" i="19"/>
  <c r="V381" i="19"/>
  <c r="X381" i="19" s="1"/>
  <c r="V380" i="19"/>
  <c r="X380" i="19" s="1"/>
  <c r="V379" i="19"/>
  <c r="W379" i="19" s="1"/>
  <c r="V378" i="19"/>
  <c r="V377" i="19"/>
  <c r="W377" i="19" s="1"/>
  <c r="V376" i="19"/>
  <c r="X376" i="19" s="1"/>
  <c r="V375" i="19"/>
  <c r="X375" i="19" s="1"/>
  <c r="V374" i="19"/>
  <c r="X374" i="19" s="1"/>
  <c r="V373" i="19"/>
  <c r="X373" i="19" s="1"/>
  <c r="V372" i="19"/>
  <c r="X372" i="19" s="1"/>
  <c r="V371" i="19"/>
  <c r="X371" i="19" s="1"/>
  <c r="V370" i="19"/>
  <c r="V369" i="19"/>
  <c r="V368" i="19"/>
  <c r="W368" i="19" s="1"/>
  <c r="V367" i="19"/>
  <c r="V366" i="19"/>
  <c r="X366" i="19" s="1"/>
  <c r="V365" i="19"/>
  <c r="X365" i="19" s="1"/>
  <c r="V364" i="19"/>
  <c r="X364" i="19" s="1"/>
  <c r="V363" i="19"/>
  <c r="W363" i="19" s="1"/>
  <c r="V362" i="19"/>
  <c r="W362" i="19" s="1"/>
  <c r="V361" i="19"/>
  <c r="V360" i="19"/>
  <c r="W360" i="19" s="1"/>
  <c r="V359" i="19"/>
  <c r="X359" i="19" s="1"/>
  <c r="V358" i="19"/>
  <c r="V357" i="19"/>
  <c r="V356" i="19"/>
  <c r="X356" i="19" s="1"/>
  <c r="V355" i="19"/>
  <c r="X355" i="19" s="1"/>
  <c r="V354" i="19"/>
  <c r="V353" i="19"/>
  <c r="V352" i="19"/>
  <c r="X352" i="19" s="1"/>
  <c r="V351" i="19"/>
  <c r="V350" i="19"/>
  <c r="V349" i="19"/>
  <c r="V348" i="19"/>
  <c r="X348" i="19" s="1"/>
  <c r="V347" i="19"/>
  <c r="V346" i="19"/>
  <c r="X346" i="19" s="1"/>
  <c r="V345" i="19"/>
  <c r="W345" i="19" s="1"/>
  <c r="V344" i="19"/>
  <c r="X344" i="19" s="1"/>
  <c r="V343" i="19"/>
  <c r="X343" i="19" s="1"/>
  <c r="V342" i="19"/>
  <c r="X342" i="19" s="1"/>
  <c r="V341" i="19"/>
  <c r="V340" i="19"/>
  <c r="V339" i="19"/>
  <c r="X339" i="19" s="1"/>
  <c r="V338" i="19"/>
  <c r="W338" i="19" s="1"/>
  <c r="V337" i="19"/>
  <c r="V336" i="19"/>
  <c r="X336" i="19" s="1"/>
  <c r="V335" i="19"/>
  <c r="V334" i="19"/>
  <c r="W334" i="19" s="1"/>
  <c r="V333" i="19"/>
  <c r="V332" i="19"/>
  <c r="X332" i="19" s="1"/>
  <c r="V331" i="19"/>
  <c r="V330" i="19"/>
  <c r="X330" i="19" s="1"/>
  <c r="V329" i="19"/>
  <c r="V328" i="19"/>
  <c r="W328" i="19" s="1"/>
  <c r="V327" i="19"/>
  <c r="X327" i="19" s="1"/>
  <c r="V326" i="19"/>
  <c r="V325" i="19"/>
  <c r="X325" i="19" s="1"/>
  <c r="V324" i="19"/>
  <c r="W324" i="19" s="1"/>
  <c r="V323" i="19"/>
  <c r="X323" i="19" s="1"/>
  <c r="V322" i="19"/>
  <c r="V321" i="19"/>
  <c r="V320" i="19"/>
  <c r="X320" i="19" s="1"/>
  <c r="V319" i="19"/>
  <c r="W319" i="19" s="1"/>
  <c r="V318" i="19"/>
  <c r="W318" i="19" s="1"/>
  <c r="V317" i="19"/>
  <c r="V316" i="19"/>
  <c r="X316" i="19" s="1"/>
  <c r="V315" i="19"/>
  <c r="V314" i="19"/>
  <c r="X314" i="19" s="1"/>
  <c r="V313" i="19"/>
  <c r="V312" i="19"/>
  <c r="W312" i="19" s="1"/>
  <c r="V311" i="19"/>
  <c r="X311" i="19" s="1"/>
  <c r="V310" i="19"/>
  <c r="X310" i="19" s="1"/>
  <c r="V309" i="19"/>
  <c r="X309" i="19" s="1"/>
  <c r="V308" i="19"/>
  <c r="X308" i="19" s="1"/>
  <c r="V307" i="19"/>
  <c r="X307" i="19" s="1"/>
  <c r="V306" i="19"/>
  <c r="W306" i="19" s="1"/>
  <c r="V305" i="19"/>
  <c r="V304" i="19"/>
  <c r="X304" i="19" s="1"/>
  <c r="V303" i="19"/>
  <c r="V302" i="19"/>
  <c r="X302" i="19" s="1"/>
  <c r="V301" i="19"/>
  <c r="X301" i="19" s="1"/>
  <c r="V300" i="19"/>
  <c r="X300" i="19" s="1"/>
  <c r="V299" i="19"/>
  <c r="V298" i="19"/>
  <c r="X298" i="19" s="1"/>
  <c r="V297" i="19"/>
  <c r="V296" i="19"/>
  <c r="V295" i="19"/>
  <c r="X295" i="19" s="1"/>
  <c r="V294" i="19"/>
  <c r="X294" i="19" s="1"/>
  <c r="V293" i="19"/>
  <c r="V292" i="19"/>
  <c r="X292" i="19" s="1"/>
  <c r="V291" i="19"/>
  <c r="X291" i="19" s="1"/>
  <c r="V290" i="19"/>
  <c r="W290" i="19" s="1"/>
  <c r="V289" i="19"/>
  <c r="V288" i="19"/>
  <c r="V287" i="19"/>
  <c r="X287" i="19" s="1"/>
  <c r="V286" i="19"/>
  <c r="V285" i="19"/>
  <c r="V284" i="19"/>
  <c r="X284" i="19" s="1"/>
  <c r="V283" i="19"/>
  <c r="W283" i="19" s="1"/>
  <c r="V282" i="19"/>
  <c r="V281" i="19"/>
  <c r="V280" i="19"/>
  <c r="V279" i="19"/>
  <c r="X279" i="19" s="1"/>
  <c r="V278" i="19"/>
  <c r="X278" i="19" s="1"/>
  <c r="V277" i="19"/>
  <c r="X277" i="19" s="1"/>
  <c r="V276" i="19"/>
  <c r="W276" i="19" s="1"/>
  <c r="V275" i="19"/>
  <c r="V274" i="19"/>
  <c r="W274" i="19" s="1"/>
  <c r="V273" i="19"/>
  <c r="V272" i="19"/>
  <c r="X272" i="19" s="1"/>
  <c r="V271" i="19"/>
  <c r="V270" i="19"/>
  <c r="V269" i="19"/>
  <c r="X269" i="19" s="1"/>
  <c r="V268" i="19"/>
  <c r="X268" i="19" s="1"/>
  <c r="V267" i="19"/>
  <c r="V266" i="19"/>
  <c r="X266" i="19" s="1"/>
  <c r="V265" i="19"/>
  <c r="V264" i="19"/>
  <c r="W264" i="19" s="1"/>
  <c r="V263" i="19"/>
  <c r="X263" i="19" s="1"/>
  <c r="V262" i="19"/>
  <c r="V261" i="19"/>
  <c r="V260" i="19"/>
  <c r="X260" i="19" s="1"/>
  <c r="V259" i="19"/>
  <c r="X259" i="19" s="1"/>
  <c r="V258" i="19"/>
  <c r="W258" i="19" s="1"/>
  <c r="V257" i="19"/>
  <c r="V256" i="19"/>
  <c r="V255" i="19"/>
  <c r="X255" i="19" s="1"/>
  <c r="V254" i="19"/>
  <c r="W254" i="19" s="1"/>
  <c r="V253" i="19"/>
  <c r="X253" i="19" s="1"/>
  <c r="V252" i="19"/>
  <c r="X252" i="19" s="1"/>
  <c r="V251" i="19"/>
  <c r="X251" i="19" s="1"/>
  <c r="V250" i="19"/>
  <c r="W250" i="19" s="1"/>
  <c r="V249" i="19"/>
  <c r="W249" i="19" s="1"/>
  <c r="V248" i="19"/>
  <c r="X248" i="19" s="1"/>
  <c r="V247" i="19"/>
  <c r="X247" i="19" s="1"/>
  <c r="V246" i="19"/>
  <c r="X246" i="19" s="1"/>
  <c r="V245" i="19"/>
  <c r="V244" i="19"/>
  <c r="V243" i="19"/>
  <c r="W243" i="19" s="1"/>
  <c r="V242" i="19"/>
  <c r="W242" i="19" s="1"/>
  <c r="V241" i="19"/>
  <c r="V240" i="19"/>
  <c r="V239" i="19"/>
  <c r="V238" i="19"/>
  <c r="V237" i="19"/>
  <c r="V236" i="19"/>
  <c r="X236" i="19" s="1"/>
  <c r="V235" i="19"/>
  <c r="V234" i="19"/>
  <c r="X234" i="19" s="1"/>
  <c r="V233" i="19"/>
  <c r="V232" i="19"/>
  <c r="X232" i="19" s="1"/>
  <c r="V231" i="19"/>
  <c r="X231" i="19" s="1"/>
  <c r="V230" i="19"/>
  <c r="V229" i="19"/>
  <c r="W229" i="19" s="1"/>
  <c r="V228" i="19"/>
  <c r="X228" i="19" s="1"/>
  <c r="V227" i="19"/>
  <c r="V226" i="19"/>
  <c r="W226" i="19" s="1"/>
  <c r="V225" i="19"/>
  <c r="V224" i="19"/>
  <c r="V223" i="19"/>
  <c r="V222" i="19"/>
  <c r="V221" i="19"/>
  <c r="X221" i="19" s="1"/>
  <c r="V220" i="19"/>
  <c r="X220" i="19" s="1"/>
  <c r="V219" i="19"/>
  <c r="W219" i="19" s="1"/>
  <c r="V218" i="19"/>
  <c r="V217" i="19"/>
  <c r="V216" i="19"/>
  <c r="X216" i="19" s="1"/>
  <c r="V215" i="19"/>
  <c r="X215" i="19" s="1"/>
  <c r="V214" i="19"/>
  <c r="X214" i="19" s="1"/>
  <c r="V213" i="19"/>
  <c r="V212" i="19"/>
  <c r="X212" i="19" s="1"/>
  <c r="V211" i="19"/>
  <c r="W211" i="19" s="1"/>
  <c r="V210" i="19"/>
  <c r="W210" i="19" s="1"/>
  <c r="V209" i="19"/>
  <c r="V208" i="19"/>
  <c r="X208" i="19" s="1"/>
  <c r="V207" i="19"/>
  <c r="V206" i="19"/>
  <c r="X206" i="19" s="1"/>
  <c r="V205" i="19"/>
  <c r="X205" i="19" s="1"/>
  <c r="V204" i="19"/>
  <c r="X204" i="19" s="1"/>
  <c r="V203" i="19"/>
  <c r="X203" i="19" s="1"/>
  <c r="V202" i="19"/>
  <c r="X202" i="19" s="1"/>
  <c r="V201" i="19"/>
  <c r="V200" i="19"/>
  <c r="X200" i="19" s="1"/>
  <c r="V199" i="19"/>
  <c r="X199" i="19" s="1"/>
  <c r="V198" i="19"/>
  <c r="V197" i="19"/>
  <c r="X197" i="19" s="1"/>
  <c r="V196" i="19"/>
  <c r="X196" i="19" s="1"/>
  <c r="V195" i="19"/>
  <c r="X195" i="19" s="1"/>
  <c r="V194" i="19"/>
  <c r="W194" i="19" s="1"/>
  <c r="V193" i="19"/>
  <c r="V192" i="19"/>
  <c r="V191" i="19"/>
  <c r="V190" i="19"/>
  <c r="V189" i="19"/>
  <c r="W189" i="19" s="1"/>
  <c r="V188" i="19"/>
  <c r="X188" i="19" s="1"/>
  <c r="V187" i="19"/>
  <c r="V186" i="19"/>
  <c r="V185" i="19"/>
  <c r="X185" i="19" s="1"/>
  <c r="V184" i="19"/>
  <c r="V183" i="19"/>
  <c r="X183" i="19" s="1"/>
  <c r="V182" i="19"/>
  <c r="X182" i="19" s="1"/>
  <c r="V181" i="19"/>
  <c r="X181" i="19" s="1"/>
  <c r="V180" i="19"/>
  <c r="W180" i="19" s="1"/>
  <c r="V179" i="19"/>
  <c r="V178" i="19"/>
  <c r="W178" i="19" s="1"/>
  <c r="V177" i="19"/>
  <c r="V176" i="19"/>
  <c r="V175" i="19"/>
  <c r="V174" i="19"/>
  <c r="X174" i="19" s="1"/>
  <c r="V173" i="19"/>
  <c r="X173" i="19" s="1"/>
  <c r="V171" i="19"/>
  <c r="X171" i="19" s="1"/>
  <c r="V170" i="19"/>
  <c r="W170" i="19" s="1"/>
  <c r="V169" i="19"/>
  <c r="W169" i="19" s="1"/>
  <c r="V168" i="19"/>
  <c r="V167" i="19"/>
  <c r="X167" i="19" s="1"/>
  <c r="V166" i="19"/>
  <c r="X166" i="19" s="1"/>
  <c r="V165" i="19"/>
  <c r="X165" i="19" s="1"/>
  <c r="V164" i="19"/>
  <c r="X164" i="19" s="1"/>
  <c r="V163" i="19"/>
  <c r="V162" i="19"/>
  <c r="X162" i="19" s="1"/>
  <c r="V161" i="19"/>
  <c r="W161" i="19" s="1"/>
  <c r="V160" i="19"/>
  <c r="V159" i="19"/>
  <c r="V158" i="19"/>
  <c r="X158" i="19" s="1"/>
  <c r="T158" i="19"/>
  <c r="V157" i="19"/>
  <c r="W157" i="19" s="1"/>
  <c r="T157" i="19"/>
  <c r="V156" i="19"/>
  <c r="X156" i="19" s="1"/>
  <c r="T156" i="19"/>
  <c r="V155" i="19"/>
  <c r="X155" i="19" s="1"/>
  <c r="T155" i="19"/>
  <c r="V154" i="19"/>
  <c r="T154" i="19"/>
  <c r="V153" i="19"/>
  <c r="X153" i="19" s="1"/>
  <c r="T153" i="19"/>
  <c r="V152" i="19"/>
  <c r="X152" i="19" s="1"/>
  <c r="T152" i="19"/>
  <c r="V151" i="19"/>
  <c r="T151" i="19"/>
  <c r="V150" i="19"/>
  <c r="X150" i="19" s="1"/>
  <c r="T150" i="19"/>
  <c r="V149" i="19"/>
  <c r="X149" i="19" s="1"/>
  <c r="T149" i="19"/>
  <c r="V148" i="19"/>
  <c r="X148" i="19" s="1"/>
  <c r="T148" i="19"/>
  <c r="V147" i="19"/>
  <c r="X147" i="19" s="1"/>
  <c r="T147" i="19"/>
  <c r="V146" i="19"/>
  <c r="T146" i="19"/>
  <c r="V145" i="19"/>
  <c r="T145" i="19"/>
  <c r="V144" i="19"/>
  <c r="X144" i="19" s="1"/>
  <c r="T144" i="19"/>
  <c r="V143" i="19"/>
  <c r="W143" i="19" s="1"/>
  <c r="T143" i="19"/>
  <c r="V142" i="19"/>
  <c r="T142" i="19"/>
  <c r="V141" i="19"/>
  <c r="W141" i="19" s="1"/>
  <c r="T141" i="19"/>
  <c r="V140" i="19"/>
  <c r="X140" i="19" s="1"/>
  <c r="T140" i="19"/>
  <c r="V139" i="19"/>
  <c r="X139" i="19" s="1"/>
  <c r="T139" i="19"/>
  <c r="V138" i="19"/>
  <c r="X138" i="19" s="1"/>
  <c r="T138" i="19"/>
  <c r="V137" i="19"/>
  <c r="X137" i="19" s="1"/>
  <c r="T137" i="19"/>
  <c r="V136" i="19"/>
  <c r="X136" i="19" s="1"/>
  <c r="T136" i="19"/>
  <c r="V135" i="19"/>
  <c r="W135" i="19" s="1"/>
  <c r="T135" i="19"/>
  <c r="V134" i="19"/>
  <c r="W134" i="19" s="1"/>
  <c r="T134" i="19"/>
  <c r="V133" i="19"/>
  <c r="T133" i="19"/>
  <c r="V132" i="19"/>
  <c r="X132" i="19" s="1"/>
  <c r="T132" i="19"/>
  <c r="V131" i="19"/>
  <c r="T131" i="19"/>
  <c r="V130" i="19"/>
  <c r="X130" i="19" s="1"/>
  <c r="T130" i="19"/>
  <c r="V129" i="19"/>
  <c r="X129" i="19" s="1"/>
  <c r="T129" i="19"/>
  <c r="V128" i="19"/>
  <c r="X128" i="19" s="1"/>
  <c r="T128" i="19"/>
  <c r="V127" i="19"/>
  <c r="X127" i="19" s="1"/>
  <c r="T127" i="19"/>
  <c r="V126" i="19"/>
  <c r="T126" i="19"/>
  <c r="V125" i="19"/>
  <c r="X125" i="19" s="1"/>
  <c r="T125" i="19"/>
  <c r="V124" i="19"/>
  <c r="X124" i="19" s="1"/>
  <c r="T124" i="19"/>
  <c r="V123" i="19"/>
  <c r="X123" i="19" s="1"/>
  <c r="T123" i="19"/>
  <c r="V122" i="19"/>
  <c r="X122" i="19" s="1"/>
  <c r="T122" i="19"/>
  <c r="V121" i="19"/>
  <c r="T121" i="19"/>
  <c r="V120" i="19"/>
  <c r="X120" i="19" s="1"/>
  <c r="T120" i="19"/>
  <c r="V119" i="19"/>
  <c r="T119" i="19"/>
  <c r="V118" i="19"/>
  <c r="X118" i="19" s="1"/>
  <c r="T118" i="19"/>
  <c r="V117" i="19"/>
  <c r="X117" i="19" s="1"/>
  <c r="T117" i="19"/>
  <c r="V116" i="19"/>
  <c r="X116" i="19" s="1"/>
  <c r="T116" i="19"/>
  <c r="V115" i="19"/>
  <c r="X115" i="19" s="1"/>
  <c r="T115" i="19"/>
  <c r="V114" i="19"/>
  <c r="W114" i="19" s="1"/>
  <c r="T114" i="19"/>
  <c r="V113" i="19"/>
  <c r="X113" i="19" s="1"/>
  <c r="T113" i="19"/>
  <c r="V112" i="19"/>
  <c r="X112" i="19" s="1"/>
  <c r="T112" i="19"/>
  <c r="V111" i="19"/>
  <c r="X111" i="19" s="1"/>
  <c r="T111" i="19"/>
  <c r="V110" i="19"/>
  <c r="T110" i="19"/>
  <c r="V109" i="19"/>
  <c r="X109" i="19" s="1"/>
  <c r="T109" i="19"/>
  <c r="V108" i="19"/>
  <c r="X108" i="19" s="1"/>
  <c r="T108" i="19"/>
  <c r="V107" i="19"/>
  <c r="X107" i="19" s="1"/>
  <c r="T107" i="19"/>
  <c r="V106" i="19"/>
  <c r="X106" i="19" s="1"/>
  <c r="T106" i="19"/>
  <c r="V105" i="19"/>
  <c r="W105" i="19" s="1"/>
  <c r="T105" i="19"/>
  <c r="V104" i="19"/>
  <c r="X104" i="19" s="1"/>
  <c r="T104" i="19"/>
  <c r="V103" i="19"/>
  <c r="W103" i="19" s="1"/>
  <c r="T103" i="19"/>
  <c r="V102" i="19"/>
  <c r="W102" i="19" s="1"/>
  <c r="T102" i="19"/>
  <c r="V101" i="19"/>
  <c r="T101" i="19"/>
  <c r="V100" i="19"/>
  <c r="X100" i="19" s="1"/>
  <c r="T100" i="19"/>
  <c r="V99" i="19"/>
  <c r="W99" i="19" s="1"/>
  <c r="T99" i="19"/>
  <c r="V98" i="19"/>
  <c r="T98" i="19"/>
  <c r="V97" i="19"/>
  <c r="X97" i="19" s="1"/>
  <c r="T97" i="19"/>
  <c r="V96" i="19"/>
  <c r="X96" i="19" s="1"/>
  <c r="T96" i="19"/>
  <c r="V95" i="19"/>
  <c r="T95" i="19"/>
  <c r="V94" i="19"/>
  <c r="T94" i="19"/>
  <c r="V93" i="19"/>
  <c r="X93" i="19" s="1"/>
  <c r="T93" i="19"/>
  <c r="V92" i="19"/>
  <c r="X92" i="19" s="1"/>
  <c r="T92" i="19"/>
  <c r="V91" i="19"/>
  <c r="X91" i="19" s="1"/>
  <c r="T91" i="19"/>
  <c r="V90" i="19"/>
  <c r="W90" i="19" s="1"/>
  <c r="T90" i="19"/>
  <c r="V89" i="19"/>
  <c r="X89" i="19" s="1"/>
  <c r="T89" i="19"/>
  <c r="V88" i="19"/>
  <c r="X88" i="19" s="1"/>
  <c r="T88" i="19"/>
  <c r="V87" i="19"/>
  <c r="T87" i="19"/>
  <c r="V86" i="19"/>
  <c r="T86" i="19"/>
  <c r="V85" i="19"/>
  <c r="T85" i="19"/>
  <c r="V84" i="19"/>
  <c r="X84" i="19" s="1"/>
  <c r="T84" i="19"/>
  <c r="V83" i="19"/>
  <c r="X83" i="19" s="1"/>
  <c r="T83" i="19"/>
  <c r="V82" i="19"/>
  <c r="X82" i="19" s="1"/>
  <c r="T82" i="19"/>
  <c r="V81" i="19"/>
  <c r="T81" i="19"/>
  <c r="V80" i="19"/>
  <c r="X80" i="19" s="1"/>
  <c r="T80" i="19"/>
  <c r="V79" i="19"/>
  <c r="W79" i="19" s="1"/>
  <c r="T79" i="19"/>
  <c r="V78" i="19"/>
  <c r="T78" i="19"/>
  <c r="V77" i="19"/>
  <c r="X77" i="19" s="1"/>
  <c r="T77" i="19"/>
  <c r="V76" i="19"/>
  <c r="X76" i="19" s="1"/>
  <c r="T76" i="19"/>
  <c r="V75" i="19"/>
  <c r="T75" i="19"/>
  <c r="V74" i="19"/>
  <c r="X74" i="19" s="1"/>
  <c r="T74" i="19"/>
  <c r="V73" i="19"/>
  <c r="W73" i="19" s="1"/>
  <c r="T73" i="19"/>
  <c r="V72" i="19"/>
  <c r="X72" i="19" s="1"/>
  <c r="T72" i="19"/>
  <c r="V71" i="19"/>
  <c r="W71" i="19" s="1"/>
  <c r="T71" i="19"/>
  <c r="V70" i="19"/>
  <c r="T70" i="19"/>
  <c r="V69" i="19"/>
  <c r="T69" i="19"/>
  <c r="V68" i="19"/>
  <c r="X68" i="19" s="1"/>
  <c r="T68" i="19"/>
  <c r="V67" i="19"/>
  <c r="T67" i="19"/>
  <c r="V66" i="19"/>
  <c r="X66" i="19" s="1"/>
  <c r="T66" i="19"/>
  <c r="V65" i="19"/>
  <c r="X65" i="19" s="1"/>
  <c r="T65" i="19"/>
  <c r="V64" i="19"/>
  <c r="X64" i="19" s="1"/>
  <c r="T64" i="19"/>
  <c r="V63" i="19"/>
  <c r="T63" i="19"/>
  <c r="V62" i="19"/>
  <c r="W62" i="19" s="1"/>
  <c r="T62" i="19"/>
  <c r="V61" i="19"/>
  <c r="T61" i="19"/>
  <c r="V60" i="19"/>
  <c r="X60" i="19" s="1"/>
  <c r="T60" i="19"/>
  <c r="V59" i="19"/>
  <c r="T59" i="19"/>
  <c r="V58" i="19"/>
  <c r="X58" i="19" s="1"/>
  <c r="T58" i="19"/>
  <c r="V57" i="19"/>
  <c r="W57" i="19" s="1"/>
  <c r="T57" i="19"/>
  <c r="V56" i="19"/>
  <c r="X56" i="19" s="1"/>
  <c r="T56" i="19"/>
  <c r="V55" i="19"/>
  <c r="T55" i="19"/>
  <c r="V54" i="19"/>
  <c r="W54" i="19" s="1"/>
  <c r="T54" i="19"/>
  <c r="V53" i="19"/>
  <c r="T53" i="19"/>
  <c r="V52" i="19"/>
  <c r="X52" i="19" s="1"/>
  <c r="T52" i="19"/>
  <c r="V51" i="19"/>
  <c r="X51" i="19" s="1"/>
  <c r="T51" i="19"/>
  <c r="V50" i="19"/>
  <c r="W50" i="19" s="1"/>
  <c r="T50" i="19"/>
  <c r="V49" i="19"/>
  <c r="W49" i="19" s="1"/>
  <c r="T49" i="19"/>
  <c r="V48" i="19"/>
  <c r="X48" i="19" s="1"/>
  <c r="T48" i="19"/>
  <c r="V47" i="19"/>
  <c r="X47" i="19" s="1"/>
  <c r="T47" i="19"/>
  <c r="V46" i="19"/>
  <c r="T46" i="19"/>
  <c r="V45" i="19"/>
  <c r="W45" i="19" s="1"/>
  <c r="T45" i="19"/>
  <c r="V44" i="19"/>
  <c r="X44" i="19" s="1"/>
  <c r="T44" i="19"/>
  <c r="V43" i="19"/>
  <c r="X43" i="19" s="1"/>
  <c r="T43" i="19"/>
  <c r="V42" i="19"/>
  <c r="X42" i="19" s="1"/>
  <c r="T42" i="19"/>
  <c r="V41" i="19"/>
  <c r="T41" i="19"/>
  <c r="V40" i="19"/>
  <c r="X40" i="19" s="1"/>
  <c r="T40" i="19"/>
  <c r="V39" i="19"/>
  <c r="T39" i="19"/>
  <c r="V38" i="19"/>
  <c r="W38" i="19" s="1"/>
  <c r="T38" i="19"/>
  <c r="V37" i="19"/>
  <c r="T37" i="19"/>
  <c r="V36" i="19"/>
  <c r="X36" i="19" s="1"/>
  <c r="T36" i="19"/>
  <c r="V35" i="19"/>
  <c r="X35" i="19" s="1"/>
  <c r="T35" i="19"/>
  <c r="V34" i="19"/>
  <c r="T34" i="19"/>
  <c r="V33" i="19"/>
  <c r="X33" i="19" s="1"/>
  <c r="T33" i="19"/>
  <c r="V32" i="19"/>
  <c r="X32" i="19" s="1"/>
  <c r="T32" i="19"/>
  <c r="V31" i="19"/>
  <c r="X31" i="19" s="1"/>
  <c r="T31" i="19"/>
  <c r="V30" i="19"/>
  <c r="T30" i="19"/>
  <c r="V29" i="19"/>
  <c r="X29" i="19" s="1"/>
  <c r="T29" i="19"/>
  <c r="V28" i="19"/>
  <c r="X28" i="19" s="1"/>
  <c r="T28" i="19"/>
  <c r="V27" i="19"/>
  <c r="X27" i="19" s="1"/>
  <c r="T27" i="19"/>
  <c r="V26" i="19"/>
  <c r="T26" i="19"/>
  <c r="V25" i="19"/>
  <c r="T25" i="19"/>
  <c r="V24" i="19"/>
  <c r="X24" i="19" s="1"/>
  <c r="T24" i="19"/>
  <c r="V23" i="19"/>
  <c r="T23" i="19"/>
  <c r="V22" i="19"/>
  <c r="X22" i="19" s="1"/>
  <c r="T22" i="19"/>
  <c r="V21" i="19"/>
  <c r="T21" i="19"/>
  <c r="V20" i="19"/>
  <c r="X20" i="19" s="1"/>
  <c r="T20" i="19"/>
  <c r="V19" i="19"/>
  <c r="X19" i="19" s="1"/>
  <c r="T19" i="19"/>
  <c r="V18" i="19"/>
  <c r="T18" i="19"/>
  <c r="V17" i="19"/>
  <c r="T17" i="19"/>
  <c r="E17" i="19"/>
  <c r="F17" i="19" s="1"/>
  <c r="V16" i="19"/>
  <c r="X16" i="19" s="1"/>
  <c r="T16" i="19"/>
  <c r="E16" i="19"/>
  <c r="F16" i="19" s="1"/>
  <c r="V15" i="19"/>
  <c r="T15" i="19"/>
  <c r="E15" i="19"/>
  <c r="F15" i="19" s="1"/>
  <c r="V14" i="19"/>
  <c r="W14" i="19" s="1"/>
  <c r="T14" i="19"/>
  <c r="E14" i="19"/>
  <c r="F14" i="19" s="1"/>
  <c r="V13" i="19"/>
  <c r="T13" i="19"/>
  <c r="E13" i="19"/>
  <c r="F13" i="19" s="1"/>
  <c r="V12" i="19"/>
  <c r="T12" i="19"/>
  <c r="E12" i="19"/>
  <c r="F12" i="19" s="1"/>
  <c r="V11" i="19"/>
  <c r="X11" i="19" s="1"/>
  <c r="T11" i="19"/>
  <c r="E11" i="19"/>
  <c r="F11" i="19" s="1"/>
  <c r="V10" i="19"/>
  <c r="X10" i="19" s="1"/>
  <c r="T10" i="19"/>
  <c r="E10" i="19"/>
  <c r="F10" i="19" s="1"/>
  <c r="V9" i="19"/>
  <c r="T9" i="19"/>
  <c r="E9" i="19"/>
  <c r="F9" i="19" s="1"/>
  <c r="V8" i="19"/>
  <c r="X8" i="19" s="1"/>
  <c r="T8" i="19"/>
  <c r="E8" i="19"/>
  <c r="F8" i="19" s="1"/>
  <c r="V7" i="19"/>
  <c r="W7" i="19" s="1"/>
  <c r="T7" i="19"/>
  <c r="E7" i="19"/>
  <c r="F7" i="19" s="1"/>
  <c r="V6" i="19"/>
  <c r="X6" i="19" s="1"/>
  <c r="T6" i="19"/>
  <c r="E6" i="19"/>
  <c r="F6" i="19" s="1"/>
  <c r="V5" i="19"/>
  <c r="T5" i="19"/>
  <c r="E5" i="19"/>
  <c r="F5" i="19" s="1"/>
  <c r="V4" i="19"/>
  <c r="T4" i="19"/>
  <c r="E4" i="19"/>
  <c r="F4" i="19" s="1"/>
  <c r="AC500" i="42"/>
  <c r="AA500" i="42"/>
  <c r="Y500" i="42"/>
  <c r="V500" i="42"/>
  <c r="P500" i="42"/>
  <c r="AE500" i="42" s="1"/>
  <c r="AF500" i="42" s="1"/>
  <c r="AC499" i="42"/>
  <c r="AA499" i="42"/>
  <c r="Y499" i="42"/>
  <c r="V499" i="42"/>
  <c r="P499" i="42"/>
  <c r="AE499" i="42" s="1"/>
  <c r="AF499" i="42" s="1"/>
  <c r="AC498" i="42"/>
  <c r="AA498" i="42"/>
  <c r="Y498" i="42"/>
  <c r="P498" i="42"/>
  <c r="AE498" i="42" s="1"/>
  <c r="AF498" i="42" s="1"/>
  <c r="AC497" i="42"/>
  <c r="AA497" i="42"/>
  <c r="Y497" i="42"/>
  <c r="AC496" i="42"/>
  <c r="AA496" i="42"/>
  <c r="Y496" i="42"/>
  <c r="AC495" i="42"/>
  <c r="AA495" i="42"/>
  <c r="Y495" i="42"/>
  <c r="AC494" i="42"/>
  <c r="AA494" i="42"/>
  <c r="Y494" i="42"/>
  <c r="AC493" i="42"/>
  <c r="AA493" i="42"/>
  <c r="Y493" i="42"/>
  <c r="AC492" i="42"/>
  <c r="AA492" i="42"/>
  <c r="Y492" i="42"/>
  <c r="V492" i="42"/>
  <c r="P492" i="42"/>
  <c r="AE492" i="42" s="1"/>
  <c r="AF492" i="42" s="1"/>
  <c r="AC491" i="42"/>
  <c r="AA491" i="42"/>
  <c r="Y491" i="42"/>
  <c r="AC490" i="42"/>
  <c r="AA490" i="42"/>
  <c r="Y490" i="42"/>
  <c r="AC489" i="42"/>
  <c r="AA489" i="42"/>
  <c r="Y489" i="42"/>
  <c r="AC488" i="42"/>
  <c r="AA488" i="42"/>
  <c r="Y488" i="42"/>
  <c r="P488" i="42"/>
  <c r="AE488" i="42" s="1"/>
  <c r="AF488" i="42" s="1"/>
  <c r="AC487" i="42"/>
  <c r="AA487" i="42"/>
  <c r="Y487" i="42"/>
  <c r="V487" i="42"/>
  <c r="P487" i="42"/>
  <c r="AE487" i="42" s="1"/>
  <c r="AF487" i="42" s="1"/>
  <c r="AC486" i="42"/>
  <c r="AA486" i="42"/>
  <c r="Y486" i="42"/>
  <c r="V486" i="42"/>
  <c r="P486" i="42"/>
  <c r="AE486" i="42" s="1"/>
  <c r="AF486" i="42" s="1"/>
  <c r="AC485" i="42"/>
  <c r="AA485" i="42"/>
  <c r="Y485" i="42"/>
  <c r="V485" i="42"/>
  <c r="P485" i="42"/>
  <c r="AE485" i="42" s="1"/>
  <c r="AF485" i="42" s="1"/>
  <c r="AC484" i="42"/>
  <c r="AA484" i="42"/>
  <c r="Y484" i="42"/>
  <c r="V484" i="42"/>
  <c r="P484" i="42"/>
  <c r="AE484" i="42" s="1"/>
  <c r="AF484" i="42" s="1"/>
  <c r="AC483" i="42"/>
  <c r="AA483" i="42"/>
  <c r="Y483" i="42"/>
  <c r="V483" i="42"/>
  <c r="P483" i="42"/>
  <c r="AE483" i="42" s="1"/>
  <c r="AF483" i="42" s="1"/>
  <c r="AC482" i="42"/>
  <c r="AA482" i="42"/>
  <c r="Y482" i="42"/>
  <c r="P482" i="42"/>
  <c r="AE482" i="42" s="1"/>
  <c r="AF482" i="42" s="1"/>
  <c r="AC481" i="42"/>
  <c r="AA481" i="42"/>
  <c r="Y481" i="42"/>
  <c r="P481" i="42"/>
  <c r="AE481" i="42" s="1"/>
  <c r="AF481" i="42" s="1"/>
  <c r="AC480" i="42"/>
  <c r="AA480" i="42"/>
  <c r="Y480" i="42"/>
  <c r="AC479" i="42"/>
  <c r="AA479" i="42"/>
  <c r="Y479" i="42"/>
  <c r="AC478" i="42"/>
  <c r="AA478" i="42"/>
  <c r="Y478" i="42"/>
  <c r="V478" i="42"/>
  <c r="AC477" i="42"/>
  <c r="AA477" i="42"/>
  <c r="Y477" i="42"/>
  <c r="V477" i="42"/>
  <c r="AC476" i="42"/>
  <c r="AA476" i="42"/>
  <c r="Y476" i="42"/>
  <c r="AC475" i="42"/>
  <c r="AA475" i="42"/>
  <c r="Y475" i="42"/>
  <c r="V475" i="42"/>
  <c r="AC474" i="42"/>
  <c r="AA474" i="42"/>
  <c r="Y474" i="42"/>
  <c r="P474" i="42"/>
  <c r="AE474" i="42" s="1"/>
  <c r="AF474" i="42" s="1"/>
  <c r="AC473" i="42"/>
  <c r="AA473" i="42"/>
  <c r="Y473" i="42"/>
  <c r="V473" i="42"/>
  <c r="AC472" i="42"/>
  <c r="AA472" i="42"/>
  <c r="Y472" i="42"/>
  <c r="V472" i="42"/>
  <c r="AC471" i="42"/>
  <c r="AA471" i="42"/>
  <c r="Y471" i="42"/>
  <c r="V471" i="42"/>
  <c r="P471" i="42"/>
  <c r="AE471" i="42" s="1"/>
  <c r="AF471" i="42" s="1"/>
  <c r="AC470" i="42"/>
  <c r="AA470" i="42"/>
  <c r="Y470" i="42"/>
  <c r="V470" i="42"/>
  <c r="P470" i="42"/>
  <c r="AE470" i="42" s="1"/>
  <c r="AF470" i="42" s="1"/>
  <c r="AC469" i="42"/>
  <c r="AA469" i="42"/>
  <c r="Y469" i="42"/>
  <c r="V469" i="42"/>
  <c r="P469" i="42"/>
  <c r="AE469" i="42" s="1"/>
  <c r="AF469" i="42" s="1"/>
  <c r="AC468" i="42"/>
  <c r="AA468" i="42"/>
  <c r="Y468" i="42"/>
  <c r="V468" i="42"/>
  <c r="P468" i="42"/>
  <c r="AE468" i="42" s="1"/>
  <c r="AF468" i="42" s="1"/>
  <c r="AC467" i="42"/>
  <c r="AA467" i="42"/>
  <c r="Y467" i="42"/>
  <c r="V467" i="42"/>
  <c r="P467" i="42"/>
  <c r="AE467" i="42" s="1"/>
  <c r="AF467" i="42" s="1"/>
  <c r="AC466" i="42"/>
  <c r="AA466" i="42"/>
  <c r="Y466" i="42"/>
  <c r="P466" i="42"/>
  <c r="AE466" i="42" s="1"/>
  <c r="AF466" i="42" s="1"/>
  <c r="AC465" i="42"/>
  <c r="AA465" i="42"/>
  <c r="Y465" i="42"/>
  <c r="AC464" i="42"/>
  <c r="AA464" i="42"/>
  <c r="Y464" i="42"/>
  <c r="AC463" i="42"/>
  <c r="AA463" i="42"/>
  <c r="Y463" i="42"/>
  <c r="AC462" i="42"/>
  <c r="AA462" i="42"/>
  <c r="Y462" i="42"/>
  <c r="AC461" i="42"/>
  <c r="AA461" i="42"/>
  <c r="Y461" i="42"/>
  <c r="AC460" i="42"/>
  <c r="AA460" i="42"/>
  <c r="Y460" i="42"/>
  <c r="V460" i="42"/>
  <c r="P460" i="42"/>
  <c r="AE460" i="42" s="1"/>
  <c r="AF460" i="42" s="1"/>
  <c r="AC459" i="42"/>
  <c r="AA459" i="42"/>
  <c r="Y459" i="42"/>
  <c r="AC458" i="42"/>
  <c r="AA458" i="42"/>
  <c r="Y458" i="42"/>
  <c r="V458" i="42"/>
  <c r="AC457" i="42"/>
  <c r="AA457" i="42"/>
  <c r="Y457" i="42"/>
  <c r="V457" i="42"/>
  <c r="AC456" i="42"/>
  <c r="AA456" i="42"/>
  <c r="Y456" i="42"/>
  <c r="AC455" i="42"/>
  <c r="AA455" i="42"/>
  <c r="Y455" i="42"/>
  <c r="V455" i="42"/>
  <c r="P455" i="42"/>
  <c r="AE455" i="42" s="1"/>
  <c r="AF455" i="42" s="1"/>
  <c r="AC454" i="42"/>
  <c r="AA454" i="42"/>
  <c r="Y454" i="42"/>
  <c r="P454" i="42"/>
  <c r="AE454" i="42" s="1"/>
  <c r="AF454" i="42" s="1"/>
  <c r="AC453" i="42"/>
  <c r="AA453" i="42"/>
  <c r="Y453" i="42"/>
  <c r="V453" i="42"/>
  <c r="P453" i="42"/>
  <c r="AE453" i="42" s="1"/>
  <c r="AF453" i="42" s="1"/>
  <c r="AC452" i="42"/>
  <c r="AA452" i="42"/>
  <c r="Y452" i="42"/>
  <c r="P452" i="42"/>
  <c r="AE452" i="42" s="1"/>
  <c r="AF452" i="42" s="1"/>
  <c r="AC451" i="42"/>
  <c r="AA451" i="42"/>
  <c r="Y451" i="42"/>
  <c r="P451" i="42"/>
  <c r="AE451" i="42" s="1"/>
  <c r="AF451" i="42" s="1"/>
  <c r="AC450" i="42"/>
  <c r="AA450" i="42"/>
  <c r="Y450" i="42"/>
  <c r="P450" i="42"/>
  <c r="AE450" i="42" s="1"/>
  <c r="AF450" i="42" s="1"/>
  <c r="AC449" i="42"/>
  <c r="AA449" i="42"/>
  <c r="Y449" i="42"/>
  <c r="AC448" i="42"/>
  <c r="AA448" i="42"/>
  <c r="Y448" i="42"/>
  <c r="AC447" i="42"/>
  <c r="AA447" i="42"/>
  <c r="Y447" i="42"/>
  <c r="AC446" i="42"/>
  <c r="AA446" i="42"/>
  <c r="Y446" i="42"/>
  <c r="AC445" i="42"/>
  <c r="AA445" i="42"/>
  <c r="Y445" i="42"/>
  <c r="AC444" i="42"/>
  <c r="AA444" i="42"/>
  <c r="Y444" i="42"/>
  <c r="AC443" i="42"/>
  <c r="AA443" i="42"/>
  <c r="Y443" i="42"/>
  <c r="V443" i="42"/>
  <c r="AC442" i="42"/>
  <c r="AA442" i="42"/>
  <c r="Y442" i="42"/>
  <c r="AC441" i="42"/>
  <c r="AA441" i="42"/>
  <c r="Y441" i="42"/>
  <c r="V441" i="42"/>
  <c r="P441" i="42"/>
  <c r="AE441" i="42" s="1"/>
  <c r="AF441" i="42" s="1"/>
  <c r="AC440" i="42"/>
  <c r="AA440" i="42"/>
  <c r="Y440" i="42"/>
  <c r="V440" i="42"/>
  <c r="AC439" i="42"/>
  <c r="AA439" i="42"/>
  <c r="Y439" i="42"/>
  <c r="V439" i="42"/>
  <c r="AC438" i="42"/>
  <c r="AA438" i="42"/>
  <c r="Y438" i="42"/>
  <c r="V438" i="42"/>
  <c r="P438" i="42"/>
  <c r="AE438" i="42" s="1"/>
  <c r="AF438" i="42" s="1"/>
  <c r="AC437" i="42"/>
  <c r="AA437" i="42"/>
  <c r="Y437" i="42"/>
  <c r="V437" i="42"/>
  <c r="P437" i="42"/>
  <c r="AE437" i="42" s="1"/>
  <c r="AF437" i="42" s="1"/>
  <c r="AC436" i="42"/>
  <c r="AA436" i="42"/>
  <c r="Y436" i="42"/>
  <c r="V436" i="42"/>
  <c r="P436" i="42"/>
  <c r="AE436" i="42" s="1"/>
  <c r="AF436" i="42" s="1"/>
  <c r="AC435" i="42"/>
  <c r="AA435" i="42"/>
  <c r="Y435" i="42"/>
  <c r="V435" i="42"/>
  <c r="P435" i="42"/>
  <c r="AE435" i="42" s="1"/>
  <c r="AF435" i="42" s="1"/>
  <c r="AC434" i="42"/>
  <c r="AA434" i="42"/>
  <c r="Y434" i="42"/>
  <c r="P434" i="42"/>
  <c r="AE434" i="42" s="1"/>
  <c r="AF434" i="42" s="1"/>
  <c r="AC433" i="42"/>
  <c r="AA433" i="42"/>
  <c r="Y433" i="42"/>
  <c r="AC432" i="42"/>
  <c r="AA432" i="42"/>
  <c r="Y432" i="42"/>
  <c r="AC431" i="42"/>
  <c r="AA431" i="42"/>
  <c r="Y431" i="42"/>
  <c r="V431" i="42"/>
  <c r="AC430" i="42"/>
  <c r="AA430" i="42"/>
  <c r="Y430" i="42"/>
  <c r="AC429" i="42"/>
  <c r="AA429" i="42"/>
  <c r="Y429" i="42"/>
  <c r="AC428" i="42"/>
  <c r="AA428" i="42"/>
  <c r="Y428" i="42"/>
  <c r="P428" i="42"/>
  <c r="AE428" i="42" s="1"/>
  <c r="AF428" i="42" s="1"/>
  <c r="AC427" i="42"/>
  <c r="AA427" i="42"/>
  <c r="Y427" i="42"/>
  <c r="V427" i="42"/>
  <c r="P427" i="42"/>
  <c r="AE427" i="42" s="1"/>
  <c r="AF427" i="42" s="1"/>
  <c r="AC426" i="42"/>
  <c r="AA426" i="42"/>
  <c r="Y426" i="42"/>
  <c r="V426" i="42"/>
  <c r="AC425" i="42"/>
  <c r="AA425" i="42"/>
  <c r="Y425" i="42"/>
  <c r="V425" i="42"/>
  <c r="AC424" i="42"/>
  <c r="AA424" i="42"/>
  <c r="Y424" i="42"/>
  <c r="V424" i="42"/>
  <c r="AC423" i="42"/>
  <c r="AA423" i="42"/>
  <c r="Y423" i="42"/>
  <c r="P423" i="42"/>
  <c r="AE423" i="42" s="1"/>
  <c r="AF423" i="42" s="1"/>
  <c r="AC422" i="42"/>
  <c r="AA422" i="42"/>
  <c r="Y422" i="42"/>
  <c r="V422" i="42"/>
  <c r="AC421" i="42"/>
  <c r="AA421" i="42"/>
  <c r="Y421" i="42"/>
  <c r="V421" i="42"/>
  <c r="P421" i="42"/>
  <c r="AE421" i="42" s="1"/>
  <c r="AF421" i="42" s="1"/>
  <c r="AC420" i="42"/>
  <c r="AA420" i="42"/>
  <c r="Y420" i="42"/>
  <c r="P420" i="42"/>
  <c r="AE420" i="42" s="1"/>
  <c r="AF420" i="42" s="1"/>
  <c r="AC419" i="42"/>
  <c r="AA419" i="42"/>
  <c r="Y419" i="42"/>
  <c r="V419" i="42"/>
  <c r="P419" i="42"/>
  <c r="AE419" i="42" s="1"/>
  <c r="AF419" i="42" s="1"/>
  <c r="AC418" i="42"/>
  <c r="AA418" i="42"/>
  <c r="Y418" i="42"/>
  <c r="P418" i="42"/>
  <c r="AE418" i="42" s="1"/>
  <c r="AF418" i="42" s="1"/>
  <c r="AC417" i="42"/>
  <c r="AA417" i="42"/>
  <c r="Y417" i="42"/>
  <c r="AC416" i="42"/>
  <c r="AA416" i="42"/>
  <c r="Y416" i="42"/>
  <c r="AC415" i="42"/>
  <c r="AA415" i="42"/>
  <c r="Y415" i="42"/>
  <c r="AC414" i="42"/>
  <c r="AA414" i="42"/>
  <c r="Y414" i="42"/>
  <c r="AC413" i="42"/>
  <c r="AA413" i="42"/>
  <c r="Y413" i="42"/>
  <c r="AC412" i="42"/>
  <c r="AA412" i="42"/>
  <c r="Y412" i="42"/>
  <c r="AC411" i="42"/>
  <c r="AA411" i="42"/>
  <c r="Y411" i="42"/>
  <c r="V411" i="42"/>
  <c r="AC410" i="42"/>
  <c r="AA410" i="42"/>
  <c r="Y410" i="42"/>
  <c r="V410" i="42"/>
  <c r="P410" i="42"/>
  <c r="AE410" i="42" s="1"/>
  <c r="AF410" i="42" s="1"/>
  <c r="AC409" i="42"/>
  <c r="AA409" i="42"/>
  <c r="Y409" i="42"/>
  <c r="AC408" i="42"/>
  <c r="AA408" i="42"/>
  <c r="Y408" i="42"/>
  <c r="V408" i="42"/>
  <c r="AC407" i="42"/>
  <c r="AA407" i="42"/>
  <c r="Y407" i="42"/>
  <c r="V407" i="42"/>
  <c r="P407" i="42"/>
  <c r="AE407" i="42" s="1"/>
  <c r="AF407" i="42" s="1"/>
  <c r="AC406" i="42"/>
  <c r="AA406" i="42"/>
  <c r="Y406" i="42"/>
  <c r="P406" i="42"/>
  <c r="AE406" i="42" s="1"/>
  <c r="AF406" i="42" s="1"/>
  <c r="AC405" i="42"/>
  <c r="AA405" i="42"/>
  <c r="Y405" i="42"/>
  <c r="V405" i="42"/>
  <c r="P405" i="42"/>
  <c r="AE405" i="42" s="1"/>
  <c r="AF405" i="42" s="1"/>
  <c r="AC404" i="42"/>
  <c r="AA404" i="42"/>
  <c r="Y404" i="42"/>
  <c r="V404" i="42"/>
  <c r="P404" i="42"/>
  <c r="AE404" i="42" s="1"/>
  <c r="AF404" i="42" s="1"/>
  <c r="AC403" i="42"/>
  <c r="AA403" i="42"/>
  <c r="Y403" i="42"/>
  <c r="P403" i="42"/>
  <c r="AE403" i="42" s="1"/>
  <c r="AF403" i="42" s="1"/>
  <c r="AC402" i="42"/>
  <c r="AA402" i="42"/>
  <c r="Y402" i="42"/>
  <c r="P402" i="42"/>
  <c r="AE402" i="42" s="1"/>
  <c r="AF402" i="42" s="1"/>
  <c r="AC401" i="42"/>
  <c r="AA401" i="42"/>
  <c r="Y401" i="42"/>
  <c r="AC400" i="42"/>
  <c r="AA400" i="42"/>
  <c r="Y400" i="42"/>
  <c r="AC399" i="42"/>
  <c r="AA399" i="42"/>
  <c r="Y399" i="42"/>
  <c r="AC398" i="42"/>
  <c r="AA398" i="42"/>
  <c r="Y398" i="42"/>
  <c r="P398" i="42"/>
  <c r="AE398" i="42" s="1"/>
  <c r="AF398" i="42" s="1"/>
  <c r="AC397" i="42"/>
  <c r="AA397" i="42"/>
  <c r="Y397" i="42"/>
  <c r="AC396" i="42"/>
  <c r="AA396" i="42"/>
  <c r="Y396" i="42"/>
  <c r="AC395" i="42"/>
  <c r="AA395" i="42"/>
  <c r="Y395" i="42"/>
  <c r="AC394" i="42"/>
  <c r="AA394" i="42"/>
  <c r="Y394" i="42"/>
  <c r="AC393" i="42"/>
  <c r="AA393" i="42"/>
  <c r="Y393" i="42"/>
  <c r="V393" i="42"/>
  <c r="P393" i="42"/>
  <c r="AE393" i="42" s="1"/>
  <c r="AF393" i="42" s="1"/>
  <c r="AC392" i="42"/>
  <c r="AA392" i="42"/>
  <c r="Y392" i="42"/>
  <c r="AC391" i="42"/>
  <c r="AA391" i="42"/>
  <c r="Y391" i="42"/>
  <c r="V391" i="42"/>
  <c r="P391" i="42"/>
  <c r="AE391" i="42" s="1"/>
  <c r="AF391" i="42" s="1"/>
  <c r="AC390" i="42"/>
  <c r="AA390" i="42"/>
  <c r="Y390" i="42"/>
  <c r="V390" i="42"/>
  <c r="P390" i="42"/>
  <c r="AE390" i="42" s="1"/>
  <c r="AF390" i="42" s="1"/>
  <c r="AC389" i="42"/>
  <c r="AA389" i="42"/>
  <c r="Y389" i="42"/>
  <c r="V389" i="42"/>
  <c r="P389" i="42"/>
  <c r="AE389" i="42" s="1"/>
  <c r="AF389" i="42" s="1"/>
  <c r="AC388" i="42"/>
  <c r="AA388" i="42"/>
  <c r="Y388" i="42"/>
  <c r="V388" i="42"/>
  <c r="P388" i="42"/>
  <c r="AE388" i="42" s="1"/>
  <c r="AF388" i="42" s="1"/>
  <c r="AC387" i="42"/>
  <c r="AA387" i="42"/>
  <c r="Y387" i="42"/>
  <c r="V387" i="42"/>
  <c r="P387" i="42"/>
  <c r="AE387" i="42" s="1"/>
  <c r="AF387" i="42" s="1"/>
  <c r="AC386" i="42"/>
  <c r="AA386" i="42"/>
  <c r="Y386" i="42"/>
  <c r="P386" i="42"/>
  <c r="AE386" i="42" s="1"/>
  <c r="AF386" i="42" s="1"/>
  <c r="AC385" i="42"/>
  <c r="AA385" i="42"/>
  <c r="Y385" i="42"/>
  <c r="AC384" i="42"/>
  <c r="AA384" i="42"/>
  <c r="Y384" i="42"/>
  <c r="P384" i="42"/>
  <c r="AE384" i="42" s="1"/>
  <c r="AF384" i="42" s="1"/>
  <c r="AC383" i="42"/>
  <c r="AA383" i="42"/>
  <c r="Y383" i="42"/>
  <c r="AC382" i="42"/>
  <c r="AA382" i="42"/>
  <c r="Y382" i="42"/>
  <c r="AC381" i="42"/>
  <c r="AA381" i="42"/>
  <c r="Y381" i="42"/>
  <c r="AC380" i="42"/>
  <c r="AA380" i="42"/>
  <c r="Y380" i="42"/>
  <c r="V380" i="42"/>
  <c r="P380" i="42"/>
  <c r="AE380" i="42" s="1"/>
  <c r="AF380" i="42" s="1"/>
  <c r="AC379" i="42"/>
  <c r="AA379" i="42"/>
  <c r="Y379" i="42"/>
  <c r="V379" i="42"/>
  <c r="AC378" i="42"/>
  <c r="AA378" i="42"/>
  <c r="Y378" i="42"/>
  <c r="AC377" i="42"/>
  <c r="AA377" i="42"/>
  <c r="Y377" i="42"/>
  <c r="V377" i="42"/>
  <c r="AC376" i="42"/>
  <c r="AA376" i="42"/>
  <c r="Y376" i="42"/>
  <c r="V376" i="42"/>
  <c r="P376" i="42"/>
  <c r="AE376" i="42" s="1"/>
  <c r="AF376" i="42" s="1"/>
  <c r="AC375" i="42"/>
  <c r="AA375" i="42"/>
  <c r="Y375" i="42"/>
  <c r="V375" i="42"/>
  <c r="AC374" i="42"/>
  <c r="AA374" i="42"/>
  <c r="Y374" i="42"/>
  <c r="V374" i="42"/>
  <c r="P374" i="42"/>
  <c r="AE374" i="42" s="1"/>
  <c r="AF374" i="42" s="1"/>
  <c r="AC373" i="42"/>
  <c r="AA373" i="42"/>
  <c r="Y373" i="42"/>
  <c r="P373" i="42"/>
  <c r="AE373" i="42" s="1"/>
  <c r="AF373" i="42" s="1"/>
  <c r="AC372" i="42"/>
  <c r="AA372" i="42"/>
  <c r="Y372" i="42"/>
  <c r="V372" i="42"/>
  <c r="P372" i="42"/>
  <c r="AE372" i="42" s="1"/>
  <c r="AF372" i="42" s="1"/>
  <c r="AC371" i="42"/>
  <c r="AA371" i="42"/>
  <c r="Y371" i="42"/>
  <c r="V371" i="42"/>
  <c r="P371" i="42"/>
  <c r="AE371" i="42" s="1"/>
  <c r="AF371" i="42" s="1"/>
  <c r="AC370" i="42"/>
  <c r="AA370" i="42"/>
  <c r="Y370" i="42"/>
  <c r="V370" i="42"/>
  <c r="P370" i="42"/>
  <c r="AE370" i="42" s="1"/>
  <c r="AF370" i="42" s="1"/>
  <c r="AC369" i="42"/>
  <c r="AA369" i="42"/>
  <c r="Y369" i="42"/>
  <c r="AC368" i="42"/>
  <c r="AA368" i="42"/>
  <c r="Y368" i="42"/>
  <c r="AC367" i="42"/>
  <c r="AA367" i="42"/>
  <c r="Y367" i="42"/>
  <c r="AC366" i="42"/>
  <c r="AA366" i="42"/>
  <c r="Y366" i="42"/>
  <c r="AC365" i="42"/>
  <c r="AA365" i="42"/>
  <c r="Y365" i="42"/>
  <c r="AC364" i="42"/>
  <c r="AA364" i="42"/>
  <c r="Y364" i="42"/>
  <c r="AC363" i="42"/>
  <c r="AA363" i="42"/>
  <c r="Y363" i="42"/>
  <c r="V363" i="42"/>
  <c r="P363" i="42"/>
  <c r="AE363" i="42" s="1"/>
  <c r="AF363" i="42" s="1"/>
  <c r="AC362" i="42"/>
  <c r="AA362" i="42"/>
  <c r="Y362" i="42"/>
  <c r="V362" i="42"/>
  <c r="AC361" i="42"/>
  <c r="AA361" i="42"/>
  <c r="Y361" i="42"/>
  <c r="AC360" i="42"/>
  <c r="AA360" i="42"/>
  <c r="Y360" i="42"/>
  <c r="V360" i="42"/>
  <c r="P360" i="42"/>
  <c r="AE360" i="42" s="1"/>
  <c r="AF360" i="42" s="1"/>
  <c r="AC359" i="42"/>
  <c r="AA359" i="42"/>
  <c r="Y359" i="42"/>
  <c r="V359" i="42"/>
  <c r="P359" i="42"/>
  <c r="AE359" i="42" s="1"/>
  <c r="AF359" i="42" s="1"/>
  <c r="AC358" i="42"/>
  <c r="AA358" i="42"/>
  <c r="Y358" i="42"/>
  <c r="V358" i="42"/>
  <c r="AC357" i="42"/>
  <c r="AA357" i="42"/>
  <c r="Y357" i="42"/>
  <c r="V357" i="42"/>
  <c r="P357" i="42"/>
  <c r="AE357" i="42" s="1"/>
  <c r="AF357" i="42" s="1"/>
  <c r="AC356" i="42"/>
  <c r="AA356" i="42"/>
  <c r="Y356" i="42"/>
  <c r="P356" i="42"/>
  <c r="AE356" i="42" s="1"/>
  <c r="AF356" i="42" s="1"/>
  <c r="AC355" i="42"/>
  <c r="AA355" i="42"/>
  <c r="Y355" i="42"/>
  <c r="P355" i="42"/>
  <c r="AE355" i="42" s="1"/>
  <c r="AF355" i="42" s="1"/>
  <c r="AC354" i="42"/>
  <c r="AA354" i="42"/>
  <c r="Y354" i="42"/>
  <c r="P354" i="42"/>
  <c r="AE354" i="42" s="1"/>
  <c r="AF354" i="42" s="1"/>
  <c r="AC353" i="42"/>
  <c r="AA353" i="42"/>
  <c r="Y353" i="42"/>
  <c r="AC352" i="42"/>
  <c r="AA352" i="42"/>
  <c r="Y352" i="42"/>
  <c r="AC351" i="42"/>
  <c r="AA351" i="42"/>
  <c r="Y351" i="42"/>
  <c r="AC350" i="42"/>
  <c r="AA350" i="42"/>
  <c r="Y350" i="42"/>
  <c r="AC349" i="42"/>
  <c r="AA349" i="42"/>
  <c r="Y349" i="42"/>
  <c r="AC348" i="42"/>
  <c r="AA348" i="42"/>
  <c r="Y348" i="42"/>
  <c r="P348" i="42"/>
  <c r="AE348" i="42" s="1"/>
  <c r="AF348" i="42" s="1"/>
  <c r="AC347" i="42"/>
  <c r="AA347" i="42"/>
  <c r="Y347" i="42"/>
  <c r="AC346" i="42"/>
  <c r="AA346" i="42"/>
  <c r="Y346" i="42"/>
  <c r="V346" i="42"/>
  <c r="AC345" i="42"/>
  <c r="AA345" i="42"/>
  <c r="Y345" i="42"/>
  <c r="AC344" i="42"/>
  <c r="AA344" i="42"/>
  <c r="Y344" i="42"/>
  <c r="AC343" i="42"/>
  <c r="AA343" i="42"/>
  <c r="Y343" i="42"/>
  <c r="V343" i="42"/>
  <c r="P343" i="42"/>
  <c r="AE343" i="42" s="1"/>
  <c r="AF343" i="42" s="1"/>
  <c r="AC342" i="42"/>
  <c r="AA342" i="42"/>
  <c r="Y342" i="42"/>
  <c r="P342" i="42"/>
  <c r="AE342" i="42" s="1"/>
  <c r="AF342" i="42" s="1"/>
  <c r="AC341" i="42"/>
  <c r="AA341" i="42"/>
  <c r="Y341" i="42"/>
  <c r="P341" i="42"/>
  <c r="AE341" i="42" s="1"/>
  <c r="AF341" i="42" s="1"/>
  <c r="AC340" i="42"/>
  <c r="AA340" i="42"/>
  <c r="Y340" i="42"/>
  <c r="V340" i="42"/>
  <c r="P340" i="42"/>
  <c r="AE340" i="42" s="1"/>
  <c r="AF340" i="42" s="1"/>
  <c r="AC339" i="42"/>
  <c r="AA339" i="42"/>
  <c r="Y339" i="42"/>
  <c r="V339" i="42"/>
  <c r="P339" i="42"/>
  <c r="AE339" i="42" s="1"/>
  <c r="AF339" i="42" s="1"/>
  <c r="AC338" i="42"/>
  <c r="AA338" i="42"/>
  <c r="Y338" i="42"/>
  <c r="P338" i="42"/>
  <c r="AE338" i="42" s="1"/>
  <c r="AF338" i="42" s="1"/>
  <c r="AC337" i="42"/>
  <c r="AA337" i="42"/>
  <c r="Y337" i="42"/>
  <c r="AC336" i="42"/>
  <c r="AA336" i="42"/>
  <c r="Y336" i="42"/>
  <c r="AC335" i="42"/>
  <c r="AA335" i="42"/>
  <c r="Y335" i="42"/>
  <c r="AC334" i="42"/>
  <c r="AA334" i="42"/>
  <c r="Y334" i="42"/>
  <c r="AC333" i="42"/>
  <c r="AA333" i="42"/>
  <c r="Y333" i="42"/>
  <c r="AC332" i="42"/>
  <c r="AA332" i="42"/>
  <c r="Y332" i="42"/>
  <c r="AC331" i="42"/>
  <c r="AA331" i="42"/>
  <c r="Y331" i="42"/>
  <c r="AC330" i="42"/>
  <c r="AA330" i="42"/>
  <c r="Y330" i="42"/>
  <c r="AC329" i="42"/>
  <c r="AA329" i="42"/>
  <c r="Y329" i="42"/>
  <c r="AC328" i="42"/>
  <c r="AA328" i="42"/>
  <c r="Y328" i="42"/>
  <c r="V328" i="42"/>
  <c r="AC327" i="42"/>
  <c r="AA327" i="42"/>
  <c r="Y327" i="42"/>
  <c r="V327" i="42"/>
  <c r="P327" i="42"/>
  <c r="AE327" i="42" s="1"/>
  <c r="AF327" i="42" s="1"/>
  <c r="AC326" i="42"/>
  <c r="AA326" i="42"/>
  <c r="Y326" i="42"/>
  <c r="V326" i="42"/>
  <c r="AC325" i="42"/>
  <c r="AA325" i="42"/>
  <c r="Y325" i="42"/>
  <c r="P325" i="42"/>
  <c r="AE325" i="42" s="1"/>
  <c r="AF325" i="42" s="1"/>
  <c r="AC324" i="42"/>
  <c r="AA324" i="42"/>
  <c r="Y324" i="42"/>
  <c r="V324" i="42"/>
  <c r="P324" i="42"/>
  <c r="AE324" i="42" s="1"/>
  <c r="AF324" i="42" s="1"/>
  <c r="AC323" i="42"/>
  <c r="AA323" i="42"/>
  <c r="Y323" i="42"/>
  <c r="V323" i="42"/>
  <c r="P323" i="42"/>
  <c r="AE323" i="42" s="1"/>
  <c r="AF323" i="42" s="1"/>
  <c r="AC322" i="42"/>
  <c r="AA322" i="42"/>
  <c r="Y322" i="42"/>
  <c r="P322" i="42"/>
  <c r="AE322" i="42" s="1"/>
  <c r="AF322" i="42" s="1"/>
  <c r="AC321" i="42"/>
  <c r="AA321" i="42"/>
  <c r="Y321" i="42"/>
  <c r="AC320" i="42"/>
  <c r="AA320" i="42"/>
  <c r="Y320" i="42"/>
  <c r="AC319" i="42"/>
  <c r="AA319" i="42"/>
  <c r="Y319" i="42"/>
  <c r="AC318" i="42"/>
  <c r="AA318" i="42"/>
  <c r="Y318" i="42"/>
  <c r="AC317" i="42"/>
  <c r="AA317" i="42"/>
  <c r="Y317" i="42"/>
  <c r="AC316" i="42"/>
  <c r="AA316" i="42"/>
  <c r="Y316" i="42"/>
  <c r="AC315" i="42"/>
  <c r="AA315" i="42"/>
  <c r="Y315" i="42"/>
  <c r="P315" i="42"/>
  <c r="AE315" i="42" s="1"/>
  <c r="AF315" i="42" s="1"/>
  <c r="AC314" i="42"/>
  <c r="AA314" i="42"/>
  <c r="Y314" i="42"/>
  <c r="V314" i="42"/>
  <c r="AC313" i="42"/>
  <c r="AA313" i="42"/>
  <c r="Y313" i="42"/>
  <c r="V313" i="42"/>
  <c r="P313" i="42"/>
  <c r="AE313" i="42" s="1"/>
  <c r="AF313" i="42" s="1"/>
  <c r="AC312" i="42"/>
  <c r="AA312" i="42"/>
  <c r="Y312" i="42"/>
  <c r="AC311" i="42"/>
  <c r="AA311" i="42"/>
  <c r="Y311" i="42"/>
  <c r="V311" i="42"/>
  <c r="P311" i="42"/>
  <c r="AE311" i="42" s="1"/>
  <c r="AF311" i="42" s="1"/>
  <c r="AC310" i="42"/>
  <c r="AA310" i="42"/>
  <c r="Y310" i="42"/>
  <c r="V310" i="42"/>
  <c r="P310" i="42"/>
  <c r="AE310" i="42" s="1"/>
  <c r="AF310" i="42" s="1"/>
  <c r="AC309" i="42"/>
  <c r="AA309" i="42"/>
  <c r="Y309" i="42"/>
  <c r="V309" i="42"/>
  <c r="P309" i="42"/>
  <c r="AE309" i="42" s="1"/>
  <c r="AF309" i="42" s="1"/>
  <c r="AC308" i="42"/>
  <c r="AA308" i="42"/>
  <c r="Y308" i="42"/>
  <c r="P308" i="42"/>
  <c r="AE308" i="42" s="1"/>
  <c r="AF308" i="42" s="1"/>
  <c r="AC307" i="42"/>
  <c r="AA307" i="42"/>
  <c r="Y307" i="42"/>
  <c r="V307" i="42"/>
  <c r="P307" i="42"/>
  <c r="AE307" i="42" s="1"/>
  <c r="AF307" i="42" s="1"/>
  <c r="AC306" i="42"/>
  <c r="AA306" i="42"/>
  <c r="Y306" i="42"/>
  <c r="P306" i="42"/>
  <c r="AE306" i="42" s="1"/>
  <c r="AF306" i="42" s="1"/>
  <c r="AC305" i="42"/>
  <c r="AA305" i="42"/>
  <c r="Y305" i="42"/>
  <c r="AC304" i="42"/>
  <c r="AA304" i="42"/>
  <c r="Y304" i="42"/>
  <c r="V304" i="42"/>
  <c r="P304" i="42"/>
  <c r="AE304" i="42" s="1"/>
  <c r="AF304" i="42" s="1"/>
  <c r="AC303" i="42"/>
  <c r="AA303" i="42"/>
  <c r="Y303" i="42"/>
  <c r="AC302" i="42"/>
  <c r="AA302" i="42"/>
  <c r="Y302" i="42"/>
  <c r="AC301" i="42"/>
  <c r="AA301" i="42"/>
  <c r="Y301" i="42"/>
  <c r="AC300" i="42"/>
  <c r="AA300" i="42"/>
  <c r="Y300" i="42"/>
  <c r="V300" i="42"/>
  <c r="P300" i="42"/>
  <c r="AE300" i="42" s="1"/>
  <c r="AF300" i="42" s="1"/>
  <c r="AC299" i="42"/>
  <c r="AA299" i="42"/>
  <c r="Y299" i="42"/>
  <c r="AC298" i="42"/>
  <c r="AA298" i="42"/>
  <c r="Y298" i="42"/>
  <c r="V298" i="42"/>
  <c r="AC297" i="42"/>
  <c r="AA297" i="42"/>
  <c r="Y297" i="42"/>
  <c r="V297" i="42"/>
  <c r="AC296" i="42"/>
  <c r="AA296" i="42"/>
  <c r="Y296" i="42"/>
  <c r="AC295" i="42"/>
  <c r="AA295" i="42"/>
  <c r="Y295" i="42"/>
  <c r="V295" i="42"/>
  <c r="P295" i="42"/>
  <c r="AE295" i="42" s="1"/>
  <c r="AF295" i="42" s="1"/>
  <c r="AC294" i="42"/>
  <c r="AA294" i="42"/>
  <c r="Y294" i="42"/>
  <c r="P294" i="42"/>
  <c r="AE294" i="42" s="1"/>
  <c r="AF294" i="42" s="1"/>
  <c r="AC293" i="42"/>
  <c r="AA293" i="42"/>
  <c r="Y293" i="42"/>
  <c r="V293" i="42"/>
  <c r="P293" i="42"/>
  <c r="AE293" i="42" s="1"/>
  <c r="AF293" i="42" s="1"/>
  <c r="AC292" i="42"/>
  <c r="AA292" i="42"/>
  <c r="Y292" i="42"/>
  <c r="V292" i="42"/>
  <c r="P292" i="42"/>
  <c r="AE292" i="42" s="1"/>
  <c r="AF292" i="42" s="1"/>
  <c r="AC291" i="42"/>
  <c r="AA291" i="42"/>
  <c r="Y291" i="42"/>
  <c r="V291" i="42"/>
  <c r="P291" i="42"/>
  <c r="AE291" i="42" s="1"/>
  <c r="AF291" i="42" s="1"/>
  <c r="AC290" i="42"/>
  <c r="AA290" i="42"/>
  <c r="Y290" i="42"/>
  <c r="P290" i="42"/>
  <c r="AE290" i="42" s="1"/>
  <c r="AF290" i="42" s="1"/>
  <c r="AC289" i="42"/>
  <c r="AA289" i="42"/>
  <c r="Y289" i="42"/>
  <c r="V289" i="42"/>
  <c r="AC288" i="42"/>
  <c r="AA288" i="42"/>
  <c r="Y288" i="42"/>
  <c r="AC287" i="42"/>
  <c r="AA287" i="42"/>
  <c r="Y287" i="42"/>
  <c r="AC286" i="42"/>
  <c r="AA286" i="42"/>
  <c r="Y286" i="42"/>
  <c r="AC285" i="42"/>
  <c r="AA285" i="42"/>
  <c r="Y285" i="42"/>
  <c r="AC284" i="42"/>
  <c r="AA284" i="42"/>
  <c r="Y284" i="42"/>
  <c r="AC283" i="42"/>
  <c r="AA283" i="42"/>
  <c r="Y283" i="42"/>
  <c r="V283" i="42"/>
  <c r="P283" i="42"/>
  <c r="AE283" i="42" s="1"/>
  <c r="AF283" i="42" s="1"/>
  <c r="AC282" i="42"/>
  <c r="AA282" i="42"/>
  <c r="Y282" i="42"/>
  <c r="V282" i="42"/>
  <c r="AC281" i="42"/>
  <c r="AA281" i="42"/>
  <c r="Y281" i="42"/>
  <c r="V281" i="42"/>
  <c r="AC280" i="42"/>
  <c r="AA280" i="42"/>
  <c r="Y280" i="42"/>
  <c r="V280" i="42"/>
  <c r="AC279" i="42"/>
  <c r="AA279" i="42"/>
  <c r="Y279" i="42"/>
  <c r="P279" i="42"/>
  <c r="AE279" i="42" s="1"/>
  <c r="AF279" i="42" s="1"/>
  <c r="AC278" i="42"/>
  <c r="AA278" i="42"/>
  <c r="Y278" i="42"/>
  <c r="V278" i="42"/>
  <c r="AC277" i="42"/>
  <c r="AA277" i="42"/>
  <c r="Y277" i="42"/>
  <c r="V277" i="42"/>
  <c r="P277" i="42"/>
  <c r="AE277" i="42" s="1"/>
  <c r="AF277" i="42" s="1"/>
  <c r="AC276" i="42"/>
  <c r="AA276" i="42"/>
  <c r="Y276" i="42"/>
  <c r="V276" i="42"/>
  <c r="P276" i="42"/>
  <c r="AE276" i="42" s="1"/>
  <c r="AF276" i="42" s="1"/>
  <c r="AC275" i="42"/>
  <c r="AA275" i="42"/>
  <c r="Y275" i="42"/>
  <c r="P275" i="42"/>
  <c r="AE275" i="42" s="1"/>
  <c r="AF275" i="42" s="1"/>
  <c r="AC274" i="42"/>
  <c r="AA274" i="42"/>
  <c r="Y274" i="42"/>
  <c r="P274" i="42"/>
  <c r="AE274" i="42" s="1"/>
  <c r="AF274" i="42" s="1"/>
  <c r="AC273" i="42"/>
  <c r="AA273" i="42"/>
  <c r="Y273" i="42"/>
  <c r="AC272" i="42"/>
  <c r="AA272" i="42"/>
  <c r="Y272" i="42"/>
  <c r="AC271" i="42"/>
  <c r="AA271" i="42"/>
  <c r="Y271" i="42"/>
  <c r="V271" i="42"/>
  <c r="AC270" i="42"/>
  <c r="AA270" i="42"/>
  <c r="Y270" i="42"/>
  <c r="AC269" i="42"/>
  <c r="AA269" i="42"/>
  <c r="Y269" i="42"/>
  <c r="V269" i="42"/>
  <c r="AC268" i="42"/>
  <c r="AA268" i="42"/>
  <c r="Y268" i="42"/>
  <c r="AC267" i="42"/>
  <c r="AA267" i="42"/>
  <c r="Y267" i="42"/>
  <c r="V267" i="42"/>
  <c r="AC266" i="42"/>
  <c r="AA266" i="42"/>
  <c r="Y266" i="42"/>
  <c r="V266" i="42"/>
  <c r="AC265" i="42"/>
  <c r="AA265" i="42"/>
  <c r="Y265" i="42"/>
  <c r="AC264" i="42"/>
  <c r="AA264" i="42"/>
  <c r="Y264" i="42"/>
  <c r="P264" i="42"/>
  <c r="AE264" i="42" s="1"/>
  <c r="AF264" i="42" s="1"/>
  <c r="AC263" i="42"/>
  <c r="AA263" i="42"/>
  <c r="Y263" i="42"/>
  <c r="V263" i="42"/>
  <c r="P263" i="42"/>
  <c r="AE263" i="42" s="1"/>
  <c r="AF263" i="42" s="1"/>
  <c r="AC262" i="42"/>
  <c r="AA262" i="42"/>
  <c r="Y262" i="42"/>
  <c r="V262" i="42"/>
  <c r="AC261" i="42"/>
  <c r="AA261" i="42"/>
  <c r="Y261" i="42"/>
  <c r="P261" i="42"/>
  <c r="AE261" i="42" s="1"/>
  <c r="AF261" i="42" s="1"/>
  <c r="AC260" i="42"/>
  <c r="AA260" i="42"/>
  <c r="Y260" i="42"/>
  <c r="V260" i="42"/>
  <c r="P260" i="42"/>
  <c r="AE260" i="42" s="1"/>
  <c r="AF260" i="42" s="1"/>
  <c r="AC259" i="42"/>
  <c r="AA259" i="42"/>
  <c r="Y259" i="42"/>
  <c r="V259" i="42"/>
  <c r="P259" i="42"/>
  <c r="AE259" i="42" s="1"/>
  <c r="AF259" i="42" s="1"/>
  <c r="AC258" i="42"/>
  <c r="AA258" i="42"/>
  <c r="Y258" i="42"/>
  <c r="P258" i="42"/>
  <c r="AE258" i="42" s="1"/>
  <c r="AF258" i="42" s="1"/>
  <c r="AC257" i="42"/>
  <c r="AA257" i="42"/>
  <c r="Y257" i="42"/>
  <c r="AC256" i="42"/>
  <c r="AA256" i="42"/>
  <c r="Y256" i="42"/>
  <c r="AC255" i="42"/>
  <c r="AA255" i="42"/>
  <c r="Y255" i="42"/>
  <c r="AC254" i="42"/>
  <c r="AA254" i="42"/>
  <c r="Y254" i="42"/>
  <c r="AC253" i="42"/>
  <c r="AA253" i="42"/>
  <c r="Y253" i="42"/>
  <c r="AC252" i="42"/>
  <c r="AA252" i="42"/>
  <c r="Y252" i="42"/>
  <c r="AC251" i="42"/>
  <c r="AA251" i="42"/>
  <c r="Y251" i="42"/>
  <c r="AC250" i="42"/>
  <c r="AA250" i="42"/>
  <c r="Y250" i="42"/>
  <c r="P250" i="42"/>
  <c r="AE250" i="42" s="1"/>
  <c r="AF250" i="42" s="1"/>
  <c r="AC249" i="42"/>
  <c r="AA249" i="42"/>
  <c r="Y249" i="42"/>
  <c r="V249" i="42"/>
  <c r="AC248" i="42"/>
  <c r="AA248" i="42"/>
  <c r="Y248" i="42"/>
  <c r="P248" i="42"/>
  <c r="AE248" i="42" s="1"/>
  <c r="AF248" i="42" s="1"/>
  <c r="AC247" i="42"/>
  <c r="AA247" i="42"/>
  <c r="Y247" i="42"/>
  <c r="V247" i="42"/>
  <c r="AC246" i="42"/>
  <c r="AA246" i="42"/>
  <c r="Y246" i="42"/>
  <c r="V246" i="42"/>
  <c r="P246" i="42"/>
  <c r="AE246" i="42" s="1"/>
  <c r="AF246" i="42" s="1"/>
  <c r="AC245" i="42"/>
  <c r="AA245" i="42"/>
  <c r="Y245" i="42"/>
  <c r="P245" i="42"/>
  <c r="AE245" i="42" s="1"/>
  <c r="AF245" i="42" s="1"/>
  <c r="AC244" i="42"/>
  <c r="AA244" i="42"/>
  <c r="Y244" i="42"/>
  <c r="V244" i="42"/>
  <c r="P244" i="42"/>
  <c r="AE244" i="42" s="1"/>
  <c r="AF244" i="42" s="1"/>
  <c r="AC243" i="42"/>
  <c r="AA243" i="42"/>
  <c r="Y243" i="42"/>
  <c r="V243" i="42"/>
  <c r="P243" i="42"/>
  <c r="AE243" i="42" s="1"/>
  <c r="AF243" i="42" s="1"/>
  <c r="AC242" i="42"/>
  <c r="AA242" i="42"/>
  <c r="Y242" i="42"/>
  <c r="V242" i="42"/>
  <c r="P242" i="42"/>
  <c r="AE242" i="42" s="1"/>
  <c r="AF242" i="42" s="1"/>
  <c r="AC241" i="42"/>
  <c r="AA241" i="42"/>
  <c r="Y241" i="42"/>
  <c r="AC240" i="42"/>
  <c r="AA240" i="42"/>
  <c r="Y240" i="42"/>
  <c r="AC239" i="42"/>
  <c r="AA239" i="42"/>
  <c r="Y239" i="42"/>
  <c r="AC238" i="42"/>
  <c r="AA238" i="42"/>
  <c r="Y238" i="42"/>
  <c r="V238" i="42"/>
  <c r="AC237" i="42"/>
  <c r="AA237" i="42"/>
  <c r="Y237" i="42"/>
  <c r="AC236" i="42"/>
  <c r="AA236" i="42"/>
  <c r="Y236" i="42"/>
  <c r="P236" i="42"/>
  <c r="AE236" i="42" s="1"/>
  <c r="AF236" i="42" s="1"/>
  <c r="AC235" i="42"/>
  <c r="AA235" i="42"/>
  <c r="Y235" i="42"/>
  <c r="P235" i="42"/>
  <c r="AE235" i="42" s="1"/>
  <c r="AF235" i="42" s="1"/>
  <c r="AC234" i="42"/>
  <c r="AA234" i="42"/>
  <c r="Y234" i="42"/>
  <c r="AC233" i="42"/>
  <c r="AA233" i="42"/>
  <c r="Y233" i="42"/>
  <c r="V233" i="42"/>
  <c r="AC232" i="42"/>
  <c r="AA232" i="42"/>
  <c r="Y232" i="42"/>
  <c r="V232" i="42"/>
  <c r="P232" i="42"/>
  <c r="AE232" i="42" s="1"/>
  <c r="AF232" i="42" s="1"/>
  <c r="AC231" i="42"/>
  <c r="AA231" i="42"/>
  <c r="Y231" i="42"/>
  <c r="P231" i="42"/>
  <c r="AE231" i="42" s="1"/>
  <c r="AF231" i="42" s="1"/>
  <c r="AC230" i="42"/>
  <c r="AA230" i="42"/>
  <c r="Y230" i="42"/>
  <c r="AC229" i="42"/>
  <c r="AA229" i="42"/>
  <c r="Y229" i="42"/>
  <c r="V229" i="42"/>
  <c r="P229" i="42"/>
  <c r="AE229" i="42" s="1"/>
  <c r="AF229" i="42" s="1"/>
  <c r="AC228" i="42"/>
  <c r="AA228" i="42"/>
  <c r="Y228" i="42"/>
  <c r="V228" i="42"/>
  <c r="P228" i="42"/>
  <c r="AE228" i="42" s="1"/>
  <c r="AF228" i="42" s="1"/>
  <c r="AC227" i="42"/>
  <c r="AA227" i="42"/>
  <c r="Y227" i="42"/>
  <c r="V227" i="42"/>
  <c r="P227" i="42"/>
  <c r="AE227" i="42" s="1"/>
  <c r="AF227" i="42" s="1"/>
  <c r="AC226" i="42"/>
  <c r="AA226" i="42"/>
  <c r="Y226" i="42"/>
  <c r="P226" i="42"/>
  <c r="AE226" i="42" s="1"/>
  <c r="AF226" i="42" s="1"/>
  <c r="AC225" i="42"/>
  <c r="AA225" i="42"/>
  <c r="Y225" i="42"/>
  <c r="AC224" i="42"/>
  <c r="AA224" i="42"/>
  <c r="Y224" i="42"/>
  <c r="AC223" i="42"/>
  <c r="AA223" i="42"/>
  <c r="Y223" i="42"/>
  <c r="AC222" i="42"/>
  <c r="AA222" i="42"/>
  <c r="Y222" i="42"/>
  <c r="AC221" i="42"/>
  <c r="AA221" i="42"/>
  <c r="Y221" i="42"/>
  <c r="AC220" i="42"/>
  <c r="AA220" i="42"/>
  <c r="Y220" i="42"/>
  <c r="AC219" i="42"/>
  <c r="AA219" i="42"/>
  <c r="Y219" i="42"/>
  <c r="V219" i="42"/>
  <c r="AC218" i="42"/>
  <c r="AA218" i="42"/>
  <c r="Y218" i="42"/>
  <c r="V218" i="42"/>
  <c r="AC217" i="42"/>
  <c r="AA217" i="42"/>
  <c r="Y217" i="42"/>
  <c r="AC216" i="42"/>
  <c r="AA216" i="42"/>
  <c r="Y216" i="42"/>
  <c r="AC215" i="42"/>
  <c r="AA215" i="42"/>
  <c r="Y215" i="42"/>
  <c r="V215" i="42"/>
  <c r="P215" i="42"/>
  <c r="AE215" i="42" s="1"/>
  <c r="AF215" i="42" s="1"/>
  <c r="AC214" i="42"/>
  <c r="AA214" i="42"/>
  <c r="Y214" i="42"/>
  <c r="P214" i="42"/>
  <c r="AE214" i="42" s="1"/>
  <c r="AF214" i="42" s="1"/>
  <c r="AC213" i="42"/>
  <c r="AA213" i="42"/>
  <c r="Y213" i="42"/>
  <c r="P213" i="42"/>
  <c r="AE213" i="42" s="1"/>
  <c r="AF213" i="42" s="1"/>
  <c r="AC212" i="42"/>
  <c r="AA212" i="42"/>
  <c r="Y212" i="42"/>
  <c r="V212" i="42"/>
  <c r="P212" i="42"/>
  <c r="AE212" i="42" s="1"/>
  <c r="AF212" i="42" s="1"/>
  <c r="AC211" i="42"/>
  <c r="AA211" i="42"/>
  <c r="Y211" i="42"/>
  <c r="V211" i="42"/>
  <c r="P211" i="42"/>
  <c r="AE211" i="42" s="1"/>
  <c r="AF211" i="42" s="1"/>
  <c r="AC210" i="42"/>
  <c r="AA210" i="42"/>
  <c r="Y210" i="42"/>
  <c r="P210" i="42"/>
  <c r="AE210" i="42" s="1"/>
  <c r="AF210" i="42" s="1"/>
  <c r="AC209" i="42"/>
  <c r="AA209" i="42"/>
  <c r="Y209" i="42"/>
  <c r="AC208" i="42"/>
  <c r="AA208" i="42"/>
  <c r="Y208" i="42"/>
  <c r="AC207" i="42"/>
  <c r="AA207" i="42"/>
  <c r="Y207" i="42"/>
  <c r="AC206" i="42"/>
  <c r="AA206" i="42"/>
  <c r="Y206" i="42"/>
  <c r="AC205" i="42"/>
  <c r="AA205" i="42"/>
  <c r="Y205" i="42"/>
  <c r="V205" i="42"/>
  <c r="AC204" i="42"/>
  <c r="AA204" i="42"/>
  <c r="Y204" i="42"/>
  <c r="P204" i="42"/>
  <c r="AE204" i="42" s="1"/>
  <c r="AF204" i="42" s="1"/>
  <c r="AC203" i="42"/>
  <c r="AA203" i="42"/>
  <c r="Y203" i="42"/>
  <c r="V203" i="42"/>
  <c r="AC202" i="42"/>
  <c r="AA202" i="42"/>
  <c r="Y202" i="42"/>
  <c r="AC201" i="42"/>
  <c r="AA201" i="42"/>
  <c r="Y201" i="42"/>
  <c r="V201" i="42"/>
  <c r="AC200" i="42"/>
  <c r="AA200" i="42"/>
  <c r="Y200" i="42"/>
  <c r="V200" i="42"/>
  <c r="P200" i="42"/>
  <c r="AE200" i="42" s="1"/>
  <c r="AF200" i="42" s="1"/>
  <c r="AC199" i="42"/>
  <c r="AA199" i="42"/>
  <c r="Y199" i="42"/>
  <c r="AC198" i="42"/>
  <c r="AA198" i="42"/>
  <c r="Y198" i="42"/>
  <c r="P198" i="42"/>
  <c r="AE198" i="42" s="1"/>
  <c r="AF198" i="42" s="1"/>
  <c r="AC197" i="42"/>
  <c r="AA197" i="42"/>
  <c r="Y197" i="42"/>
  <c r="V197" i="42"/>
  <c r="P197" i="42"/>
  <c r="AE197" i="42" s="1"/>
  <c r="AF197" i="42" s="1"/>
  <c r="AC196" i="42"/>
  <c r="AA196" i="42"/>
  <c r="Y196" i="42"/>
  <c r="P196" i="42"/>
  <c r="AE196" i="42" s="1"/>
  <c r="AF196" i="42" s="1"/>
  <c r="AC195" i="42"/>
  <c r="AA195" i="42"/>
  <c r="Y195" i="42"/>
  <c r="P195" i="42"/>
  <c r="AE195" i="42" s="1"/>
  <c r="AF195" i="42" s="1"/>
  <c r="AC194" i="42"/>
  <c r="AA194" i="42"/>
  <c r="Y194" i="42"/>
  <c r="P194" i="42"/>
  <c r="AE194" i="42" s="1"/>
  <c r="AF194" i="42" s="1"/>
  <c r="AC193" i="42"/>
  <c r="AA193" i="42"/>
  <c r="Y193" i="42"/>
  <c r="V193" i="42"/>
  <c r="AC192" i="42"/>
  <c r="AA192" i="42"/>
  <c r="Y192" i="42"/>
  <c r="AC191" i="42"/>
  <c r="AA191" i="42"/>
  <c r="Y191" i="42"/>
  <c r="AC190" i="42"/>
  <c r="AA190" i="42"/>
  <c r="Y190" i="42"/>
  <c r="V190" i="42"/>
  <c r="AC189" i="42"/>
  <c r="AA189" i="42"/>
  <c r="Y189" i="42"/>
  <c r="V189" i="42"/>
  <c r="AC188" i="42"/>
  <c r="AA188" i="42"/>
  <c r="Y188" i="42"/>
  <c r="AC187" i="42"/>
  <c r="AA187" i="42"/>
  <c r="Y187" i="42"/>
  <c r="V187" i="42"/>
  <c r="P187" i="42"/>
  <c r="AE187" i="42" s="1"/>
  <c r="AF187" i="42" s="1"/>
  <c r="AC186" i="42"/>
  <c r="AA186" i="42"/>
  <c r="Y186" i="42"/>
  <c r="V186" i="42"/>
  <c r="P186" i="42"/>
  <c r="AE186" i="42" s="1"/>
  <c r="AF186" i="42" s="1"/>
  <c r="AC185" i="42"/>
  <c r="AA185" i="42"/>
  <c r="Y185" i="42"/>
  <c r="V185" i="42"/>
  <c r="AC184" i="42"/>
  <c r="AA184" i="42"/>
  <c r="Y184" i="42"/>
  <c r="V184" i="42"/>
  <c r="P184" i="42"/>
  <c r="AE184" i="42" s="1"/>
  <c r="AF184" i="42" s="1"/>
  <c r="AC183" i="42"/>
  <c r="AA183" i="42"/>
  <c r="Y183" i="42"/>
  <c r="P183" i="42"/>
  <c r="AE183" i="42" s="1"/>
  <c r="AF183" i="42" s="1"/>
  <c r="AC182" i="42"/>
  <c r="AA182" i="42"/>
  <c r="Y182" i="42"/>
  <c r="V182" i="42"/>
  <c r="P182" i="42"/>
  <c r="AE182" i="42" s="1"/>
  <c r="AF182" i="42" s="1"/>
  <c r="AC181" i="42"/>
  <c r="AA181" i="42"/>
  <c r="Y181" i="42"/>
  <c r="V181" i="42"/>
  <c r="P181" i="42"/>
  <c r="AE181" i="42" s="1"/>
  <c r="AF181" i="42" s="1"/>
  <c r="AC180" i="42"/>
  <c r="AA180" i="42"/>
  <c r="Y180" i="42"/>
  <c r="V180" i="42"/>
  <c r="P180" i="42"/>
  <c r="AE180" i="42" s="1"/>
  <c r="AF180" i="42" s="1"/>
  <c r="AC179" i="42"/>
  <c r="AA179" i="42"/>
  <c r="Y179" i="42"/>
  <c r="P179" i="42"/>
  <c r="AE179" i="42" s="1"/>
  <c r="AF179" i="42" s="1"/>
  <c r="AC178" i="42"/>
  <c r="AA178" i="42"/>
  <c r="Y178" i="42"/>
  <c r="P178" i="42"/>
  <c r="AE178" i="42" s="1"/>
  <c r="AF178" i="42" s="1"/>
  <c r="AC177" i="42"/>
  <c r="AA177" i="42"/>
  <c r="Y177" i="42"/>
  <c r="AC176" i="42"/>
  <c r="AA176" i="42"/>
  <c r="Y176" i="42"/>
  <c r="AC175" i="42"/>
  <c r="AA175" i="42"/>
  <c r="Y175" i="42"/>
  <c r="AC174" i="42"/>
  <c r="AA174" i="42"/>
  <c r="Y174" i="42"/>
  <c r="AC173" i="42"/>
  <c r="AA173" i="42"/>
  <c r="Y173" i="42"/>
  <c r="AC172" i="42"/>
  <c r="AA172" i="42"/>
  <c r="Y172" i="42"/>
  <c r="V172" i="42"/>
  <c r="P172" i="42"/>
  <c r="AE172" i="42" s="1"/>
  <c r="AF172" i="42" s="1"/>
  <c r="AC171" i="42"/>
  <c r="AA171" i="42"/>
  <c r="Y171" i="42"/>
  <c r="AC170" i="42"/>
  <c r="AA170" i="42"/>
  <c r="Y170" i="42"/>
  <c r="AC169" i="42"/>
  <c r="AA169" i="42"/>
  <c r="Y169" i="42"/>
  <c r="AC168" i="42"/>
  <c r="AA168" i="42"/>
  <c r="Y168" i="42"/>
  <c r="V168" i="42"/>
  <c r="P168" i="42"/>
  <c r="AE168" i="42" s="1"/>
  <c r="AF168" i="42" s="1"/>
  <c r="AC167" i="42"/>
  <c r="AA167" i="42"/>
  <c r="Y167" i="42"/>
  <c r="V167" i="42"/>
  <c r="AC166" i="42"/>
  <c r="AA166" i="42"/>
  <c r="Y166" i="42"/>
  <c r="V166" i="42"/>
  <c r="P166" i="42"/>
  <c r="AE166" i="42" s="1"/>
  <c r="AF166" i="42" s="1"/>
  <c r="AC165" i="42"/>
  <c r="AA165" i="42"/>
  <c r="Y165" i="42"/>
  <c r="V165" i="42"/>
  <c r="P165" i="42"/>
  <c r="AE165" i="42" s="1"/>
  <c r="AF165" i="42" s="1"/>
  <c r="AC164" i="42"/>
  <c r="AA164" i="42"/>
  <c r="Y164" i="42"/>
  <c r="V164" i="42"/>
  <c r="P164" i="42"/>
  <c r="AE164" i="42" s="1"/>
  <c r="AF164" i="42" s="1"/>
  <c r="AC163" i="42"/>
  <c r="AA163" i="42"/>
  <c r="Y163" i="42"/>
  <c r="V163" i="42"/>
  <c r="P163" i="42"/>
  <c r="AE163" i="42" s="1"/>
  <c r="AF163" i="42" s="1"/>
  <c r="AC162" i="42"/>
  <c r="AA162" i="42"/>
  <c r="Y162" i="42"/>
  <c r="P162" i="42"/>
  <c r="AE162" i="42" s="1"/>
  <c r="AF162" i="42" s="1"/>
  <c r="AC161" i="42"/>
  <c r="AA161" i="42"/>
  <c r="Y161" i="42"/>
  <c r="AC160" i="42"/>
  <c r="AA160" i="42"/>
  <c r="Y160" i="42"/>
  <c r="AC159" i="42"/>
  <c r="AA159" i="42"/>
  <c r="Y159" i="42"/>
  <c r="AC158" i="42"/>
  <c r="AA158" i="42"/>
  <c r="Y158" i="42"/>
  <c r="V158" i="42"/>
  <c r="AC157" i="42"/>
  <c r="AA157" i="42"/>
  <c r="Y157" i="42"/>
  <c r="AC156" i="42"/>
  <c r="AA156" i="42"/>
  <c r="Y156" i="42"/>
  <c r="AC155" i="42"/>
  <c r="AA155" i="42"/>
  <c r="Y155" i="42"/>
  <c r="AC154" i="42"/>
  <c r="AA154" i="42"/>
  <c r="Y154" i="42"/>
  <c r="V154" i="42"/>
  <c r="AC153" i="42"/>
  <c r="AA153" i="42"/>
  <c r="Y153" i="42"/>
  <c r="V153" i="42"/>
  <c r="AC152" i="42"/>
  <c r="AA152" i="42"/>
  <c r="Y152" i="42"/>
  <c r="V152" i="42"/>
  <c r="P152" i="42"/>
  <c r="AE152" i="42" s="1"/>
  <c r="AF152" i="42" s="1"/>
  <c r="AC151" i="42"/>
  <c r="AA151" i="42"/>
  <c r="Y151" i="42"/>
  <c r="V151" i="42"/>
  <c r="P151" i="42"/>
  <c r="AE151" i="42" s="1"/>
  <c r="AF151" i="42" s="1"/>
  <c r="AC150" i="42"/>
  <c r="AA150" i="42"/>
  <c r="Y150" i="42"/>
  <c r="AC149" i="42"/>
  <c r="AA149" i="42"/>
  <c r="Y149" i="42"/>
  <c r="V149" i="42"/>
  <c r="P149" i="42"/>
  <c r="AE149" i="42" s="1"/>
  <c r="AF149" i="42" s="1"/>
  <c r="AC148" i="42"/>
  <c r="AA148" i="42"/>
  <c r="Y148" i="42"/>
  <c r="V148" i="42"/>
  <c r="P148" i="42"/>
  <c r="AE148" i="42" s="1"/>
  <c r="AF148" i="42" s="1"/>
  <c r="AC147" i="42"/>
  <c r="AA147" i="42"/>
  <c r="Y147" i="42"/>
  <c r="P147" i="42"/>
  <c r="AE147" i="42" s="1"/>
  <c r="AF147" i="42" s="1"/>
  <c r="AC146" i="42"/>
  <c r="AA146" i="42"/>
  <c r="Y146" i="42"/>
  <c r="V146" i="42"/>
  <c r="P146" i="42"/>
  <c r="AE146" i="42" s="1"/>
  <c r="AF146" i="42" s="1"/>
  <c r="AC145" i="42"/>
  <c r="AA145" i="42"/>
  <c r="Y145" i="42"/>
  <c r="AC144" i="42"/>
  <c r="AA144" i="42"/>
  <c r="Y144" i="42"/>
  <c r="AC143" i="42"/>
  <c r="AA143" i="42"/>
  <c r="Y143" i="42"/>
  <c r="AC142" i="42"/>
  <c r="AA142" i="42"/>
  <c r="Y142" i="42"/>
  <c r="V142" i="42"/>
  <c r="AC141" i="42"/>
  <c r="AA141" i="42"/>
  <c r="Y141" i="42"/>
  <c r="AC140" i="42"/>
  <c r="AA140" i="42"/>
  <c r="Y140" i="42"/>
  <c r="AC139" i="42"/>
  <c r="AA139" i="42"/>
  <c r="Y139" i="42"/>
  <c r="V139" i="42"/>
  <c r="P139" i="42"/>
  <c r="AE139" i="42" s="1"/>
  <c r="AF139" i="42" s="1"/>
  <c r="AC138" i="42"/>
  <c r="AA138" i="42"/>
  <c r="Y138" i="42"/>
  <c r="V138" i="42"/>
  <c r="AC137" i="42"/>
  <c r="AA137" i="42"/>
  <c r="Y137" i="42"/>
  <c r="V137" i="42"/>
  <c r="AC136" i="42"/>
  <c r="AA136" i="42"/>
  <c r="Y136" i="42"/>
  <c r="P136" i="42"/>
  <c r="AE136" i="42" s="1"/>
  <c r="AF136" i="42" s="1"/>
  <c r="AC135" i="42"/>
  <c r="AA135" i="42"/>
  <c r="Y135" i="42"/>
  <c r="V135" i="42"/>
  <c r="P135" i="42"/>
  <c r="AE135" i="42" s="1"/>
  <c r="AF135" i="42" s="1"/>
  <c r="AC134" i="42"/>
  <c r="AA134" i="42"/>
  <c r="Y134" i="42"/>
  <c r="V134" i="42"/>
  <c r="P134" i="42"/>
  <c r="AE134" i="42" s="1"/>
  <c r="AF134" i="42" s="1"/>
  <c r="AC133" i="42"/>
  <c r="AA133" i="42"/>
  <c r="Y133" i="42"/>
  <c r="V133" i="42"/>
  <c r="P133" i="42"/>
  <c r="AE133" i="42" s="1"/>
  <c r="AF133" i="42" s="1"/>
  <c r="AC132" i="42"/>
  <c r="AA132" i="42"/>
  <c r="Y132" i="42"/>
  <c r="V132" i="42"/>
  <c r="P132" i="42"/>
  <c r="AE132" i="42" s="1"/>
  <c r="AF132" i="42" s="1"/>
  <c r="AC131" i="42"/>
  <c r="AA131" i="42"/>
  <c r="Y131" i="42"/>
  <c r="V131" i="42"/>
  <c r="P131" i="42"/>
  <c r="AE131" i="42" s="1"/>
  <c r="AF131" i="42" s="1"/>
  <c r="AC130" i="42"/>
  <c r="AA130" i="42"/>
  <c r="Y130" i="42"/>
  <c r="P130" i="42"/>
  <c r="AE130" i="42" s="1"/>
  <c r="AF130" i="42" s="1"/>
  <c r="AC129" i="42"/>
  <c r="AA129" i="42"/>
  <c r="Y129" i="42"/>
  <c r="AC128" i="42"/>
  <c r="AA128" i="42"/>
  <c r="Y128" i="42"/>
  <c r="AC127" i="42"/>
  <c r="AA127" i="42"/>
  <c r="Y127" i="42"/>
  <c r="AC126" i="42"/>
  <c r="AA126" i="42"/>
  <c r="Y126" i="42"/>
  <c r="AC125" i="42"/>
  <c r="AA125" i="42"/>
  <c r="Y125" i="42"/>
  <c r="V125" i="42"/>
  <c r="P125" i="42"/>
  <c r="AE125" i="42" s="1"/>
  <c r="AF125" i="42" s="1"/>
  <c r="AC124" i="42"/>
  <c r="AA124" i="42"/>
  <c r="Y124" i="42"/>
  <c r="V124" i="42"/>
  <c r="AC123" i="42"/>
  <c r="AA123" i="42"/>
  <c r="Y123" i="42"/>
  <c r="AC122" i="42"/>
  <c r="AA122" i="42"/>
  <c r="Y122" i="42"/>
  <c r="AC121" i="42"/>
  <c r="AA121" i="42"/>
  <c r="Y121" i="42"/>
  <c r="V121" i="42"/>
  <c r="AC120" i="42"/>
  <c r="AA120" i="42"/>
  <c r="Y120" i="42"/>
  <c r="AC119" i="42"/>
  <c r="AA119" i="42"/>
  <c r="Y119" i="42"/>
  <c r="AC118" i="42"/>
  <c r="AA118" i="42"/>
  <c r="Y118" i="42"/>
  <c r="P118" i="42"/>
  <c r="AE118" i="42" s="1"/>
  <c r="AF118" i="42" s="1"/>
  <c r="AC117" i="42"/>
  <c r="AA117" i="42"/>
  <c r="Y117" i="42"/>
  <c r="P117" i="42"/>
  <c r="AE117" i="42" s="1"/>
  <c r="AF117" i="42" s="1"/>
  <c r="AC116" i="42"/>
  <c r="AA116" i="42"/>
  <c r="Y116" i="42"/>
  <c r="V116" i="42"/>
  <c r="P116" i="42"/>
  <c r="AE116" i="42" s="1"/>
  <c r="AF116" i="42" s="1"/>
  <c r="AC115" i="42"/>
  <c r="AA115" i="42"/>
  <c r="Y115" i="42"/>
  <c r="V115" i="42"/>
  <c r="P115" i="42"/>
  <c r="AE115" i="42" s="1"/>
  <c r="AF115" i="42" s="1"/>
  <c r="AC114" i="42"/>
  <c r="AA114" i="42"/>
  <c r="Y114" i="42"/>
  <c r="P114" i="42"/>
  <c r="AE114" i="42" s="1"/>
  <c r="AF114" i="42" s="1"/>
  <c r="AC113" i="42"/>
  <c r="AA113" i="42"/>
  <c r="Y113" i="42"/>
  <c r="AC112" i="42"/>
  <c r="AA112" i="42"/>
  <c r="Y112" i="42"/>
  <c r="AC111" i="42"/>
  <c r="AA111" i="42"/>
  <c r="Y111" i="42"/>
  <c r="AC110" i="42"/>
  <c r="AA110" i="42"/>
  <c r="Y110" i="42"/>
  <c r="V110" i="42"/>
  <c r="AC109" i="42"/>
  <c r="AA109" i="42"/>
  <c r="Y109" i="42"/>
  <c r="V109" i="42"/>
  <c r="P109" i="42"/>
  <c r="AE109" i="42" s="1"/>
  <c r="AF109" i="42" s="1"/>
  <c r="AC108" i="42"/>
  <c r="AA108" i="42"/>
  <c r="Y108" i="42"/>
  <c r="AC107" i="42"/>
  <c r="AA107" i="42"/>
  <c r="Y107" i="42"/>
  <c r="AC106" i="42"/>
  <c r="AA106" i="42"/>
  <c r="Y106" i="42"/>
  <c r="V106" i="42"/>
  <c r="AC105" i="42"/>
  <c r="AA105" i="42"/>
  <c r="Y105" i="42"/>
  <c r="AC104" i="42"/>
  <c r="AA104" i="42"/>
  <c r="Y104" i="42"/>
  <c r="V104" i="42"/>
  <c r="P104" i="42"/>
  <c r="AE104" i="42" s="1"/>
  <c r="AF104" i="42" s="1"/>
  <c r="AC103" i="42"/>
  <c r="AA103" i="42"/>
  <c r="Y103" i="42"/>
  <c r="V103" i="42"/>
  <c r="P103" i="42"/>
  <c r="AE103" i="42" s="1"/>
  <c r="AF103" i="42" s="1"/>
  <c r="AC102" i="42"/>
  <c r="AA102" i="42"/>
  <c r="Y102" i="42"/>
  <c r="V102" i="42"/>
  <c r="P102" i="42"/>
  <c r="AE102" i="42" s="1"/>
  <c r="AF102" i="42" s="1"/>
  <c r="AC101" i="42"/>
  <c r="AA101" i="42"/>
  <c r="Y101" i="42"/>
  <c r="V101" i="42"/>
  <c r="P101" i="42"/>
  <c r="AE101" i="42" s="1"/>
  <c r="AF101" i="42" s="1"/>
  <c r="AC100" i="42"/>
  <c r="AA100" i="42"/>
  <c r="Y100" i="42"/>
  <c r="V100" i="42"/>
  <c r="P100" i="42"/>
  <c r="AE100" i="42" s="1"/>
  <c r="AF100" i="42" s="1"/>
  <c r="AC99" i="42"/>
  <c r="AA99" i="42"/>
  <c r="Y99" i="42"/>
  <c r="P99" i="42"/>
  <c r="AE99" i="42" s="1"/>
  <c r="AF99" i="42" s="1"/>
  <c r="AC98" i="42"/>
  <c r="AA98" i="42"/>
  <c r="Y98" i="42"/>
  <c r="P98" i="42"/>
  <c r="AE98" i="42" s="1"/>
  <c r="AF98" i="42" s="1"/>
  <c r="AC97" i="42"/>
  <c r="AA97" i="42"/>
  <c r="Y97" i="42"/>
  <c r="AC96" i="42"/>
  <c r="AA96" i="42"/>
  <c r="Y96" i="42"/>
  <c r="AC95" i="42"/>
  <c r="AA95" i="42"/>
  <c r="Y95" i="42"/>
  <c r="V95" i="42"/>
  <c r="AC94" i="42"/>
  <c r="AA94" i="42"/>
  <c r="Y94" i="42"/>
  <c r="AC93" i="42"/>
  <c r="AA93" i="42"/>
  <c r="Y93" i="42"/>
  <c r="AC92" i="42"/>
  <c r="AA92" i="42"/>
  <c r="Y92" i="42"/>
  <c r="P92" i="42"/>
  <c r="AE92" i="42" s="1"/>
  <c r="AF92" i="42" s="1"/>
  <c r="AC91" i="42"/>
  <c r="AA91" i="42"/>
  <c r="Y91" i="42"/>
  <c r="AC90" i="42"/>
  <c r="AA90" i="42"/>
  <c r="Y90" i="42"/>
  <c r="V90" i="42"/>
  <c r="AC89" i="42"/>
  <c r="AA89" i="42"/>
  <c r="Y89" i="42"/>
  <c r="V89" i="42"/>
  <c r="AA88" i="42"/>
  <c r="Y88" i="42"/>
  <c r="V88" i="42"/>
  <c r="AC87" i="42"/>
  <c r="AA87" i="42"/>
  <c r="Y87" i="42"/>
  <c r="V87" i="42"/>
  <c r="AC86" i="42"/>
  <c r="AA86" i="42"/>
  <c r="Y86" i="42"/>
  <c r="P86" i="42"/>
  <c r="AE86" i="42" s="1"/>
  <c r="AF86" i="42" s="1"/>
  <c r="AC85" i="42"/>
  <c r="AA85" i="42"/>
  <c r="Y85" i="42"/>
  <c r="P85" i="42"/>
  <c r="AE85" i="42" s="1"/>
  <c r="AF85" i="42" s="1"/>
  <c r="AC84" i="42"/>
  <c r="AA84" i="42"/>
  <c r="Y84" i="42"/>
  <c r="V84" i="42"/>
  <c r="P84" i="42"/>
  <c r="AE84" i="42" s="1"/>
  <c r="AF84" i="42" s="1"/>
  <c r="AC83" i="42"/>
  <c r="AA83" i="42"/>
  <c r="Y83" i="42"/>
  <c r="V83" i="42"/>
  <c r="P83" i="42"/>
  <c r="AE83" i="42" s="1"/>
  <c r="AF83" i="42" s="1"/>
  <c r="AC82" i="42"/>
  <c r="AA82" i="42"/>
  <c r="Y82" i="42"/>
  <c r="P82" i="42"/>
  <c r="AE82" i="42" s="1"/>
  <c r="AF82" i="42" s="1"/>
  <c r="AC81" i="42"/>
  <c r="AA81" i="42"/>
  <c r="Y81" i="42"/>
  <c r="AC80" i="42"/>
  <c r="AA80" i="42"/>
  <c r="Y80" i="42"/>
  <c r="AC79" i="42"/>
  <c r="AA79" i="42"/>
  <c r="Y79" i="42"/>
  <c r="AC78" i="42"/>
  <c r="AA78" i="42"/>
  <c r="Y78" i="42"/>
  <c r="AC77" i="42"/>
  <c r="AA77" i="42"/>
  <c r="Y77" i="42"/>
  <c r="AC76" i="42"/>
  <c r="AA76" i="42"/>
  <c r="Y76" i="42"/>
  <c r="V76" i="42"/>
  <c r="P76" i="42"/>
  <c r="AE76" i="42" s="1"/>
  <c r="AF76" i="42" s="1"/>
  <c r="AC75" i="42"/>
  <c r="AA75" i="42"/>
  <c r="Y75" i="42"/>
  <c r="V75" i="42"/>
  <c r="AC74" i="42"/>
  <c r="AA74" i="42"/>
  <c r="Y74" i="42"/>
  <c r="V74" i="42"/>
  <c r="AC73" i="42"/>
  <c r="AA73" i="42"/>
  <c r="Y73" i="42"/>
  <c r="AC72" i="42"/>
  <c r="AA72" i="42"/>
  <c r="Y72" i="42"/>
  <c r="V72" i="42"/>
  <c r="AC71" i="42"/>
  <c r="AA71" i="42"/>
  <c r="Y71" i="42"/>
  <c r="V71" i="42"/>
  <c r="P71" i="42"/>
  <c r="AE71" i="42" s="1"/>
  <c r="AF71" i="42" s="1"/>
  <c r="AC70" i="42"/>
  <c r="AA70" i="42"/>
  <c r="Y70" i="42"/>
  <c r="AC69" i="42"/>
  <c r="AA69" i="42"/>
  <c r="Y69" i="42"/>
  <c r="V69" i="42"/>
  <c r="P69" i="42"/>
  <c r="AE69" i="42" s="1"/>
  <c r="AF69" i="42" s="1"/>
  <c r="AA68" i="42"/>
  <c r="Y68" i="42"/>
  <c r="V68" i="42"/>
  <c r="P68" i="42"/>
  <c r="AE68" i="42" s="1"/>
  <c r="AF68" i="42" s="1"/>
  <c r="AC67" i="42"/>
  <c r="AA67" i="42"/>
  <c r="Y67" i="42"/>
  <c r="V67" i="42"/>
  <c r="P67" i="42"/>
  <c r="AE67" i="42" s="1"/>
  <c r="AF67" i="42" s="1"/>
  <c r="AC66" i="42"/>
  <c r="AA66" i="42"/>
  <c r="Y66" i="42"/>
  <c r="P66" i="42"/>
  <c r="AE66" i="42" s="1"/>
  <c r="AF66" i="42" s="1"/>
  <c r="AC65" i="42"/>
  <c r="AA65" i="42"/>
  <c r="Y65" i="42"/>
  <c r="V65" i="42"/>
  <c r="AC64" i="42"/>
  <c r="AA64" i="42"/>
  <c r="Y64" i="42"/>
  <c r="AC63" i="42"/>
  <c r="AA63" i="42"/>
  <c r="Y63" i="42"/>
  <c r="AC62" i="42"/>
  <c r="AA62" i="42"/>
  <c r="Y62" i="42"/>
  <c r="V62" i="42"/>
  <c r="AC61" i="42"/>
  <c r="AA61" i="42"/>
  <c r="Y61" i="42"/>
  <c r="P61" i="42"/>
  <c r="AE61" i="42" s="1"/>
  <c r="AF61" i="42" s="1"/>
  <c r="AC60" i="42"/>
  <c r="AA60" i="42"/>
  <c r="Y60" i="42"/>
  <c r="AC59" i="42"/>
  <c r="AA59" i="42"/>
  <c r="Y59" i="42"/>
  <c r="AC58" i="42"/>
  <c r="AA58" i="42"/>
  <c r="Y58" i="42"/>
  <c r="V58" i="42"/>
  <c r="AC57" i="42"/>
  <c r="AA57" i="42"/>
  <c r="Y57" i="42"/>
  <c r="V57" i="42"/>
  <c r="P57" i="42"/>
  <c r="AE57" i="42" s="1"/>
  <c r="AF57" i="42" s="1"/>
  <c r="AC56" i="42"/>
  <c r="AA56" i="42"/>
  <c r="Y56" i="42"/>
  <c r="AA55" i="42"/>
  <c r="Y55" i="42"/>
  <c r="V55" i="42"/>
  <c r="P55" i="42"/>
  <c r="AE55" i="42" s="1"/>
  <c r="AF55" i="42" s="1"/>
  <c r="AC54" i="42"/>
  <c r="AA54" i="42"/>
  <c r="Y54" i="42"/>
  <c r="V54" i="42"/>
  <c r="P54" i="42"/>
  <c r="AE54" i="42" s="1"/>
  <c r="AF54" i="42" s="1"/>
  <c r="AC53" i="42"/>
  <c r="AA53" i="42"/>
  <c r="Y53" i="42"/>
  <c r="V53" i="42"/>
  <c r="P53" i="42"/>
  <c r="AE53" i="42" s="1"/>
  <c r="AF53" i="42" s="1"/>
  <c r="AC52" i="42"/>
  <c r="AA52" i="42"/>
  <c r="Y52" i="42"/>
  <c r="V52" i="42"/>
  <c r="P52" i="42"/>
  <c r="AE52" i="42" s="1"/>
  <c r="AF52" i="42" s="1"/>
  <c r="AC51" i="42"/>
  <c r="AA51" i="42"/>
  <c r="Y51" i="42"/>
  <c r="V51" i="42"/>
  <c r="P51" i="42"/>
  <c r="AE51" i="42" s="1"/>
  <c r="AF51" i="42" s="1"/>
  <c r="AC50" i="42"/>
  <c r="AA50" i="42"/>
  <c r="Y50" i="42"/>
  <c r="P50" i="42"/>
  <c r="AE50" i="42" s="1"/>
  <c r="AF50" i="42" s="1"/>
  <c r="AC49" i="42"/>
  <c r="AA49" i="42"/>
  <c r="Y49" i="42"/>
  <c r="AC48" i="42"/>
  <c r="AA48" i="42"/>
  <c r="Y48" i="42"/>
  <c r="AC47" i="42"/>
  <c r="AA47" i="42"/>
  <c r="Y47" i="42"/>
  <c r="AC46" i="42"/>
  <c r="AA46" i="42"/>
  <c r="Y46" i="42"/>
  <c r="AC45" i="42"/>
  <c r="AA45" i="42"/>
  <c r="Y45" i="42"/>
  <c r="AC44" i="42"/>
  <c r="AA44" i="42"/>
  <c r="Y44" i="42"/>
  <c r="V44" i="42"/>
  <c r="P44" i="42"/>
  <c r="AE44" i="42" s="1"/>
  <c r="AF44" i="42" s="1"/>
  <c r="AC43" i="42"/>
  <c r="AA43" i="42"/>
  <c r="Y43" i="42"/>
  <c r="P43" i="42"/>
  <c r="AE43" i="42" s="1"/>
  <c r="AF43" i="42" s="1"/>
  <c r="AC42" i="42"/>
  <c r="AA42" i="42"/>
  <c r="Y42" i="42"/>
  <c r="AC41" i="42"/>
  <c r="AA41" i="42"/>
  <c r="Y41" i="42"/>
  <c r="V41" i="42"/>
  <c r="P41" i="42"/>
  <c r="AE41" i="42" s="1"/>
  <c r="AF41" i="42" s="1"/>
  <c r="AC40" i="42"/>
  <c r="AA40" i="42"/>
  <c r="Y40" i="42"/>
  <c r="V40" i="42"/>
  <c r="P40" i="42"/>
  <c r="AE40" i="42" s="1"/>
  <c r="AF40" i="42" s="1"/>
  <c r="AC39" i="42"/>
  <c r="AA39" i="42"/>
  <c r="Y39" i="42"/>
  <c r="V39" i="42"/>
  <c r="AC38" i="42"/>
  <c r="AA38" i="42"/>
  <c r="Y38" i="42"/>
  <c r="V38" i="42"/>
  <c r="P38" i="42"/>
  <c r="AE38" i="42" s="1"/>
  <c r="AF38" i="42" s="1"/>
  <c r="AC37" i="42"/>
  <c r="AA37" i="42"/>
  <c r="Y37" i="42"/>
  <c r="V37" i="42"/>
  <c r="P37" i="42"/>
  <c r="AE37" i="42" s="1"/>
  <c r="AF37" i="42" s="1"/>
  <c r="AC36" i="42"/>
  <c r="AA36" i="42"/>
  <c r="Y36" i="42"/>
  <c r="V36" i="42"/>
  <c r="P36" i="42"/>
  <c r="AE36" i="42" s="1"/>
  <c r="AF36" i="42" s="1"/>
  <c r="AC35" i="42"/>
  <c r="AA35" i="42"/>
  <c r="Y35" i="42"/>
  <c r="P35" i="42"/>
  <c r="AE35" i="42" s="1"/>
  <c r="AF35" i="42" s="1"/>
  <c r="AC34" i="42"/>
  <c r="AA34" i="42"/>
  <c r="Y34" i="42"/>
  <c r="AA33" i="42"/>
  <c r="Y33" i="42"/>
  <c r="AC32" i="42"/>
  <c r="Y32" i="42"/>
  <c r="Y31" i="42"/>
  <c r="AC30" i="42"/>
  <c r="Y30" i="42"/>
  <c r="V30" i="42"/>
  <c r="AC29" i="42"/>
  <c r="Y29" i="42"/>
  <c r="AC28" i="42"/>
  <c r="Y28" i="42"/>
  <c r="AC27" i="42"/>
  <c r="Y27" i="42"/>
  <c r="AC26" i="42"/>
  <c r="Y26" i="42"/>
  <c r="V26" i="42"/>
  <c r="AC25" i="42"/>
  <c r="Y25" i="42"/>
  <c r="V25" i="42"/>
  <c r="AC24" i="42"/>
  <c r="Y24" i="42"/>
  <c r="V24" i="42"/>
  <c r="AC23" i="42"/>
  <c r="Y23" i="42"/>
  <c r="AC22" i="42"/>
  <c r="Y22" i="42"/>
  <c r="AA21" i="42"/>
  <c r="V21" i="42"/>
  <c r="AC20" i="42"/>
  <c r="AA20" i="42"/>
  <c r="V20" i="42"/>
  <c r="AC19" i="42"/>
  <c r="AA19" i="42"/>
  <c r="V19" i="42"/>
  <c r="AC18" i="42"/>
  <c r="AA18" i="42"/>
  <c r="AA17" i="42"/>
  <c r="AC16" i="42"/>
  <c r="AA16" i="42"/>
  <c r="AC15" i="42"/>
  <c r="AA15" i="42"/>
  <c r="AC14" i="42"/>
  <c r="AA14" i="42"/>
  <c r="AC13" i="42"/>
  <c r="AA13" i="42"/>
  <c r="AA12" i="42"/>
  <c r="AC11" i="42"/>
  <c r="AA11" i="42"/>
  <c r="Y11" i="42"/>
  <c r="V11" i="42"/>
  <c r="AC10" i="42"/>
  <c r="AA10" i="42"/>
  <c r="Y10" i="42"/>
  <c r="AC9" i="42"/>
  <c r="AA9" i="42"/>
  <c r="Y9" i="42"/>
  <c r="V9" i="42"/>
  <c r="AC8" i="42"/>
  <c r="AA8" i="42"/>
  <c r="Y8" i="42"/>
  <c r="V8" i="42"/>
  <c r="AC7" i="42"/>
  <c r="AA7" i="42"/>
  <c r="Y7" i="42"/>
  <c r="V7" i="42"/>
  <c r="AC6" i="42"/>
  <c r="AA6" i="42"/>
  <c r="Y6" i="42"/>
  <c r="V6" i="42"/>
  <c r="AC5" i="42"/>
  <c r="AA5" i="42"/>
  <c r="Y5" i="42"/>
  <c r="V5" i="42"/>
  <c r="AC4" i="42"/>
  <c r="AA4" i="42"/>
  <c r="Y4" i="42"/>
  <c r="AJ193" i="10"/>
  <c r="AJ192" i="10"/>
  <c r="AJ191" i="10"/>
  <c r="AJ190" i="10"/>
  <c r="AJ189" i="10"/>
  <c r="AJ188" i="10"/>
  <c r="AJ187" i="10"/>
  <c r="AJ186" i="10"/>
  <c r="AJ185" i="10"/>
  <c r="AJ184" i="10"/>
  <c r="AJ183" i="10"/>
  <c r="AJ182" i="10"/>
  <c r="AJ181" i="10"/>
  <c r="AJ180" i="10"/>
  <c r="AJ179" i="10"/>
  <c r="AJ178" i="10"/>
  <c r="AJ177" i="10"/>
  <c r="AJ176" i="10"/>
  <c r="AJ175" i="10"/>
  <c r="AJ174" i="10"/>
  <c r="AJ173" i="10"/>
  <c r="AJ172" i="10"/>
  <c r="AJ171" i="10"/>
  <c r="AJ170" i="10"/>
  <c r="AJ169" i="10"/>
  <c r="AJ168" i="10"/>
  <c r="AJ167" i="10"/>
  <c r="AJ166" i="10"/>
  <c r="AJ165" i="10"/>
  <c r="AJ164" i="10"/>
  <c r="AJ163" i="10"/>
  <c r="AJ162" i="10"/>
  <c r="AJ161" i="10"/>
  <c r="AJ160" i="10"/>
  <c r="AJ159" i="10"/>
  <c r="AJ158" i="10"/>
  <c r="AJ157" i="10"/>
  <c r="AJ156" i="10"/>
  <c r="AJ155" i="10"/>
  <c r="AJ154" i="10"/>
  <c r="AJ153" i="10"/>
  <c r="AJ152" i="10"/>
  <c r="AJ151" i="10"/>
  <c r="AJ150" i="10"/>
  <c r="AJ149" i="10"/>
  <c r="AJ148" i="10"/>
  <c r="AJ147" i="10"/>
  <c r="AJ146" i="10"/>
  <c r="AJ145" i="10"/>
  <c r="AJ144" i="10"/>
  <c r="AJ143" i="10"/>
  <c r="AJ142" i="10"/>
  <c r="AJ141" i="10"/>
  <c r="AJ140" i="10"/>
  <c r="AJ139" i="10"/>
  <c r="AJ138" i="10"/>
  <c r="AJ137" i="10"/>
  <c r="AJ136" i="10"/>
  <c r="AJ135" i="10"/>
  <c r="AJ134" i="10"/>
  <c r="AJ133" i="10"/>
  <c r="AJ132" i="10"/>
  <c r="AJ131" i="10"/>
  <c r="AJ130" i="10"/>
  <c r="AJ129" i="10"/>
  <c r="AJ128" i="10"/>
  <c r="AJ127" i="10"/>
  <c r="AJ126" i="10"/>
  <c r="AJ125" i="10"/>
  <c r="AJ124" i="10"/>
  <c r="AJ123" i="10"/>
  <c r="AJ122" i="10"/>
  <c r="AJ121" i="10"/>
  <c r="AJ120" i="10"/>
  <c r="AJ119" i="10"/>
  <c r="AJ118" i="10"/>
  <c r="AJ117" i="10"/>
  <c r="AJ116" i="10"/>
  <c r="AJ115" i="10"/>
  <c r="AJ114" i="10"/>
  <c r="AJ113" i="10"/>
  <c r="AJ112" i="10"/>
  <c r="AJ111" i="10"/>
  <c r="AJ110" i="10"/>
  <c r="AJ109" i="10"/>
  <c r="AJ108" i="10"/>
  <c r="AJ107" i="10"/>
  <c r="AJ106" i="10"/>
  <c r="AJ105" i="10"/>
  <c r="AJ104" i="10"/>
  <c r="AJ103" i="10"/>
  <c r="AJ102" i="10"/>
  <c r="AJ101" i="10"/>
  <c r="AJ100" i="10"/>
  <c r="AJ99" i="10"/>
  <c r="AJ98" i="10"/>
  <c r="AJ97" i="10"/>
  <c r="AJ96" i="10"/>
  <c r="AJ95" i="10"/>
  <c r="AJ94" i="10"/>
  <c r="AJ93" i="10"/>
  <c r="AJ92" i="10"/>
  <c r="AJ91" i="10"/>
  <c r="AJ90" i="10"/>
  <c r="AJ89" i="10"/>
  <c r="AJ88" i="10"/>
  <c r="AJ87" i="10"/>
  <c r="AJ86" i="10"/>
  <c r="AJ85" i="10"/>
  <c r="AJ84" i="10"/>
  <c r="AJ83" i="10"/>
  <c r="AJ82" i="10"/>
  <c r="AJ81" i="10"/>
  <c r="AJ80" i="10"/>
  <c r="AJ79" i="10"/>
  <c r="AJ78" i="10"/>
  <c r="AJ77" i="10"/>
  <c r="AJ76" i="10"/>
  <c r="AJ75" i="10"/>
  <c r="AJ74" i="10"/>
  <c r="AJ73" i="10"/>
  <c r="AJ72" i="10"/>
  <c r="AJ71" i="10"/>
  <c r="AJ70" i="10"/>
  <c r="AJ69" i="10"/>
  <c r="AJ68" i="10"/>
  <c r="AJ67" i="10"/>
  <c r="AJ66" i="10"/>
  <c r="AJ65" i="10"/>
  <c r="AJ64" i="10"/>
  <c r="AJ63" i="10"/>
  <c r="AJ62" i="10"/>
  <c r="AJ61" i="10"/>
  <c r="AJ60" i="10"/>
  <c r="AJ59" i="10"/>
  <c r="AJ58" i="10"/>
  <c r="AJ57" i="10"/>
  <c r="AJ56" i="10"/>
  <c r="AJ55" i="10"/>
  <c r="AJ54" i="10"/>
  <c r="AJ53" i="10"/>
  <c r="AJ52" i="10"/>
  <c r="AJ51" i="10"/>
  <c r="AJ50" i="10"/>
  <c r="AJ49" i="10"/>
  <c r="AJ48" i="10"/>
  <c r="AJ47" i="10"/>
  <c r="AJ46" i="10"/>
  <c r="AJ45" i="10"/>
  <c r="AJ44" i="10"/>
  <c r="AJ43" i="10"/>
  <c r="AJ42" i="10"/>
  <c r="AJ41" i="10"/>
  <c r="AJ40" i="10"/>
  <c r="AJ39" i="10"/>
  <c r="AJ38" i="10"/>
  <c r="AJ37" i="10"/>
  <c r="AJ36" i="10"/>
  <c r="AJ35" i="10"/>
  <c r="AJ34" i="10"/>
  <c r="AJ33" i="10"/>
  <c r="AJ32" i="10"/>
  <c r="AJ31" i="10"/>
  <c r="AJ30" i="10"/>
  <c r="AJ29" i="10"/>
  <c r="AJ28" i="10"/>
  <c r="AJ27" i="10"/>
  <c r="AJ26" i="10"/>
  <c r="AJ25" i="10"/>
  <c r="AJ24" i="10"/>
  <c r="AJ23" i="10"/>
  <c r="AJ22" i="10"/>
  <c r="AJ21" i="10"/>
  <c r="AJ20" i="10"/>
  <c r="AJ19" i="10"/>
  <c r="AJ18" i="10"/>
  <c r="AJ17" i="10"/>
  <c r="AJ16" i="10"/>
  <c r="AJ15" i="10"/>
  <c r="AJ14" i="10"/>
  <c r="AJ13" i="10"/>
  <c r="AJ12" i="10"/>
  <c r="AJ11" i="10"/>
  <c r="AJ10" i="10"/>
  <c r="AJ9" i="10"/>
  <c r="AJ8" i="10"/>
  <c r="AJ7" i="10"/>
  <c r="AJ6" i="10"/>
  <c r="AJ5" i="10"/>
  <c r="AJ4" i="10"/>
  <c r="T345" i="56" l="1"/>
  <c r="T235" i="56"/>
  <c r="T91" i="56"/>
  <c r="BI41" i="56"/>
  <c r="DJ130" i="56"/>
  <c r="T27" i="56"/>
  <c r="T11" i="56"/>
  <c r="EK85" i="56"/>
  <c r="T88" i="56"/>
  <c r="BD12" i="56" a="1"/>
  <c r="BD12" i="56" s="1"/>
  <c r="BI329" i="56"/>
  <c r="T329" i="56" s="1"/>
  <c r="BI297" i="56"/>
  <c r="T297" i="56" s="1"/>
  <c r="BI265" i="56"/>
  <c r="T265" i="56" s="1"/>
  <c r="BI233" i="56"/>
  <c r="T233" i="56" s="1"/>
  <c r="BI201" i="56"/>
  <c r="T201" i="56" s="1"/>
  <c r="T347" i="56"/>
  <c r="T219" i="56"/>
  <c r="BU87" i="56"/>
  <c r="BU7" i="56"/>
  <c r="EK261" i="56"/>
  <c r="BD124" i="56" a="1"/>
  <c r="BD124" i="56" s="1"/>
  <c r="BU54" i="56"/>
  <c r="DJ47" i="56"/>
  <c r="BI345" i="56"/>
  <c r="BI313" i="56"/>
  <c r="T313" i="56" s="1"/>
  <c r="BI281" i="56"/>
  <c r="T281" i="56" s="1"/>
  <c r="BI249" i="56"/>
  <c r="T249" i="56" s="1"/>
  <c r="BI217" i="56"/>
  <c r="T217" i="56" s="1"/>
  <c r="BI185" i="56"/>
  <c r="T185" i="56" s="1"/>
  <c r="EK341" i="56"/>
  <c r="T59" i="56"/>
  <c r="BI213" i="56"/>
  <c r="BI133" i="56"/>
  <c r="BI21" i="56"/>
  <c r="BU149" i="56"/>
  <c r="EC215" i="56"/>
  <c r="T331" i="56"/>
  <c r="T19" i="56"/>
  <c r="T203" i="56"/>
  <c r="T299" i="56"/>
  <c r="T43" i="56"/>
  <c r="BN266" i="56"/>
  <c r="FY266" i="56" s="1"/>
  <c r="BN234" i="56"/>
  <c r="FY234" i="56" s="1"/>
  <c r="BN218" i="56"/>
  <c r="FY218" i="56" s="1"/>
  <c r="BN202" i="56"/>
  <c r="FY202" i="56" s="1"/>
  <c r="BN186" i="56"/>
  <c r="FY186" i="56" s="1"/>
  <c r="BN154" i="56"/>
  <c r="FY154" i="56" s="1"/>
  <c r="BN106" i="56"/>
  <c r="FY106" i="56" s="1"/>
  <c r="BN90" i="56"/>
  <c r="FY90" i="56" s="1"/>
  <c r="BN74" i="56"/>
  <c r="FY74" i="56" s="1"/>
  <c r="BN313" i="56"/>
  <c r="FY313" i="56" s="1"/>
  <c r="BN217" i="56"/>
  <c r="FY217" i="56" s="1"/>
  <c r="BN153" i="56"/>
  <c r="FY153" i="56" s="1"/>
  <c r="BN57" i="56"/>
  <c r="FY57" i="56" s="1"/>
  <c r="EC172" i="56"/>
  <c r="EK131" i="56"/>
  <c r="T283" i="56"/>
  <c r="T171" i="56"/>
  <c r="EK97" i="56"/>
  <c r="BD239" i="56" a="1"/>
  <c r="BD239" i="56" s="1"/>
  <c r="C239" i="56" s="1"/>
  <c r="BE239" i="56" s="1"/>
  <c r="BI322" i="56"/>
  <c r="T322" i="56" s="1"/>
  <c r="BI306" i="56"/>
  <c r="T306" i="56" s="1"/>
  <c r="BI274" i="56"/>
  <c r="T274" i="56" s="1"/>
  <c r="BI242" i="56"/>
  <c r="T242" i="56" s="1"/>
  <c r="BI178" i="56"/>
  <c r="T178" i="56" s="1"/>
  <c r="BI98" i="56"/>
  <c r="T98" i="56" s="1"/>
  <c r="BI66" i="56"/>
  <c r="T66" i="56" s="1"/>
  <c r="BI18" i="56"/>
  <c r="T18" i="56" s="1"/>
  <c r="BI320" i="56"/>
  <c r="T320" i="56" s="1"/>
  <c r="BI256" i="56"/>
  <c r="T256" i="56" s="1"/>
  <c r="BI208" i="56"/>
  <c r="T208" i="56" s="1"/>
  <c r="BI160" i="56"/>
  <c r="BI112" i="56"/>
  <c r="T112" i="56" s="1"/>
  <c r="BI64" i="56"/>
  <c r="GC64" i="56" s="1"/>
  <c r="EK149" i="56"/>
  <c r="BN297" i="56"/>
  <c r="FY297" i="56" s="1"/>
  <c r="BN89" i="56"/>
  <c r="FY89" i="56" s="1"/>
  <c r="EK124" i="56"/>
  <c r="EK29" i="56"/>
  <c r="T280" i="56"/>
  <c r="T155" i="56"/>
  <c r="T40" i="56"/>
  <c r="EK318" i="56"/>
  <c r="BI321" i="56"/>
  <c r="T321" i="56" s="1"/>
  <c r="BI305" i="56"/>
  <c r="T305" i="56" s="1"/>
  <c r="BI289" i="56"/>
  <c r="T289" i="56" s="1"/>
  <c r="BI273" i="56"/>
  <c r="T273" i="56" s="1"/>
  <c r="BI225" i="56"/>
  <c r="BI209" i="56"/>
  <c r="T209" i="56" s="1"/>
  <c r="BI161" i="56"/>
  <c r="T161" i="56" s="1"/>
  <c r="BI145" i="56"/>
  <c r="T145" i="56" s="1"/>
  <c r="BI113" i="56"/>
  <c r="T113" i="56" s="1"/>
  <c r="BI97" i="56"/>
  <c r="T97" i="56" s="1"/>
  <c r="BI65" i="56"/>
  <c r="T65" i="56" s="1"/>
  <c r="BI127" i="56"/>
  <c r="DL233" i="56"/>
  <c r="DJ73" i="56"/>
  <c r="EB334" i="56"/>
  <c r="EC135" i="56"/>
  <c r="BN345" i="56"/>
  <c r="FY345" i="56" s="1"/>
  <c r="BN265" i="56"/>
  <c r="FY265" i="56" s="1"/>
  <c r="BN105" i="56"/>
  <c r="FY105" i="56" s="1"/>
  <c r="BN41" i="56"/>
  <c r="FY41" i="56" s="1"/>
  <c r="T267" i="56"/>
  <c r="T152" i="56"/>
  <c r="EK285" i="56"/>
  <c r="EK77" i="56"/>
  <c r="EB183" i="56"/>
  <c r="EC309" i="56"/>
  <c r="EC134" i="56"/>
  <c r="EC18" i="56"/>
  <c r="BN329" i="56"/>
  <c r="FY329" i="56" s="1"/>
  <c r="BN137" i="56"/>
  <c r="FY137" i="56" s="1"/>
  <c r="T131" i="56"/>
  <c r="BD332" i="56" a="1"/>
  <c r="BD332" i="56" s="1"/>
  <c r="C332" i="56" s="1"/>
  <c r="BE332" i="56" s="1"/>
  <c r="EK300" i="56"/>
  <c r="BD284" i="56" a="1"/>
  <c r="BD284" i="56" s="1"/>
  <c r="C284" i="56" s="1"/>
  <c r="BE284" i="56" s="1"/>
  <c r="BD252" i="56" a="1"/>
  <c r="BD252" i="56" s="1"/>
  <c r="C252" i="56" s="1"/>
  <c r="BE252" i="56" s="1"/>
  <c r="EK204" i="56"/>
  <c r="BD172" i="56" a="1"/>
  <c r="BD172" i="56" s="1"/>
  <c r="C172" i="56" s="1"/>
  <c r="BE172" i="56" s="1"/>
  <c r="EK156" i="56"/>
  <c r="BD140" i="56" a="1"/>
  <c r="BD140" i="56" s="1"/>
  <c r="EK76" i="56"/>
  <c r="BD44" i="56" a="1"/>
  <c r="BD44" i="56" s="1"/>
  <c r="C44" i="56" s="1"/>
  <c r="BE44" i="56" s="1"/>
  <c r="BI221" i="56"/>
  <c r="T221" i="56" s="1"/>
  <c r="BN334" i="56"/>
  <c r="FY334" i="56" s="1"/>
  <c r="BN318" i="56"/>
  <c r="EC6" i="56"/>
  <c r="T187" i="56"/>
  <c r="BN281" i="56"/>
  <c r="FY281" i="56" s="1"/>
  <c r="BN201" i="56"/>
  <c r="FY201" i="56" s="1"/>
  <c r="BN73" i="56"/>
  <c r="FY73" i="56" s="1"/>
  <c r="T123" i="56"/>
  <c r="T33" i="56"/>
  <c r="BN68" i="56"/>
  <c r="FY68" i="56" s="1"/>
  <c r="BI50" i="56"/>
  <c r="BU184" i="56"/>
  <c r="EB167" i="56"/>
  <c r="EB33" i="56"/>
  <c r="EC128" i="56"/>
  <c r="EE184" i="56"/>
  <c r="ED184" i="56"/>
  <c r="Q184" i="56"/>
  <c r="EK184" i="56" s="1"/>
  <c r="T148" i="56"/>
  <c r="BI148" i="56"/>
  <c r="CE327" i="56"/>
  <c r="CD327" i="56"/>
  <c r="CV327" i="56" s="1"/>
  <c r="CA328" i="56"/>
  <c r="CF327" i="56"/>
  <c r="CC327" i="56"/>
  <c r="CB295" i="56"/>
  <c r="CC295" i="56"/>
  <c r="CF295" i="56"/>
  <c r="CD295" i="56"/>
  <c r="CD263" i="56"/>
  <c r="CV263" i="56" s="1"/>
  <c r="CB263" i="56"/>
  <c r="CA264" i="56"/>
  <c r="CE263" i="56"/>
  <c r="CC263" i="56"/>
  <c r="CE231" i="56"/>
  <c r="CC231" i="56"/>
  <c r="CD231" i="56"/>
  <c r="CB231" i="56"/>
  <c r="CF231" i="56"/>
  <c r="CE199" i="56"/>
  <c r="CF199" i="56"/>
  <c r="CC199" i="56"/>
  <c r="CD199" i="56"/>
  <c r="CV199" i="56" s="1"/>
  <c r="CB199" i="56"/>
  <c r="CA200" i="56"/>
  <c r="DC200" i="56" s="1"/>
  <c r="CB57" i="56"/>
  <c r="Q81" i="56"/>
  <c r="AZ333" i="56"/>
  <c r="Q333" i="56" s="1"/>
  <c r="AZ173" i="56"/>
  <c r="Q173" i="56" s="1"/>
  <c r="EK173" i="56" s="1"/>
  <c r="AZ93" i="56"/>
  <c r="Q93" i="56" s="1"/>
  <c r="EK93" i="56" s="1"/>
  <c r="BA220" i="56"/>
  <c r="BB220" i="56" s="1"/>
  <c r="BD220" i="56" s="1" a="1"/>
  <c r="BD220" i="56" s="1"/>
  <c r="BJ287" i="56"/>
  <c r="BL287" i="56" s="1"/>
  <c r="BK190" i="56"/>
  <c r="BL190" i="56" s="1"/>
  <c r="BQ174" i="56"/>
  <c r="CA296" i="56"/>
  <c r="CG175" i="56"/>
  <c r="CH175" i="56" s="1"/>
  <c r="H175" i="56" s="1"/>
  <c r="BW65" i="56"/>
  <c r="BK65" i="56"/>
  <c r="BK17" i="56"/>
  <c r="Q17" i="56"/>
  <c r="EK17" i="56" s="1"/>
  <c r="BA351" i="56"/>
  <c r="BB351" i="56" s="1"/>
  <c r="AZ351" i="56"/>
  <c r="AZ335" i="56"/>
  <c r="BA335" i="56"/>
  <c r="BB335" i="56" s="1"/>
  <c r="BD335" i="56" s="1" a="1"/>
  <c r="BD335" i="56" s="1"/>
  <c r="BA223" i="56"/>
  <c r="BB223" i="56" s="1"/>
  <c r="AZ223" i="56"/>
  <c r="AZ207" i="56"/>
  <c r="BA207" i="56"/>
  <c r="BB207" i="56" s="1"/>
  <c r="BD207" i="56" s="1" a="1"/>
  <c r="BD207" i="56" s="1"/>
  <c r="C207" i="56" s="1"/>
  <c r="BE207" i="56" s="1"/>
  <c r="AZ143" i="56"/>
  <c r="Q143" i="56" s="1"/>
  <c r="EK143" i="56" s="1"/>
  <c r="BA143" i="56"/>
  <c r="BB143" i="56" s="1"/>
  <c r="BD143" i="56" s="1" a="1"/>
  <c r="BD143" i="56" s="1"/>
  <c r="BA111" i="56"/>
  <c r="BB111" i="56" s="1"/>
  <c r="BD111" i="56" s="1" a="1"/>
  <c r="BD111" i="56" s="1"/>
  <c r="AZ111" i="56"/>
  <c r="Q111" i="56" s="1"/>
  <c r="EK111" i="56" s="1"/>
  <c r="AZ79" i="56"/>
  <c r="Q79" i="56" s="1"/>
  <c r="EK79" i="56" s="1"/>
  <c r="BA79" i="56"/>
  <c r="BB79" i="56" s="1"/>
  <c r="BD79" i="56" s="1" a="1"/>
  <c r="BD79" i="56" s="1"/>
  <c r="EQ325" i="56"/>
  <c r="BQ325" i="56"/>
  <c r="EQ197" i="56"/>
  <c r="BQ197" i="56"/>
  <c r="EQ165" i="56"/>
  <c r="EY165" i="56" s="1"/>
  <c r="BN165" i="56"/>
  <c r="FY165" i="56" s="1"/>
  <c r="EQ117" i="56"/>
  <c r="BQ117" i="56"/>
  <c r="EQ69" i="56"/>
  <c r="BQ69" i="56"/>
  <c r="EQ37" i="56"/>
  <c r="BN37" i="56"/>
  <c r="FY37" i="56" s="1"/>
  <c r="EQ21" i="56"/>
  <c r="BD21" i="56" a="1"/>
  <c r="BD21" i="56" s="1"/>
  <c r="EQ5" i="56"/>
  <c r="EY5" i="56" s="1"/>
  <c r="BQ5" i="56"/>
  <c r="BD5" i="56" a="1"/>
  <c r="BD5" i="56" s="1"/>
  <c r="CF345" i="56"/>
  <c r="CB345" i="56"/>
  <c r="CE345" i="56"/>
  <c r="CA330" i="56"/>
  <c r="CB329" i="56"/>
  <c r="CC297" i="56"/>
  <c r="CF297" i="56"/>
  <c r="CD265" i="56"/>
  <c r="CA266" i="56"/>
  <c r="CE249" i="56"/>
  <c r="CB249" i="56"/>
  <c r="CD249" i="56"/>
  <c r="CA234" i="56"/>
  <c r="CB233" i="56"/>
  <c r="CF217" i="56"/>
  <c r="CB217" i="56"/>
  <c r="CE217" i="56"/>
  <c r="CC201" i="56"/>
  <c r="CB201" i="56"/>
  <c r="CF169" i="56"/>
  <c r="CA170" i="56"/>
  <c r="CC169" i="56"/>
  <c r="CB121" i="56"/>
  <c r="CE121" i="56"/>
  <c r="CB105" i="56"/>
  <c r="CD105" i="56"/>
  <c r="CA106" i="56"/>
  <c r="CE89" i="56"/>
  <c r="CC89" i="56"/>
  <c r="CB89" i="56"/>
  <c r="CC73" i="56"/>
  <c r="CB73" i="56"/>
  <c r="CE73" i="56"/>
  <c r="Q16" i="56"/>
  <c r="EK16" i="56" s="1"/>
  <c r="BK16" i="56"/>
  <c r="BA350" i="56"/>
  <c r="BB350" i="56" s="1"/>
  <c r="BD350" i="56" s="1" a="1"/>
  <c r="BD350" i="56" s="1"/>
  <c r="AZ350" i="56"/>
  <c r="AZ334" i="56"/>
  <c r="Q334" i="56" s="1"/>
  <c r="BA334" i="56"/>
  <c r="BB334" i="56" s="1"/>
  <c r="BD334" i="56" s="1" a="1"/>
  <c r="BD334" i="56" s="1"/>
  <c r="BA238" i="56"/>
  <c r="BB238" i="56" s="1"/>
  <c r="BD238" i="56" s="1" a="1"/>
  <c r="BD238" i="56" s="1"/>
  <c r="C238" i="56" s="1"/>
  <c r="BE238" i="56" s="1"/>
  <c r="AZ238" i="56"/>
  <c r="Q238" i="56" s="1"/>
  <c r="EK238" i="56" s="1"/>
  <c r="BA222" i="56"/>
  <c r="BB222" i="56" s="1"/>
  <c r="BD222" i="56" s="1" a="1"/>
  <c r="BD222" i="56" s="1"/>
  <c r="AZ222" i="56"/>
  <c r="AZ206" i="56"/>
  <c r="Q206" i="56" s="1"/>
  <c r="EK206" i="56" s="1"/>
  <c r="BA206" i="56"/>
  <c r="BB206" i="56" s="1"/>
  <c r="BD206" i="56" s="1" a="1"/>
  <c r="BD206" i="56" s="1"/>
  <c r="C206" i="56" s="1"/>
  <c r="BE206" i="56" s="1"/>
  <c r="AZ190" i="56"/>
  <c r="Q190" i="56" s="1"/>
  <c r="EK190" i="56" s="1"/>
  <c r="BA190" i="56"/>
  <c r="BB190" i="56" s="1"/>
  <c r="BD190" i="56" s="1" a="1"/>
  <c r="BD190" i="56" s="1"/>
  <c r="C190" i="56" s="1"/>
  <c r="BE190" i="56" s="1"/>
  <c r="AZ62" i="56"/>
  <c r="BA62" i="56"/>
  <c r="BB62" i="56" s="1"/>
  <c r="EQ244" i="56"/>
  <c r="BY244" i="56" s="1" a="1"/>
  <c r="BY244" i="56" s="1"/>
  <c r="DU244" i="56" s="1"/>
  <c r="BN244" i="56"/>
  <c r="FY244" i="56" s="1"/>
  <c r="EQ20" i="56"/>
  <c r="ER20" i="56" s="1"/>
  <c r="BD20" i="56" a="1"/>
  <c r="BD20" i="56" s="1"/>
  <c r="BK175" i="56"/>
  <c r="BW351" i="56"/>
  <c r="Q351" i="56"/>
  <c r="EK351" i="56" s="1"/>
  <c r="BX351" i="56"/>
  <c r="BJ351" i="56"/>
  <c r="BO319" i="56"/>
  <c r="CI319" i="56"/>
  <c r="BW319" i="56"/>
  <c r="BK319" i="56"/>
  <c r="BJ319" i="56"/>
  <c r="BX319" i="56"/>
  <c r="CS319" i="56"/>
  <c r="I319" i="56" s="1"/>
  <c r="CT319" i="56" s="1"/>
  <c r="BO303" i="56"/>
  <c r="CI303" i="56"/>
  <c r="BK303" i="56"/>
  <c r="CI271" i="56"/>
  <c r="BK271" i="56"/>
  <c r="BJ271" i="56"/>
  <c r="BW271" i="56"/>
  <c r="BO255" i="56"/>
  <c r="BJ255" i="56"/>
  <c r="BW255" i="56"/>
  <c r="CG239" i="56"/>
  <c r="CH239" i="56" s="1"/>
  <c r="H239" i="56" s="1"/>
  <c r="BK239" i="56"/>
  <c r="BL239" i="56" s="1"/>
  <c r="CX223" i="56"/>
  <c r="CL223" i="56"/>
  <c r="BJ223" i="56"/>
  <c r="BX223" i="56"/>
  <c r="BQ223" i="56"/>
  <c r="BK223" i="56"/>
  <c r="CL207" i="56"/>
  <c r="BW207" i="56"/>
  <c r="BK207" i="56"/>
  <c r="Q207" i="56"/>
  <c r="EK207" i="56" s="1"/>
  <c r="CI191" i="56"/>
  <c r="BJ191" i="56"/>
  <c r="BO159" i="56"/>
  <c r="CM159" i="56"/>
  <c r="J159" i="56" s="1"/>
  <c r="CN159" i="56" s="1"/>
  <c r="CO159" i="56" s="1" a="1"/>
  <c r="CO159" i="56" s="1"/>
  <c r="BX159" i="56"/>
  <c r="BJ159" i="56"/>
  <c r="BK159" i="56"/>
  <c r="CI143" i="56"/>
  <c r="BK143" i="56"/>
  <c r="BW143" i="56"/>
  <c r="BO127" i="56"/>
  <c r="CG127" i="56"/>
  <c r="CH127" i="56" s="1"/>
  <c r="H127" i="56" s="1"/>
  <c r="BK127" i="56"/>
  <c r="BJ127" i="56"/>
  <c r="BX111" i="56"/>
  <c r="BJ111" i="56"/>
  <c r="BW111" i="56"/>
  <c r="BK111" i="56"/>
  <c r="BO95" i="56"/>
  <c r="CS95" i="56"/>
  <c r="I95" i="56" s="1"/>
  <c r="CT95" i="56" s="1"/>
  <c r="CL95" i="56"/>
  <c r="BJ95" i="56"/>
  <c r="BX95" i="56"/>
  <c r="CI63" i="56"/>
  <c r="CM63" i="56"/>
  <c r="J63" i="56" s="1"/>
  <c r="CN63" i="56" s="1"/>
  <c r="CG63" i="56"/>
  <c r="CH63" i="56" s="1"/>
  <c r="H63" i="56" s="1"/>
  <c r="Q63" i="56"/>
  <c r="BW63" i="56"/>
  <c r="BK63" i="56"/>
  <c r="BX47" i="56"/>
  <c r="BJ47" i="56"/>
  <c r="BW47" i="56"/>
  <c r="BK47" i="56"/>
  <c r="BQ47" i="56"/>
  <c r="BO31" i="56"/>
  <c r="BK31" i="56"/>
  <c r="CI31" i="56"/>
  <c r="BJ31" i="56"/>
  <c r="BW15" i="56"/>
  <c r="Q15" i="56"/>
  <c r="EK15" i="56" s="1"/>
  <c r="BJ15" i="56"/>
  <c r="BA349" i="56"/>
  <c r="BB349" i="56" s="1"/>
  <c r="AZ349" i="56"/>
  <c r="BA317" i="56"/>
  <c r="BB317" i="56" s="1"/>
  <c r="AZ317" i="56"/>
  <c r="BA269" i="56"/>
  <c r="BB269" i="56" s="1"/>
  <c r="AZ269" i="56"/>
  <c r="Q269" i="56" s="1"/>
  <c r="EK269" i="56" s="1"/>
  <c r="AZ221" i="56"/>
  <c r="BA221" i="56"/>
  <c r="BB221" i="56" s="1"/>
  <c r="BA205" i="56"/>
  <c r="BB205" i="56" s="1"/>
  <c r="AZ205" i="56"/>
  <c r="Q205" i="56" s="1"/>
  <c r="EK205" i="56" s="1"/>
  <c r="AZ189" i="56"/>
  <c r="Q189" i="56" s="1"/>
  <c r="BA189" i="56"/>
  <c r="BB189" i="56" s="1"/>
  <c r="AZ125" i="56"/>
  <c r="Q125" i="56" s="1"/>
  <c r="EK125" i="56" s="1"/>
  <c r="BA125" i="56"/>
  <c r="BB125" i="56" s="1"/>
  <c r="BA61" i="56"/>
  <c r="BB61" i="56" s="1"/>
  <c r="AZ61" i="56"/>
  <c r="BO335" i="56"/>
  <c r="BW335" i="56"/>
  <c r="BK335" i="56"/>
  <c r="CS335" i="56"/>
  <c r="I335" i="56" s="1"/>
  <c r="CT335" i="56" s="1"/>
  <c r="BX335" i="56"/>
  <c r="BJ335" i="56"/>
  <c r="Q335" i="56"/>
  <c r="BO318" i="56"/>
  <c r="CI318" i="56"/>
  <c r="BJ318" i="56"/>
  <c r="BK318" i="56"/>
  <c r="BW286" i="56"/>
  <c r="BK286" i="56"/>
  <c r="BL286" i="56" s="1"/>
  <c r="BK254" i="56"/>
  <c r="CX254" i="56"/>
  <c r="BJ254" i="56"/>
  <c r="CG238" i="56"/>
  <c r="CH238" i="56" s="1"/>
  <c r="H238" i="56" s="1"/>
  <c r="BK238" i="56"/>
  <c r="BO174" i="56"/>
  <c r="CG174" i="56"/>
  <c r="CH174" i="56" s="1"/>
  <c r="H174" i="56" s="1"/>
  <c r="BJ174" i="56"/>
  <c r="BO142" i="56"/>
  <c r="CL142" i="56"/>
  <c r="BK142" i="56"/>
  <c r="BO126" i="56"/>
  <c r="BK126" i="56"/>
  <c r="BJ126" i="56"/>
  <c r="BW126" i="56"/>
  <c r="BO110" i="56"/>
  <c r="BJ110" i="56"/>
  <c r="BL110" i="56" s="1"/>
  <c r="BO94" i="56"/>
  <c r="BJ94" i="56"/>
  <c r="BW78" i="56"/>
  <c r="BK78" i="56"/>
  <c r="BO62" i="56"/>
  <c r="Q62" i="56"/>
  <c r="EK62" i="56" s="1"/>
  <c r="BK62" i="56"/>
  <c r="BJ62" i="56"/>
  <c r="BO46" i="56"/>
  <c r="BJ46" i="56"/>
  <c r="BK46" i="56"/>
  <c r="BQ46" i="56"/>
  <c r="CI30" i="56"/>
  <c r="CG30" i="56"/>
  <c r="CH30" i="56" s="1"/>
  <c r="H30" i="56" s="1"/>
  <c r="CX30" i="56"/>
  <c r="CS30" i="56"/>
  <c r="I30" i="56" s="1"/>
  <c r="CT30" i="56" s="1"/>
  <c r="BA268" i="56"/>
  <c r="BB268" i="56" s="1"/>
  <c r="BD268" i="56" s="1" a="1"/>
  <c r="BD268" i="56" s="1"/>
  <c r="AZ268" i="56"/>
  <c r="Q268" i="56" s="1"/>
  <c r="AZ236" i="56"/>
  <c r="BA236" i="56"/>
  <c r="BB236" i="56" s="1"/>
  <c r="BD236" i="56" s="1" a="1"/>
  <c r="BD236" i="56" s="1"/>
  <c r="C236" i="56" s="1"/>
  <c r="BE236" i="56" s="1"/>
  <c r="AZ188" i="56"/>
  <c r="Q188" i="56" s="1"/>
  <c r="EK188" i="56" s="1"/>
  <c r="BA188" i="56"/>
  <c r="BB188" i="56" s="1"/>
  <c r="BD188" i="56" s="1" a="1"/>
  <c r="BD188" i="56" s="1"/>
  <c r="C188" i="56" s="1"/>
  <c r="BE188" i="56" s="1"/>
  <c r="BA28" i="56"/>
  <c r="BB28" i="56" s="1"/>
  <c r="BD28" i="56" s="1" a="1"/>
  <c r="BD28" i="56" s="1"/>
  <c r="C28" i="56" s="1"/>
  <c r="BE28" i="56" s="1"/>
  <c r="AZ28" i="56"/>
  <c r="Q28" i="56" s="1"/>
  <c r="AZ78" i="56"/>
  <c r="Q78" i="56" s="1"/>
  <c r="EK78" i="56" s="1"/>
  <c r="Q14" i="56"/>
  <c r="EK14" i="56" s="1"/>
  <c r="T276" i="56"/>
  <c r="CM333" i="56"/>
  <c r="J333" i="56" s="1"/>
  <c r="CN333" i="56" s="1"/>
  <c r="CL333" i="56"/>
  <c r="BJ317" i="56"/>
  <c r="Q317" i="56"/>
  <c r="BW317" i="56"/>
  <c r="BJ253" i="56"/>
  <c r="Q253" i="56"/>
  <c r="EK253" i="56" s="1"/>
  <c r="CI237" i="56"/>
  <c r="CM237" i="56"/>
  <c r="J237" i="56" s="1"/>
  <c r="CN237" i="56" s="1"/>
  <c r="BJ205" i="56"/>
  <c r="BW205" i="56"/>
  <c r="BW189" i="56"/>
  <c r="CI109" i="56"/>
  <c r="BX109" i="56"/>
  <c r="BW61" i="56"/>
  <c r="CL61" i="56"/>
  <c r="Q61" i="56"/>
  <c r="BJ61" i="56"/>
  <c r="CI29" i="56"/>
  <c r="CG29" i="56"/>
  <c r="CH29" i="56" s="1"/>
  <c r="H29" i="56" s="1"/>
  <c r="BX29" i="56"/>
  <c r="AZ315" i="56"/>
  <c r="BA315" i="56"/>
  <c r="BB315" i="56" s="1"/>
  <c r="AZ283" i="56"/>
  <c r="BA283" i="56"/>
  <c r="BB283" i="56" s="1"/>
  <c r="AZ267" i="56"/>
  <c r="BA267" i="56"/>
  <c r="BB267" i="56" s="1"/>
  <c r="AZ235" i="56"/>
  <c r="BA235" i="56"/>
  <c r="BB235" i="56" s="1"/>
  <c r="BD235" i="56" s="1" a="1"/>
  <c r="BD235" i="56" s="1"/>
  <c r="AZ171" i="56"/>
  <c r="BA171" i="56"/>
  <c r="BB171" i="56" s="1"/>
  <c r="BD171" i="56" s="1" a="1"/>
  <c r="BD171" i="56" s="1"/>
  <c r="C171" i="56" s="1"/>
  <c r="BE171" i="56" s="1"/>
  <c r="AZ107" i="56"/>
  <c r="BA107" i="56"/>
  <c r="BB107" i="56" s="1"/>
  <c r="AZ43" i="56"/>
  <c r="BA43" i="56"/>
  <c r="BB43" i="56" s="1"/>
  <c r="BD43" i="56" s="1" a="1"/>
  <c r="BD43" i="56" s="1"/>
  <c r="C43" i="56" s="1"/>
  <c r="BE43" i="56" s="1"/>
  <c r="AZ27" i="56"/>
  <c r="BA27" i="56"/>
  <c r="BB27" i="56" s="1"/>
  <c r="AZ141" i="56"/>
  <c r="Q141" i="56" s="1"/>
  <c r="EK141" i="56" s="1"/>
  <c r="BA348" i="56"/>
  <c r="BB348" i="56" s="1"/>
  <c r="BD348" i="56" s="1" a="1"/>
  <c r="BD348" i="56" s="1"/>
  <c r="BA203" i="56"/>
  <c r="BB203" i="56" s="1"/>
  <c r="BQ20" i="56"/>
  <c r="BX303" i="56"/>
  <c r="T196" i="56"/>
  <c r="BA316" i="56"/>
  <c r="BB316" i="56" s="1"/>
  <c r="BD316" i="56" s="1" a="1"/>
  <c r="BD316" i="56" s="1"/>
  <c r="AZ316" i="56"/>
  <c r="Q316" i="56" s="1"/>
  <c r="BA108" i="56"/>
  <c r="BB108" i="56" s="1"/>
  <c r="BD108" i="56" s="1" a="1"/>
  <c r="BD108" i="56" s="1"/>
  <c r="AZ108" i="56"/>
  <c r="BD60" i="56" a="1"/>
  <c r="BD60" i="56" s="1"/>
  <c r="AZ252" i="56"/>
  <c r="Q252" i="56" s="1"/>
  <c r="BW348" i="56"/>
  <c r="BJ348" i="56"/>
  <c r="BL348" i="56" s="1"/>
  <c r="BK316" i="56"/>
  <c r="BW316" i="56"/>
  <c r="BQ316" i="56"/>
  <c r="BO300" i="56"/>
  <c r="BK300" i="56"/>
  <c r="BO252" i="56"/>
  <c r="CM252" i="56"/>
  <c r="J252" i="56" s="1"/>
  <c r="CN252" i="56" s="1"/>
  <c r="BO76" i="56"/>
  <c r="BX76" i="56"/>
  <c r="BJ44" i="56"/>
  <c r="BO44" i="56"/>
  <c r="BK44" i="56"/>
  <c r="BQ44" i="56"/>
  <c r="AZ314" i="56"/>
  <c r="BA314" i="56"/>
  <c r="BB314" i="56" s="1"/>
  <c r="AZ266" i="56"/>
  <c r="Q266" i="56" s="1"/>
  <c r="BA266" i="56"/>
  <c r="BB266" i="56" s="1"/>
  <c r="AZ186" i="56"/>
  <c r="Q186" i="56" s="1"/>
  <c r="EK186" i="56" s="1"/>
  <c r="BA186" i="56"/>
  <c r="BB186" i="56" s="1"/>
  <c r="AZ138" i="56"/>
  <c r="BA138" i="56"/>
  <c r="BB138" i="56" s="1"/>
  <c r="AZ140" i="56"/>
  <c r="BA202" i="56"/>
  <c r="BB202" i="56" s="1"/>
  <c r="BJ239" i="56"/>
  <c r="BX191" i="56"/>
  <c r="AZ253" i="56"/>
  <c r="BA271" i="56"/>
  <c r="BB271" i="56" s="1"/>
  <c r="CB343" i="56"/>
  <c r="CA344" i="56"/>
  <c r="CE343" i="56"/>
  <c r="CD311" i="56"/>
  <c r="CV311" i="56" s="1"/>
  <c r="CF311" i="56"/>
  <c r="CC311" i="56"/>
  <c r="CA312" i="56"/>
  <c r="CB311" i="56"/>
  <c r="CE311" i="56"/>
  <c r="CE279" i="56"/>
  <c r="CC279" i="56"/>
  <c r="CA280" i="56"/>
  <c r="CB279" i="56"/>
  <c r="CD279" i="56"/>
  <c r="CC247" i="56"/>
  <c r="CF247" i="56"/>
  <c r="CD247" i="56"/>
  <c r="CA248" i="56"/>
  <c r="CB247" i="56"/>
  <c r="CE247" i="56"/>
  <c r="CD215" i="56"/>
  <c r="CF215" i="56"/>
  <c r="CB215" i="56"/>
  <c r="CA216" i="56"/>
  <c r="CE215" i="56"/>
  <c r="CB183" i="56"/>
  <c r="CD183" i="56"/>
  <c r="CA184" i="56"/>
  <c r="CE183" i="56"/>
  <c r="CC183" i="56"/>
  <c r="CC343" i="56"/>
  <c r="CE295" i="56"/>
  <c r="BW350" i="56"/>
  <c r="CG350" i="56"/>
  <c r="CH350" i="56" s="1"/>
  <c r="H350" i="56" s="1"/>
  <c r="BJ350" i="56"/>
  <c r="BQ350" i="56"/>
  <c r="Q350" i="56"/>
  <c r="EK350" i="56" s="1"/>
  <c r="BO334" i="56"/>
  <c r="CL334" i="56"/>
  <c r="BW334" i="56"/>
  <c r="CX334" i="56"/>
  <c r="BK334" i="56"/>
  <c r="BJ334" i="56"/>
  <c r="CI302" i="56"/>
  <c r="BW302" i="56"/>
  <c r="BK270" i="56"/>
  <c r="BJ270" i="56"/>
  <c r="BW270" i="56"/>
  <c r="BW222" i="56"/>
  <c r="CL222" i="56"/>
  <c r="BJ222" i="56"/>
  <c r="CL206" i="56"/>
  <c r="BW206" i="56"/>
  <c r="BK206" i="56"/>
  <c r="BJ206" i="56"/>
  <c r="BK158" i="56"/>
  <c r="BJ158" i="56"/>
  <c r="BA204" i="56"/>
  <c r="BB204" i="56" s="1"/>
  <c r="BD204" i="56" s="1" a="1"/>
  <c r="BD204" i="56" s="1"/>
  <c r="C204" i="56" s="1"/>
  <c r="BE204" i="56" s="1"/>
  <c r="Q109" i="56"/>
  <c r="EK109" i="56" s="1"/>
  <c r="Q13" i="56"/>
  <c r="EK13" i="56" s="1"/>
  <c r="CM332" i="56"/>
  <c r="J332" i="56" s="1"/>
  <c r="CN332" i="56" s="1"/>
  <c r="CL332" i="56"/>
  <c r="BO284" i="56"/>
  <c r="BJ284" i="56"/>
  <c r="BU172" i="56"/>
  <c r="CL172" i="56"/>
  <c r="CG172" i="56"/>
  <c r="CH172" i="56" s="1"/>
  <c r="H172" i="56" s="1"/>
  <c r="BO172" i="56"/>
  <c r="BK140" i="56"/>
  <c r="BL140" i="56" s="1"/>
  <c r="Q140" i="56"/>
  <c r="EK140" i="56" s="1"/>
  <c r="BQ92" i="56"/>
  <c r="Q92" i="56"/>
  <c r="BJ92" i="56"/>
  <c r="BK60" i="56"/>
  <c r="CL60" i="56"/>
  <c r="BW60" i="56"/>
  <c r="Q60" i="56"/>
  <c r="BU12" i="56"/>
  <c r="BW12" i="56"/>
  <c r="AZ250" i="56"/>
  <c r="BA250" i="56"/>
  <c r="BB250" i="56" s="1"/>
  <c r="AZ170" i="56"/>
  <c r="Q170" i="56" s="1"/>
  <c r="BA170" i="56"/>
  <c r="BB170" i="56" s="1"/>
  <c r="AZ26" i="56"/>
  <c r="BA26" i="56"/>
  <c r="BB26" i="56" s="1"/>
  <c r="AZ237" i="56"/>
  <c r="Q237" i="56" s="1"/>
  <c r="AZ60" i="56"/>
  <c r="BU236" i="56"/>
  <c r="CM236" i="56"/>
  <c r="J236" i="56" s="1"/>
  <c r="CN236" i="56" s="1"/>
  <c r="BK236" i="56"/>
  <c r="BX220" i="56"/>
  <c r="BK220" i="56"/>
  <c r="Q220" i="56"/>
  <c r="BK188" i="56"/>
  <c r="BL188" i="56" s="1"/>
  <c r="BJ188" i="56"/>
  <c r="BO156" i="56"/>
  <c r="CI156" i="56"/>
  <c r="BU108" i="56"/>
  <c r="BO108" i="56"/>
  <c r="BJ108" i="56"/>
  <c r="CI28" i="56"/>
  <c r="BJ28" i="56"/>
  <c r="AZ330" i="56"/>
  <c r="BA330" i="56"/>
  <c r="BB330" i="56" s="1"/>
  <c r="AZ282" i="56"/>
  <c r="BA282" i="56"/>
  <c r="BB282" i="56" s="1"/>
  <c r="AZ74" i="56"/>
  <c r="Q74" i="56" s="1"/>
  <c r="EK74" i="56" s="1"/>
  <c r="BA74" i="56"/>
  <c r="BB74" i="56" s="1"/>
  <c r="BK302" i="56"/>
  <c r="Q108" i="56"/>
  <c r="EK108" i="56" s="1"/>
  <c r="Q65" i="56"/>
  <c r="Q12" i="56"/>
  <c r="EK12" i="56" s="1"/>
  <c r="BJ238" i="56"/>
  <c r="CB327" i="56"/>
  <c r="CM330" i="56"/>
  <c r="J330" i="56" s="1"/>
  <c r="CN330" i="56" s="1"/>
  <c r="BK330" i="56"/>
  <c r="BJ330" i="56"/>
  <c r="AZ45" i="56"/>
  <c r="Q45" i="56" s="1"/>
  <c r="EK45" i="56" s="1"/>
  <c r="BJ237" i="56"/>
  <c r="BK110" i="56"/>
  <c r="CF290" i="56"/>
  <c r="CB290" i="56"/>
  <c r="CF178" i="56"/>
  <c r="CB178" i="56"/>
  <c r="CD98" i="56"/>
  <c r="CV98" i="56" s="1"/>
  <c r="CA99" i="56"/>
  <c r="DC99" i="56" s="1"/>
  <c r="AZ44" i="56"/>
  <c r="Q44" i="56" s="1"/>
  <c r="EK44" i="56" s="1"/>
  <c r="BD336" i="56" a="1"/>
  <c r="BD336" i="56" s="1"/>
  <c r="BA157" i="56"/>
  <c r="BB157" i="56" s="1"/>
  <c r="BJ352" i="56"/>
  <c r="BJ236" i="56"/>
  <c r="BL236" i="56" s="1"/>
  <c r="BJ78" i="56"/>
  <c r="BL78" i="56" s="1"/>
  <c r="BK255" i="56"/>
  <c r="BK108" i="56"/>
  <c r="BO28" i="56"/>
  <c r="BX127" i="56"/>
  <c r="BA121" i="56"/>
  <c r="BB121" i="56" s="1"/>
  <c r="BD121" i="56" s="1" a="1"/>
  <c r="BD121" i="56" s="1"/>
  <c r="AZ121" i="56"/>
  <c r="BA57" i="56"/>
  <c r="BB57" i="56" s="1"/>
  <c r="AZ57" i="56"/>
  <c r="BD57" i="56" s="1" a="1"/>
  <c r="BD57" i="56" s="1"/>
  <c r="AZ301" i="56"/>
  <c r="Q301" i="56" s="1"/>
  <c r="EK301" i="56" s="1"/>
  <c r="Q49" i="56"/>
  <c r="EK49" i="56" s="1"/>
  <c r="BA187" i="56"/>
  <c r="BB187" i="56" s="1"/>
  <c r="CD185" i="56"/>
  <c r="BW314" i="56"/>
  <c r="Q314" i="56"/>
  <c r="BK314" i="56"/>
  <c r="CM314" i="56"/>
  <c r="J314" i="56" s="1"/>
  <c r="CN314" i="56" s="1"/>
  <c r="BJ314" i="56"/>
  <c r="BX282" i="56"/>
  <c r="CI282" i="56"/>
  <c r="BJ282" i="56"/>
  <c r="BK266" i="56"/>
  <c r="BX266" i="56"/>
  <c r="BJ266" i="56"/>
  <c r="BJ218" i="56"/>
  <c r="BK218" i="56"/>
  <c r="BJ79" i="56"/>
  <c r="CA275" i="56"/>
  <c r="CB274" i="56"/>
  <c r="CE130" i="56"/>
  <c r="CF130" i="56"/>
  <c r="CD130" i="56"/>
  <c r="CL302" i="56"/>
  <c r="Q271" i="56"/>
  <c r="EK271" i="56" s="1"/>
  <c r="AZ287" i="56"/>
  <c r="Q287" i="56" s="1"/>
  <c r="EK287" i="56" s="1"/>
  <c r="BA331" i="56"/>
  <c r="BB331" i="56" s="1"/>
  <c r="BA251" i="56"/>
  <c r="BB251" i="56" s="1"/>
  <c r="BA156" i="56"/>
  <c r="BB156" i="56" s="1"/>
  <c r="BD156" i="56" s="1" a="1"/>
  <c r="BD156" i="56" s="1"/>
  <c r="C156" i="56" s="1"/>
  <c r="BE156" i="56" s="1"/>
  <c r="BA11" i="56"/>
  <c r="BB11" i="56" s="1"/>
  <c r="BL74" i="56"/>
  <c r="BK95" i="56"/>
  <c r="BU270" i="56"/>
  <c r="BW282" i="56"/>
  <c r="BX63" i="56"/>
  <c r="CD169" i="56"/>
  <c r="CS31" i="56"/>
  <c r="I31" i="56" s="1"/>
  <c r="CT31" i="56" s="1"/>
  <c r="EC51" i="56"/>
  <c r="EB51" i="56"/>
  <c r="BA313" i="56"/>
  <c r="BB313" i="56" s="1"/>
  <c r="AZ313" i="56"/>
  <c r="BA73" i="56"/>
  <c r="BB73" i="56" s="1"/>
  <c r="AZ73" i="56"/>
  <c r="BA15" i="56"/>
  <c r="BB15" i="56" s="1"/>
  <c r="BQ303" i="56"/>
  <c r="BQ143" i="56"/>
  <c r="BQ95" i="56"/>
  <c r="BL47" i="56"/>
  <c r="BJ298" i="56"/>
  <c r="BK298" i="56"/>
  <c r="BK282" i="56"/>
  <c r="BL282" i="56" s="1"/>
  <c r="CF242" i="56"/>
  <c r="CD242" i="56"/>
  <c r="CA243" i="56"/>
  <c r="CE194" i="56"/>
  <c r="CB194" i="56"/>
  <c r="CB82" i="56"/>
  <c r="CA83" i="56"/>
  <c r="CE82" i="56"/>
  <c r="BW311" i="56"/>
  <c r="BO311" i="56"/>
  <c r="CI231" i="56"/>
  <c r="BX231" i="56"/>
  <c r="BD117" i="56" a="1"/>
  <c r="BD117" i="56" s="1"/>
  <c r="BA155" i="56"/>
  <c r="BB155" i="56" s="1"/>
  <c r="BK94" i="56"/>
  <c r="BN21" i="56"/>
  <c r="FY21" i="56" s="1"/>
  <c r="BQ352" i="56"/>
  <c r="BU247" i="56"/>
  <c r="CF105" i="56"/>
  <c r="CG318" i="56"/>
  <c r="CH318" i="56" s="1"/>
  <c r="H318" i="56" s="1"/>
  <c r="Q337" i="56"/>
  <c r="EK337" i="56" s="1"/>
  <c r="EK98" i="56"/>
  <c r="EK51" i="56"/>
  <c r="Q5" i="56"/>
  <c r="EK5" i="56" s="1"/>
  <c r="BU326" i="56"/>
  <c r="BJ326" i="56"/>
  <c r="BO326" i="56"/>
  <c r="BJ310" i="56"/>
  <c r="BU310" i="56"/>
  <c r="AZ284" i="56"/>
  <c r="Q284" i="56" s="1"/>
  <c r="EK284" i="56" s="1"/>
  <c r="AZ185" i="56"/>
  <c r="AZ109" i="56"/>
  <c r="AZ31" i="56"/>
  <c r="BA300" i="56"/>
  <c r="BB300" i="56" s="1"/>
  <c r="BD300" i="56" s="1" a="1"/>
  <c r="BD300" i="56" s="1"/>
  <c r="C300" i="56" s="1"/>
  <c r="BE300" i="56" s="1"/>
  <c r="BA154" i="56"/>
  <c r="BB154" i="56" s="1"/>
  <c r="BA77" i="56"/>
  <c r="BB77" i="56" s="1"/>
  <c r="BN282" i="56"/>
  <c r="FY282" i="56" s="1"/>
  <c r="BN58" i="56"/>
  <c r="FY58" i="56" s="1"/>
  <c r="BL58" i="56"/>
  <c r="BJ189" i="56"/>
  <c r="BJ63" i="56"/>
  <c r="BK92" i="56"/>
  <c r="BO310" i="56"/>
  <c r="BQ351" i="56"/>
  <c r="BW238" i="56"/>
  <c r="CF279" i="56"/>
  <c r="CF183" i="56"/>
  <c r="CX252" i="56"/>
  <c r="EB193" i="56"/>
  <c r="EC193" i="56"/>
  <c r="EB97" i="56"/>
  <c r="EC97" i="56"/>
  <c r="Q64" i="56"/>
  <c r="BA13" i="56"/>
  <c r="BB13" i="56" s="1"/>
  <c r="BQ222" i="56"/>
  <c r="CB210" i="56"/>
  <c r="CA211" i="56"/>
  <c r="CE210" i="56"/>
  <c r="CE162" i="56"/>
  <c r="CB162" i="56"/>
  <c r="CD114" i="56"/>
  <c r="CV114" i="56" s="1"/>
  <c r="CF114" i="56"/>
  <c r="BW343" i="56"/>
  <c r="BU343" i="56"/>
  <c r="BO263" i="56"/>
  <c r="CL263" i="56"/>
  <c r="Q263" i="56"/>
  <c r="CI199" i="56"/>
  <c r="BO183" i="56"/>
  <c r="BU183" i="56"/>
  <c r="BO151" i="56"/>
  <c r="BU151" i="56"/>
  <c r="Q151" i="56"/>
  <c r="CG135" i="56"/>
  <c r="CH135" i="56" s="1"/>
  <c r="H135" i="56" s="1"/>
  <c r="BO135" i="56"/>
  <c r="Q135" i="56"/>
  <c r="BO119" i="56"/>
  <c r="BU119" i="56"/>
  <c r="CS103" i="56"/>
  <c r="I103" i="56" s="1"/>
  <c r="CT103" i="56" s="1"/>
  <c r="BW103" i="56"/>
  <c r="BO103" i="56"/>
  <c r="BA10" i="56"/>
  <c r="BB10" i="56" s="1"/>
  <c r="BJ207" i="56"/>
  <c r="BK250" i="56"/>
  <c r="BL250" i="56" s="1"/>
  <c r="CS29" i="56"/>
  <c r="I29" i="56" s="1"/>
  <c r="CT29" i="56" s="1"/>
  <c r="ED28" i="56"/>
  <c r="EE28" i="56"/>
  <c r="EC114" i="56"/>
  <c r="EB114" i="56"/>
  <c r="Q250" i="56"/>
  <c r="EK250" i="56" s="1"/>
  <c r="Q157" i="56"/>
  <c r="EK157" i="56" s="1"/>
  <c r="Q87" i="56"/>
  <c r="AZ29" i="56"/>
  <c r="BA299" i="56"/>
  <c r="BB299" i="56" s="1"/>
  <c r="BD299" i="56" s="1" a="1"/>
  <c r="BD299" i="56" s="1"/>
  <c r="C299" i="56" s="1"/>
  <c r="BE299" i="56" s="1"/>
  <c r="BA76" i="56"/>
  <c r="BB76" i="56" s="1"/>
  <c r="BD76" i="56" s="1" a="1"/>
  <c r="BD76" i="56" s="1"/>
  <c r="BD249" i="56" a="1"/>
  <c r="BD249" i="56" s="1"/>
  <c r="C249" i="56" s="1"/>
  <c r="BE249" i="56" s="1"/>
  <c r="BN185" i="56"/>
  <c r="FY185" i="56" s="1"/>
  <c r="BD185" i="56" a="1"/>
  <c r="BD185" i="56" s="1"/>
  <c r="C185" i="56" s="1"/>
  <c r="BE185" i="56" s="1"/>
  <c r="BJ303" i="56"/>
  <c r="BL303" i="56" s="1"/>
  <c r="BJ175" i="56"/>
  <c r="BJ30" i="56"/>
  <c r="BK79" i="56"/>
  <c r="BQ245" i="56"/>
  <c r="BW236" i="56"/>
  <c r="CA232" i="56"/>
  <c r="CD343" i="56"/>
  <c r="CD258" i="56"/>
  <c r="CX127" i="56"/>
  <c r="EE102" i="56"/>
  <c r="Q102" i="56"/>
  <c r="EE54" i="56"/>
  <c r="Q54" i="56"/>
  <c r="EB31" i="56"/>
  <c r="EC31" i="56"/>
  <c r="Q330" i="56"/>
  <c r="EK330" i="56" s="1"/>
  <c r="Q31" i="56"/>
  <c r="EK31" i="56" s="1"/>
  <c r="BA298" i="56"/>
  <c r="BB298" i="56" s="1"/>
  <c r="BA75" i="56"/>
  <c r="BB75" i="56" s="1"/>
  <c r="EQ344" i="56"/>
  <c r="EZ344" i="56" s="1"/>
  <c r="BD344" i="56" a="1"/>
  <c r="BD344" i="56" s="1"/>
  <c r="C344" i="56" s="1"/>
  <c r="BE344" i="56" s="1"/>
  <c r="EQ328" i="56"/>
  <c r="BQ328" i="56"/>
  <c r="EQ296" i="56"/>
  <c r="EW296" i="56" s="1"/>
  <c r="BN296" i="56"/>
  <c r="FY296" i="56" s="1"/>
  <c r="BQ296" i="56"/>
  <c r="BQ232" i="56"/>
  <c r="BN232" i="56"/>
  <c r="FY232" i="56" s="1"/>
  <c r="EQ216" i="56"/>
  <c r="BN216" i="56"/>
  <c r="FY216" i="56" s="1"/>
  <c r="BD216" i="56" a="1"/>
  <c r="BD216" i="56" s="1"/>
  <c r="C216" i="56" s="1"/>
  <c r="BE216" i="56" s="1"/>
  <c r="EQ200" i="56"/>
  <c r="BQ200" i="56"/>
  <c r="EQ168" i="56"/>
  <c r="ES168" i="56" s="1"/>
  <c r="BN168" i="56"/>
  <c r="FY168" i="56" s="1"/>
  <c r="BN72" i="56"/>
  <c r="FY72" i="56" s="1"/>
  <c r="BQ72" i="56"/>
  <c r="BD40" i="56" a="1"/>
  <c r="BD40" i="56" s="1"/>
  <c r="C40" i="56" s="1"/>
  <c r="BE40" i="56" s="1"/>
  <c r="BQ40" i="56"/>
  <c r="BN24" i="56"/>
  <c r="FY24" i="56" s="1"/>
  <c r="BD24" i="56" a="1"/>
  <c r="BD24" i="56" s="1"/>
  <c r="BJ302" i="56"/>
  <c r="BK222" i="56"/>
  <c r="BN344" i="56"/>
  <c r="FY344" i="56" s="1"/>
  <c r="BO236" i="56"/>
  <c r="BQ188" i="56"/>
  <c r="CA26" i="56"/>
  <c r="CF98" i="56"/>
  <c r="CG255" i="56"/>
  <c r="CH255" i="56" s="1"/>
  <c r="H255" i="56" s="1"/>
  <c r="Q236" i="56"/>
  <c r="Q152" i="56"/>
  <c r="EK152" i="56" s="1"/>
  <c r="Q30" i="56"/>
  <c r="EK30" i="56" s="1"/>
  <c r="AZ94" i="56"/>
  <c r="Q94" i="56" s="1"/>
  <c r="EK94" i="56" s="1"/>
  <c r="BD240" i="56" a="1"/>
  <c r="BD240" i="56" s="1"/>
  <c r="C240" i="56" s="1"/>
  <c r="BE240" i="56" s="1"/>
  <c r="BD295" i="56" a="1"/>
  <c r="BD295" i="56" s="1"/>
  <c r="C295" i="56" s="1"/>
  <c r="BE295" i="56" s="1"/>
  <c r="BD263" i="56" a="1"/>
  <c r="BD263" i="56" s="1"/>
  <c r="C263" i="56" s="1"/>
  <c r="BE263" i="56" s="1"/>
  <c r="BD199" i="56" a="1"/>
  <c r="BD199" i="56" s="1"/>
  <c r="C199" i="56" s="1"/>
  <c r="BE199" i="56" s="1"/>
  <c r="BD183" i="56" a="1"/>
  <c r="BD183" i="56" s="1"/>
  <c r="BI328" i="56"/>
  <c r="T328" i="56" s="1"/>
  <c r="BI216" i="56"/>
  <c r="T216" i="56" s="1"/>
  <c r="T120" i="56"/>
  <c r="T72" i="56"/>
  <c r="BI72" i="56"/>
  <c r="BI24" i="56"/>
  <c r="T24" i="56" s="1"/>
  <c r="BJ143" i="56"/>
  <c r="BJ14" i="56"/>
  <c r="BK191" i="56"/>
  <c r="BQ175" i="56"/>
  <c r="BW191" i="56"/>
  <c r="CD338" i="56"/>
  <c r="CF263" i="56"/>
  <c r="CG247" i="56"/>
  <c r="CH247" i="56" s="1"/>
  <c r="H247" i="56" s="1"/>
  <c r="Q312" i="56"/>
  <c r="EK312" i="56" s="1"/>
  <c r="EK226" i="56"/>
  <c r="BA352" i="56"/>
  <c r="BB352" i="56" s="1"/>
  <c r="AZ352" i="56"/>
  <c r="Q240" i="56"/>
  <c r="EK240" i="56" s="1"/>
  <c r="Q208" i="56"/>
  <c r="EK208" i="56" s="1"/>
  <c r="Q96" i="56"/>
  <c r="EK96" i="56" s="1"/>
  <c r="AZ256" i="56"/>
  <c r="Q256" i="56" s="1"/>
  <c r="EK256" i="56" s="1"/>
  <c r="AZ200" i="56"/>
  <c r="Q200" i="56" s="1"/>
  <c r="EK200" i="56" s="1"/>
  <c r="AZ54" i="56"/>
  <c r="BA307" i="56"/>
  <c r="BB307" i="56" s="1"/>
  <c r="BN91" i="56"/>
  <c r="FY91" i="56" s="1"/>
  <c r="BI315" i="56"/>
  <c r="T315" i="56" s="1"/>
  <c r="BI75" i="56"/>
  <c r="T75" i="56"/>
  <c r="BK297" i="56"/>
  <c r="BK200" i="56"/>
  <c r="BK42" i="56"/>
  <c r="BO313" i="56"/>
  <c r="BU53" i="56"/>
  <c r="BX328" i="56"/>
  <c r="CD174" i="56"/>
  <c r="CA175" i="56"/>
  <c r="CC142" i="56"/>
  <c r="CB142" i="56"/>
  <c r="CE30" i="56"/>
  <c r="CB30" i="56"/>
  <c r="CD30" i="56"/>
  <c r="CC30" i="56"/>
  <c r="CF30" i="56"/>
  <c r="CA31" i="56"/>
  <c r="CE14" i="56"/>
  <c r="CA15" i="56"/>
  <c r="CD14" i="56"/>
  <c r="CB14" i="56"/>
  <c r="CC14" i="56"/>
  <c r="CL58" i="56"/>
  <c r="EC229" i="56"/>
  <c r="EB229" i="56"/>
  <c r="EB213" i="56"/>
  <c r="EC213" i="56"/>
  <c r="BU202" i="56"/>
  <c r="BK202" i="56"/>
  <c r="BW186" i="56"/>
  <c r="CS186" i="56"/>
  <c r="I186" i="56" s="1"/>
  <c r="CT186" i="56" s="1"/>
  <c r="BU170" i="56"/>
  <c r="BU138" i="56"/>
  <c r="BU106" i="56"/>
  <c r="BU74" i="56"/>
  <c r="BK74" i="56"/>
  <c r="CI26" i="56"/>
  <c r="BK26" i="56"/>
  <c r="BU10" i="56"/>
  <c r="BA312" i="56"/>
  <c r="BB312" i="56" s="1"/>
  <c r="AZ312" i="56"/>
  <c r="BA232" i="56"/>
  <c r="BB232" i="56" s="1"/>
  <c r="AZ232" i="56"/>
  <c r="Q232" i="56" s="1"/>
  <c r="EK232" i="56" s="1"/>
  <c r="BA72" i="56"/>
  <c r="BB72" i="56" s="1"/>
  <c r="AZ72" i="56"/>
  <c r="Q72" i="56" s="1"/>
  <c r="EK72" i="56" s="1"/>
  <c r="BA8" i="56"/>
  <c r="BB8" i="56" s="1"/>
  <c r="AZ8" i="56"/>
  <c r="AZ168" i="56"/>
  <c r="Q168" i="56" s="1"/>
  <c r="EK168" i="56" s="1"/>
  <c r="BA197" i="56"/>
  <c r="BB197" i="56" s="1"/>
  <c r="BA149" i="56"/>
  <c r="BB149" i="56" s="1"/>
  <c r="BD149" i="56" s="1" a="1"/>
  <c r="BD149" i="56" s="1"/>
  <c r="BI307" i="56"/>
  <c r="GC307" i="56" s="1"/>
  <c r="T275" i="56"/>
  <c r="BI147" i="56"/>
  <c r="T147" i="56" s="1"/>
  <c r="BI67" i="56"/>
  <c r="T67" i="56" s="1"/>
  <c r="BI35" i="56"/>
  <c r="T35" i="56"/>
  <c r="BJ138" i="56"/>
  <c r="BK169" i="56"/>
  <c r="BN246" i="56"/>
  <c r="FY246" i="56" s="1"/>
  <c r="BN36" i="56"/>
  <c r="FY36" i="56" s="1"/>
  <c r="CV167" i="56"/>
  <c r="BX121" i="56"/>
  <c r="EK67" i="56"/>
  <c r="Q345" i="56"/>
  <c r="EK345" i="56" s="1"/>
  <c r="BO281" i="56"/>
  <c r="BU281" i="56"/>
  <c r="BK185" i="56"/>
  <c r="BU185" i="56"/>
  <c r="Q153" i="56"/>
  <c r="EK153" i="56" s="1"/>
  <c r="Q105" i="56"/>
  <c r="EK105" i="56" s="1"/>
  <c r="BU105" i="56"/>
  <c r="BO105" i="56"/>
  <c r="Q89" i="56"/>
  <c r="EK89" i="56" s="1"/>
  <c r="BX89" i="56"/>
  <c r="BK57" i="56"/>
  <c r="BO57" i="56"/>
  <c r="BD327" i="56" a="1"/>
  <c r="BD327" i="56" s="1"/>
  <c r="C327" i="56" s="1"/>
  <c r="BE327" i="56" s="1"/>
  <c r="AZ247" i="56"/>
  <c r="Q247" i="56" s="1"/>
  <c r="BA247" i="56"/>
  <c r="BB247" i="56" s="1"/>
  <c r="BD231" i="56" a="1"/>
  <c r="BD231" i="56" s="1"/>
  <c r="C231" i="56" s="1"/>
  <c r="BE231" i="56" s="1"/>
  <c r="Q215" i="56"/>
  <c r="BA199" i="56"/>
  <c r="BB199" i="56" s="1"/>
  <c r="AZ199" i="56"/>
  <c r="Q199" i="56" s="1"/>
  <c r="BD167" i="56" a="1"/>
  <c r="BD167" i="56" s="1"/>
  <c r="C167" i="56" s="1"/>
  <c r="BE167" i="56" s="1"/>
  <c r="Q119" i="56"/>
  <c r="Q39" i="56"/>
  <c r="AZ167" i="56"/>
  <c r="Q167" i="56" s="1"/>
  <c r="EL167" i="56" s="1"/>
  <c r="AZ71" i="56"/>
  <c r="Q71" i="56" s="1"/>
  <c r="AZ24" i="56"/>
  <c r="BA6" i="56"/>
  <c r="BB6" i="56" s="1"/>
  <c r="BD6" i="56" s="1" a="1"/>
  <c r="BD6" i="56" s="1"/>
  <c r="BQ146" i="56"/>
  <c r="BN146" i="56"/>
  <c r="FY146" i="56" s="1"/>
  <c r="BI226" i="56"/>
  <c r="T226" i="56" s="1"/>
  <c r="T34" i="56"/>
  <c r="BI34" i="56"/>
  <c r="BI51" i="56"/>
  <c r="BJ202" i="56"/>
  <c r="BN277" i="56"/>
  <c r="FY277" i="56" s="1"/>
  <c r="BN261" i="56"/>
  <c r="FY261" i="56" s="1"/>
  <c r="BN245" i="56"/>
  <c r="FY245" i="56" s="1"/>
  <c r="BN229" i="56"/>
  <c r="FY229" i="56" s="1"/>
  <c r="BN213" i="56"/>
  <c r="FY213" i="56" s="1"/>
  <c r="BN197" i="56"/>
  <c r="FY197" i="56" s="1"/>
  <c r="BN181" i="56"/>
  <c r="FY181" i="56" s="1"/>
  <c r="BN149" i="56"/>
  <c r="FY149" i="56" s="1"/>
  <c r="BN133" i="56"/>
  <c r="FY133" i="56" s="1"/>
  <c r="BN117" i="56"/>
  <c r="FY117" i="56" s="1"/>
  <c r="BN101" i="56"/>
  <c r="FY101" i="56" s="1"/>
  <c r="BN85" i="56"/>
  <c r="FY85" i="56" s="1"/>
  <c r="BN69" i="56"/>
  <c r="FY69" i="56" s="1"/>
  <c r="BN53" i="56"/>
  <c r="FY53" i="56" s="1"/>
  <c r="BU152" i="56"/>
  <c r="CE147" i="56"/>
  <c r="CI281" i="56"/>
  <c r="CI264" i="56"/>
  <c r="BK264" i="56"/>
  <c r="BU232" i="56"/>
  <c r="CS232" i="56"/>
  <c r="I232" i="56" s="1"/>
  <c r="CT232" i="56" s="1"/>
  <c r="BK184" i="56"/>
  <c r="BO184" i="56"/>
  <c r="BO168" i="56"/>
  <c r="CL168" i="56"/>
  <c r="CL136" i="56"/>
  <c r="BK136" i="56"/>
  <c r="CI104" i="56"/>
  <c r="BW104" i="56"/>
  <c r="BO104" i="56"/>
  <c r="BK88" i="56"/>
  <c r="BU88" i="56"/>
  <c r="BU72" i="56"/>
  <c r="CG72" i="56"/>
  <c r="CH72" i="56" s="1"/>
  <c r="H72" i="56" s="1"/>
  <c r="BK72" i="56"/>
  <c r="BK56" i="56"/>
  <c r="BU56" i="56"/>
  <c r="BU8" i="56"/>
  <c r="CL8" i="56"/>
  <c r="BD326" i="56" a="1"/>
  <c r="BD326" i="56" s="1"/>
  <c r="C326" i="56" s="1"/>
  <c r="BE326" i="56" s="1"/>
  <c r="Q262" i="56"/>
  <c r="EK262" i="56" s="1"/>
  <c r="AZ134" i="56"/>
  <c r="Q134" i="56" s="1"/>
  <c r="BA134" i="56"/>
  <c r="BB134" i="56" s="1"/>
  <c r="BD70" i="56" a="1"/>
  <c r="BD70" i="56" s="1"/>
  <c r="BA279" i="56"/>
  <c r="BB279" i="56" s="1"/>
  <c r="BA5" i="56"/>
  <c r="BB5" i="56" s="1"/>
  <c r="T225" i="56"/>
  <c r="BK154" i="56"/>
  <c r="BW105" i="56"/>
  <c r="BX55" i="56"/>
  <c r="BO55" i="56"/>
  <c r="Q55" i="56"/>
  <c r="BU55" i="56"/>
  <c r="AZ325" i="56"/>
  <c r="BA325" i="56"/>
  <c r="BB325" i="56" s="1"/>
  <c r="BD309" i="56" a="1"/>
  <c r="BD309" i="56" s="1"/>
  <c r="C309" i="56" s="1"/>
  <c r="BE309" i="56" s="1"/>
  <c r="BA277" i="56"/>
  <c r="BB277" i="56" s="1"/>
  <c r="BD277" i="56" s="1" a="1"/>
  <c r="BD277" i="56" s="1"/>
  <c r="AZ277" i="56"/>
  <c r="Q277" i="56" s="1"/>
  <c r="BD245" i="56" a="1"/>
  <c r="BD245" i="56" s="1"/>
  <c r="C245" i="56" s="1"/>
  <c r="BE245" i="56" s="1"/>
  <c r="BD213" i="56" a="1"/>
  <c r="BD213" i="56" s="1"/>
  <c r="C213" i="56" s="1"/>
  <c r="BE213" i="56" s="1"/>
  <c r="Q197" i="56"/>
  <c r="Q133" i="56"/>
  <c r="EK133" i="56" s="1"/>
  <c r="BD85" i="56" a="1"/>
  <c r="BD85" i="56" s="1"/>
  <c r="Q69" i="56"/>
  <c r="EK69" i="56" s="1"/>
  <c r="BA37" i="56"/>
  <c r="BB37" i="56" s="1"/>
  <c r="AZ37" i="56"/>
  <c r="Q37" i="56" s="1"/>
  <c r="EK37" i="56" s="1"/>
  <c r="AZ264" i="56"/>
  <c r="Q264" i="56" s="1"/>
  <c r="AZ165" i="56"/>
  <c r="Q165" i="56" s="1"/>
  <c r="EK165" i="56" s="1"/>
  <c r="Q113" i="56"/>
  <c r="EK113" i="56" s="1"/>
  <c r="BQ272" i="56"/>
  <c r="BQ96" i="56"/>
  <c r="BN340" i="56"/>
  <c r="FY340" i="56" s="1"/>
  <c r="BN324" i="56"/>
  <c r="FY324" i="56" s="1"/>
  <c r="BN308" i="56"/>
  <c r="FY308" i="56" s="1"/>
  <c r="BN292" i="56"/>
  <c r="FY292" i="56" s="1"/>
  <c r="CE291" i="56"/>
  <c r="CC291" i="56"/>
  <c r="CE227" i="56"/>
  <c r="CB227" i="56"/>
  <c r="CC195" i="56"/>
  <c r="CB195" i="56"/>
  <c r="CF195" i="56"/>
  <c r="CB179" i="56"/>
  <c r="CF179" i="56"/>
  <c r="CC99" i="56"/>
  <c r="CD99" i="56"/>
  <c r="CV99" i="56" s="1"/>
  <c r="CE19" i="56"/>
  <c r="CC19" i="56"/>
  <c r="CE66" i="56"/>
  <c r="CD66" i="56"/>
  <c r="CF50" i="56"/>
  <c r="CA51" i="56"/>
  <c r="CB34" i="56"/>
  <c r="CF34" i="56"/>
  <c r="CI154" i="56"/>
  <c r="CM138" i="56"/>
  <c r="J138" i="56" s="1"/>
  <c r="CN138" i="56" s="1"/>
  <c r="Q325" i="56"/>
  <c r="EK325" i="56" s="1"/>
  <c r="T129" i="56"/>
  <c r="BW341" i="56"/>
  <c r="BU341" i="56"/>
  <c r="BU325" i="56"/>
  <c r="CG309" i="56"/>
  <c r="CH309" i="56" s="1"/>
  <c r="H309" i="56" s="1"/>
  <c r="BU309" i="56"/>
  <c r="BD293" i="56" a="1"/>
  <c r="BD293" i="56" s="1"/>
  <c r="C293" i="56" s="1"/>
  <c r="BE293" i="56" s="1"/>
  <c r="BU277" i="56"/>
  <c r="CL213" i="56"/>
  <c r="BU213" i="56"/>
  <c r="CX213" i="56"/>
  <c r="BQ181" i="56"/>
  <c r="BU133" i="56"/>
  <c r="BW85" i="56"/>
  <c r="BU85" i="56"/>
  <c r="BU69" i="56"/>
  <c r="BD37" i="56" a="1"/>
  <c r="BD37" i="56" s="1"/>
  <c r="C37" i="56" s="1"/>
  <c r="BE37" i="56" s="1"/>
  <c r="CL21" i="56"/>
  <c r="CM21" i="56"/>
  <c r="J21" i="56" s="1"/>
  <c r="CN21" i="56" s="1"/>
  <c r="BD323" i="56" a="1"/>
  <c r="BD323" i="56" s="1"/>
  <c r="C323" i="56" s="1"/>
  <c r="BE323" i="56" s="1"/>
  <c r="BD291" i="56" a="1"/>
  <c r="BD291" i="56" s="1"/>
  <c r="C291" i="56" s="1"/>
  <c r="BE291" i="56" s="1"/>
  <c r="AZ211" i="56"/>
  <c r="Q211" i="56" s="1"/>
  <c r="EK211" i="56" s="1"/>
  <c r="BA211" i="56"/>
  <c r="BB211" i="56" s="1"/>
  <c r="BD195" i="56" a="1"/>
  <c r="BD195" i="56" s="1"/>
  <c r="BD99" i="56" a="1"/>
  <c r="BD99" i="56" s="1"/>
  <c r="AZ3" i="56"/>
  <c r="BA3" i="56"/>
  <c r="BB3" i="56" s="1"/>
  <c r="AZ213" i="56"/>
  <c r="Q213" i="56" s="1"/>
  <c r="EK213" i="56" s="1"/>
  <c r="BA133" i="56"/>
  <c r="BB133" i="56" s="1"/>
  <c r="BA83" i="56"/>
  <c r="BB83" i="56" s="1"/>
  <c r="BA39" i="56"/>
  <c r="BB39" i="56" s="1"/>
  <c r="BD39" i="56" s="1" a="1"/>
  <c r="BD39" i="56" s="1"/>
  <c r="C39" i="56" s="1"/>
  <c r="BE39" i="56" s="1"/>
  <c r="BL334" i="56"/>
  <c r="BQ318" i="56"/>
  <c r="BQ302" i="56"/>
  <c r="BN286" i="56"/>
  <c r="BQ270" i="56"/>
  <c r="BN270" i="56"/>
  <c r="FY270" i="56" s="1"/>
  <c r="BN238" i="56"/>
  <c r="BQ238" i="56"/>
  <c r="BL206" i="56"/>
  <c r="EQ158" i="56"/>
  <c r="BL158" i="56"/>
  <c r="BQ142" i="56"/>
  <c r="BN110" i="56"/>
  <c r="FY110" i="56" s="1"/>
  <c r="BQ110" i="56"/>
  <c r="BQ94" i="56"/>
  <c r="BQ62" i="56"/>
  <c r="BN62" i="56"/>
  <c r="BL62" i="56"/>
  <c r="BL30" i="56"/>
  <c r="E30" i="56" s="1"/>
  <c r="BM30" i="56" s="1"/>
  <c r="BN30" i="56" s="1"/>
  <c r="BD16" i="56" a="1"/>
  <c r="BD16" i="56" s="1"/>
  <c r="BI336" i="56"/>
  <c r="T336" i="56" s="1"/>
  <c r="BO153" i="56"/>
  <c r="BW277" i="56"/>
  <c r="BX37" i="56"/>
  <c r="CB321" i="56"/>
  <c r="CA322" i="56"/>
  <c r="CC305" i="56"/>
  <c r="CF305" i="56"/>
  <c r="CE289" i="56"/>
  <c r="CC289" i="56"/>
  <c r="CF289" i="56"/>
  <c r="CB257" i="56"/>
  <c r="CA258" i="56"/>
  <c r="CD241" i="56"/>
  <c r="CC241" i="56"/>
  <c r="CF225" i="56"/>
  <c r="CA226" i="56"/>
  <c r="CD193" i="56"/>
  <c r="CE193" i="56"/>
  <c r="CB193" i="56"/>
  <c r="CB177" i="56"/>
  <c r="CE177" i="56"/>
  <c r="CC145" i="56"/>
  <c r="CF145" i="56"/>
  <c r="CA98" i="56"/>
  <c r="CD97" i="56"/>
  <c r="CV97" i="56" s="1"/>
  <c r="CF97" i="56"/>
  <c r="CD81" i="56"/>
  <c r="CA82" i="56"/>
  <c r="CA66" i="56"/>
  <c r="CB65" i="56"/>
  <c r="CE65" i="56"/>
  <c r="CB49" i="56"/>
  <c r="CA50" i="56"/>
  <c r="CC33" i="56"/>
  <c r="CD33" i="56"/>
  <c r="CV33" i="56" s="1"/>
  <c r="CF17" i="56"/>
  <c r="CC17" i="56"/>
  <c r="CD131" i="56"/>
  <c r="CM117" i="56"/>
  <c r="J117" i="56" s="1"/>
  <c r="CN117" i="56" s="1"/>
  <c r="Q202" i="56"/>
  <c r="EK202" i="56" s="1"/>
  <c r="Q138" i="56"/>
  <c r="AZ296" i="56"/>
  <c r="Q296" i="56" s="1"/>
  <c r="EK296" i="56" s="1"/>
  <c r="AZ152" i="56"/>
  <c r="BD152" i="56" s="1" a="1"/>
  <c r="BD152" i="56" s="1"/>
  <c r="AZ104" i="56"/>
  <c r="AZ56" i="56"/>
  <c r="BD56" i="56" s="1" a="1"/>
  <c r="BD56" i="56" s="1"/>
  <c r="AZ19" i="56"/>
  <c r="BA80" i="56"/>
  <c r="BB80" i="56" s="1"/>
  <c r="BI205" i="56"/>
  <c r="T205" i="56" s="1"/>
  <c r="BI141" i="56"/>
  <c r="T141" i="56" s="1"/>
  <c r="BI77" i="56"/>
  <c r="T77" i="56" s="1"/>
  <c r="BJ26" i="56"/>
  <c r="BK120" i="56"/>
  <c r="BO338" i="56"/>
  <c r="BU89" i="56"/>
  <c r="CC288" i="56"/>
  <c r="CF288" i="56"/>
  <c r="CA193" i="56"/>
  <c r="CE192" i="56"/>
  <c r="CC128" i="56"/>
  <c r="CE128" i="56"/>
  <c r="CA113" i="56"/>
  <c r="CB112" i="56"/>
  <c r="CB32" i="56"/>
  <c r="CE32" i="56"/>
  <c r="CF33" i="56"/>
  <c r="EC197" i="56"/>
  <c r="Q136" i="56"/>
  <c r="EK136" i="56" s="1"/>
  <c r="Q90" i="56"/>
  <c r="EK90" i="56" s="1"/>
  <c r="BU115" i="56"/>
  <c r="AZ103" i="56"/>
  <c r="BD103" i="56" s="1" a="1"/>
  <c r="BD103" i="56" s="1"/>
  <c r="BA311" i="56"/>
  <c r="BB311" i="56" s="1"/>
  <c r="BA179" i="56"/>
  <c r="BB179" i="56" s="1"/>
  <c r="BQ300" i="56"/>
  <c r="BI300" i="56"/>
  <c r="T300" i="56" s="1"/>
  <c r="BJ186" i="56"/>
  <c r="BL186" i="56" s="1"/>
  <c r="DJ325" i="56"/>
  <c r="CA65" i="56"/>
  <c r="CB176" i="56"/>
  <c r="CC259" i="56"/>
  <c r="CE304" i="56"/>
  <c r="BN331" i="56"/>
  <c r="FY331" i="56" s="1"/>
  <c r="BD315" i="56" a="1"/>
  <c r="BD315" i="56" s="1"/>
  <c r="BN315" i="56"/>
  <c r="FY315" i="56" s="1"/>
  <c r="BN283" i="56"/>
  <c r="FY283" i="56" s="1"/>
  <c r="BN267" i="56"/>
  <c r="FY267" i="56" s="1"/>
  <c r="BD251" i="56" a="1"/>
  <c r="BD251" i="56" s="1"/>
  <c r="C251" i="56" s="1"/>
  <c r="BE251" i="56" s="1"/>
  <c r="BN235" i="56"/>
  <c r="FY235" i="56" s="1"/>
  <c r="BN203" i="56"/>
  <c r="FY203" i="56" s="1"/>
  <c r="BD187" i="56" a="1"/>
  <c r="BD187" i="56" s="1"/>
  <c r="C187" i="56" s="1"/>
  <c r="BE187" i="56" s="1"/>
  <c r="BN155" i="56"/>
  <c r="FY155" i="56" s="1"/>
  <c r="BN139" i="56"/>
  <c r="FY139" i="56" s="1"/>
  <c r="BD123" i="56" a="1"/>
  <c r="BD123" i="56" s="1"/>
  <c r="BN107" i="56"/>
  <c r="FY107" i="56" s="1"/>
  <c r="BN75" i="56"/>
  <c r="FY75" i="56" s="1"/>
  <c r="BD59" i="56" a="1"/>
  <c r="BD59" i="56" s="1"/>
  <c r="BN59" i="56"/>
  <c r="FY59" i="56" s="1"/>
  <c r="BI309" i="56"/>
  <c r="GC309" i="56" s="1"/>
  <c r="BI53" i="56"/>
  <c r="EE31" i="56"/>
  <c r="ED31" i="56"/>
  <c r="EB342" i="56"/>
  <c r="EC342" i="56"/>
  <c r="EB294" i="56"/>
  <c r="EC294" i="56"/>
  <c r="EB262" i="56"/>
  <c r="EC262" i="56"/>
  <c r="EB230" i="56"/>
  <c r="EC230" i="56"/>
  <c r="EB150" i="56"/>
  <c r="EC150" i="56"/>
  <c r="EB102" i="56"/>
  <c r="EC102" i="56"/>
  <c r="EB70" i="56"/>
  <c r="EC70" i="56"/>
  <c r="BO278" i="56"/>
  <c r="BX278" i="56"/>
  <c r="BU262" i="56"/>
  <c r="BO262" i="56"/>
  <c r="BU230" i="56"/>
  <c r="BX214" i="56"/>
  <c r="BU214" i="56"/>
  <c r="BX198" i="56"/>
  <c r="BW198" i="56"/>
  <c r="BO198" i="56"/>
  <c r="BJ182" i="56"/>
  <c r="CS182" i="56"/>
  <c r="I182" i="56" s="1"/>
  <c r="CT182" i="56" s="1"/>
  <c r="BO118" i="56"/>
  <c r="CM118" i="56"/>
  <c r="J118" i="56" s="1"/>
  <c r="CN118" i="56" s="1"/>
  <c r="BJ86" i="56"/>
  <c r="BX86" i="56"/>
  <c r="BU86" i="56"/>
  <c r="BU70" i="56"/>
  <c r="BJ54" i="56"/>
  <c r="BO54" i="56"/>
  <c r="CL22" i="56"/>
  <c r="CM22" i="56"/>
  <c r="J22" i="56" s="1"/>
  <c r="CN22" i="56" s="1"/>
  <c r="BU6" i="56"/>
  <c r="BD52" i="56" a="1"/>
  <c r="BD52" i="56" s="1"/>
  <c r="C52" i="56" s="1"/>
  <c r="BE52" i="56" s="1"/>
  <c r="BQ319" i="56"/>
  <c r="BQ271" i="56"/>
  <c r="BL207" i="56"/>
  <c r="BQ191" i="56"/>
  <c r="BL111" i="56"/>
  <c r="BL79" i="56"/>
  <c r="BQ63" i="56"/>
  <c r="BD271" i="56" a="1"/>
  <c r="BD271" i="56" s="1"/>
  <c r="BJ278" i="56"/>
  <c r="CV205" i="56"/>
  <c r="CA189" i="56"/>
  <c r="BD116" i="56" a="1"/>
  <c r="BD116" i="56" s="1"/>
  <c r="BU116" i="56"/>
  <c r="BQ68" i="56"/>
  <c r="Q242" i="56"/>
  <c r="EK242" i="56" s="1"/>
  <c r="BD253" i="56" a="1"/>
  <c r="BD253" i="56" s="1"/>
  <c r="C253" i="56" s="1"/>
  <c r="BE253" i="56" s="1"/>
  <c r="BD189" i="56" a="1"/>
  <c r="BD189" i="56" s="1"/>
  <c r="C189" i="56" s="1"/>
  <c r="BE189" i="56" s="1"/>
  <c r="BI169" i="56"/>
  <c r="T169" i="56" s="1"/>
  <c r="BI153" i="56"/>
  <c r="T153" i="56" s="1"/>
  <c r="BI137" i="56"/>
  <c r="T137" i="56" s="1"/>
  <c r="BI121" i="56"/>
  <c r="T121" i="56" s="1"/>
  <c r="BI105" i="56"/>
  <c r="T105" i="56" s="1"/>
  <c r="BI89" i="56"/>
  <c r="T89" i="56" s="1"/>
  <c r="BI73" i="56"/>
  <c r="T73" i="56" s="1"/>
  <c r="BI57" i="56"/>
  <c r="T57" i="56" s="1"/>
  <c r="BI9" i="56"/>
  <c r="T9" i="56" s="1"/>
  <c r="BJ166" i="56"/>
  <c r="CC349" i="56"/>
  <c r="CD349" i="56"/>
  <c r="CF349" i="56"/>
  <c r="CB317" i="56"/>
  <c r="CE317" i="56"/>
  <c r="CD317" i="56"/>
  <c r="CC317" i="56"/>
  <c r="CA318" i="56"/>
  <c r="CC301" i="56"/>
  <c r="CD301" i="56"/>
  <c r="CC285" i="56"/>
  <c r="CD285" i="56"/>
  <c r="CV285" i="56" s="1"/>
  <c r="CE285" i="56"/>
  <c r="CE269" i="56"/>
  <c r="CD269" i="56"/>
  <c r="CV269" i="56" s="1"/>
  <c r="CB269" i="56"/>
  <c r="CA254" i="56"/>
  <c r="CF253" i="56"/>
  <c r="CB253" i="56"/>
  <c r="CE253" i="56"/>
  <c r="CA238" i="56"/>
  <c r="CC237" i="56"/>
  <c r="CF237" i="56"/>
  <c r="CB221" i="56"/>
  <c r="CD221" i="56"/>
  <c r="CA222" i="56"/>
  <c r="CE221" i="56"/>
  <c r="CC221" i="56"/>
  <c r="CD205" i="56"/>
  <c r="CA206" i="56"/>
  <c r="CF189" i="56"/>
  <c r="CC189" i="56"/>
  <c r="CA190" i="56"/>
  <c r="CF173" i="56"/>
  <c r="CD173" i="56"/>
  <c r="CE173" i="56"/>
  <c r="CA174" i="56"/>
  <c r="CC157" i="56"/>
  <c r="CE157" i="56"/>
  <c r="CD157" i="56"/>
  <c r="CC141" i="56"/>
  <c r="CB141" i="56"/>
  <c r="CF141" i="56"/>
  <c r="CE141" i="56"/>
  <c r="CD125" i="56"/>
  <c r="CV125" i="56" s="1"/>
  <c r="CC125" i="56"/>
  <c r="CF125" i="56"/>
  <c r="CE125" i="56"/>
  <c r="CA110" i="56"/>
  <c r="CB109" i="56"/>
  <c r="CF109" i="56"/>
  <c r="CC93" i="56"/>
  <c r="CF93" i="56"/>
  <c r="CE77" i="56"/>
  <c r="CC77" i="56"/>
  <c r="CF77" i="56"/>
  <c r="CB61" i="56"/>
  <c r="CA62" i="56"/>
  <c r="CB45" i="56"/>
  <c r="CF45" i="56"/>
  <c r="CA46" i="56"/>
  <c r="CC45" i="56"/>
  <c r="FB45" i="56" s="1"/>
  <c r="CE45" i="56"/>
  <c r="CD45" i="56"/>
  <c r="CC29" i="56"/>
  <c r="CB29" i="56"/>
  <c r="CC13" i="56"/>
  <c r="CA14" i="56"/>
  <c r="CD13" i="56"/>
  <c r="CV13" i="56" s="1"/>
  <c r="FD13" i="56" s="1"/>
  <c r="M13" i="56" s="1"/>
  <c r="FE13" i="56" s="1"/>
  <c r="FF13" i="56" s="1"/>
  <c r="CB13" i="56"/>
  <c r="CE13" i="56"/>
  <c r="CA334" i="56"/>
  <c r="CA29" i="56"/>
  <c r="CB173" i="56"/>
  <c r="CC269" i="56"/>
  <c r="CF205" i="56"/>
  <c r="EC200" i="56"/>
  <c r="EB200" i="56"/>
  <c r="EB88" i="56"/>
  <c r="BD259" i="56" a="1"/>
  <c r="BD259" i="56" s="1"/>
  <c r="C259" i="56" s="1"/>
  <c r="BE259" i="56" s="1"/>
  <c r="BQ147" i="56"/>
  <c r="BD3" i="56" a="1"/>
  <c r="BD3" i="56" s="1"/>
  <c r="Q241" i="56"/>
  <c r="EK241" i="56" s="1"/>
  <c r="Q225" i="56"/>
  <c r="EK225" i="56" s="1"/>
  <c r="Q161" i="56"/>
  <c r="EK161" i="56" s="1"/>
  <c r="Q33" i="56"/>
  <c r="EL33" i="56" s="1"/>
  <c r="AZ36" i="56"/>
  <c r="BQ268" i="56"/>
  <c r="BQ252" i="56"/>
  <c r="BQ140" i="56"/>
  <c r="BI264" i="56"/>
  <c r="T264" i="56" s="1"/>
  <c r="CF252" i="56"/>
  <c r="CB252" i="56"/>
  <c r="CF236" i="56"/>
  <c r="CC236" i="56"/>
  <c r="CE236" i="56"/>
  <c r="CF220" i="56"/>
  <c r="CD220" i="56"/>
  <c r="CB220" i="56"/>
  <c r="CE220" i="56"/>
  <c r="CC220" i="56"/>
  <c r="CF172" i="56"/>
  <c r="CD172" i="56"/>
  <c r="CV172" i="56" s="1"/>
  <c r="CA173" i="56"/>
  <c r="CE172" i="56"/>
  <c r="CF156" i="56"/>
  <c r="CE156" i="56"/>
  <c r="CD156" i="56"/>
  <c r="CB156" i="56"/>
  <c r="CF140" i="56"/>
  <c r="CB140" i="56"/>
  <c r="CD140" i="56"/>
  <c r="CE140" i="56"/>
  <c r="CF124" i="56"/>
  <c r="CC124" i="56"/>
  <c r="CE124" i="56"/>
  <c r="CA125" i="56"/>
  <c r="CF108" i="56"/>
  <c r="CB108" i="56"/>
  <c r="CA61" i="56"/>
  <c r="CD60" i="56"/>
  <c r="CV60" i="56" s="1"/>
  <c r="CF44" i="56"/>
  <c r="CA45" i="56"/>
  <c r="CC44" i="56"/>
  <c r="CD44" i="56"/>
  <c r="CF28" i="56"/>
  <c r="CC28" i="56"/>
  <c r="CB28" i="56"/>
  <c r="CF12" i="56"/>
  <c r="CA13" i="56"/>
  <c r="CD12" i="56"/>
  <c r="CE12" i="56"/>
  <c r="EC214" i="56"/>
  <c r="EC118" i="56"/>
  <c r="DJ301" i="56"/>
  <c r="DJ269" i="56"/>
  <c r="DL205" i="56"/>
  <c r="CD347" i="56"/>
  <c r="CC347" i="56"/>
  <c r="CF347" i="56"/>
  <c r="CE347" i="56"/>
  <c r="CA332" i="56"/>
  <c r="CB331" i="56"/>
  <c r="CC315" i="56"/>
  <c r="CA316" i="56"/>
  <c r="CF315" i="56"/>
  <c r="CE299" i="56"/>
  <c r="CD299" i="56"/>
  <c r="CV299" i="56" s="1"/>
  <c r="CC283" i="56"/>
  <c r="CE283" i="56"/>
  <c r="CC267" i="56"/>
  <c r="CE267" i="56"/>
  <c r="CD267" i="56"/>
  <c r="CV267" i="56" s="1"/>
  <c r="CB267" i="56"/>
  <c r="CF251" i="56"/>
  <c r="CB251" i="56"/>
  <c r="CA252" i="56"/>
  <c r="CC251" i="56"/>
  <c r="CA236" i="56"/>
  <c r="CC235" i="56"/>
  <c r="CE235" i="56"/>
  <c r="CF235" i="56"/>
  <c r="CA220" i="56"/>
  <c r="CB219" i="56"/>
  <c r="CE219" i="56"/>
  <c r="CE203" i="56"/>
  <c r="CC203" i="56"/>
  <c r="CD203" i="56"/>
  <c r="CV203" i="56" s="1"/>
  <c r="CB187" i="56"/>
  <c r="CF187" i="56"/>
  <c r="CC187" i="56"/>
  <c r="CB171" i="56"/>
  <c r="CA172" i="56"/>
  <c r="CC171" i="56"/>
  <c r="CF155" i="56"/>
  <c r="CE155" i="56"/>
  <c r="CD155" i="56"/>
  <c r="CC139" i="56"/>
  <c r="CB139" i="56"/>
  <c r="CD139" i="56"/>
  <c r="CV139" i="56" s="1"/>
  <c r="CC123" i="56"/>
  <c r="CE123" i="56"/>
  <c r="CD91" i="56"/>
  <c r="CV91" i="56" s="1"/>
  <c r="CF91" i="56"/>
  <c r="CC91" i="56"/>
  <c r="CA76" i="56"/>
  <c r="CF75" i="56"/>
  <c r="CE75" i="56"/>
  <c r="CC59" i="56"/>
  <c r="CB59" i="56"/>
  <c r="CA60" i="56"/>
  <c r="CE43" i="56"/>
  <c r="CF43" i="56"/>
  <c r="CC43" i="56"/>
  <c r="CD43" i="56"/>
  <c r="CV43" i="56" s="1"/>
  <c r="CF27" i="56"/>
  <c r="CC27" i="56"/>
  <c r="CC11" i="56"/>
  <c r="CD11" i="56"/>
  <c r="CV11" i="56" s="1"/>
  <c r="FD11" i="56" s="1"/>
  <c r="M11" i="56" s="1"/>
  <c r="FE11" i="56" s="1"/>
  <c r="FF11" i="56" s="1"/>
  <c r="CE11" i="56"/>
  <c r="CA12" i="56"/>
  <c r="CB283" i="56"/>
  <c r="CE91" i="56"/>
  <c r="CF59" i="56"/>
  <c r="BN341" i="56"/>
  <c r="FY341" i="56" s="1"/>
  <c r="BN325" i="56"/>
  <c r="FY325" i="56" s="1"/>
  <c r="BN309" i="56"/>
  <c r="FY309" i="56" s="1"/>
  <c r="BN293" i="56"/>
  <c r="FY293" i="56" s="1"/>
  <c r="BN276" i="56"/>
  <c r="FY276" i="56" s="1"/>
  <c r="BN260" i="56"/>
  <c r="FY260" i="56" s="1"/>
  <c r="BN228" i="56"/>
  <c r="FY228" i="56" s="1"/>
  <c r="BN212" i="56"/>
  <c r="FY212" i="56" s="1"/>
  <c r="BN196" i="56"/>
  <c r="FY196" i="56" s="1"/>
  <c r="BN180" i="56"/>
  <c r="FY180" i="56" s="1"/>
  <c r="BN164" i="56"/>
  <c r="FY164" i="56" s="1"/>
  <c r="BN148" i="56"/>
  <c r="FY148" i="56" s="1"/>
  <c r="BN132" i="56"/>
  <c r="FY132" i="56" s="1"/>
  <c r="BN116" i="56"/>
  <c r="FY116" i="56" s="1"/>
  <c r="BN100" i="56"/>
  <c r="FY100" i="56" s="1"/>
  <c r="BN84" i="56"/>
  <c r="FY84" i="56" s="1"/>
  <c r="BN52" i="56"/>
  <c r="FY52" i="56" s="1"/>
  <c r="CD346" i="56"/>
  <c r="CC346" i="56"/>
  <c r="CF346" i="56"/>
  <c r="CE346" i="56"/>
  <c r="CE330" i="56"/>
  <c r="CD330" i="56"/>
  <c r="CA315" i="56"/>
  <c r="CC314" i="56"/>
  <c r="CF314" i="56"/>
  <c r="CC298" i="56"/>
  <c r="CF298" i="56"/>
  <c r="CE282" i="56"/>
  <c r="CC282" i="56"/>
  <c r="CC266" i="56"/>
  <c r="CE266" i="56"/>
  <c r="CD266" i="56"/>
  <c r="CB266" i="56"/>
  <c r="CA267" i="56"/>
  <c r="CC250" i="56"/>
  <c r="CF250" i="56"/>
  <c r="CB250" i="56"/>
  <c r="CD234" i="56"/>
  <c r="CE234" i="56"/>
  <c r="CC234" i="56"/>
  <c r="CA219" i="56"/>
  <c r="CF218" i="56"/>
  <c r="CB218" i="56"/>
  <c r="CA203" i="56"/>
  <c r="CE202" i="56"/>
  <c r="CC202" i="56"/>
  <c r="CE186" i="56"/>
  <c r="CC186" i="56"/>
  <c r="CB170" i="56"/>
  <c r="CF170" i="56"/>
  <c r="CA171" i="56"/>
  <c r="CC170" i="56"/>
  <c r="CB154" i="56"/>
  <c r="CE154" i="56"/>
  <c r="CC138" i="56"/>
  <c r="FB138" i="56" s="1"/>
  <c r="CB138" i="56"/>
  <c r="CD138" i="56"/>
  <c r="CC122" i="56"/>
  <c r="CE122" i="56"/>
  <c r="CB106" i="56"/>
  <c r="CA107" i="56"/>
  <c r="CD106" i="56"/>
  <c r="CD90" i="56"/>
  <c r="CE90" i="56"/>
  <c r="CC90" i="56"/>
  <c r="CD74" i="56"/>
  <c r="CV74" i="56" s="1"/>
  <c r="CF74" i="56"/>
  <c r="CE74" i="56"/>
  <c r="CB74" i="56"/>
  <c r="CC42" i="56"/>
  <c r="CD42" i="56"/>
  <c r="CV42" i="56" s="1"/>
  <c r="CE26" i="56"/>
  <c r="CF26" i="56"/>
  <c r="CF10" i="56"/>
  <c r="CE10" i="56"/>
  <c r="CA11" i="56"/>
  <c r="CA44" i="56"/>
  <c r="CB282" i="56"/>
  <c r="CB155" i="56"/>
  <c r="CB88" i="56"/>
  <c r="CF58" i="56"/>
  <c r="CV105" i="56"/>
  <c r="CC328" i="56"/>
  <c r="CE328" i="56"/>
  <c r="CD312" i="56"/>
  <c r="CV312" i="56" s="1"/>
  <c r="CB312" i="56"/>
  <c r="CF312" i="56"/>
  <c r="CE264" i="56"/>
  <c r="CA265" i="56"/>
  <c r="CF40" i="56"/>
  <c r="CD40" i="56"/>
  <c r="CA188" i="56"/>
  <c r="CA41" i="56"/>
  <c r="CB347" i="56"/>
  <c r="CD282" i="56"/>
  <c r="CV282" i="56" s="1"/>
  <c r="CF267" i="56"/>
  <c r="CF186" i="56"/>
  <c r="EB343" i="56"/>
  <c r="EC343" i="56"/>
  <c r="EC295" i="56"/>
  <c r="EB295" i="56"/>
  <c r="EC151" i="56"/>
  <c r="EB151" i="56"/>
  <c r="EC55" i="56"/>
  <c r="EB55" i="56"/>
  <c r="CD135" i="56"/>
  <c r="CA136" i="56"/>
  <c r="CE87" i="56"/>
  <c r="CC87" i="56"/>
  <c r="CA88" i="56"/>
  <c r="CF7" i="56"/>
  <c r="CC7" i="56"/>
  <c r="CA120" i="56"/>
  <c r="CA24" i="56"/>
  <c r="CB167" i="56"/>
  <c r="CB119" i="56"/>
  <c r="CF87" i="56"/>
  <c r="CB102" i="56"/>
  <c r="CD102" i="56"/>
  <c r="CC86" i="56"/>
  <c r="CE86" i="56"/>
  <c r="CA87" i="56"/>
  <c r="CE70" i="56"/>
  <c r="CB70" i="56"/>
  <c r="CE54" i="56"/>
  <c r="CF54" i="56"/>
  <c r="CF38" i="56"/>
  <c r="CE38" i="56"/>
  <c r="CC22" i="56"/>
  <c r="CA23" i="56"/>
  <c r="CC6" i="56"/>
  <c r="CF6" i="56"/>
  <c r="CB166" i="56"/>
  <c r="CD277" i="56"/>
  <c r="CV277" i="56" s="1"/>
  <c r="CD39" i="56"/>
  <c r="BN26" i="56"/>
  <c r="FY26" i="56" s="1"/>
  <c r="DJ216" i="56"/>
  <c r="CD229" i="56"/>
  <c r="CB229" i="56"/>
  <c r="CB181" i="56"/>
  <c r="CF181" i="56"/>
  <c r="CF133" i="56"/>
  <c r="CC133" i="56"/>
  <c r="CF53" i="56"/>
  <c r="CC53" i="56"/>
  <c r="CC37" i="56"/>
  <c r="CE37" i="56"/>
  <c r="CA168" i="56"/>
  <c r="CD103" i="56"/>
  <c r="CF135" i="56"/>
  <c r="EB298" i="56"/>
  <c r="EC298" i="56"/>
  <c r="DL208" i="56"/>
  <c r="DJ38" i="56"/>
  <c r="CD4" i="56"/>
  <c r="CF4" i="56"/>
  <c r="CD87" i="56"/>
  <c r="EB57" i="56"/>
  <c r="EC57" i="56"/>
  <c r="EB7" i="56"/>
  <c r="EC157" i="56"/>
  <c r="EK334" i="56"/>
  <c r="EL334" i="56"/>
  <c r="HD174" i="56"/>
  <c r="GB174" i="56"/>
  <c r="HD301" i="56"/>
  <c r="GB301" i="56"/>
  <c r="HD224" i="56"/>
  <c r="GB224" i="56"/>
  <c r="HD11" i="56"/>
  <c r="GB11" i="56"/>
  <c r="HD63" i="56"/>
  <c r="GB63" i="56"/>
  <c r="HD62" i="56"/>
  <c r="GB62" i="56"/>
  <c r="HD268" i="56"/>
  <c r="GB268" i="56"/>
  <c r="HD191" i="56"/>
  <c r="GB191" i="56"/>
  <c r="HD352" i="56"/>
  <c r="GB352" i="56"/>
  <c r="HD267" i="56"/>
  <c r="GB267" i="56"/>
  <c r="HD115" i="56"/>
  <c r="GB115" i="56"/>
  <c r="HD318" i="56"/>
  <c r="GB318" i="56"/>
  <c r="HD71" i="56"/>
  <c r="GB71" i="56"/>
  <c r="HD302" i="56"/>
  <c r="GB302" i="56"/>
  <c r="HD173" i="56"/>
  <c r="GB173" i="56"/>
  <c r="HD12" i="56"/>
  <c r="GB12" i="56"/>
  <c r="HD319" i="56"/>
  <c r="GB319" i="56"/>
  <c r="GB72" i="56"/>
  <c r="HD72" i="56"/>
  <c r="HD38" i="56"/>
  <c r="GB38" i="56"/>
  <c r="HD243" i="56"/>
  <c r="GB243" i="56"/>
  <c r="HD166" i="56"/>
  <c r="GB166" i="56"/>
  <c r="HD37" i="56"/>
  <c r="GB37" i="56"/>
  <c r="EK33" i="56"/>
  <c r="HD328" i="56"/>
  <c r="GB328" i="56"/>
  <c r="HD165" i="56"/>
  <c r="GB165" i="56"/>
  <c r="HD327" i="56"/>
  <c r="GB327" i="56"/>
  <c r="CR146" i="56"/>
  <c r="CP146" i="56" a="1"/>
  <c r="CP146" i="56" s="1"/>
  <c r="CO146" i="56" a="1"/>
  <c r="CO146" i="56" s="1"/>
  <c r="CQ146" i="56" a="1"/>
  <c r="CQ146" i="56" s="1"/>
  <c r="HD335" i="56"/>
  <c r="GB335" i="56"/>
  <c r="HD315" i="56"/>
  <c r="GB315" i="56"/>
  <c r="HD295" i="56"/>
  <c r="GB295" i="56"/>
  <c r="HD285" i="56"/>
  <c r="GB285" i="56"/>
  <c r="HD232" i="56"/>
  <c r="GB232" i="56"/>
  <c r="HD211" i="56"/>
  <c r="GB211" i="56"/>
  <c r="HD181" i="56"/>
  <c r="GB181" i="56"/>
  <c r="HD130" i="56"/>
  <c r="GM130" i="56"/>
  <c r="GB130" i="56"/>
  <c r="HD47" i="56"/>
  <c r="GB47" i="56"/>
  <c r="EQ349" i="56"/>
  <c r="BN349" i="56"/>
  <c r="FY349" i="56" s="1"/>
  <c r="BD349" i="56" a="1"/>
  <c r="BD349" i="56" s="1"/>
  <c r="BQ349" i="56"/>
  <c r="EQ221" i="56"/>
  <c r="BN221" i="56"/>
  <c r="FY221" i="56" s="1"/>
  <c r="BD221" i="56" a="1"/>
  <c r="BD221" i="56" s="1"/>
  <c r="BQ221" i="56"/>
  <c r="FW319" i="56"/>
  <c r="BI319" i="56"/>
  <c r="GC319" i="56" s="1"/>
  <c r="FW143" i="56"/>
  <c r="BI143" i="56"/>
  <c r="GC143" i="56" s="1"/>
  <c r="BQ253" i="56"/>
  <c r="EK99" i="56"/>
  <c r="EL99" i="56"/>
  <c r="HD294" i="56"/>
  <c r="GB294" i="56"/>
  <c r="HD190" i="56"/>
  <c r="GB190" i="56"/>
  <c r="HD119" i="56"/>
  <c r="GB119" i="56"/>
  <c r="HD96" i="56"/>
  <c r="GB96" i="56"/>
  <c r="HD76" i="56"/>
  <c r="GB76" i="56"/>
  <c r="HD56" i="56"/>
  <c r="GB56" i="56"/>
  <c r="HD46" i="56"/>
  <c r="GB46" i="56"/>
  <c r="HD36" i="56"/>
  <c r="GB36" i="56"/>
  <c r="HD16" i="56"/>
  <c r="GB16" i="56"/>
  <c r="HD5" i="56"/>
  <c r="GB5" i="56"/>
  <c r="FG53" i="56" a="1"/>
  <c r="FG53" i="56" s="1"/>
  <c r="FH53" i="56"/>
  <c r="EK316" i="56"/>
  <c r="FW350" i="56"/>
  <c r="FW190" i="56"/>
  <c r="BI190" i="56"/>
  <c r="GC190" i="56" s="1"/>
  <c r="CR252" i="56"/>
  <c r="CQ252" i="56" a="1"/>
  <c r="CQ252" i="56" s="1"/>
  <c r="CP252" i="56" a="1"/>
  <c r="CP252" i="56" s="1"/>
  <c r="CO252" i="56" a="1"/>
  <c r="CO252" i="56" s="1"/>
  <c r="FH214" i="56"/>
  <c r="FG214" i="56" a="1"/>
  <c r="FG214" i="56" s="1"/>
  <c r="FH198" i="56"/>
  <c r="FG198" i="56" a="1"/>
  <c r="FG198" i="56" s="1"/>
  <c r="EQ301" i="56"/>
  <c r="BN301" i="56"/>
  <c r="FY301" i="56" s="1"/>
  <c r="BD301" i="56" a="1"/>
  <c r="BD301" i="56" s="1"/>
  <c r="C301" i="56" s="1"/>
  <c r="BE301" i="56" s="1"/>
  <c r="EQ237" i="56"/>
  <c r="BN237" i="56"/>
  <c r="FY237" i="56" s="1"/>
  <c r="BD237" i="56" a="1"/>
  <c r="BD237" i="56" s="1"/>
  <c r="C237" i="56" s="1"/>
  <c r="BE237" i="56" s="1"/>
  <c r="BQ237" i="56"/>
  <c r="EQ173" i="56"/>
  <c r="BN173" i="56"/>
  <c r="FY173" i="56" s="1"/>
  <c r="BD173" i="56" a="1"/>
  <c r="BD173" i="56" s="1"/>
  <c r="C173" i="56" s="1"/>
  <c r="BE173" i="56" s="1"/>
  <c r="EQ125" i="56"/>
  <c r="BN125" i="56"/>
  <c r="FY125" i="56" s="1"/>
  <c r="EQ77" i="56"/>
  <c r="BN77" i="56"/>
  <c r="FY77" i="56" s="1"/>
  <c r="BQ77" i="56"/>
  <c r="BD77" i="56" a="1"/>
  <c r="BD77" i="56" s="1"/>
  <c r="EQ29" i="56"/>
  <c r="BQ29" i="56"/>
  <c r="BD29" i="56" a="1"/>
  <c r="BD29" i="56" s="1"/>
  <c r="FW335" i="56"/>
  <c r="BI335" i="56"/>
  <c r="FW271" i="56"/>
  <c r="BI271" i="56"/>
  <c r="GC271" i="56" s="1"/>
  <c r="FW223" i="56"/>
  <c r="BI223" i="56"/>
  <c r="GC223" i="56" s="1"/>
  <c r="FW191" i="56"/>
  <c r="BI191" i="56"/>
  <c r="GC191" i="56" s="1"/>
  <c r="FW159" i="56"/>
  <c r="FW111" i="56"/>
  <c r="FW79" i="56"/>
  <c r="BI79" i="56"/>
  <c r="GC79" i="56" s="1"/>
  <c r="FW63" i="56"/>
  <c r="BI63" i="56"/>
  <c r="GC63" i="56" s="1"/>
  <c r="GC15" i="56"/>
  <c r="FW15" i="56"/>
  <c r="BI15" i="56"/>
  <c r="T15" i="56" s="1"/>
  <c r="HD345" i="56"/>
  <c r="GB345" i="56"/>
  <c r="FH245" i="56"/>
  <c r="FG245" i="56" a="1"/>
  <c r="FG245" i="56" s="1"/>
  <c r="FI245" i="56" s="1"/>
  <c r="GC334" i="56"/>
  <c r="FW334" i="56"/>
  <c r="BI334" i="56"/>
  <c r="FW302" i="56"/>
  <c r="FW254" i="56"/>
  <c r="FW206" i="56"/>
  <c r="FW158" i="56"/>
  <c r="FW126" i="56"/>
  <c r="BI126" i="56"/>
  <c r="GC126" i="56" s="1"/>
  <c r="T126" i="56"/>
  <c r="FW94" i="56"/>
  <c r="FW30" i="56"/>
  <c r="BI30" i="56"/>
  <c r="GC30" i="56" s="1"/>
  <c r="HD344" i="56"/>
  <c r="GB344" i="56"/>
  <c r="HD284" i="56"/>
  <c r="GB284" i="56"/>
  <c r="HD220" i="56"/>
  <c r="GB220" i="56"/>
  <c r="HD107" i="56"/>
  <c r="GB107" i="56"/>
  <c r="HD4" i="56"/>
  <c r="GB4" i="56"/>
  <c r="IA292" i="56"/>
  <c r="IB292" i="56" s="1"/>
  <c r="FK292" i="56"/>
  <c r="EP292" i="56"/>
  <c r="CS292" i="56"/>
  <c r="I292" i="56" s="1"/>
  <c r="CT292" i="56" s="1"/>
  <c r="CI292" i="56"/>
  <c r="BS292" i="56"/>
  <c r="CL292" i="56"/>
  <c r="CX292" i="56"/>
  <c r="BX292" i="56"/>
  <c r="BJ292" i="56"/>
  <c r="CG292" i="56"/>
  <c r="CH292" i="56" s="1"/>
  <c r="H292" i="56" s="1"/>
  <c r="BD292" i="56" a="1"/>
  <c r="BD292" i="56" s="1"/>
  <c r="C292" i="56" s="1"/>
  <c r="BE292" i="56" s="1"/>
  <c r="Q292" i="56"/>
  <c r="EK292" i="56" s="1"/>
  <c r="BO292" i="56"/>
  <c r="BW292" i="56"/>
  <c r="CM292" i="56"/>
  <c r="J292" i="56" s="1"/>
  <c r="CN292" i="56" s="1"/>
  <c r="BU292" i="56"/>
  <c r="BQ292" i="56"/>
  <c r="BK292" i="56"/>
  <c r="IA244" i="56"/>
  <c r="IB244" i="56" s="1"/>
  <c r="FK244" i="56"/>
  <c r="BS244" i="56" s="1"/>
  <c r="EP244" i="56"/>
  <c r="CS244" i="56"/>
  <c r="I244" i="56" s="1"/>
  <c r="CT244" i="56" s="1"/>
  <c r="BW244" i="56"/>
  <c r="CX244" i="56"/>
  <c r="BJ244" i="56"/>
  <c r="Q244" i="56"/>
  <c r="EK244" i="56" s="1"/>
  <c r="BX244" i="56"/>
  <c r="BO244" i="56"/>
  <c r="CG244" i="56"/>
  <c r="CH244" i="56" s="1"/>
  <c r="H244" i="56" s="1"/>
  <c r="CL244" i="56"/>
  <c r="CI244" i="56"/>
  <c r="BQ244" i="56"/>
  <c r="CM244" i="56"/>
  <c r="J244" i="56" s="1"/>
  <c r="CN244" i="56" s="1"/>
  <c r="IA212" i="56"/>
  <c r="IB212" i="56" s="1"/>
  <c r="FK212" i="56"/>
  <c r="BS212" i="56" s="1"/>
  <c r="EP212" i="56"/>
  <c r="CX212" i="56"/>
  <c r="CS212" i="56"/>
  <c r="I212" i="56" s="1"/>
  <c r="CT212" i="56" s="1"/>
  <c r="CL212" i="56"/>
  <c r="CG212" i="56"/>
  <c r="CH212" i="56" s="1"/>
  <c r="H212" i="56" s="1"/>
  <c r="CM212" i="56"/>
  <c r="J212" i="56" s="1"/>
  <c r="CN212" i="56" s="1"/>
  <c r="CI212" i="56"/>
  <c r="BX212" i="56"/>
  <c r="BJ212" i="56"/>
  <c r="Q212" i="56"/>
  <c r="EK212" i="56" s="1"/>
  <c r="BW212" i="56"/>
  <c r="BD212" i="56" a="1"/>
  <c r="BD212" i="56" s="1"/>
  <c r="C212" i="56" s="1"/>
  <c r="BE212" i="56" s="1"/>
  <c r="BQ212" i="56"/>
  <c r="BK212" i="56"/>
  <c r="IA148" i="56"/>
  <c r="IB148" i="56" s="1"/>
  <c r="FK148" i="56"/>
  <c r="BS148" i="56" s="1"/>
  <c r="CX148" i="56"/>
  <c r="CM148" i="56"/>
  <c r="J148" i="56" s="1"/>
  <c r="CN148" i="56" s="1"/>
  <c r="CS148" i="56"/>
  <c r="I148" i="56" s="1"/>
  <c r="CT148" i="56" s="1"/>
  <c r="CI148" i="56"/>
  <c r="CL148" i="56"/>
  <c r="CG148" i="56"/>
  <c r="CH148" i="56" s="1"/>
  <c r="H148" i="56" s="1"/>
  <c r="CJ148" i="56" s="1"/>
  <c r="BX148" i="56"/>
  <c r="BJ148" i="56"/>
  <c r="Q148" i="56"/>
  <c r="EK148" i="56" s="1"/>
  <c r="BD148" i="56" a="1"/>
  <c r="BD148" i="56" s="1"/>
  <c r="BO148" i="56"/>
  <c r="BW148" i="56"/>
  <c r="IA84" i="56"/>
  <c r="IB84" i="56" s="1"/>
  <c r="FK84" i="56"/>
  <c r="CM84" i="56"/>
  <c r="J84" i="56" s="1"/>
  <c r="CN84" i="56" s="1"/>
  <c r="CS84" i="56"/>
  <c r="I84" i="56" s="1"/>
  <c r="CT84" i="56" s="1"/>
  <c r="BS84" i="56"/>
  <c r="CI84" i="56"/>
  <c r="BX84" i="56"/>
  <c r="CX84" i="56"/>
  <c r="BJ84" i="56"/>
  <c r="CG84" i="56"/>
  <c r="CH84" i="56" s="1"/>
  <c r="H84" i="56" s="1"/>
  <c r="CJ84" i="56" s="1"/>
  <c r="BU84" i="56"/>
  <c r="Q84" i="56"/>
  <c r="EK84" i="56" s="1"/>
  <c r="BD84" i="56" a="1"/>
  <c r="BD84" i="56" s="1"/>
  <c r="BW84" i="56"/>
  <c r="BQ84" i="56"/>
  <c r="BK84" i="56"/>
  <c r="IA20" i="56"/>
  <c r="IB20" i="56" s="1"/>
  <c r="FK20" i="56"/>
  <c r="EP20" i="56"/>
  <c r="CS20" i="56"/>
  <c r="I20" i="56" s="1"/>
  <c r="CT20" i="56" s="1"/>
  <c r="CM20" i="56"/>
  <c r="J20" i="56" s="1"/>
  <c r="CN20" i="56" s="1"/>
  <c r="CI20" i="56"/>
  <c r="CX20" i="56"/>
  <c r="BS20" i="56"/>
  <c r="BX20" i="56"/>
  <c r="BJ20" i="56"/>
  <c r="BU20" i="56"/>
  <c r="CG20" i="56"/>
  <c r="CH20" i="56" s="1"/>
  <c r="H20" i="56" s="1"/>
  <c r="CJ20" i="56" s="1"/>
  <c r="CL20" i="56"/>
  <c r="Q20" i="56"/>
  <c r="EK20" i="56" s="1"/>
  <c r="BO20" i="56"/>
  <c r="BA338" i="56"/>
  <c r="BB338" i="56" s="1"/>
  <c r="AZ338" i="56"/>
  <c r="BA306" i="56"/>
  <c r="BB306" i="56" s="1"/>
  <c r="AZ306" i="56"/>
  <c r="BA194" i="56"/>
  <c r="BB194" i="56" s="1"/>
  <c r="AZ194" i="56"/>
  <c r="BA34" i="56"/>
  <c r="BB34" i="56" s="1"/>
  <c r="AZ34" i="56"/>
  <c r="HD324" i="56"/>
  <c r="GB324" i="56"/>
  <c r="HD293" i="56"/>
  <c r="GB293" i="56"/>
  <c r="HD263" i="56"/>
  <c r="GB263" i="56"/>
  <c r="HD139" i="56"/>
  <c r="GB139" i="56"/>
  <c r="HD75" i="56"/>
  <c r="GB75" i="56"/>
  <c r="IA323" i="56"/>
  <c r="IB323" i="56" s="1"/>
  <c r="FK323" i="56"/>
  <c r="BS323" i="56" s="1"/>
  <c r="CX323" i="56"/>
  <c r="CI323" i="56"/>
  <c r="CS323" i="56"/>
  <c r="I323" i="56" s="1"/>
  <c r="CT323" i="56" s="1"/>
  <c r="CM323" i="56"/>
  <c r="J323" i="56" s="1"/>
  <c r="CN323" i="56" s="1"/>
  <c r="CG323" i="56"/>
  <c r="CH323" i="56" s="1"/>
  <c r="H323" i="56" s="1"/>
  <c r="BK323" i="56"/>
  <c r="BX323" i="56"/>
  <c r="BU323" i="56"/>
  <c r="BO323" i="56"/>
  <c r="CL323" i="56"/>
  <c r="IA243" i="56"/>
  <c r="IB243" i="56" s="1"/>
  <c r="FK243" i="56"/>
  <c r="EP243" i="56"/>
  <c r="CX243" i="56"/>
  <c r="CS243" i="56"/>
  <c r="I243" i="56" s="1"/>
  <c r="CT243" i="56" s="1"/>
  <c r="CG243" i="56"/>
  <c r="CH243" i="56" s="1"/>
  <c r="H243" i="56" s="1"/>
  <c r="CJ243" i="56" s="1"/>
  <c r="CM243" i="56"/>
  <c r="J243" i="56" s="1"/>
  <c r="CN243" i="56" s="1"/>
  <c r="BS243" i="56"/>
  <c r="CI243" i="56"/>
  <c r="CL243" i="56"/>
  <c r="BK243" i="56"/>
  <c r="BW243" i="56"/>
  <c r="BX243" i="56"/>
  <c r="BO243" i="56"/>
  <c r="BJ243" i="56"/>
  <c r="BL243" i="56" s="1"/>
  <c r="BU243" i="56"/>
  <c r="IA163" i="56"/>
  <c r="IB163" i="56" s="1"/>
  <c r="FK163" i="56"/>
  <c r="BS163" i="56" s="1"/>
  <c r="EP163" i="56"/>
  <c r="CX163" i="56"/>
  <c r="CI163" i="56"/>
  <c r="CG163" i="56"/>
  <c r="CH163" i="56" s="1"/>
  <c r="H163" i="56" s="1"/>
  <c r="CS163" i="56"/>
  <c r="I163" i="56" s="1"/>
  <c r="CT163" i="56" s="1"/>
  <c r="CL163" i="56"/>
  <c r="CM163" i="56"/>
  <c r="J163" i="56" s="1"/>
  <c r="CN163" i="56" s="1"/>
  <c r="BK163" i="56"/>
  <c r="BW163" i="56"/>
  <c r="BU163" i="56"/>
  <c r="BX163" i="56"/>
  <c r="BO163" i="56"/>
  <c r="IA115" i="56"/>
  <c r="IB115" i="56" s="1"/>
  <c r="FK115" i="56"/>
  <c r="CX115" i="56"/>
  <c r="CG115" i="56"/>
  <c r="CH115" i="56" s="1"/>
  <c r="H115" i="56" s="1"/>
  <c r="BS115" i="56"/>
  <c r="CS115" i="56"/>
  <c r="I115" i="56" s="1"/>
  <c r="CT115" i="56" s="1"/>
  <c r="CM115" i="56"/>
  <c r="J115" i="56" s="1"/>
  <c r="CN115" i="56" s="1"/>
  <c r="CI115" i="56"/>
  <c r="CL115" i="56"/>
  <c r="BW115" i="56"/>
  <c r="BK115" i="56"/>
  <c r="BO115" i="56"/>
  <c r="BX115" i="56"/>
  <c r="IA51" i="56"/>
  <c r="IB51" i="56" s="1"/>
  <c r="FK51" i="56"/>
  <c r="BS51" i="56" s="1"/>
  <c r="EP51" i="56"/>
  <c r="DV51" i="56"/>
  <c r="CS51" i="56"/>
  <c r="I51" i="56" s="1"/>
  <c r="CT51" i="56" s="1"/>
  <c r="CL51" i="56"/>
  <c r="CI51" i="56"/>
  <c r="CM51" i="56"/>
  <c r="J51" i="56" s="1"/>
  <c r="CN51" i="56" s="1"/>
  <c r="CG51" i="56"/>
  <c r="CH51" i="56" s="1"/>
  <c r="H51" i="56" s="1"/>
  <c r="BX51" i="56"/>
  <c r="CX51" i="56"/>
  <c r="BW51" i="56"/>
  <c r="BK51" i="56"/>
  <c r="BJ51" i="56"/>
  <c r="BO51" i="56"/>
  <c r="BU51" i="56"/>
  <c r="BA337" i="56"/>
  <c r="BB337" i="56" s="1"/>
  <c r="AZ337" i="56"/>
  <c r="GB323" i="56"/>
  <c r="HD323" i="56"/>
  <c r="HD179" i="56"/>
  <c r="GB179" i="56"/>
  <c r="IA306" i="56"/>
  <c r="IB306" i="56" s="1"/>
  <c r="FK306" i="56"/>
  <c r="EP306" i="56"/>
  <c r="CX306" i="56"/>
  <c r="CI306" i="56"/>
  <c r="CL306" i="56"/>
  <c r="CM306" i="56"/>
  <c r="J306" i="56" s="1"/>
  <c r="CN306" i="56" s="1"/>
  <c r="CG306" i="56"/>
  <c r="CH306" i="56" s="1"/>
  <c r="H306" i="56" s="1"/>
  <c r="CS306" i="56"/>
  <c r="I306" i="56" s="1"/>
  <c r="CT306" i="56" s="1"/>
  <c r="BU306" i="56"/>
  <c r="BK306" i="56"/>
  <c r="BS306" i="56"/>
  <c r="BJ306" i="56"/>
  <c r="BX306" i="56"/>
  <c r="BW306" i="56"/>
  <c r="BO306" i="56"/>
  <c r="IA178" i="56"/>
  <c r="IB178" i="56" s="1"/>
  <c r="FK178" i="56"/>
  <c r="EP178" i="56"/>
  <c r="CX178" i="56"/>
  <c r="CI178" i="56"/>
  <c r="CL178" i="56"/>
  <c r="CG178" i="56"/>
  <c r="CH178" i="56" s="1"/>
  <c r="H178" i="56" s="1"/>
  <c r="BU178" i="56"/>
  <c r="BW178" i="56"/>
  <c r="BK178" i="56"/>
  <c r="CM178" i="56"/>
  <c r="J178" i="56" s="1"/>
  <c r="CN178" i="56" s="1"/>
  <c r="BJ178" i="56"/>
  <c r="CS178" i="56"/>
  <c r="I178" i="56" s="1"/>
  <c r="CT178" i="56" s="1"/>
  <c r="BS178" i="56"/>
  <c r="BO178" i="56"/>
  <c r="BX178" i="56"/>
  <c r="IA66" i="56"/>
  <c r="IB66" i="56" s="1"/>
  <c r="FK66" i="56"/>
  <c r="BS66" i="56" s="1"/>
  <c r="DV66" i="56"/>
  <c r="CX66" i="56"/>
  <c r="CS66" i="56"/>
  <c r="I66" i="56" s="1"/>
  <c r="CT66" i="56" s="1"/>
  <c r="CM66" i="56"/>
  <c r="J66" i="56" s="1"/>
  <c r="CN66" i="56" s="1"/>
  <c r="CL66" i="56"/>
  <c r="BX66" i="56"/>
  <c r="BU66" i="56"/>
  <c r="BK66" i="56"/>
  <c r="BW66" i="56"/>
  <c r="BO66" i="56"/>
  <c r="CG66" i="56"/>
  <c r="CH66" i="56" s="1"/>
  <c r="H66" i="56" s="1"/>
  <c r="BA320" i="56"/>
  <c r="BB320" i="56" s="1"/>
  <c r="BD320" i="56" s="1" a="1"/>
  <c r="BD320" i="56" s="1"/>
  <c r="C320" i="56" s="1"/>
  <c r="BE320" i="56" s="1"/>
  <c r="AZ320" i="56"/>
  <c r="BA176" i="56"/>
  <c r="BB176" i="56" s="1"/>
  <c r="BD176" i="56" s="1" a="1"/>
  <c r="BD176" i="56" s="1"/>
  <c r="C176" i="56" s="1"/>
  <c r="BE176" i="56" s="1"/>
  <c r="AZ176" i="56"/>
  <c r="BA32" i="56"/>
  <c r="BB32" i="56" s="1"/>
  <c r="BD32" i="56" s="1" a="1"/>
  <c r="BD32" i="56" s="1"/>
  <c r="C32" i="56" s="1"/>
  <c r="BE32" i="56" s="1"/>
  <c r="AZ32" i="56"/>
  <c r="Q32" i="56" s="1"/>
  <c r="Q147" i="56"/>
  <c r="EK147" i="56" s="1"/>
  <c r="EK122" i="56"/>
  <c r="EK65" i="56"/>
  <c r="T334" i="56"/>
  <c r="HD332" i="56"/>
  <c r="GB332" i="56"/>
  <c r="HD312" i="56"/>
  <c r="GB312" i="56"/>
  <c r="HD292" i="56"/>
  <c r="GB292" i="56"/>
  <c r="HD272" i="56"/>
  <c r="GB272" i="56"/>
  <c r="HD261" i="56"/>
  <c r="GB261" i="56"/>
  <c r="HD229" i="56"/>
  <c r="GB229" i="56"/>
  <c r="HD198" i="56"/>
  <c r="GB198" i="56"/>
  <c r="HD188" i="56"/>
  <c r="GB188" i="56"/>
  <c r="HD168" i="56"/>
  <c r="GB168" i="56"/>
  <c r="HD158" i="56"/>
  <c r="GB158" i="56"/>
  <c r="HD105" i="56"/>
  <c r="GB105" i="56"/>
  <c r="HD94" i="56"/>
  <c r="GB94" i="56"/>
  <c r="HD84" i="56"/>
  <c r="GB84" i="56"/>
  <c r="HD24" i="56"/>
  <c r="GB24" i="56"/>
  <c r="IA337" i="56"/>
  <c r="IB337" i="56" s="1"/>
  <c r="EP337" i="56"/>
  <c r="DV337" i="56"/>
  <c r="CX337" i="56"/>
  <c r="CM337" i="56"/>
  <c r="J337" i="56" s="1"/>
  <c r="CN337" i="56" s="1"/>
  <c r="CL337" i="56"/>
  <c r="CG337" i="56"/>
  <c r="CH337" i="56" s="1"/>
  <c r="H337" i="56" s="1"/>
  <c r="CI337" i="56"/>
  <c r="BX337" i="56"/>
  <c r="BS337" i="56"/>
  <c r="BU337" i="56"/>
  <c r="CS337" i="56"/>
  <c r="I337" i="56" s="1"/>
  <c r="CT337" i="56" s="1"/>
  <c r="BW337" i="56"/>
  <c r="BJ337" i="56"/>
  <c r="IA321" i="56"/>
  <c r="IB321" i="56" s="1"/>
  <c r="FK321" i="56"/>
  <c r="CX321" i="56"/>
  <c r="CS321" i="56"/>
  <c r="I321" i="56" s="1"/>
  <c r="CT321" i="56" s="1"/>
  <c r="CM321" i="56"/>
  <c r="J321" i="56" s="1"/>
  <c r="CN321" i="56" s="1"/>
  <c r="BX321" i="56"/>
  <c r="CL321" i="56"/>
  <c r="BS321" i="56"/>
  <c r="BO321" i="56"/>
  <c r="BU321" i="56"/>
  <c r="CI321" i="56"/>
  <c r="CG321" i="56"/>
  <c r="CH321" i="56" s="1"/>
  <c r="H321" i="56" s="1"/>
  <c r="CJ321" i="56" s="1"/>
  <c r="BJ321" i="56"/>
  <c r="IA305" i="56"/>
  <c r="IB305" i="56" s="1"/>
  <c r="FK305" i="56"/>
  <c r="EP305" i="56"/>
  <c r="CS305" i="56"/>
  <c r="I305" i="56" s="1"/>
  <c r="CT305" i="56" s="1"/>
  <c r="CX305" i="56"/>
  <c r="CI305" i="56"/>
  <c r="CM305" i="56"/>
  <c r="J305" i="56" s="1"/>
  <c r="CN305" i="56" s="1"/>
  <c r="CG305" i="56"/>
  <c r="CH305" i="56" s="1"/>
  <c r="H305" i="56" s="1"/>
  <c r="BX305" i="56"/>
  <c r="BW305" i="56"/>
  <c r="BS305" i="56"/>
  <c r="CL305" i="56"/>
  <c r="BK305" i="56"/>
  <c r="BO305" i="56"/>
  <c r="IA289" i="56"/>
  <c r="IB289" i="56" s="1"/>
  <c r="FK289" i="56"/>
  <c r="BS289" i="56" s="1"/>
  <c r="EP289" i="56"/>
  <c r="CX289" i="56"/>
  <c r="CS289" i="56"/>
  <c r="I289" i="56" s="1"/>
  <c r="CT289" i="56" s="1"/>
  <c r="CL289" i="56"/>
  <c r="CM289" i="56"/>
  <c r="J289" i="56" s="1"/>
  <c r="CN289" i="56" s="1"/>
  <c r="CG289" i="56"/>
  <c r="CH289" i="56" s="1"/>
  <c r="H289" i="56" s="1"/>
  <c r="CJ289" i="56" s="1"/>
  <c r="CI289" i="56"/>
  <c r="BW289" i="56"/>
  <c r="BX289" i="56"/>
  <c r="BU289" i="56"/>
  <c r="BJ289" i="56"/>
  <c r="BK289" i="56"/>
  <c r="IA273" i="56"/>
  <c r="IB273" i="56" s="1"/>
  <c r="FK273" i="56"/>
  <c r="BS273" i="56" s="1"/>
  <c r="EP273" i="56"/>
  <c r="CS273" i="56"/>
  <c r="I273" i="56" s="1"/>
  <c r="CT273" i="56" s="1"/>
  <c r="CX273" i="56"/>
  <c r="CL273" i="56"/>
  <c r="BX273" i="56"/>
  <c r="CM273" i="56"/>
  <c r="J273" i="56" s="1"/>
  <c r="CN273" i="56" s="1"/>
  <c r="BO273" i="56"/>
  <c r="BJ273" i="56"/>
  <c r="BW273" i="56"/>
  <c r="CI273" i="56"/>
  <c r="CG273" i="56"/>
  <c r="CH273" i="56" s="1"/>
  <c r="H273" i="56" s="1"/>
  <c r="IA257" i="56"/>
  <c r="IB257" i="56" s="1"/>
  <c r="FK257" i="56"/>
  <c r="BS257" i="56" s="1"/>
  <c r="EP257" i="56"/>
  <c r="CX257" i="56"/>
  <c r="CM257" i="56"/>
  <c r="J257" i="56" s="1"/>
  <c r="CN257" i="56" s="1"/>
  <c r="CI257" i="56"/>
  <c r="CL257" i="56"/>
  <c r="CG257" i="56"/>
  <c r="CH257" i="56" s="1"/>
  <c r="H257" i="56" s="1"/>
  <c r="BX257" i="56"/>
  <c r="CS257" i="56"/>
  <c r="I257" i="56" s="1"/>
  <c r="CT257" i="56" s="1"/>
  <c r="BU257" i="56"/>
  <c r="BK257" i="56"/>
  <c r="BW257" i="56"/>
  <c r="BO257" i="56"/>
  <c r="IA241" i="56"/>
  <c r="IB241" i="56" s="1"/>
  <c r="FK241" i="56"/>
  <c r="EP241" i="56"/>
  <c r="DV241" i="56"/>
  <c r="CM241" i="56"/>
  <c r="J241" i="56" s="1"/>
  <c r="CN241" i="56" s="1"/>
  <c r="CX241" i="56"/>
  <c r="CI241" i="56"/>
  <c r="CL241" i="56"/>
  <c r="BW241" i="56"/>
  <c r="BX241" i="56"/>
  <c r="BU241" i="56"/>
  <c r="BO241" i="56"/>
  <c r="BJ241" i="56"/>
  <c r="CG241" i="56"/>
  <c r="CH241" i="56" s="1"/>
  <c r="H241" i="56" s="1"/>
  <c r="BS241" i="56"/>
  <c r="BK241" i="56"/>
  <c r="IA225" i="56"/>
  <c r="IB225" i="56" s="1"/>
  <c r="FK225" i="56"/>
  <c r="BS225" i="56" s="1"/>
  <c r="EP225" i="56"/>
  <c r="DV225" i="56"/>
  <c r="CS225" i="56"/>
  <c r="I225" i="56" s="1"/>
  <c r="CT225" i="56" s="1"/>
  <c r="CL225" i="56"/>
  <c r="CG225" i="56"/>
  <c r="CH225" i="56" s="1"/>
  <c r="H225" i="56" s="1"/>
  <c r="CX225" i="56"/>
  <c r="CI225" i="56"/>
  <c r="BW225" i="56"/>
  <c r="BK225" i="56"/>
  <c r="BU225" i="56"/>
  <c r="BO225" i="56"/>
  <c r="BJ225" i="56"/>
  <c r="CM225" i="56"/>
  <c r="J225" i="56" s="1"/>
  <c r="CN225" i="56" s="1"/>
  <c r="BX225" i="56"/>
  <c r="IA209" i="56"/>
  <c r="IB209" i="56" s="1"/>
  <c r="FK209" i="56"/>
  <c r="BS209" i="56" s="1"/>
  <c r="EP209" i="56"/>
  <c r="CL209" i="56"/>
  <c r="CG209" i="56"/>
  <c r="CH209" i="56" s="1"/>
  <c r="H209" i="56" s="1"/>
  <c r="CJ209" i="56" s="1"/>
  <c r="CM209" i="56"/>
  <c r="J209" i="56" s="1"/>
  <c r="CN209" i="56" s="1"/>
  <c r="CI209" i="56"/>
  <c r="BX209" i="56"/>
  <c r="CS209" i="56"/>
  <c r="I209" i="56" s="1"/>
  <c r="CT209" i="56" s="1"/>
  <c r="CX209" i="56"/>
  <c r="BU209" i="56"/>
  <c r="BW209" i="56"/>
  <c r="IA193" i="56"/>
  <c r="IB193" i="56" s="1"/>
  <c r="FK193" i="56"/>
  <c r="BS193" i="56" s="1"/>
  <c r="EP193" i="56"/>
  <c r="CS193" i="56"/>
  <c r="I193" i="56" s="1"/>
  <c r="CT193" i="56" s="1"/>
  <c r="CL193" i="56"/>
  <c r="BW193" i="56"/>
  <c r="CX193" i="56"/>
  <c r="CM193" i="56"/>
  <c r="J193" i="56" s="1"/>
  <c r="CN193" i="56" s="1"/>
  <c r="CG193" i="56"/>
  <c r="CH193" i="56" s="1"/>
  <c r="H193" i="56" s="1"/>
  <c r="BX193" i="56"/>
  <c r="CI193" i="56"/>
  <c r="BO193" i="56"/>
  <c r="BJ193" i="56"/>
  <c r="BU193" i="56"/>
  <c r="IA177" i="56"/>
  <c r="IB177" i="56" s="1"/>
  <c r="FK177" i="56"/>
  <c r="EP177" i="56"/>
  <c r="CX177" i="56"/>
  <c r="CI177" i="56"/>
  <c r="CG177" i="56"/>
  <c r="CH177" i="56" s="1"/>
  <c r="H177" i="56" s="1"/>
  <c r="BW177" i="56"/>
  <c r="CM177" i="56"/>
  <c r="J177" i="56" s="1"/>
  <c r="CN177" i="56" s="1"/>
  <c r="BU177" i="56"/>
  <c r="CS177" i="56"/>
  <c r="I177" i="56" s="1"/>
  <c r="CT177" i="56" s="1"/>
  <c r="BX177" i="56"/>
  <c r="CL177" i="56"/>
  <c r="BK177" i="56"/>
  <c r="BL177" i="56" s="1"/>
  <c r="BJ177" i="56"/>
  <c r="BS177" i="56"/>
  <c r="BO177" i="56"/>
  <c r="IA161" i="56"/>
  <c r="IB161" i="56" s="1"/>
  <c r="FK161" i="56"/>
  <c r="BS161" i="56" s="1"/>
  <c r="EP161" i="56"/>
  <c r="CS161" i="56"/>
  <c r="I161" i="56" s="1"/>
  <c r="CT161" i="56" s="1"/>
  <c r="CM161" i="56"/>
  <c r="J161" i="56" s="1"/>
  <c r="CN161" i="56" s="1"/>
  <c r="CG161" i="56"/>
  <c r="CH161" i="56" s="1"/>
  <c r="H161" i="56" s="1"/>
  <c r="CI161" i="56"/>
  <c r="CL161" i="56"/>
  <c r="BW161" i="56"/>
  <c r="BU161" i="56"/>
  <c r="BX161" i="56"/>
  <c r="BK161" i="56"/>
  <c r="BL161" i="56" s="1"/>
  <c r="CX161" i="56"/>
  <c r="IA145" i="56"/>
  <c r="IB145" i="56" s="1"/>
  <c r="FK145" i="56"/>
  <c r="BS145" i="56" s="1"/>
  <c r="CX145" i="56"/>
  <c r="CS145" i="56"/>
  <c r="I145" i="56" s="1"/>
  <c r="CT145" i="56" s="1"/>
  <c r="CM145" i="56"/>
  <c r="J145" i="56" s="1"/>
  <c r="CN145" i="56" s="1"/>
  <c r="CL145" i="56"/>
  <c r="BW145" i="56"/>
  <c r="BX145" i="56"/>
  <c r="BJ145" i="56"/>
  <c r="BO145" i="56"/>
  <c r="CI145" i="56"/>
  <c r="CG145" i="56"/>
  <c r="CH145" i="56" s="1"/>
  <c r="H145" i="56" s="1"/>
  <c r="CJ145" i="56" s="1"/>
  <c r="BU145" i="56"/>
  <c r="IA129" i="56"/>
  <c r="IB129" i="56" s="1"/>
  <c r="FK129" i="56"/>
  <c r="BS129" i="56" s="1"/>
  <c r="CM129" i="56"/>
  <c r="J129" i="56" s="1"/>
  <c r="CN129" i="56" s="1"/>
  <c r="CI129" i="56"/>
  <c r="CG129" i="56"/>
  <c r="CH129" i="56" s="1"/>
  <c r="H129" i="56" s="1"/>
  <c r="CX129" i="56"/>
  <c r="CS129" i="56"/>
  <c r="I129" i="56" s="1"/>
  <c r="CT129" i="56" s="1"/>
  <c r="CL129" i="56"/>
  <c r="BX129" i="56"/>
  <c r="BU129" i="56"/>
  <c r="BK129" i="56"/>
  <c r="BW129" i="56"/>
  <c r="BO129" i="56"/>
  <c r="IA113" i="56"/>
  <c r="IB113" i="56" s="1"/>
  <c r="FK113" i="56"/>
  <c r="BS113" i="56" s="1"/>
  <c r="CX113" i="56"/>
  <c r="CM113" i="56"/>
  <c r="J113" i="56" s="1"/>
  <c r="CN113" i="56" s="1"/>
  <c r="DV113" i="56"/>
  <c r="CS113" i="56"/>
  <c r="I113" i="56" s="1"/>
  <c r="CT113" i="56" s="1"/>
  <c r="CI113" i="56"/>
  <c r="CL113" i="56"/>
  <c r="CG113" i="56"/>
  <c r="CH113" i="56" s="1"/>
  <c r="H113" i="56" s="1"/>
  <c r="BW113" i="56"/>
  <c r="BX113" i="56"/>
  <c r="BO113" i="56"/>
  <c r="BK113" i="56"/>
  <c r="BU113" i="56"/>
  <c r="IA97" i="56"/>
  <c r="IB97" i="56" s="1"/>
  <c r="FK97" i="56"/>
  <c r="BS97" i="56" s="1"/>
  <c r="DV97" i="56"/>
  <c r="CX97" i="56"/>
  <c r="CG97" i="56"/>
  <c r="CH97" i="56" s="1"/>
  <c r="H97" i="56" s="1"/>
  <c r="CI97" i="56"/>
  <c r="CM97" i="56"/>
  <c r="J97" i="56" s="1"/>
  <c r="CN97" i="56" s="1"/>
  <c r="BU97" i="56"/>
  <c r="BK97" i="56"/>
  <c r="BJ97" i="56"/>
  <c r="CL97" i="56"/>
  <c r="BX97" i="56"/>
  <c r="CS97" i="56"/>
  <c r="I97" i="56" s="1"/>
  <c r="CT97" i="56" s="1"/>
  <c r="BO97" i="56"/>
  <c r="BW97" i="56"/>
  <c r="IA81" i="56"/>
  <c r="IB81" i="56" s="1"/>
  <c r="FK81" i="56"/>
  <c r="BS81" i="56" s="1"/>
  <c r="DV81" i="56"/>
  <c r="CS81" i="56"/>
  <c r="I81" i="56" s="1"/>
  <c r="CT81" i="56" s="1"/>
  <c r="CM81" i="56"/>
  <c r="J81" i="56" s="1"/>
  <c r="CN81" i="56" s="1"/>
  <c r="BX81" i="56"/>
  <c r="CX81" i="56"/>
  <c r="CG81" i="56"/>
  <c r="CH81" i="56" s="1"/>
  <c r="H81" i="56" s="1"/>
  <c r="CJ81" i="56" s="1"/>
  <c r="CL81" i="56"/>
  <c r="BU81" i="56"/>
  <c r="CI81" i="56"/>
  <c r="BW81" i="56"/>
  <c r="BJ81" i="56"/>
  <c r="IA65" i="56"/>
  <c r="IB65" i="56" s="1"/>
  <c r="FK65" i="56"/>
  <c r="DV65" i="56"/>
  <c r="CX65" i="56"/>
  <c r="CM65" i="56"/>
  <c r="J65" i="56" s="1"/>
  <c r="CN65" i="56" s="1"/>
  <c r="BX65" i="56"/>
  <c r="CS65" i="56"/>
  <c r="I65" i="56" s="1"/>
  <c r="CT65" i="56" s="1"/>
  <c r="CL65" i="56"/>
  <c r="BS65" i="56"/>
  <c r="BU65" i="56"/>
  <c r="BO65" i="56"/>
  <c r="BJ65" i="56"/>
  <c r="CG65" i="56"/>
  <c r="CH65" i="56" s="1"/>
  <c r="H65" i="56" s="1"/>
  <c r="CI65" i="56"/>
  <c r="IA49" i="56"/>
  <c r="IB49" i="56" s="1"/>
  <c r="FK49" i="56"/>
  <c r="EP49" i="56"/>
  <c r="DV49" i="56"/>
  <c r="CS49" i="56"/>
  <c r="I49" i="56" s="1"/>
  <c r="CT49" i="56" s="1"/>
  <c r="CX49" i="56"/>
  <c r="CM49" i="56"/>
  <c r="J49" i="56" s="1"/>
  <c r="CN49" i="56" s="1"/>
  <c r="CL49" i="56"/>
  <c r="CG49" i="56"/>
  <c r="CH49" i="56" s="1"/>
  <c r="H49" i="56" s="1"/>
  <c r="BX49" i="56"/>
  <c r="BW49" i="56"/>
  <c r="CI49" i="56"/>
  <c r="BS49" i="56"/>
  <c r="BK49" i="56"/>
  <c r="BO49" i="56"/>
  <c r="BU49" i="56"/>
  <c r="IA33" i="56"/>
  <c r="IB33" i="56" s="1"/>
  <c r="FK33" i="56"/>
  <c r="EP33" i="56"/>
  <c r="CS33" i="56"/>
  <c r="I33" i="56" s="1"/>
  <c r="CT33" i="56" s="1"/>
  <c r="CL33" i="56"/>
  <c r="CI33" i="56"/>
  <c r="CM33" i="56"/>
  <c r="J33" i="56" s="1"/>
  <c r="CN33" i="56" s="1"/>
  <c r="CG33" i="56"/>
  <c r="CH33" i="56" s="1"/>
  <c r="H33" i="56" s="1"/>
  <c r="CJ33" i="56" s="1"/>
  <c r="BS33" i="56"/>
  <c r="BW33" i="56"/>
  <c r="BU33" i="56"/>
  <c r="CX33" i="56"/>
  <c r="BJ33" i="56"/>
  <c r="BK33" i="56"/>
  <c r="BX33" i="56"/>
  <c r="IA17" i="56"/>
  <c r="IB17" i="56" s="1"/>
  <c r="FK17" i="56"/>
  <c r="BS17" i="56" s="1"/>
  <c r="DV17" i="56"/>
  <c r="CS17" i="56"/>
  <c r="I17" i="56" s="1"/>
  <c r="CT17" i="56" s="1"/>
  <c r="CX17" i="56"/>
  <c r="CI17" i="56"/>
  <c r="CM17" i="56"/>
  <c r="J17" i="56" s="1"/>
  <c r="CN17" i="56" s="1"/>
  <c r="CL17" i="56"/>
  <c r="CG17" i="56"/>
  <c r="CH17" i="56" s="1"/>
  <c r="H17" i="56" s="1"/>
  <c r="CJ17" i="56" s="1"/>
  <c r="BX17" i="56"/>
  <c r="BO17" i="56"/>
  <c r="BJ17" i="56"/>
  <c r="BU17" i="56"/>
  <c r="BW17" i="56"/>
  <c r="BA319" i="56"/>
  <c r="BB319" i="56" s="1"/>
  <c r="BD319" i="56" s="1" a="1"/>
  <c r="BD319" i="56" s="1"/>
  <c r="C319" i="56" s="1"/>
  <c r="BE319" i="56" s="1"/>
  <c r="AZ319" i="56"/>
  <c r="Q319" i="56" s="1"/>
  <c r="EK319" i="56" s="1"/>
  <c r="BA303" i="56"/>
  <c r="BB303" i="56" s="1"/>
  <c r="BD303" i="56" s="1" a="1"/>
  <c r="BD303" i="56" s="1"/>
  <c r="C303" i="56" s="1"/>
  <c r="BE303" i="56" s="1"/>
  <c r="AZ303" i="56"/>
  <c r="Q303" i="56" s="1"/>
  <c r="EK303" i="56" s="1"/>
  <c r="BA255" i="56"/>
  <c r="BB255" i="56" s="1"/>
  <c r="BD255" i="56" s="1" a="1"/>
  <c r="BD255" i="56" s="1"/>
  <c r="C255" i="56" s="1"/>
  <c r="BE255" i="56" s="1"/>
  <c r="AZ255" i="56"/>
  <c r="Q255" i="56" s="1"/>
  <c r="EK255" i="56" s="1"/>
  <c r="BA191" i="56"/>
  <c r="BB191" i="56" s="1"/>
  <c r="BD191" i="56" s="1" a="1"/>
  <c r="BD191" i="56" s="1"/>
  <c r="C191" i="56" s="1"/>
  <c r="BE191" i="56" s="1"/>
  <c r="AZ191" i="56"/>
  <c r="Q191" i="56" s="1"/>
  <c r="EK191" i="56" s="1"/>
  <c r="BA175" i="56"/>
  <c r="BB175" i="56" s="1"/>
  <c r="BD175" i="56" s="1" a="1"/>
  <c r="BD175" i="56" s="1"/>
  <c r="C175" i="56" s="1"/>
  <c r="BE175" i="56" s="1"/>
  <c r="AZ175" i="56"/>
  <c r="Q175" i="56" s="1"/>
  <c r="EK175" i="56" s="1"/>
  <c r="BA127" i="56"/>
  <c r="BB127" i="56" s="1"/>
  <c r="BD127" i="56" s="1" a="1"/>
  <c r="BD127" i="56" s="1"/>
  <c r="AZ127" i="56"/>
  <c r="Q127" i="56" s="1"/>
  <c r="EK127" i="56" s="1"/>
  <c r="BA63" i="56"/>
  <c r="BB63" i="56" s="1"/>
  <c r="AZ63" i="56"/>
  <c r="BA47" i="56"/>
  <c r="BB47" i="56" s="1"/>
  <c r="BD47" i="56" s="1" a="1"/>
  <c r="BD47" i="56" s="1"/>
  <c r="C47" i="56" s="1"/>
  <c r="BE47" i="56" s="1"/>
  <c r="AZ47" i="56"/>
  <c r="Q47" i="56" s="1"/>
  <c r="EK47" i="56" s="1"/>
  <c r="AZ110" i="56"/>
  <c r="Q110" i="56" s="1"/>
  <c r="EK110" i="56" s="1"/>
  <c r="BA289" i="56"/>
  <c r="BB289" i="56" s="1"/>
  <c r="BD289" i="56" s="1" a="1"/>
  <c r="BD289" i="56" s="1"/>
  <c r="C289" i="56" s="1"/>
  <c r="BE289" i="56" s="1"/>
  <c r="BA161" i="56"/>
  <c r="BB161" i="56" s="1"/>
  <c r="BA33" i="56"/>
  <c r="BB33" i="56" s="1"/>
  <c r="BJ209" i="56"/>
  <c r="BL209" i="56" s="1"/>
  <c r="BJ163" i="56"/>
  <c r="BK337" i="56"/>
  <c r="BY200" i="56" a="1"/>
  <c r="BY200" i="56" s="1"/>
  <c r="DU200" i="56" s="1"/>
  <c r="BK148" i="56"/>
  <c r="BQ226" i="56"/>
  <c r="GA348" i="56"/>
  <c r="DT348" i="56"/>
  <c r="GA332" i="56"/>
  <c r="DT332" i="56"/>
  <c r="GA316" i="56"/>
  <c r="DT316" i="56"/>
  <c r="GA300" i="56"/>
  <c r="DT300" i="56"/>
  <c r="GA284" i="56"/>
  <c r="DT284" i="56"/>
  <c r="GA268" i="56"/>
  <c r="DT268" i="56"/>
  <c r="CV268" i="56"/>
  <c r="GA252" i="56"/>
  <c r="DT252" i="56"/>
  <c r="GA236" i="56"/>
  <c r="DT236" i="56"/>
  <c r="GA220" i="56"/>
  <c r="DT220" i="56"/>
  <c r="CV220" i="56"/>
  <c r="GA204" i="56"/>
  <c r="DT204" i="56"/>
  <c r="CV204" i="56"/>
  <c r="GA188" i="56"/>
  <c r="DT188" i="56"/>
  <c r="GA172" i="56"/>
  <c r="DT172" i="56"/>
  <c r="GA156" i="56"/>
  <c r="DT156" i="56"/>
  <c r="CV156" i="56"/>
  <c r="GA140" i="56"/>
  <c r="DT140" i="56"/>
  <c r="CV140" i="56"/>
  <c r="GA124" i="56"/>
  <c r="DT124" i="56"/>
  <c r="CV124" i="56"/>
  <c r="GA108" i="56"/>
  <c r="DT108" i="56"/>
  <c r="GA92" i="56"/>
  <c r="DT92" i="56"/>
  <c r="GA76" i="56"/>
  <c r="DT76" i="56"/>
  <c r="CV76" i="56"/>
  <c r="GA60" i="56"/>
  <c r="DT60" i="56"/>
  <c r="GA44" i="56"/>
  <c r="DT44" i="56"/>
  <c r="CV44" i="56"/>
  <c r="GA11" i="56"/>
  <c r="DT11" i="56"/>
  <c r="BU212" i="56"/>
  <c r="DJ44" i="56"/>
  <c r="FH86" i="56"/>
  <c r="FG86" i="56" a="1"/>
  <c r="FG86" i="56" s="1"/>
  <c r="CB340" i="56"/>
  <c r="CC340" i="56"/>
  <c r="CE340" i="56"/>
  <c r="CF340" i="56"/>
  <c r="CA341" i="56"/>
  <c r="CD340" i="56"/>
  <c r="CB324" i="56"/>
  <c r="CE324" i="56"/>
  <c r="CD324" i="56"/>
  <c r="CA325" i="56"/>
  <c r="CF324" i="56"/>
  <c r="CC324" i="56"/>
  <c r="CB308" i="56"/>
  <c r="CF308" i="56"/>
  <c r="CD308" i="56"/>
  <c r="CV308" i="56" s="1"/>
  <c r="CE308" i="56"/>
  <c r="CA309" i="56"/>
  <c r="CC308" i="56"/>
  <c r="CB292" i="56"/>
  <c r="CF292" i="56"/>
  <c r="CD292" i="56"/>
  <c r="CA293" i="56"/>
  <c r="CC292" i="56"/>
  <c r="CB276" i="56"/>
  <c r="CC276" i="56"/>
  <c r="CE276" i="56"/>
  <c r="CA277" i="56"/>
  <c r="CF276" i="56"/>
  <c r="CD276" i="56"/>
  <c r="CB260" i="56"/>
  <c r="CC260" i="56"/>
  <c r="CE260" i="56"/>
  <c r="CF260" i="56"/>
  <c r="CA261" i="56"/>
  <c r="CD260" i="56"/>
  <c r="CB244" i="56"/>
  <c r="CF244" i="56"/>
  <c r="CA245" i="56"/>
  <c r="CC244" i="56"/>
  <c r="CD244" i="56"/>
  <c r="CE244" i="56"/>
  <c r="CB228" i="56"/>
  <c r="CA229" i="56"/>
  <c r="CD228" i="56"/>
  <c r="CC228" i="56"/>
  <c r="CF228" i="56"/>
  <c r="CE228" i="56"/>
  <c r="CB212" i="56"/>
  <c r="CD212" i="56"/>
  <c r="CA213" i="56"/>
  <c r="CC212" i="56"/>
  <c r="CF212" i="56"/>
  <c r="CE212" i="56"/>
  <c r="CB196" i="56"/>
  <c r="CC196" i="56"/>
  <c r="CE196" i="56"/>
  <c r="CD196" i="56"/>
  <c r="CA197" i="56"/>
  <c r="CF196" i="56"/>
  <c r="CB180" i="56"/>
  <c r="CE180" i="56"/>
  <c r="CD180" i="56"/>
  <c r="CA181" i="56"/>
  <c r="CF180" i="56"/>
  <c r="CC180" i="56"/>
  <c r="CB164" i="56"/>
  <c r="CF164" i="56"/>
  <c r="CE164" i="56"/>
  <c r="CD164" i="56"/>
  <c r="CV164" i="56" s="1"/>
  <c r="CA165" i="56"/>
  <c r="CC164" i="56"/>
  <c r="CB148" i="56"/>
  <c r="CA149" i="56"/>
  <c r="CD148" i="56"/>
  <c r="CF148" i="56"/>
  <c r="CC148" i="56"/>
  <c r="CE148" i="56"/>
  <c r="CB132" i="56"/>
  <c r="CC132" i="56"/>
  <c r="FB132" i="56" s="1"/>
  <c r="CE132" i="56"/>
  <c r="CF132" i="56"/>
  <c r="CA133" i="56"/>
  <c r="CD132" i="56"/>
  <c r="CB116" i="56"/>
  <c r="CC116" i="56"/>
  <c r="CF116" i="56"/>
  <c r="CE116" i="56"/>
  <c r="CA117" i="56"/>
  <c r="CD116" i="56"/>
  <c r="CB100" i="56"/>
  <c r="CD100" i="56"/>
  <c r="CV100" i="56" s="1"/>
  <c r="CF100" i="56"/>
  <c r="CE100" i="56"/>
  <c r="CC100" i="56"/>
  <c r="CA101" i="56"/>
  <c r="CB84" i="56"/>
  <c r="CA85" i="56"/>
  <c r="CC84" i="56"/>
  <c r="CF84" i="56"/>
  <c r="CD84" i="56"/>
  <c r="CE84" i="56"/>
  <c r="CB68" i="56"/>
  <c r="CC68" i="56"/>
  <c r="CE68" i="56"/>
  <c r="CF68" i="56"/>
  <c r="CD68" i="56"/>
  <c r="CA69" i="56"/>
  <c r="CB52" i="56"/>
  <c r="CF52" i="56"/>
  <c r="CD52" i="56"/>
  <c r="CE52" i="56"/>
  <c r="CA53" i="56"/>
  <c r="CC52" i="56"/>
  <c r="CB36" i="56"/>
  <c r="CE36" i="56"/>
  <c r="CD36" i="56"/>
  <c r="CA37" i="56"/>
  <c r="CC36" i="56"/>
  <c r="CF36" i="56"/>
  <c r="CB20" i="56"/>
  <c r="CF20" i="56"/>
  <c r="CD20" i="56"/>
  <c r="CA21" i="56"/>
  <c r="CC20" i="56"/>
  <c r="CE20" i="56"/>
  <c r="CE292" i="56"/>
  <c r="HD241" i="56"/>
  <c r="GB241" i="56"/>
  <c r="IA275" i="56"/>
  <c r="IB275" i="56" s="1"/>
  <c r="FK275" i="56"/>
  <c r="BS275" i="56" s="1"/>
  <c r="EP275" i="56"/>
  <c r="DV275" i="56"/>
  <c r="CM275" i="56"/>
  <c r="J275" i="56" s="1"/>
  <c r="CN275" i="56" s="1"/>
  <c r="CX275" i="56"/>
  <c r="CS275" i="56"/>
  <c r="I275" i="56" s="1"/>
  <c r="CT275" i="56" s="1"/>
  <c r="CI275" i="56"/>
  <c r="CL275" i="56"/>
  <c r="BU275" i="56"/>
  <c r="BK275" i="56"/>
  <c r="CG275" i="56"/>
  <c r="CH275" i="56" s="1"/>
  <c r="H275" i="56" s="1"/>
  <c r="BW275" i="56"/>
  <c r="BO275" i="56"/>
  <c r="BX275" i="56"/>
  <c r="IA195" i="56"/>
  <c r="IB195" i="56" s="1"/>
  <c r="FK195" i="56"/>
  <c r="BS195" i="56" s="1"/>
  <c r="EP195" i="56"/>
  <c r="CX195" i="56"/>
  <c r="CI195" i="56"/>
  <c r="CS195" i="56"/>
  <c r="I195" i="56" s="1"/>
  <c r="CT195" i="56" s="1"/>
  <c r="CG195" i="56"/>
  <c r="CH195" i="56" s="1"/>
  <c r="H195" i="56" s="1"/>
  <c r="CL195" i="56"/>
  <c r="BK195" i="56"/>
  <c r="BL195" i="56" s="1"/>
  <c r="BX195" i="56"/>
  <c r="BO195" i="56"/>
  <c r="BJ195" i="56"/>
  <c r="CM195" i="56"/>
  <c r="J195" i="56" s="1"/>
  <c r="CN195" i="56" s="1"/>
  <c r="BU195" i="56"/>
  <c r="IA83" i="56"/>
  <c r="IB83" i="56" s="1"/>
  <c r="FK83" i="56"/>
  <c r="BS83" i="56" s="1"/>
  <c r="CS83" i="56"/>
  <c r="I83" i="56" s="1"/>
  <c r="CT83" i="56" s="1"/>
  <c r="CX83" i="56"/>
  <c r="CL83" i="56"/>
  <c r="BX83" i="56"/>
  <c r="CI83" i="56"/>
  <c r="CM83" i="56"/>
  <c r="J83" i="56" s="1"/>
  <c r="CN83" i="56" s="1"/>
  <c r="CG83" i="56"/>
  <c r="CH83" i="56" s="1"/>
  <c r="H83" i="56" s="1"/>
  <c r="BK83" i="56"/>
  <c r="BU83" i="56"/>
  <c r="BW83" i="56"/>
  <c r="BJ83" i="56"/>
  <c r="IA35" i="56"/>
  <c r="IB35" i="56" s="1"/>
  <c r="FK35" i="56"/>
  <c r="EP35" i="56"/>
  <c r="CL35" i="56"/>
  <c r="CX35" i="56"/>
  <c r="CI35" i="56"/>
  <c r="BS35" i="56"/>
  <c r="CM35" i="56"/>
  <c r="J35" i="56" s="1"/>
  <c r="CN35" i="56" s="1"/>
  <c r="CG35" i="56"/>
  <c r="CH35" i="56" s="1"/>
  <c r="H35" i="56" s="1"/>
  <c r="BK35" i="56"/>
  <c r="BW35" i="56"/>
  <c r="BO35" i="56"/>
  <c r="CS35" i="56"/>
  <c r="I35" i="56" s="1"/>
  <c r="CT35" i="56" s="1"/>
  <c r="BU35" i="56"/>
  <c r="BX35" i="56"/>
  <c r="BA321" i="56"/>
  <c r="BB321" i="56" s="1"/>
  <c r="AZ321" i="56"/>
  <c r="Q321" i="56" s="1"/>
  <c r="EK321" i="56" s="1"/>
  <c r="BA273" i="56"/>
  <c r="BB273" i="56" s="1"/>
  <c r="AZ273" i="56"/>
  <c r="Q273" i="56" s="1"/>
  <c r="EK273" i="56" s="1"/>
  <c r="BA209" i="56"/>
  <c r="BB209" i="56" s="1"/>
  <c r="AZ209" i="56"/>
  <c r="Q209" i="56" s="1"/>
  <c r="BJ211" i="56"/>
  <c r="HD251" i="56"/>
  <c r="GB251" i="56"/>
  <c r="HD64" i="56"/>
  <c r="GB64" i="56"/>
  <c r="HD3" i="56"/>
  <c r="GB3" i="56"/>
  <c r="GM3" i="56"/>
  <c r="IA258" i="56"/>
  <c r="IB258" i="56" s="1"/>
  <c r="FK258" i="56"/>
  <c r="BS258" i="56" s="1"/>
  <c r="EP258" i="56"/>
  <c r="CX258" i="56"/>
  <c r="CI258" i="56"/>
  <c r="BU258" i="56"/>
  <c r="CG258" i="56"/>
  <c r="CH258" i="56" s="1"/>
  <c r="H258" i="56" s="1"/>
  <c r="CM258" i="56"/>
  <c r="J258" i="56" s="1"/>
  <c r="CN258" i="56" s="1"/>
  <c r="BW258" i="56"/>
  <c r="BK258" i="56"/>
  <c r="CS258" i="56"/>
  <c r="I258" i="56" s="1"/>
  <c r="CT258" i="56" s="1"/>
  <c r="BX258" i="56"/>
  <c r="CL258" i="56"/>
  <c r="BO258" i="56"/>
  <c r="IA194" i="56"/>
  <c r="IB194" i="56" s="1"/>
  <c r="FK194" i="56"/>
  <c r="BS194" i="56" s="1"/>
  <c r="CX194" i="56"/>
  <c r="EP194" i="56"/>
  <c r="CS194" i="56"/>
  <c r="I194" i="56" s="1"/>
  <c r="CT194" i="56" s="1"/>
  <c r="CL194" i="56"/>
  <c r="CG194" i="56"/>
  <c r="CH194" i="56" s="1"/>
  <c r="H194" i="56" s="1"/>
  <c r="BW194" i="56"/>
  <c r="BU194" i="56"/>
  <c r="BK194" i="56"/>
  <c r="CM194" i="56"/>
  <c r="J194" i="56" s="1"/>
  <c r="CN194" i="56" s="1"/>
  <c r="BX194" i="56"/>
  <c r="CI194" i="56"/>
  <c r="BO194" i="56"/>
  <c r="BJ194" i="56"/>
  <c r="BL194" i="56" s="1"/>
  <c r="IA98" i="56"/>
  <c r="IB98" i="56" s="1"/>
  <c r="FK98" i="56"/>
  <c r="BS98" i="56" s="1"/>
  <c r="DV98" i="56"/>
  <c r="CX98" i="56"/>
  <c r="CS98" i="56"/>
  <c r="I98" i="56" s="1"/>
  <c r="CT98" i="56" s="1"/>
  <c r="CG98" i="56"/>
  <c r="CH98" i="56" s="1"/>
  <c r="H98" i="56" s="1"/>
  <c r="CI98" i="56"/>
  <c r="BU98" i="56"/>
  <c r="BK98" i="56"/>
  <c r="BW98" i="56"/>
  <c r="BJ98" i="56"/>
  <c r="CL98" i="56"/>
  <c r="BX98" i="56"/>
  <c r="BO98" i="56"/>
  <c r="CM98" i="56"/>
  <c r="J98" i="56" s="1"/>
  <c r="CN98" i="56" s="1"/>
  <c r="IA50" i="56"/>
  <c r="IB50" i="56" s="1"/>
  <c r="FK50" i="56"/>
  <c r="BS50" i="56" s="1"/>
  <c r="AJ50" i="56" s="1"/>
  <c r="BT50" i="56" s="1"/>
  <c r="EP50" i="56"/>
  <c r="CX50" i="56"/>
  <c r="CS50" i="56"/>
  <c r="I50" i="56" s="1"/>
  <c r="CT50" i="56" s="1"/>
  <c r="CI50" i="56"/>
  <c r="CL50" i="56"/>
  <c r="CG50" i="56"/>
  <c r="CH50" i="56" s="1"/>
  <c r="H50" i="56" s="1"/>
  <c r="BK50" i="56"/>
  <c r="CM50" i="56"/>
  <c r="J50" i="56" s="1"/>
  <c r="CN50" i="56" s="1"/>
  <c r="BX50" i="56"/>
  <c r="BJ50" i="56"/>
  <c r="BW50" i="56"/>
  <c r="BO50" i="56"/>
  <c r="BA288" i="56"/>
  <c r="BB288" i="56" s="1"/>
  <c r="BD288" i="56" s="1" a="1"/>
  <c r="BD288" i="56" s="1"/>
  <c r="C288" i="56" s="1"/>
  <c r="BE288" i="56" s="1"/>
  <c r="AZ288" i="56"/>
  <c r="Q288" i="56" s="1"/>
  <c r="BA48" i="56"/>
  <c r="BB48" i="56" s="1"/>
  <c r="BD48" i="56" s="1" a="1"/>
  <c r="BD48" i="56" s="1"/>
  <c r="C48" i="56" s="1"/>
  <c r="BE48" i="56" s="1"/>
  <c r="AZ48" i="56"/>
  <c r="Q48" i="56" s="1"/>
  <c r="HD311" i="56"/>
  <c r="GB311" i="56"/>
  <c r="HD260" i="56"/>
  <c r="GB260" i="56"/>
  <c r="HD250" i="56"/>
  <c r="GB250" i="56"/>
  <c r="HD239" i="56"/>
  <c r="GB239" i="56"/>
  <c r="HD228" i="56"/>
  <c r="GB228" i="56"/>
  <c r="HD207" i="56"/>
  <c r="GB207" i="56"/>
  <c r="HD187" i="56"/>
  <c r="GB187" i="56"/>
  <c r="HD167" i="56"/>
  <c r="GB167" i="56"/>
  <c r="HD157" i="56"/>
  <c r="GB157" i="56"/>
  <c r="HD147" i="56"/>
  <c r="GB147" i="56"/>
  <c r="HD126" i="56"/>
  <c r="GB126" i="56"/>
  <c r="HD104" i="56"/>
  <c r="GB104" i="56"/>
  <c r="HD93" i="56"/>
  <c r="GB93" i="56"/>
  <c r="HD83" i="56"/>
  <c r="GB83" i="56"/>
  <c r="HD53" i="56"/>
  <c r="GB53" i="56"/>
  <c r="HD23" i="56"/>
  <c r="GB23" i="56"/>
  <c r="HD13" i="56"/>
  <c r="GB13" i="56"/>
  <c r="IA352" i="56"/>
  <c r="IB352" i="56" s="1"/>
  <c r="FK352" i="56"/>
  <c r="BS352" i="56" s="1"/>
  <c r="CL352" i="56"/>
  <c r="BW352" i="56"/>
  <c r="EP352" i="56"/>
  <c r="CX352" i="56"/>
  <c r="CM352" i="56"/>
  <c r="J352" i="56" s="1"/>
  <c r="CN352" i="56" s="1"/>
  <c r="CG352" i="56"/>
  <c r="CH352" i="56" s="1"/>
  <c r="H352" i="56" s="1"/>
  <c r="CJ352" i="56" s="1"/>
  <c r="DV352" i="56"/>
  <c r="CS352" i="56"/>
  <c r="I352" i="56" s="1"/>
  <c r="CT352" i="56" s="1"/>
  <c r="BU352" i="56"/>
  <c r="CI352" i="56"/>
  <c r="BX352" i="56"/>
  <c r="BO352" i="56"/>
  <c r="BD352" i="56" a="1"/>
  <c r="BD352" i="56" s="1"/>
  <c r="FV336" i="56"/>
  <c r="FK336" i="56"/>
  <c r="BS336" i="56" s="1"/>
  <c r="EP336" i="56"/>
  <c r="BW336" i="56"/>
  <c r="CX336" i="56"/>
  <c r="DV336" i="56"/>
  <c r="BU336" i="56"/>
  <c r="CI336" i="56"/>
  <c r="CG336" i="56"/>
  <c r="CH336" i="56" s="1"/>
  <c r="H336" i="56" s="1"/>
  <c r="BX336" i="56"/>
  <c r="BJ336" i="56"/>
  <c r="BK336" i="56"/>
  <c r="CS336" i="56"/>
  <c r="I336" i="56" s="1"/>
  <c r="CT336" i="56" s="1"/>
  <c r="CM336" i="56"/>
  <c r="J336" i="56" s="1"/>
  <c r="CN336" i="56" s="1"/>
  <c r="BO336" i="56"/>
  <c r="IA320" i="56"/>
  <c r="IB320" i="56" s="1"/>
  <c r="FK320" i="56"/>
  <c r="BS320" i="56" s="1"/>
  <c r="CL320" i="56"/>
  <c r="BW320" i="56"/>
  <c r="CS320" i="56"/>
  <c r="I320" i="56" s="1"/>
  <c r="CT320" i="56" s="1"/>
  <c r="CX320" i="56"/>
  <c r="BU320" i="56"/>
  <c r="BX320" i="56"/>
  <c r="CM320" i="56"/>
  <c r="J320" i="56" s="1"/>
  <c r="CN320" i="56" s="1"/>
  <c r="BO320" i="56"/>
  <c r="CI320" i="56"/>
  <c r="CG320" i="56"/>
  <c r="CH320" i="56" s="1"/>
  <c r="H320" i="56" s="1"/>
  <c r="BJ320" i="56"/>
  <c r="IA304" i="56"/>
  <c r="IB304" i="56" s="1"/>
  <c r="FK304" i="56"/>
  <c r="BS304" i="56" s="1"/>
  <c r="EP304" i="56"/>
  <c r="CL304" i="56"/>
  <c r="BW304" i="56"/>
  <c r="CX304" i="56"/>
  <c r="CM304" i="56"/>
  <c r="J304" i="56" s="1"/>
  <c r="CN304" i="56" s="1"/>
  <c r="CG304" i="56"/>
  <c r="CH304" i="56" s="1"/>
  <c r="H304" i="56" s="1"/>
  <c r="BX304" i="56"/>
  <c r="BU304" i="56"/>
  <c r="CS304" i="56"/>
  <c r="I304" i="56" s="1"/>
  <c r="CT304" i="56" s="1"/>
  <c r="CI304" i="56"/>
  <c r="BK304" i="56"/>
  <c r="BO304" i="56"/>
  <c r="IA288" i="56"/>
  <c r="IB288" i="56" s="1"/>
  <c r="FK288" i="56"/>
  <c r="BS288" i="56" s="1"/>
  <c r="CL288" i="56"/>
  <c r="BW288" i="56"/>
  <c r="EP288" i="56"/>
  <c r="CI288" i="56"/>
  <c r="CM288" i="56"/>
  <c r="J288" i="56" s="1"/>
  <c r="CN288" i="56" s="1"/>
  <c r="CG288" i="56"/>
  <c r="CH288" i="56" s="1"/>
  <c r="H288" i="56" s="1"/>
  <c r="CJ288" i="56" s="1"/>
  <c r="BX288" i="56"/>
  <c r="BU288" i="56"/>
  <c r="CX288" i="56"/>
  <c r="CS288" i="56"/>
  <c r="I288" i="56" s="1"/>
  <c r="CT288" i="56" s="1"/>
  <c r="BJ288" i="56"/>
  <c r="BQ288" i="56"/>
  <c r="BK288" i="56"/>
  <c r="IA272" i="56"/>
  <c r="IB272" i="56" s="1"/>
  <c r="FK272" i="56"/>
  <c r="BS272" i="56" s="1"/>
  <c r="EP272" i="56"/>
  <c r="CL272" i="56"/>
  <c r="BW272" i="56"/>
  <c r="CS272" i="56"/>
  <c r="I272" i="56" s="1"/>
  <c r="CT272" i="56" s="1"/>
  <c r="CX272" i="56"/>
  <c r="CI272" i="56"/>
  <c r="BU272" i="56"/>
  <c r="CG272" i="56"/>
  <c r="CH272" i="56" s="1"/>
  <c r="H272" i="56" s="1"/>
  <c r="BX272" i="56"/>
  <c r="CM272" i="56"/>
  <c r="J272" i="56" s="1"/>
  <c r="CN272" i="56" s="1"/>
  <c r="BO272" i="56"/>
  <c r="BJ272" i="56"/>
  <c r="IA256" i="56"/>
  <c r="IB256" i="56" s="1"/>
  <c r="FK256" i="56"/>
  <c r="BS256" i="56" s="1"/>
  <c r="EP256" i="56"/>
  <c r="DV256" i="56"/>
  <c r="CL256" i="56"/>
  <c r="BW256" i="56"/>
  <c r="CS256" i="56"/>
  <c r="I256" i="56" s="1"/>
  <c r="CT256" i="56" s="1"/>
  <c r="CX256" i="56"/>
  <c r="CI256" i="56"/>
  <c r="BU256" i="56"/>
  <c r="BX256" i="56"/>
  <c r="CM256" i="56"/>
  <c r="J256" i="56" s="1"/>
  <c r="CN256" i="56" s="1"/>
  <c r="CG256" i="56"/>
  <c r="CH256" i="56" s="1"/>
  <c r="H256" i="56" s="1"/>
  <c r="BD256" i="56" a="1"/>
  <c r="BD256" i="56" s="1"/>
  <c r="C256" i="56" s="1"/>
  <c r="BE256" i="56" s="1"/>
  <c r="BK256" i="56"/>
  <c r="BO256" i="56"/>
  <c r="IA240" i="56"/>
  <c r="IB240" i="56" s="1"/>
  <c r="FK240" i="56"/>
  <c r="BS240" i="56" s="1"/>
  <c r="EP240" i="56"/>
  <c r="DV240" i="56"/>
  <c r="CL240" i="56"/>
  <c r="BW240" i="56"/>
  <c r="CX240" i="56"/>
  <c r="CM240" i="56"/>
  <c r="J240" i="56" s="1"/>
  <c r="CN240" i="56" s="1"/>
  <c r="CS240" i="56"/>
  <c r="I240" i="56" s="1"/>
  <c r="CT240" i="56" s="1"/>
  <c r="CI240" i="56"/>
  <c r="BU240" i="56"/>
  <c r="BX240" i="56"/>
  <c r="CG240" i="56"/>
  <c r="CH240" i="56" s="1"/>
  <c r="H240" i="56" s="1"/>
  <c r="BJ240" i="56"/>
  <c r="BK240" i="56"/>
  <c r="FV224" i="56"/>
  <c r="FK224" i="56"/>
  <c r="BS224" i="56" s="1"/>
  <c r="EP224" i="56"/>
  <c r="BW224" i="56"/>
  <c r="CG224" i="56"/>
  <c r="CH224" i="56" s="1"/>
  <c r="H224" i="56" s="1"/>
  <c r="CX224" i="56"/>
  <c r="CM224" i="56"/>
  <c r="J224" i="56" s="1"/>
  <c r="CN224" i="56" s="1"/>
  <c r="CS224" i="56"/>
  <c r="I224" i="56" s="1"/>
  <c r="CT224" i="56" s="1"/>
  <c r="BU224" i="56"/>
  <c r="CI224" i="56"/>
  <c r="BO224" i="56"/>
  <c r="BJ224" i="56"/>
  <c r="BX224" i="56"/>
  <c r="IA208" i="56"/>
  <c r="IB208" i="56" s="1"/>
  <c r="FK208" i="56"/>
  <c r="BS208" i="56" s="1"/>
  <c r="EP208" i="56"/>
  <c r="CL208" i="56"/>
  <c r="BW208" i="56"/>
  <c r="DV208" i="56"/>
  <c r="CS208" i="56"/>
  <c r="I208" i="56" s="1"/>
  <c r="CT208" i="56" s="1"/>
  <c r="CM208" i="56"/>
  <c r="J208" i="56" s="1"/>
  <c r="CN208" i="56" s="1"/>
  <c r="BU208" i="56"/>
  <c r="CI208" i="56"/>
  <c r="BX208" i="56"/>
  <c r="CX208" i="56"/>
  <c r="CG208" i="56"/>
  <c r="CH208" i="56" s="1"/>
  <c r="H208" i="56" s="1"/>
  <c r="BK208" i="56"/>
  <c r="BO208" i="56"/>
  <c r="IA192" i="56"/>
  <c r="IB192" i="56" s="1"/>
  <c r="FK192" i="56"/>
  <c r="BS192" i="56" s="1"/>
  <c r="EP192" i="56"/>
  <c r="CL192" i="56"/>
  <c r="BW192" i="56"/>
  <c r="CS192" i="56"/>
  <c r="I192" i="56" s="1"/>
  <c r="CT192" i="56" s="1"/>
  <c r="CX192" i="56"/>
  <c r="BU192" i="56"/>
  <c r="CM192" i="56"/>
  <c r="J192" i="56" s="1"/>
  <c r="CN192" i="56" s="1"/>
  <c r="CG192" i="56"/>
  <c r="CH192" i="56" s="1"/>
  <c r="H192" i="56" s="1"/>
  <c r="BX192" i="56"/>
  <c r="CI192" i="56"/>
  <c r="BO192" i="56"/>
  <c r="BJ192" i="56"/>
  <c r="IA176" i="56"/>
  <c r="IB176" i="56" s="1"/>
  <c r="FK176" i="56"/>
  <c r="BS176" i="56" s="1"/>
  <c r="EP176" i="56"/>
  <c r="CL176" i="56"/>
  <c r="BW176" i="56"/>
  <c r="CS176" i="56"/>
  <c r="I176" i="56" s="1"/>
  <c r="CT176" i="56" s="1"/>
  <c r="CX176" i="56"/>
  <c r="CG176" i="56"/>
  <c r="CH176" i="56" s="1"/>
  <c r="H176" i="56" s="1"/>
  <c r="BU176" i="56"/>
  <c r="CM176" i="56"/>
  <c r="J176" i="56" s="1"/>
  <c r="CN176" i="56" s="1"/>
  <c r="BX176" i="56"/>
  <c r="BK176" i="56"/>
  <c r="BO176" i="56"/>
  <c r="IA160" i="56"/>
  <c r="IB160" i="56" s="1"/>
  <c r="FK160" i="56"/>
  <c r="BS160" i="56" s="1"/>
  <c r="EP160" i="56"/>
  <c r="CL160" i="56"/>
  <c r="BW160" i="56"/>
  <c r="CX160" i="56"/>
  <c r="CI160" i="56"/>
  <c r="CG160" i="56"/>
  <c r="CH160" i="56" s="1"/>
  <c r="H160" i="56" s="1"/>
  <c r="CJ160" i="56" s="1"/>
  <c r="BU160" i="56"/>
  <c r="CS160" i="56"/>
  <c r="I160" i="56" s="1"/>
  <c r="CT160" i="56" s="1"/>
  <c r="CM160" i="56"/>
  <c r="J160" i="56" s="1"/>
  <c r="CN160" i="56" s="1"/>
  <c r="BQ160" i="56"/>
  <c r="BX160" i="56"/>
  <c r="BK160" i="56"/>
  <c r="IA144" i="56"/>
  <c r="IB144" i="56" s="1"/>
  <c r="FK144" i="56"/>
  <c r="CL144" i="56"/>
  <c r="BW144" i="56"/>
  <c r="CX144" i="56"/>
  <c r="CI144" i="56"/>
  <c r="BU144" i="56"/>
  <c r="CS144" i="56"/>
  <c r="I144" i="56" s="1"/>
  <c r="CT144" i="56" s="1"/>
  <c r="CG144" i="56"/>
  <c r="CH144" i="56" s="1"/>
  <c r="H144" i="56" s="1"/>
  <c r="CJ144" i="56" s="1"/>
  <c r="BX144" i="56"/>
  <c r="CM144" i="56"/>
  <c r="J144" i="56" s="1"/>
  <c r="CN144" i="56" s="1"/>
  <c r="BJ144" i="56"/>
  <c r="BO144" i="56"/>
  <c r="BS144" i="56"/>
  <c r="IA128" i="56"/>
  <c r="IB128" i="56" s="1"/>
  <c r="FK128" i="56"/>
  <c r="BS128" i="56" s="1"/>
  <c r="CL128" i="56"/>
  <c r="BW128" i="56"/>
  <c r="CX128" i="56"/>
  <c r="CS128" i="56"/>
  <c r="I128" i="56" s="1"/>
  <c r="CT128" i="56" s="1"/>
  <c r="CM128" i="56"/>
  <c r="J128" i="56" s="1"/>
  <c r="CN128" i="56" s="1"/>
  <c r="CI128" i="56"/>
  <c r="BU128" i="56"/>
  <c r="BX128" i="56"/>
  <c r="CG128" i="56"/>
  <c r="CH128" i="56" s="1"/>
  <c r="H128" i="56" s="1"/>
  <c r="BD128" i="56" a="1"/>
  <c r="BD128" i="56" s="1"/>
  <c r="BK128" i="56"/>
  <c r="BL128" i="56" s="1"/>
  <c r="BJ128" i="56"/>
  <c r="BO128" i="56"/>
  <c r="IA112" i="56"/>
  <c r="IB112" i="56" s="1"/>
  <c r="FK112" i="56"/>
  <c r="CL112" i="56"/>
  <c r="BW112" i="56"/>
  <c r="CI112" i="56"/>
  <c r="CG112" i="56"/>
  <c r="CH112" i="56" s="1"/>
  <c r="H112" i="56" s="1"/>
  <c r="CS112" i="56"/>
  <c r="I112" i="56" s="1"/>
  <c r="CT112" i="56" s="1"/>
  <c r="CM112" i="56"/>
  <c r="J112" i="56" s="1"/>
  <c r="CN112" i="56" s="1"/>
  <c r="BU112" i="56"/>
  <c r="CX112" i="56"/>
  <c r="BX112" i="56"/>
  <c r="BS112" i="56"/>
  <c r="BK112" i="56"/>
  <c r="BJ112" i="56"/>
  <c r="BL112" i="56" s="1"/>
  <c r="IA96" i="56"/>
  <c r="IB96" i="56" s="1"/>
  <c r="FK96" i="56"/>
  <c r="CL96" i="56"/>
  <c r="BW96" i="56"/>
  <c r="DV96" i="56"/>
  <c r="CX96" i="56"/>
  <c r="CM96" i="56"/>
  <c r="J96" i="56" s="1"/>
  <c r="CN96" i="56" s="1"/>
  <c r="CS96" i="56"/>
  <c r="I96" i="56" s="1"/>
  <c r="CT96" i="56" s="1"/>
  <c r="CI96" i="56"/>
  <c r="BU96" i="56"/>
  <c r="CG96" i="56"/>
  <c r="CH96" i="56" s="1"/>
  <c r="H96" i="56" s="1"/>
  <c r="BX96" i="56"/>
  <c r="BO96" i="56"/>
  <c r="IA80" i="56"/>
  <c r="IB80" i="56" s="1"/>
  <c r="FK80" i="56"/>
  <c r="BS80" i="56" s="1"/>
  <c r="CL80" i="56"/>
  <c r="BW80" i="56"/>
  <c r="CX80" i="56"/>
  <c r="CG80" i="56"/>
  <c r="CH80" i="56" s="1"/>
  <c r="H80" i="56" s="1"/>
  <c r="CS80" i="56"/>
  <c r="I80" i="56" s="1"/>
  <c r="CT80" i="56" s="1"/>
  <c r="BU80" i="56"/>
  <c r="CI80" i="56"/>
  <c r="CM80" i="56"/>
  <c r="J80" i="56" s="1"/>
  <c r="CN80" i="56" s="1"/>
  <c r="BX80" i="56"/>
  <c r="DV80" i="56"/>
  <c r="BJ80" i="56"/>
  <c r="BK80" i="56"/>
  <c r="BO80" i="56"/>
  <c r="IA64" i="56"/>
  <c r="IB64" i="56" s="1"/>
  <c r="FK64" i="56"/>
  <c r="BS64" i="56" s="1"/>
  <c r="DV64" i="56"/>
  <c r="CL64" i="56"/>
  <c r="BW64" i="56"/>
  <c r="CX64" i="56"/>
  <c r="CG64" i="56"/>
  <c r="CH64" i="56" s="1"/>
  <c r="H64" i="56" s="1"/>
  <c r="BU64" i="56"/>
  <c r="CS64" i="56"/>
  <c r="I64" i="56" s="1"/>
  <c r="CT64" i="56" s="1"/>
  <c r="BX64" i="56"/>
  <c r="CI64" i="56"/>
  <c r="BO64" i="56"/>
  <c r="BD64" i="56" a="1"/>
  <c r="BD64" i="56" s="1"/>
  <c r="CM64" i="56"/>
  <c r="J64" i="56" s="1"/>
  <c r="CN64" i="56" s="1"/>
  <c r="BJ64" i="56"/>
  <c r="IA48" i="56"/>
  <c r="IB48" i="56" s="1"/>
  <c r="FK48" i="56"/>
  <c r="BS48" i="56" s="1"/>
  <c r="EP48" i="56"/>
  <c r="CL48" i="56"/>
  <c r="BW48" i="56"/>
  <c r="CX48" i="56"/>
  <c r="CS48" i="56"/>
  <c r="I48" i="56" s="1"/>
  <c r="CT48" i="56" s="1"/>
  <c r="BX48" i="56"/>
  <c r="BU48" i="56"/>
  <c r="CI48" i="56"/>
  <c r="CG48" i="56"/>
  <c r="CH48" i="56" s="1"/>
  <c r="H48" i="56" s="1"/>
  <c r="BK48" i="56"/>
  <c r="CM48" i="56"/>
  <c r="J48" i="56" s="1"/>
  <c r="CN48" i="56" s="1"/>
  <c r="BO48" i="56"/>
  <c r="IA32" i="56"/>
  <c r="IB32" i="56" s="1"/>
  <c r="FK32" i="56"/>
  <c r="BS32" i="56" s="1"/>
  <c r="EP32" i="56"/>
  <c r="CL32" i="56"/>
  <c r="BW32" i="56"/>
  <c r="CS32" i="56"/>
  <c r="I32" i="56" s="1"/>
  <c r="CT32" i="56" s="1"/>
  <c r="CI32" i="56"/>
  <c r="CM32" i="56"/>
  <c r="J32" i="56" s="1"/>
  <c r="CN32" i="56" s="1"/>
  <c r="CG32" i="56"/>
  <c r="CH32" i="56" s="1"/>
  <c r="H32" i="56" s="1"/>
  <c r="BX32" i="56"/>
  <c r="BU32" i="56"/>
  <c r="CX32" i="56"/>
  <c r="BJ32" i="56"/>
  <c r="BL32" i="56" s="1"/>
  <c r="BQ32" i="56"/>
  <c r="BK32" i="56"/>
  <c r="FK16" i="56"/>
  <c r="BS16" i="56" s="1"/>
  <c r="DV16" i="56"/>
  <c r="BW16" i="56"/>
  <c r="CX16" i="56"/>
  <c r="CS16" i="56"/>
  <c r="I16" i="56" s="1"/>
  <c r="CT16" i="56" s="1"/>
  <c r="CM16" i="56"/>
  <c r="J16" i="56" s="1"/>
  <c r="CN16" i="56" s="1"/>
  <c r="BU16" i="56"/>
  <c r="CG16" i="56"/>
  <c r="CH16" i="56" s="1"/>
  <c r="H16" i="56" s="1"/>
  <c r="CJ16" i="56" s="1"/>
  <c r="CI16" i="56"/>
  <c r="BO16" i="56"/>
  <c r="BX16" i="56"/>
  <c r="BJ16" i="56"/>
  <c r="BA302" i="56"/>
  <c r="BB302" i="56" s="1"/>
  <c r="BD302" i="56" s="1" a="1"/>
  <c r="BD302" i="56" s="1"/>
  <c r="C302" i="56" s="1"/>
  <c r="BE302" i="56" s="1"/>
  <c r="AZ302" i="56"/>
  <c r="Q302" i="56" s="1"/>
  <c r="EK302" i="56" s="1"/>
  <c r="BA286" i="56"/>
  <c r="BB286" i="56" s="1"/>
  <c r="BD286" i="56" s="1" a="1"/>
  <c r="BD286" i="56" s="1"/>
  <c r="C286" i="56" s="1"/>
  <c r="BE286" i="56" s="1"/>
  <c r="AZ286" i="56"/>
  <c r="Q286" i="56" s="1"/>
  <c r="BA270" i="56"/>
  <c r="BB270" i="56" s="1"/>
  <c r="BD270" i="56" s="1" a="1"/>
  <c r="BD270" i="56" s="1"/>
  <c r="AZ270" i="56"/>
  <c r="Q270" i="56" s="1"/>
  <c r="EK270" i="56" s="1"/>
  <c r="BA254" i="56"/>
  <c r="BB254" i="56" s="1"/>
  <c r="BD254" i="56" s="1" a="1"/>
  <c r="BD254" i="56" s="1"/>
  <c r="C254" i="56" s="1"/>
  <c r="BE254" i="56" s="1"/>
  <c r="AZ254" i="56"/>
  <c r="Q254" i="56" s="1"/>
  <c r="EK254" i="56" s="1"/>
  <c r="BA174" i="56"/>
  <c r="BB174" i="56" s="1"/>
  <c r="BD174" i="56" s="1" a="1"/>
  <c r="BD174" i="56" s="1"/>
  <c r="C174" i="56" s="1"/>
  <c r="BE174" i="56" s="1"/>
  <c r="AZ174" i="56"/>
  <c r="Q174" i="56" s="1"/>
  <c r="EK174" i="56" s="1"/>
  <c r="BA158" i="56"/>
  <c r="BB158" i="56" s="1"/>
  <c r="BD158" i="56" s="1" a="1"/>
  <c r="BD158" i="56" s="1"/>
  <c r="C158" i="56" s="1"/>
  <c r="BE158" i="56" s="1"/>
  <c r="AZ158" i="56"/>
  <c r="Q158" i="56" s="1"/>
  <c r="BA142" i="56"/>
  <c r="BB142" i="56" s="1"/>
  <c r="BD142" i="56" s="1" a="1"/>
  <c r="BD142" i="56" s="1"/>
  <c r="AZ142" i="56"/>
  <c r="Q142" i="56" s="1"/>
  <c r="EK142" i="56" s="1"/>
  <c r="BA126" i="56"/>
  <c r="BB126" i="56" s="1"/>
  <c r="BD126" i="56" s="1" a="1"/>
  <c r="BD126" i="56" s="1"/>
  <c r="AZ126" i="56"/>
  <c r="Q126" i="56" s="1"/>
  <c r="EK126" i="56" s="1"/>
  <c r="BA46" i="56"/>
  <c r="BB46" i="56" s="1"/>
  <c r="BD46" i="56" s="1" a="1"/>
  <c r="BD46" i="56" s="1"/>
  <c r="C46" i="56" s="1"/>
  <c r="BE46" i="56" s="1"/>
  <c r="AZ46" i="56"/>
  <c r="Q46" i="56" s="1"/>
  <c r="EK46" i="56" s="1"/>
  <c r="BA30" i="56"/>
  <c r="BB30" i="56" s="1"/>
  <c r="BD30" i="56" s="1" a="1"/>
  <c r="BD30" i="56" s="1"/>
  <c r="AZ30" i="56"/>
  <c r="BA14" i="56"/>
  <c r="BB14" i="56" s="1"/>
  <c r="AZ14" i="56"/>
  <c r="AZ305" i="56"/>
  <c r="Q305" i="56" s="1"/>
  <c r="EK305" i="56" s="1"/>
  <c r="BA226" i="56"/>
  <c r="BB226" i="56" s="1"/>
  <c r="BA98" i="56"/>
  <c r="BB98" i="56" s="1"/>
  <c r="BD311" i="56" a="1"/>
  <c r="BD311" i="56" s="1"/>
  <c r="BD55" i="56" a="1"/>
  <c r="BD55" i="56" s="1"/>
  <c r="BD163" i="56" a="1"/>
  <c r="BD163" i="56" s="1"/>
  <c r="C163" i="56" s="1"/>
  <c r="BE163" i="56" s="1"/>
  <c r="BD67" i="56" a="1"/>
  <c r="BD67" i="56" s="1"/>
  <c r="BJ208" i="56"/>
  <c r="BK244" i="56"/>
  <c r="BK145" i="56"/>
  <c r="BO212" i="56"/>
  <c r="BQ224" i="56"/>
  <c r="BQ144" i="56"/>
  <c r="GA347" i="56"/>
  <c r="DT347" i="56"/>
  <c r="CV347" i="56"/>
  <c r="GA331" i="56"/>
  <c r="DT331" i="56"/>
  <c r="CV331" i="56"/>
  <c r="GA315" i="56"/>
  <c r="DT315" i="56"/>
  <c r="CV315" i="56"/>
  <c r="GA299" i="56"/>
  <c r="DT299" i="56"/>
  <c r="GA283" i="56"/>
  <c r="DT283" i="56"/>
  <c r="CV283" i="56"/>
  <c r="GA267" i="56"/>
  <c r="DT267" i="56"/>
  <c r="GA251" i="56"/>
  <c r="CV251" i="56"/>
  <c r="DT251" i="56"/>
  <c r="GA235" i="56"/>
  <c r="DT235" i="56"/>
  <c r="GA219" i="56"/>
  <c r="DT219" i="56"/>
  <c r="GA203" i="56"/>
  <c r="DT203" i="56"/>
  <c r="GA187" i="56"/>
  <c r="DT187" i="56"/>
  <c r="CV187" i="56"/>
  <c r="GA171" i="56"/>
  <c r="DT171" i="56"/>
  <c r="GA155" i="56"/>
  <c r="DT155" i="56"/>
  <c r="CV155" i="56"/>
  <c r="GA139" i="56"/>
  <c r="DT139" i="56"/>
  <c r="GA123" i="56"/>
  <c r="DT123" i="56"/>
  <c r="CV123" i="56"/>
  <c r="GA107" i="56"/>
  <c r="DT107" i="56"/>
  <c r="CV107" i="56"/>
  <c r="GA91" i="56"/>
  <c r="DT91" i="56"/>
  <c r="GA75" i="56"/>
  <c r="DT75" i="56"/>
  <c r="GA59" i="56"/>
  <c r="DT59" i="56"/>
  <c r="CV59" i="56"/>
  <c r="GA43" i="56"/>
  <c r="DT43" i="56"/>
  <c r="GA27" i="56"/>
  <c r="DT27" i="56"/>
  <c r="CV27" i="56"/>
  <c r="GA10" i="56"/>
  <c r="DT10" i="56"/>
  <c r="CV10" i="56"/>
  <c r="BU334" i="56"/>
  <c r="BU211" i="56"/>
  <c r="DL348" i="56"/>
  <c r="DJ348" i="56"/>
  <c r="DL332" i="56"/>
  <c r="DJ332" i="56"/>
  <c r="DL316" i="56"/>
  <c r="DJ316" i="56"/>
  <c r="DL300" i="56"/>
  <c r="DJ300" i="56"/>
  <c r="DL284" i="56"/>
  <c r="DJ284" i="56"/>
  <c r="DL268" i="56"/>
  <c r="DJ268" i="56"/>
  <c r="DL252" i="56"/>
  <c r="DJ252" i="56"/>
  <c r="DL236" i="56"/>
  <c r="DJ236" i="56"/>
  <c r="DJ220" i="56"/>
  <c r="DL220" i="56"/>
  <c r="DJ204" i="56"/>
  <c r="DL204" i="56"/>
  <c r="DJ188" i="56"/>
  <c r="DL188" i="56"/>
  <c r="DJ172" i="56"/>
  <c r="DL172" i="56"/>
  <c r="DJ156" i="56"/>
  <c r="DL156" i="56"/>
  <c r="DJ140" i="56"/>
  <c r="DL140" i="56"/>
  <c r="DL124" i="56"/>
  <c r="DJ124" i="56"/>
  <c r="DL43" i="56"/>
  <c r="DJ43" i="56"/>
  <c r="FG231" i="56" a="1"/>
  <c r="FG231" i="56" s="1"/>
  <c r="FH231" i="56"/>
  <c r="IP340" i="56"/>
  <c r="FL340" i="56"/>
  <c r="FM340" i="56" s="1"/>
  <c r="FO340" i="56" s="1" a="1"/>
  <c r="FO340" i="56" s="1"/>
  <c r="DC340" i="56"/>
  <c r="IP260" i="56"/>
  <c r="FB260" i="56"/>
  <c r="FL260" i="56"/>
  <c r="FM260" i="56" s="1"/>
  <c r="FO260" i="56" s="1" a="1"/>
  <c r="FO260" i="56" s="1"/>
  <c r="DC260" i="56"/>
  <c r="HD275" i="56"/>
  <c r="GB275" i="56"/>
  <c r="FH342" i="56"/>
  <c r="FG342" i="56" a="1"/>
  <c r="FG342" i="56" s="1"/>
  <c r="EQ317" i="56"/>
  <c r="BN317" i="56"/>
  <c r="FY317" i="56" s="1"/>
  <c r="BQ317" i="56"/>
  <c r="EQ269" i="56"/>
  <c r="BN269" i="56"/>
  <c r="FY269" i="56" s="1"/>
  <c r="BD269" i="56" a="1"/>
  <c r="BD269" i="56" s="1"/>
  <c r="C269" i="56" s="1"/>
  <c r="BE269" i="56" s="1"/>
  <c r="BQ269" i="56"/>
  <c r="EQ205" i="56"/>
  <c r="BN205" i="56"/>
  <c r="FY205" i="56" s="1"/>
  <c r="BQ205" i="56"/>
  <c r="BD205" i="56" a="1"/>
  <c r="BD205" i="56" s="1"/>
  <c r="C205" i="56" s="1"/>
  <c r="BE205" i="56" s="1"/>
  <c r="EQ141" i="56"/>
  <c r="BN141" i="56"/>
  <c r="FY141" i="56" s="1"/>
  <c r="BD141" i="56" a="1"/>
  <c r="BD141" i="56" s="1"/>
  <c r="BQ141" i="56"/>
  <c r="EQ93" i="56"/>
  <c r="BN93" i="56"/>
  <c r="FY93" i="56" s="1"/>
  <c r="BD93" i="56" a="1"/>
  <c r="BD93" i="56" s="1"/>
  <c r="BQ93" i="56"/>
  <c r="EQ45" i="56"/>
  <c r="BN45" i="56"/>
  <c r="FY45" i="56" s="1"/>
  <c r="BD45" i="56" a="1"/>
  <c r="BD45" i="56" s="1"/>
  <c r="C45" i="56" s="1"/>
  <c r="BE45" i="56" s="1"/>
  <c r="FW351" i="56"/>
  <c r="BI351" i="56"/>
  <c r="GC351" i="56" s="1"/>
  <c r="FW303" i="56"/>
  <c r="FW239" i="56"/>
  <c r="BI239" i="56"/>
  <c r="GC239" i="56" s="1"/>
  <c r="FW207" i="56"/>
  <c r="T207" i="56"/>
  <c r="FW175" i="56"/>
  <c r="BI175" i="56"/>
  <c r="T175" i="56" s="1"/>
  <c r="GC127" i="56"/>
  <c r="FW127" i="56"/>
  <c r="T127" i="56"/>
  <c r="FW95" i="56"/>
  <c r="BI95" i="56"/>
  <c r="FW47" i="56"/>
  <c r="GD47" i="56"/>
  <c r="T47" i="56"/>
  <c r="FW31" i="56"/>
  <c r="BI31" i="56"/>
  <c r="GC31" i="56" s="1"/>
  <c r="GD31" i="56" s="1"/>
  <c r="GE31" i="56" s="1"/>
  <c r="IP240" i="56"/>
  <c r="FL240" i="56"/>
  <c r="FM240" i="56" s="1"/>
  <c r="FO240" i="56" s="1" a="1"/>
  <c r="FO240" i="56" s="1"/>
  <c r="DC240" i="56"/>
  <c r="HD242" i="56"/>
  <c r="GB242" i="56"/>
  <c r="HD200" i="56"/>
  <c r="GB200" i="56"/>
  <c r="HD171" i="56"/>
  <c r="GB171" i="56"/>
  <c r="HD150" i="56"/>
  <c r="GB150" i="56"/>
  <c r="HD140" i="56"/>
  <c r="GB140" i="56"/>
  <c r="FW318" i="56"/>
  <c r="BI318" i="56"/>
  <c r="GC318" i="56" s="1"/>
  <c r="FW270" i="56"/>
  <c r="BI270" i="56"/>
  <c r="T270" i="56" s="1"/>
  <c r="FW238" i="56"/>
  <c r="BI238" i="56"/>
  <c r="FW222" i="56"/>
  <c r="BI222" i="56"/>
  <c r="GC222" i="56" s="1"/>
  <c r="FW174" i="56"/>
  <c r="FW142" i="56"/>
  <c r="BI142" i="56"/>
  <c r="T142" i="56" s="1"/>
  <c r="FW110" i="56"/>
  <c r="BI110" i="56"/>
  <c r="GC110" i="56" s="1"/>
  <c r="FW78" i="56"/>
  <c r="BI78" i="56"/>
  <c r="T78" i="56" s="1"/>
  <c r="GD46" i="56"/>
  <c r="GG46" i="56" s="1"/>
  <c r="GC46" i="56"/>
  <c r="FW46" i="56"/>
  <c r="T46" i="56"/>
  <c r="FW14" i="56"/>
  <c r="HD264" i="56"/>
  <c r="GB264" i="56"/>
  <c r="HD160" i="56"/>
  <c r="GB160" i="56"/>
  <c r="HD55" i="56"/>
  <c r="GB55" i="56"/>
  <c r="IA308" i="56"/>
  <c r="IB308" i="56" s="1"/>
  <c r="FK308" i="56"/>
  <c r="EP308" i="56"/>
  <c r="CX308" i="56"/>
  <c r="CI308" i="56"/>
  <c r="CL308" i="56"/>
  <c r="BS308" i="56"/>
  <c r="CM308" i="56"/>
  <c r="J308" i="56" s="1"/>
  <c r="CN308" i="56" s="1"/>
  <c r="CG308" i="56"/>
  <c r="CH308" i="56" s="1"/>
  <c r="H308" i="56" s="1"/>
  <c r="CJ308" i="56" s="1"/>
  <c r="BJ308" i="56"/>
  <c r="CS308" i="56"/>
  <c r="I308" i="56" s="1"/>
  <c r="CT308" i="56" s="1"/>
  <c r="BW308" i="56"/>
  <c r="BU308" i="56"/>
  <c r="BQ308" i="56"/>
  <c r="BK308" i="56"/>
  <c r="BX308" i="56"/>
  <c r="BO308" i="56"/>
  <c r="IA260" i="56"/>
  <c r="IB260" i="56" s="1"/>
  <c r="FK260" i="56"/>
  <c r="EP260" i="56"/>
  <c r="CG260" i="56"/>
  <c r="CH260" i="56" s="1"/>
  <c r="H260" i="56" s="1"/>
  <c r="CM260" i="56"/>
  <c r="J260" i="56" s="1"/>
  <c r="CN260" i="56" s="1"/>
  <c r="BS260" i="56"/>
  <c r="CI260" i="56"/>
  <c r="BW260" i="56"/>
  <c r="BJ260" i="56"/>
  <c r="BX260" i="56"/>
  <c r="BU260" i="56"/>
  <c r="CX260" i="56"/>
  <c r="Q260" i="56"/>
  <c r="EK260" i="56" s="1"/>
  <c r="CS260" i="56"/>
  <c r="I260" i="56" s="1"/>
  <c r="CT260" i="56" s="1"/>
  <c r="BQ260" i="56"/>
  <c r="BK260" i="56"/>
  <c r="BD260" i="56" a="1"/>
  <c r="BD260" i="56" s="1"/>
  <c r="C260" i="56" s="1"/>
  <c r="BE260" i="56" s="1"/>
  <c r="CL260" i="56"/>
  <c r="IA180" i="56"/>
  <c r="IB180" i="56" s="1"/>
  <c r="FK180" i="56"/>
  <c r="BS180" i="56" s="1"/>
  <c r="EP180" i="56"/>
  <c r="CX180" i="56"/>
  <c r="CI180" i="56"/>
  <c r="CG180" i="56"/>
  <c r="CH180" i="56" s="1"/>
  <c r="H180" i="56" s="1"/>
  <c r="CM180" i="56"/>
  <c r="J180" i="56" s="1"/>
  <c r="CN180" i="56" s="1"/>
  <c r="CL180" i="56"/>
  <c r="BJ180" i="56"/>
  <c r="BW180" i="56"/>
  <c r="BU180" i="56"/>
  <c r="Q180" i="56"/>
  <c r="BQ180" i="56"/>
  <c r="BK180" i="56"/>
  <c r="CS180" i="56"/>
  <c r="I180" i="56" s="1"/>
  <c r="CT180" i="56" s="1"/>
  <c r="BO180" i="56"/>
  <c r="IA132" i="56"/>
  <c r="IB132" i="56" s="1"/>
  <c r="FK132" i="56"/>
  <c r="BS132" i="56" s="1"/>
  <c r="CX132" i="56"/>
  <c r="CM132" i="56"/>
  <c r="J132" i="56" s="1"/>
  <c r="CN132" i="56" s="1"/>
  <c r="CI132" i="56"/>
  <c r="BW132" i="56"/>
  <c r="CS132" i="56"/>
  <c r="I132" i="56" s="1"/>
  <c r="CT132" i="56" s="1"/>
  <c r="BJ132" i="56"/>
  <c r="CL132" i="56"/>
  <c r="BX132" i="56"/>
  <c r="Q132" i="56"/>
  <c r="DV132" i="56" s="1"/>
  <c r="BU132" i="56"/>
  <c r="BQ132" i="56"/>
  <c r="BK132" i="56"/>
  <c r="CG132" i="56"/>
  <c r="CH132" i="56" s="1"/>
  <c r="H132" i="56" s="1"/>
  <c r="CJ132" i="56" s="1"/>
  <c r="BD132" i="56" a="1"/>
  <c r="BD132" i="56" s="1"/>
  <c r="IA100" i="56"/>
  <c r="IB100" i="56" s="1"/>
  <c r="FK100" i="56"/>
  <c r="BS100" i="56" s="1"/>
  <c r="CS100" i="56"/>
  <c r="I100" i="56" s="1"/>
  <c r="CT100" i="56" s="1"/>
  <c r="CX100" i="56"/>
  <c r="CL100" i="56"/>
  <c r="CG100" i="56"/>
  <c r="CH100" i="56" s="1"/>
  <c r="H100" i="56" s="1"/>
  <c r="BX100" i="56"/>
  <c r="BJ100" i="56"/>
  <c r="CI100" i="56"/>
  <c r="CM100" i="56"/>
  <c r="J100" i="56" s="1"/>
  <c r="CN100" i="56" s="1"/>
  <c r="BW100" i="56"/>
  <c r="BD100" i="56" a="1"/>
  <c r="BD100" i="56" s="1"/>
  <c r="Q100" i="56"/>
  <c r="EK100" i="56" s="1"/>
  <c r="BQ100" i="56"/>
  <c r="BK100" i="56"/>
  <c r="BU100" i="56"/>
  <c r="BO100" i="56"/>
  <c r="IA52" i="56"/>
  <c r="IB52" i="56" s="1"/>
  <c r="FK52" i="56"/>
  <c r="BS52" i="56" s="1"/>
  <c r="EP52" i="56"/>
  <c r="CL52" i="56"/>
  <c r="CX52" i="56"/>
  <c r="CM52" i="56"/>
  <c r="J52" i="56" s="1"/>
  <c r="CN52" i="56" s="1"/>
  <c r="CS52" i="56"/>
  <c r="I52" i="56" s="1"/>
  <c r="CT52" i="56" s="1"/>
  <c r="CG52" i="56"/>
  <c r="CH52" i="56" s="1"/>
  <c r="H52" i="56" s="1"/>
  <c r="BJ52" i="56"/>
  <c r="BW52" i="56"/>
  <c r="BX52" i="56"/>
  <c r="BU52" i="56"/>
  <c r="BQ52" i="56"/>
  <c r="BK52" i="56"/>
  <c r="BO52" i="56"/>
  <c r="CI52" i="56"/>
  <c r="FK4" i="56"/>
  <c r="BS4" i="56" s="1"/>
  <c r="AJ4" i="56" s="1"/>
  <c r="BT4" i="56" s="1"/>
  <c r="BU4" i="56" s="1"/>
  <c r="AK4" i="56" s="1"/>
  <c r="BV4" i="56" s="1"/>
  <c r="FV4" i="56"/>
  <c r="EP4" i="56"/>
  <c r="CI4" i="56"/>
  <c r="BW4" i="56"/>
  <c r="CG4" i="56"/>
  <c r="CH4" i="56" s="1"/>
  <c r="H4" i="56" s="1"/>
  <c r="CJ4" i="56" s="1"/>
  <c r="BJ4" i="56"/>
  <c r="BX4" i="56"/>
  <c r="CS4" i="56"/>
  <c r="I4" i="56" s="1"/>
  <c r="CT4" i="56" s="1"/>
  <c r="Q4" i="56"/>
  <c r="DV4" i="56" s="1"/>
  <c r="CX4" i="56"/>
  <c r="BQ4" i="56"/>
  <c r="BK4" i="56"/>
  <c r="BD4" i="56" a="1"/>
  <c r="BD4" i="56" s="1"/>
  <c r="CM4" i="56"/>
  <c r="J4" i="56" s="1"/>
  <c r="CN4" i="56" s="1"/>
  <c r="BA82" i="56"/>
  <c r="BB82" i="56" s="1"/>
  <c r="AZ82" i="56"/>
  <c r="BD317" i="56" a="1"/>
  <c r="BD317" i="56" s="1"/>
  <c r="C317" i="56" s="1"/>
  <c r="BE317" i="56" s="1"/>
  <c r="BD244" i="56" a="1"/>
  <c r="BD244" i="56" s="1"/>
  <c r="C244" i="56" s="1"/>
  <c r="BE244" i="56" s="1"/>
  <c r="FY318" i="56"/>
  <c r="HD199" i="56"/>
  <c r="GB199" i="56"/>
  <c r="HD128" i="56"/>
  <c r="GB128" i="56"/>
  <c r="HD106" i="56"/>
  <c r="GB106" i="56"/>
  <c r="HD15" i="56"/>
  <c r="GB15" i="56"/>
  <c r="IA291" i="56"/>
  <c r="IB291" i="56" s="1"/>
  <c r="FK291" i="56"/>
  <c r="BS291" i="56" s="1"/>
  <c r="EP291" i="56"/>
  <c r="CX291" i="56"/>
  <c r="CS291" i="56"/>
  <c r="I291" i="56" s="1"/>
  <c r="CT291" i="56" s="1"/>
  <c r="CL291" i="56"/>
  <c r="CI291" i="56"/>
  <c r="BK291" i="56"/>
  <c r="BX291" i="56"/>
  <c r="BO291" i="56"/>
  <c r="BW291" i="56"/>
  <c r="CG291" i="56"/>
  <c r="CH291" i="56" s="1"/>
  <c r="H291" i="56" s="1"/>
  <c r="CM291" i="56"/>
  <c r="J291" i="56" s="1"/>
  <c r="CN291" i="56" s="1"/>
  <c r="BU291" i="56"/>
  <c r="IA227" i="56"/>
  <c r="IB227" i="56" s="1"/>
  <c r="FK227" i="56"/>
  <c r="BS227" i="56" s="1"/>
  <c r="EP227" i="56"/>
  <c r="CX227" i="56"/>
  <c r="CG227" i="56"/>
  <c r="CH227" i="56" s="1"/>
  <c r="H227" i="56" s="1"/>
  <c r="CM227" i="56"/>
  <c r="J227" i="56" s="1"/>
  <c r="CN227" i="56" s="1"/>
  <c r="BW227" i="56"/>
  <c r="CS227" i="56"/>
  <c r="I227" i="56" s="1"/>
  <c r="CT227" i="56" s="1"/>
  <c r="CL227" i="56"/>
  <c r="BK227" i="56"/>
  <c r="CI227" i="56"/>
  <c r="BX227" i="56"/>
  <c r="BU227" i="56"/>
  <c r="BO227" i="56"/>
  <c r="BJ227" i="56"/>
  <c r="IA131" i="56"/>
  <c r="IB131" i="56" s="1"/>
  <c r="FK131" i="56"/>
  <c r="BS131" i="56" s="1"/>
  <c r="DV131" i="56"/>
  <c r="CX131" i="56"/>
  <c r="CS131" i="56"/>
  <c r="I131" i="56" s="1"/>
  <c r="CT131" i="56" s="1"/>
  <c r="CM131" i="56"/>
  <c r="J131" i="56" s="1"/>
  <c r="CN131" i="56" s="1"/>
  <c r="CI131" i="56"/>
  <c r="CL131" i="56"/>
  <c r="BW131" i="56"/>
  <c r="BK131" i="56"/>
  <c r="BX131" i="56"/>
  <c r="CG131" i="56"/>
  <c r="CH131" i="56" s="1"/>
  <c r="H131" i="56" s="1"/>
  <c r="BU131" i="56"/>
  <c r="BJ131" i="56"/>
  <c r="IA19" i="56"/>
  <c r="IB19" i="56" s="1"/>
  <c r="FK19" i="56"/>
  <c r="BS19" i="56" s="1"/>
  <c r="DV19" i="56"/>
  <c r="CS19" i="56"/>
  <c r="I19" i="56" s="1"/>
  <c r="CT19" i="56" s="1"/>
  <c r="CI19" i="56"/>
  <c r="CX19" i="56"/>
  <c r="BX19" i="56"/>
  <c r="BU19" i="56"/>
  <c r="BK19" i="56"/>
  <c r="CG19" i="56"/>
  <c r="CH19" i="56" s="1"/>
  <c r="H19" i="56" s="1"/>
  <c r="CL19" i="56"/>
  <c r="BO19" i="56"/>
  <c r="CM19" i="56"/>
  <c r="J19" i="56" s="1"/>
  <c r="CN19" i="56" s="1"/>
  <c r="BA65" i="56"/>
  <c r="BB65" i="56" s="1"/>
  <c r="AZ65" i="56"/>
  <c r="EK278" i="56"/>
  <c r="EL278" i="56"/>
  <c r="BQ324" i="56"/>
  <c r="FH278" i="56"/>
  <c r="FG278" i="56" a="1"/>
  <c r="FG278" i="56" s="1"/>
  <c r="Q323" i="56"/>
  <c r="EK323" i="56" s="1"/>
  <c r="HD303" i="56"/>
  <c r="GB303" i="56"/>
  <c r="HD262" i="56"/>
  <c r="GB262" i="56"/>
  <c r="HD208" i="56"/>
  <c r="GB208" i="56"/>
  <c r="HD116" i="56"/>
  <c r="GB116" i="56"/>
  <c r="HD54" i="56"/>
  <c r="GB54" i="56"/>
  <c r="IA290" i="56"/>
  <c r="IB290" i="56" s="1"/>
  <c r="FK290" i="56"/>
  <c r="BS290" i="56" s="1"/>
  <c r="CX290" i="56"/>
  <c r="CS290" i="56"/>
  <c r="I290" i="56" s="1"/>
  <c r="CT290" i="56" s="1"/>
  <c r="EP290" i="56"/>
  <c r="CI290" i="56"/>
  <c r="CL290" i="56"/>
  <c r="CM290" i="56"/>
  <c r="J290" i="56" s="1"/>
  <c r="CN290" i="56" s="1"/>
  <c r="CG290" i="56"/>
  <c r="CH290" i="56" s="1"/>
  <c r="H290" i="56" s="1"/>
  <c r="BX290" i="56"/>
  <c r="BU290" i="56"/>
  <c r="BK290" i="56"/>
  <c r="BW290" i="56"/>
  <c r="BJ290" i="56"/>
  <c r="IA146" i="56"/>
  <c r="IB146" i="56" s="1"/>
  <c r="FK146" i="56"/>
  <c r="BS146" i="56" s="1"/>
  <c r="CX146" i="56"/>
  <c r="CI146" i="56"/>
  <c r="CG146" i="56"/>
  <c r="CH146" i="56" s="1"/>
  <c r="H146" i="56" s="1"/>
  <c r="CL146" i="56"/>
  <c r="CS146" i="56"/>
  <c r="I146" i="56" s="1"/>
  <c r="CT146" i="56" s="1"/>
  <c r="BU146" i="56"/>
  <c r="BX146" i="56"/>
  <c r="BK146" i="56"/>
  <c r="BJ146" i="56"/>
  <c r="BO146" i="56"/>
  <c r="BW146" i="56"/>
  <c r="BI174" i="56"/>
  <c r="FG89" i="56" a="1"/>
  <c r="FG89" i="56" s="1"/>
  <c r="FH89" i="56"/>
  <c r="IE159" i="56"/>
  <c r="HX159" i="56"/>
  <c r="EK234" i="56"/>
  <c r="EL234" i="56"/>
  <c r="Q146" i="56"/>
  <c r="EK146" i="56" s="1"/>
  <c r="Q115" i="56"/>
  <c r="EK115" i="56" s="1"/>
  <c r="EK64" i="56"/>
  <c r="EL64" i="56"/>
  <c r="Q320" i="56"/>
  <c r="EK320" i="56" s="1"/>
  <c r="Q289" i="56"/>
  <c r="EK289" i="56" s="1"/>
  <c r="Q259" i="56"/>
  <c r="Q176" i="56"/>
  <c r="Q145" i="56"/>
  <c r="EK145" i="56" s="1"/>
  <c r="Q114" i="56"/>
  <c r="EK114" i="56" s="1"/>
  <c r="EK63" i="56"/>
  <c r="Q34" i="56"/>
  <c r="EK34" i="56" s="1"/>
  <c r="HD331" i="56"/>
  <c r="GB331" i="56"/>
  <c r="HD271" i="56"/>
  <c r="GB271" i="56"/>
  <c r="HD238" i="56"/>
  <c r="GB238" i="56"/>
  <c r="HD227" i="56"/>
  <c r="GB227" i="56"/>
  <c r="HD217" i="56"/>
  <c r="GB217" i="56"/>
  <c r="HD114" i="56"/>
  <c r="GB114" i="56"/>
  <c r="HD43" i="56"/>
  <c r="GB43" i="56"/>
  <c r="HD22" i="56"/>
  <c r="GB22" i="56"/>
  <c r="AZ274" i="56"/>
  <c r="AZ239" i="56"/>
  <c r="Q239" i="56" s="1"/>
  <c r="EK239" i="56" s="1"/>
  <c r="EK167" i="56"/>
  <c r="BA225" i="56"/>
  <c r="BB225" i="56" s="1"/>
  <c r="BD225" i="56" s="1" a="1"/>
  <c r="BD225" i="56" s="1"/>
  <c r="C225" i="56" s="1"/>
  <c r="BE225" i="56" s="1"/>
  <c r="BA97" i="56"/>
  <c r="BB97" i="56" s="1"/>
  <c r="BD97" i="56" s="1" a="1"/>
  <c r="BD97" i="56" s="1"/>
  <c r="EQ342" i="56"/>
  <c r="BQ342" i="56"/>
  <c r="BD342" i="56" a="1"/>
  <c r="BD342" i="56" s="1"/>
  <c r="C342" i="56" s="1"/>
  <c r="BE342" i="56" s="1"/>
  <c r="BN342" i="56"/>
  <c r="FY342" i="56" s="1"/>
  <c r="EQ326" i="56"/>
  <c r="BQ326" i="56"/>
  <c r="BN326" i="56"/>
  <c r="FY326" i="56" s="1"/>
  <c r="EQ310" i="56"/>
  <c r="BQ310" i="56"/>
  <c r="BD310" i="56" a="1"/>
  <c r="BD310" i="56" s="1"/>
  <c r="BN310" i="56"/>
  <c r="FY310" i="56" s="1"/>
  <c r="EQ294" i="56"/>
  <c r="BQ294" i="56"/>
  <c r="BD294" i="56" a="1"/>
  <c r="BD294" i="56" s="1"/>
  <c r="EQ278" i="56"/>
  <c r="BQ278" i="56"/>
  <c r="BN278" i="56"/>
  <c r="FY278" i="56" s="1"/>
  <c r="BD278" i="56" a="1"/>
  <c r="BD278" i="56" s="1"/>
  <c r="C278" i="56" s="1"/>
  <c r="BE278" i="56" s="1"/>
  <c r="EQ262" i="56"/>
  <c r="BQ262" i="56"/>
  <c r="BN262" i="56"/>
  <c r="FY262" i="56" s="1"/>
  <c r="EQ246" i="56"/>
  <c r="BQ246" i="56"/>
  <c r="BD246" i="56" a="1"/>
  <c r="BD246" i="56" s="1"/>
  <c r="C246" i="56" s="1"/>
  <c r="BE246" i="56" s="1"/>
  <c r="EQ230" i="56"/>
  <c r="BQ230" i="56"/>
  <c r="BD230" i="56" a="1"/>
  <c r="BD230" i="56" s="1"/>
  <c r="BN230" i="56"/>
  <c r="FY230" i="56" s="1"/>
  <c r="EQ214" i="56"/>
  <c r="BQ214" i="56"/>
  <c r="BD214" i="56" a="1"/>
  <c r="BD214" i="56" s="1"/>
  <c r="C214" i="56" s="1"/>
  <c r="BE214" i="56" s="1"/>
  <c r="BN214" i="56"/>
  <c r="FY214" i="56" s="1"/>
  <c r="EQ198" i="56"/>
  <c r="BQ198" i="56"/>
  <c r="BN198" i="56"/>
  <c r="FY198" i="56" s="1"/>
  <c r="EQ182" i="56"/>
  <c r="BQ182" i="56"/>
  <c r="BD182" i="56" a="1"/>
  <c r="BD182" i="56" s="1"/>
  <c r="BN182" i="56"/>
  <c r="FY182" i="56" s="1"/>
  <c r="EQ166" i="56"/>
  <c r="BQ166" i="56"/>
  <c r="BD166" i="56" a="1"/>
  <c r="BD166" i="56" s="1"/>
  <c r="C166" i="56" s="1"/>
  <c r="BE166" i="56" s="1"/>
  <c r="EQ150" i="56"/>
  <c r="BQ150" i="56"/>
  <c r="BN150" i="56"/>
  <c r="FY150" i="56" s="1"/>
  <c r="BD150" i="56" a="1"/>
  <c r="BD150" i="56" s="1"/>
  <c r="EQ134" i="56"/>
  <c r="BQ134" i="56"/>
  <c r="BN134" i="56"/>
  <c r="FY134" i="56" s="1"/>
  <c r="EQ118" i="56"/>
  <c r="BQ118" i="56"/>
  <c r="BD118" i="56" a="1"/>
  <c r="BD118" i="56" s="1"/>
  <c r="EQ102" i="56"/>
  <c r="BQ102" i="56"/>
  <c r="BN102" i="56"/>
  <c r="FY102" i="56" s="1"/>
  <c r="EQ86" i="56"/>
  <c r="BQ86" i="56"/>
  <c r="BD86" i="56" a="1"/>
  <c r="BD86" i="56" s="1"/>
  <c r="BN86" i="56"/>
  <c r="FY86" i="56" s="1"/>
  <c r="EQ70" i="56"/>
  <c r="BQ70" i="56"/>
  <c r="BN70" i="56"/>
  <c r="FY70" i="56" s="1"/>
  <c r="EQ54" i="56"/>
  <c r="BQ54" i="56"/>
  <c r="BD54" i="56" a="1"/>
  <c r="BD54" i="56" s="1"/>
  <c r="BN54" i="56"/>
  <c r="FY54" i="56" s="1"/>
  <c r="EQ38" i="56"/>
  <c r="BQ38" i="56"/>
  <c r="BD38" i="56" a="1"/>
  <c r="BD38" i="56" s="1"/>
  <c r="C38" i="56" s="1"/>
  <c r="BE38" i="56" s="1"/>
  <c r="EQ22" i="56"/>
  <c r="BQ22" i="56"/>
  <c r="BN22" i="56"/>
  <c r="FY22" i="56" s="1"/>
  <c r="BD22" i="56" a="1"/>
  <c r="BD22" i="56" s="1"/>
  <c r="EQ6" i="56"/>
  <c r="BQ6" i="56"/>
  <c r="BN6" i="56"/>
  <c r="FY6" i="56" s="1"/>
  <c r="BJ291" i="56"/>
  <c r="BJ161" i="56"/>
  <c r="BJ115" i="56"/>
  <c r="BL115" i="56" s="1"/>
  <c r="BK193" i="56"/>
  <c r="BK144" i="56"/>
  <c r="BL94" i="56"/>
  <c r="BL266" i="56"/>
  <c r="BN118" i="56"/>
  <c r="FY118" i="56" s="1"/>
  <c r="BO132" i="56"/>
  <c r="GA346" i="56"/>
  <c r="DT346" i="56"/>
  <c r="CV346" i="56"/>
  <c r="GA330" i="56"/>
  <c r="DT330" i="56"/>
  <c r="CV330" i="56"/>
  <c r="GA314" i="56"/>
  <c r="DT314" i="56"/>
  <c r="CV314" i="56"/>
  <c r="GA298" i="56"/>
  <c r="DT298" i="56"/>
  <c r="CV298" i="56"/>
  <c r="GA282" i="56"/>
  <c r="DT282" i="56"/>
  <c r="GA266" i="56"/>
  <c r="DT266" i="56"/>
  <c r="CV266" i="56"/>
  <c r="GA250" i="56"/>
  <c r="CV250" i="56"/>
  <c r="DT250" i="56"/>
  <c r="GA234" i="56"/>
  <c r="CV234" i="56"/>
  <c r="DT234" i="56"/>
  <c r="GA218" i="56"/>
  <c r="DT218" i="56"/>
  <c r="GA202" i="56"/>
  <c r="DT202" i="56"/>
  <c r="CV202" i="56"/>
  <c r="GA186" i="56"/>
  <c r="DT186" i="56"/>
  <c r="CV186" i="56"/>
  <c r="GA170" i="56"/>
  <c r="DT170" i="56"/>
  <c r="CV170" i="56"/>
  <c r="DL170" i="56"/>
  <c r="GA154" i="56"/>
  <c r="DT154" i="56"/>
  <c r="CV154" i="56"/>
  <c r="GA138" i="56"/>
  <c r="DT138" i="56"/>
  <c r="CV138" i="56"/>
  <c r="GA122" i="56"/>
  <c r="DT122" i="56"/>
  <c r="CV122" i="56"/>
  <c r="GA106" i="56"/>
  <c r="DT106" i="56"/>
  <c r="CV106" i="56"/>
  <c r="GA90" i="56"/>
  <c r="DT90" i="56"/>
  <c r="CV90" i="56"/>
  <c r="GA74" i="56"/>
  <c r="DT74" i="56"/>
  <c r="GA58" i="56"/>
  <c r="DT58" i="56"/>
  <c r="CV58" i="56"/>
  <c r="GA42" i="56"/>
  <c r="DT42" i="56"/>
  <c r="GA26" i="56"/>
  <c r="CV26" i="56"/>
  <c r="DT26" i="56"/>
  <c r="DL347" i="56"/>
  <c r="DJ347" i="56"/>
  <c r="DL331" i="56"/>
  <c r="DJ331" i="56"/>
  <c r="DL315" i="56"/>
  <c r="DJ315" i="56"/>
  <c r="DL299" i="56"/>
  <c r="DJ299" i="56"/>
  <c r="DL283" i="56"/>
  <c r="DJ283" i="56"/>
  <c r="DL267" i="56"/>
  <c r="DJ267" i="56"/>
  <c r="DL251" i="56"/>
  <c r="DJ251" i="56"/>
  <c r="DL235" i="56"/>
  <c r="DJ235" i="56"/>
  <c r="DL219" i="56"/>
  <c r="DJ219" i="56"/>
  <c r="DJ203" i="56"/>
  <c r="DL203" i="56"/>
  <c r="DJ187" i="56"/>
  <c r="DL187" i="56"/>
  <c r="DJ171" i="56"/>
  <c r="DL171" i="56"/>
  <c r="DJ155" i="56"/>
  <c r="DL155" i="56"/>
  <c r="DJ139" i="56"/>
  <c r="DL139" i="56"/>
  <c r="DJ123" i="56"/>
  <c r="DL123" i="56"/>
  <c r="DL107" i="56"/>
  <c r="DJ107" i="56"/>
  <c r="DL7" i="56"/>
  <c r="DJ7" i="56"/>
  <c r="BX226" i="56"/>
  <c r="HD209" i="56"/>
  <c r="GB209" i="56"/>
  <c r="HD117" i="56"/>
  <c r="GB117" i="56"/>
  <c r="HD45" i="56"/>
  <c r="GB45" i="56"/>
  <c r="IA307" i="56"/>
  <c r="IB307" i="56" s="1"/>
  <c r="FK307" i="56"/>
  <c r="BS307" i="56" s="1"/>
  <c r="DV307" i="56"/>
  <c r="EP307" i="56"/>
  <c r="CS307" i="56"/>
  <c r="I307" i="56" s="1"/>
  <c r="CT307" i="56" s="1"/>
  <c r="CX307" i="56"/>
  <c r="CL307" i="56"/>
  <c r="CM307" i="56"/>
  <c r="J307" i="56" s="1"/>
  <c r="CN307" i="56" s="1"/>
  <c r="CG307" i="56"/>
  <c r="CH307" i="56" s="1"/>
  <c r="H307" i="56" s="1"/>
  <c r="BX307" i="56"/>
  <c r="BK307" i="56"/>
  <c r="BW307" i="56"/>
  <c r="CI307" i="56"/>
  <c r="BJ307" i="56"/>
  <c r="BO307" i="56"/>
  <c r="IA179" i="56"/>
  <c r="IB179" i="56" s="1"/>
  <c r="FK179" i="56"/>
  <c r="BS179" i="56" s="1"/>
  <c r="EP179" i="56"/>
  <c r="CX179" i="56"/>
  <c r="CG179" i="56"/>
  <c r="CH179" i="56" s="1"/>
  <c r="H179" i="56" s="1"/>
  <c r="BW179" i="56"/>
  <c r="BK179" i="56"/>
  <c r="CI179" i="56"/>
  <c r="CL179" i="56"/>
  <c r="CM179" i="56"/>
  <c r="J179" i="56" s="1"/>
  <c r="CN179" i="56" s="1"/>
  <c r="BJ179" i="56"/>
  <c r="CS179" i="56"/>
  <c r="I179" i="56" s="1"/>
  <c r="CT179" i="56" s="1"/>
  <c r="BO179" i="56"/>
  <c r="BX179" i="56"/>
  <c r="IA99" i="56"/>
  <c r="IB99" i="56" s="1"/>
  <c r="FK99" i="56"/>
  <c r="DV99" i="56"/>
  <c r="CX99" i="56"/>
  <c r="CS99" i="56"/>
  <c r="I99" i="56" s="1"/>
  <c r="CT99" i="56" s="1"/>
  <c r="BX99" i="56"/>
  <c r="BS99" i="56"/>
  <c r="BU99" i="56"/>
  <c r="BK99" i="56"/>
  <c r="CM99" i="56"/>
  <c r="J99" i="56" s="1"/>
  <c r="CN99" i="56" s="1"/>
  <c r="BW99" i="56"/>
  <c r="CG99" i="56"/>
  <c r="CH99" i="56" s="1"/>
  <c r="H99" i="56" s="1"/>
  <c r="BJ99" i="56"/>
  <c r="CI99" i="56"/>
  <c r="CL99" i="56"/>
  <c r="BO99" i="56"/>
  <c r="BA193" i="56"/>
  <c r="BB193" i="56" s="1"/>
  <c r="AZ193" i="56"/>
  <c r="Q193" i="56" s="1"/>
  <c r="EK193" i="56" s="1"/>
  <c r="BA145" i="56"/>
  <c r="BB145" i="56" s="1"/>
  <c r="AZ145" i="56"/>
  <c r="BA17" i="56"/>
  <c r="BB17" i="56" s="1"/>
  <c r="AZ17" i="56"/>
  <c r="AZ177" i="56"/>
  <c r="Q177" i="56" s="1"/>
  <c r="BL122" i="56"/>
  <c r="BQ148" i="56"/>
  <c r="CL84" i="56"/>
  <c r="EK66" i="56"/>
  <c r="HD343" i="56"/>
  <c r="GB343" i="56"/>
  <c r="HD333" i="56"/>
  <c r="GB333" i="56"/>
  <c r="HD230" i="56"/>
  <c r="GB230" i="56"/>
  <c r="HD148" i="56"/>
  <c r="GB148" i="56"/>
  <c r="HD127" i="56"/>
  <c r="GB127" i="56"/>
  <c r="IA338" i="56"/>
  <c r="IB338" i="56" s="1"/>
  <c r="EP338" i="56"/>
  <c r="CX338" i="56"/>
  <c r="CM338" i="56"/>
  <c r="J338" i="56" s="1"/>
  <c r="CN338" i="56" s="1"/>
  <c r="BX338" i="56"/>
  <c r="BU338" i="56"/>
  <c r="CS338" i="56"/>
  <c r="I338" i="56" s="1"/>
  <c r="CT338" i="56" s="1"/>
  <c r="CI338" i="56"/>
  <c r="CG338" i="56"/>
  <c r="CH338" i="56" s="1"/>
  <c r="H338" i="56" s="1"/>
  <c r="BK338" i="56"/>
  <c r="BS338" i="56"/>
  <c r="CL338" i="56"/>
  <c r="BW338" i="56"/>
  <c r="IA242" i="56"/>
  <c r="IB242" i="56" s="1"/>
  <c r="FK242" i="56"/>
  <c r="BS242" i="56" s="1"/>
  <c r="EP242" i="56"/>
  <c r="CX242" i="56"/>
  <c r="DV242" i="56"/>
  <c r="CS242" i="56"/>
  <c r="I242" i="56" s="1"/>
  <c r="CT242" i="56" s="1"/>
  <c r="CL242" i="56"/>
  <c r="CG242" i="56"/>
  <c r="CH242" i="56" s="1"/>
  <c r="H242" i="56" s="1"/>
  <c r="CI242" i="56"/>
  <c r="BU242" i="56"/>
  <c r="BK242" i="56"/>
  <c r="BX242" i="56"/>
  <c r="BO242" i="56"/>
  <c r="BJ242" i="56"/>
  <c r="CM242" i="56"/>
  <c r="J242" i="56" s="1"/>
  <c r="CN242" i="56" s="1"/>
  <c r="FV130" i="56"/>
  <c r="FK130" i="56"/>
  <c r="BS130" i="56" s="1"/>
  <c r="EP130" i="56"/>
  <c r="CX130" i="56"/>
  <c r="CM130" i="56"/>
  <c r="J130" i="56" s="1"/>
  <c r="CN130" i="56" s="1"/>
  <c r="CS130" i="56"/>
  <c r="I130" i="56" s="1"/>
  <c r="CT130" i="56" s="1"/>
  <c r="CI130" i="56"/>
  <c r="BU130" i="56"/>
  <c r="BK130" i="56"/>
  <c r="CG130" i="56"/>
  <c r="CH130" i="56" s="1"/>
  <c r="H130" i="56" s="1"/>
  <c r="BW130" i="56"/>
  <c r="BJ130" i="56"/>
  <c r="BO130" i="56"/>
  <c r="BX130" i="56"/>
  <c r="IA18" i="56"/>
  <c r="IB18" i="56" s="1"/>
  <c r="FK18" i="56"/>
  <c r="BS18" i="56" s="1"/>
  <c r="DV18" i="56"/>
  <c r="CX18" i="56"/>
  <c r="CL18" i="56"/>
  <c r="CS18" i="56"/>
  <c r="I18" i="56" s="1"/>
  <c r="CT18" i="56" s="1"/>
  <c r="CM18" i="56"/>
  <c r="J18" i="56" s="1"/>
  <c r="CN18" i="56" s="1"/>
  <c r="BU18" i="56"/>
  <c r="BK18" i="56"/>
  <c r="CI18" i="56"/>
  <c r="BX18" i="56"/>
  <c r="CG18" i="56"/>
  <c r="CH18" i="56" s="1"/>
  <c r="H18" i="56" s="1"/>
  <c r="BO18" i="56"/>
  <c r="BJ18" i="56"/>
  <c r="BW18" i="56"/>
  <c r="BA272" i="56"/>
  <c r="BB272" i="56" s="1"/>
  <c r="BD272" i="56" s="1" a="1"/>
  <c r="BD272" i="56" s="1"/>
  <c r="AZ272" i="56"/>
  <c r="Q272" i="56" s="1"/>
  <c r="EK272" i="56" s="1"/>
  <c r="BA160" i="56"/>
  <c r="BB160" i="56" s="1"/>
  <c r="BD160" i="56" s="1" a="1"/>
  <c r="BD160" i="56" s="1"/>
  <c r="C160" i="56" s="1"/>
  <c r="BE160" i="56" s="1"/>
  <c r="AZ160" i="56"/>
  <c r="Q160" i="56" s="1"/>
  <c r="EK160" i="56" s="1"/>
  <c r="FY62" i="56"/>
  <c r="BW195" i="56"/>
  <c r="Q258" i="56"/>
  <c r="EK258" i="56" s="1"/>
  <c r="Q227" i="56"/>
  <c r="EK227" i="56" s="1"/>
  <c r="HD320" i="56"/>
  <c r="GB320" i="56"/>
  <c r="HD226" i="56"/>
  <c r="GB226" i="56"/>
  <c r="HD136" i="56"/>
  <c r="GB136" i="56"/>
  <c r="HD92" i="56"/>
  <c r="GB92" i="56"/>
  <c r="HD42" i="56"/>
  <c r="GB42" i="56"/>
  <c r="HD21" i="56"/>
  <c r="GB21" i="56"/>
  <c r="BA318" i="56"/>
  <c r="BB318" i="56" s="1"/>
  <c r="BD318" i="56" s="1" a="1"/>
  <c r="BD318" i="56" s="1"/>
  <c r="C318" i="56" s="1"/>
  <c r="BE318" i="56" s="1"/>
  <c r="BA224" i="56"/>
  <c r="BB224" i="56" s="1"/>
  <c r="BD224" i="56" s="1" a="1"/>
  <c r="BD224" i="56" s="1"/>
  <c r="BA130" i="56"/>
  <c r="BB130" i="56" s="1"/>
  <c r="BA96" i="56"/>
  <c r="BB96" i="56" s="1"/>
  <c r="BD96" i="56" s="1" a="1"/>
  <c r="BD96" i="56" s="1"/>
  <c r="BD308" i="56" a="1"/>
  <c r="BD308" i="56" s="1"/>
  <c r="C308" i="56" s="1"/>
  <c r="BE308" i="56" s="1"/>
  <c r="BD208" i="56" a="1"/>
  <c r="BD208" i="56" s="1"/>
  <c r="C208" i="56" s="1"/>
  <c r="BE208" i="56" s="1"/>
  <c r="BD161" i="56" a="1"/>
  <c r="BD161" i="56" s="1"/>
  <c r="C161" i="56" s="1"/>
  <c r="BE161" i="56" s="1"/>
  <c r="BD112" i="56" a="1"/>
  <c r="BD112" i="56" s="1"/>
  <c r="FW343" i="56"/>
  <c r="BI343" i="56"/>
  <c r="GC343" i="56" s="1"/>
  <c r="FW327" i="56"/>
  <c r="BI327" i="56"/>
  <c r="GC327" i="56" s="1"/>
  <c r="FW311" i="56"/>
  <c r="BI311" i="56"/>
  <c r="T311" i="56" s="1"/>
  <c r="FW295" i="56"/>
  <c r="BI295" i="56"/>
  <c r="GC295" i="56" s="1"/>
  <c r="FW279" i="56"/>
  <c r="BI279" i="56"/>
  <c r="FW263" i="56"/>
  <c r="BI263" i="56"/>
  <c r="GC263" i="56" s="1"/>
  <c r="FW247" i="56"/>
  <c r="BI247" i="56"/>
  <c r="GC247" i="56" s="1"/>
  <c r="FW231" i="56"/>
  <c r="BI231" i="56"/>
  <c r="T231" i="56" s="1"/>
  <c r="FW215" i="56"/>
  <c r="BI215" i="56"/>
  <c r="T215" i="56" s="1"/>
  <c r="FW199" i="56"/>
  <c r="BI199" i="56"/>
  <c r="T199" i="56" s="1"/>
  <c r="FW183" i="56"/>
  <c r="BI183" i="56"/>
  <c r="T183" i="56" s="1"/>
  <c r="FW167" i="56"/>
  <c r="BI167" i="56"/>
  <c r="FW151" i="56"/>
  <c r="BI151" i="56"/>
  <c r="T151" i="56" s="1"/>
  <c r="FW135" i="56"/>
  <c r="BI135" i="56"/>
  <c r="GC135" i="56" s="1"/>
  <c r="FW119" i="56"/>
  <c r="GC119" i="56"/>
  <c r="BI119" i="56"/>
  <c r="T119" i="56"/>
  <c r="FW103" i="56"/>
  <c r="BI103" i="56"/>
  <c r="GC103" i="56" s="1"/>
  <c r="FW87" i="56"/>
  <c r="BI87" i="56"/>
  <c r="T87" i="56" s="1"/>
  <c r="FW71" i="56"/>
  <c r="BI71" i="56"/>
  <c r="GC71" i="56" s="1"/>
  <c r="T71" i="56"/>
  <c r="FW55" i="56"/>
  <c r="BI55" i="56"/>
  <c r="GD39" i="56"/>
  <c r="GC39" i="56"/>
  <c r="FW39" i="56"/>
  <c r="BI39" i="56"/>
  <c r="FW23" i="56"/>
  <c r="BI23" i="56"/>
  <c r="T23" i="56" s="1"/>
  <c r="FW7" i="56"/>
  <c r="BI7" i="56"/>
  <c r="BJ160" i="56"/>
  <c r="BJ27" i="56"/>
  <c r="BK192" i="56"/>
  <c r="BL92" i="56"/>
  <c r="BN38" i="56"/>
  <c r="FY38" i="56" s="1"/>
  <c r="BO290" i="56"/>
  <c r="BO131" i="56"/>
  <c r="BQ301" i="56"/>
  <c r="BQ125" i="56"/>
  <c r="BQ45" i="56"/>
  <c r="DL346" i="56"/>
  <c r="DJ346" i="56"/>
  <c r="DL330" i="56"/>
  <c r="GF330" i="56" s="1"/>
  <c r="DJ330" i="56"/>
  <c r="DL314" i="56"/>
  <c r="DJ314" i="56"/>
  <c r="DL298" i="56"/>
  <c r="DJ298" i="56"/>
  <c r="DL282" i="56"/>
  <c r="DJ282" i="56"/>
  <c r="DL266" i="56"/>
  <c r="DJ266" i="56"/>
  <c r="DJ250" i="56"/>
  <c r="DL250" i="56"/>
  <c r="DL234" i="56"/>
  <c r="DJ234" i="56"/>
  <c r="DL218" i="56"/>
  <c r="DJ218" i="56"/>
  <c r="DL202" i="56"/>
  <c r="GF202" i="56" s="1"/>
  <c r="DJ202" i="56"/>
  <c r="DJ186" i="56"/>
  <c r="DL186" i="56"/>
  <c r="DJ170" i="56"/>
  <c r="DL23" i="56"/>
  <c r="DJ23" i="56"/>
  <c r="BW20" i="56"/>
  <c r="CG91" i="56"/>
  <c r="CH91" i="56" s="1"/>
  <c r="H91" i="56" s="1"/>
  <c r="HD341" i="56"/>
  <c r="GB341" i="56"/>
  <c r="GM341" i="56"/>
  <c r="HD310" i="56"/>
  <c r="GB310" i="56"/>
  <c r="HD281" i="56"/>
  <c r="GB281" i="56"/>
  <c r="HD259" i="56"/>
  <c r="GB259" i="56"/>
  <c r="HD216" i="56"/>
  <c r="GB216" i="56"/>
  <c r="HD156" i="56"/>
  <c r="GB156" i="56"/>
  <c r="HD32" i="56"/>
  <c r="GB32" i="56"/>
  <c r="Q195" i="56"/>
  <c r="EK195" i="56" s="1"/>
  <c r="Q112" i="56"/>
  <c r="EK112" i="56" s="1"/>
  <c r="HD350" i="56"/>
  <c r="GB350" i="56"/>
  <c r="HD340" i="56"/>
  <c r="GB340" i="56"/>
  <c r="HD280" i="56"/>
  <c r="GB280" i="56"/>
  <c r="GB237" i="56"/>
  <c r="HD237" i="56"/>
  <c r="HD196" i="56"/>
  <c r="GB196" i="56"/>
  <c r="HD135" i="56"/>
  <c r="GB135" i="56"/>
  <c r="HD124" i="56"/>
  <c r="GB124" i="56"/>
  <c r="HD113" i="56"/>
  <c r="GB113" i="56"/>
  <c r="HD81" i="56"/>
  <c r="GB81" i="56"/>
  <c r="CR333" i="56"/>
  <c r="CQ333" i="56" a="1"/>
  <c r="CQ333" i="56" s="1"/>
  <c r="CO333" i="56" a="1"/>
  <c r="CO333" i="56" s="1"/>
  <c r="CP333" i="56" a="1"/>
  <c r="CP333" i="56" s="1"/>
  <c r="BS301" i="56"/>
  <c r="AZ201" i="56"/>
  <c r="Q201" i="56" s="1"/>
  <c r="EK201" i="56" s="1"/>
  <c r="BA95" i="56"/>
  <c r="BB95" i="56" s="1"/>
  <c r="BD95" i="56" s="1" a="1"/>
  <c r="BD95" i="56" s="1"/>
  <c r="BI159" i="56"/>
  <c r="BI111" i="56"/>
  <c r="T111" i="56" s="1"/>
  <c r="BJ113" i="56"/>
  <c r="BL44" i="56"/>
  <c r="BO289" i="56"/>
  <c r="BO209" i="56"/>
  <c r="BO112" i="56"/>
  <c r="BO33" i="56"/>
  <c r="EH14" i="56"/>
  <c r="DM14" i="56"/>
  <c r="BU14" i="56"/>
  <c r="BU307" i="56"/>
  <c r="BW19" i="56"/>
  <c r="FG37" i="56" a="1"/>
  <c r="FG37" i="56" s="1"/>
  <c r="EK335" i="56"/>
  <c r="EL335" i="56"/>
  <c r="HD254" i="56"/>
  <c r="GB254" i="56"/>
  <c r="HD141" i="56"/>
  <c r="GB141" i="56"/>
  <c r="HD97" i="56"/>
  <c r="GB97" i="56"/>
  <c r="HD87" i="56"/>
  <c r="GB87" i="56"/>
  <c r="HD77" i="56"/>
  <c r="GB77" i="56"/>
  <c r="HD67" i="56"/>
  <c r="GB67" i="56"/>
  <c r="HD6" i="56"/>
  <c r="GB6" i="56"/>
  <c r="EQ285" i="56"/>
  <c r="BN285" i="56"/>
  <c r="FY285" i="56" s="1"/>
  <c r="BQ285" i="56"/>
  <c r="BD285" i="56" a="1"/>
  <c r="BD285" i="56" s="1"/>
  <c r="C285" i="56" s="1"/>
  <c r="BE285" i="56" s="1"/>
  <c r="EQ189" i="56"/>
  <c r="BN189" i="56"/>
  <c r="FY189" i="56" s="1"/>
  <c r="BQ189" i="56"/>
  <c r="EQ109" i="56"/>
  <c r="BN109" i="56"/>
  <c r="FY109" i="56" s="1"/>
  <c r="BD109" i="56" a="1"/>
  <c r="BD109" i="56" s="1"/>
  <c r="BQ109" i="56"/>
  <c r="EQ61" i="56"/>
  <c r="BN61" i="56"/>
  <c r="FY61" i="56" s="1"/>
  <c r="BQ61" i="56"/>
  <c r="EQ13" i="56"/>
  <c r="BD13" i="56" a="1"/>
  <c r="BD13" i="56" s="1"/>
  <c r="BQ13" i="56"/>
  <c r="FW255" i="56"/>
  <c r="BQ173" i="56"/>
  <c r="FG5" i="56" a="1"/>
  <c r="FG5" i="56" s="1"/>
  <c r="FH5" i="56"/>
  <c r="FW286" i="56"/>
  <c r="BI286" i="56"/>
  <c r="T286" i="56" s="1"/>
  <c r="FW62" i="56"/>
  <c r="BI62" i="56"/>
  <c r="GC62" i="56" s="1"/>
  <c r="HD170" i="56"/>
  <c r="GB170" i="56"/>
  <c r="HD149" i="56"/>
  <c r="GB149" i="56"/>
  <c r="HD118" i="56"/>
  <c r="GB118" i="56"/>
  <c r="IA340" i="56"/>
  <c r="IB340" i="56" s="1"/>
  <c r="EP340" i="56"/>
  <c r="DV340" i="56"/>
  <c r="CX340" i="56"/>
  <c r="CM340" i="56"/>
  <c r="J340" i="56" s="1"/>
  <c r="CN340" i="56" s="1"/>
  <c r="CG340" i="56"/>
  <c r="CH340" i="56" s="1"/>
  <c r="H340" i="56" s="1"/>
  <c r="BS340" i="56"/>
  <c r="CL340" i="56"/>
  <c r="BW340" i="56"/>
  <c r="CS340" i="56"/>
  <c r="I340" i="56" s="1"/>
  <c r="CT340" i="56" s="1"/>
  <c r="BJ340" i="56"/>
  <c r="CI340" i="56"/>
  <c r="BX340" i="56"/>
  <c r="BU340" i="56"/>
  <c r="Q340" i="56"/>
  <c r="EK340" i="56" s="1"/>
  <c r="BD340" i="56" a="1"/>
  <c r="BD340" i="56" s="1"/>
  <c r="BQ340" i="56"/>
  <c r="BK340" i="56"/>
  <c r="IA276" i="56"/>
  <c r="IB276" i="56" s="1"/>
  <c r="FK276" i="56"/>
  <c r="BS276" i="56" s="1"/>
  <c r="EP276" i="56"/>
  <c r="CS276" i="56"/>
  <c r="I276" i="56" s="1"/>
  <c r="CT276" i="56" s="1"/>
  <c r="CL276" i="56"/>
  <c r="CX276" i="56"/>
  <c r="CI276" i="56"/>
  <c r="BW276" i="56"/>
  <c r="BX276" i="56"/>
  <c r="BJ276" i="56"/>
  <c r="BU276" i="56"/>
  <c r="CM276" i="56"/>
  <c r="J276" i="56" s="1"/>
  <c r="CN276" i="56" s="1"/>
  <c r="CG276" i="56"/>
  <c r="CH276" i="56" s="1"/>
  <c r="H276" i="56" s="1"/>
  <c r="Q276" i="56"/>
  <c r="BD276" i="56" a="1"/>
  <c r="BD276" i="56" s="1"/>
  <c r="BO276" i="56"/>
  <c r="IA228" i="56"/>
  <c r="IB228" i="56" s="1"/>
  <c r="FK228" i="56"/>
  <c r="EP228" i="56"/>
  <c r="CX228" i="56"/>
  <c r="CS228" i="56"/>
  <c r="I228" i="56" s="1"/>
  <c r="CT228" i="56" s="1"/>
  <c r="CL228" i="56"/>
  <c r="CM228" i="56"/>
  <c r="J228" i="56" s="1"/>
  <c r="CN228" i="56" s="1"/>
  <c r="BW228" i="56"/>
  <c r="BS228" i="56"/>
  <c r="BX228" i="56"/>
  <c r="CG228" i="56"/>
  <c r="CH228" i="56" s="1"/>
  <c r="H228" i="56" s="1"/>
  <c r="BJ228" i="56"/>
  <c r="CI228" i="56"/>
  <c r="BD228" i="56" a="1"/>
  <c r="BD228" i="56" s="1"/>
  <c r="Q228" i="56"/>
  <c r="EK228" i="56" s="1"/>
  <c r="BQ228" i="56"/>
  <c r="BK228" i="56"/>
  <c r="BU228" i="56"/>
  <c r="BO228" i="56"/>
  <c r="IA196" i="56"/>
  <c r="IB196" i="56" s="1"/>
  <c r="FK196" i="56"/>
  <c r="BS196" i="56" s="1"/>
  <c r="EP196" i="56"/>
  <c r="CI196" i="56"/>
  <c r="CL196" i="56"/>
  <c r="CS196" i="56"/>
  <c r="I196" i="56" s="1"/>
  <c r="CT196" i="56" s="1"/>
  <c r="CG196" i="56"/>
  <c r="CH196" i="56" s="1"/>
  <c r="H196" i="56" s="1"/>
  <c r="CJ196" i="56" s="1"/>
  <c r="CX196" i="56"/>
  <c r="BW196" i="56"/>
  <c r="BU196" i="56"/>
  <c r="BJ196" i="56"/>
  <c r="BL196" i="56" s="1"/>
  <c r="BX196" i="56"/>
  <c r="BO196" i="56"/>
  <c r="CM196" i="56"/>
  <c r="J196" i="56" s="1"/>
  <c r="CN196" i="56" s="1"/>
  <c r="BD196" i="56" a="1"/>
  <c r="BD196" i="56" s="1"/>
  <c r="IA164" i="56"/>
  <c r="IB164" i="56" s="1"/>
  <c r="FK164" i="56"/>
  <c r="BS164" i="56" s="1"/>
  <c r="EP164" i="56"/>
  <c r="CM164" i="56"/>
  <c r="J164" i="56" s="1"/>
  <c r="CN164" i="56" s="1"/>
  <c r="DV164" i="56"/>
  <c r="CS164" i="56"/>
  <c r="I164" i="56" s="1"/>
  <c r="CT164" i="56" s="1"/>
  <c r="CL164" i="56"/>
  <c r="BX164" i="56"/>
  <c r="CI164" i="56"/>
  <c r="BJ164" i="56"/>
  <c r="BW164" i="56"/>
  <c r="BD164" i="56" a="1"/>
  <c r="BD164" i="56" s="1"/>
  <c r="C164" i="56" s="1"/>
  <c r="BE164" i="56" s="1"/>
  <c r="Q164" i="56"/>
  <c r="EK164" i="56" s="1"/>
  <c r="BO164" i="56"/>
  <c r="BU164" i="56"/>
  <c r="CG164" i="56"/>
  <c r="CH164" i="56" s="1"/>
  <c r="H164" i="56" s="1"/>
  <c r="CJ164" i="56" s="1"/>
  <c r="BQ164" i="56"/>
  <c r="BK164" i="56"/>
  <c r="CX164" i="56"/>
  <c r="IA116" i="56"/>
  <c r="IB116" i="56" s="1"/>
  <c r="FK116" i="56"/>
  <c r="BS116" i="56" s="1"/>
  <c r="DV116" i="56"/>
  <c r="CG116" i="56"/>
  <c r="CH116" i="56" s="1"/>
  <c r="H116" i="56" s="1"/>
  <c r="CJ116" i="56" s="1"/>
  <c r="BX116" i="56"/>
  <c r="CS116" i="56"/>
  <c r="I116" i="56" s="1"/>
  <c r="CT116" i="56" s="1"/>
  <c r="CM116" i="56"/>
  <c r="J116" i="56" s="1"/>
  <c r="CN116" i="56" s="1"/>
  <c r="CI116" i="56"/>
  <c r="CL116" i="56"/>
  <c r="BJ116" i="56"/>
  <c r="BL116" i="56" s="1"/>
  <c r="BW116" i="56"/>
  <c r="CX116" i="56"/>
  <c r="Q116" i="56"/>
  <c r="EK116" i="56" s="1"/>
  <c r="BO116" i="56"/>
  <c r="BQ116" i="56"/>
  <c r="IA68" i="56"/>
  <c r="IB68" i="56" s="1"/>
  <c r="FK68" i="56"/>
  <c r="BS68" i="56" s="1"/>
  <c r="CS68" i="56"/>
  <c r="I68" i="56" s="1"/>
  <c r="CT68" i="56" s="1"/>
  <c r="CX68" i="56"/>
  <c r="CI68" i="56"/>
  <c r="CM68" i="56"/>
  <c r="J68" i="56" s="1"/>
  <c r="CN68" i="56" s="1"/>
  <c r="CL68" i="56"/>
  <c r="CG68" i="56"/>
  <c r="CH68" i="56" s="1"/>
  <c r="H68" i="56" s="1"/>
  <c r="BX68" i="56"/>
  <c r="BW68" i="56"/>
  <c r="BJ68" i="56"/>
  <c r="BL68" i="56" s="1"/>
  <c r="BU68" i="56"/>
  <c r="BO68" i="56"/>
  <c r="BD68" i="56" a="1"/>
  <c r="BD68" i="56" s="1"/>
  <c r="IA36" i="56"/>
  <c r="IB36" i="56" s="1"/>
  <c r="FK36" i="56"/>
  <c r="BS36" i="56" s="1"/>
  <c r="EP36" i="56"/>
  <c r="DV36" i="56"/>
  <c r="CM36" i="56"/>
  <c r="J36" i="56" s="1"/>
  <c r="CN36" i="56" s="1"/>
  <c r="CL36" i="56"/>
  <c r="CI36" i="56"/>
  <c r="BJ36" i="56"/>
  <c r="BW36" i="56"/>
  <c r="CS36" i="56"/>
  <c r="I36" i="56" s="1"/>
  <c r="CT36" i="56" s="1"/>
  <c r="BD36" i="56" a="1"/>
  <c r="BD36" i="56" s="1"/>
  <c r="C36" i="56" s="1"/>
  <c r="BE36" i="56" s="1"/>
  <c r="Q36" i="56"/>
  <c r="EK36" i="56" s="1"/>
  <c r="BO36" i="56"/>
  <c r="BU36" i="56"/>
  <c r="CX36" i="56"/>
  <c r="CG36" i="56"/>
  <c r="CH36" i="56" s="1"/>
  <c r="H36" i="56" s="1"/>
  <c r="CJ36" i="56" s="1"/>
  <c r="BQ36" i="56"/>
  <c r="BK36" i="56"/>
  <c r="BA322" i="56"/>
  <c r="BB322" i="56" s="1"/>
  <c r="AZ322" i="56"/>
  <c r="Q322" i="56" s="1"/>
  <c r="EL322" i="56" s="1"/>
  <c r="BA290" i="56"/>
  <c r="BB290" i="56" s="1"/>
  <c r="BD290" i="56" s="1" a="1"/>
  <c r="BD290" i="56" s="1"/>
  <c r="C290" i="56" s="1"/>
  <c r="BE290" i="56" s="1"/>
  <c r="AZ290" i="56"/>
  <c r="Q290" i="56" s="1"/>
  <c r="BA210" i="56"/>
  <c r="BB210" i="56" s="1"/>
  <c r="AZ210" i="56"/>
  <c r="Q210" i="56" s="1"/>
  <c r="EK210" i="56" s="1"/>
  <c r="BA178" i="56"/>
  <c r="BB178" i="56" s="1"/>
  <c r="AZ178" i="56"/>
  <c r="Q178" i="56" s="1"/>
  <c r="BA66" i="56"/>
  <c r="BB66" i="56" s="1"/>
  <c r="AZ66" i="56"/>
  <c r="BA50" i="56"/>
  <c r="BB50" i="56" s="1"/>
  <c r="AZ50" i="56"/>
  <c r="Q50" i="56" s="1"/>
  <c r="BU244" i="56"/>
  <c r="FG282" i="56" a="1"/>
  <c r="FG282" i="56" s="1"/>
  <c r="FH282" i="56"/>
  <c r="IP318" i="56"/>
  <c r="FL318" i="56"/>
  <c r="FM318" i="56" s="1"/>
  <c r="FO318" i="56" s="1" a="1"/>
  <c r="FO318" i="56" s="1"/>
  <c r="FF318" i="56"/>
  <c r="DC318" i="56"/>
  <c r="HD252" i="56"/>
  <c r="GB252" i="56"/>
  <c r="IA339" i="56"/>
  <c r="IB339" i="56" s="1"/>
  <c r="EP339" i="56"/>
  <c r="CX339" i="56"/>
  <c r="CS339" i="56"/>
  <c r="I339" i="56" s="1"/>
  <c r="CT339" i="56" s="1"/>
  <c r="CL339" i="56"/>
  <c r="BX339" i="56"/>
  <c r="CI339" i="56"/>
  <c r="CG339" i="56"/>
  <c r="CH339" i="56" s="1"/>
  <c r="H339" i="56" s="1"/>
  <c r="BK339" i="56"/>
  <c r="BY339" i="56" s="1" a="1"/>
  <c r="BY339" i="56" s="1"/>
  <c r="DU339" i="56" s="1"/>
  <c r="BU339" i="56"/>
  <c r="CM339" i="56"/>
  <c r="J339" i="56" s="1"/>
  <c r="CN339" i="56" s="1"/>
  <c r="BW339" i="56"/>
  <c r="BJ339" i="56"/>
  <c r="IA259" i="56"/>
  <c r="IB259" i="56" s="1"/>
  <c r="FK259" i="56"/>
  <c r="EP259" i="56"/>
  <c r="CS259" i="56"/>
  <c r="I259" i="56" s="1"/>
  <c r="CT259" i="56" s="1"/>
  <c r="CX259" i="56"/>
  <c r="CL259" i="56"/>
  <c r="CM259" i="56"/>
  <c r="J259" i="56" s="1"/>
  <c r="CN259" i="56" s="1"/>
  <c r="BS259" i="56"/>
  <c r="CI259" i="56"/>
  <c r="CG259" i="56"/>
  <c r="CH259" i="56" s="1"/>
  <c r="H259" i="56" s="1"/>
  <c r="CJ259" i="56" s="1"/>
  <c r="BK259" i="56"/>
  <c r="BX259" i="56"/>
  <c r="BU259" i="56"/>
  <c r="BJ259" i="56"/>
  <c r="BW259" i="56"/>
  <c r="IA211" i="56"/>
  <c r="IB211" i="56" s="1"/>
  <c r="FK211" i="56"/>
  <c r="BS211" i="56" s="1"/>
  <c r="EP211" i="56"/>
  <c r="CX211" i="56"/>
  <c r="CL211" i="56"/>
  <c r="BW211" i="56"/>
  <c r="CM211" i="56"/>
  <c r="J211" i="56" s="1"/>
  <c r="CN211" i="56" s="1"/>
  <c r="CS211" i="56"/>
  <c r="I211" i="56" s="1"/>
  <c r="CT211" i="56" s="1"/>
  <c r="CI211" i="56"/>
  <c r="BK211" i="56"/>
  <c r="CG211" i="56"/>
  <c r="CH211" i="56" s="1"/>
  <c r="H211" i="56" s="1"/>
  <c r="BX211" i="56"/>
  <c r="IA147" i="56"/>
  <c r="IB147" i="56" s="1"/>
  <c r="FK147" i="56"/>
  <c r="BS147" i="56" s="1"/>
  <c r="CM147" i="56"/>
  <c r="J147" i="56" s="1"/>
  <c r="CN147" i="56" s="1"/>
  <c r="CX147" i="56"/>
  <c r="CI147" i="56"/>
  <c r="CL147" i="56"/>
  <c r="CS147" i="56"/>
  <c r="I147" i="56" s="1"/>
  <c r="CT147" i="56" s="1"/>
  <c r="BK147" i="56"/>
  <c r="CG147" i="56"/>
  <c r="CH147" i="56" s="1"/>
  <c r="H147" i="56" s="1"/>
  <c r="BX147" i="56"/>
  <c r="BJ147" i="56"/>
  <c r="BO147" i="56"/>
  <c r="BW147" i="56"/>
  <c r="BU147" i="56"/>
  <c r="IA67" i="56"/>
  <c r="IB67" i="56" s="1"/>
  <c r="FK67" i="56"/>
  <c r="BS67" i="56" s="1"/>
  <c r="DV67" i="56"/>
  <c r="CX67" i="56"/>
  <c r="CG67" i="56"/>
  <c r="CH67" i="56" s="1"/>
  <c r="H67" i="56" s="1"/>
  <c r="CL67" i="56"/>
  <c r="BW67" i="56"/>
  <c r="CS67" i="56"/>
  <c r="I67" i="56" s="1"/>
  <c r="CT67" i="56" s="1"/>
  <c r="BX67" i="56"/>
  <c r="BK67" i="56"/>
  <c r="CI67" i="56"/>
  <c r="BU67" i="56"/>
  <c r="BO67" i="56"/>
  <c r="CM67" i="56"/>
  <c r="J67" i="56" s="1"/>
  <c r="CN67" i="56" s="1"/>
  <c r="FK3" i="56"/>
  <c r="BS3" i="56" s="1"/>
  <c r="AJ3" i="56" s="1"/>
  <c r="BT3" i="56" s="1"/>
  <c r="BU3" i="56" s="1"/>
  <c r="AK3" i="56" s="1"/>
  <c r="BV3" i="56" s="1"/>
  <c r="FV3" i="56"/>
  <c r="EP3" i="56"/>
  <c r="CS3" i="56"/>
  <c r="I3" i="56" s="1"/>
  <c r="CT3" i="56" s="1"/>
  <c r="CX3" i="56"/>
  <c r="CI3" i="56"/>
  <c r="BW3" i="56"/>
  <c r="CG3" i="56"/>
  <c r="CH3" i="56" s="1"/>
  <c r="H3" i="56" s="1"/>
  <c r="BX3" i="56"/>
  <c r="CM3" i="56"/>
  <c r="J3" i="56" s="1"/>
  <c r="CN3" i="56" s="1"/>
  <c r="BK3" i="56"/>
  <c r="BJ3" i="56"/>
  <c r="BA81" i="56"/>
  <c r="BB81" i="56" s="1"/>
  <c r="AZ81" i="56"/>
  <c r="Q179" i="56"/>
  <c r="DV179" i="56" s="1"/>
  <c r="HD25" i="56"/>
  <c r="GB25" i="56"/>
  <c r="IA322" i="56"/>
  <c r="IB322" i="56" s="1"/>
  <c r="FK322" i="56"/>
  <c r="BS322" i="56" s="1"/>
  <c r="CX322" i="56"/>
  <c r="CL322" i="56"/>
  <c r="CS322" i="56"/>
  <c r="I322" i="56" s="1"/>
  <c r="CT322" i="56" s="1"/>
  <c r="CG322" i="56"/>
  <c r="CH322" i="56" s="1"/>
  <c r="H322" i="56" s="1"/>
  <c r="BX322" i="56"/>
  <c r="BU322" i="56"/>
  <c r="BW322" i="56"/>
  <c r="BK322" i="56"/>
  <c r="CM322" i="56"/>
  <c r="J322" i="56" s="1"/>
  <c r="CN322" i="56" s="1"/>
  <c r="BO322" i="56"/>
  <c r="CI322" i="56"/>
  <c r="IA274" i="56"/>
  <c r="IB274" i="56" s="1"/>
  <c r="FK274" i="56"/>
  <c r="BS274" i="56" s="1"/>
  <c r="EP274" i="56"/>
  <c r="CX274" i="56"/>
  <c r="CS274" i="56"/>
  <c r="I274" i="56" s="1"/>
  <c r="CT274" i="56" s="1"/>
  <c r="CI274" i="56"/>
  <c r="CL274" i="56"/>
  <c r="BU274" i="56"/>
  <c r="BX274" i="56"/>
  <c r="BK274" i="56"/>
  <c r="CM274" i="56"/>
  <c r="J274" i="56" s="1"/>
  <c r="CN274" i="56" s="1"/>
  <c r="CG274" i="56"/>
  <c r="CH274" i="56" s="1"/>
  <c r="H274" i="56" s="1"/>
  <c r="BO274" i="56"/>
  <c r="BJ274" i="56"/>
  <c r="IA226" i="56"/>
  <c r="IB226" i="56" s="1"/>
  <c r="FK226" i="56"/>
  <c r="BS226" i="56" s="1"/>
  <c r="EP226" i="56"/>
  <c r="CX226" i="56"/>
  <c r="DV226" i="56"/>
  <c r="CM226" i="56"/>
  <c r="J226" i="56" s="1"/>
  <c r="CN226" i="56" s="1"/>
  <c r="CS226" i="56"/>
  <c r="I226" i="56" s="1"/>
  <c r="CT226" i="56" s="1"/>
  <c r="BU226" i="56"/>
  <c r="CG226" i="56"/>
  <c r="CH226" i="56" s="1"/>
  <c r="H226" i="56" s="1"/>
  <c r="BK226" i="56"/>
  <c r="CI226" i="56"/>
  <c r="CL226" i="56"/>
  <c r="BW226" i="56"/>
  <c r="BO226" i="56"/>
  <c r="BJ226" i="56"/>
  <c r="IA210" i="56"/>
  <c r="IB210" i="56" s="1"/>
  <c r="FK210" i="56"/>
  <c r="BS210" i="56" s="1"/>
  <c r="EP210" i="56"/>
  <c r="CX210" i="56"/>
  <c r="DV210" i="56"/>
  <c r="CS210" i="56"/>
  <c r="I210" i="56" s="1"/>
  <c r="CT210" i="56" s="1"/>
  <c r="BW210" i="56"/>
  <c r="CM210" i="56"/>
  <c r="J210" i="56" s="1"/>
  <c r="CN210" i="56" s="1"/>
  <c r="BU210" i="56"/>
  <c r="CI210" i="56"/>
  <c r="BX210" i="56"/>
  <c r="BK210" i="56"/>
  <c r="CL210" i="56"/>
  <c r="CG210" i="56"/>
  <c r="CH210" i="56" s="1"/>
  <c r="H210" i="56" s="1"/>
  <c r="IA162" i="56"/>
  <c r="IB162" i="56" s="1"/>
  <c r="FK162" i="56"/>
  <c r="BS162" i="56" s="1"/>
  <c r="EP162" i="56"/>
  <c r="CX162" i="56"/>
  <c r="CM162" i="56"/>
  <c r="J162" i="56" s="1"/>
  <c r="CN162" i="56" s="1"/>
  <c r="CS162" i="56"/>
  <c r="I162" i="56" s="1"/>
  <c r="CT162" i="56" s="1"/>
  <c r="CI162" i="56"/>
  <c r="CL162" i="56"/>
  <c r="CG162" i="56"/>
  <c r="CH162" i="56" s="1"/>
  <c r="H162" i="56" s="1"/>
  <c r="BW162" i="56"/>
  <c r="BU162" i="56"/>
  <c r="BK162" i="56"/>
  <c r="BX162" i="56"/>
  <c r="IA114" i="56"/>
  <c r="IB114" i="56" s="1"/>
  <c r="FK114" i="56"/>
  <c r="BS114" i="56" s="1"/>
  <c r="CX114" i="56"/>
  <c r="CS114" i="56"/>
  <c r="I114" i="56" s="1"/>
  <c r="CT114" i="56" s="1"/>
  <c r="CM114" i="56"/>
  <c r="J114" i="56" s="1"/>
  <c r="CN114" i="56" s="1"/>
  <c r="CI114" i="56"/>
  <c r="BU114" i="56"/>
  <c r="CL114" i="56"/>
  <c r="CG114" i="56"/>
  <c r="CH114" i="56" s="1"/>
  <c r="H114" i="56" s="1"/>
  <c r="BK114" i="56"/>
  <c r="BO114" i="56"/>
  <c r="BX114" i="56"/>
  <c r="IA82" i="56"/>
  <c r="IB82" i="56" s="1"/>
  <c r="FK82" i="56"/>
  <c r="BS82" i="56" s="1"/>
  <c r="CX82" i="56"/>
  <c r="CS82" i="56"/>
  <c r="I82" i="56" s="1"/>
  <c r="CT82" i="56" s="1"/>
  <c r="CL82" i="56"/>
  <c r="CG82" i="56"/>
  <c r="CH82" i="56" s="1"/>
  <c r="H82" i="56" s="1"/>
  <c r="BX82" i="56"/>
  <c r="BU82" i="56"/>
  <c r="CI82" i="56"/>
  <c r="CM82" i="56"/>
  <c r="J82" i="56" s="1"/>
  <c r="CN82" i="56" s="1"/>
  <c r="BK82" i="56"/>
  <c r="BL82" i="56" s="1"/>
  <c r="BW82" i="56"/>
  <c r="IA34" i="56"/>
  <c r="IB34" i="56" s="1"/>
  <c r="FK34" i="56"/>
  <c r="EP34" i="56"/>
  <c r="CX34" i="56"/>
  <c r="CS34" i="56"/>
  <c r="I34" i="56" s="1"/>
  <c r="CT34" i="56" s="1"/>
  <c r="CM34" i="56"/>
  <c r="J34" i="56" s="1"/>
  <c r="CN34" i="56" s="1"/>
  <c r="CL34" i="56"/>
  <c r="CG34" i="56"/>
  <c r="CH34" i="56" s="1"/>
  <c r="H34" i="56" s="1"/>
  <c r="BX34" i="56"/>
  <c r="BU34" i="56"/>
  <c r="BK34" i="56"/>
  <c r="BW34" i="56"/>
  <c r="BS34" i="56"/>
  <c r="CI34" i="56"/>
  <c r="BJ34" i="56"/>
  <c r="BA304" i="56"/>
  <c r="BB304" i="56" s="1"/>
  <c r="BD304" i="56" s="1" a="1"/>
  <c r="BD304" i="56" s="1"/>
  <c r="C304" i="56" s="1"/>
  <c r="BE304" i="56" s="1"/>
  <c r="AZ304" i="56"/>
  <c r="Q304" i="56" s="1"/>
  <c r="EK304" i="56" s="1"/>
  <c r="BA192" i="56"/>
  <c r="BB192" i="56" s="1"/>
  <c r="BD192" i="56" s="1" a="1"/>
  <c r="BD192" i="56" s="1"/>
  <c r="C192" i="56" s="1"/>
  <c r="BE192" i="56" s="1"/>
  <c r="AZ192" i="56"/>
  <c r="Q192" i="56" s="1"/>
  <c r="EK192" i="56" s="1"/>
  <c r="BA144" i="56"/>
  <c r="BB144" i="56" s="1"/>
  <c r="BD144" i="56" s="1" a="1"/>
  <c r="BD144" i="56" s="1"/>
  <c r="AZ144" i="56"/>
  <c r="Q144" i="56" s="1"/>
  <c r="EK144" i="56" s="1"/>
  <c r="BA64" i="56"/>
  <c r="BB64" i="56" s="1"/>
  <c r="AZ64" i="56"/>
  <c r="BA16" i="56"/>
  <c r="BB16" i="56" s="1"/>
  <c r="AZ16" i="56"/>
  <c r="EK277" i="56"/>
  <c r="EL277" i="56"/>
  <c r="AZ146" i="56"/>
  <c r="EL39" i="56"/>
  <c r="EK39" i="56"/>
  <c r="BJ210" i="56"/>
  <c r="BL210" i="56" s="1"/>
  <c r="BJ35" i="56"/>
  <c r="BQ323" i="56"/>
  <c r="BQ67" i="56"/>
  <c r="EK314" i="56"/>
  <c r="EL314" i="56"/>
  <c r="Q194" i="56"/>
  <c r="EK194" i="56" s="1"/>
  <c r="HD349" i="56"/>
  <c r="GB349" i="56"/>
  <c r="HD339" i="56"/>
  <c r="GB339" i="56"/>
  <c r="HD309" i="56"/>
  <c r="GB309" i="56"/>
  <c r="HD279" i="56"/>
  <c r="GB279" i="56"/>
  <c r="HD269" i="56"/>
  <c r="GB269" i="56"/>
  <c r="HD258" i="56"/>
  <c r="GB258" i="56"/>
  <c r="HD225" i="56"/>
  <c r="GB225" i="56"/>
  <c r="HD215" i="56"/>
  <c r="GB215" i="56"/>
  <c r="HD205" i="56"/>
  <c r="GB205" i="56"/>
  <c r="HD195" i="56"/>
  <c r="GB195" i="56"/>
  <c r="HD175" i="56"/>
  <c r="GB175" i="56"/>
  <c r="HD134" i="56"/>
  <c r="GB134" i="56"/>
  <c r="HD123" i="56"/>
  <c r="GB123" i="56"/>
  <c r="HD102" i="56"/>
  <c r="GB102" i="56"/>
  <c r="HD80" i="56"/>
  <c r="GB80" i="56"/>
  <c r="HD51" i="56"/>
  <c r="GB51" i="56"/>
  <c r="HD20" i="56"/>
  <c r="GB20" i="56"/>
  <c r="CR332" i="56"/>
  <c r="CQ332" i="56" a="1"/>
  <c r="CQ332" i="56" s="1"/>
  <c r="CP332" i="56" a="1"/>
  <c r="CP332" i="56" s="1"/>
  <c r="CO332" i="56" a="1"/>
  <c r="CO332" i="56" s="1"/>
  <c r="FH220" i="56"/>
  <c r="FG220" i="56" a="1"/>
  <c r="FG220" i="56" s="1"/>
  <c r="FI220" i="56" s="1"/>
  <c r="EK333" i="56"/>
  <c r="EL333" i="56"/>
  <c r="EL295" i="56"/>
  <c r="EK295" i="56"/>
  <c r="EQ339" i="56"/>
  <c r="BD339" i="56" a="1"/>
  <c r="BD339" i="56" s="1"/>
  <c r="BQ339" i="56"/>
  <c r="BN339" i="56"/>
  <c r="FY339" i="56" s="1"/>
  <c r="EQ323" i="56"/>
  <c r="EQ307" i="56"/>
  <c r="BQ307" i="56"/>
  <c r="BN307" i="56"/>
  <c r="FY307" i="56" s="1"/>
  <c r="BD307" i="56" a="1"/>
  <c r="BD307" i="56" s="1"/>
  <c r="C307" i="56" s="1"/>
  <c r="BE307" i="56" s="1"/>
  <c r="EQ291" i="56"/>
  <c r="BL291" i="56"/>
  <c r="BQ291" i="56"/>
  <c r="BY291" i="56" a="1"/>
  <c r="BY291" i="56" s="1"/>
  <c r="DU291" i="56" s="1"/>
  <c r="BN291" i="56"/>
  <c r="FY291" i="56" s="1"/>
  <c r="EQ275" i="56"/>
  <c r="BL275" i="56"/>
  <c r="BN275" i="56"/>
  <c r="BD275" i="56" a="1"/>
  <c r="BD275" i="56" s="1"/>
  <c r="C275" i="56" s="1"/>
  <c r="BE275" i="56" s="1"/>
  <c r="EQ259" i="56"/>
  <c r="BQ259" i="56"/>
  <c r="BN259" i="56"/>
  <c r="FY259" i="56" s="1"/>
  <c r="EQ243" i="56"/>
  <c r="BQ243" i="56"/>
  <c r="BD243" i="56" a="1"/>
  <c r="BD243" i="56" s="1"/>
  <c r="C243" i="56" s="1"/>
  <c r="BE243" i="56" s="1"/>
  <c r="EQ227" i="56"/>
  <c r="BY227" i="56" s="1" a="1"/>
  <c r="BY227" i="56" s="1"/>
  <c r="DU227" i="56" s="1"/>
  <c r="BL227" i="56"/>
  <c r="BQ227" i="56"/>
  <c r="BN227" i="56"/>
  <c r="EQ211" i="56"/>
  <c r="BD211" i="56" a="1"/>
  <c r="BD211" i="56" s="1"/>
  <c r="BQ211" i="56"/>
  <c r="BN211" i="56"/>
  <c r="FY211" i="56" s="1"/>
  <c r="EQ195" i="56"/>
  <c r="BY195" i="56" s="1" a="1"/>
  <c r="BY195" i="56" s="1"/>
  <c r="DU195" i="56" s="1"/>
  <c r="EQ179" i="56"/>
  <c r="BY179" i="56" a="1"/>
  <c r="BY179" i="56" s="1"/>
  <c r="DU179" i="56" s="1"/>
  <c r="BQ179" i="56"/>
  <c r="BN179" i="56"/>
  <c r="FY179" i="56" s="1"/>
  <c r="BD179" i="56" a="1"/>
  <c r="BD179" i="56" s="1"/>
  <c r="EQ163" i="56"/>
  <c r="BQ163" i="56"/>
  <c r="BN163" i="56"/>
  <c r="FY163" i="56" s="1"/>
  <c r="EQ147" i="56"/>
  <c r="BN147" i="56"/>
  <c r="FY147" i="56" s="1"/>
  <c r="BD147" i="56" a="1"/>
  <c r="BD147" i="56" s="1"/>
  <c r="EQ131" i="56"/>
  <c r="BY131" i="56" a="1"/>
  <c r="BY131" i="56" s="1"/>
  <c r="DU131" i="56" s="1"/>
  <c r="BL131" i="56"/>
  <c r="BQ131" i="56"/>
  <c r="BN131" i="56"/>
  <c r="FY131" i="56" s="1"/>
  <c r="EQ115" i="56"/>
  <c r="BQ115" i="56"/>
  <c r="BD115" i="56" a="1"/>
  <c r="BD115" i="56" s="1"/>
  <c r="EQ99" i="56"/>
  <c r="BQ99" i="56"/>
  <c r="BN99" i="56"/>
  <c r="FY99" i="56" s="1"/>
  <c r="EQ83" i="56"/>
  <c r="BL83" i="56"/>
  <c r="BD83" i="56" a="1"/>
  <c r="BD83" i="56" s="1"/>
  <c r="BQ83" i="56"/>
  <c r="BN83" i="56"/>
  <c r="FY83" i="56" s="1"/>
  <c r="EQ67" i="56"/>
  <c r="BL67" i="56"/>
  <c r="EQ51" i="56"/>
  <c r="BQ51" i="56"/>
  <c r="BD51" i="56" a="1"/>
  <c r="BD51" i="56" s="1"/>
  <c r="C51" i="56" s="1"/>
  <c r="BE51" i="56" s="1"/>
  <c r="EQ35" i="56"/>
  <c r="BQ35" i="56"/>
  <c r="BN35" i="56"/>
  <c r="FY35" i="56" s="1"/>
  <c r="EQ19" i="56"/>
  <c r="BD19" i="56" a="1"/>
  <c r="BD19" i="56" s="1"/>
  <c r="AI17" i="55"/>
  <c r="AI21" i="55"/>
  <c r="AI22" i="55"/>
  <c r="AI23" i="55"/>
  <c r="AI24" i="55"/>
  <c r="AI18" i="55"/>
  <c r="AI19" i="55"/>
  <c r="AI25" i="55"/>
  <c r="AI15" i="55"/>
  <c r="AI10" i="55"/>
  <c r="AI11" i="55"/>
  <c r="AI13" i="55"/>
  <c r="AI16" i="55"/>
  <c r="AI26" i="55"/>
  <c r="AI14" i="55"/>
  <c r="AI20" i="55"/>
  <c r="AI12" i="55"/>
  <c r="EQ3" i="56"/>
  <c r="BQ3" i="56"/>
  <c r="BD134" i="56" a="1"/>
  <c r="BD134" i="56" s="1"/>
  <c r="BD61" i="56" a="1"/>
  <c r="BD61" i="56" s="1"/>
  <c r="BD35" i="56" a="1"/>
  <c r="BD35" i="56" s="1"/>
  <c r="C35" i="56" s="1"/>
  <c r="BE35" i="56" s="1"/>
  <c r="BI255" i="56"/>
  <c r="GC255" i="56" s="1"/>
  <c r="BI207" i="56"/>
  <c r="GC207" i="56" s="1"/>
  <c r="BI158" i="56"/>
  <c r="GC158" i="56" s="1"/>
  <c r="BJ66" i="56"/>
  <c r="BK276" i="56"/>
  <c r="BK224" i="56"/>
  <c r="BN115" i="56"/>
  <c r="FY115" i="56" s="1"/>
  <c r="BO288" i="56"/>
  <c r="BO32" i="56"/>
  <c r="EH13" i="56"/>
  <c r="DM13" i="56"/>
  <c r="BU305" i="56"/>
  <c r="BU179" i="56"/>
  <c r="BW242" i="56"/>
  <c r="FG181" i="56" a="1"/>
  <c r="FG181" i="56" s="1"/>
  <c r="FH181" i="56"/>
  <c r="BX36" i="56"/>
  <c r="CI176" i="56"/>
  <c r="CQ22" i="56" a="1"/>
  <c r="CQ22" i="56" s="1"/>
  <c r="CP22" i="56" a="1"/>
  <c r="CP22" i="56" s="1"/>
  <c r="CO22" i="56" a="1"/>
  <c r="CO22" i="56" s="1"/>
  <c r="CR22" i="56"/>
  <c r="Q224" i="56"/>
  <c r="EK224" i="56" s="1"/>
  <c r="EL138" i="56"/>
  <c r="EK138" i="56"/>
  <c r="T319" i="56"/>
  <c r="HD299" i="56"/>
  <c r="GB299" i="56"/>
  <c r="HD278" i="56"/>
  <c r="GB278" i="56"/>
  <c r="HD247" i="56"/>
  <c r="GB247" i="56"/>
  <c r="HD204" i="56"/>
  <c r="GB204" i="56"/>
  <c r="HD184" i="56"/>
  <c r="GM184" i="56"/>
  <c r="GB184" i="56"/>
  <c r="HD164" i="56"/>
  <c r="GB164" i="56"/>
  <c r="HD144" i="56"/>
  <c r="GB144" i="56"/>
  <c r="HD133" i="56"/>
  <c r="GB133" i="56"/>
  <c r="HD101" i="56"/>
  <c r="GB101" i="56"/>
  <c r="HD70" i="56"/>
  <c r="GB70" i="56"/>
  <c r="HD60" i="56"/>
  <c r="GB60" i="56"/>
  <c r="HD40" i="56"/>
  <c r="GB40" i="56"/>
  <c r="HD30" i="56"/>
  <c r="GB30" i="56"/>
  <c r="IA347" i="56"/>
  <c r="IB347" i="56" s="1"/>
  <c r="FK347" i="56"/>
  <c r="BS347" i="56" s="1"/>
  <c r="EP347" i="56"/>
  <c r="CM347" i="56"/>
  <c r="J347" i="56" s="1"/>
  <c r="CN347" i="56" s="1"/>
  <c r="CX347" i="56"/>
  <c r="CS347" i="56"/>
  <c r="I347" i="56" s="1"/>
  <c r="CT347" i="56" s="1"/>
  <c r="CI347" i="56"/>
  <c r="BW347" i="56"/>
  <c r="CL347" i="56"/>
  <c r="BO347" i="56"/>
  <c r="CG347" i="56"/>
  <c r="CH347" i="56" s="1"/>
  <c r="H347" i="56" s="1"/>
  <c r="BU347" i="56"/>
  <c r="BX347" i="56"/>
  <c r="Q347" i="56"/>
  <c r="EK347" i="56" s="1"/>
  <c r="BJ347" i="56"/>
  <c r="IA331" i="56"/>
  <c r="IB331" i="56" s="1"/>
  <c r="FK331" i="56"/>
  <c r="BS331" i="56" s="1"/>
  <c r="DV331" i="56"/>
  <c r="CX331" i="56"/>
  <c r="CS331" i="56"/>
  <c r="I331" i="56" s="1"/>
  <c r="CT331" i="56" s="1"/>
  <c r="CI331" i="56"/>
  <c r="CG331" i="56"/>
  <c r="CH331" i="56" s="1"/>
  <c r="H331" i="56" s="1"/>
  <c r="BO331" i="56"/>
  <c r="CL331" i="56"/>
  <c r="BW331" i="56"/>
  <c r="BX331" i="56"/>
  <c r="BK331" i="56"/>
  <c r="Q331" i="56"/>
  <c r="EK331" i="56" s="1"/>
  <c r="CM331" i="56"/>
  <c r="J331" i="56" s="1"/>
  <c r="CN331" i="56" s="1"/>
  <c r="BU331" i="56"/>
  <c r="IA315" i="56"/>
  <c r="IB315" i="56" s="1"/>
  <c r="FK315" i="56"/>
  <c r="BS315" i="56" s="1"/>
  <c r="CX315" i="56"/>
  <c r="CG315" i="56"/>
  <c r="CH315" i="56" s="1"/>
  <c r="H315" i="56" s="1"/>
  <c r="DV315" i="56"/>
  <c r="CI315" i="56"/>
  <c r="BW315" i="56"/>
  <c r="CL315" i="56"/>
  <c r="BO315" i="56"/>
  <c r="CM315" i="56"/>
  <c r="J315" i="56" s="1"/>
  <c r="CN315" i="56" s="1"/>
  <c r="BU315" i="56"/>
  <c r="BJ315" i="56"/>
  <c r="CS315" i="56"/>
  <c r="I315" i="56" s="1"/>
  <c r="CT315" i="56" s="1"/>
  <c r="BK315" i="56"/>
  <c r="Q315" i="56"/>
  <c r="EK315" i="56" s="1"/>
  <c r="BX315" i="56"/>
  <c r="IA299" i="56"/>
  <c r="IB299" i="56" s="1"/>
  <c r="FK299" i="56"/>
  <c r="BS299" i="56" s="1"/>
  <c r="EP299" i="56"/>
  <c r="CX299" i="56"/>
  <c r="CS299" i="56"/>
  <c r="I299" i="56" s="1"/>
  <c r="CT299" i="56" s="1"/>
  <c r="BW299" i="56"/>
  <c r="CM299" i="56"/>
  <c r="J299" i="56" s="1"/>
  <c r="CN299" i="56" s="1"/>
  <c r="CI299" i="56"/>
  <c r="CG299" i="56"/>
  <c r="CH299" i="56" s="1"/>
  <c r="H299" i="56" s="1"/>
  <c r="BO299" i="56"/>
  <c r="BX299" i="56"/>
  <c r="BY299" i="56" s="1" a="1"/>
  <c r="BY299" i="56" s="1"/>
  <c r="DU299" i="56" s="1"/>
  <c r="BU299" i="56"/>
  <c r="CL299" i="56"/>
  <c r="Q299" i="56"/>
  <c r="EK299" i="56" s="1"/>
  <c r="BJ299" i="56"/>
  <c r="FV283" i="56"/>
  <c r="FK283" i="56"/>
  <c r="BS283" i="56" s="1"/>
  <c r="EP283" i="56"/>
  <c r="CM283" i="56"/>
  <c r="J283" i="56" s="1"/>
  <c r="CN283" i="56" s="1"/>
  <c r="CX283" i="56"/>
  <c r="CI283" i="56"/>
  <c r="CG283" i="56"/>
  <c r="CH283" i="56" s="1"/>
  <c r="H283" i="56" s="1"/>
  <c r="CS283" i="56"/>
  <c r="I283" i="56" s="1"/>
  <c r="CT283" i="56" s="1"/>
  <c r="BW283" i="56"/>
  <c r="BO283" i="56"/>
  <c r="BX283" i="56"/>
  <c r="BD283" i="56" a="1"/>
  <c r="BD283" i="56" s="1"/>
  <c r="BU283" i="56"/>
  <c r="BK283" i="56"/>
  <c r="Q283" i="56"/>
  <c r="IA267" i="56"/>
  <c r="IB267" i="56" s="1"/>
  <c r="FK267" i="56"/>
  <c r="BS267" i="56" s="1"/>
  <c r="EP267" i="56"/>
  <c r="CX267" i="56"/>
  <c r="CL267" i="56"/>
  <c r="CM267" i="56"/>
  <c r="J267" i="56" s="1"/>
  <c r="CN267" i="56" s="1"/>
  <c r="CS267" i="56"/>
  <c r="I267" i="56" s="1"/>
  <c r="CT267" i="56" s="1"/>
  <c r="CG267" i="56"/>
  <c r="CH267" i="56" s="1"/>
  <c r="H267" i="56" s="1"/>
  <c r="BO267" i="56"/>
  <c r="CI267" i="56"/>
  <c r="BW267" i="56"/>
  <c r="BX267" i="56"/>
  <c r="BU267" i="56"/>
  <c r="BJ267" i="56"/>
  <c r="Q267" i="56"/>
  <c r="EK267" i="56" s="1"/>
  <c r="BK267" i="56"/>
  <c r="BL267" i="56" s="1"/>
  <c r="IA251" i="56"/>
  <c r="IB251" i="56" s="1"/>
  <c r="FK251" i="56"/>
  <c r="BS251" i="56" s="1"/>
  <c r="EP251" i="56"/>
  <c r="CX251" i="56"/>
  <c r="CI251" i="56"/>
  <c r="CL251" i="56"/>
  <c r="CG251" i="56"/>
  <c r="CH251" i="56" s="1"/>
  <c r="H251" i="56" s="1"/>
  <c r="CJ251" i="56" s="1"/>
  <c r="CS251" i="56"/>
  <c r="I251" i="56" s="1"/>
  <c r="CT251" i="56" s="1"/>
  <c r="CM251" i="56"/>
  <c r="J251" i="56" s="1"/>
  <c r="CN251" i="56" s="1"/>
  <c r="BO251" i="56"/>
  <c r="BW251" i="56"/>
  <c r="BU251" i="56"/>
  <c r="BX251" i="56"/>
  <c r="Q251" i="56"/>
  <c r="EK251" i="56" s="1"/>
  <c r="BJ251" i="56"/>
  <c r="IA235" i="56"/>
  <c r="IB235" i="56" s="1"/>
  <c r="FK235" i="56"/>
  <c r="BS235" i="56" s="1"/>
  <c r="EP235" i="56"/>
  <c r="CX235" i="56"/>
  <c r="CL235" i="56"/>
  <c r="BX235" i="56"/>
  <c r="CG235" i="56"/>
  <c r="CH235" i="56" s="1"/>
  <c r="H235" i="56" s="1"/>
  <c r="BW235" i="56"/>
  <c r="BU235" i="56"/>
  <c r="BO235" i="56"/>
  <c r="CS235" i="56"/>
  <c r="I235" i="56" s="1"/>
  <c r="CT235" i="56" s="1"/>
  <c r="CM235" i="56"/>
  <c r="J235" i="56" s="1"/>
  <c r="CN235" i="56" s="1"/>
  <c r="BK235" i="56"/>
  <c r="Q235" i="56"/>
  <c r="CI235" i="56"/>
  <c r="IA219" i="56"/>
  <c r="IB219" i="56" s="1"/>
  <c r="FK219" i="56"/>
  <c r="BS219" i="56" s="1"/>
  <c r="EP219" i="56"/>
  <c r="CX219" i="56"/>
  <c r="CM219" i="56"/>
  <c r="J219" i="56" s="1"/>
  <c r="CN219" i="56" s="1"/>
  <c r="CS219" i="56"/>
  <c r="I219" i="56" s="1"/>
  <c r="CT219" i="56" s="1"/>
  <c r="CL219" i="56"/>
  <c r="BX219" i="56"/>
  <c r="BW219" i="56"/>
  <c r="BO219" i="56"/>
  <c r="BU219" i="56"/>
  <c r="BJ219" i="56"/>
  <c r="CI219" i="56"/>
  <c r="CG219" i="56"/>
  <c r="CH219" i="56" s="1"/>
  <c r="H219" i="56" s="1"/>
  <c r="Q219" i="56"/>
  <c r="IA203" i="56"/>
  <c r="IB203" i="56" s="1"/>
  <c r="FK203" i="56"/>
  <c r="EP203" i="56"/>
  <c r="CX203" i="56"/>
  <c r="CI203" i="56"/>
  <c r="CL203" i="56"/>
  <c r="CS203" i="56"/>
  <c r="I203" i="56" s="1"/>
  <c r="CT203" i="56" s="1"/>
  <c r="BO203" i="56"/>
  <c r="CG203" i="56"/>
  <c r="CH203" i="56" s="1"/>
  <c r="H203" i="56" s="1"/>
  <c r="CJ203" i="56" s="1"/>
  <c r="CK203" i="56" s="1"/>
  <c r="BW203" i="56"/>
  <c r="BK203" i="56"/>
  <c r="BS203" i="56"/>
  <c r="BX203" i="56"/>
  <c r="BJ203" i="56"/>
  <c r="Q203" i="56"/>
  <c r="BU203" i="56"/>
  <c r="CM203" i="56"/>
  <c r="J203" i="56" s="1"/>
  <c r="CN203" i="56" s="1"/>
  <c r="IA187" i="56"/>
  <c r="IB187" i="56" s="1"/>
  <c r="FK187" i="56"/>
  <c r="EP187" i="56"/>
  <c r="CS187" i="56"/>
  <c r="I187" i="56" s="1"/>
  <c r="CT187" i="56" s="1"/>
  <c r="CX187" i="56"/>
  <c r="CM187" i="56"/>
  <c r="J187" i="56" s="1"/>
  <c r="CN187" i="56" s="1"/>
  <c r="CI187" i="56"/>
  <c r="BX187" i="56"/>
  <c r="CG187" i="56"/>
  <c r="CH187" i="56" s="1"/>
  <c r="H187" i="56" s="1"/>
  <c r="BS187" i="56"/>
  <c r="BO187" i="56"/>
  <c r="CL187" i="56"/>
  <c r="BU187" i="56"/>
  <c r="BK187" i="56"/>
  <c r="Q187" i="56"/>
  <c r="EK187" i="56" s="1"/>
  <c r="BW187" i="56"/>
  <c r="IA171" i="56"/>
  <c r="IB171" i="56" s="1"/>
  <c r="FK171" i="56"/>
  <c r="BS171" i="56" s="1"/>
  <c r="EP171" i="56"/>
  <c r="CX171" i="56"/>
  <c r="CS171" i="56"/>
  <c r="I171" i="56" s="1"/>
  <c r="CT171" i="56" s="1"/>
  <c r="CG171" i="56"/>
  <c r="CH171" i="56" s="1"/>
  <c r="H171" i="56" s="1"/>
  <c r="CM171" i="56"/>
  <c r="J171" i="56" s="1"/>
  <c r="CN171" i="56" s="1"/>
  <c r="CI171" i="56"/>
  <c r="BW171" i="56"/>
  <c r="BX171" i="56"/>
  <c r="BO171" i="56"/>
  <c r="CL171" i="56"/>
  <c r="BJ171" i="56"/>
  <c r="Q171" i="56"/>
  <c r="EK171" i="56" s="1"/>
  <c r="BU171" i="56"/>
  <c r="IA155" i="56"/>
  <c r="IB155" i="56" s="1"/>
  <c r="FK155" i="56"/>
  <c r="EP155" i="56"/>
  <c r="CS155" i="56"/>
  <c r="I155" i="56" s="1"/>
  <c r="CT155" i="56" s="1"/>
  <c r="CL155" i="56"/>
  <c r="CG155" i="56"/>
  <c r="CH155" i="56" s="1"/>
  <c r="H155" i="56" s="1"/>
  <c r="CJ155" i="56" s="1"/>
  <c r="CX155" i="56"/>
  <c r="BW155" i="56"/>
  <c r="BU155" i="56"/>
  <c r="BO155" i="56"/>
  <c r="BX155" i="56"/>
  <c r="CM155" i="56"/>
  <c r="J155" i="56" s="1"/>
  <c r="CN155" i="56" s="1"/>
  <c r="BD155" i="56" a="1"/>
  <c r="BD155" i="56" s="1"/>
  <c r="C155" i="56" s="1"/>
  <c r="BE155" i="56" s="1"/>
  <c r="BK155" i="56"/>
  <c r="Q155" i="56"/>
  <c r="EK155" i="56" s="1"/>
  <c r="BS155" i="56"/>
  <c r="CI155" i="56"/>
  <c r="IA139" i="56"/>
  <c r="IB139" i="56" s="1"/>
  <c r="FK139" i="56"/>
  <c r="BS139" i="56" s="1"/>
  <c r="DV139" i="56"/>
  <c r="CS139" i="56"/>
  <c r="I139" i="56" s="1"/>
  <c r="CT139" i="56" s="1"/>
  <c r="CX139" i="56"/>
  <c r="BO139" i="56"/>
  <c r="CM139" i="56"/>
  <c r="J139" i="56" s="1"/>
  <c r="CN139" i="56" s="1"/>
  <c r="CI139" i="56"/>
  <c r="BU139" i="56"/>
  <c r="BW139" i="56"/>
  <c r="BX139" i="56"/>
  <c r="Q139" i="56"/>
  <c r="EK139" i="56" s="1"/>
  <c r="CG139" i="56"/>
  <c r="CH139" i="56" s="1"/>
  <c r="H139" i="56" s="1"/>
  <c r="BK139" i="56"/>
  <c r="BL139" i="56" s="1"/>
  <c r="CL139" i="56"/>
  <c r="IA123" i="56"/>
  <c r="IB123" i="56" s="1"/>
  <c r="FK123" i="56"/>
  <c r="CS123" i="56"/>
  <c r="I123" i="56" s="1"/>
  <c r="CT123" i="56" s="1"/>
  <c r="CL123" i="56"/>
  <c r="CI123" i="56"/>
  <c r="CM123" i="56"/>
  <c r="J123" i="56" s="1"/>
  <c r="CN123" i="56" s="1"/>
  <c r="CG123" i="56"/>
  <c r="CH123" i="56" s="1"/>
  <c r="H123" i="56" s="1"/>
  <c r="BX123" i="56"/>
  <c r="BO123" i="56"/>
  <c r="CX123" i="56"/>
  <c r="BJ123" i="56"/>
  <c r="BW123" i="56"/>
  <c r="Q123" i="56"/>
  <c r="EK123" i="56" s="1"/>
  <c r="IA107" i="56"/>
  <c r="IB107" i="56" s="1"/>
  <c r="FK107" i="56"/>
  <c r="BS107" i="56" s="1"/>
  <c r="DV107" i="56"/>
  <c r="CS107" i="56"/>
  <c r="I107" i="56" s="1"/>
  <c r="CT107" i="56" s="1"/>
  <c r="CL107" i="56"/>
  <c r="CX107" i="56"/>
  <c r="BW107" i="56"/>
  <c r="CG107" i="56"/>
  <c r="CH107" i="56" s="1"/>
  <c r="H107" i="56" s="1"/>
  <c r="BX107" i="56"/>
  <c r="BO107" i="56"/>
  <c r="CI107" i="56"/>
  <c r="BK107" i="56"/>
  <c r="BJ107" i="56"/>
  <c r="Q107" i="56"/>
  <c r="EK107" i="56" s="1"/>
  <c r="CM107" i="56"/>
  <c r="J107" i="56" s="1"/>
  <c r="CN107" i="56" s="1"/>
  <c r="BU107" i="56"/>
  <c r="IA91" i="56"/>
  <c r="IB91" i="56" s="1"/>
  <c r="FK91" i="56"/>
  <c r="BS91" i="56" s="1"/>
  <c r="CX91" i="56"/>
  <c r="CM91" i="56"/>
  <c r="J91" i="56" s="1"/>
  <c r="CN91" i="56" s="1"/>
  <c r="CL91" i="56"/>
  <c r="BW91" i="56"/>
  <c r="CI91" i="56"/>
  <c r="BO91" i="56"/>
  <c r="CS91" i="56"/>
  <c r="I91" i="56" s="1"/>
  <c r="CT91" i="56" s="1"/>
  <c r="BX91" i="56"/>
  <c r="BU91" i="56"/>
  <c r="Q91" i="56"/>
  <c r="EK91" i="56" s="1"/>
  <c r="BJ91" i="56"/>
  <c r="IA75" i="56"/>
  <c r="IB75" i="56" s="1"/>
  <c r="FK75" i="56"/>
  <c r="BS75" i="56" s="1"/>
  <c r="DV75" i="56"/>
  <c r="CX75" i="56"/>
  <c r="CS75" i="56"/>
  <c r="I75" i="56" s="1"/>
  <c r="CT75" i="56" s="1"/>
  <c r="CI75" i="56"/>
  <c r="CM75" i="56"/>
  <c r="J75" i="56" s="1"/>
  <c r="CN75" i="56" s="1"/>
  <c r="CL75" i="56"/>
  <c r="CG75" i="56"/>
  <c r="CH75" i="56" s="1"/>
  <c r="H75" i="56" s="1"/>
  <c r="CJ75" i="56" s="1"/>
  <c r="BO75" i="56"/>
  <c r="BW75" i="56"/>
  <c r="BK75" i="56"/>
  <c r="Q75" i="56"/>
  <c r="EK75" i="56" s="1"/>
  <c r="BU75" i="56"/>
  <c r="BX75" i="56"/>
  <c r="IA59" i="56"/>
  <c r="IB59" i="56" s="1"/>
  <c r="FK59" i="56"/>
  <c r="BS59" i="56" s="1"/>
  <c r="DV59" i="56"/>
  <c r="CX59" i="56"/>
  <c r="CI59" i="56"/>
  <c r="BW59" i="56"/>
  <c r="BX59" i="56"/>
  <c r="CS59" i="56"/>
  <c r="I59" i="56" s="1"/>
  <c r="CT59" i="56" s="1"/>
  <c r="BO59" i="56"/>
  <c r="CM59" i="56"/>
  <c r="J59" i="56" s="1"/>
  <c r="CN59" i="56" s="1"/>
  <c r="BU59" i="56"/>
  <c r="BJ59" i="56"/>
  <c r="BK59" i="56"/>
  <c r="BL59" i="56" s="1"/>
  <c r="Q59" i="56"/>
  <c r="EK59" i="56" s="1"/>
  <c r="CG59" i="56"/>
  <c r="CH59" i="56" s="1"/>
  <c r="H59" i="56" s="1"/>
  <c r="CL59" i="56"/>
  <c r="IA43" i="56"/>
  <c r="IB43" i="56" s="1"/>
  <c r="FK43" i="56"/>
  <c r="BS43" i="56" s="1"/>
  <c r="CX43" i="56"/>
  <c r="CL43" i="56"/>
  <c r="CG43" i="56"/>
  <c r="CH43" i="56" s="1"/>
  <c r="H43" i="56" s="1"/>
  <c r="EP43" i="56"/>
  <c r="CI43" i="56"/>
  <c r="CS43" i="56"/>
  <c r="I43" i="56" s="1"/>
  <c r="CT43" i="56" s="1"/>
  <c r="BX43" i="56"/>
  <c r="CM43" i="56"/>
  <c r="J43" i="56" s="1"/>
  <c r="CN43" i="56" s="1"/>
  <c r="BO43" i="56"/>
  <c r="BU43" i="56"/>
  <c r="BW43" i="56"/>
  <c r="Q43" i="56"/>
  <c r="BJ43" i="56"/>
  <c r="FV27" i="56"/>
  <c r="FK27" i="56"/>
  <c r="BS27" i="56" s="1"/>
  <c r="AJ27" i="56" s="1"/>
  <c r="BT27" i="56" s="1"/>
  <c r="EP27" i="56"/>
  <c r="CM27" i="56"/>
  <c r="J27" i="56" s="1"/>
  <c r="CN27" i="56" s="1"/>
  <c r="CI27" i="56"/>
  <c r="CG27" i="56"/>
  <c r="CH27" i="56" s="1"/>
  <c r="H27" i="56" s="1"/>
  <c r="CS27" i="56"/>
  <c r="I27" i="56" s="1"/>
  <c r="CT27" i="56" s="1"/>
  <c r="CX27" i="56"/>
  <c r="BW27" i="56"/>
  <c r="BO27" i="56"/>
  <c r="BX27" i="56"/>
  <c r="BD27" i="56" a="1"/>
  <c r="BD27" i="56" s="1"/>
  <c r="C27" i="56" s="1"/>
  <c r="BE27" i="56" s="1"/>
  <c r="BK27" i="56"/>
  <c r="Q27" i="56"/>
  <c r="DV27" i="56" s="1"/>
  <c r="IA11" i="56"/>
  <c r="IB11" i="56" s="1"/>
  <c r="FK11" i="56"/>
  <c r="BS11" i="56" s="1"/>
  <c r="AJ11" i="56" s="1"/>
  <c r="BT11" i="56" s="1"/>
  <c r="EP11" i="56"/>
  <c r="DV11" i="56"/>
  <c r="CX11" i="56"/>
  <c r="CL11" i="56"/>
  <c r="CG11" i="56"/>
  <c r="CH11" i="56" s="1"/>
  <c r="H11" i="56" s="1"/>
  <c r="CJ11" i="56" s="1"/>
  <c r="CI11" i="56"/>
  <c r="BW11" i="56"/>
  <c r="BO11" i="56"/>
  <c r="CM11" i="56"/>
  <c r="J11" i="56" s="1"/>
  <c r="CN11" i="56" s="1"/>
  <c r="BJ11" i="56"/>
  <c r="BX11" i="56"/>
  <c r="Q11" i="56"/>
  <c r="BK11" i="56"/>
  <c r="CS11" i="56"/>
  <c r="I11" i="56" s="1"/>
  <c r="CT11" i="56" s="1"/>
  <c r="BA345" i="56"/>
  <c r="BB345" i="56" s="1"/>
  <c r="BD345" i="56" s="1" a="1"/>
  <c r="BD345" i="56" s="1"/>
  <c r="C345" i="56" s="1"/>
  <c r="BE345" i="56" s="1"/>
  <c r="AZ345" i="56"/>
  <c r="BA297" i="56"/>
  <c r="BB297" i="56" s="1"/>
  <c r="BD297" i="56" s="1" a="1"/>
  <c r="BD297" i="56" s="1"/>
  <c r="C297" i="56" s="1"/>
  <c r="BE297" i="56" s="1"/>
  <c r="AZ297" i="56"/>
  <c r="BA281" i="56"/>
  <c r="BB281" i="56" s="1"/>
  <c r="BD281" i="56" s="1" a="1"/>
  <c r="BD281" i="56" s="1"/>
  <c r="C281" i="56" s="1"/>
  <c r="BE281" i="56" s="1"/>
  <c r="AZ281" i="56"/>
  <c r="Q281" i="56" s="1"/>
  <c r="EK281" i="56" s="1"/>
  <c r="BA265" i="56"/>
  <c r="BB265" i="56" s="1"/>
  <c r="AZ265" i="56"/>
  <c r="BA233" i="56"/>
  <c r="BB233" i="56" s="1"/>
  <c r="BD233" i="56" s="1" a="1"/>
  <c r="BD233" i="56" s="1"/>
  <c r="AZ233" i="56"/>
  <c r="Q233" i="56" s="1"/>
  <c r="BA217" i="56"/>
  <c r="BB217" i="56" s="1"/>
  <c r="BD217" i="56" s="1" a="1"/>
  <c r="BD217" i="56" s="1"/>
  <c r="C217" i="56" s="1"/>
  <c r="BE217" i="56" s="1"/>
  <c r="AZ217" i="56"/>
  <c r="Q217" i="56" s="1"/>
  <c r="BA169" i="56"/>
  <c r="BB169" i="56" s="1"/>
  <c r="BD169" i="56" s="1" a="1"/>
  <c r="BD169" i="56" s="1"/>
  <c r="C169" i="56" s="1"/>
  <c r="BE169" i="56" s="1"/>
  <c r="AZ169" i="56"/>
  <c r="BA153" i="56"/>
  <c r="BB153" i="56" s="1"/>
  <c r="AZ153" i="56"/>
  <c r="BA137" i="56"/>
  <c r="BB137" i="56" s="1"/>
  <c r="AZ137" i="56"/>
  <c r="Q137" i="56" s="1"/>
  <c r="BA105" i="56"/>
  <c r="BB105" i="56" s="1"/>
  <c r="BD105" i="56" s="1" a="1"/>
  <c r="BD105" i="56" s="1"/>
  <c r="AZ105" i="56"/>
  <c r="BA89" i="56"/>
  <c r="BB89" i="56" s="1"/>
  <c r="BD89" i="56" s="1" a="1"/>
  <c r="BD89" i="56" s="1"/>
  <c r="AZ89" i="56"/>
  <c r="BA41" i="56"/>
  <c r="BB41" i="56" s="1"/>
  <c r="BD41" i="56" s="1" a="1"/>
  <c r="BD41" i="56" s="1"/>
  <c r="C41" i="56" s="1"/>
  <c r="BE41" i="56" s="1"/>
  <c r="AZ41" i="56"/>
  <c r="BA25" i="56"/>
  <c r="BB25" i="56" s="1"/>
  <c r="AZ25" i="56"/>
  <c r="BA9" i="56"/>
  <c r="BB9" i="56" s="1"/>
  <c r="AZ9" i="56"/>
  <c r="EK332" i="56"/>
  <c r="EL332" i="56"/>
  <c r="EK294" i="56"/>
  <c r="EL294" i="56"/>
  <c r="AZ159" i="56"/>
  <c r="Q159" i="56" s="1"/>
  <c r="EQ338" i="56"/>
  <c r="BD338" i="56" a="1"/>
  <c r="BD338" i="56" s="1"/>
  <c r="BQ338" i="56"/>
  <c r="BN338" i="56"/>
  <c r="FY338" i="56" s="1"/>
  <c r="BY338" i="56" a="1"/>
  <c r="BY338" i="56" s="1"/>
  <c r="DU338" i="56" s="1"/>
  <c r="EQ322" i="56"/>
  <c r="BD322" i="56" a="1"/>
  <c r="BD322" i="56" s="1"/>
  <c r="C322" i="56" s="1"/>
  <c r="BE322" i="56" s="1"/>
  <c r="BQ322" i="56"/>
  <c r="EQ306" i="56"/>
  <c r="BD306" i="56" a="1"/>
  <c r="BD306" i="56" s="1"/>
  <c r="C306" i="56" s="1"/>
  <c r="BE306" i="56" s="1"/>
  <c r="BQ306" i="56"/>
  <c r="BN306" i="56"/>
  <c r="FY306" i="56" s="1"/>
  <c r="BL306" i="56"/>
  <c r="EQ290" i="56"/>
  <c r="BQ290" i="56"/>
  <c r="BN290" i="56"/>
  <c r="FY290" i="56" s="1"/>
  <c r="EQ274" i="56"/>
  <c r="BD274" i="56" a="1"/>
  <c r="BD274" i="56" s="1"/>
  <c r="EQ258" i="56"/>
  <c r="BD258" i="56" a="1"/>
  <c r="BD258" i="56" s="1"/>
  <c r="C258" i="56" s="1"/>
  <c r="BE258" i="56" s="1"/>
  <c r="BY258" i="56" a="1"/>
  <c r="BY258" i="56" s="1"/>
  <c r="DU258" i="56" s="1"/>
  <c r="BQ258" i="56"/>
  <c r="BN258" i="56"/>
  <c r="FY258" i="56" s="1"/>
  <c r="BL258" i="56"/>
  <c r="EQ242" i="56"/>
  <c r="BD242" i="56" a="1"/>
  <c r="BD242" i="56" s="1"/>
  <c r="C242" i="56" s="1"/>
  <c r="BE242" i="56" s="1"/>
  <c r="BY242" i="56" a="1"/>
  <c r="BY242" i="56" s="1"/>
  <c r="DU242" i="56" s="1"/>
  <c r="BQ242" i="56"/>
  <c r="BN242" i="56"/>
  <c r="FY242" i="56" s="1"/>
  <c r="EQ226" i="56"/>
  <c r="BD226" i="56" a="1"/>
  <c r="BD226" i="56" s="1"/>
  <c r="BN226" i="56"/>
  <c r="FY226" i="56" s="1"/>
  <c r="EQ210" i="56"/>
  <c r="BD210" i="56" a="1"/>
  <c r="BD210" i="56" s="1"/>
  <c r="BQ210" i="56"/>
  <c r="BN210" i="56"/>
  <c r="FY210" i="56" s="1"/>
  <c r="EQ194" i="56"/>
  <c r="BD194" i="56" a="1"/>
  <c r="BD194" i="56" s="1"/>
  <c r="C194" i="56" s="1"/>
  <c r="BE194" i="56" s="1"/>
  <c r="BQ194" i="56"/>
  <c r="EQ178" i="56"/>
  <c r="BY178" i="56" s="1" a="1"/>
  <c r="BY178" i="56" s="1"/>
  <c r="DU178" i="56" s="1"/>
  <c r="BD178" i="56" a="1"/>
  <c r="BD178" i="56" s="1"/>
  <c r="C178" i="56" s="1"/>
  <c r="BE178" i="56" s="1"/>
  <c r="BQ178" i="56"/>
  <c r="BN178" i="56"/>
  <c r="FY178" i="56" s="1"/>
  <c r="BL178" i="56"/>
  <c r="EQ162" i="56"/>
  <c r="BQ162" i="56"/>
  <c r="BN162" i="56"/>
  <c r="FY162" i="56" s="1"/>
  <c r="EQ146" i="56"/>
  <c r="BY146" i="56" s="1" a="1"/>
  <c r="BY146" i="56" s="1"/>
  <c r="DU146" i="56" s="1"/>
  <c r="BD146" i="56" a="1"/>
  <c r="BD146" i="56" s="1"/>
  <c r="BL146" i="56"/>
  <c r="EQ130" i="56"/>
  <c r="BD130" i="56" a="1"/>
  <c r="BD130" i="56" s="1"/>
  <c r="C130" i="56" s="1"/>
  <c r="BE130" i="56" s="1"/>
  <c r="BQ130" i="56"/>
  <c r="BN130" i="56"/>
  <c r="FY130" i="56" s="1"/>
  <c r="EQ114" i="56"/>
  <c r="BD114" i="56" a="1"/>
  <c r="BD114" i="56" s="1"/>
  <c r="BQ114" i="56"/>
  <c r="BN114" i="56"/>
  <c r="FY114" i="56" s="1"/>
  <c r="EQ98" i="56"/>
  <c r="BY98" i="56" s="1" a="1"/>
  <c r="BY98" i="56" s="1"/>
  <c r="DU98" i="56" s="1"/>
  <c r="BD98" i="56" a="1"/>
  <c r="BD98" i="56" s="1"/>
  <c r="BN98" i="56"/>
  <c r="FY98" i="56" s="1"/>
  <c r="BL98" i="56"/>
  <c r="EQ82" i="56"/>
  <c r="BD82" i="56" a="1"/>
  <c r="BD82" i="56" s="1"/>
  <c r="BQ82" i="56"/>
  <c r="BN82" i="56"/>
  <c r="FY82" i="56" s="1"/>
  <c r="EQ66" i="56"/>
  <c r="BY66" i="56" s="1" a="1"/>
  <c r="BY66" i="56" s="1"/>
  <c r="DU66" i="56" s="1"/>
  <c r="BD66" i="56" a="1"/>
  <c r="BD66" i="56" s="1"/>
  <c r="BQ66" i="56"/>
  <c r="EQ50" i="56"/>
  <c r="BY50" i="56" s="1" a="1"/>
  <c r="BY50" i="56" s="1"/>
  <c r="DU50" i="56" s="1"/>
  <c r="BD50" i="56" a="1"/>
  <c r="BD50" i="56" s="1"/>
  <c r="C50" i="56" s="1"/>
  <c r="BE50" i="56" s="1"/>
  <c r="BQ50" i="56"/>
  <c r="BL50" i="56"/>
  <c r="E50" i="56" s="1"/>
  <c r="BM50" i="56" s="1"/>
  <c r="BN50" i="56" s="1"/>
  <c r="FY50" i="56" s="1"/>
  <c r="EQ34" i="56"/>
  <c r="BD34" i="56" a="1"/>
  <c r="BD34" i="56" s="1"/>
  <c r="C34" i="56" s="1"/>
  <c r="BE34" i="56" s="1"/>
  <c r="BQ34" i="56"/>
  <c r="BN34" i="56"/>
  <c r="FY34" i="56" s="1"/>
  <c r="EQ18" i="56"/>
  <c r="BD18" i="56" a="1"/>
  <c r="BD18" i="56" s="1"/>
  <c r="BI254" i="56"/>
  <c r="GC254" i="56" s="1"/>
  <c r="BI206" i="56"/>
  <c r="BJ283" i="56"/>
  <c r="BJ155" i="56"/>
  <c r="BJ19" i="56"/>
  <c r="BK273" i="56"/>
  <c r="BK81" i="56"/>
  <c r="BL242" i="56"/>
  <c r="FY190" i="56"/>
  <c r="BQ276" i="56"/>
  <c r="BQ196" i="56"/>
  <c r="EH351" i="56"/>
  <c r="DM351" i="56"/>
  <c r="EH335" i="56"/>
  <c r="DM335" i="56"/>
  <c r="EH319" i="56"/>
  <c r="DM319" i="56"/>
  <c r="EH303" i="56"/>
  <c r="DM303" i="56"/>
  <c r="EH287" i="56"/>
  <c r="DM287" i="56"/>
  <c r="EH271" i="56"/>
  <c r="DM271" i="56"/>
  <c r="DM255" i="56"/>
  <c r="EH255" i="56"/>
  <c r="EH239" i="56"/>
  <c r="DM239" i="56"/>
  <c r="EH223" i="56"/>
  <c r="DM223" i="56"/>
  <c r="EH207" i="56"/>
  <c r="DM207" i="56"/>
  <c r="EH191" i="56"/>
  <c r="DM191" i="56"/>
  <c r="DM175" i="56"/>
  <c r="EH175" i="56"/>
  <c r="EH159" i="56"/>
  <c r="DM159" i="56"/>
  <c r="EH143" i="56"/>
  <c r="DM143" i="56"/>
  <c r="EH127" i="56"/>
  <c r="DM127" i="56"/>
  <c r="EH111" i="56"/>
  <c r="DM111" i="56"/>
  <c r="EH95" i="56"/>
  <c r="DM95" i="56"/>
  <c r="EH79" i="56"/>
  <c r="DM79" i="56"/>
  <c r="DM63" i="56"/>
  <c r="EH63" i="56"/>
  <c r="EH46" i="56"/>
  <c r="DM46" i="56"/>
  <c r="BU46" i="56"/>
  <c r="EH30" i="56"/>
  <c r="DM30" i="56"/>
  <c r="EH12" i="56"/>
  <c r="DM12" i="56"/>
  <c r="BX180" i="56"/>
  <c r="CQ21" i="56" a="1"/>
  <c r="CQ21" i="56" s="1"/>
  <c r="CR21" i="56"/>
  <c r="CO21" i="56" a="1"/>
  <c r="CO21" i="56" s="1"/>
  <c r="CP21" i="56" a="1"/>
  <c r="CP21" i="56" s="1"/>
  <c r="FW287" i="56"/>
  <c r="BI287" i="56"/>
  <c r="GC287" i="56" s="1"/>
  <c r="IA324" i="56"/>
  <c r="IB324" i="56" s="1"/>
  <c r="FK324" i="56"/>
  <c r="BS324" i="56" s="1"/>
  <c r="CS324" i="56"/>
  <c r="I324" i="56" s="1"/>
  <c r="CT324" i="56" s="1"/>
  <c r="CI324" i="56"/>
  <c r="CL324" i="56"/>
  <c r="CX324" i="56"/>
  <c r="CM324" i="56"/>
  <c r="J324" i="56" s="1"/>
  <c r="CN324" i="56" s="1"/>
  <c r="CG324" i="56"/>
  <c r="CH324" i="56" s="1"/>
  <c r="H324" i="56" s="1"/>
  <c r="BX324" i="56"/>
  <c r="BW324" i="56"/>
  <c r="BJ324" i="56"/>
  <c r="BL324" i="56" s="1"/>
  <c r="BU324" i="56"/>
  <c r="BO324" i="56"/>
  <c r="BD324" i="56" a="1"/>
  <c r="BD324" i="56" s="1"/>
  <c r="BA162" i="56"/>
  <c r="BB162" i="56" s="1"/>
  <c r="BD162" i="56" s="1" a="1"/>
  <c r="BD162" i="56" s="1"/>
  <c r="C162" i="56" s="1"/>
  <c r="BE162" i="56" s="1"/>
  <c r="AZ162" i="56"/>
  <c r="Q162" i="56" s="1"/>
  <c r="HD85" i="56"/>
  <c r="GB85" i="56"/>
  <c r="HD348" i="56"/>
  <c r="GB348" i="56"/>
  <c r="HD288" i="56"/>
  <c r="GB288" i="56"/>
  <c r="HD246" i="56"/>
  <c r="GB246" i="56"/>
  <c r="HD122" i="56"/>
  <c r="GB122" i="56"/>
  <c r="HD111" i="56"/>
  <c r="GB111" i="56"/>
  <c r="HD100" i="56"/>
  <c r="GB100" i="56"/>
  <c r="HD79" i="56"/>
  <c r="GB79" i="56"/>
  <c r="HD39" i="56"/>
  <c r="GB39" i="56"/>
  <c r="HD29" i="56"/>
  <c r="GB29" i="56"/>
  <c r="HD19" i="56"/>
  <c r="GB19" i="56"/>
  <c r="CR330" i="56"/>
  <c r="CP330" i="56" a="1"/>
  <c r="CP330" i="56" s="1"/>
  <c r="CO330" i="56" a="1"/>
  <c r="CO330" i="56" s="1"/>
  <c r="CQ330" i="56" a="1"/>
  <c r="CQ330" i="56" s="1"/>
  <c r="EL231" i="56"/>
  <c r="EK231" i="56"/>
  <c r="AZ129" i="56"/>
  <c r="Q129" i="56" s="1"/>
  <c r="BD92" i="56" a="1"/>
  <c r="BD92" i="56" s="1"/>
  <c r="BD227" i="56" a="1"/>
  <c r="BD227" i="56" s="1"/>
  <c r="C227" i="56" s="1"/>
  <c r="BE227" i="56" s="1"/>
  <c r="BD131" i="56" a="1"/>
  <c r="BD131" i="56" s="1"/>
  <c r="BD107" i="56" a="1"/>
  <c r="BD107" i="56" s="1"/>
  <c r="BD80" i="56" a="1"/>
  <c r="BD80" i="56" s="1"/>
  <c r="BD33" i="56" a="1"/>
  <c r="BD33" i="56" s="1"/>
  <c r="C33" i="56" s="1"/>
  <c r="BE33" i="56" s="1"/>
  <c r="BI303" i="56"/>
  <c r="T303" i="56" s="1"/>
  <c r="BI94" i="56"/>
  <c r="BJ323" i="56"/>
  <c r="BL323" i="56" s="1"/>
  <c r="BK321" i="56"/>
  <c r="BL321" i="56" s="1"/>
  <c r="BK272" i="56"/>
  <c r="BL222" i="56"/>
  <c r="BQ275" i="56"/>
  <c r="BQ195" i="56"/>
  <c r="EH350" i="56"/>
  <c r="DM350" i="56"/>
  <c r="BU350" i="56"/>
  <c r="EH334" i="56"/>
  <c r="EI334" i="56" s="1"/>
  <c r="EH318" i="56"/>
  <c r="DM318" i="56"/>
  <c r="EH302" i="56"/>
  <c r="DM302" i="56"/>
  <c r="BU302" i="56"/>
  <c r="EH286" i="56"/>
  <c r="DM286" i="56"/>
  <c r="EI286" i="56" s="1"/>
  <c r="EH270" i="56"/>
  <c r="DM270" i="56"/>
  <c r="EH254" i="56"/>
  <c r="DM254" i="56"/>
  <c r="EH238" i="56"/>
  <c r="DM238" i="56"/>
  <c r="EH222" i="56"/>
  <c r="DM222" i="56"/>
  <c r="BU222" i="56"/>
  <c r="EH206" i="56"/>
  <c r="DM206" i="56"/>
  <c r="BU206" i="56"/>
  <c r="EH190" i="56"/>
  <c r="DM190" i="56"/>
  <c r="BU190" i="56"/>
  <c r="EH174" i="56"/>
  <c r="DM174" i="56"/>
  <c r="EH158" i="56"/>
  <c r="DM158" i="56"/>
  <c r="EH142" i="56"/>
  <c r="DM142" i="56"/>
  <c r="BU142" i="56"/>
  <c r="EH126" i="56"/>
  <c r="DM126" i="56"/>
  <c r="BU126" i="56"/>
  <c r="EH110" i="56"/>
  <c r="DM110" i="56"/>
  <c r="BU110" i="56"/>
  <c r="EH94" i="56"/>
  <c r="DM94" i="56"/>
  <c r="BU94" i="56"/>
  <c r="EH78" i="56"/>
  <c r="DM78" i="56"/>
  <c r="EI78" i="56" s="1"/>
  <c r="BU78" i="56"/>
  <c r="EH62" i="56"/>
  <c r="DM62" i="56"/>
  <c r="EH45" i="56"/>
  <c r="DM45" i="56"/>
  <c r="EH29" i="56"/>
  <c r="DM29" i="56"/>
  <c r="BW323" i="56"/>
  <c r="EK298" i="56"/>
  <c r="EL298" i="56"/>
  <c r="Q339" i="56"/>
  <c r="EK339" i="56" s="1"/>
  <c r="Q83" i="56"/>
  <c r="T318" i="56"/>
  <c r="GB298" i="56"/>
  <c r="HD298" i="56"/>
  <c r="HD277" i="56"/>
  <c r="GB277" i="56"/>
  <c r="HD235" i="56"/>
  <c r="GB235" i="56"/>
  <c r="HD183" i="56"/>
  <c r="GB183" i="56"/>
  <c r="HD132" i="56"/>
  <c r="GB132" i="56"/>
  <c r="HD59" i="56"/>
  <c r="GB59" i="56"/>
  <c r="Q338" i="56"/>
  <c r="Q82" i="56"/>
  <c r="EK26" i="56"/>
  <c r="EL26" i="56"/>
  <c r="T79" i="56"/>
  <c r="HD337" i="56"/>
  <c r="GB337" i="56"/>
  <c r="HD256" i="56"/>
  <c r="GB256" i="56"/>
  <c r="HD245" i="56"/>
  <c r="GB245" i="56"/>
  <c r="HD234" i="56"/>
  <c r="GB234" i="56"/>
  <c r="HD203" i="56"/>
  <c r="GB203" i="56"/>
  <c r="HD143" i="56"/>
  <c r="GB143" i="56"/>
  <c r="HD110" i="56"/>
  <c r="GB110" i="56"/>
  <c r="HD99" i="56"/>
  <c r="GB99" i="56"/>
  <c r="HD89" i="56"/>
  <c r="GB89" i="56"/>
  <c r="Q329" i="56"/>
  <c r="EK329" i="56" s="1"/>
  <c r="Q249" i="56"/>
  <c r="Q121" i="56"/>
  <c r="Q73" i="56"/>
  <c r="EL247" i="56"/>
  <c r="EK247" i="56"/>
  <c r="EK215" i="56"/>
  <c r="EL215" i="56"/>
  <c r="EL119" i="56"/>
  <c r="EK119" i="56"/>
  <c r="AZ128" i="56"/>
  <c r="Q128" i="56" s="1"/>
  <c r="EK128" i="56" s="1"/>
  <c r="BQ320" i="56"/>
  <c r="BQ192" i="56"/>
  <c r="BQ64" i="56"/>
  <c r="BI338" i="56"/>
  <c r="T338" i="56" s="1"/>
  <c r="BI290" i="56"/>
  <c r="T290" i="56" s="1"/>
  <c r="BI194" i="56"/>
  <c r="T194" i="56" s="1"/>
  <c r="BI146" i="56"/>
  <c r="T146" i="56" s="1"/>
  <c r="BI130" i="56"/>
  <c r="T130" i="56" s="1"/>
  <c r="BI82" i="56"/>
  <c r="T82" i="56" s="1"/>
  <c r="BI350" i="56"/>
  <c r="BI302" i="56"/>
  <c r="GC302" i="56" s="1"/>
  <c r="BI14" i="56"/>
  <c r="BJ322" i="56"/>
  <c r="BJ235" i="56"/>
  <c r="BJ96" i="56"/>
  <c r="BK320" i="56"/>
  <c r="BK123" i="56"/>
  <c r="BL123" i="56" s="1"/>
  <c r="BQ274" i="56"/>
  <c r="BQ98" i="56"/>
  <c r="BQ18" i="56"/>
  <c r="BS123" i="56"/>
  <c r="EH349" i="56"/>
  <c r="DM349" i="56"/>
  <c r="EH333" i="56"/>
  <c r="DM333" i="56"/>
  <c r="EH317" i="56"/>
  <c r="DM317" i="56"/>
  <c r="EH301" i="56"/>
  <c r="DM301" i="56"/>
  <c r="EH285" i="56"/>
  <c r="DM285" i="56"/>
  <c r="EH269" i="56"/>
  <c r="DM269" i="56"/>
  <c r="BU269" i="56"/>
  <c r="EH253" i="56"/>
  <c r="DM253" i="56"/>
  <c r="EH237" i="56"/>
  <c r="DM237" i="56"/>
  <c r="EH221" i="56"/>
  <c r="DM221" i="56"/>
  <c r="EH205" i="56"/>
  <c r="DM205" i="56"/>
  <c r="EH189" i="56"/>
  <c r="DM189" i="56"/>
  <c r="EH173" i="56"/>
  <c r="DM173" i="56"/>
  <c r="BU173" i="56"/>
  <c r="DM157" i="56"/>
  <c r="EH157" i="56"/>
  <c r="EH141" i="56"/>
  <c r="DM141" i="56"/>
  <c r="EH125" i="56"/>
  <c r="DM125" i="56"/>
  <c r="EI125" i="56" s="1"/>
  <c r="EH109" i="56"/>
  <c r="DM109" i="56"/>
  <c r="EH93" i="56"/>
  <c r="DM93" i="56"/>
  <c r="EH77" i="56"/>
  <c r="DM77" i="56"/>
  <c r="EH61" i="56"/>
  <c r="DM61" i="56"/>
  <c r="EH44" i="56"/>
  <c r="DM44" i="56"/>
  <c r="BU273" i="56"/>
  <c r="BW321" i="56"/>
  <c r="BW114" i="56"/>
  <c r="FG328" i="56" a="1"/>
  <c r="FG328" i="56" s="1"/>
  <c r="FH328" i="56"/>
  <c r="EK218" i="56"/>
  <c r="EL218" i="56"/>
  <c r="HD221" i="56"/>
  <c r="GB221" i="56"/>
  <c r="HD151" i="56"/>
  <c r="GB151" i="56"/>
  <c r="EQ333" i="56"/>
  <c r="BN333" i="56"/>
  <c r="FY333" i="56" s="1"/>
  <c r="BQ333" i="56"/>
  <c r="BD333" i="56" a="1"/>
  <c r="BD333" i="56" s="1"/>
  <c r="EQ253" i="56"/>
  <c r="BN253" i="56"/>
  <c r="FY253" i="56" s="1"/>
  <c r="EQ157" i="56"/>
  <c r="BN157" i="56"/>
  <c r="BQ157" i="56"/>
  <c r="BD157" i="56" a="1"/>
  <c r="BD157" i="56" s="1"/>
  <c r="C157" i="56" s="1"/>
  <c r="BE157" i="56" s="1"/>
  <c r="BD125" i="56" a="1"/>
  <c r="BD125" i="56" s="1"/>
  <c r="EK275" i="56"/>
  <c r="EL81" i="56"/>
  <c r="EK81" i="56"/>
  <c r="T351" i="56"/>
  <c r="T191" i="56"/>
  <c r="HD336" i="56"/>
  <c r="GB336" i="56"/>
  <c r="HD307" i="56"/>
  <c r="GB307" i="56"/>
  <c r="HD276" i="56"/>
  <c r="GB276" i="56"/>
  <c r="HD255" i="56"/>
  <c r="GB255" i="56"/>
  <c r="HD244" i="56"/>
  <c r="GB244" i="56"/>
  <c r="HD213" i="56"/>
  <c r="GB213" i="56"/>
  <c r="HD192" i="56"/>
  <c r="GB192" i="56"/>
  <c r="HD182" i="56"/>
  <c r="GB182" i="56"/>
  <c r="HD153" i="56"/>
  <c r="GB153" i="56"/>
  <c r="HD131" i="56"/>
  <c r="GB131" i="56"/>
  <c r="HD98" i="56"/>
  <c r="GB98" i="56"/>
  <c r="HD88" i="56"/>
  <c r="GB88" i="56"/>
  <c r="HD28" i="56"/>
  <c r="GB28" i="56"/>
  <c r="HD8" i="56"/>
  <c r="GB8" i="56"/>
  <c r="FG200" i="56" a="1"/>
  <c r="FG200" i="56" s="1"/>
  <c r="FH200" i="56"/>
  <c r="FH152" i="56"/>
  <c r="FG152" i="56" a="1"/>
  <c r="FG152" i="56" s="1"/>
  <c r="EL134" i="56"/>
  <c r="EK134" i="56"/>
  <c r="BI337" i="56"/>
  <c r="T337" i="56" s="1"/>
  <c r="BI241" i="56"/>
  <c r="T241" i="56" s="1"/>
  <c r="BI193" i="56"/>
  <c r="T193" i="56" s="1"/>
  <c r="BI177" i="56"/>
  <c r="T177" i="56" s="1"/>
  <c r="BI81" i="56"/>
  <c r="T81" i="56" s="1"/>
  <c r="BI17" i="56"/>
  <c r="T17" i="56" s="1"/>
  <c r="FG327" i="56" a="1"/>
  <c r="FG327" i="56" s="1"/>
  <c r="FH327" i="56"/>
  <c r="FG138" i="56" a="1"/>
  <c r="FG138" i="56" s="1"/>
  <c r="FH138" i="56"/>
  <c r="IP80" i="56"/>
  <c r="FL80" i="56"/>
  <c r="FM80" i="56" s="1"/>
  <c r="FO80" i="56" s="1" a="1"/>
  <c r="FO80" i="56" s="1"/>
  <c r="DC80" i="56"/>
  <c r="EK336" i="56"/>
  <c r="EL336" i="56"/>
  <c r="Q306" i="56"/>
  <c r="Q274" i="56"/>
  <c r="Q243" i="56"/>
  <c r="Q130" i="56"/>
  <c r="EK130" i="56" s="1"/>
  <c r="Q3" i="56"/>
  <c r="HD326" i="56"/>
  <c r="GB326" i="56"/>
  <c r="HD316" i="56"/>
  <c r="GB316" i="56"/>
  <c r="HD296" i="56"/>
  <c r="GB296" i="56"/>
  <c r="HD286" i="56"/>
  <c r="GB286" i="56"/>
  <c r="HD233" i="56"/>
  <c r="GB233" i="56"/>
  <c r="HD222" i="56"/>
  <c r="GB222" i="56"/>
  <c r="HD212" i="56"/>
  <c r="GB212" i="56"/>
  <c r="GB152" i="56"/>
  <c r="HD152" i="56"/>
  <c r="HD109" i="56"/>
  <c r="GB109" i="56"/>
  <c r="HD68" i="56"/>
  <c r="GB68" i="56"/>
  <c r="HD7" i="56"/>
  <c r="GB7" i="56"/>
  <c r="FG55" i="56" a="1"/>
  <c r="FG55" i="56" s="1"/>
  <c r="FH55" i="56"/>
  <c r="EK197" i="56"/>
  <c r="AZ257" i="56"/>
  <c r="Q257" i="56" s="1"/>
  <c r="FY286" i="56"/>
  <c r="FY238" i="56"/>
  <c r="FW352" i="56"/>
  <c r="BI352" i="56"/>
  <c r="T352" i="56" s="1"/>
  <c r="HE336" i="56"/>
  <c r="HF336" i="56" s="1"/>
  <c r="GC336" i="56"/>
  <c r="FW336" i="56"/>
  <c r="FW320" i="56"/>
  <c r="GC320" i="56"/>
  <c r="GC304" i="56"/>
  <c r="FW304" i="56"/>
  <c r="BI304" i="56"/>
  <c r="T304" i="56" s="1"/>
  <c r="FW288" i="56"/>
  <c r="BI288" i="56"/>
  <c r="T288" i="56" s="1"/>
  <c r="FW272" i="56"/>
  <c r="BI272" i="56"/>
  <c r="GC272" i="56" s="1"/>
  <c r="FW256" i="56"/>
  <c r="GC256" i="56"/>
  <c r="FW240" i="56"/>
  <c r="BI240" i="56"/>
  <c r="GC240" i="56" s="1"/>
  <c r="T240" i="56"/>
  <c r="HE224" i="56"/>
  <c r="HF224" i="56" s="1"/>
  <c r="FW224" i="56"/>
  <c r="BI224" i="56"/>
  <c r="GC224" i="56" s="1"/>
  <c r="FW208" i="56"/>
  <c r="GC208" i="56"/>
  <c r="FW192" i="56"/>
  <c r="BI192" i="56"/>
  <c r="GC192" i="56" s="1"/>
  <c r="T192" i="56"/>
  <c r="FW176" i="56"/>
  <c r="BI176" i="56"/>
  <c r="GC176" i="56" s="1"/>
  <c r="T176" i="56"/>
  <c r="FW160" i="56"/>
  <c r="GC160" i="56"/>
  <c r="T160" i="56"/>
  <c r="FW144" i="56"/>
  <c r="BI144" i="56"/>
  <c r="GC144" i="56" s="1"/>
  <c r="FW128" i="56"/>
  <c r="BI128" i="56"/>
  <c r="GC112" i="56"/>
  <c r="FW112" i="56"/>
  <c r="FW96" i="56"/>
  <c r="BI96" i="56"/>
  <c r="T96" i="56" s="1"/>
  <c r="GC80" i="56"/>
  <c r="FW80" i="56"/>
  <c r="T80" i="56"/>
  <c r="FW64" i="56"/>
  <c r="T64" i="56"/>
  <c r="FW48" i="56"/>
  <c r="GD48" i="56"/>
  <c r="BI48" i="56"/>
  <c r="GC48" i="56" s="1"/>
  <c r="T48" i="56"/>
  <c r="GD32" i="56"/>
  <c r="GE32" i="56"/>
  <c r="FW32" i="56"/>
  <c r="BI32" i="56"/>
  <c r="GC32" i="56" s="1"/>
  <c r="FW16" i="56"/>
  <c r="BI16" i="56"/>
  <c r="T16" i="56" s="1"/>
  <c r="BI47" i="56"/>
  <c r="GC47" i="56" s="1"/>
  <c r="BJ49" i="56"/>
  <c r="BL49" i="56" s="1"/>
  <c r="BK352" i="56"/>
  <c r="BL352" i="56" s="1"/>
  <c r="BK171" i="56"/>
  <c r="BN166" i="56"/>
  <c r="FY166" i="56" s="1"/>
  <c r="BO339" i="56"/>
  <c r="BO260" i="56"/>
  <c r="BO83" i="56"/>
  <c r="BO4" i="56"/>
  <c r="BS339" i="56"/>
  <c r="BS96" i="56"/>
  <c r="BU123" i="56"/>
  <c r="FG137" i="56" a="1"/>
  <c r="FG137" i="56" s="1"/>
  <c r="FH137" i="56"/>
  <c r="IP159" i="56"/>
  <c r="FL159" i="56"/>
  <c r="FM159" i="56" s="1"/>
  <c r="FO159" i="56" s="1" a="1"/>
  <c r="FO159" i="56" s="1"/>
  <c r="FF159" i="56"/>
  <c r="DC159" i="56"/>
  <c r="CI66" i="56"/>
  <c r="IP68" i="56"/>
  <c r="FB68" i="56"/>
  <c r="FL68" i="56"/>
  <c r="FM68" i="56" s="1"/>
  <c r="FO68" i="56" s="1" a="1"/>
  <c r="FO68" i="56" s="1"/>
  <c r="DC68" i="56"/>
  <c r="IP317" i="56"/>
  <c r="FL317" i="56"/>
  <c r="FM317" i="56" s="1"/>
  <c r="FO317" i="56" s="1" a="1"/>
  <c r="FO317" i="56" s="1"/>
  <c r="DC317" i="56"/>
  <c r="IP190" i="56"/>
  <c r="FL190" i="56"/>
  <c r="FM190" i="56" s="1"/>
  <c r="FO190" i="56" s="1" a="1"/>
  <c r="FO190" i="56" s="1"/>
  <c r="FF190" i="56"/>
  <c r="DC190" i="56"/>
  <c r="IP123" i="56"/>
  <c r="FL123" i="56"/>
  <c r="FM123" i="56" s="1"/>
  <c r="FO123" i="56" s="1" a="1"/>
  <c r="FO123" i="56" s="1"/>
  <c r="DC123" i="56"/>
  <c r="IP79" i="56"/>
  <c r="FL79" i="56"/>
  <c r="FM79" i="56" s="1"/>
  <c r="FO79" i="56" s="1" a="1"/>
  <c r="FO79" i="56" s="1"/>
  <c r="DC79" i="56"/>
  <c r="CQ138" i="56" a="1"/>
  <c r="CQ138" i="56" s="1"/>
  <c r="CR138" i="56"/>
  <c r="CP138" i="56" a="1"/>
  <c r="CP138" i="56" s="1"/>
  <c r="CO138" i="56" a="1"/>
  <c r="CO138" i="56" s="1"/>
  <c r="DL91" i="56"/>
  <c r="DJ91" i="56"/>
  <c r="DL75" i="56"/>
  <c r="DJ75" i="56"/>
  <c r="DL59" i="56"/>
  <c r="DJ59" i="56"/>
  <c r="DJ24" i="56"/>
  <c r="DL24" i="56"/>
  <c r="DJ8" i="56"/>
  <c r="DL8" i="56"/>
  <c r="FH326" i="56"/>
  <c r="FG326" i="56" a="1"/>
  <c r="FG326" i="56" s="1"/>
  <c r="FI326" i="56" s="1"/>
  <c r="FG77" i="56" a="1"/>
  <c r="FG77" i="56" s="1"/>
  <c r="FH77" i="56"/>
  <c r="IP275" i="56"/>
  <c r="FL275" i="56"/>
  <c r="FM275" i="56" s="1"/>
  <c r="FO275" i="56" s="1" a="1"/>
  <c r="FO275" i="56" s="1"/>
  <c r="IP259" i="56"/>
  <c r="FB259" i="56"/>
  <c r="FL259" i="56"/>
  <c r="FM259" i="56" s="1"/>
  <c r="FO259" i="56" s="1" a="1"/>
  <c r="FO259" i="56" s="1"/>
  <c r="DC259" i="56"/>
  <c r="IP227" i="56"/>
  <c r="FL227" i="56"/>
  <c r="FM227" i="56" s="1"/>
  <c r="FO227" i="56" s="1" a="1"/>
  <c r="FO227" i="56" s="1"/>
  <c r="DC227" i="56"/>
  <c r="IP189" i="56"/>
  <c r="FL189" i="56"/>
  <c r="FM189" i="56" s="1"/>
  <c r="FO189" i="56" s="1" a="1"/>
  <c r="FO189" i="56" s="1"/>
  <c r="FF189" i="56"/>
  <c r="FB189" i="56"/>
  <c r="DC189" i="56"/>
  <c r="IP157" i="56"/>
  <c r="FF157" i="56"/>
  <c r="FL157" i="56"/>
  <c r="FM157" i="56" s="1"/>
  <c r="FO157" i="56" s="1" a="1"/>
  <c r="FO157" i="56" s="1"/>
  <c r="CO118" i="56" a="1"/>
  <c r="CO118" i="56" s="1"/>
  <c r="CQ118" i="56" a="1"/>
  <c r="CQ118" i="56" s="1"/>
  <c r="CR118" i="56"/>
  <c r="CP118" i="56" a="1"/>
  <c r="CP118" i="56" s="1"/>
  <c r="CR237" i="56"/>
  <c r="CO237" i="56" a="1"/>
  <c r="CO237" i="56" s="1"/>
  <c r="CP237" i="56" a="1"/>
  <c r="CP237" i="56" s="1"/>
  <c r="CQ237" i="56" a="1"/>
  <c r="CQ237" i="56" s="1"/>
  <c r="FH319" i="56"/>
  <c r="FG319" i="56" a="1"/>
  <c r="FG319" i="56" s="1"/>
  <c r="FI319" i="56" s="1"/>
  <c r="FG266" i="56" a="1"/>
  <c r="FG266" i="56" s="1"/>
  <c r="FH266" i="56"/>
  <c r="FH127" i="56"/>
  <c r="FG127" i="56" a="1"/>
  <c r="FG127" i="56" s="1"/>
  <c r="FH76" i="56"/>
  <c r="FG76" i="56" a="1"/>
  <c r="FG76" i="56" s="1"/>
  <c r="IP338" i="56"/>
  <c r="FL338" i="56"/>
  <c r="FM338" i="56" s="1"/>
  <c r="FO338" i="56" s="1" a="1"/>
  <c r="FO338" i="56" s="1"/>
  <c r="DC338" i="56"/>
  <c r="IP114" i="56"/>
  <c r="FL114" i="56"/>
  <c r="FM114" i="56" s="1"/>
  <c r="FO114" i="56" s="1" a="1"/>
  <c r="FO114" i="56" s="1"/>
  <c r="DC114" i="56"/>
  <c r="IP98" i="56"/>
  <c r="FL98" i="56"/>
  <c r="FM98" i="56" s="1"/>
  <c r="FO98" i="56" s="1" a="1"/>
  <c r="FO98" i="56" s="1"/>
  <c r="FF98" i="56"/>
  <c r="DC98" i="56"/>
  <c r="IP66" i="56"/>
  <c r="FL66" i="56"/>
  <c r="FM66" i="56" s="1"/>
  <c r="FO66" i="56" s="1" a="1"/>
  <c r="FO66" i="56" s="1"/>
  <c r="DC66" i="56"/>
  <c r="IP350" i="56"/>
  <c r="FF350" i="56"/>
  <c r="FL350" i="56"/>
  <c r="FM350" i="56" s="1"/>
  <c r="FO350" i="56" s="1" a="1"/>
  <c r="FO350" i="56" s="1"/>
  <c r="DC350" i="56"/>
  <c r="IP312" i="56"/>
  <c r="FF312" i="56"/>
  <c r="FL312" i="56"/>
  <c r="FM312" i="56" s="1"/>
  <c r="FO312" i="56" s="1" a="1"/>
  <c r="FO312" i="56" s="1"/>
  <c r="DC312" i="56"/>
  <c r="IP266" i="56"/>
  <c r="FB266" i="56"/>
  <c r="FL266" i="56"/>
  <c r="FM266" i="56" s="1"/>
  <c r="FO266" i="56" s="1" a="1"/>
  <c r="FO266" i="56" s="1"/>
  <c r="DC266" i="56"/>
  <c r="IP231" i="56"/>
  <c r="FL231" i="56"/>
  <c r="FM231" i="56" s="1"/>
  <c r="FO231" i="56" s="1" a="1"/>
  <c r="FO231" i="56" s="1"/>
  <c r="DC231" i="56"/>
  <c r="IP188" i="56"/>
  <c r="FL188" i="56"/>
  <c r="FM188" i="56" s="1"/>
  <c r="FO188" i="56" s="1" a="1"/>
  <c r="FO188" i="56" s="1"/>
  <c r="FF188" i="56"/>
  <c r="DC188" i="56"/>
  <c r="IP156" i="56"/>
  <c r="FL156" i="56"/>
  <c r="FM156" i="56" s="1"/>
  <c r="FO156" i="56" s="1" a="1"/>
  <c r="FO156" i="56" s="1"/>
  <c r="FF156" i="56"/>
  <c r="DC156" i="56"/>
  <c r="CK156" i="56"/>
  <c r="DF156" i="56" s="1"/>
  <c r="DG156" i="56" s="1"/>
  <c r="CP117" i="56" a="1"/>
  <c r="CP117" i="56" s="1"/>
  <c r="CO117" i="56" a="1"/>
  <c r="CO117" i="56" s="1"/>
  <c r="CQ117" i="56" a="1"/>
  <c r="CQ117" i="56" s="1"/>
  <c r="EH348" i="56"/>
  <c r="DM348" i="56"/>
  <c r="EH332" i="56"/>
  <c r="EI332" i="56" s="1"/>
  <c r="EH316" i="56"/>
  <c r="DM316" i="56"/>
  <c r="EH300" i="56"/>
  <c r="DM300" i="56"/>
  <c r="EH284" i="56"/>
  <c r="DM284" i="56"/>
  <c r="EH268" i="56"/>
  <c r="DM268" i="56"/>
  <c r="EH252" i="56"/>
  <c r="DM252" i="56"/>
  <c r="EH236" i="56"/>
  <c r="DM236" i="56"/>
  <c r="EH220" i="56"/>
  <c r="DM220" i="56"/>
  <c r="EH204" i="56"/>
  <c r="DM204" i="56"/>
  <c r="EH188" i="56"/>
  <c r="DM188" i="56"/>
  <c r="EH172" i="56"/>
  <c r="DM172" i="56"/>
  <c r="EH156" i="56"/>
  <c r="EH140" i="56"/>
  <c r="DM140" i="56"/>
  <c r="EH124" i="56"/>
  <c r="DM124" i="56"/>
  <c r="EH108" i="56"/>
  <c r="DM108" i="56"/>
  <c r="EH92" i="56"/>
  <c r="DM92" i="56"/>
  <c r="EH76" i="56"/>
  <c r="DM76" i="56"/>
  <c r="EI76" i="56" s="1"/>
  <c r="EH60" i="56"/>
  <c r="DM60" i="56"/>
  <c r="EH43" i="56"/>
  <c r="DM43" i="56"/>
  <c r="EH10" i="56"/>
  <c r="DM10" i="56"/>
  <c r="DJ40" i="56"/>
  <c r="DL40" i="56"/>
  <c r="DL22" i="56"/>
  <c r="DJ22" i="56"/>
  <c r="DL6" i="56"/>
  <c r="GF6" i="56" s="1"/>
  <c r="DJ6" i="56"/>
  <c r="FG265" i="56" a="1"/>
  <c r="FG265" i="56" s="1"/>
  <c r="FH265" i="56"/>
  <c r="FG223" i="56" a="1"/>
  <c r="FG223" i="56" s="1"/>
  <c r="FH223" i="56"/>
  <c r="FG173" i="56" a="1"/>
  <c r="FG173" i="56" s="1"/>
  <c r="FH173" i="56"/>
  <c r="FG121" i="56" a="1"/>
  <c r="FG121" i="56" s="1"/>
  <c r="FI121" i="56" s="1"/>
  <c r="FH121" i="56"/>
  <c r="FG29" i="56" a="1"/>
  <c r="FG29" i="56" s="1"/>
  <c r="FH29" i="56"/>
  <c r="IP348" i="56"/>
  <c r="FL348" i="56"/>
  <c r="FM348" i="56" s="1"/>
  <c r="FO348" i="56" s="1" a="1"/>
  <c r="FO348" i="56" s="1"/>
  <c r="FF348" i="56"/>
  <c r="DC348" i="56"/>
  <c r="IP265" i="56"/>
  <c r="FL265" i="56"/>
  <c r="FM265" i="56" s="1"/>
  <c r="FO265" i="56" s="1" a="1"/>
  <c r="FO265" i="56" s="1"/>
  <c r="DC265" i="56"/>
  <c r="IP187" i="56"/>
  <c r="FL187" i="56"/>
  <c r="FM187" i="56" s="1"/>
  <c r="FO187" i="56" s="1" a="1"/>
  <c r="FO187" i="56" s="1"/>
  <c r="FF187" i="56"/>
  <c r="FB187" i="56"/>
  <c r="DC187" i="56"/>
  <c r="IP113" i="56"/>
  <c r="FL113" i="56"/>
  <c r="FM113" i="56" s="1"/>
  <c r="FO113" i="56" s="1" a="1"/>
  <c r="FO113" i="56" s="1"/>
  <c r="DC113" i="56"/>
  <c r="HD351" i="56"/>
  <c r="GB351" i="56"/>
  <c r="HD334" i="56"/>
  <c r="GB334" i="56"/>
  <c r="HD317" i="56"/>
  <c r="GB317" i="56"/>
  <c r="HD300" i="56"/>
  <c r="GB300" i="56"/>
  <c r="HD283" i="56"/>
  <c r="GB283" i="56"/>
  <c r="GM283" i="56"/>
  <c r="HD266" i="56"/>
  <c r="GB266" i="56"/>
  <c r="HD249" i="56"/>
  <c r="GB249" i="56"/>
  <c r="HD240" i="56"/>
  <c r="GB240" i="56"/>
  <c r="HD223" i="56"/>
  <c r="GB223" i="56"/>
  <c r="HD206" i="56"/>
  <c r="GB206" i="56"/>
  <c r="HD189" i="56"/>
  <c r="GB189" i="56"/>
  <c r="HD172" i="56"/>
  <c r="GB172" i="56"/>
  <c r="HD155" i="56"/>
  <c r="GB155" i="56"/>
  <c r="HD138" i="56"/>
  <c r="GB138" i="56"/>
  <c r="HD121" i="56"/>
  <c r="GB121" i="56"/>
  <c r="HD112" i="56"/>
  <c r="GB112" i="56"/>
  <c r="HD95" i="56"/>
  <c r="GB95" i="56"/>
  <c r="HD78" i="56"/>
  <c r="GB78" i="56"/>
  <c r="HD61" i="56"/>
  <c r="GB61" i="56"/>
  <c r="HD44" i="56"/>
  <c r="GB44" i="56"/>
  <c r="HD27" i="56"/>
  <c r="GB27" i="56"/>
  <c r="HD10" i="56"/>
  <c r="GB10" i="56"/>
  <c r="FG175" i="56" a="1"/>
  <c r="FG175" i="56" s="1"/>
  <c r="FH175" i="56"/>
  <c r="FH111" i="56"/>
  <c r="FG111" i="56" a="1"/>
  <c r="FG111" i="56" s="1"/>
  <c r="FG47" i="56" a="1"/>
  <c r="FG47" i="56" s="1"/>
  <c r="AZ309" i="56"/>
  <c r="Q309" i="56" s="1"/>
  <c r="AZ291" i="56"/>
  <c r="Q291" i="56" s="1"/>
  <c r="AZ181" i="56"/>
  <c r="BD181" i="56" s="1" a="1"/>
  <c r="BD181" i="56" s="1"/>
  <c r="AZ163" i="56"/>
  <c r="Q163" i="56" s="1"/>
  <c r="EL163" i="56" s="1"/>
  <c r="AZ53" i="56"/>
  <c r="BD53" i="56" s="1" a="1"/>
  <c r="BD53" i="56" s="1"/>
  <c r="AZ35" i="56"/>
  <c r="Q35" i="56" s="1"/>
  <c r="BL337" i="56"/>
  <c r="BN337" i="56"/>
  <c r="FY337" i="56" s="1"/>
  <c r="BQ337" i="56"/>
  <c r="EQ321" i="56"/>
  <c r="BN321" i="56"/>
  <c r="FY321" i="56" s="1"/>
  <c r="BQ321" i="56"/>
  <c r="EQ305" i="56"/>
  <c r="BL305" i="56"/>
  <c r="BN305" i="56"/>
  <c r="FY305" i="56" s="1"/>
  <c r="BQ305" i="56"/>
  <c r="EQ289" i="56"/>
  <c r="BN289" i="56"/>
  <c r="FY289" i="56" s="1"/>
  <c r="BQ289" i="56"/>
  <c r="EQ273" i="56"/>
  <c r="BY273" i="56" s="1" a="1"/>
  <c r="BY273" i="56" s="1"/>
  <c r="DU273" i="56" s="1"/>
  <c r="BL273" i="56"/>
  <c r="BN273" i="56"/>
  <c r="FY273" i="56" s="1"/>
  <c r="BQ273" i="56"/>
  <c r="EQ257" i="56"/>
  <c r="BL257" i="56"/>
  <c r="BN257" i="56"/>
  <c r="FY257" i="56" s="1"/>
  <c r="BQ257" i="56"/>
  <c r="EQ241" i="56"/>
  <c r="BY241" i="56" s="1" a="1"/>
  <c r="BY241" i="56" s="1"/>
  <c r="DU241" i="56" s="1"/>
  <c r="BL241" i="56"/>
  <c r="BN241" i="56"/>
  <c r="FY241" i="56" s="1"/>
  <c r="BQ241" i="56"/>
  <c r="EQ225" i="56"/>
  <c r="BY225" i="56" s="1" a="1"/>
  <c r="BY225" i="56" s="1"/>
  <c r="DU225" i="56" s="1"/>
  <c r="BL225" i="56"/>
  <c r="BN225" i="56"/>
  <c r="FY225" i="56" s="1"/>
  <c r="BQ225" i="56"/>
  <c r="EQ209" i="56"/>
  <c r="BN209" i="56"/>
  <c r="BQ209" i="56"/>
  <c r="EQ193" i="56"/>
  <c r="BN193" i="56"/>
  <c r="FY193" i="56" s="1"/>
  <c r="BQ193" i="56"/>
  <c r="EQ177" i="56"/>
  <c r="BN177" i="56"/>
  <c r="FY177" i="56" s="1"/>
  <c r="BQ177" i="56"/>
  <c r="EQ161" i="56"/>
  <c r="BN161" i="56"/>
  <c r="FY161" i="56" s="1"/>
  <c r="BQ161" i="56"/>
  <c r="EQ145" i="56"/>
  <c r="BY145" i="56" s="1" a="1"/>
  <c r="BY145" i="56" s="1"/>
  <c r="DU145" i="56" s="1"/>
  <c r="BL145" i="56"/>
  <c r="BN145" i="56"/>
  <c r="FY145" i="56" s="1"/>
  <c r="BQ145" i="56"/>
  <c r="EQ129" i="56"/>
  <c r="BY129" i="56" s="1" a="1"/>
  <c r="BY129" i="56" s="1"/>
  <c r="DU129" i="56" s="1"/>
  <c r="BL129" i="56"/>
  <c r="BN129" i="56"/>
  <c r="FY129" i="56" s="1"/>
  <c r="BQ129" i="56"/>
  <c r="EQ113" i="56"/>
  <c r="BY113" i="56" s="1" a="1"/>
  <c r="BY113" i="56" s="1"/>
  <c r="DU113" i="56" s="1"/>
  <c r="BL113" i="56"/>
  <c r="BN113" i="56"/>
  <c r="BQ113" i="56"/>
  <c r="EQ97" i="56"/>
  <c r="BY97" i="56" s="1" a="1"/>
  <c r="BY97" i="56" s="1"/>
  <c r="DU97" i="56" s="1"/>
  <c r="BL97" i="56"/>
  <c r="BN97" i="56"/>
  <c r="FY97" i="56" s="1"/>
  <c r="BQ97" i="56"/>
  <c r="EQ81" i="56"/>
  <c r="BN81" i="56"/>
  <c r="FY81" i="56" s="1"/>
  <c r="BQ81" i="56"/>
  <c r="EQ65" i="56"/>
  <c r="BY65" i="56" s="1" a="1"/>
  <c r="BY65" i="56" s="1"/>
  <c r="DU65" i="56" s="1"/>
  <c r="BL65" i="56"/>
  <c r="BN65" i="56"/>
  <c r="BQ65" i="56"/>
  <c r="EQ49" i="56"/>
  <c r="BY49" i="56" s="1" a="1"/>
  <c r="BY49" i="56" s="1"/>
  <c r="DU49" i="56" s="1"/>
  <c r="BN49" i="56"/>
  <c r="FY49" i="56" s="1"/>
  <c r="BQ49" i="56"/>
  <c r="EQ33" i="56"/>
  <c r="BL33" i="56"/>
  <c r="BN33" i="56"/>
  <c r="FY33" i="56" s="1"/>
  <c r="BQ33" i="56"/>
  <c r="EQ17" i="56"/>
  <c r="BQ17" i="56"/>
  <c r="BD343" i="56" a="1"/>
  <c r="BD343" i="56" s="1"/>
  <c r="C343" i="56" s="1"/>
  <c r="BE343" i="56" s="1"/>
  <c r="BD325" i="56" a="1"/>
  <c r="BD325" i="56" s="1"/>
  <c r="C325" i="56" s="1"/>
  <c r="BE325" i="56" s="1"/>
  <c r="BD279" i="56" a="1"/>
  <c r="BD279" i="56" s="1"/>
  <c r="C279" i="56" s="1"/>
  <c r="BE279" i="56" s="1"/>
  <c r="BD261" i="56" a="1"/>
  <c r="BD261" i="56" s="1"/>
  <c r="C261" i="56" s="1"/>
  <c r="BE261" i="56" s="1"/>
  <c r="BD215" i="56" a="1"/>
  <c r="BD215" i="56" s="1"/>
  <c r="C215" i="56" s="1"/>
  <c r="BE215" i="56" s="1"/>
  <c r="BD197" i="56" a="1"/>
  <c r="BD197" i="56" s="1"/>
  <c r="C197" i="56" s="1"/>
  <c r="BE197" i="56" s="1"/>
  <c r="BD151" i="56" a="1"/>
  <c r="BD151" i="56" s="1"/>
  <c r="BD133" i="56" a="1"/>
  <c r="BD133" i="56" s="1"/>
  <c r="BD87" i="56" a="1"/>
  <c r="BD87" i="56" s="1"/>
  <c r="BD69" i="56" a="1"/>
  <c r="BD69" i="56" s="1"/>
  <c r="BD23" i="56" a="1"/>
  <c r="BD23" i="56" s="1"/>
  <c r="BJ300" i="56"/>
  <c r="BL300" i="56" s="1"/>
  <c r="BK296" i="56"/>
  <c r="BK268" i="56"/>
  <c r="BK168" i="56"/>
  <c r="BK40" i="56"/>
  <c r="BK12" i="56"/>
  <c r="BL234" i="56"/>
  <c r="BN314" i="56"/>
  <c r="BN264" i="56"/>
  <c r="EZ264" i="56" s="1"/>
  <c r="BN136" i="56"/>
  <c r="BO332" i="56"/>
  <c r="BO230" i="56"/>
  <c r="BO204" i="56"/>
  <c r="BO152" i="56"/>
  <c r="BO102" i="56"/>
  <c r="BQ348" i="56"/>
  <c r="BQ293" i="56"/>
  <c r="BQ220" i="56"/>
  <c r="BQ165" i="56"/>
  <c r="BQ37" i="56"/>
  <c r="GA22" i="56"/>
  <c r="CV22" i="56"/>
  <c r="DT22" i="56"/>
  <c r="GA6" i="56"/>
  <c r="CV6" i="56"/>
  <c r="DT6" i="56"/>
  <c r="EH347" i="56"/>
  <c r="DM347" i="56"/>
  <c r="EH331" i="56"/>
  <c r="DM331" i="56"/>
  <c r="EH315" i="56"/>
  <c r="DM315" i="56"/>
  <c r="EH299" i="56"/>
  <c r="DM299" i="56"/>
  <c r="EI299" i="56" s="1"/>
  <c r="EH283" i="56"/>
  <c r="DM283" i="56"/>
  <c r="EH267" i="56"/>
  <c r="DM267" i="56"/>
  <c r="EH251" i="56"/>
  <c r="DM251" i="56"/>
  <c r="DM235" i="56"/>
  <c r="EH235" i="56"/>
  <c r="EH219" i="56"/>
  <c r="DM219" i="56"/>
  <c r="EH203" i="56"/>
  <c r="DM203" i="56"/>
  <c r="EH187" i="56"/>
  <c r="DM187" i="56"/>
  <c r="EH171" i="56"/>
  <c r="DM171" i="56"/>
  <c r="EH155" i="56"/>
  <c r="DM155" i="56"/>
  <c r="EH139" i="56"/>
  <c r="DM139" i="56"/>
  <c r="EI139" i="56" s="1"/>
  <c r="EH123" i="56"/>
  <c r="DM123" i="56"/>
  <c r="EH107" i="56"/>
  <c r="DM107" i="56"/>
  <c r="EH91" i="56"/>
  <c r="DM91" i="56"/>
  <c r="EH75" i="56"/>
  <c r="DM75" i="56"/>
  <c r="EH59" i="56"/>
  <c r="DM59" i="56"/>
  <c r="EH42" i="56"/>
  <c r="DM42" i="56"/>
  <c r="EH26" i="56"/>
  <c r="DM26" i="56"/>
  <c r="BU330" i="56"/>
  <c r="BU301" i="56"/>
  <c r="BU205" i="56"/>
  <c r="DJ344" i="56"/>
  <c r="DL344" i="56"/>
  <c r="DJ328" i="56"/>
  <c r="DL328" i="56"/>
  <c r="DJ312" i="56"/>
  <c r="DL312" i="56"/>
  <c r="GF312" i="56" s="1"/>
  <c r="DJ296" i="56"/>
  <c r="DL296" i="56"/>
  <c r="DJ280" i="56"/>
  <c r="DL280" i="56"/>
  <c r="DJ264" i="56"/>
  <c r="DL264" i="56"/>
  <c r="DJ248" i="56"/>
  <c r="DL248" i="56"/>
  <c r="DJ232" i="56"/>
  <c r="DL232" i="56"/>
  <c r="DJ200" i="56"/>
  <c r="DL200" i="56"/>
  <c r="DJ184" i="56"/>
  <c r="DL184" i="56"/>
  <c r="DJ168" i="56"/>
  <c r="DL168" i="56"/>
  <c r="GF168" i="56" s="1"/>
  <c r="DJ152" i="56"/>
  <c r="DL152" i="56"/>
  <c r="DJ136" i="56"/>
  <c r="DL136" i="56"/>
  <c r="DJ120" i="56"/>
  <c r="DL120" i="56"/>
  <c r="DJ104" i="56"/>
  <c r="DL104" i="56"/>
  <c r="DJ88" i="56"/>
  <c r="DL88" i="56"/>
  <c r="DJ72" i="56"/>
  <c r="DL72" i="56"/>
  <c r="DJ56" i="56"/>
  <c r="DL56" i="56"/>
  <c r="DL39" i="56"/>
  <c r="DJ39" i="56"/>
  <c r="DJ21" i="56"/>
  <c r="DL21" i="56"/>
  <c r="DL5" i="56"/>
  <c r="DJ5" i="56"/>
  <c r="BW232" i="56"/>
  <c r="BW102" i="56"/>
  <c r="BW53" i="56"/>
  <c r="BW9" i="56"/>
  <c r="BX310" i="56"/>
  <c r="BX264" i="56"/>
  <c r="BX169" i="56"/>
  <c r="BX120" i="56"/>
  <c r="BX74" i="56"/>
  <c r="BX25" i="56"/>
  <c r="CE351" i="56"/>
  <c r="CC351" i="56"/>
  <c r="CB351" i="56"/>
  <c r="CF351" i="56"/>
  <c r="CA352" i="56"/>
  <c r="CD351" i="56"/>
  <c r="CD335" i="56"/>
  <c r="CF335" i="56"/>
  <c r="CE335" i="56"/>
  <c r="CB335" i="56"/>
  <c r="CC335" i="56"/>
  <c r="CC319" i="56"/>
  <c r="CF319" i="56"/>
  <c r="CD319" i="56"/>
  <c r="CV319" i="56" s="1"/>
  <c r="CB319" i="56"/>
  <c r="CC303" i="56"/>
  <c r="CF303" i="56"/>
  <c r="CA304" i="56"/>
  <c r="CD303" i="56"/>
  <c r="CE303" i="56"/>
  <c r="CE287" i="56"/>
  <c r="CD287" i="56"/>
  <c r="CA288" i="56"/>
  <c r="CB287" i="56"/>
  <c r="CC287" i="56"/>
  <c r="CD271" i="56"/>
  <c r="CA272" i="56"/>
  <c r="CC271" i="56"/>
  <c r="CE271" i="56"/>
  <c r="CB255" i="56"/>
  <c r="CF255" i="56"/>
  <c r="CA256" i="56"/>
  <c r="CD255" i="56"/>
  <c r="CE255" i="56"/>
  <c r="CD239" i="56"/>
  <c r="CV239" i="56" s="1"/>
  <c r="CC239" i="56"/>
  <c r="CE239" i="56"/>
  <c r="CB239" i="56"/>
  <c r="CF223" i="56"/>
  <c r="CE223" i="56"/>
  <c r="CB223" i="56"/>
  <c r="CA224" i="56"/>
  <c r="CE207" i="56"/>
  <c r="CB207" i="56"/>
  <c r="CC207" i="56"/>
  <c r="CF207" i="56"/>
  <c r="CD207" i="56"/>
  <c r="CV207" i="56" s="1"/>
  <c r="CA208" i="56"/>
  <c r="CD191" i="56"/>
  <c r="CC191" i="56"/>
  <c r="CF191" i="56"/>
  <c r="CA192" i="56"/>
  <c r="CE191" i="56"/>
  <c r="CB191" i="56"/>
  <c r="CD175" i="56"/>
  <c r="CV175" i="56" s="1"/>
  <c r="CA176" i="56"/>
  <c r="CC175" i="56"/>
  <c r="CF175" i="56"/>
  <c r="CB175" i="56"/>
  <c r="CC159" i="56"/>
  <c r="CE159" i="56"/>
  <c r="CB159" i="56"/>
  <c r="CA144" i="56"/>
  <c r="CE143" i="56"/>
  <c r="CD143" i="56"/>
  <c r="CV143" i="56" s="1"/>
  <c r="CF143" i="56"/>
  <c r="CC127" i="56"/>
  <c r="CE127" i="56"/>
  <c r="CB127" i="56"/>
  <c r="CA128" i="56"/>
  <c r="CD127" i="56"/>
  <c r="CF111" i="56"/>
  <c r="CA112" i="56"/>
  <c r="CD111" i="56"/>
  <c r="CE95" i="56"/>
  <c r="CC95" i="56"/>
  <c r="CB95" i="56"/>
  <c r="CA96" i="56"/>
  <c r="CD95" i="56"/>
  <c r="CC79" i="56"/>
  <c r="CE79" i="56"/>
  <c r="CB79" i="56"/>
  <c r="CD79" i="56"/>
  <c r="CV79" i="56" s="1"/>
  <c r="CF79" i="56"/>
  <c r="CD63" i="56"/>
  <c r="CF63" i="56"/>
  <c r="CE63" i="56"/>
  <c r="CB63" i="56"/>
  <c r="CA64" i="56"/>
  <c r="CC63" i="56"/>
  <c r="CC47" i="56"/>
  <c r="CF47" i="56"/>
  <c r="CD47" i="56"/>
  <c r="CB47" i="56"/>
  <c r="CA48" i="56"/>
  <c r="CC31" i="56"/>
  <c r="CF31" i="56"/>
  <c r="CA32" i="56"/>
  <c r="CE31" i="56"/>
  <c r="CE15" i="56"/>
  <c r="CD15" i="56"/>
  <c r="CV15" i="56" s="1"/>
  <c r="FD15" i="56" s="1"/>
  <c r="M15" i="56" s="1"/>
  <c r="FE15" i="56" s="1"/>
  <c r="FF15" i="56" s="1"/>
  <c r="CA16" i="56"/>
  <c r="CB15" i="56"/>
  <c r="CC15" i="56"/>
  <c r="CF15" i="56"/>
  <c r="IP186" i="56"/>
  <c r="FF186" i="56"/>
  <c r="FL186" i="56"/>
  <c r="FM186" i="56" s="1"/>
  <c r="FO186" i="56" s="1" a="1"/>
  <c r="FO186" i="56" s="1"/>
  <c r="FB186" i="56"/>
  <c r="DC186" i="56"/>
  <c r="IP152" i="56"/>
  <c r="FL152" i="56"/>
  <c r="FM152" i="56" s="1"/>
  <c r="FO152" i="56" s="1" a="1"/>
  <c r="FO152" i="56" s="1"/>
  <c r="IP7" i="56"/>
  <c r="FL7" i="56"/>
  <c r="FM7" i="56" s="1"/>
  <c r="FO7" i="56" s="1" a="1"/>
  <c r="FO7" i="56" s="1"/>
  <c r="DC7" i="56"/>
  <c r="CF287" i="56"/>
  <c r="CG246" i="56"/>
  <c r="CH246" i="56" s="1"/>
  <c r="H246" i="56" s="1"/>
  <c r="CL57" i="56"/>
  <c r="CM105" i="56"/>
  <c r="J105" i="56" s="1"/>
  <c r="CN105" i="56" s="1"/>
  <c r="EE4" i="56"/>
  <c r="ED4" i="56"/>
  <c r="FS72" i="56"/>
  <c r="FP72" i="56"/>
  <c r="EK61" i="56"/>
  <c r="HD342" i="56"/>
  <c r="GB342" i="56"/>
  <c r="HD325" i="56"/>
  <c r="GB325" i="56"/>
  <c r="HD308" i="56"/>
  <c r="GB308" i="56"/>
  <c r="HD291" i="56"/>
  <c r="GB291" i="56"/>
  <c r="HD274" i="56"/>
  <c r="GB274" i="56"/>
  <c r="HD257" i="56"/>
  <c r="GB257" i="56"/>
  <c r="HD248" i="56"/>
  <c r="GB248" i="56"/>
  <c r="HD231" i="56"/>
  <c r="GB231" i="56"/>
  <c r="HD214" i="56"/>
  <c r="GB214" i="56"/>
  <c r="HD197" i="56"/>
  <c r="GB197" i="56"/>
  <c r="HD180" i="56"/>
  <c r="GB180" i="56"/>
  <c r="HD163" i="56"/>
  <c r="GB163" i="56"/>
  <c r="HD146" i="56"/>
  <c r="GB146" i="56"/>
  <c r="HD129" i="56"/>
  <c r="GB129" i="56"/>
  <c r="HD120" i="56"/>
  <c r="GB120" i="56"/>
  <c r="HD103" i="56"/>
  <c r="GB103" i="56"/>
  <c r="HD86" i="56"/>
  <c r="GB86" i="56"/>
  <c r="HD69" i="56"/>
  <c r="GB69" i="56"/>
  <c r="HD52" i="56"/>
  <c r="GB52" i="56"/>
  <c r="HD35" i="56"/>
  <c r="GB35" i="56"/>
  <c r="HD18" i="56"/>
  <c r="GB18" i="56"/>
  <c r="BU254" i="56"/>
  <c r="BU158" i="56"/>
  <c r="AZ326" i="56"/>
  <c r="Q326" i="56" s="1"/>
  <c r="AZ308" i="56"/>
  <c r="Q308" i="56" s="1"/>
  <c r="AZ198" i="56"/>
  <c r="Q198" i="56" s="1"/>
  <c r="DV198" i="56" s="1"/>
  <c r="AZ180" i="56"/>
  <c r="BD180" i="56" s="1" a="1"/>
  <c r="BD180" i="56" s="1"/>
  <c r="AZ70" i="56"/>
  <c r="Q70" i="56" s="1"/>
  <c r="AZ52" i="56"/>
  <c r="Q52" i="56" s="1"/>
  <c r="EQ352" i="56"/>
  <c r="BN352" i="56"/>
  <c r="FY352" i="56" s="1"/>
  <c r="EQ336" i="56"/>
  <c r="BN336" i="56"/>
  <c r="FY336" i="56" s="1"/>
  <c r="EQ320" i="56"/>
  <c r="BY320" i="56" s="1" a="1"/>
  <c r="BY320" i="56" s="1"/>
  <c r="DU320" i="56" s="1"/>
  <c r="BL320" i="56"/>
  <c r="BN320" i="56"/>
  <c r="FY320" i="56" s="1"/>
  <c r="EQ304" i="56"/>
  <c r="BY304" i="56" s="1" a="1"/>
  <c r="BY304" i="56" s="1"/>
  <c r="DU304" i="56" s="1"/>
  <c r="BN304" i="56"/>
  <c r="FY304" i="56" s="1"/>
  <c r="EQ288" i="56"/>
  <c r="BY288" i="56" s="1" a="1"/>
  <c r="BY288" i="56" s="1"/>
  <c r="DU288" i="56" s="1"/>
  <c r="BL288" i="56"/>
  <c r="BN288" i="56"/>
  <c r="FY288" i="56" s="1"/>
  <c r="EQ272" i="56"/>
  <c r="BN272" i="56"/>
  <c r="FY272" i="56" s="1"/>
  <c r="EQ256" i="56"/>
  <c r="BY256" i="56" a="1"/>
  <c r="BY256" i="56" s="1"/>
  <c r="DU256" i="56" s="1"/>
  <c r="BL256" i="56"/>
  <c r="BN256" i="56"/>
  <c r="FY256" i="56" s="1"/>
  <c r="EQ240" i="56"/>
  <c r="BL240" i="56"/>
  <c r="BN240" i="56"/>
  <c r="FY240" i="56" s="1"/>
  <c r="EQ224" i="56"/>
  <c r="BN224" i="56"/>
  <c r="FY224" i="56" s="1"/>
  <c r="EQ208" i="56"/>
  <c r="BL208" i="56"/>
  <c r="BN208" i="56"/>
  <c r="FY208" i="56" s="1"/>
  <c r="EQ192" i="56"/>
  <c r="BY192" i="56" s="1" a="1"/>
  <c r="BY192" i="56" s="1"/>
  <c r="DU192" i="56" s="1"/>
  <c r="BL192" i="56"/>
  <c r="BN192" i="56"/>
  <c r="FY192" i="56" s="1"/>
  <c r="EQ176" i="56"/>
  <c r="BL176" i="56"/>
  <c r="BN176" i="56"/>
  <c r="FY176" i="56" s="1"/>
  <c r="EQ160" i="56"/>
  <c r="BL160" i="56"/>
  <c r="BN160" i="56"/>
  <c r="FY160" i="56" s="1"/>
  <c r="EQ144" i="56"/>
  <c r="BL144" i="56"/>
  <c r="BY144" i="56" a="1"/>
  <c r="BY144" i="56" s="1"/>
  <c r="DU144" i="56" s="1"/>
  <c r="BN144" i="56"/>
  <c r="FY144" i="56" s="1"/>
  <c r="EQ128" i="56"/>
  <c r="BN128" i="56"/>
  <c r="FY128" i="56" s="1"/>
  <c r="EQ112" i="56"/>
  <c r="BN112" i="56"/>
  <c r="FY112" i="56" s="1"/>
  <c r="EQ96" i="56"/>
  <c r="BL96" i="56"/>
  <c r="BN96" i="56"/>
  <c r="EQ80" i="56"/>
  <c r="BN80" i="56"/>
  <c r="FY80" i="56" s="1"/>
  <c r="EQ64" i="56"/>
  <c r="BY64" i="56" s="1" a="1"/>
  <c r="BY64" i="56" s="1"/>
  <c r="DU64" i="56" s="1"/>
  <c r="BL64" i="56"/>
  <c r="BN64" i="56"/>
  <c r="EQ48" i="56"/>
  <c r="BN48" i="56"/>
  <c r="FY48" i="56" s="1"/>
  <c r="EQ32" i="56"/>
  <c r="BN32" i="56"/>
  <c r="FY32" i="56" s="1"/>
  <c r="EQ16" i="56"/>
  <c r="FW346" i="56"/>
  <c r="BI346" i="56"/>
  <c r="T346" i="56" s="1"/>
  <c r="FW330" i="56"/>
  <c r="BI330" i="56"/>
  <c r="FW314" i="56"/>
  <c r="BI314" i="56"/>
  <c r="T314" i="56" s="1"/>
  <c r="FW298" i="56"/>
  <c r="BI298" i="56"/>
  <c r="T298" i="56" s="1"/>
  <c r="FW282" i="56"/>
  <c r="BI282" i="56"/>
  <c r="FW266" i="56"/>
  <c r="BI266" i="56"/>
  <c r="T266" i="56" s="1"/>
  <c r="GC250" i="56"/>
  <c r="FW250" i="56"/>
  <c r="BI250" i="56"/>
  <c r="T250" i="56" s="1"/>
  <c r="FW234" i="56"/>
  <c r="BI234" i="56"/>
  <c r="FW218" i="56"/>
  <c r="BI218" i="56"/>
  <c r="T218" i="56" s="1"/>
  <c r="FW202" i="56"/>
  <c r="BI202" i="56"/>
  <c r="T202" i="56" s="1"/>
  <c r="FW186" i="56"/>
  <c r="BI186" i="56"/>
  <c r="FW170" i="56"/>
  <c r="GC170" i="56"/>
  <c r="BI170" i="56"/>
  <c r="T170" i="56" s="1"/>
  <c r="HE154" i="56"/>
  <c r="HF154" i="56" s="1"/>
  <c r="FW154" i="56"/>
  <c r="BI154" i="56"/>
  <c r="T154" i="56" s="1"/>
  <c r="FW138" i="56"/>
  <c r="BI138" i="56"/>
  <c r="T138" i="56" s="1"/>
  <c r="FW122" i="56"/>
  <c r="BI122" i="56"/>
  <c r="T122" i="56" s="1"/>
  <c r="FW106" i="56"/>
  <c r="BI106" i="56"/>
  <c r="T106" i="56" s="1"/>
  <c r="GC90" i="56"/>
  <c r="FW90" i="56"/>
  <c r="BI90" i="56"/>
  <c r="T90" i="56" s="1"/>
  <c r="FW74" i="56"/>
  <c r="BI74" i="56"/>
  <c r="FW58" i="56"/>
  <c r="BI58" i="56"/>
  <c r="T58" i="56" s="1"/>
  <c r="GD42" i="56"/>
  <c r="FW42" i="56"/>
  <c r="BI42" i="56"/>
  <c r="GC42" i="56" s="1"/>
  <c r="FW26" i="56"/>
  <c r="BI26" i="56"/>
  <c r="FW10" i="56"/>
  <c r="BI10" i="56"/>
  <c r="T10" i="56" s="1"/>
  <c r="BI292" i="56"/>
  <c r="T292" i="56" s="1"/>
  <c r="BJ252" i="56"/>
  <c r="BJ134" i="56"/>
  <c r="BK345" i="56"/>
  <c r="BK217" i="56"/>
  <c r="BK89" i="56"/>
  <c r="BO329" i="56"/>
  <c r="BO201" i="56"/>
  <c r="BO73" i="56"/>
  <c r="BO23" i="56"/>
  <c r="BQ344" i="56"/>
  <c r="BQ216" i="56"/>
  <c r="GA342" i="56"/>
  <c r="DT342" i="56"/>
  <c r="GA326" i="56"/>
  <c r="DT326" i="56"/>
  <c r="GA310" i="56"/>
  <c r="DT310" i="56"/>
  <c r="GA294" i="56"/>
  <c r="CV294" i="56"/>
  <c r="DT294" i="56"/>
  <c r="GA278" i="56"/>
  <c r="CV278" i="56"/>
  <c r="DT278" i="56"/>
  <c r="GA262" i="56"/>
  <c r="CV262" i="56"/>
  <c r="DT262" i="56"/>
  <c r="GA246" i="56"/>
  <c r="GA230" i="56"/>
  <c r="DT230" i="56"/>
  <c r="GA214" i="56"/>
  <c r="CV214" i="56"/>
  <c r="DT214" i="56"/>
  <c r="GA198" i="56"/>
  <c r="DT198" i="56"/>
  <c r="GA182" i="56"/>
  <c r="DT182" i="56"/>
  <c r="GA166" i="56"/>
  <c r="DT166" i="56"/>
  <c r="CV166" i="56"/>
  <c r="GA150" i="56"/>
  <c r="DT150" i="56"/>
  <c r="CV150" i="56"/>
  <c r="GA134" i="56"/>
  <c r="DT134" i="56"/>
  <c r="CV134" i="56"/>
  <c r="GA118" i="56"/>
  <c r="DT118" i="56"/>
  <c r="GA102" i="56"/>
  <c r="DT102" i="56"/>
  <c r="CV102" i="56"/>
  <c r="GA86" i="56"/>
  <c r="DT86" i="56"/>
  <c r="GA70" i="56"/>
  <c r="CV70" i="56"/>
  <c r="DT70" i="56"/>
  <c r="GA54" i="56"/>
  <c r="DT54" i="56"/>
  <c r="GA38" i="56"/>
  <c r="DT38" i="56"/>
  <c r="BU329" i="56"/>
  <c r="BU300" i="56"/>
  <c r="BU266" i="56"/>
  <c r="BU233" i="56"/>
  <c r="BU204" i="56"/>
  <c r="DJ343" i="56"/>
  <c r="DL343" i="56"/>
  <c r="GF343" i="56" s="1"/>
  <c r="DJ327" i="56"/>
  <c r="DL327" i="56"/>
  <c r="GF327" i="56" s="1"/>
  <c r="DL311" i="56"/>
  <c r="DJ311" i="56"/>
  <c r="DL295" i="56"/>
  <c r="DJ295" i="56"/>
  <c r="DL279" i="56"/>
  <c r="DJ279" i="56"/>
  <c r="DL263" i="56"/>
  <c r="DJ263" i="56"/>
  <c r="DL247" i="56"/>
  <c r="DJ247" i="56"/>
  <c r="DL231" i="56"/>
  <c r="DJ231" i="56"/>
  <c r="DL215" i="56"/>
  <c r="DJ215" i="56"/>
  <c r="DJ199" i="56"/>
  <c r="DL199" i="56"/>
  <c r="GF199" i="56" s="1"/>
  <c r="DL183" i="56"/>
  <c r="DJ183" i="56"/>
  <c r="DL167" i="56"/>
  <c r="DJ167" i="56"/>
  <c r="DJ151" i="56"/>
  <c r="DL151" i="56"/>
  <c r="DJ135" i="56"/>
  <c r="DL135" i="56"/>
  <c r="DJ119" i="56"/>
  <c r="DL119" i="56"/>
  <c r="DJ103" i="56"/>
  <c r="DL103" i="56"/>
  <c r="DJ87" i="56"/>
  <c r="DL87" i="56"/>
  <c r="GF87" i="56" s="1"/>
  <c r="DJ71" i="56"/>
  <c r="DL71" i="56"/>
  <c r="GF71" i="56" s="1"/>
  <c r="DJ55" i="56"/>
  <c r="DL55" i="56"/>
  <c r="DL38" i="56"/>
  <c r="GF38" i="56" s="1"/>
  <c r="DL20" i="56"/>
  <c r="DJ20" i="56"/>
  <c r="BW231" i="56"/>
  <c r="BW188" i="56"/>
  <c r="BW101" i="56"/>
  <c r="FG351" i="56" a="1"/>
  <c r="FG351" i="56" s="1"/>
  <c r="FH351" i="56"/>
  <c r="BX309" i="56"/>
  <c r="BX263" i="56"/>
  <c r="BX118" i="56"/>
  <c r="BX73" i="56"/>
  <c r="BX22" i="56"/>
  <c r="CE350" i="56"/>
  <c r="CF350" i="56"/>
  <c r="CB350" i="56"/>
  <c r="CD350" i="56"/>
  <c r="CA351" i="56"/>
  <c r="CE334" i="56"/>
  <c r="CB334" i="56"/>
  <c r="CC334" i="56"/>
  <c r="CA335" i="56"/>
  <c r="CF334" i="56"/>
  <c r="CD334" i="56"/>
  <c r="CV334" i="56" s="1"/>
  <c r="CE318" i="56"/>
  <c r="CD318" i="56"/>
  <c r="CV318" i="56" s="1"/>
  <c r="CC318" i="56"/>
  <c r="FB318" i="56" s="1"/>
  <c r="CF318" i="56"/>
  <c r="CB318" i="56"/>
  <c r="CE302" i="56"/>
  <c r="CD302" i="56"/>
  <c r="CV302" i="56" s="1"/>
  <c r="CA303" i="56"/>
  <c r="CC302" i="56"/>
  <c r="CF302" i="56"/>
  <c r="CE286" i="56"/>
  <c r="CC286" i="56"/>
  <c r="FB286" i="56" s="1"/>
  <c r="CD286" i="56"/>
  <c r="CV286" i="56" s="1"/>
  <c r="CB286" i="56"/>
  <c r="CE270" i="56"/>
  <c r="CD270" i="56"/>
  <c r="CV270" i="56" s="1"/>
  <c r="CA271" i="56"/>
  <c r="CC270" i="56"/>
  <c r="CF270" i="56"/>
  <c r="CE254" i="56"/>
  <c r="CB254" i="56"/>
  <c r="CA255" i="56"/>
  <c r="CD254" i="56"/>
  <c r="CV254" i="56" s="1"/>
  <c r="CE238" i="56"/>
  <c r="CB238" i="56"/>
  <c r="CF238" i="56"/>
  <c r="CA239" i="56"/>
  <c r="CC238" i="56"/>
  <c r="CD238" i="56"/>
  <c r="CV238" i="56" s="1"/>
  <c r="CE222" i="56"/>
  <c r="CD222" i="56"/>
  <c r="CC222" i="56"/>
  <c r="CF222" i="56"/>
  <c r="CB222" i="56"/>
  <c r="CA223" i="56"/>
  <c r="CE206" i="56"/>
  <c r="CF206" i="56"/>
  <c r="CC206" i="56"/>
  <c r="CB206" i="56"/>
  <c r="CA207" i="56"/>
  <c r="CE190" i="56"/>
  <c r="CD190" i="56"/>
  <c r="CF190" i="56"/>
  <c r="CB190" i="56"/>
  <c r="CC190" i="56"/>
  <c r="FB190" i="56" s="1"/>
  <c r="CA191" i="56"/>
  <c r="CE174" i="56"/>
  <c r="CC174" i="56"/>
  <c r="CF174" i="56"/>
  <c r="CB174" i="56"/>
  <c r="CE158" i="56"/>
  <c r="CC158" i="56"/>
  <c r="CF158" i="56"/>
  <c r="CE142" i="56"/>
  <c r="CD142" i="56"/>
  <c r="CV142" i="56" s="1"/>
  <c r="CA143" i="56"/>
  <c r="CF142" i="56"/>
  <c r="CE126" i="56"/>
  <c r="CA127" i="56"/>
  <c r="CD126" i="56"/>
  <c r="CV126" i="56" s="1"/>
  <c r="CB126" i="56"/>
  <c r="CC126" i="56"/>
  <c r="CE110" i="56"/>
  <c r="CC110" i="56"/>
  <c r="CF110" i="56"/>
  <c r="CB110" i="56"/>
  <c r="CA111" i="56"/>
  <c r="CD110" i="56"/>
  <c r="CE94" i="56"/>
  <c r="CC94" i="56"/>
  <c r="CF94" i="56"/>
  <c r="CB94" i="56"/>
  <c r="CA95" i="56"/>
  <c r="CD94" i="56"/>
  <c r="CV94" i="56" s="1"/>
  <c r="CE78" i="56"/>
  <c r="CF78" i="56"/>
  <c r="CB78" i="56"/>
  <c r="CD78" i="56"/>
  <c r="CV78" i="56" s="1"/>
  <c r="CE62" i="56"/>
  <c r="CB62" i="56"/>
  <c r="CA63" i="56"/>
  <c r="CC62" i="56"/>
  <c r="CE46" i="56"/>
  <c r="CD46" i="56"/>
  <c r="CV46" i="56" s="1"/>
  <c r="CC46" i="56"/>
  <c r="CF46" i="56"/>
  <c r="CB46" i="56"/>
  <c r="CA47" i="56"/>
  <c r="IP343" i="56"/>
  <c r="FF343" i="56"/>
  <c r="FL343" i="56"/>
  <c r="FM343" i="56" s="1"/>
  <c r="FO343" i="56" s="1" a="1"/>
  <c r="FO343" i="56" s="1"/>
  <c r="DC343" i="56"/>
  <c r="IP263" i="56"/>
  <c r="FL263" i="56"/>
  <c r="FM263" i="56" s="1"/>
  <c r="FO263" i="56" s="1" a="1"/>
  <c r="FO263" i="56" s="1"/>
  <c r="DC263" i="56"/>
  <c r="IP106" i="56"/>
  <c r="FB106" i="56"/>
  <c r="FL106" i="56"/>
  <c r="FM106" i="56" s="1"/>
  <c r="FO106" i="56" s="1" a="1"/>
  <c r="FO106" i="56" s="1"/>
  <c r="DC106" i="56"/>
  <c r="IP30" i="56"/>
  <c r="DC30" i="56"/>
  <c r="IP5" i="56"/>
  <c r="FL5" i="56"/>
  <c r="FM5" i="56" s="1"/>
  <c r="FO5" i="56" s="1" a="1"/>
  <c r="FO5" i="56" s="1"/>
  <c r="DC5" i="56"/>
  <c r="CD159" i="56"/>
  <c r="CE319" i="56"/>
  <c r="CF286" i="56"/>
  <c r="CG345" i="56"/>
  <c r="CH345" i="56" s="1"/>
  <c r="H345" i="56" s="1"/>
  <c r="CG54" i="56"/>
  <c r="CH54" i="56" s="1"/>
  <c r="H54" i="56" s="1"/>
  <c r="CI138" i="56"/>
  <c r="CL135" i="56"/>
  <c r="CM102" i="56"/>
  <c r="J102" i="56" s="1"/>
  <c r="CN102" i="56" s="1"/>
  <c r="CX138" i="56"/>
  <c r="DM156" i="56"/>
  <c r="DV215" i="56"/>
  <c r="CO236" i="56" a="1"/>
  <c r="CO236" i="56" s="1"/>
  <c r="CR236" i="56"/>
  <c r="CP236" i="56" a="1"/>
  <c r="CP236" i="56" s="1"/>
  <c r="EK317" i="56"/>
  <c r="EK236" i="56"/>
  <c r="EL236" i="56"/>
  <c r="EK220" i="56"/>
  <c r="EL220" i="56"/>
  <c r="EK92" i="56"/>
  <c r="EK60" i="56"/>
  <c r="HD282" i="56"/>
  <c r="GB282" i="56"/>
  <c r="HD265" i="56"/>
  <c r="GB265" i="56"/>
  <c r="HD154" i="56"/>
  <c r="GB154" i="56"/>
  <c r="GM154" i="56"/>
  <c r="HD137" i="56"/>
  <c r="GB137" i="56"/>
  <c r="HD26" i="56"/>
  <c r="GB26" i="56"/>
  <c r="HD9" i="56"/>
  <c r="GB9" i="56"/>
  <c r="IA349" i="56"/>
  <c r="IB349" i="56" s="1"/>
  <c r="FK349" i="56"/>
  <c r="BS349" i="56" s="1"/>
  <c r="EP349" i="56"/>
  <c r="DV349" i="56"/>
  <c r="CS349" i="56"/>
  <c r="I349" i="56" s="1"/>
  <c r="CT349" i="56" s="1"/>
  <c r="CX349" i="56"/>
  <c r="CI349" i="56"/>
  <c r="BW349" i="56"/>
  <c r="CM349" i="56"/>
  <c r="J349" i="56" s="1"/>
  <c r="CN349" i="56" s="1"/>
  <c r="CL349" i="56"/>
  <c r="BO349" i="56"/>
  <c r="CG349" i="56"/>
  <c r="CH349" i="56" s="1"/>
  <c r="H349" i="56" s="1"/>
  <c r="BK349" i="56"/>
  <c r="IA333" i="56"/>
  <c r="IB333" i="56" s="1"/>
  <c r="FK333" i="56"/>
  <c r="BS333" i="56" s="1"/>
  <c r="CX333" i="56"/>
  <c r="DV333" i="56"/>
  <c r="CG333" i="56"/>
  <c r="CH333" i="56" s="1"/>
  <c r="H333" i="56" s="1"/>
  <c r="CS333" i="56"/>
  <c r="I333" i="56" s="1"/>
  <c r="CT333" i="56" s="1"/>
  <c r="CI333" i="56"/>
  <c r="BX333" i="56"/>
  <c r="BU333" i="56"/>
  <c r="BO333" i="56"/>
  <c r="BK333" i="56"/>
  <c r="FK317" i="56"/>
  <c r="FV317" i="56"/>
  <c r="EP317" i="56"/>
  <c r="CM317" i="56"/>
  <c r="J317" i="56" s="1"/>
  <c r="CN317" i="56" s="1"/>
  <c r="CI317" i="56"/>
  <c r="CG317" i="56"/>
  <c r="CH317" i="56" s="1"/>
  <c r="H317" i="56" s="1"/>
  <c r="DV317" i="56"/>
  <c r="CS317" i="56"/>
  <c r="I317" i="56" s="1"/>
  <c r="CT317" i="56" s="1"/>
  <c r="CX317" i="56"/>
  <c r="BX317" i="56"/>
  <c r="BO317" i="56"/>
  <c r="BU317" i="56"/>
  <c r="BK317" i="56"/>
  <c r="IA301" i="56"/>
  <c r="IB301" i="56" s="1"/>
  <c r="FK301" i="56"/>
  <c r="EP301" i="56"/>
  <c r="CX301" i="56"/>
  <c r="DV301" i="56"/>
  <c r="CS301" i="56"/>
  <c r="I301" i="56" s="1"/>
  <c r="CT301" i="56" s="1"/>
  <c r="CL301" i="56"/>
  <c r="CM301" i="56"/>
  <c r="J301" i="56" s="1"/>
  <c r="CN301" i="56" s="1"/>
  <c r="CG301" i="56"/>
  <c r="CH301" i="56" s="1"/>
  <c r="H301" i="56" s="1"/>
  <c r="BW301" i="56"/>
  <c r="CI301" i="56"/>
  <c r="BO301" i="56"/>
  <c r="BX301" i="56"/>
  <c r="BK301" i="56"/>
  <c r="IA285" i="56"/>
  <c r="IB285" i="56" s="1"/>
  <c r="FK285" i="56"/>
  <c r="BS285" i="56" s="1"/>
  <c r="EP285" i="56"/>
  <c r="DV285" i="56"/>
  <c r="CX285" i="56"/>
  <c r="CL285" i="56"/>
  <c r="CM285" i="56"/>
  <c r="J285" i="56" s="1"/>
  <c r="CN285" i="56" s="1"/>
  <c r="CS285" i="56"/>
  <c r="I285" i="56" s="1"/>
  <c r="CT285" i="56" s="1"/>
  <c r="BO285" i="56"/>
  <c r="CI285" i="56"/>
  <c r="BK285" i="56"/>
  <c r="IA269" i="56"/>
  <c r="IB269" i="56" s="1"/>
  <c r="FK269" i="56"/>
  <c r="BS269" i="56" s="1"/>
  <c r="EP269" i="56"/>
  <c r="DV269" i="56"/>
  <c r="CI269" i="56"/>
  <c r="CS269" i="56"/>
  <c r="I269" i="56" s="1"/>
  <c r="CT269" i="56" s="1"/>
  <c r="CL269" i="56"/>
  <c r="CG269" i="56"/>
  <c r="CH269" i="56" s="1"/>
  <c r="H269" i="56" s="1"/>
  <c r="BX269" i="56"/>
  <c r="CM269" i="56"/>
  <c r="J269" i="56" s="1"/>
  <c r="CN269" i="56" s="1"/>
  <c r="BO269" i="56"/>
  <c r="BK269" i="56"/>
  <c r="IA253" i="56"/>
  <c r="IB253" i="56" s="1"/>
  <c r="FK253" i="56"/>
  <c r="BS253" i="56" s="1"/>
  <c r="EP253" i="56"/>
  <c r="DV253" i="56"/>
  <c r="CX253" i="56"/>
  <c r="CS253" i="56"/>
  <c r="I253" i="56" s="1"/>
  <c r="CT253" i="56" s="1"/>
  <c r="CL253" i="56"/>
  <c r="BX253" i="56"/>
  <c r="CG253" i="56"/>
  <c r="CH253" i="56" s="1"/>
  <c r="H253" i="56" s="1"/>
  <c r="CI253" i="56"/>
  <c r="BU253" i="56"/>
  <c r="BO253" i="56"/>
  <c r="CM253" i="56"/>
  <c r="J253" i="56" s="1"/>
  <c r="CN253" i="56" s="1"/>
  <c r="BK253" i="56"/>
  <c r="IA237" i="56"/>
  <c r="IB237" i="56" s="1"/>
  <c r="EP237" i="56"/>
  <c r="FK237" i="56"/>
  <c r="BS237" i="56" s="1"/>
  <c r="CX237" i="56"/>
  <c r="CL237" i="56"/>
  <c r="BW237" i="56"/>
  <c r="BX237" i="56"/>
  <c r="BU237" i="56"/>
  <c r="BO237" i="56"/>
  <c r="CS237" i="56"/>
  <c r="I237" i="56" s="1"/>
  <c r="CT237" i="56" s="1"/>
  <c r="BK237" i="56"/>
  <c r="BY237" i="56" s="1" a="1"/>
  <c r="BY237" i="56" s="1"/>
  <c r="DU237" i="56" s="1"/>
  <c r="IA221" i="56"/>
  <c r="IB221" i="56" s="1"/>
  <c r="FK221" i="56"/>
  <c r="BS221" i="56" s="1"/>
  <c r="DV221" i="56"/>
  <c r="EP221" i="56"/>
  <c r="CX221" i="56"/>
  <c r="CM221" i="56"/>
  <c r="J221" i="56" s="1"/>
  <c r="CN221" i="56" s="1"/>
  <c r="CS221" i="56"/>
  <c r="I221" i="56" s="1"/>
  <c r="CT221" i="56" s="1"/>
  <c r="CI221" i="56"/>
  <c r="CL221" i="56"/>
  <c r="BX221" i="56"/>
  <c r="CG221" i="56"/>
  <c r="CH221" i="56" s="1"/>
  <c r="H221" i="56" s="1"/>
  <c r="CJ221" i="56" s="1"/>
  <c r="BO221" i="56"/>
  <c r="BK221" i="56"/>
  <c r="IA205" i="56"/>
  <c r="IB205" i="56" s="1"/>
  <c r="FK205" i="56"/>
  <c r="BS205" i="56" s="1"/>
  <c r="EP205" i="56"/>
  <c r="DV205" i="56"/>
  <c r="CS205" i="56"/>
  <c r="I205" i="56" s="1"/>
  <c r="CT205" i="56" s="1"/>
  <c r="CX205" i="56"/>
  <c r="CI205" i="56"/>
  <c r="BO205" i="56"/>
  <c r="CM205" i="56"/>
  <c r="J205" i="56" s="1"/>
  <c r="CN205" i="56" s="1"/>
  <c r="BK205" i="56"/>
  <c r="BL205" i="56" s="1"/>
  <c r="IA189" i="56"/>
  <c r="IB189" i="56" s="1"/>
  <c r="FK189" i="56"/>
  <c r="BS189" i="56" s="1"/>
  <c r="EP189" i="56"/>
  <c r="CX189" i="56"/>
  <c r="CG189" i="56"/>
  <c r="CH189" i="56" s="1"/>
  <c r="H189" i="56" s="1"/>
  <c r="CS189" i="56"/>
  <c r="I189" i="56" s="1"/>
  <c r="CT189" i="56" s="1"/>
  <c r="CM189" i="56"/>
  <c r="J189" i="56" s="1"/>
  <c r="CN189" i="56" s="1"/>
  <c r="CI189" i="56"/>
  <c r="CL189" i="56"/>
  <c r="BX189" i="56"/>
  <c r="BO189" i="56"/>
  <c r="BK189" i="56"/>
  <c r="IA173" i="56"/>
  <c r="IB173" i="56" s="1"/>
  <c r="FK173" i="56"/>
  <c r="BS173" i="56" s="1"/>
  <c r="EP173" i="56"/>
  <c r="CX173" i="56"/>
  <c r="CL173" i="56"/>
  <c r="CG173" i="56"/>
  <c r="CH173" i="56" s="1"/>
  <c r="H173" i="56" s="1"/>
  <c r="CS173" i="56"/>
  <c r="I173" i="56" s="1"/>
  <c r="CT173" i="56" s="1"/>
  <c r="CM173" i="56"/>
  <c r="J173" i="56" s="1"/>
  <c r="CN173" i="56" s="1"/>
  <c r="BW173" i="56"/>
  <c r="CI173" i="56"/>
  <c r="DV173" i="56"/>
  <c r="BO173" i="56"/>
  <c r="BK173" i="56"/>
  <c r="IA157" i="56"/>
  <c r="IB157" i="56" s="1"/>
  <c r="FK157" i="56"/>
  <c r="BS157" i="56" s="1"/>
  <c r="EP157" i="56"/>
  <c r="DV157" i="56"/>
  <c r="CS157" i="56"/>
  <c r="I157" i="56" s="1"/>
  <c r="CT157" i="56" s="1"/>
  <c r="CL157" i="56"/>
  <c r="CX157" i="56"/>
  <c r="CG157" i="56"/>
  <c r="CH157" i="56" s="1"/>
  <c r="H157" i="56" s="1"/>
  <c r="CJ157" i="56" s="1"/>
  <c r="BO157" i="56"/>
  <c r="BK157" i="56"/>
  <c r="IA141" i="56"/>
  <c r="IB141" i="56" s="1"/>
  <c r="FK141" i="56"/>
  <c r="BS141" i="56" s="1"/>
  <c r="DV141" i="56"/>
  <c r="CM141" i="56"/>
  <c r="J141" i="56" s="1"/>
  <c r="CN141" i="56" s="1"/>
  <c r="CI141" i="56"/>
  <c r="CL141" i="56"/>
  <c r="CX141" i="56"/>
  <c r="CS141" i="56"/>
  <c r="I141" i="56" s="1"/>
  <c r="CT141" i="56" s="1"/>
  <c r="CG141" i="56"/>
  <c r="CH141" i="56" s="1"/>
  <c r="H141" i="56" s="1"/>
  <c r="BW141" i="56"/>
  <c r="BO141" i="56"/>
  <c r="BU141" i="56"/>
  <c r="BK141" i="56"/>
  <c r="IA125" i="56"/>
  <c r="IB125" i="56" s="1"/>
  <c r="FK125" i="56"/>
  <c r="BS125" i="56" s="1"/>
  <c r="DV125" i="56"/>
  <c r="CS125" i="56"/>
  <c r="I125" i="56" s="1"/>
  <c r="CT125" i="56" s="1"/>
  <c r="CM125" i="56"/>
  <c r="J125" i="56" s="1"/>
  <c r="CN125" i="56" s="1"/>
  <c r="CL125" i="56"/>
  <c r="BW125" i="56"/>
  <c r="CG125" i="56"/>
  <c r="CH125" i="56" s="1"/>
  <c r="H125" i="56" s="1"/>
  <c r="CI125" i="56"/>
  <c r="BX125" i="56"/>
  <c r="BO125" i="56"/>
  <c r="BK125" i="56"/>
  <c r="IA109" i="56"/>
  <c r="IB109" i="56" s="1"/>
  <c r="FK109" i="56"/>
  <c r="DV109" i="56"/>
  <c r="CX109" i="56"/>
  <c r="CS109" i="56"/>
  <c r="I109" i="56" s="1"/>
  <c r="CT109" i="56" s="1"/>
  <c r="CM109" i="56"/>
  <c r="J109" i="56" s="1"/>
  <c r="CN109" i="56" s="1"/>
  <c r="CL109" i="56"/>
  <c r="BW109" i="56"/>
  <c r="BS109" i="56"/>
  <c r="BO109" i="56"/>
  <c r="BU109" i="56"/>
  <c r="BK109" i="56"/>
  <c r="BY109" i="56" s="1" a="1"/>
  <c r="BY109" i="56" s="1"/>
  <c r="DU109" i="56" s="1"/>
  <c r="IA93" i="56"/>
  <c r="IB93" i="56" s="1"/>
  <c r="FK93" i="56"/>
  <c r="BS93" i="56" s="1"/>
  <c r="DV93" i="56"/>
  <c r="CX93" i="56"/>
  <c r="CI93" i="56"/>
  <c r="CM93" i="56"/>
  <c r="J93" i="56" s="1"/>
  <c r="CN93" i="56" s="1"/>
  <c r="CL93" i="56"/>
  <c r="BW93" i="56"/>
  <c r="BO93" i="56"/>
  <c r="CS93" i="56"/>
  <c r="I93" i="56" s="1"/>
  <c r="CT93" i="56" s="1"/>
  <c r="CG93" i="56"/>
  <c r="CH93" i="56" s="1"/>
  <c r="H93" i="56" s="1"/>
  <c r="CJ93" i="56" s="1"/>
  <c r="BK93" i="56"/>
  <c r="IA77" i="56"/>
  <c r="IB77" i="56" s="1"/>
  <c r="FK77" i="56"/>
  <c r="BS77" i="56" s="1"/>
  <c r="CX77" i="56"/>
  <c r="DV77" i="56"/>
  <c r="CS77" i="56"/>
  <c r="I77" i="56" s="1"/>
  <c r="CT77" i="56" s="1"/>
  <c r="CI77" i="56"/>
  <c r="CL77" i="56"/>
  <c r="CG77" i="56"/>
  <c r="CH77" i="56" s="1"/>
  <c r="H77" i="56" s="1"/>
  <c r="BU77" i="56"/>
  <c r="BW77" i="56"/>
  <c r="BO77" i="56"/>
  <c r="CM77" i="56"/>
  <c r="J77" i="56" s="1"/>
  <c r="CN77" i="56" s="1"/>
  <c r="BK77" i="56"/>
  <c r="IA61" i="56"/>
  <c r="IB61" i="56" s="1"/>
  <c r="FK61" i="56"/>
  <c r="BS61" i="56" s="1"/>
  <c r="DV61" i="56"/>
  <c r="CM61" i="56"/>
  <c r="J61" i="56" s="1"/>
  <c r="CN61" i="56" s="1"/>
  <c r="CI61" i="56"/>
  <c r="CG61" i="56"/>
  <c r="CH61" i="56" s="1"/>
  <c r="H61" i="56" s="1"/>
  <c r="CS61" i="56"/>
  <c r="I61" i="56" s="1"/>
  <c r="CT61" i="56" s="1"/>
  <c r="CX61" i="56"/>
  <c r="BX61" i="56"/>
  <c r="BO61" i="56"/>
  <c r="BU61" i="56"/>
  <c r="BK61" i="56"/>
  <c r="BL61" i="56" s="1"/>
  <c r="IA45" i="56"/>
  <c r="IB45" i="56" s="1"/>
  <c r="FK45" i="56"/>
  <c r="EP45" i="56"/>
  <c r="DV45" i="56"/>
  <c r="CX45" i="56"/>
  <c r="CM45" i="56"/>
  <c r="J45" i="56" s="1"/>
  <c r="CN45" i="56" s="1"/>
  <c r="CS45" i="56"/>
  <c r="I45" i="56" s="1"/>
  <c r="CT45" i="56" s="1"/>
  <c r="CI45" i="56"/>
  <c r="CG45" i="56"/>
  <c r="CH45" i="56" s="1"/>
  <c r="H45" i="56" s="1"/>
  <c r="CJ45" i="56" s="1"/>
  <c r="CK45" i="56" s="1"/>
  <c r="IQ45" i="56" s="1"/>
  <c r="CL45" i="56"/>
  <c r="BO45" i="56"/>
  <c r="BW45" i="56"/>
  <c r="BK45" i="56"/>
  <c r="IA29" i="56"/>
  <c r="IB29" i="56" s="1"/>
  <c r="FK29" i="56"/>
  <c r="CX29" i="56"/>
  <c r="EP29" i="56"/>
  <c r="CM29" i="56"/>
  <c r="J29" i="56" s="1"/>
  <c r="CN29" i="56" s="1"/>
  <c r="CL29" i="56"/>
  <c r="DV29" i="56"/>
  <c r="BS29" i="56"/>
  <c r="BO29" i="56"/>
  <c r="BK29" i="56"/>
  <c r="IA13" i="56"/>
  <c r="IB13" i="56" s="1"/>
  <c r="FK13" i="56"/>
  <c r="BS13" i="56" s="1"/>
  <c r="DV13" i="56"/>
  <c r="EP13" i="56"/>
  <c r="CX13" i="56"/>
  <c r="CS13" i="56"/>
  <c r="I13" i="56" s="1"/>
  <c r="CT13" i="56" s="1"/>
  <c r="CM13" i="56"/>
  <c r="J13" i="56" s="1"/>
  <c r="CN13" i="56" s="1"/>
  <c r="CG13" i="56"/>
  <c r="CH13" i="56" s="1"/>
  <c r="H13" i="56" s="1"/>
  <c r="CJ13" i="56" s="1"/>
  <c r="CL13" i="56"/>
  <c r="BX13" i="56"/>
  <c r="CI13" i="56"/>
  <c r="BW13" i="56"/>
  <c r="BO13" i="56"/>
  <c r="BK13" i="56"/>
  <c r="BA347" i="56"/>
  <c r="BB347" i="56" s="1"/>
  <c r="BD347" i="56" s="1" a="1"/>
  <c r="BD347" i="56" s="1"/>
  <c r="BA219" i="56"/>
  <c r="BB219" i="56" s="1"/>
  <c r="BD219" i="56" s="1" a="1"/>
  <c r="BD219" i="56" s="1"/>
  <c r="C219" i="56" s="1"/>
  <c r="BE219" i="56" s="1"/>
  <c r="BA91" i="56"/>
  <c r="BB91" i="56" s="1"/>
  <c r="BD91" i="56" s="1" a="1"/>
  <c r="BD91" i="56" s="1"/>
  <c r="EQ351" i="56"/>
  <c r="BY351" i="56" s="1" a="1"/>
  <c r="BY351" i="56" s="1"/>
  <c r="DU351" i="56" s="1"/>
  <c r="BN351" i="56"/>
  <c r="EQ335" i="56"/>
  <c r="BN335" i="56"/>
  <c r="FY335" i="56" s="1"/>
  <c r="EQ319" i="56"/>
  <c r="BY319" i="56" a="1"/>
  <c r="BY319" i="56" s="1"/>
  <c r="DU319" i="56" s="1"/>
  <c r="BN319" i="56"/>
  <c r="FY319" i="56" s="1"/>
  <c r="EQ303" i="56"/>
  <c r="BY303" i="56" s="1" a="1"/>
  <c r="BY303" i="56" s="1"/>
  <c r="DU303" i="56" s="1"/>
  <c r="BN303" i="56"/>
  <c r="EQ287" i="56"/>
  <c r="BN287" i="56"/>
  <c r="FY287" i="56" s="1"/>
  <c r="EQ271" i="56"/>
  <c r="BN271" i="56"/>
  <c r="FY271" i="56" s="1"/>
  <c r="EQ255" i="56"/>
  <c r="BN255" i="56"/>
  <c r="EQ239" i="56"/>
  <c r="BN239" i="56"/>
  <c r="FY239" i="56" s="1"/>
  <c r="EQ223" i="56"/>
  <c r="BN223" i="56"/>
  <c r="FY223" i="56" s="1"/>
  <c r="EQ207" i="56"/>
  <c r="BN207" i="56"/>
  <c r="FY207" i="56" s="1"/>
  <c r="EQ191" i="56"/>
  <c r="BN191" i="56"/>
  <c r="FY191" i="56" s="1"/>
  <c r="EQ175" i="56"/>
  <c r="BY175" i="56" s="1" a="1"/>
  <c r="BY175" i="56" s="1"/>
  <c r="DU175" i="56" s="1"/>
  <c r="BN175" i="56"/>
  <c r="FY175" i="56" s="1"/>
  <c r="EQ159" i="56"/>
  <c r="BY159" i="56" s="1" a="1"/>
  <c r="BY159" i="56" s="1"/>
  <c r="DU159" i="56" s="1"/>
  <c r="BN159" i="56"/>
  <c r="EQ143" i="56"/>
  <c r="BN143" i="56"/>
  <c r="FY143" i="56" s="1"/>
  <c r="EQ127" i="56"/>
  <c r="BY127" i="56" s="1" a="1"/>
  <c r="BY127" i="56" s="1"/>
  <c r="DU127" i="56" s="1"/>
  <c r="BN127" i="56"/>
  <c r="FY127" i="56" s="1"/>
  <c r="EQ111" i="56"/>
  <c r="BY111" i="56" s="1" a="1"/>
  <c r="BY111" i="56" s="1"/>
  <c r="DU111" i="56" s="1"/>
  <c r="BN111" i="56"/>
  <c r="EQ95" i="56"/>
  <c r="BN95" i="56"/>
  <c r="FY95" i="56" s="1"/>
  <c r="EQ79" i="56"/>
  <c r="BN79" i="56"/>
  <c r="EQ63" i="56"/>
  <c r="BY63" i="56" s="1" a="1"/>
  <c r="BY63" i="56" s="1"/>
  <c r="DU63" i="56" s="1"/>
  <c r="BN63" i="56"/>
  <c r="FY63" i="56" s="1"/>
  <c r="EQ47" i="56"/>
  <c r="BN47" i="56"/>
  <c r="FY47" i="56" s="1"/>
  <c r="EQ31" i="56"/>
  <c r="BN31" i="56"/>
  <c r="FY31" i="56" s="1"/>
  <c r="EQ15" i="56"/>
  <c r="BD351" i="56" a="1"/>
  <c r="BD351" i="56" s="1"/>
  <c r="BD305" i="56" a="1"/>
  <c r="BD305" i="56" s="1"/>
  <c r="C305" i="56" s="1"/>
  <c r="BE305" i="56" s="1"/>
  <c r="BD296" i="56" a="1"/>
  <c r="BD296" i="56" s="1"/>
  <c r="C296" i="56" s="1"/>
  <c r="BE296" i="56" s="1"/>
  <c r="BD287" i="56" a="1"/>
  <c r="BD287" i="56" s="1"/>
  <c r="C287" i="56" s="1"/>
  <c r="BE287" i="56" s="1"/>
  <c r="BD241" i="56" a="1"/>
  <c r="BD241" i="56" s="1"/>
  <c r="C241" i="56" s="1"/>
  <c r="BE241" i="56" s="1"/>
  <c r="BD232" i="56" a="1"/>
  <c r="BD232" i="56" s="1"/>
  <c r="BD223" i="56" a="1"/>
  <c r="BD223" i="56" s="1"/>
  <c r="BD177" i="56" a="1"/>
  <c r="BD177" i="56" s="1"/>
  <c r="C177" i="56" s="1"/>
  <c r="BE177" i="56" s="1"/>
  <c r="BD168" i="56" a="1"/>
  <c r="BD168" i="56" s="1"/>
  <c r="C168" i="56" s="1"/>
  <c r="BE168" i="56" s="1"/>
  <c r="BD159" i="56" a="1"/>
  <c r="BD159" i="56" s="1"/>
  <c r="C159" i="56" s="1"/>
  <c r="BE159" i="56" s="1"/>
  <c r="BD113" i="56" a="1"/>
  <c r="BD113" i="56" s="1"/>
  <c r="BD104" i="56" a="1"/>
  <c r="BD104" i="56" s="1"/>
  <c r="BD49" i="56" a="1"/>
  <c r="BD49" i="56" s="1"/>
  <c r="C49" i="56" s="1"/>
  <c r="BE49" i="56" s="1"/>
  <c r="BD31" i="56" a="1"/>
  <c r="BD31" i="56" s="1"/>
  <c r="BJ342" i="56"/>
  <c r="BJ157" i="56"/>
  <c r="BJ42" i="56"/>
  <c r="BL42" i="56" s="1"/>
  <c r="BK344" i="56"/>
  <c r="BK216" i="56"/>
  <c r="BK138" i="56"/>
  <c r="BK10" i="56"/>
  <c r="BL255" i="56"/>
  <c r="BL127" i="56"/>
  <c r="BN312" i="56"/>
  <c r="FY312" i="56" s="1"/>
  <c r="BN184" i="56"/>
  <c r="FY184" i="56" s="1"/>
  <c r="BN158" i="56"/>
  <c r="EU158" i="56" s="1"/>
  <c r="BN56" i="56"/>
  <c r="FY56" i="56" s="1"/>
  <c r="BO328" i="56"/>
  <c r="BO200" i="56"/>
  <c r="BO150" i="56"/>
  <c r="BO72" i="56"/>
  <c r="BO22" i="56"/>
  <c r="BQ341" i="56"/>
  <c r="BQ240" i="56"/>
  <c r="BQ213" i="56"/>
  <c r="BQ190" i="56"/>
  <c r="BQ112" i="56"/>
  <c r="BQ85" i="56"/>
  <c r="BS330" i="56"/>
  <c r="BU328" i="56"/>
  <c r="BU296" i="56"/>
  <c r="BU265" i="56"/>
  <c r="BU45" i="56"/>
  <c r="DJ342" i="56"/>
  <c r="DL342" i="56"/>
  <c r="GF342" i="56" s="1"/>
  <c r="DJ326" i="56"/>
  <c r="DL326" i="56"/>
  <c r="DJ310" i="56"/>
  <c r="DL310" i="56"/>
  <c r="GF310" i="56" s="1"/>
  <c r="DJ294" i="56"/>
  <c r="DL294" i="56"/>
  <c r="GF294" i="56" s="1"/>
  <c r="DL278" i="56"/>
  <c r="DJ278" i="56"/>
  <c r="DL262" i="56"/>
  <c r="DJ262" i="56"/>
  <c r="DL246" i="56"/>
  <c r="GF246" i="56" s="1"/>
  <c r="DJ246" i="56"/>
  <c r="DL230" i="56"/>
  <c r="DJ230" i="56"/>
  <c r="DL214" i="56"/>
  <c r="DJ214" i="56"/>
  <c r="DL198" i="56"/>
  <c r="DJ198" i="56"/>
  <c r="DL182" i="56"/>
  <c r="DJ182" i="56"/>
  <c r="DL166" i="56"/>
  <c r="DJ166" i="56"/>
  <c r="DL150" i="56"/>
  <c r="DJ150" i="56"/>
  <c r="DJ134" i="56"/>
  <c r="DL134" i="56"/>
  <c r="DJ118" i="56"/>
  <c r="DL118" i="56"/>
  <c r="DJ102" i="56"/>
  <c r="DL102" i="56"/>
  <c r="DJ86" i="56"/>
  <c r="DL86" i="56"/>
  <c r="GF86" i="56" s="1"/>
  <c r="DJ70" i="56"/>
  <c r="DL70" i="56"/>
  <c r="DJ54" i="56"/>
  <c r="DL54" i="56"/>
  <c r="GF54" i="56" s="1"/>
  <c r="DJ37" i="56"/>
  <c r="DL37" i="56"/>
  <c r="GF37" i="56" s="1"/>
  <c r="BW310" i="56"/>
  <c r="BW269" i="56"/>
  <c r="BW229" i="56"/>
  <c r="BX349" i="56"/>
  <c r="BX262" i="56"/>
  <c r="BX69" i="56"/>
  <c r="BY337" i="56" a="1"/>
  <c r="BY337" i="56" s="1"/>
  <c r="DU337" i="56" s="1"/>
  <c r="IP254" i="56"/>
  <c r="FL254" i="56"/>
  <c r="FM254" i="56" s="1"/>
  <c r="FO254" i="56" s="1" a="1"/>
  <c r="FO254" i="56" s="1"/>
  <c r="DC254" i="56"/>
  <c r="IP238" i="56"/>
  <c r="FL238" i="56"/>
  <c r="FM238" i="56" s="1"/>
  <c r="FO238" i="56" s="1" a="1"/>
  <c r="FO238" i="56" s="1"/>
  <c r="FB238" i="56"/>
  <c r="DC238" i="56"/>
  <c r="IP296" i="56"/>
  <c r="FF296" i="56"/>
  <c r="FL296" i="56"/>
  <c r="FM296" i="56" s="1"/>
  <c r="FO296" i="56" s="1" a="1"/>
  <c r="FO296" i="56" s="1"/>
  <c r="DC296" i="56"/>
  <c r="IP258" i="56"/>
  <c r="FF258" i="56"/>
  <c r="FL258" i="56"/>
  <c r="FM258" i="56" s="1"/>
  <c r="FO258" i="56" s="1" a="1"/>
  <c r="FO258" i="56" s="1"/>
  <c r="IP216" i="56"/>
  <c r="FL216" i="56"/>
  <c r="FM216" i="56" s="1"/>
  <c r="FO216" i="56" s="1" a="1"/>
  <c r="FO216" i="56" s="1"/>
  <c r="FF216" i="56"/>
  <c r="DC216" i="56"/>
  <c r="IP175" i="56"/>
  <c r="FL175" i="56"/>
  <c r="FM175" i="56" s="1"/>
  <c r="FO175" i="56" s="1" a="1"/>
  <c r="FO175" i="56" s="1"/>
  <c r="FF175" i="56"/>
  <c r="DC175" i="56"/>
  <c r="IP105" i="56"/>
  <c r="FL105" i="56"/>
  <c r="FM105" i="56" s="1"/>
  <c r="FO105" i="56" s="1" a="1"/>
  <c r="FO105" i="56" s="1"/>
  <c r="FF105" i="56"/>
  <c r="DC105" i="56"/>
  <c r="IP29" i="56"/>
  <c r="DC29" i="56"/>
  <c r="IP4" i="56"/>
  <c r="FL4" i="56"/>
  <c r="FM4" i="56" s="1"/>
  <c r="FO4" i="56" s="1" a="1"/>
  <c r="FO4" i="56" s="1"/>
  <c r="CK4" i="56"/>
  <c r="CD158" i="56"/>
  <c r="CG327" i="56"/>
  <c r="CH327" i="56" s="1"/>
  <c r="H327" i="56" s="1"/>
  <c r="CG137" i="56"/>
  <c r="CH137" i="56" s="1"/>
  <c r="H137" i="56" s="1"/>
  <c r="CJ137" i="56" s="1"/>
  <c r="CI119" i="56"/>
  <c r="CL134" i="56"/>
  <c r="CM199" i="56"/>
  <c r="J199" i="56" s="1"/>
  <c r="CN199" i="56" s="1"/>
  <c r="CS152" i="56"/>
  <c r="I152" i="56" s="1"/>
  <c r="CT152" i="56" s="1"/>
  <c r="DC4" i="56"/>
  <c r="EP293" i="56"/>
  <c r="EU337" i="56"/>
  <c r="EV337" i="56"/>
  <c r="ES337" i="56"/>
  <c r="ER337" i="56"/>
  <c r="EX337" i="56"/>
  <c r="EY337" i="56"/>
  <c r="HD290" i="56"/>
  <c r="GB290" i="56"/>
  <c r="HD273" i="56"/>
  <c r="GB273" i="56"/>
  <c r="HD162" i="56"/>
  <c r="GB162" i="56"/>
  <c r="HD145" i="56"/>
  <c r="GB145" i="56"/>
  <c r="HD34" i="56"/>
  <c r="GB34" i="56"/>
  <c r="HD17" i="56"/>
  <c r="GB17" i="56"/>
  <c r="IA348" i="56"/>
  <c r="IB348" i="56" s="1"/>
  <c r="FK348" i="56"/>
  <c r="EP348" i="56"/>
  <c r="CS348" i="56"/>
  <c r="I348" i="56" s="1"/>
  <c r="CT348" i="56" s="1"/>
  <c r="DV348" i="56"/>
  <c r="CX348" i="56"/>
  <c r="CI348" i="56"/>
  <c r="CM348" i="56"/>
  <c r="J348" i="56" s="1"/>
  <c r="CN348" i="56" s="1"/>
  <c r="CL348" i="56"/>
  <c r="CG348" i="56"/>
  <c r="CH348" i="56" s="1"/>
  <c r="H348" i="56" s="1"/>
  <c r="IA332" i="56"/>
  <c r="IB332" i="56" s="1"/>
  <c r="FK332" i="56"/>
  <c r="CS332" i="56"/>
  <c r="I332" i="56" s="1"/>
  <c r="CT332" i="56" s="1"/>
  <c r="DV332" i="56"/>
  <c r="CI332" i="56"/>
  <c r="BW332" i="56"/>
  <c r="BX332" i="56"/>
  <c r="CG332" i="56"/>
  <c r="CH332" i="56" s="1"/>
  <c r="H332" i="56" s="1"/>
  <c r="BU332" i="56"/>
  <c r="CX332" i="56"/>
  <c r="BS332" i="56"/>
  <c r="IA316" i="56"/>
  <c r="IB316" i="56" s="1"/>
  <c r="FK316" i="56"/>
  <c r="CS316" i="56"/>
  <c r="I316" i="56" s="1"/>
  <c r="CT316" i="56" s="1"/>
  <c r="CX316" i="56"/>
  <c r="DV316" i="56"/>
  <c r="CM316" i="56"/>
  <c r="J316" i="56" s="1"/>
  <c r="CN316" i="56" s="1"/>
  <c r="CG316" i="56"/>
  <c r="CH316" i="56" s="1"/>
  <c r="H316" i="56" s="1"/>
  <c r="CJ316" i="56" s="1"/>
  <c r="CI316" i="56"/>
  <c r="CL316" i="56"/>
  <c r="BX316" i="56"/>
  <c r="BU316" i="56"/>
  <c r="IA300" i="56"/>
  <c r="IB300" i="56" s="1"/>
  <c r="EP300" i="56"/>
  <c r="FK300" i="56"/>
  <c r="BS300" i="56" s="1"/>
  <c r="CS300" i="56"/>
  <c r="I300" i="56" s="1"/>
  <c r="CT300" i="56" s="1"/>
  <c r="CM300" i="56"/>
  <c r="J300" i="56" s="1"/>
  <c r="CN300" i="56" s="1"/>
  <c r="DV300" i="56"/>
  <c r="CI300" i="56"/>
  <c r="CG300" i="56"/>
  <c r="CH300" i="56" s="1"/>
  <c r="H300" i="56" s="1"/>
  <c r="CJ300" i="56" s="1"/>
  <c r="CL300" i="56"/>
  <c r="CX300" i="56"/>
  <c r="BX300" i="56"/>
  <c r="IA284" i="56"/>
  <c r="IB284" i="56" s="1"/>
  <c r="FK284" i="56"/>
  <c r="EP284" i="56"/>
  <c r="CS284" i="56"/>
  <c r="I284" i="56" s="1"/>
  <c r="CT284" i="56" s="1"/>
  <c r="DV284" i="56"/>
  <c r="CX284" i="56"/>
  <c r="CM284" i="56"/>
  <c r="J284" i="56" s="1"/>
  <c r="CN284" i="56" s="1"/>
  <c r="BS284" i="56"/>
  <c r="BW284" i="56"/>
  <c r="CL284" i="56"/>
  <c r="IA268" i="56"/>
  <c r="IB268" i="56" s="1"/>
  <c r="FK268" i="56"/>
  <c r="BS268" i="56" s="1"/>
  <c r="EP268" i="56"/>
  <c r="CS268" i="56"/>
  <c r="I268" i="56" s="1"/>
  <c r="CT268" i="56" s="1"/>
  <c r="CX268" i="56"/>
  <c r="CG268" i="56"/>
  <c r="CH268" i="56" s="1"/>
  <c r="H268" i="56" s="1"/>
  <c r="CM268" i="56"/>
  <c r="J268" i="56" s="1"/>
  <c r="CN268" i="56" s="1"/>
  <c r="CL268" i="56"/>
  <c r="BX268" i="56"/>
  <c r="CI268" i="56"/>
  <c r="BW268" i="56"/>
  <c r="IA252" i="56"/>
  <c r="IB252" i="56" s="1"/>
  <c r="FK252" i="56"/>
  <c r="BS252" i="56" s="1"/>
  <c r="EP252" i="56"/>
  <c r="CS252" i="56"/>
  <c r="I252" i="56" s="1"/>
  <c r="CT252" i="56" s="1"/>
  <c r="CI252" i="56"/>
  <c r="CL252" i="56"/>
  <c r="BX252" i="56"/>
  <c r="CG252" i="56"/>
  <c r="CH252" i="56" s="1"/>
  <c r="H252" i="56" s="1"/>
  <c r="IA236" i="56"/>
  <c r="IB236" i="56" s="1"/>
  <c r="FK236" i="56"/>
  <c r="BS236" i="56" s="1"/>
  <c r="EP236" i="56"/>
  <c r="DV236" i="56"/>
  <c r="CS236" i="56"/>
  <c r="I236" i="56" s="1"/>
  <c r="CT236" i="56" s="1"/>
  <c r="CX236" i="56"/>
  <c r="CI236" i="56"/>
  <c r="CL236" i="56"/>
  <c r="BX236" i="56"/>
  <c r="CG236" i="56"/>
  <c r="CH236" i="56" s="1"/>
  <c r="H236" i="56" s="1"/>
  <c r="CJ236" i="56" s="1"/>
  <c r="IA220" i="56"/>
  <c r="IB220" i="56" s="1"/>
  <c r="FK220" i="56"/>
  <c r="BS220" i="56" s="1"/>
  <c r="EP220" i="56"/>
  <c r="DV220" i="56"/>
  <c r="CS220" i="56"/>
  <c r="I220" i="56" s="1"/>
  <c r="CT220" i="56" s="1"/>
  <c r="CM220" i="56"/>
  <c r="J220" i="56" s="1"/>
  <c r="CN220" i="56" s="1"/>
  <c r="CX220" i="56"/>
  <c r="CI220" i="56"/>
  <c r="CL220" i="56"/>
  <c r="BW220" i="56"/>
  <c r="BU220" i="56"/>
  <c r="CG220" i="56"/>
  <c r="CH220" i="56" s="1"/>
  <c r="H220" i="56" s="1"/>
  <c r="CJ220" i="56" s="1"/>
  <c r="CK220" i="56" s="1"/>
  <c r="IR220" i="56" s="1"/>
  <c r="IA204" i="56"/>
  <c r="IB204" i="56" s="1"/>
  <c r="FK204" i="56"/>
  <c r="BS204" i="56" s="1"/>
  <c r="EP204" i="56"/>
  <c r="DV204" i="56"/>
  <c r="CS204" i="56"/>
  <c r="I204" i="56" s="1"/>
  <c r="CT204" i="56" s="1"/>
  <c r="CX204" i="56"/>
  <c r="CM204" i="56"/>
  <c r="J204" i="56" s="1"/>
  <c r="CN204" i="56" s="1"/>
  <c r="CI204" i="56"/>
  <c r="BX204" i="56"/>
  <c r="CL204" i="56"/>
  <c r="CG204" i="56"/>
  <c r="CH204" i="56" s="1"/>
  <c r="H204" i="56" s="1"/>
  <c r="BW204" i="56"/>
  <c r="IA188" i="56"/>
  <c r="IB188" i="56" s="1"/>
  <c r="FK188" i="56"/>
  <c r="BS188" i="56" s="1"/>
  <c r="EP188" i="56"/>
  <c r="DV188" i="56"/>
  <c r="CS188" i="56"/>
  <c r="I188" i="56" s="1"/>
  <c r="CT188" i="56" s="1"/>
  <c r="CX188" i="56"/>
  <c r="CG188" i="56"/>
  <c r="CH188" i="56" s="1"/>
  <c r="H188" i="56" s="1"/>
  <c r="CM188" i="56"/>
  <c r="J188" i="56" s="1"/>
  <c r="CN188" i="56" s="1"/>
  <c r="CI188" i="56"/>
  <c r="CL188" i="56"/>
  <c r="BX188" i="56"/>
  <c r="BU188" i="56"/>
  <c r="IA172" i="56"/>
  <c r="IB172" i="56" s="1"/>
  <c r="FK172" i="56"/>
  <c r="BS172" i="56" s="1"/>
  <c r="EP172" i="56"/>
  <c r="DV172" i="56"/>
  <c r="CS172" i="56"/>
  <c r="I172" i="56" s="1"/>
  <c r="CT172" i="56" s="1"/>
  <c r="CX172" i="56"/>
  <c r="CM172" i="56"/>
  <c r="J172" i="56" s="1"/>
  <c r="CN172" i="56" s="1"/>
  <c r="BW172" i="56"/>
  <c r="CI172" i="56"/>
  <c r="CJ172" i="56" s="1"/>
  <c r="CK172" i="56" s="1"/>
  <c r="BX172" i="56"/>
  <c r="IA156" i="56"/>
  <c r="IB156" i="56" s="1"/>
  <c r="FK156" i="56"/>
  <c r="BS156" i="56" s="1"/>
  <c r="EP156" i="56"/>
  <c r="CS156" i="56"/>
  <c r="I156" i="56" s="1"/>
  <c r="CT156" i="56" s="1"/>
  <c r="DV156" i="56"/>
  <c r="CL156" i="56"/>
  <c r="CX156" i="56"/>
  <c r="CG156" i="56"/>
  <c r="CH156" i="56" s="1"/>
  <c r="H156" i="56" s="1"/>
  <c r="CJ156" i="56" s="1"/>
  <c r="BW156" i="56"/>
  <c r="BU156" i="56"/>
  <c r="BX156" i="56"/>
  <c r="IA140" i="56"/>
  <c r="IB140" i="56" s="1"/>
  <c r="FK140" i="56"/>
  <c r="BS140" i="56" s="1"/>
  <c r="CS140" i="56"/>
  <c r="I140" i="56" s="1"/>
  <c r="CT140" i="56" s="1"/>
  <c r="DV140" i="56"/>
  <c r="CL140" i="56"/>
  <c r="CX140" i="56"/>
  <c r="CG140" i="56"/>
  <c r="CH140" i="56" s="1"/>
  <c r="H140" i="56" s="1"/>
  <c r="CM140" i="56"/>
  <c r="J140" i="56" s="1"/>
  <c r="CN140" i="56" s="1"/>
  <c r="CI140" i="56"/>
  <c r="BU140" i="56"/>
  <c r="BW140" i="56"/>
  <c r="IA124" i="56"/>
  <c r="IB124" i="56" s="1"/>
  <c r="FK124" i="56"/>
  <c r="BS124" i="56" s="1"/>
  <c r="CS124" i="56"/>
  <c r="I124" i="56" s="1"/>
  <c r="CT124" i="56" s="1"/>
  <c r="DV124" i="56"/>
  <c r="CX124" i="56"/>
  <c r="CI124" i="56"/>
  <c r="BW124" i="56"/>
  <c r="CG124" i="56"/>
  <c r="CH124" i="56" s="1"/>
  <c r="H124" i="56" s="1"/>
  <c r="BX124" i="56"/>
  <c r="CM124" i="56"/>
  <c r="J124" i="56" s="1"/>
  <c r="CN124" i="56" s="1"/>
  <c r="IA108" i="56"/>
  <c r="IB108" i="56" s="1"/>
  <c r="FK108" i="56"/>
  <c r="BS108" i="56" s="1"/>
  <c r="CS108" i="56"/>
  <c r="I108" i="56" s="1"/>
  <c r="CT108" i="56" s="1"/>
  <c r="DV108" i="56"/>
  <c r="CI108" i="56"/>
  <c r="CM108" i="56"/>
  <c r="J108" i="56" s="1"/>
  <c r="CN108" i="56" s="1"/>
  <c r="CL108" i="56"/>
  <c r="CX108" i="56"/>
  <c r="BW108" i="56"/>
  <c r="CG108" i="56"/>
  <c r="CH108" i="56" s="1"/>
  <c r="H108" i="56" s="1"/>
  <c r="BX108" i="56"/>
  <c r="IA92" i="56"/>
  <c r="IB92" i="56" s="1"/>
  <c r="FK92" i="56"/>
  <c r="BS92" i="56" s="1"/>
  <c r="CS92" i="56"/>
  <c r="I92" i="56" s="1"/>
  <c r="CT92" i="56" s="1"/>
  <c r="DV92" i="56"/>
  <c r="CX92" i="56"/>
  <c r="CM92" i="56"/>
  <c r="J92" i="56" s="1"/>
  <c r="CN92" i="56" s="1"/>
  <c r="CI92" i="56"/>
  <c r="CL92" i="56"/>
  <c r="CG92" i="56"/>
  <c r="CH92" i="56" s="1"/>
  <c r="H92" i="56" s="1"/>
  <c r="BX92" i="56"/>
  <c r="IA76" i="56"/>
  <c r="IB76" i="56" s="1"/>
  <c r="FK76" i="56"/>
  <c r="BS76" i="56" s="1"/>
  <c r="CS76" i="56"/>
  <c r="I76" i="56" s="1"/>
  <c r="CT76" i="56" s="1"/>
  <c r="DV76" i="56"/>
  <c r="CI76" i="56"/>
  <c r="CM76" i="56"/>
  <c r="J76" i="56" s="1"/>
  <c r="CN76" i="56" s="1"/>
  <c r="BW76" i="56"/>
  <c r="CL76" i="56"/>
  <c r="CG76" i="56"/>
  <c r="CH76" i="56" s="1"/>
  <c r="H76" i="56" s="1"/>
  <c r="CX76" i="56"/>
  <c r="BU76" i="56"/>
  <c r="IA60" i="56"/>
  <c r="IB60" i="56" s="1"/>
  <c r="FK60" i="56"/>
  <c r="BS60" i="56" s="1"/>
  <c r="CS60" i="56"/>
  <c r="I60" i="56" s="1"/>
  <c r="CT60" i="56" s="1"/>
  <c r="CX60" i="56"/>
  <c r="DV60" i="56"/>
  <c r="CG60" i="56"/>
  <c r="CH60" i="56" s="1"/>
  <c r="H60" i="56" s="1"/>
  <c r="CI60" i="56"/>
  <c r="BX60" i="56"/>
  <c r="BY60" i="56" s="1" a="1"/>
  <c r="BY60" i="56" s="1"/>
  <c r="DU60" i="56" s="1"/>
  <c r="BU60" i="56"/>
  <c r="IA44" i="56"/>
  <c r="IB44" i="56" s="1"/>
  <c r="FK44" i="56"/>
  <c r="BS44" i="56" s="1"/>
  <c r="EP44" i="56"/>
  <c r="CS44" i="56"/>
  <c r="I44" i="56" s="1"/>
  <c r="CT44" i="56" s="1"/>
  <c r="CM44" i="56"/>
  <c r="J44" i="56" s="1"/>
  <c r="CN44" i="56" s="1"/>
  <c r="CI44" i="56"/>
  <c r="CG44" i="56"/>
  <c r="CH44" i="56" s="1"/>
  <c r="H44" i="56" s="1"/>
  <c r="CJ44" i="56" s="1"/>
  <c r="CX44" i="56"/>
  <c r="CL44" i="56"/>
  <c r="DV44" i="56"/>
  <c r="BX44" i="56"/>
  <c r="FV28" i="56"/>
  <c r="FK28" i="56"/>
  <c r="BS28" i="56" s="1"/>
  <c r="AJ28" i="56" s="1"/>
  <c r="BT28" i="56" s="1"/>
  <c r="EP28" i="56"/>
  <c r="CS28" i="56"/>
  <c r="I28" i="56" s="1"/>
  <c r="CT28" i="56" s="1"/>
  <c r="CX28" i="56"/>
  <c r="DV28" i="56"/>
  <c r="CG28" i="56"/>
  <c r="CH28" i="56" s="1"/>
  <c r="H28" i="56" s="1"/>
  <c r="CJ28" i="56" s="1"/>
  <c r="CK28" i="56" s="1"/>
  <c r="IQ28" i="56" s="1"/>
  <c r="BW28" i="56"/>
  <c r="BX28" i="56"/>
  <c r="CM28" i="56"/>
  <c r="J28" i="56" s="1"/>
  <c r="CN28" i="56" s="1"/>
  <c r="IA12" i="56"/>
  <c r="IB12" i="56" s="1"/>
  <c r="FK12" i="56"/>
  <c r="EP12" i="56"/>
  <c r="CS12" i="56"/>
  <c r="I12" i="56" s="1"/>
  <c r="CT12" i="56" s="1"/>
  <c r="DV12" i="56"/>
  <c r="CX12" i="56"/>
  <c r="CM12" i="56"/>
  <c r="J12" i="56" s="1"/>
  <c r="CN12" i="56" s="1"/>
  <c r="CL12" i="56"/>
  <c r="CG12" i="56"/>
  <c r="CH12" i="56" s="1"/>
  <c r="H12" i="56" s="1"/>
  <c r="CJ12" i="56" s="1"/>
  <c r="AZ342" i="56"/>
  <c r="AZ324" i="56"/>
  <c r="Q324" i="56" s="1"/>
  <c r="AZ214" i="56"/>
  <c r="Q214" i="56" s="1"/>
  <c r="EK214" i="56" s="1"/>
  <c r="AZ196" i="56"/>
  <c r="Q196" i="56" s="1"/>
  <c r="AZ86" i="56"/>
  <c r="AZ68" i="56"/>
  <c r="Q68" i="56" s="1"/>
  <c r="BA346" i="56"/>
  <c r="BB346" i="56" s="1"/>
  <c r="BA218" i="56"/>
  <c r="BB218" i="56" s="1"/>
  <c r="BA90" i="56"/>
  <c r="BB90" i="56" s="1"/>
  <c r="EQ350" i="56"/>
  <c r="EQ334" i="56"/>
  <c r="EQ318" i="56"/>
  <c r="EQ302" i="56"/>
  <c r="EQ286" i="56"/>
  <c r="EQ270" i="56"/>
  <c r="EQ254" i="56"/>
  <c r="EQ238" i="56"/>
  <c r="EQ222" i="56"/>
  <c r="EQ206" i="56"/>
  <c r="EW190" i="56"/>
  <c r="EU190" i="56"/>
  <c r="EZ190" i="56"/>
  <c r="EY190" i="56"/>
  <c r="ET190" i="56"/>
  <c r="EX190" i="56"/>
  <c r="EV190" i="56"/>
  <c r="ES190" i="56"/>
  <c r="EQ174" i="56"/>
  <c r="EW158" i="56"/>
  <c r="EZ158" i="56"/>
  <c r="EY158" i="56"/>
  <c r="EX158" i="56"/>
  <c r="EV158" i="56"/>
  <c r="ES158" i="56"/>
  <c r="EQ142" i="56"/>
  <c r="EW126" i="56"/>
  <c r="EX126" i="56"/>
  <c r="ES126" i="56"/>
  <c r="ER126" i="56"/>
  <c r="EY126" i="56"/>
  <c r="EU126" i="56"/>
  <c r="EQ110" i="56"/>
  <c r="EQ94" i="56"/>
  <c r="EQ78" i="56"/>
  <c r="EQ62" i="56"/>
  <c r="EQ46" i="56"/>
  <c r="EQ30" i="56"/>
  <c r="EQ14" i="56"/>
  <c r="BJ294" i="56"/>
  <c r="BJ156" i="56"/>
  <c r="BJ109" i="56"/>
  <c r="BJ38" i="56"/>
  <c r="BK265" i="56"/>
  <c r="BK137" i="56"/>
  <c r="BY137" i="56" s="1" a="1"/>
  <c r="BY137" i="56" s="1"/>
  <c r="DU137" i="56" s="1"/>
  <c r="BK9" i="56"/>
  <c r="BL254" i="56"/>
  <c r="BL126" i="56"/>
  <c r="BN233" i="56"/>
  <c r="FY233" i="56" s="1"/>
  <c r="BO327" i="56"/>
  <c r="BO249" i="56"/>
  <c r="BO199" i="56"/>
  <c r="BO121" i="56"/>
  <c r="BQ264" i="56"/>
  <c r="BQ239" i="56"/>
  <c r="BQ136" i="56"/>
  <c r="BQ111" i="56"/>
  <c r="CV276" i="56"/>
  <c r="GA19" i="56"/>
  <c r="DT19" i="56"/>
  <c r="GA3" i="56"/>
  <c r="DT3" i="56"/>
  <c r="BS329" i="56"/>
  <c r="DM22" i="56"/>
  <c r="EH22" i="56"/>
  <c r="EH6" i="56"/>
  <c r="DM6" i="56"/>
  <c r="BU293" i="56"/>
  <c r="BU264" i="56"/>
  <c r="BU231" i="56"/>
  <c r="BU168" i="56"/>
  <c r="BU135" i="56"/>
  <c r="BU73" i="56"/>
  <c r="BU44" i="56"/>
  <c r="DJ341" i="56"/>
  <c r="DL341" i="56"/>
  <c r="DJ309" i="56"/>
  <c r="DL309" i="56"/>
  <c r="GF309" i="56" s="1"/>
  <c r="DJ293" i="56"/>
  <c r="DL293" i="56"/>
  <c r="DL277" i="56"/>
  <c r="DJ277" i="56"/>
  <c r="DL261" i="56"/>
  <c r="DJ261" i="56"/>
  <c r="DL245" i="56"/>
  <c r="DJ245" i="56"/>
  <c r="DL229" i="56"/>
  <c r="DJ229" i="56"/>
  <c r="DL213" i="56"/>
  <c r="DJ213" i="56"/>
  <c r="DL197" i="56"/>
  <c r="DJ197" i="56"/>
  <c r="DL181" i="56"/>
  <c r="DJ181" i="56"/>
  <c r="DJ165" i="56"/>
  <c r="DL165" i="56"/>
  <c r="DL149" i="56"/>
  <c r="DJ149" i="56"/>
  <c r="DL133" i="56"/>
  <c r="DJ133" i="56"/>
  <c r="DJ117" i="56"/>
  <c r="DL117" i="56"/>
  <c r="GF117" i="56" s="1"/>
  <c r="DJ101" i="56"/>
  <c r="DL101" i="56"/>
  <c r="DJ85" i="56"/>
  <c r="DL85" i="56"/>
  <c r="DJ69" i="56"/>
  <c r="DL69" i="56"/>
  <c r="DJ53" i="56"/>
  <c r="DL53" i="56"/>
  <c r="GF53" i="56" s="1"/>
  <c r="DL36" i="56"/>
  <c r="DJ36" i="56"/>
  <c r="BW265" i="56"/>
  <c r="BW137" i="56"/>
  <c r="BW92" i="56"/>
  <c r="BW44" i="56"/>
  <c r="BX348" i="56"/>
  <c r="BX205" i="56"/>
  <c r="FH63" i="56"/>
  <c r="FG63" i="56" a="1"/>
  <c r="FG63" i="56" s="1"/>
  <c r="BX12" i="56"/>
  <c r="BY191" i="56" a="1"/>
  <c r="BY191" i="56" s="1"/>
  <c r="DU191" i="56" s="1"/>
  <c r="CF348" i="56"/>
  <c r="CA349" i="56"/>
  <c r="CC348" i="56"/>
  <c r="CE348" i="56"/>
  <c r="CB348" i="56"/>
  <c r="CF332" i="56"/>
  <c r="CC332" i="56"/>
  <c r="CB332" i="56"/>
  <c r="CE332" i="56"/>
  <c r="CA333" i="56"/>
  <c r="CD332" i="56"/>
  <c r="CV332" i="56" s="1"/>
  <c r="CF316" i="56"/>
  <c r="CE316" i="56"/>
  <c r="CB316" i="56"/>
  <c r="CC316" i="56"/>
  <c r="FB316" i="56" s="1"/>
  <c r="CD316" i="56"/>
  <c r="CV316" i="56" s="1"/>
  <c r="FD316" i="56" s="1"/>
  <c r="M316" i="56" s="1"/>
  <c r="FE316" i="56" s="1"/>
  <c r="FF316" i="56" s="1"/>
  <c r="CF300" i="56"/>
  <c r="CD300" i="56"/>
  <c r="CV300" i="56" s="1"/>
  <c r="CC300" i="56"/>
  <c r="CA301" i="56"/>
  <c r="CF284" i="56"/>
  <c r="CD284" i="56"/>
  <c r="CV284" i="56" s="1"/>
  <c r="CA285" i="56"/>
  <c r="CC284" i="56"/>
  <c r="CB284" i="56"/>
  <c r="CF268" i="56"/>
  <c r="CE268" i="56"/>
  <c r="CC268" i="56"/>
  <c r="CA269" i="56"/>
  <c r="CB268" i="56"/>
  <c r="CA336" i="56"/>
  <c r="IP295" i="56"/>
  <c r="FF295" i="56"/>
  <c r="FL295" i="56"/>
  <c r="FM295" i="56" s="1"/>
  <c r="FO295" i="56" s="1" a="1"/>
  <c r="FO295" i="56" s="1"/>
  <c r="DC295" i="56"/>
  <c r="IP215" i="56"/>
  <c r="FL215" i="56"/>
  <c r="FM215" i="56" s="1"/>
  <c r="FO215" i="56" s="1" a="1"/>
  <c r="FO215" i="56" s="1"/>
  <c r="FF215" i="56"/>
  <c r="DC215" i="56"/>
  <c r="IP28" i="56"/>
  <c r="FL28" i="56"/>
  <c r="FM28" i="56" s="1"/>
  <c r="FO28" i="56" s="1" a="1"/>
  <c r="FO28" i="56" s="1"/>
  <c r="DC28" i="56"/>
  <c r="CB271" i="56"/>
  <c r="CG237" i="56"/>
  <c r="CH237" i="56" s="1"/>
  <c r="H237" i="56" s="1"/>
  <c r="CJ237" i="56" s="1"/>
  <c r="CJ30" i="56"/>
  <c r="CK30" i="56" s="1"/>
  <c r="IR30" i="56" s="1"/>
  <c r="CI12" i="56"/>
  <c r="CM197" i="56"/>
  <c r="J197" i="56" s="1"/>
  <c r="CN197" i="56" s="1"/>
  <c r="CM69" i="56"/>
  <c r="J69" i="56" s="1"/>
  <c r="CN69" i="56" s="1"/>
  <c r="CS120" i="56"/>
  <c r="I120" i="56" s="1"/>
  <c r="CT120" i="56" s="1"/>
  <c r="CX125" i="56"/>
  <c r="DL325" i="56"/>
  <c r="GF325" i="56" s="1"/>
  <c r="BQ261" i="56"/>
  <c r="BQ133" i="56"/>
  <c r="GA339" i="56"/>
  <c r="DT339" i="56"/>
  <c r="GA323" i="56"/>
  <c r="DT323" i="56"/>
  <c r="CV323" i="56"/>
  <c r="GA307" i="56"/>
  <c r="DT307" i="56"/>
  <c r="GA291" i="56"/>
  <c r="DT291" i="56"/>
  <c r="GA275" i="56"/>
  <c r="DT275" i="56"/>
  <c r="GA259" i="56"/>
  <c r="DT259" i="56"/>
  <c r="CV259" i="56"/>
  <c r="GA243" i="56"/>
  <c r="DT243" i="56"/>
  <c r="CV243" i="56"/>
  <c r="GA227" i="56"/>
  <c r="DT227" i="56"/>
  <c r="GA211" i="56"/>
  <c r="DT211" i="56"/>
  <c r="GA195" i="56"/>
  <c r="DT195" i="56"/>
  <c r="GA179" i="56"/>
  <c r="DT179" i="56"/>
  <c r="GA163" i="56"/>
  <c r="DT163" i="56"/>
  <c r="GA147" i="56"/>
  <c r="DT147" i="56"/>
  <c r="GA131" i="56"/>
  <c r="DT131" i="56"/>
  <c r="CV131" i="56"/>
  <c r="GA115" i="56"/>
  <c r="DT115" i="56"/>
  <c r="CV115" i="56"/>
  <c r="GA99" i="56"/>
  <c r="DT99" i="56"/>
  <c r="GA83" i="56"/>
  <c r="DT83" i="56"/>
  <c r="GA67" i="56"/>
  <c r="DT67" i="56"/>
  <c r="GA51" i="56"/>
  <c r="DT51" i="56"/>
  <c r="GA35" i="56"/>
  <c r="DT35" i="56"/>
  <c r="GA18" i="56"/>
  <c r="DT18" i="56"/>
  <c r="EH343" i="56"/>
  <c r="DM343" i="56"/>
  <c r="EH327" i="56"/>
  <c r="DM311" i="56"/>
  <c r="EH311" i="56"/>
  <c r="EH295" i="56"/>
  <c r="DM295" i="56"/>
  <c r="EH279" i="56"/>
  <c r="DM279" i="56"/>
  <c r="EH263" i="56"/>
  <c r="DM263" i="56"/>
  <c r="EI263" i="56" s="1"/>
  <c r="EH247" i="56"/>
  <c r="DM247" i="56"/>
  <c r="EH231" i="56"/>
  <c r="DM231" i="56"/>
  <c r="EH215" i="56"/>
  <c r="DM215" i="56"/>
  <c r="EH199" i="56"/>
  <c r="DM199" i="56"/>
  <c r="EH183" i="56"/>
  <c r="DM183" i="56"/>
  <c r="EH167" i="56"/>
  <c r="DM167" i="56"/>
  <c r="EH151" i="56"/>
  <c r="DM151" i="56"/>
  <c r="DM135" i="56"/>
  <c r="EH135" i="56"/>
  <c r="DM119" i="56"/>
  <c r="EH119" i="56"/>
  <c r="EH103" i="56"/>
  <c r="DM103" i="56"/>
  <c r="EH87" i="56"/>
  <c r="DM87" i="56"/>
  <c r="EH71" i="56"/>
  <c r="DM71" i="56"/>
  <c r="EH55" i="56"/>
  <c r="DM55" i="56"/>
  <c r="EH38" i="56"/>
  <c r="DM38" i="56"/>
  <c r="BU263" i="56"/>
  <c r="BU198" i="56"/>
  <c r="BU167" i="56"/>
  <c r="BU134" i="56"/>
  <c r="BU40" i="56"/>
  <c r="DL340" i="56"/>
  <c r="DJ340" i="56"/>
  <c r="DL324" i="56"/>
  <c r="DJ324" i="56"/>
  <c r="DL308" i="56"/>
  <c r="DJ308" i="56"/>
  <c r="DL292" i="56"/>
  <c r="DJ292" i="56"/>
  <c r="DL276" i="56"/>
  <c r="DJ276" i="56"/>
  <c r="DL260" i="56"/>
  <c r="DJ260" i="56"/>
  <c r="DL244" i="56"/>
  <c r="DJ244" i="56"/>
  <c r="DL228" i="56"/>
  <c r="DJ228" i="56"/>
  <c r="DL212" i="56"/>
  <c r="DJ212" i="56"/>
  <c r="DL196" i="56"/>
  <c r="DJ196" i="56"/>
  <c r="DL180" i="56"/>
  <c r="DJ180" i="56"/>
  <c r="DL164" i="56"/>
  <c r="DJ164" i="56"/>
  <c r="DL148" i="56"/>
  <c r="DJ148" i="56"/>
  <c r="DL132" i="56"/>
  <c r="DJ132" i="56"/>
  <c r="DL116" i="56"/>
  <c r="DJ116" i="56"/>
  <c r="DL100" i="56"/>
  <c r="DJ100" i="56"/>
  <c r="DL84" i="56"/>
  <c r="DJ84" i="56"/>
  <c r="DL68" i="56"/>
  <c r="DJ68" i="56"/>
  <c r="DL52" i="56"/>
  <c r="DJ52" i="56"/>
  <c r="BW185" i="56"/>
  <c r="FH303" i="56"/>
  <c r="FG303" i="56" a="1"/>
  <c r="FG303" i="56" s="1"/>
  <c r="FG159" i="56" a="1"/>
  <c r="FG159" i="56" s="1"/>
  <c r="FH159" i="56"/>
  <c r="FH109" i="56"/>
  <c r="FG109" i="56" a="1"/>
  <c r="FG109" i="56" s="1"/>
  <c r="BX57" i="56"/>
  <c r="IP236" i="56"/>
  <c r="FL236" i="56"/>
  <c r="FM236" i="56" s="1"/>
  <c r="FO236" i="56" s="1" a="1"/>
  <c r="FO236" i="56" s="1"/>
  <c r="DH236" i="56"/>
  <c r="DF236" i="56"/>
  <c r="DG236" i="56" s="1"/>
  <c r="DC236" i="56"/>
  <c r="IP220" i="56"/>
  <c r="FL220" i="56"/>
  <c r="FM220" i="56" s="1"/>
  <c r="FO220" i="56" s="1" a="1"/>
  <c r="FO220" i="56" s="1"/>
  <c r="FF220" i="56"/>
  <c r="DF220" i="56"/>
  <c r="DG220" i="56" s="1"/>
  <c r="DC220" i="56"/>
  <c r="IP211" i="56"/>
  <c r="FL211" i="56"/>
  <c r="FM211" i="56" s="1"/>
  <c r="FO211" i="56" s="1" a="1"/>
  <c r="FO211" i="56" s="1"/>
  <c r="FF211" i="56"/>
  <c r="DC211" i="56"/>
  <c r="IP60" i="56"/>
  <c r="FL60" i="56"/>
  <c r="FM60" i="56" s="1"/>
  <c r="FO60" i="56" s="1" a="1"/>
  <c r="FO60" i="56" s="1"/>
  <c r="FB60" i="56"/>
  <c r="DC60" i="56"/>
  <c r="IP27" i="56"/>
  <c r="FL27" i="56"/>
  <c r="FM27" i="56" s="1"/>
  <c r="FO27" i="56" s="1" a="1"/>
  <c r="FO27" i="56" s="1"/>
  <c r="DC27" i="56"/>
  <c r="CJ29" i="56"/>
  <c r="CI229" i="56"/>
  <c r="CL124" i="56"/>
  <c r="CR314" i="56"/>
  <c r="CQ314" i="56" a="1"/>
  <c r="CQ314" i="56" s="1"/>
  <c r="CP314" i="56" a="1"/>
  <c r="CP314" i="56" s="1"/>
  <c r="CR63" i="56"/>
  <c r="CQ63" i="56" a="1"/>
  <c r="CQ63" i="56" s="1"/>
  <c r="CO63" i="56" a="1"/>
  <c r="CO63" i="56" s="1"/>
  <c r="CS118" i="56"/>
  <c r="I118" i="56" s="1"/>
  <c r="CT118" i="56" s="1"/>
  <c r="CX89" i="56"/>
  <c r="P319" i="56" a="1"/>
  <c r="P319" i="56" s="1"/>
  <c r="DI319" i="56" s="1"/>
  <c r="Q313" i="56"/>
  <c r="EK313" i="56" s="1"/>
  <c r="Q297" i="56"/>
  <c r="Q265" i="56"/>
  <c r="EK265" i="56" s="1"/>
  <c r="Q185" i="56"/>
  <c r="EK185" i="56" s="1"/>
  <c r="Q169" i="56"/>
  <c r="Q57" i="56"/>
  <c r="EK57" i="56" s="1"/>
  <c r="Q41" i="56"/>
  <c r="DV41" i="56" s="1"/>
  <c r="Q25" i="56"/>
  <c r="DV25" i="56" s="1"/>
  <c r="HD306" i="56"/>
  <c r="GB306" i="56"/>
  <c r="HD289" i="56"/>
  <c r="GB289" i="56"/>
  <c r="HD178" i="56"/>
  <c r="GB178" i="56"/>
  <c r="HD161" i="56"/>
  <c r="GB161" i="56"/>
  <c r="HD50" i="56"/>
  <c r="GB50" i="56"/>
  <c r="HD33" i="56"/>
  <c r="GB33" i="56"/>
  <c r="IA346" i="56"/>
  <c r="IB346" i="56" s="1"/>
  <c r="EP346" i="56"/>
  <c r="FK346" i="56"/>
  <c r="CG346" i="56"/>
  <c r="CH346" i="56" s="1"/>
  <c r="H346" i="56" s="1"/>
  <c r="DV346" i="56"/>
  <c r="BW346" i="56"/>
  <c r="CM346" i="56"/>
  <c r="J346" i="56" s="1"/>
  <c r="CN346" i="56" s="1"/>
  <c r="CL346" i="56"/>
  <c r="CS346" i="56"/>
  <c r="I346" i="56" s="1"/>
  <c r="CT346" i="56" s="1"/>
  <c r="BO346" i="56"/>
  <c r="CI346" i="56"/>
  <c r="CX346" i="56"/>
  <c r="BU346" i="56"/>
  <c r="FV330" i="56"/>
  <c r="EP330" i="56"/>
  <c r="FK330" i="56"/>
  <c r="CG330" i="56"/>
  <c r="CH330" i="56" s="1"/>
  <c r="H330" i="56" s="1"/>
  <c r="DV330" i="56"/>
  <c r="CI330" i="56"/>
  <c r="CS330" i="56"/>
  <c r="I330" i="56" s="1"/>
  <c r="CT330" i="56" s="1"/>
  <c r="BW330" i="56"/>
  <c r="CX330" i="56"/>
  <c r="BO330" i="56"/>
  <c r="IA314" i="56"/>
  <c r="IB314" i="56" s="1"/>
  <c r="FK314" i="56"/>
  <c r="BS314" i="56" s="1"/>
  <c r="CG314" i="56"/>
  <c r="CH314" i="56" s="1"/>
  <c r="H314" i="56" s="1"/>
  <c r="DV314" i="56"/>
  <c r="CX314" i="56"/>
  <c r="CI314" i="56"/>
  <c r="CL314" i="56"/>
  <c r="BX314" i="56"/>
  <c r="BO314" i="56"/>
  <c r="BU314" i="56"/>
  <c r="IA298" i="56"/>
  <c r="IB298" i="56" s="1"/>
  <c r="FK298" i="56"/>
  <c r="BS298" i="56" s="1"/>
  <c r="EP298" i="56"/>
  <c r="CG298" i="56"/>
  <c r="CH298" i="56" s="1"/>
  <c r="H298" i="56" s="1"/>
  <c r="DV298" i="56"/>
  <c r="CM298" i="56"/>
  <c r="J298" i="56" s="1"/>
  <c r="CN298" i="56" s="1"/>
  <c r="CS298" i="56"/>
  <c r="I298" i="56" s="1"/>
  <c r="CT298" i="56" s="1"/>
  <c r="CI298" i="56"/>
  <c r="BW298" i="56"/>
  <c r="CX298" i="56"/>
  <c r="BO298" i="56"/>
  <c r="BU298" i="56"/>
  <c r="IA282" i="56"/>
  <c r="IB282" i="56" s="1"/>
  <c r="EP282" i="56"/>
  <c r="FK282" i="56"/>
  <c r="BS282" i="56" s="1"/>
  <c r="CG282" i="56"/>
  <c r="CH282" i="56" s="1"/>
  <c r="H282" i="56" s="1"/>
  <c r="CJ282" i="56" s="1"/>
  <c r="DV282" i="56"/>
  <c r="CX282" i="56"/>
  <c r="CL282" i="56"/>
  <c r="CS282" i="56"/>
  <c r="I282" i="56" s="1"/>
  <c r="CT282" i="56" s="1"/>
  <c r="BO282" i="56"/>
  <c r="IA266" i="56"/>
  <c r="IB266" i="56" s="1"/>
  <c r="FK266" i="56"/>
  <c r="BS266" i="56" s="1"/>
  <c r="EP266" i="56"/>
  <c r="CG266" i="56"/>
  <c r="CH266" i="56" s="1"/>
  <c r="H266" i="56" s="1"/>
  <c r="CM266" i="56"/>
  <c r="J266" i="56" s="1"/>
  <c r="CN266" i="56" s="1"/>
  <c r="CS266" i="56"/>
  <c r="I266" i="56" s="1"/>
  <c r="CT266" i="56" s="1"/>
  <c r="CI266" i="56"/>
  <c r="CX266" i="56"/>
  <c r="BO266" i="56"/>
  <c r="BW266" i="56"/>
  <c r="CL266" i="56"/>
  <c r="IA250" i="56"/>
  <c r="IB250" i="56" s="1"/>
  <c r="FK250" i="56"/>
  <c r="BS250" i="56" s="1"/>
  <c r="EP250" i="56"/>
  <c r="CG250" i="56"/>
  <c r="CH250" i="56" s="1"/>
  <c r="H250" i="56" s="1"/>
  <c r="CX250" i="56"/>
  <c r="DV250" i="56"/>
  <c r="CS250" i="56"/>
  <c r="I250" i="56" s="1"/>
  <c r="CT250" i="56" s="1"/>
  <c r="CM250" i="56"/>
  <c r="J250" i="56" s="1"/>
  <c r="CN250" i="56" s="1"/>
  <c r="CI250" i="56"/>
  <c r="BX250" i="56"/>
  <c r="BO250" i="56"/>
  <c r="CL250" i="56"/>
  <c r="IA234" i="56"/>
  <c r="IB234" i="56" s="1"/>
  <c r="EP234" i="56"/>
  <c r="FK234" i="56"/>
  <c r="BS234" i="56" s="1"/>
  <c r="CG234" i="56"/>
  <c r="CH234" i="56" s="1"/>
  <c r="H234" i="56" s="1"/>
  <c r="DV234" i="56"/>
  <c r="CX234" i="56"/>
  <c r="CI234" i="56"/>
  <c r="CL234" i="56"/>
  <c r="BU234" i="56"/>
  <c r="BO234" i="56"/>
  <c r="CS234" i="56"/>
  <c r="I234" i="56" s="1"/>
  <c r="CT234" i="56" s="1"/>
  <c r="CM234" i="56"/>
  <c r="J234" i="56" s="1"/>
  <c r="CN234" i="56" s="1"/>
  <c r="BW234" i="56"/>
  <c r="IA218" i="56"/>
  <c r="IB218" i="56" s="1"/>
  <c r="FK218" i="56"/>
  <c r="BS218" i="56" s="1"/>
  <c r="EP218" i="56"/>
  <c r="DV218" i="56"/>
  <c r="CG218" i="56"/>
  <c r="CH218" i="56" s="1"/>
  <c r="H218" i="56" s="1"/>
  <c r="CJ218" i="56" s="1"/>
  <c r="CI218" i="56"/>
  <c r="CS218" i="56"/>
  <c r="I218" i="56" s="1"/>
  <c r="CT218" i="56" s="1"/>
  <c r="CL218" i="56"/>
  <c r="BX218" i="56"/>
  <c r="CM218" i="56"/>
  <c r="J218" i="56" s="1"/>
  <c r="CN218" i="56" s="1"/>
  <c r="BO218" i="56"/>
  <c r="CX218" i="56"/>
  <c r="BU218" i="56"/>
  <c r="IA202" i="56"/>
  <c r="IB202" i="56" s="1"/>
  <c r="EP202" i="56"/>
  <c r="FK202" i="56"/>
  <c r="DV202" i="56"/>
  <c r="CG202" i="56"/>
  <c r="CH202" i="56" s="1"/>
  <c r="H202" i="56" s="1"/>
  <c r="CX202" i="56"/>
  <c r="CM202" i="56"/>
  <c r="J202" i="56" s="1"/>
  <c r="CN202" i="56" s="1"/>
  <c r="CI202" i="56"/>
  <c r="BX202" i="56"/>
  <c r="CL202" i="56"/>
  <c r="BO202" i="56"/>
  <c r="BW202" i="56"/>
  <c r="CS202" i="56"/>
  <c r="I202" i="56" s="1"/>
  <c r="CT202" i="56" s="1"/>
  <c r="IA186" i="56"/>
  <c r="IB186" i="56" s="1"/>
  <c r="FK186" i="56"/>
  <c r="BS186" i="56" s="1"/>
  <c r="EP186" i="56"/>
  <c r="DV186" i="56"/>
  <c r="CG186" i="56"/>
  <c r="CH186" i="56" s="1"/>
  <c r="H186" i="56" s="1"/>
  <c r="CX186" i="56"/>
  <c r="CI186" i="56"/>
  <c r="BX186" i="56"/>
  <c r="BO186" i="56"/>
  <c r="CM186" i="56"/>
  <c r="J186" i="56" s="1"/>
  <c r="CN186" i="56" s="1"/>
  <c r="IA170" i="56"/>
  <c r="IB170" i="56" s="1"/>
  <c r="FK170" i="56"/>
  <c r="BS170" i="56" s="1"/>
  <c r="EP170" i="56"/>
  <c r="CG170" i="56"/>
  <c r="CH170" i="56" s="1"/>
  <c r="H170" i="56" s="1"/>
  <c r="CS170" i="56"/>
  <c r="I170" i="56" s="1"/>
  <c r="CT170" i="56" s="1"/>
  <c r="CM170" i="56"/>
  <c r="J170" i="56" s="1"/>
  <c r="CN170" i="56" s="1"/>
  <c r="CI170" i="56"/>
  <c r="BX170" i="56"/>
  <c r="CX170" i="56"/>
  <c r="BO170" i="56"/>
  <c r="CL170" i="56"/>
  <c r="BW170" i="56"/>
  <c r="FV154" i="56"/>
  <c r="EP154" i="56"/>
  <c r="FK154" i="56"/>
  <c r="DV154" i="56"/>
  <c r="CG154" i="56"/>
  <c r="CH154" i="56" s="1"/>
  <c r="H154" i="56" s="1"/>
  <c r="CJ154" i="56" s="1"/>
  <c r="CX154" i="56"/>
  <c r="CM154" i="56"/>
  <c r="J154" i="56" s="1"/>
  <c r="CN154" i="56" s="1"/>
  <c r="BO154" i="56"/>
  <c r="CS154" i="56"/>
  <c r="I154" i="56" s="1"/>
  <c r="CT154" i="56" s="1"/>
  <c r="BX154" i="56"/>
  <c r="BS154" i="56"/>
  <c r="IA138" i="56"/>
  <c r="IB138" i="56" s="1"/>
  <c r="FK138" i="56"/>
  <c r="BS138" i="56" s="1"/>
  <c r="DV138" i="56"/>
  <c r="CG138" i="56"/>
  <c r="CH138" i="56" s="1"/>
  <c r="H138" i="56" s="1"/>
  <c r="CS138" i="56"/>
  <c r="I138" i="56" s="1"/>
  <c r="CT138" i="56" s="1"/>
  <c r="CL138" i="56"/>
  <c r="BO138" i="56"/>
  <c r="BW138" i="56"/>
  <c r="IA122" i="56"/>
  <c r="IB122" i="56" s="1"/>
  <c r="FK122" i="56"/>
  <c r="CG122" i="56"/>
  <c r="CH122" i="56" s="1"/>
  <c r="H122" i="56" s="1"/>
  <c r="CS122" i="56"/>
  <c r="I122" i="56" s="1"/>
  <c r="CT122" i="56" s="1"/>
  <c r="DV122" i="56"/>
  <c r="CX122" i="56"/>
  <c r="CM122" i="56"/>
  <c r="J122" i="56" s="1"/>
  <c r="CN122" i="56" s="1"/>
  <c r="CL122" i="56"/>
  <c r="CI122" i="56"/>
  <c r="BO122" i="56"/>
  <c r="BU122" i="56"/>
  <c r="BX122" i="56"/>
  <c r="BS122" i="56"/>
  <c r="IA106" i="56"/>
  <c r="IB106" i="56" s="1"/>
  <c r="FK106" i="56"/>
  <c r="CG106" i="56"/>
  <c r="CH106" i="56" s="1"/>
  <c r="H106" i="56" s="1"/>
  <c r="DV106" i="56"/>
  <c r="CL106" i="56"/>
  <c r="CS106" i="56"/>
  <c r="I106" i="56" s="1"/>
  <c r="CT106" i="56" s="1"/>
  <c r="CX106" i="56"/>
  <c r="CI106" i="56"/>
  <c r="CM106" i="56"/>
  <c r="J106" i="56" s="1"/>
  <c r="CN106" i="56" s="1"/>
  <c r="BO106" i="56"/>
  <c r="BW106" i="56"/>
  <c r="IA90" i="56"/>
  <c r="IB90" i="56" s="1"/>
  <c r="FK90" i="56"/>
  <c r="BS90" i="56" s="1"/>
  <c r="CG90" i="56"/>
  <c r="CH90" i="56" s="1"/>
  <c r="H90" i="56" s="1"/>
  <c r="CJ90" i="56" s="1"/>
  <c r="DV90" i="56"/>
  <c r="CS90" i="56"/>
  <c r="I90" i="56" s="1"/>
  <c r="CT90" i="56" s="1"/>
  <c r="CX90" i="56"/>
  <c r="CI90" i="56"/>
  <c r="CM90" i="56"/>
  <c r="J90" i="56" s="1"/>
  <c r="CN90" i="56" s="1"/>
  <c r="CL90" i="56"/>
  <c r="BW90" i="56"/>
  <c r="BO90" i="56"/>
  <c r="BX90" i="56"/>
  <c r="BU90" i="56"/>
  <c r="IA74" i="56"/>
  <c r="IB74" i="56" s="1"/>
  <c r="FK74" i="56"/>
  <c r="BS74" i="56" s="1"/>
  <c r="CG74" i="56"/>
  <c r="CH74" i="56" s="1"/>
  <c r="H74" i="56" s="1"/>
  <c r="DV74" i="56"/>
  <c r="CM74" i="56"/>
  <c r="J74" i="56" s="1"/>
  <c r="CN74" i="56" s="1"/>
  <c r="CX74" i="56"/>
  <c r="CS74" i="56"/>
  <c r="I74" i="56" s="1"/>
  <c r="CT74" i="56" s="1"/>
  <c r="CI74" i="56"/>
  <c r="BW74" i="56"/>
  <c r="CL74" i="56"/>
  <c r="BO74" i="56"/>
  <c r="IA58" i="56"/>
  <c r="IB58" i="56" s="1"/>
  <c r="FK58" i="56"/>
  <c r="BS58" i="56" s="1"/>
  <c r="CG58" i="56"/>
  <c r="CH58" i="56" s="1"/>
  <c r="H58" i="56" s="1"/>
  <c r="DV58" i="56"/>
  <c r="CX58" i="56"/>
  <c r="CI58" i="56"/>
  <c r="CS58" i="56"/>
  <c r="I58" i="56" s="1"/>
  <c r="CT58" i="56" s="1"/>
  <c r="BO58" i="56"/>
  <c r="BU58" i="56"/>
  <c r="CM58" i="56"/>
  <c r="J58" i="56" s="1"/>
  <c r="CN58" i="56" s="1"/>
  <c r="BW58" i="56"/>
  <c r="BX58" i="56"/>
  <c r="BY58" i="56" s="1" a="1"/>
  <c r="BY58" i="56" s="1"/>
  <c r="IA42" i="56"/>
  <c r="IB42" i="56" s="1"/>
  <c r="FK42" i="56"/>
  <c r="BS42" i="56" s="1"/>
  <c r="EP42" i="56"/>
  <c r="CG42" i="56"/>
  <c r="CH42" i="56" s="1"/>
  <c r="H42" i="56" s="1"/>
  <c r="CX42" i="56"/>
  <c r="DV42" i="56"/>
  <c r="CS42" i="56"/>
  <c r="I42" i="56" s="1"/>
  <c r="CT42" i="56" s="1"/>
  <c r="CI42" i="56"/>
  <c r="BW42" i="56"/>
  <c r="CM42" i="56"/>
  <c r="J42" i="56" s="1"/>
  <c r="CN42" i="56" s="1"/>
  <c r="BO42" i="56"/>
  <c r="BU42" i="56"/>
  <c r="FV26" i="56"/>
  <c r="FK26" i="56"/>
  <c r="BS26" i="56" s="1"/>
  <c r="EP26" i="56"/>
  <c r="CG26" i="56"/>
  <c r="CH26" i="56" s="1"/>
  <c r="H26" i="56" s="1"/>
  <c r="CJ26" i="56" s="1"/>
  <c r="CK26" i="56" s="1"/>
  <c r="IQ26" i="56" s="1"/>
  <c r="CX26" i="56"/>
  <c r="DV26" i="56"/>
  <c r="CM26" i="56"/>
  <c r="J26" i="56" s="1"/>
  <c r="CN26" i="56" s="1"/>
  <c r="CS26" i="56"/>
  <c r="I26" i="56" s="1"/>
  <c r="CT26" i="56" s="1"/>
  <c r="BW26" i="56"/>
  <c r="BO26" i="56"/>
  <c r="BX26" i="56"/>
  <c r="IA10" i="56"/>
  <c r="IB10" i="56" s="1"/>
  <c r="FK10" i="56"/>
  <c r="BS10" i="56" s="1"/>
  <c r="CG10" i="56"/>
  <c r="CH10" i="56" s="1"/>
  <c r="H10" i="56" s="1"/>
  <c r="DV10" i="56"/>
  <c r="CM10" i="56"/>
  <c r="J10" i="56" s="1"/>
  <c r="CN10" i="56" s="1"/>
  <c r="CX10" i="56"/>
  <c r="CS10" i="56"/>
  <c r="I10" i="56" s="1"/>
  <c r="CT10" i="56" s="1"/>
  <c r="CI10" i="56"/>
  <c r="BW10" i="56"/>
  <c r="BO10" i="56"/>
  <c r="CL10" i="56"/>
  <c r="AZ248" i="56"/>
  <c r="Q248" i="56" s="1"/>
  <c r="DV248" i="56" s="1"/>
  <c r="AZ230" i="56"/>
  <c r="Q230" i="56" s="1"/>
  <c r="AZ120" i="56"/>
  <c r="Q120" i="56" s="1"/>
  <c r="AZ102" i="56"/>
  <c r="BD102" i="56" s="1" a="1"/>
  <c r="BD102" i="56" s="1"/>
  <c r="BA234" i="56"/>
  <c r="BB234" i="56" s="1"/>
  <c r="BA106" i="56"/>
  <c r="BB106" i="56" s="1"/>
  <c r="BD106" i="56" s="1" a="1"/>
  <c r="BD106" i="56" s="1"/>
  <c r="EQ348" i="56"/>
  <c r="BN348" i="56"/>
  <c r="FB348" i="56" s="1"/>
  <c r="EQ332" i="56"/>
  <c r="BN332" i="56"/>
  <c r="FY332" i="56" s="1"/>
  <c r="EQ316" i="56"/>
  <c r="BN316" i="56"/>
  <c r="EQ300" i="56"/>
  <c r="BN300" i="56"/>
  <c r="EQ284" i="56"/>
  <c r="BN284" i="56"/>
  <c r="FY284" i="56" s="1"/>
  <c r="EQ268" i="56"/>
  <c r="BN268" i="56"/>
  <c r="FY268" i="56" s="1"/>
  <c r="EQ252" i="56"/>
  <c r="BN252" i="56"/>
  <c r="FY252" i="56" s="1"/>
  <c r="EQ236" i="56"/>
  <c r="BN236" i="56"/>
  <c r="EQ220" i="56"/>
  <c r="BN220" i="56"/>
  <c r="FB220" i="56" s="1"/>
  <c r="EQ204" i="56"/>
  <c r="BN204" i="56"/>
  <c r="FY204" i="56" s="1"/>
  <c r="EQ188" i="56"/>
  <c r="BN188" i="56"/>
  <c r="FB188" i="56" s="1"/>
  <c r="EQ172" i="56"/>
  <c r="BN172" i="56"/>
  <c r="EQ156" i="56"/>
  <c r="BN156" i="56"/>
  <c r="EQ140" i="56"/>
  <c r="BN140" i="56"/>
  <c r="EQ124" i="56"/>
  <c r="BN124" i="56"/>
  <c r="FY124" i="56" s="1"/>
  <c r="EQ108" i="56"/>
  <c r="BY108" i="56" s="1" a="1"/>
  <c r="BY108" i="56" s="1"/>
  <c r="DU108" i="56" s="1"/>
  <c r="BN108" i="56"/>
  <c r="EQ92" i="56"/>
  <c r="BY92" i="56" s="1" a="1"/>
  <c r="BY92" i="56" s="1"/>
  <c r="DU92" i="56" s="1"/>
  <c r="BN92" i="56"/>
  <c r="EQ76" i="56"/>
  <c r="BN76" i="56"/>
  <c r="FY76" i="56" s="1"/>
  <c r="EQ60" i="56"/>
  <c r="BN60" i="56"/>
  <c r="EQ44" i="56"/>
  <c r="BN44" i="56"/>
  <c r="EQ28" i="56"/>
  <c r="EQ12" i="56"/>
  <c r="FW342" i="56"/>
  <c r="BI342" i="56"/>
  <c r="T342" i="56" s="1"/>
  <c r="FW326" i="56"/>
  <c r="BI326" i="56"/>
  <c r="T326" i="56" s="1"/>
  <c r="FW310" i="56"/>
  <c r="BI310" i="56"/>
  <c r="FW294" i="56"/>
  <c r="BI294" i="56"/>
  <c r="T294" i="56" s="1"/>
  <c r="GC278" i="56"/>
  <c r="FW278" i="56"/>
  <c r="BI278" i="56"/>
  <c r="T278" i="56" s="1"/>
  <c r="FW262" i="56"/>
  <c r="BI262" i="56"/>
  <c r="T262" i="56" s="1"/>
  <c r="FW246" i="56"/>
  <c r="BI246" i="56"/>
  <c r="T246" i="56" s="1"/>
  <c r="FW230" i="56"/>
  <c r="BI230" i="56"/>
  <c r="T230" i="56" s="1"/>
  <c r="FW214" i="56"/>
  <c r="BI214" i="56"/>
  <c r="FW198" i="56"/>
  <c r="BI198" i="56"/>
  <c r="FW182" i="56"/>
  <c r="BI182" i="56"/>
  <c r="FW166" i="56"/>
  <c r="BI166" i="56"/>
  <c r="FW150" i="56"/>
  <c r="BI150" i="56"/>
  <c r="FW134" i="56"/>
  <c r="BI134" i="56"/>
  <c r="T134" i="56" s="1"/>
  <c r="FW118" i="56"/>
  <c r="BI118" i="56"/>
  <c r="FW102" i="56"/>
  <c r="BI102" i="56"/>
  <c r="T102" i="56" s="1"/>
  <c r="GC86" i="56"/>
  <c r="FW86" i="56"/>
  <c r="BI86" i="56"/>
  <c r="T86" i="56" s="1"/>
  <c r="FW70" i="56"/>
  <c r="BI70" i="56"/>
  <c r="T70" i="56" s="1"/>
  <c r="FW54" i="56"/>
  <c r="BI54" i="56"/>
  <c r="T54" i="56" s="1"/>
  <c r="GD38" i="56"/>
  <c r="FW38" i="56"/>
  <c r="BI38" i="56"/>
  <c r="GC38" i="56" s="1"/>
  <c r="FW22" i="56"/>
  <c r="BI22" i="56"/>
  <c r="T22" i="56" s="1"/>
  <c r="FW6" i="56"/>
  <c r="BI6" i="56"/>
  <c r="BJ316" i="56"/>
  <c r="BL316" i="56" s="1"/>
  <c r="BJ269" i="56"/>
  <c r="BJ198" i="56"/>
  <c r="BJ154" i="56"/>
  <c r="BJ60" i="56"/>
  <c r="BL60" i="56" s="1"/>
  <c r="BJ13" i="56"/>
  <c r="BL302" i="56"/>
  <c r="BL174" i="56"/>
  <c r="BL46" i="56"/>
  <c r="BO41" i="56"/>
  <c r="BQ312" i="56"/>
  <c r="BQ287" i="56"/>
  <c r="BQ184" i="56"/>
  <c r="BQ159" i="56"/>
  <c r="BQ56" i="56"/>
  <c r="BQ31" i="56"/>
  <c r="GA338" i="56"/>
  <c r="DT338" i="56"/>
  <c r="CV338" i="56"/>
  <c r="GA322" i="56"/>
  <c r="DT322" i="56"/>
  <c r="GA306" i="56"/>
  <c r="DT306" i="56"/>
  <c r="GA290" i="56"/>
  <c r="DT290" i="56"/>
  <c r="GA274" i="56"/>
  <c r="DT274" i="56"/>
  <c r="GA258" i="56"/>
  <c r="DT258" i="56"/>
  <c r="CV258" i="56"/>
  <c r="GA242" i="56"/>
  <c r="DT242" i="56"/>
  <c r="CV242" i="56"/>
  <c r="GA226" i="56"/>
  <c r="DT226" i="56"/>
  <c r="GA210" i="56"/>
  <c r="DT210" i="56"/>
  <c r="GA194" i="56"/>
  <c r="DT194" i="56"/>
  <c r="GA178" i="56"/>
  <c r="DT178" i="56"/>
  <c r="GA162" i="56"/>
  <c r="DT162" i="56"/>
  <c r="GA146" i="56"/>
  <c r="DT146" i="56"/>
  <c r="GA130" i="56"/>
  <c r="DT130" i="56"/>
  <c r="CV130" i="56"/>
  <c r="GA114" i="56"/>
  <c r="DT114" i="56"/>
  <c r="GA98" i="56"/>
  <c r="DT98" i="56"/>
  <c r="GA82" i="56"/>
  <c r="DT82" i="56"/>
  <c r="GA66" i="56"/>
  <c r="DT66" i="56"/>
  <c r="CV66" i="56"/>
  <c r="GA50" i="56"/>
  <c r="DT50" i="56"/>
  <c r="GA34" i="56"/>
  <c r="DT34" i="56"/>
  <c r="GA17" i="56"/>
  <c r="DT17" i="56"/>
  <c r="BS45" i="56"/>
  <c r="BU166" i="56"/>
  <c r="BU104" i="56"/>
  <c r="BU37" i="56"/>
  <c r="DJ131" i="56"/>
  <c r="BW300" i="56"/>
  <c r="BW218" i="56"/>
  <c r="BW181" i="56"/>
  <c r="BX346" i="56"/>
  <c r="BX298" i="56"/>
  <c r="BX246" i="56"/>
  <c r="BX157" i="56"/>
  <c r="BX106" i="56"/>
  <c r="BX56" i="56"/>
  <c r="BX10" i="56"/>
  <c r="CA287" i="56"/>
  <c r="IP210" i="56"/>
  <c r="FL210" i="56"/>
  <c r="FM210" i="56" s="1"/>
  <c r="FO210" i="56" s="1" a="1"/>
  <c r="FO210" i="56" s="1"/>
  <c r="FF210" i="56"/>
  <c r="DC210" i="56"/>
  <c r="IP137" i="56"/>
  <c r="FL137" i="56"/>
  <c r="FM137" i="56" s="1"/>
  <c r="FO137" i="56" s="1" a="1"/>
  <c r="FO137" i="56" s="1"/>
  <c r="DC137" i="56"/>
  <c r="IP99" i="56"/>
  <c r="FL99" i="56"/>
  <c r="FM99" i="56" s="1"/>
  <c r="FO99" i="56" s="1" a="1"/>
  <c r="FO99" i="56" s="1"/>
  <c r="FF99" i="56"/>
  <c r="FB99" i="56"/>
  <c r="IP58" i="56"/>
  <c r="FL58" i="56"/>
  <c r="FM58" i="56" s="1"/>
  <c r="FO58" i="56" s="1" a="1"/>
  <c r="FO58" i="56" s="1"/>
  <c r="FB58" i="56"/>
  <c r="DC58" i="56"/>
  <c r="IP26" i="56"/>
  <c r="FL26" i="56"/>
  <c r="FM26" i="56" s="1"/>
  <c r="FO26" i="56" s="1" a="1"/>
  <c r="FO26" i="56" s="1"/>
  <c r="FD26" i="56"/>
  <c r="M26" i="56" s="1"/>
  <c r="FE26" i="56" s="1"/>
  <c r="FF26" i="56" s="1"/>
  <c r="DC26" i="56"/>
  <c r="CB303" i="56"/>
  <c r="CB158" i="56"/>
  <c r="CD31" i="56"/>
  <c r="CF159" i="56"/>
  <c r="CJ318" i="56"/>
  <c r="CK318" i="56" s="1"/>
  <c r="DF318" i="56" s="1"/>
  <c r="DG318" i="56" s="1"/>
  <c r="CM294" i="56"/>
  <c r="J294" i="56" s="1"/>
  <c r="CN294" i="56" s="1"/>
  <c r="CS314" i="56"/>
  <c r="I314" i="56" s="1"/>
  <c r="CT314" i="56" s="1"/>
  <c r="DL216" i="56"/>
  <c r="GF216" i="56" s="1"/>
  <c r="HD314" i="56"/>
  <c r="GB314" i="56"/>
  <c r="HD297" i="56"/>
  <c r="GB297" i="56"/>
  <c r="HD186" i="56"/>
  <c r="GB186" i="56"/>
  <c r="GB169" i="56"/>
  <c r="HD169" i="56"/>
  <c r="HD58" i="56"/>
  <c r="GB58" i="56"/>
  <c r="HD41" i="56"/>
  <c r="GB41" i="56"/>
  <c r="IA345" i="56"/>
  <c r="IB345" i="56" s="1"/>
  <c r="FK345" i="56"/>
  <c r="EP345" i="56"/>
  <c r="DV345" i="56"/>
  <c r="CS345" i="56"/>
  <c r="I345" i="56" s="1"/>
  <c r="CT345" i="56" s="1"/>
  <c r="CI345" i="56"/>
  <c r="CM345" i="56"/>
  <c r="J345" i="56" s="1"/>
  <c r="CN345" i="56" s="1"/>
  <c r="CL345" i="56"/>
  <c r="BW345" i="56"/>
  <c r="CX345" i="56"/>
  <c r="BX345" i="56"/>
  <c r="BJ345" i="56"/>
  <c r="IA329" i="56"/>
  <c r="IB329" i="56" s="1"/>
  <c r="FK329" i="56"/>
  <c r="CM329" i="56"/>
  <c r="J329" i="56" s="1"/>
  <c r="CN329" i="56" s="1"/>
  <c r="CS329" i="56"/>
  <c r="I329" i="56" s="1"/>
  <c r="CT329" i="56" s="1"/>
  <c r="CI329" i="56"/>
  <c r="BW329" i="56"/>
  <c r="CX329" i="56"/>
  <c r="CL329" i="56"/>
  <c r="CG329" i="56"/>
  <c r="CH329" i="56" s="1"/>
  <c r="H329" i="56" s="1"/>
  <c r="CJ329" i="56" s="1"/>
  <c r="BJ329" i="56"/>
  <c r="BL329" i="56" s="1"/>
  <c r="FV313" i="56"/>
  <c r="FK313" i="56"/>
  <c r="BS313" i="56" s="1"/>
  <c r="EP313" i="56"/>
  <c r="CX313" i="56"/>
  <c r="CI313" i="56"/>
  <c r="BW313" i="56"/>
  <c r="BX313" i="56"/>
  <c r="BU313" i="56"/>
  <c r="CM313" i="56"/>
  <c r="J313" i="56" s="1"/>
  <c r="CN313" i="56" s="1"/>
  <c r="CS313" i="56"/>
  <c r="I313" i="56" s="1"/>
  <c r="CT313" i="56" s="1"/>
  <c r="BJ313" i="56"/>
  <c r="IA297" i="56"/>
  <c r="IB297" i="56" s="1"/>
  <c r="FK297" i="56"/>
  <c r="BS297" i="56" s="1"/>
  <c r="EP297" i="56"/>
  <c r="DV297" i="56"/>
  <c r="CX297" i="56"/>
  <c r="CM297" i="56"/>
  <c r="J297" i="56" s="1"/>
  <c r="CN297" i="56" s="1"/>
  <c r="CG297" i="56"/>
  <c r="CH297" i="56" s="1"/>
  <c r="H297" i="56" s="1"/>
  <c r="CJ297" i="56" s="1"/>
  <c r="CS297" i="56"/>
  <c r="I297" i="56" s="1"/>
  <c r="CT297" i="56" s="1"/>
  <c r="CI297" i="56"/>
  <c r="BX297" i="56"/>
  <c r="BU297" i="56"/>
  <c r="BJ297" i="56"/>
  <c r="BW297" i="56"/>
  <c r="IA281" i="56"/>
  <c r="IB281" i="56" s="1"/>
  <c r="FK281" i="56"/>
  <c r="BS281" i="56" s="1"/>
  <c r="EP281" i="56"/>
  <c r="DV281" i="56"/>
  <c r="CX281" i="56"/>
  <c r="CS281" i="56"/>
  <c r="I281" i="56" s="1"/>
  <c r="CT281" i="56" s="1"/>
  <c r="CM281" i="56"/>
  <c r="J281" i="56" s="1"/>
  <c r="CN281" i="56" s="1"/>
  <c r="CG281" i="56"/>
  <c r="CH281" i="56" s="1"/>
  <c r="H281" i="56" s="1"/>
  <c r="CJ281" i="56" s="1"/>
  <c r="BW281" i="56"/>
  <c r="CL281" i="56"/>
  <c r="BX281" i="56"/>
  <c r="BJ281" i="56"/>
  <c r="IA265" i="56"/>
  <c r="IB265" i="56" s="1"/>
  <c r="FK265" i="56"/>
  <c r="BS265" i="56" s="1"/>
  <c r="EP265" i="56"/>
  <c r="CX265" i="56"/>
  <c r="DV265" i="56"/>
  <c r="CG265" i="56"/>
  <c r="CH265" i="56" s="1"/>
  <c r="H265" i="56" s="1"/>
  <c r="CS265" i="56"/>
  <c r="I265" i="56" s="1"/>
  <c r="CT265" i="56" s="1"/>
  <c r="CL265" i="56"/>
  <c r="CM265" i="56"/>
  <c r="J265" i="56" s="1"/>
  <c r="CN265" i="56" s="1"/>
  <c r="CI265" i="56"/>
  <c r="BJ265" i="56"/>
  <c r="IA249" i="56"/>
  <c r="IB249" i="56" s="1"/>
  <c r="FK249" i="56"/>
  <c r="BS249" i="56" s="1"/>
  <c r="EP249" i="56"/>
  <c r="CM249" i="56"/>
  <c r="J249" i="56" s="1"/>
  <c r="CN249" i="56" s="1"/>
  <c r="CI249" i="56"/>
  <c r="CL249" i="56"/>
  <c r="CG249" i="56"/>
  <c r="CH249" i="56" s="1"/>
  <c r="H249" i="56" s="1"/>
  <c r="CS249" i="56"/>
  <c r="I249" i="56" s="1"/>
  <c r="CT249" i="56" s="1"/>
  <c r="BX249" i="56"/>
  <c r="BJ249" i="56"/>
  <c r="BL249" i="56" s="1"/>
  <c r="IA233" i="56"/>
  <c r="IB233" i="56" s="1"/>
  <c r="FK233" i="56"/>
  <c r="BS233" i="56" s="1"/>
  <c r="EP233" i="56"/>
  <c r="CX233" i="56"/>
  <c r="CS233" i="56"/>
  <c r="I233" i="56" s="1"/>
  <c r="CT233" i="56" s="1"/>
  <c r="CI233" i="56"/>
  <c r="CL233" i="56"/>
  <c r="CG233" i="56"/>
  <c r="CH233" i="56" s="1"/>
  <c r="H233" i="56" s="1"/>
  <c r="BX233" i="56"/>
  <c r="CM233" i="56"/>
  <c r="J233" i="56" s="1"/>
  <c r="CN233" i="56" s="1"/>
  <c r="BJ233" i="56"/>
  <c r="IA217" i="56"/>
  <c r="IB217" i="56" s="1"/>
  <c r="FK217" i="56"/>
  <c r="BS217" i="56" s="1"/>
  <c r="EP217" i="56"/>
  <c r="CX217" i="56"/>
  <c r="DV217" i="56"/>
  <c r="CS217" i="56"/>
  <c r="I217" i="56" s="1"/>
  <c r="CT217" i="56" s="1"/>
  <c r="CL217" i="56"/>
  <c r="CG217" i="56"/>
  <c r="CH217" i="56" s="1"/>
  <c r="H217" i="56" s="1"/>
  <c r="BW217" i="56"/>
  <c r="CM217" i="56"/>
  <c r="J217" i="56" s="1"/>
  <c r="CN217" i="56" s="1"/>
  <c r="CI217" i="56"/>
  <c r="BX217" i="56"/>
  <c r="BJ217" i="56"/>
  <c r="IA201" i="56"/>
  <c r="IB201" i="56" s="1"/>
  <c r="FK201" i="56"/>
  <c r="BS201" i="56" s="1"/>
  <c r="EP201" i="56"/>
  <c r="CX201" i="56"/>
  <c r="CS201" i="56"/>
  <c r="I201" i="56" s="1"/>
  <c r="CT201" i="56" s="1"/>
  <c r="CM201" i="56"/>
  <c r="J201" i="56" s="1"/>
  <c r="CN201" i="56" s="1"/>
  <c r="BX201" i="56"/>
  <c r="CL201" i="56"/>
  <c r="CG201" i="56"/>
  <c r="CH201" i="56" s="1"/>
  <c r="H201" i="56" s="1"/>
  <c r="BU201" i="56"/>
  <c r="BJ201" i="56"/>
  <c r="BL201" i="56" s="1"/>
  <c r="CI201" i="56"/>
  <c r="IA185" i="56"/>
  <c r="IB185" i="56" s="1"/>
  <c r="FK185" i="56"/>
  <c r="BS185" i="56" s="1"/>
  <c r="EP185" i="56"/>
  <c r="DV185" i="56"/>
  <c r="CX185" i="56"/>
  <c r="CS185" i="56"/>
  <c r="I185" i="56" s="1"/>
  <c r="CT185" i="56" s="1"/>
  <c r="CM185" i="56"/>
  <c r="J185" i="56" s="1"/>
  <c r="CN185" i="56" s="1"/>
  <c r="CI185" i="56"/>
  <c r="BX185" i="56"/>
  <c r="CL185" i="56"/>
  <c r="CG185" i="56"/>
  <c r="CH185" i="56" s="1"/>
  <c r="H185" i="56" s="1"/>
  <c r="BJ185" i="56"/>
  <c r="BL185" i="56" s="1"/>
  <c r="IA169" i="56"/>
  <c r="IB169" i="56" s="1"/>
  <c r="FK169" i="56"/>
  <c r="BS169" i="56" s="1"/>
  <c r="EP169" i="56"/>
  <c r="CG169" i="56"/>
  <c r="CH169" i="56" s="1"/>
  <c r="H169" i="56" s="1"/>
  <c r="CM169" i="56"/>
  <c r="J169" i="56" s="1"/>
  <c r="CN169" i="56" s="1"/>
  <c r="CS169" i="56"/>
  <c r="I169" i="56" s="1"/>
  <c r="CT169" i="56" s="1"/>
  <c r="CI169" i="56"/>
  <c r="CX169" i="56"/>
  <c r="CL169" i="56"/>
  <c r="BJ169" i="56"/>
  <c r="BU169" i="56"/>
  <c r="IA153" i="56"/>
  <c r="IB153" i="56" s="1"/>
  <c r="FK153" i="56"/>
  <c r="BS153" i="56" s="1"/>
  <c r="DV153" i="56"/>
  <c r="CS153" i="56"/>
  <c r="I153" i="56" s="1"/>
  <c r="CT153" i="56" s="1"/>
  <c r="CX153" i="56"/>
  <c r="CM153" i="56"/>
  <c r="J153" i="56" s="1"/>
  <c r="CN153" i="56" s="1"/>
  <c r="CI153" i="56"/>
  <c r="BX153" i="56"/>
  <c r="CL153" i="56"/>
  <c r="BW153" i="56"/>
  <c r="CG153" i="56"/>
  <c r="CH153" i="56" s="1"/>
  <c r="H153" i="56" s="1"/>
  <c r="BJ153" i="56"/>
  <c r="IA137" i="56"/>
  <c r="IB137" i="56" s="1"/>
  <c r="FK137" i="56"/>
  <c r="BS137" i="56" s="1"/>
  <c r="DV137" i="56"/>
  <c r="CX137" i="56"/>
  <c r="CL137" i="56"/>
  <c r="CS137" i="56"/>
  <c r="I137" i="56" s="1"/>
  <c r="CT137" i="56" s="1"/>
  <c r="CM137" i="56"/>
  <c r="J137" i="56" s="1"/>
  <c r="CN137" i="56" s="1"/>
  <c r="CI137" i="56"/>
  <c r="BU137" i="56"/>
  <c r="BJ137" i="56"/>
  <c r="IA121" i="56"/>
  <c r="IB121" i="56" s="1"/>
  <c r="FK121" i="56"/>
  <c r="BS121" i="56" s="1"/>
  <c r="CX121" i="56"/>
  <c r="CG121" i="56"/>
  <c r="CH121" i="56" s="1"/>
  <c r="H121" i="56" s="1"/>
  <c r="CJ121" i="56" s="1"/>
  <c r="CI121" i="56"/>
  <c r="CM121" i="56"/>
  <c r="J121" i="56" s="1"/>
  <c r="CN121" i="56" s="1"/>
  <c r="CL121" i="56"/>
  <c r="BU121" i="56"/>
  <c r="BJ121" i="56"/>
  <c r="BL121" i="56" s="1"/>
  <c r="CS121" i="56"/>
  <c r="I121" i="56" s="1"/>
  <c r="CT121" i="56" s="1"/>
  <c r="IA105" i="56"/>
  <c r="IB105" i="56" s="1"/>
  <c r="FK105" i="56"/>
  <c r="BS105" i="56" s="1"/>
  <c r="DV105" i="56"/>
  <c r="CS105" i="56"/>
  <c r="I105" i="56" s="1"/>
  <c r="CT105" i="56" s="1"/>
  <c r="CI105" i="56"/>
  <c r="CX105" i="56"/>
  <c r="CG105" i="56"/>
  <c r="CH105" i="56" s="1"/>
  <c r="H105" i="56" s="1"/>
  <c r="BX105" i="56"/>
  <c r="BJ105" i="56"/>
  <c r="CL105" i="56"/>
  <c r="IA89" i="56"/>
  <c r="IB89" i="56" s="1"/>
  <c r="FK89" i="56"/>
  <c r="BS89" i="56" s="1"/>
  <c r="DV89" i="56"/>
  <c r="CM89" i="56"/>
  <c r="J89" i="56" s="1"/>
  <c r="CN89" i="56" s="1"/>
  <c r="CL89" i="56"/>
  <c r="CS89" i="56"/>
  <c r="I89" i="56" s="1"/>
  <c r="CT89" i="56" s="1"/>
  <c r="CG89" i="56"/>
  <c r="CH89" i="56" s="1"/>
  <c r="H89" i="56" s="1"/>
  <c r="BW89" i="56"/>
  <c r="CI89" i="56"/>
  <c r="BJ89" i="56"/>
  <c r="IA73" i="56"/>
  <c r="IB73" i="56" s="1"/>
  <c r="FK73" i="56"/>
  <c r="BS73" i="56" s="1"/>
  <c r="CS73" i="56"/>
  <c r="I73" i="56" s="1"/>
  <c r="CT73" i="56" s="1"/>
  <c r="BW73" i="56"/>
  <c r="CM73" i="56"/>
  <c r="J73" i="56" s="1"/>
  <c r="CN73" i="56" s="1"/>
  <c r="CL73" i="56"/>
  <c r="CX73" i="56"/>
  <c r="BJ73" i="56"/>
  <c r="BL73" i="56" s="1"/>
  <c r="CG73" i="56"/>
  <c r="CH73" i="56" s="1"/>
  <c r="H73" i="56" s="1"/>
  <c r="IA57" i="56"/>
  <c r="IB57" i="56" s="1"/>
  <c r="FK57" i="56"/>
  <c r="BS57" i="56" s="1"/>
  <c r="DV57" i="56"/>
  <c r="CS57" i="56"/>
  <c r="I57" i="56" s="1"/>
  <c r="CT57" i="56" s="1"/>
  <c r="CX57" i="56"/>
  <c r="CI57" i="56"/>
  <c r="BW57" i="56"/>
  <c r="CM57" i="56"/>
  <c r="J57" i="56" s="1"/>
  <c r="CN57" i="56" s="1"/>
  <c r="BU57" i="56"/>
  <c r="CG57" i="56"/>
  <c r="CH57" i="56" s="1"/>
  <c r="H57" i="56" s="1"/>
  <c r="BJ57" i="56"/>
  <c r="BL57" i="56" s="1"/>
  <c r="IA41" i="56"/>
  <c r="IB41" i="56" s="1"/>
  <c r="FK41" i="56"/>
  <c r="EP41" i="56"/>
  <c r="CX41" i="56"/>
  <c r="CS41" i="56"/>
  <c r="I41" i="56" s="1"/>
  <c r="CT41" i="56" s="1"/>
  <c r="CG41" i="56"/>
  <c r="CH41" i="56" s="1"/>
  <c r="H41" i="56" s="1"/>
  <c r="CI41" i="56"/>
  <c r="BX41" i="56"/>
  <c r="CM41" i="56"/>
  <c r="J41" i="56" s="1"/>
  <c r="CN41" i="56" s="1"/>
  <c r="CL41" i="56"/>
  <c r="BU41" i="56"/>
  <c r="BJ41" i="56"/>
  <c r="BL41" i="56" s="1"/>
  <c r="IA25" i="56"/>
  <c r="IB25" i="56" s="1"/>
  <c r="FV25" i="56"/>
  <c r="FK25" i="56"/>
  <c r="BS25" i="56" s="1"/>
  <c r="AJ25" i="56" s="1"/>
  <c r="BT25" i="56" s="1"/>
  <c r="EP25" i="56"/>
  <c r="X25" i="56" s="1"/>
  <c r="CM25" i="56"/>
  <c r="J25" i="56" s="1"/>
  <c r="CN25" i="56" s="1"/>
  <c r="CL25" i="56"/>
  <c r="CX25" i="56"/>
  <c r="CS25" i="56"/>
  <c r="I25" i="56" s="1"/>
  <c r="CT25" i="56" s="1"/>
  <c r="CI25" i="56"/>
  <c r="CJ25" i="56" s="1"/>
  <c r="BW25" i="56"/>
  <c r="BJ25" i="56"/>
  <c r="IA9" i="56"/>
  <c r="IB9" i="56" s="1"/>
  <c r="FK9" i="56"/>
  <c r="BS9" i="56" s="1"/>
  <c r="DV9" i="56"/>
  <c r="CX9" i="56"/>
  <c r="CG9" i="56"/>
  <c r="CH9" i="56" s="1"/>
  <c r="H9" i="56" s="1"/>
  <c r="CS9" i="56"/>
  <c r="I9" i="56" s="1"/>
  <c r="CT9" i="56" s="1"/>
  <c r="CM9" i="56"/>
  <c r="J9" i="56" s="1"/>
  <c r="CN9" i="56" s="1"/>
  <c r="CL9" i="56"/>
  <c r="CI9" i="56"/>
  <c r="BJ9" i="56"/>
  <c r="AZ229" i="56"/>
  <c r="Q229" i="56" s="1"/>
  <c r="AZ101" i="56"/>
  <c r="Q101" i="56" s="1"/>
  <c r="EK101" i="56" s="1"/>
  <c r="EQ347" i="56"/>
  <c r="BQ347" i="56"/>
  <c r="BL347" i="56"/>
  <c r="EQ331" i="56"/>
  <c r="BQ331" i="56"/>
  <c r="EQ315" i="56"/>
  <c r="BQ315" i="56"/>
  <c r="BL315" i="56"/>
  <c r="EQ299" i="56"/>
  <c r="BQ299" i="56"/>
  <c r="BL299" i="56"/>
  <c r="EQ283" i="56"/>
  <c r="BQ283" i="56"/>
  <c r="EQ267" i="56"/>
  <c r="BY267" i="56" s="1" a="1"/>
  <c r="BY267" i="56" s="1"/>
  <c r="DU267" i="56" s="1"/>
  <c r="BQ267" i="56"/>
  <c r="EQ251" i="56"/>
  <c r="BY251" i="56" a="1"/>
  <c r="BY251" i="56" s="1"/>
  <c r="DU251" i="56" s="1"/>
  <c r="BQ251" i="56"/>
  <c r="BL251" i="56"/>
  <c r="EQ235" i="56"/>
  <c r="BQ235" i="56"/>
  <c r="BL235" i="56"/>
  <c r="EQ219" i="56"/>
  <c r="BQ219" i="56"/>
  <c r="BL219" i="56"/>
  <c r="EQ203" i="56"/>
  <c r="BY203" i="56" s="1" a="1"/>
  <c r="BY203" i="56" s="1"/>
  <c r="DU203" i="56" s="1"/>
  <c r="BQ203" i="56"/>
  <c r="BL203" i="56"/>
  <c r="EQ187" i="56"/>
  <c r="BY187" i="56" a="1"/>
  <c r="BY187" i="56" s="1"/>
  <c r="DU187" i="56" s="1"/>
  <c r="BQ187" i="56"/>
  <c r="BL187" i="56"/>
  <c r="EQ171" i="56"/>
  <c r="BQ171" i="56"/>
  <c r="BL171" i="56"/>
  <c r="EQ155" i="56"/>
  <c r="BQ155" i="56"/>
  <c r="BL155" i="56"/>
  <c r="EQ139" i="56"/>
  <c r="BQ139" i="56"/>
  <c r="EQ123" i="56"/>
  <c r="BQ123" i="56"/>
  <c r="EQ107" i="56"/>
  <c r="BQ107" i="56"/>
  <c r="BL107" i="56"/>
  <c r="EQ91" i="56"/>
  <c r="BY91" i="56" s="1" a="1"/>
  <c r="BY91" i="56" s="1"/>
  <c r="BQ91" i="56"/>
  <c r="BL91" i="56"/>
  <c r="EQ75" i="56"/>
  <c r="BQ75" i="56"/>
  <c r="BL75" i="56"/>
  <c r="EQ59" i="56"/>
  <c r="BQ59" i="56"/>
  <c r="EQ43" i="56"/>
  <c r="BY43" i="56" a="1"/>
  <c r="BY43" i="56" s="1"/>
  <c r="DU43" i="56" s="1"/>
  <c r="BQ43" i="56"/>
  <c r="BL43" i="56"/>
  <c r="EQ27" i="56"/>
  <c r="BQ27" i="56"/>
  <c r="BL27" i="56"/>
  <c r="E27" i="56" s="1"/>
  <c r="BM27" i="56" s="1"/>
  <c r="BN27" i="56" s="1"/>
  <c r="EQ11" i="56"/>
  <c r="BQ11" i="56"/>
  <c r="BL11" i="56"/>
  <c r="E11" i="56" s="1"/>
  <c r="BM11" i="56" s="1"/>
  <c r="BN11" i="56" s="1"/>
  <c r="FY11" i="56" s="1"/>
  <c r="BD331" i="56" a="1"/>
  <c r="BD331" i="56" s="1"/>
  <c r="C331" i="56" s="1"/>
  <c r="BE331" i="56" s="1"/>
  <c r="BD321" i="56" a="1"/>
  <c r="BD321" i="56" s="1"/>
  <c r="C321" i="56" s="1"/>
  <c r="BE321" i="56" s="1"/>
  <c r="BD312" i="56" a="1"/>
  <c r="BD312" i="56" s="1"/>
  <c r="BD267" i="56" a="1"/>
  <c r="BD267" i="56" s="1"/>
  <c r="BD257" i="56" a="1"/>
  <c r="BD257" i="56" s="1"/>
  <c r="C257" i="56" s="1"/>
  <c r="BE257" i="56" s="1"/>
  <c r="BD248" i="56" a="1"/>
  <c r="BD248" i="56" s="1"/>
  <c r="C248" i="56" s="1"/>
  <c r="BE248" i="56" s="1"/>
  <c r="BD203" i="56" a="1"/>
  <c r="BD203" i="56" s="1"/>
  <c r="C203" i="56" s="1"/>
  <c r="BE203" i="56" s="1"/>
  <c r="BD193" i="56" a="1"/>
  <c r="BD193" i="56" s="1"/>
  <c r="C193" i="56" s="1"/>
  <c r="BE193" i="56" s="1"/>
  <c r="BD184" i="56" a="1"/>
  <c r="BD184" i="56" s="1"/>
  <c r="BD139" i="56" a="1"/>
  <c r="BD139" i="56" s="1"/>
  <c r="BD129" i="56" a="1"/>
  <c r="BD129" i="56" s="1"/>
  <c r="BD120" i="56" a="1"/>
  <c r="BD120" i="56" s="1"/>
  <c r="BD75" i="56" a="1"/>
  <c r="BD75" i="56" s="1"/>
  <c r="BD65" i="56" a="1"/>
  <c r="BD65" i="56" s="1"/>
  <c r="BD11" i="56" a="1"/>
  <c r="BD11" i="56" s="1"/>
  <c r="HE341" i="56"/>
  <c r="HF341" i="56" s="1"/>
  <c r="FW341" i="56"/>
  <c r="GC341" i="56"/>
  <c r="GD341" i="56" s="1"/>
  <c r="GE341" i="56" s="1"/>
  <c r="T341" i="56"/>
  <c r="GC325" i="56"/>
  <c r="GD325" i="56" s="1"/>
  <c r="GE325" i="56" s="1"/>
  <c r="FW325" i="56"/>
  <c r="T325" i="56"/>
  <c r="FW309" i="56"/>
  <c r="T309" i="56"/>
  <c r="FW293" i="56"/>
  <c r="GC293" i="56"/>
  <c r="T293" i="56"/>
  <c r="GC277" i="56"/>
  <c r="FW277" i="56"/>
  <c r="T277" i="56"/>
  <c r="FW261" i="56"/>
  <c r="FW245" i="56"/>
  <c r="GC245" i="56"/>
  <c r="T245" i="56"/>
  <c r="GC229" i="56"/>
  <c r="FW229" i="56"/>
  <c r="T229" i="56"/>
  <c r="GC213" i="56"/>
  <c r="FW213" i="56"/>
  <c r="T213" i="56"/>
  <c r="GC197" i="56"/>
  <c r="FW197" i="56"/>
  <c r="T197" i="56"/>
  <c r="GC181" i="56"/>
  <c r="FW181" i="56"/>
  <c r="T181" i="56"/>
  <c r="GC165" i="56"/>
  <c r="FW165" i="56"/>
  <c r="T165" i="56"/>
  <c r="GC149" i="56"/>
  <c r="FW149" i="56"/>
  <c r="T149" i="56"/>
  <c r="GC133" i="56"/>
  <c r="FW133" i="56"/>
  <c r="T133" i="56"/>
  <c r="GC117" i="56"/>
  <c r="FW117" i="56"/>
  <c r="T117" i="56"/>
  <c r="GC101" i="56"/>
  <c r="FW101" i="56"/>
  <c r="T101" i="56"/>
  <c r="FW85" i="56"/>
  <c r="GC85" i="56"/>
  <c r="T85" i="56"/>
  <c r="GC69" i="56"/>
  <c r="FW69" i="56"/>
  <c r="T69" i="56"/>
  <c r="FW53" i="56"/>
  <c r="GC53" i="56"/>
  <c r="GD53" i="56" s="1"/>
  <c r="GE53" i="56" s="1"/>
  <c r="T53" i="56"/>
  <c r="GD37" i="56"/>
  <c r="GC37" i="56"/>
  <c r="FW37" i="56"/>
  <c r="T37" i="56"/>
  <c r="GC21" i="56"/>
  <c r="FW21" i="56"/>
  <c r="T21" i="56"/>
  <c r="GC5" i="56"/>
  <c r="FW5" i="56"/>
  <c r="T5" i="56"/>
  <c r="BI261" i="56"/>
  <c r="BJ268" i="56"/>
  <c r="BJ221" i="56"/>
  <c r="BJ106" i="56"/>
  <c r="BJ12" i="56"/>
  <c r="BK284" i="56"/>
  <c r="BK234" i="56"/>
  <c r="BK156" i="56"/>
  <c r="BK106" i="56"/>
  <c r="BK28" i="56"/>
  <c r="BL351" i="56"/>
  <c r="BL223" i="56"/>
  <c r="BL95" i="56"/>
  <c r="BN254" i="56"/>
  <c r="BN152" i="56"/>
  <c r="BN126" i="56"/>
  <c r="BO348" i="56"/>
  <c r="BO220" i="56"/>
  <c r="BO92" i="56"/>
  <c r="BQ336" i="56"/>
  <c r="BQ309" i="56"/>
  <c r="BQ286" i="56"/>
  <c r="BQ236" i="56"/>
  <c r="BQ208" i="56"/>
  <c r="BQ158" i="56"/>
  <c r="BQ108" i="56"/>
  <c r="BQ80" i="56"/>
  <c r="BQ53" i="56"/>
  <c r="BQ30" i="56"/>
  <c r="GA337" i="56"/>
  <c r="DT337" i="56"/>
  <c r="GA321" i="56"/>
  <c r="DT321" i="56"/>
  <c r="GA305" i="56"/>
  <c r="DT305" i="56"/>
  <c r="GA289" i="56"/>
  <c r="DT289" i="56"/>
  <c r="GA273" i="56"/>
  <c r="DT273" i="56"/>
  <c r="GA257" i="56"/>
  <c r="DT257" i="56"/>
  <c r="GA241" i="56"/>
  <c r="DT241" i="56"/>
  <c r="CV241" i="56"/>
  <c r="GA225" i="56"/>
  <c r="DT225" i="56"/>
  <c r="GA209" i="56"/>
  <c r="DT209" i="56"/>
  <c r="GA193" i="56"/>
  <c r="DT193" i="56"/>
  <c r="CV193" i="56"/>
  <c r="GA177" i="56"/>
  <c r="DT177" i="56"/>
  <c r="GA161" i="56"/>
  <c r="DT161" i="56"/>
  <c r="GA145" i="56"/>
  <c r="DT145" i="56"/>
  <c r="GA129" i="56"/>
  <c r="DT129" i="56"/>
  <c r="GA113" i="56"/>
  <c r="DT113" i="56"/>
  <c r="CV113" i="56"/>
  <c r="GA97" i="56"/>
  <c r="DT97" i="56"/>
  <c r="GA81" i="56"/>
  <c r="DT81" i="56"/>
  <c r="CV81" i="56"/>
  <c r="GA65" i="56"/>
  <c r="DT65" i="56"/>
  <c r="GA49" i="56"/>
  <c r="DT49" i="56"/>
  <c r="GA33" i="56"/>
  <c r="DT33" i="56"/>
  <c r="GA16" i="56"/>
  <c r="DT16" i="56"/>
  <c r="DL16" i="56"/>
  <c r="BS202" i="56"/>
  <c r="BS106" i="56"/>
  <c r="BS12" i="56"/>
  <c r="EH19" i="56"/>
  <c r="DM19" i="56"/>
  <c r="BU349" i="56"/>
  <c r="BU165" i="56"/>
  <c r="BW294" i="56"/>
  <c r="BW38" i="56"/>
  <c r="BX295" i="56"/>
  <c r="BX199" i="56"/>
  <c r="BX9" i="56"/>
  <c r="IP234" i="56"/>
  <c r="FL234" i="56"/>
  <c r="FM234" i="56" s="1"/>
  <c r="FO234" i="56" s="1" a="1"/>
  <c r="FO234" i="56" s="1"/>
  <c r="FB234" i="56"/>
  <c r="DC234" i="56"/>
  <c r="IP138" i="56"/>
  <c r="FF138" i="56"/>
  <c r="FL138" i="56"/>
  <c r="FM138" i="56" s="1"/>
  <c r="FO138" i="56" s="1" a="1"/>
  <c r="FO138" i="56" s="1"/>
  <c r="DH138" i="56"/>
  <c r="IP286" i="56"/>
  <c r="FL286" i="56"/>
  <c r="FM286" i="56" s="1"/>
  <c r="FO286" i="56" s="1" a="1"/>
  <c r="FO286" i="56" s="1"/>
  <c r="FF286" i="56"/>
  <c r="DC286" i="56"/>
  <c r="IP209" i="56"/>
  <c r="FL209" i="56"/>
  <c r="FM209" i="56" s="1"/>
  <c r="FO209" i="56" s="1" a="1"/>
  <c r="FO209" i="56" s="1"/>
  <c r="FF209" i="56"/>
  <c r="DC209" i="56"/>
  <c r="IP136" i="56"/>
  <c r="FL136" i="56"/>
  <c r="FM136" i="56" s="1"/>
  <c r="FO136" i="56" s="1" a="1"/>
  <c r="FO136" i="56" s="1"/>
  <c r="FB136" i="56"/>
  <c r="DC136" i="56"/>
  <c r="CB302" i="56"/>
  <c r="CG313" i="56"/>
  <c r="CH313" i="56" s="1"/>
  <c r="H313" i="56" s="1"/>
  <c r="CG109" i="56"/>
  <c r="CH109" i="56" s="1"/>
  <c r="H109" i="56" s="1"/>
  <c r="CJ109" i="56" s="1"/>
  <c r="CG22" i="56"/>
  <c r="CH22" i="56" s="1"/>
  <c r="H22" i="56" s="1"/>
  <c r="CK236" i="56"/>
  <c r="IR236" i="56" s="1"/>
  <c r="CL205" i="56"/>
  <c r="CS295" i="56"/>
  <c r="I295" i="56" s="1"/>
  <c r="CT295" i="56" s="1"/>
  <c r="EK104" i="56"/>
  <c r="EK343" i="56"/>
  <c r="EL343" i="56"/>
  <c r="EK327" i="56"/>
  <c r="EL311" i="56"/>
  <c r="EK311" i="56"/>
  <c r="EK279" i="56"/>
  <c r="EL279" i="56"/>
  <c r="EL263" i="56"/>
  <c r="EK263" i="56"/>
  <c r="EL183" i="56"/>
  <c r="EK183" i="56"/>
  <c r="EK151" i="56"/>
  <c r="EL151" i="56"/>
  <c r="EL135" i="56"/>
  <c r="EK135" i="56"/>
  <c r="EK103" i="56"/>
  <c r="EL103" i="56"/>
  <c r="EL87" i="56"/>
  <c r="EK87" i="56"/>
  <c r="EK71" i="56"/>
  <c r="EL55" i="56"/>
  <c r="EK55" i="56"/>
  <c r="EK23" i="56"/>
  <c r="EL23" i="56"/>
  <c r="EK7" i="56"/>
  <c r="EL7" i="56"/>
  <c r="HD322" i="56"/>
  <c r="GB322" i="56"/>
  <c r="HD305" i="56"/>
  <c r="GB305" i="56"/>
  <c r="HD194" i="56"/>
  <c r="GB194" i="56"/>
  <c r="HD177" i="56"/>
  <c r="GB177" i="56"/>
  <c r="HD66" i="56"/>
  <c r="GB66" i="56"/>
  <c r="HD49" i="56"/>
  <c r="GB49" i="56"/>
  <c r="IA344" i="56"/>
  <c r="IB344" i="56" s="1"/>
  <c r="EP344" i="56"/>
  <c r="FK344" i="56"/>
  <c r="BS344" i="56" s="1"/>
  <c r="CS344" i="56"/>
  <c r="I344" i="56" s="1"/>
  <c r="CT344" i="56" s="1"/>
  <c r="DV344" i="56"/>
  <c r="CX344" i="56"/>
  <c r="CM344" i="56"/>
  <c r="J344" i="56" s="1"/>
  <c r="CN344" i="56" s="1"/>
  <c r="CL344" i="56"/>
  <c r="CG344" i="56"/>
  <c r="CH344" i="56" s="1"/>
  <c r="H344" i="56" s="1"/>
  <c r="CJ344" i="56" s="1"/>
  <c r="CK344" i="56" s="1"/>
  <c r="BW344" i="56"/>
  <c r="BX344" i="56"/>
  <c r="BJ344" i="56"/>
  <c r="IA328" i="56"/>
  <c r="IB328" i="56" s="1"/>
  <c r="FK328" i="56"/>
  <c r="BS328" i="56" s="1"/>
  <c r="DV328" i="56"/>
  <c r="CS328" i="56"/>
  <c r="I328" i="56" s="1"/>
  <c r="CT328" i="56" s="1"/>
  <c r="CX328" i="56"/>
  <c r="CL328" i="56"/>
  <c r="CM328" i="56"/>
  <c r="J328" i="56" s="1"/>
  <c r="CN328" i="56" s="1"/>
  <c r="CI328" i="56"/>
  <c r="BW328" i="56"/>
  <c r="BJ328" i="56"/>
  <c r="BL328" i="56" s="1"/>
  <c r="CG328" i="56"/>
  <c r="CH328" i="56" s="1"/>
  <c r="H328" i="56" s="1"/>
  <c r="CJ328" i="56" s="1"/>
  <c r="IA312" i="56"/>
  <c r="IB312" i="56" s="1"/>
  <c r="FK312" i="56"/>
  <c r="BS312" i="56" s="1"/>
  <c r="EP312" i="56"/>
  <c r="DV312" i="56"/>
  <c r="CX312" i="56"/>
  <c r="CS312" i="56"/>
  <c r="I312" i="56" s="1"/>
  <c r="CT312" i="56" s="1"/>
  <c r="CI312" i="56"/>
  <c r="BW312" i="56"/>
  <c r="CL312" i="56"/>
  <c r="BX312" i="56"/>
  <c r="CM312" i="56"/>
  <c r="J312" i="56" s="1"/>
  <c r="CN312" i="56" s="1"/>
  <c r="BJ312" i="56"/>
  <c r="BL312" i="56" s="1"/>
  <c r="CG312" i="56"/>
  <c r="CH312" i="56" s="1"/>
  <c r="H312" i="56" s="1"/>
  <c r="IA296" i="56"/>
  <c r="IB296" i="56" s="1"/>
  <c r="FK296" i="56"/>
  <c r="BS296" i="56" s="1"/>
  <c r="EP296" i="56"/>
  <c r="DV296" i="56"/>
  <c r="CX296" i="56"/>
  <c r="CG296" i="56"/>
  <c r="CH296" i="56" s="1"/>
  <c r="H296" i="56" s="1"/>
  <c r="CJ296" i="56" s="1"/>
  <c r="CK296" i="56" s="1"/>
  <c r="CS296" i="56"/>
  <c r="I296" i="56" s="1"/>
  <c r="CT296" i="56" s="1"/>
  <c r="CI296" i="56"/>
  <c r="BW296" i="56"/>
  <c r="CM296" i="56"/>
  <c r="J296" i="56" s="1"/>
  <c r="CN296" i="56" s="1"/>
  <c r="BX296" i="56"/>
  <c r="BJ296" i="56"/>
  <c r="IA280" i="56"/>
  <c r="IB280" i="56" s="1"/>
  <c r="FK280" i="56"/>
  <c r="BS280" i="56" s="1"/>
  <c r="DV280" i="56"/>
  <c r="CX280" i="56"/>
  <c r="EP280" i="56"/>
  <c r="CS280" i="56"/>
  <c r="I280" i="56" s="1"/>
  <c r="CT280" i="56" s="1"/>
  <c r="CI280" i="56"/>
  <c r="CJ280" i="56" s="1"/>
  <c r="BW280" i="56"/>
  <c r="CL280" i="56"/>
  <c r="BX280" i="56"/>
  <c r="BJ280" i="56"/>
  <c r="BU280" i="56"/>
  <c r="IA264" i="56"/>
  <c r="IB264" i="56" s="1"/>
  <c r="FK264" i="56"/>
  <c r="BS264" i="56" s="1"/>
  <c r="EP264" i="56"/>
  <c r="CS264" i="56"/>
  <c r="I264" i="56" s="1"/>
  <c r="CT264" i="56" s="1"/>
  <c r="CL264" i="56"/>
  <c r="CX264" i="56"/>
  <c r="CM264" i="56"/>
  <c r="J264" i="56" s="1"/>
  <c r="CN264" i="56" s="1"/>
  <c r="BW264" i="56"/>
  <c r="CG264" i="56"/>
  <c r="CH264" i="56" s="1"/>
  <c r="H264" i="56" s="1"/>
  <c r="CJ264" i="56" s="1"/>
  <c r="BJ264" i="56"/>
  <c r="BL264" i="56" s="1"/>
  <c r="IA248" i="56"/>
  <c r="IB248" i="56" s="1"/>
  <c r="FK248" i="56"/>
  <c r="BS248" i="56" s="1"/>
  <c r="EP248" i="56"/>
  <c r="CX248" i="56"/>
  <c r="CG248" i="56"/>
  <c r="CH248" i="56" s="1"/>
  <c r="H248" i="56" s="1"/>
  <c r="CS248" i="56"/>
  <c r="I248" i="56" s="1"/>
  <c r="CT248" i="56" s="1"/>
  <c r="CM248" i="56"/>
  <c r="J248" i="56" s="1"/>
  <c r="CN248" i="56" s="1"/>
  <c r="BX248" i="56"/>
  <c r="CI248" i="56"/>
  <c r="CL248" i="56"/>
  <c r="BJ248" i="56"/>
  <c r="BL248" i="56" s="1"/>
  <c r="BW248" i="56"/>
  <c r="BU248" i="56"/>
  <c r="IA232" i="56"/>
  <c r="IB232" i="56" s="1"/>
  <c r="FK232" i="56"/>
  <c r="EP232" i="56"/>
  <c r="DV232" i="56"/>
  <c r="CM232" i="56"/>
  <c r="J232" i="56" s="1"/>
  <c r="CN232" i="56" s="1"/>
  <c r="CI232" i="56"/>
  <c r="CX232" i="56"/>
  <c r="CG232" i="56"/>
  <c r="CH232" i="56" s="1"/>
  <c r="H232" i="56" s="1"/>
  <c r="CL232" i="56"/>
  <c r="BX232" i="56"/>
  <c r="BS232" i="56"/>
  <c r="BJ232" i="56"/>
  <c r="IA216" i="56"/>
  <c r="IB216" i="56" s="1"/>
  <c r="FK216" i="56"/>
  <c r="BS216" i="56" s="1"/>
  <c r="EP216" i="56"/>
  <c r="CX216" i="56"/>
  <c r="CI216" i="56"/>
  <c r="CL216" i="56"/>
  <c r="CG216" i="56"/>
  <c r="CH216" i="56" s="1"/>
  <c r="H216" i="56" s="1"/>
  <c r="CM216" i="56"/>
  <c r="J216" i="56" s="1"/>
  <c r="CN216" i="56" s="1"/>
  <c r="CS216" i="56"/>
  <c r="I216" i="56" s="1"/>
  <c r="CT216" i="56" s="1"/>
  <c r="BU216" i="56"/>
  <c r="DV216" i="56"/>
  <c r="BX216" i="56"/>
  <c r="BJ216" i="56"/>
  <c r="IA200" i="56"/>
  <c r="IB200" i="56" s="1"/>
  <c r="EP200" i="56"/>
  <c r="FK200" i="56"/>
  <c r="CX200" i="56"/>
  <c r="DV200" i="56"/>
  <c r="CM200" i="56"/>
  <c r="J200" i="56" s="1"/>
  <c r="CN200" i="56" s="1"/>
  <c r="CI200" i="56"/>
  <c r="CL200" i="56"/>
  <c r="CS200" i="56"/>
  <c r="I200" i="56" s="1"/>
  <c r="CT200" i="56" s="1"/>
  <c r="BW200" i="56"/>
  <c r="BU200" i="56"/>
  <c r="BJ200" i="56"/>
  <c r="BL200" i="56" s="1"/>
  <c r="FV184" i="56"/>
  <c r="FK184" i="56"/>
  <c r="BS184" i="56" s="1"/>
  <c r="DV184" i="56"/>
  <c r="EP184" i="56"/>
  <c r="CM184" i="56"/>
  <c r="J184" i="56" s="1"/>
  <c r="CN184" i="56" s="1"/>
  <c r="CS184" i="56"/>
  <c r="I184" i="56" s="1"/>
  <c r="CT184" i="56" s="1"/>
  <c r="CX184" i="56"/>
  <c r="CI184" i="56"/>
  <c r="BX184" i="56"/>
  <c r="CG184" i="56"/>
  <c r="CH184" i="56" s="1"/>
  <c r="H184" i="56" s="1"/>
  <c r="CJ184" i="56" s="1"/>
  <c r="CK184" i="56" s="1"/>
  <c r="DF184" i="56" s="1"/>
  <c r="DG184" i="56" s="1"/>
  <c r="BJ184" i="56"/>
  <c r="BW184" i="56"/>
  <c r="IA168" i="56"/>
  <c r="IB168" i="56" s="1"/>
  <c r="FK168" i="56"/>
  <c r="BS168" i="56" s="1"/>
  <c r="EP168" i="56"/>
  <c r="DV168" i="56"/>
  <c r="CX168" i="56"/>
  <c r="CS168" i="56"/>
  <c r="I168" i="56" s="1"/>
  <c r="CT168" i="56" s="1"/>
  <c r="CM168" i="56"/>
  <c r="J168" i="56" s="1"/>
  <c r="CN168" i="56" s="1"/>
  <c r="CI168" i="56"/>
  <c r="CJ168" i="56" s="1"/>
  <c r="BX168" i="56"/>
  <c r="BJ168" i="56"/>
  <c r="IA152" i="56"/>
  <c r="IB152" i="56" s="1"/>
  <c r="FK152" i="56"/>
  <c r="BS152" i="56" s="1"/>
  <c r="DV152" i="56"/>
  <c r="CG152" i="56"/>
  <c r="CH152" i="56" s="1"/>
  <c r="H152" i="56" s="1"/>
  <c r="CX152" i="56"/>
  <c r="CM152" i="56"/>
  <c r="J152" i="56" s="1"/>
  <c r="CN152" i="56" s="1"/>
  <c r="CI152" i="56"/>
  <c r="CL152" i="56"/>
  <c r="BW152" i="56"/>
  <c r="BJ152" i="56"/>
  <c r="IA136" i="56"/>
  <c r="IB136" i="56" s="1"/>
  <c r="FK136" i="56"/>
  <c r="DV136" i="56"/>
  <c r="CS136" i="56"/>
  <c r="I136" i="56" s="1"/>
  <c r="CT136" i="56" s="1"/>
  <c r="CX136" i="56"/>
  <c r="CG136" i="56"/>
  <c r="CH136" i="56" s="1"/>
  <c r="H136" i="56" s="1"/>
  <c r="BX136" i="56"/>
  <c r="CM136" i="56"/>
  <c r="J136" i="56" s="1"/>
  <c r="CN136" i="56" s="1"/>
  <c r="CI136" i="56"/>
  <c r="BU136" i="56"/>
  <c r="BW136" i="56"/>
  <c r="BJ136" i="56"/>
  <c r="BL136" i="56" s="1"/>
  <c r="IA120" i="56"/>
  <c r="IB120" i="56" s="1"/>
  <c r="FK120" i="56"/>
  <c r="BS120" i="56" s="1"/>
  <c r="DV120" i="56"/>
  <c r="CX120" i="56"/>
  <c r="CL120" i="56"/>
  <c r="CM120" i="56"/>
  <c r="J120" i="56" s="1"/>
  <c r="CN120" i="56" s="1"/>
  <c r="CG120" i="56"/>
  <c r="CH120" i="56" s="1"/>
  <c r="H120" i="56" s="1"/>
  <c r="BU120" i="56"/>
  <c r="BJ120" i="56"/>
  <c r="BL120" i="56" s="1"/>
  <c r="BW120" i="56"/>
  <c r="CI120" i="56"/>
  <c r="IA104" i="56"/>
  <c r="IB104" i="56" s="1"/>
  <c r="FK104" i="56"/>
  <c r="BS104" i="56" s="1"/>
  <c r="DV104" i="56"/>
  <c r="CX104" i="56"/>
  <c r="CM104" i="56"/>
  <c r="J104" i="56" s="1"/>
  <c r="CN104" i="56" s="1"/>
  <c r="CS104" i="56"/>
  <c r="I104" i="56" s="1"/>
  <c r="CT104" i="56" s="1"/>
  <c r="CL104" i="56"/>
  <c r="CG104" i="56"/>
  <c r="CH104" i="56" s="1"/>
  <c r="H104" i="56" s="1"/>
  <c r="CJ104" i="56" s="1"/>
  <c r="BX104" i="56"/>
  <c r="BJ104" i="56"/>
  <c r="FV88" i="56"/>
  <c r="FK88" i="56"/>
  <c r="BS88" i="56" s="1"/>
  <c r="EP88" i="56"/>
  <c r="CS88" i="56"/>
  <c r="I88" i="56" s="1"/>
  <c r="CT88" i="56" s="1"/>
  <c r="DV88" i="56"/>
  <c r="CX88" i="56"/>
  <c r="CI88" i="56"/>
  <c r="CG88" i="56"/>
  <c r="CH88" i="56" s="1"/>
  <c r="H88" i="56" s="1"/>
  <c r="BW88" i="56"/>
  <c r="CM88" i="56"/>
  <c r="J88" i="56" s="1"/>
  <c r="CN88" i="56" s="1"/>
  <c r="BX88" i="56"/>
  <c r="BJ88" i="56"/>
  <c r="IA72" i="56"/>
  <c r="IB72" i="56" s="1"/>
  <c r="FK72" i="56"/>
  <c r="DV72" i="56"/>
  <c r="CI72" i="56"/>
  <c r="CJ72" i="56" s="1"/>
  <c r="CM72" i="56"/>
  <c r="J72" i="56" s="1"/>
  <c r="CN72" i="56" s="1"/>
  <c r="CL72" i="56"/>
  <c r="CX72" i="56"/>
  <c r="BW72" i="56"/>
  <c r="BJ72" i="56"/>
  <c r="BL72" i="56" s="1"/>
  <c r="BX72" i="56"/>
  <c r="IA56" i="56"/>
  <c r="IB56" i="56" s="1"/>
  <c r="FK56" i="56"/>
  <c r="BS56" i="56" s="1"/>
  <c r="DV56" i="56"/>
  <c r="CS56" i="56"/>
  <c r="I56" i="56" s="1"/>
  <c r="CT56" i="56" s="1"/>
  <c r="CM56" i="56"/>
  <c r="J56" i="56" s="1"/>
  <c r="CN56" i="56" s="1"/>
  <c r="CX56" i="56"/>
  <c r="CI56" i="56"/>
  <c r="BW56" i="56"/>
  <c r="CL56" i="56"/>
  <c r="CG56" i="56"/>
  <c r="CH56" i="56" s="1"/>
  <c r="H56" i="56" s="1"/>
  <c r="BJ56" i="56"/>
  <c r="BL56" i="56" s="1"/>
  <c r="IA40" i="56"/>
  <c r="IB40" i="56" s="1"/>
  <c r="FK40" i="56"/>
  <c r="EP40" i="56"/>
  <c r="DV40" i="56"/>
  <c r="CS40" i="56"/>
  <c r="I40" i="56" s="1"/>
  <c r="CT40" i="56" s="1"/>
  <c r="CI40" i="56"/>
  <c r="BW40" i="56"/>
  <c r="BX40" i="56"/>
  <c r="CM40" i="56"/>
  <c r="J40" i="56" s="1"/>
  <c r="CN40" i="56" s="1"/>
  <c r="CG40" i="56"/>
  <c r="CH40" i="56" s="1"/>
  <c r="H40" i="56" s="1"/>
  <c r="CJ40" i="56" s="1"/>
  <c r="CL40" i="56"/>
  <c r="BJ40" i="56"/>
  <c r="CX40" i="56"/>
  <c r="IA24" i="56"/>
  <c r="IB24" i="56" s="1"/>
  <c r="FK24" i="56"/>
  <c r="BS24" i="56" s="1"/>
  <c r="EP24" i="56"/>
  <c r="DV24" i="56"/>
  <c r="CX24" i="56"/>
  <c r="CL24" i="56"/>
  <c r="CG24" i="56"/>
  <c r="CH24" i="56" s="1"/>
  <c r="H24" i="56" s="1"/>
  <c r="CS24" i="56"/>
  <c r="I24" i="56" s="1"/>
  <c r="CT24" i="56" s="1"/>
  <c r="CI24" i="56"/>
  <c r="BX24" i="56"/>
  <c r="BJ24" i="56"/>
  <c r="BU24" i="56"/>
  <c r="BW24" i="56"/>
  <c r="IA8" i="56"/>
  <c r="IB8" i="56" s="1"/>
  <c r="FK8" i="56"/>
  <c r="DV8" i="56"/>
  <c r="CX8" i="56"/>
  <c r="CS8" i="56"/>
  <c r="I8" i="56" s="1"/>
  <c r="CT8" i="56" s="1"/>
  <c r="CG8" i="56"/>
  <c r="CH8" i="56" s="1"/>
  <c r="H8" i="56" s="1"/>
  <c r="CJ8" i="56" s="1"/>
  <c r="BW8" i="56"/>
  <c r="CI8" i="56"/>
  <c r="CM8" i="56"/>
  <c r="J8" i="56" s="1"/>
  <c r="CN8" i="56" s="1"/>
  <c r="BJ8" i="56"/>
  <c r="BX8" i="56"/>
  <c r="AZ246" i="56"/>
  <c r="Q246" i="56" s="1"/>
  <c r="AZ118" i="56"/>
  <c r="Q118" i="56" s="1"/>
  <c r="EQ346" i="56"/>
  <c r="BD346" i="56" a="1"/>
  <c r="BD346" i="56" s="1"/>
  <c r="BQ346" i="56"/>
  <c r="EQ330" i="56"/>
  <c r="BD330" i="56" a="1"/>
  <c r="BD330" i="56" s="1"/>
  <c r="C330" i="56" s="1"/>
  <c r="BE330" i="56" s="1"/>
  <c r="BQ330" i="56"/>
  <c r="EQ314" i="56"/>
  <c r="BD314" i="56" a="1"/>
  <c r="BD314" i="56" s="1"/>
  <c r="BQ314" i="56"/>
  <c r="EQ298" i="56"/>
  <c r="BD298" i="56" a="1"/>
  <c r="BD298" i="56" s="1"/>
  <c r="C298" i="56" s="1"/>
  <c r="BE298" i="56" s="1"/>
  <c r="BQ298" i="56"/>
  <c r="EQ282" i="56"/>
  <c r="BD282" i="56" a="1"/>
  <c r="BD282" i="56" s="1"/>
  <c r="BQ282" i="56"/>
  <c r="EQ266" i="56"/>
  <c r="BD266" i="56" a="1"/>
  <c r="BD266" i="56" s="1"/>
  <c r="C266" i="56" s="1"/>
  <c r="BE266" i="56" s="1"/>
  <c r="BQ266" i="56"/>
  <c r="EQ250" i="56"/>
  <c r="BY250" i="56" s="1" a="1"/>
  <c r="BY250" i="56" s="1"/>
  <c r="DU250" i="56" s="1"/>
  <c r="BD250" i="56" a="1"/>
  <c r="BD250" i="56" s="1"/>
  <c r="C250" i="56" s="1"/>
  <c r="BE250" i="56" s="1"/>
  <c r="BQ250" i="56"/>
  <c r="EQ234" i="56"/>
  <c r="BD234" i="56" a="1"/>
  <c r="BD234" i="56" s="1"/>
  <c r="BQ234" i="56"/>
  <c r="EQ218" i="56"/>
  <c r="BD218" i="56" a="1"/>
  <c r="BD218" i="56" s="1"/>
  <c r="C218" i="56" s="1"/>
  <c r="BE218" i="56" s="1"/>
  <c r="BQ218" i="56"/>
  <c r="EQ202" i="56"/>
  <c r="BD202" i="56" a="1"/>
  <c r="BD202" i="56" s="1"/>
  <c r="C202" i="56" s="1"/>
  <c r="BE202" i="56" s="1"/>
  <c r="BQ202" i="56"/>
  <c r="EQ186" i="56"/>
  <c r="BD186" i="56" a="1"/>
  <c r="BD186" i="56" s="1"/>
  <c r="C186" i="56" s="1"/>
  <c r="BE186" i="56" s="1"/>
  <c r="BY186" i="56" a="1"/>
  <c r="BY186" i="56" s="1"/>
  <c r="BQ186" i="56"/>
  <c r="EQ170" i="56"/>
  <c r="BD170" i="56" a="1"/>
  <c r="BD170" i="56" s="1"/>
  <c r="C170" i="56" s="1"/>
  <c r="BE170" i="56" s="1"/>
  <c r="BQ170" i="56"/>
  <c r="EQ154" i="56"/>
  <c r="BD154" i="56" a="1"/>
  <c r="BD154" i="56" s="1"/>
  <c r="BQ154" i="56"/>
  <c r="EQ138" i="56"/>
  <c r="BD138" i="56" a="1"/>
  <c r="BD138" i="56" s="1"/>
  <c r="BQ138" i="56"/>
  <c r="EQ122" i="56"/>
  <c r="BY122" i="56" a="1"/>
  <c r="BY122" i="56" s="1"/>
  <c r="DU122" i="56" s="1"/>
  <c r="BD122" i="56" a="1"/>
  <c r="BD122" i="56" s="1"/>
  <c r="BQ122" i="56"/>
  <c r="EQ106" i="56"/>
  <c r="BQ106" i="56"/>
  <c r="EQ90" i="56"/>
  <c r="BD90" i="56" a="1"/>
  <c r="BD90" i="56" s="1"/>
  <c r="BQ90" i="56"/>
  <c r="EQ74" i="56"/>
  <c r="BD74" i="56" a="1"/>
  <c r="BD74" i="56" s="1"/>
  <c r="BQ74" i="56"/>
  <c r="EQ58" i="56"/>
  <c r="BD58" i="56" a="1"/>
  <c r="BD58" i="56" s="1"/>
  <c r="BQ58" i="56"/>
  <c r="EQ42" i="56"/>
  <c r="BD42" i="56" a="1"/>
  <c r="BD42" i="56" s="1"/>
  <c r="C42" i="56" s="1"/>
  <c r="BE42" i="56" s="1"/>
  <c r="BQ42" i="56"/>
  <c r="EQ26" i="56"/>
  <c r="BD26" i="56" a="1"/>
  <c r="BD26" i="56" s="1"/>
  <c r="C26" i="56" s="1"/>
  <c r="BE26" i="56" s="1"/>
  <c r="BQ26" i="56"/>
  <c r="EQ10" i="56"/>
  <c r="BD10" i="56" a="1"/>
  <c r="BD10" i="56" s="1"/>
  <c r="BQ10" i="56"/>
  <c r="GC340" i="56"/>
  <c r="FW340" i="56"/>
  <c r="FW324" i="56"/>
  <c r="GC324" i="56"/>
  <c r="GC308" i="56"/>
  <c r="FW308" i="56"/>
  <c r="FW292" i="56"/>
  <c r="FW276" i="56"/>
  <c r="GC276" i="56"/>
  <c r="FW260" i="56"/>
  <c r="FW244" i="56"/>
  <c r="GC244" i="56"/>
  <c r="GC228" i="56"/>
  <c r="FW228" i="56"/>
  <c r="FW212" i="56"/>
  <c r="GC196" i="56"/>
  <c r="FW196" i="56"/>
  <c r="GC180" i="56"/>
  <c r="FW180" i="56"/>
  <c r="FW164" i="56"/>
  <c r="GC148" i="56"/>
  <c r="FW148" i="56"/>
  <c r="GC132" i="56"/>
  <c r="FW132" i="56"/>
  <c r="FW116" i="56"/>
  <c r="FW100" i="56"/>
  <c r="GC100" i="56"/>
  <c r="T100" i="56"/>
  <c r="FW84" i="56"/>
  <c r="GC84" i="56"/>
  <c r="T84" i="56"/>
  <c r="FW68" i="56"/>
  <c r="GC68" i="56"/>
  <c r="T68" i="56"/>
  <c r="GC52" i="56"/>
  <c r="GD52" i="56"/>
  <c r="FW52" i="56"/>
  <c r="T52" i="56"/>
  <c r="GD36" i="56"/>
  <c r="GC36" i="56"/>
  <c r="FW36" i="56"/>
  <c r="T36" i="56"/>
  <c r="FW20" i="56"/>
  <c r="GC20" i="56"/>
  <c r="T20" i="56"/>
  <c r="FW4" i="56"/>
  <c r="BI260" i="56"/>
  <c r="T260" i="56" s="1"/>
  <c r="BJ220" i="56"/>
  <c r="BL220" i="56" s="1"/>
  <c r="BJ173" i="56"/>
  <c r="BJ102" i="56"/>
  <c r="BK233" i="56"/>
  <c r="BK105" i="56"/>
  <c r="BL350" i="56"/>
  <c r="BN251" i="56"/>
  <c r="BN123" i="56"/>
  <c r="BO345" i="56"/>
  <c r="BO217" i="56"/>
  <c r="BO167" i="56"/>
  <c r="BO89" i="56"/>
  <c r="BQ335" i="56"/>
  <c r="BQ207" i="56"/>
  <c r="BQ79" i="56"/>
  <c r="GA352" i="56"/>
  <c r="DT352" i="56"/>
  <c r="CV352" i="56"/>
  <c r="GA336" i="56"/>
  <c r="CV336" i="56"/>
  <c r="DT336" i="56"/>
  <c r="GA320" i="56"/>
  <c r="DT320" i="56"/>
  <c r="GA304" i="56"/>
  <c r="DT304" i="56"/>
  <c r="GA288" i="56"/>
  <c r="DT288" i="56"/>
  <c r="GA272" i="56"/>
  <c r="DT272" i="56"/>
  <c r="GA256" i="56"/>
  <c r="DT256" i="56"/>
  <c r="GA240" i="56"/>
  <c r="DT240" i="56"/>
  <c r="DL240" i="56"/>
  <c r="GA224" i="56"/>
  <c r="DT224" i="56"/>
  <c r="CV224" i="56"/>
  <c r="GA208" i="56"/>
  <c r="DT208" i="56"/>
  <c r="GA192" i="56"/>
  <c r="DT192" i="56"/>
  <c r="GA176" i="56"/>
  <c r="DT176" i="56"/>
  <c r="GA160" i="56"/>
  <c r="DT160" i="56"/>
  <c r="GA144" i="56"/>
  <c r="DT144" i="56"/>
  <c r="GA128" i="56"/>
  <c r="DT128" i="56"/>
  <c r="GA112" i="56"/>
  <c r="DT112" i="56"/>
  <c r="GA96" i="56"/>
  <c r="DT96" i="56"/>
  <c r="DL96" i="56"/>
  <c r="GA80" i="56"/>
  <c r="DT80" i="56"/>
  <c r="GA64" i="56"/>
  <c r="DT64" i="56"/>
  <c r="GA48" i="56"/>
  <c r="DT48" i="56"/>
  <c r="GA32" i="56"/>
  <c r="DT32" i="56"/>
  <c r="BS348" i="56"/>
  <c r="BS200" i="56"/>
  <c r="EH35" i="56"/>
  <c r="DM35" i="56"/>
  <c r="BU348" i="56"/>
  <c r="BU285" i="56"/>
  <c r="BU252" i="56"/>
  <c r="BW293" i="56"/>
  <c r="BW253" i="56"/>
  <c r="BW169" i="56"/>
  <c r="BW37" i="56"/>
  <c r="BX54" i="56"/>
  <c r="BY328" i="56" a="1"/>
  <c r="BY328" i="56" s="1"/>
  <c r="DU328" i="56" s="1"/>
  <c r="BY305" i="56" a="1"/>
  <c r="BY305" i="56" s="1"/>
  <c r="DU305" i="56" s="1"/>
  <c r="IR297" i="56"/>
  <c r="IP297" i="56"/>
  <c r="FL297" i="56"/>
  <c r="FM297" i="56" s="1"/>
  <c r="FO297" i="56" s="1" a="1"/>
  <c r="FO297" i="56" s="1"/>
  <c r="FF297" i="56"/>
  <c r="FB297" i="56"/>
  <c r="DC297" i="56"/>
  <c r="CK297" i="56"/>
  <c r="DF297" i="56" s="1"/>
  <c r="DG297" i="56" s="1"/>
  <c r="IP233" i="56"/>
  <c r="FL233" i="56"/>
  <c r="FM233" i="56" s="1"/>
  <c r="FO233" i="56" s="1" a="1"/>
  <c r="FO233" i="56" s="1"/>
  <c r="DC233" i="56"/>
  <c r="IP135" i="56"/>
  <c r="FF135" i="56"/>
  <c r="FL135" i="56"/>
  <c r="FM135" i="56" s="1"/>
  <c r="FO135" i="56" s="1" a="1"/>
  <c r="FO135" i="56" s="1"/>
  <c r="DC135" i="56"/>
  <c r="IP51" i="56"/>
  <c r="FL51" i="56"/>
  <c r="FM51" i="56" s="1"/>
  <c r="FO51" i="56" s="1" a="1"/>
  <c r="FO51" i="56" s="1"/>
  <c r="DC51" i="56"/>
  <c r="CL298" i="56"/>
  <c r="CL186" i="56"/>
  <c r="CR159" i="56"/>
  <c r="DH159" i="56" s="1"/>
  <c r="CP159" i="56" a="1"/>
  <c r="CP159" i="56" s="1"/>
  <c r="CM60" i="56"/>
  <c r="J60" i="56" s="1"/>
  <c r="CN60" i="56" s="1"/>
  <c r="CR117" i="56"/>
  <c r="CS261" i="56"/>
  <c r="I261" i="56" s="1"/>
  <c r="CT261" i="56" s="1"/>
  <c r="DC275" i="56"/>
  <c r="EK24" i="56"/>
  <c r="EL24" i="56"/>
  <c r="EL342" i="56"/>
  <c r="EK342" i="56"/>
  <c r="EK102" i="56"/>
  <c r="EL102" i="56"/>
  <c r="EK54" i="56"/>
  <c r="EK22" i="56"/>
  <c r="EL22" i="56"/>
  <c r="EK6" i="56"/>
  <c r="EL6" i="56"/>
  <c r="HD347" i="56"/>
  <c r="GB347" i="56"/>
  <c r="HD330" i="56"/>
  <c r="GB330" i="56"/>
  <c r="HD313" i="56"/>
  <c r="GB313" i="56"/>
  <c r="HD304" i="56"/>
  <c r="GB304" i="56"/>
  <c r="HD287" i="56"/>
  <c r="GB287" i="56"/>
  <c r="HD270" i="56"/>
  <c r="GB270" i="56"/>
  <c r="HD253" i="56"/>
  <c r="GB253" i="56"/>
  <c r="GB236" i="56"/>
  <c r="HD236" i="56"/>
  <c r="HD219" i="56"/>
  <c r="GB219" i="56"/>
  <c r="HD202" i="56"/>
  <c r="GB202" i="56"/>
  <c r="HD185" i="56"/>
  <c r="GM185" i="56"/>
  <c r="GB185" i="56"/>
  <c r="HD176" i="56"/>
  <c r="GB176" i="56"/>
  <c r="HD159" i="56"/>
  <c r="GB159" i="56"/>
  <c r="HD142" i="56"/>
  <c r="GB142" i="56"/>
  <c r="HD125" i="56"/>
  <c r="GB125" i="56"/>
  <c r="HD108" i="56"/>
  <c r="GB108" i="56"/>
  <c r="HD91" i="56"/>
  <c r="HD74" i="56"/>
  <c r="GB74" i="56"/>
  <c r="HD57" i="56"/>
  <c r="GB57" i="56"/>
  <c r="HD48" i="56"/>
  <c r="GB48" i="56"/>
  <c r="HD31" i="56"/>
  <c r="GB31" i="56"/>
  <c r="HD14" i="56"/>
  <c r="GB14" i="56"/>
  <c r="IA343" i="56"/>
  <c r="IB343" i="56" s="1"/>
  <c r="FK343" i="56"/>
  <c r="BS343" i="56" s="1"/>
  <c r="EP343" i="56"/>
  <c r="DV343" i="56"/>
  <c r="CL343" i="56"/>
  <c r="CS343" i="56"/>
  <c r="I343" i="56" s="1"/>
  <c r="CT343" i="56" s="1"/>
  <c r="CI343" i="56"/>
  <c r="CM343" i="56"/>
  <c r="J343" i="56" s="1"/>
  <c r="CN343" i="56" s="1"/>
  <c r="CG343" i="56"/>
  <c r="CH343" i="56" s="1"/>
  <c r="H343" i="56" s="1"/>
  <c r="CX343" i="56"/>
  <c r="BX343" i="56"/>
  <c r="BJ343" i="56"/>
  <c r="BK343" i="56"/>
  <c r="IA327" i="56"/>
  <c r="IB327" i="56" s="1"/>
  <c r="FK327" i="56"/>
  <c r="BS327" i="56" s="1"/>
  <c r="DV327" i="56"/>
  <c r="CS327" i="56"/>
  <c r="I327" i="56" s="1"/>
  <c r="CT327" i="56" s="1"/>
  <c r="CL327" i="56"/>
  <c r="CI327" i="56"/>
  <c r="CX327" i="56"/>
  <c r="CM327" i="56"/>
  <c r="J327" i="56" s="1"/>
  <c r="CN327" i="56" s="1"/>
  <c r="BW327" i="56"/>
  <c r="BJ327" i="56"/>
  <c r="BK327" i="56"/>
  <c r="BU327" i="56"/>
  <c r="IA311" i="56"/>
  <c r="IB311" i="56" s="1"/>
  <c r="FK311" i="56"/>
  <c r="BS311" i="56" s="1"/>
  <c r="EP311" i="56"/>
  <c r="DV311" i="56"/>
  <c r="CX311" i="56"/>
  <c r="CM311" i="56"/>
  <c r="J311" i="56" s="1"/>
  <c r="CN311" i="56" s="1"/>
  <c r="CI311" i="56"/>
  <c r="CL311" i="56"/>
  <c r="BJ311" i="56"/>
  <c r="CS311" i="56"/>
  <c r="I311" i="56" s="1"/>
  <c r="CT311" i="56" s="1"/>
  <c r="CG311" i="56"/>
  <c r="CH311" i="56" s="1"/>
  <c r="H311" i="56" s="1"/>
  <c r="BK311" i="56"/>
  <c r="BX311" i="56"/>
  <c r="IA295" i="56"/>
  <c r="IB295" i="56" s="1"/>
  <c r="FK295" i="56"/>
  <c r="BS295" i="56" s="1"/>
  <c r="EP295" i="56"/>
  <c r="DV295" i="56"/>
  <c r="CI295" i="56"/>
  <c r="BW295" i="56"/>
  <c r="CX295" i="56"/>
  <c r="CG295" i="56"/>
  <c r="CH295" i="56" s="1"/>
  <c r="H295" i="56" s="1"/>
  <c r="CJ295" i="56" s="1"/>
  <c r="CK295" i="56" s="1"/>
  <c r="DF295" i="56" s="1"/>
  <c r="DG295" i="56" s="1"/>
  <c r="BU295" i="56"/>
  <c r="BJ295" i="56"/>
  <c r="CL295" i="56"/>
  <c r="BK295" i="56"/>
  <c r="CM295" i="56"/>
  <c r="J295" i="56" s="1"/>
  <c r="CN295" i="56" s="1"/>
  <c r="IA279" i="56"/>
  <c r="IB279" i="56" s="1"/>
  <c r="FK279" i="56"/>
  <c r="BS279" i="56" s="1"/>
  <c r="EP279" i="56"/>
  <c r="DV279" i="56"/>
  <c r="CM279" i="56"/>
  <c r="J279" i="56" s="1"/>
  <c r="CN279" i="56" s="1"/>
  <c r="CG279" i="56"/>
  <c r="CH279" i="56" s="1"/>
  <c r="H279" i="56" s="1"/>
  <c r="CX279" i="56"/>
  <c r="BW279" i="56"/>
  <c r="CS279" i="56"/>
  <c r="I279" i="56" s="1"/>
  <c r="CT279" i="56" s="1"/>
  <c r="CI279" i="56"/>
  <c r="CL279" i="56"/>
  <c r="BX279" i="56"/>
  <c r="BJ279" i="56"/>
  <c r="BU279" i="56"/>
  <c r="BK279" i="56"/>
  <c r="IA263" i="56"/>
  <c r="IB263" i="56" s="1"/>
  <c r="FK263" i="56"/>
  <c r="BS263" i="56" s="1"/>
  <c r="DV263" i="56"/>
  <c r="CX263" i="56"/>
  <c r="EP263" i="56"/>
  <c r="CG263" i="56"/>
  <c r="CH263" i="56" s="1"/>
  <c r="H263" i="56" s="1"/>
  <c r="CM263" i="56"/>
  <c r="J263" i="56" s="1"/>
  <c r="CN263" i="56" s="1"/>
  <c r="CI263" i="56"/>
  <c r="BW263" i="56"/>
  <c r="BJ263" i="56"/>
  <c r="BK263" i="56"/>
  <c r="CS263" i="56"/>
  <c r="I263" i="56" s="1"/>
  <c r="CT263" i="56" s="1"/>
  <c r="IA247" i="56"/>
  <c r="IB247" i="56" s="1"/>
  <c r="FK247" i="56"/>
  <c r="BS247" i="56" s="1"/>
  <c r="EP247" i="56"/>
  <c r="DV247" i="56"/>
  <c r="CS247" i="56"/>
  <c r="I247" i="56" s="1"/>
  <c r="CT247" i="56" s="1"/>
  <c r="CL247" i="56"/>
  <c r="CM247" i="56"/>
  <c r="J247" i="56" s="1"/>
  <c r="CN247" i="56" s="1"/>
  <c r="BW247" i="56"/>
  <c r="CI247" i="56"/>
  <c r="CJ247" i="56" s="1"/>
  <c r="BJ247" i="56"/>
  <c r="CX247" i="56"/>
  <c r="BK247" i="56"/>
  <c r="BX247" i="56"/>
  <c r="IA231" i="56"/>
  <c r="IB231" i="56" s="1"/>
  <c r="FK231" i="56"/>
  <c r="EP231" i="56"/>
  <c r="DV231" i="56"/>
  <c r="CX231" i="56"/>
  <c r="CG231" i="56"/>
  <c r="CH231" i="56" s="1"/>
  <c r="H231" i="56" s="1"/>
  <c r="CJ231" i="56" s="1"/>
  <c r="CK231" i="56" s="1"/>
  <c r="CS231" i="56"/>
  <c r="I231" i="56" s="1"/>
  <c r="CT231" i="56" s="1"/>
  <c r="CL231" i="56"/>
  <c r="CM231" i="56"/>
  <c r="J231" i="56" s="1"/>
  <c r="CN231" i="56" s="1"/>
  <c r="BS231" i="56"/>
  <c r="BJ231" i="56"/>
  <c r="BK231" i="56"/>
  <c r="IA215" i="56"/>
  <c r="IB215" i="56" s="1"/>
  <c r="FK215" i="56"/>
  <c r="BS215" i="56" s="1"/>
  <c r="EP215" i="56"/>
  <c r="CM215" i="56"/>
  <c r="J215" i="56" s="1"/>
  <c r="CN215" i="56" s="1"/>
  <c r="CI215" i="56"/>
  <c r="CX215" i="56"/>
  <c r="CS215" i="56"/>
  <c r="I215" i="56" s="1"/>
  <c r="CT215" i="56" s="1"/>
  <c r="CG215" i="56"/>
  <c r="CH215" i="56" s="1"/>
  <c r="H215" i="56" s="1"/>
  <c r="BW215" i="56"/>
  <c r="BU215" i="56"/>
  <c r="BX215" i="56"/>
  <c r="BJ215" i="56"/>
  <c r="BK215" i="56"/>
  <c r="IA199" i="56"/>
  <c r="IB199" i="56" s="1"/>
  <c r="FK199" i="56"/>
  <c r="BS199" i="56" s="1"/>
  <c r="EP199" i="56"/>
  <c r="CX199" i="56"/>
  <c r="CL199" i="56"/>
  <c r="CS199" i="56"/>
  <c r="I199" i="56" s="1"/>
  <c r="CT199" i="56" s="1"/>
  <c r="CG199" i="56"/>
  <c r="CH199" i="56" s="1"/>
  <c r="H199" i="56" s="1"/>
  <c r="CJ199" i="56" s="1"/>
  <c r="BW199" i="56"/>
  <c r="BU199" i="56"/>
  <c r="BJ199" i="56"/>
  <c r="BK199" i="56"/>
  <c r="IA183" i="56"/>
  <c r="IB183" i="56" s="1"/>
  <c r="FK183" i="56"/>
  <c r="BS183" i="56" s="1"/>
  <c r="EP183" i="56"/>
  <c r="DV183" i="56"/>
  <c r="CX183" i="56"/>
  <c r="CS183" i="56"/>
  <c r="I183" i="56" s="1"/>
  <c r="CT183" i="56" s="1"/>
  <c r="CL183" i="56"/>
  <c r="CM183" i="56"/>
  <c r="J183" i="56" s="1"/>
  <c r="CN183" i="56" s="1"/>
  <c r="BJ183" i="56"/>
  <c r="CI183" i="56"/>
  <c r="BW183" i="56"/>
  <c r="BK183" i="56"/>
  <c r="CG183" i="56"/>
  <c r="CH183" i="56" s="1"/>
  <c r="H183" i="56" s="1"/>
  <c r="BX183" i="56"/>
  <c r="IA167" i="56"/>
  <c r="IB167" i="56" s="1"/>
  <c r="FK167" i="56"/>
  <c r="BS167" i="56" s="1"/>
  <c r="DV167" i="56"/>
  <c r="CI167" i="56"/>
  <c r="CS167" i="56"/>
  <c r="I167" i="56" s="1"/>
  <c r="CT167" i="56" s="1"/>
  <c r="BX167" i="56"/>
  <c r="EP167" i="56"/>
  <c r="CL167" i="56"/>
  <c r="CM167" i="56"/>
  <c r="J167" i="56" s="1"/>
  <c r="CN167" i="56" s="1"/>
  <c r="BJ167" i="56"/>
  <c r="CG167" i="56"/>
  <c r="CH167" i="56" s="1"/>
  <c r="H167" i="56" s="1"/>
  <c r="BK167" i="56"/>
  <c r="CX167" i="56"/>
  <c r="IA151" i="56"/>
  <c r="IB151" i="56" s="1"/>
  <c r="FK151" i="56"/>
  <c r="BS151" i="56" s="1"/>
  <c r="DV151" i="56"/>
  <c r="CX151" i="56"/>
  <c r="CG151" i="56"/>
  <c r="CH151" i="56" s="1"/>
  <c r="H151" i="56" s="1"/>
  <c r="CM151" i="56"/>
  <c r="J151" i="56" s="1"/>
  <c r="CN151" i="56" s="1"/>
  <c r="CI151" i="56"/>
  <c r="BX151" i="56"/>
  <c r="CL151" i="56"/>
  <c r="BW151" i="56"/>
  <c r="CS151" i="56"/>
  <c r="I151" i="56" s="1"/>
  <c r="CT151" i="56" s="1"/>
  <c r="BJ151" i="56"/>
  <c r="BK151" i="56"/>
  <c r="IA135" i="56"/>
  <c r="IB135" i="56" s="1"/>
  <c r="FK135" i="56"/>
  <c r="BS135" i="56" s="1"/>
  <c r="DV135" i="56"/>
  <c r="CX135" i="56"/>
  <c r="CS135" i="56"/>
  <c r="I135" i="56" s="1"/>
  <c r="CT135" i="56" s="1"/>
  <c r="CM135" i="56"/>
  <c r="J135" i="56" s="1"/>
  <c r="CN135" i="56" s="1"/>
  <c r="CI135" i="56"/>
  <c r="CJ135" i="56" s="1"/>
  <c r="CK135" i="56" s="1"/>
  <c r="BW135" i="56"/>
  <c r="BJ135" i="56"/>
  <c r="BX135" i="56"/>
  <c r="BK135" i="56"/>
  <c r="IA119" i="56"/>
  <c r="IB119" i="56" s="1"/>
  <c r="FK119" i="56"/>
  <c r="BS119" i="56" s="1"/>
  <c r="DV119" i="56"/>
  <c r="CS119" i="56"/>
  <c r="I119" i="56" s="1"/>
  <c r="CT119" i="56" s="1"/>
  <c r="CX119" i="56"/>
  <c r="CL119" i="56"/>
  <c r="BX119" i="56"/>
  <c r="CG119" i="56"/>
  <c r="CH119" i="56" s="1"/>
  <c r="H119" i="56" s="1"/>
  <c r="BJ119" i="56"/>
  <c r="BW119" i="56"/>
  <c r="BK119" i="56"/>
  <c r="CM119" i="56"/>
  <c r="J119" i="56" s="1"/>
  <c r="CN119" i="56" s="1"/>
  <c r="IA103" i="56"/>
  <c r="IB103" i="56" s="1"/>
  <c r="FK103" i="56"/>
  <c r="BS103" i="56" s="1"/>
  <c r="DV103" i="56"/>
  <c r="CL103" i="56"/>
  <c r="CX103" i="56"/>
  <c r="CM103" i="56"/>
  <c r="J103" i="56" s="1"/>
  <c r="CN103" i="56" s="1"/>
  <c r="CG103" i="56"/>
  <c r="CH103" i="56" s="1"/>
  <c r="H103" i="56" s="1"/>
  <c r="BX103" i="56"/>
  <c r="BJ103" i="56"/>
  <c r="CI103" i="56"/>
  <c r="BU103" i="56"/>
  <c r="BK103" i="56"/>
  <c r="IA87" i="56"/>
  <c r="IB87" i="56" s="1"/>
  <c r="FK87" i="56"/>
  <c r="BS87" i="56" s="1"/>
  <c r="DV87" i="56"/>
  <c r="CX87" i="56"/>
  <c r="CI87" i="56"/>
  <c r="CM87" i="56"/>
  <c r="J87" i="56" s="1"/>
  <c r="CN87" i="56" s="1"/>
  <c r="CG87" i="56"/>
  <c r="CH87" i="56" s="1"/>
  <c r="H87" i="56" s="1"/>
  <c r="CS87" i="56"/>
  <c r="I87" i="56" s="1"/>
  <c r="CT87" i="56" s="1"/>
  <c r="BW87" i="56"/>
  <c r="BX87" i="56"/>
  <c r="CL87" i="56"/>
  <c r="BJ87" i="56"/>
  <c r="BK87" i="56"/>
  <c r="IA71" i="56"/>
  <c r="IB71" i="56" s="1"/>
  <c r="FK71" i="56"/>
  <c r="BS71" i="56" s="1"/>
  <c r="CS71" i="56"/>
  <c r="I71" i="56" s="1"/>
  <c r="CT71" i="56" s="1"/>
  <c r="DV71" i="56"/>
  <c r="CX71" i="56"/>
  <c r="CM71" i="56"/>
  <c r="J71" i="56" s="1"/>
  <c r="CN71" i="56" s="1"/>
  <c r="CL71" i="56"/>
  <c r="CG71" i="56"/>
  <c r="CH71" i="56" s="1"/>
  <c r="H71" i="56" s="1"/>
  <c r="BW71" i="56"/>
  <c r="BJ71" i="56"/>
  <c r="BX71" i="56"/>
  <c r="BK71" i="56"/>
  <c r="BU71" i="56"/>
  <c r="IA55" i="56"/>
  <c r="IB55" i="56" s="1"/>
  <c r="FK55" i="56"/>
  <c r="BS55" i="56" s="1"/>
  <c r="DV55" i="56"/>
  <c r="CX55" i="56"/>
  <c r="CS55" i="56"/>
  <c r="I55" i="56" s="1"/>
  <c r="CT55" i="56" s="1"/>
  <c r="CM55" i="56"/>
  <c r="J55" i="56" s="1"/>
  <c r="CN55" i="56" s="1"/>
  <c r="CL55" i="56"/>
  <c r="CI55" i="56"/>
  <c r="CG55" i="56"/>
  <c r="CH55" i="56" s="1"/>
  <c r="H55" i="56" s="1"/>
  <c r="BJ55" i="56"/>
  <c r="BW55" i="56"/>
  <c r="BK55" i="56"/>
  <c r="IA39" i="56"/>
  <c r="IB39" i="56" s="1"/>
  <c r="FK39" i="56"/>
  <c r="EP39" i="56"/>
  <c r="DV39" i="56"/>
  <c r="CS39" i="56"/>
  <c r="I39" i="56" s="1"/>
  <c r="CT39" i="56" s="1"/>
  <c r="CX39" i="56"/>
  <c r="CI39" i="56"/>
  <c r="BW39" i="56"/>
  <c r="BX39" i="56"/>
  <c r="CM39" i="56"/>
  <c r="J39" i="56" s="1"/>
  <c r="CN39" i="56" s="1"/>
  <c r="CG39" i="56"/>
  <c r="CH39" i="56" s="1"/>
  <c r="H39" i="56" s="1"/>
  <c r="CL39" i="56"/>
  <c r="BU39" i="56"/>
  <c r="BJ39" i="56"/>
  <c r="BK39" i="56"/>
  <c r="IA23" i="56"/>
  <c r="IB23" i="56" s="1"/>
  <c r="FK23" i="56"/>
  <c r="BS23" i="56" s="1"/>
  <c r="DV23" i="56"/>
  <c r="CX23" i="56"/>
  <c r="CG23" i="56"/>
  <c r="CH23" i="56" s="1"/>
  <c r="H23" i="56" s="1"/>
  <c r="CS23" i="56"/>
  <c r="I23" i="56" s="1"/>
  <c r="CT23" i="56" s="1"/>
  <c r="CI23" i="56"/>
  <c r="BW23" i="56"/>
  <c r="BX23" i="56"/>
  <c r="BJ23" i="56"/>
  <c r="BU23" i="56"/>
  <c r="BK23" i="56"/>
  <c r="IA7" i="56"/>
  <c r="IB7" i="56" s="1"/>
  <c r="FK7" i="56"/>
  <c r="BS7" i="56" s="1"/>
  <c r="DV7" i="56"/>
  <c r="CX7" i="56"/>
  <c r="CM7" i="56"/>
  <c r="J7" i="56" s="1"/>
  <c r="CN7" i="56" s="1"/>
  <c r="CL7" i="56"/>
  <c r="CI7" i="56"/>
  <c r="BW7" i="56"/>
  <c r="CG7" i="56"/>
  <c r="CH7" i="56" s="1"/>
  <c r="H7" i="56" s="1"/>
  <c r="CJ7" i="56" s="1"/>
  <c r="CK7" i="56" s="1"/>
  <c r="BJ7" i="56"/>
  <c r="BX7" i="56"/>
  <c r="CS7" i="56"/>
  <c r="I7" i="56" s="1"/>
  <c r="CT7" i="56" s="1"/>
  <c r="BK7" i="56"/>
  <c r="AZ245" i="56"/>
  <c r="Q245" i="56" s="1"/>
  <c r="EK245" i="56" s="1"/>
  <c r="AZ117" i="56"/>
  <c r="Q117" i="56" s="1"/>
  <c r="EK117" i="56" s="1"/>
  <c r="EQ345" i="56"/>
  <c r="BY345" i="56" s="1" a="1"/>
  <c r="BY345" i="56" s="1"/>
  <c r="DU345" i="56" s="1"/>
  <c r="BQ345" i="56"/>
  <c r="EQ329" i="56"/>
  <c r="BQ329" i="56"/>
  <c r="EQ313" i="56"/>
  <c r="BQ313" i="56"/>
  <c r="EQ297" i="56"/>
  <c r="BY297" i="56" s="1" a="1"/>
  <c r="BY297" i="56" s="1"/>
  <c r="BQ297" i="56"/>
  <c r="EQ281" i="56"/>
  <c r="BQ281" i="56"/>
  <c r="EQ265" i="56"/>
  <c r="BQ265" i="56"/>
  <c r="EQ249" i="56"/>
  <c r="BY249" i="56" a="1"/>
  <c r="BY249" i="56" s="1"/>
  <c r="DU249" i="56" s="1"/>
  <c r="BQ249" i="56"/>
  <c r="EQ233" i="56"/>
  <c r="BQ233" i="56"/>
  <c r="EQ217" i="56"/>
  <c r="BY217" i="56" s="1" a="1"/>
  <c r="BY217" i="56" s="1"/>
  <c r="DU217" i="56" s="1"/>
  <c r="BQ217" i="56"/>
  <c r="EQ201" i="56"/>
  <c r="BQ201" i="56"/>
  <c r="EQ185" i="56"/>
  <c r="BY185" i="56" s="1" a="1"/>
  <c r="BY185" i="56" s="1"/>
  <c r="BQ185" i="56"/>
  <c r="EQ169" i="56"/>
  <c r="BQ169" i="56"/>
  <c r="EQ153" i="56"/>
  <c r="BQ153" i="56"/>
  <c r="EQ137" i="56"/>
  <c r="BQ137" i="56"/>
  <c r="EQ121" i="56"/>
  <c r="BY121" i="56" s="1" a="1"/>
  <c r="BY121" i="56" s="1"/>
  <c r="DU121" i="56" s="1"/>
  <c r="BQ121" i="56"/>
  <c r="EQ105" i="56"/>
  <c r="BQ105" i="56"/>
  <c r="EQ89" i="56"/>
  <c r="BY89" i="56" s="1" a="1"/>
  <c r="BY89" i="56" s="1"/>
  <c r="DU89" i="56" s="1"/>
  <c r="BQ89" i="56"/>
  <c r="EQ73" i="56"/>
  <c r="BQ73" i="56"/>
  <c r="EQ57" i="56"/>
  <c r="BY57" i="56" a="1"/>
  <c r="BY57" i="56" s="1"/>
  <c r="BQ57" i="56"/>
  <c r="EQ41" i="56"/>
  <c r="BY41" i="56" s="1" a="1"/>
  <c r="BY41" i="56" s="1"/>
  <c r="BQ41" i="56"/>
  <c r="EQ25" i="56"/>
  <c r="BQ25" i="56"/>
  <c r="V25" i="56" s="1"/>
  <c r="BR25" i="56" s="1"/>
  <c r="EQ9" i="56"/>
  <c r="BQ9" i="56"/>
  <c r="BD329" i="56" a="1"/>
  <c r="BD329" i="56" s="1"/>
  <c r="C329" i="56" s="1"/>
  <c r="BE329" i="56" s="1"/>
  <c r="BD265" i="56" a="1"/>
  <c r="BD265" i="56" s="1"/>
  <c r="BD247" i="56" a="1"/>
  <c r="BD247" i="56" s="1"/>
  <c r="C247" i="56" s="1"/>
  <c r="BE247" i="56" s="1"/>
  <c r="BD229" i="56" a="1"/>
  <c r="BD229" i="56" s="1"/>
  <c r="C229" i="56" s="1"/>
  <c r="BE229" i="56" s="1"/>
  <c r="BD201" i="56" a="1"/>
  <c r="BD201" i="56" s="1"/>
  <c r="C201" i="56" s="1"/>
  <c r="BE201" i="56" s="1"/>
  <c r="BD165" i="56" a="1"/>
  <c r="BD165" i="56" s="1"/>
  <c r="C165" i="56" s="1"/>
  <c r="BE165" i="56" s="1"/>
  <c r="BD137" i="56" a="1"/>
  <c r="BD137" i="56" s="1"/>
  <c r="BD119" i="56" a="1"/>
  <c r="BD119" i="56" s="1"/>
  <c r="BD101" i="56" a="1"/>
  <c r="BD101" i="56" s="1"/>
  <c r="BD73" i="56" a="1"/>
  <c r="BD73" i="56" s="1"/>
  <c r="BD9" i="56" a="1"/>
  <c r="BD9" i="56" s="1"/>
  <c r="FW339" i="56"/>
  <c r="GC339" i="56"/>
  <c r="FW323" i="56"/>
  <c r="GC323" i="56"/>
  <c r="FW307" i="56"/>
  <c r="GC291" i="56"/>
  <c r="FW291" i="56"/>
  <c r="FW275" i="56"/>
  <c r="GC275" i="56"/>
  <c r="FW259" i="56"/>
  <c r="GC243" i="56"/>
  <c r="FW243" i="56"/>
  <c r="FW227" i="56"/>
  <c r="GC227" i="56"/>
  <c r="FW211" i="56"/>
  <c r="FW195" i="56"/>
  <c r="GC195" i="56"/>
  <c r="FW179" i="56"/>
  <c r="GC179" i="56"/>
  <c r="FW163" i="56"/>
  <c r="FW147" i="56"/>
  <c r="GC147" i="56"/>
  <c r="FW131" i="56"/>
  <c r="GC131" i="56"/>
  <c r="FW115" i="56"/>
  <c r="GC115" i="56"/>
  <c r="FW99" i="56"/>
  <c r="GC99" i="56"/>
  <c r="FW83" i="56"/>
  <c r="GC83" i="56"/>
  <c r="FW67" i="56"/>
  <c r="GC67" i="56"/>
  <c r="GD51" i="56"/>
  <c r="FW51" i="56"/>
  <c r="GC51" i="56"/>
  <c r="GC35" i="56"/>
  <c r="FW35" i="56"/>
  <c r="GD35" i="56"/>
  <c r="FW19" i="56"/>
  <c r="GC19" i="56"/>
  <c r="BV3" i="40" a="1"/>
  <c r="BV3" i="40" s="1"/>
  <c r="BE3" i="40" a="1"/>
  <c r="BE3" i="40" s="1"/>
  <c r="BL3" i="40" a="1"/>
  <c r="BL3" i="40" s="1"/>
  <c r="B3" i="40" a="1"/>
  <c r="B3" i="40" s="1"/>
  <c r="AV3" i="40" a="1"/>
  <c r="AV3" i="40" s="1"/>
  <c r="Y3" i="40" a="1"/>
  <c r="Y3" i="40" s="1"/>
  <c r="N3" i="40" a="1"/>
  <c r="N3" i="40" s="1"/>
  <c r="AW3" i="40" a="1"/>
  <c r="AW3" i="40" s="1"/>
  <c r="N23" i="42" s="1"/>
  <c r="P23" i="42" s="1"/>
  <c r="AE23" i="42" s="1"/>
  <c r="AF23" i="42" s="1"/>
  <c r="BZ3" i="40" a="1"/>
  <c r="BZ3" i="40" s="1"/>
  <c r="R3" i="40" a="1"/>
  <c r="R3" i="40" s="1"/>
  <c r="AL3" i="40" a="1"/>
  <c r="AL3" i="40" s="1"/>
  <c r="L3" i="40" a="1"/>
  <c r="L3" i="40" s="1"/>
  <c r="BG3" i="40" a="1"/>
  <c r="BG3" i="40" s="1"/>
  <c r="D3" i="40" a="1"/>
  <c r="D3" i="40" s="1"/>
  <c r="A3" i="40" a="1"/>
  <c r="A3" i="40" s="1"/>
  <c r="FW3" i="56"/>
  <c r="BI259" i="56"/>
  <c r="T259" i="56" s="1"/>
  <c r="BI212" i="56"/>
  <c r="T212" i="56" s="1"/>
  <c r="BJ172" i="56"/>
  <c r="BL172" i="56" s="1"/>
  <c r="BJ125" i="56"/>
  <c r="BK332" i="56"/>
  <c r="BY332" i="56" s="1" a="1"/>
  <c r="BY332" i="56" s="1"/>
  <c r="DU332" i="56" s="1"/>
  <c r="BK232" i="56"/>
  <c r="BY232" i="56" s="1" a="1"/>
  <c r="BY232" i="56" s="1"/>
  <c r="DU232" i="56" s="1"/>
  <c r="BK204" i="56"/>
  <c r="BK104" i="56"/>
  <c r="BK76" i="56"/>
  <c r="BL298" i="56"/>
  <c r="BL271" i="56"/>
  <c r="BL170" i="56"/>
  <c r="BL143" i="56"/>
  <c r="BN328" i="56"/>
  <c r="ET328" i="56" s="1"/>
  <c r="BN302" i="56"/>
  <c r="BN250" i="56"/>
  <c r="BN200" i="56"/>
  <c r="EU200" i="56" s="1"/>
  <c r="BN174" i="56"/>
  <c r="FB174" i="56" s="1"/>
  <c r="BN122" i="56"/>
  <c r="BN46" i="56"/>
  <c r="BO344" i="56"/>
  <c r="BO268" i="56"/>
  <c r="BO216" i="56"/>
  <c r="BO140" i="56"/>
  <c r="BO88" i="56"/>
  <c r="BO12" i="56"/>
  <c r="BQ334" i="56"/>
  <c r="BQ284" i="56"/>
  <c r="BQ256" i="56"/>
  <c r="BQ229" i="56"/>
  <c r="BQ206" i="56"/>
  <c r="BQ156" i="56"/>
  <c r="BQ128" i="56"/>
  <c r="BQ101" i="56"/>
  <c r="BQ78" i="56"/>
  <c r="BQ28" i="56"/>
  <c r="V28" i="56" s="1"/>
  <c r="BR28" i="56" s="1"/>
  <c r="GA14" i="56"/>
  <c r="DT14" i="56"/>
  <c r="CV14" i="56"/>
  <c r="BS72" i="56"/>
  <c r="BS41" i="56"/>
  <c r="BS8" i="56"/>
  <c r="EH339" i="56"/>
  <c r="DM339" i="56"/>
  <c r="EH323" i="56"/>
  <c r="DM323" i="56"/>
  <c r="EH307" i="56"/>
  <c r="DM307" i="56"/>
  <c r="EH291" i="56"/>
  <c r="DM291" i="56"/>
  <c r="EH275" i="56"/>
  <c r="DM275" i="56"/>
  <c r="EH259" i="56"/>
  <c r="DM259" i="56"/>
  <c r="EH243" i="56"/>
  <c r="DM243" i="56"/>
  <c r="EH227" i="56"/>
  <c r="DM227" i="56"/>
  <c r="EH211" i="56"/>
  <c r="DM211" i="56"/>
  <c r="EH195" i="56"/>
  <c r="DM195" i="56"/>
  <c r="EH179" i="56"/>
  <c r="DM179" i="56"/>
  <c r="EH163" i="56"/>
  <c r="DM163" i="56"/>
  <c r="EH147" i="56"/>
  <c r="DM147" i="56"/>
  <c r="EH131" i="56"/>
  <c r="DM131" i="56"/>
  <c r="EH115" i="56"/>
  <c r="DM115" i="56"/>
  <c r="EH99" i="56"/>
  <c r="DM99" i="56"/>
  <c r="EH83" i="56"/>
  <c r="DM83" i="56"/>
  <c r="EH67" i="56"/>
  <c r="DM67" i="56"/>
  <c r="DM51" i="56"/>
  <c r="EH51" i="56"/>
  <c r="BU284" i="56"/>
  <c r="BU189" i="56"/>
  <c r="BU157" i="56"/>
  <c r="BU93" i="56"/>
  <c r="DL352" i="56"/>
  <c r="DJ96" i="56"/>
  <c r="BW252" i="56"/>
  <c r="BW168" i="56"/>
  <c r="BW122" i="56"/>
  <c r="BX285" i="56"/>
  <c r="BX141" i="56"/>
  <c r="BY136" i="56" a="1"/>
  <c r="BY136" i="56" s="1"/>
  <c r="IP322" i="56"/>
  <c r="FF322" i="56"/>
  <c r="FB322" i="56"/>
  <c r="FL322" i="56"/>
  <c r="FM322" i="56" s="1"/>
  <c r="FO322" i="56" s="1" a="1"/>
  <c r="FO322" i="56" s="1"/>
  <c r="DC322" i="56"/>
  <c r="IP243" i="56"/>
  <c r="FL243" i="56"/>
  <c r="FM243" i="56" s="1"/>
  <c r="FO243" i="56" s="1" a="1"/>
  <c r="FO243" i="56" s="1"/>
  <c r="DC243" i="56"/>
  <c r="IP205" i="56"/>
  <c r="FF205" i="56"/>
  <c r="FL205" i="56"/>
  <c r="FM205" i="56" s="1"/>
  <c r="FO205" i="56" s="1" a="1"/>
  <c r="FO205" i="56" s="1"/>
  <c r="FB205" i="56"/>
  <c r="DC205" i="56"/>
  <c r="IP83" i="56"/>
  <c r="FL83" i="56"/>
  <c r="FM83" i="56" s="1"/>
  <c r="FO83" i="56" s="1" a="1"/>
  <c r="FO83" i="56" s="1"/>
  <c r="DC83" i="56"/>
  <c r="IP50" i="56"/>
  <c r="FL50" i="56"/>
  <c r="FM50" i="56" s="1"/>
  <c r="FO50" i="56" s="1" a="1"/>
  <c r="FO50" i="56" s="1"/>
  <c r="DC50" i="56"/>
  <c r="IP15" i="56"/>
  <c r="FL15" i="56"/>
  <c r="FM15" i="56" s="1"/>
  <c r="FO15" i="56" s="1" a="1"/>
  <c r="FO15" i="56" s="1"/>
  <c r="DC15" i="56"/>
  <c r="CC223" i="56"/>
  <c r="CD223" i="56"/>
  <c r="CV223" i="56" s="1"/>
  <c r="CG205" i="56"/>
  <c r="CH205" i="56" s="1"/>
  <c r="H205" i="56" s="1"/>
  <c r="CJ205" i="56" s="1"/>
  <c r="CK205" i="56" s="1"/>
  <c r="CG101" i="56"/>
  <c r="CH101" i="56" s="1"/>
  <c r="H101" i="56" s="1"/>
  <c r="CI73" i="56"/>
  <c r="CL297" i="56"/>
  <c r="CM282" i="56"/>
  <c r="J282" i="56" s="1"/>
  <c r="CN282" i="56" s="1"/>
  <c r="CM157" i="56"/>
  <c r="J157" i="56" s="1"/>
  <c r="CN157" i="56" s="1"/>
  <c r="CO314" i="56" a="1"/>
  <c r="CO314" i="56" s="1"/>
  <c r="CQ159" i="56" a="1"/>
  <c r="CQ159" i="56" s="1"/>
  <c r="CS72" i="56"/>
  <c r="I72" i="56" s="1"/>
  <c r="CT72" i="56" s="1"/>
  <c r="DC258" i="56"/>
  <c r="EK181" i="56"/>
  <c r="EL181" i="56"/>
  <c r="EK53" i="56"/>
  <c r="EL53" i="56"/>
  <c r="EK21" i="56"/>
  <c r="HD338" i="56"/>
  <c r="GB338" i="56"/>
  <c r="HD321" i="56"/>
  <c r="GB321" i="56"/>
  <c r="HD210" i="56"/>
  <c r="GB210" i="56"/>
  <c r="HD193" i="56"/>
  <c r="GB193" i="56"/>
  <c r="HD82" i="56"/>
  <c r="GB82" i="56"/>
  <c r="HD65" i="56"/>
  <c r="GB65" i="56"/>
  <c r="IA342" i="56"/>
  <c r="IB342" i="56" s="1"/>
  <c r="FK342" i="56"/>
  <c r="BS342" i="56" s="1"/>
  <c r="EP342" i="56"/>
  <c r="DV342" i="56"/>
  <c r="CI342" i="56"/>
  <c r="CX342" i="56"/>
  <c r="CS342" i="56"/>
  <c r="I342" i="56" s="1"/>
  <c r="CT342" i="56" s="1"/>
  <c r="CM342" i="56"/>
  <c r="J342" i="56" s="1"/>
  <c r="CN342" i="56" s="1"/>
  <c r="CL342" i="56"/>
  <c r="CG342" i="56"/>
  <c r="CH342" i="56" s="1"/>
  <c r="H342" i="56" s="1"/>
  <c r="BW342" i="56"/>
  <c r="BK342" i="56"/>
  <c r="IA326" i="56"/>
  <c r="IB326" i="56" s="1"/>
  <c r="FK326" i="56"/>
  <c r="DV326" i="56"/>
  <c r="CI326" i="56"/>
  <c r="CX326" i="56"/>
  <c r="CS326" i="56"/>
  <c r="I326" i="56" s="1"/>
  <c r="CT326" i="56" s="1"/>
  <c r="CL326" i="56"/>
  <c r="CM326" i="56"/>
  <c r="J326" i="56" s="1"/>
  <c r="CN326" i="56" s="1"/>
  <c r="CG326" i="56"/>
  <c r="CH326" i="56" s="1"/>
  <c r="H326" i="56" s="1"/>
  <c r="BK326" i="56"/>
  <c r="BS326" i="56"/>
  <c r="IA310" i="56"/>
  <c r="IB310" i="56" s="1"/>
  <c r="FK310" i="56"/>
  <c r="BS310" i="56" s="1"/>
  <c r="EP310" i="56"/>
  <c r="CI310" i="56"/>
  <c r="CS310" i="56"/>
  <c r="I310" i="56" s="1"/>
  <c r="CT310" i="56" s="1"/>
  <c r="CL310" i="56"/>
  <c r="DV310" i="56"/>
  <c r="CX310" i="56"/>
  <c r="CM310" i="56"/>
  <c r="J310" i="56" s="1"/>
  <c r="CN310" i="56" s="1"/>
  <c r="CG310" i="56"/>
  <c r="CH310" i="56" s="1"/>
  <c r="H310" i="56" s="1"/>
  <c r="BK310" i="56"/>
  <c r="IA294" i="56"/>
  <c r="IB294" i="56" s="1"/>
  <c r="FK294" i="56"/>
  <c r="EP294" i="56"/>
  <c r="CI294" i="56"/>
  <c r="DV294" i="56"/>
  <c r="CX294" i="56"/>
  <c r="CS294" i="56"/>
  <c r="I294" i="56" s="1"/>
  <c r="CT294" i="56" s="1"/>
  <c r="CL294" i="56"/>
  <c r="BS294" i="56"/>
  <c r="CG294" i="56"/>
  <c r="CH294" i="56" s="1"/>
  <c r="H294" i="56" s="1"/>
  <c r="CJ294" i="56" s="1"/>
  <c r="BX294" i="56"/>
  <c r="BU294" i="56"/>
  <c r="BK294" i="56"/>
  <c r="IA278" i="56"/>
  <c r="IB278" i="56" s="1"/>
  <c r="FK278" i="56"/>
  <c r="EP278" i="56"/>
  <c r="CI278" i="56"/>
  <c r="DV278" i="56"/>
  <c r="CM278" i="56"/>
  <c r="J278" i="56" s="1"/>
  <c r="CN278" i="56" s="1"/>
  <c r="CG278" i="56"/>
  <c r="CH278" i="56" s="1"/>
  <c r="H278" i="56" s="1"/>
  <c r="CX278" i="56"/>
  <c r="BW278" i="56"/>
  <c r="CS278" i="56"/>
  <c r="I278" i="56" s="1"/>
  <c r="CT278" i="56" s="1"/>
  <c r="BS278" i="56"/>
  <c r="CL278" i="56"/>
  <c r="BU278" i="56"/>
  <c r="BK278" i="56"/>
  <c r="IA262" i="56"/>
  <c r="IB262" i="56" s="1"/>
  <c r="FK262" i="56"/>
  <c r="BS262" i="56" s="1"/>
  <c r="EP262" i="56"/>
  <c r="CI262" i="56"/>
  <c r="DV262" i="56"/>
  <c r="CS262" i="56"/>
  <c r="I262" i="56" s="1"/>
  <c r="CT262" i="56" s="1"/>
  <c r="CX262" i="56"/>
  <c r="CM262" i="56"/>
  <c r="J262" i="56" s="1"/>
  <c r="CN262" i="56" s="1"/>
  <c r="BW262" i="56"/>
  <c r="CG262" i="56"/>
  <c r="CH262" i="56" s="1"/>
  <c r="H262" i="56" s="1"/>
  <c r="CJ262" i="56" s="1"/>
  <c r="BK262" i="56"/>
  <c r="IA246" i="56"/>
  <c r="IB246" i="56" s="1"/>
  <c r="FK246" i="56"/>
  <c r="BS246" i="56" s="1"/>
  <c r="EP246" i="56"/>
  <c r="CI246" i="56"/>
  <c r="CX246" i="56"/>
  <c r="CL246" i="56"/>
  <c r="CS246" i="56"/>
  <c r="I246" i="56" s="1"/>
  <c r="CT246" i="56" s="1"/>
  <c r="CM246" i="56"/>
  <c r="J246" i="56" s="1"/>
  <c r="CN246" i="56" s="1"/>
  <c r="BW246" i="56"/>
  <c r="BK246" i="56"/>
  <c r="IA230" i="56"/>
  <c r="IB230" i="56" s="1"/>
  <c r="FK230" i="56"/>
  <c r="CI230" i="56"/>
  <c r="EP230" i="56"/>
  <c r="CX230" i="56"/>
  <c r="DV230" i="56"/>
  <c r="CG230" i="56"/>
  <c r="CH230" i="56" s="1"/>
  <c r="H230" i="56" s="1"/>
  <c r="CM230" i="56"/>
  <c r="J230" i="56" s="1"/>
  <c r="CN230" i="56" s="1"/>
  <c r="BW230" i="56"/>
  <c r="BS230" i="56"/>
  <c r="CL230" i="56"/>
  <c r="BX230" i="56"/>
  <c r="CS230" i="56"/>
  <c r="I230" i="56" s="1"/>
  <c r="CT230" i="56" s="1"/>
  <c r="BK230" i="56"/>
  <c r="IA214" i="56"/>
  <c r="IB214" i="56" s="1"/>
  <c r="FK214" i="56"/>
  <c r="BS214" i="56" s="1"/>
  <c r="EP214" i="56"/>
  <c r="CI214" i="56"/>
  <c r="CX214" i="56"/>
  <c r="DV214" i="56"/>
  <c r="CG214" i="56"/>
  <c r="CH214" i="56" s="1"/>
  <c r="H214" i="56" s="1"/>
  <c r="CS214" i="56"/>
  <c r="I214" i="56" s="1"/>
  <c r="CT214" i="56" s="1"/>
  <c r="CL214" i="56"/>
  <c r="CM214" i="56"/>
  <c r="J214" i="56" s="1"/>
  <c r="CN214" i="56" s="1"/>
  <c r="BK214" i="56"/>
  <c r="BW214" i="56"/>
  <c r="IA198" i="56"/>
  <c r="IB198" i="56" s="1"/>
  <c r="FK198" i="56"/>
  <c r="EP198" i="56"/>
  <c r="CI198" i="56"/>
  <c r="CM198" i="56"/>
  <c r="J198" i="56" s="1"/>
  <c r="CN198" i="56" s="1"/>
  <c r="CL198" i="56"/>
  <c r="CS198" i="56"/>
  <c r="I198" i="56" s="1"/>
  <c r="CT198" i="56" s="1"/>
  <c r="CG198" i="56"/>
  <c r="CH198" i="56" s="1"/>
  <c r="H198" i="56" s="1"/>
  <c r="CJ198" i="56" s="1"/>
  <c r="CX198" i="56"/>
  <c r="BS198" i="56"/>
  <c r="BK198" i="56"/>
  <c r="IA182" i="56"/>
  <c r="IB182" i="56" s="1"/>
  <c r="FK182" i="56"/>
  <c r="BS182" i="56" s="1"/>
  <c r="EP182" i="56"/>
  <c r="CI182" i="56"/>
  <c r="DV182" i="56"/>
  <c r="CX182" i="56"/>
  <c r="CM182" i="56"/>
  <c r="J182" i="56" s="1"/>
  <c r="CN182" i="56" s="1"/>
  <c r="CL182" i="56"/>
  <c r="BW182" i="56"/>
  <c r="BK182" i="56"/>
  <c r="BU182" i="56"/>
  <c r="IA166" i="56"/>
  <c r="IB166" i="56" s="1"/>
  <c r="FK166" i="56"/>
  <c r="BS166" i="56" s="1"/>
  <c r="CI166" i="56"/>
  <c r="CX166" i="56"/>
  <c r="CM166" i="56"/>
  <c r="J166" i="56" s="1"/>
  <c r="CN166" i="56" s="1"/>
  <c r="DV166" i="56"/>
  <c r="CS166" i="56"/>
  <c r="I166" i="56" s="1"/>
  <c r="CT166" i="56" s="1"/>
  <c r="EP166" i="56"/>
  <c r="CL166" i="56"/>
  <c r="BX166" i="56"/>
  <c r="CG166" i="56"/>
  <c r="CH166" i="56" s="1"/>
  <c r="H166" i="56" s="1"/>
  <c r="BK166" i="56"/>
  <c r="IA150" i="56"/>
  <c r="IB150" i="56" s="1"/>
  <c r="FK150" i="56"/>
  <c r="BS150" i="56" s="1"/>
  <c r="DV150" i="56"/>
  <c r="CI150" i="56"/>
  <c r="CX150" i="56"/>
  <c r="CS150" i="56"/>
  <c r="I150" i="56" s="1"/>
  <c r="CT150" i="56" s="1"/>
  <c r="CM150" i="56"/>
  <c r="J150" i="56" s="1"/>
  <c r="CN150" i="56" s="1"/>
  <c r="BX150" i="56"/>
  <c r="CG150" i="56"/>
  <c r="CH150" i="56" s="1"/>
  <c r="H150" i="56" s="1"/>
  <c r="BK150" i="56"/>
  <c r="CL150" i="56"/>
  <c r="BW150" i="56"/>
  <c r="BU150" i="56"/>
  <c r="IA134" i="56"/>
  <c r="IB134" i="56" s="1"/>
  <c r="FK134" i="56"/>
  <c r="BS134" i="56" s="1"/>
  <c r="DV134" i="56"/>
  <c r="CI134" i="56"/>
  <c r="CX134" i="56"/>
  <c r="CG134" i="56"/>
  <c r="CH134" i="56" s="1"/>
  <c r="H134" i="56" s="1"/>
  <c r="CS134" i="56"/>
  <c r="I134" i="56" s="1"/>
  <c r="CT134" i="56" s="1"/>
  <c r="BX134" i="56"/>
  <c r="CM134" i="56"/>
  <c r="J134" i="56" s="1"/>
  <c r="CN134" i="56" s="1"/>
  <c r="BK134" i="56"/>
  <c r="IA118" i="56"/>
  <c r="IB118" i="56" s="1"/>
  <c r="FK118" i="56"/>
  <c r="BS118" i="56" s="1"/>
  <c r="CI118" i="56"/>
  <c r="CG118" i="56"/>
  <c r="CH118" i="56" s="1"/>
  <c r="H118" i="56" s="1"/>
  <c r="CJ118" i="56" s="1"/>
  <c r="CL118" i="56"/>
  <c r="BU118" i="56"/>
  <c r="BW118" i="56"/>
  <c r="CX118" i="56"/>
  <c r="BK118" i="56"/>
  <c r="FV102" i="56"/>
  <c r="FK102" i="56"/>
  <c r="BS102" i="56" s="1"/>
  <c r="EP102" i="56"/>
  <c r="DV102" i="56"/>
  <c r="CI102" i="56"/>
  <c r="CJ102" i="56" s="1"/>
  <c r="CS102" i="56"/>
  <c r="I102" i="56" s="1"/>
  <c r="CT102" i="56" s="1"/>
  <c r="CX102" i="56"/>
  <c r="BX102" i="56"/>
  <c r="BU102" i="56"/>
  <c r="BK102" i="56"/>
  <c r="IA86" i="56"/>
  <c r="IB86" i="56" s="1"/>
  <c r="FK86" i="56"/>
  <c r="BS86" i="56" s="1"/>
  <c r="DV86" i="56"/>
  <c r="CI86" i="56"/>
  <c r="CL86" i="56"/>
  <c r="CX86" i="56"/>
  <c r="CS86" i="56"/>
  <c r="I86" i="56" s="1"/>
  <c r="CT86" i="56" s="1"/>
  <c r="CG86" i="56"/>
  <c r="CH86" i="56" s="1"/>
  <c r="H86" i="56" s="1"/>
  <c r="CJ86" i="56" s="1"/>
  <c r="CM86" i="56"/>
  <c r="J86" i="56" s="1"/>
  <c r="CN86" i="56" s="1"/>
  <c r="BK86" i="56"/>
  <c r="BW86" i="56"/>
  <c r="IA70" i="56"/>
  <c r="IB70" i="56" s="1"/>
  <c r="FK70" i="56"/>
  <c r="BS70" i="56" s="1"/>
  <c r="DV70" i="56"/>
  <c r="CI70" i="56"/>
  <c r="CL70" i="56"/>
  <c r="CS70" i="56"/>
  <c r="I70" i="56" s="1"/>
  <c r="CT70" i="56" s="1"/>
  <c r="CM70" i="56"/>
  <c r="J70" i="56" s="1"/>
  <c r="CN70" i="56" s="1"/>
  <c r="CX70" i="56"/>
  <c r="CG70" i="56"/>
  <c r="CH70" i="56" s="1"/>
  <c r="H70" i="56" s="1"/>
  <c r="BX70" i="56"/>
  <c r="BK70" i="56"/>
  <c r="IA54" i="56"/>
  <c r="IB54" i="56" s="1"/>
  <c r="FK54" i="56"/>
  <c r="BS54" i="56" s="1"/>
  <c r="CI54" i="56"/>
  <c r="DV54" i="56"/>
  <c r="CS54" i="56"/>
  <c r="I54" i="56" s="1"/>
  <c r="CT54" i="56" s="1"/>
  <c r="CX54" i="56"/>
  <c r="CM54" i="56"/>
  <c r="J54" i="56" s="1"/>
  <c r="CN54" i="56" s="1"/>
  <c r="CL54" i="56"/>
  <c r="BW54" i="56"/>
  <c r="BK54" i="56"/>
  <c r="IA38" i="56"/>
  <c r="IB38" i="56" s="1"/>
  <c r="FK38" i="56"/>
  <c r="CI38" i="56"/>
  <c r="EP38" i="56"/>
  <c r="DV38" i="56"/>
  <c r="CX38" i="56"/>
  <c r="CM38" i="56"/>
  <c r="J38" i="56" s="1"/>
  <c r="CN38" i="56" s="1"/>
  <c r="CS38" i="56"/>
  <c r="I38" i="56" s="1"/>
  <c r="CT38" i="56" s="1"/>
  <c r="BS38" i="56"/>
  <c r="CG38" i="56"/>
  <c r="CH38" i="56" s="1"/>
  <c r="H38" i="56" s="1"/>
  <c r="CL38" i="56"/>
  <c r="BU38" i="56"/>
  <c r="BK38" i="56"/>
  <c r="BX38" i="56"/>
  <c r="IA22" i="56"/>
  <c r="IB22" i="56" s="1"/>
  <c r="FK22" i="56"/>
  <c r="BS22" i="56" s="1"/>
  <c r="CI22" i="56"/>
  <c r="DV22" i="56"/>
  <c r="CS22" i="56"/>
  <c r="I22" i="56" s="1"/>
  <c r="CT22" i="56" s="1"/>
  <c r="BW22" i="56"/>
  <c r="CX22" i="56"/>
  <c r="BU22" i="56"/>
  <c r="BK22" i="56"/>
  <c r="IA6" i="56"/>
  <c r="IB6" i="56" s="1"/>
  <c r="EP6" i="56"/>
  <c r="CI6" i="56"/>
  <c r="DV6" i="56"/>
  <c r="CS6" i="56"/>
  <c r="I6" i="56" s="1"/>
  <c r="CT6" i="56" s="1"/>
  <c r="CM6" i="56"/>
  <c r="J6" i="56" s="1"/>
  <c r="CN6" i="56" s="1"/>
  <c r="CL6" i="56"/>
  <c r="CG6" i="56"/>
  <c r="CH6" i="56" s="1"/>
  <c r="H6" i="56" s="1"/>
  <c r="CJ6" i="56" s="1"/>
  <c r="CX6" i="56"/>
  <c r="BW6" i="56"/>
  <c r="BS6" i="56"/>
  <c r="BX6" i="56"/>
  <c r="BK6" i="56"/>
  <c r="EY344" i="56"/>
  <c r="EU344" i="56"/>
  <c r="EV344" i="56"/>
  <c r="EX328" i="56"/>
  <c r="EW328" i="56"/>
  <c r="ES328" i="56"/>
  <c r="EU328" i="56"/>
  <c r="EY328" i="56"/>
  <c r="ER328" i="56"/>
  <c r="EZ312" i="56"/>
  <c r="EY312" i="56"/>
  <c r="EW312" i="56"/>
  <c r="EX312" i="56"/>
  <c r="EV312" i="56"/>
  <c r="EU312" i="56"/>
  <c r="ET312" i="56"/>
  <c r="ER312" i="56"/>
  <c r="ES312" i="56"/>
  <c r="EZ296" i="56"/>
  <c r="EY296" i="56"/>
  <c r="ES296" i="56"/>
  <c r="EV296" i="56"/>
  <c r="EU296" i="56"/>
  <c r="EX296" i="56"/>
  <c r="EY280" i="56"/>
  <c r="EX280" i="56"/>
  <c r="ES280" i="56"/>
  <c r="EV280" i="56"/>
  <c r="EW280" i="56"/>
  <c r="EV264" i="56"/>
  <c r="EX264" i="56"/>
  <c r="EW264" i="56"/>
  <c r="EY264" i="56"/>
  <c r="ES264" i="56"/>
  <c r="EQ248" i="56"/>
  <c r="EQ232" i="56"/>
  <c r="EZ216" i="56"/>
  <c r="EX216" i="56"/>
  <c r="EV216" i="56"/>
  <c r="ET216" i="56"/>
  <c r="EU216" i="56"/>
  <c r="EY216" i="56"/>
  <c r="ES216" i="56"/>
  <c r="EW216" i="56"/>
  <c r="EX200" i="56"/>
  <c r="EW200" i="56"/>
  <c r="EV200" i="56"/>
  <c r="EY200" i="56"/>
  <c r="ES200" i="56"/>
  <c r="EZ184" i="56"/>
  <c r="EY184" i="56"/>
  <c r="EW184" i="56"/>
  <c r="EV184" i="56"/>
  <c r="FA184" i="56"/>
  <c r="EU184" i="56"/>
  <c r="ET184" i="56"/>
  <c r="EX184" i="56"/>
  <c r="ER184" i="56"/>
  <c r="ES184" i="56"/>
  <c r="EY168" i="56"/>
  <c r="EV168" i="56"/>
  <c r="EW168" i="56"/>
  <c r="EU168" i="56"/>
  <c r="EZ152" i="56"/>
  <c r="EY152" i="56"/>
  <c r="ET152" i="56"/>
  <c r="EX152" i="56"/>
  <c r="ER152" i="56"/>
  <c r="ES152" i="56"/>
  <c r="EU152" i="56"/>
  <c r="EW152" i="56"/>
  <c r="EZ136" i="56"/>
  <c r="ET136" i="56"/>
  <c r="EY136" i="56"/>
  <c r="EU136" i="56"/>
  <c r="ES136" i="56"/>
  <c r="ER136" i="56"/>
  <c r="EW136" i="56"/>
  <c r="EX136" i="56"/>
  <c r="EQ120" i="56"/>
  <c r="EQ104" i="56"/>
  <c r="EQ88" i="56"/>
  <c r="EQ72" i="56"/>
  <c r="EQ56" i="56"/>
  <c r="BY56" i="56" a="1"/>
  <c r="BY56" i="56" s="1"/>
  <c r="EQ40" i="56"/>
  <c r="BY40" i="56" s="1" a="1"/>
  <c r="BY40" i="56" s="1"/>
  <c r="DU40" i="56" s="1"/>
  <c r="EQ24" i="56"/>
  <c r="EQ8" i="56"/>
  <c r="FW338" i="56"/>
  <c r="GC322" i="56"/>
  <c r="FW322" i="56"/>
  <c r="FW306" i="56"/>
  <c r="GC306" i="56"/>
  <c r="FW290" i="56"/>
  <c r="GC274" i="56"/>
  <c r="FW274" i="56"/>
  <c r="FW258" i="56"/>
  <c r="FW242" i="56"/>
  <c r="GC242" i="56"/>
  <c r="GC226" i="56"/>
  <c r="FW226" i="56"/>
  <c r="GC210" i="56"/>
  <c r="FW210" i="56"/>
  <c r="FW194" i="56"/>
  <c r="GC178" i="56"/>
  <c r="FW178" i="56"/>
  <c r="GC162" i="56"/>
  <c r="FW162" i="56"/>
  <c r="GC146" i="56"/>
  <c r="FW146" i="56"/>
  <c r="FW130" i="56"/>
  <c r="GC114" i="56"/>
  <c r="FW114" i="56"/>
  <c r="GC98" i="56"/>
  <c r="FW98" i="56"/>
  <c r="FW82" i="56"/>
  <c r="GC66" i="56"/>
  <c r="FW66" i="56"/>
  <c r="GD50" i="56"/>
  <c r="FW50" i="56"/>
  <c r="GC50" i="56"/>
  <c r="GD34" i="56"/>
  <c r="GC34" i="56"/>
  <c r="FW34" i="56"/>
  <c r="GC18" i="56"/>
  <c r="FW18" i="56"/>
  <c r="BI258" i="56"/>
  <c r="T258" i="56" s="1"/>
  <c r="BI211" i="56"/>
  <c r="T211" i="56" s="1"/>
  <c r="BI164" i="56"/>
  <c r="BI4" i="56"/>
  <c r="GC4" i="56" s="1"/>
  <c r="BJ333" i="56"/>
  <c r="BJ262" i="56"/>
  <c r="BJ124" i="56"/>
  <c r="BJ77" i="56"/>
  <c r="BJ6" i="56"/>
  <c r="BK281" i="56"/>
  <c r="BK153" i="56"/>
  <c r="BK25" i="56"/>
  <c r="BL297" i="56"/>
  <c r="BL270" i="56"/>
  <c r="BL169" i="56"/>
  <c r="BL142" i="56"/>
  <c r="BN299" i="56"/>
  <c r="BN249" i="56"/>
  <c r="BN171" i="56"/>
  <c r="FY171" i="56" s="1"/>
  <c r="BN121" i="56"/>
  <c r="BN43" i="56"/>
  <c r="BO343" i="56"/>
  <c r="BO265" i="56"/>
  <c r="BO215" i="56"/>
  <c r="BO137" i="56"/>
  <c r="BO87" i="56"/>
  <c r="BO9" i="56"/>
  <c r="BQ280" i="56"/>
  <c r="BQ255" i="56"/>
  <c r="BQ152" i="56"/>
  <c r="BQ127" i="56"/>
  <c r="BQ24" i="56"/>
  <c r="GA350" i="56"/>
  <c r="DT350" i="56"/>
  <c r="CV350" i="56"/>
  <c r="GA334" i="56"/>
  <c r="DT334" i="56"/>
  <c r="GA318" i="56"/>
  <c r="DT318" i="56"/>
  <c r="GA302" i="56"/>
  <c r="DT302" i="56"/>
  <c r="GA286" i="56"/>
  <c r="DT286" i="56"/>
  <c r="GA270" i="56"/>
  <c r="DT270" i="56"/>
  <c r="DJ270" i="56"/>
  <c r="GA254" i="56"/>
  <c r="DT254" i="56"/>
  <c r="GA238" i="56"/>
  <c r="DT238" i="56"/>
  <c r="DL238" i="56"/>
  <c r="GA222" i="56"/>
  <c r="DT222" i="56"/>
  <c r="CV222" i="56"/>
  <c r="GA206" i="56"/>
  <c r="DT206" i="56"/>
  <c r="GA190" i="56"/>
  <c r="DT190" i="56"/>
  <c r="CV190" i="56"/>
  <c r="GA174" i="56"/>
  <c r="DT174" i="56"/>
  <c r="CV174" i="56"/>
  <c r="GA158" i="56"/>
  <c r="DT158" i="56"/>
  <c r="CV158" i="56"/>
  <c r="GA142" i="56"/>
  <c r="DT142" i="56"/>
  <c r="GA126" i="56"/>
  <c r="DT126" i="56"/>
  <c r="GA110" i="56"/>
  <c r="CV110" i="56"/>
  <c r="DT110" i="56"/>
  <c r="GA94" i="56"/>
  <c r="DT94" i="56"/>
  <c r="GA78" i="56"/>
  <c r="DT78" i="56"/>
  <c r="GA62" i="56"/>
  <c r="DT62" i="56"/>
  <c r="CV62" i="56"/>
  <c r="GA46" i="56"/>
  <c r="DT46" i="56"/>
  <c r="DJ46" i="56"/>
  <c r="GA30" i="56"/>
  <c r="DT30" i="56"/>
  <c r="CV30" i="56"/>
  <c r="GA13" i="56"/>
  <c r="DT13" i="56"/>
  <c r="BS346" i="56"/>
  <c r="BS317" i="56"/>
  <c r="BS136" i="56"/>
  <c r="BS40" i="56"/>
  <c r="EH16" i="56"/>
  <c r="DM16" i="56"/>
  <c r="BU345" i="56"/>
  <c r="BU312" i="56"/>
  <c r="BU250" i="56"/>
  <c r="BU221" i="56"/>
  <c r="BU154" i="56"/>
  <c r="BU125" i="56"/>
  <c r="BU92" i="56"/>
  <c r="BU29" i="56"/>
  <c r="BW333" i="56"/>
  <c r="BW167" i="56"/>
  <c r="BW121" i="56"/>
  <c r="BW29" i="56"/>
  <c r="BX330" i="56"/>
  <c r="BX284" i="56"/>
  <c r="FH191" i="56"/>
  <c r="FG191" i="56" a="1"/>
  <c r="FG191" i="56" s="1"/>
  <c r="BX140" i="56"/>
  <c r="FG95" i="56" a="1"/>
  <c r="FG95" i="56" s="1"/>
  <c r="FH95" i="56"/>
  <c r="BX45" i="56"/>
  <c r="BY348" i="56" a="1"/>
  <c r="BY348" i="56" s="1"/>
  <c r="DU348" i="56" s="1"/>
  <c r="CA320" i="56"/>
  <c r="IP280" i="56"/>
  <c r="FL280" i="56"/>
  <c r="FM280" i="56" s="1"/>
  <c r="FO280" i="56" s="1" a="1"/>
  <c r="FO280" i="56" s="1"/>
  <c r="DC280" i="56"/>
  <c r="IP242" i="56"/>
  <c r="FF242" i="56"/>
  <c r="FL242" i="56"/>
  <c r="FM242" i="56" s="1"/>
  <c r="FO242" i="56" s="1" a="1"/>
  <c r="FO242" i="56" s="1"/>
  <c r="DC242" i="56"/>
  <c r="IP132" i="56"/>
  <c r="IR132" i="56"/>
  <c r="FL132" i="56"/>
  <c r="FM132" i="56" s="1"/>
  <c r="FO132" i="56" s="1" a="1"/>
  <c r="FO132" i="56" s="1"/>
  <c r="DC132" i="56"/>
  <c r="CK132" i="56"/>
  <c r="IQ132" i="56" s="1"/>
  <c r="IP82" i="56"/>
  <c r="FL82" i="56"/>
  <c r="FM82" i="56" s="1"/>
  <c r="FO82" i="56" s="1" a="1"/>
  <c r="FO82" i="56" s="1"/>
  <c r="DC82" i="56"/>
  <c r="CB111" i="56"/>
  <c r="CC111" i="56"/>
  <c r="CD348" i="56"/>
  <c r="CV348" i="56" s="1"/>
  <c r="CF254" i="56"/>
  <c r="CG285" i="56"/>
  <c r="CH285" i="56" s="1"/>
  <c r="H285" i="56" s="1"/>
  <c r="CJ285" i="56" s="1"/>
  <c r="CG200" i="56"/>
  <c r="CH200" i="56" s="1"/>
  <c r="H200" i="56" s="1"/>
  <c r="CI71" i="56"/>
  <c r="CL296" i="56"/>
  <c r="CM280" i="56"/>
  <c r="J280" i="56" s="1"/>
  <c r="CN280" i="56" s="1"/>
  <c r="CM156" i="56"/>
  <c r="J156" i="56" s="1"/>
  <c r="CN156" i="56" s="1"/>
  <c r="CM24" i="56"/>
  <c r="J24" i="56" s="1"/>
  <c r="CN24" i="56" s="1"/>
  <c r="CP63" i="56" a="1"/>
  <c r="CP63" i="56" s="1"/>
  <c r="CQ236" i="56" a="1"/>
  <c r="CQ236" i="56" s="1"/>
  <c r="CX269" i="56"/>
  <c r="HD346" i="56"/>
  <c r="GB346" i="56"/>
  <c r="HD329" i="56"/>
  <c r="GB329" i="56"/>
  <c r="HD218" i="56"/>
  <c r="GB218" i="56"/>
  <c r="HD201" i="56"/>
  <c r="GB201" i="56"/>
  <c r="HD90" i="56"/>
  <c r="GB90" i="56"/>
  <c r="HD73" i="56"/>
  <c r="GB73" i="56"/>
  <c r="FV341" i="56"/>
  <c r="FK341" i="56"/>
  <c r="BS341" i="56" s="1"/>
  <c r="DV341" i="56"/>
  <c r="CS341" i="56"/>
  <c r="I341" i="56" s="1"/>
  <c r="CT341" i="56" s="1"/>
  <c r="CX341" i="56"/>
  <c r="EP341" i="56"/>
  <c r="CI341" i="56"/>
  <c r="CG341" i="56"/>
  <c r="CH341" i="56" s="1"/>
  <c r="H341" i="56" s="1"/>
  <c r="BX341" i="56"/>
  <c r="CM341" i="56"/>
  <c r="J341" i="56" s="1"/>
  <c r="CN341" i="56" s="1"/>
  <c r="BJ341" i="56"/>
  <c r="BK341" i="56"/>
  <c r="BO341" i="56"/>
  <c r="FV325" i="56"/>
  <c r="FK325" i="56"/>
  <c r="BS325" i="56" s="1"/>
  <c r="EP325" i="56"/>
  <c r="DV325" i="56"/>
  <c r="CX325" i="56"/>
  <c r="CS325" i="56"/>
  <c r="I325" i="56" s="1"/>
  <c r="CT325" i="56" s="1"/>
  <c r="CM325" i="56"/>
  <c r="J325" i="56" s="1"/>
  <c r="CN325" i="56" s="1"/>
  <c r="CG325" i="56"/>
  <c r="CH325" i="56" s="1"/>
  <c r="H325" i="56" s="1"/>
  <c r="CJ325" i="56" s="1"/>
  <c r="BW325" i="56"/>
  <c r="BJ325" i="56"/>
  <c r="BK325" i="56"/>
  <c r="BX325" i="56"/>
  <c r="CI325" i="56"/>
  <c r="BO325" i="56"/>
  <c r="IA309" i="56"/>
  <c r="IB309" i="56" s="1"/>
  <c r="FK309" i="56"/>
  <c r="BS309" i="56" s="1"/>
  <c r="EP309" i="56"/>
  <c r="DV309" i="56"/>
  <c r="CS309" i="56"/>
  <c r="I309" i="56" s="1"/>
  <c r="CT309" i="56" s="1"/>
  <c r="CL309" i="56"/>
  <c r="CM309" i="56"/>
  <c r="J309" i="56" s="1"/>
  <c r="CN309" i="56" s="1"/>
  <c r="CX309" i="56"/>
  <c r="BJ309" i="56"/>
  <c r="BK309" i="56"/>
  <c r="CI309" i="56"/>
  <c r="CJ309" i="56" s="1"/>
  <c r="BW309" i="56"/>
  <c r="BO309" i="56"/>
  <c r="IA293" i="56"/>
  <c r="IB293" i="56" s="1"/>
  <c r="FK293" i="56"/>
  <c r="BS293" i="56" s="1"/>
  <c r="CS293" i="56"/>
  <c r="I293" i="56" s="1"/>
  <c r="CT293" i="56" s="1"/>
  <c r="DV293" i="56"/>
  <c r="CM293" i="56"/>
  <c r="J293" i="56" s="1"/>
  <c r="CN293" i="56" s="1"/>
  <c r="CL293" i="56"/>
  <c r="CI293" i="56"/>
  <c r="CG293" i="56"/>
  <c r="CH293" i="56" s="1"/>
  <c r="H293" i="56" s="1"/>
  <c r="BX293" i="56"/>
  <c r="BJ293" i="56"/>
  <c r="BK293" i="56"/>
  <c r="CX293" i="56"/>
  <c r="BO293" i="56"/>
  <c r="IA277" i="56"/>
  <c r="IB277" i="56" s="1"/>
  <c r="FK277" i="56"/>
  <c r="BS277" i="56" s="1"/>
  <c r="EP277" i="56"/>
  <c r="DV277" i="56"/>
  <c r="CX277" i="56"/>
  <c r="CS277" i="56"/>
  <c r="I277" i="56" s="1"/>
  <c r="CT277" i="56" s="1"/>
  <c r="CI277" i="56"/>
  <c r="CJ277" i="56" s="1"/>
  <c r="CL277" i="56"/>
  <c r="BX277" i="56"/>
  <c r="BJ277" i="56"/>
  <c r="BK277" i="56"/>
  <c r="CM277" i="56"/>
  <c r="J277" i="56" s="1"/>
  <c r="CN277" i="56" s="1"/>
  <c r="BO277" i="56"/>
  <c r="IA261" i="56"/>
  <c r="IB261" i="56" s="1"/>
  <c r="FK261" i="56"/>
  <c r="BS261" i="56" s="1"/>
  <c r="EP261" i="56"/>
  <c r="DV261" i="56"/>
  <c r="CX261" i="56"/>
  <c r="CG261" i="56"/>
  <c r="CH261" i="56" s="1"/>
  <c r="H261" i="56" s="1"/>
  <c r="BW261" i="56"/>
  <c r="CI261" i="56"/>
  <c r="CM261" i="56"/>
  <c r="J261" i="56" s="1"/>
  <c r="CN261" i="56" s="1"/>
  <c r="BJ261" i="56"/>
  <c r="BK261" i="56"/>
  <c r="BX261" i="56"/>
  <c r="BU261" i="56"/>
  <c r="BO261" i="56"/>
  <c r="IA245" i="56"/>
  <c r="IB245" i="56" s="1"/>
  <c r="FK245" i="56"/>
  <c r="BS245" i="56" s="1"/>
  <c r="EP245" i="56"/>
  <c r="DV245" i="56"/>
  <c r="CG245" i="56"/>
  <c r="CH245" i="56" s="1"/>
  <c r="H245" i="56" s="1"/>
  <c r="CS245" i="56"/>
  <c r="I245" i="56" s="1"/>
  <c r="CT245" i="56" s="1"/>
  <c r="CM245" i="56"/>
  <c r="J245" i="56" s="1"/>
  <c r="CN245" i="56" s="1"/>
  <c r="BW245" i="56"/>
  <c r="CX245" i="56"/>
  <c r="BJ245" i="56"/>
  <c r="CL245" i="56"/>
  <c r="BK245" i="56"/>
  <c r="CI245" i="56"/>
  <c r="BO245" i="56"/>
  <c r="IA229" i="56"/>
  <c r="IB229" i="56" s="1"/>
  <c r="FK229" i="56"/>
  <c r="BS229" i="56" s="1"/>
  <c r="EP229" i="56"/>
  <c r="DV229" i="56"/>
  <c r="CX229" i="56"/>
  <c r="CL229" i="56"/>
  <c r="CM229" i="56"/>
  <c r="J229" i="56" s="1"/>
  <c r="CN229" i="56" s="1"/>
  <c r="CS229" i="56"/>
  <c r="I229" i="56" s="1"/>
  <c r="CT229" i="56" s="1"/>
  <c r="BX229" i="56"/>
  <c r="CG229" i="56"/>
  <c r="CH229" i="56" s="1"/>
  <c r="H229" i="56" s="1"/>
  <c r="CJ229" i="56" s="1"/>
  <c r="BJ229" i="56"/>
  <c r="BK229" i="56"/>
  <c r="BU229" i="56"/>
  <c r="BO229" i="56"/>
  <c r="IA213" i="56"/>
  <c r="IB213" i="56" s="1"/>
  <c r="FK213" i="56"/>
  <c r="BS213" i="56" s="1"/>
  <c r="EP213" i="56"/>
  <c r="DV213" i="56"/>
  <c r="CS213" i="56"/>
  <c r="I213" i="56" s="1"/>
  <c r="CT213" i="56" s="1"/>
  <c r="CI213" i="56"/>
  <c r="CG213" i="56"/>
  <c r="CH213" i="56" s="1"/>
  <c r="H213" i="56" s="1"/>
  <c r="BW213" i="56"/>
  <c r="CM213" i="56"/>
  <c r="J213" i="56" s="1"/>
  <c r="CN213" i="56" s="1"/>
  <c r="BX213" i="56"/>
  <c r="BJ213" i="56"/>
  <c r="BK213" i="56"/>
  <c r="BO213" i="56"/>
  <c r="IA197" i="56"/>
  <c r="IB197" i="56" s="1"/>
  <c r="FK197" i="56"/>
  <c r="BS197" i="56" s="1"/>
  <c r="EP197" i="56"/>
  <c r="CX197" i="56"/>
  <c r="DV197" i="56"/>
  <c r="CI197" i="56"/>
  <c r="CG197" i="56"/>
  <c r="CH197" i="56" s="1"/>
  <c r="H197" i="56" s="1"/>
  <c r="CJ197" i="56" s="1"/>
  <c r="CS197" i="56"/>
  <c r="I197" i="56" s="1"/>
  <c r="CT197" i="56" s="1"/>
  <c r="BW197" i="56"/>
  <c r="CL197" i="56"/>
  <c r="BU197" i="56"/>
  <c r="BJ197" i="56"/>
  <c r="BK197" i="56"/>
  <c r="BX197" i="56"/>
  <c r="BO197" i="56"/>
  <c r="IA181" i="56"/>
  <c r="IB181" i="56" s="1"/>
  <c r="FK181" i="56"/>
  <c r="EP181" i="56"/>
  <c r="CM181" i="56"/>
  <c r="J181" i="56" s="1"/>
  <c r="CN181" i="56" s="1"/>
  <c r="CS181" i="56"/>
  <c r="I181" i="56" s="1"/>
  <c r="CT181" i="56" s="1"/>
  <c r="CI181" i="56"/>
  <c r="CL181" i="56"/>
  <c r="CG181" i="56"/>
  <c r="CH181" i="56" s="1"/>
  <c r="H181" i="56" s="1"/>
  <c r="CX181" i="56"/>
  <c r="DV181" i="56"/>
  <c r="BJ181" i="56"/>
  <c r="BK181" i="56"/>
  <c r="BU181" i="56"/>
  <c r="BS181" i="56"/>
  <c r="BO181" i="56"/>
  <c r="IA165" i="56"/>
  <c r="IB165" i="56" s="1"/>
  <c r="FK165" i="56"/>
  <c r="BS165" i="56" s="1"/>
  <c r="EP165" i="56"/>
  <c r="CX165" i="56"/>
  <c r="DV165" i="56"/>
  <c r="CS165" i="56"/>
  <c r="I165" i="56" s="1"/>
  <c r="CT165" i="56" s="1"/>
  <c r="CM165" i="56"/>
  <c r="J165" i="56" s="1"/>
  <c r="CN165" i="56" s="1"/>
  <c r="CI165" i="56"/>
  <c r="CL165" i="56"/>
  <c r="BX165" i="56"/>
  <c r="BJ165" i="56"/>
  <c r="CG165" i="56"/>
  <c r="CH165" i="56" s="1"/>
  <c r="H165" i="56" s="1"/>
  <c r="BK165" i="56"/>
  <c r="BO165" i="56"/>
  <c r="IA149" i="56"/>
  <c r="IB149" i="56" s="1"/>
  <c r="FK149" i="56"/>
  <c r="DV149" i="56"/>
  <c r="CX149" i="56"/>
  <c r="CM149" i="56"/>
  <c r="J149" i="56" s="1"/>
  <c r="CN149" i="56" s="1"/>
  <c r="CI149" i="56"/>
  <c r="CL149" i="56"/>
  <c r="CG149" i="56"/>
  <c r="CH149" i="56" s="1"/>
  <c r="H149" i="56" s="1"/>
  <c r="CS149" i="56"/>
  <c r="I149" i="56" s="1"/>
  <c r="CT149" i="56" s="1"/>
  <c r="BX149" i="56"/>
  <c r="BS149" i="56"/>
  <c r="BJ149" i="56"/>
  <c r="BK149" i="56"/>
  <c r="BO149" i="56"/>
  <c r="IA133" i="56"/>
  <c r="IB133" i="56" s="1"/>
  <c r="FK133" i="56"/>
  <c r="BS133" i="56" s="1"/>
  <c r="DV133" i="56"/>
  <c r="CX133" i="56"/>
  <c r="CG133" i="56"/>
  <c r="CH133" i="56" s="1"/>
  <c r="H133" i="56" s="1"/>
  <c r="CS133" i="56"/>
  <c r="I133" i="56" s="1"/>
  <c r="CT133" i="56" s="1"/>
  <c r="BX133" i="56"/>
  <c r="CM133" i="56"/>
  <c r="J133" i="56" s="1"/>
  <c r="CN133" i="56" s="1"/>
  <c r="CI133" i="56"/>
  <c r="BW133" i="56"/>
  <c r="BJ133" i="56"/>
  <c r="BK133" i="56"/>
  <c r="CL133" i="56"/>
  <c r="BO133" i="56"/>
  <c r="IA117" i="56"/>
  <c r="IB117" i="56" s="1"/>
  <c r="FK117" i="56"/>
  <c r="BS117" i="56" s="1"/>
  <c r="DV117" i="56"/>
  <c r="CX117" i="56"/>
  <c r="CS117" i="56"/>
  <c r="I117" i="56" s="1"/>
  <c r="CT117" i="56" s="1"/>
  <c r="BX117" i="56"/>
  <c r="CL117" i="56"/>
  <c r="CG117" i="56"/>
  <c r="CH117" i="56" s="1"/>
  <c r="H117" i="56" s="1"/>
  <c r="CJ117" i="56" s="1"/>
  <c r="BU117" i="56"/>
  <c r="BJ117" i="56"/>
  <c r="BK117" i="56"/>
  <c r="BO117" i="56"/>
  <c r="IA101" i="56"/>
  <c r="IB101" i="56" s="1"/>
  <c r="FK101" i="56"/>
  <c r="BS101" i="56" s="1"/>
  <c r="DV101" i="56"/>
  <c r="CS101" i="56"/>
  <c r="I101" i="56" s="1"/>
  <c r="CT101" i="56" s="1"/>
  <c r="CL101" i="56"/>
  <c r="CX101" i="56"/>
  <c r="BJ101" i="56"/>
  <c r="BU101" i="56"/>
  <c r="BK101" i="56"/>
  <c r="CI101" i="56"/>
  <c r="CM101" i="56"/>
  <c r="J101" i="56" s="1"/>
  <c r="CN101" i="56" s="1"/>
  <c r="BX101" i="56"/>
  <c r="BO101" i="56"/>
  <c r="IA85" i="56"/>
  <c r="IB85" i="56" s="1"/>
  <c r="FK85" i="56"/>
  <c r="BS85" i="56" s="1"/>
  <c r="DV85" i="56"/>
  <c r="CS85" i="56"/>
  <c r="I85" i="56" s="1"/>
  <c r="CT85" i="56" s="1"/>
  <c r="CM85" i="56"/>
  <c r="J85" i="56" s="1"/>
  <c r="CN85" i="56" s="1"/>
  <c r="CL85" i="56"/>
  <c r="CG85" i="56"/>
  <c r="CH85" i="56" s="1"/>
  <c r="H85" i="56" s="1"/>
  <c r="BX85" i="56"/>
  <c r="CI85" i="56"/>
  <c r="CX85" i="56"/>
  <c r="BJ85" i="56"/>
  <c r="BK85" i="56"/>
  <c r="BO85" i="56"/>
  <c r="IA69" i="56"/>
  <c r="IB69" i="56" s="1"/>
  <c r="FK69" i="56"/>
  <c r="DV69" i="56"/>
  <c r="CL69" i="56"/>
  <c r="CX69" i="56"/>
  <c r="CS69" i="56"/>
  <c r="I69" i="56" s="1"/>
  <c r="CT69" i="56" s="1"/>
  <c r="CI69" i="56"/>
  <c r="CG69" i="56"/>
  <c r="CH69" i="56" s="1"/>
  <c r="H69" i="56" s="1"/>
  <c r="CJ69" i="56" s="1"/>
  <c r="BW69" i="56"/>
  <c r="BS69" i="56"/>
  <c r="BJ69" i="56"/>
  <c r="BK69" i="56"/>
  <c r="BO69" i="56"/>
  <c r="FV53" i="56"/>
  <c r="FK53" i="56"/>
  <c r="EP53" i="56"/>
  <c r="DV53" i="56"/>
  <c r="CX53" i="56"/>
  <c r="CI53" i="56"/>
  <c r="CM53" i="56"/>
  <c r="J53" i="56" s="1"/>
  <c r="CN53" i="56" s="1"/>
  <c r="CS53" i="56"/>
  <c r="I53" i="56" s="1"/>
  <c r="CT53" i="56" s="1"/>
  <c r="CG53" i="56"/>
  <c r="CH53" i="56" s="1"/>
  <c r="H53" i="56" s="1"/>
  <c r="CJ53" i="56" s="1"/>
  <c r="BJ53" i="56"/>
  <c r="BS53" i="56"/>
  <c r="BK53" i="56"/>
  <c r="BO53" i="56"/>
  <c r="IA37" i="56"/>
  <c r="IB37" i="56" s="1"/>
  <c r="FK37" i="56"/>
  <c r="BS37" i="56" s="1"/>
  <c r="EP37" i="56"/>
  <c r="CS37" i="56"/>
  <c r="I37" i="56" s="1"/>
  <c r="CT37" i="56" s="1"/>
  <c r="DV37" i="56"/>
  <c r="CX37" i="56"/>
  <c r="CI37" i="56"/>
  <c r="CM37" i="56"/>
  <c r="J37" i="56" s="1"/>
  <c r="CN37" i="56" s="1"/>
  <c r="CL37" i="56"/>
  <c r="BJ37" i="56"/>
  <c r="BK37" i="56"/>
  <c r="CG37" i="56"/>
  <c r="CH37" i="56" s="1"/>
  <c r="H37" i="56" s="1"/>
  <c r="CJ37" i="56" s="1"/>
  <c r="BO37" i="56"/>
  <c r="IA21" i="56"/>
  <c r="IB21" i="56" s="1"/>
  <c r="FK21" i="56"/>
  <c r="BS21" i="56" s="1"/>
  <c r="DV21" i="56"/>
  <c r="CX21" i="56"/>
  <c r="CS21" i="56"/>
  <c r="I21" i="56" s="1"/>
  <c r="CT21" i="56" s="1"/>
  <c r="CI21" i="56"/>
  <c r="BX21" i="56"/>
  <c r="BJ21" i="56"/>
  <c r="BK21" i="56"/>
  <c r="CG21" i="56"/>
  <c r="CH21" i="56" s="1"/>
  <c r="H21" i="56" s="1"/>
  <c r="BO21" i="56"/>
  <c r="IA5" i="56"/>
  <c r="IB5" i="56" s="1"/>
  <c r="DV5" i="56"/>
  <c r="EP5" i="56"/>
  <c r="CS5" i="56"/>
  <c r="I5" i="56" s="1"/>
  <c r="CT5" i="56" s="1"/>
  <c r="CG5" i="56"/>
  <c r="CH5" i="56" s="1"/>
  <c r="H5" i="56" s="1"/>
  <c r="CJ5" i="56" s="1"/>
  <c r="CX5" i="56"/>
  <c r="BW5" i="56"/>
  <c r="CI5" i="56"/>
  <c r="CL5" i="56"/>
  <c r="BJ5" i="56"/>
  <c r="CM5" i="56"/>
  <c r="J5" i="56" s="1"/>
  <c r="CN5" i="56" s="1"/>
  <c r="BK5" i="56"/>
  <c r="BU5" i="56"/>
  <c r="BO5" i="56"/>
  <c r="EQ343" i="56"/>
  <c r="BQ343" i="56"/>
  <c r="BN343" i="56"/>
  <c r="EQ327" i="56"/>
  <c r="AX23" i="55" s="1"/>
  <c r="AY23" i="55" s="1" a="1"/>
  <c r="AY23" i="55" s="1"/>
  <c r="BQ327" i="56"/>
  <c r="BN327" i="56"/>
  <c r="FY327" i="56" s="1"/>
  <c r="EQ311" i="56"/>
  <c r="BY311" i="56" a="1"/>
  <c r="BY311" i="56" s="1"/>
  <c r="DU311" i="56" s="1"/>
  <c r="BQ311" i="56"/>
  <c r="BN311" i="56"/>
  <c r="FY311" i="56" s="1"/>
  <c r="EQ295" i="56"/>
  <c r="BQ295" i="56"/>
  <c r="BN295" i="56"/>
  <c r="EQ279" i="56"/>
  <c r="BY279" i="56" s="1" a="1"/>
  <c r="BY279" i="56" s="1"/>
  <c r="DU279" i="56" s="1"/>
  <c r="BQ279" i="56"/>
  <c r="BN279" i="56"/>
  <c r="FY279" i="56" s="1"/>
  <c r="EQ263" i="56"/>
  <c r="BQ263" i="56"/>
  <c r="BN263" i="56"/>
  <c r="EQ247" i="56"/>
  <c r="BQ247" i="56"/>
  <c r="BN247" i="56"/>
  <c r="FY247" i="56" s="1"/>
  <c r="EQ231" i="56"/>
  <c r="BY231" i="56" a="1"/>
  <c r="BY231" i="56" s="1"/>
  <c r="DU231" i="56" s="1"/>
  <c r="BQ231" i="56"/>
  <c r="BN231" i="56"/>
  <c r="EQ215" i="56"/>
  <c r="BY215" i="56" s="1" a="1"/>
  <c r="BY215" i="56" s="1"/>
  <c r="DU215" i="56" s="1"/>
  <c r="BQ215" i="56"/>
  <c r="BN215" i="56"/>
  <c r="EQ199" i="56"/>
  <c r="BQ199" i="56"/>
  <c r="BN199" i="56"/>
  <c r="FY199" i="56" s="1"/>
  <c r="EQ183" i="56"/>
  <c r="BQ183" i="56"/>
  <c r="BN183" i="56"/>
  <c r="FY183" i="56" s="1"/>
  <c r="EQ167" i="56"/>
  <c r="BQ167" i="56"/>
  <c r="BN167" i="56"/>
  <c r="EQ151" i="56"/>
  <c r="BY151" i="56" s="1" a="1"/>
  <c r="BY151" i="56" s="1"/>
  <c r="DU151" i="56" s="1"/>
  <c r="BQ151" i="56"/>
  <c r="BN151" i="56"/>
  <c r="FY151" i="56" s="1"/>
  <c r="EQ135" i="56"/>
  <c r="BQ135" i="56"/>
  <c r="BY135" i="56" a="1"/>
  <c r="BY135" i="56" s="1"/>
  <c r="DU135" i="56" s="1"/>
  <c r="BN135" i="56"/>
  <c r="FY135" i="56" s="1"/>
  <c r="EQ119" i="56"/>
  <c r="BQ119" i="56"/>
  <c r="BN119" i="56"/>
  <c r="FY119" i="56" s="1"/>
  <c r="EQ103" i="56"/>
  <c r="BQ103" i="56"/>
  <c r="BN103" i="56"/>
  <c r="FY103" i="56" s="1"/>
  <c r="EQ87" i="56"/>
  <c r="BY87" i="56" s="1" a="1"/>
  <c r="BY87" i="56" s="1"/>
  <c r="DU87" i="56" s="1"/>
  <c r="BQ87" i="56"/>
  <c r="BN87" i="56"/>
  <c r="FY87" i="56" s="1"/>
  <c r="EQ71" i="56"/>
  <c r="BQ71" i="56"/>
  <c r="BN71" i="56"/>
  <c r="FY71" i="56" s="1"/>
  <c r="EQ55" i="56"/>
  <c r="BQ55" i="56"/>
  <c r="BN55" i="56"/>
  <c r="FY55" i="56" s="1"/>
  <c r="EQ39" i="56"/>
  <c r="BQ39" i="56"/>
  <c r="BN39" i="56"/>
  <c r="FY39" i="56" s="1"/>
  <c r="EQ23" i="56"/>
  <c r="BQ23" i="56"/>
  <c r="BN23" i="56"/>
  <c r="FY23" i="56" s="1"/>
  <c r="EQ7" i="56"/>
  <c r="BQ7" i="56"/>
  <c r="BD337" i="56" a="1"/>
  <c r="BD337" i="56" s="1"/>
  <c r="BD328" i="56" a="1"/>
  <c r="BD328" i="56" s="1"/>
  <c r="C328" i="56" s="1"/>
  <c r="BE328" i="56" s="1"/>
  <c r="BD273" i="56" a="1"/>
  <c r="BD273" i="56" s="1"/>
  <c r="BD264" i="56" a="1"/>
  <c r="BD264" i="56" s="1"/>
  <c r="C264" i="56" s="1"/>
  <c r="BE264" i="56" s="1"/>
  <c r="BD209" i="56" a="1"/>
  <c r="BD209" i="56" s="1"/>
  <c r="C209" i="56" s="1"/>
  <c r="BE209" i="56" s="1"/>
  <c r="BD200" i="56" a="1"/>
  <c r="BD200" i="56" s="1"/>
  <c r="BD145" i="56" a="1"/>
  <c r="BD145" i="56" s="1"/>
  <c r="BD136" i="56" a="1"/>
  <c r="BD136" i="56" s="1"/>
  <c r="BD81" i="56" a="1"/>
  <c r="BD81" i="56" s="1"/>
  <c r="BD72" i="56" a="1"/>
  <c r="BD72" i="56" s="1"/>
  <c r="BD17" i="56" a="1"/>
  <c r="BD17" i="56" s="1"/>
  <c r="BD8" i="56" a="1"/>
  <c r="BD8" i="56" s="1"/>
  <c r="GC337" i="56"/>
  <c r="FW337" i="56"/>
  <c r="GC321" i="56"/>
  <c r="FW321" i="56"/>
  <c r="FW305" i="56"/>
  <c r="GC305" i="56"/>
  <c r="FW289" i="56"/>
  <c r="GC289" i="56"/>
  <c r="FW273" i="56"/>
  <c r="GC273" i="56"/>
  <c r="FW257" i="56"/>
  <c r="FW241" i="56"/>
  <c r="GC225" i="56"/>
  <c r="FW225" i="56"/>
  <c r="GC209" i="56"/>
  <c r="FW209" i="56"/>
  <c r="FW193" i="56"/>
  <c r="GC193" i="56"/>
  <c r="GC177" i="56"/>
  <c r="FW177" i="56"/>
  <c r="GC161" i="56"/>
  <c r="FW161" i="56"/>
  <c r="GC145" i="56"/>
  <c r="FW145" i="56"/>
  <c r="GC129" i="56"/>
  <c r="GD129" i="56"/>
  <c r="FW129" i="56"/>
  <c r="GC113" i="56"/>
  <c r="FW113" i="56"/>
  <c r="GC97" i="56"/>
  <c r="FW97" i="56"/>
  <c r="FW81" i="56"/>
  <c r="GC65" i="56"/>
  <c r="FW65" i="56"/>
  <c r="GD49" i="56"/>
  <c r="GC49" i="56"/>
  <c r="FW49" i="56"/>
  <c r="GD33" i="56"/>
  <c r="FW33" i="56"/>
  <c r="GE33" i="56"/>
  <c r="GE34" i="56" s="1"/>
  <c r="GE35" i="56" s="1"/>
  <c r="GE36" i="56" s="1"/>
  <c r="GE37" i="56" s="1"/>
  <c r="GE38" i="56" s="1"/>
  <c r="GE39" i="56" s="1"/>
  <c r="GE40" i="56" s="1"/>
  <c r="GE41" i="56" s="1"/>
  <c r="GE42" i="56" s="1"/>
  <c r="GE43" i="56" s="1"/>
  <c r="GE44" i="56" s="1"/>
  <c r="GE45" i="56" s="1"/>
  <c r="GE46" i="56" s="1"/>
  <c r="GE47" i="56" s="1"/>
  <c r="GE48" i="56" s="1"/>
  <c r="GE49" i="56" s="1"/>
  <c r="GE50" i="56" s="1"/>
  <c r="GE51" i="56" s="1"/>
  <c r="GE52" i="56" s="1"/>
  <c r="GC33" i="56"/>
  <c r="FW17" i="56"/>
  <c r="GC17" i="56"/>
  <c r="BI257" i="56"/>
  <c r="BI210" i="56"/>
  <c r="T210" i="56" s="1"/>
  <c r="BI163" i="56"/>
  <c r="BI116" i="56"/>
  <c r="BI3" i="56"/>
  <c r="T3" i="56" s="1"/>
  <c r="BJ332" i="56"/>
  <c r="BJ285" i="56"/>
  <c r="BJ214" i="56"/>
  <c r="BJ76" i="56"/>
  <c r="BJ29" i="56"/>
  <c r="BK280" i="56"/>
  <c r="BK252" i="56"/>
  <c r="BK152" i="56"/>
  <c r="BK124" i="56"/>
  <c r="BK24" i="56"/>
  <c r="BL346" i="56"/>
  <c r="BL319" i="56"/>
  <c r="BL296" i="56"/>
  <c r="BL218" i="56"/>
  <c r="BL191" i="56"/>
  <c r="BL168" i="56"/>
  <c r="BL90" i="56"/>
  <c r="BL63" i="56"/>
  <c r="BL40" i="56"/>
  <c r="BN350" i="56"/>
  <c r="BN298" i="56"/>
  <c r="BN248" i="56"/>
  <c r="FB248" i="56" s="1"/>
  <c r="BN222" i="56"/>
  <c r="BN170" i="56"/>
  <c r="FB170" i="56" s="1"/>
  <c r="BN120" i="56"/>
  <c r="BN94" i="56"/>
  <c r="BN42" i="56"/>
  <c r="BO342" i="56"/>
  <c r="BO316" i="56"/>
  <c r="BO264" i="56"/>
  <c r="BO214" i="56"/>
  <c r="BO188" i="56"/>
  <c r="BO136" i="56"/>
  <c r="BO86" i="56"/>
  <c r="BO60" i="56"/>
  <c r="BO8" i="56"/>
  <c r="BQ332" i="56"/>
  <c r="BQ304" i="56"/>
  <c r="BQ277" i="56"/>
  <c r="BQ254" i="56"/>
  <c r="BQ204" i="56"/>
  <c r="BQ176" i="56"/>
  <c r="BQ149" i="56"/>
  <c r="BQ126" i="56"/>
  <c r="BQ76" i="56"/>
  <c r="BQ48" i="56"/>
  <c r="BQ21" i="56"/>
  <c r="GA349" i="56"/>
  <c r="DT349" i="56"/>
  <c r="CV349" i="56"/>
  <c r="GA333" i="56"/>
  <c r="CV333" i="56"/>
  <c r="DT333" i="56"/>
  <c r="GA317" i="56"/>
  <c r="DT317" i="56"/>
  <c r="CV317" i="56"/>
  <c r="GA301" i="56"/>
  <c r="DT301" i="56"/>
  <c r="CV301" i="56"/>
  <c r="DL301" i="56"/>
  <c r="GF301" i="56" s="1"/>
  <c r="GA285" i="56"/>
  <c r="DT285" i="56"/>
  <c r="GA269" i="56"/>
  <c r="DT269" i="56"/>
  <c r="GA253" i="56"/>
  <c r="DT253" i="56"/>
  <c r="GA237" i="56"/>
  <c r="DT237" i="56"/>
  <c r="GA221" i="56"/>
  <c r="DT221" i="56"/>
  <c r="CV221" i="56"/>
  <c r="GA205" i="56"/>
  <c r="DT205" i="56"/>
  <c r="GA189" i="56"/>
  <c r="DT189" i="56"/>
  <c r="CV189" i="56"/>
  <c r="GA173" i="56"/>
  <c r="DT173" i="56"/>
  <c r="CV173" i="56"/>
  <c r="GA157" i="56"/>
  <c r="DT157" i="56"/>
  <c r="CV157" i="56"/>
  <c r="GA141" i="56"/>
  <c r="DT141" i="56"/>
  <c r="CV141" i="56"/>
  <c r="GA125" i="56"/>
  <c r="DT125" i="56"/>
  <c r="GA109" i="56"/>
  <c r="DT109" i="56"/>
  <c r="GA93" i="56"/>
  <c r="DT93" i="56"/>
  <c r="GA77" i="56"/>
  <c r="DT77" i="56"/>
  <c r="CV77" i="56"/>
  <c r="GA61" i="56"/>
  <c r="CV61" i="56"/>
  <c r="DT61" i="56"/>
  <c r="GA45" i="56"/>
  <c r="DT45" i="56"/>
  <c r="CV45" i="56"/>
  <c r="DJ45" i="56"/>
  <c r="GA29" i="56"/>
  <c r="DT29" i="56"/>
  <c r="CV29" i="56"/>
  <c r="GA12" i="56"/>
  <c r="CV12" i="56"/>
  <c r="CW12" i="56" s="1"/>
  <c r="DA12" i="56" s="1"/>
  <c r="DT12" i="56"/>
  <c r="BS345" i="56"/>
  <c r="BS316" i="56"/>
  <c r="BS39" i="56"/>
  <c r="BS5" i="56"/>
  <c r="EH48" i="56"/>
  <c r="DM48" i="56"/>
  <c r="EH32" i="56"/>
  <c r="DM32" i="56"/>
  <c r="BU344" i="56"/>
  <c r="BU311" i="56"/>
  <c r="BU282" i="56"/>
  <c r="BU249" i="56"/>
  <c r="BU217" i="56"/>
  <c r="BU186" i="56"/>
  <c r="BU153" i="56"/>
  <c r="BU124" i="56"/>
  <c r="BU28" i="56"/>
  <c r="AK28" i="56" s="1"/>
  <c r="BV28" i="56" s="1"/>
  <c r="BW326" i="56"/>
  <c r="BW250" i="56"/>
  <c r="BW166" i="56"/>
  <c r="BW117" i="56"/>
  <c r="BW70" i="56"/>
  <c r="BW21" i="56"/>
  <c r="BX329" i="56"/>
  <c r="BX234" i="56"/>
  <c r="BX182" i="56"/>
  <c r="BX93" i="56"/>
  <c r="BX42" i="56"/>
  <c r="BY204" i="56" a="1"/>
  <c r="BY204" i="56" s="1"/>
  <c r="DU204" i="56" s="1"/>
  <c r="BY107" i="56" a="1"/>
  <c r="BY107" i="56" s="1"/>
  <c r="DU107" i="56" s="1"/>
  <c r="IP319" i="56"/>
  <c r="FL319" i="56"/>
  <c r="FM319" i="56" s="1"/>
  <c r="FO319" i="56" s="1" a="1"/>
  <c r="FO319" i="56" s="1"/>
  <c r="FB319" i="56"/>
  <c r="FF319" i="56"/>
  <c r="DC319" i="56"/>
  <c r="DF319" i="56"/>
  <c r="DG319" i="56" s="1"/>
  <c r="IP241" i="56"/>
  <c r="FB241" i="56"/>
  <c r="FL241" i="56"/>
  <c r="FM241" i="56" s="1"/>
  <c r="FO241" i="56" s="1" a="1"/>
  <c r="FO241" i="56" s="1"/>
  <c r="DC241" i="56"/>
  <c r="CA160" i="56"/>
  <c r="IP81" i="56"/>
  <c r="FL81" i="56"/>
  <c r="FM81" i="56" s="1"/>
  <c r="FO81" i="56" s="1" a="1"/>
  <c r="FO81" i="56" s="1"/>
  <c r="FD81" i="56"/>
  <c r="M81" i="56" s="1"/>
  <c r="FE81" i="56" s="1"/>
  <c r="FF81" i="56" s="1"/>
  <c r="DC81" i="56"/>
  <c r="IR45" i="56"/>
  <c r="IP45" i="56"/>
  <c r="FL45" i="56"/>
  <c r="FM45" i="56" s="1"/>
  <c r="FO45" i="56" s="1" a="1"/>
  <c r="FO45" i="56" s="1"/>
  <c r="DC45" i="56"/>
  <c r="DF45" i="56"/>
  <c r="DG45" i="56" s="1"/>
  <c r="CB143" i="56"/>
  <c r="CC255" i="56"/>
  <c r="CE111" i="56"/>
  <c r="CG284" i="56"/>
  <c r="CH284" i="56" s="1"/>
  <c r="H284" i="56" s="1"/>
  <c r="CG182" i="56"/>
  <c r="CH182" i="56" s="1"/>
  <c r="H182" i="56" s="1"/>
  <c r="CI284" i="56"/>
  <c r="CM23" i="56"/>
  <c r="J23" i="56" s="1"/>
  <c r="CN23" i="56" s="1"/>
  <c r="DJ317" i="56"/>
  <c r="GA351" i="56"/>
  <c r="DT351" i="56"/>
  <c r="CV351" i="56"/>
  <c r="GA335" i="56"/>
  <c r="DT335" i="56"/>
  <c r="CV335" i="56"/>
  <c r="GA319" i="56"/>
  <c r="DT319" i="56"/>
  <c r="GA303" i="56"/>
  <c r="DT303" i="56"/>
  <c r="CV303" i="56"/>
  <c r="GA287" i="56"/>
  <c r="DT287" i="56"/>
  <c r="CV287" i="56"/>
  <c r="GA271" i="56"/>
  <c r="DT271" i="56"/>
  <c r="CV271" i="56"/>
  <c r="GA255" i="56"/>
  <c r="DT255" i="56"/>
  <c r="CV255" i="56"/>
  <c r="GA239" i="56"/>
  <c r="DT239" i="56"/>
  <c r="GA223" i="56"/>
  <c r="DT223" i="56"/>
  <c r="GA207" i="56"/>
  <c r="DT207" i="56"/>
  <c r="GA191" i="56"/>
  <c r="DT191" i="56"/>
  <c r="CV191" i="56"/>
  <c r="GA175" i="56"/>
  <c r="DT175" i="56"/>
  <c r="GA159" i="56"/>
  <c r="DT159" i="56"/>
  <c r="CV159" i="56"/>
  <c r="GA143" i="56"/>
  <c r="DT143" i="56"/>
  <c r="GA127" i="56"/>
  <c r="DT127" i="56"/>
  <c r="CV127" i="56"/>
  <c r="GA111" i="56"/>
  <c r="CV111" i="56"/>
  <c r="DT111" i="56"/>
  <c r="GA95" i="56"/>
  <c r="DT95" i="56"/>
  <c r="CV95" i="56"/>
  <c r="GA79" i="56"/>
  <c r="DT79" i="56"/>
  <c r="GA63" i="56"/>
  <c r="CV63" i="56"/>
  <c r="DT63" i="56"/>
  <c r="GA47" i="56"/>
  <c r="DT47" i="56"/>
  <c r="CV47" i="56"/>
  <c r="GA31" i="56"/>
  <c r="DT31" i="56"/>
  <c r="CV31" i="56"/>
  <c r="FD31" i="56" s="1"/>
  <c r="M31" i="56" s="1"/>
  <c r="FE31" i="56" s="1"/>
  <c r="FF31" i="56" s="1"/>
  <c r="GA15" i="56"/>
  <c r="DT15" i="56"/>
  <c r="EH352" i="56"/>
  <c r="DM352" i="56"/>
  <c r="EH336" i="56"/>
  <c r="DM336" i="56"/>
  <c r="EH320" i="56"/>
  <c r="DM320" i="56"/>
  <c r="EH304" i="56"/>
  <c r="DM304" i="56"/>
  <c r="EH288" i="56"/>
  <c r="DM288" i="56"/>
  <c r="EH272" i="56"/>
  <c r="DM272" i="56"/>
  <c r="EH256" i="56"/>
  <c r="DM256" i="56"/>
  <c r="EH240" i="56"/>
  <c r="DM240" i="56"/>
  <c r="EH224" i="56"/>
  <c r="DM224" i="56"/>
  <c r="EH208" i="56"/>
  <c r="DM208" i="56"/>
  <c r="EH192" i="56"/>
  <c r="DM192" i="56"/>
  <c r="DM176" i="56"/>
  <c r="EH160" i="56"/>
  <c r="DM160" i="56"/>
  <c r="EH144" i="56"/>
  <c r="DM144" i="56"/>
  <c r="EI144" i="56" s="1"/>
  <c r="EH128" i="56"/>
  <c r="DM128" i="56"/>
  <c r="EH112" i="56"/>
  <c r="DM112" i="56"/>
  <c r="EH96" i="56"/>
  <c r="EH80" i="56"/>
  <c r="EH64" i="56"/>
  <c r="DM64" i="56"/>
  <c r="EH47" i="56"/>
  <c r="DM47" i="56"/>
  <c r="EH31" i="56"/>
  <c r="DM31" i="56"/>
  <c r="EH15" i="56"/>
  <c r="DM15" i="56"/>
  <c r="BU286" i="56"/>
  <c r="BU30" i="56"/>
  <c r="DJ345" i="56"/>
  <c r="DL345" i="56"/>
  <c r="GF345" i="56" s="1"/>
  <c r="DL329" i="56"/>
  <c r="DJ329" i="56"/>
  <c r="DL313" i="56"/>
  <c r="DJ313" i="56"/>
  <c r="DL297" i="56"/>
  <c r="DJ297" i="56"/>
  <c r="DL281" i="56"/>
  <c r="DJ281" i="56"/>
  <c r="DL265" i="56"/>
  <c r="DJ265" i="56"/>
  <c r="DL249" i="56"/>
  <c r="DJ249" i="56"/>
  <c r="DJ233" i="56"/>
  <c r="GF233" i="56" s="1"/>
  <c r="DL217" i="56"/>
  <c r="DJ217" i="56"/>
  <c r="DL201" i="56"/>
  <c r="DJ201" i="56"/>
  <c r="DL185" i="56"/>
  <c r="DJ169" i="56"/>
  <c r="DL169" i="56"/>
  <c r="DJ153" i="56"/>
  <c r="DJ137" i="56"/>
  <c r="DL137" i="56"/>
  <c r="DJ121" i="56"/>
  <c r="DL121" i="56"/>
  <c r="DJ105" i="56"/>
  <c r="DL105" i="56"/>
  <c r="DJ89" i="56"/>
  <c r="DL89" i="56"/>
  <c r="DL73" i="56"/>
  <c r="GF73" i="56" s="1"/>
  <c r="DL57" i="56"/>
  <c r="DJ57" i="56"/>
  <c r="DL41" i="56"/>
  <c r="DJ41" i="56"/>
  <c r="DL9" i="56"/>
  <c r="DJ9" i="56"/>
  <c r="BW318" i="56"/>
  <c r="BW254" i="56"/>
  <c r="BW190" i="56"/>
  <c r="BX207" i="56"/>
  <c r="BX143" i="56"/>
  <c r="BX79" i="56"/>
  <c r="BY276" i="56" a="1"/>
  <c r="BY276" i="56" s="1"/>
  <c r="DU276" i="56" s="1"/>
  <c r="BY212" i="56" a="1"/>
  <c r="BY212" i="56" s="1"/>
  <c r="CD336" i="56"/>
  <c r="CC336" i="56"/>
  <c r="CF336" i="56"/>
  <c r="CD320" i="56"/>
  <c r="CV320" i="56" s="1"/>
  <c r="CA321" i="56"/>
  <c r="CC320" i="56"/>
  <c r="CF320" i="56"/>
  <c r="CD304" i="56"/>
  <c r="CV304" i="56" s="1"/>
  <c r="CC304" i="56"/>
  <c r="CD288" i="56"/>
  <c r="CV288" i="56" s="1"/>
  <c r="CE288" i="56"/>
  <c r="CA289" i="56"/>
  <c r="CD272" i="56"/>
  <c r="CV272" i="56" s="1"/>
  <c r="CB272" i="56"/>
  <c r="CE272" i="56"/>
  <c r="CA273" i="56"/>
  <c r="CD256" i="56"/>
  <c r="CV256" i="56" s="1"/>
  <c r="CC256" i="56"/>
  <c r="CF256" i="56"/>
  <c r="CA257" i="56"/>
  <c r="CD240" i="56"/>
  <c r="CV240" i="56" s="1"/>
  <c r="CF240" i="56"/>
  <c r="CC240" i="56"/>
  <c r="CB240" i="56"/>
  <c r="CE240" i="56"/>
  <c r="CD224" i="56"/>
  <c r="CC224" i="56"/>
  <c r="CE224" i="56"/>
  <c r="CB224" i="56"/>
  <c r="CD208" i="56"/>
  <c r="CV208" i="56" s="1"/>
  <c r="CF208" i="56"/>
  <c r="CE208" i="56"/>
  <c r="CB208" i="56"/>
  <c r="CD192" i="56"/>
  <c r="CV192" i="56" s="1"/>
  <c r="CC192" i="56"/>
  <c r="CF192" i="56"/>
  <c r="CD176" i="56"/>
  <c r="CV176" i="56" s="1"/>
  <c r="CC176" i="56"/>
  <c r="CF176" i="56"/>
  <c r="CD160" i="56"/>
  <c r="CV160" i="56" s="1"/>
  <c r="CA161" i="56"/>
  <c r="CE160" i="56"/>
  <c r="CD144" i="56"/>
  <c r="CV144" i="56" s="1"/>
  <c r="CC144" i="56"/>
  <c r="CA145" i="56"/>
  <c r="CD128" i="56"/>
  <c r="CV128" i="56" s="1"/>
  <c r="CF128" i="56"/>
  <c r="CA129" i="56"/>
  <c r="CD112" i="56"/>
  <c r="CV112" i="56" s="1"/>
  <c r="CE112" i="56"/>
  <c r="CC112" i="56"/>
  <c r="CD96" i="56"/>
  <c r="CV96" i="56" s="1"/>
  <c r="CF96" i="56"/>
  <c r="CE96" i="56"/>
  <c r="CB96" i="56"/>
  <c r="CD80" i="56"/>
  <c r="CV80" i="56" s="1"/>
  <c r="CE80" i="56"/>
  <c r="CB80" i="56"/>
  <c r="CD64" i="56"/>
  <c r="CV64" i="56" s="1"/>
  <c r="CC64" i="56"/>
  <c r="CF64" i="56"/>
  <c r="CD48" i="56"/>
  <c r="CV48" i="56" s="1"/>
  <c r="CA49" i="56"/>
  <c r="CC48" i="56"/>
  <c r="CF48" i="56"/>
  <c r="CD32" i="56"/>
  <c r="CV32" i="56" s="1"/>
  <c r="CC32" i="56"/>
  <c r="CD16" i="56"/>
  <c r="CV16" i="56" s="1"/>
  <c r="CB16" i="56"/>
  <c r="CE16" i="56"/>
  <c r="CA17" i="56"/>
  <c r="CA323" i="56"/>
  <c r="IP268" i="56"/>
  <c r="FL268" i="56"/>
  <c r="FM268" i="56" s="1"/>
  <c r="FO268" i="56" s="1" a="1"/>
  <c r="FO268" i="56" s="1"/>
  <c r="DC268" i="56"/>
  <c r="CA244" i="56"/>
  <c r="IP222" i="56"/>
  <c r="FF222" i="56"/>
  <c r="FL222" i="56"/>
  <c r="FM222" i="56" s="1"/>
  <c r="FO222" i="56" s="1" a="1"/>
  <c r="FO222" i="56" s="1"/>
  <c r="IP168" i="56"/>
  <c r="FF168" i="56"/>
  <c r="FL168" i="56"/>
  <c r="FM168" i="56" s="1"/>
  <c r="FO168" i="56" s="1" a="1"/>
  <c r="FO168" i="56" s="1"/>
  <c r="CK168" i="56"/>
  <c r="IQ168" i="56" s="1"/>
  <c r="DC168" i="56"/>
  <c r="CA84" i="56"/>
  <c r="IP61" i="56"/>
  <c r="FL61" i="56"/>
  <c r="FM61" i="56" s="1"/>
  <c r="FO61" i="56" s="1" a="1"/>
  <c r="FO61" i="56" s="1"/>
  <c r="FB61" i="56"/>
  <c r="DC61" i="56"/>
  <c r="CK31" i="56"/>
  <c r="IR31" i="56" s="1"/>
  <c r="CB336" i="56"/>
  <c r="CB305" i="56"/>
  <c r="CB144" i="56"/>
  <c r="CB66" i="56"/>
  <c r="CC115" i="56"/>
  <c r="CC81" i="56"/>
  <c r="FB81" i="56" s="1"/>
  <c r="CD225" i="56"/>
  <c r="CV225" i="56" s="1"/>
  <c r="CD104" i="56"/>
  <c r="CV104" i="56" s="1"/>
  <c r="CF322" i="56"/>
  <c r="CF258" i="56"/>
  <c r="CF72" i="56"/>
  <c r="CG110" i="56"/>
  <c r="CH110" i="56" s="1"/>
  <c r="H110" i="56" s="1"/>
  <c r="CI158" i="56"/>
  <c r="GC349" i="56"/>
  <c r="FW349" i="56"/>
  <c r="GC333" i="56"/>
  <c r="FW333" i="56"/>
  <c r="GC317" i="56"/>
  <c r="GD317" i="56" s="1"/>
  <c r="GE317" i="56" s="1"/>
  <c r="FW317" i="56"/>
  <c r="GC301" i="56"/>
  <c r="FW301" i="56"/>
  <c r="GC285" i="56"/>
  <c r="FW285" i="56"/>
  <c r="GC269" i="56"/>
  <c r="FW269" i="56"/>
  <c r="FW253" i="56"/>
  <c r="GC253" i="56"/>
  <c r="GC237" i="56"/>
  <c r="FW237" i="56"/>
  <c r="FW221" i="56"/>
  <c r="GC221" i="56"/>
  <c r="FW205" i="56"/>
  <c r="GC205" i="56"/>
  <c r="GC189" i="56"/>
  <c r="FW189" i="56"/>
  <c r="GC173" i="56"/>
  <c r="FW173" i="56"/>
  <c r="FW157" i="56"/>
  <c r="GC157" i="56"/>
  <c r="GC141" i="56"/>
  <c r="FW141" i="56"/>
  <c r="FW125" i="56"/>
  <c r="GC125" i="56"/>
  <c r="FW109" i="56"/>
  <c r="GC109" i="56"/>
  <c r="GC93" i="56"/>
  <c r="FW93" i="56"/>
  <c r="GC77" i="56"/>
  <c r="FW77" i="56"/>
  <c r="GC61" i="56"/>
  <c r="FW61" i="56"/>
  <c r="GC45" i="56"/>
  <c r="GD45" i="56"/>
  <c r="FW45" i="56"/>
  <c r="GC29" i="56"/>
  <c r="FW29" i="56"/>
  <c r="GC13" i="56"/>
  <c r="FW13" i="56"/>
  <c r="BO351" i="56"/>
  <c r="BO287" i="56"/>
  <c r="BO271" i="56"/>
  <c r="BO239" i="56"/>
  <c r="BO223" i="56"/>
  <c r="BO207" i="56"/>
  <c r="BO191" i="56"/>
  <c r="BO175" i="56"/>
  <c r="BO143" i="56"/>
  <c r="BO111" i="56"/>
  <c r="BO79" i="56"/>
  <c r="BO63" i="56"/>
  <c r="BO47" i="56"/>
  <c r="BO15" i="56"/>
  <c r="GA345" i="56"/>
  <c r="DT345" i="56"/>
  <c r="GA329" i="56"/>
  <c r="DT329" i="56"/>
  <c r="GA313" i="56"/>
  <c r="DT313" i="56"/>
  <c r="CV313" i="56"/>
  <c r="GA297" i="56"/>
  <c r="DT297" i="56"/>
  <c r="GA281" i="56"/>
  <c r="DT281" i="56"/>
  <c r="GA265" i="56"/>
  <c r="DT265" i="56"/>
  <c r="CV265" i="56"/>
  <c r="GA249" i="56"/>
  <c r="CV249" i="56"/>
  <c r="GA233" i="56"/>
  <c r="DT233" i="56"/>
  <c r="GA217" i="56"/>
  <c r="DT217" i="56"/>
  <c r="GA201" i="56"/>
  <c r="DT201" i="56"/>
  <c r="GA185" i="56"/>
  <c r="DT185" i="56"/>
  <c r="CV185" i="56"/>
  <c r="GA169" i="56"/>
  <c r="DT169" i="56"/>
  <c r="CV169" i="56"/>
  <c r="GA153" i="56"/>
  <c r="DT153" i="56"/>
  <c r="GA137" i="56"/>
  <c r="DT137" i="56"/>
  <c r="GA121" i="56"/>
  <c r="DT121" i="56"/>
  <c r="GA105" i="56"/>
  <c r="DT105" i="56"/>
  <c r="GA89" i="56"/>
  <c r="DT89" i="56"/>
  <c r="GA73" i="56"/>
  <c r="DT73" i="56"/>
  <c r="GA57" i="56"/>
  <c r="DT57" i="56"/>
  <c r="GA41" i="56"/>
  <c r="DT41" i="56"/>
  <c r="CV41" i="56"/>
  <c r="GA9" i="56"/>
  <c r="DT9" i="56"/>
  <c r="EH346" i="56"/>
  <c r="DM346" i="56"/>
  <c r="EH330" i="56"/>
  <c r="DM330" i="56"/>
  <c r="EH314" i="56"/>
  <c r="DM314" i="56"/>
  <c r="EH298" i="56"/>
  <c r="DM298" i="56"/>
  <c r="EH282" i="56"/>
  <c r="EH266" i="56"/>
  <c r="EH250" i="56"/>
  <c r="DM250" i="56"/>
  <c r="EH234" i="56"/>
  <c r="DM234" i="56"/>
  <c r="EH218" i="56"/>
  <c r="DM218" i="56"/>
  <c r="EH202" i="56"/>
  <c r="DM202" i="56"/>
  <c r="EH186" i="56"/>
  <c r="DM186" i="56"/>
  <c r="EH170" i="56"/>
  <c r="DM170" i="56"/>
  <c r="EH154" i="56"/>
  <c r="DM154" i="56"/>
  <c r="EH138" i="56"/>
  <c r="DM138" i="56"/>
  <c r="EH122" i="56"/>
  <c r="DM122" i="56"/>
  <c r="EH106" i="56"/>
  <c r="DM106" i="56"/>
  <c r="EH90" i="56"/>
  <c r="DM90" i="56"/>
  <c r="EH74" i="56"/>
  <c r="DM74" i="56"/>
  <c r="EH58" i="56"/>
  <c r="DM58" i="56"/>
  <c r="EH41" i="56"/>
  <c r="DM41" i="56"/>
  <c r="EH9" i="56"/>
  <c r="BU318" i="56"/>
  <c r="BU62" i="56"/>
  <c r="DJ339" i="56"/>
  <c r="DL339" i="56"/>
  <c r="DJ323" i="56"/>
  <c r="DL323" i="56"/>
  <c r="DJ307" i="56"/>
  <c r="DJ291" i="56"/>
  <c r="DL291" i="56"/>
  <c r="DJ275" i="56"/>
  <c r="DL275" i="56"/>
  <c r="DJ259" i="56"/>
  <c r="DL259" i="56"/>
  <c r="DL243" i="56"/>
  <c r="GF243" i="56" s="1"/>
  <c r="DJ243" i="56"/>
  <c r="DL227" i="56"/>
  <c r="DJ227" i="56"/>
  <c r="DL211" i="56"/>
  <c r="DJ211" i="56"/>
  <c r="DL195" i="56"/>
  <c r="DJ195" i="56"/>
  <c r="DL179" i="56"/>
  <c r="DJ179" i="56"/>
  <c r="DL163" i="56"/>
  <c r="DJ163" i="56"/>
  <c r="DL147" i="56"/>
  <c r="DJ147" i="56"/>
  <c r="DL131" i="56"/>
  <c r="GF131" i="56" s="1"/>
  <c r="DL115" i="56"/>
  <c r="GF115" i="56" s="1"/>
  <c r="DL99" i="56"/>
  <c r="DJ99" i="56"/>
  <c r="DJ83" i="56"/>
  <c r="DL83" i="56"/>
  <c r="DJ67" i="56"/>
  <c r="DJ51" i="56"/>
  <c r="DL51" i="56"/>
  <c r="DJ35" i="56"/>
  <c r="DL35" i="56"/>
  <c r="DJ19" i="56"/>
  <c r="DL19" i="56"/>
  <c r="BY261" i="56" a="1"/>
  <c r="BY261" i="56" s="1"/>
  <c r="DU261" i="56" s="1"/>
  <c r="BY229" i="56" a="1"/>
  <c r="BY229" i="56" s="1"/>
  <c r="DU229" i="56" s="1"/>
  <c r="IP219" i="56"/>
  <c r="FF219" i="56"/>
  <c r="FL219" i="56"/>
  <c r="FM219" i="56" s="1"/>
  <c r="FO219" i="56" s="1" a="1"/>
  <c r="FO219" i="56" s="1"/>
  <c r="FB219" i="56"/>
  <c r="DC219" i="56"/>
  <c r="IP203" i="56"/>
  <c r="IR203" i="56"/>
  <c r="IQ203" i="56"/>
  <c r="FF203" i="56"/>
  <c r="FB203" i="56"/>
  <c r="FL203" i="56"/>
  <c r="FM203" i="56" s="1"/>
  <c r="FO203" i="56" s="1" a="1"/>
  <c r="FO203" i="56" s="1"/>
  <c r="DF203" i="56"/>
  <c r="DG203" i="56" s="1"/>
  <c r="DC203" i="56"/>
  <c r="IP316" i="56"/>
  <c r="IR316" i="56"/>
  <c r="FL316" i="56"/>
  <c r="FM316" i="56" s="1"/>
  <c r="FO316" i="56" s="1" a="1"/>
  <c r="FO316" i="56" s="1"/>
  <c r="DF316" i="56"/>
  <c r="DG316" i="56" s="1"/>
  <c r="CK316" i="56"/>
  <c r="IQ316" i="56" s="1"/>
  <c r="IP284" i="56"/>
  <c r="FL284" i="56"/>
  <c r="FM284" i="56" s="1"/>
  <c r="FO284" i="56" s="1" a="1"/>
  <c r="FO284" i="56" s="1"/>
  <c r="FF284" i="56"/>
  <c r="FB284" i="56"/>
  <c r="DC284" i="56"/>
  <c r="IP155" i="56"/>
  <c r="IQ155" i="56"/>
  <c r="FL155" i="56"/>
  <c r="FM155" i="56" s="1"/>
  <c r="FO155" i="56" s="1" a="1"/>
  <c r="FO155" i="56" s="1"/>
  <c r="FF155" i="56"/>
  <c r="FB155" i="56"/>
  <c r="CK155" i="56"/>
  <c r="IR155" i="56" s="1"/>
  <c r="CA131" i="56"/>
  <c r="IP103" i="56"/>
  <c r="FL103" i="56"/>
  <c r="FM103" i="56" s="1"/>
  <c r="FO103" i="56" s="1" a="1"/>
  <c r="FO103" i="56" s="1"/>
  <c r="IP78" i="56"/>
  <c r="FL78" i="56"/>
  <c r="FM78" i="56" s="1"/>
  <c r="FO78" i="56" s="1" a="1"/>
  <c r="FO78" i="56" s="1"/>
  <c r="FB78" i="56"/>
  <c r="DC78" i="56"/>
  <c r="IP24" i="56"/>
  <c r="FL24" i="56"/>
  <c r="FM24" i="56" s="1"/>
  <c r="FO24" i="56" s="1" a="1"/>
  <c r="FO24" i="56" s="1"/>
  <c r="DC24" i="56"/>
  <c r="CB216" i="56"/>
  <c r="CB192" i="56"/>
  <c r="CB83" i="56"/>
  <c r="CC16" i="56"/>
  <c r="CD305" i="56"/>
  <c r="CV305" i="56" s="1"/>
  <c r="CE322" i="56"/>
  <c r="CE50" i="56"/>
  <c r="CF32" i="56"/>
  <c r="CG94" i="56"/>
  <c r="CH94" i="56" s="1"/>
  <c r="H94" i="56" s="1"/>
  <c r="CI190" i="56"/>
  <c r="CL94" i="56"/>
  <c r="CS94" i="56"/>
  <c r="I94" i="56" s="1"/>
  <c r="CT94" i="56" s="1"/>
  <c r="DM282" i="56"/>
  <c r="EL257" i="56"/>
  <c r="FW348" i="56"/>
  <c r="GC348" i="56"/>
  <c r="GC332" i="56"/>
  <c r="FW332" i="56"/>
  <c r="GC316" i="56"/>
  <c r="FW316" i="56"/>
  <c r="GC300" i="56"/>
  <c r="FW300" i="56"/>
  <c r="GC284" i="56"/>
  <c r="FW284" i="56"/>
  <c r="GC268" i="56"/>
  <c r="FW268" i="56"/>
  <c r="FW252" i="56"/>
  <c r="GC252" i="56"/>
  <c r="GC236" i="56"/>
  <c r="FW236" i="56"/>
  <c r="GC220" i="56"/>
  <c r="FW220" i="56"/>
  <c r="FW204" i="56"/>
  <c r="GC204" i="56"/>
  <c r="FW188" i="56"/>
  <c r="GC188" i="56"/>
  <c r="GC172" i="56"/>
  <c r="FW172" i="56"/>
  <c r="FW156" i="56"/>
  <c r="GC156" i="56"/>
  <c r="FW140" i="56"/>
  <c r="GC140" i="56"/>
  <c r="GC124" i="56"/>
  <c r="FW124" i="56"/>
  <c r="GC108" i="56"/>
  <c r="FW108" i="56"/>
  <c r="GC92" i="56"/>
  <c r="FW92" i="56"/>
  <c r="GC76" i="56"/>
  <c r="FW76" i="56"/>
  <c r="GC60" i="56"/>
  <c r="FW60" i="56"/>
  <c r="GC44" i="56"/>
  <c r="GD44" i="56"/>
  <c r="FW44" i="56"/>
  <c r="GC28" i="56"/>
  <c r="FW28" i="56"/>
  <c r="GC12" i="56"/>
  <c r="FW12" i="56"/>
  <c r="BO350" i="56"/>
  <c r="BO302" i="56"/>
  <c r="BO286" i="56"/>
  <c r="BO270" i="56"/>
  <c r="BO254" i="56"/>
  <c r="BO238" i="56"/>
  <c r="BO222" i="56"/>
  <c r="BO206" i="56"/>
  <c r="BO190" i="56"/>
  <c r="BO158" i="56"/>
  <c r="BO78" i="56"/>
  <c r="BO30" i="56"/>
  <c r="BO14" i="56"/>
  <c r="GA344" i="56"/>
  <c r="DT344" i="56"/>
  <c r="GA328" i="56"/>
  <c r="DT328" i="56"/>
  <c r="GA312" i="56"/>
  <c r="DT312" i="56"/>
  <c r="GA296" i="56"/>
  <c r="DT296" i="56"/>
  <c r="CV296" i="56"/>
  <c r="GA280" i="56"/>
  <c r="DT280" i="56"/>
  <c r="CV280" i="56"/>
  <c r="GA264" i="56"/>
  <c r="DT264" i="56"/>
  <c r="GA248" i="56"/>
  <c r="GA232" i="56"/>
  <c r="DT232" i="56"/>
  <c r="CV232" i="56"/>
  <c r="GA216" i="56"/>
  <c r="DT216" i="56"/>
  <c r="GA200" i="56"/>
  <c r="DT200" i="56"/>
  <c r="GA184" i="56"/>
  <c r="DT184" i="56"/>
  <c r="CV184" i="56"/>
  <c r="CW184" i="56" s="1"/>
  <c r="DA184" i="56" s="1"/>
  <c r="GA168" i="56"/>
  <c r="DT168" i="56"/>
  <c r="CV168" i="56"/>
  <c r="GA152" i="56"/>
  <c r="DT152" i="56"/>
  <c r="CV152" i="56"/>
  <c r="GA136" i="56"/>
  <c r="DT136" i="56"/>
  <c r="CV136" i="56"/>
  <c r="GA120" i="56"/>
  <c r="DT120" i="56"/>
  <c r="GA104" i="56"/>
  <c r="DT104" i="56"/>
  <c r="GA88" i="56"/>
  <c r="DT88" i="56"/>
  <c r="GA72" i="56"/>
  <c r="DT72" i="56"/>
  <c r="CV72" i="56"/>
  <c r="GA56" i="56"/>
  <c r="DT56" i="56"/>
  <c r="GA40" i="56"/>
  <c r="DT40" i="56"/>
  <c r="CV40" i="56"/>
  <c r="GA24" i="56"/>
  <c r="DT24" i="56"/>
  <c r="CV24" i="56"/>
  <c r="GA8" i="56"/>
  <c r="DT8" i="56"/>
  <c r="CV8" i="56"/>
  <c r="FD8" i="56" s="1"/>
  <c r="M8" i="56" s="1"/>
  <c r="FE8" i="56" s="1"/>
  <c r="FF8" i="56" s="1"/>
  <c r="EH345" i="56"/>
  <c r="DM345" i="56"/>
  <c r="DM329" i="56"/>
  <c r="EH329" i="56"/>
  <c r="EH313" i="56"/>
  <c r="DM313" i="56"/>
  <c r="EH297" i="56"/>
  <c r="DM297" i="56"/>
  <c r="EH281" i="56"/>
  <c r="DM281" i="56"/>
  <c r="EH265" i="56"/>
  <c r="EH249" i="56"/>
  <c r="DM249" i="56"/>
  <c r="EH233" i="56"/>
  <c r="DM233" i="56"/>
  <c r="EH217" i="56"/>
  <c r="DM217" i="56"/>
  <c r="EH201" i="56"/>
  <c r="DM201" i="56"/>
  <c r="EH185" i="56"/>
  <c r="DM185" i="56"/>
  <c r="EH169" i="56"/>
  <c r="DM169" i="56"/>
  <c r="EI169" i="56" s="1"/>
  <c r="EH153" i="56"/>
  <c r="DM153" i="56"/>
  <c r="EH137" i="56"/>
  <c r="DM137" i="56"/>
  <c r="EH121" i="56"/>
  <c r="DM121" i="56"/>
  <c r="EH105" i="56"/>
  <c r="DM105" i="56"/>
  <c r="EI105" i="56" s="1"/>
  <c r="EH89" i="56"/>
  <c r="DM89" i="56"/>
  <c r="EH73" i="56"/>
  <c r="DM73" i="56"/>
  <c r="EH57" i="56"/>
  <c r="DM57" i="56"/>
  <c r="EH40" i="56"/>
  <c r="DM40" i="56"/>
  <c r="DM24" i="56"/>
  <c r="EI24" i="56" s="1"/>
  <c r="EH24" i="56"/>
  <c r="EH8" i="56"/>
  <c r="BU238" i="56"/>
  <c r="DL338" i="56"/>
  <c r="DJ338" i="56"/>
  <c r="DJ322" i="56"/>
  <c r="DL322" i="56"/>
  <c r="GF322" i="56" s="1"/>
  <c r="DJ306" i="56"/>
  <c r="DJ290" i="56"/>
  <c r="DL290" i="56"/>
  <c r="DJ274" i="56"/>
  <c r="DL274" i="56"/>
  <c r="DJ258" i="56"/>
  <c r="DL258" i="56"/>
  <c r="DJ242" i="56"/>
  <c r="DL242" i="56"/>
  <c r="DL226" i="56"/>
  <c r="DJ226" i="56"/>
  <c r="DL210" i="56"/>
  <c r="DJ210" i="56"/>
  <c r="DL194" i="56"/>
  <c r="GF194" i="56" s="1"/>
  <c r="DJ194" i="56"/>
  <c r="DL178" i="56"/>
  <c r="DJ178" i="56"/>
  <c r="DL162" i="56"/>
  <c r="DJ162" i="56"/>
  <c r="DL146" i="56"/>
  <c r="DL130" i="56"/>
  <c r="DL114" i="56"/>
  <c r="DJ114" i="56"/>
  <c r="DL98" i="56"/>
  <c r="DJ98" i="56"/>
  <c r="DL82" i="56"/>
  <c r="DJ82" i="56"/>
  <c r="DJ66" i="56"/>
  <c r="DL66" i="56"/>
  <c r="GF66" i="56" s="1"/>
  <c r="DJ34" i="56"/>
  <c r="DL34" i="56"/>
  <c r="DJ18" i="56"/>
  <c r="DL18" i="56"/>
  <c r="BW287" i="56"/>
  <c r="BW223" i="56"/>
  <c r="CD345" i="56"/>
  <c r="CV345" i="56" s="1"/>
  <c r="CA346" i="56"/>
  <c r="CC329" i="56"/>
  <c r="CF329" i="56"/>
  <c r="CE329" i="56"/>
  <c r="CD329" i="56"/>
  <c r="CV329" i="56" s="1"/>
  <c r="CF313" i="56"/>
  <c r="CB313" i="56"/>
  <c r="CE313" i="56"/>
  <c r="CA298" i="56"/>
  <c r="CB297" i="56"/>
  <c r="CE297" i="56"/>
  <c r="CC281" i="56"/>
  <c r="CD281" i="56"/>
  <c r="CV281" i="56" s="1"/>
  <c r="CF281" i="56"/>
  <c r="CB281" i="56"/>
  <c r="CE265" i="56"/>
  <c r="CC265" i="56"/>
  <c r="CF265" i="56"/>
  <c r="CA250" i="56"/>
  <c r="CC249" i="56"/>
  <c r="FB249" i="56" s="1"/>
  <c r="CE233" i="56"/>
  <c r="CD233" i="56"/>
  <c r="CV233" i="56" s="1"/>
  <c r="CC233" i="56"/>
  <c r="FB233" i="56" s="1"/>
  <c r="CA218" i="56"/>
  <c r="CD217" i="56"/>
  <c r="CV217" i="56" s="1"/>
  <c r="CF201" i="56"/>
  <c r="CA202" i="56"/>
  <c r="CD201" i="56"/>
  <c r="CV201" i="56" s="1"/>
  <c r="CC185" i="56"/>
  <c r="CF185" i="56"/>
  <c r="CE185" i="56"/>
  <c r="CB185" i="56"/>
  <c r="CE169" i="56"/>
  <c r="CB169" i="56"/>
  <c r="CB153" i="56"/>
  <c r="CD153" i="56"/>
  <c r="CV153" i="56" s="1"/>
  <c r="CF153" i="56"/>
  <c r="CE153" i="56"/>
  <c r="CF137" i="56"/>
  <c r="CD137" i="56"/>
  <c r="CC137" i="56"/>
  <c r="FB137" i="56" s="1"/>
  <c r="CD121" i="56"/>
  <c r="CV121" i="56" s="1"/>
  <c r="CA122" i="56"/>
  <c r="CC121" i="56"/>
  <c r="CF121" i="56"/>
  <c r="CE105" i="56"/>
  <c r="CC105" i="56"/>
  <c r="CD89" i="56"/>
  <c r="CV89" i="56" s="1"/>
  <c r="CA90" i="56"/>
  <c r="CD73" i="56"/>
  <c r="CV73" i="56" s="1"/>
  <c r="CA74" i="56"/>
  <c r="CC57" i="56"/>
  <c r="CF57" i="56"/>
  <c r="CE57" i="56"/>
  <c r="CD57" i="56"/>
  <c r="CV57" i="56" s="1"/>
  <c r="CA42" i="56"/>
  <c r="CF41" i="56"/>
  <c r="CB41" i="56"/>
  <c r="CE41" i="56"/>
  <c r="CC25" i="56"/>
  <c r="CB25" i="56"/>
  <c r="CE25" i="56"/>
  <c r="CE9" i="56"/>
  <c r="CD9" i="56"/>
  <c r="CV9" i="56" s="1"/>
  <c r="CF9" i="56"/>
  <c r="CB9" i="56"/>
  <c r="CA314" i="56"/>
  <c r="IP283" i="56"/>
  <c r="FL283" i="56"/>
  <c r="FM283" i="56" s="1"/>
  <c r="FO283" i="56" s="1" a="1"/>
  <c r="FO283" i="56" s="1"/>
  <c r="FD283" i="56"/>
  <c r="M283" i="56" s="1"/>
  <c r="FE283" i="56" s="1"/>
  <c r="FF283" i="56" s="1"/>
  <c r="DC283" i="56"/>
  <c r="CA179" i="56"/>
  <c r="CA154" i="56"/>
  <c r="IP77" i="56"/>
  <c r="FL77" i="56"/>
  <c r="FM77" i="56" s="1"/>
  <c r="FO77" i="56" s="1" a="1"/>
  <c r="FO77" i="56" s="1"/>
  <c r="FB77" i="56"/>
  <c r="DC77" i="56"/>
  <c r="IP23" i="56"/>
  <c r="FL23" i="56"/>
  <c r="FM23" i="56" s="1"/>
  <c r="FO23" i="56" s="1" a="1"/>
  <c r="FO23" i="56" s="1"/>
  <c r="FB23" i="56"/>
  <c r="DC23" i="56"/>
  <c r="CB322" i="56"/>
  <c r="CB160" i="56"/>
  <c r="CB137" i="56"/>
  <c r="CC345" i="56"/>
  <c r="CC41" i="56"/>
  <c r="FB41" i="56" s="1"/>
  <c r="CD211" i="56"/>
  <c r="CV211" i="56" s="1"/>
  <c r="CD178" i="56"/>
  <c r="CV178" i="56" s="1"/>
  <c r="CE321" i="56"/>
  <c r="CE256" i="56"/>
  <c r="CE49" i="56"/>
  <c r="CE17" i="56"/>
  <c r="CF243" i="56"/>
  <c r="CK243" i="56" s="1"/>
  <c r="DF243" i="56" s="1"/>
  <c r="DG243" i="56" s="1"/>
  <c r="CF89" i="56"/>
  <c r="CL286" i="56"/>
  <c r="CL47" i="56"/>
  <c r="DC103" i="56"/>
  <c r="DL153" i="56"/>
  <c r="DM266" i="56"/>
  <c r="DM80" i="56"/>
  <c r="EH176" i="56"/>
  <c r="GC347" i="56"/>
  <c r="FW347" i="56"/>
  <c r="FW331" i="56"/>
  <c r="GC331" i="56"/>
  <c r="GC315" i="56"/>
  <c r="FW315" i="56"/>
  <c r="GC299" i="56"/>
  <c r="FW299" i="56"/>
  <c r="GC283" i="56"/>
  <c r="FW283" i="56"/>
  <c r="GC267" i="56"/>
  <c r="FW267" i="56"/>
  <c r="FW251" i="56"/>
  <c r="GC251" i="56"/>
  <c r="GC235" i="56"/>
  <c r="FW235" i="56"/>
  <c r="GC219" i="56"/>
  <c r="FW219" i="56"/>
  <c r="GC203" i="56"/>
  <c r="FW203" i="56"/>
  <c r="FW187" i="56"/>
  <c r="GC187" i="56"/>
  <c r="GC171" i="56"/>
  <c r="FW171" i="56"/>
  <c r="GC155" i="56"/>
  <c r="FW155" i="56"/>
  <c r="FW139" i="56"/>
  <c r="GC139" i="56"/>
  <c r="GC123" i="56"/>
  <c r="FW123" i="56"/>
  <c r="GC107" i="56"/>
  <c r="FW107" i="56"/>
  <c r="GC91" i="56"/>
  <c r="FW91" i="56"/>
  <c r="FW75" i="56"/>
  <c r="GC75" i="56"/>
  <c r="GC59" i="56"/>
  <c r="FW59" i="56"/>
  <c r="GC43" i="56"/>
  <c r="GD43" i="56"/>
  <c r="FW43" i="56"/>
  <c r="GC27" i="56"/>
  <c r="FW27" i="56"/>
  <c r="GC11" i="56"/>
  <c r="FW11" i="56"/>
  <c r="GA343" i="56"/>
  <c r="DT343" i="56"/>
  <c r="CV343" i="56"/>
  <c r="GA327" i="56"/>
  <c r="DT327" i="56"/>
  <c r="GA311" i="56"/>
  <c r="DT311" i="56"/>
  <c r="GA295" i="56"/>
  <c r="DT295" i="56"/>
  <c r="CV295" i="56"/>
  <c r="GA279" i="56"/>
  <c r="DT279" i="56"/>
  <c r="CV279" i="56"/>
  <c r="GA263" i="56"/>
  <c r="DT263" i="56"/>
  <c r="GA247" i="56"/>
  <c r="DT247" i="56"/>
  <c r="CV247" i="56"/>
  <c r="GA231" i="56"/>
  <c r="DT231" i="56"/>
  <c r="CV231" i="56"/>
  <c r="GA215" i="56"/>
  <c r="DT215" i="56"/>
  <c r="CV215" i="56"/>
  <c r="GA199" i="56"/>
  <c r="DT199" i="56"/>
  <c r="GA183" i="56"/>
  <c r="DT183" i="56"/>
  <c r="CV183" i="56"/>
  <c r="GA167" i="56"/>
  <c r="DT167" i="56"/>
  <c r="GA151" i="56"/>
  <c r="DT151" i="56"/>
  <c r="CV151" i="56"/>
  <c r="GA135" i="56"/>
  <c r="DT135" i="56"/>
  <c r="GA119" i="56"/>
  <c r="DT119" i="56"/>
  <c r="CV119" i="56"/>
  <c r="GA103" i="56"/>
  <c r="DT103" i="56"/>
  <c r="CV103" i="56"/>
  <c r="GA87" i="56"/>
  <c r="DT87" i="56"/>
  <c r="CV87" i="56"/>
  <c r="FD87" i="56" s="1"/>
  <c r="M87" i="56" s="1"/>
  <c r="FE87" i="56" s="1"/>
  <c r="FF87" i="56" s="1"/>
  <c r="GA71" i="56"/>
  <c r="DT71" i="56"/>
  <c r="CV71" i="56"/>
  <c r="GA55" i="56"/>
  <c r="DT55" i="56"/>
  <c r="GA39" i="56"/>
  <c r="DT39" i="56"/>
  <c r="CV39" i="56"/>
  <c r="GA23" i="56"/>
  <c r="DT23" i="56"/>
  <c r="CV23" i="56"/>
  <c r="GA7" i="56"/>
  <c r="DT7" i="56"/>
  <c r="CV7" i="56"/>
  <c r="EH344" i="56"/>
  <c r="DM344" i="56"/>
  <c r="EH328" i="56"/>
  <c r="DM328" i="56"/>
  <c r="EH312" i="56"/>
  <c r="DM312" i="56"/>
  <c r="EH296" i="56"/>
  <c r="DM296" i="56"/>
  <c r="EH280" i="56"/>
  <c r="DM280" i="56"/>
  <c r="EI280" i="56" s="1"/>
  <c r="EH264" i="56"/>
  <c r="DM264" i="56"/>
  <c r="EH248" i="56"/>
  <c r="EH232" i="56"/>
  <c r="DM232" i="56"/>
  <c r="EH216" i="56"/>
  <c r="DM216" i="56"/>
  <c r="EH200" i="56"/>
  <c r="DM200" i="56"/>
  <c r="EH184" i="56"/>
  <c r="DM184" i="56"/>
  <c r="EH168" i="56"/>
  <c r="DM168" i="56"/>
  <c r="EH152" i="56"/>
  <c r="DM152" i="56"/>
  <c r="EH136" i="56"/>
  <c r="DM136" i="56"/>
  <c r="DM120" i="56"/>
  <c r="EH120" i="56"/>
  <c r="EH104" i="56"/>
  <c r="DM104" i="56"/>
  <c r="EH88" i="56"/>
  <c r="DM88" i="56"/>
  <c r="EI88" i="56" s="1"/>
  <c r="EH72" i="56"/>
  <c r="DM72" i="56"/>
  <c r="EH56" i="56"/>
  <c r="DM56" i="56"/>
  <c r="EH39" i="56"/>
  <c r="DM39" i="56"/>
  <c r="DM23" i="56"/>
  <c r="EH7" i="56"/>
  <c r="DM7" i="56"/>
  <c r="DL337" i="56"/>
  <c r="DJ337" i="56"/>
  <c r="DL321" i="56"/>
  <c r="DJ321" i="56"/>
  <c r="DJ305" i="56"/>
  <c r="DL305" i="56"/>
  <c r="DJ289" i="56"/>
  <c r="DL289" i="56"/>
  <c r="DJ273" i="56"/>
  <c r="DL273" i="56"/>
  <c r="DJ257" i="56"/>
  <c r="DL257" i="56"/>
  <c r="GF257" i="56" s="1"/>
  <c r="DJ241" i="56"/>
  <c r="DL241" i="56"/>
  <c r="DJ225" i="56"/>
  <c r="DL225" i="56"/>
  <c r="DL209" i="56"/>
  <c r="DL193" i="56"/>
  <c r="DJ193" i="56"/>
  <c r="DL177" i="56"/>
  <c r="DJ177" i="56"/>
  <c r="DL161" i="56"/>
  <c r="DJ161" i="56"/>
  <c r="DL145" i="56"/>
  <c r="DJ145" i="56"/>
  <c r="DL129" i="56"/>
  <c r="DJ129" i="56"/>
  <c r="DJ113" i="56"/>
  <c r="DL113" i="56"/>
  <c r="DL97" i="56"/>
  <c r="DJ97" i="56"/>
  <c r="DL81" i="56"/>
  <c r="DJ81" i="56"/>
  <c r="DL65" i="56"/>
  <c r="DJ65" i="56"/>
  <c r="DJ49" i="56"/>
  <c r="DL49" i="56"/>
  <c r="DJ33" i="56"/>
  <c r="DL33" i="56"/>
  <c r="DJ17" i="56"/>
  <c r="DL17" i="56"/>
  <c r="BY292" i="56" a="1"/>
  <c r="BY292" i="56" s="1"/>
  <c r="DU292" i="56" s="1"/>
  <c r="BY260" i="56" a="1"/>
  <c r="BY260" i="56" s="1"/>
  <c r="BY228" i="56" a="1"/>
  <c r="BY228" i="56" s="1"/>
  <c r="DU228" i="56" s="1"/>
  <c r="CE344" i="56"/>
  <c r="CD344" i="56"/>
  <c r="CV344" i="56" s="1"/>
  <c r="CW344" i="56" s="1"/>
  <c r="DA344" i="56" s="1"/>
  <c r="HB344" i="56" s="1"/>
  <c r="CA345" i="56"/>
  <c r="CF328" i="56"/>
  <c r="CB328" i="56"/>
  <c r="CD328" i="56"/>
  <c r="CV328" i="56" s="1"/>
  <c r="CA329" i="56"/>
  <c r="CC312" i="56"/>
  <c r="CE312" i="56"/>
  <c r="CC296" i="56"/>
  <c r="FB296" i="56" s="1"/>
  <c r="CB296" i="56"/>
  <c r="CE296" i="56"/>
  <c r="CA281" i="56"/>
  <c r="CF280" i="56"/>
  <c r="CB280" i="56"/>
  <c r="CC264" i="56"/>
  <c r="CD264" i="56"/>
  <c r="CV264" i="56" s="1"/>
  <c r="CF264" i="56"/>
  <c r="CE248" i="56"/>
  <c r="CD248" i="56"/>
  <c r="CV248" i="56" s="1"/>
  <c r="CC248" i="56"/>
  <c r="CF248" i="56"/>
  <c r="CE232" i="56"/>
  <c r="CC232" i="56"/>
  <c r="FB232" i="56" s="1"/>
  <c r="CE216" i="56"/>
  <c r="CA217" i="56"/>
  <c r="CD216" i="56"/>
  <c r="CV216" i="56" s="1"/>
  <c r="CF200" i="56"/>
  <c r="CE200" i="56"/>
  <c r="CB200" i="56"/>
  <c r="CA201" i="56"/>
  <c r="CD200" i="56"/>
  <c r="CV200" i="56" s="1"/>
  <c r="IP185" i="56"/>
  <c r="FF185" i="56"/>
  <c r="FL185" i="56"/>
  <c r="FM185" i="56" s="1"/>
  <c r="FO185" i="56" s="1" a="1"/>
  <c r="FO185" i="56" s="1"/>
  <c r="FB185" i="56"/>
  <c r="DC185" i="56"/>
  <c r="CC168" i="56"/>
  <c r="FB168" i="56" s="1"/>
  <c r="CE168" i="56"/>
  <c r="CB168" i="56"/>
  <c r="CC152" i="56"/>
  <c r="CF152" i="56"/>
  <c r="CE152" i="56"/>
  <c r="CB152" i="56"/>
  <c r="CB136" i="56"/>
  <c r="CD136" i="56"/>
  <c r="CF136" i="56"/>
  <c r="CF120" i="56"/>
  <c r="CD120" i="56"/>
  <c r="CV120" i="56" s="1"/>
  <c r="CC120" i="56"/>
  <c r="CE88" i="56"/>
  <c r="CA89" i="56"/>
  <c r="CB72" i="56"/>
  <c r="CE72" i="56"/>
  <c r="CD72" i="56"/>
  <c r="CA73" i="56"/>
  <c r="CF56" i="56"/>
  <c r="CB56" i="56"/>
  <c r="CD56" i="56"/>
  <c r="CV56" i="56" s="1"/>
  <c r="CA57" i="56"/>
  <c r="CC40" i="56"/>
  <c r="FB40" i="56" s="1"/>
  <c r="CE40" i="56"/>
  <c r="CA25" i="56"/>
  <c r="CC24" i="56"/>
  <c r="FB24" i="56" s="1"/>
  <c r="CB24" i="56"/>
  <c r="CE24" i="56"/>
  <c r="CC8" i="56"/>
  <c r="CF8" i="56"/>
  <c r="CB8" i="56"/>
  <c r="CA337" i="56"/>
  <c r="CA313" i="56"/>
  <c r="CA282" i="56"/>
  <c r="IP206" i="56"/>
  <c r="FL206" i="56"/>
  <c r="FM206" i="56" s="1"/>
  <c r="FO206" i="56" s="1" a="1"/>
  <c r="FO206" i="56" s="1"/>
  <c r="FF206" i="56"/>
  <c r="FB206" i="56"/>
  <c r="DC206" i="56"/>
  <c r="CA177" i="56"/>
  <c r="CA153" i="56"/>
  <c r="IP124" i="56"/>
  <c r="FL124" i="56"/>
  <c r="FM124" i="56" s="1"/>
  <c r="FO124" i="56" s="1" a="1"/>
  <c r="FO124" i="56" s="1"/>
  <c r="FB124" i="56"/>
  <c r="DC124" i="56"/>
  <c r="CA100" i="56"/>
  <c r="IP46" i="56"/>
  <c r="FL46" i="56"/>
  <c r="FM46" i="56" s="1"/>
  <c r="FO46" i="56" s="1" a="1"/>
  <c r="FO46" i="56" s="1"/>
  <c r="FB46" i="56"/>
  <c r="CB184" i="56"/>
  <c r="CC344" i="56"/>
  <c r="FB344" i="56" s="1"/>
  <c r="CC313" i="56"/>
  <c r="CC280" i="56"/>
  <c r="CD177" i="56"/>
  <c r="CV177" i="56" s="1"/>
  <c r="CD88" i="56"/>
  <c r="CE320" i="56"/>
  <c r="CE201" i="56"/>
  <c r="CE137" i="56"/>
  <c r="CE48" i="56"/>
  <c r="CF272" i="56"/>
  <c r="CF115" i="56"/>
  <c r="CF88" i="56"/>
  <c r="CV88" i="56"/>
  <c r="FD88" i="56" s="1"/>
  <c r="M88" i="56" s="1"/>
  <c r="FE88" i="56" s="1"/>
  <c r="FF88" i="56" s="1"/>
  <c r="DM265" i="56"/>
  <c r="IA351" i="56"/>
  <c r="IB351" i="56" s="1"/>
  <c r="FK351" i="56"/>
  <c r="BS351" i="56" s="1"/>
  <c r="EP351" i="56"/>
  <c r="CI351" i="56"/>
  <c r="CG351" i="56"/>
  <c r="CH351" i="56" s="1"/>
  <c r="H351" i="56" s="1"/>
  <c r="CX351" i="56"/>
  <c r="CS351" i="56"/>
  <c r="I351" i="56" s="1"/>
  <c r="CT351" i="56" s="1"/>
  <c r="DV351" i="56"/>
  <c r="BU351" i="56"/>
  <c r="FK335" i="56"/>
  <c r="BS335" i="56" s="1"/>
  <c r="FV335" i="56"/>
  <c r="EP335" i="56"/>
  <c r="CX335" i="56"/>
  <c r="CM335" i="56"/>
  <c r="J335" i="56" s="1"/>
  <c r="CN335" i="56" s="1"/>
  <c r="DV335" i="56"/>
  <c r="CG335" i="56"/>
  <c r="CH335" i="56" s="1"/>
  <c r="H335" i="56" s="1"/>
  <c r="CJ335" i="56" s="1"/>
  <c r="BU335" i="56"/>
  <c r="CI335" i="56"/>
  <c r="IA319" i="56"/>
  <c r="IB319" i="56" s="1"/>
  <c r="FK319" i="56"/>
  <c r="BS319" i="56" s="1"/>
  <c r="DV319" i="56"/>
  <c r="CX319" i="56"/>
  <c r="CM319" i="56"/>
  <c r="J319" i="56" s="1"/>
  <c r="CN319" i="56" s="1"/>
  <c r="CL319" i="56"/>
  <c r="CG319" i="56"/>
  <c r="CH319" i="56" s="1"/>
  <c r="H319" i="56" s="1"/>
  <c r="CJ319" i="56" s="1"/>
  <c r="CK319" i="56" s="1"/>
  <c r="IR319" i="56" s="1"/>
  <c r="BU319" i="56"/>
  <c r="IA303" i="56"/>
  <c r="IB303" i="56" s="1"/>
  <c r="FK303" i="56"/>
  <c r="BS303" i="56" s="1"/>
  <c r="DV303" i="56"/>
  <c r="EP303" i="56"/>
  <c r="CL303" i="56"/>
  <c r="BU303" i="56"/>
  <c r="CS303" i="56"/>
  <c r="I303" i="56" s="1"/>
  <c r="CT303" i="56" s="1"/>
  <c r="IA287" i="56"/>
  <c r="IB287" i="56" s="1"/>
  <c r="FK287" i="56"/>
  <c r="BS287" i="56" s="1"/>
  <c r="EP287" i="56"/>
  <c r="DV287" i="56"/>
  <c r="CX287" i="56"/>
  <c r="CI287" i="56"/>
  <c r="CL287" i="56"/>
  <c r="CM287" i="56"/>
  <c r="J287" i="56" s="1"/>
  <c r="CN287" i="56" s="1"/>
  <c r="CG287" i="56"/>
  <c r="CH287" i="56" s="1"/>
  <c r="H287" i="56" s="1"/>
  <c r="BX287" i="56"/>
  <c r="BU287" i="56"/>
  <c r="IA271" i="56"/>
  <c r="IB271" i="56" s="1"/>
  <c r="FK271" i="56"/>
  <c r="BS271" i="56" s="1"/>
  <c r="EP271" i="56"/>
  <c r="DV271" i="56"/>
  <c r="CX271" i="56"/>
  <c r="CS271" i="56"/>
  <c r="I271" i="56" s="1"/>
  <c r="CT271" i="56" s="1"/>
  <c r="CL271" i="56"/>
  <c r="BU271" i="56"/>
  <c r="BX271" i="56"/>
  <c r="BY271" i="56" s="1" a="1"/>
  <c r="BY271" i="56" s="1"/>
  <c r="CG271" i="56"/>
  <c r="CH271" i="56" s="1"/>
  <c r="H271" i="56" s="1"/>
  <c r="CJ271" i="56" s="1"/>
  <c r="CM271" i="56"/>
  <c r="J271" i="56" s="1"/>
  <c r="CN271" i="56" s="1"/>
  <c r="IA255" i="56"/>
  <c r="IB255" i="56" s="1"/>
  <c r="FK255" i="56"/>
  <c r="BS255" i="56" s="1"/>
  <c r="EP255" i="56"/>
  <c r="DV255" i="56"/>
  <c r="CX255" i="56"/>
  <c r="BU255" i="56"/>
  <c r="CL255" i="56"/>
  <c r="CS255" i="56"/>
  <c r="I255" i="56" s="1"/>
  <c r="CT255" i="56" s="1"/>
  <c r="IA239" i="56"/>
  <c r="IB239" i="56" s="1"/>
  <c r="FK239" i="56"/>
  <c r="BS239" i="56" s="1"/>
  <c r="EP239" i="56"/>
  <c r="DV239" i="56"/>
  <c r="CS239" i="56"/>
  <c r="I239" i="56" s="1"/>
  <c r="CT239" i="56" s="1"/>
  <c r="CX239" i="56"/>
  <c r="CM239" i="56"/>
  <c r="J239" i="56" s="1"/>
  <c r="CN239" i="56" s="1"/>
  <c r="CI239" i="56"/>
  <c r="CJ239" i="56" s="1"/>
  <c r="BU239" i="56"/>
  <c r="BX239" i="56"/>
  <c r="IA223" i="56"/>
  <c r="IB223" i="56" s="1"/>
  <c r="FK223" i="56"/>
  <c r="BS223" i="56" s="1"/>
  <c r="EP223" i="56"/>
  <c r="DV223" i="56"/>
  <c r="CS223" i="56"/>
  <c r="I223" i="56" s="1"/>
  <c r="CT223" i="56" s="1"/>
  <c r="BU223" i="56"/>
  <c r="CI223" i="56"/>
  <c r="IA207" i="56"/>
  <c r="IB207" i="56" s="1"/>
  <c r="FK207" i="56"/>
  <c r="BS207" i="56" s="1"/>
  <c r="EP207" i="56"/>
  <c r="DV207" i="56"/>
  <c r="CX207" i="56"/>
  <c r="CS207" i="56"/>
  <c r="I207" i="56" s="1"/>
  <c r="CT207" i="56" s="1"/>
  <c r="CG207" i="56"/>
  <c r="CH207" i="56" s="1"/>
  <c r="H207" i="56" s="1"/>
  <c r="CM207" i="56"/>
  <c r="J207" i="56" s="1"/>
  <c r="CN207" i="56" s="1"/>
  <c r="BU207" i="56"/>
  <c r="CI207" i="56"/>
  <c r="IA191" i="56"/>
  <c r="IB191" i="56" s="1"/>
  <c r="FK191" i="56"/>
  <c r="BS191" i="56" s="1"/>
  <c r="EP191" i="56"/>
  <c r="DV191" i="56"/>
  <c r="CS191" i="56"/>
  <c r="I191" i="56" s="1"/>
  <c r="CT191" i="56" s="1"/>
  <c r="CL191" i="56"/>
  <c r="CG191" i="56"/>
  <c r="CH191" i="56" s="1"/>
  <c r="H191" i="56" s="1"/>
  <c r="CJ191" i="56" s="1"/>
  <c r="CX191" i="56"/>
  <c r="BU191" i="56"/>
  <c r="CM191" i="56"/>
  <c r="J191" i="56" s="1"/>
  <c r="CN191" i="56" s="1"/>
  <c r="IA175" i="56"/>
  <c r="IB175" i="56" s="1"/>
  <c r="FK175" i="56"/>
  <c r="BS175" i="56" s="1"/>
  <c r="EP175" i="56"/>
  <c r="DV175" i="56"/>
  <c r="CX175" i="56"/>
  <c r="CL175" i="56"/>
  <c r="BW175" i="56"/>
  <c r="BU175" i="56"/>
  <c r="CS175" i="56"/>
  <c r="I175" i="56" s="1"/>
  <c r="CT175" i="56" s="1"/>
  <c r="IA159" i="56"/>
  <c r="IB159" i="56" s="1"/>
  <c r="FK159" i="56"/>
  <c r="BS159" i="56" s="1"/>
  <c r="EP159" i="56"/>
  <c r="DV159" i="56"/>
  <c r="CS159" i="56"/>
  <c r="I159" i="56" s="1"/>
  <c r="CT159" i="56" s="1"/>
  <c r="CX159" i="56"/>
  <c r="CI159" i="56"/>
  <c r="CL159" i="56"/>
  <c r="CG159" i="56"/>
  <c r="CH159" i="56" s="1"/>
  <c r="H159" i="56" s="1"/>
  <c r="CJ159" i="56" s="1"/>
  <c r="CK159" i="56" s="1"/>
  <c r="BU159" i="56"/>
  <c r="BW159" i="56"/>
  <c r="IA143" i="56"/>
  <c r="IB143" i="56" s="1"/>
  <c r="FK143" i="56"/>
  <c r="BS143" i="56" s="1"/>
  <c r="DV143" i="56"/>
  <c r="CX143" i="56"/>
  <c r="CM143" i="56"/>
  <c r="J143" i="56" s="1"/>
  <c r="CN143" i="56" s="1"/>
  <c r="CL143" i="56"/>
  <c r="BU143" i="56"/>
  <c r="CS143" i="56"/>
  <c r="I143" i="56" s="1"/>
  <c r="CT143" i="56" s="1"/>
  <c r="CG143" i="56"/>
  <c r="CH143" i="56" s="1"/>
  <c r="H143" i="56" s="1"/>
  <c r="CJ143" i="56" s="1"/>
  <c r="IA127" i="56"/>
  <c r="IB127" i="56" s="1"/>
  <c r="FK127" i="56"/>
  <c r="DV127" i="56"/>
  <c r="CL127" i="56"/>
  <c r="BU127" i="56"/>
  <c r="BW127" i="56"/>
  <c r="IA111" i="56"/>
  <c r="IB111" i="56" s="1"/>
  <c r="FK111" i="56"/>
  <c r="BS111" i="56" s="1"/>
  <c r="CX111" i="56"/>
  <c r="DV111" i="56"/>
  <c r="CM111" i="56"/>
  <c r="J111" i="56" s="1"/>
  <c r="CN111" i="56" s="1"/>
  <c r="CS111" i="56"/>
  <c r="I111" i="56" s="1"/>
  <c r="CT111" i="56" s="1"/>
  <c r="CI111" i="56"/>
  <c r="BU111" i="56"/>
  <c r="CL111" i="56"/>
  <c r="IA95" i="56"/>
  <c r="IB95" i="56" s="1"/>
  <c r="FK95" i="56"/>
  <c r="BS95" i="56" s="1"/>
  <c r="DV95" i="56"/>
  <c r="CI95" i="56"/>
  <c r="CG95" i="56"/>
  <c r="CH95" i="56" s="1"/>
  <c r="H95" i="56" s="1"/>
  <c r="CX95" i="56"/>
  <c r="BU95" i="56"/>
  <c r="CM95" i="56"/>
  <c r="J95" i="56" s="1"/>
  <c r="CN95" i="56" s="1"/>
  <c r="IA79" i="56"/>
  <c r="IB79" i="56" s="1"/>
  <c r="FK79" i="56"/>
  <c r="BS79" i="56" s="1"/>
  <c r="CX79" i="56"/>
  <c r="CM79" i="56"/>
  <c r="J79" i="56" s="1"/>
  <c r="CN79" i="56" s="1"/>
  <c r="CS79" i="56"/>
  <c r="I79" i="56" s="1"/>
  <c r="CT79" i="56" s="1"/>
  <c r="CG79" i="56"/>
  <c r="CH79" i="56" s="1"/>
  <c r="H79" i="56" s="1"/>
  <c r="BU79" i="56"/>
  <c r="CI79" i="56"/>
  <c r="DV79" i="56"/>
  <c r="IA63" i="56"/>
  <c r="IB63" i="56" s="1"/>
  <c r="FK63" i="56"/>
  <c r="BS63" i="56" s="1"/>
  <c r="CX63" i="56"/>
  <c r="DV63" i="56"/>
  <c r="CS63" i="56"/>
  <c r="I63" i="56" s="1"/>
  <c r="CT63" i="56" s="1"/>
  <c r="CL63" i="56"/>
  <c r="BU63" i="56"/>
  <c r="IA47" i="56"/>
  <c r="IB47" i="56" s="1"/>
  <c r="FK47" i="56"/>
  <c r="BS47" i="56" s="1"/>
  <c r="EP47" i="56"/>
  <c r="DV47" i="56"/>
  <c r="CX47" i="56"/>
  <c r="CM47" i="56"/>
  <c r="J47" i="56" s="1"/>
  <c r="CN47" i="56" s="1"/>
  <c r="CS47" i="56"/>
  <c r="I47" i="56" s="1"/>
  <c r="CT47" i="56" s="1"/>
  <c r="BU47" i="56"/>
  <c r="FV31" i="56"/>
  <c r="FK31" i="56"/>
  <c r="BS31" i="56" s="1"/>
  <c r="EP31" i="56"/>
  <c r="DV31" i="56"/>
  <c r="CX31" i="56"/>
  <c r="CG31" i="56"/>
  <c r="CH31" i="56" s="1"/>
  <c r="H31" i="56" s="1"/>
  <c r="CJ31" i="56" s="1"/>
  <c r="BX31" i="56"/>
  <c r="BU31" i="56"/>
  <c r="IA15" i="56"/>
  <c r="IB15" i="56" s="1"/>
  <c r="FK15" i="56"/>
  <c r="BS15" i="56" s="1"/>
  <c r="EP15" i="56"/>
  <c r="DV15" i="56"/>
  <c r="CS15" i="56"/>
  <c r="I15" i="56" s="1"/>
  <c r="CT15" i="56" s="1"/>
  <c r="CL15" i="56"/>
  <c r="CI15" i="56"/>
  <c r="CX15" i="56"/>
  <c r="CM15" i="56"/>
  <c r="J15" i="56" s="1"/>
  <c r="CN15" i="56" s="1"/>
  <c r="BU15" i="56"/>
  <c r="CG15" i="56"/>
  <c r="CH15" i="56" s="1"/>
  <c r="H15" i="56" s="1"/>
  <c r="BX15" i="56"/>
  <c r="EQ341" i="56"/>
  <c r="FA325" i="56"/>
  <c r="EZ325" i="56"/>
  <c r="EU325" i="56"/>
  <c r="ET325" i="56"/>
  <c r="EY325" i="56"/>
  <c r="EV325" i="56"/>
  <c r="ER325" i="56"/>
  <c r="EW325" i="56"/>
  <c r="ES325" i="56"/>
  <c r="EX325" i="56"/>
  <c r="EX309" i="56"/>
  <c r="EW309" i="56"/>
  <c r="EV309" i="56"/>
  <c r="EZ309" i="56"/>
  <c r="EY309" i="56"/>
  <c r="EU309" i="56"/>
  <c r="ES309" i="56"/>
  <c r="EY293" i="56"/>
  <c r="EW293" i="56"/>
  <c r="EU293" i="56"/>
  <c r="EV293" i="56"/>
  <c r="EZ293" i="56"/>
  <c r="EX293" i="56"/>
  <c r="ES293" i="56"/>
  <c r="ET293" i="56"/>
  <c r="EY277" i="56"/>
  <c r="EX277" i="56"/>
  <c r="ES277" i="56"/>
  <c r="EW277" i="56"/>
  <c r="ET277" i="56"/>
  <c r="EV277" i="56"/>
  <c r="EZ277" i="56"/>
  <c r="EU277" i="56"/>
  <c r="EZ261" i="56"/>
  <c r="ET261" i="56"/>
  <c r="EX261" i="56"/>
  <c r="EW261" i="56"/>
  <c r="EV261" i="56"/>
  <c r="EU261" i="56"/>
  <c r="EY261" i="56"/>
  <c r="ES261" i="56"/>
  <c r="EZ245" i="56"/>
  <c r="EY245" i="56"/>
  <c r="ET245" i="56"/>
  <c r="ES245" i="56"/>
  <c r="EV245" i="56"/>
  <c r="EW245" i="56"/>
  <c r="EU245" i="56"/>
  <c r="EX245" i="56"/>
  <c r="EZ229" i="56"/>
  <c r="EU229" i="56"/>
  <c r="EY229" i="56"/>
  <c r="ES229" i="56"/>
  <c r="EW229" i="56"/>
  <c r="EX229" i="56"/>
  <c r="EV229" i="56"/>
  <c r="ET229" i="56"/>
  <c r="EQ213" i="56"/>
  <c r="EW197" i="56"/>
  <c r="EZ197" i="56"/>
  <c r="ES197" i="56"/>
  <c r="ET197" i="56"/>
  <c r="EX197" i="56"/>
  <c r="EY197" i="56"/>
  <c r="EU197" i="56"/>
  <c r="EV197" i="56"/>
  <c r="EX181" i="56"/>
  <c r="EV181" i="56"/>
  <c r="EZ181" i="56"/>
  <c r="EW181" i="56"/>
  <c r="EY181" i="56"/>
  <c r="EU181" i="56"/>
  <c r="ES181" i="56"/>
  <c r="ER181" i="56"/>
  <c r="EZ165" i="56"/>
  <c r="EX165" i="56"/>
  <c r="EV165" i="56"/>
  <c r="ET165" i="56"/>
  <c r="ES165" i="56"/>
  <c r="EW165" i="56"/>
  <c r="EY149" i="56"/>
  <c r="EW149" i="56"/>
  <c r="ET149" i="56"/>
  <c r="ER149" i="56"/>
  <c r="EV149" i="56" s="1"/>
  <c r="EZ149" i="56"/>
  <c r="EU149" i="56"/>
  <c r="ES149" i="56"/>
  <c r="EX149" i="56"/>
  <c r="ER133" i="56"/>
  <c r="EV133" i="56" s="1"/>
  <c r="EW133" i="56"/>
  <c r="EZ133" i="56"/>
  <c r="ES133" i="56"/>
  <c r="EY133" i="56"/>
  <c r="EX133" i="56"/>
  <c r="EU133" i="56"/>
  <c r="ET133" i="56"/>
  <c r="EZ117" i="56"/>
  <c r="EY117" i="56"/>
  <c r="EX117" i="56"/>
  <c r="ER117" i="56"/>
  <c r="EW117" i="56"/>
  <c r="EU117" i="56"/>
  <c r="ES117" i="56"/>
  <c r="EU101" i="56"/>
  <c r="EY101" i="56"/>
  <c r="ET101" i="56"/>
  <c r="EX101" i="56"/>
  <c r="ER101" i="56"/>
  <c r="EV101" i="56" s="1"/>
  <c r="EZ101" i="56"/>
  <c r="ES101" i="56"/>
  <c r="EW101" i="56"/>
  <c r="EQ85" i="56"/>
  <c r="EW69" i="56"/>
  <c r="EV69" i="56"/>
  <c r="EZ69" i="56"/>
  <c r="EY69" i="56"/>
  <c r="EU69" i="56"/>
  <c r="ER69" i="56"/>
  <c r="ET69" i="56"/>
  <c r="EX69" i="56"/>
  <c r="ES69" i="56"/>
  <c r="EX53" i="56"/>
  <c r="EV53" i="56"/>
  <c r="FA53" i="56"/>
  <c r="EY53" i="56"/>
  <c r="ER53" i="56"/>
  <c r="EW53" i="56"/>
  <c r="ET53" i="56"/>
  <c r="EZ53" i="56"/>
  <c r="ES53" i="56"/>
  <c r="EU53" i="56"/>
  <c r="EY37" i="56"/>
  <c r="EW37" i="56"/>
  <c r="EU37" i="56"/>
  <c r="EX37" i="56"/>
  <c r="ES37" i="56"/>
  <c r="EZ37" i="56"/>
  <c r="EV37" i="56"/>
  <c r="ET37" i="56"/>
  <c r="EY21" i="56"/>
  <c r="EW21" i="56"/>
  <c r="ES21" i="56"/>
  <c r="EU21" i="56"/>
  <c r="ER21" i="56"/>
  <c r="EV21" i="56" s="1"/>
  <c r="EZ21" i="56"/>
  <c r="ET21" i="56"/>
  <c r="EX21" i="56"/>
  <c r="EW5" i="56"/>
  <c r="ER5" i="56"/>
  <c r="EU5" i="56"/>
  <c r="EX5" i="56"/>
  <c r="FW345" i="56"/>
  <c r="GC345" i="56"/>
  <c r="GC329" i="56"/>
  <c r="FW329" i="56"/>
  <c r="HE313" i="56"/>
  <c r="HF313" i="56" s="1"/>
  <c r="GC313" i="56"/>
  <c r="FW313" i="56"/>
  <c r="FW297" i="56"/>
  <c r="GC297" i="56"/>
  <c r="GC281" i="56"/>
  <c r="FW281" i="56"/>
  <c r="GC265" i="56"/>
  <c r="FW265" i="56"/>
  <c r="GC249" i="56"/>
  <c r="FW249" i="56"/>
  <c r="GC233" i="56"/>
  <c r="FW233" i="56"/>
  <c r="GC217" i="56"/>
  <c r="FW217" i="56"/>
  <c r="GC201" i="56"/>
  <c r="FW201" i="56"/>
  <c r="GC185" i="56"/>
  <c r="FW185" i="56"/>
  <c r="FW169" i="56"/>
  <c r="GC169" i="56"/>
  <c r="FW153" i="56"/>
  <c r="GC153" i="56"/>
  <c r="FW137" i="56"/>
  <c r="GC137" i="56"/>
  <c r="GC121" i="56"/>
  <c r="FW121" i="56"/>
  <c r="FW105" i="56"/>
  <c r="GC105" i="56"/>
  <c r="GC89" i="56"/>
  <c r="FW89" i="56"/>
  <c r="GC73" i="56"/>
  <c r="FW73" i="56"/>
  <c r="FW57" i="56"/>
  <c r="GD41" i="56"/>
  <c r="GC41" i="56"/>
  <c r="FW41" i="56"/>
  <c r="GC25" i="56"/>
  <c r="GD25" i="56"/>
  <c r="FW25" i="56"/>
  <c r="GC9" i="56"/>
  <c r="FW9" i="56"/>
  <c r="GA341" i="56"/>
  <c r="DT341" i="56"/>
  <c r="CV341" i="56"/>
  <c r="GA325" i="56"/>
  <c r="DT325" i="56"/>
  <c r="CV325" i="56"/>
  <c r="GA309" i="56"/>
  <c r="DT309" i="56"/>
  <c r="GA293" i="56"/>
  <c r="DT293" i="56"/>
  <c r="GA277" i="56"/>
  <c r="DT277" i="56"/>
  <c r="GA261" i="56"/>
  <c r="DT261" i="56"/>
  <c r="CV261" i="56"/>
  <c r="GA245" i="56"/>
  <c r="DT245" i="56"/>
  <c r="GA229" i="56"/>
  <c r="DT229" i="56"/>
  <c r="CV229" i="56"/>
  <c r="GA213" i="56"/>
  <c r="DT213" i="56"/>
  <c r="CV213" i="56"/>
  <c r="GA197" i="56"/>
  <c r="DT197" i="56"/>
  <c r="GA181" i="56"/>
  <c r="DT181" i="56"/>
  <c r="GA165" i="56"/>
  <c r="DT165" i="56"/>
  <c r="GA149" i="56"/>
  <c r="DT149" i="56"/>
  <c r="CV149" i="56"/>
  <c r="GA133" i="56"/>
  <c r="DT133" i="56"/>
  <c r="CV133" i="56"/>
  <c r="GA117" i="56"/>
  <c r="DT117" i="56"/>
  <c r="GA101" i="56"/>
  <c r="DT101" i="56"/>
  <c r="GA85" i="56"/>
  <c r="DT85" i="56"/>
  <c r="GA69" i="56"/>
  <c r="DT69" i="56"/>
  <c r="CV69" i="56"/>
  <c r="GA53" i="56"/>
  <c r="DT53" i="56"/>
  <c r="CV53" i="56"/>
  <c r="GA37" i="56"/>
  <c r="DT37" i="56"/>
  <c r="GA21" i="56"/>
  <c r="DT21" i="56"/>
  <c r="GA5" i="56"/>
  <c r="DT5" i="56"/>
  <c r="EH342" i="56"/>
  <c r="DM342" i="56"/>
  <c r="EI342" i="56" s="1"/>
  <c r="EH326" i="56"/>
  <c r="DM326" i="56"/>
  <c r="EH310" i="56"/>
  <c r="DM310" i="56"/>
  <c r="EH294" i="56"/>
  <c r="DM294" i="56"/>
  <c r="EH278" i="56"/>
  <c r="DM278" i="56"/>
  <c r="EH262" i="56"/>
  <c r="DM262" i="56"/>
  <c r="EH246" i="56"/>
  <c r="DM246" i="56"/>
  <c r="EH230" i="56"/>
  <c r="DM230" i="56"/>
  <c r="EH214" i="56"/>
  <c r="DM214" i="56"/>
  <c r="EI214" i="56" s="1"/>
  <c r="EH198" i="56"/>
  <c r="DM198" i="56"/>
  <c r="EH182" i="56"/>
  <c r="DM182" i="56"/>
  <c r="EH166" i="56"/>
  <c r="DM166" i="56"/>
  <c r="EH150" i="56"/>
  <c r="DM150" i="56"/>
  <c r="EH134" i="56"/>
  <c r="DM134" i="56"/>
  <c r="DM118" i="56"/>
  <c r="EH118" i="56"/>
  <c r="EH102" i="56"/>
  <c r="DM102" i="56"/>
  <c r="EH86" i="56"/>
  <c r="DM86" i="56"/>
  <c r="EI86" i="56" s="1"/>
  <c r="EH70" i="56"/>
  <c r="DM70" i="56"/>
  <c r="EH54" i="56"/>
  <c r="DM54" i="56"/>
  <c r="EH37" i="56"/>
  <c r="DM37" i="56"/>
  <c r="EH21" i="56"/>
  <c r="DM21" i="56"/>
  <c r="EH5" i="56"/>
  <c r="DM5" i="56"/>
  <c r="DL351" i="56"/>
  <c r="DJ351" i="56"/>
  <c r="DJ335" i="56"/>
  <c r="DL335" i="56"/>
  <c r="DL319" i="56"/>
  <c r="DJ319" i="56"/>
  <c r="DL303" i="56"/>
  <c r="DJ303" i="56"/>
  <c r="DL287" i="56"/>
  <c r="DJ287" i="56"/>
  <c r="DJ271" i="56"/>
  <c r="DL271" i="56"/>
  <c r="DJ255" i="56"/>
  <c r="DJ239" i="56"/>
  <c r="DL239" i="56"/>
  <c r="DJ223" i="56"/>
  <c r="DL223" i="56"/>
  <c r="DJ207" i="56"/>
  <c r="DL207" i="56"/>
  <c r="DJ191" i="56"/>
  <c r="DL191" i="56"/>
  <c r="DL175" i="56"/>
  <c r="DJ175" i="56"/>
  <c r="DL159" i="56"/>
  <c r="DJ159" i="56"/>
  <c r="DL143" i="56"/>
  <c r="DJ143" i="56"/>
  <c r="DL127" i="56"/>
  <c r="DJ127" i="56"/>
  <c r="DL111" i="56"/>
  <c r="DJ111" i="56"/>
  <c r="DL95" i="56"/>
  <c r="DJ95" i="56"/>
  <c r="DL79" i="56"/>
  <c r="DJ79" i="56"/>
  <c r="DL63" i="56"/>
  <c r="DJ63" i="56"/>
  <c r="DL47" i="56"/>
  <c r="GF47" i="56" s="1"/>
  <c r="DL31" i="56"/>
  <c r="DJ31" i="56"/>
  <c r="DJ15" i="56"/>
  <c r="DL15" i="56"/>
  <c r="BW95" i="56"/>
  <c r="BW31" i="56"/>
  <c r="CF342" i="56"/>
  <c r="CD342" i="56"/>
  <c r="CV342" i="56" s="1"/>
  <c r="CE342" i="56"/>
  <c r="CE326" i="56"/>
  <c r="CD326" i="56"/>
  <c r="CV326" i="56" s="1"/>
  <c r="CA327" i="56"/>
  <c r="CF310" i="56"/>
  <c r="CB310" i="56"/>
  <c r="CD310" i="56"/>
  <c r="CV310" i="56" s="1"/>
  <c r="CA311" i="56"/>
  <c r="CC294" i="56"/>
  <c r="CE294" i="56"/>
  <c r="CC278" i="56"/>
  <c r="CB278" i="56"/>
  <c r="CE278" i="56"/>
  <c r="CF262" i="56"/>
  <c r="CB262" i="56"/>
  <c r="CA247" i="56"/>
  <c r="CD246" i="56"/>
  <c r="CV246" i="56" s="1"/>
  <c r="CC246" i="56"/>
  <c r="CF246" i="56"/>
  <c r="CC230" i="56"/>
  <c r="CD230" i="56"/>
  <c r="CV230" i="56" s="1"/>
  <c r="CF230" i="56"/>
  <c r="CE214" i="56"/>
  <c r="CC214" i="56"/>
  <c r="CE198" i="56"/>
  <c r="CA199" i="56"/>
  <c r="CD198" i="56"/>
  <c r="CV198" i="56" s="1"/>
  <c r="CF182" i="56"/>
  <c r="CE182" i="56"/>
  <c r="CB182" i="56"/>
  <c r="CA183" i="56"/>
  <c r="CD182" i="56"/>
  <c r="CV182" i="56" s="1"/>
  <c r="IP167" i="56"/>
  <c r="FF167" i="56"/>
  <c r="FL167" i="56"/>
  <c r="FM167" i="56" s="1"/>
  <c r="FO167" i="56" s="1" a="1"/>
  <c r="FO167" i="56" s="1"/>
  <c r="DC167" i="56"/>
  <c r="CC150" i="56"/>
  <c r="CE150" i="56"/>
  <c r="CB150" i="56"/>
  <c r="CC134" i="56"/>
  <c r="CF134" i="56"/>
  <c r="CE134" i="56"/>
  <c r="CB134" i="56"/>
  <c r="CD118" i="56"/>
  <c r="CV118" i="56" s="1"/>
  <c r="CF118" i="56"/>
  <c r="CB118" i="56"/>
  <c r="CA305" i="56"/>
  <c r="CA279" i="56"/>
  <c r="CA228" i="56"/>
  <c r="IP204" i="56"/>
  <c r="FL204" i="56"/>
  <c r="FM204" i="56" s="1"/>
  <c r="FO204" i="56" s="1" a="1"/>
  <c r="FO204" i="56" s="1"/>
  <c r="FF204" i="56"/>
  <c r="FB204" i="56"/>
  <c r="DC204" i="56"/>
  <c r="IP174" i="56"/>
  <c r="FL174" i="56"/>
  <c r="FM174" i="56" s="1"/>
  <c r="FO174" i="56" s="1" a="1"/>
  <c r="FO174" i="56" s="1"/>
  <c r="FF174" i="56"/>
  <c r="DC174" i="56"/>
  <c r="CK174" i="56"/>
  <c r="IQ174" i="56" s="1"/>
  <c r="DF174" i="56"/>
  <c r="DG174" i="56" s="1"/>
  <c r="CA151" i="56"/>
  <c r="CA121" i="56"/>
  <c r="IR44" i="56"/>
  <c r="IP44" i="56"/>
  <c r="FL44" i="56"/>
  <c r="FM44" i="56" s="1"/>
  <c r="FO44" i="56" s="1" a="1"/>
  <c r="FO44" i="56" s="1"/>
  <c r="FB44" i="56"/>
  <c r="DC44" i="56"/>
  <c r="CK44" i="56"/>
  <c r="IQ44" i="56" s="1"/>
  <c r="IP14" i="56"/>
  <c r="FL14" i="56"/>
  <c r="FM14" i="56" s="1"/>
  <c r="FO14" i="56" s="1" a="1"/>
  <c r="FO14" i="56" s="1"/>
  <c r="DC14" i="56"/>
  <c r="CB344" i="56"/>
  <c r="CB288" i="56"/>
  <c r="CB265" i="56"/>
  <c r="CB128" i="56"/>
  <c r="CB104" i="56"/>
  <c r="CC342" i="56"/>
  <c r="CC310" i="56"/>
  <c r="CC217" i="56"/>
  <c r="CC9" i="56"/>
  <c r="CD51" i="56"/>
  <c r="CV51" i="56" s="1"/>
  <c r="CE195" i="56"/>
  <c r="CE104" i="56"/>
  <c r="CF304" i="56"/>
  <c r="CF144" i="56"/>
  <c r="CF112" i="56"/>
  <c r="CF80" i="56"/>
  <c r="CF24" i="56"/>
  <c r="CG303" i="56"/>
  <c r="CH303" i="56" s="1"/>
  <c r="H303" i="56" s="1"/>
  <c r="CJ303" i="56" s="1"/>
  <c r="CI175" i="56"/>
  <c r="CJ175" i="56" s="1"/>
  <c r="CK175" i="56" s="1"/>
  <c r="CL351" i="56"/>
  <c r="CM223" i="56"/>
  <c r="J223" i="56" s="1"/>
  <c r="CN223" i="56" s="1"/>
  <c r="DC222" i="56"/>
  <c r="DL307" i="56"/>
  <c r="GF307" i="56" s="1"/>
  <c r="EH23" i="56"/>
  <c r="IA350" i="56"/>
  <c r="IB350" i="56" s="1"/>
  <c r="FK350" i="56"/>
  <c r="BS350" i="56" s="1"/>
  <c r="CM350" i="56"/>
  <c r="J350" i="56" s="1"/>
  <c r="CN350" i="56" s="1"/>
  <c r="BX350" i="56"/>
  <c r="EP350" i="56"/>
  <c r="CX350" i="56"/>
  <c r="DV350" i="56"/>
  <c r="CS350" i="56"/>
  <c r="I350" i="56" s="1"/>
  <c r="CT350" i="56" s="1"/>
  <c r="CI350" i="56"/>
  <c r="CJ350" i="56" s="1"/>
  <c r="CK350" i="56" s="1"/>
  <c r="IA334" i="56"/>
  <c r="IB334" i="56" s="1"/>
  <c r="FK334" i="56"/>
  <c r="BS334" i="56" s="1"/>
  <c r="CM334" i="56"/>
  <c r="J334" i="56" s="1"/>
  <c r="CN334" i="56" s="1"/>
  <c r="BX334" i="56"/>
  <c r="DV334" i="56"/>
  <c r="CI334" i="56"/>
  <c r="CG334" i="56"/>
  <c r="CH334" i="56" s="1"/>
  <c r="H334" i="56" s="1"/>
  <c r="CS334" i="56"/>
  <c r="I334" i="56" s="1"/>
  <c r="CT334" i="56" s="1"/>
  <c r="IA318" i="56"/>
  <c r="IB318" i="56" s="1"/>
  <c r="FK318" i="56"/>
  <c r="BS318" i="56" s="1"/>
  <c r="CM318" i="56"/>
  <c r="J318" i="56" s="1"/>
  <c r="CN318" i="56" s="1"/>
  <c r="BX318" i="56"/>
  <c r="DV318" i="56"/>
  <c r="CX318" i="56"/>
  <c r="CL318" i="56"/>
  <c r="CS318" i="56"/>
  <c r="I318" i="56" s="1"/>
  <c r="CT318" i="56" s="1"/>
  <c r="IA302" i="56"/>
  <c r="IB302" i="56" s="1"/>
  <c r="FK302" i="56"/>
  <c r="BS302" i="56" s="1"/>
  <c r="EP302" i="56"/>
  <c r="CM302" i="56"/>
  <c r="J302" i="56" s="1"/>
  <c r="CN302" i="56" s="1"/>
  <c r="BX302" i="56"/>
  <c r="CX302" i="56"/>
  <c r="DV302" i="56"/>
  <c r="CS302" i="56"/>
  <c r="I302" i="56" s="1"/>
  <c r="CT302" i="56" s="1"/>
  <c r="IA286" i="56"/>
  <c r="IB286" i="56" s="1"/>
  <c r="FK286" i="56"/>
  <c r="BS286" i="56" s="1"/>
  <c r="EP286" i="56"/>
  <c r="DV286" i="56"/>
  <c r="CM286" i="56"/>
  <c r="J286" i="56" s="1"/>
  <c r="CN286" i="56" s="1"/>
  <c r="BX286" i="56"/>
  <c r="CX286" i="56"/>
  <c r="CS286" i="56"/>
  <c r="I286" i="56" s="1"/>
  <c r="CT286" i="56" s="1"/>
  <c r="CG286" i="56"/>
  <c r="CH286" i="56" s="1"/>
  <c r="H286" i="56" s="1"/>
  <c r="IA270" i="56"/>
  <c r="IB270" i="56" s="1"/>
  <c r="FK270" i="56"/>
  <c r="BS270" i="56" s="1"/>
  <c r="DV270" i="56"/>
  <c r="CM270" i="56"/>
  <c r="J270" i="56" s="1"/>
  <c r="CN270" i="56" s="1"/>
  <c r="BX270" i="56"/>
  <c r="EP270" i="56"/>
  <c r="CX270" i="56"/>
  <c r="CS270" i="56"/>
  <c r="I270" i="56" s="1"/>
  <c r="CT270" i="56" s="1"/>
  <c r="CI270" i="56"/>
  <c r="CL270" i="56"/>
  <c r="CG270" i="56"/>
  <c r="CH270" i="56" s="1"/>
  <c r="H270" i="56" s="1"/>
  <c r="IA254" i="56"/>
  <c r="IB254" i="56" s="1"/>
  <c r="FK254" i="56"/>
  <c r="BS254" i="56" s="1"/>
  <c r="EP254" i="56"/>
  <c r="DV254" i="56"/>
  <c r="CM254" i="56"/>
  <c r="J254" i="56" s="1"/>
  <c r="CN254" i="56" s="1"/>
  <c r="BX254" i="56"/>
  <c r="CI254" i="56"/>
  <c r="CL254" i="56"/>
  <c r="CS254" i="56"/>
  <c r="I254" i="56" s="1"/>
  <c r="CT254" i="56" s="1"/>
  <c r="CG254" i="56"/>
  <c r="CH254" i="56" s="1"/>
  <c r="H254" i="56" s="1"/>
  <c r="IA238" i="56"/>
  <c r="IB238" i="56" s="1"/>
  <c r="FK238" i="56"/>
  <c r="BS238" i="56" s="1"/>
  <c r="EP238" i="56"/>
  <c r="DV238" i="56"/>
  <c r="CM238" i="56"/>
  <c r="J238" i="56" s="1"/>
  <c r="CN238" i="56" s="1"/>
  <c r="BX238" i="56"/>
  <c r="CS238" i="56"/>
  <c r="I238" i="56" s="1"/>
  <c r="CT238" i="56" s="1"/>
  <c r="CI238" i="56"/>
  <c r="CJ238" i="56" s="1"/>
  <c r="CK238" i="56" s="1"/>
  <c r="CX238" i="56"/>
  <c r="CL238" i="56"/>
  <c r="IA222" i="56"/>
  <c r="IB222" i="56" s="1"/>
  <c r="FK222" i="56"/>
  <c r="BS222" i="56" s="1"/>
  <c r="DV222" i="56"/>
  <c r="CM222" i="56"/>
  <c r="J222" i="56" s="1"/>
  <c r="CN222" i="56" s="1"/>
  <c r="BX222" i="56"/>
  <c r="CS222" i="56"/>
  <c r="I222" i="56" s="1"/>
  <c r="CT222" i="56" s="1"/>
  <c r="EP222" i="56"/>
  <c r="CX222" i="56"/>
  <c r="CI222" i="56"/>
  <c r="IA206" i="56"/>
  <c r="IB206" i="56" s="1"/>
  <c r="FK206" i="56"/>
  <c r="BS206" i="56" s="1"/>
  <c r="EP206" i="56"/>
  <c r="DV206" i="56"/>
  <c r="CM206" i="56"/>
  <c r="J206" i="56" s="1"/>
  <c r="CN206" i="56" s="1"/>
  <c r="BX206" i="56"/>
  <c r="CG206" i="56"/>
  <c r="CH206" i="56" s="1"/>
  <c r="H206" i="56" s="1"/>
  <c r="CI206" i="56"/>
  <c r="IA190" i="56"/>
  <c r="IB190" i="56" s="1"/>
  <c r="FK190" i="56"/>
  <c r="BS190" i="56" s="1"/>
  <c r="EP190" i="56"/>
  <c r="CM190" i="56"/>
  <c r="J190" i="56" s="1"/>
  <c r="CN190" i="56" s="1"/>
  <c r="BX190" i="56"/>
  <c r="DV190" i="56"/>
  <c r="CS190" i="56"/>
  <c r="I190" i="56" s="1"/>
  <c r="CT190" i="56" s="1"/>
  <c r="CX190" i="56"/>
  <c r="IA174" i="56"/>
  <c r="IB174" i="56" s="1"/>
  <c r="FK174" i="56"/>
  <c r="BS174" i="56" s="1"/>
  <c r="EP174" i="56"/>
  <c r="CM174" i="56"/>
  <c r="J174" i="56" s="1"/>
  <c r="CN174" i="56" s="1"/>
  <c r="BX174" i="56"/>
  <c r="DV174" i="56"/>
  <c r="CS174" i="56"/>
  <c r="I174" i="56" s="1"/>
  <c r="CT174" i="56" s="1"/>
  <c r="CX174" i="56"/>
  <c r="CL174" i="56"/>
  <c r="IA158" i="56"/>
  <c r="IB158" i="56" s="1"/>
  <c r="FK158" i="56"/>
  <c r="BS158" i="56" s="1"/>
  <c r="EP158" i="56"/>
  <c r="CM158" i="56"/>
  <c r="J158" i="56" s="1"/>
  <c r="CN158" i="56" s="1"/>
  <c r="BX158" i="56"/>
  <c r="DV158" i="56"/>
  <c r="CS158" i="56"/>
  <c r="I158" i="56" s="1"/>
  <c r="CT158" i="56" s="1"/>
  <c r="CG158" i="56"/>
  <c r="CH158" i="56" s="1"/>
  <c r="H158" i="56" s="1"/>
  <c r="BW158" i="56"/>
  <c r="CX158" i="56"/>
  <c r="IA142" i="56"/>
  <c r="IB142" i="56" s="1"/>
  <c r="FK142" i="56"/>
  <c r="BS142" i="56" s="1"/>
  <c r="CM142" i="56"/>
  <c r="J142" i="56" s="1"/>
  <c r="CN142" i="56" s="1"/>
  <c r="BX142" i="56"/>
  <c r="DV142" i="56"/>
  <c r="CS142" i="56"/>
  <c r="I142" i="56" s="1"/>
  <c r="CT142" i="56" s="1"/>
  <c r="CI142" i="56"/>
  <c r="CX142" i="56"/>
  <c r="CG142" i="56"/>
  <c r="CH142" i="56" s="1"/>
  <c r="H142" i="56" s="1"/>
  <c r="BW142" i="56"/>
  <c r="IA126" i="56"/>
  <c r="IB126" i="56" s="1"/>
  <c r="FK126" i="56"/>
  <c r="BS126" i="56" s="1"/>
  <c r="CM126" i="56"/>
  <c r="J126" i="56" s="1"/>
  <c r="CN126" i="56" s="1"/>
  <c r="BX126" i="56"/>
  <c r="DV126" i="56"/>
  <c r="CX126" i="56"/>
  <c r="CI126" i="56"/>
  <c r="CL126" i="56"/>
  <c r="CG126" i="56"/>
  <c r="CH126" i="56" s="1"/>
  <c r="H126" i="56" s="1"/>
  <c r="CJ126" i="56" s="1"/>
  <c r="IA110" i="56"/>
  <c r="IB110" i="56" s="1"/>
  <c r="FK110" i="56"/>
  <c r="BS110" i="56" s="1"/>
  <c r="CM110" i="56"/>
  <c r="J110" i="56" s="1"/>
  <c r="CN110" i="56" s="1"/>
  <c r="BX110" i="56"/>
  <c r="BY110" i="56" s="1" a="1"/>
  <c r="BY110" i="56" s="1"/>
  <c r="DV110" i="56"/>
  <c r="CS110" i="56"/>
  <c r="I110" i="56" s="1"/>
  <c r="CT110" i="56" s="1"/>
  <c r="CI110" i="56"/>
  <c r="CL110" i="56"/>
  <c r="CX110" i="56"/>
  <c r="BW110" i="56"/>
  <c r="IA94" i="56"/>
  <c r="IB94" i="56" s="1"/>
  <c r="FK94" i="56"/>
  <c r="BS94" i="56" s="1"/>
  <c r="CM94" i="56"/>
  <c r="J94" i="56" s="1"/>
  <c r="CN94" i="56" s="1"/>
  <c r="BX94" i="56"/>
  <c r="BY94" i="56" s="1" a="1"/>
  <c r="BY94" i="56" s="1"/>
  <c r="DU94" i="56" s="1"/>
  <c r="DV94" i="56"/>
  <c r="CX94" i="56"/>
  <c r="CI94" i="56"/>
  <c r="IA78" i="56"/>
  <c r="IB78" i="56" s="1"/>
  <c r="FK78" i="56"/>
  <c r="BS78" i="56" s="1"/>
  <c r="CM78" i="56"/>
  <c r="J78" i="56" s="1"/>
  <c r="CN78" i="56" s="1"/>
  <c r="BX78" i="56"/>
  <c r="CI78" i="56"/>
  <c r="CG78" i="56"/>
  <c r="CH78" i="56" s="1"/>
  <c r="H78" i="56" s="1"/>
  <c r="CJ78" i="56" s="1"/>
  <c r="CK78" i="56" s="1"/>
  <c r="DF78" i="56" s="1"/>
  <c r="DG78" i="56" s="1"/>
  <c r="CX78" i="56"/>
  <c r="CS78" i="56"/>
  <c r="I78" i="56" s="1"/>
  <c r="CT78" i="56" s="1"/>
  <c r="DV78" i="56"/>
  <c r="IA62" i="56"/>
  <c r="IB62" i="56" s="1"/>
  <c r="FK62" i="56"/>
  <c r="BS62" i="56" s="1"/>
  <c r="CM62" i="56"/>
  <c r="J62" i="56" s="1"/>
  <c r="CN62" i="56" s="1"/>
  <c r="BX62" i="56"/>
  <c r="CX62" i="56"/>
  <c r="DV62" i="56"/>
  <c r="CL62" i="56"/>
  <c r="CG62" i="56"/>
  <c r="CH62" i="56" s="1"/>
  <c r="H62" i="56" s="1"/>
  <c r="CI62" i="56"/>
  <c r="IA46" i="56"/>
  <c r="IB46" i="56" s="1"/>
  <c r="FK46" i="56"/>
  <c r="BS46" i="56" s="1"/>
  <c r="EP46" i="56"/>
  <c r="CM46" i="56"/>
  <c r="J46" i="56" s="1"/>
  <c r="CN46" i="56" s="1"/>
  <c r="BX46" i="56"/>
  <c r="DV46" i="56"/>
  <c r="CX46" i="56"/>
  <c r="CL46" i="56"/>
  <c r="CG46" i="56"/>
  <c r="CH46" i="56" s="1"/>
  <c r="H46" i="56" s="1"/>
  <c r="CJ46" i="56" s="1"/>
  <c r="CK46" i="56" s="1"/>
  <c r="IQ46" i="56" s="1"/>
  <c r="CS46" i="56"/>
  <c r="I46" i="56" s="1"/>
  <c r="CT46" i="56" s="1"/>
  <c r="IA30" i="56"/>
  <c r="IB30" i="56" s="1"/>
  <c r="FK30" i="56"/>
  <c r="BS30" i="56" s="1"/>
  <c r="EP30" i="56"/>
  <c r="DV30" i="56"/>
  <c r="CM30" i="56"/>
  <c r="J30" i="56" s="1"/>
  <c r="CN30" i="56" s="1"/>
  <c r="BX30" i="56"/>
  <c r="CL30" i="56"/>
  <c r="IA14" i="56"/>
  <c r="IB14" i="56" s="1"/>
  <c r="FK14" i="56"/>
  <c r="BS14" i="56" s="1"/>
  <c r="EP14" i="56"/>
  <c r="DV14" i="56"/>
  <c r="CM14" i="56"/>
  <c r="J14" i="56" s="1"/>
  <c r="CN14" i="56" s="1"/>
  <c r="BX14" i="56"/>
  <c r="CX14" i="56"/>
  <c r="CS14" i="56"/>
  <c r="I14" i="56" s="1"/>
  <c r="CT14" i="56" s="1"/>
  <c r="CI14" i="56"/>
  <c r="CG14" i="56"/>
  <c r="CH14" i="56" s="1"/>
  <c r="H14" i="56" s="1"/>
  <c r="CL14" i="56"/>
  <c r="ES340" i="56"/>
  <c r="EZ340" i="56"/>
  <c r="EU340" i="56"/>
  <c r="EV340" i="56"/>
  <c r="EW340" i="56"/>
  <c r="EY340" i="56"/>
  <c r="EX340" i="56"/>
  <c r="ER340" i="56"/>
  <c r="EQ324" i="56"/>
  <c r="ET308" i="56"/>
  <c r="ES308" i="56"/>
  <c r="EV308" i="56"/>
  <c r="EY308" i="56"/>
  <c r="EU308" i="56"/>
  <c r="EZ308" i="56"/>
  <c r="EX308" i="56"/>
  <c r="EW308" i="56"/>
  <c r="ET292" i="56"/>
  <c r="ES292" i="56"/>
  <c r="EX292" i="56"/>
  <c r="EV292" i="56"/>
  <c r="EZ292" i="56"/>
  <c r="EW292" i="56"/>
  <c r="EU292" i="56"/>
  <c r="EY292" i="56"/>
  <c r="ET276" i="56"/>
  <c r="EY276" i="56"/>
  <c r="EW276" i="56"/>
  <c r="EU276" i="56"/>
  <c r="ES276" i="56"/>
  <c r="EX276" i="56"/>
  <c r="EV276" i="56"/>
  <c r="EZ276" i="56"/>
  <c r="ET260" i="56"/>
  <c r="ES260" i="56"/>
  <c r="EY260" i="56"/>
  <c r="EZ260" i="56"/>
  <c r="EW260" i="56"/>
  <c r="EX260" i="56"/>
  <c r="EU260" i="56"/>
  <c r="EV260" i="56"/>
  <c r="ET244" i="56"/>
  <c r="ES244" i="56"/>
  <c r="EZ244" i="56"/>
  <c r="EY244" i="56"/>
  <c r="EX244" i="56"/>
  <c r="EW244" i="56"/>
  <c r="EV244" i="56"/>
  <c r="ET228" i="56"/>
  <c r="ES228" i="56"/>
  <c r="EV228" i="56"/>
  <c r="EX228" i="56"/>
  <c r="EW228" i="56"/>
  <c r="EU228" i="56"/>
  <c r="EZ228" i="56"/>
  <c r="EY228" i="56"/>
  <c r="ET212" i="56"/>
  <c r="ES212" i="56"/>
  <c r="EZ212" i="56"/>
  <c r="EY212" i="56"/>
  <c r="EV212" i="56"/>
  <c r="EW212" i="56"/>
  <c r="EX212" i="56"/>
  <c r="EQ196" i="56"/>
  <c r="BY196" i="56" a="1"/>
  <c r="BY196" i="56" s="1"/>
  <c r="ET180" i="56"/>
  <c r="ES180" i="56"/>
  <c r="EX180" i="56"/>
  <c r="EV180" i="56"/>
  <c r="EU180" i="56"/>
  <c r="EY180" i="56"/>
  <c r="EZ180" i="56"/>
  <c r="ER180" i="56"/>
  <c r="EW180" i="56"/>
  <c r="ET164" i="56"/>
  <c r="ES164" i="56"/>
  <c r="EX164" i="56"/>
  <c r="EW164" i="56"/>
  <c r="EY164" i="56"/>
  <c r="EZ164" i="56"/>
  <c r="EU164" i="56"/>
  <c r="EV164" i="56"/>
  <c r="ET148" i="56"/>
  <c r="EZ148" i="56"/>
  <c r="EX148" i="56"/>
  <c r="ES148" i="56"/>
  <c r="EY148" i="56"/>
  <c r="ER148" i="56"/>
  <c r="EV148" i="56" s="1"/>
  <c r="EW148" i="56"/>
  <c r="EU148" i="56"/>
  <c r="ET132" i="56"/>
  <c r="ES132" i="56"/>
  <c r="EY132" i="56"/>
  <c r="EX132" i="56"/>
  <c r="EU132" i="56"/>
  <c r="EZ132" i="56"/>
  <c r="ER132" i="56"/>
  <c r="EV132" i="56" s="1"/>
  <c r="EW132" i="56"/>
  <c r="ET116" i="56"/>
  <c r="ES116" i="56"/>
  <c r="EZ116" i="56"/>
  <c r="EY116" i="56"/>
  <c r="EX116" i="56"/>
  <c r="ER116" i="56"/>
  <c r="EV116" i="56" s="1"/>
  <c r="EW116" i="56"/>
  <c r="EU116" i="56"/>
  <c r="ET100" i="56"/>
  <c r="ES100" i="56"/>
  <c r="EZ100" i="56"/>
  <c r="ER100" i="56"/>
  <c r="EV100" i="56" s="1"/>
  <c r="EY100" i="56"/>
  <c r="EX100" i="56"/>
  <c r="EU100" i="56"/>
  <c r="FA100" i="56"/>
  <c r="EW100" i="56"/>
  <c r="ET84" i="56"/>
  <c r="ES84" i="56"/>
  <c r="EZ84" i="56"/>
  <c r="EY84" i="56"/>
  <c r="EW84" i="56"/>
  <c r="EX84" i="56"/>
  <c r="ER84" i="56"/>
  <c r="EU84" i="56"/>
  <c r="EQ68" i="56"/>
  <c r="ET52" i="56"/>
  <c r="ES52" i="56"/>
  <c r="EZ52" i="56"/>
  <c r="EU52" i="56"/>
  <c r="EW52" i="56"/>
  <c r="EV52" i="56"/>
  <c r="EY52" i="56"/>
  <c r="EX52" i="56"/>
  <c r="ES36" i="56"/>
  <c r="EX36" i="56"/>
  <c r="EW36" i="56"/>
  <c r="EV36" i="56"/>
  <c r="EY36" i="56"/>
  <c r="ET20" i="56"/>
  <c r="EY20" i="56"/>
  <c r="EW20" i="56"/>
  <c r="EU20" i="56"/>
  <c r="FA20" i="56"/>
  <c r="ES20" i="56"/>
  <c r="EV20" i="56"/>
  <c r="EX20" i="56"/>
  <c r="EZ20" i="56"/>
  <c r="ET4" i="56"/>
  <c r="EY4" i="56"/>
  <c r="FA4" i="56"/>
  <c r="EX4" i="56"/>
  <c r="ES4" i="56"/>
  <c r="EW4" i="56"/>
  <c r="EV4" i="56"/>
  <c r="EZ4" i="56"/>
  <c r="ER4" i="56"/>
  <c r="EU4" i="56"/>
  <c r="GC344" i="56"/>
  <c r="FW344" i="56"/>
  <c r="GC328" i="56"/>
  <c r="FW328" i="56"/>
  <c r="GC312" i="56"/>
  <c r="FW312" i="56"/>
  <c r="GC296" i="56"/>
  <c r="FW296" i="56"/>
  <c r="GC280" i="56"/>
  <c r="FW280" i="56"/>
  <c r="GC264" i="56"/>
  <c r="FW264" i="56"/>
  <c r="GC248" i="56"/>
  <c r="FW248" i="56"/>
  <c r="GC232" i="56"/>
  <c r="FW232" i="56"/>
  <c r="GC216" i="56"/>
  <c r="FW216" i="56"/>
  <c r="GC200" i="56"/>
  <c r="FW200" i="56"/>
  <c r="GC184" i="56"/>
  <c r="GD184" i="56"/>
  <c r="GE184" i="56" s="1"/>
  <c r="FW184" i="56"/>
  <c r="GC168" i="56"/>
  <c r="FW168" i="56"/>
  <c r="GC152" i="56"/>
  <c r="FW152" i="56"/>
  <c r="GC136" i="56"/>
  <c r="FW136" i="56"/>
  <c r="GC120" i="56"/>
  <c r="FW120" i="56"/>
  <c r="GC104" i="56"/>
  <c r="FW104" i="56"/>
  <c r="HE88" i="56"/>
  <c r="HF88" i="56" s="1"/>
  <c r="GC88" i="56"/>
  <c r="GD88" i="56" s="1"/>
  <c r="FW88" i="56"/>
  <c r="GC72" i="56"/>
  <c r="FW72" i="56"/>
  <c r="GC56" i="56"/>
  <c r="FW56" i="56"/>
  <c r="GC40" i="56"/>
  <c r="GG40" i="56" s="1"/>
  <c r="GD40" i="56"/>
  <c r="FW40" i="56"/>
  <c r="GC24" i="56"/>
  <c r="FW24" i="56"/>
  <c r="GC8" i="56"/>
  <c r="FW8" i="56"/>
  <c r="GA340" i="56"/>
  <c r="DT340" i="56"/>
  <c r="CV340" i="56"/>
  <c r="GA324" i="56"/>
  <c r="DT324" i="56"/>
  <c r="CV324" i="56"/>
  <c r="GA308" i="56"/>
  <c r="DT308" i="56"/>
  <c r="GA292" i="56"/>
  <c r="DT292" i="56"/>
  <c r="CV292" i="56"/>
  <c r="GA276" i="56"/>
  <c r="DT276" i="56"/>
  <c r="GA260" i="56"/>
  <c r="DT260" i="56"/>
  <c r="CV260" i="56"/>
  <c r="GA244" i="56"/>
  <c r="DT244" i="56"/>
  <c r="CV244" i="56"/>
  <c r="GA228" i="56"/>
  <c r="DT228" i="56"/>
  <c r="CV228" i="56"/>
  <c r="GA212" i="56"/>
  <c r="CV212" i="56"/>
  <c r="GA196" i="56"/>
  <c r="CV196" i="56"/>
  <c r="DT196" i="56"/>
  <c r="GA180" i="56"/>
  <c r="DT180" i="56"/>
  <c r="CV180" i="56"/>
  <c r="GA164" i="56"/>
  <c r="DT164" i="56"/>
  <c r="GA148" i="56"/>
  <c r="CV148" i="56"/>
  <c r="DT148" i="56"/>
  <c r="GA132" i="56"/>
  <c r="DT132" i="56"/>
  <c r="CV132" i="56"/>
  <c r="GA116" i="56"/>
  <c r="DT116" i="56"/>
  <c r="CV116" i="56"/>
  <c r="GA100" i="56"/>
  <c r="DT100" i="56"/>
  <c r="GA84" i="56"/>
  <c r="DT84" i="56"/>
  <c r="CV84" i="56"/>
  <c r="GA68" i="56"/>
  <c r="DT68" i="56"/>
  <c r="CV68" i="56"/>
  <c r="GA52" i="56"/>
  <c r="DT52" i="56"/>
  <c r="GA36" i="56"/>
  <c r="DT36" i="56"/>
  <c r="CV36" i="56"/>
  <c r="GA20" i="56"/>
  <c r="DT20" i="56"/>
  <c r="GA4" i="56"/>
  <c r="DT4" i="56"/>
  <c r="CV4" i="56"/>
  <c r="BS127" i="56"/>
  <c r="EH341" i="56"/>
  <c r="DM341" i="56"/>
  <c r="EH325" i="56"/>
  <c r="DM325" i="56"/>
  <c r="EH309" i="56"/>
  <c r="DM309" i="56"/>
  <c r="EH293" i="56"/>
  <c r="DM293" i="56"/>
  <c r="DM277" i="56"/>
  <c r="EH277" i="56"/>
  <c r="EH261" i="56"/>
  <c r="DM261" i="56"/>
  <c r="EH245" i="56"/>
  <c r="DM245" i="56"/>
  <c r="EH229" i="56"/>
  <c r="DM229" i="56"/>
  <c r="EH213" i="56"/>
  <c r="DM213" i="56"/>
  <c r="EH197" i="56"/>
  <c r="EH181" i="56"/>
  <c r="EH165" i="56"/>
  <c r="DM165" i="56"/>
  <c r="EH149" i="56"/>
  <c r="DM149" i="56"/>
  <c r="EH133" i="56"/>
  <c r="DM133" i="56"/>
  <c r="EH117" i="56"/>
  <c r="DM117" i="56"/>
  <c r="EH101" i="56"/>
  <c r="DM101" i="56"/>
  <c r="EH85" i="56"/>
  <c r="DM85" i="56"/>
  <c r="EH69" i="56"/>
  <c r="DM69" i="56"/>
  <c r="EH53" i="56"/>
  <c r="DM53" i="56"/>
  <c r="BU174" i="56"/>
  <c r="DL206" i="56"/>
  <c r="DJ30" i="56"/>
  <c r="BW303" i="56"/>
  <c r="BW239" i="56"/>
  <c r="BW94" i="56"/>
  <c r="BW30" i="56"/>
  <c r="BX255" i="56"/>
  <c r="BY164" i="56" a="1"/>
  <c r="BY164" i="56" s="1"/>
  <c r="DU164" i="56" s="1"/>
  <c r="BY132" i="56" a="1"/>
  <c r="BY132" i="56" s="1"/>
  <c r="DU132" i="56" s="1"/>
  <c r="BY100" i="56" a="1"/>
  <c r="BY100" i="56" s="1"/>
  <c r="DU100" i="56" s="1"/>
  <c r="BY69" i="56" a="1"/>
  <c r="BY69" i="56" s="1"/>
  <c r="DU69" i="56" s="1"/>
  <c r="CA342" i="56"/>
  <c r="CB341" i="56"/>
  <c r="CE341" i="56"/>
  <c r="CC341" i="56"/>
  <c r="CA326" i="56"/>
  <c r="CF325" i="56"/>
  <c r="CD325" i="56"/>
  <c r="CA310" i="56"/>
  <c r="CD309" i="56"/>
  <c r="CV309" i="56" s="1"/>
  <c r="CA294" i="56"/>
  <c r="CC293" i="56"/>
  <c r="CF293" i="56"/>
  <c r="CE293" i="56"/>
  <c r="CD293" i="56"/>
  <c r="CV293" i="56" s="1"/>
  <c r="CA278" i="56"/>
  <c r="CF277" i="56"/>
  <c r="CB277" i="56"/>
  <c r="CE277" i="56"/>
  <c r="CA262" i="56"/>
  <c r="CB261" i="56"/>
  <c r="CE261" i="56"/>
  <c r="CA246" i="56"/>
  <c r="CD245" i="56"/>
  <c r="CV245" i="56" s="1"/>
  <c r="CF245" i="56"/>
  <c r="CB245" i="56"/>
  <c r="CA230" i="56"/>
  <c r="CC229" i="56"/>
  <c r="CF229" i="56"/>
  <c r="CA214" i="56"/>
  <c r="CC213" i="56"/>
  <c r="CA198" i="56"/>
  <c r="CE197" i="56"/>
  <c r="CD197" i="56"/>
  <c r="CV197" i="56" s="1"/>
  <c r="CC197" i="56"/>
  <c r="CA182" i="56"/>
  <c r="CD181" i="56"/>
  <c r="CV181" i="56" s="1"/>
  <c r="CA166" i="56"/>
  <c r="CF165" i="56"/>
  <c r="CD165" i="56"/>
  <c r="CV165" i="56" s="1"/>
  <c r="CA150" i="56"/>
  <c r="CC149" i="56"/>
  <c r="CF149" i="56"/>
  <c r="CE149" i="56"/>
  <c r="CB149" i="56"/>
  <c r="CA134" i="56"/>
  <c r="CE133" i="56"/>
  <c r="CB133" i="56"/>
  <c r="CA118" i="56"/>
  <c r="CD117" i="56"/>
  <c r="CV117" i="56" s="1"/>
  <c r="CF117" i="56"/>
  <c r="CB117" i="56"/>
  <c r="CE117" i="56"/>
  <c r="CA102" i="56"/>
  <c r="CD101" i="56"/>
  <c r="CV101" i="56" s="1"/>
  <c r="CC101" i="56"/>
  <c r="CF101" i="56"/>
  <c r="CA86" i="56"/>
  <c r="CB85" i="56"/>
  <c r="CD85" i="56"/>
  <c r="CV85" i="56" s="1"/>
  <c r="CC85" i="56"/>
  <c r="CF85" i="56"/>
  <c r="CA70" i="56"/>
  <c r="CF69" i="56"/>
  <c r="CD69" i="56"/>
  <c r="CE69" i="56"/>
  <c r="CC69" i="56"/>
  <c r="CA54" i="56"/>
  <c r="CD53" i="56"/>
  <c r="CA38" i="56"/>
  <c r="CD37" i="56"/>
  <c r="CV37" i="56" s="1"/>
  <c r="CA22" i="56"/>
  <c r="CC21" i="56"/>
  <c r="CF21" i="56"/>
  <c r="CE21" i="56"/>
  <c r="CD21" i="56"/>
  <c r="CV21" i="56" s="1"/>
  <c r="CA6" i="56"/>
  <c r="CF5" i="56"/>
  <c r="CB5" i="56"/>
  <c r="CE5" i="56"/>
  <c r="IP334" i="56"/>
  <c r="FL334" i="56"/>
  <c r="FM334" i="56" s="1"/>
  <c r="FO334" i="56" s="1" a="1"/>
  <c r="FO334" i="56" s="1"/>
  <c r="FF334" i="56"/>
  <c r="FB334" i="56"/>
  <c r="DC334" i="56"/>
  <c r="IP252" i="56"/>
  <c r="FL252" i="56"/>
  <c r="FM252" i="56" s="1"/>
  <c r="FO252" i="56" s="1" a="1"/>
  <c r="FO252" i="56" s="1"/>
  <c r="FF252" i="56"/>
  <c r="DH252" i="56"/>
  <c r="FB252" i="56"/>
  <c r="DC252" i="56"/>
  <c r="IP173" i="56"/>
  <c r="FL173" i="56"/>
  <c r="FM173" i="56" s="1"/>
  <c r="FO173" i="56" s="1" a="1"/>
  <c r="FO173" i="56" s="1"/>
  <c r="FF173" i="56"/>
  <c r="DC173" i="56"/>
  <c r="IP120" i="56"/>
  <c r="FL120" i="56"/>
  <c r="FM120" i="56" s="1"/>
  <c r="FO120" i="56" s="1" a="1"/>
  <c r="FO120" i="56" s="1"/>
  <c r="DC120" i="56"/>
  <c r="CA97" i="56"/>
  <c r="IP43" i="56"/>
  <c r="FL43" i="56"/>
  <c r="FM43" i="56" s="1"/>
  <c r="FO43" i="56" s="1" a="1"/>
  <c r="FO43" i="56" s="1"/>
  <c r="CB264" i="56"/>
  <c r="CB48" i="56"/>
  <c r="CC309" i="56"/>
  <c r="CC216" i="56"/>
  <c r="FB216" i="56" s="1"/>
  <c r="CC160" i="56"/>
  <c r="CD297" i="56"/>
  <c r="CV297" i="56" s="1"/>
  <c r="CD50" i="56"/>
  <c r="CV50" i="56" s="1"/>
  <c r="CD25" i="56"/>
  <c r="CE281" i="56"/>
  <c r="CF177" i="56"/>
  <c r="CG302" i="56"/>
  <c r="CH302" i="56" s="1"/>
  <c r="H302" i="56" s="1"/>
  <c r="CJ302" i="56" s="1"/>
  <c r="CG47" i="56"/>
  <c r="CH47" i="56" s="1"/>
  <c r="H47" i="56" s="1"/>
  <c r="CI255" i="56"/>
  <c r="CJ255" i="56" s="1"/>
  <c r="CI174" i="56"/>
  <c r="CJ174" i="56" s="1"/>
  <c r="CL350" i="56"/>
  <c r="CL158" i="56"/>
  <c r="CL79" i="56"/>
  <c r="CS287" i="56"/>
  <c r="I287" i="56" s="1"/>
  <c r="CT287" i="56" s="1"/>
  <c r="CV55" i="56"/>
  <c r="DJ209" i="56"/>
  <c r="DL306" i="56"/>
  <c r="CB4" i="56"/>
  <c r="CC4" i="56"/>
  <c r="CE4" i="56"/>
  <c r="IP302" i="56"/>
  <c r="FL302" i="56"/>
  <c r="FM302" i="56" s="1"/>
  <c r="FO302" i="56" s="1" a="1"/>
  <c r="FO302" i="56" s="1"/>
  <c r="FF302" i="56"/>
  <c r="FB302" i="56"/>
  <c r="CK302" i="56"/>
  <c r="DF302" i="56" s="1"/>
  <c r="DG302" i="56" s="1"/>
  <c r="DC302" i="56"/>
  <c r="IP276" i="56"/>
  <c r="FB276" i="56"/>
  <c r="FL276" i="56"/>
  <c r="FM276" i="56" s="1"/>
  <c r="FO276" i="56" s="1" a="1"/>
  <c r="FO276" i="56" s="1"/>
  <c r="DC276" i="56"/>
  <c r="IP251" i="56"/>
  <c r="FL251" i="56"/>
  <c r="FM251" i="56" s="1"/>
  <c r="FO251" i="56" s="1" a="1"/>
  <c r="FO251" i="56" s="1"/>
  <c r="FB251" i="56"/>
  <c r="CK251" i="56"/>
  <c r="DF251" i="56" s="1"/>
  <c r="DG251" i="56" s="1"/>
  <c r="DC251" i="56"/>
  <c r="IP226" i="56"/>
  <c r="FL226" i="56"/>
  <c r="FM226" i="56" s="1"/>
  <c r="FO226" i="56" s="1" a="1"/>
  <c r="FO226" i="56" s="1"/>
  <c r="DC226" i="56"/>
  <c r="IR172" i="56"/>
  <c r="IP172" i="56"/>
  <c r="IQ172" i="56"/>
  <c r="FL172" i="56"/>
  <c r="FM172" i="56" s="1"/>
  <c r="FO172" i="56" s="1" a="1"/>
  <c r="FO172" i="56" s="1"/>
  <c r="FF172" i="56"/>
  <c r="FB172" i="56"/>
  <c r="DF172" i="56"/>
  <c r="DG172" i="56" s="1"/>
  <c r="DC172" i="56"/>
  <c r="IP142" i="56"/>
  <c r="FL142" i="56"/>
  <c r="FM142" i="56" s="1"/>
  <c r="FO142" i="56" s="1" a="1"/>
  <c r="FO142" i="56" s="1"/>
  <c r="FB142" i="56"/>
  <c r="DC142" i="56"/>
  <c r="IP119" i="56"/>
  <c r="FL119" i="56"/>
  <c r="FM119" i="56" s="1"/>
  <c r="FO119" i="56" s="1" a="1"/>
  <c r="FO119" i="56" s="1"/>
  <c r="DC119" i="56"/>
  <c r="IP65" i="56"/>
  <c r="FL65" i="56"/>
  <c r="FM65" i="56" s="1"/>
  <c r="FO65" i="56" s="1" a="1"/>
  <c r="FO65" i="56" s="1"/>
  <c r="DC65" i="56"/>
  <c r="IP41" i="56"/>
  <c r="GG41" i="56"/>
  <c r="FL41" i="56"/>
  <c r="FM41" i="56" s="1"/>
  <c r="FO41" i="56" s="1" a="1"/>
  <c r="FO41" i="56" s="1"/>
  <c r="DC41" i="56"/>
  <c r="IR12" i="56"/>
  <c r="IP12" i="56"/>
  <c r="FL12" i="56"/>
  <c r="FM12" i="56" s="1"/>
  <c r="FO12" i="56" s="1" a="1"/>
  <c r="FO12" i="56" s="1"/>
  <c r="FD12" i="56"/>
  <c r="M12" i="56" s="1"/>
  <c r="FE12" i="56" s="1"/>
  <c r="FF12" i="56" s="1"/>
  <c r="DC12" i="56"/>
  <c r="CK12" i="56"/>
  <c r="DF12" i="56" s="1"/>
  <c r="DG12" i="56" s="1"/>
  <c r="CG190" i="56"/>
  <c r="CH190" i="56" s="1"/>
  <c r="H190" i="56" s="1"/>
  <c r="CJ190" i="56" s="1"/>
  <c r="CK190" i="56" s="1"/>
  <c r="CI127" i="56"/>
  <c r="CJ127" i="56" s="1"/>
  <c r="CI47" i="56"/>
  <c r="CL239" i="56"/>
  <c r="CL78" i="56"/>
  <c r="CM127" i="56"/>
  <c r="J127" i="56" s="1"/>
  <c r="CN127" i="56" s="1"/>
  <c r="CV52" i="56"/>
  <c r="CX303" i="56"/>
  <c r="CX206" i="56"/>
  <c r="DM197" i="56"/>
  <c r="EI197" i="56" s="1"/>
  <c r="DM9" i="56"/>
  <c r="DL108" i="56"/>
  <c r="DJ108" i="56"/>
  <c r="DL92" i="56"/>
  <c r="DJ92" i="56"/>
  <c r="DL76" i="56"/>
  <c r="DJ76" i="56"/>
  <c r="DL60" i="56"/>
  <c r="DJ60" i="56"/>
  <c r="DL44" i="56"/>
  <c r="DL12" i="56"/>
  <c r="DJ12" i="56"/>
  <c r="FG335" i="56" a="1"/>
  <c r="FG335" i="56" s="1"/>
  <c r="FH335" i="56"/>
  <c r="CD339" i="56"/>
  <c r="CV339" i="56" s="1"/>
  <c r="CC339" i="56"/>
  <c r="CF339" i="56"/>
  <c r="CB323" i="56"/>
  <c r="CE323" i="56"/>
  <c r="CA324" i="56"/>
  <c r="CC323" i="56"/>
  <c r="CD307" i="56"/>
  <c r="CV307" i="56" s="1"/>
  <c r="CA308" i="56"/>
  <c r="CF291" i="56"/>
  <c r="CD291" i="56"/>
  <c r="CV291" i="56" s="1"/>
  <c r="CB291" i="56"/>
  <c r="CA292" i="56"/>
  <c r="CC275" i="56"/>
  <c r="CF275" i="56"/>
  <c r="CE275" i="56"/>
  <c r="CD275" i="56"/>
  <c r="CV275" i="56" s="1"/>
  <c r="CF259" i="56"/>
  <c r="CB259" i="56"/>
  <c r="CE259" i="56"/>
  <c r="CC243" i="56"/>
  <c r="FB243" i="56" s="1"/>
  <c r="CB243" i="56"/>
  <c r="CE243" i="56"/>
  <c r="CD227" i="56"/>
  <c r="CV227" i="56" s="1"/>
  <c r="CF227" i="56"/>
  <c r="CA212" i="56"/>
  <c r="CC211" i="56"/>
  <c r="FB211" i="56" s="1"/>
  <c r="CF211" i="56"/>
  <c r="CC179" i="56"/>
  <c r="CE179" i="56"/>
  <c r="CD179" i="56"/>
  <c r="CV179" i="56" s="1"/>
  <c r="CA180" i="56"/>
  <c r="CE163" i="56"/>
  <c r="CB163" i="56"/>
  <c r="CD163" i="56"/>
  <c r="CV163" i="56" s="1"/>
  <c r="CA164" i="56"/>
  <c r="CF147" i="56"/>
  <c r="CD147" i="56"/>
  <c r="CV147" i="56" s="1"/>
  <c r="CA148" i="56"/>
  <c r="CC131" i="56"/>
  <c r="CF131" i="56"/>
  <c r="CE131" i="56"/>
  <c r="CB131" i="56"/>
  <c r="CE115" i="56"/>
  <c r="CB115" i="56"/>
  <c r="CF99" i="56"/>
  <c r="CE99" i="56"/>
  <c r="CB99" i="56"/>
  <c r="CD83" i="56"/>
  <c r="CV83" i="56" s="1"/>
  <c r="CC83" i="56"/>
  <c r="FB83" i="56" s="1"/>
  <c r="CF83" i="56"/>
  <c r="CB67" i="56"/>
  <c r="CD67" i="56"/>
  <c r="CV67" i="56" s="1"/>
  <c r="CC67" i="56"/>
  <c r="CF67" i="56"/>
  <c r="CE51" i="56"/>
  <c r="CA52" i="56"/>
  <c r="CC51" i="56"/>
  <c r="CF35" i="56"/>
  <c r="CD35" i="56"/>
  <c r="CV35" i="56" s="1"/>
  <c r="CB35" i="56"/>
  <c r="CA36" i="56"/>
  <c r="CB19" i="56"/>
  <c r="CD19" i="56"/>
  <c r="CV19" i="56" s="1"/>
  <c r="CA20" i="56"/>
  <c r="CC3" i="56"/>
  <c r="CF3" i="56"/>
  <c r="CE3" i="56"/>
  <c r="CD3" i="56"/>
  <c r="CV3" i="56" s="1"/>
  <c r="FD3" i="56" s="1"/>
  <c r="M3" i="56" s="1"/>
  <c r="FE3" i="56" s="1"/>
  <c r="FF3" i="56" s="1"/>
  <c r="IP331" i="56"/>
  <c r="FF331" i="56"/>
  <c r="FL331" i="56"/>
  <c r="FM331" i="56" s="1"/>
  <c r="FO331" i="56" s="1" a="1"/>
  <c r="FO331" i="56" s="1"/>
  <c r="DC331" i="56"/>
  <c r="IP249" i="56"/>
  <c r="FL249" i="56"/>
  <c r="FM249" i="56" s="1"/>
  <c r="FO249" i="56" s="1" a="1"/>
  <c r="FO249" i="56" s="1"/>
  <c r="FF249" i="56"/>
  <c r="DC249" i="56"/>
  <c r="IP225" i="56"/>
  <c r="FL225" i="56"/>
  <c r="FM225" i="56" s="1"/>
  <c r="FO225" i="56" s="1" a="1"/>
  <c r="FO225" i="56" s="1"/>
  <c r="FB225" i="56"/>
  <c r="FF225" i="56"/>
  <c r="DC225" i="56"/>
  <c r="CA196" i="56"/>
  <c r="IP171" i="56"/>
  <c r="FL171" i="56"/>
  <c r="FM171" i="56" s="1"/>
  <c r="FO171" i="56" s="1" a="1"/>
  <c r="FO171" i="56" s="1"/>
  <c r="FF171" i="56"/>
  <c r="DC171" i="56"/>
  <c r="IP141" i="56"/>
  <c r="FF141" i="56"/>
  <c r="FL141" i="56"/>
  <c r="FM141" i="56" s="1"/>
  <c r="FO141" i="56" s="1" a="1"/>
  <c r="FO141" i="56" s="1"/>
  <c r="FB141" i="56"/>
  <c r="DC141" i="56"/>
  <c r="IP40" i="56"/>
  <c r="FL40" i="56"/>
  <c r="FM40" i="56" s="1"/>
  <c r="FO40" i="56" s="1" a="1"/>
  <c r="FO40" i="56" s="1"/>
  <c r="DC40" i="56"/>
  <c r="CK40" i="56"/>
  <c r="DF40" i="56" s="1"/>
  <c r="DG40" i="56" s="1"/>
  <c r="IP11" i="56"/>
  <c r="FL11" i="56"/>
  <c r="FM11" i="56" s="1"/>
  <c r="FO11" i="56" s="1" a="1"/>
  <c r="FO11" i="56" s="1"/>
  <c r="DC11" i="56"/>
  <c r="CB339" i="56"/>
  <c r="CC307" i="56"/>
  <c r="CD322" i="56"/>
  <c r="CV322" i="56" s="1"/>
  <c r="CF19" i="56"/>
  <c r="CG223" i="56"/>
  <c r="CH223" i="56" s="1"/>
  <c r="H223" i="56" s="1"/>
  <c r="CI46" i="56"/>
  <c r="CL190" i="56"/>
  <c r="CM351" i="56"/>
  <c r="J351" i="56" s="1"/>
  <c r="CN351" i="56" s="1"/>
  <c r="CM303" i="56"/>
  <c r="J303" i="56" s="1"/>
  <c r="CN303" i="56" s="1"/>
  <c r="CM175" i="56"/>
  <c r="J175" i="56" s="1"/>
  <c r="CN175" i="56" s="1"/>
  <c r="CS62" i="56"/>
  <c r="I62" i="56" s="1"/>
  <c r="CT62" i="56" s="1"/>
  <c r="DC46" i="56"/>
  <c r="DJ185" i="56"/>
  <c r="DM8" i="56"/>
  <c r="CC338" i="56"/>
  <c r="FB338" i="56" s="1"/>
  <c r="CA339" i="56"/>
  <c r="CF338" i="56"/>
  <c r="CC306" i="56"/>
  <c r="CB306" i="56"/>
  <c r="CE306" i="56"/>
  <c r="CD306" i="56"/>
  <c r="CV306" i="56" s="1"/>
  <c r="CA307" i="56"/>
  <c r="CC290" i="56"/>
  <c r="CE290" i="56"/>
  <c r="CD290" i="56"/>
  <c r="CV290" i="56" s="1"/>
  <c r="CA291" i="56"/>
  <c r="CC274" i="56"/>
  <c r="CF274" i="56"/>
  <c r="CD274" i="56"/>
  <c r="CV274" i="56" s="1"/>
  <c r="CC258" i="56"/>
  <c r="CB258" i="56"/>
  <c r="CE258" i="56"/>
  <c r="CC242" i="56"/>
  <c r="FB242" i="56" s="1"/>
  <c r="CB242" i="56"/>
  <c r="CE242" i="56"/>
  <c r="CC226" i="56"/>
  <c r="FB226" i="56" s="1"/>
  <c r="CF226" i="56"/>
  <c r="CE226" i="56"/>
  <c r="CB226" i="56"/>
  <c r="CC210" i="56"/>
  <c r="CD210" i="56"/>
  <c r="CV210" i="56" s="1"/>
  <c r="CF210" i="56"/>
  <c r="CC194" i="56"/>
  <c r="CA195" i="56"/>
  <c r="CD194" i="56"/>
  <c r="CV194" i="56" s="1"/>
  <c r="CF194" i="56"/>
  <c r="CC178" i="56"/>
  <c r="CE178" i="56"/>
  <c r="CC162" i="56"/>
  <c r="CD162" i="56"/>
  <c r="CV162" i="56" s="1"/>
  <c r="CA163" i="56"/>
  <c r="CC146" i="56"/>
  <c r="CE146" i="56"/>
  <c r="CF146" i="56"/>
  <c r="CD146" i="56"/>
  <c r="CV146" i="56" s="1"/>
  <c r="CA147" i="56"/>
  <c r="CC130" i="56"/>
  <c r="CB130" i="56"/>
  <c r="CC114" i="56"/>
  <c r="FB114" i="56" s="1"/>
  <c r="CE114" i="56"/>
  <c r="CB114" i="56"/>
  <c r="CC98" i="56"/>
  <c r="CE98" i="56"/>
  <c r="CB98" i="56"/>
  <c r="CC82" i="56"/>
  <c r="FB82" i="56" s="1"/>
  <c r="CD82" i="56"/>
  <c r="CV82" i="56" s="1"/>
  <c r="FD82" i="56" s="1"/>
  <c r="M82" i="56" s="1"/>
  <c r="FE82" i="56" s="1"/>
  <c r="FF82" i="56" s="1"/>
  <c r="CF82" i="56"/>
  <c r="CC66" i="56"/>
  <c r="FB66" i="56" s="1"/>
  <c r="CA67" i="56"/>
  <c r="CF66" i="56"/>
  <c r="CC50" i="56"/>
  <c r="CB50" i="56"/>
  <c r="CC34" i="56"/>
  <c r="CE34" i="56"/>
  <c r="CD34" i="56"/>
  <c r="CV34" i="56" s="1"/>
  <c r="CA35" i="56"/>
  <c r="CC18" i="56"/>
  <c r="CF18" i="56"/>
  <c r="CD18" i="56"/>
  <c r="CV18" i="56" s="1"/>
  <c r="CE18" i="56"/>
  <c r="CA19" i="56"/>
  <c r="IP3" i="56"/>
  <c r="FL3" i="56"/>
  <c r="FM3" i="56" s="1"/>
  <c r="FO3" i="56" s="1" a="1"/>
  <c r="FO3" i="56" s="1"/>
  <c r="DC3" i="56"/>
  <c r="IP330" i="56"/>
  <c r="FL330" i="56"/>
  <c r="FM330" i="56" s="1"/>
  <c r="FO330" i="56" s="1" a="1"/>
  <c r="FO330" i="56" s="1"/>
  <c r="FD330" i="56"/>
  <c r="M330" i="56" s="1"/>
  <c r="FE330" i="56" s="1"/>
  <c r="FF330" i="56" s="1"/>
  <c r="FB330" i="56"/>
  <c r="DC330" i="56"/>
  <c r="DH330" i="56"/>
  <c r="IR300" i="56"/>
  <c r="IP300" i="56"/>
  <c r="IQ300" i="56"/>
  <c r="FL300" i="56"/>
  <c r="FM300" i="56" s="1"/>
  <c r="FO300" i="56" s="1" a="1"/>
  <c r="FO300" i="56" s="1"/>
  <c r="FF300" i="56"/>
  <c r="FB300" i="56"/>
  <c r="DC300" i="56"/>
  <c r="CK300" i="56"/>
  <c r="DF300" i="56" s="1"/>
  <c r="DG300" i="56" s="1"/>
  <c r="IP248" i="56"/>
  <c r="FL248" i="56"/>
  <c r="FM248" i="56" s="1"/>
  <c r="FO248" i="56" s="1" a="1"/>
  <c r="FO248" i="56" s="1"/>
  <c r="DC248" i="56"/>
  <c r="IP193" i="56"/>
  <c r="FL193" i="56"/>
  <c r="FM193" i="56" s="1"/>
  <c r="FO193" i="56" s="1" a="1"/>
  <c r="FO193" i="56" s="1"/>
  <c r="FF193" i="56"/>
  <c r="DC193" i="56"/>
  <c r="IP170" i="56"/>
  <c r="FL170" i="56"/>
  <c r="FM170" i="56" s="1"/>
  <c r="FO170" i="56" s="1" a="1"/>
  <c r="FO170" i="56" s="1"/>
  <c r="FF170" i="56"/>
  <c r="DC170" i="56"/>
  <c r="CA116" i="56"/>
  <c r="IP88" i="56"/>
  <c r="FL88" i="56"/>
  <c r="FM88" i="56" s="1"/>
  <c r="FO88" i="56" s="1" a="1"/>
  <c r="FO88" i="56" s="1"/>
  <c r="FB88" i="56"/>
  <c r="DC88" i="56"/>
  <c r="IR33" i="56"/>
  <c r="IP33" i="56"/>
  <c r="FL33" i="56"/>
  <c r="FM33" i="56" s="1"/>
  <c r="FO33" i="56" s="1" a="1"/>
  <c r="FO33" i="56" s="1"/>
  <c r="FB33" i="56"/>
  <c r="DF33" i="56"/>
  <c r="DG33" i="56" s="1"/>
  <c r="DC33" i="56"/>
  <c r="CK33" i="56"/>
  <c r="IQ33" i="56" s="1"/>
  <c r="IP10" i="56"/>
  <c r="FL10" i="56"/>
  <c r="FM10" i="56" s="1"/>
  <c r="FO10" i="56" s="1" a="1"/>
  <c r="FO10" i="56" s="1"/>
  <c r="FD10" i="56"/>
  <c r="M10" i="56" s="1"/>
  <c r="FE10" i="56" s="1"/>
  <c r="FF10" i="56" s="1"/>
  <c r="DC10" i="56"/>
  <c r="CB338" i="56"/>
  <c r="CB147" i="56"/>
  <c r="CE307" i="56"/>
  <c r="CE274" i="56"/>
  <c r="CE35" i="56"/>
  <c r="CG222" i="56"/>
  <c r="CH222" i="56" s="1"/>
  <c r="H222" i="56" s="1"/>
  <c r="CS206" i="56"/>
  <c r="I206" i="56" s="1"/>
  <c r="CT206" i="56" s="1"/>
  <c r="CS127" i="56"/>
  <c r="I127" i="56" s="1"/>
  <c r="CT127" i="56" s="1"/>
  <c r="CV137" i="56"/>
  <c r="DC43" i="56"/>
  <c r="DJ146" i="56"/>
  <c r="DL255" i="56"/>
  <c r="DL67" i="56"/>
  <c r="DM181" i="56"/>
  <c r="EI181" i="56" s="1"/>
  <c r="DJ154" i="56"/>
  <c r="DL154" i="56"/>
  <c r="GF154" i="56" s="1"/>
  <c r="DJ138" i="56"/>
  <c r="DL138" i="56"/>
  <c r="DJ122" i="56"/>
  <c r="DL122" i="56"/>
  <c r="DJ106" i="56"/>
  <c r="DL106" i="56"/>
  <c r="DL90" i="56"/>
  <c r="DJ90" i="56"/>
  <c r="DL74" i="56"/>
  <c r="DJ74" i="56"/>
  <c r="DL58" i="56"/>
  <c r="DJ58" i="56"/>
  <c r="DL42" i="56"/>
  <c r="DJ42" i="56"/>
  <c r="DL26" i="56"/>
  <c r="DJ26" i="56"/>
  <c r="DL10" i="56"/>
  <c r="DJ10" i="56"/>
  <c r="BW46" i="56"/>
  <c r="CD337" i="56"/>
  <c r="CV337" i="56" s="1"/>
  <c r="CC337" i="56"/>
  <c r="CF337" i="56"/>
  <c r="CD321" i="56"/>
  <c r="CV321" i="56" s="1"/>
  <c r="CC321" i="56"/>
  <c r="CF321" i="56"/>
  <c r="CE305" i="56"/>
  <c r="CA306" i="56"/>
  <c r="CB289" i="56"/>
  <c r="CD289" i="56"/>
  <c r="CV289" i="56" s="1"/>
  <c r="CA290" i="56"/>
  <c r="CF273" i="56"/>
  <c r="CB273" i="56"/>
  <c r="CD273" i="56"/>
  <c r="CV273" i="56" s="1"/>
  <c r="CA274" i="56"/>
  <c r="CF257" i="56"/>
  <c r="CD257" i="56"/>
  <c r="CV257" i="56" s="1"/>
  <c r="CC257" i="56"/>
  <c r="CE257" i="56"/>
  <c r="CF241" i="56"/>
  <c r="CB241" i="56"/>
  <c r="CE241" i="56"/>
  <c r="CE225" i="56"/>
  <c r="CB225" i="56"/>
  <c r="CD209" i="56"/>
  <c r="CV209" i="56" s="1"/>
  <c r="CC209" i="56"/>
  <c r="FB209" i="56" s="1"/>
  <c r="CF209" i="56"/>
  <c r="CK209" i="56" s="1"/>
  <c r="CA194" i="56"/>
  <c r="CC193" i="56"/>
  <c r="FB193" i="56" s="1"/>
  <c r="CF193" i="56"/>
  <c r="CA178" i="56"/>
  <c r="CC177" i="56"/>
  <c r="CC161" i="56"/>
  <c r="CE161" i="56"/>
  <c r="CD161" i="56"/>
  <c r="CV161" i="56" s="1"/>
  <c r="CA162" i="56"/>
  <c r="CE145" i="56"/>
  <c r="CB145" i="56"/>
  <c r="CD145" i="56"/>
  <c r="CV145" i="56" s="1"/>
  <c r="CA146" i="56"/>
  <c r="CE129" i="56"/>
  <c r="CF129" i="56"/>
  <c r="CD129" i="56"/>
  <c r="CV129" i="56" s="1"/>
  <c r="CA130" i="56"/>
  <c r="CC113" i="56"/>
  <c r="CF113" i="56"/>
  <c r="CE113" i="56"/>
  <c r="CB113" i="56"/>
  <c r="CC97" i="56"/>
  <c r="CE97" i="56"/>
  <c r="CB97" i="56"/>
  <c r="CF81" i="56"/>
  <c r="CK81" i="56" s="1"/>
  <c r="CE81" i="56"/>
  <c r="CB81" i="56"/>
  <c r="CD65" i="56"/>
  <c r="CV65" i="56" s="1"/>
  <c r="CC65" i="56"/>
  <c r="FB65" i="56" s="1"/>
  <c r="CF65" i="56"/>
  <c r="CD49" i="56"/>
  <c r="CV49" i="56" s="1"/>
  <c r="CC49" i="56"/>
  <c r="CF49" i="56"/>
  <c r="CB33" i="56"/>
  <c r="CE33" i="56"/>
  <c r="CA34" i="56"/>
  <c r="CB17" i="56"/>
  <c r="CD17" i="56"/>
  <c r="CV17" i="56" s="1"/>
  <c r="CA18" i="56"/>
  <c r="IP299" i="56"/>
  <c r="FL299" i="56"/>
  <c r="FM299" i="56" s="1"/>
  <c r="FO299" i="56" s="1" a="1"/>
  <c r="FO299" i="56" s="1"/>
  <c r="FF299" i="56"/>
  <c r="FB299" i="56"/>
  <c r="DC299" i="56"/>
  <c r="IP169" i="56"/>
  <c r="FL169" i="56"/>
  <c r="FM169" i="56" s="1"/>
  <c r="FO169" i="56" s="1" a="1"/>
  <c r="FO169" i="56" s="1"/>
  <c r="FF169" i="56"/>
  <c r="FB169" i="56"/>
  <c r="DC169" i="56"/>
  <c r="IP139" i="56"/>
  <c r="FL139" i="56"/>
  <c r="FM139" i="56" s="1"/>
  <c r="FO139" i="56" s="1" a="1"/>
  <c r="FO139" i="56" s="1"/>
  <c r="FB139" i="56"/>
  <c r="DC139" i="56"/>
  <c r="CA115" i="56"/>
  <c r="IP87" i="56"/>
  <c r="FL87" i="56"/>
  <c r="FM87" i="56" s="1"/>
  <c r="FO87" i="56" s="1" a="1"/>
  <c r="FO87" i="56" s="1"/>
  <c r="DC87" i="56"/>
  <c r="IP62" i="56"/>
  <c r="FL62" i="56"/>
  <c r="FM62" i="56" s="1"/>
  <c r="FO62" i="56" s="1" a="1"/>
  <c r="FO62" i="56" s="1"/>
  <c r="FB62" i="56"/>
  <c r="DC62" i="56"/>
  <c r="IP9" i="56"/>
  <c r="FL9" i="56"/>
  <c r="FM9" i="56" s="1"/>
  <c r="FO9" i="56" s="1" a="1"/>
  <c r="FO9" i="56" s="1"/>
  <c r="DC9" i="56"/>
  <c r="CB337" i="56"/>
  <c r="CB307" i="56"/>
  <c r="CB146" i="56"/>
  <c r="CD226" i="56"/>
  <c r="CV226" i="56" s="1"/>
  <c r="CD195" i="56"/>
  <c r="CV195" i="56" s="1"/>
  <c r="CE339" i="56"/>
  <c r="CE273" i="56"/>
  <c r="CE67" i="56"/>
  <c r="CF323" i="56"/>
  <c r="CG111" i="56"/>
  <c r="CH111" i="56" s="1"/>
  <c r="H111" i="56" s="1"/>
  <c r="CI286" i="56"/>
  <c r="CM255" i="56"/>
  <c r="J255" i="56" s="1"/>
  <c r="CN255" i="56" s="1"/>
  <c r="CM31" i="56"/>
  <c r="J31" i="56" s="1"/>
  <c r="CN31" i="56" s="1"/>
  <c r="CS126" i="56"/>
  <c r="I126" i="56" s="1"/>
  <c r="CT126" i="56" s="1"/>
  <c r="CV135" i="56"/>
  <c r="CV20" i="56"/>
  <c r="DC316" i="56"/>
  <c r="DT249" i="56"/>
  <c r="EH340" i="56"/>
  <c r="DM340" i="56"/>
  <c r="EH324" i="56"/>
  <c r="DM324" i="56"/>
  <c r="EH308" i="56"/>
  <c r="DM308" i="56"/>
  <c r="EH292" i="56"/>
  <c r="DM292" i="56"/>
  <c r="EH276" i="56"/>
  <c r="DM276" i="56"/>
  <c r="EH260" i="56"/>
  <c r="DM260" i="56"/>
  <c r="EH244" i="56"/>
  <c r="DM244" i="56"/>
  <c r="EH228" i="56"/>
  <c r="DM228" i="56"/>
  <c r="EH212" i="56"/>
  <c r="DM212" i="56"/>
  <c r="EH196" i="56"/>
  <c r="EH180" i="56"/>
  <c r="DM180" i="56"/>
  <c r="EH164" i="56"/>
  <c r="DM164" i="56"/>
  <c r="EH148" i="56"/>
  <c r="EH132" i="56"/>
  <c r="EH116" i="56"/>
  <c r="DM116" i="56"/>
  <c r="DM100" i="56"/>
  <c r="EH100" i="56"/>
  <c r="EH84" i="56"/>
  <c r="DM84" i="56"/>
  <c r="EH68" i="56"/>
  <c r="DM68" i="56"/>
  <c r="EI68" i="56" s="1"/>
  <c r="EH52" i="56"/>
  <c r="DM52" i="56"/>
  <c r="EH36" i="56"/>
  <c r="DM36" i="56"/>
  <c r="EH20" i="56"/>
  <c r="DL336" i="56"/>
  <c r="DJ336" i="56"/>
  <c r="DL320" i="56"/>
  <c r="DL304" i="56"/>
  <c r="DJ304" i="56"/>
  <c r="DJ288" i="56"/>
  <c r="DL288" i="56"/>
  <c r="GF288" i="56" s="1"/>
  <c r="DJ272" i="56"/>
  <c r="DL272" i="56"/>
  <c r="GF272" i="56" s="1"/>
  <c r="DJ256" i="56"/>
  <c r="DJ240" i="56"/>
  <c r="DJ224" i="56"/>
  <c r="DL224" i="56"/>
  <c r="DJ208" i="56"/>
  <c r="DL192" i="56"/>
  <c r="DJ192" i="56"/>
  <c r="DL176" i="56"/>
  <c r="DJ176" i="56"/>
  <c r="DL160" i="56"/>
  <c r="DJ160" i="56"/>
  <c r="DL144" i="56"/>
  <c r="DJ144" i="56"/>
  <c r="DL128" i="56"/>
  <c r="DJ128" i="56"/>
  <c r="DL112" i="56"/>
  <c r="DJ112" i="56"/>
  <c r="DL80" i="56"/>
  <c r="GF80" i="56" s="1"/>
  <c r="DJ80" i="56"/>
  <c r="DL64" i="56"/>
  <c r="DJ64" i="56"/>
  <c r="DL48" i="56"/>
  <c r="DJ32" i="56"/>
  <c r="DL32" i="56"/>
  <c r="DJ16" i="56"/>
  <c r="IP110" i="56"/>
  <c r="FL110" i="56"/>
  <c r="FM110" i="56" s="1"/>
  <c r="FO110" i="56" s="1" a="1"/>
  <c r="FO110" i="56" s="1"/>
  <c r="FB110" i="56"/>
  <c r="DC110" i="56"/>
  <c r="CA347" i="56"/>
  <c r="CA221" i="56"/>
  <c r="CA94" i="56"/>
  <c r="CA75" i="56"/>
  <c r="CA39" i="56"/>
  <c r="CB299" i="56"/>
  <c r="CB172" i="56"/>
  <c r="CB27" i="56"/>
  <c r="CD237" i="56"/>
  <c r="CV237" i="56" s="1"/>
  <c r="CD219" i="56"/>
  <c r="CV219" i="56" s="1"/>
  <c r="CD93" i="56"/>
  <c r="CV93" i="56" s="1"/>
  <c r="CD75" i="56"/>
  <c r="CV75" i="56" s="1"/>
  <c r="CE315" i="56"/>
  <c r="CE189" i="56"/>
  <c r="CE171" i="56"/>
  <c r="CE44" i="56"/>
  <c r="CF285" i="56"/>
  <c r="CF266" i="56"/>
  <c r="CF139" i="56"/>
  <c r="CF13" i="56"/>
  <c r="CK13" i="56" s="1"/>
  <c r="IQ13" i="56" s="1"/>
  <c r="EL176" i="56"/>
  <c r="CF204" i="56"/>
  <c r="CB204" i="56"/>
  <c r="CF188" i="56"/>
  <c r="CD188" i="56"/>
  <c r="CV188" i="56" s="1"/>
  <c r="CF92" i="56"/>
  <c r="CA93" i="56"/>
  <c r="CF76" i="56"/>
  <c r="CC76" i="56"/>
  <c r="FB76" i="56" s="1"/>
  <c r="CF60" i="56"/>
  <c r="CE60" i="56"/>
  <c r="IP328" i="56"/>
  <c r="FF328" i="56"/>
  <c r="FL328" i="56"/>
  <c r="FM328" i="56" s="1"/>
  <c r="FO328" i="56" s="1" a="1"/>
  <c r="FO328" i="56" s="1"/>
  <c r="DC328" i="56"/>
  <c r="IQ184" i="56"/>
  <c r="IP184" i="56"/>
  <c r="IR184" i="56"/>
  <c r="FL184" i="56"/>
  <c r="FM184" i="56" s="1"/>
  <c r="FO184" i="56" s="1" a="1"/>
  <c r="FO184" i="56" s="1"/>
  <c r="FB184" i="56"/>
  <c r="DC184" i="56"/>
  <c r="CA92" i="56"/>
  <c r="IP56" i="56"/>
  <c r="FL56" i="56"/>
  <c r="FM56" i="56" s="1"/>
  <c r="FO56" i="56" s="1" a="1"/>
  <c r="FO56" i="56" s="1"/>
  <c r="FB56" i="56"/>
  <c r="CB298" i="56"/>
  <c r="CB189" i="56"/>
  <c r="CB44" i="56"/>
  <c r="CB26" i="56"/>
  <c r="CC140" i="56"/>
  <c r="CD236" i="56"/>
  <c r="CV236" i="56" s="1"/>
  <c r="CD218" i="56"/>
  <c r="CV218" i="56" s="1"/>
  <c r="CD109" i="56"/>
  <c r="CV109" i="56" s="1"/>
  <c r="CD92" i="56"/>
  <c r="CV92" i="56" s="1"/>
  <c r="CD38" i="56"/>
  <c r="CV38" i="56" s="1"/>
  <c r="CE314" i="56"/>
  <c r="CE188" i="56"/>
  <c r="CE170" i="56"/>
  <c r="CE61" i="56"/>
  <c r="CE42" i="56"/>
  <c r="CE6" i="56"/>
  <c r="CF283" i="56"/>
  <c r="CF157" i="56"/>
  <c r="CK157" i="56" s="1"/>
  <c r="CF138" i="56"/>
  <c r="CF102" i="56"/>
  <c r="CF11" i="56"/>
  <c r="CK11" i="56" s="1"/>
  <c r="DC31" i="56"/>
  <c r="DJ352" i="56"/>
  <c r="DM148" i="56"/>
  <c r="EH338" i="56"/>
  <c r="DM338" i="56"/>
  <c r="EH322" i="56"/>
  <c r="DM322" i="56"/>
  <c r="EH306" i="56"/>
  <c r="DM306" i="56"/>
  <c r="DM290" i="56"/>
  <c r="EH290" i="56"/>
  <c r="DM274" i="56"/>
  <c r="EH274" i="56"/>
  <c r="EH258" i="56"/>
  <c r="DM258" i="56"/>
  <c r="EH242" i="56"/>
  <c r="DM242" i="56"/>
  <c r="EH226" i="56"/>
  <c r="DM226" i="56"/>
  <c r="EH210" i="56"/>
  <c r="DM210" i="56"/>
  <c r="EH194" i="56"/>
  <c r="DM194" i="56"/>
  <c r="DM178" i="56"/>
  <c r="EH162" i="56"/>
  <c r="DM162" i="56"/>
  <c r="EH146" i="56"/>
  <c r="DM146" i="56"/>
  <c r="EH130" i="56"/>
  <c r="DM130" i="56"/>
  <c r="EH114" i="56"/>
  <c r="DM114" i="56"/>
  <c r="EH98" i="56"/>
  <c r="DM98" i="56"/>
  <c r="EI98" i="56" s="1"/>
  <c r="EH82" i="56"/>
  <c r="DM82" i="56"/>
  <c r="EH66" i="56"/>
  <c r="DM66" i="56"/>
  <c r="EH34" i="56"/>
  <c r="DM34" i="56"/>
  <c r="EI34" i="56" s="1"/>
  <c r="DM18" i="56"/>
  <c r="EH18" i="56"/>
  <c r="DL350" i="56"/>
  <c r="DJ350" i="56"/>
  <c r="DL334" i="56"/>
  <c r="DJ334" i="56"/>
  <c r="DL318" i="56"/>
  <c r="DL302" i="56"/>
  <c r="DJ302" i="56"/>
  <c r="DL286" i="56"/>
  <c r="DJ286" i="56"/>
  <c r="DL270" i="56"/>
  <c r="DJ254" i="56"/>
  <c r="DL254" i="56"/>
  <c r="GF254" i="56" s="1"/>
  <c r="DJ238" i="56"/>
  <c r="DJ222" i="56"/>
  <c r="DL222" i="56"/>
  <c r="DJ206" i="56"/>
  <c r="DJ190" i="56"/>
  <c r="DL190" i="56"/>
  <c r="DJ174" i="56"/>
  <c r="DL174" i="56"/>
  <c r="DL158" i="56"/>
  <c r="DJ158" i="56"/>
  <c r="DL142" i="56"/>
  <c r="DJ142" i="56"/>
  <c r="DL126" i="56"/>
  <c r="DJ126" i="56"/>
  <c r="DL110" i="56"/>
  <c r="DJ110" i="56"/>
  <c r="DL94" i="56"/>
  <c r="DJ94" i="56"/>
  <c r="DL78" i="56"/>
  <c r="DJ78" i="56"/>
  <c r="DJ62" i="56"/>
  <c r="DL62" i="56"/>
  <c r="DL46" i="56"/>
  <c r="GF46" i="56" s="1"/>
  <c r="DL30" i="56"/>
  <c r="DL14" i="56"/>
  <c r="DJ14" i="56"/>
  <c r="IP332" i="56"/>
  <c r="FL332" i="56"/>
  <c r="FM332" i="56" s="1"/>
  <c r="FO332" i="56" s="1" a="1"/>
  <c r="FO332" i="56" s="1"/>
  <c r="FF332" i="56"/>
  <c r="FB332" i="56"/>
  <c r="DH332" i="56"/>
  <c r="DC332" i="56"/>
  <c r="CF171" i="56"/>
  <c r="CD171" i="56"/>
  <c r="CV171" i="56" s="1"/>
  <c r="IP76" i="56"/>
  <c r="FL76" i="56"/>
  <c r="FM76" i="56" s="1"/>
  <c r="FO76" i="56" s="1" a="1"/>
  <c r="FO76" i="56" s="1"/>
  <c r="DC76" i="56"/>
  <c r="CA237" i="56"/>
  <c r="CA109" i="56"/>
  <c r="CA91" i="56"/>
  <c r="CA55" i="56"/>
  <c r="CB333" i="56"/>
  <c r="CB315" i="56"/>
  <c r="CB188" i="56"/>
  <c r="CB43" i="56"/>
  <c r="CC12" i="56"/>
  <c r="CD253" i="56"/>
  <c r="CV253" i="56" s="1"/>
  <c r="CD235" i="56"/>
  <c r="CV235" i="56" s="1"/>
  <c r="CD108" i="56"/>
  <c r="CV108" i="56" s="1"/>
  <c r="CE349" i="56"/>
  <c r="CE331" i="56"/>
  <c r="CE205" i="56"/>
  <c r="CE187" i="56"/>
  <c r="CE59" i="56"/>
  <c r="CF301" i="56"/>
  <c r="CF282" i="56"/>
  <c r="CF29" i="56"/>
  <c r="CK29" i="56" s="1"/>
  <c r="CK104" i="56"/>
  <c r="IR104" i="56" s="1"/>
  <c r="EH337" i="56"/>
  <c r="DM337" i="56"/>
  <c r="EH321" i="56"/>
  <c r="DM321" i="56"/>
  <c r="EH305" i="56"/>
  <c r="DM305" i="56"/>
  <c r="EH289" i="56"/>
  <c r="DM289" i="56"/>
  <c r="EI289" i="56" s="1"/>
  <c r="DM273" i="56"/>
  <c r="EH273" i="56"/>
  <c r="EH257" i="56"/>
  <c r="DM257" i="56"/>
  <c r="EH241" i="56"/>
  <c r="EH225" i="56"/>
  <c r="DM225" i="56"/>
  <c r="EH209" i="56"/>
  <c r="DM209" i="56"/>
  <c r="EI209" i="56" s="1"/>
  <c r="EH193" i="56"/>
  <c r="DM193" i="56"/>
  <c r="DM177" i="56"/>
  <c r="EH161" i="56"/>
  <c r="DM161" i="56"/>
  <c r="EI161" i="56" s="1"/>
  <c r="EH145" i="56"/>
  <c r="EH129" i="56"/>
  <c r="EH113" i="56"/>
  <c r="DM113" i="56"/>
  <c r="EH97" i="56"/>
  <c r="EH81" i="56"/>
  <c r="DM81" i="56"/>
  <c r="EH65" i="56"/>
  <c r="DM65" i="56"/>
  <c r="EI65" i="56" s="1"/>
  <c r="EH49" i="56"/>
  <c r="DM49" i="56"/>
  <c r="EH33" i="56"/>
  <c r="DM33" i="56"/>
  <c r="EH17" i="56"/>
  <c r="DM17" i="56"/>
  <c r="DL349" i="56"/>
  <c r="DJ349" i="56"/>
  <c r="DL333" i="56"/>
  <c r="DJ333" i="56"/>
  <c r="DL317" i="56"/>
  <c r="DL285" i="56"/>
  <c r="DJ285" i="56"/>
  <c r="DL269" i="56"/>
  <c r="GF269" i="56" s="1"/>
  <c r="DL253" i="56"/>
  <c r="DJ253" i="56"/>
  <c r="DJ237" i="56"/>
  <c r="DL237" i="56"/>
  <c r="DJ221" i="56"/>
  <c r="DL221" i="56"/>
  <c r="DJ205" i="56"/>
  <c r="DJ189" i="56"/>
  <c r="DJ173" i="56"/>
  <c r="DL173" i="56"/>
  <c r="DJ157" i="56"/>
  <c r="DL141" i="56"/>
  <c r="DL125" i="56"/>
  <c r="DJ125" i="56"/>
  <c r="DL109" i="56"/>
  <c r="DJ109" i="56"/>
  <c r="DL93" i="56"/>
  <c r="DJ93" i="56"/>
  <c r="DL77" i="56"/>
  <c r="DJ77" i="56"/>
  <c r="DL61" i="56"/>
  <c r="DJ61" i="56"/>
  <c r="DL45" i="56"/>
  <c r="DL29" i="56"/>
  <c r="DJ29" i="56"/>
  <c r="DL13" i="56"/>
  <c r="DJ13" i="56"/>
  <c r="IP315" i="56"/>
  <c r="FL315" i="56"/>
  <c r="FM315" i="56" s="1"/>
  <c r="FO315" i="56" s="1" a="1"/>
  <c r="FO315" i="56" s="1"/>
  <c r="FD315" i="56"/>
  <c r="M315" i="56" s="1"/>
  <c r="FE315" i="56" s="1"/>
  <c r="FF315" i="56" s="1"/>
  <c r="FB315" i="56"/>
  <c r="DC315" i="56"/>
  <c r="CF154" i="56"/>
  <c r="CD154" i="56"/>
  <c r="IP59" i="56"/>
  <c r="FL59" i="56"/>
  <c r="FM59" i="56" s="1"/>
  <c r="FO59" i="56" s="1" a="1"/>
  <c r="FO59" i="56" s="1"/>
  <c r="FB59" i="56"/>
  <c r="DC59" i="56"/>
  <c r="IR344" i="56"/>
  <c r="IP344" i="56"/>
  <c r="IQ344" i="56"/>
  <c r="FL344" i="56"/>
  <c r="FM344" i="56" s="1"/>
  <c r="FO344" i="56" s="1" a="1"/>
  <c r="FO344" i="56" s="1"/>
  <c r="FF344" i="56"/>
  <c r="DF344" i="56"/>
  <c r="DG344" i="56" s="1"/>
  <c r="IP200" i="56"/>
  <c r="FF200" i="56"/>
  <c r="FL200" i="56"/>
  <c r="FM200" i="56" s="1"/>
  <c r="FO200" i="56" s="1" a="1"/>
  <c r="FO200" i="56" s="1"/>
  <c r="CA126" i="56"/>
  <c r="CA108" i="56"/>
  <c r="IP72" i="56"/>
  <c r="FB72" i="56"/>
  <c r="CB314" i="56"/>
  <c r="CB205" i="56"/>
  <c r="CB186" i="56"/>
  <c r="CB60" i="56"/>
  <c r="CB42" i="56"/>
  <c r="CB6" i="56"/>
  <c r="CC156" i="56"/>
  <c r="CC102" i="56"/>
  <c r="CD252" i="56"/>
  <c r="CV252" i="56" s="1"/>
  <c r="CD54" i="56"/>
  <c r="CV54" i="56" s="1"/>
  <c r="CE204" i="56"/>
  <c r="CE76" i="56"/>
  <c r="CE58" i="56"/>
  <c r="CE22" i="56"/>
  <c r="CF299" i="56"/>
  <c r="DC344" i="56"/>
  <c r="DC72" i="56"/>
  <c r="DM145" i="56"/>
  <c r="IP270" i="56"/>
  <c r="FL270" i="56"/>
  <c r="FM270" i="56" s="1"/>
  <c r="FO270" i="56" s="1" a="1"/>
  <c r="FO270" i="56" s="1"/>
  <c r="DC270" i="56"/>
  <c r="IP253" i="56"/>
  <c r="FL253" i="56"/>
  <c r="FM253" i="56" s="1"/>
  <c r="FO253" i="56" s="1" a="1"/>
  <c r="FO253" i="56" s="1"/>
  <c r="FB253" i="56"/>
  <c r="IP235" i="56"/>
  <c r="FL235" i="56"/>
  <c r="FM235" i="56" s="1"/>
  <c r="FO235" i="56" s="1" a="1"/>
  <c r="FO235" i="56" s="1"/>
  <c r="FF235" i="56"/>
  <c r="FB235" i="56"/>
  <c r="DC235" i="56"/>
  <c r="IP125" i="56"/>
  <c r="FL125" i="56"/>
  <c r="FM125" i="56" s="1"/>
  <c r="FO125" i="56" s="1" a="1"/>
  <c r="FO125" i="56" s="1"/>
  <c r="FB125" i="56"/>
  <c r="DC125" i="56"/>
  <c r="IP107" i="56"/>
  <c r="FL107" i="56"/>
  <c r="FM107" i="56" s="1"/>
  <c r="FO107" i="56" s="1" a="1"/>
  <c r="FO107" i="56" s="1"/>
  <c r="FB107" i="56"/>
  <c r="DC107" i="56"/>
  <c r="CA71" i="56"/>
  <c r="EL316" i="56"/>
  <c r="DJ320" i="56"/>
  <c r="DL189" i="56"/>
  <c r="DM132" i="56"/>
  <c r="DM129" i="56"/>
  <c r="CF86" i="56"/>
  <c r="CD86" i="56"/>
  <c r="CV86" i="56" s="1"/>
  <c r="IP267" i="56"/>
  <c r="FL267" i="56"/>
  <c r="FM267" i="56" s="1"/>
  <c r="FO267" i="56" s="1" a="1"/>
  <c r="FO267" i="56" s="1"/>
  <c r="FB267" i="56"/>
  <c r="DC267" i="56"/>
  <c r="IP232" i="56"/>
  <c r="FL232" i="56"/>
  <c r="FM232" i="56" s="1"/>
  <c r="FO232" i="56" s="1" a="1"/>
  <c r="FO232" i="56" s="1"/>
  <c r="DC232" i="56"/>
  <c r="IP158" i="56"/>
  <c r="FL158" i="56"/>
  <c r="FM158" i="56" s="1"/>
  <c r="FO158" i="56" s="1" a="1"/>
  <c r="FO158" i="56" s="1"/>
  <c r="FF158" i="56"/>
  <c r="FB158" i="56"/>
  <c r="IP140" i="56"/>
  <c r="FL140" i="56"/>
  <c r="FM140" i="56" s="1"/>
  <c r="FO140" i="56" s="1" a="1"/>
  <c r="FO140" i="56" s="1"/>
  <c r="FB140" i="56"/>
  <c r="DC140" i="56"/>
  <c r="IP104" i="56"/>
  <c r="FB104" i="56"/>
  <c r="FL104" i="56"/>
  <c r="FM104" i="56" s="1"/>
  <c r="FO104" i="56" s="1" a="1"/>
  <c r="FO104" i="56" s="1"/>
  <c r="DF104" i="56"/>
  <c r="DG104" i="56" s="1"/>
  <c r="IP31" i="56"/>
  <c r="FL31" i="56"/>
  <c r="FM31" i="56" s="1"/>
  <c r="FO31" i="56" s="1" a="1"/>
  <c r="FO31" i="56" s="1"/>
  <c r="FB31" i="56"/>
  <c r="IP13" i="56"/>
  <c r="FL13" i="56"/>
  <c r="FM13" i="56" s="1"/>
  <c r="FO13" i="56" s="1" a="1"/>
  <c r="FO13" i="56" s="1"/>
  <c r="DC13" i="56"/>
  <c r="CB38" i="56"/>
  <c r="DJ318" i="56"/>
  <c r="DL256" i="56"/>
  <c r="DC56" i="56"/>
  <c r="DJ141" i="56"/>
  <c r="DM196" i="56"/>
  <c r="EI196" i="56" s="1"/>
  <c r="EH178" i="56"/>
  <c r="DC158" i="56"/>
  <c r="DC104" i="56"/>
  <c r="DJ48" i="56"/>
  <c r="DL157" i="56"/>
  <c r="DM20" i="56"/>
  <c r="EH177" i="56"/>
  <c r="EC26" i="56"/>
  <c r="EB26" i="56"/>
  <c r="EL347" i="56"/>
  <c r="EC347" i="56"/>
  <c r="EB347" i="56"/>
  <c r="EC331" i="56"/>
  <c r="EB331" i="56"/>
  <c r="EL331" i="56"/>
  <c r="EC315" i="56"/>
  <c r="EL315" i="56"/>
  <c r="EL299" i="56"/>
  <c r="EC299" i="56"/>
  <c r="EB299" i="56"/>
  <c r="EM283" i="56"/>
  <c r="EN283" i="56" s="1"/>
  <c r="GX283" i="56" s="1"/>
  <c r="GZ283" i="56" s="1"/>
  <c r="EL283" i="56"/>
  <c r="EB283" i="56"/>
  <c r="EC283" i="56"/>
  <c r="EB267" i="56"/>
  <c r="EC267" i="56"/>
  <c r="EL267" i="56"/>
  <c r="EL251" i="56"/>
  <c r="EB251" i="56"/>
  <c r="EC251" i="56"/>
  <c r="EC235" i="56"/>
  <c r="EB235" i="56"/>
  <c r="EL235" i="56"/>
  <c r="EL219" i="56"/>
  <c r="EC219" i="56"/>
  <c r="EB219" i="56"/>
  <c r="EB203" i="56"/>
  <c r="EL203" i="56"/>
  <c r="EC203" i="56"/>
  <c r="EL187" i="56"/>
  <c r="EC187" i="56"/>
  <c r="EB187" i="56"/>
  <c r="EL171" i="56"/>
  <c r="EC171" i="56"/>
  <c r="EL155" i="56"/>
  <c r="EB155" i="56"/>
  <c r="EC155" i="56"/>
  <c r="EL139" i="56"/>
  <c r="EC139" i="56"/>
  <c r="EB139" i="56"/>
  <c r="EC123" i="56"/>
  <c r="EB123" i="56"/>
  <c r="EL123" i="56"/>
  <c r="EC107" i="56"/>
  <c r="EL107" i="56"/>
  <c r="EB107" i="56"/>
  <c r="EL91" i="56"/>
  <c r="EB91" i="56"/>
  <c r="EC91" i="56"/>
  <c r="EC75" i="56"/>
  <c r="EL75" i="56"/>
  <c r="EB75" i="56"/>
  <c r="EL59" i="56"/>
  <c r="EB59" i="56"/>
  <c r="EC59" i="56"/>
  <c r="EB42" i="56"/>
  <c r="EL42" i="56"/>
  <c r="EC42" i="56"/>
  <c r="EL5" i="56"/>
  <c r="EB171" i="56"/>
  <c r="ED3" i="56"/>
  <c r="EE3" i="56"/>
  <c r="EE305" i="56"/>
  <c r="IP264" i="56"/>
  <c r="FL264" i="56"/>
  <c r="FM264" i="56" s="1"/>
  <c r="FO264" i="56" s="1" a="1"/>
  <c r="FO264" i="56" s="1"/>
  <c r="FB264" i="56"/>
  <c r="DC264" i="56"/>
  <c r="IP8" i="56"/>
  <c r="FL8" i="56"/>
  <c r="FM8" i="56" s="1"/>
  <c r="FO8" i="56" s="1" a="1"/>
  <c r="FO8" i="56" s="1"/>
  <c r="DC8" i="56"/>
  <c r="EE224" i="56"/>
  <c r="ED224" i="56"/>
  <c r="EB315" i="56"/>
  <c r="EL313" i="56"/>
  <c r="EL217" i="56"/>
  <c r="ED27" i="56"/>
  <c r="EE27" i="56"/>
  <c r="EL216" i="56"/>
  <c r="EE283" i="56"/>
  <c r="ED283" i="56"/>
  <c r="EC291" i="56"/>
  <c r="EB96" i="56"/>
  <c r="EL325" i="56"/>
  <c r="EL101" i="56"/>
  <c r="EE154" i="56"/>
  <c r="ED154" i="56"/>
  <c r="EC340" i="56"/>
  <c r="EB340" i="56"/>
  <c r="EL340" i="56"/>
  <c r="EC324" i="56"/>
  <c r="EL324" i="56"/>
  <c r="EB324" i="56"/>
  <c r="EC308" i="56"/>
  <c r="EL308" i="56"/>
  <c r="EB308" i="56"/>
  <c r="EC292" i="56"/>
  <c r="EL292" i="56"/>
  <c r="EB292" i="56"/>
  <c r="EC276" i="56"/>
  <c r="EL276" i="56"/>
  <c r="EB276" i="56"/>
  <c r="EC260" i="56"/>
  <c r="EL260" i="56"/>
  <c r="EB260" i="56"/>
  <c r="EC244" i="56"/>
  <c r="EL244" i="56"/>
  <c r="EB244" i="56"/>
  <c r="EC228" i="56"/>
  <c r="EL228" i="56"/>
  <c r="EC212" i="56"/>
  <c r="EB212" i="56"/>
  <c r="EL212" i="56"/>
  <c r="EC196" i="56"/>
  <c r="EB196" i="56"/>
  <c r="EL196" i="56"/>
  <c r="EC180" i="56"/>
  <c r="EB180" i="56"/>
  <c r="EC164" i="56"/>
  <c r="EL164" i="56"/>
  <c r="EC148" i="56"/>
  <c r="EL148" i="56"/>
  <c r="EB148" i="56"/>
  <c r="EC132" i="56"/>
  <c r="EC116" i="56"/>
  <c r="EL116" i="56"/>
  <c r="EC100" i="56"/>
  <c r="EB100" i="56"/>
  <c r="EL100" i="56"/>
  <c r="EC84" i="56"/>
  <c r="EB84" i="56"/>
  <c r="EL84" i="56"/>
  <c r="EC68" i="56"/>
  <c r="EL68" i="56"/>
  <c r="EC52" i="56"/>
  <c r="EL52" i="56"/>
  <c r="EB52" i="56"/>
  <c r="EC16" i="56"/>
  <c r="EL16" i="56"/>
  <c r="EB16" i="56"/>
  <c r="EB339" i="56"/>
  <c r="EL339" i="56"/>
  <c r="EC339" i="56"/>
  <c r="EL323" i="56"/>
  <c r="EC323" i="56"/>
  <c r="EB323" i="56"/>
  <c r="EC307" i="56"/>
  <c r="EL307" i="56"/>
  <c r="EB307" i="56"/>
  <c r="EL291" i="56"/>
  <c r="EC275" i="56"/>
  <c r="EB275" i="56"/>
  <c r="EL275" i="56"/>
  <c r="EL259" i="56"/>
  <c r="EC259" i="56"/>
  <c r="EB259" i="56"/>
  <c r="EL243" i="56"/>
  <c r="EB243" i="56"/>
  <c r="EC243" i="56"/>
  <c r="EL227" i="56"/>
  <c r="EC227" i="56"/>
  <c r="EB227" i="56"/>
  <c r="EC211" i="56"/>
  <c r="EL211" i="56"/>
  <c r="EB211" i="56"/>
  <c r="EL195" i="56"/>
  <c r="EC179" i="56"/>
  <c r="EB179" i="56"/>
  <c r="EC163" i="56"/>
  <c r="EB163" i="56"/>
  <c r="EL147" i="56"/>
  <c r="EC147" i="56"/>
  <c r="EB147" i="56"/>
  <c r="EL131" i="56"/>
  <c r="EC131" i="56"/>
  <c r="EL115" i="56"/>
  <c r="EB115" i="56"/>
  <c r="EC115" i="56"/>
  <c r="EB15" i="56"/>
  <c r="EL15" i="56"/>
  <c r="EC15" i="56"/>
  <c r="EL338" i="56"/>
  <c r="EC338" i="56"/>
  <c r="EB338" i="56"/>
  <c r="EB322" i="56"/>
  <c r="EL306" i="56"/>
  <c r="EB306" i="56"/>
  <c r="EC306" i="56"/>
  <c r="EB290" i="56"/>
  <c r="EL274" i="56"/>
  <c r="EC274" i="56"/>
  <c r="EB274" i="56"/>
  <c r="EL258" i="56"/>
  <c r="EB258" i="56"/>
  <c r="EL242" i="56"/>
  <c r="EB242" i="56"/>
  <c r="EC242" i="56"/>
  <c r="EL226" i="56"/>
  <c r="EC226" i="56"/>
  <c r="EB226" i="56"/>
  <c r="EL210" i="56"/>
  <c r="EB210" i="56"/>
  <c r="EC210" i="56"/>
  <c r="EL194" i="56"/>
  <c r="EC194" i="56"/>
  <c r="EB194" i="56"/>
  <c r="EL178" i="56"/>
  <c r="EE50" i="56"/>
  <c r="EE293" i="56"/>
  <c r="EL337" i="56"/>
  <c r="EC337" i="56"/>
  <c r="EB337" i="56"/>
  <c r="EB321" i="56"/>
  <c r="EL321" i="56"/>
  <c r="EB305" i="56"/>
  <c r="EC305" i="56"/>
  <c r="EL305" i="56"/>
  <c r="EC289" i="56"/>
  <c r="EL289" i="56"/>
  <c r="EB289" i="56"/>
  <c r="EL273" i="56"/>
  <c r="EB273" i="56"/>
  <c r="EC273" i="56"/>
  <c r="EC257" i="56"/>
  <c r="EB257" i="56"/>
  <c r="EL241" i="56"/>
  <c r="EC241" i="56"/>
  <c r="EB241" i="56"/>
  <c r="EL225" i="56"/>
  <c r="EB225" i="56"/>
  <c r="EB209" i="56"/>
  <c r="EC209" i="56"/>
  <c r="EL97" i="56"/>
  <c r="EL65" i="56"/>
  <c r="EB48" i="56"/>
  <c r="EL48" i="56"/>
  <c r="EC48" i="56"/>
  <c r="EB32" i="56"/>
  <c r="EL32" i="56"/>
  <c r="EB195" i="56"/>
  <c r="EC322" i="56"/>
  <c r="EE308" i="56"/>
  <c r="EC352" i="56"/>
  <c r="EB352" i="56"/>
  <c r="EL352" i="56"/>
  <c r="EB336" i="56"/>
  <c r="EC336" i="56"/>
  <c r="EL320" i="56"/>
  <c r="EB320" i="56"/>
  <c r="EL304" i="56"/>
  <c r="EC304" i="56"/>
  <c r="EB304" i="56"/>
  <c r="EB288" i="56"/>
  <c r="EL288" i="56"/>
  <c r="EB272" i="56"/>
  <c r="EC272" i="56"/>
  <c r="EL272" i="56"/>
  <c r="EC256" i="56"/>
  <c r="EB256" i="56"/>
  <c r="EL256" i="56"/>
  <c r="EL240" i="56"/>
  <c r="EC240" i="56"/>
  <c r="EB240" i="56"/>
  <c r="EM224" i="56"/>
  <c r="EN224" i="56" s="1"/>
  <c r="GX224" i="56" s="1"/>
  <c r="GZ224" i="56" s="1"/>
  <c r="EL224" i="56"/>
  <c r="EB224" i="56"/>
  <c r="EL208" i="56"/>
  <c r="EC208" i="56"/>
  <c r="EB208" i="56"/>
  <c r="EL192" i="56"/>
  <c r="EC192" i="56"/>
  <c r="EB192" i="56"/>
  <c r="EB176" i="56"/>
  <c r="EC176" i="56"/>
  <c r="EC160" i="56"/>
  <c r="EB160" i="56"/>
  <c r="EL160" i="56"/>
  <c r="EC144" i="56"/>
  <c r="EL144" i="56"/>
  <c r="EB144" i="56"/>
  <c r="EL128" i="56"/>
  <c r="EC112" i="56"/>
  <c r="EB112" i="56"/>
  <c r="EL112" i="56"/>
  <c r="EL96" i="56"/>
  <c r="EB80" i="56"/>
  <c r="EC64" i="56"/>
  <c r="EB64" i="56"/>
  <c r="EL47" i="56"/>
  <c r="EC47" i="56"/>
  <c r="EB47" i="56"/>
  <c r="EM31" i="56"/>
  <c r="EN31" i="56" s="1"/>
  <c r="GX31" i="56" s="1"/>
  <c r="GZ31" i="56" s="1"/>
  <c r="EL31" i="56"/>
  <c r="EC321" i="56"/>
  <c r="EE307" i="56"/>
  <c r="EL10" i="56"/>
  <c r="EC10" i="56"/>
  <c r="EB10" i="56"/>
  <c r="EB131" i="56"/>
  <c r="EC320" i="56"/>
  <c r="EL80" i="56"/>
  <c r="EE287" i="56"/>
  <c r="EB351" i="56"/>
  <c r="EC335" i="56"/>
  <c r="EB335" i="56"/>
  <c r="EL319" i="56"/>
  <c r="EC319" i="56"/>
  <c r="EB303" i="56"/>
  <c r="EL303" i="56"/>
  <c r="EL287" i="56"/>
  <c r="EB271" i="56"/>
  <c r="EC271" i="56"/>
  <c r="EL271" i="56"/>
  <c r="EL255" i="56"/>
  <c r="EC255" i="56"/>
  <c r="EB255" i="56"/>
  <c r="EL223" i="56"/>
  <c r="EL207" i="56"/>
  <c r="EC207" i="56"/>
  <c r="EB207" i="56"/>
  <c r="EL191" i="56"/>
  <c r="EL175" i="56"/>
  <c r="EC159" i="56"/>
  <c r="EB159" i="56"/>
  <c r="EC143" i="56"/>
  <c r="EL143" i="56"/>
  <c r="EB143" i="56"/>
  <c r="EL127" i="56"/>
  <c r="EC127" i="56"/>
  <c r="EL111" i="56"/>
  <c r="EB111" i="56"/>
  <c r="EL95" i="56"/>
  <c r="EB79" i="56"/>
  <c r="EC63" i="56"/>
  <c r="EL46" i="56"/>
  <c r="EC46" i="56"/>
  <c r="EB46" i="56"/>
  <c r="EB30" i="56"/>
  <c r="EL30" i="56"/>
  <c r="EC30" i="56"/>
  <c r="EC14" i="56"/>
  <c r="EB14" i="56"/>
  <c r="EB127" i="56"/>
  <c r="EC317" i="56"/>
  <c r="EC287" i="56"/>
  <c r="EC252" i="56"/>
  <c r="EC223" i="56"/>
  <c r="EC156" i="56"/>
  <c r="EL63" i="56"/>
  <c r="EL14" i="56"/>
  <c r="EE302" i="56"/>
  <c r="EE286" i="56"/>
  <c r="EB350" i="56"/>
  <c r="EL350" i="56"/>
  <c r="EL318" i="56"/>
  <c r="EC318" i="56"/>
  <c r="EL302" i="56"/>
  <c r="EB302" i="56"/>
  <c r="EC286" i="56"/>
  <c r="EL270" i="56"/>
  <c r="EB254" i="56"/>
  <c r="EL222" i="56"/>
  <c r="EC222" i="56"/>
  <c r="EB222" i="56"/>
  <c r="EL206" i="56"/>
  <c r="EL190" i="56"/>
  <c r="EC190" i="56"/>
  <c r="EL174" i="56"/>
  <c r="EB158" i="56"/>
  <c r="EC158" i="56"/>
  <c r="EC142" i="56"/>
  <c r="EC126" i="56"/>
  <c r="EL126" i="56"/>
  <c r="EL110" i="56"/>
  <c r="EB110" i="56"/>
  <c r="EL94" i="56"/>
  <c r="EC94" i="56"/>
  <c r="EL78" i="56"/>
  <c r="EB62" i="56"/>
  <c r="EC45" i="56"/>
  <c r="EB45" i="56"/>
  <c r="EL29" i="56"/>
  <c r="EC29" i="56"/>
  <c r="EL13" i="56"/>
  <c r="EB13" i="56"/>
  <c r="EB191" i="56"/>
  <c r="EB126" i="56"/>
  <c r="EC312" i="56"/>
  <c r="EC191" i="56"/>
  <c r="EL317" i="56"/>
  <c r="EL62" i="56"/>
  <c r="EE301" i="56"/>
  <c r="EE285" i="56"/>
  <c r="EL349" i="56"/>
  <c r="EC333" i="56"/>
  <c r="EB333" i="56"/>
  <c r="EL301" i="56"/>
  <c r="EB285" i="56"/>
  <c r="EL285" i="56"/>
  <c r="EC285" i="56"/>
  <c r="EL269" i="56"/>
  <c r="EC253" i="56"/>
  <c r="EB253" i="56"/>
  <c r="EB237" i="56"/>
  <c r="EC237" i="56"/>
  <c r="EL221" i="56"/>
  <c r="EC221" i="56"/>
  <c r="EB221" i="56"/>
  <c r="EL205" i="56"/>
  <c r="EC189" i="56"/>
  <c r="EB189" i="56"/>
  <c r="EL173" i="56"/>
  <c r="EC141" i="56"/>
  <c r="EB141" i="56"/>
  <c r="EC125" i="56"/>
  <c r="EL125" i="56"/>
  <c r="EB125" i="56"/>
  <c r="EC109" i="56"/>
  <c r="EL109" i="56"/>
  <c r="EC93" i="56"/>
  <c r="EL77" i="56"/>
  <c r="EB61" i="56"/>
  <c r="EC44" i="56"/>
  <c r="EB12" i="56"/>
  <c r="EL12" i="56"/>
  <c r="EB349" i="56"/>
  <c r="EB319" i="56"/>
  <c r="EB287" i="56"/>
  <c r="EB223" i="56"/>
  <c r="EB190" i="56"/>
  <c r="EC13" i="56"/>
  <c r="EL61" i="56"/>
  <c r="EE300" i="56"/>
  <c r="EC348" i="56"/>
  <c r="EL348" i="56"/>
  <c r="EB332" i="56"/>
  <c r="EC316" i="56"/>
  <c r="EB316" i="56"/>
  <c r="EL300" i="56"/>
  <c r="EC300" i="56"/>
  <c r="EL284" i="56"/>
  <c r="EB284" i="56"/>
  <c r="EC236" i="56"/>
  <c r="EB236" i="56"/>
  <c r="EB220" i="56"/>
  <c r="EL204" i="56"/>
  <c r="EL188" i="56"/>
  <c r="EB188" i="56"/>
  <c r="EL172" i="56"/>
  <c r="EL156" i="56"/>
  <c r="EB140" i="56"/>
  <c r="EC140" i="56"/>
  <c r="EL124" i="56"/>
  <c r="EC124" i="56"/>
  <c r="EB124" i="56"/>
  <c r="EL108" i="56"/>
  <c r="EC92" i="56"/>
  <c r="EL92" i="56"/>
  <c r="EB92" i="56"/>
  <c r="EL76" i="56"/>
  <c r="EB60" i="56"/>
  <c r="EB43" i="56"/>
  <c r="EB348" i="56"/>
  <c r="EB318" i="56"/>
  <c r="EB286" i="56"/>
  <c r="EC12" i="56"/>
  <c r="EL159" i="56"/>
  <c r="EL60" i="56"/>
  <c r="EL346" i="56"/>
  <c r="EL330" i="56"/>
  <c r="EC314" i="56"/>
  <c r="EB314" i="56"/>
  <c r="EL282" i="56"/>
  <c r="EC266" i="56"/>
  <c r="EL250" i="56"/>
  <c r="EB234" i="56"/>
  <c r="EC218" i="56"/>
  <c r="EB218" i="56"/>
  <c r="EL202" i="56"/>
  <c r="EC202" i="56"/>
  <c r="EB202" i="56"/>
  <c r="EB186" i="56"/>
  <c r="EL186" i="56"/>
  <c r="EC170" i="56"/>
  <c r="EB170" i="56"/>
  <c r="EM154" i="56"/>
  <c r="EN154" i="56" s="1"/>
  <c r="GX154" i="56" s="1"/>
  <c r="GZ154" i="56" s="1"/>
  <c r="EL154" i="56"/>
  <c r="EB138" i="56"/>
  <c r="EL122" i="56"/>
  <c r="EB122" i="56"/>
  <c r="EC122" i="56"/>
  <c r="EL106" i="56"/>
  <c r="EC106" i="56"/>
  <c r="EB106" i="56"/>
  <c r="EL90" i="56"/>
  <c r="EL74" i="56"/>
  <c r="EC74" i="56"/>
  <c r="EC58" i="56"/>
  <c r="EL58" i="56"/>
  <c r="EC41" i="56"/>
  <c r="EB41" i="56"/>
  <c r="EL9" i="56"/>
  <c r="EC9" i="56"/>
  <c r="EB346" i="56"/>
  <c r="EB248" i="56"/>
  <c r="EC341" i="56"/>
  <c r="EC111" i="56"/>
  <c r="EC79" i="56"/>
  <c r="EC43" i="56"/>
  <c r="EL200" i="56"/>
  <c r="EL157" i="56"/>
  <c r="EL45" i="56"/>
  <c r="EC345" i="56"/>
  <c r="EL329" i="56"/>
  <c r="EC313" i="56"/>
  <c r="EB313" i="56"/>
  <c r="EC297" i="56"/>
  <c r="EB297" i="56"/>
  <c r="EL281" i="56"/>
  <c r="EC281" i="56"/>
  <c r="EL265" i="56"/>
  <c r="EB265" i="56"/>
  <c r="EB249" i="56"/>
  <c r="EL249" i="56"/>
  <c r="EC217" i="56"/>
  <c r="EB217" i="56"/>
  <c r="EL201" i="56"/>
  <c r="EB201" i="56"/>
  <c r="EL185" i="56"/>
  <c r="EC185" i="56"/>
  <c r="EB169" i="56"/>
  <c r="EL169" i="56"/>
  <c r="EL153" i="56"/>
  <c r="EC121" i="56"/>
  <c r="EB121" i="56"/>
  <c r="EL105" i="56"/>
  <c r="EC105" i="56"/>
  <c r="EB105" i="56"/>
  <c r="EC89" i="56"/>
  <c r="EL89" i="56"/>
  <c r="EC73" i="56"/>
  <c r="EB73" i="56"/>
  <c r="EL57" i="56"/>
  <c r="EL40" i="56"/>
  <c r="EC24" i="56"/>
  <c r="EB24" i="56"/>
  <c r="EL8" i="56"/>
  <c r="EC8" i="56"/>
  <c r="EB8" i="56"/>
  <c r="EB345" i="56"/>
  <c r="EC303" i="56"/>
  <c r="EC110" i="56"/>
  <c r="EC78" i="56"/>
  <c r="EL254" i="56"/>
  <c r="EL44" i="56"/>
  <c r="EL344" i="56"/>
  <c r="EC344" i="56"/>
  <c r="EB344" i="56"/>
  <c r="EL328" i="56"/>
  <c r="EB312" i="56"/>
  <c r="EL312" i="56"/>
  <c r="EC296" i="56"/>
  <c r="EC280" i="56"/>
  <c r="EL280" i="56"/>
  <c r="EB264" i="56"/>
  <c r="EL232" i="56"/>
  <c r="EC216" i="56"/>
  <c r="EB216" i="56"/>
  <c r="EM184" i="56"/>
  <c r="EN184" i="56" s="1"/>
  <c r="GX184" i="56" s="1"/>
  <c r="GZ184" i="56" s="1"/>
  <c r="EL184" i="56"/>
  <c r="EC184" i="56"/>
  <c r="EL168" i="56"/>
  <c r="EB168" i="56"/>
  <c r="EB152" i="56"/>
  <c r="EL152" i="56"/>
  <c r="EC152" i="56"/>
  <c r="EL136" i="56"/>
  <c r="EC120" i="56"/>
  <c r="EB120" i="56"/>
  <c r="EB104" i="56"/>
  <c r="EL104" i="56"/>
  <c r="EC104" i="56"/>
  <c r="EL88" i="56"/>
  <c r="EL72" i="56"/>
  <c r="EC72" i="56"/>
  <c r="EB72" i="56"/>
  <c r="EL56" i="56"/>
  <c r="EC56" i="56"/>
  <c r="EB78" i="56"/>
  <c r="EC302" i="56"/>
  <c r="EC206" i="56"/>
  <c r="EC108" i="56"/>
  <c r="EC77" i="56"/>
  <c r="EL253" i="56"/>
  <c r="EL142" i="56"/>
  <c r="EL43" i="56"/>
  <c r="EE25" i="56"/>
  <c r="ED25" i="56"/>
  <c r="EL327" i="56"/>
  <c r="EL71" i="56"/>
  <c r="EB175" i="56"/>
  <c r="EB77" i="56"/>
  <c r="EB44" i="56"/>
  <c r="EC332" i="56"/>
  <c r="EC301" i="56"/>
  <c r="EC270" i="56"/>
  <c r="EC239" i="56"/>
  <c r="EC205" i="56"/>
  <c r="EC175" i="56"/>
  <c r="EC76" i="56"/>
  <c r="EL297" i="56"/>
  <c r="EL248" i="56"/>
  <c r="EL197" i="56"/>
  <c r="EL141" i="56"/>
  <c r="EL93" i="56"/>
  <c r="EL37" i="56"/>
  <c r="EC37" i="56"/>
  <c r="EB21" i="56"/>
  <c r="EL21" i="56"/>
  <c r="EC5" i="56"/>
  <c r="EB206" i="56"/>
  <c r="EB174" i="56"/>
  <c r="EB142" i="56"/>
  <c r="EB109" i="56"/>
  <c r="EB76" i="56"/>
  <c r="EB40" i="56"/>
  <c r="EC269" i="56"/>
  <c r="EC204" i="56"/>
  <c r="EC174" i="56"/>
  <c r="EC137" i="56"/>
  <c r="EL351" i="56"/>
  <c r="EL296" i="56"/>
  <c r="EL239" i="56"/>
  <c r="EL140" i="56"/>
  <c r="EL341" i="56"/>
  <c r="EC325" i="56"/>
  <c r="EL309" i="56"/>
  <c r="EL293" i="56"/>
  <c r="EB293" i="56"/>
  <c r="EC277" i="56"/>
  <c r="EB277" i="56"/>
  <c r="EL261" i="56"/>
  <c r="EC261" i="56"/>
  <c r="EL245" i="56"/>
  <c r="EB245" i="56"/>
  <c r="EL213" i="56"/>
  <c r="EC181" i="56"/>
  <c r="EB181" i="56"/>
  <c r="EL165" i="56"/>
  <c r="EC165" i="56"/>
  <c r="EL149" i="56"/>
  <c r="EB149" i="56"/>
  <c r="EL133" i="56"/>
  <c r="EC133" i="56"/>
  <c r="EB117" i="56"/>
  <c r="EL117" i="56"/>
  <c r="EC101" i="56"/>
  <c r="EB101" i="56"/>
  <c r="EB85" i="56"/>
  <c r="EL85" i="56"/>
  <c r="EC85" i="56"/>
  <c r="EL69" i="56"/>
  <c r="EC69" i="56"/>
  <c r="EC53" i="56"/>
  <c r="EB53" i="56"/>
  <c r="EC36" i="56"/>
  <c r="EL36" i="56"/>
  <c r="EC20" i="56"/>
  <c r="EL20" i="56"/>
  <c r="EB301" i="56"/>
  <c r="EB270" i="56"/>
  <c r="EB238" i="56"/>
  <c r="EB205" i="56"/>
  <c r="EB173" i="56"/>
  <c r="EB137" i="56"/>
  <c r="EB108" i="56"/>
  <c r="EC329" i="56"/>
  <c r="EC268" i="56"/>
  <c r="EC233" i="56"/>
  <c r="EC201" i="56"/>
  <c r="EC173" i="56"/>
  <c r="EC136" i="56"/>
  <c r="EL345" i="56"/>
  <c r="EL238" i="56"/>
  <c r="EB130" i="56"/>
  <c r="EB34" i="56"/>
  <c r="EC113" i="56"/>
  <c r="EC17" i="56"/>
  <c r="EL214" i="56"/>
  <c r="EB129" i="56"/>
  <c r="EC35" i="56"/>
  <c r="EL193" i="56"/>
  <c r="EL17" i="56"/>
  <c r="EL113" i="56"/>
  <c r="EL35" i="56"/>
  <c r="EB326" i="56"/>
  <c r="EC326" i="56"/>
  <c r="EB310" i="56"/>
  <c r="EL310" i="56"/>
  <c r="EB278" i="56"/>
  <c r="EB246" i="56"/>
  <c r="EC246" i="56"/>
  <c r="EB182" i="56"/>
  <c r="EB86" i="56"/>
  <c r="EB54" i="56"/>
  <c r="EL54" i="56"/>
  <c r="EB38" i="56"/>
  <c r="EL38" i="56"/>
  <c r="EB65" i="56"/>
  <c r="EC166" i="56"/>
  <c r="EC146" i="56"/>
  <c r="EC49" i="56"/>
  <c r="EL150" i="56"/>
  <c r="EB162" i="56"/>
  <c r="EC145" i="56"/>
  <c r="EL129" i="56"/>
  <c r="EL51" i="56"/>
  <c r="EL49" i="56"/>
  <c r="EB67" i="56"/>
  <c r="EL19" i="56"/>
  <c r="EC161" i="56"/>
  <c r="EC83" i="56"/>
  <c r="EC65" i="56"/>
  <c r="EL166" i="56"/>
  <c r="EL145" i="56"/>
  <c r="EL162" i="56"/>
  <c r="EC162" i="56"/>
  <c r="EL146" i="56"/>
  <c r="EL130" i="56"/>
  <c r="EL114" i="56"/>
  <c r="EL98" i="56"/>
  <c r="EL82" i="56"/>
  <c r="EL66" i="56"/>
  <c r="EB66" i="56"/>
  <c r="EL34" i="56"/>
  <c r="EC34" i="56"/>
  <c r="EL18" i="56"/>
  <c r="EB178" i="56"/>
  <c r="EB99" i="56"/>
  <c r="EC82" i="56"/>
  <c r="EL262" i="56"/>
  <c r="EL86" i="56"/>
  <c r="EL67" i="56"/>
  <c r="EC177" i="56"/>
  <c r="EB49" i="56"/>
  <c r="EB177" i="56"/>
  <c r="EB98" i="56"/>
  <c r="EC178" i="56"/>
  <c r="EC81" i="56"/>
  <c r="EL182" i="56"/>
  <c r="IJ74" i="56"/>
  <c r="IJ37" i="56"/>
  <c r="IJ338" i="56"/>
  <c r="IJ322" i="56"/>
  <c r="IJ347" i="56"/>
  <c r="IJ308" i="56"/>
  <c r="FS29" i="56"/>
  <c r="FQ29" i="56"/>
  <c r="FT29" i="56" s="1"/>
  <c r="FP29" i="56"/>
  <c r="FS30" i="56"/>
  <c r="IO317" i="56"/>
  <c r="IN317" i="56"/>
  <c r="IH317" i="56"/>
  <c r="II317" i="56" s="1"/>
  <c r="GR317" i="56"/>
  <c r="N317" i="56" s="1"/>
  <c r="GS317" i="56" s="1"/>
  <c r="HE317" i="56" s="1"/>
  <c r="HF317" i="56" s="1"/>
  <c r="IJ114" i="56"/>
  <c r="IJ239" i="56"/>
  <c r="AE3" i="58" a="1"/>
  <c r="AE3" i="58" s="1"/>
  <c r="FR3" i="56"/>
  <c r="IJ346" i="56"/>
  <c r="IJ307" i="56"/>
  <c r="IJ320" i="56"/>
  <c r="IJ256" i="56"/>
  <c r="IJ240" i="56"/>
  <c r="IJ208" i="56"/>
  <c r="IJ192" i="56"/>
  <c r="IJ176" i="56"/>
  <c r="IJ128" i="56"/>
  <c r="IJ80" i="56"/>
  <c r="IJ345" i="56"/>
  <c r="IJ306" i="56"/>
  <c r="IJ351" i="56"/>
  <c r="IJ335" i="56"/>
  <c r="GM335" i="56"/>
  <c r="IJ319" i="56"/>
  <c r="IJ303" i="56"/>
  <c r="IJ287" i="56"/>
  <c r="IJ271" i="56"/>
  <c r="IJ255" i="56"/>
  <c r="IJ223" i="56"/>
  <c r="IJ207" i="56"/>
  <c r="IJ191" i="56"/>
  <c r="IJ175" i="56"/>
  <c r="IJ159" i="56"/>
  <c r="IJ143" i="56"/>
  <c r="IJ127" i="56"/>
  <c r="IJ111" i="56"/>
  <c r="IJ95" i="56"/>
  <c r="IJ79" i="56"/>
  <c r="IJ63" i="56"/>
  <c r="IJ47" i="56"/>
  <c r="IJ31" i="56"/>
  <c r="GM31" i="56"/>
  <c r="GM32" i="56" s="1"/>
  <c r="IJ15" i="56"/>
  <c r="IJ344" i="56"/>
  <c r="IJ258" i="56"/>
  <c r="IJ160" i="56"/>
  <c r="IJ350" i="56"/>
  <c r="IJ334" i="56"/>
  <c r="IJ318" i="56"/>
  <c r="IJ302" i="56"/>
  <c r="IJ286" i="56"/>
  <c r="IJ270" i="56"/>
  <c r="IJ254" i="56"/>
  <c r="IJ238" i="56"/>
  <c r="IJ222" i="56"/>
  <c r="IJ206" i="56"/>
  <c r="IJ190" i="56"/>
  <c r="IJ174" i="56"/>
  <c r="IJ158" i="56"/>
  <c r="IJ142" i="56"/>
  <c r="IJ126" i="56"/>
  <c r="IJ110" i="56"/>
  <c r="IJ94" i="56"/>
  <c r="IJ78" i="56"/>
  <c r="IJ62" i="56"/>
  <c r="IJ46" i="56"/>
  <c r="IJ30" i="56"/>
  <c r="IJ14" i="56"/>
  <c r="IJ343" i="56"/>
  <c r="IJ257" i="56"/>
  <c r="IJ90" i="56"/>
  <c r="IJ329" i="56"/>
  <c r="IJ297" i="56"/>
  <c r="IJ217" i="56"/>
  <c r="IJ105" i="56"/>
  <c r="IJ73" i="56"/>
  <c r="IJ57" i="56"/>
  <c r="IJ9" i="56"/>
  <c r="IJ327" i="56"/>
  <c r="IJ200" i="56"/>
  <c r="FQ30" i="56"/>
  <c r="FT30" i="56" s="1"/>
  <c r="FP30" i="56"/>
  <c r="IJ285" i="56"/>
  <c r="GM285" i="56"/>
  <c r="IJ189" i="56"/>
  <c r="IJ125" i="56"/>
  <c r="IJ109" i="56"/>
  <c r="IJ29" i="56"/>
  <c r="IJ316" i="56"/>
  <c r="IJ140" i="56"/>
  <c r="IJ124" i="56"/>
  <c r="IJ60" i="56"/>
  <c r="IJ59" i="56"/>
  <c r="IJ315" i="56"/>
  <c r="IJ201" i="56"/>
  <c r="IJ149" i="56"/>
  <c r="IJ325" i="56"/>
  <c r="GM325" i="56"/>
  <c r="IJ235" i="56"/>
  <c r="IJ280" i="56"/>
  <c r="IJ234" i="56"/>
  <c r="IJ13" i="56"/>
  <c r="IO283" i="56"/>
  <c r="IN283" i="56"/>
  <c r="IH283" i="56"/>
  <c r="II283" i="56" s="1"/>
  <c r="GR283" i="56"/>
  <c r="N283" i="56" s="1"/>
  <c r="GS283" i="56" s="1"/>
  <c r="HE283" i="56" s="1"/>
  <c r="HF283" i="56" s="1"/>
  <c r="IJ139" i="56"/>
  <c r="IJ261" i="56"/>
  <c r="IJ245" i="56"/>
  <c r="IJ213" i="56"/>
  <c r="IJ274" i="56"/>
  <c r="IJ231" i="56"/>
  <c r="IJ138" i="56"/>
  <c r="IJ41" i="56"/>
  <c r="IJ4" i="56"/>
  <c r="GM4" i="56"/>
  <c r="IJ273" i="56"/>
  <c r="IJ40" i="56"/>
  <c r="IJ3" i="56"/>
  <c r="IJ75" i="56"/>
  <c r="IJ39" i="56"/>
  <c r="IJ349" i="56"/>
  <c r="IJ333" i="56"/>
  <c r="IJ317" i="56"/>
  <c r="GM317" i="56"/>
  <c r="IJ301" i="56"/>
  <c r="IJ269" i="56"/>
  <c r="IJ253" i="56"/>
  <c r="IJ237" i="56"/>
  <c r="IJ221" i="56"/>
  <c r="IJ205" i="56"/>
  <c r="IJ173" i="56"/>
  <c r="IJ157" i="56"/>
  <c r="IJ141" i="56"/>
  <c r="IJ93" i="56"/>
  <c r="IJ77" i="56"/>
  <c r="IJ61" i="56"/>
  <c r="IJ45" i="56"/>
  <c r="IJ305" i="56"/>
  <c r="IJ148" i="56"/>
  <c r="IJ348" i="56"/>
  <c r="IJ332" i="56"/>
  <c r="GM332" i="56"/>
  <c r="IJ300" i="56"/>
  <c r="IJ284" i="56"/>
  <c r="GM284" i="56"/>
  <c r="IJ268" i="56"/>
  <c r="IJ252" i="56"/>
  <c r="IJ236" i="56"/>
  <c r="IJ220" i="56"/>
  <c r="IJ204" i="56"/>
  <c r="IJ188" i="56"/>
  <c r="IJ172" i="56"/>
  <c r="IJ156" i="56"/>
  <c r="IJ108" i="56"/>
  <c r="IJ92" i="56"/>
  <c r="IJ76" i="56"/>
  <c r="IJ44" i="56"/>
  <c r="IJ28" i="56"/>
  <c r="IJ12" i="56"/>
  <c r="IJ337" i="56"/>
  <c r="IJ64" i="56"/>
  <c r="IJ331" i="56"/>
  <c r="GM331" i="56"/>
  <c r="IJ299" i="56"/>
  <c r="IJ283" i="56"/>
  <c r="IJ267" i="56"/>
  <c r="IJ251" i="56"/>
  <c r="IJ219" i="56"/>
  <c r="IJ203" i="56"/>
  <c r="IJ187" i="56"/>
  <c r="IJ171" i="56"/>
  <c r="IJ155" i="56"/>
  <c r="GM155" i="56"/>
  <c r="IJ123" i="56"/>
  <c r="IJ107" i="56"/>
  <c r="IJ91" i="56"/>
  <c r="IJ43" i="56"/>
  <c r="IJ27" i="56"/>
  <c r="IJ11" i="56"/>
  <c r="IJ336" i="56"/>
  <c r="IJ296" i="56"/>
  <c r="IJ260" i="56"/>
  <c r="IJ225" i="56"/>
  <c r="IJ184" i="56"/>
  <c r="IJ104" i="56"/>
  <c r="IJ330" i="56"/>
  <c r="GM330" i="56"/>
  <c r="IJ314" i="56"/>
  <c r="IJ298" i="56"/>
  <c r="IJ106" i="56"/>
  <c r="IJ58" i="56"/>
  <c r="IJ26" i="56"/>
  <c r="GM26" i="56"/>
  <c r="IJ328" i="56"/>
  <c r="IJ295" i="56"/>
  <c r="IJ259" i="56"/>
  <c r="IJ224" i="56"/>
  <c r="GM224" i="56"/>
  <c r="IJ183" i="56"/>
  <c r="IJ98" i="56"/>
  <c r="IJ311" i="56"/>
  <c r="IJ279" i="56"/>
  <c r="IJ263" i="56"/>
  <c r="IJ167" i="56"/>
  <c r="IJ55" i="56"/>
  <c r="IJ324" i="56"/>
  <c r="IJ89" i="56"/>
  <c r="GM89" i="56"/>
  <c r="IJ53" i="56"/>
  <c r="GM53" i="56"/>
  <c r="IJ342" i="56"/>
  <c r="GM342" i="56"/>
  <c r="GM343" i="56" s="1"/>
  <c r="IJ326" i="56"/>
  <c r="GM326" i="56"/>
  <c r="IJ310" i="56"/>
  <c r="IJ294" i="56"/>
  <c r="IJ278" i="56"/>
  <c r="IJ262" i="56"/>
  <c r="IJ246" i="56"/>
  <c r="IJ230" i="56"/>
  <c r="IJ214" i="56"/>
  <c r="IJ198" i="56"/>
  <c r="IJ182" i="56"/>
  <c r="IJ166" i="56"/>
  <c r="IJ150" i="56"/>
  <c r="IJ134" i="56"/>
  <c r="IJ118" i="56"/>
  <c r="IJ102" i="56"/>
  <c r="GM102" i="56"/>
  <c r="IJ86" i="56"/>
  <c r="IJ70" i="56"/>
  <c r="IJ54" i="56"/>
  <c r="IJ38" i="56"/>
  <c r="IJ22" i="56"/>
  <c r="IJ6" i="56"/>
  <c r="IJ323" i="56"/>
  <c r="IJ247" i="56"/>
  <c r="IJ212" i="56"/>
  <c r="IJ132" i="56"/>
  <c r="IJ88" i="56"/>
  <c r="GM88" i="56"/>
  <c r="IJ52" i="56"/>
  <c r="IJ20" i="56"/>
  <c r="IJ341" i="56"/>
  <c r="IJ309" i="56"/>
  <c r="IJ293" i="56"/>
  <c r="IJ277" i="56"/>
  <c r="IJ229" i="56"/>
  <c r="IJ197" i="56"/>
  <c r="IJ181" i="56"/>
  <c r="IJ165" i="56"/>
  <c r="IJ133" i="56"/>
  <c r="IJ117" i="56"/>
  <c r="IJ101" i="56"/>
  <c r="IJ85" i="56"/>
  <c r="IJ69" i="56"/>
  <c r="IJ21" i="56"/>
  <c r="IJ5" i="56"/>
  <c r="GM5" i="56"/>
  <c r="GM6" i="56" s="1"/>
  <c r="IJ211" i="56"/>
  <c r="IJ87" i="56"/>
  <c r="IJ19" i="56"/>
  <c r="IJ244" i="56"/>
  <c r="IJ196" i="56"/>
  <c r="IJ282" i="56"/>
  <c r="IJ210" i="56"/>
  <c r="IJ162" i="56"/>
  <c r="IJ18" i="56"/>
  <c r="IJ339" i="56"/>
  <c r="IJ291" i="56"/>
  <c r="IJ275" i="56"/>
  <c r="IJ243" i="56"/>
  <c r="IJ227" i="56"/>
  <c r="IJ195" i="56"/>
  <c r="IJ179" i="56"/>
  <c r="IJ131" i="56"/>
  <c r="GM131" i="56"/>
  <c r="IJ115" i="56"/>
  <c r="IJ35" i="56"/>
  <c r="IJ281" i="56"/>
  <c r="IJ209" i="56"/>
  <c r="IJ161" i="56"/>
  <c r="IJ42" i="56"/>
  <c r="IJ266" i="56"/>
  <c r="IJ250" i="56"/>
  <c r="IJ202" i="56"/>
  <c r="IJ186" i="56"/>
  <c r="GM186" i="56"/>
  <c r="IJ170" i="56"/>
  <c r="IJ154" i="56"/>
  <c r="IJ10" i="56"/>
  <c r="IJ81" i="56"/>
  <c r="IJ36" i="56"/>
  <c r="IJ249" i="56"/>
  <c r="IJ233" i="56"/>
  <c r="IJ185" i="56"/>
  <c r="IJ169" i="56"/>
  <c r="IJ153" i="56"/>
  <c r="IJ137" i="56"/>
  <c r="IJ340" i="56"/>
  <c r="IJ228" i="56"/>
  <c r="IJ178" i="56"/>
  <c r="IN88" i="56"/>
  <c r="IH88" i="56"/>
  <c r="II88" i="56" s="1"/>
  <c r="IO88" i="56"/>
  <c r="IJ276" i="56"/>
  <c r="IJ177" i="56"/>
  <c r="IJ56" i="56"/>
  <c r="IJ8" i="56"/>
  <c r="IJ215" i="56"/>
  <c r="IJ199" i="56"/>
  <c r="IJ151" i="56"/>
  <c r="IJ135" i="56"/>
  <c r="IJ119" i="56"/>
  <c r="IJ103" i="56"/>
  <c r="IJ7" i="56"/>
  <c r="IJ248" i="56"/>
  <c r="IJ226" i="56"/>
  <c r="IN313" i="56"/>
  <c r="IO313" i="56"/>
  <c r="IH313" i="56"/>
  <c r="II313" i="56" s="1"/>
  <c r="IN130" i="56"/>
  <c r="IO130" i="56"/>
  <c r="IH130" i="56"/>
  <c r="II130" i="56" s="1"/>
  <c r="GR130" i="56"/>
  <c r="N130" i="56" s="1"/>
  <c r="GS130" i="56" s="1"/>
  <c r="HE130" i="56" s="1"/>
  <c r="HF130" i="56" s="1"/>
  <c r="IJ180" i="56"/>
  <c r="IJ164" i="56"/>
  <c r="IJ116" i="56"/>
  <c r="IJ100" i="56"/>
  <c r="IJ84" i="56"/>
  <c r="IJ68" i="56"/>
  <c r="IJ145" i="56"/>
  <c r="IJ97" i="56"/>
  <c r="IJ163" i="56"/>
  <c r="IJ147" i="56"/>
  <c r="IJ99" i="56"/>
  <c r="IJ83" i="56"/>
  <c r="IJ67" i="56"/>
  <c r="IJ51" i="56"/>
  <c r="IJ313" i="56"/>
  <c r="GM313" i="56"/>
  <c r="IJ292" i="56"/>
  <c r="IJ144" i="56"/>
  <c r="IJ122" i="56"/>
  <c r="IJ72" i="56"/>
  <c r="IJ25" i="56"/>
  <c r="IO26" i="56"/>
  <c r="IN26" i="56"/>
  <c r="IH26" i="56"/>
  <c r="II26" i="56" s="1"/>
  <c r="GR26" i="56"/>
  <c r="N26" i="56" s="1"/>
  <c r="GS26" i="56" s="1"/>
  <c r="HE26" i="56" s="1"/>
  <c r="HF26" i="56" s="1"/>
  <c r="IJ146" i="56"/>
  <c r="IJ130" i="56"/>
  <c r="IJ312" i="56"/>
  <c r="IJ265" i="56"/>
  <c r="IJ242" i="56"/>
  <c r="IJ218" i="56"/>
  <c r="IJ194" i="56"/>
  <c r="IJ121" i="56"/>
  <c r="IJ71" i="56"/>
  <c r="IJ24" i="56"/>
  <c r="IN335" i="56"/>
  <c r="IO335" i="56"/>
  <c r="IH335" i="56"/>
  <c r="II335" i="56" s="1"/>
  <c r="GR335" i="56"/>
  <c r="N335" i="56" s="1"/>
  <c r="GS335" i="56" s="1"/>
  <c r="HE335" i="56" s="1"/>
  <c r="HF335" i="56" s="1"/>
  <c r="IJ129" i="56"/>
  <c r="IJ290" i="56"/>
  <c r="IJ264" i="56"/>
  <c r="IJ241" i="56"/>
  <c r="IJ193" i="56"/>
  <c r="IJ23" i="56"/>
  <c r="IJ304" i="56"/>
  <c r="IJ288" i="56"/>
  <c r="IJ272" i="56"/>
  <c r="IJ112" i="56"/>
  <c r="IJ96" i="56"/>
  <c r="IJ48" i="56"/>
  <c r="IJ32" i="56"/>
  <c r="IJ16" i="56"/>
  <c r="IJ289" i="56"/>
  <c r="IJ120" i="56"/>
  <c r="IJ34" i="56"/>
  <c r="IJ17" i="56"/>
  <c r="IJ136" i="56"/>
  <c r="IJ50" i="56"/>
  <c r="IJ33" i="56"/>
  <c r="IO102" i="56"/>
  <c r="IN102" i="56"/>
  <c r="IH102" i="56"/>
  <c r="II102" i="56" s="1"/>
  <c r="IJ152" i="56"/>
  <c r="IJ66" i="56"/>
  <c r="IJ49" i="56"/>
  <c r="IN330" i="56"/>
  <c r="IO330" i="56"/>
  <c r="IH330" i="56"/>
  <c r="II330" i="56" s="1"/>
  <c r="GR330" i="56"/>
  <c r="N330" i="56" s="1"/>
  <c r="GS330" i="56" s="1"/>
  <c r="HE330" i="56" s="1"/>
  <c r="HF330" i="56" s="1"/>
  <c r="IJ321" i="56"/>
  <c r="IJ168" i="56"/>
  <c r="IJ82" i="56"/>
  <c r="IJ65" i="56"/>
  <c r="IN184" i="56"/>
  <c r="IH184" i="56"/>
  <c r="II184" i="56" s="1"/>
  <c r="IO184" i="56"/>
  <c r="GR184" i="56"/>
  <c r="N184" i="56" s="1"/>
  <c r="GS184" i="56" s="1"/>
  <c r="HE184" i="56" s="1"/>
  <c r="HF184" i="56" s="1"/>
  <c r="IJ216" i="56"/>
  <c r="IJ113" i="56"/>
  <c r="IO325" i="56"/>
  <c r="IN325" i="56"/>
  <c r="IH325" i="56"/>
  <c r="II325" i="56" s="1"/>
  <c r="GR325" i="56"/>
  <c r="N325" i="56" s="1"/>
  <c r="GS325" i="56" s="1"/>
  <c r="HE325" i="56" s="1"/>
  <c r="HF325" i="56" s="1"/>
  <c r="IJ232" i="56"/>
  <c r="IO53" i="56"/>
  <c r="IN53" i="56"/>
  <c r="IH53" i="56"/>
  <c r="II53" i="56" s="1"/>
  <c r="GR53" i="56"/>
  <c r="N53" i="56" s="1"/>
  <c r="GS53" i="56" s="1"/>
  <c r="HE53" i="56" s="1"/>
  <c r="HF53" i="56" s="1"/>
  <c r="IN31" i="56"/>
  <c r="IO31" i="56"/>
  <c r="IH31" i="56"/>
  <c r="II31" i="56" s="1"/>
  <c r="GR31" i="56"/>
  <c r="N31" i="56" s="1"/>
  <c r="GS31" i="56" s="1"/>
  <c r="HE31" i="56" s="1"/>
  <c r="HF31" i="56" s="1"/>
  <c r="GR102" i="56"/>
  <c r="N102" i="56" s="1"/>
  <c r="GS102" i="56" s="1"/>
  <c r="HE102" i="56" s="1"/>
  <c r="HF102" i="56" s="1"/>
  <c r="IN341" i="56"/>
  <c r="IO341" i="56"/>
  <c r="IH341" i="56"/>
  <c r="II341" i="56" s="1"/>
  <c r="IN154" i="56"/>
  <c r="IO154" i="56"/>
  <c r="IH154" i="56"/>
  <c r="II154" i="56" s="1"/>
  <c r="IN336" i="56"/>
  <c r="IO336" i="56"/>
  <c r="IH336" i="56"/>
  <c r="II336" i="56" s="1"/>
  <c r="IO224" i="56"/>
  <c r="IN224" i="56"/>
  <c r="IH224" i="56"/>
  <c r="II224" i="56" s="1"/>
  <c r="N32" i="42"/>
  <c r="P32" i="42" s="1"/>
  <c r="AE32" i="42" s="1"/>
  <c r="AF32" i="42" s="1"/>
  <c r="N22" i="42"/>
  <c r="P22" i="42" s="1"/>
  <c r="AE22" i="42" s="1"/>
  <c r="AF22" i="42" s="1"/>
  <c r="N24" i="42"/>
  <c r="P24" i="42" s="1"/>
  <c r="AE24" i="42" s="1"/>
  <c r="AF24" i="42" s="1"/>
  <c r="N31" i="42"/>
  <c r="P31" i="42" s="1"/>
  <c r="AE31" i="42" s="1"/>
  <c r="AF31" i="42" s="1"/>
  <c r="X226" i="19"/>
  <c r="W432" i="19"/>
  <c r="W392" i="19"/>
  <c r="X360" i="19"/>
  <c r="W302" i="19"/>
  <c r="X436" i="19"/>
  <c r="W66" i="19"/>
  <c r="W336" i="19"/>
  <c r="W43" i="19"/>
  <c r="W122" i="19"/>
  <c r="W16" i="42"/>
  <c r="X229" i="19"/>
  <c r="W155" i="19"/>
  <c r="W309" i="19"/>
  <c r="X415" i="19"/>
  <c r="BF13" i="10"/>
  <c r="W28" i="42"/>
  <c r="W10" i="19"/>
  <c r="W29" i="19"/>
  <c r="W200" i="19"/>
  <c r="W253" i="19"/>
  <c r="W325" i="19"/>
  <c r="X114" i="19"/>
  <c r="W127" i="19"/>
  <c r="X134" i="19"/>
  <c r="W228" i="19"/>
  <c r="X420" i="19"/>
  <c r="W475" i="19"/>
  <c r="W6" i="19"/>
  <c r="X189" i="19"/>
  <c r="W202" i="19"/>
  <c r="W464" i="19"/>
  <c r="X7" i="19"/>
  <c r="W355" i="19"/>
  <c r="W424" i="19"/>
  <c r="W232" i="19"/>
  <c r="W330" i="19"/>
  <c r="W452" i="19"/>
  <c r="X466" i="19"/>
  <c r="X71" i="19"/>
  <c r="W117" i="19"/>
  <c r="W130" i="19"/>
  <c r="W153" i="19"/>
  <c r="W413" i="19"/>
  <c r="W111" i="19"/>
  <c r="W206" i="19"/>
  <c r="W260" i="19"/>
  <c r="W344" i="19"/>
  <c r="W400" i="19"/>
  <c r="W27" i="19"/>
  <c r="W164" i="19"/>
  <c r="W234" i="19"/>
  <c r="W320" i="19"/>
  <c r="W440" i="19"/>
  <c r="W483" i="19"/>
  <c r="X50" i="19"/>
  <c r="W118" i="19"/>
  <c r="W125" i="19"/>
  <c r="X250" i="19"/>
  <c r="W308" i="19"/>
  <c r="W390" i="19"/>
  <c r="W33" i="42"/>
  <c r="W17" i="42"/>
  <c r="W29" i="42"/>
  <c r="W22" i="42"/>
  <c r="W14" i="42"/>
  <c r="W27" i="42"/>
  <c r="W23" i="42"/>
  <c r="W35" i="42"/>
  <c r="W19" i="42"/>
  <c r="W12" i="42"/>
  <c r="W301" i="19"/>
  <c r="X312" i="19"/>
  <c r="X445" i="19"/>
  <c r="W456" i="19"/>
  <c r="W162" i="19"/>
  <c r="W107" i="19"/>
  <c r="W113" i="19"/>
  <c r="W93" i="19"/>
  <c r="W216" i="19"/>
  <c r="W292" i="19"/>
  <c r="X362" i="19"/>
  <c r="X14" i="19"/>
  <c r="X49" i="19"/>
  <c r="X79" i="19"/>
  <c r="X242" i="19"/>
  <c r="W294" i="19"/>
  <c r="X328" i="19"/>
  <c r="W339" i="19"/>
  <c r="W426" i="19"/>
  <c r="X450" i="19"/>
  <c r="X472" i="19"/>
  <c r="W496" i="19"/>
  <c r="X102" i="19"/>
  <c r="W109" i="19"/>
  <c r="W266" i="19"/>
  <c r="W381" i="19"/>
  <c r="X416" i="19"/>
  <c r="W461" i="19"/>
  <c r="X135" i="19"/>
  <c r="W208" i="19"/>
  <c r="X254" i="19"/>
  <c r="X319" i="19"/>
  <c r="W451" i="19"/>
  <c r="W486" i="19"/>
  <c r="W158" i="19"/>
  <c r="X169" i="19"/>
  <c r="W298" i="19"/>
  <c r="W397" i="19"/>
  <c r="W408" i="19"/>
  <c r="X429" i="19"/>
  <c r="W137" i="19"/>
  <c r="X170" i="19"/>
  <c r="X211" i="19"/>
  <c r="W248" i="19"/>
  <c r="W490" i="19"/>
  <c r="X38" i="19"/>
  <c r="X398" i="19"/>
  <c r="X421" i="19"/>
  <c r="W478" i="19"/>
  <c r="W96" i="42"/>
  <c r="W30" i="42"/>
  <c r="V17" i="42"/>
  <c r="W25" i="42"/>
  <c r="W105" i="42"/>
  <c r="V12" i="42"/>
  <c r="W20" i="42"/>
  <c r="V23" i="42"/>
  <c r="W46" i="42"/>
  <c r="W15" i="42"/>
  <c r="W458" i="42"/>
  <c r="W73" i="42"/>
  <c r="W91" i="42"/>
  <c r="W120" i="42"/>
  <c r="W26" i="42"/>
  <c r="W21" i="42"/>
  <c r="W18" i="42"/>
  <c r="W13" i="42"/>
  <c r="W474" i="42"/>
  <c r="V4" i="42"/>
  <c r="W4" i="42"/>
  <c r="W125" i="42"/>
  <c r="V16" i="42"/>
  <c r="W24" i="42"/>
  <c r="W195" i="42"/>
  <c r="W250" i="42"/>
  <c r="V29" i="42"/>
  <c r="V35" i="42"/>
  <c r="V250" i="42"/>
  <c r="V14" i="42"/>
  <c r="V22" i="42"/>
  <c r="V27" i="42"/>
  <c r="V33" i="42"/>
  <c r="W214" i="42"/>
  <c r="W352" i="42"/>
  <c r="W359" i="42"/>
  <c r="W48" i="42"/>
  <c r="W254" i="42"/>
  <c r="X446" i="19"/>
  <c r="W446" i="19"/>
  <c r="X163" i="19"/>
  <c r="W163" i="19"/>
  <c r="X176" i="19"/>
  <c r="W176" i="19"/>
  <c r="W434" i="19"/>
  <c r="X434" i="19"/>
  <c r="X81" i="19"/>
  <c r="W81" i="19"/>
  <c r="W322" i="19"/>
  <c r="X322" i="19"/>
  <c r="W59" i="19"/>
  <c r="X59" i="19"/>
  <c r="W270" i="19"/>
  <c r="X270" i="19"/>
  <c r="W386" i="19"/>
  <c r="X386" i="19"/>
  <c r="W235" i="19"/>
  <c r="X235" i="19"/>
  <c r="X227" i="19"/>
  <c r="W227" i="19"/>
  <c r="X237" i="19"/>
  <c r="W237" i="19"/>
  <c r="X4" i="19"/>
  <c r="W4" i="19"/>
  <c r="W240" i="19"/>
  <c r="X240" i="19"/>
  <c r="X414" i="19"/>
  <c r="W414" i="19"/>
  <c r="X447" i="19"/>
  <c r="W447" i="19"/>
  <c r="W402" i="19"/>
  <c r="X402" i="19"/>
  <c r="W218" i="19"/>
  <c r="X218" i="19"/>
  <c r="X13" i="19"/>
  <c r="W13" i="19"/>
  <c r="X30" i="19"/>
  <c r="W30" i="19"/>
  <c r="X45" i="19"/>
  <c r="X103" i="19"/>
  <c r="X290" i="19"/>
  <c r="W299" i="19"/>
  <c r="X299" i="19"/>
  <c r="W370" i="19"/>
  <c r="X370" i="19"/>
  <c r="X296" i="19"/>
  <c r="W296" i="19"/>
  <c r="X256" i="19"/>
  <c r="W256" i="19"/>
  <c r="W354" i="19"/>
  <c r="X354" i="19"/>
  <c r="W365" i="19"/>
  <c r="X394" i="19"/>
  <c r="W394" i="19"/>
  <c r="W404" i="19"/>
  <c r="X404" i="19"/>
  <c r="W146" i="19"/>
  <c r="X146" i="19"/>
  <c r="X282" i="19"/>
  <c r="W282" i="19"/>
  <c r="W378" i="19"/>
  <c r="X378" i="19"/>
  <c r="W454" i="19"/>
  <c r="W41" i="19"/>
  <c r="X41" i="19"/>
  <c r="W313" i="19"/>
  <c r="X313" i="19"/>
  <c r="X264" i="19"/>
  <c r="W484" i="19"/>
  <c r="X210" i="19"/>
  <c r="W221" i="19"/>
  <c r="X243" i="19"/>
  <c r="W349" i="19"/>
  <c r="X349" i="19"/>
  <c r="X389" i="19"/>
  <c r="X474" i="19"/>
  <c r="X326" i="19"/>
  <c r="W326" i="19"/>
  <c r="W376" i="19"/>
  <c r="X86" i="19"/>
  <c r="W86" i="19"/>
  <c r="X219" i="19"/>
  <c r="X249" i="19"/>
  <c r="X258" i="19"/>
  <c r="X285" i="19"/>
  <c r="W285" i="19"/>
  <c r="W307" i="19"/>
  <c r="X338" i="19"/>
  <c r="X388" i="19"/>
  <c r="X418" i="19"/>
  <c r="X61" i="19"/>
  <c r="W61" i="19"/>
  <c r="X280" i="19"/>
  <c r="W280" i="19"/>
  <c r="W47" i="19"/>
  <c r="W195" i="19"/>
  <c r="W255" i="19"/>
  <c r="W304" i="19"/>
  <c r="W315" i="19"/>
  <c r="X315" i="19"/>
  <c r="X405" i="19"/>
  <c r="W405" i="19"/>
  <c r="X477" i="19"/>
  <c r="W477" i="19"/>
  <c r="X184" i="19"/>
  <c r="W184" i="19"/>
  <c r="X419" i="19"/>
  <c r="W419" i="19"/>
  <c r="W480" i="19"/>
  <c r="X480" i="19"/>
  <c r="X62" i="19"/>
  <c r="X157" i="19"/>
  <c r="W212" i="19"/>
  <c r="W323" i="19"/>
  <c r="W410" i="19"/>
  <c r="W22" i="19"/>
  <c r="W35" i="19"/>
  <c r="X70" i="19"/>
  <c r="W70" i="19"/>
  <c r="X143" i="19"/>
  <c r="W167" i="19"/>
  <c r="W203" i="19"/>
  <c r="W272" i="19"/>
  <c r="W287" i="19"/>
  <c r="W314" i="19"/>
  <c r="X333" i="19"/>
  <c r="W333" i="19"/>
  <c r="X379" i="19"/>
  <c r="X180" i="19"/>
  <c r="X194" i="19"/>
  <c r="X306" i="19"/>
  <c r="X324" i="19"/>
  <c r="X368" i="19"/>
  <c r="X482" i="19"/>
  <c r="W187" i="19"/>
  <c r="X187" i="19"/>
  <c r="X293" i="19"/>
  <c r="W293" i="19"/>
  <c r="X441" i="19"/>
  <c r="W441" i="19"/>
  <c r="W467" i="19"/>
  <c r="X467" i="19"/>
  <c r="X9" i="19"/>
  <c r="W9" i="19"/>
  <c r="X25" i="19"/>
  <c r="W25" i="19"/>
  <c r="W91" i="19"/>
  <c r="W173" i="19"/>
  <c r="W196" i="19"/>
  <c r="W205" i="19"/>
  <c r="X213" i="19"/>
  <c r="W213" i="19"/>
  <c r="W259" i="19"/>
  <c r="W269" i="19"/>
  <c r="W291" i="19"/>
  <c r="W356" i="19"/>
  <c r="W403" i="19"/>
  <c r="W411" i="19"/>
  <c r="X468" i="19"/>
  <c r="W468" i="19"/>
  <c r="W488" i="19"/>
  <c r="W5" i="19"/>
  <c r="X5" i="19"/>
  <c r="W31" i="19"/>
  <c r="X57" i="19"/>
  <c r="W98" i="19"/>
  <c r="X98" i="19"/>
  <c r="X224" i="19"/>
  <c r="W224" i="19"/>
  <c r="W251" i="19"/>
  <c r="X317" i="19"/>
  <c r="W317" i="19"/>
  <c r="X345" i="19"/>
  <c r="X377" i="19"/>
  <c r="W387" i="19"/>
  <c r="X458" i="19"/>
  <c r="X498" i="19"/>
  <c r="X73" i="19"/>
  <c r="X99" i="19"/>
  <c r="X105" i="19"/>
  <c r="X141" i="19"/>
  <c r="X161" i="19"/>
  <c r="X178" i="19"/>
  <c r="X274" i="19"/>
  <c r="X363" i="19"/>
  <c r="W81" i="42"/>
  <c r="W85" i="42"/>
  <c r="V91" i="42"/>
  <c r="W142" i="42"/>
  <c r="W178" i="42"/>
  <c r="W180" i="42"/>
  <c r="W182" i="42"/>
  <c r="W186" i="42"/>
  <c r="W202" i="42"/>
  <c r="W229" i="42"/>
  <c r="W235" i="42"/>
  <c r="W237" i="42"/>
  <c r="W258" i="42"/>
  <c r="W265" i="42"/>
  <c r="W269" i="42"/>
  <c r="W286" i="42"/>
  <c r="W323" i="42"/>
  <c r="W31" i="42"/>
  <c r="W87" i="42"/>
  <c r="AD4" i="42"/>
  <c r="W378" i="42"/>
  <c r="W132" i="42"/>
  <c r="W41" i="42"/>
  <c r="W371" i="42"/>
  <c r="W193" i="42"/>
  <c r="W392" i="42"/>
  <c r="W375" i="42"/>
  <c r="W441" i="42"/>
  <c r="W322" i="42"/>
  <c r="W444" i="42"/>
  <c r="W409" i="42"/>
  <c r="W385" i="42"/>
  <c r="W372" i="42"/>
  <c r="W473" i="42"/>
  <c r="W460" i="42"/>
  <c r="W450" i="42"/>
  <c r="W405" i="42"/>
  <c r="W388" i="42"/>
  <c r="W271" i="42"/>
  <c r="W361" i="42"/>
  <c r="W293" i="42"/>
  <c r="W389" i="42"/>
  <c r="W297" i="42"/>
  <c r="W283" i="42"/>
  <c r="W137" i="42"/>
  <c r="W109" i="42"/>
  <c r="W104" i="42"/>
  <c r="W461" i="42"/>
  <c r="W349" i="42"/>
  <c r="W273" i="42"/>
  <c r="W201" i="42"/>
  <c r="W163" i="42"/>
  <c r="W449" i="42"/>
  <c r="W411" i="42"/>
  <c r="W400" i="42"/>
  <c r="W380" i="42"/>
  <c r="W363" i="42"/>
  <c r="W353" i="42"/>
  <c r="W320" i="42"/>
  <c r="W295" i="42"/>
  <c r="W277" i="42"/>
  <c r="W259" i="42"/>
  <c r="V42" i="42"/>
  <c r="W42" i="42"/>
  <c r="W112" i="42"/>
  <c r="W114" i="42"/>
  <c r="W136" i="42"/>
  <c r="W148" i="42"/>
  <c r="W152" i="42"/>
  <c r="V196" i="42"/>
  <c r="W196" i="42"/>
  <c r="W219" i="42"/>
  <c r="W223" i="42"/>
  <c r="W225" i="42"/>
  <c r="W231" i="42"/>
  <c r="V254" i="42"/>
  <c r="V258" i="42"/>
  <c r="V332" i="42"/>
  <c r="W332" i="42"/>
  <c r="V382" i="42"/>
  <c r="W382" i="42"/>
  <c r="W413" i="42"/>
  <c r="W456" i="42"/>
  <c r="AC12" i="42"/>
  <c r="AD5" i="42" s="1"/>
  <c r="W44" i="42"/>
  <c r="W57" i="42"/>
  <c r="W66" i="42"/>
  <c r="V66" i="42"/>
  <c r="W68" i="42"/>
  <c r="W70" i="42"/>
  <c r="V114" i="42"/>
  <c r="W126" i="42"/>
  <c r="W128" i="42"/>
  <c r="W144" i="42"/>
  <c r="W158" i="42"/>
  <c r="W162" i="42"/>
  <c r="W190" i="42"/>
  <c r="W192" i="42"/>
  <c r="W215" i="42"/>
  <c r="V223" i="42"/>
  <c r="W233" i="42"/>
  <c r="W341" i="42"/>
  <c r="W355" i="42"/>
  <c r="V355" i="42"/>
  <c r="W369" i="42"/>
  <c r="W248" i="42"/>
  <c r="W291" i="42"/>
  <c r="W319" i="42"/>
  <c r="W445" i="42"/>
  <c r="W454" i="42"/>
  <c r="V454" i="42"/>
  <c r="W465" i="42"/>
  <c r="W481" i="42"/>
  <c r="W242" i="42"/>
  <c r="W246" i="42"/>
  <c r="W306" i="42"/>
  <c r="W310" i="42"/>
  <c r="W339" i="42"/>
  <c r="W387" i="42"/>
  <c r="W396" i="42"/>
  <c r="V474" i="42"/>
  <c r="W240" i="42"/>
  <c r="W276" i="42"/>
  <c r="W315" i="42"/>
  <c r="V315" i="42"/>
  <c r="W351" i="42"/>
  <c r="W362" i="42"/>
  <c r="W401" i="42"/>
  <c r="W59" i="42"/>
  <c r="W200" i="42"/>
  <c r="W118" i="42"/>
  <c r="W174" i="42"/>
  <c r="W78" i="42"/>
  <c r="W170" i="42"/>
  <c r="W211" i="42"/>
  <c r="W54" i="42"/>
  <c r="W63" i="42"/>
  <c r="W80" i="42"/>
  <c r="W82" i="42"/>
  <c r="W86" i="42"/>
  <c r="W179" i="42"/>
  <c r="W228" i="42"/>
  <c r="W238" i="42"/>
  <c r="W298" i="42"/>
  <c r="W302" i="42"/>
  <c r="W326" i="42"/>
  <c r="W335" i="42"/>
  <c r="V335" i="42"/>
  <c r="W365" i="42"/>
  <c r="V365" i="42"/>
  <c r="W408" i="42"/>
  <c r="W433" i="42"/>
  <c r="W435" i="42"/>
  <c r="W194" i="42"/>
  <c r="V194" i="42"/>
  <c r="V48" i="42"/>
  <c r="V105" i="42"/>
  <c r="W176" i="42"/>
  <c r="W61" i="42"/>
  <c r="W124" i="42"/>
  <c r="W107" i="42"/>
  <c r="AA22" i="42"/>
  <c r="W56" i="42"/>
  <c r="V86" i="42"/>
  <c r="W111" i="42"/>
  <c r="W296" i="42"/>
  <c r="W410" i="42"/>
  <c r="W469" i="42"/>
  <c r="V32" i="42"/>
  <c r="V43" i="42"/>
  <c r="W43" i="42"/>
  <c r="W58" i="42"/>
  <c r="W90" i="42"/>
  <c r="W113" i="42"/>
  <c r="W115" i="42"/>
  <c r="W117" i="42"/>
  <c r="W145" i="42"/>
  <c r="V195" i="42"/>
  <c r="W197" i="42"/>
  <c r="V214" i="42"/>
  <c r="W222" i="42"/>
  <c r="W224" i="42"/>
  <c r="W232" i="42"/>
  <c r="W253" i="42"/>
  <c r="W264" i="42"/>
  <c r="W313" i="42"/>
  <c r="W390" i="42"/>
  <c r="W448" i="42"/>
  <c r="W280" i="42"/>
  <c r="V120" i="42"/>
  <c r="W209" i="42"/>
  <c r="W213" i="42"/>
  <c r="V213" i="42"/>
  <c r="W101" i="42"/>
  <c r="W198" i="42"/>
  <c r="W52" i="42"/>
  <c r="W490" i="42"/>
  <c r="W141" i="42"/>
  <c r="W147" i="42"/>
  <c r="W181" i="42"/>
  <c r="W268" i="42"/>
  <c r="W272" i="42"/>
  <c r="W72" i="42"/>
  <c r="W134" i="42"/>
  <c r="W122" i="42"/>
  <c r="W172" i="42"/>
  <c r="W95" i="42"/>
  <c r="V209" i="42"/>
  <c r="W76" i="42"/>
  <c r="W99" i="42"/>
  <c r="V99" i="42"/>
  <c r="W207" i="42"/>
  <c r="W143" i="42"/>
  <c r="W153" i="42"/>
  <c r="W183" i="42"/>
  <c r="W287" i="42"/>
  <c r="W342" i="42"/>
  <c r="W495" i="42"/>
  <c r="W67" i="42"/>
  <c r="W129" i="42"/>
  <c r="W139" i="42"/>
  <c r="V147" i="42"/>
  <c r="W155" i="42"/>
  <c r="W185" i="42"/>
  <c r="V342" i="42"/>
  <c r="W468" i="42"/>
  <c r="W491" i="42"/>
  <c r="V491" i="42"/>
  <c r="W133" i="42"/>
  <c r="W47" i="42"/>
  <c r="V47" i="42"/>
  <c r="V73" i="42"/>
  <c r="V96" i="42"/>
  <c r="V352" i="42"/>
  <c r="W368" i="42"/>
  <c r="W429" i="42"/>
  <c r="W477" i="42"/>
  <c r="W218" i="42"/>
  <c r="W230" i="42"/>
  <c r="W257" i="42"/>
  <c r="V257" i="42"/>
  <c r="W294" i="42"/>
  <c r="V294" i="42"/>
  <c r="W376" i="42"/>
  <c r="W418" i="42"/>
  <c r="W32" i="42"/>
  <c r="W157" i="42"/>
  <c r="W331" i="42"/>
  <c r="W354" i="42"/>
  <c r="W466" i="42"/>
  <c r="V171" i="42"/>
  <c r="W171" i="42"/>
  <c r="W175" i="42"/>
  <c r="V175" i="42"/>
  <c r="V199" i="42"/>
  <c r="W199" i="42"/>
  <c r="W98" i="42"/>
  <c r="W123" i="42"/>
  <c r="V123" i="42"/>
  <c r="W169" i="42"/>
  <c r="W173" i="42"/>
  <c r="W208" i="42"/>
  <c r="V208" i="42"/>
  <c r="W245" i="42"/>
  <c r="V245" i="42"/>
  <c r="W247" i="42"/>
  <c r="W309" i="42"/>
  <c r="V316" i="42"/>
  <c r="W316" i="42"/>
  <c r="W318" i="42"/>
  <c r="W329" i="42"/>
  <c r="W425" i="42"/>
  <c r="W480" i="42"/>
  <c r="V498" i="42"/>
  <c r="W498" i="42"/>
  <c r="W414" i="42"/>
  <c r="W45" i="42"/>
  <c r="W119" i="42"/>
  <c r="W161" i="42"/>
  <c r="V161" i="42"/>
  <c r="W345" i="42"/>
  <c r="V345" i="42"/>
  <c r="W381" i="42"/>
  <c r="W94" i="42"/>
  <c r="V119" i="42"/>
  <c r="Y12" i="42"/>
  <c r="W62" i="42"/>
  <c r="W79" i="42"/>
  <c r="W100" i="42"/>
  <c r="W106" i="42"/>
  <c r="W167" i="42"/>
  <c r="W241" i="42"/>
  <c r="V279" i="42"/>
  <c r="W279" i="42"/>
  <c r="W290" i="42"/>
  <c r="V290" i="42"/>
  <c r="W336" i="42"/>
  <c r="V348" i="42"/>
  <c r="W348" i="42"/>
  <c r="W423" i="42"/>
  <c r="W496" i="42"/>
  <c r="V406" i="42"/>
  <c r="W406" i="42"/>
  <c r="V482" i="42"/>
  <c r="W482" i="42"/>
  <c r="W49" i="42"/>
  <c r="W191" i="42"/>
  <c r="W34" i="42"/>
  <c r="W77" i="42"/>
  <c r="V210" i="42"/>
  <c r="W210" i="42"/>
  <c r="V31" i="42"/>
  <c r="W53" i="42"/>
  <c r="W110" i="42"/>
  <c r="W138" i="42"/>
  <c r="W150" i="42"/>
  <c r="V204" i="42"/>
  <c r="W204" i="42"/>
  <c r="W262" i="42"/>
  <c r="W275" i="42"/>
  <c r="V275" i="42"/>
  <c r="W301" i="42"/>
  <c r="V301" i="42"/>
  <c r="V325" i="42"/>
  <c r="W325" i="42"/>
  <c r="W379" i="42"/>
  <c r="W393" i="42"/>
  <c r="V451" i="42"/>
  <c r="W451" i="42"/>
  <c r="W330" i="42"/>
  <c r="W333" i="42"/>
  <c r="V333" i="42"/>
  <c r="W373" i="42"/>
  <c r="W403" i="42"/>
  <c r="V452" i="42"/>
  <c r="W452" i="42"/>
  <c r="W489" i="42"/>
  <c r="W205" i="42"/>
  <c r="V284" i="42"/>
  <c r="W284" i="42"/>
  <c r="V330" i="42"/>
  <c r="V366" i="42"/>
  <c r="W366" i="42"/>
  <c r="V373" i="42"/>
  <c r="V403" i="42"/>
  <c r="W439" i="42"/>
  <c r="V489" i="42"/>
  <c r="W492" i="42"/>
  <c r="W166" i="42"/>
  <c r="W227" i="42"/>
  <c r="W305" i="42"/>
  <c r="W399" i="42"/>
  <c r="W421" i="42"/>
  <c r="V428" i="42"/>
  <c r="W428" i="42"/>
  <c r="W438" i="42"/>
  <c r="W488" i="42"/>
  <c r="W358" i="42"/>
  <c r="W402" i="42"/>
  <c r="W417" i="42"/>
  <c r="W431" i="42"/>
  <c r="W479" i="42"/>
  <c r="V479" i="42"/>
  <c r="V488" i="42"/>
  <c r="W470" i="42"/>
  <c r="W485" i="42"/>
  <c r="W494" i="42"/>
  <c r="V494" i="42"/>
  <c r="V413" i="42"/>
  <c r="V420" i="42"/>
  <c r="W420" i="42"/>
  <c r="W424" i="42"/>
  <c r="W434" i="42"/>
  <c r="W457" i="42"/>
  <c r="W464" i="42"/>
  <c r="W398" i="42"/>
  <c r="V401" i="42"/>
  <c r="W427" i="42"/>
  <c r="W476" i="42"/>
  <c r="W497" i="42"/>
  <c r="W261" i="42"/>
  <c r="W127" i="42"/>
  <c r="W156" i="42"/>
  <c r="V170" i="42"/>
  <c r="V222" i="42"/>
  <c r="W344" i="42"/>
  <c r="W395" i="42"/>
  <c r="V94" i="42"/>
  <c r="V141" i="42"/>
  <c r="W146" i="42"/>
  <c r="W151" i="42"/>
  <c r="W184" i="42"/>
  <c r="W189" i="42"/>
  <c r="W203" i="42"/>
  <c r="W217" i="42"/>
  <c r="V341" i="42"/>
  <c r="V368" i="42"/>
  <c r="V98" i="42"/>
  <c r="W103" i="42"/>
  <c r="W165" i="42"/>
  <c r="W226" i="42"/>
  <c r="V240" i="42"/>
  <c r="W267" i="42"/>
  <c r="V296" i="42"/>
  <c r="W300" i="42"/>
  <c r="W304" i="42"/>
  <c r="V318" i="42"/>
  <c r="W338" i="42"/>
  <c r="W347" i="42"/>
  <c r="V354" i="42"/>
  <c r="W364" i="42"/>
  <c r="V381" i="42"/>
  <c r="V416" i="42"/>
  <c r="W416" i="42"/>
  <c r="V85" i="42"/>
  <c r="V113" i="42"/>
  <c r="W236" i="42"/>
  <c r="V253" i="42"/>
  <c r="V261" i="42"/>
  <c r="V264" i="42"/>
  <c r="V286" i="42"/>
  <c r="V351" i="42"/>
  <c r="V61" i="42"/>
  <c r="V127" i="42"/>
  <c r="W328" i="42"/>
  <c r="W51" i="42"/>
  <c r="W75" i="42"/>
  <c r="V122" i="42"/>
  <c r="V136" i="42"/>
  <c r="V198" i="42"/>
  <c r="W39" i="42"/>
  <c r="V70" i="42"/>
  <c r="V117" i="42"/>
  <c r="V150" i="42"/>
  <c r="V169" i="42"/>
  <c r="W244" i="42"/>
  <c r="V248" i="42"/>
  <c r="V331" i="42"/>
  <c r="W334" i="42"/>
  <c r="W384" i="42"/>
  <c r="V456" i="42"/>
  <c r="V463" i="42"/>
  <c r="W463" i="42"/>
  <c r="V80" i="42"/>
  <c r="V118" i="42"/>
  <c r="V231" i="42"/>
  <c r="W249" i="42"/>
  <c r="W312" i="42"/>
  <c r="W40" i="42"/>
  <c r="W108" i="42"/>
  <c r="V344" i="42"/>
  <c r="W89" i="42"/>
  <c r="W131" i="42"/>
  <c r="V145" i="42"/>
  <c r="V155" i="42"/>
  <c r="V174" i="42"/>
  <c r="V188" i="42"/>
  <c r="W188" i="42"/>
  <c r="V207" i="42"/>
  <c r="W216" i="42"/>
  <c r="V235" i="42"/>
  <c r="W256" i="42"/>
  <c r="V481" i="42"/>
  <c r="W38" i="42"/>
  <c r="V46" i="42"/>
  <c r="V60" i="42"/>
  <c r="W60" i="42"/>
  <c r="W65" i="42"/>
  <c r="V79" i="42"/>
  <c r="W84" i="42"/>
  <c r="W88" i="42"/>
  <c r="V107" i="42"/>
  <c r="V112" i="42"/>
  <c r="V126" i="42"/>
  <c r="W140" i="42"/>
  <c r="V178" i="42"/>
  <c r="V183" i="42"/>
  <c r="V202" i="42"/>
  <c r="V216" i="42"/>
  <c r="W221" i="42"/>
  <c r="V230" i="42"/>
  <c r="W252" i="42"/>
  <c r="V256" i="42"/>
  <c r="W270" i="42"/>
  <c r="W274" i="42"/>
  <c r="W278" i="42"/>
  <c r="W282" i="42"/>
  <c r="W292" i="42"/>
  <c r="W321" i="42"/>
  <c r="W324" i="42"/>
  <c r="V334" i="42"/>
  <c r="W357" i="42"/>
  <c r="W374" i="42"/>
  <c r="W377" i="42"/>
  <c r="V384" i="42"/>
  <c r="W412" i="42"/>
  <c r="V423" i="42"/>
  <c r="W453" i="42"/>
  <c r="V466" i="42"/>
  <c r="W484" i="42"/>
  <c r="W487" i="42"/>
  <c r="V496" i="42"/>
  <c r="W437" i="42"/>
  <c r="W350" i="42"/>
  <c r="W483" i="42"/>
  <c r="W475" i="42"/>
  <c r="W471" i="42"/>
  <c r="W459" i="42"/>
  <c r="W455" i="42"/>
  <c r="W443" i="42"/>
  <c r="W432" i="42"/>
  <c r="W407" i="42"/>
  <c r="W386" i="42"/>
  <c r="W370" i="42"/>
  <c r="W289" i="42"/>
  <c r="W260" i="42"/>
  <c r="W93" i="42"/>
  <c r="W164" i="42"/>
  <c r="W285" i="42"/>
  <c r="W303" i="42"/>
  <c r="W307" i="42"/>
  <c r="W367" i="42"/>
  <c r="W394" i="42"/>
  <c r="V394" i="42"/>
  <c r="W404" i="42"/>
  <c r="W419" i="42"/>
  <c r="W446" i="42"/>
  <c r="W493" i="42"/>
  <c r="W71" i="42"/>
  <c r="V179" i="42"/>
  <c r="V56" i="42"/>
  <c r="V308" i="42"/>
  <c r="W308" i="42"/>
  <c r="W160" i="42"/>
  <c r="W212" i="42"/>
  <c r="W391" i="42"/>
  <c r="W430" i="42"/>
  <c r="W440" i="42"/>
  <c r="W478" i="42"/>
  <c r="W500" i="42"/>
  <c r="W36" i="42"/>
  <c r="W37" i="42"/>
  <c r="W50" i="42"/>
  <c r="W55" i="42"/>
  <c r="W74" i="42"/>
  <c r="W102" i="42"/>
  <c r="W121" i="42"/>
  <c r="W220" i="42"/>
  <c r="W243" i="42"/>
  <c r="W266" i="42"/>
  <c r="V285" i="42"/>
  <c r="W311" i="42"/>
  <c r="W314" i="42"/>
  <c r="W327" i="42"/>
  <c r="W337" i="42"/>
  <c r="W360" i="42"/>
  <c r="V446" i="42"/>
  <c r="W472" i="42"/>
  <c r="W499" i="42"/>
  <c r="V28" i="42"/>
  <c r="W64" i="42"/>
  <c r="W69" i="42"/>
  <c r="W83" i="42"/>
  <c r="W92" i="42"/>
  <c r="W97" i="42"/>
  <c r="W116" i="42"/>
  <c r="W130" i="42"/>
  <c r="W135" i="42"/>
  <c r="W149" i="42"/>
  <c r="W154" i="42"/>
  <c r="W159" i="42"/>
  <c r="W168" i="42"/>
  <c r="W177" i="42"/>
  <c r="W187" i="42"/>
  <c r="W206" i="42"/>
  <c r="W234" i="42"/>
  <c r="W239" i="42"/>
  <c r="W251" i="42"/>
  <c r="W263" i="42"/>
  <c r="W281" i="42"/>
  <c r="W288" i="42"/>
  <c r="W299" i="42"/>
  <c r="V317" i="42"/>
  <c r="W317" i="42"/>
  <c r="W340" i="42"/>
  <c r="W343" i="42"/>
  <c r="W346" i="42"/>
  <c r="V356" i="42"/>
  <c r="W356" i="42"/>
  <c r="W383" i="42"/>
  <c r="W397" i="42"/>
  <c r="W415" i="42"/>
  <c r="W426" i="42"/>
  <c r="W436" i="42"/>
  <c r="W442" i="42"/>
  <c r="W255" i="42"/>
  <c r="W486" i="42"/>
  <c r="W447" i="42"/>
  <c r="W467" i="42"/>
  <c r="W422" i="42"/>
  <c r="W462" i="42"/>
  <c r="X179" i="19"/>
  <c r="W179" i="19"/>
  <c r="X275" i="19"/>
  <c r="W275" i="19"/>
  <c r="W286" i="19"/>
  <c r="X286" i="19"/>
  <c r="W383" i="19"/>
  <c r="X383" i="19"/>
  <c r="X469" i="19"/>
  <c r="W469" i="19"/>
  <c r="X190" i="19"/>
  <c r="W190" i="19"/>
  <c r="X494" i="19"/>
  <c r="W494" i="19"/>
  <c r="X495" i="19"/>
  <c r="W495" i="19"/>
  <c r="X401" i="19"/>
  <c r="W401" i="19"/>
  <c r="X409" i="19"/>
  <c r="W409" i="19"/>
  <c r="W479" i="19"/>
  <c r="X479" i="19"/>
  <c r="W94" i="19"/>
  <c r="X94" i="19"/>
  <c r="X63" i="19"/>
  <c r="W63" i="19"/>
  <c r="W453" i="19"/>
  <c r="X453" i="19"/>
  <c r="X497" i="19"/>
  <c r="W497" i="19"/>
  <c r="X12" i="19"/>
  <c r="W12" i="19"/>
  <c r="W58" i="19"/>
  <c r="W89" i="19"/>
  <c r="W244" i="19"/>
  <c r="X244" i="19"/>
  <c r="X288" i="19"/>
  <c r="W288" i="19"/>
  <c r="X347" i="19"/>
  <c r="W347" i="19"/>
  <c r="X357" i="19"/>
  <c r="W357" i="19"/>
  <c r="X435" i="19"/>
  <c r="W435" i="19"/>
  <c r="X245" i="19"/>
  <c r="W245" i="19"/>
  <c r="X337" i="19"/>
  <c r="W337" i="19"/>
  <c r="X358" i="19"/>
  <c r="W358" i="19"/>
  <c r="X489" i="19"/>
  <c r="W489" i="19"/>
  <c r="X23" i="19"/>
  <c r="W23" i="19"/>
  <c r="W473" i="19"/>
  <c r="X473" i="19"/>
  <c r="X329" i="19"/>
  <c r="W329" i="19"/>
  <c r="X427" i="19"/>
  <c r="W427" i="19"/>
  <c r="X437" i="19"/>
  <c r="W437" i="19"/>
  <c r="X499" i="19"/>
  <c r="W499" i="19"/>
  <c r="X261" i="19"/>
  <c r="W261" i="19"/>
  <c r="X133" i="19"/>
  <c r="W133" i="19"/>
  <c r="X238" i="19"/>
  <c r="W238" i="19"/>
  <c r="X281" i="19"/>
  <c r="W281" i="19"/>
  <c r="X465" i="19"/>
  <c r="W465" i="19"/>
  <c r="X67" i="19"/>
  <c r="W67" i="19"/>
  <c r="X159" i="19"/>
  <c r="W159" i="19"/>
  <c r="W222" i="19"/>
  <c r="X222" i="19"/>
  <c r="X448" i="19"/>
  <c r="W448" i="19"/>
  <c r="W197" i="19"/>
  <c r="X223" i="19"/>
  <c r="W223" i="19"/>
  <c r="X198" i="19"/>
  <c r="W198" i="19"/>
  <c r="X34" i="19"/>
  <c r="W34" i="19"/>
  <c r="X46" i="19"/>
  <c r="W46" i="19"/>
  <c r="X230" i="19"/>
  <c r="W230" i="19"/>
  <c r="W350" i="19"/>
  <c r="X350" i="19"/>
  <c r="X78" i="19"/>
  <c r="W78" i="19"/>
  <c r="W331" i="19"/>
  <c r="X331" i="19"/>
  <c r="X17" i="19"/>
  <c r="W17" i="19"/>
  <c r="X53" i="19"/>
  <c r="W53" i="19"/>
  <c r="X90" i="19"/>
  <c r="X95" i="19"/>
  <c r="W95" i="19"/>
  <c r="W150" i="19"/>
  <c r="W181" i="19"/>
  <c r="W85" i="19"/>
  <c r="X85" i="19"/>
  <c r="X39" i="19"/>
  <c r="W39" i="19"/>
  <c r="W121" i="19"/>
  <c r="X121" i="19"/>
  <c r="X191" i="19"/>
  <c r="W191" i="19"/>
  <c r="X21" i="19"/>
  <c r="W21" i="19"/>
  <c r="W372" i="19"/>
  <c r="W430" i="19"/>
  <c r="X430" i="19"/>
  <c r="X126" i="19"/>
  <c r="W126" i="19"/>
  <c r="X154" i="19"/>
  <c r="W154" i="19"/>
  <c r="X267" i="19"/>
  <c r="W267" i="19"/>
  <c r="X341" i="19"/>
  <c r="W341" i="19"/>
  <c r="X265" i="19"/>
  <c r="W265" i="19"/>
  <c r="X457" i="19"/>
  <c r="W457" i="19"/>
  <c r="X491" i="19"/>
  <c r="W491" i="19"/>
  <c r="X257" i="19"/>
  <c r="W257" i="19"/>
  <c r="W422" i="19"/>
  <c r="W18" i="19"/>
  <c r="X18" i="19"/>
  <c r="X340" i="19"/>
  <c r="W340" i="19"/>
  <c r="X145" i="19"/>
  <c r="W145" i="19"/>
  <c r="X262" i="19"/>
  <c r="W262" i="19"/>
  <c r="X449" i="19"/>
  <c r="W449" i="19"/>
  <c r="W139" i="19"/>
  <c r="W165" i="19"/>
  <c r="W442" i="19"/>
  <c r="X26" i="19"/>
  <c r="W26" i="19"/>
  <c r="W77" i="19"/>
  <c r="W82" i="19"/>
  <c r="X110" i="19"/>
  <c r="W110" i="19"/>
  <c r="W174" i="19"/>
  <c r="W371" i="19"/>
  <c r="X395" i="19"/>
  <c r="X321" i="19"/>
  <c r="W321" i="19"/>
  <c r="W346" i="19"/>
  <c r="X192" i="19"/>
  <c r="W192" i="19"/>
  <c r="X303" i="19"/>
  <c r="W303" i="19"/>
  <c r="X351" i="19"/>
  <c r="W351" i="19"/>
  <c r="X399" i="19"/>
  <c r="W399" i="19"/>
  <c r="X500" i="19"/>
  <c r="W500" i="19"/>
  <c r="X119" i="19"/>
  <c r="W119" i="19"/>
  <c r="W149" i="19"/>
  <c r="X175" i="19"/>
  <c r="W175" i="19"/>
  <c r="X193" i="19"/>
  <c r="W193" i="19"/>
  <c r="X217" i="19"/>
  <c r="W217" i="19"/>
  <c r="X225" i="19"/>
  <c r="W225" i="19"/>
  <c r="X233" i="19"/>
  <c r="W233" i="19"/>
  <c r="X318" i="19"/>
  <c r="W384" i="19"/>
  <c r="W443" i="19"/>
  <c r="X131" i="19"/>
  <c r="W131" i="19"/>
  <c r="X160" i="19"/>
  <c r="W160" i="19"/>
  <c r="X209" i="19"/>
  <c r="W209" i="19"/>
  <c r="X289" i="19"/>
  <c r="W289" i="19"/>
  <c r="X353" i="19"/>
  <c r="W353" i="19"/>
  <c r="X369" i="19"/>
  <c r="W369" i="19"/>
  <c r="X459" i="19"/>
  <c r="W459" i="19"/>
  <c r="X87" i="19"/>
  <c r="W87" i="19"/>
  <c r="X168" i="19"/>
  <c r="W168" i="19"/>
  <c r="W185" i="19"/>
  <c r="X273" i="19"/>
  <c r="W273" i="19"/>
  <c r="X385" i="19"/>
  <c r="W385" i="19"/>
  <c r="X393" i="19"/>
  <c r="W393" i="19"/>
  <c r="X69" i="19"/>
  <c r="W69" i="19"/>
  <c r="X186" i="19"/>
  <c r="W186" i="19"/>
  <c r="W16" i="19"/>
  <c r="X37" i="19"/>
  <c r="W37" i="19"/>
  <c r="W123" i="19"/>
  <c r="X177" i="19"/>
  <c r="W177" i="19"/>
  <c r="X283" i="19"/>
  <c r="X334" i="19"/>
  <c r="W366" i="19"/>
  <c r="W373" i="19"/>
  <c r="X425" i="19"/>
  <c r="W425" i="19"/>
  <c r="W462" i="19"/>
  <c r="W485" i="19"/>
  <c r="X501" i="19"/>
  <c r="W501" i="19"/>
  <c r="X75" i="19"/>
  <c r="W75" i="19"/>
  <c r="X151" i="19"/>
  <c r="W151" i="19"/>
  <c r="X239" i="19"/>
  <c r="W239" i="19"/>
  <c r="X335" i="19"/>
  <c r="W335" i="19"/>
  <c r="X433" i="19"/>
  <c r="W433" i="19"/>
  <c r="X54" i="19"/>
  <c r="X276" i="19"/>
  <c r="W352" i="19"/>
  <c r="X382" i="19"/>
  <c r="W382" i="19"/>
  <c r="X463" i="19"/>
  <c r="W463" i="19"/>
  <c r="X201" i="19"/>
  <c r="W201" i="19"/>
  <c r="X271" i="19"/>
  <c r="W271" i="19"/>
  <c r="X481" i="19"/>
  <c r="W481" i="19"/>
  <c r="X241" i="19"/>
  <c r="W241" i="19"/>
  <c r="X297" i="19"/>
  <c r="W297" i="19"/>
  <c r="X367" i="19"/>
  <c r="W367" i="19"/>
  <c r="X305" i="19"/>
  <c r="W305" i="19"/>
  <c r="X361" i="19"/>
  <c r="W361" i="19"/>
  <c r="X431" i="19"/>
  <c r="W431" i="19"/>
  <c r="W8" i="19"/>
  <c r="X15" i="19"/>
  <c r="W15" i="19"/>
  <c r="X55" i="19"/>
  <c r="W55" i="19"/>
  <c r="X101" i="19"/>
  <c r="W101" i="19"/>
  <c r="X142" i="19"/>
  <c r="W142" i="19"/>
  <c r="X207" i="19"/>
  <c r="W207" i="19"/>
  <c r="W277" i="19"/>
  <c r="X417" i="19"/>
  <c r="W417" i="19"/>
  <c r="W19" i="19"/>
  <c r="W33" i="19"/>
  <c r="W42" i="19"/>
  <c r="W51" i="19"/>
  <c r="W65" i="19"/>
  <c r="W74" i="19"/>
  <c r="W83" i="19"/>
  <c r="W97" i="19"/>
  <c r="W106" i="19"/>
  <c r="W115" i="19"/>
  <c r="W129" i="19"/>
  <c r="W138" i="19"/>
  <c r="W147" i="19"/>
  <c r="W182" i="19"/>
  <c r="W214" i="19"/>
  <c r="W246" i="19"/>
  <c r="W278" i="19"/>
  <c r="W310" i="19"/>
  <c r="W342" i="19"/>
  <c r="W374" i="19"/>
  <c r="W406" i="19"/>
  <c r="W438" i="19"/>
  <c r="W470" i="19"/>
  <c r="W502" i="19"/>
  <c r="W171" i="19"/>
  <c r="W188" i="19"/>
  <c r="W204" i="19"/>
  <c r="W220" i="19"/>
  <c r="W236" i="19"/>
  <c r="W252" i="19"/>
  <c r="W268" i="19"/>
  <c r="W284" i="19"/>
  <c r="W300" i="19"/>
  <c r="W316" i="19"/>
  <c r="W332" i="19"/>
  <c r="W348" i="19"/>
  <c r="W364" i="19"/>
  <c r="W380" i="19"/>
  <c r="W396" i="19"/>
  <c r="W412" i="19"/>
  <c r="W428" i="19"/>
  <c r="W444" i="19"/>
  <c r="W460" i="19"/>
  <c r="W476" i="19"/>
  <c r="W492" i="19"/>
  <c r="W11" i="19"/>
  <c r="W20" i="19"/>
  <c r="W24" i="19"/>
  <c r="W28" i="19"/>
  <c r="W32" i="19"/>
  <c r="W36" i="19"/>
  <c r="W40" i="19"/>
  <c r="W44" i="19"/>
  <c r="W48" i="19"/>
  <c r="W52" i="19"/>
  <c r="W56" i="19"/>
  <c r="W60" i="19"/>
  <c r="W64" i="19"/>
  <c r="W68" i="19"/>
  <c r="W72" i="19"/>
  <c r="W76" i="19"/>
  <c r="W80" i="19"/>
  <c r="W84" i="19"/>
  <c r="W88" i="19"/>
  <c r="W92" i="19"/>
  <c r="W96" i="19"/>
  <c r="W100" i="19"/>
  <c r="W104" i="19"/>
  <c r="W108" i="19"/>
  <c r="W112" i="19"/>
  <c r="W116" i="19"/>
  <c r="W120" i="19"/>
  <c r="W124" i="19"/>
  <c r="W128" i="19"/>
  <c r="W132" i="19"/>
  <c r="W136" i="19"/>
  <c r="W140" i="19"/>
  <c r="W144" i="19"/>
  <c r="W148" i="19"/>
  <c r="W152" i="19"/>
  <c r="W156" i="19"/>
  <c r="W166" i="19"/>
  <c r="W183" i="19"/>
  <c r="W199" i="19"/>
  <c r="W215" i="19"/>
  <c r="W231" i="19"/>
  <c r="W247" i="19"/>
  <c r="W263" i="19"/>
  <c r="W279" i="19"/>
  <c r="W295" i="19"/>
  <c r="W311" i="19"/>
  <c r="W327" i="19"/>
  <c r="W343" i="19"/>
  <c r="W359" i="19"/>
  <c r="W375" i="19"/>
  <c r="W391" i="19"/>
  <c r="W407" i="19"/>
  <c r="W423" i="19"/>
  <c r="W439" i="19"/>
  <c r="W455" i="19"/>
  <c r="W471" i="19"/>
  <c r="W487" i="19"/>
  <c r="W503" i="19"/>
  <c r="BY197" i="56" l="1" a="1"/>
  <c r="BY197" i="56" s="1"/>
  <c r="DU197" i="56" s="1"/>
  <c r="ET168" i="56"/>
  <c r="EU264" i="56"/>
  <c r="ET296" i="56"/>
  <c r="FB26" i="56"/>
  <c r="BY90" i="56" a="1"/>
  <c r="BY90" i="56" s="1"/>
  <c r="EI59" i="56"/>
  <c r="EI29" i="56"/>
  <c r="EI126" i="56"/>
  <c r="EI222" i="56"/>
  <c r="S222" i="56" s="1"/>
  <c r="BY27" i="56" a="1"/>
  <c r="BY27" i="56" s="1"/>
  <c r="DU27" i="56" s="1"/>
  <c r="BY193" i="56" a="1"/>
  <c r="BY193" i="56" s="1"/>
  <c r="DU193" i="56" s="1"/>
  <c r="GF351" i="56"/>
  <c r="EI118" i="56"/>
  <c r="S118" i="56" s="1"/>
  <c r="GF338" i="56"/>
  <c r="GC241" i="56"/>
  <c r="EI87" i="56"/>
  <c r="GF165" i="56"/>
  <c r="GF293" i="56"/>
  <c r="GF134" i="56"/>
  <c r="GG184" i="56"/>
  <c r="HV184" i="56" s="1"/>
  <c r="ET36" i="56"/>
  <c r="FB283" i="56"/>
  <c r="GC211" i="56"/>
  <c r="BY236" i="56" a="1"/>
  <c r="BY236" i="56" s="1"/>
  <c r="DU236" i="56" s="1"/>
  <c r="BY331" i="56" a="1"/>
  <c r="BY331" i="56" s="1"/>
  <c r="DU331" i="56" s="1"/>
  <c r="T222" i="56"/>
  <c r="T307" i="56"/>
  <c r="EI293" i="56"/>
  <c r="EV5" i="56"/>
  <c r="EU165" i="56"/>
  <c r="GC338" i="56"/>
  <c r="EX168" i="56"/>
  <c r="ER344" i="56"/>
  <c r="EI131" i="56"/>
  <c r="EI259" i="56"/>
  <c r="GF279" i="56"/>
  <c r="GC151" i="56"/>
  <c r="EI150" i="56"/>
  <c r="FA5" i="56"/>
  <c r="ET309" i="56"/>
  <c r="GF329" i="56"/>
  <c r="FB120" i="56"/>
  <c r="GG33" i="56"/>
  <c r="ET264" i="56"/>
  <c r="ES344" i="56"/>
  <c r="GF20" i="56"/>
  <c r="GC16" i="56"/>
  <c r="GC288" i="56"/>
  <c r="BY34" i="56" a="1"/>
  <c r="BY34" i="56" s="1"/>
  <c r="DU34" i="56" s="1"/>
  <c r="GC82" i="56"/>
  <c r="EZ168" i="56"/>
  <c r="ET344" i="56"/>
  <c r="FI55" i="56"/>
  <c r="GF266" i="56"/>
  <c r="EX344" i="56"/>
  <c r="P191" i="56" a="1"/>
  <c r="P191" i="56" s="1"/>
  <c r="EF191" i="56" s="1"/>
  <c r="EG191" i="56" s="1"/>
  <c r="EV136" i="56"/>
  <c r="FI89" i="56"/>
  <c r="GC175" i="56"/>
  <c r="GF160" i="56"/>
  <c r="GF217" i="56"/>
  <c r="GF74" i="56"/>
  <c r="BY248" i="56" a="1"/>
  <c r="BY248" i="56" s="1"/>
  <c r="DU248" i="56" s="1"/>
  <c r="ET158" i="56"/>
  <c r="N30" i="42"/>
  <c r="P30" i="42" s="1"/>
  <c r="AE30" i="42" s="1"/>
  <c r="AF30" i="42" s="1"/>
  <c r="EI69" i="56"/>
  <c r="EI213" i="56"/>
  <c r="ET5" i="56"/>
  <c r="ET117" i="56"/>
  <c r="GF49" i="56"/>
  <c r="FB265" i="56"/>
  <c r="EI122" i="56"/>
  <c r="EI250" i="56"/>
  <c r="EW344" i="56"/>
  <c r="EI179" i="56"/>
  <c r="S179" i="56" s="1"/>
  <c r="FI63" i="56"/>
  <c r="GF101" i="56"/>
  <c r="GF91" i="56"/>
  <c r="FB317" i="56"/>
  <c r="T255" i="56"/>
  <c r="GF203" i="56"/>
  <c r="GC270" i="56"/>
  <c r="T31" i="56"/>
  <c r="GF284" i="56"/>
  <c r="GG44" i="56"/>
  <c r="EZ5" i="56"/>
  <c r="GF146" i="56"/>
  <c r="GC78" i="56"/>
  <c r="N25" i="42"/>
  <c r="P25" i="42" s="1"/>
  <c r="AE25" i="42" s="1"/>
  <c r="AF25" i="42" s="1"/>
  <c r="EI20" i="56"/>
  <c r="FB270" i="56"/>
  <c r="EI194" i="56"/>
  <c r="EI85" i="56"/>
  <c r="EI229" i="56"/>
  <c r="S229" i="56" s="1"/>
  <c r="AX13" i="55"/>
  <c r="AY13" i="55" s="1" a="1"/>
  <c r="AY13" i="55" s="1"/>
  <c r="EU244" i="56"/>
  <c r="ES5" i="56"/>
  <c r="FB105" i="56"/>
  <c r="EI31" i="56"/>
  <c r="GC130" i="56"/>
  <c r="GD133" i="56" s="1"/>
  <c r="GE133" i="56" s="1"/>
  <c r="GF314" i="56"/>
  <c r="BY208" i="56" a="1"/>
  <c r="BY208" i="56" s="1"/>
  <c r="DU208" i="56" s="1"/>
  <c r="FI159" i="56"/>
  <c r="FI29" i="56"/>
  <c r="EI172" i="56"/>
  <c r="FH37" i="56"/>
  <c r="FI37" i="56" s="1"/>
  <c r="GC215" i="56"/>
  <c r="GF188" i="56"/>
  <c r="FB119" i="56"/>
  <c r="EU36" i="56"/>
  <c r="FA164" i="56"/>
  <c r="EU212" i="56"/>
  <c r="ET340" i="56"/>
  <c r="GC57" i="56"/>
  <c r="GC290" i="56"/>
  <c r="GG31" i="56"/>
  <c r="HV31" i="56" s="1"/>
  <c r="FB171" i="56"/>
  <c r="FB331" i="56"/>
  <c r="FB173" i="56"/>
  <c r="EZ36" i="56"/>
  <c r="EV84" i="56"/>
  <c r="FA276" i="56"/>
  <c r="EV117" i="56"/>
  <c r="ET181" i="56"/>
  <c r="FA229" i="56"/>
  <c r="FB268" i="56"/>
  <c r="BY156" i="56" a="1"/>
  <c r="BY156" i="56" s="1"/>
  <c r="DU156" i="56" s="1"/>
  <c r="GF102" i="56"/>
  <c r="GF120" i="56"/>
  <c r="GF264" i="56"/>
  <c r="BY268" i="56" a="1"/>
  <c r="BY268" i="56" s="1"/>
  <c r="DU268" i="56" s="1"/>
  <c r="FI127" i="56"/>
  <c r="FB340" i="56"/>
  <c r="GF204" i="56"/>
  <c r="BY35" i="56" a="1"/>
  <c r="BY35" i="56" s="1"/>
  <c r="DU35" i="56" s="1"/>
  <c r="GG50" i="56"/>
  <c r="HV50" i="56" s="1"/>
  <c r="BY44" i="56" a="1"/>
  <c r="BY44" i="56" s="1"/>
  <c r="DU44" i="56" s="1"/>
  <c r="BY171" i="56" a="1"/>
  <c r="BY171" i="56" s="1"/>
  <c r="DU171" i="56" s="1"/>
  <c r="EI61" i="56"/>
  <c r="S61" i="56" s="1"/>
  <c r="GC142" i="56"/>
  <c r="EK233" i="56"/>
  <c r="EL233" i="56"/>
  <c r="DV233" i="56"/>
  <c r="DF11" i="56"/>
  <c r="DG11" i="56" s="1"/>
  <c r="IQ11" i="56"/>
  <c r="IR11" i="56"/>
  <c r="EK290" i="56"/>
  <c r="EE290" i="56"/>
  <c r="EL290" i="56"/>
  <c r="EK268" i="56"/>
  <c r="DV268" i="56"/>
  <c r="EL268" i="56"/>
  <c r="EK237" i="56"/>
  <c r="DV237" i="56"/>
  <c r="EL237" i="56"/>
  <c r="EL170" i="56"/>
  <c r="EK170" i="56"/>
  <c r="DV170" i="56"/>
  <c r="FB30" i="56"/>
  <c r="FY30" i="56"/>
  <c r="EK264" i="56"/>
  <c r="DV264" i="56"/>
  <c r="EL264" i="56"/>
  <c r="EK266" i="56"/>
  <c r="EL266" i="56"/>
  <c r="DV266" i="56"/>
  <c r="HB184" i="56"/>
  <c r="HC184" i="56" s="1"/>
  <c r="DE184" i="56"/>
  <c r="GY184" i="56" s="1"/>
  <c r="EK189" i="56"/>
  <c r="EL189" i="56"/>
  <c r="DV189" i="56"/>
  <c r="GD321" i="56"/>
  <c r="GE321" i="56" s="1"/>
  <c r="EK252" i="56"/>
  <c r="EL252" i="56"/>
  <c r="DV252" i="56"/>
  <c r="EK199" i="56"/>
  <c r="EL199" i="56"/>
  <c r="DV199" i="56"/>
  <c r="IQ104" i="56"/>
  <c r="CJ254" i="56"/>
  <c r="CK254" i="56" s="1"/>
  <c r="FA69" i="56"/>
  <c r="CJ138" i="56"/>
  <c r="CK138" i="56" s="1"/>
  <c r="GF164" i="56"/>
  <c r="GF292" i="56"/>
  <c r="EI71" i="56"/>
  <c r="CJ269" i="56"/>
  <c r="GF104" i="56"/>
  <c r="GF248" i="56"/>
  <c r="T144" i="56"/>
  <c r="CJ59" i="56"/>
  <c r="CK59" i="56" s="1"/>
  <c r="CJ322" i="56"/>
  <c r="CJ3" i="56"/>
  <c r="GC303" i="56"/>
  <c r="DV224" i="56"/>
  <c r="EI145" i="56"/>
  <c r="S145" i="56" s="1"/>
  <c r="EI146" i="56"/>
  <c r="EI212" i="56"/>
  <c r="S212" i="56" s="1"/>
  <c r="EI340" i="56"/>
  <c r="S340" i="56" s="1"/>
  <c r="EI261" i="56"/>
  <c r="S261" i="56" s="1"/>
  <c r="DF46" i="56"/>
  <c r="DG46" i="56" s="1"/>
  <c r="GF161" i="56"/>
  <c r="GF305" i="56"/>
  <c r="GF258" i="56"/>
  <c r="EI313" i="56"/>
  <c r="S313" i="56" s="1"/>
  <c r="CW168" i="56"/>
  <c r="DA168" i="56" s="1"/>
  <c r="DE168" i="56" s="1"/>
  <c r="GY168" i="56" s="1"/>
  <c r="FB103" i="56"/>
  <c r="IR168" i="56"/>
  <c r="CJ341" i="56"/>
  <c r="FI200" i="56"/>
  <c r="EI109" i="56"/>
  <c r="CJ347" i="56"/>
  <c r="CK347" i="56" s="1"/>
  <c r="BL339" i="56"/>
  <c r="GC87" i="56"/>
  <c r="GF251" i="56"/>
  <c r="DV227" i="56"/>
  <c r="GF300" i="56"/>
  <c r="P63" i="56" a="1"/>
  <c r="P63" i="56" s="1"/>
  <c r="EF63" i="56" s="1"/>
  <c r="EG63" i="56" s="1"/>
  <c r="GF133" i="56"/>
  <c r="GF261" i="56"/>
  <c r="CJ225" i="56"/>
  <c r="CK225" i="56" s="1"/>
  <c r="BL314" i="56"/>
  <c r="BL159" i="56"/>
  <c r="EI58" i="56"/>
  <c r="S58" i="56" s="1"/>
  <c r="EI186" i="56"/>
  <c r="GF89" i="56"/>
  <c r="CJ165" i="56"/>
  <c r="CK280" i="56"/>
  <c r="IQ280" i="56" s="1"/>
  <c r="CK328" i="56"/>
  <c r="GC22" i="56"/>
  <c r="GC326" i="56"/>
  <c r="GD329" i="56" s="1"/>
  <c r="P127" i="56" a="1"/>
  <c r="P127" i="56" s="1"/>
  <c r="EI12" i="56"/>
  <c r="S12" i="56" s="1"/>
  <c r="CJ123" i="56"/>
  <c r="CK123" i="56" s="1"/>
  <c r="CJ187" i="56"/>
  <c r="CK187" i="56" s="1"/>
  <c r="P109" i="56" a="1"/>
  <c r="P109" i="56" s="1"/>
  <c r="EF109" i="56" s="1"/>
  <c r="EG109" i="56" s="1"/>
  <c r="GF267" i="56"/>
  <c r="CJ260" i="56"/>
  <c r="CK260" i="56" s="1"/>
  <c r="GF333" i="56"/>
  <c r="GF112" i="56"/>
  <c r="EI277" i="56"/>
  <c r="CJ150" i="56"/>
  <c r="CK150" i="56" s="1"/>
  <c r="CJ230" i="56"/>
  <c r="CK230" i="56" s="1"/>
  <c r="DF230" i="56" s="1"/>
  <c r="DG230" i="56" s="1"/>
  <c r="CJ342" i="56"/>
  <c r="CK342" i="56" s="1"/>
  <c r="CW342" i="56" s="1"/>
  <c r="BL327" i="56"/>
  <c r="GC230" i="56"/>
  <c r="GD239" i="56" s="1"/>
  <c r="GE239" i="56" s="1"/>
  <c r="GF68" i="56"/>
  <c r="GF196" i="56"/>
  <c r="GF324" i="56"/>
  <c r="GF149" i="56"/>
  <c r="GF277" i="56"/>
  <c r="CK137" i="56"/>
  <c r="GF198" i="56"/>
  <c r="GC298" i="56"/>
  <c r="EI143" i="56"/>
  <c r="S143" i="56" s="1"/>
  <c r="EI271" i="56"/>
  <c r="EJ271" i="56" s="1"/>
  <c r="CJ114" i="56"/>
  <c r="CK114" i="56" s="1"/>
  <c r="IR114" i="56" s="1"/>
  <c r="DV260" i="56"/>
  <c r="CJ49" i="56"/>
  <c r="CK49" i="56" s="1"/>
  <c r="CW49" i="56" s="1"/>
  <c r="CJ193" i="56"/>
  <c r="BS3" i="40" a="1"/>
  <c r="BS3" i="40" s="1"/>
  <c r="BI39" i="10" s="1"/>
  <c r="CK193" i="56"/>
  <c r="GF65" i="56"/>
  <c r="GF193" i="56"/>
  <c r="GG43" i="56"/>
  <c r="HV43" i="56" s="1"/>
  <c r="GF290" i="56"/>
  <c r="GF275" i="56"/>
  <c r="GF105" i="56"/>
  <c r="GF249" i="56"/>
  <c r="EI304" i="56"/>
  <c r="S304" i="56" s="1"/>
  <c r="CJ85" i="56"/>
  <c r="CK85" i="56" s="1"/>
  <c r="CW85" i="56" s="1"/>
  <c r="DA85" i="56" s="1"/>
  <c r="CJ201" i="56"/>
  <c r="CK201" i="56" s="1"/>
  <c r="CJ333" i="56"/>
  <c r="GC202" i="56"/>
  <c r="GF5" i="56"/>
  <c r="FI265" i="56"/>
  <c r="CJ107" i="56"/>
  <c r="CK107" i="56" s="1"/>
  <c r="CW107" i="56" s="1"/>
  <c r="DA107" i="56" s="1"/>
  <c r="GC23" i="56"/>
  <c r="GF283" i="56"/>
  <c r="CJ35" i="56"/>
  <c r="CK35" i="56" s="1"/>
  <c r="CJ212" i="56"/>
  <c r="CK212" i="56" s="1"/>
  <c r="T254" i="56"/>
  <c r="FI198" i="56"/>
  <c r="BL318" i="56"/>
  <c r="EI273" i="56"/>
  <c r="S273" i="56" s="1"/>
  <c r="GC292" i="56"/>
  <c r="CJ250" i="56"/>
  <c r="IQ236" i="56"/>
  <c r="GF84" i="56"/>
  <c r="GF212" i="56"/>
  <c r="GF340" i="56"/>
  <c r="CJ140" i="56"/>
  <c r="CK140" i="56" s="1"/>
  <c r="IR140" i="56" s="1"/>
  <c r="FI351" i="56"/>
  <c r="GF247" i="56"/>
  <c r="CJ283" i="56"/>
  <c r="CK283" i="56" s="1"/>
  <c r="IR283" i="56" s="1"/>
  <c r="CJ331" i="56"/>
  <c r="CK331" i="56" s="1"/>
  <c r="CJ339" i="56"/>
  <c r="CK339" i="56" s="1"/>
  <c r="FI282" i="56"/>
  <c r="GF218" i="56"/>
  <c r="GF346" i="56"/>
  <c r="GC199" i="56"/>
  <c r="GF171" i="56"/>
  <c r="DV146" i="56"/>
  <c r="GF220" i="56"/>
  <c r="GF303" i="56"/>
  <c r="GF81" i="56"/>
  <c r="GF265" i="56"/>
  <c r="GC258" i="56"/>
  <c r="CJ278" i="56"/>
  <c r="CK278" i="56" s="1"/>
  <c r="DF278" i="56" s="1"/>
  <c r="DG278" i="56" s="1"/>
  <c r="EI195" i="56"/>
  <c r="CJ87" i="56"/>
  <c r="CK87" i="56" s="1"/>
  <c r="CJ24" i="56"/>
  <c r="CK24" i="56" s="1"/>
  <c r="CJ265" i="56"/>
  <c r="CK265" i="56" s="1"/>
  <c r="GC134" i="56"/>
  <c r="GC246" i="56"/>
  <c r="GC342" i="56"/>
  <c r="GD342" i="56" s="1"/>
  <c r="GE342" i="56" s="1"/>
  <c r="CJ170" i="56"/>
  <c r="CK170" i="56" s="1"/>
  <c r="CJ298" i="56"/>
  <c r="CJ173" i="56"/>
  <c r="CK173" i="56" s="1"/>
  <c r="DF173" i="56" s="1"/>
  <c r="DG173" i="56" s="1"/>
  <c r="GC122" i="56"/>
  <c r="GC314" i="56"/>
  <c r="GD314" i="56" s="1"/>
  <c r="GE314" i="56" s="1"/>
  <c r="BY161" i="56" a="1"/>
  <c r="BY161" i="56" s="1"/>
  <c r="GC311" i="56"/>
  <c r="DV160" i="56"/>
  <c r="GC111" i="56"/>
  <c r="CJ206" i="56"/>
  <c r="CK206" i="56" s="1"/>
  <c r="CW206" i="56" s="1"/>
  <c r="EI177" i="56"/>
  <c r="S177" i="56" s="1"/>
  <c r="FB50" i="56"/>
  <c r="CK99" i="56"/>
  <c r="GD328" i="56"/>
  <c r="GE328" i="56" s="1"/>
  <c r="FA244" i="56"/>
  <c r="CJ287" i="56"/>
  <c r="GF178" i="56"/>
  <c r="GF163" i="56"/>
  <c r="GC3" i="56"/>
  <c r="GD4" i="56" s="1"/>
  <c r="CJ136" i="56"/>
  <c r="CJ313" i="56"/>
  <c r="CJ89" i="56"/>
  <c r="CJ58" i="56"/>
  <c r="CK58" i="56" s="1"/>
  <c r="CJ346" i="56"/>
  <c r="CK346" i="56" s="1"/>
  <c r="GF263" i="56"/>
  <c r="DV123" i="56"/>
  <c r="FI5" i="56"/>
  <c r="T327" i="56"/>
  <c r="GF187" i="56"/>
  <c r="T110" i="56"/>
  <c r="BL80" i="56"/>
  <c r="DV195" i="56"/>
  <c r="GF270" i="56"/>
  <c r="EI82" i="56"/>
  <c r="S82" i="56" s="1"/>
  <c r="GF304" i="56"/>
  <c r="EI276" i="56"/>
  <c r="S276" i="56" s="1"/>
  <c r="IQ302" i="56"/>
  <c r="EI53" i="56"/>
  <c r="S53" i="56" s="1"/>
  <c r="EI325" i="56"/>
  <c r="CJ14" i="56"/>
  <c r="CK14" i="56" s="1"/>
  <c r="FA261" i="56"/>
  <c r="GF97" i="56"/>
  <c r="GF241" i="56"/>
  <c r="CW249" i="56"/>
  <c r="CJ149" i="56"/>
  <c r="CK149" i="56" s="1"/>
  <c r="FI95" i="56"/>
  <c r="CW302" i="56"/>
  <c r="DA302" i="56" s="1"/>
  <c r="HB302" i="56" s="1"/>
  <c r="P279" i="56" a="1"/>
  <c r="P279" i="56" s="1"/>
  <c r="FZ279" i="56" s="1"/>
  <c r="BY298" i="56" a="1"/>
  <c r="BY298" i="56" s="1"/>
  <c r="DU298" i="56" s="1"/>
  <c r="CJ41" i="56"/>
  <c r="CK41" i="56" s="1"/>
  <c r="GC54" i="56"/>
  <c r="GD54" i="56" s="1"/>
  <c r="GE54" i="56" s="1"/>
  <c r="CJ122" i="56"/>
  <c r="GF69" i="56"/>
  <c r="GF341" i="56"/>
  <c r="GC352" i="56"/>
  <c r="DV91" i="56"/>
  <c r="DV155" i="56"/>
  <c r="DV187" i="56"/>
  <c r="DV267" i="56"/>
  <c r="CJ315" i="56"/>
  <c r="CK315" i="56" s="1"/>
  <c r="GF250" i="56"/>
  <c r="T135" i="56"/>
  <c r="DV33" i="56"/>
  <c r="CJ177" i="56"/>
  <c r="DV212" i="56"/>
  <c r="DV244" i="56"/>
  <c r="EI337" i="56"/>
  <c r="S337" i="56" s="1"/>
  <c r="EI226" i="56"/>
  <c r="EI148" i="56"/>
  <c r="CK65" i="56"/>
  <c r="IQ65" i="56" s="1"/>
  <c r="GF255" i="56"/>
  <c r="IQ251" i="56"/>
  <c r="CJ270" i="56"/>
  <c r="CK270" i="56" s="1"/>
  <c r="GF113" i="56"/>
  <c r="CW41" i="56"/>
  <c r="CK8" i="56"/>
  <c r="GC262" i="56"/>
  <c r="IR295" i="56"/>
  <c r="GC138" i="56"/>
  <c r="GF56" i="56"/>
  <c r="GF184" i="56"/>
  <c r="GF328" i="56"/>
  <c r="FI111" i="56"/>
  <c r="GF40" i="56"/>
  <c r="EI140" i="56"/>
  <c r="CJ52" i="56"/>
  <c r="CK52" i="56" s="1"/>
  <c r="DF52" i="56" s="1"/>
  <c r="DG52" i="56" s="1"/>
  <c r="DV128" i="56"/>
  <c r="BL202" i="56"/>
  <c r="BL175" i="56"/>
  <c r="FD184" i="56"/>
  <c r="M184" i="56" s="1"/>
  <c r="FE184" i="56" s="1"/>
  <c r="FF184" i="56" s="1"/>
  <c r="CJ111" i="56"/>
  <c r="CK111" i="56" s="1"/>
  <c r="CK322" i="56"/>
  <c r="DF322" i="56" s="1"/>
  <c r="DG322" i="56" s="1"/>
  <c r="CJ151" i="56"/>
  <c r="CK151" i="56" s="1"/>
  <c r="DF151" i="56" s="1"/>
  <c r="DG151" i="56" s="1"/>
  <c r="CJ120" i="56"/>
  <c r="CK120" i="56" s="1"/>
  <c r="CJ249" i="56"/>
  <c r="CK249" i="56" s="1"/>
  <c r="DV329" i="56"/>
  <c r="CW316" i="56"/>
  <c r="DA316" i="56" s="1"/>
  <c r="DE316" i="56" s="1"/>
  <c r="GY316" i="56" s="1"/>
  <c r="BY177" i="56" a="1"/>
  <c r="BY177" i="56" s="1"/>
  <c r="DU177" i="56" s="1"/>
  <c r="BL35" i="56"/>
  <c r="CJ147" i="56"/>
  <c r="T343" i="56"/>
  <c r="BL179" i="56"/>
  <c r="GF124" i="56"/>
  <c r="GF252" i="56"/>
  <c r="DV161" i="56"/>
  <c r="CJ241" i="56"/>
  <c r="CK241" i="56" s="1"/>
  <c r="EL161" i="56"/>
  <c r="GF77" i="56"/>
  <c r="GF32" i="56"/>
  <c r="EI164" i="56"/>
  <c r="S164" i="56" s="1"/>
  <c r="IR251" i="56"/>
  <c r="GF169" i="56"/>
  <c r="GC81" i="56"/>
  <c r="GC70" i="56"/>
  <c r="GF132" i="56"/>
  <c r="GF260" i="56"/>
  <c r="EI295" i="56"/>
  <c r="GF213" i="56"/>
  <c r="ET337" i="56"/>
  <c r="GF167" i="56"/>
  <c r="GF295" i="56"/>
  <c r="GF72" i="56"/>
  <c r="GF200" i="56"/>
  <c r="GF344" i="56"/>
  <c r="EI189" i="56"/>
  <c r="EI79" i="56"/>
  <c r="EL79" i="56"/>
  <c r="GC231" i="56"/>
  <c r="CJ99" i="56"/>
  <c r="T239" i="56"/>
  <c r="GF140" i="56"/>
  <c r="CJ304" i="56"/>
  <c r="CK304" i="56" s="1"/>
  <c r="CW304" i="56" s="1"/>
  <c r="DA304" i="56" s="1"/>
  <c r="DE304" i="56" s="1"/>
  <c r="GY304" i="56" s="1"/>
  <c r="CJ194" i="56"/>
  <c r="T30" i="56"/>
  <c r="T223" i="56"/>
  <c r="T143" i="56"/>
  <c r="CK227" i="56"/>
  <c r="CW227" i="56" s="1"/>
  <c r="GD316" i="56"/>
  <c r="CJ200" i="56"/>
  <c r="CK200" i="56" s="1"/>
  <c r="AN3" i="40" a="1"/>
  <c r="AN3" i="40" s="1"/>
  <c r="BL221" i="56"/>
  <c r="BY253" i="56" a="1"/>
  <c r="BY253" i="56" s="1"/>
  <c r="DU253" i="56" s="1"/>
  <c r="BL66" i="56"/>
  <c r="CJ34" i="56"/>
  <c r="CJ274" i="56"/>
  <c r="CJ276" i="56"/>
  <c r="CK276" i="56" s="1"/>
  <c r="CJ18" i="56"/>
  <c r="CJ130" i="56"/>
  <c r="GF7" i="56"/>
  <c r="CJ115" i="56"/>
  <c r="CK115" i="56" s="1"/>
  <c r="IR115" i="56" s="1"/>
  <c r="DV292" i="56"/>
  <c r="GF14" i="56"/>
  <c r="EI258" i="56"/>
  <c r="S258" i="56" s="1"/>
  <c r="EI180" i="56"/>
  <c r="S180" i="56" s="1"/>
  <c r="GF306" i="56"/>
  <c r="FA292" i="56"/>
  <c r="GF95" i="56"/>
  <c r="EI5" i="56"/>
  <c r="S5" i="56" s="1"/>
  <c r="EI134" i="56"/>
  <c r="EI262" i="56"/>
  <c r="S262" i="56" s="1"/>
  <c r="GF17" i="56"/>
  <c r="DF168" i="56"/>
  <c r="DG168" i="56" s="1"/>
  <c r="CJ133" i="56"/>
  <c r="GC194" i="56"/>
  <c r="GG51" i="56"/>
  <c r="HV51" i="56" s="1"/>
  <c r="CJ183" i="56"/>
  <c r="CK183" i="56" s="1"/>
  <c r="CJ202" i="56"/>
  <c r="CK202" i="56" s="1"/>
  <c r="DF202" i="56" s="1"/>
  <c r="DG202" i="56" s="1"/>
  <c r="CJ108" i="56"/>
  <c r="GF150" i="56"/>
  <c r="GF278" i="56"/>
  <c r="GF183" i="56"/>
  <c r="GF311" i="56"/>
  <c r="BL193" i="56"/>
  <c r="FI152" i="56"/>
  <c r="CJ100" i="56"/>
  <c r="CJ65" i="56"/>
  <c r="CJ129" i="56"/>
  <c r="DV145" i="56"/>
  <c r="T190" i="56"/>
  <c r="BL238" i="56"/>
  <c r="GF174" i="56"/>
  <c r="EI130" i="56"/>
  <c r="S130" i="56" s="1"/>
  <c r="FA228" i="56"/>
  <c r="CJ334" i="56"/>
  <c r="CK334" i="56" s="1"/>
  <c r="CW334" i="56" s="1"/>
  <c r="DA334" i="56" s="1"/>
  <c r="GF239" i="56"/>
  <c r="CJ15" i="56"/>
  <c r="CK15" i="56" s="1"/>
  <c r="EI344" i="56"/>
  <c r="GF153" i="56"/>
  <c r="GF242" i="56"/>
  <c r="EI297" i="56"/>
  <c r="S297" i="56" s="1"/>
  <c r="EI298" i="56"/>
  <c r="CJ70" i="56"/>
  <c r="CJ119" i="56"/>
  <c r="CK119" i="56" s="1"/>
  <c r="BY170" i="56" a="1"/>
  <c r="BY170" i="56" s="1"/>
  <c r="DU170" i="56" s="1"/>
  <c r="CJ153" i="56"/>
  <c r="CK153" i="56" s="1"/>
  <c r="DF153" i="56" s="1"/>
  <c r="DG153" i="56" s="1"/>
  <c r="DV313" i="56"/>
  <c r="GC266" i="56"/>
  <c r="BY128" i="56" a="1"/>
  <c r="BY128" i="56" s="1"/>
  <c r="DV211" i="56"/>
  <c r="CJ228" i="56"/>
  <c r="CK228" i="56" s="1"/>
  <c r="CJ290" i="56"/>
  <c r="CK290" i="56" s="1"/>
  <c r="CJ227" i="56"/>
  <c r="CJ180" i="56"/>
  <c r="CJ32" i="56"/>
  <c r="CJ192" i="56"/>
  <c r="BD313" i="56" a="1"/>
  <c r="BD313" i="56" s="1"/>
  <c r="C313" i="56" s="1"/>
  <c r="BE313" i="56" s="1"/>
  <c r="S3" i="40" s="1" a="1"/>
  <c r="S3" i="40" s="1"/>
  <c r="BL108" i="56"/>
  <c r="CJ63" i="56"/>
  <c r="CK63" i="56" s="1"/>
  <c r="BD62" i="56" a="1"/>
  <c r="BD62" i="56" s="1"/>
  <c r="GO32" i="56"/>
  <c r="GN32" i="56"/>
  <c r="IK32" i="56" s="1"/>
  <c r="GM33" i="56"/>
  <c r="GO343" i="56"/>
  <c r="GN343" i="56"/>
  <c r="IK343" i="56" s="1"/>
  <c r="GM344" i="56"/>
  <c r="DF193" i="56"/>
  <c r="DG193" i="56" s="1"/>
  <c r="IR193" i="56"/>
  <c r="EI176" i="56"/>
  <c r="S176" i="56" s="1"/>
  <c r="DB12" i="56" a="1"/>
  <c r="DB12" i="56" s="1"/>
  <c r="DE12" i="56"/>
  <c r="GY12" i="56" s="1"/>
  <c r="HB12" i="56"/>
  <c r="BY70" i="56" a="1"/>
  <c r="BY70" i="56" s="1"/>
  <c r="DU70" i="56" s="1"/>
  <c r="BL70" i="56"/>
  <c r="P70" i="56" a="1"/>
  <c r="P70" i="56" s="1"/>
  <c r="DI70" i="56" s="1"/>
  <c r="GO5" i="56"/>
  <c r="GN5" i="56"/>
  <c r="IK5" i="56" s="1"/>
  <c r="EI49" i="56"/>
  <c r="S49" i="56" s="1"/>
  <c r="DF140" i="56"/>
  <c r="DG140" i="56" s="1"/>
  <c r="IQ140" i="56"/>
  <c r="EI322" i="56"/>
  <c r="FS184" i="56"/>
  <c r="FP184" i="56"/>
  <c r="GF64" i="56"/>
  <c r="GF224" i="56"/>
  <c r="IQ130" i="56"/>
  <c r="IP130" i="56"/>
  <c r="FD130" i="56"/>
  <c r="M130" i="56" s="1"/>
  <c r="FE130" i="56" s="1"/>
  <c r="FF130" i="56" s="1"/>
  <c r="FL130" i="56"/>
  <c r="FM130" i="56" s="1"/>
  <c r="FO130" i="56" s="1" a="1"/>
  <c r="FO130" i="56" s="1"/>
  <c r="FB130" i="56"/>
  <c r="CK130" i="56"/>
  <c r="DC130" i="56"/>
  <c r="GD130" i="56"/>
  <c r="GE130" i="56" s="1"/>
  <c r="IP194" i="56"/>
  <c r="FF194" i="56"/>
  <c r="FL194" i="56"/>
  <c r="FM194" i="56" s="1"/>
  <c r="FO194" i="56" s="1" a="1"/>
  <c r="FO194" i="56" s="1"/>
  <c r="CK194" i="56"/>
  <c r="DC194" i="56"/>
  <c r="FB194" i="56"/>
  <c r="DF194" i="56"/>
  <c r="DG194" i="56" s="1"/>
  <c r="GF26" i="56"/>
  <c r="FS300" i="56"/>
  <c r="FP300" i="56"/>
  <c r="IP25" i="56"/>
  <c r="GG25" i="56"/>
  <c r="FL25" i="56"/>
  <c r="FM25" i="56" s="1"/>
  <c r="FO25" i="56" s="1" a="1"/>
  <c r="FO25" i="56" s="1"/>
  <c r="DC25" i="56"/>
  <c r="CK25" i="56"/>
  <c r="DF25" i="56" s="1"/>
  <c r="DG25" i="56" s="1"/>
  <c r="IP154" i="56"/>
  <c r="FL154" i="56"/>
  <c r="FM154" i="56" s="1"/>
  <c r="FO154" i="56" s="1" a="1"/>
  <c r="FO154" i="56" s="1"/>
  <c r="FD154" i="56"/>
  <c r="M154" i="56" s="1"/>
  <c r="FE154" i="56" s="1"/>
  <c r="FB154" i="56"/>
  <c r="DC154" i="56"/>
  <c r="CK154" i="56"/>
  <c r="IQ154" i="56" s="1"/>
  <c r="EI201" i="56"/>
  <c r="S201" i="56" s="1"/>
  <c r="GF83" i="56"/>
  <c r="BL294" i="56"/>
  <c r="BY294" i="56" a="1"/>
  <c r="BY294" i="56" s="1"/>
  <c r="DU294" i="56" s="1"/>
  <c r="GN6" i="56"/>
  <c r="IK6" i="56" s="1"/>
  <c r="GO6" i="56"/>
  <c r="GO31" i="56"/>
  <c r="GN31" i="56"/>
  <c r="IK31" i="56" s="1"/>
  <c r="FP104" i="56"/>
  <c r="FS104" i="56"/>
  <c r="FS315" i="56"/>
  <c r="FP315" i="56"/>
  <c r="GF93" i="56"/>
  <c r="GF253" i="56"/>
  <c r="IR29" i="56"/>
  <c r="DF29" i="56"/>
  <c r="DG29" i="56" s="1"/>
  <c r="IQ29" i="56"/>
  <c r="IP55" i="56"/>
  <c r="FB55" i="56"/>
  <c r="FL55" i="56"/>
  <c r="FM55" i="56" s="1"/>
  <c r="FO55" i="56" s="1" a="1"/>
  <c r="FO55" i="56" s="1"/>
  <c r="DC55" i="56"/>
  <c r="GF94" i="56"/>
  <c r="EI242" i="56"/>
  <c r="S242" i="56" s="1"/>
  <c r="IQ209" i="56"/>
  <c r="IR209" i="56"/>
  <c r="DF209" i="56"/>
  <c r="DG209" i="56" s="1"/>
  <c r="IP290" i="56"/>
  <c r="FF290" i="56"/>
  <c r="FL290" i="56"/>
  <c r="FM290" i="56" s="1"/>
  <c r="FO290" i="56" s="1" a="1"/>
  <c r="FO290" i="56" s="1"/>
  <c r="FB290" i="56"/>
  <c r="DC290" i="56"/>
  <c r="FS3" i="56"/>
  <c r="FP3" i="56"/>
  <c r="CW4" i="56"/>
  <c r="FD4" i="56"/>
  <c r="M4" i="56" s="1"/>
  <c r="FE4" i="56" s="1"/>
  <c r="FF4" i="56" s="1"/>
  <c r="EI198" i="56"/>
  <c r="GF227" i="56"/>
  <c r="GO53" i="56"/>
  <c r="GN53" i="56"/>
  <c r="IK53" i="56" s="1"/>
  <c r="GO285" i="56"/>
  <c r="GN285" i="56"/>
  <c r="IK285" i="56" s="1"/>
  <c r="EI132" i="56"/>
  <c r="S322" i="56"/>
  <c r="EI260" i="56"/>
  <c r="FP10" i="56"/>
  <c r="BY16" i="55" s="1" a="1"/>
  <c r="BY16" i="55" s="1"/>
  <c r="FS10" i="56"/>
  <c r="FS302" i="56"/>
  <c r="FP302" i="56"/>
  <c r="IP121" i="56"/>
  <c r="FB121" i="56"/>
  <c r="FL121" i="56"/>
  <c r="FM121" i="56" s="1"/>
  <c r="FO121" i="56" s="1" a="1"/>
  <c r="FO121" i="56" s="1"/>
  <c r="DC121" i="56"/>
  <c r="CK121" i="56"/>
  <c r="CW121" i="56" s="1"/>
  <c r="DA121" i="56" s="1"/>
  <c r="CQ143" i="56" a="1"/>
  <c r="CQ143" i="56" s="1"/>
  <c r="CO143" i="56" a="1"/>
  <c r="CO143" i="56" s="1"/>
  <c r="CR143" i="56"/>
  <c r="DH143" i="56" s="1"/>
  <c r="CP143" i="56" a="1"/>
  <c r="CP143" i="56" s="1"/>
  <c r="EI152" i="56"/>
  <c r="FH93" i="56"/>
  <c r="FG93" i="56" a="1"/>
  <c r="FG93" i="56" s="1"/>
  <c r="GD225" i="56"/>
  <c r="GE225" i="56" s="1"/>
  <c r="GD229" i="56"/>
  <c r="GE229" i="56" s="1"/>
  <c r="GD226" i="56"/>
  <c r="IQ109" i="56"/>
  <c r="IR109" i="56"/>
  <c r="IP109" i="56"/>
  <c r="FL109" i="56"/>
  <c r="FM109" i="56" s="1"/>
  <c r="FO109" i="56" s="1" a="1"/>
  <c r="FO109" i="56" s="1"/>
  <c r="FB109" i="56"/>
  <c r="DI109" i="56"/>
  <c r="DC109" i="56"/>
  <c r="CK109" i="56"/>
  <c r="CW109" i="56" s="1"/>
  <c r="DA109" i="56" s="1"/>
  <c r="GF110" i="56"/>
  <c r="S34" i="56"/>
  <c r="FS56" i="56"/>
  <c r="FP56" i="56"/>
  <c r="EI52" i="56"/>
  <c r="FS173" i="56"/>
  <c r="FP173" i="56"/>
  <c r="EI165" i="56"/>
  <c r="S165" i="56" s="1"/>
  <c r="IP151" i="56"/>
  <c r="FL151" i="56"/>
  <c r="FM151" i="56" s="1"/>
  <c r="FO151" i="56" s="1" a="1"/>
  <c r="FO151" i="56" s="1"/>
  <c r="FB151" i="56"/>
  <c r="DC151" i="56"/>
  <c r="EI80" i="56"/>
  <c r="S80" i="56" s="1"/>
  <c r="IQ283" i="56"/>
  <c r="DF283" i="56"/>
  <c r="DG283" i="56" s="1"/>
  <c r="FY328" i="56"/>
  <c r="P328" i="56" a="1"/>
  <c r="P328" i="56" s="1"/>
  <c r="EZ328" i="56"/>
  <c r="FA328" i="56"/>
  <c r="CQ343" i="56" a="1"/>
  <c r="CQ343" i="56" s="1"/>
  <c r="CR343" i="56"/>
  <c r="DH343" i="56" s="1"/>
  <c r="CO343" i="56" a="1"/>
  <c r="CO343" i="56" s="1"/>
  <c r="CP343" i="56" a="1"/>
  <c r="CP343" i="56" s="1"/>
  <c r="GO89" i="56"/>
  <c r="GN89" i="56"/>
  <c r="IK89" i="56" s="1"/>
  <c r="GM90" i="56"/>
  <c r="GO317" i="56"/>
  <c r="GN317" i="56"/>
  <c r="IK317" i="56" s="1"/>
  <c r="HK317" i="56" a="1"/>
  <c r="HK317" i="56" s="1"/>
  <c r="HL317" i="56" s="1"/>
  <c r="HQ317" i="56" a="1"/>
  <c r="HQ317" i="56" s="1"/>
  <c r="HR317" i="56" s="1"/>
  <c r="HO317" i="56" a="1"/>
  <c r="HO317" i="56" s="1"/>
  <c r="HP317" i="56" s="1"/>
  <c r="HM317" i="56" a="1"/>
  <c r="HM317" i="56" s="1"/>
  <c r="HN317" i="56" s="1"/>
  <c r="HG317" i="56" a="1"/>
  <c r="HG317" i="56" s="1"/>
  <c r="HH317" i="56" s="1"/>
  <c r="HI317" i="56" a="1"/>
  <c r="HI317" i="56" s="1"/>
  <c r="HJ317" i="56" s="1"/>
  <c r="FS253" i="56"/>
  <c r="FP253" i="56"/>
  <c r="IP237" i="56"/>
  <c r="IR237" i="56"/>
  <c r="FL237" i="56"/>
  <c r="FM237" i="56" s="1"/>
  <c r="FO237" i="56" s="1" a="1"/>
  <c r="FO237" i="56" s="1"/>
  <c r="FB237" i="56"/>
  <c r="DH237" i="56"/>
  <c r="DC237" i="56"/>
  <c r="CK237" i="56"/>
  <c r="DF237" i="56" s="1"/>
  <c r="DG237" i="56" s="1"/>
  <c r="FS332" i="56"/>
  <c r="FP332" i="56"/>
  <c r="FG142" i="56" a="1"/>
  <c r="FG142" i="56" s="1"/>
  <c r="FH142" i="56"/>
  <c r="BY142" i="56" a="1"/>
  <c r="BY142" i="56" s="1"/>
  <c r="FA142" i="56" s="1"/>
  <c r="DF350" i="56"/>
  <c r="DG350" i="56" s="1"/>
  <c r="IR350" i="56"/>
  <c r="IQ350" i="56"/>
  <c r="IP279" i="56"/>
  <c r="FL279" i="56"/>
  <c r="FM279" i="56" s="1"/>
  <c r="FO279" i="56" s="1" a="1"/>
  <c r="FO279" i="56" s="1"/>
  <c r="FB279" i="56"/>
  <c r="DC279" i="56"/>
  <c r="DH279" i="56"/>
  <c r="FS167" i="56"/>
  <c r="FP167" i="56"/>
  <c r="EI266" i="56"/>
  <c r="IP257" i="56"/>
  <c r="FB257" i="56"/>
  <c r="FL257" i="56"/>
  <c r="FM257" i="56" s="1"/>
  <c r="FO257" i="56" s="1" a="1"/>
  <c r="FO257" i="56" s="1"/>
  <c r="DC257" i="56"/>
  <c r="GF41" i="56"/>
  <c r="EX219" i="56"/>
  <c r="EZ219" i="56"/>
  <c r="ET219" i="56"/>
  <c r="EY219" i="56"/>
  <c r="EU219" i="56"/>
  <c r="ES219" i="56"/>
  <c r="EV219" i="56"/>
  <c r="EW219" i="56"/>
  <c r="GO186" i="56"/>
  <c r="GN186" i="56"/>
  <c r="IK186" i="56" s="1"/>
  <c r="GM187" i="56"/>
  <c r="GN155" i="56"/>
  <c r="IK155" i="56" s="1"/>
  <c r="GO155" i="56"/>
  <c r="GF256" i="56"/>
  <c r="S81" i="56"/>
  <c r="EI193" i="56"/>
  <c r="FS139" i="56"/>
  <c r="FP139" i="56"/>
  <c r="HV40" i="56"/>
  <c r="CR142" i="56"/>
  <c r="DH142" i="56" s="1"/>
  <c r="CP142" i="56" a="1"/>
  <c r="CP142" i="56" s="1"/>
  <c r="CO142" i="56" a="1"/>
  <c r="CO142" i="56" s="1"/>
  <c r="CQ142" i="56" a="1"/>
  <c r="CQ142" i="56" s="1"/>
  <c r="FG206" i="56" a="1"/>
  <c r="FG206" i="56" s="1"/>
  <c r="FH206" i="56"/>
  <c r="BY206" i="56" a="1"/>
  <c r="BY206" i="56" s="1"/>
  <c r="EI296" i="56"/>
  <c r="S296" i="56" s="1"/>
  <c r="GD284" i="56"/>
  <c r="GE284" i="56" s="1"/>
  <c r="GF201" i="56"/>
  <c r="DB302" i="56" a="1"/>
  <c r="DB302" i="56" s="1"/>
  <c r="DE302" i="56"/>
  <c r="GY302" i="56" s="1"/>
  <c r="GM54" i="56"/>
  <c r="GM286" i="56"/>
  <c r="DF31" i="56"/>
  <c r="DG31" i="56" s="1"/>
  <c r="FS110" i="56"/>
  <c r="FP110" i="56"/>
  <c r="FP225" i="56"/>
  <c r="FS225" i="56"/>
  <c r="IP180" i="56"/>
  <c r="FB180" i="56"/>
  <c r="FL180" i="56"/>
  <c r="FM180" i="56" s="1"/>
  <c r="FO180" i="56" s="1" a="1"/>
  <c r="FO180" i="56" s="1"/>
  <c r="FF180" i="56"/>
  <c r="DC180" i="56"/>
  <c r="CK180" i="56"/>
  <c r="CW180" i="56" s="1"/>
  <c r="DA180" i="56" s="1"/>
  <c r="S293" i="56"/>
  <c r="FG174" i="56" a="1"/>
  <c r="FG174" i="56" s="1"/>
  <c r="FI174" i="56" s="1"/>
  <c r="FH174" i="56"/>
  <c r="BY174" i="56" a="1"/>
  <c r="BY174" i="56" s="1"/>
  <c r="DU174" i="56" s="1"/>
  <c r="CR206" i="56"/>
  <c r="DH206" i="56" s="1"/>
  <c r="CQ206" i="56" a="1"/>
  <c r="CQ206" i="56" s="1"/>
  <c r="CP206" i="56" a="1"/>
  <c r="CP206" i="56" s="1"/>
  <c r="CO206" i="56" a="1"/>
  <c r="CO206" i="56" s="1"/>
  <c r="DF238" i="56"/>
  <c r="DG238" i="56" s="1"/>
  <c r="IR238" i="56"/>
  <c r="IQ238" i="56"/>
  <c r="FH286" i="56"/>
  <c r="FG286" i="56" a="1"/>
  <c r="FG286" i="56" s="1"/>
  <c r="BY286" i="56" a="1"/>
  <c r="BY286" i="56" s="1"/>
  <c r="CW175" i="56"/>
  <c r="DA175" i="56" s="1"/>
  <c r="DU297" i="56"/>
  <c r="EF297" i="56" s="1"/>
  <c r="EG297" i="56" s="1"/>
  <c r="EJ297" i="56" s="1"/>
  <c r="P297" i="56" a="1"/>
  <c r="P297" i="56" s="1"/>
  <c r="EL246" i="56"/>
  <c r="EK246" i="56"/>
  <c r="DV246" i="56"/>
  <c r="FH24" i="56"/>
  <c r="FG24" i="56" a="1"/>
  <c r="FG24" i="56" s="1"/>
  <c r="FI24" i="56" s="1"/>
  <c r="GM7" i="56"/>
  <c r="GO224" i="56"/>
  <c r="GN224" i="56"/>
  <c r="IK224" i="56" s="1"/>
  <c r="GM225" i="56"/>
  <c r="GN335" i="56"/>
  <c r="IK335" i="56" s="1"/>
  <c r="GO335" i="56"/>
  <c r="FS158" i="56"/>
  <c r="FP158" i="56"/>
  <c r="FS125" i="56"/>
  <c r="FP125" i="56"/>
  <c r="FS344" i="56"/>
  <c r="FP344" i="56"/>
  <c r="EI97" i="56"/>
  <c r="S97" i="56" s="1"/>
  <c r="CQ31" i="56" a="1"/>
  <c r="CQ31" i="56" s="1"/>
  <c r="CR31" i="56"/>
  <c r="DH31" i="56" s="1"/>
  <c r="CO31" i="56" a="1"/>
  <c r="CO31" i="56" s="1"/>
  <c r="CP31" i="56" a="1"/>
  <c r="CP31" i="56" s="1"/>
  <c r="GG225" i="56"/>
  <c r="FI335" i="56"/>
  <c r="IR14" i="56"/>
  <c r="IQ14" i="56"/>
  <c r="DF14" i="56"/>
  <c r="DG14" i="56" s="1"/>
  <c r="S342" i="56"/>
  <c r="EI312" i="56"/>
  <c r="S312" i="56" s="1"/>
  <c r="FY215" i="56"/>
  <c r="FB215" i="56"/>
  <c r="FH213" i="56"/>
  <c r="FG213" i="56" a="1"/>
  <c r="FG213" i="56" s="1"/>
  <c r="EZ72" i="56"/>
  <c r="EX72" i="56"/>
  <c r="ES72" i="56"/>
  <c r="EU72" i="56"/>
  <c r="EY72" i="56"/>
  <c r="ET72" i="56"/>
  <c r="EW72" i="56"/>
  <c r="ER72" i="56"/>
  <c r="EV72" i="56" s="1"/>
  <c r="BY72" i="56" a="1"/>
  <c r="BY72" i="56" s="1"/>
  <c r="FA72" i="56" s="1"/>
  <c r="DU271" i="56"/>
  <c r="EF271" i="56" s="1"/>
  <c r="EG271" i="56" s="1"/>
  <c r="P271" i="56" a="1"/>
  <c r="P271" i="56" s="1"/>
  <c r="DI271" i="56" s="1"/>
  <c r="HO335" i="56" a="1"/>
  <c r="HO335" i="56" s="1"/>
  <c r="HP335" i="56" s="1"/>
  <c r="HQ335" i="56" a="1"/>
  <c r="HQ335" i="56" s="1"/>
  <c r="HR335" i="56" s="1"/>
  <c r="HM335" i="56" a="1"/>
  <c r="HM335" i="56" s="1"/>
  <c r="HN335" i="56" s="1"/>
  <c r="HI335" i="56" a="1"/>
  <c r="HI335" i="56" s="1"/>
  <c r="HJ335" i="56" s="1"/>
  <c r="HG335" i="56" a="1"/>
  <c r="HG335" i="56" s="1"/>
  <c r="HH335" i="56" s="1"/>
  <c r="HK335" i="56" a="1"/>
  <c r="HK335" i="56" s="1"/>
  <c r="HL335" i="56" s="1"/>
  <c r="GM156" i="56"/>
  <c r="FS76" i="56"/>
  <c r="FP76" i="56"/>
  <c r="EI178" i="56"/>
  <c r="S178" i="56" s="1"/>
  <c r="S292" i="56"/>
  <c r="CR255" i="56"/>
  <c r="DH255" i="56" s="1"/>
  <c r="CQ255" i="56" a="1"/>
  <c r="CQ255" i="56" s="1"/>
  <c r="CP255" i="56" a="1"/>
  <c r="CP255" i="56" s="1"/>
  <c r="CO255" i="56" a="1"/>
  <c r="CO255" i="56" s="1"/>
  <c r="DF81" i="56"/>
  <c r="DG81" i="56" s="1"/>
  <c r="IQ81" i="56"/>
  <c r="IR81" i="56"/>
  <c r="BD24" i="55"/>
  <c r="BC24" i="55"/>
  <c r="BB24" i="55"/>
  <c r="IP36" i="56"/>
  <c r="GG36" i="56"/>
  <c r="FB36" i="56"/>
  <c r="FL36" i="56"/>
  <c r="FM36" i="56" s="1"/>
  <c r="FO36" i="56" s="1" a="1"/>
  <c r="FO36" i="56" s="1"/>
  <c r="CK36" i="56"/>
  <c r="CW36" i="56" s="1"/>
  <c r="DC36" i="56"/>
  <c r="DF99" i="56"/>
  <c r="DG99" i="56" s="1"/>
  <c r="CO127" i="56" a="1"/>
  <c r="CO127" i="56" s="1"/>
  <c r="CR127" i="56"/>
  <c r="CQ127" i="56" a="1"/>
  <c r="CQ127" i="56" s="1"/>
  <c r="CP127" i="56" a="1"/>
  <c r="CP127" i="56" s="1"/>
  <c r="S85" i="56"/>
  <c r="BY213" i="56" a="1"/>
  <c r="BY213" i="56" s="1"/>
  <c r="FP23" i="56"/>
  <c r="FS23" i="56"/>
  <c r="EI137" i="56"/>
  <c r="S137" i="56" s="1"/>
  <c r="CW328" i="56"/>
  <c r="DA328" i="56" s="1"/>
  <c r="CQ5" i="56" a="1"/>
  <c r="CQ5" i="56" s="1"/>
  <c r="CO5" i="56" a="1"/>
  <c r="CO5" i="56" s="1"/>
  <c r="CP5" i="56" a="1"/>
  <c r="CP5" i="56" s="1"/>
  <c r="CR5" i="56"/>
  <c r="DH5" i="56" s="1"/>
  <c r="FH284" i="56"/>
  <c r="FG284" i="56" a="1"/>
  <c r="FG284" i="56" s="1"/>
  <c r="FI284" i="56" s="1"/>
  <c r="BL281" i="56"/>
  <c r="BY281" i="56" a="1"/>
  <c r="BY281" i="56" s="1"/>
  <c r="DU281" i="56" s="1"/>
  <c r="GM318" i="56"/>
  <c r="FS267" i="56"/>
  <c r="FP267" i="56"/>
  <c r="EI113" i="56"/>
  <c r="S113" i="56" s="1"/>
  <c r="FB328" i="56"/>
  <c r="EI308" i="56"/>
  <c r="S308" i="56" s="1"/>
  <c r="FS330" i="56"/>
  <c r="FP330" i="56"/>
  <c r="IP292" i="56"/>
  <c r="FB292" i="56"/>
  <c r="FF292" i="56"/>
  <c r="FL292" i="56"/>
  <c r="FM292" i="56" s="1"/>
  <c r="FO292" i="56" s="1" a="1"/>
  <c r="FO292" i="56" s="1"/>
  <c r="DC292" i="56"/>
  <c r="GF12" i="56"/>
  <c r="IP6" i="56"/>
  <c r="FL6" i="56"/>
  <c r="FM6" i="56" s="1"/>
  <c r="FO6" i="56" s="1" a="1"/>
  <c r="FO6" i="56" s="1"/>
  <c r="FB6" i="56"/>
  <c r="DC6" i="56"/>
  <c r="CK6" i="56"/>
  <c r="DF6" i="56" s="1"/>
  <c r="DG6" i="56" s="1"/>
  <c r="GD6" i="56"/>
  <c r="GE6" i="56" s="1"/>
  <c r="FH255" i="56"/>
  <c r="FG255" i="56" a="1"/>
  <c r="FG255" i="56" s="1"/>
  <c r="BY255" i="56" a="1"/>
  <c r="BY255" i="56" s="1"/>
  <c r="DU255" i="56" s="1"/>
  <c r="GD285" i="56"/>
  <c r="GE285" i="56" s="1"/>
  <c r="HQ31" i="56" a="1"/>
  <c r="HQ31" i="56" s="1"/>
  <c r="HR31" i="56" s="1"/>
  <c r="HO31" i="56" a="1"/>
  <c r="HO31" i="56" s="1"/>
  <c r="HP31" i="56" s="1"/>
  <c r="HM31" i="56" a="1"/>
  <c r="HM31" i="56" s="1"/>
  <c r="HN31" i="56" s="1"/>
  <c r="HG31" i="56" a="1"/>
  <c r="HG31" i="56" s="1"/>
  <c r="HH31" i="56" s="1"/>
  <c r="HI31" i="56" a="1"/>
  <c r="HI31" i="56" s="1"/>
  <c r="HJ31" i="56" s="1"/>
  <c r="HK31" i="56" a="1"/>
  <c r="HK31" i="56" s="1"/>
  <c r="HL31" i="56" s="1"/>
  <c r="EI321" i="56"/>
  <c r="S100" i="56"/>
  <c r="IQ243" i="56"/>
  <c r="IR243" i="56"/>
  <c r="IP314" i="56"/>
  <c r="FD314" i="56"/>
  <c r="M314" i="56" s="1"/>
  <c r="FE314" i="56" s="1"/>
  <c r="FF314" i="56" s="1"/>
  <c r="FB314" i="56"/>
  <c r="FL314" i="56"/>
  <c r="FM314" i="56" s="1"/>
  <c r="FO314" i="56" s="1" a="1"/>
  <c r="FO314" i="56" s="1"/>
  <c r="DC314" i="56"/>
  <c r="DH314" i="56"/>
  <c r="IP74" i="56"/>
  <c r="FL74" i="56"/>
  <c r="FM74" i="56" s="1"/>
  <c r="FO74" i="56" s="1" a="1"/>
  <c r="FO74" i="56" s="1"/>
  <c r="FB74" i="56"/>
  <c r="DC74" i="56"/>
  <c r="IP250" i="56"/>
  <c r="FL250" i="56"/>
  <c r="FM250" i="56" s="1"/>
  <c r="FO250" i="56" s="1" a="1"/>
  <c r="FO250" i="56" s="1"/>
  <c r="FB250" i="56"/>
  <c r="DC250" i="56"/>
  <c r="CK250" i="56"/>
  <c r="IR250" i="56" s="1"/>
  <c r="EI40" i="56"/>
  <c r="S40" i="56" s="1"/>
  <c r="S90" i="56"/>
  <c r="IP244" i="56"/>
  <c r="FB244" i="56"/>
  <c r="FL244" i="56"/>
  <c r="FM244" i="56" s="1"/>
  <c r="FO244" i="56" s="1" a="1"/>
  <c r="FO244" i="56" s="1"/>
  <c r="DC244" i="56"/>
  <c r="FY231" i="56"/>
  <c r="FB231" i="56"/>
  <c r="BB3" i="40" a="1"/>
  <c r="BB3" i="40" s="1"/>
  <c r="FH85" i="56"/>
  <c r="FG85" i="56" a="1"/>
  <c r="FG85" i="56" s="1"/>
  <c r="FI85" i="56" s="1"/>
  <c r="BY85" i="56" a="1"/>
  <c r="BY85" i="56" s="1"/>
  <c r="DU85" i="56" s="1"/>
  <c r="DU90" i="56"/>
  <c r="P90" i="56" a="1"/>
  <c r="P90" i="56" s="1"/>
  <c r="HM130" i="56" a="1"/>
  <c r="HM130" i="56" s="1"/>
  <c r="HN130" i="56" s="1"/>
  <c r="HQ130" i="56" a="1"/>
  <c r="HQ130" i="56" s="1"/>
  <c r="HR130" i="56" s="1"/>
  <c r="HO130" i="56" a="1"/>
  <c r="HO130" i="56" s="1"/>
  <c r="HP130" i="56" s="1"/>
  <c r="HK130" i="56" a="1"/>
  <c r="HK130" i="56" s="1"/>
  <c r="HL130" i="56" s="1"/>
  <c r="HI130" i="56" a="1"/>
  <c r="HI130" i="56" s="1"/>
  <c r="HJ130" i="56" s="1"/>
  <c r="HG130" i="56" a="1"/>
  <c r="HG130" i="56" s="1"/>
  <c r="HH130" i="56" s="1"/>
  <c r="GN326" i="56"/>
  <c r="IK326" i="56" s="1"/>
  <c r="GO326" i="56"/>
  <c r="GM327" i="56"/>
  <c r="IQ31" i="56"/>
  <c r="EI100" i="56"/>
  <c r="GF122" i="56"/>
  <c r="IP116" i="56"/>
  <c r="FB116" i="56"/>
  <c r="FL116" i="56"/>
  <c r="FM116" i="56" s="1"/>
  <c r="FO116" i="56" s="1" a="1"/>
  <c r="FO116" i="56" s="1"/>
  <c r="DC116" i="56"/>
  <c r="CK116" i="56"/>
  <c r="CW116" i="56" s="1"/>
  <c r="DA116" i="56" s="1"/>
  <c r="IP230" i="56"/>
  <c r="FL230" i="56"/>
  <c r="FM230" i="56" s="1"/>
  <c r="FO230" i="56" s="1" a="1"/>
  <c r="FO230" i="56" s="1"/>
  <c r="FB230" i="56"/>
  <c r="DC230" i="56"/>
  <c r="IP294" i="56"/>
  <c r="FF294" i="56"/>
  <c r="FB294" i="56"/>
  <c r="FL294" i="56"/>
  <c r="FM294" i="56" s="1"/>
  <c r="FO294" i="56" s="1" a="1"/>
  <c r="FO294" i="56" s="1"/>
  <c r="DC294" i="56"/>
  <c r="CK294" i="56"/>
  <c r="DF294" i="56" s="1"/>
  <c r="DG294" i="56" s="1"/>
  <c r="DF44" i="56"/>
  <c r="DG44" i="56" s="1"/>
  <c r="EI216" i="56"/>
  <c r="S216" i="56" s="1"/>
  <c r="GF114" i="56"/>
  <c r="GN313" i="56"/>
  <c r="IK313" i="56" s="1"/>
  <c r="GO313" i="56"/>
  <c r="GM314" i="56"/>
  <c r="GO131" i="56"/>
  <c r="GN131" i="56"/>
  <c r="IK131" i="56" s="1"/>
  <c r="GM132" i="56"/>
  <c r="GF157" i="56"/>
  <c r="FS107" i="56"/>
  <c r="FP107" i="56"/>
  <c r="GF221" i="56"/>
  <c r="CW236" i="56"/>
  <c r="EI324" i="56"/>
  <c r="FS33" i="56"/>
  <c r="FP33" i="56"/>
  <c r="FP193" i="56"/>
  <c r="FS193" i="56"/>
  <c r="IQ40" i="56"/>
  <c r="FS331" i="56"/>
  <c r="FP331" i="56"/>
  <c r="IP86" i="56"/>
  <c r="FL86" i="56"/>
  <c r="FM86" i="56" s="1"/>
  <c r="FO86" i="56" s="1" a="1"/>
  <c r="FO86" i="56" s="1"/>
  <c r="FD86" i="56"/>
  <c r="M86" i="56" s="1"/>
  <c r="FE86" i="56" s="1"/>
  <c r="FF86" i="56" s="1"/>
  <c r="DC86" i="56"/>
  <c r="FB86" i="56"/>
  <c r="CK86" i="56"/>
  <c r="EI54" i="56"/>
  <c r="S54" i="56" s="1"/>
  <c r="IR90" i="56"/>
  <c r="IP90" i="56"/>
  <c r="FF90" i="56"/>
  <c r="FL90" i="56"/>
  <c r="FM90" i="56" s="1"/>
  <c r="FO90" i="56" s="1" a="1"/>
  <c r="FO90" i="56" s="1"/>
  <c r="FB90" i="56"/>
  <c r="DC90" i="56"/>
  <c r="CK90" i="56"/>
  <c r="DF90" i="56" s="1"/>
  <c r="DG90" i="56" s="1"/>
  <c r="GD90" i="56"/>
  <c r="GE90" i="56" s="1"/>
  <c r="GD91" i="56"/>
  <c r="GE91" i="56" s="1"/>
  <c r="IP346" i="56"/>
  <c r="FF346" i="56"/>
  <c r="FL346" i="56"/>
  <c r="FM346" i="56" s="1"/>
  <c r="FO346" i="56" s="1" a="1"/>
  <c r="FO346" i="56" s="1"/>
  <c r="FB346" i="56"/>
  <c r="DC346" i="56"/>
  <c r="GF130" i="56"/>
  <c r="GF274" i="56"/>
  <c r="CW104" i="56"/>
  <c r="DA104" i="56" s="1"/>
  <c r="FD104" i="56"/>
  <c r="M104" i="56" s="1"/>
  <c r="FE104" i="56" s="1"/>
  <c r="FF104" i="56" s="1"/>
  <c r="EI160" i="56"/>
  <c r="BY284" i="56" a="1"/>
  <c r="BY284" i="56" s="1"/>
  <c r="DU284" i="56" s="1"/>
  <c r="HQ184" i="56" a="1"/>
  <c r="HQ184" i="56" s="1"/>
  <c r="HR184" i="56" s="1"/>
  <c r="HI184" i="56" a="1"/>
  <c r="HI184" i="56" s="1"/>
  <c r="HJ184" i="56" s="1"/>
  <c r="HO184" i="56" a="1"/>
  <c r="HO184" i="56" s="1"/>
  <c r="HP184" i="56" s="1"/>
  <c r="HM184" i="56" a="1"/>
  <c r="HM184" i="56" s="1"/>
  <c r="HN184" i="56" s="1"/>
  <c r="HK184" i="56" a="1"/>
  <c r="HK184" i="56" s="1"/>
  <c r="HL184" i="56" s="1"/>
  <c r="HG184" i="56" a="1"/>
  <c r="HG184" i="56" s="1"/>
  <c r="HH184" i="56" s="1"/>
  <c r="GM336" i="56"/>
  <c r="GO332" i="56"/>
  <c r="GN332" i="56"/>
  <c r="IK332" i="56" s="1"/>
  <c r="GM333" i="56"/>
  <c r="FS270" i="56"/>
  <c r="FP270" i="56"/>
  <c r="FP200" i="56"/>
  <c r="FS200" i="56"/>
  <c r="GF61" i="56"/>
  <c r="EI33" i="56"/>
  <c r="S33" i="56" s="1"/>
  <c r="EI241" i="56"/>
  <c r="S241" i="56" s="1"/>
  <c r="EI306" i="56"/>
  <c r="IP39" i="56"/>
  <c r="GG39" i="56"/>
  <c r="FL39" i="56"/>
  <c r="FM39" i="56" s="1"/>
  <c r="FO39" i="56" s="1" a="1"/>
  <c r="FO39" i="56" s="1"/>
  <c r="FB39" i="56"/>
  <c r="DC39" i="56"/>
  <c r="IP35" i="56"/>
  <c r="GG35" i="56"/>
  <c r="FB35" i="56"/>
  <c r="FL35" i="56"/>
  <c r="FM35" i="56" s="1"/>
  <c r="FO35" i="56" s="1" a="1"/>
  <c r="FO35" i="56" s="1"/>
  <c r="DC35" i="56"/>
  <c r="IP195" i="56"/>
  <c r="FL195" i="56"/>
  <c r="FM195" i="56" s="1"/>
  <c r="FO195" i="56" s="1" a="1"/>
  <c r="FO195" i="56" s="1"/>
  <c r="FF195" i="56"/>
  <c r="FB195" i="56"/>
  <c r="DC195" i="56"/>
  <c r="IR40" i="56"/>
  <c r="GG88" i="56"/>
  <c r="GE88" i="56"/>
  <c r="DF334" i="56"/>
  <c r="DG334" i="56" s="1"/>
  <c r="IQ334" i="56"/>
  <c r="IR334" i="56"/>
  <c r="IP199" i="56"/>
  <c r="FL199" i="56"/>
  <c r="FM199" i="56" s="1"/>
  <c r="FO199" i="56" s="1" a="1"/>
  <c r="FO199" i="56" s="1"/>
  <c r="FF199" i="56"/>
  <c r="FB199" i="56"/>
  <c r="DC199" i="56"/>
  <c r="CK199" i="56"/>
  <c r="CW199" i="56" s="1"/>
  <c r="GF159" i="56"/>
  <c r="FD9" i="56"/>
  <c r="M9" i="56" s="1"/>
  <c r="FE9" i="56" s="1"/>
  <c r="FF9" i="56" s="1"/>
  <c r="FP81" i="56"/>
  <c r="FS81" i="56"/>
  <c r="T163" i="56"/>
  <c r="GC163" i="56"/>
  <c r="EI51" i="56"/>
  <c r="S51" i="56" s="1"/>
  <c r="HK53" i="56" a="1"/>
  <c r="HK53" i="56" s="1"/>
  <c r="HL53" i="56" s="1"/>
  <c r="HQ53" i="56" a="1"/>
  <c r="HQ53" i="56" s="1"/>
  <c r="HR53" i="56" s="1"/>
  <c r="HO53" i="56" a="1"/>
  <c r="HO53" i="56" s="1"/>
  <c r="HP53" i="56" s="1"/>
  <c r="HG53" i="56" a="1"/>
  <c r="HG53" i="56" s="1"/>
  <c r="HH53" i="56" s="1"/>
  <c r="HI53" i="56" a="1"/>
  <c r="HI53" i="56" s="1"/>
  <c r="HJ53" i="56" s="1"/>
  <c r="HM53" i="56" a="1"/>
  <c r="HM53" i="56" s="1"/>
  <c r="HN53" i="56" s="1"/>
  <c r="GN342" i="56"/>
  <c r="IK342" i="56" s="1"/>
  <c r="GO342" i="56"/>
  <c r="GO26" i="56"/>
  <c r="GN26" i="56"/>
  <c r="IK26" i="56" s="1"/>
  <c r="GM27" i="56"/>
  <c r="FS235" i="56"/>
  <c r="FP235" i="56"/>
  <c r="EI257" i="56"/>
  <c r="S257" i="56" s="1"/>
  <c r="S18" i="56"/>
  <c r="EI114" i="56"/>
  <c r="CW13" i="56"/>
  <c r="DA13" i="56" s="1"/>
  <c r="IR13" i="56"/>
  <c r="DF13" i="56"/>
  <c r="DG13" i="56" s="1"/>
  <c r="EI116" i="56"/>
  <c r="GF10" i="56"/>
  <c r="DU196" i="56"/>
  <c r="P196" i="56" a="1"/>
  <c r="P196" i="56" s="1"/>
  <c r="EF196" i="56" s="1"/>
  <c r="EG196" i="56" s="1"/>
  <c r="GF31" i="56"/>
  <c r="FS185" i="56"/>
  <c r="FP185" i="56"/>
  <c r="HM26" i="56" a="1"/>
  <c r="HM26" i="56" s="1"/>
  <c r="HN26" i="56" s="1"/>
  <c r="HQ26" i="56" a="1"/>
  <c r="HQ26" i="56" s="1"/>
  <c r="HR26" i="56" s="1"/>
  <c r="HO26" i="56" a="1"/>
  <c r="HO26" i="56" s="1"/>
  <c r="HP26" i="56" s="1"/>
  <c r="HG26" i="56" a="1"/>
  <c r="HG26" i="56" s="1"/>
  <c r="HH26" i="56" s="1"/>
  <c r="HK26" i="56" a="1"/>
  <c r="HK26" i="56" s="1"/>
  <c r="HL26" i="56" s="1"/>
  <c r="HI26" i="56" a="1"/>
  <c r="HI26" i="56" s="1"/>
  <c r="HJ26" i="56" s="1"/>
  <c r="GF78" i="56"/>
  <c r="GF222" i="56"/>
  <c r="GF208" i="56"/>
  <c r="EI244" i="56"/>
  <c r="IP291" i="56"/>
  <c r="FF291" i="56"/>
  <c r="FB291" i="56"/>
  <c r="FL291" i="56"/>
  <c r="FM291" i="56" s="1"/>
  <c r="FO291" i="56" s="1" a="1"/>
  <c r="FO291" i="56" s="1"/>
  <c r="DC291" i="56"/>
  <c r="ET196" i="56"/>
  <c r="ES196" i="56"/>
  <c r="EW196" i="56"/>
  <c r="EV196" i="56"/>
  <c r="EZ196" i="56"/>
  <c r="EU196" i="56"/>
  <c r="EY196" i="56"/>
  <c r="EX196" i="56"/>
  <c r="FA196" i="56"/>
  <c r="GD185" i="56"/>
  <c r="GE185" i="56" s="1"/>
  <c r="DB344" i="56" a="1"/>
  <c r="DB344" i="56" s="1"/>
  <c r="DE344" i="56"/>
  <c r="GY344" i="56" s="1"/>
  <c r="GF211" i="56"/>
  <c r="T257" i="56"/>
  <c r="GC257" i="56"/>
  <c r="EV328" i="56"/>
  <c r="BY6" i="56" a="1"/>
  <c r="BY6" i="56" s="1"/>
  <c r="DU6" i="56" s="1"/>
  <c r="BL6" i="56"/>
  <c r="BY166" i="56" a="1"/>
  <c r="BY166" i="56" s="1"/>
  <c r="DU166" i="56" s="1"/>
  <c r="BL166" i="56"/>
  <c r="CQ310" i="56" a="1"/>
  <c r="CQ310" i="56" s="1"/>
  <c r="CP310" i="56" a="1"/>
  <c r="CP310" i="56" s="1"/>
  <c r="CO310" i="56" a="1"/>
  <c r="CO310" i="56" s="1"/>
  <c r="CR310" i="56"/>
  <c r="DU136" i="56"/>
  <c r="FA136" i="56"/>
  <c r="CQ344" i="56" a="1"/>
  <c r="CQ344" i="56" s="1"/>
  <c r="CP344" i="56" a="1"/>
  <c r="CP344" i="56" s="1"/>
  <c r="CO344" i="56" a="1"/>
  <c r="CO344" i="56" s="1"/>
  <c r="CR344" i="56"/>
  <c r="DH344" i="56" s="1"/>
  <c r="HK325" i="56" a="1"/>
  <c r="HK325" i="56" s="1"/>
  <c r="HL325" i="56" s="1"/>
  <c r="HO325" i="56" a="1"/>
  <c r="HO325" i="56" s="1"/>
  <c r="HP325" i="56" s="1"/>
  <c r="HG325" i="56" a="1"/>
  <c r="HG325" i="56" s="1"/>
  <c r="HH325" i="56" s="1"/>
  <c r="HM325" i="56" a="1"/>
  <c r="HM325" i="56" s="1"/>
  <c r="HN325" i="56" s="1"/>
  <c r="HQ325" i="56" a="1"/>
  <c r="HQ325" i="56" s="1"/>
  <c r="HR325" i="56" s="1"/>
  <c r="HI325" i="56" a="1"/>
  <c r="HI325" i="56" s="1"/>
  <c r="HJ325" i="56" s="1"/>
  <c r="DU110" i="56"/>
  <c r="P110" i="56" a="1"/>
  <c r="P110" i="56" s="1"/>
  <c r="EY42" i="56"/>
  <c r="ET42" i="56"/>
  <c r="EX42" i="56"/>
  <c r="EW42" i="56"/>
  <c r="EZ42" i="56"/>
  <c r="ES42" i="56"/>
  <c r="EU42" i="56"/>
  <c r="EV42" i="56"/>
  <c r="FY159" i="56"/>
  <c r="FB159" i="56"/>
  <c r="P159" i="56" a="1"/>
  <c r="P159" i="56" s="1"/>
  <c r="EF159" i="56" s="1"/>
  <c r="EG159" i="56" s="1"/>
  <c r="GF189" i="56"/>
  <c r="GF109" i="56"/>
  <c r="GF126" i="56"/>
  <c r="S194" i="56"/>
  <c r="IP75" i="56"/>
  <c r="FL75" i="56"/>
  <c r="FM75" i="56" s="1"/>
  <c r="FO75" i="56" s="1" a="1"/>
  <c r="FO75" i="56" s="1"/>
  <c r="FB75" i="56"/>
  <c r="DC75" i="56"/>
  <c r="CK75" i="56"/>
  <c r="DF75" i="56" s="1"/>
  <c r="DG75" i="56" s="1"/>
  <c r="GF128" i="56"/>
  <c r="IP115" i="56"/>
  <c r="IQ115" i="56"/>
  <c r="FL115" i="56"/>
  <c r="FM115" i="56" s="1"/>
  <c r="FO115" i="56" s="1" a="1"/>
  <c r="FO115" i="56" s="1"/>
  <c r="FB115" i="56"/>
  <c r="DC115" i="56"/>
  <c r="DF115" i="56"/>
  <c r="DG115" i="56" s="1"/>
  <c r="FS169" i="56"/>
  <c r="FP169" i="56"/>
  <c r="GF42" i="56"/>
  <c r="HV33" i="56"/>
  <c r="IP147" i="56"/>
  <c r="FL147" i="56"/>
  <c r="FM147" i="56" s="1"/>
  <c r="FO147" i="56" s="1" a="1"/>
  <c r="FO147" i="56" s="1"/>
  <c r="FF147" i="56"/>
  <c r="FB147" i="56"/>
  <c r="DC147" i="56"/>
  <c r="CK147" i="56"/>
  <c r="IQ147" i="56" s="1"/>
  <c r="FS249" i="56"/>
  <c r="FP249" i="56"/>
  <c r="FS12" i="56"/>
  <c r="FP12" i="56"/>
  <c r="BY17" i="55" s="1" a="1"/>
  <c r="BY17" i="55" s="1"/>
  <c r="FS41" i="56"/>
  <c r="FP41" i="56"/>
  <c r="IP150" i="56"/>
  <c r="FL150" i="56"/>
  <c r="FM150" i="56" s="1"/>
  <c r="FO150" i="56" s="1" a="1"/>
  <c r="FO150" i="56" s="1"/>
  <c r="FB150" i="56"/>
  <c r="DC150" i="56"/>
  <c r="DI150" i="56"/>
  <c r="DH150" i="56"/>
  <c r="IP310" i="56"/>
  <c r="FL310" i="56"/>
  <c r="FM310" i="56" s="1"/>
  <c r="FO310" i="56" s="1" a="1"/>
  <c r="FO310" i="56" s="1"/>
  <c r="FF310" i="56"/>
  <c r="FB310" i="56"/>
  <c r="DC310" i="56"/>
  <c r="DH310" i="56"/>
  <c r="EI101" i="56"/>
  <c r="EI309" i="56"/>
  <c r="S309" i="56" s="1"/>
  <c r="GF63" i="56"/>
  <c r="GF335" i="56"/>
  <c r="EI278" i="56"/>
  <c r="S278" i="56" s="1"/>
  <c r="IP57" i="56"/>
  <c r="FB57" i="56"/>
  <c r="DC57" i="56"/>
  <c r="FL57" i="56"/>
  <c r="FM57" i="56" s="1"/>
  <c r="FO57" i="56" s="1" a="1"/>
  <c r="FO57" i="56" s="1"/>
  <c r="EI232" i="56"/>
  <c r="S232" i="56" s="1"/>
  <c r="EI57" i="56"/>
  <c r="S57" i="56" s="1"/>
  <c r="EI202" i="56"/>
  <c r="FH182" i="56"/>
  <c r="FG182" i="56" a="1"/>
  <c r="FG182" i="56" s="1"/>
  <c r="FY94" i="56"/>
  <c r="P94" i="56" a="1"/>
  <c r="P94" i="56" s="1"/>
  <c r="DI94" i="56" s="1"/>
  <c r="BL24" i="56"/>
  <c r="P24" i="56" a="1"/>
  <c r="P24" i="56" s="1"/>
  <c r="BY24" i="56" a="1"/>
  <c r="BY24" i="56" s="1"/>
  <c r="DU24" i="56" s="1"/>
  <c r="DU185" i="56"/>
  <c r="P185" i="56" a="1"/>
  <c r="P185" i="56" s="1"/>
  <c r="CQ7" i="56" a="1"/>
  <c r="CQ7" i="56" s="1"/>
  <c r="CO7" i="56" a="1"/>
  <c r="CO7" i="56" s="1"/>
  <c r="CP7" i="56" a="1"/>
  <c r="CP7" i="56" s="1"/>
  <c r="CR7" i="56"/>
  <c r="DH7" i="56" s="1"/>
  <c r="BY55" i="56" a="1"/>
  <c r="BY55" i="56" s="1"/>
  <c r="DU55" i="56" s="1"/>
  <c r="BL55" i="56"/>
  <c r="EY282" i="56"/>
  <c r="EV282" i="56"/>
  <c r="EZ282" i="56"/>
  <c r="ET282" i="56"/>
  <c r="EX282" i="56"/>
  <c r="ES282" i="56"/>
  <c r="ER282" i="56"/>
  <c r="EU282" i="56"/>
  <c r="EW282" i="56"/>
  <c r="BY282" i="56" a="1"/>
  <c r="BY282" i="56" s="1"/>
  <c r="FA282" i="56" s="1"/>
  <c r="EV155" i="56"/>
  <c r="EZ155" i="56"/>
  <c r="EU155" i="56"/>
  <c r="ET155" i="56"/>
  <c r="EX155" i="56"/>
  <c r="EW155" i="56"/>
  <c r="EY155" i="56"/>
  <c r="ES155" i="56"/>
  <c r="BY155" i="56" a="1"/>
  <c r="BY155" i="56" s="1"/>
  <c r="GF285" i="56"/>
  <c r="S193" i="56"/>
  <c r="GF286" i="56"/>
  <c r="EI274" i="56"/>
  <c r="IP94" i="56"/>
  <c r="FF94" i="56"/>
  <c r="FL94" i="56"/>
  <c r="FM94" i="56" s="1"/>
  <c r="FO94" i="56" s="1" a="1"/>
  <c r="FO94" i="56" s="1"/>
  <c r="FB94" i="56"/>
  <c r="DC94" i="56"/>
  <c r="S196" i="56"/>
  <c r="FS299" i="56"/>
  <c r="FP299" i="56"/>
  <c r="CW209" i="56"/>
  <c r="GF67" i="56"/>
  <c r="FS88" i="56"/>
  <c r="FP88" i="56"/>
  <c r="HV41" i="56"/>
  <c r="FS65" i="56"/>
  <c r="FP65" i="56"/>
  <c r="FS119" i="56"/>
  <c r="FP119" i="56"/>
  <c r="IP97" i="56"/>
  <c r="FL97" i="56"/>
  <c r="FM97" i="56" s="1"/>
  <c r="FO97" i="56" s="1" a="1"/>
  <c r="FO97" i="56" s="1"/>
  <c r="FF97" i="56"/>
  <c r="FB97" i="56"/>
  <c r="DC97" i="56"/>
  <c r="IP22" i="56"/>
  <c r="FD22" i="56"/>
  <c r="M22" i="56" s="1"/>
  <c r="FE22" i="56" s="1"/>
  <c r="FF22" i="56" s="1"/>
  <c r="FB22" i="56"/>
  <c r="FL22" i="56"/>
  <c r="FM22" i="56" s="1"/>
  <c r="FO22" i="56" s="1" a="1"/>
  <c r="FO22" i="56" s="1"/>
  <c r="DC22" i="56"/>
  <c r="DH22" i="56"/>
  <c r="EI245" i="56"/>
  <c r="S245" i="56" s="1"/>
  <c r="CR238" i="56"/>
  <c r="DH238" i="56" s="1"/>
  <c r="CQ238" i="56" a="1"/>
  <c r="CQ238" i="56" s="1"/>
  <c r="CO238" i="56" a="1"/>
  <c r="CO238" i="56" s="1"/>
  <c r="CP238" i="56" a="1"/>
  <c r="CP238" i="56" s="1"/>
  <c r="CR318" i="56"/>
  <c r="DH318" i="56" s="1"/>
  <c r="CO318" i="56" a="1"/>
  <c r="CO318" i="56" s="1"/>
  <c r="CQ318" i="56" a="1"/>
  <c r="CQ318" i="56" s="1"/>
  <c r="CP318" i="56" a="1"/>
  <c r="CP318" i="56" s="1"/>
  <c r="FH350" i="56"/>
  <c r="FG350" i="56" a="1"/>
  <c r="FG350" i="56" s="1"/>
  <c r="BY350" i="56" a="1"/>
  <c r="BY350" i="56" s="1"/>
  <c r="DU350" i="56" s="1"/>
  <c r="FH239" i="56"/>
  <c r="FG239" i="56" a="1"/>
  <c r="FG239" i="56" s="1"/>
  <c r="BY239" i="56" a="1"/>
  <c r="BY239" i="56" s="1"/>
  <c r="FA239" i="56" s="1"/>
  <c r="CO287" i="56" a="1"/>
  <c r="CO287" i="56" s="1"/>
  <c r="CR287" i="56"/>
  <c r="DH287" i="56" s="1"/>
  <c r="CQ287" i="56" a="1"/>
  <c r="CQ287" i="56" s="1"/>
  <c r="CP287" i="56" a="1"/>
  <c r="CP287" i="56" s="1"/>
  <c r="HV46" i="56"/>
  <c r="FS124" i="56"/>
  <c r="FP124" i="56"/>
  <c r="GF162" i="56"/>
  <c r="GF99" i="56"/>
  <c r="IP129" i="56"/>
  <c r="GG129" i="56"/>
  <c r="FL129" i="56"/>
  <c r="FM129" i="56" s="1"/>
  <c r="FO129" i="56" s="1" a="1"/>
  <c r="FO129" i="56" s="1"/>
  <c r="FB129" i="56"/>
  <c r="DC129" i="56"/>
  <c r="CK129" i="56"/>
  <c r="IQ129" i="56" s="1"/>
  <c r="DF129" i="56"/>
  <c r="DG129" i="56" s="1"/>
  <c r="IP273" i="56"/>
  <c r="FL273" i="56"/>
  <c r="FM273" i="56" s="1"/>
  <c r="FO273" i="56" s="1" a="1"/>
  <c r="FO273" i="56" s="1"/>
  <c r="FB273" i="56"/>
  <c r="DC273" i="56"/>
  <c r="DU212" i="56"/>
  <c r="FA212" i="56"/>
  <c r="FP280" i="56"/>
  <c r="FS280" i="56"/>
  <c r="EI83" i="56"/>
  <c r="S83" i="56" s="1"/>
  <c r="EI275" i="56"/>
  <c r="S275" i="56" s="1"/>
  <c r="HK341" i="56" a="1"/>
  <c r="HK341" i="56" s="1"/>
  <c r="HL341" i="56" s="1"/>
  <c r="HO341" i="56" a="1"/>
  <c r="HO341" i="56" s="1"/>
  <c r="HP341" i="56" s="1"/>
  <c r="HQ341" i="56" a="1"/>
  <c r="HQ341" i="56" s="1"/>
  <c r="HR341" i="56" s="1"/>
  <c r="HG341" i="56" a="1"/>
  <c r="HG341" i="56" s="1"/>
  <c r="HH341" i="56" s="1"/>
  <c r="HM341" i="56" a="1"/>
  <c r="HM341" i="56" s="1"/>
  <c r="HN341" i="56" s="1"/>
  <c r="HI341" i="56" a="1"/>
  <c r="HI341" i="56" s="1"/>
  <c r="HJ341" i="56" s="1"/>
  <c r="EW75" i="56"/>
  <c r="ES75" i="56"/>
  <c r="EZ75" i="56"/>
  <c r="ER75" i="56"/>
  <c r="EV75" i="56" s="1"/>
  <c r="ET75" i="56"/>
  <c r="EX75" i="56"/>
  <c r="EY75" i="56"/>
  <c r="EU75" i="56"/>
  <c r="DF4" i="56"/>
  <c r="DG4" i="56" s="1"/>
  <c r="IQ4" i="56"/>
  <c r="IR4" i="56"/>
  <c r="GN102" i="56"/>
  <c r="IK102" i="56" s="1"/>
  <c r="GO102" i="56"/>
  <c r="GM103" i="56"/>
  <c r="HO283" i="56" a="1"/>
  <c r="HO283" i="56" s="1"/>
  <c r="HP283" i="56" s="1"/>
  <c r="HQ283" i="56" a="1"/>
  <c r="HQ283" i="56" s="1"/>
  <c r="HR283" i="56" s="1"/>
  <c r="HM283" i="56" a="1"/>
  <c r="HM283" i="56" s="1"/>
  <c r="HN283" i="56" s="1"/>
  <c r="HG283" i="56" a="1"/>
  <c r="HG283" i="56" s="1"/>
  <c r="HH283" i="56" s="1"/>
  <c r="HI283" i="56" a="1"/>
  <c r="HI283" i="56" s="1"/>
  <c r="HJ283" i="56" s="1"/>
  <c r="HK283" i="56" a="1"/>
  <c r="HK283" i="56" s="1"/>
  <c r="HL283" i="56" s="1"/>
  <c r="GO325" i="56"/>
  <c r="GN325" i="56"/>
  <c r="IK325" i="56" s="1"/>
  <c r="FP8" i="56"/>
  <c r="BY13" i="55" s="1" a="1"/>
  <c r="BY13" i="55" s="1"/>
  <c r="FS8" i="56"/>
  <c r="FS264" i="56"/>
  <c r="FP264" i="56"/>
  <c r="FS140" i="56"/>
  <c r="FP140" i="56"/>
  <c r="FP232" i="56"/>
  <c r="FS232" i="56"/>
  <c r="GF125" i="56"/>
  <c r="GF317" i="56"/>
  <c r="GF142" i="56"/>
  <c r="EI66" i="56"/>
  <c r="S66" i="56" s="1"/>
  <c r="EJ130" i="56"/>
  <c r="FX130" i="56" s="1"/>
  <c r="EI210" i="56"/>
  <c r="S210" i="56" s="1"/>
  <c r="EI338" i="56"/>
  <c r="S338" i="56" s="1"/>
  <c r="IP221" i="56"/>
  <c r="FF221" i="56"/>
  <c r="FB221" i="56"/>
  <c r="FL221" i="56"/>
  <c r="FM221" i="56" s="1"/>
  <c r="FO221" i="56" s="1" a="1"/>
  <c r="FO221" i="56" s="1"/>
  <c r="DC221" i="56"/>
  <c r="CK221" i="56"/>
  <c r="GF144" i="56"/>
  <c r="IP146" i="56"/>
  <c r="FL146" i="56"/>
  <c r="FM146" i="56" s="1"/>
  <c r="FO146" i="56" s="1" a="1"/>
  <c r="FO146" i="56" s="1"/>
  <c r="FB146" i="56"/>
  <c r="DC146" i="56"/>
  <c r="DH146" i="56"/>
  <c r="IP306" i="56"/>
  <c r="FF306" i="56"/>
  <c r="FL306" i="56"/>
  <c r="FM306" i="56" s="1"/>
  <c r="FO306" i="56" s="1" a="1"/>
  <c r="FO306" i="56" s="1"/>
  <c r="FB306" i="56"/>
  <c r="DC306" i="56"/>
  <c r="GF58" i="56"/>
  <c r="IP307" i="56"/>
  <c r="FF307" i="56"/>
  <c r="FL307" i="56"/>
  <c r="FM307" i="56" s="1"/>
  <c r="FO307" i="56" s="1" a="1"/>
  <c r="FO307" i="56" s="1"/>
  <c r="FB307" i="56"/>
  <c r="DC307" i="56"/>
  <c r="CQ175" i="56" a="1"/>
  <c r="CQ175" i="56" s="1"/>
  <c r="CR175" i="56"/>
  <c r="DH175" i="56" s="1"/>
  <c r="CP175" i="56" a="1"/>
  <c r="CP175" i="56" s="1"/>
  <c r="CO175" i="56" a="1"/>
  <c r="CO175" i="56" s="1"/>
  <c r="IP212" i="56"/>
  <c r="FB212" i="56"/>
  <c r="FF212" i="56"/>
  <c r="FL212" i="56"/>
  <c r="FM212" i="56" s="1"/>
  <c r="FO212" i="56" s="1" a="1"/>
  <c r="FO212" i="56" s="1"/>
  <c r="DC212" i="56"/>
  <c r="GF60" i="56"/>
  <c r="FS252" i="56"/>
  <c r="FP252" i="56"/>
  <c r="IP246" i="56"/>
  <c r="FL246" i="56"/>
  <c r="FM246" i="56" s="1"/>
  <c r="FO246" i="56" s="1" a="1"/>
  <c r="FO246" i="56" s="1"/>
  <c r="FB246" i="56"/>
  <c r="DC246" i="56"/>
  <c r="GF206" i="56"/>
  <c r="S101" i="56"/>
  <c r="IP327" i="56"/>
  <c r="FL327" i="56"/>
  <c r="FM327" i="56" s="1"/>
  <c r="FO327" i="56" s="1" a="1"/>
  <c r="FO327" i="56" s="1"/>
  <c r="FF327" i="56"/>
  <c r="FB327" i="56"/>
  <c r="DC327" i="56"/>
  <c r="GD327" i="56"/>
  <c r="GE327" i="56" s="1"/>
  <c r="GF79" i="56"/>
  <c r="EI70" i="56"/>
  <c r="S134" i="56"/>
  <c r="IP345" i="56"/>
  <c r="FF345" i="56"/>
  <c r="FB345" i="56"/>
  <c r="FL345" i="56"/>
  <c r="FM345" i="56" s="1"/>
  <c r="FO345" i="56" s="1" a="1"/>
  <c r="FO345" i="56" s="1"/>
  <c r="DC345" i="56"/>
  <c r="GF225" i="56"/>
  <c r="EI7" i="56"/>
  <c r="S7" i="56" s="1"/>
  <c r="CW247" i="56"/>
  <c r="EI73" i="56"/>
  <c r="EI233" i="56"/>
  <c r="S233" i="56" s="1"/>
  <c r="EI218" i="56"/>
  <c r="S218" i="56" s="1"/>
  <c r="EI15" i="56"/>
  <c r="EI112" i="56"/>
  <c r="EI288" i="56"/>
  <c r="FS45" i="56"/>
  <c r="FP45" i="56"/>
  <c r="FG329" i="56" a="1"/>
  <c r="FG329" i="56" s="1"/>
  <c r="FH329" i="56"/>
  <c r="BY329" i="56" a="1"/>
  <c r="BY329" i="56" s="1"/>
  <c r="FY167" i="56"/>
  <c r="FB167" i="56"/>
  <c r="CQ85" i="56" a="1"/>
  <c r="CQ85" i="56" s="1"/>
  <c r="CP85" i="56" a="1"/>
  <c r="CP85" i="56" s="1"/>
  <c r="CO85" i="56" a="1"/>
  <c r="CO85" i="56" s="1"/>
  <c r="CR85" i="56"/>
  <c r="DH85" i="56" s="1"/>
  <c r="CJ181" i="56"/>
  <c r="CK181" i="56" s="1"/>
  <c r="CP277" i="56" a="1"/>
  <c r="CP277" i="56" s="1"/>
  <c r="CO277" i="56" a="1"/>
  <c r="CO277" i="56" s="1"/>
  <c r="CQ277" i="56" a="1"/>
  <c r="CQ277" i="56" s="1"/>
  <c r="CR277" i="56"/>
  <c r="FH293" i="56"/>
  <c r="FG293" i="56" a="1"/>
  <c r="FG293" i="56" s="1"/>
  <c r="FI293" i="56" s="1"/>
  <c r="EZ104" i="56"/>
  <c r="EW104" i="56"/>
  <c r="EU104" i="56"/>
  <c r="EY104" i="56"/>
  <c r="ET104" i="56"/>
  <c r="EX104" i="56"/>
  <c r="ES104" i="56"/>
  <c r="ER104" i="56"/>
  <c r="EV104" i="56" s="1"/>
  <c r="BY104" i="56" a="1"/>
  <c r="BY104" i="56" s="1"/>
  <c r="BL214" i="56"/>
  <c r="BY214" i="56" a="1"/>
  <c r="BY214" i="56" s="1"/>
  <c r="DU214" i="56" s="1"/>
  <c r="CW205" i="56"/>
  <c r="IQ205" i="56"/>
  <c r="IR205" i="56"/>
  <c r="FG285" i="56" a="1"/>
  <c r="FG285" i="56" s="1"/>
  <c r="FH285" i="56"/>
  <c r="BY285" i="56" a="1"/>
  <c r="BY285" i="56" s="1"/>
  <c r="DU285" i="56" s="1"/>
  <c r="BL76" i="56"/>
  <c r="BY76" i="56" a="1"/>
  <c r="BY76" i="56" s="1"/>
  <c r="CK136" i="56"/>
  <c r="CW136" i="56" s="1"/>
  <c r="GF16" i="56"/>
  <c r="FD83" i="56"/>
  <c r="M83" i="56" s="1"/>
  <c r="FE83" i="56" s="1"/>
  <c r="FF83" i="56" s="1"/>
  <c r="CW300" i="56"/>
  <c r="DA300" i="56" s="1"/>
  <c r="IP349" i="56"/>
  <c r="FF349" i="56"/>
  <c r="FL349" i="56"/>
  <c r="FM349" i="56" s="1"/>
  <c r="FO349" i="56" s="1" a="1"/>
  <c r="FO349" i="56" s="1"/>
  <c r="FB349" i="56"/>
  <c r="DC349" i="56"/>
  <c r="GO88" i="56"/>
  <c r="GN88" i="56"/>
  <c r="IK88" i="56" s="1"/>
  <c r="GF141" i="56"/>
  <c r="GF302" i="56"/>
  <c r="IR157" i="56"/>
  <c r="DF157" i="56"/>
  <c r="DG157" i="56" s="1"/>
  <c r="IQ157" i="56"/>
  <c r="IP92" i="56"/>
  <c r="FL92" i="56"/>
  <c r="FM92" i="56" s="1"/>
  <c r="FO92" i="56" s="1" a="1"/>
  <c r="FO92" i="56" s="1"/>
  <c r="FB92" i="56"/>
  <c r="DC92" i="56"/>
  <c r="GD92" i="56"/>
  <c r="GE92" i="56" s="1"/>
  <c r="IP347" i="56"/>
  <c r="FF347" i="56"/>
  <c r="FL347" i="56"/>
  <c r="FM347" i="56" s="1"/>
  <c r="FO347" i="56" s="1" a="1"/>
  <c r="FO347" i="56" s="1"/>
  <c r="FB347" i="56"/>
  <c r="DC347" i="56"/>
  <c r="S132" i="56"/>
  <c r="CW145" i="56"/>
  <c r="IP67" i="56"/>
  <c r="FL67" i="56"/>
  <c r="FM67" i="56" s="1"/>
  <c r="FO67" i="56" s="1" a="1"/>
  <c r="FO67" i="56" s="1"/>
  <c r="FB67" i="56"/>
  <c r="DC67" i="56"/>
  <c r="CR303" i="56"/>
  <c r="CP303" i="56" a="1"/>
  <c r="CP303" i="56" s="1"/>
  <c r="CO303" i="56" a="1"/>
  <c r="CO303" i="56" s="1"/>
  <c r="CQ303" i="56" a="1"/>
  <c r="CQ303" i="56" s="1"/>
  <c r="IP52" i="56"/>
  <c r="GG52" i="56"/>
  <c r="FB52" i="56"/>
  <c r="FL52" i="56"/>
  <c r="FM52" i="56" s="1"/>
  <c r="FO52" i="56" s="1" a="1"/>
  <c r="FO52" i="56" s="1"/>
  <c r="DC52" i="56"/>
  <c r="IR308" i="56"/>
  <c r="IQ308" i="56"/>
  <c r="IP308" i="56"/>
  <c r="FB308" i="56"/>
  <c r="FF308" i="56"/>
  <c r="FL308" i="56"/>
  <c r="FM308" i="56" s="1"/>
  <c r="FO308" i="56" s="1" a="1"/>
  <c r="FO308" i="56" s="1"/>
  <c r="DC308" i="56"/>
  <c r="CK308" i="56"/>
  <c r="DF308" i="56" s="1"/>
  <c r="DG308" i="56" s="1"/>
  <c r="IR190" i="56"/>
  <c r="DF190" i="56"/>
  <c r="DG190" i="56" s="1"/>
  <c r="IQ190" i="56"/>
  <c r="FS142" i="56"/>
  <c r="FP142" i="56"/>
  <c r="IR302" i="56"/>
  <c r="IQ173" i="56"/>
  <c r="FS334" i="56"/>
  <c r="FP334" i="56"/>
  <c r="EI117" i="56"/>
  <c r="ET324" i="56"/>
  <c r="ES324" i="56"/>
  <c r="EW324" i="56"/>
  <c r="EZ324" i="56"/>
  <c r="ER324" i="56"/>
  <c r="EV324" i="56" s="1"/>
  <c r="EX324" i="56"/>
  <c r="EU324" i="56"/>
  <c r="EY324" i="56"/>
  <c r="BY324" i="56" a="1"/>
  <c r="BY324" i="56" s="1"/>
  <c r="FH14" i="56"/>
  <c r="FG14" i="56" a="1"/>
  <c r="FG14" i="56" s="1"/>
  <c r="CR126" i="56"/>
  <c r="CQ126" i="56" a="1"/>
  <c r="CQ126" i="56" s="1"/>
  <c r="CP126" i="56" a="1"/>
  <c r="CP126" i="56" s="1"/>
  <c r="CO126" i="56" a="1"/>
  <c r="CO126" i="56" s="1"/>
  <c r="GF223" i="56"/>
  <c r="EI282" i="56"/>
  <c r="S282" i="56" s="1"/>
  <c r="EI138" i="56"/>
  <c r="S138" i="56" s="1"/>
  <c r="EI314" i="56"/>
  <c r="S314" i="56" s="1"/>
  <c r="GD322" i="56"/>
  <c r="IQ322" i="56"/>
  <c r="IR322" i="56"/>
  <c r="CW31" i="56"/>
  <c r="DA31" i="56" s="1"/>
  <c r="IP160" i="56"/>
  <c r="FL160" i="56"/>
  <c r="FM160" i="56" s="1"/>
  <c r="FO160" i="56" s="1" a="1"/>
  <c r="FO160" i="56" s="1"/>
  <c r="FF160" i="56"/>
  <c r="FB160" i="56"/>
  <c r="DC160" i="56"/>
  <c r="CK160" i="56"/>
  <c r="CW160" i="56" s="1"/>
  <c r="DA160" i="56" s="1"/>
  <c r="EI32" i="56"/>
  <c r="FY222" i="56"/>
  <c r="FB222" i="56"/>
  <c r="BY252" i="56" a="1"/>
  <c r="BY252" i="56" s="1"/>
  <c r="DU252" i="56" s="1"/>
  <c r="BL252" i="56"/>
  <c r="ES311" i="56"/>
  <c r="FA311" i="56"/>
  <c r="EV311" i="56"/>
  <c r="EY311" i="56"/>
  <c r="EU311" i="56"/>
  <c r="ER311" i="56"/>
  <c r="EZ311" i="56"/>
  <c r="ET311" i="56"/>
  <c r="EX311" i="56"/>
  <c r="EW311" i="56"/>
  <c r="EZ120" i="56"/>
  <c r="EY120" i="56"/>
  <c r="ER120" i="56"/>
  <c r="EU120" i="56"/>
  <c r="ES120" i="56"/>
  <c r="EV120" i="56"/>
  <c r="EX120" i="56"/>
  <c r="ET120" i="56"/>
  <c r="EW120" i="56"/>
  <c r="BY120" i="56" a="1"/>
  <c r="BY120" i="56" s="1"/>
  <c r="DU120" i="56" s="1"/>
  <c r="FH38" i="56"/>
  <c r="FG38" i="56" a="1"/>
  <c r="FG38" i="56" s="1"/>
  <c r="BY150" i="56" a="1"/>
  <c r="BY150" i="56" s="1"/>
  <c r="DU150" i="56" s="1"/>
  <c r="P150" i="56" a="1"/>
  <c r="P150" i="56" s="1"/>
  <c r="BL150" i="56"/>
  <c r="IE314" i="56"/>
  <c r="HX314" i="56"/>
  <c r="EY218" i="56"/>
  <c r="EX218" i="56"/>
  <c r="EW218" i="56"/>
  <c r="EV218" i="56"/>
  <c r="ET218" i="56"/>
  <c r="EZ218" i="56"/>
  <c r="EU218" i="56"/>
  <c r="ES218" i="56"/>
  <c r="FG312" i="56" a="1"/>
  <c r="FG312" i="56" s="1"/>
  <c r="FH312" i="56"/>
  <c r="BY312" i="56" a="1"/>
  <c r="BY312" i="56" s="1"/>
  <c r="GC261" i="56"/>
  <c r="T261" i="56"/>
  <c r="T234" i="56"/>
  <c r="GC234" i="56"/>
  <c r="IP108" i="56"/>
  <c r="FL108" i="56"/>
  <c r="FM108" i="56" s="1"/>
  <c r="FO108" i="56" s="1" a="1"/>
  <c r="FO108" i="56" s="1"/>
  <c r="FB108" i="56"/>
  <c r="DC108" i="56"/>
  <c r="CK108" i="56"/>
  <c r="DF108" i="56" s="1"/>
  <c r="DG108" i="56" s="1"/>
  <c r="GF158" i="56"/>
  <c r="GF318" i="56"/>
  <c r="GF320" i="56"/>
  <c r="GF76" i="56"/>
  <c r="FS172" i="56"/>
  <c r="FP172" i="56"/>
  <c r="CJ47" i="56"/>
  <c r="IR173" i="56"/>
  <c r="CW132" i="56"/>
  <c r="CR14" i="56"/>
  <c r="DH14" i="56" s="1"/>
  <c r="CP14" i="56" a="1"/>
  <c r="CP14" i="56" s="1"/>
  <c r="CO14" i="56" a="1"/>
  <c r="CO14" i="56" s="1"/>
  <c r="CQ14" i="56" a="1"/>
  <c r="CQ14" i="56" s="1"/>
  <c r="EI294" i="56"/>
  <c r="S294" i="56" s="1"/>
  <c r="DF159" i="56"/>
  <c r="DG159" i="56" s="1"/>
  <c r="IR159" i="56"/>
  <c r="IQ159" i="56"/>
  <c r="CQ239" i="56" a="1"/>
  <c r="CQ239" i="56" s="1"/>
  <c r="CP239" i="56" a="1"/>
  <c r="CP239" i="56" s="1"/>
  <c r="CO239" i="56" a="1"/>
  <c r="CO239" i="56" s="1"/>
  <c r="CR239" i="56"/>
  <c r="IP282" i="56"/>
  <c r="FL282" i="56"/>
  <c r="FM282" i="56" s="1"/>
  <c r="FO282" i="56" s="1" a="1"/>
  <c r="FO282" i="56" s="1"/>
  <c r="FB282" i="56"/>
  <c r="DC282" i="56"/>
  <c r="CK282" i="56"/>
  <c r="IR282" i="56" s="1"/>
  <c r="DH282" i="56"/>
  <c r="IP73" i="56"/>
  <c r="FB73" i="56"/>
  <c r="FL73" i="56"/>
  <c r="FM73" i="56" s="1"/>
  <c r="FO73" i="56" s="1" a="1"/>
  <c r="FO73" i="56" s="1"/>
  <c r="DC73" i="56"/>
  <c r="EI329" i="56"/>
  <c r="S329" i="56" s="1"/>
  <c r="CW281" i="56"/>
  <c r="FY248" i="56"/>
  <c r="BL280" i="56"/>
  <c r="E280" i="56" s="1"/>
  <c r="BM280" i="56" s="1"/>
  <c r="BN280" i="56" s="1"/>
  <c r="BY280" i="56" a="1"/>
  <c r="BY280" i="56" s="1"/>
  <c r="DU280" i="56" s="1"/>
  <c r="CR165" i="56"/>
  <c r="DH165" i="56" s="1"/>
  <c r="CQ165" i="56" a="1"/>
  <c r="CQ165" i="56" s="1"/>
  <c r="CP165" i="56" a="1"/>
  <c r="CP165" i="56" s="1"/>
  <c r="CO165" i="56" a="1"/>
  <c r="CO165" i="56" s="1"/>
  <c r="IG236" i="56"/>
  <c r="HZ236" i="56"/>
  <c r="IP320" i="56"/>
  <c r="FL320" i="56"/>
  <c r="FM320" i="56" s="1"/>
  <c r="FO320" i="56" s="1" a="1"/>
  <c r="FO320" i="56" s="1"/>
  <c r="FF320" i="56"/>
  <c r="FB320" i="56"/>
  <c r="DC320" i="56"/>
  <c r="GD320" i="56"/>
  <c r="GE320" i="56" s="1"/>
  <c r="GD323" i="56"/>
  <c r="GE323" i="56" s="1"/>
  <c r="T164" i="56"/>
  <c r="GC164" i="56"/>
  <c r="CO6" i="56" a="1"/>
  <c r="CO6" i="56" s="1"/>
  <c r="CP6" i="56" a="1"/>
  <c r="CP6" i="56" s="1"/>
  <c r="CR6" i="56"/>
  <c r="DH6" i="56" s="1"/>
  <c r="CQ6" i="56" a="1"/>
  <c r="CQ6" i="56" s="1"/>
  <c r="CW14" i="56"/>
  <c r="DA14" i="56" s="1"/>
  <c r="FH199" i="56"/>
  <c r="FG199" i="56" a="1"/>
  <c r="FG199" i="56" s="1"/>
  <c r="DU91" i="56"/>
  <c r="EF91" i="56" s="1"/>
  <c r="EG91" i="56" s="1"/>
  <c r="EJ91" i="56" s="1"/>
  <c r="P91" i="56" a="1"/>
  <c r="P91" i="56" s="1"/>
  <c r="FH201" i="56"/>
  <c r="FG201" i="56" a="1"/>
  <c r="FG201" i="56" s="1"/>
  <c r="BY201" i="56" a="1"/>
  <c r="BY201" i="56" s="1"/>
  <c r="FS13" i="56"/>
  <c r="FP13" i="56"/>
  <c r="BY18" i="55" s="1" a="1"/>
  <c r="BY18" i="55" s="1"/>
  <c r="FP31" i="56"/>
  <c r="FS31" i="56"/>
  <c r="IP126" i="56"/>
  <c r="FL126" i="56"/>
  <c r="FM126" i="56" s="1"/>
  <c r="FO126" i="56" s="1" a="1"/>
  <c r="FO126" i="56" s="1"/>
  <c r="FB126" i="56"/>
  <c r="DC126" i="56"/>
  <c r="DH126" i="56"/>
  <c r="CK126" i="56"/>
  <c r="DF126" i="56" s="1"/>
  <c r="DG126" i="56" s="1"/>
  <c r="GF13" i="56"/>
  <c r="GF173" i="56"/>
  <c r="S209" i="56"/>
  <c r="GF30" i="56"/>
  <c r="IP93" i="56"/>
  <c r="FF93" i="56"/>
  <c r="FL93" i="56"/>
  <c r="FM93" i="56" s="1"/>
  <c r="FO93" i="56" s="1" a="1"/>
  <c r="FO93" i="56" s="1"/>
  <c r="FB93" i="56"/>
  <c r="DC93" i="56"/>
  <c r="CK93" i="56"/>
  <c r="GD93" i="56"/>
  <c r="GE93" i="56" s="1"/>
  <c r="S68" i="56"/>
  <c r="FP9" i="56"/>
  <c r="BY14" i="55" s="1" a="1"/>
  <c r="BY14" i="55" s="1"/>
  <c r="FS9" i="56"/>
  <c r="IP163" i="56"/>
  <c r="FL163" i="56"/>
  <c r="FM163" i="56" s="1"/>
  <c r="FO163" i="56" s="1" a="1"/>
  <c r="FO163" i="56" s="1"/>
  <c r="FB163" i="56"/>
  <c r="FF163" i="56"/>
  <c r="DC163" i="56"/>
  <c r="FB11" i="56"/>
  <c r="IR148" i="56"/>
  <c r="IQ148" i="56"/>
  <c r="IP148" i="56"/>
  <c r="FB148" i="56"/>
  <c r="FL148" i="56"/>
  <c r="FM148" i="56" s="1"/>
  <c r="FO148" i="56" s="1" a="1"/>
  <c r="FO148" i="56" s="1"/>
  <c r="DC148" i="56"/>
  <c r="DF148" i="56"/>
  <c r="DG148" i="56" s="1"/>
  <c r="CK148" i="56"/>
  <c r="IQ12" i="56"/>
  <c r="IP54" i="56"/>
  <c r="FL54" i="56"/>
  <c r="FM54" i="56" s="1"/>
  <c r="FO54" i="56" s="1" a="1"/>
  <c r="FO54" i="56" s="1"/>
  <c r="FB54" i="56"/>
  <c r="DC54" i="56"/>
  <c r="DH54" i="56"/>
  <c r="IP182" i="56"/>
  <c r="FL182" i="56"/>
  <c r="FM182" i="56" s="1"/>
  <c r="FO182" i="56" s="1" a="1"/>
  <c r="FO182" i="56" s="1"/>
  <c r="FB182" i="56"/>
  <c r="FF182" i="56"/>
  <c r="DC182" i="56"/>
  <c r="IP262" i="56"/>
  <c r="FL262" i="56"/>
  <c r="FM262" i="56" s="1"/>
  <c r="FO262" i="56" s="1" a="1"/>
  <c r="FO262" i="56" s="1"/>
  <c r="FB262" i="56"/>
  <c r="DC262" i="56"/>
  <c r="CK262" i="56"/>
  <c r="IQ262" i="56" s="1"/>
  <c r="S181" i="56"/>
  <c r="HM88" i="56" a="1"/>
  <c r="HM88" i="56" s="1"/>
  <c r="HN88" i="56" s="1"/>
  <c r="HO88" i="56" a="1"/>
  <c r="HO88" i="56" s="1"/>
  <c r="HP88" i="56" s="1"/>
  <c r="HG88" i="56" a="1"/>
  <c r="HG88" i="56" s="1"/>
  <c r="HH88" i="56" s="1"/>
  <c r="HQ88" i="56" a="1"/>
  <c r="HQ88" i="56" s="1"/>
  <c r="HR88" i="56" s="1"/>
  <c r="HK88" i="56" a="1"/>
  <c r="HK88" i="56" s="1"/>
  <c r="HL88" i="56" s="1"/>
  <c r="HI88" i="56" a="1"/>
  <c r="HI88" i="56" s="1"/>
  <c r="HJ88" i="56" s="1"/>
  <c r="FG46" i="56" a="1"/>
  <c r="FG46" i="56" s="1"/>
  <c r="FH46" i="56"/>
  <c r="BY46" i="56" a="1"/>
  <c r="BY46" i="56" s="1"/>
  <c r="P46" i="56" s="1" a="1"/>
  <c r="P46" i="56" s="1"/>
  <c r="FG158" i="56" a="1"/>
  <c r="FG158" i="56" s="1"/>
  <c r="FH158" i="56"/>
  <c r="BY158" i="56" a="1"/>
  <c r="BY158" i="56" s="1"/>
  <c r="P158" i="56" s="1" a="1"/>
  <c r="P158" i="56" s="1"/>
  <c r="GD345" i="56"/>
  <c r="GE345" i="56" s="1"/>
  <c r="CW177" i="56"/>
  <c r="DA177" i="56" s="1"/>
  <c r="IR46" i="56"/>
  <c r="EI264" i="56"/>
  <c r="S264" i="56" s="1"/>
  <c r="EI249" i="56"/>
  <c r="S249" i="56" s="1"/>
  <c r="EI345" i="56"/>
  <c r="GF147" i="56"/>
  <c r="CW225" i="56"/>
  <c r="IP289" i="56"/>
  <c r="FF289" i="56"/>
  <c r="FL289" i="56"/>
  <c r="FM289" i="56" s="1"/>
  <c r="FO289" i="56" s="1" a="1"/>
  <c r="FO289" i="56" s="1"/>
  <c r="FB289" i="56"/>
  <c r="DC289" i="56"/>
  <c r="CK289" i="56"/>
  <c r="DF289" i="56" s="1"/>
  <c r="DG289" i="56" s="1"/>
  <c r="FH143" i="56"/>
  <c r="FG143" i="56" a="1"/>
  <c r="FG143" i="56" s="1"/>
  <c r="BY143" i="56" a="1"/>
  <c r="BY143" i="56" s="1"/>
  <c r="FA143" i="56" s="1"/>
  <c r="GF121" i="56"/>
  <c r="CJ182" i="56"/>
  <c r="CK182" i="56" s="1"/>
  <c r="EI48" i="56"/>
  <c r="S48" i="56" s="1"/>
  <c r="EZ247" i="56"/>
  <c r="EU247" i="56"/>
  <c r="EY247" i="56"/>
  <c r="ET247" i="56"/>
  <c r="ES247" i="56"/>
  <c r="EX247" i="56"/>
  <c r="EW247" i="56"/>
  <c r="EV247" i="56"/>
  <c r="CW30" i="56"/>
  <c r="FD30" i="56"/>
  <c r="M30" i="56" s="1"/>
  <c r="FE30" i="56" s="1"/>
  <c r="FF30" i="56" s="1"/>
  <c r="FY299" i="56"/>
  <c r="P299" i="56" a="1"/>
  <c r="P299" i="56" s="1"/>
  <c r="EF299" i="56" s="1"/>
  <c r="EG299" i="56" s="1"/>
  <c r="BY198" i="56" a="1"/>
  <c r="BY198" i="56" s="1"/>
  <c r="BL198" i="56"/>
  <c r="P198" i="56" a="1"/>
  <c r="P198" i="56" s="1"/>
  <c r="DF205" i="56"/>
  <c r="DG205" i="56" s="1"/>
  <c r="IR135" i="56"/>
  <c r="IQ135" i="56"/>
  <c r="EI183" i="56"/>
  <c r="GH31" i="56"/>
  <c r="GI31" i="56" s="1"/>
  <c r="GJ31" i="56" s="1"/>
  <c r="GF349" i="56"/>
  <c r="S65" i="56"/>
  <c r="GF334" i="56"/>
  <c r="S146" i="56"/>
  <c r="EI290" i="56"/>
  <c r="S290" i="56" s="1"/>
  <c r="GF176" i="56"/>
  <c r="GF336" i="56"/>
  <c r="EI84" i="56"/>
  <c r="EI228" i="56"/>
  <c r="S228" i="56" s="1"/>
  <c r="FS62" i="56"/>
  <c r="FP62" i="56"/>
  <c r="IP162" i="56"/>
  <c r="FL162" i="56"/>
  <c r="FM162" i="56" s="1"/>
  <c r="FO162" i="56" s="1" a="1"/>
  <c r="FO162" i="56" s="1"/>
  <c r="FF162" i="56"/>
  <c r="FB162" i="56"/>
  <c r="DC162" i="56"/>
  <c r="GF90" i="56"/>
  <c r="FP40" i="56"/>
  <c r="FS40" i="56"/>
  <c r="IP324" i="56"/>
  <c r="FB324" i="56"/>
  <c r="FF324" i="56"/>
  <c r="FL324" i="56"/>
  <c r="FM324" i="56" s="1"/>
  <c r="FO324" i="56" s="1" a="1"/>
  <c r="FO324" i="56" s="1"/>
  <c r="DC324" i="56"/>
  <c r="GD324" i="56"/>
  <c r="GE324" i="56" s="1"/>
  <c r="GF92" i="56"/>
  <c r="IR41" i="56"/>
  <c r="EJ325" i="56"/>
  <c r="FX325" i="56" s="1"/>
  <c r="S325" i="56"/>
  <c r="CR46" i="56"/>
  <c r="DH46" i="56" s="1"/>
  <c r="CQ46" i="56" a="1"/>
  <c r="CQ46" i="56" s="1"/>
  <c r="CP46" i="56" a="1"/>
  <c r="CP46" i="56" s="1"/>
  <c r="CO46" i="56" a="1"/>
  <c r="CO46" i="56" s="1"/>
  <c r="IR78" i="56"/>
  <c r="IQ78" i="56"/>
  <c r="CR158" i="56"/>
  <c r="DH158" i="56" s="1"/>
  <c r="CP158" i="56" a="1"/>
  <c r="CP158" i="56" s="1"/>
  <c r="CQ158" i="56" a="1"/>
  <c r="CQ158" i="56" s="1"/>
  <c r="CO158" i="56" a="1"/>
  <c r="CO158" i="56" s="1"/>
  <c r="FG190" i="56" a="1"/>
  <c r="FG190" i="56" s="1"/>
  <c r="FH190" i="56"/>
  <c r="BY190" i="56" a="1"/>
  <c r="BY190" i="56" s="1"/>
  <c r="FH270" i="56"/>
  <c r="FG270" i="56" a="1"/>
  <c r="FG270" i="56" s="1"/>
  <c r="BY270" i="56" a="1"/>
  <c r="BY270" i="56" s="1"/>
  <c r="FA270" i="56" s="1"/>
  <c r="FD14" i="56"/>
  <c r="M14" i="56" s="1"/>
  <c r="FE14" i="56" s="1"/>
  <c r="FF14" i="56" s="1"/>
  <c r="IQ247" i="56"/>
  <c r="IP247" i="56"/>
  <c r="FL247" i="56"/>
  <c r="FM247" i="56" s="1"/>
  <c r="FO247" i="56" s="1" a="1"/>
  <c r="FO247" i="56" s="1"/>
  <c r="FB247" i="56"/>
  <c r="DC247" i="56"/>
  <c r="CK247" i="56"/>
  <c r="DF247" i="56" s="1"/>
  <c r="DG247" i="56" s="1"/>
  <c r="GF111" i="56"/>
  <c r="EI230" i="56"/>
  <c r="S230" i="56" s="1"/>
  <c r="EI310" i="56"/>
  <c r="FH15" i="56"/>
  <c r="FG15" i="56" a="1"/>
  <c r="FG15" i="56" s="1"/>
  <c r="FI15" i="56" s="1"/>
  <c r="CO191" i="56" a="1"/>
  <c r="CO191" i="56" s="1"/>
  <c r="CP191" i="56" a="1"/>
  <c r="CP191" i="56" s="1"/>
  <c r="CQ191" i="56" a="1"/>
  <c r="CQ191" i="56" s="1"/>
  <c r="CR191" i="56"/>
  <c r="DH191" i="56" s="1"/>
  <c r="IP337" i="56"/>
  <c r="FL337" i="56"/>
  <c r="FM337" i="56" s="1"/>
  <c r="FO337" i="56" s="1" a="1"/>
  <c r="FO337" i="56" s="1"/>
  <c r="FB337" i="56"/>
  <c r="DC337" i="56"/>
  <c r="IP201" i="56"/>
  <c r="IQ201" i="56"/>
  <c r="FF201" i="56"/>
  <c r="FB201" i="56"/>
  <c r="FL201" i="56"/>
  <c r="FM201" i="56" s="1"/>
  <c r="FO201" i="56" s="1" a="1"/>
  <c r="FO201" i="56" s="1"/>
  <c r="DC201" i="56"/>
  <c r="EI23" i="56"/>
  <c r="S23" i="56" s="1"/>
  <c r="IP298" i="56"/>
  <c r="FL298" i="56"/>
  <c r="FM298" i="56" s="1"/>
  <c r="FO298" i="56" s="1" a="1"/>
  <c r="FO298" i="56" s="1"/>
  <c r="FF298" i="56"/>
  <c r="FB298" i="56"/>
  <c r="DC298" i="56"/>
  <c r="DH298" i="56"/>
  <c r="CK298" i="56"/>
  <c r="DF298" i="56" s="1"/>
  <c r="DG298" i="56" s="1"/>
  <c r="CW280" i="56"/>
  <c r="EI154" i="56"/>
  <c r="S154" i="56" s="1"/>
  <c r="FG207" i="56" a="1"/>
  <c r="FG207" i="56" s="1"/>
  <c r="FH207" i="56"/>
  <c r="BY207" i="56" a="1"/>
  <c r="BY207" i="56" s="1"/>
  <c r="CW157" i="56"/>
  <c r="DA157" i="56" s="1"/>
  <c r="CR53" i="56"/>
  <c r="DH53" i="56" s="1"/>
  <c r="CO53" i="56" a="1"/>
  <c r="CO53" i="56" s="1"/>
  <c r="CP53" i="56" a="1"/>
  <c r="CP53" i="56" s="1"/>
  <c r="CQ53" i="56" a="1"/>
  <c r="CQ53" i="56" s="1"/>
  <c r="CO181" i="56" a="1"/>
  <c r="CO181" i="56" s="1"/>
  <c r="CP181" i="56" a="1"/>
  <c r="CP181" i="56" s="1"/>
  <c r="CR181" i="56"/>
  <c r="CQ181" i="56" a="1"/>
  <c r="CQ181" i="56" s="1"/>
  <c r="BL261" i="56"/>
  <c r="P261" i="56" a="1"/>
  <c r="P261" i="56" s="1"/>
  <c r="DI261" i="56" s="1"/>
  <c r="CQ293" i="56" a="1"/>
  <c r="CQ293" i="56" s="1"/>
  <c r="CP293" i="56" a="1"/>
  <c r="CP293" i="56" s="1"/>
  <c r="CR293" i="56"/>
  <c r="CO293" i="56" a="1"/>
  <c r="CO293" i="56" s="1"/>
  <c r="FS82" i="56"/>
  <c r="FP82" i="56"/>
  <c r="CR150" i="56"/>
  <c r="CQ150" i="56" a="1"/>
  <c r="CQ150" i="56" s="1"/>
  <c r="CO150" i="56" a="1"/>
  <c r="CO150" i="56" s="1"/>
  <c r="CP150" i="56" a="1"/>
  <c r="CP150" i="56" s="1"/>
  <c r="S307" i="56"/>
  <c r="EX233" i="56"/>
  <c r="EV233" i="56"/>
  <c r="ET233" i="56"/>
  <c r="EW233" i="56"/>
  <c r="EZ233" i="56"/>
  <c r="EU233" i="56"/>
  <c r="ES233" i="56"/>
  <c r="EY233" i="56"/>
  <c r="AX17" i="55"/>
  <c r="AY17" i="55" s="1" a="1"/>
  <c r="AY17" i="55" s="1"/>
  <c r="EY154" i="56"/>
  <c r="EZ154" i="56"/>
  <c r="FA154" i="56"/>
  <c r="ET154" i="56"/>
  <c r="ER154" i="56"/>
  <c r="EV154" i="56"/>
  <c r="EU154" i="56"/>
  <c r="ES154" i="56"/>
  <c r="EX154" i="56"/>
  <c r="EW154" i="56"/>
  <c r="GN331" i="56"/>
  <c r="IK331" i="56" s="1"/>
  <c r="GO331" i="56"/>
  <c r="GO4" i="56"/>
  <c r="GN4" i="56"/>
  <c r="IK4" i="56" s="1"/>
  <c r="FB200" i="56"/>
  <c r="GF29" i="56"/>
  <c r="EI17" i="56"/>
  <c r="EI81" i="56"/>
  <c r="EI225" i="56"/>
  <c r="S225" i="56" s="1"/>
  <c r="GF62" i="56"/>
  <c r="GF190" i="56"/>
  <c r="EI162" i="56"/>
  <c r="S162" i="56" s="1"/>
  <c r="S226" i="56"/>
  <c r="S148" i="56"/>
  <c r="EI292" i="56"/>
  <c r="FS87" i="56"/>
  <c r="FP87" i="56"/>
  <c r="GF106" i="56"/>
  <c r="CW137" i="56"/>
  <c r="FS170" i="56"/>
  <c r="FP170" i="56"/>
  <c r="IP19" i="56"/>
  <c r="FL19" i="56"/>
  <c r="FM19" i="56" s="1"/>
  <c r="FO19" i="56" s="1" a="1"/>
  <c r="FO19" i="56" s="1"/>
  <c r="DC19" i="56"/>
  <c r="CJ223" i="56"/>
  <c r="FS11" i="56"/>
  <c r="FP11" i="56"/>
  <c r="FP226" i="56"/>
  <c r="FS226" i="56"/>
  <c r="IP342" i="56"/>
  <c r="FF342" i="56"/>
  <c r="FL342" i="56"/>
  <c r="FM342" i="56" s="1"/>
  <c r="FO342" i="56" s="1" a="1"/>
  <c r="FO342" i="56" s="1"/>
  <c r="FB342" i="56"/>
  <c r="DC342" i="56"/>
  <c r="EI133" i="56"/>
  <c r="S133" i="56" s="1"/>
  <c r="S197" i="56"/>
  <c r="CJ142" i="56"/>
  <c r="CK142" i="56" s="1"/>
  <c r="CR190" i="56"/>
  <c r="DH190" i="56" s="1"/>
  <c r="CP190" i="56" a="1"/>
  <c r="CP190" i="56" s="1"/>
  <c r="CO190" i="56" a="1"/>
  <c r="CO190" i="56" s="1"/>
  <c r="CQ190" i="56" a="1"/>
  <c r="CQ190" i="56" s="1"/>
  <c r="FH222" i="56"/>
  <c r="FG222" i="56" a="1"/>
  <c r="FG222" i="56" s="1"/>
  <c r="FI222" i="56" s="1"/>
  <c r="BY222" i="56" a="1"/>
  <c r="BY222" i="56" s="1"/>
  <c r="DU222" i="56" s="1"/>
  <c r="CR270" i="56"/>
  <c r="DH270" i="56" s="1"/>
  <c r="CQ270" i="56" a="1"/>
  <c r="CQ270" i="56" s="1"/>
  <c r="CP270" i="56" a="1"/>
  <c r="CP270" i="56" s="1"/>
  <c r="CO270" i="56" a="1"/>
  <c r="CO270" i="56" s="1"/>
  <c r="FH302" i="56"/>
  <c r="FG302" i="56" a="1"/>
  <c r="FG302" i="56" s="1"/>
  <c r="BY302" i="56" a="1"/>
  <c r="BY302" i="56" s="1"/>
  <c r="FS44" i="56"/>
  <c r="FP44" i="56"/>
  <c r="IP183" i="56"/>
  <c r="FL183" i="56"/>
  <c r="FM183" i="56" s="1"/>
  <c r="FO183" i="56" s="1" a="1"/>
  <c r="FO183" i="56" s="1"/>
  <c r="FB183" i="56"/>
  <c r="FF183" i="56"/>
  <c r="DC183" i="56"/>
  <c r="IQ15" i="56"/>
  <c r="DF15" i="56"/>
  <c r="DG15" i="56" s="1"/>
  <c r="IR15" i="56"/>
  <c r="IQ177" i="56"/>
  <c r="IP177" i="56"/>
  <c r="FL177" i="56"/>
  <c r="FM177" i="56" s="1"/>
  <c r="FO177" i="56" s="1" a="1"/>
  <c r="FO177" i="56" s="1"/>
  <c r="FF177" i="56"/>
  <c r="FB177" i="56"/>
  <c r="DC177" i="56"/>
  <c r="CK177" i="56"/>
  <c r="IR177" i="56" s="1"/>
  <c r="DU260" i="56"/>
  <c r="FA260" i="56"/>
  <c r="EI184" i="56"/>
  <c r="S184" i="56" s="1"/>
  <c r="S344" i="56"/>
  <c r="FS77" i="56"/>
  <c r="FP77" i="56"/>
  <c r="IP42" i="56"/>
  <c r="GG42" i="56"/>
  <c r="FL42" i="56"/>
  <c r="FM42" i="56" s="1"/>
  <c r="FO42" i="56" s="1" a="1"/>
  <c r="FO42" i="56" s="1"/>
  <c r="FB42" i="56"/>
  <c r="DC42" i="56"/>
  <c r="IP218" i="56"/>
  <c r="FF218" i="56"/>
  <c r="FB218" i="56"/>
  <c r="FL218" i="56"/>
  <c r="FM218" i="56" s="1"/>
  <c r="FO218" i="56" s="1" a="1"/>
  <c r="FO218" i="56" s="1"/>
  <c r="DC218" i="56"/>
  <c r="CK218" i="56"/>
  <c r="IR218" i="56" s="1"/>
  <c r="GF210" i="56"/>
  <c r="CJ94" i="56"/>
  <c r="CK94" i="56" s="1"/>
  <c r="FS284" i="56"/>
  <c r="FP284" i="56"/>
  <c r="EI74" i="56"/>
  <c r="EI330" i="56"/>
  <c r="S330" i="56" s="1"/>
  <c r="EF185" i="56"/>
  <c r="EG185" i="56" s="1"/>
  <c r="GG45" i="56"/>
  <c r="EI224" i="56"/>
  <c r="S224" i="56" s="1"/>
  <c r="EZ103" i="56"/>
  <c r="EU103" i="56"/>
  <c r="ET103" i="56"/>
  <c r="ER103" i="56"/>
  <c r="EV103" i="56" s="1"/>
  <c r="EY103" i="56"/>
  <c r="EX103" i="56"/>
  <c r="ES103" i="56"/>
  <c r="EW103" i="56"/>
  <c r="BY103" i="56" a="1"/>
  <c r="BY103" i="56" s="1"/>
  <c r="DU103" i="56" s="1"/>
  <c r="FA183" i="56"/>
  <c r="EX183" i="56"/>
  <c r="ER183" i="56"/>
  <c r="EV183" i="56"/>
  <c r="ES183" i="56"/>
  <c r="EZ183" i="56"/>
  <c r="EY183" i="56"/>
  <c r="EU183" i="56"/>
  <c r="EW183" i="56"/>
  <c r="ET183" i="56"/>
  <c r="BY183" i="56" a="1"/>
  <c r="BY183" i="56" s="1"/>
  <c r="DU183" i="56" s="1"/>
  <c r="FY343" i="56"/>
  <c r="FB343" i="56"/>
  <c r="BK3" i="40" a="1"/>
  <c r="BK3" i="40" s="1"/>
  <c r="CO156" i="56" a="1"/>
  <c r="CO156" i="56" s="1"/>
  <c r="CR156" i="56"/>
  <c r="DH156" i="56" s="1"/>
  <c r="CP156" i="56" a="1"/>
  <c r="CP156" i="56" s="1"/>
  <c r="CQ156" i="56" a="1"/>
  <c r="CQ156" i="56" s="1"/>
  <c r="FH45" i="56"/>
  <c r="FG45" i="56" a="1"/>
  <c r="FG45" i="56" s="1"/>
  <c r="FI45" i="56" s="1"/>
  <c r="CP134" i="56" a="1"/>
  <c r="CP134" i="56" s="1"/>
  <c r="CO134" i="56" a="1"/>
  <c r="CO134" i="56" s="1"/>
  <c r="CR134" i="56"/>
  <c r="CQ134" i="56" a="1"/>
  <c r="CQ134" i="56" s="1"/>
  <c r="BY3" i="40" a="1"/>
  <c r="BY3" i="40" s="1"/>
  <c r="BL343" i="56"/>
  <c r="BY343" i="56" a="1"/>
  <c r="BY343" i="56" s="1"/>
  <c r="DU343" i="56" s="1"/>
  <c r="GN284" i="56"/>
  <c r="IK284" i="56" s="1"/>
  <c r="GO284" i="56"/>
  <c r="IP71" i="56"/>
  <c r="FL71" i="56"/>
  <c r="FM71" i="56" s="1"/>
  <c r="FO71" i="56" s="1" a="1"/>
  <c r="FO71" i="56" s="1"/>
  <c r="FB71" i="56"/>
  <c r="DC71" i="56"/>
  <c r="CK71" i="56"/>
  <c r="GF45" i="56"/>
  <c r="GF205" i="56"/>
  <c r="S289" i="56"/>
  <c r="GF350" i="56"/>
  <c r="S98" i="56"/>
  <c r="DB184" i="56" a="1"/>
  <c r="DB184" i="56" s="1"/>
  <c r="FP328" i="56"/>
  <c r="FS328" i="56"/>
  <c r="CW75" i="56"/>
  <c r="DA75" i="56" s="1"/>
  <c r="GF48" i="56"/>
  <c r="GF192" i="56"/>
  <c r="S20" i="56"/>
  <c r="FB87" i="56"/>
  <c r="IP18" i="56"/>
  <c r="FL18" i="56"/>
  <c r="FM18" i="56" s="1"/>
  <c r="FO18" i="56" s="1" a="1"/>
  <c r="FO18" i="56" s="1"/>
  <c r="CK18" i="56"/>
  <c r="CW18" i="56" s="1"/>
  <c r="DA18" i="56" s="1"/>
  <c r="DC18" i="56"/>
  <c r="IP339" i="56"/>
  <c r="FL339" i="56"/>
  <c r="FM339" i="56" s="1"/>
  <c r="FO339" i="56" s="1" a="1"/>
  <c r="FO339" i="56" s="1"/>
  <c r="FB339" i="56"/>
  <c r="DC339" i="56"/>
  <c r="FS141" i="56"/>
  <c r="FP141" i="56"/>
  <c r="IP164" i="56"/>
  <c r="IQ164" i="56"/>
  <c r="FB164" i="56"/>
  <c r="FL164" i="56"/>
  <c r="FM164" i="56" s="1"/>
  <c r="FO164" i="56" s="1" a="1"/>
  <c r="FO164" i="56" s="1"/>
  <c r="FF164" i="56"/>
  <c r="DC164" i="56"/>
  <c r="CK164" i="56"/>
  <c r="IR164" i="56" s="1"/>
  <c r="GF108" i="56"/>
  <c r="IP118" i="56"/>
  <c r="FL118" i="56"/>
  <c r="FM118" i="56" s="1"/>
  <c r="FO118" i="56" s="1" a="1"/>
  <c r="FO118" i="56" s="1"/>
  <c r="FB118" i="56"/>
  <c r="DC118" i="56"/>
  <c r="DH118" i="56"/>
  <c r="CK118" i="56"/>
  <c r="S277" i="56"/>
  <c r="EI341" i="56"/>
  <c r="S341" i="56" s="1"/>
  <c r="CW148" i="56"/>
  <c r="ET68" i="56"/>
  <c r="ES68" i="56"/>
  <c r="EW68" i="56"/>
  <c r="EU68" i="56"/>
  <c r="EY68" i="56"/>
  <c r="ER68" i="56"/>
  <c r="EV68" i="56" s="1"/>
  <c r="EX68" i="56"/>
  <c r="EZ68" i="56"/>
  <c r="BY68" i="56" a="1"/>
  <c r="BY68" i="56" s="1"/>
  <c r="FA68" i="56" s="1"/>
  <c r="FG78" i="56" a="1"/>
  <c r="FG78" i="56" s="1"/>
  <c r="FH78" i="56"/>
  <c r="BY78" i="56" a="1"/>
  <c r="BY78" i="56" s="1"/>
  <c r="CR222" i="56"/>
  <c r="DH222" i="56" s="1"/>
  <c r="CP222" i="56" a="1"/>
  <c r="CP222" i="56" s="1"/>
  <c r="CO222" i="56" a="1"/>
  <c r="CO222" i="56" s="1"/>
  <c r="CQ222" i="56" a="1"/>
  <c r="CQ222" i="56" s="1"/>
  <c r="CR302" i="56"/>
  <c r="DH302" i="56" s="1"/>
  <c r="CQ302" i="56" a="1"/>
  <c r="CQ302" i="56" s="1"/>
  <c r="CP302" i="56" a="1"/>
  <c r="CP302" i="56" s="1"/>
  <c r="CO302" i="56" a="1"/>
  <c r="CO302" i="56" s="1"/>
  <c r="FG334" i="56" a="1"/>
  <c r="FG334" i="56" s="1"/>
  <c r="FH334" i="56"/>
  <c r="BY334" i="56" a="1"/>
  <c r="BY334" i="56" s="1"/>
  <c r="IR174" i="56"/>
  <c r="GF127" i="56"/>
  <c r="GF271" i="56"/>
  <c r="EI166" i="56"/>
  <c r="IP89" i="56"/>
  <c r="FF89" i="56"/>
  <c r="FB89" i="56"/>
  <c r="FL89" i="56"/>
  <c r="FM89" i="56" s="1"/>
  <c r="FO89" i="56" s="1" a="1"/>
  <c r="FO89" i="56" s="1"/>
  <c r="DC89" i="56"/>
  <c r="CK89" i="56"/>
  <c r="CW89" i="56" s="1"/>
  <c r="DA89" i="56" s="1"/>
  <c r="GD89" i="56"/>
  <c r="GE89" i="56" s="1"/>
  <c r="EJ184" i="56"/>
  <c r="FX184" i="56" s="1"/>
  <c r="EJ154" i="56"/>
  <c r="FX154" i="56" s="1"/>
  <c r="FP222" i="56"/>
  <c r="FS222" i="56"/>
  <c r="IP161" i="56"/>
  <c r="FL161" i="56"/>
  <c r="FM161" i="56" s="1"/>
  <c r="FO161" i="56" s="1" a="1"/>
  <c r="FO161" i="56" s="1"/>
  <c r="FF161" i="56"/>
  <c r="FB161" i="56"/>
  <c r="DC161" i="56"/>
  <c r="EI320" i="56"/>
  <c r="S320" i="56" s="1"/>
  <c r="EY23" i="56"/>
  <c r="ES23" i="56"/>
  <c r="EZ23" i="56"/>
  <c r="ET23" i="56"/>
  <c r="EX23" i="56"/>
  <c r="EW23" i="56"/>
  <c r="EU23" i="56"/>
  <c r="ER23" i="56"/>
  <c r="EV23" i="56" s="1"/>
  <c r="CQ280" i="56" a="1"/>
  <c r="CQ280" i="56" s="1"/>
  <c r="CP280" i="56" a="1"/>
  <c r="CP280" i="56" s="1"/>
  <c r="CO280" i="56" a="1"/>
  <c r="CO280" i="56" s="1"/>
  <c r="CR280" i="56"/>
  <c r="DH280" i="56" s="1"/>
  <c r="DF132" i="56"/>
  <c r="DG132" i="56" s="1"/>
  <c r="CR262" i="56"/>
  <c r="DH262" i="56" s="1"/>
  <c r="CP262" i="56" a="1"/>
  <c r="CP262" i="56" s="1"/>
  <c r="CO262" i="56" a="1"/>
  <c r="CO262" i="56" s="1"/>
  <c r="CQ262" i="56" a="1"/>
  <c r="CQ262" i="56" s="1"/>
  <c r="CR278" i="56"/>
  <c r="DH278" i="56" s="1"/>
  <c r="CQ278" i="56" a="1"/>
  <c r="CQ278" i="56" s="1"/>
  <c r="CP278" i="56" a="1"/>
  <c r="CP278" i="56" s="1"/>
  <c r="CO278" i="56" a="1"/>
  <c r="CO278" i="56" s="1"/>
  <c r="BL326" i="56"/>
  <c r="BY326" i="56" a="1"/>
  <c r="BY326" i="56" s="1"/>
  <c r="DU326" i="56" s="1"/>
  <c r="FP50" i="56"/>
  <c r="FS50" i="56"/>
  <c r="IP287" i="56"/>
  <c r="FL287" i="56"/>
  <c r="FM287" i="56" s="1"/>
  <c r="FO287" i="56" s="1" a="1"/>
  <c r="FO287" i="56" s="1"/>
  <c r="FF287" i="56"/>
  <c r="FB287" i="56"/>
  <c r="DC287" i="56"/>
  <c r="CK287" i="56"/>
  <c r="IR287" i="56" s="1"/>
  <c r="EW30" i="56"/>
  <c r="EZ30" i="56"/>
  <c r="EU30" i="56"/>
  <c r="EY30" i="56"/>
  <c r="ET30" i="56"/>
  <c r="EX30" i="56"/>
  <c r="EV30" i="56"/>
  <c r="ES30" i="56"/>
  <c r="CW322" i="56"/>
  <c r="DA322" i="56" s="1"/>
  <c r="EI9" i="56"/>
  <c r="S9" i="56" s="1"/>
  <c r="IP198" i="56"/>
  <c r="FL198" i="56"/>
  <c r="FM198" i="56" s="1"/>
  <c r="FO198" i="56" s="1" a="1"/>
  <c r="FO198" i="56" s="1"/>
  <c r="FF198" i="56"/>
  <c r="FB198" i="56"/>
  <c r="DC198" i="56"/>
  <c r="CK198" i="56"/>
  <c r="DF198" i="56" s="1"/>
  <c r="DG198" i="56" s="1"/>
  <c r="IP278" i="56"/>
  <c r="FL278" i="56"/>
  <c r="FM278" i="56" s="1"/>
  <c r="FO278" i="56" s="1" a="1"/>
  <c r="FO278" i="56" s="1"/>
  <c r="FB278" i="56"/>
  <c r="DC278" i="56"/>
  <c r="CR78" i="56"/>
  <c r="DH78" i="56" s="1"/>
  <c r="CQ78" i="56" a="1"/>
  <c r="CQ78" i="56" s="1"/>
  <c r="CP78" i="56" a="1"/>
  <c r="CP78" i="56" s="1"/>
  <c r="CO78" i="56" a="1"/>
  <c r="CO78" i="56" s="1"/>
  <c r="FH110" i="56"/>
  <c r="FG110" i="56" a="1"/>
  <c r="FG110" i="56" s="1"/>
  <c r="CR334" i="56"/>
  <c r="DH334" i="56" s="1"/>
  <c r="CQ334" i="56" a="1"/>
  <c r="CQ334" i="56" s="1"/>
  <c r="CP334" i="56" a="1"/>
  <c r="CP334" i="56" s="1"/>
  <c r="CO334" i="56" a="1"/>
  <c r="CO334" i="56" s="1"/>
  <c r="CQ223" i="56" a="1"/>
  <c r="CQ223" i="56" s="1"/>
  <c r="CP223" i="56" a="1"/>
  <c r="CP223" i="56" s="1"/>
  <c r="CO223" i="56" a="1"/>
  <c r="CO223" i="56" s="1"/>
  <c r="CR223" i="56"/>
  <c r="EI21" i="56"/>
  <c r="S21" i="56" s="1"/>
  <c r="EI102" i="56"/>
  <c r="S102" i="56" s="1"/>
  <c r="EI246" i="56"/>
  <c r="FA197" i="56"/>
  <c r="CR15" i="56"/>
  <c r="DH15" i="56" s="1"/>
  <c r="CO15" i="56" a="1"/>
  <c r="CO15" i="56" s="1"/>
  <c r="CP15" i="56" a="1"/>
  <c r="CP15" i="56" s="1"/>
  <c r="CQ15" i="56" a="1"/>
  <c r="CQ15" i="56" s="1"/>
  <c r="CW7" i="56"/>
  <c r="DA7" i="56" s="1"/>
  <c r="FD7" i="56"/>
  <c r="M7" i="56" s="1"/>
  <c r="FE7" i="56" s="1"/>
  <c r="FF7" i="56" s="1"/>
  <c r="EF279" i="56"/>
  <c r="EG279" i="56" s="1"/>
  <c r="EI281" i="56"/>
  <c r="S281" i="56" s="1"/>
  <c r="EI346" i="56"/>
  <c r="S346" i="56" s="1"/>
  <c r="EJ224" i="56"/>
  <c r="FX224" i="56" s="1"/>
  <c r="FP241" i="56"/>
  <c r="FS241" i="56"/>
  <c r="IQ319" i="56"/>
  <c r="CW173" i="56"/>
  <c r="DA173" i="56" s="1"/>
  <c r="BY199" i="56" a="1"/>
  <c r="BY199" i="56" s="1"/>
  <c r="DU199" i="56" s="1"/>
  <c r="FA343" i="56"/>
  <c r="EZ343" i="56"/>
  <c r="EU343" i="56"/>
  <c r="EY343" i="56"/>
  <c r="EX343" i="56"/>
  <c r="EW343" i="56"/>
  <c r="EV343" i="56"/>
  <c r="ES343" i="56"/>
  <c r="ET343" i="56"/>
  <c r="ER343" i="56"/>
  <c r="CJ21" i="56"/>
  <c r="CQ101" i="56" a="1"/>
  <c r="CQ101" i="56" s="1"/>
  <c r="CP101" i="56" a="1"/>
  <c r="CP101" i="56" s="1"/>
  <c r="CR101" i="56"/>
  <c r="DH101" i="56" s="1"/>
  <c r="CO101" i="56" a="1"/>
  <c r="CO101" i="56" s="1"/>
  <c r="BL229" i="56"/>
  <c r="P229" i="56" a="1"/>
  <c r="P229" i="56" s="1"/>
  <c r="EF229" i="56" s="1"/>
  <c r="EG229" i="56" s="1"/>
  <c r="BL86" i="56"/>
  <c r="BY86" i="56" a="1"/>
  <c r="BY86" i="56" s="1"/>
  <c r="DU86" i="56" s="1"/>
  <c r="FY174" i="56"/>
  <c r="GD227" i="56"/>
  <c r="GE227" i="56" s="1"/>
  <c r="FH119" i="56"/>
  <c r="FG119" i="56" a="1"/>
  <c r="FG119" i="56" s="1"/>
  <c r="BY119" i="56" a="1"/>
  <c r="BY119" i="56" s="1"/>
  <c r="FA119" i="56" s="1"/>
  <c r="CR215" i="56"/>
  <c r="DH215" i="56" s="1"/>
  <c r="CQ215" i="56" a="1"/>
  <c r="CQ215" i="56" s="1"/>
  <c r="CP215" i="56" a="1"/>
  <c r="CP215" i="56" s="1"/>
  <c r="CO215" i="56" a="1"/>
  <c r="CO215" i="56" s="1"/>
  <c r="FH247" i="56"/>
  <c r="FG247" i="56" a="1"/>
  <c r="FG247" i="56" s="1"/>
  <c r="BY247" i="56" a="1"/>
  <c r="BY247" i="56" s="1"/>
  <c r="DU247" i="56" s="1"/>
  <c r="GC260" i="56"/>
  <c r="T150" i="56"/>
  <c r="GC150" i="56"/>
  <c r="EI303" i="56"/>
  <c r="FS248" i="56"/>
  <c r="FP248" i="56"/>
  <c r="EI8" i="56"/>
  <c r="S8" i="56" s="1"/>
  <c r="CW297" i="56"/>
  <c r="DA297" i="56" s="1"/>
  <c r="FS43" i="56"/>
  <c r="FP43" i="56"/>
  <c r="IP70" i="56"/>
  <c r="FB70" i="56"/>
  <c r="FL70" i="56"/>
  <c r="FM70" i="56" s="1"/>
  <c r="FO70" i="56" s="1" a="1"/>
  <c r="FO70" i="56" s="1"/>
  <c r="DC70" i="56"/>
  <c r="CK70" i="56"/>
  <c r="EJ341" i="56"/>
  <c r="FX341" i="56" s="1"/>
  <c r="CW260" i="56"/>
  <c r="C3" i="40" a="1"/>
  <c r="C3" i="40" s="1"/>
  <c r="FA132" i="56"/>
  <c r="FH30" i="56"/>
  <c r="FG30" i="56" a="1"/>
  <c r="FG30" i="56" s="1"/>
  <c r="FI30" i="56" s="1"/>
  <c r="BY30" i="56" a="1"/>
  <c r="BY30" i="56" s="1"/>
  <c r="CR110" i="56"/>
  <c r="DH110" i="56" s="1"/>
  <c r="CQ110" i="56" a="1"/>
  <c r="CQ110" i="56" s="1"/>
  <c r="CP110" i="56" a="1"/>
  <c r="CP110" i="56" s="1"/>
  <c r="CO110" i="56" a="1"/>
  <c r="CO110" i="56" s="1"/>
  <c r="FH254" i="56"/>
  <c r="FG254" i="56" a="1"/>
  <c r="FG254" i="56" s="1"/>
  <c r="BY254" i="56" a="1"/>
  <c r="BY254" i="56" s="1"/>
  <c r="FA254" i="56" s="1"/>
  <c r="IP228" i="56"/>
  <c r="FB228" i="56"/>
  <c r="FL228" i="56"/>
  <c r="FM228" i="56" s="1"/>
  <c r="FO228" i="56" s="1" a="1"/>
  <c r="FO228" i="56" s="1"/>
  <c r="FF228" i="56"/>
  <c r="DC228" i="56"/>
  <c r="GD228" i="56"/>
  <c r="GE228" i="56" s="1"/>
  <c r="EI326" i="56"/>
  <c r="EZ85" i="56"/>
  <c r="EU85" i="56"/>
  <c r="ET85" i="56"/>
  <c r="ER85" i="56"/>
  <c r="EV85" i="56" s="1"/>
  <c r="EW85" i="56"/>
  <c r="EX85" i="56"/>
  <c r="ES85" i="56"/>
  <c r="EY85" i="56"/>
  <c r="EI265" i="56"/>
  <c r="GD283" i="56"/>
  <c r="GE283" i="56" s="1"/>
  <c r="EI185" i="56"/>
  <c r="FS155" i="56"/>
  <c r="FP155" i="56"/>
  <c r="EI90" i="56"/>
  <c r="IP17" i="56"/>
  <c r="FL17" i="56"/>
  <c r="FM17" i="56" s="1"/>
  <c r="FO17" i="56" s="1" a="1"/>
  <c r="FO17" i="56" s="1"/>
  <c r="DC17" i="56"/>
  <c r="CK17" i="56"/>
  <c r="CW17" i="56" s="1"/>
  <c r="DA17" i="56" s="1"/>
  <c r="EI336" i="56"/>
  <c r="EU119" i="56"/>
  <c r="EY119" i="56"/>
  <c r="ET119" i="56"/>
  <c r="EX119" i="56"/>
  <c r="EZ119" i="56"/>
  <c r="EW119" i="56"/>
  <c r="ES119" i="56"/>
  <c r="ER119" i="56"/>
  <c r="EV119" i="56" s="1"/>
  <c r="BL21" i="56"/>
  <c r="BY21" i="56" a="1"/>
  <c r="BY21" i="56" s="1"/>
  <c r="P21" i="56" s="1" a="1"/>
  <c r="P21" i="56" s="1"/>
  <c r="FH117" i="56"/>
  <c r="FG117" i="56" a="1"/>
  <c r="FG117" i="56" s="1"/>
  <c r="FG325" i="56" a="1"/>
  <c r="FG325" i="56" s="1"/>
  <c r="FH325" i="56"/>
  <c r="CW46" i="56"/>
  <c r="BL22" i="56"/>
  <c r="BY22" i="56" a="1"/>
  <c r="BY22" i="56" s="1"/>
  <c r="FY200" i="56"/>
  <c r="P200" i="56" a="1"/>
  <c r="P200" i="56" s="1"/>
  <c r="ET200" i="56"/>
  <c r="EZ200" i="56"/>
  <c r="FA200" i="56"/>
  <c r="FH7" i="56"/>
  <c r="FG7" i="56" a="1"/>
  <c r="FG7" i="56" s="1"/>
  <c r="GD132" i="56"/>
  <c r="DF296" i="56"/>
  <c r="DG296" i="56" s="1"/>
  <c r="IQ296" i="56"/>
  <c r="IR296" i="56"/>
  <c r="AX20" i="55"/>
  <c r="AY20" i="55" s="1" a="1"/>
  <c r="AY20" i="55" s="1"/>
  <c r="FA283" i="56"/>
  <c r="EU283" i="56"/>
  <c r="EZ283" i="56"/>
  <c r="EY283" i="56"/>
  <c r="EX283" i="56"/>
  <c r="EW283" i="56"/>
  <c r="ES283" i="56"/>
  <c r="ER283" i="56"/>
  <c r="EV283" i="56"/>
  <c r="ET283" i="56"/>
  <c r="CR25" i="56"/>
  <c r="DH25" i="56" s="1"/>
  <c r="CO25" i="56" a="1"/>
  <c r="CO25" i="56" s="1"/>
  <c r="CP25" i="56" a="1"/>
  <c r="CP25" i="56" s="1"/>
  <c r="CQ25" i="56" a="1"/>
  <c r="CQ25" i="56" s="1"/>
  <c r="CO121" i="56" a="1"/>
  <c r="CO121" i="56" s="1"/>
  <c r="CR121" i="56"/>
  <c r="DH121" i="56" s="1"/>
  <c r="CP121" i="56" a="1"/>
  <c r="CP121" i="56" s="1"/>
  <c r="CQ121" i="56" a="1"/>
  <c r="CQ121" i="56" s="1"/>
  <c r="FY236" i="56"/>
  <c r="FB236" i="56"/>
  <c r="FG90" i="56" a="1"/>
  <c r="FG90" i="56" s="1"/>
  <c r="FI90" i="56" s="1"/>
  <c r="FH90" i="56"/>
  <c r="FH218" i="56"/>
  <c r="FG218" i="56" a="1"/>
  <c r="FG218" i="56" s="1"/>
  <c r="BY218" i="56" a="1"/>
  <c r="BY218" i="56" s="1"/>
  <c r="FA218" i="56" s="1"/>
  <c r="HQ102" i="56" a="1"/>
  <c r="HQ102" i="56" s="1"/>
  <c r="HR102" i="56" s="1"/>
  <c r="HO102" i="56" a="1"/>
  <c r="HO102" i="56" s="1"/>
  <c r="HP102" i="56" s="1"/>
  <c r="HK102" i="56" a="1"/>
  <c r="HK102" i="56" s="1"/>
  <c r="HL102" i="56" s="1"/>
  <c r="HI102" i="56" a="1"/>
  <c r="HI102" i="56" s="1"/>
  <c r="HJ102" i="56" s="1"/>
  <c r="HG102" i="56" a="1"/>
  <c r="HG102" i="56" s="1"/>
  <c r="HH102" i="56" s="1"/>
  <c r="HM102" i="56" a="1"/>
  <c r="HM102" i="56" s="1"/>
  <c r="HN102" i="56" s="1"/>
  <c r="HM330" i="56" a="1"/>
  <c r="HM330" i="56" s="1"/>
  <c r="HN330" i="56" s="1"/>
  <c r="HQ330" i="56" a="1"/>
  <c r="HQ330" i="56" s="1"/>
  <c r="HR330" i="56" s="1"/>
  <c r="HG330" i="56" a="1"/>
  <c r="HG330" i="56" s="1"/>
  <c r="HH330" i="56" s="1"/>
  <c r="HK330" i="56" a="1"/>
  <c r="HK330" i="56" s="1"/>
  <c r="HL330" i="56" s="1"/>
  <c r="HO330" i="56" a="1"/>
  <c r="HO330" i="56" s="1"/>
  <c r="HP330" i="56" s="1"/>
  <c r="HI330" i="56" a="1"/>
  <c r="HI330" i="56" s="1"/>
  <c r="HJ330" i="56" s="1"/>
  <c r="GN330" i="56"/>
  <c r="IK330" i="56" s="1"/>
  <c r="GO330" i="56"/>
  <c r="EI129" i="56"/>
  <c r="FS59" i="56"/>
  <c r="FP59" i="56"/>
  <c r="GF237" i="56"/>
  <c r="S161" i="56"/>
  <c r="EI305" i="56"/>
  <c r="IP91" i="56"/>
  <c r="FF91" i="56"/>
  <c r="FL91" i="56"/>
  <c r="FM91" i="56" s="1"/>
  <c r="FO91" i="56" s="1" a="1"/>
  <c r="FO91" i="56" s="1"/>
  <c r="FB91" i="56"/>
  <c r="DC91" i="56"/>
  <c r="DI91" i="56"/>
  <c r="EI18" i="56"/>
  <c r="BD18" i="55"/>
  <c r="BB18" i="55"/>
  <c r="CW237" i="56"/>
  <c r="EI36" i="56"/>
  <c r="CW135" i="56"/>
  <c r="IP34" i="56"/>
  <c r="GG34" i="56"/>
  <c r="FL34" i="56"/>
  <c r="FM34" i="56" s="1"/>
  <c r="FO34" i="56" s="1" a="1"/>
  <c r="FO34" i="56" s="1"/>
  <c r="FB34" i="56"/>
  <c r="CK34" i="56"/>
  <c r="DF34" i="56" s="1"/>
  <c r="DG34" i="56" s="1"/>
  <c r="DC34" i="56"/>
  <c r="IP178" i="56"/>
  <c r="FL178" i="56"/>
  <c r="FM178" i="56" s="1"/>
  <c r="FO178" i="56" s="1" a="1"/>
  <c r="FO178" i="56" s="1"/>
  <c r="FF178" i="56"/>
  <c r="FB178" i="56"/>
  <c r="DC178" i="56"/>
  <c r="IR274" i="56"/>
  <c r="IP274" i="56"/>
  <c r="FB274" i="56"/>
  <c r="FD274" i="56"/>
  <c r="M274" i="56" s="1"/>
  <c r="FE274" i="56" s="1"/>
  <c r="FF274" i="56" s="1"/>
  <c r="FL274" i="56"/>
  <c r="FM274" i="56" s="1"/>
  <c r="FO274" i="56" s="1" a="1"/>
  <c r="FO274" i="56" s="1"/>
  <c r="CK274" i="56"/>
  <c r="CW274" i="56" s="1"/>
  <c r="DF274" i="56"/>
  <c r="DG274" i="56" s="1"/>
  <c r="DC274" i="56"/>
  <c r="GF138" i="56"/>
  <c r="CJ222" i="56"/>
  <c r="CK222" i="56" s="1"/>
  <c r="CW194" i="56"/>
  <c r="FS171" i="56"/>
  <c r="FP171" i="56"/>
  <c r="IP20" i="56"/>
  <c r="FD20" i="56"/>
  <c r="M20" i="56" s="1"/>
  <c r="FE20" i="56" s="1"/>
  <c r="FF20" i="56" s="1"/>
  <c r="FL20" i="56"/>
  <c r="FM20" i="56" s="1"/>
  <c r="FO20" i="56" s="1" a="1"/>
  <c r="FO20" i="56" s="1"/>
  <c r="DC20" i="56"/>
  <c r="CK20" i="56"/>
  <c r="CW20" i="56" s="1"/>
  <c r="DA20" i="56" s="1"/>
  <c r="FS120" i="56"/>
  <c r="FP120" i="56"/>
  <c r="IP134" i="56"/>
  <c r="FF134" i="56"/>
  <c r="FL134" i="56"/>
  <c r="FM134" i="56" s="1"/>
  <c r="FO134" i="56" s="1" a="1"/>
  <c r="FO134" i="56" s="1"/>
  <c r="DC134" i="56"/>
  <c r="FB134" i="56"/>
  <c r="DH134" i="56"/>
  <c r="IP214" i="56"/>
  <c r="FL214" i="56"/>
  <c r="FM214" i="56" s="1"/>
  <c r="FO214" i="56" s="1" a="1"/>
  <c r="FO214" i="56" s="1"/>
  <c r="FF214" i="56"/>
  <c r="FB214" i="56"/>
  <c r="DC214" i="56"/>
  <c r="S69" i="56"/>
  <c r="EI149" i="56"/>
  <c r="S213" i="56"/>
  <c r="CR30" i="56"/>
  <c r="DH30" i="56" s="1"/>
  <c r="CP30" i="56" a="1"/>
  <c r="CP30" i="56" s="1"/>
  <c r="CO30" i="56" a="1"/>
  <c r="CO30" i="56" s="1"/>
  <c r="CQ30" i="56" a="1"/>
  <c r="CQ30" i="56" s="1"/>
  <c r="DF175" i="56"/>
  <c r="DG175" i="56" s="1"/>
  <c r="IR175" i="56"/>
  <c r="IQ175" i="56"/>
  <c r="CW198" i="56"/>
  <c r="GF287" i="56"/>
  <c r="EI37" i="56"/>
  <c r="S37" i="56" s="1"/>
  <c r="EI182" i="56"/>
  <c r="S182" i="56" s="1"/>
  <c r="CW120" i="56"/>
  <c r="DA120" i="56" s="1"/>
  <c r="EI56" i="56"/>
  <c r="S280" i="56"/>
  <c r="FP103" i="56"/>
  <c r="FS103" i="56"/>
  <c r="EI64" i="56"/>
  <c r="T116" i="56"/>
  <c r="GC116" i="56"/>
  <c r="EY39" i="56"/>
  <c r="EW39" i="56"/>
  <c r="EU39" i="56"/>
  <c r="EZ39" i="56"/>
  <c r="EX39" i="56"/>
  <c r="EV39" i="56"/>
  <c r="ES39" i="56"/>
  <c r="ET39" i="56"/>
  <c r="CW142" i="56"/>
  <c r="BL246" i="56"/>
  <c r="BY246" i="56" a="1"/>
  <c r="BY246" i="56" s="1"/>
  <c r="P246" i="56" s="1" a="1"/>
  <c r="P246" i="56" s="1"/>
  <c r="EI147" i="56"/>
  <c r="DF135" i="56"/>
  <c r="DG135" i="56" s="1"/>
  <c r="DU186" i="56"/>
  <c r="P186" i="56" a="1"/>
  <c r="P186" i="56" s="1"/>
  <c r="FS316" i="56"/>
  <c r="FP316" i="56"/>
  <c r="FS219" i="56"/>
  <c r="FP219" i="56"/>
  <c r="GF51" i="56"/>
  <c r="GF195" i="56"/>
  <c r="GF339" i="56"/>
  <c r="EJ330" i="56"/>
  <c r="FX330" i="56" s="1"/>
  <c r="IP145" i="56"/>
  <c r="FL145" i="56"/>
  <c r="FM145" i="56" s="1"/>
  <c r="FO145" i="56" s="1" a="1"/>
  <c r="FO145" i="56" s="1"/>
  <c r="FB145" i="56"/>
  <c r="DC145" i="56"/>
  <c r="CK145" i="56"/>
  <c r="DF145" i="56" s="1"/>
  <c r="DG145" i="56" s="1"/>
  <c r="FG79" i="56" a="1"/>
  <c r="FG79" i="56" s="1"/>
  <c r="FH79" i="56"/>
  <c r="BY79" i="56" a="1"/>
  <c r="BY79" i="56" s="1"/>
  <c r="DU79" i="56" s="1"/>
  <c r="FH42" i="56"/>
  <c r="FG42" i="56" a="1"/>
  <c r="FG42" i="56" s="1"/>
  <c r="BY42" i="56" a="1"/>
  <c r="BY42" i="56" s="1"/>
  <c r="EY167" i="56"/>
  <c r="EW167" i="56"/>
  <c r="EZ167" i="56"/>
  <c r="EU167" i="56"/>
  <c r="ES167" i="56"/>
  <c r="EV167" i="56"/>
  <c r="ET167" i="56"/>
  <c r="EX167" i="56"/>
  <c r="FA231" i="56"/>
  <c r="EU231" i="56"/>
  <c r="ES231" i="56"/>
  <c r="EW231" i="56"/>
  <c r="ET231" i="56"/>
  <c r="EV231" i="56"/>
  <c r="EY231" i="56"/>
  <c r="EX231" i="56"/>
  <c r="EZ231" i="56"/>
  <c r="BL149" i="56"/>
  <c r="BY149" i="56" a="1"/>
  <c r="BY149" i="56" s="1"/>
  <c r="P149" i="56" s="1" a="1"/>
  <c r="P149" i="56" s="1"/>
  <c r="DI149" i="56" s="1"/>
  <c r="CJ213" i="56"/>
  <c r="CK213" i="56" s="1"/>
  <c r="BL293" i="56"/>
  <c r="CO325" i="56" a="1"/>
  <c r="CO325" i="56" s="1"/>
  <c r="CQ325" i="56" a="1"/>
  <c r="CQ325" i="56" s="1"/>
  <c r="CR325" i="56"/>
  <c r="CP325" i="56" a="1"/>
  <c r="CP325" i="56" s="1"/>
  <c r="CW174" i="56"/>
  <c r="DA174" i="56" s="1"/>
  <c r="FY43" i="56"/>
  <c r="P43" i="56" a="1"/>
  <c r="P43" i="56" s="1"/>
  <c r="EF43" i="56" s="1"/>
  <c r="EG43" i="56" s="1"/>
  <c r="EZ248" i="56"/>
  <c r="FA248" i="56"/>
  <c r="EY248" i="56"/>
  <c r="ET248" i="56"/>
  <c r="ES248" i="56"/>
  <c r="EV248" i="56"/>
  <c r="EX248" i="56"/>
  <c r="EU248" i="56"/>
  <c r="EW248" i="56"/>
  <c r="BL118" i="56"/>
  <c r="BY118" i="56" a="1"/>
  <c r="BY118" i="56" s="1"/>
  <c r="DU118" i="56" s="1"/>
  <c r="CJ134" i="56"/>
  <c r="CK134" i="56" s="1"/>
  <c r="BY262" i="56" a="1"/>
  <c r="BY262" i="56" s="1"/>
  <c r="DU262" i="56" s="1"/>
  <c r="BL262" i="56"/>
  <c r="EX73" i="56"/>
  <c r="EW73" i="56"/>
  <c r="EZ73" i="56"/>
  <c r="ET73" i="56"/>
  <c r="EY73" i="56"/>
  <c r="ES73" i="56"/>
  <c r="EU73" i="56"/>
  <c r="ER73" i="56"/>
  <c r="EV73" i="56"/>
  <c r="EW169" i="56"/>
  <c r="ET169" i="56"/>
  <c r="EY169" i="56"/>
  <c r="EZ169" i="56"/>
  <c r="EX169" i="56"/>
  <c r="EU169" i="56"/>
  <c r="EV169" i="56"/>
  <c r="ES169" i="56"/>
  <c r="EU265" i="56"/>
  <c r="EY265" i="56"/>
  <c r="ES265" i="56"/>
  <c r="EV265" i="56"/>
  <c r="EW265" i="56"/>
  <c r="EZ265" i="56"/>
  <c r="EX265" i="56"/>
  <c r="ET265" i="56"/>
  <c r="CR39" i="56"/>
  <c r="DH39" i="56" s="1"/>
  <c r="CO39" i="56" a="1"/>
  <c r="CO39" i="56" s="1"/>
  <c r="CP39" i="56" a="1"/>
  <c r="CP39" i="56" s="1"/>
  <c r="CQ39" i="56" a="1"/>
  <c r="CQ39" i="56" s="1"/>
  <c r="BL119" i="56"/>
  <c r="CJ215" i="56"/>
  <c r="CK215" i="56" s="1"/>
  <c r="EI35" i="56"/>
  <c r="S35" i="56" s="1"/>
  <c r="EY138" i="56"/>
  <c r="EW138" i="56"/>
  <c r="EU138" i="56"/>
  <c r="EX138" i="56"/>
  <c r="ES138" i="56"/>
  <c r="EZ138" i="56"/>
  <c r="ER138" i="56"/>
  <c r="EV138" i="56"/>
  <c r="ET138" i="56"/>
  <c r="EY202" i="56"/>
  <c r="EW202" i="56"/>
  <c r="EV202" i="56"/>
  <c r="EZ202" i="56"/>
  <c r="ET202" i="56"/>
  <c r="EX202" i="56"/>
  <c r="EU202" i="56"/>
  <c r="ES202" i="56"/>
  <c r="EY266" i="56"/>
  <c r="EZ266" i="56"/>
  <c r="ET266" i="56"/>
  <c r="EV266" i="56"/>
  <c r="EX266" i="56"/>
  <c r="EU266" i="56"/>
  <c r="ES266" i="56"/>
  <c r="EW266" i="56"/>
  <c r="CR232" i="56"/>
  <c r="DH232" i="56" s="1"/>
  <c r="CP232" i="56" a="1"/>
  <c r="CP232" i="56" s="1"/>
  <c r="CO232" i="56" a="1"/>
  <c r="CO232" i="56" s="1"/>
  <c r="CQ232" i="56" a="1"/>
  <c r="CQ232" i="56" s="1"/>
  <c r="FG344" i="56" a="1"/>
  <c r="FG344" i="56" s="1"/>
  <c r="FH344" i="56"/>
  <c r="FS138" i="56"/>
  <c r="FP138" i="56"/>
  <c r="EI19" i="56"/>
  <c r="S19" i="56" s="1"/>
  <c r="T214" i="56"/>
  <c r="GC214" i="56"/>
  <c r="EI55" i="56"/>
  <c r="CW115" i="56"/>
  <c r="DA115" i="56" s="1"/>
  <c r="DF28" i="56"/>
  <c r="DG28" i="56" s="1"/>
  <c r="FY351" i="56"/>
  <c r="P351" i="56" a="1"/>
  <c r="P351" i="56" s="1"/>
  <c r="DI351" i="56" s="1"/>
  <c r="BY173" i="56" a="1"/>
  <c r="BY173" i="56" s="1"/>
  <c r="DU173" i="56" s="1"/>
  <c r="BL173" i="56"/>
  <c r="FG189" i="56" a="1"/>
  <c r="FG189" i="56" s="1"/>
  <c r="FH189" i="56"/>
  <c r="FH269" i="56"/>
  <c r="FG269" i="56" a="1"/>
  <c r="FG269" i="56" s="1"/>
  <c r="BL333" i="56"/>
  <c r="BY333" i="56" a="1"/>
  <c r="BY333" i="56" s="1"/>
  <c r="DU333" i="56" s="1"/>
  <c r="IP208" i="56"/>
  <c r="FL208" i="56"/>
  <c r="FM208" i="56" s="1"/>
  <c r="FO208" i="56" s="1" a="1"/>
  <c r="FO208" i="56" s="1"/>
  <c r="FB208" i="56"/>
  <c r="FF208" i="56"/>
  <c r="DC208" i="56"/>
  <c r="IP256" i="56"/>
  <c r="FL256" i="56"/>
  <c r="FM256" i="56" s="1"/>
  <c r="FO256" i="56" s="1" a="1"/>
  <c r="FO256" i="56" s="1"/>
  <c r="FB256" i="56"/>
  <c r="DC256" i="56"/>
  <c r="EZ209" i="56"/>
  <c r="FA209" i="56"/>
  <c r="EY209" i="56"/>
  <c r="ET209" i="56"/>
  <c r="EU209" i="56"/>
  <c r="EW209" i="56"/>
  <c r="ES209" i="56"/>
  <c r="EV209" i="56"/>
  <c r="EX209" i="56"/>
  <c r="BY209" i="56" a="1"/>
  <c r="BY209" i="56" s="1"/>
  <c r="DU209" i="56" s="1"/>
  <c r="EI77" i="56"/>
  <c r="FH165" i="56"/>
  <c r="FG165" i="56" a="1"/>
  <c r="FG165" i="56" s="1"/>
  <c r="FI165" i="56" s="1"/>
  <c r="CQ309" i="56" a="1"/>
  <c r="CQ309" i="56" s="1"/>
  <c r="CR309" i="56"/>
  <c r="CP309" i="56" a="1"/>
  <c r="CP309" i="56" s="1"/>
  <c r="CO309" i="56" a="1"/>
  <c r="CO309" i="56" s="1"/>
  <c r="FS132" i="56"/>
  <c r="FP132" i="56"/>
  <c r="FY121" i="56"/>
  <c r="P121" i="56" a="1"/>
  <c r="P121" i="56" s="1"/>
  <c r="DI121" i="56" s="1"/>
  <c r="EZ8" i="56"/>
  <c r="FA8" i="56"/>
  <c r="EY8" i="56"/>
  <c r="ET8" i="56"/>
  <c r="ES8" i="56"/>
  <c r="EX8" i="56"/>
  <c r="EW8" i="56"/>
  <c r="EV8" i="56"/>
  <c r="EU8" i="56"/>
  <c r="ER8" i="56"/>
  <c r="DU41" i="56"/>
  <c r="P41" i="56" a="1"/>
  <c r="P41" i="56" s="1"/>
  <c r="EF41" i="56" s="1"/>
  <c r="EG41" i="56" s="1"/>
  <c r="N27" i="42"/>
  <c r="P27" i="42" s="1"/>
  <c r="AE27" i="42" s="1"/>
  <c r="AF27" i="42" s="1"/>
  <c r="N28" i="42"/>
  <c r="P28" i="42" s="1"/>
  <c r="AE28" i="42" s="1"/>
  <c r="AF28" i="42" s="1"/>
  <c r="N26" i="42"/>
  <c r="P26" i="42" s="1"/>
  <c r="AE26" i="42" s="1"/>
  <c r="AF26" i="42" s="1"/>
  <c r="N29" i="42"/>
  <c r="P29" i="42" s="1"/>
  <c r="AE29" i="42" s="1"/>
  <c r="AF29" i="42" s="1"/>
  <c r="FG39" i="56" a="1"/>
  <c r="FG39" i="56" s="1"/>
  <c r="FH39" i="56"/>
  <c r="CP55" i="56" a="1"/>
  <c r="CP55" i="56" s="1"/>
  <c r="CO55" i="56" a="1"/>
  <c r="CO55" i="56" s="1"/>
  <c r="CR55" i="56"/>
  <c r="DH55" i="56" s="1"/>
  <c r="CQ55" i="56" a="1"/>
  <c r="CQ55" i="56" s="1"/>
  <c r="CR135" i="56"/>
  <c r="DH135" i="56" s="1"/>
  <c r="CQ135" i="56" a="1"/>
  <c r="CQ135" i="56" s="1"/>
  <c r="CP135" i="56" a="1"/>
  <c r="CP135" i="56" s="1"/>
  <c r="CO135" i="56" a="1"/>
  <c r="CO135" i="56" s="1"/>
  <c r="FG183" i="56" a="1"/>
  <c r="FG183" i="56" s="1"/>
  <c r="FH183" i="56"/>
  <c r="FY123" i="56"/>
  <c r="FB123" i="56"/>
  <c r="EY74" i="56"/>
  <c r="ES74" i="56"/>
  <c r="FA74" i="56"/>
  <c r="EX74" i="56"/>
  <c r="EU74" i="56"/>
  <c r="EZ74" i="56"/>
  <c r="ER74" i="56"/>
  <c r="EV74" i="56" s="1"/>
  <c r="EW74" i="56"/>
  <c r="ET74" i="56"/>
  <c r="BY74" i="56" a="1"/>
  <c r="BY74" i="56" s="1"/>
  <c r="CR216" i="56"/>
  <c r="DH216" i="56" s="1"/>
  <c r="CQ216" i="56" a="1"/>
  <c r="CQ216" i="56" s="1"/>
  <c r="CP216" i="56" a="1"/>
  <c r="CP216" i="56" s="1"/>
  <c r="CO216" i="56" a="1"/>
  <c r="CO216" i="56" s="1"/>
  <c r="FH280" i="56"/>
  <c r="FG280" i="56" a="1"/>
  <c r="FG280" i="56" s="1"/>
  <c r="FY126" i="56"/>
  <c r="EV126" i="56"/>
  <c r="EZ126" i="56"/>
  <c r="ET126" i="56"/>
  <c r="EY315" i="56"/>
  <c r="ET315" i="56"/>
  <c r="EX315" i="56"/>
  <c r="EW315" i="56"/>
  <c r="EZ315" i="56"/>
  <c r="ES315" i="56"/>
  <c r="EU315" i="56"/>
  <c r="ER315" i="56"/>
  <c r="EV315" i="56" s="1"/>
  <c r="BY315" i="56" a="1"/>
  <c r="BY315" i="56" s="1"/>
  <c r="P315" i="56" s="1" a="1"/>
  <c r="P315" i="56" s="1"/>
  <c r="CR153" i="56"/>
  <c r="DH153" i="56" s="1"/>
  <c r="CP153" i="56" a="1"/>
  <c r="CP153" i="56" s="1"/>
  <c r="CO153" i="56" a="1"/>
  <c r="CO153" i="56" s="1"/>
  <c r="CQ153" i="56" a="1"/>
  <c r="CQ153" i="56" s="1"/>
  <c r="FS254" i="56"/>
  <c r="FP254" i="56"/>
  <c r="EI110" i="56"/>
  <c r="CW350" i="56"/>
  <c r="DA350" i="56" s="1"/>
  <c r="BL54" i="56"/>
  <c r="BY54" i="56" a="1"/>
  <c r="BY54" i="56" s="1"/>
  <c r="DU54" i="56" s="1"/>
  <c r="CR70" i="56"/>
  <c r="DH70" i="56" s="1"/>
  <c r="CQ70" i="56" a="1"/>
  <c r="CQ70" i="56" s="1"/>
  <c r="CP70" i="56" a="1"/>
  <c r="CP70" i="56" s="1"/>
  <c r="CO70" i="56" a="1"/>
  <c r="CO70" i="56" s="1"/>
  <c r="BY182" i="56" a="1"/>
  <c r="BY182" i="56" s="1"/>
  <c r="DU182" i="56" s="1"/>
  <c r="BL182" i="56"/>
  <c r="FS205" i="56"/>
  <c r="FP205" i="56"/>
  <c r="EI115" i="56"/>
  <c r="S115" i="56" s="1"/>
  <c r="EI243" i="56"/>
  <c r="S243" i="56" s="1"/>
  <c r="EI307" i="56"/>
  <c r="FG23" i="56" a="1"/>
  <c r="FG23" i="56" s="1"/>
  <c r="FH23" i="56"/>
  <c r="FG279" i="56" a="1"/>
  <c r="FG279" i="56" s="1"/>
  <c r="FH279" i="56"/>
  <c r="CR311" i="56"/>
  <c r="CP311" i="56" a="1"/>
  <c r="CP311" i="56" s="1"/>
  <c r="CO311" i="56" a="1"/>
  <c r="CO311" i="56" s="1"/>
  <c r="CQ311" i="56" a="1"/>
  <c r="CQ311" i="56" s="1"/>
  <c r="FD80" i="56"/>
  <c r="M80" i="56" s="1"/>
  <c r="FE80" i="56" s="1"/>
  <c r="FF80" i="56" s="1"/>
  <c r="GF240" i="56"/>
  <c r="FY251" i="56"/>
  <c r="P251" i="56" a="1"/>
  <c r="P251" i="56" s="1"/>
  <c r="EF251" i="56" s="1"/>
  <c r="EG251" i="56" s="1"/>
  <c r="EY346" i="56"/>
  <c r="EX346" i="56"/>
  <c r="EW346" i="56"/>
  <c r="EZ346" i="56"/>
  <c r="ET346" i="56"/>
  <c r="ES346" i="56"/>
  <c r="EU346" i="56"/>
  <c r="EV346" i="56"/>
  <c r="ER346" i="56"/>
  <c r="CQ40" i="56" a="1"/>
  <c r="CQ40" i="56" s="1"/>
  <c r="CP40" i="56" a="1"/>
  <c r="CP40" i="56" s="1"/>
  <c r="CO40" i="56" a="1"/>
  <c r="CO40" i="56" s="1"/>
  <c r="CR40" i="56"/>
  <c r="DH40" i="56" s="1"/>
  <c r="CR56" i="56"/>
  <c r="DH56" i="56" s="1"/>
  <c r="CP56" i="56" a="1"/>
  <c r="CP56" i="56" s="1"/>
  <c r="CO56" i="56" a="1"/>
  <c r="CO56" i="56" s="1"/>
  <c r="CQ56" i="56" a="1"/>
  <c r="CQ56" i="56" s="1"/>
  <c r="FG88" i="56" a="1"/>
  <c r="FG88" i="56" s="1"/>
  <c r="FH88" i="56"/>
  <c r="CQ104" i="56" a="1"/>
  <c r="CQ104" i="56" s="1"/>
  <c r="CO104" i="56" a="1"/>
  <c r="CO104" i="56" s="1"/>
  <c r="CR104" i="56"/>
  <c r="DH104" i="56" s="1"/>
  <c r="CP104" i="56" a="1"/>
  <c r="CP104" i="56" s="1"/>
  <c r="CJ216" i="56"/>
  <c r="CK216" i="56" s="1"/>
  <c r="FP209" i="56"/>
  <c r="FS209" i="56"/>
  <c r="FP286" i="56"/>
  <c r="FS286" i="56"/>
  <c r="FS234" i="56"/>
  <c r="FP234" i="56"/>
  <c r="FY152" i="56"/>
  <c r="FB152" i="56"/>
  <c r="CQ265" i="56" a="1"/>
  <c r="CQ265" i="56" s="1"/>
  <c r="CR265" i="56"/>
  <c r="DH265" i="56" s="1"/>
  <c r="CO265" i="56" a="1"/>
  <c r="CO265" i="56" s="1"/>
  <c r="CP265" i="56" a="1"/>
  <c r="CP265" i="56" s="1"/>
  <c r="FS210" i="56"/>
  <c r="FP210" i="56"/>
  <c r="T6" i="56"/>
  <c r="GC6" i="56"/>
  <c r="CP122" i="56" a="1"/>
  <c r="CP122" i="56" s="1"/>
  <c r="CO122" i="56" a="1"/>
  <c r="CO122" i="56" s="1"/>
  <c r="CR122" i="56"/>
  <c r="DH122" i="56" s="1"/>
  <c r="CQ122" i="56" a="1"/>
  <c r="CQ122" i="56" s="1"/>
  <c r="FG154" i="56" a="1"/>
  <c r="FG154" i="56" s="1"/>
  <c r="FH154" i="56"/>
  <c r="CR170" i="56"/>
  <c r="DH170" i="56" s="1"/>
  <c r="CO170" i="56" a="1"/>
  <c r="CO170" i="56" s="1"/>
  <c r="CQ170" i="56" a="1"/>
  <c r="CQ170" i="56" s="1"/>
  <c r="CP170" i="56" a="1"/>
  <c r="CP170" i="56" s="1"/>
  <c r="CR298" i="56"/>
  <c r="CO298" i="56" a="1"/>
  <c r="CO298" i="56" s="1"/>
  <c r="CQ298" i="56" a="1"/>
  <c r="CQ298" i="56" s="1"/>
  <c r="CP298" i="56" a="1"/>
  <c r="CP298" i="56" s="1"/>
  <c r="CP346" i="56" a="1"/>
  <c r="CP346" i="56" s="1"/>
  <c r="CO346" i="56" a="1"/>
  <c r="CO346" i="56" s="1"/>
  <c r="CQ346" i="56" a="1"/>
  <c r="CQ346" i="56" s="1"/>
  <c r="CR346" i="56"/>
  <c r="DH346" i="56" s="1"/>
  <c r="IE63" i="56"/>
  <c r="HX63" i="56"/>
  <c r="CO92" i="56" a="1"/>
  <c r="CO92" i="56" s="1"/>
  <c r="CR92" i="56"/>
  <c r="DH92" i="56" s="1"/>
  <c r="CQ92" i="56" a="1"/>
  <c r="CQ92" i="56" s="1"/>
  <c r="CP92" i="56" a="1"/>
  <c r="CP92" i="56" s="1"/>
  <c r="FS156" i="56"/>
  <c r="FP156" i="56"/>
  <c r="CQ43" i="56" a="1"/>
  <c r="CQ43" i="56" s="1"/>
  <c r="CO43" i="56" a="1"/>
  <c r="CO43" i="56" s="1"/>
  <c r="CP43" i="56" a="1"/>
  <c r="CP43" i="56" s="1"/>
  <c r="CR43" i="56"/>
  <c r="DH43" i="56" s="1"/>
  <c r="CR59" i="56"/>
  <c r="DH59" i="56" s="1"/>
  <c r="CQ59" i="56" a="1"/>
  <c r="CQ59" i="56" s="1"/>
  <c r="CP59" i="56" a="1"/>
  <c r="CP59" i="56" s="1"/>
  <c r="CO59" i="56" a="1"/>
  <c r="CO59" i="56" s="1"/>
  <c r="CP171" i="56" a="1"/>
  <c r="CP171" i="56" s="1"/>
  <c r="CQ171" i="56" a="1"/>
  <c r="CQ171" i="56" s="1"/>
  <c r="CR171" i="56"/>
  <c r="DH171" i="56" s="1"/>
  <c r="CO171" i="56" a="1"/>
  <c r="CO171" i="56" s="1"/>
  <c r="FH219" i="56"/>
  <c r="FG219" i="56" a="1"/>
  <c r="FG219" i="56" s="1"/>
  <c r="FZ109" i="56"/>
  <c r="GF137" i="56"/>
  <c r="GF281" i="56"/>
  <c r="EI96" i="56"/>
  <c r="S96" i="56" s="1"/>
  <c r="EI240" i="56"/>
  <c r="S240" i="56" s="1"/>
  <c r="FG234" i="56" a="1"/>
  <c r="FG234" i="56" s="1"/>
  <c r="FI234" i="56" s="1"/>
  <c r="FH234" i="56"/>
  <c r="CW29" i="56"/>
  <c r="FD29" i="56"/>
  <c r="M29" i="56" s="1"/>
  <c r="FE29" i="56" s="1"/>
  <c r="FF29" i="56" s="1"/>
  <c r="CK5" i="56"/>
  <c r="BL133" i="56"/>
  <c r="BY133" i="56" a="1"/>
  <c r="BY133" i="56" s="1"/>
  <c r="P133" i="56" s="1" a="1"/>
  <c r="P133" i="56" s="1"/>
  <c r="FH149" i="56"/>
  <c r="FG149" i="56" a="1"/>
  <c r="FG149" i="56" s="1"/>
  <c r="BY277" i="56" a="1"/>
  <c r="BY277" i="56" s="1"/>
  <c r="P277" i="56" s="1" a="1"/>
  <c r="P277" i="56" s="1"/>
  <c r="DI277" i="56" s="1"/>
  <c r="BL277" i="56"/>
  <c r="CJ293" i="56"/>
  <c r="CK293" i="56" s="1"/>
  <c r="CW293" i="56" s="1"/>
  <c r="DA293" i="56" s="1"/>
  <c r="FP242" i="56"/>
  <c r="FS242" i="56"/>
  <c r="CW190" i="56"/>
  <c r="FY249" i="56"/>
  <c r="P249" i="56" a="1"/>
  <c r="P249" i="56" s="1"/>
  <c r="EF249" i="56" s="1"/>
  <c r="EG249" i="56" s="1"/>
  <c r="EZ24" i="56"/>
  <c r="ET24" i="56"/>
  <c r="EX24" i="56"/>
  <c r="ES24" i="56"/>
  <c r="EW24" i="56"/>
  <c r="EV24" i="56"/>
  <c r="EY24" i="56"/>
  <c r="EU24" i="56"/>
  <c r="ER24" i="56"/>
  <c r="CR198" i="56"/>
  <c r="DH198" i="56" s="1"/>
  <c r="CO198" i="56" a="1"/>
  <c r="CO198" i="56" s="1"/>
  <c r="CP198" i="56" a="1"/>
  <c r="CP198" i="56" s="1"/>
  <c r="CQ198" i="56" a="1"/>
  <c r="CQ198" i="56" s="1"/>
  <c r="CQ342" i="56" a="1"/>
  <c r="CQ342" i="56" s="1"/>
  <c r="CR342" i="56"/>
  <c r="DH342" i="56" s="1"/>
  <c r="CP342" i="56" a="1"/>
  <c r="CP342" i="56" s="1"/>
  <c r="CO342" i="56" a="1"/>
  <c r="CO342" i="56" s="1"/>
  <c r="IG159" i="56"/>
  <c r="HZ159" i="56"/>
  <c r="CA3" i="40" a="1"/>
  <c r="CA3" i="40" s="1"/>
  <c r="EX89" i="56"/>
  <c r="FA89" i="56"/>
  <c r="ES89" i="56"/>
  <c r="EZ89" i="56"/>
  <c r="EU89" i="56"/>
  <c r="EW89" i="56"/>
  <c r="ER89" i="56"/>
  <c r="EV89" i="56" s="1"/>
  <c r="EY89" i="56"/>
  <c r="ET89" i="56"/>
  <c r="FA185" i="56"/>
  <c r="EY185" i="56"/>
  <c r="EW185" i="56"/>
  <c r="EU185" i="56"/>
  <c r="ES185" i="56"/>
  <c r="EX185" i="56"/>
  <c r="EZ185" i="56"/>
  <c r="EV185" i="56"/>
  <c r="ET185" i="56"/>
  <c r="EZ281" i="56"/>
  <c r="EY281" i="56"/>
  <c r="ET281" i="56"/>
  <c r="EU281" i="56"/>
  <c r="ES281" i="56"/>
  <c r="EW281" i="56"/>
  <c r="EV281" i="56"/>
  <c r="EX281" i="56"/>
  <c r="P183" i="56" a="1"/>
  <c r="P183" i="56" s="1"/>
  <c r="EF183" i="56" s="1"/>
  <c r="EG183" i="56" s="1"/>
  <c r="BL183" i="56"/>
  <c r="BL263" i="56"/>
  <c r="BY263" i="56" a="1"/>
  <c r="BY263" i="56" s="1"/>
  <c r="P263" i="56" a="1"/>
  <c r="P263" i="56" s="1"/>
  <c r="EY10" i="56"/>
  <c r="FA10" i="56"/>
  <c r="EV10" i="56"/>
  <c r="EU10" i="56"/>
  <c r="EZ10" i="56"/>
  <c r="EX10" i="56"/>
  <c r="EW10" i="56"/>
  <c r="ER10" i="56"/>
  <c r="ET10" i="56"/>
  <c r="ES10" i="56"/>
  <c r="EK118" i="56"/>
  <c r="EL118" i="56"/>
  <c r="FG40" i="56" a="1"/>
  <c r="FG40" i="56" s="1"/>
  <c r="FH40" i="56"/>
  <c r="CQ88" i="56" a="1"/>
  <c r="CQ88" i="56" s="1"/>
  <c r="CP88" i="56" a="1"/>
  <c r="CP88" i="56" s="1"/>
  <c r="CO88" i="56" a="1"/>
  <c r="CO88" i="56" s="1"/>
  <c r="CR88" i="56"/>
  <c r="DH88" i="56" s="1"/>
  <c r="CP152" i="56" a="1"/>
  <c r="CP152" i="56" s="1"/>
  <c r="CQ152" i="56" a="1"/>
  <c r="CQ152" i="56" s="1"/>
  <c r="CR152" i="56"/>
  <c r="DH152" i="56" s="1"/>
  <c r="CO152" i="56" a="1"/>
  <c r="CO152" i="56" s="1"/>
  <c r="FY254" i="56"/>
  <c r="FB254" i="56"/>
  <c r="EY123" i="56"/>
  <c r="EW123" i="56"/>
  <c r="ES123" i="56"/>
  <c r="EU123" i="56"/>
  <c r="ET123" i="56"/>
  <c r="EX123" i="56"/>
  <c r="EZ123" i="56"/>
  <c r="ER123" i="56"/>
  <c r="EV123" i="56" s="1"/>
  <c r="BY123" i="56" a="1"/>
  <c r="BY123" i="56" s="1"/>
  <c r="FA123" i="56" s="1"/>
  <c r="CQ41" i="56" a="1"/>
  <c r="CQ41" i="56" s="1"/>
  <c r="CO41" i="56" a="1"/>
  <c r="CO41" i="56" s="1"/>
  <c r="CP41" i="56" a="1"/>
  <c r="CP41" i="56" s="1"/>
  <c r="CR41" i="56"/>
  <c r="DH41" i="56" s="1"/>
  <c r="EX348" i="56"/>
  <c r="EW348" i="56"/>
  <c r="FA348" i="56"/>
  <c r="ES348" i="56"/>
  <c r="ER348" i="56"/>
  <c r="EY348" i="56"/>
  <c r="EV348" i="56"/>
  <c r="EZ348" i="56"/>
  <c r="EU348" i="56"/>
  <c r="ET348" i="56"/>
  <c r="CR106" i="56"/>
  <c r="DH106" i="56" s="1"/>
  <c r="CP106" i="56" a="1"/>
  <c r="CP106" i="56" s="1"/>
  <c r="CO106" i="56" a="1"/>
  <c r="CO106" i="56" s="1"/>
  <c r="CQ106" i="56" a="1"/>
  <c r="CQ106" i="56" s="1"/>
  <c r="CO218" i="56" a="1"/>
  <c r="CO218" i="56" s="1"/>
  <c r="CQ218" i="56" a="1"/>
  <c r="CQ218" i="56" s="1"/>
  <c r="CR218" i="56"/>
  <c r="DH218" i="56" s="1"/>
  <c r="CP218" i="56" a="1"/>
  <c r="CP218" i="56" s="1"/>
  <c r="IG63" i="56"/>
  <c r="HZ63" i="56"/>
  <c r="FP296" i="56"/>
  <c r="FS296" i="56"/>
  <c r="FA255" i="56"/>
  <c r="EX255" i="56"/>
  <c r="EW255" i="56"/>
  <c r="EZ255" i="56"/>
  <c r="EY255" i="56"/>
  <c r="ES255" i="56"/>
  <c r="EV255" i="56"/>
  <c r="EU255" i="56"/>
  <c r="ET255" i="56"/>
  <c r="EI318" i="56"/>
  <c r="EK217" i="56"/>
  <c r="CQ187" i="56" a="1"/>
  <c r="CQ187" i="56" s="1"/>
  <c r="CR187" i="56"/>
  <c r="DH187" i="56" s="1"/>
  <c r="CP187" i="56" a="1"/>
  <c r="CP187" i="56" s="1"/>
  <c r="CO187" i="56" a="1"/>
  <c r="CO187" i="56" s="1"/>
  <c r="FH235" i="56"/>
  <c r="FG235" i="56" a="1"/>
  <c r="FG235" i="56" s="1"/>
  <c r="EY278" i="56"/>
  <c r="EZ278" i="56"/>
  <c r="EU278" i="56"/>
  <c r="ES278" i="56"/>
  <c r="EX278" i="56"/>
  <c r="EW278" i="56"/>
  <c r="EV278" i="56"/>
  <c r="ET278" i="56"/>
  <c r="EU213" i="56"/>
  <c r="EV213" i="56"/>
  <c r="EZ213" i="56"/>
  <c r="EY213" i="56"/>
  <c r="EW213" i="56"/>
  <c r="ES213" i="56"/>
  <c r="ET213" i="56"/>
  <c r="EX213" i="56"/>
  <c r="CR47" i="56"/>
  <c r="CQ47" i="56" a="1"/>
  <c r="CQ47" i="56" s="1"/>
  <c r="CP47" i="56" a="1"/>
  <c r="CP47" i="56" s="1"/>
  <c r="CO47" i="56" a="1"/>
  <c r="CO47" i="56" s="1"/>
  <c r="CJ79" i="56"/>
  <c r="CK79" i="56" s="1"/>
  <c r="CW79" i="56" s="1"/>
  <c r="DA79" i="56" s="1"/>
  <c r="CO335" i="56" a="1"/>
  <c r="CO335" i="56" s="1"/>
  <c r="CQ335" i="56" a="1"/>
  <c r="CQ335" i="56" s="1"/>
  <c r="CR335" i="56"/>
  <c r="CP335" i="56" a="1"/>
  <c r="CP335" i="56" s="1"/>
  <c r="IP100" i="56"/>
  <c r="FB100" i="56"/>
  <c r="FF100" i="56"/>
  <c r="FL100" i="56"/>
  <c r="FM100" i="56" s="1"/>
  <c r="FO100" i="56" s="1" a="1"/>
  <c r="FO100" i="56" s="1"/>
  <c r="DC100" i="56"/>
  <c r="CK100" i="56"/>
  <c r="FS206" i="56"/>
  <c r="FP206" i="56"/>
  <c r="IP281" i="56"/>
  <c r="FL281" i="56"/>
  <c r="FM281" i="56" s="1"/>
  <c r="FO281" i="56" s="1" a="1"/>
  <c r="FO281" i="56" s="1"/>
  <c r="FB281" i="56"/>
  <c r="DC281" i="56"/>
  <c r="CK281" i="56"/>
  <c r="DF281" i="56" s="1"/>
  <c r="DG281" i="56" s="1"/>
  <c r="GF129" i="56"/>
  <c r="GF273" i="56"/>
  <c r="S88" i="56"/>
  <c r="S152" i="56"/>
  <c r="GF18" i="56"/>
  <c r="S105" i="56"/>
  <c r="S169" i="56"/>
  <c r="CW24" i="56"/>
  <c r="DA24" i="56" s="1"/>
  <c r="CW296" i="56"/>
  <c r="DA296" i="56" s="1"/>
  <c r="FS24" i="56"/>
  <c r="FP24" i="56"/>
  <c r="DF155" i="56"/>
  <c r="DG155" i="56" s="1"/>
  <c r="FS61" i="56"/>
  <c r="FP61" i="56"/>
  <c r="IP323" i="56"/>
  <c r="FF323" i="56"/>
  <c r="FL323" i="56"/>
  <c r="FM323" i="56" s="1"/>
  <c r="FO323" i="56" s="1" a="1"/>
  <c r="FO323" i="56" s="1"/>
  <c r="FB323" i="56"/>
  <c r="DC323" i="56"/>
  <c r="GF297" i="56"/>
  <c r="EJ31" i="56"/>
  <c r="FX31" i="56" s="1"/>
  <c r="S31" i="56"/>
  <c r="CW287" i="56"/>
  <c r="DA287" i="56" s="1"/>
  <c r="FS319" i="56"/>
  <c r="FP319" i="56"/>
  <c r="FY42" i="56"/>
  <c r="EX55" i="56"/>
  <c r="EW55" i="56"/>
  <c r="ES55" i="56"/>
  <c r="EY55" i="56"/>
  <c r="ET55" i="56"/>
  <c r="EZ55" i="56"/>
  <c r="EU55" i="56"/>
  <c r="ER55" i="56"/>
  <c r="EV55" i="56" s="1"/>
  <c r="FY263" i="56"/>
  <c r="FB263" i="56"/>
  <c r="EY327" i="56"/>
  <c r="EW327" i="56"/>
  <c r="EU327" i="56"/>
  <c r="EX327" i="56"/>
  <c r="EZ327" i="56"/>
  <c r="ER327" i="56"/>
  <c r="EV327" i="56" s="1"/>
  <c r="ET327" i="56"/>
  <c r="ES327" i="56"/>
  <c r="BL37" i="56"/>
  <c r="BY37" i="56" a="1"/>
  <c r="BY37" i="56" s="1"/>
  <c r="P37" i="56" s="1" a="1"/>
  <c r="P37" i="56" s="1"/>
  <c r="BL117" i="56"/>
  <c r="BY117" i="56" a="1"/>
  <c r="BY117" i="56" s="1"/>
  <c r="FG261" i="56" a="1"/>
  <c r="FG261" i="56" s="1"/>
  <c r="FH261" i="56"/>
  <c r="FG277" i="56" a="1"/>
  <c r="FG277" i="56" s="1"/>
  <c r="FH277" i="56"/>
  <c r="EZ40" i="56"/>
  <c r="FA40" i="56"/>
  <c r="EY40" i="56"/>
  <c r="EX40" i="56"/>
  <c r="ES40" i="56"/>
  <c r="EW40" i="56"/>
  <c r="EU40" i="56"/>
  <c r="EV40" i="56"/>
  <c r="ET40" i="56"/>
  <c r="BY38" i="56" a="1"/>
  <c r="BY38" i="56" s="1"/>
  <c r="DU38" i="56" s="1"/>
  <c r="P38" i="56" a="1"/>
  <c r="P38" i="56" s="1"/>
  <c r="DI38" i="56" s="1"/>
  <c r="BL38" i="56"/>
  <c r="CJ166" i="56"/>
  <c r="CK166" i="56" s="1"/>
  <c r="CJ326" i="56"/>
  <c r="CK326" i="56" s="1"/>
  <c r="CR157" i="56"/>
  <c r="DH157" i="56" s="1"/>
  <c r="CP157" i="56" a="1"/>
  <c r="CP157" i="56" s="1"/>
  <c r="CO157" i="56" a="1"/>
  <c r="CO157" i="56" s="1"/>
  <c r="CQ157" i="56" a="1"/>
  <c r="CQ157" i="56" s="1"/>
  <c r="EY105" i="56"/>
  <c r="EW105" i="56"/>
  <c r="EU105" i="56"/>
  <c r="ES105" i="56"/>
  <c r="ET105" i="56"/>
  <c r="ER105" i="56"/>
  <c r="EV105" i="56" s="1"/>
  <c r="EX105" i="56"/>
  <c r="EZ105" i="56"/>
  <c r="EX201" i="56"/>
  <c r="EZ201" i="56"/>
  <c r="EY201" i="56"/>
  <c r="EW201" i="56"/>
  <c r="ES201" i="56"/>
  <c r="ET201" i="56"/>
  <c r="EU201" i="56"/>
  <c r="EV201" i="56"/>
  <c r="BL87" i="56"/>
  <c r="P87" i="56" a="1"/>
  <c r="P87" i="56" s="1"/>
  <c r="BL167" i="56"/>
  <c r="BL247" i="56"/>
  <c r="CQ60" i="56" a="1"/>
  <c r="CQ60" i="56" s="1"/>
  <c r="CR60" i="56"/>
  <c r="DH60" i="56" s="1"/>
  <c r="CP60" i="56" a="1"/>
  <c r="CP60" i="56" s="1"/>
  <c r="CO60" i="56" a="1"/>
  <c r="CO60" i="56" s="1"/>
  <c r="IQ297" i="56"/>
  <c r="GF96" i="56"/>
  <c r="BY105" i="56" a="1"/>
  <c r="BY105" i="56" s="1"/>
  <c r="FA105" i="56" s="1"/>
  <c r="BL105" i="56"/>
  <c r="GC212" i="56"/>
  <c r="EY90" i="56"/>
  <c r="EX90" i="56"/>
  <c r="EU90" i="56"/>
  <c r="EZ90" i="56"/>
  <c r="EW90" i="56"/>
  <c r="ES90" i="56"/>
  <c r="FA90" i="56"/>
  <c r="ET90" i="56"/>
  <c r="ER90" i="56"/>
  <c r="EV90" i="56" s="1"/>
  <c r="BY234" i="56" a="1"/>
  <c r="BY234" i="56" s="1"/>
  <c r="DU234" i="56" s="1"/>
  <c r="FH8" i="56"/>
  <c r="FG8" i="56" a="1"/>
  <c r="FG8" i="56" s="1"/>
  <c r="CJ88" i="56"/>
  <c r="CK88" i="56" s="1"/>
  <c r="CJ152" i="56"/>
  <c r="CK152" i="56" s="1"/>
  <c r="CW152" i="56" s="1"/>
  <c r="CW81" i="56"/>
  <c r="DA81" i="56" s="1"/>
  <c r="CR201" i="56"/>
  <c r="DH201" i="56" s="1"/>
  <c r="CQ201" i="56" a="1"/>
  <c r="CQ201" i="56" s="1"/>
  <c r="CP201" i="56" a="1"/>
  <c r="CP201" i="56" s="1"/>
  <c r="CO201" i="56" a="1"/>
  <c r="CO201" i="56" s="1"/>
  <c r="EX124" i="56"/>
  <c r="EW124" i="56"/>
  <c r="EZ124" i="56"/>
  <c r="EY124" i="56"/>
  <c r="ER124" i="56"/>
  <c r="ES124" i="56"/>
  <c r="EV124" i="56"/>
  <c r="ET124" i="56"/>
  <c r="EU124" i="56"/>
  <c r="EX236" i="56"/>
  <c r="EW236" i="56"/>
  <c r="EV236" i="56"/>
  <c r="EY236" i="56"/>
  <c r="EU236" i="56"/>
  <c r="EZ236" i="56"/>
  <c r="ET236" i="56"/>
  <c r="ES236" i="56"/>
  <c r="FG26" i="56" a="1"/>
  <c r="FG26" i="56" s="1"/>
  <c r="FH26" i="56"/>
  <c r="CO154" i="56" a="1"/>
  <c r="CO154" i="56" s="1"/>
  <c r="CR154" i="56"/>
  <c r="DH154" i="56" s="1"/>
  <c r="CP154" i="56" a="1"/>
  <c r="CP154" i="56" s="1"/>
  <c r="CQ154" i="56" a="1"/>
  <c r="CQ154" i="56" s="1"/>
  <c r="FS216" i="56"/>
  <c r="FP216" i="56"/>
  <c r="EV159" i="56"/>
  <c r="ES159" i="56"/>
  <c r="EU159" i="56"/>
  <c r="EZ159" i="56"/>
  <c r="EX159" i="56"/>
  <c r="EY159" i="56"/>
  <c r="ET159" i="56"/>
  <c r="EW159" i="56"/>
  <c r="FA159" i="56"/>
  <c r="FI173" i="56"/>
  <c r="EU306" i="56"/>
  <c r="EW306" i="56"/>
  <c r="EV306" i="56"/>
  <c r="EZ306" i="56"/>
  <c r="ET306" i="56"/>
  <c r="EX306" i="56"/>
  <c r="EY306" i="56"/>
  <c r="ES306" i="56"/>
  <c r="BY306" i="56" a="1"/>
  <c r="BY306" i="56" s="1"/>
  <c r="DU56" i="56"/>
  <c r="P56" i="56" a="1"/>
  <c r="P56" i="56" s="1"/>
  <c r="CQ54" i="56" a="1"/>
  <c r="CQ54" i="56" s="1"/>
  <c r="CP54" i="56" a="1"/>
  <c r="CP54" i="56" s="1"/>
  <c r="CO54" i="56" a="1"/>
  <c r="CO54" i="56" s="1"/>
  <c r="CR54" i="56"/>
  <c r="FH166" i="56"/>
  <c r="FG166" i="56" a="1"/>
  <c r="FG166" i="56" s="1"/>
  <c r="CR182" i="56"/>
  <c r="DH182" i="56" s="1"/>
  <c r="CQ182" i="56" a="1"/>
  <c r="CQ182" i="56" s="1"/>
  <c r="CP182" i="56" a="1"/>
  <c r="CP182" i="56" s="1"/>
  <c r="CO182" i="56" a="1"/>
  <c r="CO182" i="56" s="1"/>
  <c r="BY230" i="56" a="1"/>
  <c r="BY230" i="56" s="1"/>
  <c r="DU230" i="56" s="1"/>
  <c r="BL230" i="56"/>
  <c r="CR326" i="56"/>
  <c r="DH326" i="56" s="1"/>
  <c r="CP326" i="56" a="1"/>
  <c r="CP326" i="56" s="1"/>
  <c r="CO326" i="56" a="1"/>
  <c r="CO326" i="56" s="1"/>
  <c r="CQ326" i="56" a="1"/>
  <c r="CQ326" i="56" s="1"/>
  <c r="CQ282" i="56" a="1"/>
  <c r="CQ282" i="56" s="1"/>
  <c r="CR282" i="56"/>
  <c r="CP282" i="56" a="1"/>
  <c r="CP282" i="56" s="1"/>
  <c r="CO282" i="56" a="1"/>
  <c r="CO282" i="56" s="1"/>
  <c r="FS243" i="56"/>
  <c r="FP243" i="56"/>
  <c r="BL204" i="56"/>
  <c r="P204" i="56" a="1"/>
  <c r="P204" i="56" s="1"/>
  <c r="EF204" i="56" s="1"/>
  <c r="EG204" i="56" s="1"/>
  <c r="EV9" i="56"/>
  <c r="EZ9" i="56"/>
  <c r="FA9" i="56"/>
  <c r="ET9" i="56"/>
  <c r="EX9" i="56"/>
  <c r="EU9" i="56"/>
  <c r="ER9" i="56"/>
  <c r="EW9" i="56"/>
  <c r="ES9" i="56"/>
  <c r="EY9" i="56"/>
  <c r="ET297" i="56"/>
  <c r="EX297" i="56"/>
  <c r="ES297" i="56"/>
  <c r="EW297" i="56"/>
  <c r="EZ297" i="56"/>
  <c r="FA297" i="56"/>
  <c r="EU297" i="56"/>
  <c r="EY297" i="56"/>
  <c r="EV297" i="56"/>
  <c r="DF7" i="56"/>
  <c r="DG7" i="56" s="1"/>
  <c r="IQ7" i="56"/>
  <c r="IR7" i="56"/>
  <c r="CJ23" i="56"/>
  <c r="CK23" i="56" s="1"/>
  <c r="CJ167" i="56"/>
  <c r="CK167" i="56" s="1"/>
  <c r="IF159" i="56"/>
  <c r="HY159" i="56"/>
  <c r="FS51" i="56"/>
  <c r="FP51" i="56"/>
  <c r="BL233" i="56"/>
  <c r="BY233" i="56" a="1"/>
  <c r="BY233" i="56" s="1"/>
  <c r="DU233" i="56" s="1"/>
  <c r="CO136" i="56" a="1"/>
  <c r="CO136" i="56" s="1"/>
  <c r="CP136" i="56" a="1"/>
  <c r="CP136" i="56" s="1"/>
  <c r="CR136" i="56"/>
  <c r="DH136" i="56" s="1"/>
  <c r="CQ136" i="56" a="1"/>
  <c r="CQ136" i="56" s="1"/>
  <c r="CO200" i="56" a="1"/>
  <c r="CO200" i="56" s="1"/>
  <c r="CQ200" i="56" a="1"/>
  <c r="CQ200" i="56" s="1"/>
  <c r="CP200" i="56" a="1"/>
  <c r="CP200" i="56" s="1"/>
  <c r="CR200" i="56"/>
  <c r="DH200" i="56" s="1"/>
  <c r="EW139" i="56"/>
  <c r="EU139" i="56"/>
  <c r="EZ139" i="56"/>
  <c r="EY139" i="56"/>
  <c r="ET139" i="56"/>
  <c r="EX139" i="56"/>
  <c r="ER139" i="56"/>
  <c r="EV139" i="56" s="1"/>
  <c r="ES139" i="56"/>
  <c r="EY203" i="56"/>
  <c r="EW203" i="56"/>
  <c r="FA203" i="56"/>
  <c r="EZ203" i="56"/>
  <c r="ES203" i="56"/>
  <c r="EX203" i="56"/>
  <c r="EU203" i="56"/>
  <c r="EV203" i="56"/>
  <c r="ET203" i="56"/>
  <c r="EX267" i="56"/>
  <c r="EV267" i="56"/>
  <c r="ET267" i="56"/>
  <c r="FA267" i="56"/>
  <c r="EZ267" i="56"/>
  <c r="EU267" i="56"/>
  <c r="EY267" i="56"/>
  <c r="ES267" i="56"/>
  <c r="EW267" i="56"/>
  <c r="FH185" i="56"/>
  <c r="FG185" i="56" a="1"/>
  <c r="FG185" i="56" s="1"/>
  <c r="FI185" i="56" s="1"/>
  <c r="T166" i="56"/>
  <c r="GC166" i="56"/>
  <c r="FY140" i="56"/>
  <c r="CJ234" i="56"/>
  <c r="CK234" i="56" s="1"/>
  <c r="IR28" i="56"/>
  <c r="FH332" i="56"/>
  <c r="FG332" i="56" a="1"/>
  <c r="FG332" i="56" s="1"/>
  <c r="EY47" i="56"/>
  <c r="EX47" i="56"/>
  <c r="EZ47" i="56"/>
  <c r="EU47" i="56"/>
  <c r="EV47" i="56"/>
  <c r="ET47" i="56"/>
  <c r="ES47" i="56"/>
  <c r="EW47" i="56"/>
  <c r="BY47" i="56" a="1"/>
  <c r="BY47" i="56" s="1"/>
  <c r="FA47" i="56" s="1"/>
  <c r="EV271" i="56"/>
  <c r="FA271" i="56"/>
  <c r="EZ271" i="56"/>
  <c r="ET271" i="56"/>
  <c r="ES271" i="56"/>
  <c r="EY271" i="56"/>
  <c r="EX271" i="56"/>
  <c r="EW271" i="56"/>
  <c r="EU271" i="56"/>
  <c r="EV160" i="56"/>
  <c r="EW160" i="56"/>
  <c r="EZ160" i="56"/>
  <c r="ES160" i="56"/>
  <c r="EY160" i="56"/>
  <c r="EU160" i="56"/>
  <c r="EX160" i="56"/>
  <c r="ET160" i="56"/>
  <c r="BY160" i="56" a="1"/>
  <c r="BY160" i="56" s="1"/>
  <c r="P160" i="56" s="1" a="1"/>
  <c r="P160" i="56" s="1"/>
  <c r="CJ246" i="56"/>
  <c r="CK246" i="56" s="1"/>
  <c r="EI123" i="56"/>
  <c r="GD319" i="56"/>
  <c r="EK322" i="56"/>
  <c r="DV322" i="56"/>
  <c r="CJ62" i="56"/>
  <c r="CK62" i="56" s="1"/>
  <c r="CW62" i="56" s="1"/>
  <c r="DA62" i="56" s="1"/>
  <c r="CR254" i="56"/>
  <c r="DH254" i="56" s="1"/>
  <c r="CQ254" i="56" a="1"/>
  <c r="CQ254" i="56" s="1"/>
  <c r="CP254" i="56" a="1"/>
  <c r="CP254" i="56" s="1"/>
  <c r="CO254" i="56" a="1"/>
  <c r="CO254" i="56" s="1"/>
  <c r="CJ286" i="56"/>
  <c r="CK286" i="56" s="1"/>
  <c r="FS14" i="56"/>
  <c r="FP14" i="56"/>
  <c r="BY19" i="55" s="1" a="1"/>
  <c r="BY19" i="55" s="1"/>
  <c r="IP305" i="56"/>
  <c r="FF305" i="56"/>
  <c r="FL305" i="56"/>
  <c r="FM305" i="56" s="1"/>
  <c r="FO305" i="56" s="1" a="1"/>
  <c r="FO305" i="56" s="1"/>
  <c r="FB305" i="56"/>
  <c r="DC305" i="56"/>
  <c r="GF15" i="56"/>
  <c r="GF143" i="56"/>
  <c r="S86" i="56"/>
  <c r="S150" i="56"/>
  <c r="S214" i="56"/>
  <c r="CQ79" i="56" a="1"/>
  <c r="CQ79" i="56" s="1"/>
  <c r="CR79" i="56"/>
  <c r="DH79" i="56" s="1"/>
  <c r="CP79" i="56" a="1"/>
  <c r="CP79" i="56" s="1"/>
  <c r="CO79" i="56" a="1"/>
  <c r="CO79" i="56" s="1"/>
  <c r="CR111" i="56"/>
  <c r="CQ111" i="56" a="1"/>
  <c r="CQ111" i="56" s="1"/>
  <c r="CO111" i="56" a="1"/>
  <c r="CO111" i="56" s="1"/>
  <c r="CP111" i="56" a="1"/>
  <c r="CP111" i="56" s="1"/>
  <c r="GF145" i="56"/>
  <c r="GF289" i="56"/>
  <c r="EI39" i="56"/>
  <c r="EI104" i="56"/>
  <c r="EI168" i="56"/>
  <c r="S168" i="56" s="1"/>
  <c r="BC20" i="55"/>
  <c r="BB20" i="55"/>
  <c r="BD20" i="55"/>
  <c r="IP122" i="56"/>
  <c r="FL122" i="56"/>
  <c r="FM122" i="56" s="1"/>
  <c r="FO122" i="56" s="1" a="1"/>
  <c r="FO122" i="56" s="1"/>
  <c r="FB122" i="56"/>
  <c r="DC122" i="56"/>
  <c r="CK122" i="56"/>
  <c r="IP202" i="56"/>
  <c r="FF202" i="56"/>
  <c r="FB202" i="56"/>
  <c r="FL202" i="56"/>
  <c r="FM202" i="56" s="1"/>
  <c r="FO202" i="56" s="1" a="1"/>
  <c r="FO202" i="56" s="1"/>
  <c r="DC202" i="56"/>
  <c r="GF34" i="56"/>
  <c r="EI121" i="56"/>
  <c r="S121" i="56" s="1"/>
  <c r="EJ313" i="56"/>
  <c r="FX313" i="56" s="1"/>
  <c r="GF259" i="56"/>
  <c r="EI106" i="56"/>
  <c r="EI170" i="56"/>
  <c r="S170" i="56" s="1"/>
  <c r="EI234" i="56"/>
  <c r="S234" i="56" s="1"/>
  <c r="FP168" i="56"/>
  <c r="FS168" i="56"/>
  <c r="GF9" i="56"/>
  <c r="GF313" i="56"/>
  <c r="EI47" i="56"/>
  <c r="EI192" i="56"/>
  <c r="S192" i="56" s="1"/>
  <c r="EI256" i="56"/>
  <c r="CW45" i="56"/>
  <c r="FY120" i="56"/>
  <c r="BL124" i="56"/>
  <c r="BY124" i="56" a="1"/>
  <c r="BY124" i="56" s="1"/>
  <c r="DU124" i="56" s="1"/>
  <c r="EZ263" i="56"/>
  <c r="EY263" i="56"/>
  <c r="ET263" i="56"/>
  <c r="ES263" i="56"/>
  <c r="EV263" i="56"/>
  <c r="EW263" i="56"/>
  <c r="EX263" i="56"/>
  <c r="EU263" i="56"/>
  <c r="CP133" i="56" a="1"/>
  <c r="CP133" i="56" s="1"/>
  <c r="CO133" i="56" a="1"/>
  <c r="CO133" i="56" s="1"/>
  <c r="CR133" i="56"/>
  <c r="CQ133" i="56" a="1"/>
  <c r="CQ133" i="56" s="1"/>
  <c r="BY245" i="56" a="1"/>
  <c r="BY245" i="56" s="1"/>
  <c r="BL245" i="56"/>
  <c r="IF63" i="56"/>
  <c r="HY63" i="56"/>
  <c r="FG140" i="56" a="1"/>
  <c r="FG140" i="56" s="1"/>
  <c r="FH140" i="56"/>
  <c r="EZ56" i="56"/>
  <c r="EY56" i="56"/>
  <c r="EW56" i="56"/>
  <c r="ER56" i="56"/>
  <c r="EV56" i="56" s="1"/>
  <c r="ET56" i="56"/>
  <c r="EX56" i="56"/>
  <c r="EU56" i="56"/>
  <c r="ES56" i="56"/>
  <c r="FA56" i="56"/>
  <c r="CQ246" i="56" a="1"/>
  <c r="CQ246" i="56" s="1"/>
  <c r="CO246" i="56" a="1"/>
  <c r="CO246" i="56" s="1"/>
  <c r="CP246" i="56" a="1"/>
  <c r="CP246" i="56" s="1"/>
  <c r="CR246" i="56"/>
  <c r="DH246" i="56" s="1"/>
  <c r="BY310" i="56" a="1"/>
  <c r="BY310" i="56" s="1"/>
  <c r="DU310" i="56" s="1"/>
  <c r="BL310" i="56"/>
  <c r="FP322" i="56"/>
  <c r="FS322" i="56"/>
  <c r="EI67" i="56"/>
  <c r="EI323" i="56"/>
  <c r="S323" i="56" s="1"/>
  <c r="GA28" i="56"/>
  <c r="AK3" i="40" s="1" a="1"/>
  <c r="AK3" i="40" s="1"/>
  <c r="DT28" i="56"/>
  <c r="CV28" i="56"/>
  <c r="FY46" i="56"/>
  <c r="P232" i="56" a="1"/>
  <c r="P232" i="56" s="1"/>
  <c r="BL232" i="56"/>
  <c r="AM3" i="40" a="1"/>
  <c r="AM3" i="40" s="1"/>
  <c r="GA25" i="56"/>
  <c r="CV25" i="56"/>
  <c r="DT25" i="56"/>
  <c r="FG103" i="56" a="1"/>
  <c r="FG103" i="56" s="1"/>
  <c r="FH103" i="56"/>
  <c r="BL151" i="56"/>
  <c r="P151" i="56" a="1"/>
  <c r="P151" i="56" s="1"/>
  <c r="CP183" i="56" a="1"/>
  <c r="CP183" i="56" s="1"/>
  <c r="CR183" i="56"/>
  <c r="DH183" i="56" s="1"/>
  <c r="CQ183" i="56" a="1"/>
  <c r="CQ183" i="56" s="1"/>
  <c r="CO183" i="56" a="1"/>
  <c r="CO183" i="56" s="1"/>
  <c r="CR263" i="56"/>
  <c r="DH263" i="56" s="1"/>
  <c r="CP263" i="56" a="1"/>
  <c r="CP263" i="56" s="1"/>
  <c r="CO263" i="56" a="1"/>
  <c r="CO263" i="56" s="1"/>
  <c r="CQ263" i="56" a="1"/>
  <c r="CQ263" i="56" s="1"/>
  <c r="FG343" i="56" a="1"/>
  <c r="FG343" i="56" s="1"/>
  <c r="FH343" i="56"/>
  <c r="FB135" i="56"/>
  <c r="AX11" i="55"/>
  <c r="AY11" i="55" s="1" a="1"/>
  <c r="AY11" i="55" s="1"/>
  <c r="EY26" i="56"/>
  <c r="EZ26" i="56"/>
  <c r="ET26" i="56"/>
  <c r="ES26" i="56"/>
  <c r="EX26" i="56"/>
  <c r="FA26" i="56"/>
  <c r="EW26" i="56"/>
  <c r="EV26" i="56"/>
  <c r="EU26" i="56"/>
  <c r="ER26" i="56"/>
  <c r="CR8" i="56"/>
  <c r="DH8" i="56" s="1"/>
  <c r="CQ8" i="56" a="1"/>
  <c r="CQ8" i="56" s="1"/>
  <c r="CO8" i="56" a="1"/>
  <c r="CO8" i="56" s="1"/>
  <c r="CP8" i="56" a="1"/>
  <c r="CP8" i="56" s="1"/>
  <c r="FG72" i="56" a="1"/>
  <c r="FG72" i="56" s="1"/>
  <c r="FH72" i="56"/>
  <c r="FH136" i="56"/>
  <c r="FG136" i="56" a="1"/>
  <c r="FG136" i="56" s="1"/>
  <c r="FH184" i="56"/>
  <c r="FG184" i="56" a="1"/>
  <c r="FG184" i="56" s="1"/>
  <c r="EY59" i="56"/>
  <c r="EU59" i="56"/>
  <c r="EX59" i="56"/>
  <c r="EW59" i="56"/>
  <c r="ER59" i="56"/>
  <c r="EV59" i="56"/>
  <c r="ET59" i="56"/>
  <c r="ES59" i="56"/>
  <c r="EZ59" i="56"/>
  <c r="ES347" i="56"/>
  <c r="EV347" i="56"/>
  <c r="EY347" i="56"/>
  <c r="EX347" i="56"/>
  <c r="EW347" i="56"/>
  <c r="ET347" i="56"/>
  <c r="EZ347" i="56"/>
  <c r="ER347" i="56"/>
  <c r="EU347" i="56"/>
  <c r="BY347" i="56" a="1"/>
  <c r="BY347" i="56" s="1"/>
  <c r="FA347" i="56" s="1"/>
  <c r="FG249" i="56" a="1"/>
  <c r="FG249" i="56" s="1"/>
  <c r="FH249" i="56"/>
  <c r="CP313" i="56" a="1"/>
  <c r="CP313" i="56" s="1"/>
  <c r="CR313" i="56"/>
  <c r="CQ313" i="56" a="1"/>
  <c r="CQ313" i="56" s="1"/>
  <c r="CO313" i="56" a="1"/>
  <c r="CO313" i="56" s="1"/>
  <c r="BY140" i="56" a="1"/>
  <c r="BY140" i="56" s="1"/>
  <c r="EX252" i="56"/>
  <c r="EZ252" i="56"/>
  <c r="FA252" i="56"/>
  <c r="EU252" i="56"/>
  <c r="ET252" i="56"/>
  <c r="EW252" i="56"/>
  <c r="ES252" i="56"/>
  <c r="EV252" i="56"/>
  <c r="EY252" i="56"/>
  <c r="EK120" i="56"/>
  <c r="EL120" i="56"/>
  <c r="EI199" i="56"/>
  <c r="CQ109" i="56" a="1"/>
  <c r="CQ109" i="56" s="1"/>
  <c r="CR109" i="56"/>
  <c r="CP109" i="56" a="1"/>
  <c r="CP109" i="56" s="1"/>
  <c r="CO109" i="56" a="1"/>
  <c r="CO109" i="56" s="1"/>
  <c r="EI238" i="56"/>
  <c r="S238" i="56" s="1"/>
  <c r="T238" i="56"/>
  <c r="GC238" i="56"/>
  <c r="FH287" i="56"/>
  <c r="FG287" i="56" a="1"/>
  <c r="FG287" i="56" s="1"/>
  <c r="BY287" i="56" a="1"/>
  <c r="BY287" i="56" s="1"/>
  <c r="FA287" i="56" s="1"/>
  <c r="IR153" i="56"/>
  <c r="IP153" i="56"/>
  <c r="FL153" i="56"/>
  <c r="FM153" i="56" s="1"/>
  <c r="FO153" i="56" s="1" a="1"/>
  <c r="FO153" i="56" s="1"/>
  <c r="FB153" i="56"/>
  <c r="DC153" i="56"/>
  <c r="IP217" i="56"/>
  <c r="FL217" i="56"/>
  <c r="FM217" i="56" s="1"/>
  <c r="FO217" i="56" s="1" a="1"/>
  <c r="FO217" i="56" s="1"/>
  <c r="FF217" i="56"/>
  <c r="FB217" i="56"/>
  <c r="DC217" i="56"/>
  <c r="GF33" i="56"/>
  <c r="CW295" i="56"/>
  <c r="DA295" i="56" s="1"/>
  <c r="FS283" i="56"/>
  <c r="FP283" i="56"/>
  <c r="CW40" i="56"/>
  <c r="FP78" i="56"/>
  <c r="FS78" i="56"/>
  <c r="EI41" i="56"/>
  <c r="S298" i="56"/>
  <c r="EF121" i="56"/>
  <c r="EG121" i="56" s="1"/>
  <c r="IP321" i="56"/>
  <c r="FL321" i="56"/>
  <c r="FM321" i="56" s="1"/>
  <c r="FO321" i="56" s="1" a="1"/>
  <c r="FO321" i="56" s="1"/>
  <c r="FF321" i="56"/>
  <c r="FB321" i="56"/>
  <c r="DC321" i="56"/>
  <c r="CK321" i="56"/>
  <c r="GF185" i="56"/>
  <c r="EI128" i="56"/>
  <c r="S128" i="56" s="1"/>
  <c r="CR23" i="56"/>
  <c r="DH23" i="56" s="1"/>
  <c r="CQ23" i="56" a="1"/>
  <c r="CQ23" i="56" s="1"/>
  <c r="CP23" i="56" a="1"/>
  <c r="CP23" i="56" s="1"/>
  <c r="CO23" i="56" a="1"/>
  <c r="CO23" i="56" s="1"/>
  <c r="FY170" i="56"/>
  <c r="P170" i="56" a="1"/>
  <c r="P170" i="56" s="1"/>
  <c r="BL152" i="56"/>
  <c r="BY152" i="56" a="1"/>
  <c r="BY152" i="56" s="1"/>
  <c r="P152" i="56" s="1" a="1"/>
  <c r="P152" i="56" s="1"/>
  <c r="EY71" i="56"/>
  <c r="EW71" i="56"/>
  <c r="EU71" i="56"/>
  <c r="EX71" i="56"/>
  <c r="FA71" i="56"/>
  <c r="EZ71" i="56"/>
  <c r="ER71" i="56"/>
  <c r="EV71" i="56" s="1"/>
  <c r="ET71" i="56"/>
  <c r="ES71" i="56"/>
  <c r="EZ135" i="56"/>
  <c r="EY135" i="56"/>
  <c r="FA135" i="56"/>
  <c r="EX135" i="56"/>
  <c r="ER135" i="56"/>
  <c r="EV135" i="56" s="1"/>
  <c r="EU135" i="56"/>
  <c r="ES135" i="56"/>
  <c r="ET135" i="56"/>
  <c r="EW135" i="56"/>
  <c r="EZ199" i="56"/>
  <c r="EX199" i="56"/>
  <c r="EV199" i="56"/>
  <c r="ET199" i="56"/>
  <c r="EY199" i="56"/>
  <c r="ES199" i="56"/>
  <c r="EW199" i="56"/>
  <c r="EU199" i="56"/>
  <c r="CQ37" i="56" a="1"/>
  <c r="CQ37" i="56" s="1"/>
  <c r="CP37" i="56" a="1"/>
  <c r="CP37" i="56" s="1"/>
  <c r="CR37" i="56"/>
  <c r="DH37" i="56" s="1"/>
  <c r="CO37" i="56" a="1"/>
  <c r="CO37" i="56" s="1"/>
  <c r="FH101" i="56"/>
  <c r="FG101" i="56" a="1"/>
  <c r="FG101" i="56" s="1"/>
  <c r="FH133" i="56"/>
  <c r="FG133" i="56" a="1"/>
  <c r="FG133" i="56" s="1"/>
  <c r="CQ149" i="56" a="1"/>
  <c r="CQ149" i="56" s="1"/>
  <c r="CR149" i="56"/>
  <c r="CO149" i="56" a="1"/>
  <c r="CO149" i="56" s="1"/>
  <c r="CP149" i="56" a="1"/>
  <c r="CP149" i="56" s="1"/>
  <c r="CP261" i="56" a="1"/>
  <c r="CP261" i="56" s="1"/>
  <c r="CR261" i="56"/>
  <c r="DH261" i="56" s="1"/>
  <c r="CO261" i="56" a="1"/>
  <c r="CO261" i="56" s="1"/>
  <c r="CQ261" i="56" a="1"/>
  <c r="CQ261" i="56" s="1"/>
  <c r="CP24" i="56" a="1"/>
  <c r="CP24" i="56" s="1"/>
  <c r="CR24" i="56"/>
  <c r="DH24" i="56" s="1"/>
  <c r="CQ24" i="56" a="1"/>
  <c r="CQ24" i="56" s="1"/>
  <c r="CO24" i="56" a="1"/>
  <c r="CO24" i="56" s="1"/>
  <c r="FI191" i="56"/>
  <c r="EI16" i="56"/>
  <c r="CW222" i="56"/>
  <c r="DA222" i="56" s="1"/>
  <c r="AX18" i="55"/>
  <c r="AY18" i="55" s="1" a="1"/>
  <c r="AY18" i="55" s="1"/>
  <c r="CJ38" i="56"/>
  <c r="FH102" i="56"/>
  <c r="FG102" i="56" a="1"/>
  <c r="FG102" i="56" s="1"/>
  <c r="DV118" i="56"/>
  <c r="FH230" i="56"/>
  <c r="FG230" i="56" a="1"/>
  <c r="FG230" i="56" s="1"/>
  <c r="CJ310" i="56"/>
  <c r="CK310" i="56" s="1"/>
  <c r="FG141" i="56" a="1"/>
  <c r="FG141" i="56" s="1"/>
  <c r="FH141" i="56"/>
  <c r="S131" i="56"/>
  <c r="S195" i="56"/>
  <c r="S259" i="56"/>
  <c r="FY122" i="56"/>
  <c r="P122" i="56" a="1"/>
  <c r="P122" i="56" s="1"/>
  <c r="BL332" i="56"/>
  <c r="P332" i="56" a="1"/>
  <c r="P332" i="56" s="1"/>
  <c r="EF332" i="56" s="1"/>
  <c r="EG332" i="56" s="1"/>
  <c r="EJ332" i="56" s="1"/>
  <c r="EZ121" i="56"/>
  <c r="EU121" i="56"/>
  <c r="ET121" i="56"/>
  <c r="FA121" i="56"/>
  <c r="EW121" i="56"/>
  <c r="EX121" i="56"/>
  <c r="ER121" i="56"/>
  <c r="EV121" i="56" s="1"/>
  <c r="ES121" i="56"/>
  <c r="EY121" i="56"/>
  <c r="FA217" i="56"/>
  <c r="EZ217" i="56"/>
  <c r="EX217" i="56"/>
  <c r="EV217" i="56"/>
  <c r="EU217" i="56"/>
  <c r="EY217" i="56"/>
  <c r="EW217" i="56"/>
  <c r="ES217" i="56"/>
  <c r="ET217" i="56"/>
  <c r="BY71" i="56" a="1"/>
  <c r="BY71" i="56" s="1"/>
  <c r="DU71" i="56" s="1"/>
  <c r="BL71" i="56"/>
  <c r="FG87" i="56" a="1"/>
  <c r="FG87" i="56" s="1"/>
  <c r="FH87" i="56"/>
  <c r="CJ103" i="56"/>
  <c r="CK103" i="56" s="1"/>
  <c r="CQ167" i="56" a="1"/>
  <c r="CQ167" i="56" s="1"/>
  <c r="CP167" i="56" a="1"/>
  <c r="CP167" i="56" s="1"/>
  <c r="CO167" i="56" a="1"/>
  <c r="CO167" i="56" s="1"/>
  <c r="CR167" i="56"/>
  <c r="DH167" i="56" s="1"/>
  <c r="P231" i="56" a="1"/>
  <c r="P231" i="56" s="1"/>
  <c r="BL231" i="56"/>
  <c r="CJ263" i="56"/>
  <c r="CK263" i="56" s="1"/>
  <c r="CJ279" i="56"/>
  <c r="CK279" i="56" s="1"/>
  <c r="CW279" i="56" s="1"/>
  <c r="FH54" i="56"/>
  <c r="FG54" i="56" a="1"/>
  <c r="FG54" i="56" s="1"/>
  <c r="FI54" i="56" s="1"/>
  <c r="EY106" i="56"/>
  <c r="EW106" i="56"/>
  <c r="ES106" i="56"/>
  <c r="EZ106" i="56"/>
  <c r="ET106" i="56"/>
  <c r="ER106" i="56"/>
  <c r="EV106" i="56" s="1"/>
  <c r="EX106" i="56"/>
  <c r="EU106" i="56"/>
  <c r="EY170" i="56"/>
  <c r="FA170" i="56"/>
  <c r="ET170" i="56"/>
  <c r="EX170" i="56"/>
  <c r="EZ170" i="56"/>
  <c r="EW170" i="56"/>
  <c r="EV170" i="56"/>
  <c r="ES170" i="56"/>
  <c r="EU170" i="56"/>
  <c r="EY234" i="56"/>
  <c r="EZ234" i="56"/>
  <c r="EU234" i="56"/>
  <c r="EV234" i="56"/>
  <c r="EW234" i="56"/>
  <c r="EX234" i="56"/>
  <c r="ET234" i="56"/>
  <c r="ES234" i="56"/>
  <c r="EY298" i="56"/>
  <c r="EZ298" i="56"/>
  <c r="EX298" i="56"/>
  <c r="ET298" i="56"/>
  <c r="EV298" i="56"/>
  <c r="EU298" i="56"/>
  <c r="ES298" i="56"/>
  <c r="EW298" i="56"/>
  <c r="CQ328" i="56" a="1"/>
  <c r="CQ328" i="56" s="1"/>
  <c r="CP328" i="56" a="1"/>
  <c r="CP328" i="56" s="1"/>
  <c r="CO328" i="56" a="1"/>
  <c r="CO328" i="56" s="1"/>
  <c r="CR328" i="56"/>
  <c r="DH328" i="56" s="1"/>
  <c r="CJ73" i="56"/>
  <c r="CK73" i="56" s="1"/>
  <c r="CQ89" i="56" a="1"/>
  <c r="CQ89" i="56" s="1"/>
  <c r="CP89" i="56" a="1"/>
  <c r="CP89" i="56" s="1"/>
  <c r="CO89" i="56" a="1"/>
  <c r="CO89" i="56" s="1"/>
  <c r="CR89" i="56"/>
  <c r="DH89" i="56" s="1"/>
  <c r="CR185" i="56"/>
  <c r="DH185" i="56" s="1"/>
  <c r="CP185" i="56" a="1"/>
  <c r="CP185" i="56" s="1"/>
  <c r="CO185" i="56" a="1"/>
  <c r="CO185" i="56" s="1"/>
  <c r="CQ185" i="56" a="1"/>
  <c r="CQ185" i="56" s="1"/>
  <c r="DV201" i="56"/>
  <c r="CR329" i="56"/>
  <c r="CQ329" i="56" a="1"/>
  <c r="CQ329" i="56" s="1"/>
  <c r="CP329" i="56" a="1"/>
  <c r="CP329" i="56" s="1"/>
  <c r="CO329" i="56" a="1"/>
  <c r="CO329" i="56" s="1"/>
  <c r="CQ294" i="56" a="1"/>
  <c r="CQ294" i="56" s="1"/>
  <c r="CR294" i="56"/>
  <c r="DH294" i="56" s="1"/>
  <c r="CP294" i="56" a="1"/>
  <c r="CP294" i="56" s="1"/>
  <c r="CO294" i="56" a="1"/>
  <c r="CO294" i="56" s="1"/>
  <c r="FG10" i="56" a="1"/>
  <c r="FG10" i="56" s="1"/>
  <c r="FH10" i="56"/>
  <c r="EX44" i="56"/>
  <c r="EZ44" i="56"/>
  <c r="EY44" i="56"/>
  <c r="ET44" i="56"/>
  <c r="ES44" i="56"/>
  <c r="EU44" i="56"/>
  <c r="EV44" i="56"/>
  <c r="EW44" i="56"/>
  <c r="EX140" i="56"/>
  <c r="EY140" i="56"/>
  <c r="EZ140" i="56"/>
  <c r="ES140" i="56"/>
  <c r="EU140" i="56"/>
  <c r="EW140" i="56"/>
  <c r="ER140" i="56"/>
  <c r="EV140" i="56" s="1"/>
  <c r="ET140" i="56"/>
  <c r="IP301" i="56"/>
  <c r="FL301" i="56"/>
  <c r="FM301" i="56" s="1"/>
  <c r="FO301" i="56" s="1" a="1"/>
  <c r="FO301" i="56" s="1"/>
  <c r="FF301" i="56"/>
  <c r="FB301" i="56"/>
  <c r="DC301" i="56"/>
  <c r="GF36" i="56"/>
  <c r="EW222" i="56"/>
  <c r="EY222" i="56"/>
  <c r="ER222" i="56"/>
  <c r="EX222" i="56"/>
  <c r="ES222" i="56"/>
  <c r="ET222" i="56"/>
  <c r="EZ222" i="56"/>
  <c r="EV222" i="56"/>
  <c r="EU222" i="56"/>
  <c r="FG268" i="56" a="1"/>
  <c r="FG268" i="56" s="1"/>
  <c r="FH268" i="56"/>
  <c r="FG316" i="56" a="1"/>
  <c r="FG316" i="56" s="1"/>
  <c r="FH316" i="56"/>
  <c r="BY316" i="56" a="1"/>
  <c r="BY316" i="56" s="1"/>
  <c r="FA316" i="56" s="1"/>
  <c r="BL77" i="56"/>
  <c r="BY77" i="56" a="1"/>
  <c r="BY77" i="56" s="1"/>
  <c r="EI251" i="56"/>
  <c r="S251" i="56" s="1"/>
  <c r="FY157" i="56"/>
  <c r="FB157" i="56"/>
  <c r="EU194" i="56"/>
  <c r="EZ194" i="56"/>
  <c r="EY194" i="56"/>
  <c r="ES194" i="56"/>
  <c r="EX194" i="56"/>
  <c r="ET194" i="56"/>
  <c r="EW194" i="56"/>
  <c r="EV194" i="56"/>
  <c r="BY194" i="56" a="1"/>
  <c r="BY194" i="56" s="1"/>
  <c r="DU194" i="56" s="1"/>
  <c r="EZ25" i="56"/>
  <c r="EY25" i="56"/>
  <c r="FA25" i="56"/>
  <c r="EX25" i="56"/>
  <c r="EW25" i="56"/>
  <c r="EV25" i="56"/>
  <c r="ER25" i="56"/>
  <c r="ES25" i="56"/>
  <c r="ET25" i="56"/>
  <c r="EU25" i="56"/>
  <c r="AX21" i="55"/>
  <c r="AY21" i="55" s="1" a="1"/>
  <c r="AY21" i="55" s="1"/>
  <c r="EY313" i="56"/>
  <c r="EX313" i="56"/>
  <c r="ES313" i="56"/>
  <c r="EW313" i="56"/>
  <c r="FA313" i="56"/>
  <c r="EV313" i="56"/>
  <c r="EU313" i="56"/>
  <c r="ER313" i="56"/>
  <c r="ET313" i="56"/>
  <c r="EZ313" i="56"/>
  <c r="FG71" i="56" a="1"/>
  <c r="FG71" i="56" s="1"/>
  <c r="FH71" i="56"/>
  <c r="CP103" i="56" a="1"/>
  <c r="CP103" i="56" s="1"/>
  <c r="CO103" i="56" a="1"/>
  <c r="CO103" i="56" s="1"/>
  <c r="CR103" i="56"/>
  <c r="DH103" i="56" s="1"/>
  <c r="CQ103" i="56" a="1"/>
  <c r="CQ103" i="56" s="1"/>
  <c r="CR279" i="56"/>
  <c r="CU279" i="56" s="1"/>
  <c r="CO279" i="56" a="1"/>
  <c r="CO279" i="56" s="1"/>
  <c r="CP279" i="56" a="1"/>
  <c r="CP279" i="56" s="1"/>
  <c r="CQ279" i="56" a="1"/>
  <c r="CQ279" i="56" s="1"/>
  <c r="BY327" i="56" a="1"/>
  <c r="BY327" i="56" s="1"/>
  <c r="DU327" i="56" s="1"/>
  <c r="CJ343" i="56"/>
  <c r="CK343" i="56" s="1"/>
  <c r="GN185" i="56"/>
  <c r="IK185" i="56" s="1"/>
  <c r="GO185" i="56"/>
  <c r="FS135" i="56"/>
  <c r="FP135" i="56"/>
  <c r="CR312" i="56"/>
  <c r="DH312" i="56" s="1"/>
  <c r="CP312" i="56" a="1"/>
  <c r="CP312" i="56" s="1"/>
  <c r="CO312" i="56" a="1"/>
  <c r="CO312" i="56" s="1"/>
  <c r="CQ312" i="56" a="1"/>
  <c r="CQ312" i="56" s="1"/>
  <c r="FG9" i="56" a="1"/>
  <c r="FG9" i="56" s="1"/>
  <c r="FH9" i="56"/>
  <c r="BY219" i="56" a="1"/>
  <c r="BY219" i="56" s="1"/>
  <c r="EK229" i="56"/>
  <c r="EL229" i="56"/>
  <c r="FG313" i="56" a="1"/>
  <c r="FG313" i="56" s="1"/>
  <c r="FH313" i="56"/>
  <c r="FG56" i="56" a="1"/>
  <c r="FG56" i="56" s="1"/>
  <c r="FH56" i="56"/>
  <c r="FY60" i="56"/>
  <c r="P60" i="56" a="1"/>
  <c r="P60" i="56" s="1"/>
  <c r="EF60" i="56" s="1"/>
  <c r="EG60" i="56" s="1"/>
  <c r="EI22" i="56"/>
  <c r="S22" i="56" s="1"/>
  <c r="BL103" i="56"/>
  <c r="EW94" i="56"/>
  <c r="EY94" i="56"/>
  <c r="FA94" i="56"/>
  <c r="ES94" i="56"/>
  <c r="EX94" i="56"/>
  <c r="EU94" i="56"/>
  <c r="EZ94" i="56"/>
  <c r="ET94" i="56"/>
  <c r="ER94" i="56"/>
  <c r="EV94" i="56" s="1"/>
  <c r="FG156" i="56" a="1"/>
  <c r="FG156" i="56" s="1"/>
  <c r="FI156" i="56" s="1"/>
  <c r="FH156" i="56"/>
  <c r="FY79" i="56"/>
  <c r="FB79" i="56"/>
  <c r="FY303" i="56"/>
  <c r="P303" i="56" a="1"/>
  <c r="P303" i="56" s="1"/>
  <c r="DI303" i="56" s="1"/>
  <c r="ET96" i="56"/>
  <c r="EY96" i="56"/>
  <c r="EZ96" i="56"/>
  <c r="ER96" i="56"/>
  <c r="EV96" i="56" s="1"/>
  <c r="EX96" i="56"/>
  <c r="EW96" i="56"/>
  <c r="EU96" i="56"/>
  <c r="ES96" i="56"/>
  <c r="BY96" i="56" a="1"/>
  <c r="BY96" i="56" s="1"/>
  <c r="EY157" i="56"/>
  <c r="EZ157" i="56"/>
  <c r="ES157" i="56"/>
  <c r="ET157" i="56"/>
  <c r="EX157" i="56"/>
  <c r="EV157" i="56"/>
  <c r="EU157" i="56"/>
  <c r="EW157" i="56"/>
  <c r="EK288" i="56"/>
  <c r="DV288" i="56"/>
  <c r="CR98" i="56"/>
  <c r="DH98" i="56" s="1"/>
  <c r="CP98" i="56" a="1"/>
  <c r="CP98" i="56" s="1"/>
  <c r="CO98" i="56" a="1"/>
  <c r="CO98" i="56" s="1"/>
  <c r="CQ98" i="56" a="1"/>
  <c r="CQ98" i="56" s="1"/>
  <c r="EK324" i="56"/>
  <c r="DV324" i="56"/>
  <c r="BL104" i="56"/>
  <c r="EK52" i="56"/>
  <c r="DV52" i="56"/>
  <c r="FY264" i="56"/>
  <c r="EI348" i="56"/>
  <c r="S348" i="56" s="1"/>
  <c r="EI141" i="56"/>
  <c r="CW164" i="56"/>
  <c r="DA164" i="56" s="1"/>
  <c r="FG62" i="56" a="1"/>
  <c r="FG62" i="56" s="1"/>
  <c r="FH62" i="56"/>
  <c r="BY62" i="56" a="1"/>
  <c r="BY62" i="56" s="1"/>
  <c r="FA62" i="56" s="1"/>
  <c r="FH94" i="56"/>
  <c r="FG94" i="56" a="1"/>
  <c r="FG94" i="56" s="1"/>
  <c r="CR174" i="56"/>
  <c r="DH174" i="56" s="1"/>
  <c r="CQ174" i="56" a="1"/>
  <c r="CQ174" i="56" s="1"/>
  <c r="CP174" i="56" a="1"/>
  <c r="CP174" i="56" s="1"/>
  <c r="CO174" i="56" a="1"/>
  <c r="CO174" i="56" s="1"/>
  <c r="CR286" i="56"/>
  <c r="DH286" i="56" s="1"/>
  <c r="CP286" i="56" a="1"/>
  <c r="CP286" i="56" s="1"/>
  <c r="CQ286" i="56" a="1"/>
  <c r="CQ286" i="56" s="1"/>
  <c r="CO286" i="56" a="1"/>
  <c r="CO286" i="56" s="1"/>
  <c r="HV44" i="56"/>
  <c r="FS174" i="56"/>
  <c r="FP174" i="56"/>
  <c r="IP311" i="56"/>
  <c r="FF311" i="56"/>
  <c r="FB311" i="56"/>
  <c r="FL311" i="56"/>
  <c r="FM311" i="56" s="1"/>
  <c r="FO311" i="56" s="1" a="1"/>
  <c r="FO311" i="56" s="1"/>
  <c r="DH311" i="56"/>
  <c r="DC311" i="56"/>
  <c r="GF175" i="56"/>
  <c r="S166" i="56"/>
  <c r="GD313" i="56"/>
  <c r="GE313" i="56" s="1"/>
  <c r="CQ95" i="56" a="1"/>
  <c r="CQ95" i="56" s="1"/>
  <c r="CP95" i="56" a="1"/>
  <c r="CP95" i="56" s="1"/>
  <c r="CO95" i="56" a="1"/>
  <c r="CO95" i="56" s="1"/>
  <c r="CR95" i="56"/>
  <c r="DH95" i="56" s="1"/>
  <c r="CQ207" i="56" a="1"/>
  <c r="CQ207" i="56" s="1"/>
  <c r="CR207" i="56"/>
  <c r="CP207" i="56" a="1"/>
  <c r="CP207" i="56" s="1"/>
  <c r="CO207" i="56" a="1"/>
  <c r="CO207" i="56" s="1"/>
  <c r="IP329" i="56"/>
  <c r="FF329" i="56"/>
  <c r="FL329" i="56"/>
  <c r="FM329" i="56" s="1"/>
  <c r="FO329" i="56" s="1" a="1"/>
  <c r="FO329" i="56" s="1"/>
  <c r="FB329" i="56"/>
  <c r="DH329" i="56"/>
  <c r="DC329" i="56"/>
  <c r="CK329" i="56"/>
  <c r="GF177" i="56"/>
  <c r="EI120" i="56"/>
  <c r="EF232" i="56"/>
  <c r="EG232" i="56" s="1"/>
  <c r="EF328" i="56"/>
  <c r="EG328" i="56" s="1"/>
  <c r="BY293" i="56" a="1"/>
  <c r="BY293" i="56" s="1"/>
  <c r="P293" i="56" s="1" a="1"/>
  <c r="P293" i="56" s="1"/>
  <c r="DI293" i="56" s="1"/>
  <c r="GF291" i="56"/>
  <c r="GF57" i="56"/>
  <c r="EI208" i="56"/>
  <c r="EF319" i="56"/>
  <c r="EG319" i="56" s="1"/>
  <c r="CJ284" i="56"/>
  <c r="CK284" i="56" s="1"/>
  <c r="DL28" i="56"/>
  <c r="DJ28" i="56"/>
  <c r="FY298" i="56"/>
  <c r="EZ279" i="56"/>
  <c r="ET279" i="56"/>
  <c r="EX279" i="56"/>
  <c r="ES279" i="56"/>
  <c r="EW279" i="56"/>
  <c r="EY279" i="56"/>
  <c r="EV279" i="56"/>
  <c r="FA279" i="56"/>
  <c r="EU279" i="56"/>
  <c r="BL85" i="56"/>
  <c r="P85" i="56" a="1"/>
  <c r="P85" i="56" s="1"/>
  <c r="DI85" i="56" s="1"/>
  <c r="BL101" i="56"/>
  <c r="BY101" i="56" a="1"/>
  <c r="BY101" i="56" s="1"/>
  <c r="FG197" i="56" a="1"/>
  <c r="FG197" i="56" s="1"/>
  <c r="FH197" i="56"/>
  <c r="BL213" i="56"/>
  <c r="CJ261" i="56"/>
  <c r="CK261" i="56" s="1"/>
  <c r="CW261" i="56" s="1"/>
  <c r="CR341" i="56"/>
  <c r="DH341" i="56" s="1"/>
  <c r="CQ341" i="56" a="1"/>
  <c r="CQ341" i="56" s="1"/>
  <c r="CP341" i="56" a="1"/>
  <c r="CP341" i="56" s="1"/>
  <c r="CO341" i="56" a="1"/>
  <c r="CO341" i="56" s="1"/>
  <c r="FG330" i="56" a="1"/>
  <c r="FG330" i="56" s="1"/>
  <c r="FH330" i="56"/>
  <c r="GF238" i="56"/>
  <c r="AX14" i="55"/>
  <c r="AY14" i="55" s="1" a="1"/>
  <c r="AY14" i="55" s="1"/>
  <c r="EZ88" i="56"/>
  <c r="EY88" i="56"/>
  <c r="EW88" i="56"/>
  <c r="EU88" i="56"/>
  <c r="FA88" i="56"/>
  <c r="EX88" i="56"/>
  <c r="ES88" i="56"/>
  <c r="ET88" i="56"/>
  <c r="ER88" i="56"/>
  <c r="EV88" i="56"/>
  <c r="CO38" i="56" a="1"/>
  <c r="CO38" i="56" s="1"/>
  <c r="CP38" i="56" a="1"/>
  <c r="CP38" i="56" s="1"/>
  <c r="CQ38" i="56" a="1"/>
  <c r="CQ38" i="56" s="1"/>
  <c r="CR38" i="56"/>
  <c r="DH38" i="56" s="1"/>
  <c r="CP86" i="56" a="1"/>
  <c r="CP86" i="56" s="1"/>
  <c r="CQ86" i="56" a="1"/>
  <c r="CQ86" i="56" s="1"/>
  <c r="CO86" i="56" a="1"/>
  <c r="CO86" i="56" s="1"/>
  <c r="CR86" i="56"/>
  <c r="DH86" i="56" s="1"/>
  <c r="BY134" i="56" a="1"/>
  <c r="BY134" i="56" s="1"/>
  <c r="DU134" i="56" s="1"/>
  <c r="BL134" i="56"/>
  <c r="CP214" i="56" a="1"/>
  <c r="CP214" i="56" s="1"/>
  <c r="CR214" i="56"/>
  <c r="DH214" i="56" s="1"/>
  <c r="CO214" i="56" a="1"/>
  <c r="CO214" i="56" s="1"/>
  <c r="CQ214" i="56" a="1"/>
  <c r="CQ214" i="56" s="1"/>
  <c r="CJ101" i="56"/>
  <c r="CK101" i="56" s="1"/>
  <c r="CW101" i="56" s="1"/>
  <c r="DA101" i="56" s="1"/>
  <c r="EI211" i="56"/>
  <c r="S211" i="56" s="1"/>
  <c r="EI339" i="56"/>
  <c r="S339" i="56" s="1"/>
  <c r="FY250" i="56"/>
  <c r="P250" i="56" a="1"/>
  <c r="P250" i="56" s="1"/>
  <c r="FA41" i="56"/>
  <c r="EY41" i="56"/>
  <c r="ES41" i="56"/>
  <c r="EZ41" i="56"/>
  <c r="EU41" i="56"/>
  <c r="EX41" i="56"/>
  <c r="EW41" i="56"/>
  <c r="ET41" i="56"/>
  <c r="EV41" i="56"/>
  <c r="EZ137" i="56"/>
  <c r="EU137" i="56"/>
  <c r="EY137" i="56"/>
  <c r="ET137" i="56"/>
  <c r="FA137" i="56"/>
  <c r="EX137" i="56"/>
  <c r="ER137" i="56"/>
  <c r="EV137" i="56" s="1"/>
  <c r="EW137" i="56"/>
  <c r="ES137" i="56"/>
  <c r="BL39" i="56"/>
  <c r="BY39" i="56" a="1"/>
  <c r="BY39" i="56" s="1"/>
  <c r="BL135" i="56"/>
  <c r="P135" i="56" a="1"/>
  <c r="P135" i="56" s="1"/>
  <c r="FH167" i="56"/>
  <c r="FG167" i="56" a="1"/>
  <c r="FG167" i="56" s="1"/>
  <c r="BL215" i="56"/>
  <c r="P215" i="56" a="1"/>
  <c r="P215" i="56" s="1"/>
  <c r="CP231" i="56" a="1"/>
  <c r="CP231" i="56" s="1"/>
  <c r="CR231" i="56"/>
  <c r="DH231" i="56" s="1"/>
  <c r="CQ231" i="56" a="1"/>
  <c r="CQ231" i="56" s="1"/>
  <c r="CO231" i="56" a="1"/>
  <c r="CO231" i="56" s="1"/>
  <c r="CR247" i="56"/>
  <c r="DH247" i="56" s="1"/>
  <c r="CQ247" i="56" a="1"/>
  <c r="CQ247" i="56" s="1"/>
  <c r="CO247" i="56" a="1"/>
  <c r="CO247" i="56" s="1"/>
  <c r="CP247" i="56" a="1"/>
  <c r="CP247" i="56" s="1"/>
  <c r="FG311" i="56" a="1"/>
  <c r="FG311" i="56" s="1"/>
  <c r="FH311" i="56"/>
  <c r="T4" i="56"/>
  <c r="EY314" i="56"/>
  <c r="ES314" i="56"/>
  <c r="EX314" i="56"/>
  <c r="ET314" i="56"/>
  <c r="EW314" i="56"/>
  <c r="EZ314" i="56"/>
  <c r="EU314" i="56"/>
  <c r="ER314" i="56"/>
  <c r="EV314" i="56" s="1"/>
  <c r="FH168" i="56"/>
  <c r="FG168" i="56" a="1"/>
  <c r="FG168" i="56" s="1"/>
  <c r="BY168" i="56" a="1"/>
  <c r="BY168" i="56" s="1"/>
  <c r="P168" i="56" s="1" a="1"/>
  <c r="P168" i="56" s="1"/>
  <c r="CR184" i="56"/>
  <c r="DH184" i="56" s="1"/>
  <c r="CP184" i="56" a="1"/>
  <c r="CP184" i="56" s="1"/>
  <c r="CO184" i="56" a="1"/>
  <c r="CO184" i="56" s="1"/>
  <c r="CQ184" i="56" a="1"/>
  <c r="CQ184" i="56" s="1"/>
  <c r="FG232" i="56" a="1"/>
  <c r="FG232" i="56" s="1"/>
  <c r="FH232" i="56"/>
  <c r="FG248" i="56" a="1"/>
  <c r="FG248" i="56" s="1"/>
  <c r="FH248" i="56"/>
  <c r="FG295" i="56" a="1"/>
  <c r="FG295" i="56" s="1"/>
  <c r="FH295" i="56"/>
  <c r="BL28" i="56"/>
  <c r="E28" i="56" s="1"/>
  <c r="BM28" i="56" s="1"/>
  <c r="BN28" i="56" s="1"/>
  <c r="BY28" i="56" a="1"/>
  <c r="BY28" i="56" s="1"/>
  <c r="DU28" i="56" s="1"/>
  <c r="EX60" i="56"/>
  <c r="FA60" i="56"/>
  <c r="EY60" i="56"/>
  <c r="ET60" i="56"/>
  <c r="EW60" i="56"/>
  <c r="ES60" i="56"/>
  <c r="EZ60" i="56"/>
  <c r="EU60" i="56"/>
  <c r="ER60" i="56"/>
  <c r="EV60" i="56" s="1"/>
  <c r="FH186" i="56"/>
  <c r="FG186" i="56" a="1"/>
  <c r="FG186" i="56" s="1"/>
  <c r="EK169" i="56"/>
  <c r="DV169" i="56"/>
  <c r="EW110" i="56"/>
  <c r="EX110" i="56"/>
  <c r="ES110" i="56"/>
  <c r="EY110" i="56"/>
  <c r="ET110" i="56"/>
  <c r="ER110" i="56"/>
  <c r="EV110" i="56" s="1"/>
  <c r="EU110" i="56"/>
  <c r="FA110" i="56"/>
  <c r="EZ110" i="56"/>
  <c r="FG60" i="56" a="1"/>
  <c r="FG60" i="56" s="1"/>
  <c r="FH60" i="56"/>
  <c r="FG309" i="56" a="1"/>
  <c r="FG309" i="56" s="1"/>
  <c r="FH309" i="56"/>
  <c r="GF231" i="56"/>
  <c r="FY314" i="56"/>
  <c r="EI174" i="56"/>
  <c r="S174" i="56" s="1"/>
  <c r="FH162" i="56"/>
  <c r="FG162" i="56" a="1"/>
  <c r="FG162" i="56" s="1"/>
  <c r="FI162" i="56" s="1"/>
  <c r="FH67" i="56"/>
  <c r="FG67" i="56" a="1"/>
  <c r="FG67" i="56" s="1"/>
  <c r="BY67" i="56" a="1"/>
  <c r="BY67" i="56" s="1"/>
  <c r="CR62" i="56"/>
  <c r="DH62" i="56" s="1"/>
  <c r="CQ62" i="56" a="1"/>
  <c r="CQ62" i="56" s="1"/>
  <c r="CO62" i="56" a="1"/>
  <c r="CO62" i="56" s="1"/>
  <c r="CP62" i="56" a="1"/>
  <c r="CP62" i="56" s="1"/>
  <c r="CR94" i="56"/>
  <c r="DH94" i="56" s="1"/>
  <c r="CQ94" i="56" a="1"/>
  <c r="CQ94" i="56" s="1"/>
  <c r="CP94" i="56" a="1"/>
  <c r="CP94" i="56" s="1"/>
  <c r="CO94" i="56" a="1"/>
  <c r="CO94" i="56" s="1"/>
  <c r="FH238" i="56"/>
  <c r="FG238" i="56" a="1"/>
  <c r="FG238" i="56" s="1"/>
  <c r="FI238" i="56" s="1"/>
  <c r="BY238" i="56" a="1"/>
  <c r="BY238" i="56" s="1"/>
  <c r="FG318" i="56" a="1"/>
  <c r="FG318" i="56" s="1"/>
  <c r="FH318" i="56"/>
  <c r="BY318" i="56" a="1"/>
  <c r="BY318" i="56" s="1"/>
  <c r="FA318" i="56" s="1"/>
  <c r="GF191" i="56"/>
  <c r="GF319" i="56"/>
  <c r="FH31" i="56"/>
  <c r="FG31" i="56" a="1"/>
  <c r="FG31" i="56" s="1"/>
  <c r="CJ207" i="56"/>
  <c r="CP271" i="56" a="1"/>
  <c r="CP271" i="56" s="1"/>
  <c r="CO271" i="56" a="1"/>
  <c r="CO271" i="56" s="1"/>
  <c r="CQ271" i="56" a="1"/>
  <c r="CQ271" i="56" s="1"/>
  <c r="CR271" i="56"/>
  <c r="CR319" i="56"/>
  <c r="DH319" i="56" s="1"/>
  <c r="CQ319" i="56" a="1"/>
  <c r="CQ319" i="56" s="1"/>
  <c r="CP319" i="56" a="1"/>
  <c r="CP319" i="56" s="1"/>
  <c r="CO319" i="56" a="1"/>
  <c r="CO319" i="56" s="1"/>
  <c r="GF321" i="56"/>
  <c r="EI248" i="56"/>
  <c r="S248" i="56" s="1"/>
  <c r="CW231" i="56"/>
  <c r="GF82" i="56"/>
  <c r="GF226" i="56"/>
  <c r="GF19" i="56"/>
  <c r="CW153" i="56"/>
  <c r="IP84" i="56"/>
  <c r="IQ84" i="56"/>
  <c r="FB84" i="56"/>
  <c r="FL84" i="56"/>
  <c r="FM84" i="56" s="1"/>
  <c r="FO84" i="56" s="1" a="1"/>
  <c r="FO84" i="56" s="1"/>
  <c r="FD84" i="56"/>
  <c r="M84" i="56" s="1"/>
  <c r="FE84" i="56" s="1"/>
  <c r="FF84" i="56" s="1"/>
  <c r="DF84" i="56"/>
  <c r="DG84" i="56" s="1"/>
  <c r="DC84" i="56"/>
  <c r="CK84" i="56"/>
  <c r="CW84" i="56" s="1"/>
  <c r="DA84" i="56" s="1"/>
  <c r="EI272" i="56"/>
  <c r="CW319" i="56"/>
  <c r="DA319" i="56" s="1"/>
  <c r="FY350" i="56"/>
  <c r="FB350" i="56"/>
  <c r="P350" i="56" a="1"/>
  <c r="P350" i="56" s="1"/>
  <c r="EZ7" i="56"/>
  <c r="EY7" i="56"/>
  <c r="FA7" i="56"/>
  <c r="EX7" i="56"/>
  <c r="ER7" i="56"/>
  <c r="ET7" i="56"/>
  <c r="EU7" i="56"/>
  <c r="EW7" i="56"/>
  <c r="EV7" i="56"/>
  <c r="ES7" i="56"/>
  <c r="FA87" i="56"/>
  <c r="EW87" i="56"/>
  <c r="EZ87" i="56"/>
  <c r="EU87" i="56"/>
  <c r="ER87" i="56"/>
  <c r="EV87" i="56" s="1"/>
  <c r="EX87" i="56"/>
  <c r="ES87" i="56"/>
  <c r="ET87" i="56"/>
  <c r="EY87" i="56"/>
  <c r="FA151" i="56"/>
  <c r="ER151" i="56"/>
  <c r="EV151" i="56" s="1"/>
  <c r="EW151" i="56"/>
  <c r="EZ151" i="56"/>
  <c r="ET151" i="56"/>
  <c r="ES151" i="56"/>
  <c r="EU151" i="56"/>
  <c r="EY151" i="56"/>
  <c r="EX151" i="56"/>
  <c r="EW215" i="56"/>
  <c r="EZ215" i="56"/>
  <c r="FA215" i="56"/>
  <c r="EV215" i="56"/>
  <c r="EX215" i="56"/>
  <c r="EU215" i="56"/>
  <c r="EY215" i="56"/>
  <c r="ET215" i="56"/>
  <c r="ES215" i="56"/>
  <c r="FY295" i="56"/>
  <c r="FB295" i="56"/>
  <c r="FG21" i="56" a="1"/>
  <c r="FG21" i="56" s="1"/>
  <c r="FH21" i="56"/>
  <c r="BL197" i="56"/>
  <c r="P197" i="56" a="1"/>
  <c r="P197" i="56" s="1"/>
  <c r="FH229" i="56"/>
  <c r="FG229" i="56" a="1"/>
  <c r="FG229" i="56" s="1"/>
  <c r="CO245" i="56" a="1"/>
  <c r="CO245" i="56" s="1"/>
  <c r="CQ245" i="56" a="1"/>
  <c r="CQ245" i="56" s="1"/>
  <c r="CP245" i="56" a="1"/>
  <c r="CP245" i="56" s="1"/>
  <c r="CR245" i="56"/>
  <c r="DH245" i="56" s="1"/>
  <c r="FH341" i="56"/>
  <c r="FG341" i="56" a="1"/>
  <c r="FG341" i="56" s="1"/>
  <c r="CW238" i="56"/>
  <c r="CW318" i="56"/>
  <c r="DA318" i="56" s="1"/>
  <c r="BL153" i="56"/>
  <c r="EV152" i="56"/>
  <c r="FH150" i="56"/>
  <c r="FG150" i="56" a="1"/>
  <c r="FG150" i="56" s="1"/>
  <c r="CR166" i="56"/>
  <c r="DH166" i="56" s="1"/>
  <c r="CQ166" i="56" a="1"/>
  <c r="CQ166" i="56" s="1"/>
  <c r="CP166" i="56" a="1"/>
  <c r="CP166" i="56" s="1"/>
  <c r="CO166" i="56" a="1"/>
  <c r="CO166" i="56" s="1"/>
  <c r="CR230" i="56"/>
  <c r="DH230" i="56" s="1"/>
  <c r="CQ230" i="56" a="1"/>
  <c r="CQ230" i="56" s="1"/>
  <c r="CP230" i="56" a="1"/>
  <c r="CP230" i="56" s="1"/>
  <c r="CO230" i="56" a="1"/>
  <c r="CO230" i="56" s="1"/>
  <c r="BY278" i="56" a="1"/>
  <c r="BY278" i="56" s="1"/>
  <c r="BL278" i="56"/>
  <c r="FH294" i="56"/>
  <c r="FG294" i="56" a="1"/>
  <c r="FG294" i="56" s="1"/>
  <c r="FI294" i="56" s="1"/>
  <c r="FS15" i="56"/>
  <c r="FP15" i="56"/>
  <c r="BY20" i="55" s="1" a="1"/>
  <c r="BY20" i="55" s="1"/>
  <c r="FY302" i="56"/>
  <c r="GC259" i="56"/>
  <c r="EZ329" i="56"/>
  <c r="ER329" i="56"/>
  <c r="EV329" i="56" s="1"/>
  <c r="EX329" i="56"/>
  <c r="ET329" i="56"/>
  <c r="EW329" i="56"/>
  <c r="ES329" i="56"/>
  <c r="EU329" i="56"/>
  <c r="EY329" i="56"/>
  <c r="CQ87" i="56" a="1"/>
  <c r="CQ87" i="56" s="1"/>
  <c r="CR87" i="56"/>
  <c r="DH87" i="56" s="1"/>
  <c r="CP87" i="56" a="1"/>
  <c r="CP87" i="56" s="1"/>
  <c r="CO87" i="56" a="1"/>
  <c r="CO87" i="56" s="1"/>
  <c r="FH151" i="56"/>
  <c r="FG151" i="56" a="1"/>
  <c r="FG151" i="56" s="1"/>
  <c r="BL311" i="56"/>
  <c r="P311" i="56" a="1"/>
  <c r="P311" i="56" s="1"/>
  <c r="CQ327" i="56" a="1"/>
  <c r="CQ327" i="56" s="1"/>
  <c r="CP327" i="56" a="1"/>
  <c r="CP327" i="56" s="1"/>
  <c r="CO327" i="56" a="1"/>
  <c r="CO327" i="56" s="1"/>
  <c r="CR327" i="56"/>
  <c r="DH327" i="56" s="1"/>
  <c r="FP233" i="56"/>
  <c r="FS233" i="56"/>
  <c r="EY122" i="56"/>
  <c r="EW122" i="56"/>
  <c r="EU122" i="56"/>
  <c r="EZ122" i="56"/>
  <c r="FA122" i="56"/>
  <c r="EX122" i="56"/>
  <c r="ER122" i="56"/>
  <c r="EV122" i="56" s="1"/>
  <c r="ET122" i="56"/>
  <c r="ES122" i="56"/>
  <c r="EY186" i="56"/>
  <c r="FA186" i="56"/>
  <c r="EX186" i="56"/>
  <c r="EV186" i="56"/>
  <c r="EU186" i="56"/>
  <c r="EW186" i="56"/>
  <c r="ES186" i="56"/>
  <c r="EZ186" i="56"/>
  <c r="ET186" i="56"/>
  <c r="EY250" i="56"/>
  <c r="EX250" i="56"/>
  <c r="EV250" i="56"/>
  <c r="ET250" i="56"/>
  <c r="EW250" i="56"/>
  <c r="FA250" i="56"/>
  <c r="EU250" i="56"/>
  <c r="EZ250" i="56"/>
  <c r="ES250" i="56"/>
  <c r="CR72" i="56"/>
  <c r="DH72" i="56" s="1"/>
  <c r="CQ72" i="56" a="1"/>
  <c r="CQ72" i="56" s="1"/>
  <c r="CO72" i="56" a="1"/>
  <c r="CO72" i="56" s="1"/>
  <c r="CP72" i="56" a="1"/>
  <c r="CP72" i="56" s="1"/>
  <c r="CO120" i="56" a="1"/>
  <c r="CO120" i="56" s="1"/>
  <c r="CP120" i="56" a="1"/>
  <c r="CP120" i="56" s="1"/>
  <c r="CR120" i="56"/>
  <c r="DH120" i="56" s="1"/>
  <c r="CQ120" i="56" a="1"/>
  <c r="CQ120" i="56" s="1"/>
  <c r="CR248" i="56"/>
  <c r="DH248" i="56" s="1"/>
  <c r="CP248" i="56" a="1"/>
  <c r="CP248" i="56" s="1"/>
  <c r="CO248" i="56" a="1"/>
  <c r="CO248" i="56" s="1"/>
  <c r="CQ248" i="56" a="1"/>
  <c r="CQ248" i="56" s="1"/>
  <c r="FG296" i="56" a="1"/>
  <c r="FG296" i="56" s="1"/>
  <c r="FH296" i="56"/>
  <c r="EX11" i="56"/>
  <c r="EV11" i="56"/>
  <c r="ET11" i="56"/>
  <c r="EZ11" i="56"/>
  <c r="EY11" i="56"/>
  <c r="EU11" i="56"/>
  <c r="EW11" i="56"/>
  <c r="ES11" i="56"/>
  <c r="FH58" i="56"/>
  <c r="FG58" i="56" a="1"/>
  <c r="FG58" i="56" s="1"/>
  <c r="EI119" i="56"/>
  <c r="EI327" i="56"/>
  <c r="S327" i="56" s="1"/>
  <c r="IQ295" i="56"/>
  <c r="BY73" i="56" a="1"/>
  <c r="BY73" i="56" s="1"/>
  <c r="FA73" i="56" s="1"/>
  <c r="FS175" i="56"/>
  <c r="FP175" i="56"/>
  <c r="T186" i="56"/>
  <c r="GC186" i="56"/>
  <c r="EV16" i="56"/>
  <c r="EZ16" i="56"/>
  <c r="EY16" i="56"/>
  <c r="ES16" i="56"/>
  <c r="EU16" i="56"/>
  <c r="FA16" i="56"/>
  <c r="ER16" i="56"/>
  <c r="EX16" i="56"/>
  <c r="EW16" i="56"/>
  <c r="ET16" i="56"/>
  <c r="FA321" i="56"/>
  <c r="EZ321" i="56"/>
  <c r="EU321" i="56"/>
  <c r="ER321" i="56"/>
  <c r="EV321" i="56" s="1"/>
  <c r="EY321" i="56"/>
  <c r="ET321" i="56"/>
  <c r="EX321" i="56"/>
  <c r="EW321" i="56"/>
  <c r="ES321" i="56"/>
  <c r="BY321" i="56" a="1"/>
  <c r="BY321" i="56" s="1"/>
  <c r="DU321" i="56" s="1"/>
  <c r="EK306" i="56"/>
  <c r="DV306" i="56"/>
  <c r="EE306" i="56"/>
  <c r="BY272" i="56" a="1"/>
  <c r="BY272" i="56" s="1"/>
  <c r="DU272" i="56" s="1"/>
  <c r="BL272" i="56"/>
  <c r="EU82" i="56"/>
  <c r="FA82" i="56"/>
  <c r="EZ82" i="56"/>
  <c r="ER82" i="56"/>
  <c r="EV82" i="56" s="1"/>
  <c r="ET82" i="56"/>
  <c r="EW82" i="56"/>
  <c r="ES82" i="56"/>
  <c r="EY82" i="56"/>
  <c r="EX82" i="56"/>
  <c r="BY82" i="56" a="1"/>
  <c r="BY82" i="56" s="1"/>
  <c r="P82" i="56" s="1" a="1"/>
  <c r="P82" i="56" s="1"/>
  <c r="CR307" i="56"/>
  <c r="DH307" i="56" s="1"/>
  <c r="CP307" i="56" a="1"/>
  <c r="CP307" i="56" s="1"/>
  <c r="CQ307" i="56" a="1"/>
  <c r="CQ307" i="56" s="1"/>
  <c r="CO307" i="56" a="1"/>
  <c r="CO307" i="56" s="1"/>
  <c r="GF219" i="56"/>
  <c r="GF347" i="56"/>
  <c r="DU57" i="56"/>
  <c r="EF57" i="56" s="1"/>
  <c r="EG57" i="56" s="1"/>
  <c r="P57" i="56" a="1"/>
  <c r="P57" i="56" s="1"/>
  <c r="BY153" i="56" a="1"/>
  <c r="BY153" i="56" s="1"/>
  <c r="EZ249" i="56"/>
  <c r="EU249" i="56"/>
  <c r="ET249" i="56"/>
  <c r="EY249" i="56"/>
  <c r="EX249" i="56"/>
  <c r="EW249" i="56"/>
  <c r="ES249" i="56"/>
  <c r="FA249" i="56"/>
  <c r="EV249" i="56"/>
  <c r="CJ71" i="56"/>
  <c r="FH135" i="56"/>
  <c r="FG135" i="56" a="1"/>
  <c r="FG135" i="56" s="1"/>
  <c r="FI135" i="56" s="1"/>
  <c r="FG215" i="56" a="1"/>
  <c r="FG215" i="56" s="1"/>
  <c r="FH215" i="56"/>
  <c r="CJ311" i="56"/>
  <c r="CK311" i="56" s="1"/>
  <c r="DU58" i="56"/>
  <c r="P58" i="56" a="1"/>
  <c r="P58" i="56" s="1"/>
  <c r="BY202" i="56" a="1"/>
  <c r="BY202" i="56" s="1"/>
  <c r="CJ56" i="56"/>
  <c r="CK56" i="56" s="1"/>
  <c r="CK72" i="56"/>
  <c r="CQ168" i="56" a="1"/>
  <c r="CQ168" i="56" s="1"/>
  <c r="CO168" i="56" a="1"/>
  <c r="CO168" i="56" s="1"/>
  <c r="CR168" i="56"/>
  <c r="DH168" i="56" s="1"/>
  <c r="CP168" i="56" a="1"/>
  <c r="CP168" i="56" s="1"/>
  <c r="FH216" i="56"/>
  <c r="FG216" i="56" a="1"/>
  <c r="FG216" i="56" s="1"/>
  <c r="CJ232" i="56"/>
  <c r="CK232" i="56" s="1"/>
  <c r="CQ296" i="56" a="1"/>
  <c r="CQ296" i="56" s="1"/>
  <c r="CR296" i="56"/>
  <c r="DH296" i="56" s="1"/>
  <c r="CO296" i="56" a="1"/>
  <c r="CO296" i="56" s="1"/>
  <c r="CP296" i="56" a="1"/>
  <c r="CP296" i="56" s="1"/>
  <c r="CW33" i="56"/>
  <c r="FY27" i="56"/>
  <c r="FB27" i="56"/>
  <c r="EX91" i="56"/>
  <c r="EW91" i="56"/>
  <c r="FA91" i="56"/>
  <c r="ES91" i="56"/>
  <c r="EZ91" i="56"/>
  <c r="EY91" i="56"/>
  <c r="EU91" i="56"/>
  <c r="ET91" i="56"/>
  <c r="ER91" i="56"/>
  <c r="EV91" i="56" s="1"/>
  <c r="BY235" i="56" a="1"/>
  <c r="BY235" i="56" s="1"/>
  <c r="DU235" i="56" s="1"/>
  <c r="CR9" i="56"/>
  <c r="DH9" i="56" s="1"/>
  <c r="CQ9" i="56" a="1"/>
  <c r="CQ9" i="56" s="1"/>
  <c r="CO9" i="56" a="1"/>
  <c r="CO9" i="56" s="1"/>
  <c r="CP9" i="56" a="1"/>
  <c r="CP9" i="56" s="1"/>
  <c r="EH25" i="56"/>
  <c r="DM25" i="56"/>
  <c r="BU25" i="56"/>
  <c r="AK25" i="56" s="1"/>
  <c r="BV25" i="56" s="1"/>
  <c r="CQ73" i="56" a="1"/>
  <c r="CQ73" i="56" s="1"/>
  <c r="CP73" i="56" a="1"/>
  <c r="CP73" i="56" s="1"/>
  <c r="CR73" i="56"/>
  <c r="DH73" i="56" s="1"/>
  <c r="CO73" i="56" a="1"/>
  <c r="CO73" i="56" s="1"/>
  <c r="T118" i="56"/>
  <c r="GC118" i="56"/>
  <c r="T198" i="56"/>
  <c r="GC198" i="56"/>
  <c r="EX172" i="56"/>
  <c r="EZ172" i="56"/>
  <c r="EY172" i="56"/>
  <c r="ET172" i="56"/>
  <c r="EW172" i="56"/>
  <c r="ES172" i="56"/>
  <c r="EV172" i="56"/>
  <c r="EU172" i="56"/>
  <c r="BY172" i="56" a="1"/>
  <c r="BY172" i="56" s="1"/>
  <c r="IQ220" i="56"/>
  <c r="DF30" i="56"/>
  <c r="DG30" i="56" s="1"/>
  <c r="IQ30" i="56"/>
  <c r="P137" i="56" a="1"/>
  <c r="P137" i="56" s="1"/>
  <c r="BL137" i="56"/>
  <c r="EW286" i="56"/>
  <c r="EZ286" i="56"/>
  <c r="EU286" i="56"/>
  <c r="EX286" i="56"/>
  <c r="EV286" i="56"/>
  <c r="EY286" i="56"/>
  <c r="ES286" i="56"/>
  <c r="ET286" i="56"/>
  <c r="FY111" i="56"/>
  <c r="P111" i="56" a="1"/>
  <c r="P111" i="56" s="1"/>
  <c r="EF111" i="56" s="1"/>
  <c r="EG111" i="56" s="1"/>
  <c r="EI124" i="56"/>
  <c r="S124" i="56" s="1"/>
  <c r="CQ351" i="56" a="1"/>
  <c r="CQ351" i="56" s="1"/>
  <c r="CP351" i="56" a="1"/>
  <c r="CP351" i="56" s="1"/>
  <c r="CO351" i="56" a="1"/>
  <c r="CO351" i="56" s="1"/>
  <c r="CR351" i="56"/>
  <c r="DH351" i="56" s="1"/>
  <c r="IP196" i="56"/>
  <c r="IR196" i="56"/>
  <c r="FB196" i="56"/>
  <c r="FL196" i="56"/>
  <c r="FM196" i="56" s="1"/>
  <c r="FO196" i="56" s="1" a="1"/>
  <c r="FO196" i="56" s="1"/>
  <c r="FF196" i="56"/>
  <c r="CK196" i="56"/>
  <c r="DC196" i="56"/>
  <c r="GF44" i="56"/>
  <c r="FS251" i="56"/>
  <c r="FP251" i="56"/>
  <c r="FS276" i="56"/>
  <c r="FP276" i="56"/>
  <c r="FB43" i="56"/>
  <c r="IP38" i="56"/>
  <c r="IQ38" i="56"/>
  <c r="GG38" i="56"/>
  <c r="FB38" i="56"/>
  <c r="FL38" i="56"/>
  <c r="FM38" i="56" s="1"/>
  <c r="FO38" i="56" s="1" a="1"/>
  <c r="FO38" i="56" s="1"/>
  <c r="DC38" i="56"/>
  <c r="CK38" i="56"/>
  <c r="IR38" i="56" s="1"/>
  <c r="IP102" i="56"/>
  <c r="FF102" i="56"/>
  <c r="FL102" i="56"/>
  <c r="FM102" i="56" s="1"/>
  <c r="FO102" i="56" s="1" a="1"/>
  <c r="FO102" i="56" s="1"/>
  <c r="FB102" i="56"/>
  <c r="FD102" i="56"/>
  <c r="M102" i="56" s="1"/>
  <c r="FE102" i="56" s="1"/>
  <c r="DC102" i="56"/>
  <c r="CK102" i="56"/>
  <c r="IR102" i="56" s="1"/>
  <c r="IP166" i="56"/>
  <c r="FF166" i="56"/>
  <c r="FB166" i="56"/>
  <c r="FL166" i="56"/>
  <c r="FM166" i="56" s="1"/>
  <c r="FO166" i="56" s="1" a="1"/>
  <c r="FO166" i="56" s="1"/>
  <c r="DC166" i="56"/>
  <c r="IP326" i="56"/>
  <c r="FF326" i="56"/>
  <c r="FB326" i="56"/>
  <c r="FL326" i="56"/>
  <c r="FM326" i="56" s="1"/>
  <c r="FO326" i="56" s="1" a="1"/>
  <c r="FO326" i="56" s="1"/>
  <c r="DC326" i="56"/>
  <c r="CW196" i="56"/>
  <c r="FH126" i="56"/>
  <c r="FG126" i="56" a="1"/>
  <c r="FG126" i="56" s="1"/>
  <c r="BY126" i="56" a="1"/>
  <c r="BY126" i="56" s="1"/>
  <c r="CJ158" i="56"/>
  <c r="CK158" i="56" s="1"/>
  <c r="CR350" i="56"/>
  <c r="DH350" i="56" s="1"/>
  <c r="CQ350" i="56" a="1"/>
  <c r="CQ350" i="56" s="1"/>
  <c r="CP350" i="56" a="1"/>
  <c r="CP350" i="56" s="1"/>
  <c r="CO350" i="56" a="1"/>
  <c r="CO350" i="56" s="1"/>
  <c r="FS204" i="56"/>
  <c r="FP204" i="56"/>
  <c r="CW230" i="56"/>
  <c r="GF207" i="56"/>
  <c r="HQ313" i="56" a="1"/>
  <c r="HQ313" i="56" s="1"/>
  <c r="HR313" i="56" s="1"/>
  <c r="HI313" i="56" a="1"/>
  <c r="HI313" i="56" s="1"/>
  <c r="HJ313" i="56" s="1"/>
  <c r="HK313" i="56" a="1"/>
  <c r="HK313" i="56" s="1"/>
  <c r="HL313" i="56" s="1"/>
  <c r="HO313" i="56" a="1"/>
  <c r="HO313" i="56" s="1"/>
  <c r="HP313" i="56" s="1"/>
  <c r="HM313" i="56" a="1"/>
  <c r="HM313" i="56" s="1"/>
  <c r="HN313" i="56" s="1"/>
  <c r="HG313" i="56" a="1"/>
  <c r="HG313" i="56" s="1"/>
  <c r="HH313" i="56" s="1"/>
  <c r="AX26" i="55"/>
  <c r="AY26" i="55" s="1" a="1"/>
  <c r="AY26" i="55" s="1"/>
  <c r="EW341" i="56"/>
  <c r="EU341" i="56"/>
  <c r="EY341" i="56"/>
  <c r="ER341" i="56"/>
  <c r="FA341" i="56"/>
  <c r="EV341" i="56"/>
  <c r="ES341" i="56"/>
  <c r="ET341" i="56"/>
  <c r="EX341" i="56"/>
  <c r="EZ341" i="56"/>
  <c r="CJ95" i="56"/>
  <c r="FH271" i="56"/>
  <c r="FG271" i="56" a="1"/>
  <c r="FG271" i="56" s="1"/>
  <c r="CJ351" i="56"/>
  <c r="FP46" i="56"/>
  <c r="FS46" i="56"/>
  <c r="IR313" i="56"/>
  <c r="IP313" i="56"/>
  <c r="FD313" i="56"/>
  <c r="M313" i="56" s="1"/>
  <c r="FE313" i="56" s="1"/>
  <c r="FF313" i="56" s="1"/>
  <c r="FB313" i="56"/>
  <c r="FL313" i="56"/>
  <c r="FM313" i="56" s="1"/>
  <c r="FO313" i="56" s="1" a="1"/>
  <c r="FO313" i="56" s="1"/>
  <c r="DC313" i="56"/>
  <c r="DH313" i="56"/>
  <c r="CK313" i="56"/>
  <c r="GF209" i="56"/>
  <c r="GF337" i="56"/>
  <c r="EI72" i="56"/>
  <c r="EI136" i="56"/>
  <c r="EI200" i="56"/>
  <c r="EI328" i="56"/>
  <c r="IP179" i="56"/>
  <c r="FL179" i="56"/>
  <c r="FM179" i="56" s="1"/>
  <c r="FO179" i="56" s="1" a="1"/>
  <c r="FO179" i="56" s="1"/>
  <c r="FF179" i="56"/>
  <c r="FB179" i="56"/>
  <c r="DH179" i="56"/>
  <c r="DF179" i="56"/>
  <c r="DG179" i="56" s="1"/>
  <c r="DC179" i="56"/>
  <c r="GF98" i="56"/>
  <c r="S24" i="56"/>
  <c r="EI89" i="56"/>
  <c r="EI153" i="56"/>
  <c r="EI217" i="56"/>
  <c r="IP131" i="56"/>
  <c r="FL131" i="56"/>
  <c r="FM131" i="56" s="1"/>
  <c r="FO131" i="56" s="1" a="1"/>
  <c r="FO131" i="56" s="1"/>
  <c r="FF131" i="56"/>
  <c r="FB131" i="56"/>
  <c r="DC131" i="56"/>
  <c r="DH131" i="56"/>
  <c r="CK131" i="56"/>
  <c r="DF131" i="56" s="1"/>
  <c r="DG131" i="56" s="1"/>
  <c r="FS203" i="56"/>
  <c r="FP203" i="56"/>
  <c r="GF35" i="56"/>
  <c r="GF179" i="56"/>
  <c r="GF323" i="56"/>
  <c r="S122" i="56"/>
  <c r="S186" i="56"/>
  <c r="S250" i="56"/>
  <c r="GD318" i="56"/>
  <c r="GG317" i="56"/>
  <c r="CJ110" i="56"/>
  <c r="CK110" i="56" s="1"/>
  <c r="FS268" i="56"/>
  <c r="FP268" i="56"/>
  <c r="IP49" i="56"/>
  <c r="IR49" i="56"/>
  <c r="GG49" i="56"/>
  <c r="FL49" i="56"/>
  <c r="FM49" i="56" s="1"/>
  <c r="FO49" i="56" s="1" a="1"/>
  <c r="FO49" i="56" s="1"/>
  <c r="FB49" i="56"/>
  <c r="DC49" i="56"/>
  <c r="S144" i="56"/>
  <c r="EI352" i="56"/>
  <c r="CW159" i="56"/>
  <c r="DA159" i="56" s="1"/>
  <c r="CW269" i="56"/>
  <c r="CW349" i="56"/>
  <c r="DA349" i="56" s="1"/>
  <c r="BY167" i="56" a="1"/>
  <c r="BY167" i="56" s="1"/>
  <c r="EY295" i="56"/>
  <c r="EX295" i="56"/>
  <c r="EW295" i="56"/>
  <c r="ET295" i="56"/>
  <c r="EV295" i="56"/>
  <c r="ES295" i="56"/>
  <c r="EU295" i="56"/>
  <c r="EZ295" i="56"/>
  <c r="BL69" i="56"/>
  <c r="P69" i="56" a="1"/>
  <c r="P69" i="56" s="1"/>
  <c r="DI69" i="56" s="1"/>
  <c r="BL165" i="56"/>
  <c r="BY165" i="56" a="1"/>
  <c r="BY165" i="56" s="1"/>
  <c r="BL181" i="56"/>
  <c r="BY181" i="56" a="1"/>
  <c r="BY181" i="56" s="1"/>
  <c r="P181" i="56" s="1" a="1"/>
  <c r="P181" i="56" s="1"/>
  <c r="CR213" i="56"/>
  <c r="DH213" i="56" s="1"/>
  <c r="CP213" i="56" a="1"/>
  <c r="CP213" i="56" s="1"/>
  <c r="CQ213" i="56" a="1"/>
  <c r="CQ213" i="56" s="1"/>
  <c r="CO213" i="56" a="1"/>
  <c r="CO213" i="56" s="1"/>
  <c r="CP229" i="56" a="1"/>
  <c r="CP229" i="56" s="1"/>
  <c r="CO229" i="56" a="1"/>
  <c r="CO229" i="56" s="1"/>
  <c r="CQ229" i="56" a="1"/>
  <c r="CQ229" i="56" s="1"/>
  <c r="CR229" i="56"/>
  <c r="CJ245" i="56"/>
  <c r="CK245" i="56" s="1"/>
  <c r="BY309" i="56" a="1"/>
  <c r="BY309" i="56" s="1"/>
  <c r="BL309" i="56"/>
  <c r="P309" i="56" a="1"/>
  <c r="P309" i="56" s="1"/>
  <c r="DI309" i="56" s="1"/>
  <c r="CW78" i="56"/>
  <c r="DA78" i="56" s="1"/>
  <c r="EZ232" i="56"/>
  <c r="EW232" i="56"/>
  <c r="EV232" i="56"/>
  <c r="FA232" i="56"/>
  <c r="EU232" i="56"/>
  <c r="EY232" i="56"/>
  <c r="EX232" i="56"/>
  <c r="ES232" i="56"/>
  <c r="ET232" i="56"/>
  <c r="FH6" i="56"/>
  <c r="FG6" i="56" a="1"/>
  <c r="FG6" i="56" s="1"/>
  <c r="FI6" i="56" s="1"/>
  <c r="FH70" i="56"/>
  <c r="FG70" i="56" a="1"/>
  <c r="FG70" i="56" s="1"/>
  <c r="FH134" i="56"/>
  <c r="FG134" i="56" a="1"/>
  <c r="FG134" i="56" s="1"/>
  <c r="FI134" i="56" s="1"/>
  <c r="BL342" i="56"/>
  <c r="BY342" i="56" a="1"/>
  <c r="BY342" i="56" s="1"/>
  <c r="GF352" i="56"/>
  <c r="EI99" i="56"/>
  <c r="EI163" i="56"/>
  <c r="EI227" i="56"/>
  <c r="S227" i="56" s="1"/>
  <c r="EI291" i="56"/>
  <c r="EY57" i="56"/>
  <c r="EW57" i="56"/>
  <c r="ES57" i="56"/>
  <c r="EX57" i="56"/>
  <c r="EZ57" i="56"/>
  <c r="EU57" i="56"/>
  <c r="ER57" i="56"/>
  <c r="EV57" i="56" s="1"/>
  <c r="ET57" i="56"/>
  <c r="FA57" i="56"/>
  <c r="EZ153" i="56"/>
  <c r="EY153" i="56"/>
  <c r="EX153" i="56"/>
  <c r="ET153" i="56"/>
  <c r="EW153" i="56"/>
  <c r="EU153" i="56"/>
  <c r="ER153" i="56"/>
  <c r="EV153" i="56" s="1"/>
  <c r="ES153" i="56"/>
  <c r="CJ55" i="56"/>
  <c r="CK55" i="56" s="1"/>
  <c r="CR151" i="56"/>
  <c r="DH151" i="56" s="1"/>
  <c r="CO151" i="56" a="1"/>
  <c r="CO151" i="56" s="1"/>
  <c r="CQ151" i="56" a="1"/>
  <c r="CQ151" i="56" s="1"/>
  <c r="CP151" i="56" a="1"/>
  <c r="CP151" i="56" s="1"/>
  <c r="IQ231" i="56"/>
  <c r="DF231" i="56"/>
  <c r="DG231" i="56" s="1"/>
  <c r="IR231" i="56"/>
  <c r="CP295" i="56" a="1"/>
  <c r="CP295" i="56" s="1"/>
  <c r="CQ295" i="56" a="1"/>
  <c r="CQ295" i="56" s="1"/>
  <c r="CR295" i="56"/>
  <c r="DH295" i="56" s="1"/>
  <c r="CO295" i="56" a="1"/>
  <c r="CO295" i="56" s="1"/>
  <c r="GD196" i="56"/>
  <c r="GE196" i="56" s="1"/>
  <c r="EY58" i="56"/>
  <c r="EX58" i="56"/>
  <c r="EW58" i="56"/>
  <c r="ES58" i="56"/>
  <c r="ER58" i="56"/>
  <c r="EV58" i="56" s="1"/>
  <c r="ET58" i="56"/>
  <c r="EU58" i="56"/>
  <c r="EZ58" i="56"/>
  <c r="FA58" i="56"/>
  <c r="FG104" i="56" a="1"/>
  <c r="FG104" i="56" s="1"/>
  <c r="FH104" i="56"/>
  <c r="CJ248" i="56"/>
  <c r="CK248" i="56" s="1"/>
  <c r="FG346" i="56" a="1"/>
  <c r="FG346" i="56" s="1"/>
  <c r="FH346" i="56"/>
  <c r="BY346" i="56" a="1"/>
  <c r="BY346" i="56" s="1"/>
  <c r="P327" i="56" a="1"/>
  <c r="P327" i="56" s="1"/>
  <c r="FI303" i="56"/>
  <c r="GF148" i="56"/>
  <c r="GF276" i="56"/>
  <c r="EI343" i="56"/>
  <c r="S343" i="56" s="1"/>
  <c r="FG12" i="56" a="1"/>
  <c r="FG12" i="56" s="1"/>
  <c r="FH12" i="56"/>
  <c r="BL265" i="56"/>
  <c r="GO154" i="56"/>
  <c r="GN154" i="56"/>
  <c r="IK154" i="56" s="1"/>
  <c r="FY275" i="56"/>
  <c r="FB275" i="56"/>
  <c r="CJ214" i="56"/>
  <c r="CK214" i="56" s="1"/>
  <c r="FS83" i="56"/>
  <c r="FP83" i="56"/>
  <c r="BY265" i="56" a="1"/>
  <c r="BY265" i="56" s="1"/>
  <c r="P265" i="56" s="1" a="1"/>
  <c r="P265" i="56" s="1"/>
  <c r="FA345" i="56"/>
  <c r="EX345" i="56"/>
  <c r="ES345" i="56"/>
  <c r="EV345" i="56"/>
  <c r="EY345" i="56"/>
  <c r="EW345" i="56"/>
  <c r="ET345" i="56"/>
  <c r="EZ345" i="56"/>
  <c r="ER345" i="56"/>
  <c r="EU345" i="56"/>
  <c r="BY23" i="56" a="1"/>
  <c r="BY23" i="56" s="1"/>
  <c r="BL23" i="56"/>
  <c r="CJ39" i="56"/>
  <c r="CK39" i="56" s="1"/>
  <c r="CW39" i="56" s="1"/>
  <c r="CQ71" i="56" a="1"/>
  <c r="CQ71" i="56" s="1"/>
  <c r="CP71" i="56" a="1"/>
  <c r="CP71" i="56" s="1"/>
  <c r="CO71" i="56" a="1"/>
  <c r="CO71" i="56" s="1"/>
  <c r="CR71" i="56"/>
  <c r="DH71" i="56" s="1"/>
  <c r="CQ119" i="56" a="1"/>
  <c r="CQ119" i="56" s="1"/>
  <c r="CO119" i="56" a="1"/>
  <c r="CO119" i="56" s="1"/>
  <c r="CR119" i="56"/>
  <c r="DH119" i="56" s="1"/>
  <c r="CP119" i="56" a="1"/>
  <c r="CP119" i="56" s="1"/>
  <c r="BL199" i="56"/>
  <c r="BL279" i="56"/>
  <c r="BY295" i="56" a="1"/>
  <c r="BY295" i="56" s="1"/>
  <c r="BL295" i="56"/>
  <c r="FS297" i="56"/>
  <c r="FP297" i="56"/>
  <c r="EF304" i="56"/>
  <c r="EG304" i="56" s="1"/>
  <c r="BY138" i="56" a="1"/>
  <c r="BY138" i="56" s="1"/>
  <c r="P138" i="56" s="1" a="1"/>
  <c r="P138" i="56" s="1"/>
  <c r="BY266" i="56" a="1"/>
  <c r="BY266" i="56" s="1"/>
  <c r="AX24" i="55"/>
  <c r="AY24" i="55" s="1" a="1"/>
  <c r="AY24" i="55" s="1"/>
  <c r="EY330" i="56"/>
  <c r="EW330" i="56"/>
  <c r="ES330" i="56"/>
  <c r="FA330" i="56"/>
  <c r="EZ330" i="56"/>
  <c r="EU330" i="56"/>
  <c r="EX330" i="56"/>
  <c r="EV330" i="56"/>
  <c r="ER330" i="56"/>
  <c r="ET330" i="56"/>
  <c r="BL284" i="56"/>
  <c r="P284" i="56" a="1"/>
  <c r="P284" i="56" s="1"/>
  <c r="EF284" i="56" s="1"/>
  <c r="EG284" i="56" s="1"/>
  <c r="CQ217" i="56" a="1"/>
  <c r="CQ217" i="56" s="1"/>
  <c r="CR217" i="56"/>
  <c r="DH217" i="56" s="1"/>
  <c r="CO217" i="56" a="1"/>
  <c r="CO217" i="56" s="1"/>
  <c r="CP217" i="56" a="1"/>
  <c r="CP217" i="56" s="1"/>
  <c r="CP297" i="56" a="1"/>
  <c r="CP297" i="56" s="1"/>
  <c r="CO297" i="56" a="1"/>
  <c r="CO297" i="56" s="1"/>
  <c r="CQ297" i="56" a="1"/>
  <c r="CQ297" i="56" s="1"/>
  <c r="CR297" i="56"/>
  <c r="DH297" i="56" s="1"/>
  <c r="IR26" i="56"/>
  <c r="DF26" i="56"/>
  <c r="DG26" i="56" s="1"/>
  <c r="FY92" i="56"/>
  <c r="P92" i="56" a="1"/>
  <c r="P92" i="56" s="1"/>
  <c r="EF92" i="56" s="1"/>
  <c r="EG92" i="56" s="1"/>
  <c r="EW302" i="56"/>
  <c r="EZ302" i="56"/>
  <c r="EX302" i="56"/>
  <c r="EY302" i="56"/>
  <c r="ES302" i="56"/>
  <c r="EU302" i="56"/>
  <c r="ET302" i="56"/>
  <c r="EV302" i="56"/>
  <c r="CR348" i="56"/>
  <c r="DH348" i="56" s="1"/>
  <c r="CQ348" i="56" a="1"/>
  <c r="CQ348" i="56" s="1"/>
  <c r="CP348" i="56" a="1"/>
  <c r="CP348" i="56" s="1"/>
  <c r="CO348" i="56" a="1"/>
  <c r="CO348" i="56" s="1"/>
  <c r="FG125" i="56" a="1"/>
  <c r="FG125" i="56" s="1"/>
  <c r="FH125" i="56"/>
  <c r="CQ253" i="56" a="1"/>
  <c r="CQ253" i="56" s="1"/>
  <c r="CR253" i="56"/>
  <c r="DH253" i="56" s="1"/>
  <c r="CP253" i="56" a="1"/>
  <c r="CP253" i="56" s="1"/>
  <c r="CO253" i="56" a="1"/>
  <c r="CO253" i="56" s="1"/>
  <c r="CP269" i="56" a="1"/>
  <c r="CP269" i="56" s="1"/>
  <c r="CO269" i="56" a="1"/>
  <c r="CO269" i="56" s="1"/>
  <c r="CQ269" i="56" a="1"/>
  <c r="CQ269" i="56" s="1"/>
  <c r="CR269" i="56"/>
  <c r="DH269" i="56" s="1"/>
  <c r="CR349" i="56"/>
  <c r="DH349" i="56" s="1"/>
  <c r="CP349" i="56" a="1"/>
  <c r="CP349" i="56" s="1"/>
  <c r="CO349" i="56" a="1"/>
  <c r="CO349" i="56" s="1"/>
  <c r="CQ349" i="56" a="1"/>
  <c r="CQ349" i="56" s="1"/>
  <c r="EL326" i="56"/>
  <c r="EK326" i="56"/>
  <c r="EZ67" i="56"/>
  <c r="EU67" i="56"/>
  <c r="EX67" i="56"/>
  <c r="EY67" i="56"/>
  <c r="ES67" i="56"/>
  <c r="EW67" i="56"/>
  <c r="ET67" i="56"/>
  <c r="ER67" i="56"/>
  <c r="EV67" i="56" s="1"/>
  <c r="FP258" i="56"/>
  <c r="FS258" i="56"/>
  <c r="EW143" i="56"/>
  <c r="EZ143" i="56"/>
  <c r="ES143" i="56"/>
  <c r="EU143" i="56"/>
  <c r="ER143" i="56"/>
  <c r="EV143" i="56" s="1"/>
  <c r="ET143" i="56"/>
  <c r="EX143" i="56"/>
  <c r="EY143" i="56"/>
  <c r="AX25" i="55"/>
  <c r="AY25" i="55" s="1" a="1"/>
  <c r="AY25" i="55" s="1"/>
  <c r="EV335" i="56"/>
  <c r="ET335" i="56"/>
  <c r="EZ335" i="56"/>
  <c r="EX335" i="56"/>
  <c r="ES335" i="56"/>
  <c r="EU335" i="56"/>
  <c r="EW335" i="56"/>
  <c r="FA335" i="56"/>
  <c r="ER335" i="56"/>
  <c r="EY335" i="56"/>
  <c r="BL45" i="56"/>
  <c r="FG61" i="56" a="1"/>
  <c r="FG61" i="56" s="1"/>
  <c r="FH61" i="56"/>
  <c r="BL189" i="56"/>
  <c r="BY189" i="56" a="1"/>
  <c r="BY189" i="56" s="1"/>
  <c r="CR285" i="56"/>
  <c r="DH285" i="56" s="1"/>
  <c r="CQ285" i="56" a="1"/>
  <c r="CQ285" i="56" s="1"/>
  <c r="CP285" i="56" a="1"/>
  <c r="CP285" i="56" s="1"/>
  <c r="CO285" i="56" a="1"/>
  <c r="CO285" i="56" s="1"/>
  <c r="P345" i="56" a="1"/>
  <c r="P345" i="56" s="1"/>
  <c r="EF345" i="56" s="1"/>
  <c r="EG345" i="56" s="1"/>
  <c r="BL345" i="56"/>
  <c r="FY96" i="56"/>
  <c r="AX19" i="55"/>
  <c r="AY19" i="55" s="1" a="1"/>
  <c r="AY19" i="55" s="1"/>
  <c r="EV224" i="56"/>
  <c r="EU224" i="56"/>
  <c r="FA224" i="56"/>
  <c r="ET224" i="56"/>
  <c r="EW224" i="56"/>
  <c r="EZ224" i="56"/>
  <c r="EX224" i="56"/>
  <c r="ES224" i="56"/>
  <c r="EY224" i="56"/>
  <c r="ER224" i="56"/>
  <c r="EK308" i="56"/>
  <c r="DV308" i="56"/>
  <c r="FP152" i="56"/>
  <c r="FS152" i="56"/>
  <c r="FS186" i="56"/>
  <c r="FP186" i="56"/>
  <c r="IP32" i="56"/>
  <c r="GG32" i="56"/>
  <c r="FL32" i="56"/>
  <c r="FM32" i="56" s="1"/>
  <c r="FO32" i="56" s="1" a="1"/>
  <c r="FO32" i="56" s="1"/>
  <c r="FB32" i="56"/>
  <c r="DC32" i="56"/>
  <c r="CK32" i="56"/>
  <c r="CW32" i="56" s="1"/>
  <c r="IR304" i="56"/>
  <c r="IP304" i="56"/>
  <c r="FF304" i="56"/>
  <c r="FL304" i="56"/>
  <c r="FM304" i="56" s="1"/>
  <c r="FO304" i="56" s="1" a="1"/>
  <c r="FO304" i="56" s="1"/>
  <c r="FB304" i="56"/>
  <c r="DI304" i="56"/>
  <c r="DH304" i="56"/>
  <c r="DC304" i="56"/>
  <c r="GF21" i="56"/>
  <c r="GF152" i="56"/>
  <c r="GF296" i="56"/>
  <c r="EI315" i="56"/>
  <c r="FY136" i="56"/>
  <c r="P136" i="56" a="1"/>
  <c r="P136" i="56" s="1"/>
  <c r="FY209" i="56"/>
  <c r="P209" i="56" a="1"/>
  <c r="P209" i="56" s="1"/>
  <c r="IQ187" i="56"/>
  <c r="EI43" i="56"/>
  <c r="EI268" i="56"/>
  <c r="IE118" i="56"/>
  <c r="HX118" i="56"/>
  <c r="GF24" i="56"/>
  <c r="EK274" i="56"/>
  <c r="DV274" i="56"/>
  <c r="IG330" i="56"/>
  <c r="HZ330" i="56"/>
  <c r="EI46" i="56"/>
  <c r="AX16" i="55"/>
  <c r="AY16" i="55" s="1" a="1"/>
  <c r="AY16" i="55" s="1"/>
  <c r="EU130" i="56"/>
  <c r="ET130" i="56"/>
  <c r="EY130" i="56"/>
  <c r="FA130" i="56"/>
  <c r="EW130" i="56"/>
  <c r="EV130" i="56"/>
  <c r="ES130" i="56"/>
  <c r="EX130" i="56"/>
  <c r="ER130" i="56"/>
  <c r="EZ130" i="56"/>
  <c r="FH187" i="56"/>
  <c r="FG187" i="56" a="1"/>
  <c r="FG187" i="56" s="1"/>
  <c r="FI187" i="56" s="1"/>
  <c r="EK163" i="56"/>
  <c r="DV163" i="56"/>
  <c r="DJ3" i="56"/>
  <c r="DL3" i="56"/>
  <c r="BL147" i="56"/>
  <c r="BY147" i="56" a="1"/>
  <c r="BY147" i="56" s="1"/>
  <c r="DU147" i="56" s="1"/>
  <c r="CQ340" i="56" a="1"/>
  <c r="CQ340" i="56" s="1"/>
  <c r="CR340" i="56"/>
  <c r="DH340" i="56" s="1"/>
  <c r="CP340" i="56" a="1"/>
  <c r="CP340" i="56" s="1"/>
  <c r="CO340" i="56" a="1"/>
  <c r="CO340" i="56" s="1"/>
  <c r="CJ96" i="56"/>
  <c r="FG352" i="56" a="1"/>
  <c r="FG352" i="56" s="1"/>
  <c r="FH352" i="56"/>
  <c r="IP117" i="56"/>
  <c r="FL117" i="56"/>
  <c r="FM117" i="56" s="1"/>
  <c r="FO117" i="56" s="1" a="1"/>
  <c r="FO117" i="56" s="1"/>
  <c r="FB117" i="56"/>
  <c r="DH117" i="56"/>
  <c r="DC117" i="56"/>
  <c r="CK117" i="56"/>
  <c r="FA63" i="56"/>
  <c r="EZ63" i="56"/>
  <c r="EX63" i="56"/>
  <c r="EY63" i="56"/>
  <c r="ER63" i="56"/>
  <c r="EV63" i="56" s="1"/>
  <c r="ET63" i="56"/>
  <c r="EU63" i="56"/>
  <c r="EW63" i="56"/>
  <c r="ES63" i="56"/>
  <c r="EY351" i="56"/>
  <c r="ET351" i="56"/>
  <c r="EZ351" i="56"/>
  <c r="FA351" i="56"/>
  <c r="EW351" i="56"/>
  <c r="EX351" i="56"/>
  <c r="ER351" i="56"/>
  <c r="EU351" i="56"/>
  <c r="ES351" i="56"/>
  <c r="EV351" i="56"/>
  <c r="CJ61" i="56"/>
  <c r="CK61" i="56" s="1"/>
  <c r="CJ125" i="56"/>
  <c r="CK125" i="56" s="1"/>
  <c r="GF119" i="56"/>
  <c r="T282" i="56"/>
  <c r="GC282" i="56"/>
  <c r="T330" i="56"/>
  <c r="GC330" i="56"/>
  <c r="EV240" i="56"/>
  <c r="EY240" i="56"/>
  <c r="EW240" i="56"/>
  <c r="EZ240" i="56"/>
  <c r="ET240" i="56"/>
  <c r="ES240" i="56"/>
  <c r="EU240" i="56"/>
  <c r="EX240" i="56"/>
  <c r="BY240" i="56" a="1"/>
  <c r="BY240" i="56" s="1"/>
  <c r="IP48" i="56"/>
  <c r="IQ48" i="56"/>
  <c r="GG48" i="56"/>
  <c r="FL48" i="56"/>
  <c r="FM48" i="56" s="1"/>
  <c r="FO48" i="56" s="1" a="1"/>
  <c r="FO48" i="56" s="1"/>
  <c r="FB48" i="56"/>
  <c r="DC48" i="56"/>
  <c r="IR144" i="56"/>
  <c r="IQ144" i="56"/>
  <c r="IP144" i="56"/>
  <c r="FL144" i="56"/>
  <c r="FM144" i="56" s="1"/>
  <c r="FO144" i="56" s="1" a="1"/>
  <c r="FO144" i="56" s="1"/>
  <c r="FF144" i="56"/>
  <c r="FB144" i="56"/>
  <c r="DC144" i="56"/>
  <c r="CK144" i="56"/>
  <c r="CW144" i="56" s="1"/>
  <c r="GF39" i="56"/>
  <c r="EI187" i="56"/>
  <c r="FY113" i="56"/>
  <c r="FB113" i="56"/>
  <c r="EI60" i="56"/>
  <c r="S60" i="56" s="1"/>
  <c r="FI266" i="56"/>
  <c r="GF59" i="56"/>
  <c r="FI138" i="56"/>
  <c r="BL253" i="56"/>
  <c r="HX21" i="56"/>
  <c r="IE21" i="56"/>
  <c r="EI63" i="56"/>
  <c r="S63" i="56" s="1"/>
  <c r="EI223" i="56"/>
  <c r="S223" i="56" s="1"/>
  <c r="CR75" i="56"/>
  <c r="DH75" i="56" s="1"/>
  <c r="CQ75" i="56" a="1"/>
  <c r="CQ75" i="56" s="1"/>
  <c r="CP75" i="56" a="1"/>
  <c r="CP75" i="56" s="1"/>
  <c r="CO75" i="56" a="1"/>
  <c r="CO75" i="56" s="1"/>
  <c r="EY275" i="56"/>
  <c r="EW275" i="56"/>
  <c r="EV275" i="56"/>
  <c r="EX275" i="56"/>
  <c r="EU275" i="56"/>
  <c r="EZ275" i="56"/>
  <c r="ET275" i="56"/>
  <c r="ES275" i="56"/>
  <c r="FG210" i="56" a="1"/>
  <c r="FG210" i="56" s="1"/>
  <c r="FH210" i="56"/>
  <c r="BY274" i="56" a="1"/>
  <c r="BY274" i="56" s="1"/>
  <c r="FA274" i="56" s="1"/>
  <c r="FG3" i="56" a="1"/>
  <c r="FG3" i="56" s="1"/>
  <c r="FH3" i="56"/>
  <c r="T7" i="56"/>
  <c r="GC7" i="56"/>
  <c r="FH80" i="56"/>
  <c r="FG80" i="56" a="1"/>
  <c r="FG80" i="56" s="1"/>
  <c r="P304" i="56" a="1"/>
  <c r="P304" i="56" s="1"/>
  <c r="BL304" i="56"/>
  <c r="IP37" i="56"/>
  <c r="IR37" i="56"/>
  <c r="GG37" i="56"/>
  <c r="FL37" i="56"/>
  <c r="FM37" i="56" s="1"/>
  <c r="FO37" i="56" s="1" a="1"/>
  <c r="FO37" i="56" s="1"/>
  <c r="FB37" i="56"/>
  <c r="CK37" i="56"/>
  <c r="CW37" i="56" s="1"/>
  <c r="DC37" i="56"/>
  <c r="IP341" i="56"/>
  <c r="GG341" i="56"/>
  <c r="FL341" i="56"/>
  <c r="FM341" i="56" s="1"/>
  <c r="FO341" i="56" s="1" a="1"/>
  <c r="FO341" i="56" s="1"/>
  <c r="FD341" i="56"/>
  <c r="M341" i="56" s="1"/>
  <c r="FE341" i="56" s="1"/>
  <c r="FB341" i="56"/>
  <c r="DC341" i="56"/>
  <c r="CK341" i="56"/>
  <c r="CW341" i="56" s="1"/>
  <c r="DA341" i="56" s="1"/>
  <c r="HB341" i="56" s="1"/>
  <c r="HC341" i="56" s="1"/>
  <c r="FG163" i="56" a="1"/>
  <c r="FG163" i="56" s="1"/>
  <c r="FH163" i="56"/>
  <c r="FH323" i="56"/>
  <c r="FG323" i="56" a="1"/>
  <c r="FG323" i="56" s="1"/>
  <c r="BY323" i="56" a="1"/>
  <c r="BY323" i="56" s="1"/>
  <c r="EY77" i="56"/>
  <c r="EX77" i="56"/>
  <c r="ES77" i="56"/>
  <c r="EZ77" i="56"/>
  <c r="ER77" i="56"/>
  <c r="EV77" i="56" s="1"/>
  <c r="ET77" i="56"/>
  <c r="EU77" i="56"/>
  <c r="EW77" i="56"/>
  <c r="CO141" i="56" a="1"/>
  <c r="CO141" i="56" s="1"/>
  <c r="CQ141" i="56" a="1"/>
  <c r="CQ141" i="56" s="1"/>
  <c r="CR141" i="56"/>
  <c r="DH141" i="56" s="1"/>
  <c r="CP141" i="56" a="1"/>
  <c r="CP141" i="56" s="1"/>
  <c r="IQ127" i="56"/>
  <c r="IP127" i="56"/>
  <c r="FL127" i="56"/>
  <c r="FM127" i="56" s="1"/>
  <c r="FO127" i="56" s="1" a="1"/>
  <c r="FO127" i="56" s="1"/>
  <c r="FB127" i="56"/>
  <c r="DC127" i="56"/>
  <c r="DH127" i="56"/>
  <c r="CK127" i="56"/>
  <c r="IP239" i="56"/>
  <c r="FL239" i="56"/>
  <c r="FM239" i="56" s="1"/>
  <c r="FO239" i="56" s="1" a="1"/>
  <c r="FO239" i="56" s="1"/>
  <c r="DH239" i="56"/>
  <c r="FB239" i="56"/>
  <c r="DC239" i="56"/>
  <c r="CK239" i="56"/>
  <c r="DF239" i="56" s="1"/>
  <c r="DG239" i="56" s="1"/>
  <c r="CW262" i="56"/>
  <c r="EV176" i="56"/>
  <c r="EZ176" i="56"/>
  <c r="EU176" i="56"/>
  <c r="ES176" i="56"/>
  <c r="EY176" i="56"/>
  <c r="ET176" i="56"/>
  <c r="EW176" i="56"/>
  <c r="EX176" i="56"/>
  <c r="BY176" i="56" a="1"/>
  <c r="BY176" i="56" s="1"/>
  <c r="P176" i="56" s="1" a="1"/>
  <c r="P176" i="56" s="1"/>
  <c r="DI176" i="56" s="1"/>
  <c r="FA320" i="56"/>
  <c r="EY320" i="56"/>
  <c r="EX320" i="56"/>
  <c r="ET320" i="56"/>
  <c r="EW320" i="56"/>
  <c r="ES320" i="56"/>
  <c r="ER320" i="56"/>
  <c r="EV320" i="56" s="1"/>
  <c r="EZ320" i="56"/>
  <c r="EU320" i="56"/>
  <c r="IP96" i="56"/>
  <c r="FL96" i="56"/>
  <c r="FM96" i="56" s="1"/>
  <c r="FO96" i="56" s="1" a="1"/>
  <c r="FO96" i="56" s="1"/>
  <c r="FF96" i="56"/>
  <c r="FB96" i="56"/>
  <c r="DC96" i="56"/>
  <c r="CK96" i="56"/>
  <c r="FH25" i="56"/>
  <c r="FG25" i="56" a="1"/>
  <c r="FG25" i="56" s="1"/>
  <c r="S187" i="56"/>
  <c r="EI331" i="56"/>
  <c r="S331" i="56" s="1"/>
  <c r="EW161" i="56"/>
  <c r="EZ161" i="56"/>
  <c r="EU161" i="56"/>
  <c r="EX161" i="56"/>
  <c r="EV161" i="56"/>
  <c r="ES161" i="56"/>
  <c r="EY161" i="56"/>
  <c r="ET161" i="56"/>
  <c r="FA273" i="56"/>
  <c r="EX273" i="56"/>
  <c r="EW273" i="56"/>
  <c r="EV273" i="56"/>
  <c r="EZ273" i="56"/>
  <c r="EY273" i="56"/>
  <c r="ET273" i="56"/>
  <c r="EU273" i="56"/>
  <c r="ES273" i="56"/>
  <c r="EI284" i="56"/>
  <c r="FS275" i="56"/>
  <c r="FP275" i="56"/>
  <c r="EI301" i="56"/>
  <c r="S301" i="56" s="1"/>
  <c r="GC94" i="56"/>
  <c r="T94" i="56"/>
  <c r="BY81" i="56" a="1"/>
  <c r="BY81" i="56" s="1"/>
  <c r="FA81" i="56" s="1"/>
  <c r="EU146" i="56"/>
  <c r="FA146" i="56"/>
  <c r="EX146" i="56"/>
  <c r="EW146" i="56"/>
  <c r="EY146" i="56"/>
  <c r="ET146" i="56"/>
  <c r="ER146" i="56"/>
  <c r="EZ146" i="56"/>
  <c r="EV146" i="56"/>
  <c r="ES146" i="56"/>
  <c r="FH59" i="56"/>
  <c r="FG59" i="56" a="1"/>
  <c r="FG59" i="56" s="1"/>
  <c r="CP219" i="56" a="1"/>
  <c r="CP219" i="56" s="1"/>
  <c r="CO219" i="56" a="1"/>
  <c r="CO219" i="56" s="1"/>
  <c r="CQ219" i="56" a="1"/>
  <c r="CQ219" i="56" s="1"/>
  <c r="CR219" i="56"/>
  <c r="DH219" i="56" s="1"/>
  <c r="EI13" i="56"/>
  <c r="EK178" i="56"/>
  <c r="DV178" i="56"/>
  <c r="EI14" i="56"/>
  <c r="S14" i="56" s="1"/>
  <c r="DV144" i="56"/>
  <c r="CQ33" i="56" a="1"/>
  <c r="CQ33" i="56" s="1"/>
  <c r="CR33" i="56"/>
  <c r="DH33" i="56" s="1"/>
  <c r="CO33" i="56" a="1"/>
  <c r="CO33" i="56" s="1"/>
  <c r="CP33" i="56" a="1"/>
  <c r="CP33" i="56" s="1"/>
  <c r="FH65" i="56"/>
  <c r="FG65" i="56" a="1"/>
  <c r="FG65" i="56" s="1"/>
  <c r="CK264" i="56"/>
  <c r="BY106" i="56" a="1"/>
  <c r="BY106" i="56" s="1"/>
  <c r="BL106" i="56"/>
  <c r="EZ171" i="56"/>
  <c r="EY171" i="56"/>
  <c r="FA171" i="56"/>
  <c r="EX171" i="56"/>
  <c r="EW171" i="56"/>
  <c r="EU171" i="56"/>
  <c r="ES171" i="56"/>
  <c r="EV171" i="56"/>
  <c r="ET171" i="56"/>
  <c r="EX235" i="56"/>
  <c r="EV235" i="56"/>
  <c r="EZ235" i="56"/>
  <c r="EU235" i="56"/>
  <c r="EW235" i="56"/>
  <c r="EY235" i="56"/>
  <c r="ET235" i="56"/>
  <c r="ES235" i="56"/>
  <c r="EZ299" i="56"/>
  <c r="EY299" i="56"/>
  <c r="ET299" i="56"/>
  <c r="ES299" i="56"/>
  <c r="FA299" i="56"/>
  <c r="EX299" i="56"/>
  <c r="EW299" i="56"/>
  <c r="EU299" i="56"/>
  <c r="EV299" i="56"/>
  <c r="CJ57" i="56"/>
  <c r="CK57" i="56" s="1"/>
  <c r="FP58" i="56"/>
  <c r="FS58" i="56"/>
  <c r="FG106" i="56" a="1"/>
  <c r="FG106" i="56" s="1"/>
  <c r="FH106" i="56"/>
  <c r="FY156" i="56"/>
  <c r="FB156" i="56"/>
  <c r="EX268" i="56"/>
  <c r="FA268" i="56"/>
  <c r="EZ268" i="56"/>
  <c r="EW268" i="56"/>
  <c r="EU268" i="56"/>
  <c r="EV268" i="56"/>
  <c r="ET268" i="56"/>
  <c r="EY268" i="56"/>
  <c r="ES268" i="56"/>
  <c r="EL230" i="56"/>
  <c r="EK230" i="56"/>
  <c r="CJ42" i="56"/>
  <c r="CK42" i="56" s="1"/>
  <c r="FH202" i="56"/>
  <c r="FG202" i="56" a="1"/>
  <c r="FG202" i="56" s="1"/>
  <c r="FI202" i="56" s="1"/>
  <c r="EI135" i="56"/>
  <c r="S263" i="56"/>
  <c r="IP336" i="56"/>
  <c r="FD336" i="56"/>
  <c r="M336" i="56" s="1"/>
  <c r="FE336" i="56" s="1"/>
  <c r="FF336" i="56" s="1"/>
  <c r="FL336" i="56"/>
  <c r="FM336" i="56" s="1"/>
  <c r="FO336" i="56" s="1" a="1"/>
  <c r="FO336" i="56" s="1"/>
  <c r="FB336" i="56"/>
  <c r="DC336" i="56"/>
  <c r="GF181" i="56"/>
  <c r="FG44" i="56" a="1"/>
  <c r="FG44" i="56" s="1"/>
  <c r="FH44" i="56"/>
  <c r="CR108" i="56"/>
  <c r="DH108" i="56" s="1"/>
  <c r="CP108" i="56" a="1"/>
  <c r="CP108" i="56" s="1"/>
  <c r="CO108" i="56" a="1"/>
  <c r="CO108" i="56" s="1"/>
  <c r="CQ108" i="56" a="1"/>
  <c r="CQ108" i="56" s="1"/>
  <c r="CJ268" i="56"/>
  <c r="CK268" i="56" s="1"/>
  <c r="EW337" i="56"/>
  <c r="CJ327" i="56"/>
  <c r="CK327" i="56" s="1"/>
  <c r="GF166" i="56"/>
  <c r="EZ175" i="56"/>
  <c r="EY175" i="56"/>
  <c r="ET175" i="56"/>
  <c r="FA175" i="56"/>
  <c r="EW175" i="56"/>
  <c r="EX175" i="56"/>
  <c r="ES175" i="56"/>
  <c r="EV175" i="56"/>
  <c r="EU175" i="56"/>
  <c r="CQ61" i="56" a="1"/>
  <c r="CQ61" i="56" s="1"/>
  <c r="CR61" i="56"/>
  <c r="DH61" i="56" s="1"/>
  <c r="CO61" i="56" a="1"/>
  <c r="CO61" i="56" s="1"/>
  <c r="CP61" i="56" a="1"/>
  <c r="CP61" i="56" s="1"/>
  <c r="CQ189" i="56" a="1"/>
  <c r="CQ189" i="56" s="1"/>
  <c r="CR189" i="56"/>
  <c r="DH189" i="56" s="1"/>
  <c r="CO189" i="56" a="1"/>
  <c r="CO189" i="56" s="1"/>
  <c r="CP189" i="56" a="1"/>
  <c r="CP189" i="56" s="1"/>
  <c r="CJ253" i="56"/>
  <c r="CK253" i="56" s="1"/>
  <c r="FG333" i="56" a="1"/>
  <c r="FG333" i="56" s="1"/>
  <c r="FH333" i="56"/>
  <c r="IF236" i="56"/>
  <c r="HY236" i="56"/>
  <c r="IP351" i="56"/>
  <c r="FL351" i="56"/>
  <c r="FM351" i="56" s="1"/>
  <c r="FO351" i="56" s="1" a="1"/>
  <c r="FO351" i="56" s="1"/>
  <c r="FB351" i="56"/>
  <c r="DC351" i="56"/>
  <c r="CK351" i="56"/>
  <c r="GF135" i="56"/>
  <c r="GC58" i="56"/>
  <c r="EV112" i="56"/>
  <c r="FA112" i="56"/>
  <c r="EY112" i="56"/>
  <c r="EW112" i="56"/>
  <c r="EU112" i="56"/>
  <c r="EZ112" i="56"/>
  <c r="EX112" i="56"/>
  <c r="ET112" i="56"/>
  <c r="ER112" i="56"/>
  <c r="ES112" i="56"/>
  <c r="BY112" i="56" a="1"/>
  <c r="BY112" i="56" s="1"/>
  <c r="FG74" i="56" a="1"/>
  <c r="FG74" i="56" s="1"/>
  <c r="FH74" i="56"/>
  <c r="S59" i="56"/>
  <c r="EI267" i="56"/>
  <c r="EZ49" i="56"/>
  <c r="EU49" i="56"/>
  <c r="EV49" i="56"/>
  <c r="FA49" i="56"/>
  <c r="EW49" i="56"/>
  <c r="ET49" i="56"/>
  <c r="ES49" i="56"/>
  <c r="EX49" i="56"/>
  <c r="EY49" i="56"/>
  <c r="ET113" i="56"/>
  <c r="EY113" i="56"/>
  <c r="EX113" i="56"/>
  <c r="FA113" i="56"/>
  <c r="EW113" i="56"/>
  <c r="EZ113" i="56"/>
  <c r="EU113" i="56"/>
  <c r="ES113" i="56"/>
  <c r="ER113" i="56"/>
  <c r="EV113" i="56" s="1"/>
  <c r="EK35" i="56"/>
  <c r="DV35" i="56"/>
  <c r="EI204" i="56"/>
  <c r="IG117" i="56"/>
  <c r="HZ117" i="56"/>
  <c r="T128" i="56"/>
  <c r="GC128" i="56"/>
  <c r="T224" i="56"/>
  <c r="T272" i="56"/>
  <c r="EI157" i="56"/>
  <c r="EK338" i="56"/>
  <c r="DV338" i="56"/>
  <c r="EI190" i="56"/>
  <c r="CQ324" i="56" a="1"/>
  <c r="CQ324" i="56" s="1"/>
  <c r="CO324" i="56" a="1"/>
  <c r="CO324" i="56" s="1"/>
  <c r="CR324" i="56"/>
  <c r="DH324" i="56" s="1"/>
  <c r="CP324" i="56" a="1"/>
  <c r="CP324" i="56" s="1"/>
  <c r="P273" i="56" a="1"/>
  <c r="P273" i="56" s="1"/>
  <c r="BL274" i="56"/>
  <c r="CQ283" i="56" a="1"/>
  <c r="CQ283" i="56" s="1"/>
  <c r="CR283" i="56"/>
  <c r="DH283" i="56" s="1"/>
  <c r="CP283" i="56" a="1"/>
  <c r="CP283" i="56" s="1"/>
  <c r="CO283" i="56" a="1"/>
  <c r="CO283" i="56" s="1"/>
  <c r="DV347" i="56"/>
  <c r="BO20" i="55" a="1"/>
  <c r="BO20" i="55" s="1"/>
  <c r="BW20" i="55" a="1"/>
  <c r="BW20" i="55" s="1"/>
  <c r="BZ20" i="55" a="1"/>
  <c r="BZ20" i="55" s="1"/>
  <c r="W20" i="55" a="1"/>
  <c r="W20" i="55" s="1"/>
  <c r="BK20" i="55" a="1"/>
  <c r="BK20" i="55" s="1"/>
  <c r="U20" i="55" a="1"/>
  <c r="U20" i="55" s="1"/>
  <c r="FY227" i="56"/>
  <c r="FB227" i="56"/>
  <c r="DV34" i="56"/>
  <c r="FH114" i="56"/>
  <c r="FG114" i="56" a="1"/>
  <c r="FG114" i="56" s="1"/>
  <c r="BY114" i="56" a="1"/>
  <c r="BY114" i="56" s="1"/>
  <c r="P114" i="56" s="1" a="1"/>
  <c r="P114" i="56" s="1"/>
  <c r="DV130" i="56"/>
  <c r="EY294" i="56"/>
  <c r="ES294" i="56"/>
  <c r="EW294" i="56"/>
  <c r="ET294" i="56"/>
  <c r="EV294" i="56"/>
  <c r="EZ294" i="56"/>
  <c r="EX294" i="56"/>
  <c r="EU294" i="56"/>
  <c r="FG19" i="56" a="1"/>
  <c r="FG19" i="56" s="1"/>
  <c r="FI19" i="56" s="1"/>
  <c r="FH19" i="56"/>
  <c r="T95" i="56"/>
  <c r="GC95" i="56"/>
  <c r="DV112" i="56"/>
  <c r="FS136" i="56"/>
  <c r="FP136" i="56"/>
  <c r="BL156" i="56"/>
  <c r="CJ9" i="56"/>
  <c r="CK9" i="56" s="1"/>
  <c r="CP249" i="56" a="1"/>
  <c r="CP249" i="56" s="1"/>
  <c r="CQ249" i="56" a="1"/>
  <c r="CQ249" i="56" s="1"/>
  <c r="CO249" i="56" a="1"/>
  <c r="CO249" i="56" s="1"/>
  <c r="CR249" i="56"/>
  <c r="DH249" i="56" s="1"/>
  <c r="FH281" i="56"/>
  <c r="FG281" i="56" a="1"/>
  <c r="FG281" i="56" s="1"/>
  <c r="FS99" i="56"/>
  <c r="FP99" i="56"/>
  <c r="FS137" i="56"/>
  <c r="FP137" i="56"/>
  <c r="FG157" i="56" a="1"/>
  <c r="FG157" i="56" s="1"/>
  <c r="FH157" i="56"/>
  <c r="EX156" i="56"/>
  <c r="EW156" i="56"/>
  <c r="EU156" i="56"/>
  <c r="EY156" i="56"/>
  <c r="ES156" i="56"/>
  <c r="EZ156" i="56"/>
  <c r="EV156" i="56"/>
  <c r="ET156" i="56"/>
  <c r="EK248" i="56"/>
  <c r="CQ26" i="56" a="1"/>
  <c r="CQ26" i="56" s="1"/>
  <c r="CO26" i="56" a="1"/>
  <c r="CO26" i="56" s="1"/>
  <c r="CR26" i="56"/>
  <c r="DH26" i="56" s="1"/>
  <c r="CP26" i="56" a="1"/>
  <c r="CP26" i="56" s="1"/>
  <c r="IF314" i="56"/>
  <c r="HY314" i="56"/>
  <c r="FS27" i="56"/>
  <c r="FP27" i="56"/>
  <c r="FS60" i="56"/>
  <c r="FP60" i="56"/>
  <c r="FS211" i="56"/>
  <c r="FP211" i="56"/>
  <c r="S199" i="56"/>
  <c r="CW99" i="56"/>
  <c r="DA99" i="56" s="1"/>
  <c r="EW334" i="56"/>
  <c r="EZ334" i="56"/>
  <c r="EX334" i="56"/>
  <c r="ER334" i="56"/>
  <c r="EV334" i="56" s="1"/>
  <c r="ES334" i="56"/>
  <c r="ET334" i="56"/>
  <c r="FA334" i="56"/>
  <c r="EU334" i="56"/>
  <c r="EY334" i="56"/>
  <c r="CJ92" i="56"/>
  <c r="CK92" i="56" s="1"/>
  <c r="FH204" i="56"/>
  <c r="FG204" i="56" a="1"/>
  <c r="FG204" i="56" s="1"/>
  <c r="CP220" i="56" a="1"/>
  <c r="CP220" i="56" s="1"/>
  <c r="CQ220" i="56" a="1"/>
  <c r="CQ220" i="56" s="1"/>
  <c r="CR220" i="56"/>
  <c r="DH220" i="56" s="1"/>
  <c r="CO220" i="56" a="1"/>
  <c r="CO220" i="56" s="1"/>
  <c r="FG300" i="56" a="1"/>
  <c r="FG300" i="56" s="1"/>
  <c r="FH300" i="56"/>
  <c r="BY300" i="56" a="1"/>
  <c r="BY300" i="56" s="1"/>
  <c r="CQ316" i="56" a="1"/>
  <c r="CQ316" i="56" s="1"/>
  <c r="CO316" i="56" a="1"/>
  <c r="CO316" i="56" s="1"/>
  <c r="CR316" i="56"/>
  <c r="DH316" i="56" s="1"/>
  <c r="CP316" i="56" a="1"/>
  <c r="CP316" i="56" s="1"/>
  <c r="BL138" i="56"/>
  <c r="ET79" i="56"/>
  <c r="EZ79" i="56"/>
  <c r="EX79" i="56"/>
  <c r="EW79" i="56"/>
  <c r="ER79" i="56"/>
  <c r="EV79" i="56" s="1"/>
  <c r="ES79" i="56"/>
  <c r="EY79" i="56"/>
  <c r="EU79" i="56"/>
  <c r="BL93" i="56"/>
  <c r="BY93" i="56" a="1"/>
  <c r="BY93" i="56" s="1"/>
  <c r="FA93" i="56" s="1"/>
  <c r="CR125" i="56"/>
  <c r="DH125" i="56" s="1"/>
  <c r="CQ125" i="56" a="1"/>
  <c r="CQ125" i="56" s="1"/>
  <c r="CP125" i="56" a="1"/>
  <c r="CP125" i="56" s="1"/>
  <c r="CO125" i="56" a="1"/>
  <c r="CO125" i="56" s="1"/>
  <c r="FH253" i="56"/>
  <c r="FG253" i="56" a="1"/>
  <c r="FG253" i="56" s="1"/>
  <c r="IP95" i="56"/>
  <c r="FL95" i="56"/>
  <c r="FM95" i="56" s="1"/>
  <c r="FO95" i="56" s="1" a="1"/>
  <c r="FO95" i="56" s="1"/>
  <c r="FF95" i="56"/>
  <c r="FB95" i="56"/>
  <c r="DC95" i="56"/>
  <c r="CK95" i="56"/>
  <c r="CW95" i="56" s="1"/>
  <c r="DA95" i="56" s="1"/>
  <c r="BL48" i="56"/>
  <c r="FG120" i="56" a="1"/>
  <c r="FG120" i="56" s="1"/>
  <c r="FH120" i="56"/>
  <c r="EY225" i="56"/>
  <c r="EW225" i="56"/>
  <c r="EZ225" i="56"/>
  <c r="FA225" i="56"/>
  <c r="ES225" i="56"/>
  <c r="EX225" i="56"/>
  <c r="ET225" i="56"/>
  <c r="EU225" i="56"/>
  <c r="EV225" i="56"/>
  <c r="IE117" i="56"/>
  <c r="HX117" i="56"/>
  <c r="IQ156" i="56"/>
  <c r="IQ114" i="56"/>
  <c r="DF114" i="56"/>
  <c r="DG114" i="56" s="1"/>
  <c r="FS259" i="56"/>
  <c r="FP259" i="56"/>
  <c r="EK73" i="56"/>
  <c r="EL73" i="56"/>
  <c r="DV73" i="56"/>
  <c r="EI254" i="56"/>
  <c r="EI239" i="56"/>
  <c r="EU210" i="56"/>
  <c r="EV210" i="56"/>
  <c r="ES210" i="56"/>
  <c r="EX210" i="56"/>
  <c r="EZ210" i="56"/>
  <c r="EY210" i="56"/>
  <c r="EW210" i="56"/>
  <c r="ET210" i="56"/>
  <c r="CP210" i="56" a="1"/>
  <c r="CP210" i="56" s="1"/>
  <c r="CO210" i="56" a="1"/>
  <c r="CO210" i="56" s="1"/>
  <c r="CR210" i="56"/>
  <c r="DH210" i="56" s="1"/>
  <c r="CQ210" i="56" a="1"/>
  <c r="CQ210" i="56" s="1"/>
  <c r="CR68" i="56"/>
  <c r="DH68" i="56" s="1"/>
  <c r="CP68" i="56" a="1"/>
  <c r="CP68" i="56" s="1"/>
  <c r="CO68" i="56" a="1"/>
  <c r="CO68" i="56" s="1"/>
  <c r="CQ68" i="56" a="1"/>
  <c r="CQ68" i="56" s="1"/>
  <c r="FH116" i="56"/>
  <c r="FG116" i="56" a="1"/>
  <c r="FG116" i="56" s="1"/>
  <c r="FG164" i="56" a="1"/>
  <c r="FG164" i="56" s="1"/>
  <c r="FH164" i="56"/>
  <c r="CQ276" i="56" a="1"/>
  <c r="CQ276" i="56" s="1"/>
  <c r="CP276" i="56" a="1"/>
  <c r="CP276" i="56" s="1"/>
  <c r="CO276" i="56" a="1"/>
  <c r="CO276" i="56" s="1"/>
  <c r="CR276" i="56"/>
  <c r="DH276" i="56" s="1"/>
  <c r="FH16" i="56"/>
  <c r="FG16" i="56" a="1"/>
  <c r="FG16" i="56" s="1"/>
  <c r="CR256" i="56"/>
  <c r="DH256" i="56" s="1"/>
  <c r="CQ256" i="56" a="1"/>
  <c r="CQ256" i="56" s="1"/>
  <c r="CP256" i="56" a="1"/>
  <c r="CP256" i="56" s="1"/>
  <c r="CO256" i="56" a="1"/>
  <c r="CO256" i="56" s="1"/>
  <c r="FH272" i="56"/>
  <c r="FG272" i="56" a="1"/>
  <c r="FG272" i="56" s="1"/>
  <c r="FH289" i="56"/>
  <c r="FG289" i="56" a="1"/>
  <c r="FG289" i="56" s="1"/>
  <c r="BL163" i="56"/>
  <c r="BY163" i="56" a="1"/>
  <c r="BY163" i="56" s="1"/>
  <c r="DU163" i="56" s="1"/>
  <c r="EY221" i="56"/>
  <c r="EW221" i="56"/>
  <c r="EX221" i="56"/>
  <c r="ET221" i="56"/>
  <c r="EV221" i="56"/>
  <c r="EZ221" i="56"/>
  <c r="ER221" i="56"/>
  <c r="EU221" i="56"/>
  <c r="ES221" i="56"/>
  <c r="CR264" i="56"/>
  <c r="DH264" i="56" s="1"/>
  <c r="CQ264" i="56" a="1"/>
  <c r="CQ264" i="56" s="1"/>
  <c r="CP264" i="56" a="1"/>
  <c r="CP264" i="56" s="1"/>
  <c r="CO264" i="56" a="1"/>
  <c r="CO264" i="56" s="1"/>
  <c r="CJ312" i="56"/>
  <c r="CK312" i="56" s="1"/>
  <c r="CJ22" i="56"/>
  <c r="CK22" i="56" s="1"/>
  <c r="CW22" i="56" s="1"/>
  <c r="DA22" i="56" s="1"/>
  <c r="FA27" i="56"/>
  <c r="EV27" i="56"/>
  <c r="EZ27" i="56"/>
  <c r="EY27" i="56"/>
  <c r="ET27" i="56"/>
  <c r="EX27" i="56"/>
  <c r="EW27" i="56"/>
  <c r="ES27" i="56"/>
  <c r="ER27" i="56"/>
  <c r="EU27" i="56"/>
  <c r="EX107" i="56"/>
  <c r="EV107" i="56"/>
  <c r="EZ107" i="56"/>
  <c r="EU107" i="56"/>
  <c r="FA107" i="56"/>
  <c r="ET107" i="56"/>
  <c r="EY107" i="56"/>
  <c r="ES107" i="56"/>
  <c r="ER107" i="56"/>
  <c r="EW107" i="56"/>
  <c r="FH153" i="56"/>
  <c r="FG153" i="56" a="1"/>
  <c r="FG153" i="56" s="1"/>
  <c r="FI153" i="56" s="1"/>
  <c r="CJ169" i="56"/>
  <c r="CK169" i="56" s="1"/>
  <c r="FG217" i="56" a="1"/>
  <c r="FG217" i="56" s="1"/>
  <c r="FH217" i="56"/>
  <c r="CJ233" i="56"/>
  <c r="CK233" i="56" s="1"/>
  <c r="FG345" i="56" a="1"/>
  <c r="FG345" i="56" s="1"/>
  <c r="FH345" i="56"/>
  <c r="FB210" i="56"/>
  <c r="FH246" i="56"/>
  <c r="FG246" i="56" a="1"/>
  <c r="FG246" i="56" s="1"/>
  <c r="GC294" i="56"/>
  <c r="EX76" i="56"/>
  <c r="EY76" i="56"/>
  <c r="EW76" i="56"/>
  <c r="EZ76" i="56"/>
  <c r="ET76" i="56"/>
  <c r="EU76" i="56"/>
  <c r="ES76" i="56"/>
  <c r="ER76" i="56"/>
  <c r="EV76" i="56" s="1"/>
  <c r="FY172" i="56"/>
  <c r="EX284" i="56"/>
  <c r="EV284" i="56"/>
  <c r="ET284" i="56"/>
  <c r="EZ284" i="56"/>
  <c r="EY284" i="56"/>
  <c r="EW284" i="56"/>
  <c r="EU284" i="56"/>
  <c r="ES284" i="56"/>
  <c r="EL41" i="56"/>
  <c r="EK41" i="56"/>
  <c r="IG314" i="56"/>
  <c r="HZ314" i="56"/>
  <c r="FS220" i="56"/>
  <c r="FP220" i="56"/>
  <c r="EI215" i="56"/>
  <c r="EI279" i="56"/>
  <c r="IP269" i="56"/>
  <c r="FL269" i="56"/>
  <c r="FM269" i="56" s="1"/>
  <c r="FO269" i="56" s="1" a="1"/>
  <c r="FO269" i="56" s="1"/>
  <c r="FB269" i="56"/>
  <c r="DC269" i="56"/>
  <c r="CK269" i="56"/>
  <c r="IR269" i="56" s="1"/>
  <c r="EW14" i="56"/>
  <c r="EV14" i="56"/>
  <c r="ER14" i="56"/>
  <c r="EY14" i="56"/>
  <c r="ES14" i="56"/>
  <c r="EU14" i="56"/>
  <c r="EZ14" i="56"/>
  <c r="EX14" i="56"/>
  <c r="ET14" i="56"/>
  <c r="FA14" i="56"/>
  <c r="EW206" i="56"/>
  <c r="FA206" i="56"/>
  <c r="ET206" i="56"/>
  <c r="EZ206" i="56"/>
  <c r="EU206" i="56"/>
  <c r="EY206" i="56"/>
  <c r="ES206" i="56"/>
  <c r="EX206" i="56"/>
  <c r="EV206" i="56"/>
  <c r="CJ252" i="56"/>
  <c r="CK252" i="56" s="1"/>
  <c r="CJ348" i="56"/>
  <c r="CK348" i="56" s="1"/>
  <c r="GF182" i="56"/>
  <c r="BL216" i="56"/>
  <c r="BY216" i="56" a="1"/>
  <c r="BY216" i="56" s="1"/>
  <c r="P216" i="56" s="1" a="1"/>
  <c r="P216" i="56" s="1"/>
  <c r="EY191" i="56"/>
  <c r="EW191" i="56"/>
  <c r="EV191" i="56"/>
  <c r="EZ191" i="56"/>
  <c r="ES191" i="56"/>
  <c r="ET191" i="56"/>
  <c r="EX191" i="56"/>
  <c r="FA191" i="56"/>
  <c r="EU191" i="56"/>
  <c r="EW287" i="56"/>
  <c r="EV287" i="56"/>
  <c r="EY287" i="56"/>
  <c r="EZ287" i="56"/>
  <c r="EX287" i="56"/>
  <c r="ES287" i="56"/>
  <c r="ET287" i="56"/>
  <c r="EU287" i="56"/>
  <c r="CR45" i="56"/>
  <c r="DH45" i="56" s="1"/>
  <c r="CO45" i="56" a="1"/>
  <c r="CO45" i="56" s="1"/>
  <c r="CP45" i="56" a="1"/>
  <c r="CP45" i="56" s="1"/>
  <c r="CQ45" i="56" a="1"/>
  <c r="CQ45" i="56" s="1"/>
  <c r="CJ189" i="56"/>
  <c r="CK189" i="56" s="1"/>
  <c r="BY221" i="56" a="1"/>
  <c r="BY221" i="56" s="1"/>
  <c r="FA221" i="56" s="1"/>
  <c r="BY301" i="56" a="1"/>
  <c r="BY301" i="56" s="1"/>
  <c r="P301" i="56" a="1"/>
  <c r="P301" i="56" s="1"/>
  <c r="BL301" i="56"/>
  <c r="IE236" i="56"/>
  <c r="HX236" i="56"/>
  <c r="IP47" i="56"/>
  <c r="GG47" i="56"/>
  <c r="FL47" i="56"/>
  <c r="FM47" i="56" s="1"/>
  <c r="FO47" i="56" s="1" a="1"/>
  <c r="FO47" i="56" s="1"/>
  <c r="FB47" i="56"/>
  <c r="DC47" i="56"/>
  <c r="CK47" i="56"/>
  <c r="CW47" i="56" s="1"/>
  <c r="DH47" i="56"/>
  <c r="IP143" i="56"/>
  <c r="FL143" i="56"/>
  <c r="FM143" i="56" s="1"/>
  <c r="FO143" i="56" s="1" a="1"/>
  <c r="FO143" i="56" s="1"/>
  <c r="FB143" i="56"/>
  <c r="DC143" i="56"/>
  <c r="CK143" i="56"/>
  <c r="IP207" i="56"/>
  <c r="FL207" i="56"/>
  <c r="FM207" i="56" s="1"/>
  <c r="FO207" i="56" s="1" a="1"/>
  <c r="FO207" i="56" s="1"/>
  <c r="FF207" i="56"/>
  <c r="FB207" i="56"/>
  <c r="DH207" i="56"/>
  <c r="DC207" i="56"/>
  <c r="CK207" i="56"/>
  <c r="CW207" i="56" s="1"/>
  <c r="IP303" i="56"/>
  <c r="FL303" i="56"/>
  <c r="FM303" i="56" s="1"/>
  <c r="FO303" i="56" s="1" a="1"/>
  <c r="FO303" i="56" s="1"/>
  <c r="FF303" i="56"/>
  <c r="FB303" i="56"/>
  <c r="DC303" i="56"/>
  <c r="DH303" i="56"/>
  <c r="CK303" i="56"/>
  <c r="CW303" i="56" s="1"/>
  <c r="DA303" i="56" s="1"/>
  <c r="HB303" i="56" s="1"/>
  <c r="GF151" i="56"/>
  <c r="CW102" i="56"/>
  <c r="DA102" i="56" s="1"/>
  <c r="CW278" i="56"/>
  <c r="GC10" i="56"/>
  <c r="GC106" i="56"/>
  <c r="GC154" i="56"/>
  <c r="BY48" i="56" a="1"/>
  <c r="BY48" i="56" s="1"/>
  <c r="DU48" i="56" s="1"/>
  <c r="EV256" i="56"/>
  <c r="EX256" i="56"/>
  <c r="FA256" i="56"/>
  <c r="EW256" i="56"/>
  <c r="EU256" i="56"/>
  <c r="EZ256" i="56"/>
  <c r="ET256" i="56"/>
  <c r="EY256" i="56"/>
  <c r="ES256" i="56"/>
  <c r="EV336" i="56"/>
  <c r="EZ336" i="56"/>
  <c r="EX336" i="56"/>
  <c r="EY336" i="56"/>
  <c r="ER336" i="56"/>
  <c r="ET336" i="56"/>
  <c r="FA336" i="56"/>
  <c r="EW336" i="56"/>
  <c r="ES336" i="56"/>
  <c r="EU336" i="56"/>
  <c r="IP272" i="56"/>
  <c r="FL272" i="56"/>
  <c r="FM272" i="56" s="1"/>
  <c r="FO272" i="56" s="1" a="1"/>
  <c r="FO272" i="56" s="1"/>
  <c r="FB272" i="56"/>
  <c r="DC272" i="56"/>
  <c r="CK272" i="56"/>
  <c r="CW272" i="56" s="1"/>
  <c r="FH169" i="56"/>
  <c r="FG169" i="56" a="1"/>
  <c r="FG169" i="56" s="1"/>
  <c r="BY169" i="56" a="1"/>
  <c r="BY169" i="56" s="1"/>
  <c r="EI75" i="56"/>
  <c r="EI203" i="56"/>
  <c r="EI347" i="56"/>
  <c r="S347" i="56" s="1"/>
  <c r="P40" i="56" a="1"/>
  <c r="P40" i="56" s="1"/>
  <c r="FY65" i="56"/>
  <c r="P65" i="56" a="1"/>
  <c r="P65" i="56" s="1"/>
  <c r="BL289" i="56"/>
  <c r="EI300" i="56"/>
  <c r="S300" i="56" s="1"/>
  <c r="IF117" i="56"/>
  <c r="HY117" i="56"/>
  <c r="IR156" i="56"/>
  <c r="FS317" i="56"/>
  <c r="FP317" i="56"/>
  <c r="BL237" i="56"/>
  <c r="EV253" i="56"/>
  <c r="EZ253" i="56"/>
  <c r="EX253" i="56"/>
  <c r="EY253" i="56"/>
  <c r="ES253" i="56"/>
  <c r="EW253" i="56"/>
  <c r="EU253" i="56"/>
  <c r="ET253" i="56"/>
  <c r="EI317" i="56"/>
  <c r="S317" i="56" s="1"/>
  <c r="EK121" i="56"/>
  <c r="EL121" i="56"/>
  <c r="DV121" i="56"/>
  <c r="S126" i="56"/>
  <c r="S79" i="56"/>
  <c r="EI159" i="56"/>
  <c r="EU98" i="56"/>
  <c r="EZ98" i="56"/>
  <c r="EY98" i="56"/>
  <c r="EX98" i="56"/>
  <c r="FA98" i="56"/>
  <c r="ET98" i="56"/>
  <c r="ER98" i="56"/>
  <c r="EV98" i="56" s="1"/>
  <c r="ES98" i="56"/>
  <c r="EW98" i="56"/>
  <c r="EU162" i="56"/>
  <c r="EX162" i="56"/>
  <c r="EV162" i="56"/>
  <c r="ES162" i="56"/>
  <c r="EZ162" i="56"/>
  <c r="EY162" i="56"/>
  <c r="ET162" i="56"/>
  <c r="EW162" i="56"/>
  <c r="EU274" i="56"/>
  <c r="EX274" i="56"/>
  <c r="EY274" i="56"/>
  <c r="ET274" i="56"/>
  <c r="EV274" i="56"/>
  <c r="ES274" i="56"/>
  <c r="EW274" i="56"/>
  <c r="EZ274" i="56"/>
  <c r="BK26" i="55" a="1"/>
  <c r="BK26" i="55" s="1"/>
  <c r="W26" i="55" a="1"/>
  <c r="W26" i="55" s="1"/>
  <c r="BZ26" i="55" a="1"/>
  <c r="BZ26" i="55" s="1"/>
  <c r="BO26" i="55" a="1"/>
  <c r="BO26" i="55" s="1"/>
  <c r="BW26" i="55" a="1"/>
  <c r="BW26" i="55" s="1"/>
  <c r="U26" i="55" a="1"/>
  <c r="U26" i="55" s="1"/>
  <c r="CR339" i="56"/>
  <c r="DH339" i="56" s="1"/>
  <c r="CP339" i="56" a="1"/>
  <c r="CP339" i="56" s="1"/>
  <c r="CO339" i="56" a="1"/>
  <c r="CO339" i="56" s="1"/>
  <c r="CQ339" i="56" a="1"/>
  <c r="CQ339" i="56" s="1"/>
  <c r="EW141" i="56"/>
  <c r="EU141" i="56"/>
  <c r="EY141" i="56"/>
  <c r="EZ141" i="56"/>
  <c r="EX141" i="56"/>
  <c r="ES141" i="56"/>
  <c r="ET141" i="56"/>
  <c r="ER141" i="56"/>
  <c r="EV141" i="56" s="1"/>
  <c r="BY115" i="56" a="1"/>
  <c r="BY115" i="56" s="1"/>
  <c r="DU115" i="56" s="1"/>
  <c r="IF252" i="56"/>
  <c r="HY252" i="56"/>
  <c r="FH298" i="56"/>
  <c r="FG298" i="56" a="1"/>
  <c r="FG298" i="56" s="1"/>
  <c r="FY300" i="56"/>
  <c r="FH314" i="56"/>
  <c r="FG314" i="56" a="1"/>
  <c r="FG314" i="56" s="1"/>
  <c r="FI314" i="56" s="1"/>
  <c r="BY314" i="56" a="1"/>
  <c r="BY314" i="56" s="1"/>
  <c r="FA314" i="56" s="1"/>
  <c r="FZ319" i="56"/>
  <c r="EI151" i="56"/>
  <c r="GF85" i="56"/>
  <c r="EW350" i="56"/>
  <c r="EY350" i="56"/>
  <c r="EX350" i="56"/>
  <c r="FA350" i="56"/>
  <c r="ES350" i="56"/>
  <c r="EU350" i="56"/>
  <c r="ER350" i="56"/>
  <c r="EV350" i="56"/>
  <c r="ET350" i="56"/>
  <c r="EZ350" i="56"/>
  <c r="CQ140" i="56" a="1"/>
  <c r="CQ140" i="56" s="1"/>
  <c r="CR140" i="56"/>
  <c r="DH140" i="56" s="1"/>
  <c r="CO140" i="56" a="1"/>
  <c r="CO140" i="56" s="1"/>
  <c r="CP140" i="56" a="1"/>
  <c r="CP140" i="56" s="1"/>
  <c r="FG188" i="56" a="1"/>
  <c r="FG188" i="56" s="1"/>
  <c r="FH188" i="56"/>
  <c r="BY188" i="56" a="1"/>
  <c r="BY188" i="56" s="1"/>
  <c r="DU188" i="56" s="1"/>
  <c r="CQ204" i="56" a="1"/>
  <c r="CQ204" i="56" s="1"/>
  <c r="CP204" i="56" a="1"/>
  <c r="CP204" i="56" s="1"/>
  <c r="CR204" i="56"/>
  <c r="DH204" i="56" s="1"/>
  <c r="CO204" i="56" a="1"/>
  <c r="CO204" i="56" s="1"/>
  <c r="FH252" i="56"/>
  <c r="FG252" i="56" a="1"/>
  <c r="FG252" i="56" s="1"/>
  <c r="FA337" i="56"/>
  <c r="GF70" i="56"/>
  <c r="GF326" i="56"/>
  <c r="BY344" i="56" a="1"/>
  <c r="BY344" i="56" s="1"/>
  <c r="P344" i="56" s="1" a="1"/>
  <c r="P344" i="56" s="1"/>
  <c r="BL344" i="56"/>
  <c r="EY95" i="56"/>
  <c r="EX95" i="56"/>
  <c r="EW95" i="56"/>
  <c r="ET95" i="56"/>
  <c r="ES95" i="56"/>
  <c r="EZ95" i="56"/>
  <c r="ER95" i="56"/>
  <c r="EV95" i="56" s="1"/>
  <c r="EU95" i="56"/>
  <c r="BY95" i="56" a="1"/>
  <c r="BY95" i="56" s="1"/>
  <c r="BY157" i="56" a="1"/>
  <c r="BY157" i="56" s="1"/>
  <c r="DU157" i="56" s="1"/>
  <c r="BL157" i="56"/>
  <c r="CO173" i="56" a="1"/>
  <c r="CO173" i="56" s="1"/>
  <c r="CR173" i="56"/>
  <c r="DH173" i="56" s="1"/>
  <c r="CP173" i="56" a="1"/>
  <c r="CP173" i="56" s="1"/>
  <c r="CQ173" i="56" a="1"/>
  <c r="CQ173" i="56" s="1"/>
  <c r="FH237" i="56"/>
  <c r="FG237" i="56" a="1"/>
  <c r="FG237" i="56" s="1"/>
  <c r="FH301" i="56"/>
  <c r="FG301" i="56" a="1"/>
  <c r="FG301" i="56" s="1"/>
  <c r="FI301" i="56" s="1"/>
  <c r="FG317" i="56" a="1"/>
  <c r="FG317" i="56" s="1"/>
  <c r="FH317" i="56"/>
  <c r="EV48" i="56"/>
  <c r="FA48" i="56"/>
  <c r="EZ48" i="56"/>
  <c r="EU48" i="56"/>
  <c r="EY48" i="56"/>
  <c r="ET48" i="56"/>
  <c r="ES48" i="56"/>
  <c r="EW48" i="56"/>
  <c r="EX48" i="56"/>
  <c r="EV192" i="56"/>
  <c r="EU192" i="56"/>
  <c r="FA192" i="56"/>
  <c r="EX192" i="56"/>
  <c r="EZ192" i="56"/>
  <c r="EW192" i="56"/>
  <c r="ET192" i="56"/>
  <c r="EY192" i="56"/>
  <c r="ES192" i="56"/>
  <c r="IP224" i="56"/>
  <c r="FD224" i="56"/>
  <c r="M224" i="56" s="1"/>
  <c r="FE224" i="56" s="1"/>
  <c r="FF224" i="56" s="1"/>
  <c r="FL224" i="56"/>
  <c r="FM224" i="56" s="1"/>
  <c r="FO224" i="56" s="1" a="1"/>
  <c r="FO224" i="56" s="1"/>
  <c r="FB224" i="56"/>
  <c r="DH224" i="56"/>
  <c r="DC224" i="56"/>
  <c r="FH264" i="56"/>
  <c r="FG264" i="56" a="1"/>
  <c r="FG264" i="56" s="1"/>
  <c r="FI264" i="56" s="1"/>
  <c r="GF88" i="56"/>
  <c r="GF232" i="56"/>
  <c r="BY289" i="56" a="1"/>
  <c r="BY289" i="56" s="1"/>
  <c r="FS348" i="56"/>
  <c r="FP348" i="56"/>
  <c r="FP114" i="56"/>
  <c r="FS114" i="56"/>
  <c r="FS157" i="56"/>
  <c r="FP157" i="56"/>
  <c r="FS227" i="56"/>
  <c r="FP227" i="56"/>
  <c r="FS123" i="56"/>
  <c r="FP123" i="56"/>
  <c r="FS159" i="56"/>
  <c r="FP159" i="56"/>
  <c r="GD224" i="56"/>
  <c r="EI173" i="56"/>
  <c r="EI270" i="56"/>
  <c r="S270" i="56" s="1"/>
  <c r="EI335" i="56"/>
  <c r="EU50" i="56"/>
  <c r="EW50" i="56"/>
  <c r="FA50" i="56"/>
  <c r="EY50" i="56"/>
  <c r="ET50" i="56"/>
  <c r="EV50" i="56"/>
  <c r="ES50" i="56"/>
  <c r="EX50" i="56"/>
  <c r="EZ50" i="56"/>
  <c r="BY139" i="56" a="1"/>
  <c r="BY139" i="56" s="1"/>
  <c r="FA163" i="56"/>
  <c r="EX163" i="56"/>
  <c r="EV163" i="56"/>
  <c r="EZ163" i="56"/>
  <c r="EY163" i="56"/>
  <c r="EU163" i="56"/>
  <c r="ES163" i="56"/>
  <c r="ET163" i="56"/>
  <c r="EW163" i="56"/>
  <c r="FH211" i="56"/>
  <c r="FG211" i="56" a="1"/>
  <c r="FG211" i="56" s="1"/>
  <c r="T167" i="56"/>
  <c r="GC167" i="56"/>
  <c r="DV290" i="56"/>
  <c r="CW251" i="56"/>
  <c r="FH48" i="56"/>
  <c r="FG48" i="56" a="1"/>
  <c r="FG48" i="56" s="1"/>
  <c r="FG225" i="56" a="1"/>
  <c r="FG225" i="56" s="1"/>
  <c r="FH225" i="56"/>
  <c r="CO306" i="56" a="1"/>
  <c r="CO306" i="56" s="1"/>
  <c r="CR306" i="56"/>
  <c r="DH306" i="56" s="1"/>
  <c r="CQ306" i="56" a="1"/>
  <c r="CQ306" i="56" s="1"/>
  <c r="CP306" i="56" a="1"/>
  <c r="CP306" i="56" s="1"/>
  <c r="BY51" i="56" a="1"/>
  <c r="BY51" i="56" s="1"/>
  <c r="DU51" i="56" s="1"/>
  <c r="BL51" i="56"/>
  <c r="E51" i="56" s="1"/>
  <c r="BM51" i="56" s="1"/>
  <c r="EI156" i="56"/>
  <c r="S156" i="56" s="1"/>
  <c r="IP255" i="56"/>
  <c r="FL255" i="56"/>
  <c r="FM255" i="56" s="1"/>
  <c r="FO255" i="56" s="1" a="1"/>
  <c r="FO255" i="56" s="1"/>
  <c r="FB255" i="56"/>
  <c r="DC255" i="56"/>
  <c r="CK255" i="56"/>
  <c r="CW255" i="56" s="1"/>
  <c r="FY64" i="56"/>
  <c r="P64" i="56" a="1"/>
  <c r="P64" i="56" s="1"/>
  <c r="EX128" i="56"/>
  <c r="EW128" i="56"/>
  <c r="ES128" i="56"/>
  <c r="EY128" i="56"/>
  <c r="EZ128" i="56"/>
  <c r="ET128" i="56"/>
  <c r="EU128" i="56"/>
  <c r="ER128" i="56"/>
  <c r="EV128" i="56" s="1"/>
  <c r="IP64" i="56"/>
  <c r="FL64" i="56"/>
  <c r="FM64" i="56" s="1"/>
  <c r="FO64" i="56" s="1" a="1"/>
  <c r="FO64" i="56" s="1"/>
  <c r="FB64" i="56"/>
  <c r="DC64" i="56"/>
  <c r="IP112" i="56"/>
  <c r="FL112" i="56"/>
  <c r="FM112" i="56" s="1"/>
  <c r="FO112" i="56" s="1" a="1"/>
  <c r="FO112" i="56" s="1"/>
  <c r="FB112" i="56"/>
  <c r="DC112" i="56"/>
  <c r="FH310" i="56"/>
  <c r="FG310" i="56" a="1"/>
  <c r="FG310" i="56" s="1"/>
  <c r="P268" i="56" a="1"/>
  <c r="P268" i="56" s="1"/>
  <c r="BL268" i="56"/>
  <c r="EY65" i="56"/>
  <c r="ER65" i="56"/>
  <c r="EV65" i="56" s="1"/>
  <c r="EX65" i="56"/>
  <c r="EU65" i="56"/>
  <c r="EW65" i="56"/>
  <c r="FA65" i="56"/>
  <c r="EZ65" i="56"/>
  <c r="ES65" i="56"/>
  <c r="ET65" i="56"/>
  <c r="EU177" i="56"/>
  <c r="ES177" i="56"/>
  <c r="ET177" i="56"/>
  <c r="EY177" i="56"/>
  <c r="EW177" i="56"/>
  <c r="EZ177" i="56"/>
  <c r="EX177" i="56"/>
  <c r="EV177" i="56"/>
  <c r="EZ289" i="56"/>
  <c r="EW289" i="56"/>
  <c r="EX289" i="56"/>
  <c r="EY289" i="56"/>
  <c r="EU289" i="56"/>
  <c r="ET289" i="56"/>
  <c r="ES289" i="56"/>
  <c r="EV289" i="56"/>
  <c r="EK291" i="56"/>
  <c r="DV291" i="56"/>
  <c r="GN283" i="56"/>
  <c r="IK283" i="56" s="1"/>
  <c r="GO283" i="56"/>
  <c r="FB98" i="56"/>
  <c r="FS190" i="56"/>
  <c r="FP190" i="56"/>
  <c r="HQ224" i="56" a="1"/>
  <c r="HQ224" i="56" s="1"/>
  <c r="HR224" i="56" s="1"/>
  <c r="HM224" i="56" a="1"/>
  <c r="HM224" i="56" s="1"/>
  <c r="HN224" i="56" s="1"/>
  <c r="HK224" i="56" a="1"/>
  <c r="HK224" i="56" s="1"/>
  <c r="HL224" i="56" s="1"/>
  <c r="HO224" i="56" a="1"/>
  <c r="HO224" i="56" s="1"/>
  <c r="HP224" i="56" s="1"/>
  <c r="HG224" i="56" a="1"/>
  <c r="HG224" i="56" s="1"/>
  <c r="HH224" i="56" s="1"/>
  <c r="HI224" i="56" a="1"/>
  <c r="HI224" i="56" s="1"/>
  <c r="HJ224" i="56" s="1"/>
  <c r="EI95" i="56"/>
  <c r="T206" i="56"/>
  <c r="GC206" i="56"/>
  <c r="GD211" i="56" s="1"/>
  <c r="GE211" i="56" s="1"/>
  <c r="EH27" i="56"/>
  <c r="DM27" i="56"/>
  <c r="BU27" i="56"/>
  <c r="AK27" i="56" s="1"/>
  <c r="BV27" i="56" s="1"/>
  <c r="HX332" i="56"/>
  <c r="IE332" i="56"/>
  <c r="CQ36" i="56" a="1"/>
  <c r="CQ36" i="56" s="1"/>
  <c r="CP36" i="56" a="1"/>
  <c r="CP36" i="56" s="1"/>
  <c r="CO36" i="56" a="1"/>
  <c r="CO36" i="56" s="1"/>
  <c r="CR36" i="56"/>
  <c r="DH36" i="56" s="1"/>
  <c r="IQ260" i="56"/>
  <c r="IR260" i="56"/>
  <c r="DF260" i="56"/>
  <c r="DG260" i="56" s="1"/>
  <c r="CQ32" i="56" a="1"/>
  <c r="CQ32" i="56" s="1"/>
  <c r="CR32" i="56"/>
  <c r="DH32" i="56" s="1"/>
  <c r="CP32" i="56" a="1"/>
  <c r="CP32" i="56" s="1"/>
  <c r="CO32" i="56" a="1"/>
  <c r="CO32" i="56" s="1"/>
  <c r="FH208" i="56"/>
  <c r="FG208" i="56" a="1"/>
  <c r="FG208" i="56" s="1"/>
  <c r="FI208" i="56" s="1"/>
  <c r="CP66" i="56" a="1"/>
  <c r="CP66" i="56" s="1"/>
  <c r="CO66" i="56" a="1"/>
  <c r="CO66" i="56" s="1"/>
  <c r="CR66" i="56"/>
  <c r="DH66" i="56" s="1"/>
  <c r="CQ66" i="56" a="1"/>
  <c r="CQ66" i="56" s="1"/>
  <c r="CR281" i="56"/>
  <c r="DH281" i="56" s="1"/>
  <c r="CQ281" i="56" a="1"/>
  <c r="CQ281" i="56" s="1"/>
  <c r="CP281" i="56" a="1"/>
  <c r="CP281" i="56" s="1"/>
  <c r="CO281" i="56" a="1"/>
  <c r="CO281" i="56" s="1"/>
  <c r="FY316" i="56"/>
  <c r="IP333" i="56"/>
  <c r="FF333" i="56"/>
  <c r="FL333" i="56"/>
  <c r="FM333" i="56" s="1"/>
  <c r="FO333" i="56" s="1" a="1"/>
  <c r="FO333" i="56" s="1"/>
  <c r="FB333" i="56"/>
  <c r="DH333" i="56"/>
  <c r="DC333" i="56"/>
  <c r="CK333" i="56"/>
  <c r="EU207" i="56"/>
  <c r="EZ207" i="56"/>
  <c r="EY207" i="56"/>
  <c r="EX207" i="56"/>
  <c r="EV207" i="56"/>
  <c r="EW207" i="56"/>
  <c r="ET207" i="56"/>
  <c r="FA207" i="56"/>
  <c r="ES207" i="56"/>
  <c r="FA303" i="56"/>
  <c r="EZ303" i="56"/>
  <c r="EU303" i="56"/>
  <c r="EY303" i="56"/>
  <c r="ET303" i="56"/>
  <c r="EX303" i="56"/>
  <c r="ES303" i="56"/>
  <c r="EV303" i="56"/>
  <c r="EW303" i="56"/>
  <c r="CQ77" i="56" a="1"/>
  <c r="CQ77" i="56" s="1"/>
  <c r="CR77" i="56"/>
  <c r="DH77" i="56" s="1"/>
  <c r="CP77" i="56" a="1"/>
  <c r="CP77" i="56" s="1"/>
  <c r="CO77" i="56" a="1"/>
  <c r="CO77" i="56" s="1"/>
  <c r="FH221" i="56"/>
  <c r="FG221" i="56" a="1"/>
  <c r="FG221" i="56" s="1"/>
  <c r="T26" i="56"/>
  <c r="GC26" i="56"/>
  <c r="T74" i="56"/>
  <c r="GC74" i="56"/>
  <c r="HM154" i="56" a="1"/>
  <c r="HM154" i="56" s="1"/>
  <c r="HN154" i="56" s="1"/>
  <c r="HO154" i="56" a="1"/>
  <c r="HO154" i="56" s="1"/>
  <c r="HP154" i="56" s="1"/>
  <c r="HQ154" i="56" a="1"/>
  <c r="HQ154" i="56" s="1"/>
  <c r="HR154" i="56" s="1"/>
  <c r="HG154" i="56" a="1"/>
  <c r="HG154" i="56" s="1"/>
  <c r="HH154" i="56" s="1"/>
  <c r="HI154" i="56" a="1"/>
  <c r="HI154" i="56" s="1"/>
  <c r="HJ154" i="56" s="1"/>
  <c r="HK154" i="56" a="1"/>
  <c r="HK154" i="56" s="1"/>
  <c r="HL154" i="56" s="1"/>
  <c r="EV272" i="56"/>
  <c r="EX272" i="56"/>
  <c r="EY272" i="56"/>
  <c r="ET272" i="56"/>
  <c r="ES272" i="56"/>
  <c r="EW272" i="56"/>
  <c r="EU272" i="56"/>
  <c r="FA272" i="56"/>
  <c r="EZ272" i="56"/>
  <c r="BY352" i="56" a="1"/>
  <c r="BY352" i="56" s="1"/>
  <c r="P352" i="56" s="1" a="1"/>
  <c r="P352" i="56" s="1"/>
  <c r="EJ283" i="56"/>
  <c r="FX283" i="56" s="1"/>
  <c r="S283" i="56"/>
  <c r="BY296" i="56" a="1"/>
  <c r="BY296" i="56" s="1"/>
  <c r="FA129" i="56"/>
  <c r="EY129" i="56"/>
  <c r="EX129" i="56"/>
  <c r="EZ129" i="56"/>
  <c r="ER129" i="56"/>
  <c r="EV129" i="56" s="1"/>
  <c r="ES129" i="56"/>
  <c r="EW129" i="56"/>
  <c r="EU129" i="56"/>
  <c r="ET129" i="56"/>
  <c r="EK309" i="56"/>
  <c r="EE309" i="56"/>
  <c r="FS265" i="56"/>
  <c r="FP265" i="56"/>
  <c r="GF22" i="56"/>
  <c r="EI236" i="56"/>
  <c r="S236" i="56" s="1"/>
  <c r="EI316" i="56"/>
  <c r="FS312" i="56"/>
  <c r="FP312" i="56"/>
  <c r="FS66" i="56"/>
  <c r="FP66" i="56"/>
  <c r="FS338" i="56"/>
  <c r="FP338" i="56"/>
  <c r="FS189" i="56"/>
  <c r="FP189" i="56"/>
  <c r="HX138" i="56"/>
  <c r="IE138" i="56"/>
  <c r="FP79" i="56"/>
  <c r="FS79" i="56"/>
  <c r="P171" i="56" a="1"/>
  <c r="P171" i="56" s="1"/>
  <c r="EF171" i="56" s="1"/>
  <c r="EG171" i="56" s="1"/>
  <c r="FB80" i="56"/>
  <c r="EJ317" i="56"/>
  <c r="FX317" i="56" s="1"/>
  <c r="S78" i="56"/>
  <c r="EK162" i="56"/>
  <c r="DV162" i="56"/>
  <c r="EI255" i="56"/>
  <c r="S255" i="56" s="1"/>
  <c r="EK159" i="56"/>
  <c r="EL137" i="56"/>
  <c r="EK137" i="56"/>
  <c r="EH11" i="56"/>
  <c r="DM11" i="56"/>
  <c r="BU11" i="56"/>
  <c r="AK11" i="56" s="1"/>
  <c r="BV11" i="56" s="1"/>
  <c r="EK219" i="56"/>
  <c r="DV219" i="56"/>
  <c r="EK235" i="56"/>
  <c r="DV235" i="56"/>
  <c r="EK283" i="56"/>
  <c r="DV283" i="56"/>
  <c r="BZ11" i="55" a="1"/>
  <c r="BZ11" i="55" s="1"/>
  <c r="BW11" i="55" a="1"/>
  <c r="BW11" i="55" s="1"/>
  <c r="U11" i="55" a="1"/>
  <c r="U11" i="55" s="1"/>
  <c r="W11" i="55" a="1"/>
  <c r="W11" i="55" s="1"/>
  <c r="IR318" i="56"/>
  <c r="BY257" i="56" a="1"/>
  <c r="BY257" i="56" s="1"/>
  <c r="T335" i="56"/>
  <c r="GC335" i="56"/>
  <c r="P237" i="56" a="1"/>
  <c r="P237" i="56" s="1"/>
  <c r="BY116" i="56" a="1"/>
  <c r="BY116" i="56" s="1"/>
  <c r="EZ43" i="56"/>
  <c r="EX43" i="56"/>
  <c r="ES43" i="56"/>
  <c r="FA43" i="56"/>
  <c r="ET43" i="56"/>
  <c r="EV43" i="56"/>
  <c r="EW43" i="56"/>
  <c r="EY43" i="56"/>
  <c r="EU43" i="56"/>
  <c r="EY331" i="56"/>
  <c r="EX331" i="56"/>
  <c r="EW331" i="56"/>
  <c r="ES331" i="56"/>
  <c r="EZ331" i="56"/>
  <c r="EU331" i="56"/>
  <c r="ER331" i="56"/>
  <c r="EV331" i="56" s="1"/>
  <c r="FA331" i="56"/>
  <c r="ET331" i="56"/>
  <c r="FH41" i="56"/>
  <c r="FG41" i="56" a="1"/>
  <c r="FG41" i="56" s="1"/>
  <c r="CQ137" i="56" a="1"/>
  <c r="CQ137" i="56" s="1"/>
  <c r="CR137" i="56"/>
  <c r="DH137" i="56" s="1"/>
  <c r="CP137" i="56" a="1"/>
  <c r="CP137" i="56" s="1"/>
  <c r="CO137" i="56" a="1"/>
  <c r="CO137" i="56" s="1"/>
  <c r="CJ217" i="56"/>
  <c r="CK217" i="56" s="1"/>
  <c r="CR345" i="56"/>
  <c r="DH345" i="56" s="1"/>
  <c r="CO345" i="56" a="1"/>
  <c r="CO345" i="56" s="1"/>
  <c r="CQ345" i="56" a="1"/>
  <c r="CQ345" i="56" s="1"/>
  <c r="CP345" i="56" a="1"/>
  <c r="CP345" i="56" s="1"/>
  <c r="T310" i="56"/>
  <c r="GC310" i="56"/>
  <c r="EX188" i="56"/>
  <c r="ET188" i="56"/>
  <c r="EZ188" i="56"/>
  <c r="EV188" i="56"/>
  <c r="EY188" i="56"/>
  <c r="EU188" i="56"/>
  <c r="ES188" i="56"/>
  <c r="EW188" i="56"/>
  <c r="CQ58" i="56" a="1"/>
  <c r="CQ58" i="56" s="1"/>
  <c r="CP58" i="56" a="1"/>
  <c r="CP58" i="56" s="1"/>
  <c r="CR58" i="56"/>
  <c r="DH58" i="56" s="1"/>
  <c r="CO58" i="56" a="1"/>
  <c r="CO58" i="56" s="1"/>
  <c r="FG122" i="56" a="1"/>
  <c r="FG122" i="56" s="1"/>
  <c r="FH122" i="56"/>
  <c r="FH250" i="56"/>
  <c r="FG250" i="56" a="1"/>
  <c r="FG250" i="56" s="1"/>
  <c r="GF100" i="56"/>
  <c r="GF228" i="56"/>
  <c r="EI231" i="56"/>
  <c r="S231" i="56" s="1"/>
  <c r="CQ69" i="56" a="1"/>
  <c r="CQ69" i="56" s="1"/>
  <c r="CP69" i="56" a="1"/>
  <c r="CP69" i="56" s="1"/>
  <c r="CO69" i="56" a="1"/>
  <c r="CO69" i="56" s="1"/>
  <c r="CR69" i="56"/>
  <c r="GF229" i="56"/>
  <c r="EW46" i="56"/>
  <c r="EZ46" i="56"/>
  <c r="EX46" i="56"/>
  <c r="EV46" i="56"/>
  <c r="EU46" i="56"/>
  <c r="ET46" i="56"/>
  <c r="ES46" i="56"/>
  <c r="EY46" i="56"/>
  <c r="EW174" i="56"/>
  <c r="EY174" i="56"/>
  <c r="EU174" i="56"/>
  <c r="ES174" i="56"/>
  <c r="FA174" i="56"/>
  <c r="EX174" i="56"/>
  <c r="ET174" i="56"/>
  <c r="EV174" i="56"/>
  <c r="EZ174" i="56"/>
  <c r="EW238" i="56"/>
  <c r="EX238" i="56"/>
  <c r="EV238" i="56"/>
  <c r="EY238" i="56"/>
  <c r="ET238" i="56"/>
  <c r="ES238" i="56"/>
  <c r="EZ238" i="56"/>
  <c r="EU238" i="56"/>
  <c r="CR28" i="56"/>
  <c r="DH28" i="56" s="1"/>
  <c r="CO28" i="56" a="1"/>
  <c r="CO28" i="56" s="1"/>
  <c r="CP28" i="56" a="1"/>
  <c r="CP28" i="56" s="1"/>
  <c r="CQ28" i="56" a="1"/>
  <c r="CQ28" i="56" s="1"/>
  <c r="CQ44" i="56" a="1"/>
  <c r="CQ44" i="56" s="1"/>
  <c r="CP44" i="56" a="1"/>
  <c r="CP44" i="56" s="1"/>
  <c r="CR44" i="56"/>
  <c r="DH44" i="56" s="1"/>
  <c r="CO44" i="56" a="1"/>
  <c r="CO44" i="56" s="1"/>
  <c r="CJ76" i="56"/>
  <c r="CK76" i="56" s="1"/>
  <c r="CQ124" i="56" a="1"/>
  <c r="CQ124" i="56" s="1"/>
  <c r="CO124" i="56" a="1"/>
  <c r="CO124" i="56" s="1"/>
  <c r="CR124" i="56"/>
  <c r="DH124" i="56" s="1"/>
  <c r="CP124" i="56" a="1"/>
  <c r="CP124" i="56" s="1"/>
  <c r="CQ188" i="56" a="1"/>
  <c r="CQ188" i="56" s="1"/>
  <c r="CR188" i="56"/>
  <c r="DH188" i="56" s="1"/>
  <c r="CO188" i="56" a="1"/>
  <c r="CO188" i="56" s="1"/>
  <c r="CP188" i="56" a="1"/>
  <c r="CP188" i="56" s="1"/>
  <c r="EZ337" i="56"/>
  <c r="GF214" i="56"/>
  <c r="FA111" i="56"/>
  <c r="ES111" i="56"/>
  <c r="EW111" i="56"/>
  <c r="EU111" i="56"/>
  <c r="EX111" i="56"/>
  <c r="EY111" i="56"/>
  <c r="ER111" i="56"/>
  <c r="EV111" i="56" s="1"/>
  <c r="ET111" i="56"/>
  <c r="EZ111" i="56"/>
  <c r="CQ29" i="56" a="1"/>
  <c r="CQ29" i="56" s="1"/>
  <c r="CR29" i="56"/>
  <c r="DH29" i="56" s="1"/>
  <c r="CO29" i="56" a="1"/>
  <c r="CO29" i="56" s="1"/>
  <c r="CP29" i="56" a="1"/>
  <c r="CP29" i="56" s="1"/>
  <c r="BY141" i="56" a="1"/>
  <c r="BY141" i="56" s="1"/>
  <c r="P141" i="56" s="1" a="1"/>
  <c r="P141" i="56" s="1"/>
  <c r="BL141" i="56"/>
  <c r="BL285" i="56"/>
  <c r="CR102" i="56"/>
  <c r="DH102" i="56" s="1"/>
  <c r="CQ102" i="56" a="1"/>
  <c r="CQ102" i="56" s="1"/>
  <c r="CP102" i="56" a="1"/>
  <c r="CP102" i="56" s="1"/>
  <c r="CO102" i="56" a="1"/>
  <c r="CO102" i="56" s="1"/>
  <c r="GF55" i="56"/>
  <c r="GC346" i="56"/>
  <c r="EV64" i="56"/>
  <c r="FA64" i="56"/>
  <c r="EZ64" i="56"/>
  <c r="EU64" i="56"/>
  <c r="ET64" i="56"/>
  <c r="EX64" i="56"/>
  <c r="ES64" i="56"/>
  <c r="EY64" i="56"/>
  <c r="ER64" i="56"/>
  <c r="EW64" i="56"/>
  <c r="EV352" i="56"/>
  <c r="ET352" i="56"/>
  <c r="EZ352" i="56"/>
  <c r="EX352" i="56"/>
  <c r="EW352" i="56"/>
  <c r="EU352" i="56"/>
  <c r="EY352" i="56"/>
  <c r="ER352" i="56"/>
  <c r="ES352" i="56"/>
  <c r="S91" i="56"/>
  <c r="S219" i="56"/>
  <c r="EU241" i="56"/>
  <c r="EY241" i="56"/>
  <c r="EX241" i="56"/>
  <c r="FA241" i="56"/>
  <c r="ET241" i="56"/>
  <c r="ES241" i="56"/>
  <c r="EZ241" i="56"/>
  <c r="EV241" i="56"/>
  <c r="EW241" i="56"/>
  <c r="FP113" i="56"/>
  <c r="FS113" i="56"/>
  <c r="FB312" i="56"/>
  <c r="FP98" i="56"/>
  <c r="FS98" i="56"/>
  <c r="IE237" i="56"/>
  <c r="HX237" i="56"/>
  <c r="FI77" i="56"/>
  <c r="HY138" i="56"/>
  <c r="IF138" i="56"/>
  <c r="EI253" i="56"/>
  <c r="EI333" i="56"/>
  <c r="EK249" i="56"/>
  <c r="DV249" i="56"/>
  <c r="EU290" i="56"/>
  <c r="EX290" i="56"/>
  <c r="EV290" i="56"/>
  <c r="EZ290" i="56"/>
  <c r="ES290" i="56"/>
  <c r="EW290" i="56"/>
  <c r="EY290" i="56"/>
  <c r="ET290" i="56"/>
  <c r="BY290" i="56" a="1"/>
  <c r="BY290" i="56" s="1"/>
  <c r="DU290" i="56" s="1"/>
  <c r="EK203" i="56"/>
  <c r="DV203" i="56"/>
  <c r="HZ332" i="56"/>
  <c r="IG332" i="56"/>
  <c r="EH3" i="56"/>
  <c r="DM3" i="56"/>
  <c r="CK259" i="56"/>
  <c r="DL4" i="56"/>
  <c r="DJ4" i="56"/>
  <c r="EX316" i="56"/>
  <c r="EZ316" i="56"/>
  <c r="ES316" i="56"/>
  <c r="EW316" i="56"/>
  <c r="EY316" i="56"/>
  <c r="ER316" i="56"/>
  <c r="EV316" i="56" s="1"/>
  <c r="EU316" i="56"/>
  <c r="ET316" i="56"/>
  <c r="CP74" i="56" a="1"/>
  <c r="CP74" i="56" s="1"/>
  <c r="CO74" i="56" a="1"/>
  <c r="CO74" i="56" s="1"/>
  <c r="CR74" i="56"/>
  <c r="DH74" i="56" s="1"/>
  <c r="CQ74" i="56" a="1"/>
  <c r="CQ74" i="56" s="1"/>
  <c r="CJ186" i="56"/>
  <c r="CK186" i="56" s="1"/>
  <c r="CQ234" i="56" a="1"/>
  <c r="CQ234" i="56" s="1"/>
  <c r="CR234" i="56"/>
  <c r="DH234" i="56" s="1"/>
  <c r="CP234" i="56" a="1"/>
  <c r="CP234" i="56" s="1"/>
  <c r="CO234" i="56" a="1"/>
  <c r="CO234" i="56" s="1"/>
  <c r="CQ266" i="56" a="1"/>
  <c r="CQ266" i="56" s="1"/>
  <c r="CR266" i="56"/>
  <c r="DH266" i="56" s="1"/>
  <c r="CP266" i="56" a="1"/>
  <c r="CP266" i="56" s="1"/>
  <c r="CO266" i="56" a="1"/>
  <c r="CO266" i="56" s="1"/>
  <c r="EK297" i="56"/>
  <c r="P175" i="56" a="1"/>
  <c r="P175" i="56" s="1"/>
  <c r="FG57" i="56" a="1"/>
  <c r="FG57" i="56" s="1"/>
  <c r="FH57" i="56"/>
  <c r="S295" i="56"/>
  <c r="FS295" i="56"/>
  <c r="FP295" i="56"/>
  <c r="FG205" i="56" a="1"/>
  <c r="FG205" i="56" s="1"/>
  <c r="FH205" i="56"/>
  <c r="EK68" i="56"/>
  <c r="DV68" i="56"/>
  <c r="FH28" i="56"/>
  <c r="FG28" i="56" a="1"/>
  <c r="FG28" i="56" s="1"/>
  <c r="FG124" i="56" a="1"/>
  <c r="FG124" i="56" s="1"/>
  <c r="FI124" i="56" s="1"/>
  <c r="FH124" i="56"/>
  <c r="FG172" i="56" a="1"/>
  <c r="FG172" i="56" s="1"/>
  <c r="FI172" i="56" s="1"/>
  <c r="FH172" i="56"/>
  <c r="CJ188" i="56"/>
  <c r="CK188" i="56" s="1"/>
  <c r="CQ300" i="56" a="1"/>
  <c r="CQ300" i="56" s="1"/>
  <c r="CP300" i="56" a="1"/>
  <c r="CP300" i="56" s="1"/>
  <c r="CO300" i="56" a="1"/>
  <c r="CO300" i="56" s="1"/>
  <c r="CR300" i="56"/>
  <c r="DH300" i="56" s="1"/>
  <c r="EW15" i="56"/>
  <c r="EZ15" i="56"/>
  <c r="ER15" i="56"/>
  <c r="EU15" i="56"/>
  <c r="ET15" i="56"/>
  <c r="EY15" i="56"/>
  <c r="EX15" i="56"/>
  <c r="FA15" i="56"/>
  <c r="ES15" i="56"/>
  <c r="EV15" i="56"/>
  <c r="EY223" i="56"/>
  <c r="EX223" i="56"/>
  <c r="ET223" i="56"/>
  <c r="ER223" i="56"/>
  <c r="EV223" i="56"/>
  <c r="EZ223" i="56"/>
  <c r="EW223" i="56"/>
  <c r="EU223" i="56"/>
  <c r="ES223" i="56"/>
  <c r="BY223" i="56" a="1"/>
  <c r="BY223" i="56" s="1"/>
  <c r="FP106" i="56"/>
  <c r="FS106" i="56"/>
  <c r="IP111" i="56"/>
  <c r="FL111" i="56"/>
  <c r="FM111" i="56" s="1"/>
  <c r="FO111" i="56" s="1" a="1"/>
  <c r="FO111" i="56" s="1"/>
  <c r="FB111" i="56"/>
  <c r="DI111" i="56"/>
  <c r="DH111" i="56"/>
  <c r="DC111" i="56"/>
  <c r="IP223" i="56"/>
  <c r="FL223" i="56"/>
  <c r="FM223" i="56" s="1"/>
  <c r="FO223" i="56" s="1" a="1"/>
  <c r="FO223" i="56" s="1"/>
  <c r="FF223" i="56"/>
  <c r="FB223" i="56"/>
  <c r="DH223" i="56"/>
  <c r="CK223" i="56"/>
  <c r="DC223" i="56"/>
  <c r="EV208" i="56"/>
  <c r="EY208" i="56"/>
  <c r="EW208" i="56"/>
  <c r="EZ208" i="56"/>
  <c r="FA208" i="56"/>
  <c r="ES208" i="56"/>
  <c r="ET208" i="56"/>
  <c r="EX208" i="56"/>
  <c r="EU208" i="56"/>
  <c r="IP16" i="56"/>
  <c r="FD16" i="56"/>
  <c r="M16" i="56" s="1"/>
  <c r="FE16" i="56" s="1"/>
  <c r="FF16" i="56" s="1"/>
  <c r="FL16" i="56"/>
  <c r="FM16" i="56" s="1"/>
  <c r="FO16" i="56" s="1" a="1"/>
  <c r="FO16" i="56" s="1"/>
  <c r="DC16" i="56"/>
  <c r="CK16" i="56"/>
  <c r="CW16" i="56" s="1"/>
  <c r="DA16" i="56" s="1"/>
  <c r="IP128" i="56"/>
  <c r="FL128" i="56"/>
  <c r="FM128" i="56" s="1"/>
  <c r="FO128" i="56" s="1" a="1"/>
  <c r="FO128" i="56" s="1"/>
  <c r="FB128" i="56"/>
  <c r="DC128" i="56"/>
  <c r="BL81" i="56"/>
  <c r="FH47" i="56"/>
  <c r="FI47" i="56" s="1"/>
  <c r="FS187" i="56"/>
  <c r="FP187" i="56"/>
  <c r="FS266" i="56"/>
  <c r="FP266" i="56"/>
  <c r="GD336" i="56"/>
  <c r="GE336" i="56" s="1"/>
  <c r="EK257" i="56"/>
  <c r="DV257" i="56"/>
  <c r="FP80" i="56"/>
  <c r="FS80" i="56"/>
  <c r="EY333" i="56"/>
  <c r="ET333" i="56"/>
  <c r="EW333" i="56"/>
  <c r="ES333" i="56"/>
  <c r="EZ333" i="56"/>
  <c r="EU333" i="56"/>
  <c r="FA333" i="56"/>
  <c r="ER333" i="56"/>
  <c r="EV333" i="56" s="1"/>
  <c r="EX333" i="56"/>
  <c r="EI142" i="56"/>
  <c r="EK129" i="56"/>
  <c r="DV129" i="56"/>
  <c r="EI30" i="56"/>
  <c r="EI111" i="56"/>
  <c r="S111" i="56" s="1"/>
  <c r="EI351" i="56"/>
  <c r="S351" i="56" s="1"/>
  <c r="EU178" i="56"/>
  <c r="EW178" i="56"/>
  <c r="EV178" i="56"/>
  <c r="EZ178" i="56"/>
  <c r="EY178" i="56"/>
  <c r="ES178" i="56"/>
  <c r="FA178" i="56"/>
  <c r="ET178" i="56"/>
  <c r="EX178" i="56"/>
  <c r="EK43" i="56"/>
  <c r="DV43" i="56"/>
  <c r="FG155" i="56" a="1"/>
  <c r="FG155" i="56" s="1"/>
  <c r="FH155" i="56"/>
  <c r="CR235" i="56"/>
  <c r="DH235" i="56" s="1"/>
  <c r="CP235" i="56" a="1"/>
  <c r="CP235" i="56" s="1"/>
  <c r="CO235" i="56" a="1"/>
  <c r="CO235" i="56" s="1"/>
  <c r="CQ235" i="56" a="1"/>
  <c r="CQ235" i="56" s="1"/>
  <c r="FH267" i="56"/>
  <c r="FG267" i="56" a="1"/>
  <c r="FG267" i="56" s="1"/>
  <c r="IQ318" i="56"/>
  <c r="FA285" i="56"/>
  <c r="EZ285" i="56"/>
  <c r="EX285" i="56"/>
  <c r="EU285" i="56"/>
  <c r="EY285" i="56"/>
  <c r="ET285" i="56"/>
  <c r="EW285" i="56"/>
  <c r="EV285" i="56"/>
  <c r="ES285" i="56"/>
  <c r="EK32" i="56"/>
  <c r="DV32" i="56"/>
  <c r="CJ185" i="56"/>
  <c r="CK185" i="56" s="1"/>
  <c r="CW66" i="56"/>
  <c r="DA66" i="56" s="1"/>
  <c r="EX108" i="56"/>
  <c r="FA108" i="56"/>
  <c r="ES108" i="56"/>
  <c r="EY108" i="56"/>
  <c r="ET108" i="56"/>
  <c r="ER108" i="56"/>
  <c r="EV108" i="56" s="1"/>
  <c r="EW108" i="56"/>
  <c r="EU108" i="56"/>
  <c r="EZ108" i="56"/>
  <c r="EX204" i="56"/>
  <c r="FA204" i="56"/>
  <c r="EY204" i="56"/>
  <c r="EU204" i="56"/>
  <c r="EZ204" i="56"/>
  <c r="EW204" i="56"/>
  <c r="ES204" i="56"/>
  <c r="ET204" i="56"/>
  <c r="EV204" i="56"/>
  <c r="CQ10" i="56" a="1"/>
  <c r="CQ10" i="56" s="1"/>
  <c r="CP10" i="56" a="1"/>
  <c r="CP10" i="56" s="1"/>
  <c r="CO10" i="56" a="1"/>
  <c r="CO10" i="56" s="1"/>
  <c r="CR10" i="56"/>
  <c r="DH10" i="56" s="1"/>
  <c r="CR250" i="56"/>
  <c r="DH250" i="56" s="1"/>
  <c r="CP250" i="56" a="1"/>
  <c r="CP250" i="56" s="1"/>
  <c r="CO250" i="56" a="1"/>
  <c r="CO250" i="56" s="1"/>
  <c r="CQ250" i="56" a="1"/>
  <c r="CQ250" i="56" s="1"/>
  <c r="CJ266" i="56"/>
  <c r="CK266" i="56" s="1"/>
  <c r="CW266" i="56" s="1"/>
  <c r="CJ314" i="56"/>
  <c r="CK314" i="56" s="1"/>
  <c r="FI109" i="56"/>
  <c r="GF116" i="56"/>
  <c r="GF244" i="56"/>
  <c r="S87" i="56"/>
  <c r="FS215" i="56"/>
  <c r="FP215" i="56"/>
  <c r="IP285" i="56"/>
  <c r="FF285" i="56"/>
  <c r="FL285" i="56"/>
  <c r="FM285" i="56" s="1"/>
  <c r="FO285" i="56" s="1" a="1"/>
  <c r="FO285" i="56" s="1"/>
  <c r="FB285" i="56"/>
  <c r="DC285" i="56"/>
  <c r="CK285" i="56"/>
  <c r="CW285" i="56" s="1"/>
  <c r="DA285" i="56" s="1"/>
  <c r="DE285" i="56" s="1"/>
  <c r="GY285" i="56" s="1"/>
  <c r="FH348" i="56"/>
  <c r="FG348" i="56" a="1"/>
  <c r="FG348" i="56" s="1"/>
  <c r="GF245" i="56"/>
  <c r="EW62" i="56"/>
  <c r="ET62" i="56"/>
  <c r="EZ62" i="56"/>
  <c r="EY62" i="56"/>
  <c r="EX62" i="56"/>
  <c r="ES62" i="56"/>
  <c r="EU62" i="56"/>
  <c r="ER62" i="56"/>
  <c r="EV62" i="56" s="1"/>
  <c r="EW254" i="56"/>
  <c r="EX254" i="56"/>
  <c r="EV254" i="56"/>
  <c r="EU254" i="56"/>
  <c r="EZ254" i="56"/>
  <c r="ET254" i="56"/>
  <c r="EY254" i="56"/>
  <c r="ES254" i="56"/>
  <c r="CJ124" i="56"/>
  <c r="CK124" i="56" s="1"/>
  <c r="FH236" i="56"/>
  <c r="FG236" i="56" a="1"/>
  <c r="FG236" i="56" s="1"/>
  <c r="FI236" i="56" s="1"/>
  <c r="GF230" i="56"/>
  <c r="BY205" i="56" a="1"/>
  <c r="BY205" i="56" s="1"/>
  <c r="CR301" i="56"/>
  <c r="DH301" i="56" s="1"/>
  <c r="CO301" i="56" a="1"/>
  <c r="CO301" i="56" s="1"/>
  <c r="CP301" i="56" a="1"/>
  <c r="CP301" i="56" s="1"/>
  <c r="CQ301" i="56" a="1"/>
  <c r="CQ301" i="56" s="1"/>
  <c r="BY349" i="56" a="1"/>
  <c r="BY349" i="56" s="1"/>
  <c r="FA349" i="56" s="1"/>
  <c r="BL349" i="56"/>
  <c r="FP5" i="56"/>
  <c r="BY25" i="55" s="1" a="1"/>
  <c r="BY25" i="55" s="1"/>
  <c r="FS5" i="56"/>
  <c r="BY264" i="56" a="1"/>
  <c r="BY264" i="56" s="1"/>
  <c r="FA144" i="56"/>
  <c r="EX144" i="56"/>
  <c r="EW144" i="56"/>
  <c r="EY144" i="56"/>
  <c r="EU144" i="56"/>
  <c r="ET144" i="56"/>
  <c r="EZ144" i="56"/>
  <c r="ES144" i="56"/>
  <c r="ER144" i="56"/>
  <c r="EV144" i="56" s="1"/>
  <c r="EK70" i="56"/>
  <c r="EL70" i="56"/>
  <c r="CW15" i="56"/>
  <c r="DA15" i="56" s="1"/>
  <c r="IP352" i="56"/>
  <c r="FL352" i="56"/>
  <c r="FM352" i="56" s="1"/>
  <c r="FO352" i="56" s="1" a="1"/>
  <c r="FO352" i="56" s="1"/>
  <c r="FB352" i="56"/>
  <c r="DC352" i="56"/>
  <c r="CK352" i="56"/>
  <c r="EX17" i="56"/>
  <c r="EV17" i="56"/>
  <c r="ER17" i="56"/>
  <c r="FA17" i="56"/>
  <c r="EY17" i="56"/>
  <c r="ES17" i="56"/>
  <c r="EU17" i="56"/>
  <c r="EZ17" i="56"/>
  <c r="ET17" i="56"/>
  <c r="EW17" i="56"/>
  <c r="EZ81" i="56"/>
  <c r="EY81" i="56"/>
  <c r="ET81" i="56"/>
  <c r="EX81" i="56"/>
  <c r="EU81" i="56"/>
  <c r="ER81" i="56"/>
  <c r="EV81" i="56" s="1"/>
  <c r="EW81" i="56"/>
  <c r="ES81" i="56"/>
  <c r="EW305" i="56"/>
  <c r="FA305" i="56"/>
  <c r="EY305" i="56"/>
  <c r="EU305" i="56"/>
  <c r="EZ305" i="56"/>
  <c r="EV305" i="56"/>
  <c r="ET305" i="56"/>
  <c r="EX305" i="56"/>
  <c r="ES305" i="56"/>
  <c r="EI252" i="56"/>
  <c r="S332" i="56"/>
  <c r="HY118" i="56"/>
  <c r="IF118" i="56"/>
  <c r="IG138" i="56"/>
  <c r="HZ138" i="56"/>
  <c r="GC96" i="56"/>
  <c r="DV3" i="56"/>
  <c r="S189" i="56"/>
  <c r="T14" i="56"/>
  <c r="GC14" i="56"/>
  <c r="BD153" i="56" a="1"/>
  <c r="BD153" i="56" s="1"/>
  <c r="BY11" i="56" a="1"/>
  <c r="BY11" i="56" s="1"/>
  <c r="DU11" i="56" s="1"/>
  <c r="FG91" i="56" a="1"/>
  <c r="FG91" i="56" s="1"/>
  <c r="FH91" i="56"/>
  <c r="FH203" i="56"/>
  <c r="FG203" i="56" a="1"/>
  <c r="FG203" i="56" s="1"/>
  <c r="BL331" i="56"/>
  <c r="BK25" i="55" a="1"/>
  <c r="BK25" i="55" s="1"/>
  <c r="BZ25" i="55" a="1"/>
  <c r="BZ25" i="55" s="1"/>
  <c r="BO25" i="55" a="1"/>
  <c r="BO25" i="55" s="1"/>
  <c r="U25" i="55" a="1"/>
  <c r="U25" i="55" s="1"/>
  <c r="BW25" i="55" a="1"/>
  <c r="BW25" i="55" s="1"/>
  <c r="W25" i="55" a="1"/>
  <c r="W25" i="55" s="1"/>
  <c r="EW323" i="56"/>
  <c r="EU323" i="56"/>
  <c r="EY323" i="56"/>
  <c r="EX323" i="56"/>
  <c r="ET323" i="56"/>
  <c r="ES323" i="56"/>
  <c r="EZ323" i="56"/>
  <c r="ER323" i="56"/>
  <c r="EV323" i="56" s="1"/>
  <c r="ER326" i="56"/>
  <c r="EV326" i="56" s="1"/>
  <c r="EZ326" i="56"/>
  <c r="AN23" i="55" s="1"/>
  <c r="EX326" i="56"/>
  <c r="EW326" i="56"/>
  <c r="EY326" i="56"/>
  <c r="EU326" i="56"/>
  <c r="ES326" i="56"/>
  <c r="ET326" i="56"/>
  <c r="AJ23" i="55" s="1"/>
  <c r="T174" i="56"/>
  <c r="GC174" i="56"/>
  <c r="FG4" i="56" a="1"/>
  <c r="FG4" i="56" s="1"/>
  <c r="FH4" i="56"/>
  <c r="FG52" i="56" a="1"/>
  <c r="FG52" i="56" s="1"/>
  <c r="FH52" i="56"/>
  <c r="BY45" i="56" a="1"/>
  <c r="BY45" i="56" s="1"/>
  <c r="CW187" i="56"/>
  <c r="GD190" i="56"/>
  <c r="EX28" i="56"/>
  <c r="FA28" i="56"/>
  <c r="EV28" i="56"/>
  <c r="ET28" i="56"/>
  <c r="EU28" i="56"/>
  <c r="ER28" i="56"/>
  <c r="EW28" i="56"/>
  <c r="EY28" i="56"/>
  <c r="EZ28" i="56"/>
  <c r="ES28" i="56"/>
  <c r="FY220" i="56"/>
  <c r="EX332" i="56"/>
  <c r="EY332" i="56"/>
  <c r="FA332" i="56"/>
  <c r="EZ332" i="56"/>
  <c r="EU332" i="56"/>
  <c r="ER332" i="56"/>
  <c r="EV332" i="56" s="1"/>
  <c r="EW332" i="56"/>
  <c r="ET332" i="56"/>
  <c r="ES332" i="56"/>
  <c r="CJ74" i="56"/>
  <c r="CK74" i="56" s="1"/>
  <c r="CW74" i="56" s="1"/>
  <c r="DA74" i="56" s="1"/>
  <c r="FH170" i="56"/>
  <c r="FG170" i="56" a="1"/>
  <c r="FG170" i="56" s="1"/>
  <c r="FI170" i="56" s="1"/>
  <c r="FZ191" i="56"/>
  <c r="EI103" i="56"/>
  <c r="EI167" i="56"/>
  <c r="S167" i="56" s="1"/>
  <c r="CW276" i="56"/>
  <c r="EK196" i="56"/>
  <c r="DV196" i="56"/>
  <c r="CR76" i="56"/>
  <c r="DH76" i="56" s="1"/>
  <c r="CP76" i="56" a="1"/>
  <c r="CP76" i="56" s="1"/>
  <c r="CO76" i="56" a="1"/>
  <c r="CO76" i="56" s="1"/>
  <c r="CQ76" i="56" a="1"/>
  <c r="CQ76" i="56" s="1"/>
  <c r="FP105" i="56"/>
  <c r="FS105" i="56"/>
  <c r="FB175" i="56"/>
  <c r="FB258" i="56"/>
  <c r="FG69" i="56" a="1"/>
  <c r="FG69" i="56" s="1"/>
  <c r="FH69" i="56"/>
  <c r="GF118" i="56"/>
  <c r="EY239" i="56"/>
  <c r="EW239" i="56"/>
  <c r="EV239" i="56"/>
  <c r="EU239" i="56"/>
  <c r="EX239" i="56"/>
  <c r="EZ239" i="56"/>
  <c r="ET239" i="56"/>
  <c r="ES239" i="56"/>
  <c r="CJ77" i="56"/>
  <c r="CK77" i="56" s="1"/>
  <c r="CR205" i="56"/>
  <c r="DH205" i="56" s="1"/>
  <c r="CQ205" i="56" a="1"/>
  <c r="CQ205" i="56" s="1"/>
  <c r="CP205" i="56" a="1"/>
  <c r="CP205" i="56" s="1"/>
  <c r="CO205" i="56" a="1"/>
  <c r="CO205" i="56" s="1"/>
  <c r="CQ221" i="56" a="1"/>
  <c r="CQ221" i="56" s="1"/>
  <c r="CP221" i="56" a="1"/>
  <c r="CP221" i="56" s="1"/>
  <c r="CR221" i="56"/>
  <c r="DH221" i="56" s="1"/>
  <c r="CO221" i="56" a="1"/>
  <c r="CO221" i="56" s="1"/>
  <c r="BY269" i="56" a="1"/>
  <c r="BY269" i="56" s="1"/>
  <c r="P269" i="56" s="1" a="1"/>
  <c r="P269" i="56" s="1"/>
  <c r="BL269" i="56"/>
  <c r="CQ317" i="56" a="1"/>
  <c r="CQ317" i="56" s="1"/>
  <c r="CP317" i="56" a="1"/>
  <c r="CP317" i="56" s="1"/>
  <c r="CO317" i="56" a="1"/>
  <c r="CO317" i="56" s="1"/>
  <c r="CR317" i="56"/>
  <c r="DH317" i="56" s="1"/>
  <c r="CJ54" i="56"/>
  <c r="CK54" i="56" s="1"/>
  <c r="FS263" i="56"/>
  <c r="FP263" i="56"/>
  <c r="IR63" i="56"/>
  <c r="IP63" i="56"/>
  <c r="FL63" i="56"/>
  <c r="FM63" i="56" s="1"/>
  <c r="FO63" i="56" s="1" a="1"/>
  <c r="FO63" i="56" s="1"/>
  <c r="FB63" i="56"/>
  <c r="DC63" i="56"/>
  <c r="DH63" i="56"/>
  <c r="IP271" i="56"/>
  <c r="FL271" i="56"/>
  <c r="FM271" i="56" s="1"/>
  <c r="FO271" i="56" s="1" a="1"/>
  <c r="FO271" i="56" s="1"/>
  <c r="FB271" i="56"/>
  <c r="DH271" i="56"/>
  <c r="DC271" i="56"/>
  <c r="CK271" i="56"/>
  <c r="CW271" i="56" s="1"/>
  <c r="FH22" i="56"/>
  <c r="FG22" i="56" a="1"/>
  <c r="FG22" i="56" s="1"/>
  <c r="GC218" i="56"/>
  <c r="BY80" i="56" a="1"/>
  <c r="BY80" i="56" s="1"/>
  <c r="FA80" i="56" s="1"/>
  <c r="EV288" i="56"/>
  <c r="EW288" i="56"/>
  <c r="EZ288" i="56"/>
  <c r="EU288" i="56"/>
  <c r="ES288" i="56"/>
  <c r="EX288" i="56"/>
  <c r="ET288" i="56"/>
  <c r="EY288" i="56"/>
  <c r="FA288" i="56"/>
  <c r="IR192" i="56"/>
  <c r="IP192" i="56"/>
  <c r="FL192" i="56"/>
  <c r="FM192" i="56" s="1"/>
  <c r="FO192" i="56" s="1" a="1"/>
  <c r="FO192" i="56" s="1"/>
  <c r="FF192" i="56"/>
  <c r="FB192" i="56"/>
  <c r="CK192" i="56"/>
  <c r="CW192" i="56" s="1"/>
  <c r="DC192" i="56"/>
  <c r="GF136" i="56"/>
  <c r="GF280" i="56"/>
  <c r="EJ26" i="56"/>
  <c r="FX26" i="56" s="1"/>
  <c r="S26" i="56"/>
  <c r="EI107" i="56"/>
  <c r="S107" i="56" s="1"/>
  <c r="EI171" i="56"/>
  <c r="S171" i="56" s="1"/>
  <c r="EI235" i="56"/>
  <c r="S235" i="56" s="1"/>
  <c r="S299" i="56"/>
  <c r="EZ193" i="56"/>
  <c r="EY193" i="56"/>
  <c r="ES193" i="56"/>
  <c r="ET193" i="56"/>
  <c r="EX193" i="56"/>
  <c r="EV193" i="56"/>
  <c r="EU193" i="56"/>
  <c r="EW193" i="56"/>
  <c r="S172" i="56"/>
  <c r="S252" i="56"/>
  <c r="FI76" i="56"/>
  <c r="GF8" i="56"/>
  <c r="HQ336" i="56" a="1"/>
  <c r="HQ336" i="56" s="1"/>
  <c r="HR336" i="56" s="1"/>
  <c r="HI336" i="56" a="1"/>
  <c r="HI336" i="56" s="1"/>
  <c r="HJ336" i="56" s="1"/>
  <c r="HM336" i="56" a="1"/>
  <c r="HM336" i="56" s="1"/>
  <c r="HN336" i="56" s="1"/>
  <c r="HO336" i="56" a="1"/>
  <c r="HO336" i="56" s="1"/>
  <c r="HP336" i="56" s="1"/>
  <c r="HG336" i="56" a="1"/>
  <c r="HG336" i="56" s="1"/>
  <c r="HH336" i="56" s="1"/>
  <c r="HK336" i="56" a="1"/>
  <c r="HK336" i="56" s="1"/>
  <c r="HL336" i="56" s="1"/>
  <c r="EI349" i="56"/>
  <c r="S349" i="56" s="1"/>
  <c r="EI94" i="56"/>
  <c r="EI158" i="56"/>
  <c r="EI302" i="56"/>
  <c r="T287" i="56"/>
  <c r="EU242" i="56"/>
  <c r="EY242" i="56"/>
  <c r="EW242" i="56"/>
  <c r="FA242" i="56"/>
  <c r="ET242" i="56"/>
  <c r="ES242" i="56"/>
  <c r="EZ242" i="56"/>
  <c r="EV242" i="56"/>
  <c r="EX242" i="56"/>
  <c r="FG171" i="56" a="1"/>
  <c r="FG171" i="56" s="1"/>
  <c r="FH171" i="56"/>
  <c r="BY61" i="56" a="1"/>
  <c r="BY61" i="56" s="1"/>
  <c r="GC55" i="56"/>
  <c r="T55" i="56"/>
  <c r="T279" i="56"/>
  <c r="GC279" i="56"/>
  <c r="BY307" i="56" a="1"/>
  <c r="BY307" i="56" s="1"/>
  <c r="DU307" i="56" s="1"/>
  <c r="BL307" i="56"/>
  <c r="CW90" i="56"/>
  <c r="DA90" i="56" s="1"/>
  <c r="CW170" i="56"/>
  <c r="DA170" i="56" s="1"/>
  <c r="FA6" i="56"/>
  <c r="ES6" i="56"/>
  <c r="ER6" i="56"/>
  <c r="EZ6" i="56"/>
  <c r="ET6" i="56"/>
  <c r="EX6" i="56"/>
  <c r="EW6" i="56"/>
  <c r="EV6" i="56"/>
  <c r="EU6" i="56"/>
  <c r="EY6" i="56"/>
  <c r="EK176" i="56"/>
  <c r="DV176" i="56"/>
  <c r="IP197" i="56"/>
  <c r="FL197" i="56"/>
  <c r="FM197" i="56" s="1"/>
  <c r="FO197" i="56" s="1" a="1"/>
  <c r="FO197" i="56" s="1"/>
  <c r="FF197" i="56"/>
  <c r="FB197" i="56"/>
  <c r="DI197" i="56"/>
  <c r="DC197" i="56"/>
  <c r="CK197" i="56"/>
  <c r="CW197" i="56" s="1"/>
  <c r="IP325" i="56"/>
  <c r="GG325" i="56"/>
  <c r="FL325" i="56"/>
  <c r="FM325" i="56" s="1"/>
  <c r="FO325" i="56" s="1" a="1"/>
  <c r="FO325" i="56" s="1"/>
  <c r="FB325" i="56"/>
  <c r="DH325" i="56"/>
  <c r="DC325" i="56"/>
  <c r="CK325" i="56"/>
  <c r="DF325" i="56"/>
  <c r="DG325" i="56" s="1"/>
  <c r="BL84" i="56"/>
  <c r="BY84" i="56" a="1"/>
  <c r="BY84" i="56" s="1"/>
  <c r="P84" i="56" a="1"/>
  <c r="P84" i="56" s="1"/>
  <c r="CQ244" i="56" a="1"/>
  <c r="CQ244" i="56" s="1"/>
  <c r="CP244" i="56" a="1"/>
  <c r="CP244" i="56" s="1"/>
  <c r="CO244" i="56" a="1"/>
  <c r="CO244" i="56" s="1"/>
  <c r="CR244" i="56"/>
  <c r="DH244" i="56" s="1"/>
  <c r="BL109" i="56"/>
  <c r="T182" i="56"/>
  <c r="GC182" i="56"/>
  <c r="FY44" i="56"/>
  <c r="EX220" i="56"/>
  <c r="EW220" i="56"/>
  <c r="ER220" i="56"/>
  <c r="EV220" i="56"/>
  <c r="ES220" i="56"/>
  <c r="EZ220" i="56"/>
  <c r="EY220" i="56"/>
  <c r="ET220" i="56"/>
  <c r="EU220" i="56"/>
  <c r="BY220" i="56" a="1"/>
  <c r="BY220" i="56" s="1"/>
  <c r="DU220" i="56" s="1"/>
  <c r="FY348" i="56"/>
  <c r="P348" i="56" a="1"/>
  <c r="P348" i="56" s="1"/>
  <c r="CJ10" i="56"/>
  <c r="CK10" i="56" s="1"/>
  <c r="CR42" i="56"/>
  <c r="DH42" i="56" s="1"/>
  <c r="CQ42" i="56" a="1"/>
  <c r="CQ42" i="56" s="1"/>
  <c r="CO42" i="56" a="1"/>
  <c r="CO42" i="56" s="1"/>
  <c r="CP42" i="56" a="1"/>
  <c r="CP42" i="56" s="1"/>
  <c r="EI38" i="56"/>
  <c r="EI247" i="56"/>
  <c r="EI311" i="56"/>
  <c r="CW243" i="56"/>
  <c r="EI6" i="56"/>
  <c r="EW78" i="56"/>
  <c r="FA78" i="56"/>
  <c r="EY78" i="56"/>
  <c r="ET78" i="56"/>
  <c r="EZ78" i="56"/>
  <c r="ES78" i="56"/>
  <c r="EU78" i="56"/>
  <c r="EX78" i="56"/>
  <c r="ER78" i="56"/>
  <c r="EV78" i="56" s="1"/>
  <c r="EW142" i="56"/>
  <c r="EZ142" i="56"/>
  <c r="ES142" i="56"/>
  <c r="EY142" i="56"/>
  <c r="ER142" i="56"/>
  <c r="EV142" i="56" s="1"/>
  <c r="ET142" i="56"/>
  <c r="EX142" i="56"/>
  <c r="EU142" i="56"/>
  <c r="EW270" i="56"/>
  <c r="EZ270" i="56"/>
  <c r="EU270" i="56"/>
  <c r="EX270" i="56"/>
  <c r="EY270" i="56"/>
  <c r="EV270" i="56"/>
  <c r="ES270" i="56"/>
  <c r="ET270" i="56"/>
  <c r="FG108" i="56" a="1"/>
  <c r="FG108" i="56" s="1"/>
  <c r="FH108" i="56"/>
  <c r="CQ172" i="56" a="1"/>
  <c r="CQ172" i="56" s="1"/>
  <c r="CO172" i="56" a="1"/>
  <c r="CO172" i="56" s="1"/>
  <c r="CR172" i="56"/>
  <c r="DH172" i="56" s="1"/>
  <c r="CP172" i="56" a="1"/>
  <c r="CP172" i="56" s="1"/>
  <c r="CR284" i="56"/>
  <c r="DH284" i="56" s="1"/>
  <c r="CO284" i="56" a="1"/>
  <c r="CO284" i="56" s="1"/>
  <c r="CQ284" i="56" a="1"/>
  <c r="CQ284" i="56" s="1"/>
  <c r="CP284" i="56" a="1"/>
  <c r="CP284" i="56" s="1"/>
  <c r="CJ332" i="56"/>
  <c r="CK332" i="56" s="1"/>
  <c r="FS4" i="56"/>
  <c r="FP4" i="56"/>
  <c r="FH262" i="56"/>
  <c r="FG262" i="56" a="1"/>
  <c r="FG262" i="56" s="1"/>
  <c r="FI262" i="56" s="1"/>
  <c r="FY255" i="56"/>
  <c r="CQ13" i="56" a="1"/>
  <c r="CQ13" i="56" s="1"/>
  <c r="CO13" i="56" a="1"/>
  <c r="CO13" i="56" s="1"/>
  <c r="CR13" i="56"/>
  <c r="DH13" i="56" s="1"/>
  <c r="CP13" i="56" a="1"/>
  <c r="CP13" i="56" s="1"/>
  <c r="BL125" i="56"/>
  <c r="BY125" i="56" a="1"/>
  <c r="BY125" i="56" s="1"/>
  <c r="FA125" i="56" s="1"/>
  <c r="CJ141" i="56"/>
  <c r="CK141" i="56" s="1"/>
  <c r="CJ349" i="56"/>
  <c r="CK349" i="56" s="1"/>
  <c r="CJ345" i="56"/>
  <c r="CK345" i="56" s="1"/>
  <c r="FS343" i="56"/>
  <c r="FP343" i="56"/>
  <c r="FG73" i="56" a="1"/>
  <c r="FG73" i="56" s="1"/>
  <c r="FH73" i="56"/>
  <c r="P217" i="56" a="1"/>
  <c r="P217" i="56" s="1"/>
  <c r="BL217" i="56"/>
  <c r="EZ80" i="56"/>
  <c r="EX80" i="56"/>
  <c r="EY80" i="56"/>
  <c r="ER80" i="56"/>
  <c r="EV80" i="56" s="1"/>
  <c r="ET80" i="56"/>
  <c r="EU80" i="56"/>
  <c r="ES80" i="56"/>
  <c r="EW80" i="56"/>
  <c r="EI42" i="56"/>
  <c r="FA145" i="56"/>
  <c r="EX145" i="56"/>
  <c r="EZ145" i="56"/>
  <c r="ES145" i="56"/>
  <c r="ET145" i="56"/>
  <c r="ER145" i="56"/>
  <c r="EV145" i="56" s="1"/>
  <c r="EW145" i="56"/>
  <c r="EY145" i="56"/>
  <c r="EU145" i="56"/>
  <c r="EI108" i="56"/>
  <c r="FP231" i="56"/>
  <c r="FS231" i="56"/>
  <c r="IG118" i="56"/>
  <c r="HZ118" i="56"/>
  <c r="EK243" i="56"/>
  <c r="DV243" i="56"/>
  <c r="S125" i="56"/>
  <c r="EI205" i="56"/>
  <c r="S205" i="56" s="1"/>
  <c r="EI269" i="56"/>
  <c r="S269" i="56" s="1"/>
  <c r="GC350" i="56"/>
  <c r="T350" i="56"/>
  <c r="EI207" i="56"/>
  <c r="EI287" i="56"/>
  <c r="S287" i="56" s="1"/>
  <c r="GC159" i="56"/>
  <c r="T159" i="56"/>
  <c r="EX198" i="56"/>
  <c r="EV198" i="56"/>
  <c r="EU198" i="56"/>
  <c r="EW198" i="56"/>
  <c r="ET198" i="56"/>
  <c r="EZ198" i="56"/>
  <c r="EY198" i="56"/>
  <c r="ES198" i="56"/>
  <c r="EV45" i="56"/>
  <c r="ET45" i="56"/>
  <c r="EZ45" i="56"/>
  <c r="EY45" i="56"/>
  <c r="ES45" i="56"/>
  <c r="EX45" i="56"/>
  <c r="EU45" i="56"/>
  <c r="EW45" i="56"/>
  <c r="FH128" i="56"/>
  <c r="FG128" i="56" a="1"/>
  <c r="FG128" i="56" s="1"/>
  <c r="DV192" i="56"/>
  <c r="EK48" i="56"/>
  <c r="DV48" i="56"/>
  <c r="EH50" i="56"/>
  <c r="DM50" i="56"/>
  <c r="DW50" i="56" s="1" a="1"/>
  <c r="DW50" i="56" s="1"/>
  <c r="K50" i="56" s="1"/>
  <c r="DX50" i="56" s="1"/>
  <c r="BU50" i="56"/>
  <c r="AK50" i="56" s="1"/>
  <c r="BV50" i="56" s="1"/>
  <c r="CW44" i="56"/>
  <c r="CQ129" i="56" a="1"/>
  <c r="CQ129" i="56" s="1"/>
  <c r="CR129" i="56"/>
  <c r="DH129" i="56" s="1"/>
  <c r="CP129" i="56" a="1"/>
  <c r="CP129" i="56" s="1"/>
  <c r="CO129" i="56" a="1"/>
  <c r="CO129" i="56" s="1"/>
  <c r="IE146" i="56"/>
  <c r="HX146" i="56"/>
  <c r="EI44" i="56"/>
  <c r="EL83" i="56"/>
  <c r="EK83" i="56"/>
  <c r="EI62" i="56"/>
  <c r="S62" i="56" s="1"/>
  <c r="S110" i="56"/>
  <c r="S303" i="56"/>
  <c r="CJ27" i="56"/>
  <c r="CK27" i="56" s="1"/>
  <c r="CW27" i="56" s="1"/>
  <c r="FG107" i="56" a="1"/>
  <c r="FG107" i="56" s="1"/>
  <c r="FH107" i="56"/>
  <c r="CR123" i="56"/>
  <c r="DH123" i="56" s="1"/>
  <c r="CQ123" i="56" a="1"/>
  <c r="CQ123" i="56" s="1"/>
  <c r="CP123" i="56" a="1"/>
  <c r="CP123" i="56" s="1"/>
  <c r="CO123" i="56" a="1"/>
  <c r="CO123" i="56" s="1"/>
  <c r="CP139" i="56" a="1"/>
  <c r="CP139" i="56" s="1"/>
  <c r="CO139" i="56" a="1"/>
  <c r="CO139" i="56" s="1"/>
  <c r="CQ139" i="56" a="1"/>
  <c r="CQ139" i="56" s="1"/>
  <c r="CR139" i="56"/>
  <c r="DH139" i="56" s="1"/>
  <c r="P267" i="56" a="1"/>
  <c r="P267" i="56" s="1"/>
  <c r="FI181" i="56"/>
  <c r="BK16" i="55" a="1"/>
  <c r="BK16" i="55" s="1"/>
  <c r="U16" i="55" a="1"/>
  <c r="U16" i="55" s="1"/>
  <c r="BW16" i="55" a="1"/>
  <c r="BW16" i="55" s="1"/>
  <c r="W16" i="55" a="1"/>
  <c r="W16" i="55" s="1"/>
  <c r="BZ16" i="55" a="1"/>
  <c r="BZ16" i="55" s="1"/>
  <c r="BO16" i="55" a="1"/>
  <c r="BO16" i="55" s="1"/>
  <c r="CP322" i="56" a="1"/>
  <c r="CP322" i="56" s="1"/>
  <c r="CR322" i="56"/>
  <c r="DH322" i="56" s="1"/>
  <c r="CQ322" i="56" a="1"/>
  <c r="CQ322" i="56" s="1"/>
  <c r="CO322" i="56" a="1"/>
  <c r="CO322" i="56" s="1"/>
  <c r="CP67" i="56" a="1"/>
  <c r="CP67" i="56" s="1"/>
  <c r="CO67" i="56" a="1"/>
  <c r="CO67" i="56" s="1"/>
  <c r="CQ67" i="56" a="1"/>
  <c r="CQ67" i="56" s="1"/>
  <c r="CR67" i="56"/>
  <c r="DH67" i="56" s="1"/>
  <c r="CJ211" i="56"/>
  <c r="CK211" i="56" s="1"/>
  <c r="FH259" i="56"/>
  <c r="FG259" i="56" a="1"/>
  <c r="FG259" i="56" s="1"/>
  <c r="FI259" i="56" s="1"/>
  <c r="BY36" i="56" a="1"/>
  <c r="BY36" i="56" s="1"/>
  <c r="BL36" i="56"/>
  <c r="EK276" i="56"/>
  <c r="BY340" i="56" a="1"/>
  <c r="BY340" i="56" s="1"/>
  <c r="BL340" i="56"/>
  <c r="P340" i="56" a="1"/>
  <c r="P340" i="56" s="1"/>
  <c r="EZ61" i="56"/>
  <c r="EX61" i="56"/>
  <c r="EU61" i="56"/>
  <c r="EY61" i="56"/>
  <c r="EW61" i="56"/>
  <c r="ER61" i="56"/>
  <c r="ET61" i="56"/>
  <c r="ES61" i="56"/>
  <c r="EV61" i="56"/>
  <c r="P285" i="56" a="1"/>
  <c r="P285" i="56" s="1"/>
  <c r="T247" i="56"/>
  <c r="CQ99" i="56" a="1"/>
  <c r="CQ99" i="56" s="1"/>
  <c r="CR99" i="56"/>
  <c r="DH99" i="56" s="1"/>
  <c r="CP99" i="56" a="1"/>
  <c r="CP99" i="56" s="1"/>
  <c r="CO99" i="56" a="1"/>
  <c r="CO99" i="56" s="1"/>
  <c r="FH307" i="56"/>
  <c r="FG307" i="56" a="1"/>
  <c r="FG307" i="56" s="1"/>
  <c r="FG226" i="56" a="1"/>
  <c r="FG226" i="56" s="1"/>
  <c r="FH226" i="56"/>
  <c r="GF331" i="56"/>
  <c r="EY166" i="56"/>
  <c r="EW166" i="56"/>
  <c r="EV166" i="56"/>
  <c r="EZ166" i="56"/>
  <c r="EX166" i="56"/>
  <c r="ES166" i="56"/>
  <c r="EU166" i="56"/>
  <c r="ET166" i="56"/>
  <c r="EV246" i="56"/>
  <c r="ET246" i="56"/>
  <c r="ES246" i="56"/>
  <c r="EX246" i="56"/>
  <c r="EZ246" i="56"/>
  <c r="EY246" i="56"/>
  <c r="EU246" i="56"/>
  <c r="EW246" i="56"/>
  <c r="CR260" i="56"/>
  <c r="DH260" i="56" s="1"/>
  <c r="CQ260" i="56" a="1"/>
  <c r="CQ260" i="56" s="1"/>
  <c r="CP260" i="56" a="1"/>
  <c r="CP260" i="56" s="1"/>
  <c r="CO260" i="56" a="1"/>
  <c r="CO260" i="56" s="1"/>
  <c r="CQ308" i="56" a="1"/>
  <c r="CQ308" i="56" s="1"/>
  <c r="CP308" i="56" a="1"/>
  <c r="CP308" i="56" s="1"/>
  <c r="CO308" i="56" a="1"/>
  <c r="CO308" i="56" s="1"/>
  <c r="CR308" i="56"/>
  <c r="DH308" i="56" s="1"/>
  <c r="AX22" i="55"/>
  <c r="AY22" i="55" s="1" a="1"/>
  <c r="AY22" i="55" s="1"/>
  <c r="EZ317" i="56"/>
  <c r="EY317" i="56"/>
  <c r="ET317" i="56"/>
  <c r="EX317" i="56"/>
  <c r="EW317" i="56"/>
  <c r="EV317" i="56"/>
  <c r="FA317" i="56"/>
  <c r="ER317" i="56"/>
  <c r="EU317" i="56"/>
  <c r="ES317" i="56"/>
  <c r="FS260" i="56"/>
  <c r="FP260" i="56"/>
  <c r="GF43" i="56"/>
  <c r="GF236" i="56"/>
  <c r="EK158" i="56"/>
  <c r="EL158" i="56"/>
  <c r="FH32" i="56"/>
  <c r="FG32" i="56" a="1"/>
  <c r="FG32" i="56" s="1"/>
  <c r="FH64" i="56"/>
  <c r="FG64" i="56" a="1"/>
  <c r="FG64" i="56" s="1"/>
  <c r="CR80" i="56"/>
  <c r="DH80" i="56" s="1"/>
  <c r="CP80" i="56" a="1"/>
  <c r="CP80" i="56" s="1"/>
  <c r="CQ80" i="56" a="1"/>
  <c r="CQ80" i="56" s="1"/>
  <c r="CO80" i="56" a="1"/>
  <c r="CO80" i="56" s="1"/>
  <c r="CJ112" i="56"/>
  <c r="CK112" i="56" s="1"/>
  <c r="CW112" i="56" s="1"/>
  <c r="DA112" i="56" s="1"/>
  <c r="CR128" i="56"/>
  <c r="DH128" i="56" s="1"/>
  <c r="CQ128" i="56" a="1"/>
  <c r="CQ128" i="56" s="1"/>
  <c r="CP128" i="56" a="1"/>
  <c r="CP128" i="56" s="1"/>
  <c r="CO128" i="56" a="1"/>
  <c r="CO128" i="56" s="1"/>
  <c r="CR208" i="56"/>
  <c r="DH208" i="56" s="1"/>
  <c r="CQ208" i="56" a="1"/>
  <c r="CQ208" i="56" s="1"/>
  <c r="CP208" i="56" a="1"/>
  <c r="CP208" i="56" s="1"/>
  <c r="CO208" i="56" a="1"/>
  <c r="CO208" i="56" s="1"/>
  <c r="CR224" i="56"/>
  <c r="CP224" i="56" a="1"/>
  <c r="CP224" i="56" s="1"/>
  <c r="CO224" i="56" a="1"/>
  <c r="CO224" i="56" s="1"/>
  <c r="CQ224" i="56" a="1"/>
  <c r="CQ224" i="56" s="1"/>
  <c r="CQ240" i="56" a="1"/>
  <c r="CQ240" i="56" s="1"/>
  <c r="CP240" i="56" a="1"/>
  <c r="CP240" i="56" s="1"/>
  <c r="CO240" i="56" a="1"/>
  <c r="CO240" i="56" s="1"/>
  <c r="CR240" i="56"/>
  <c r="DH240" i="56" s="1"/>
  <c r="CQ320" i="56" a="1"/>
  <c r="CQ320" i="56" s="1"/>
  <c r="CP320" i="56" a="1"/>
  <c r="CP320" i="56" s="1"/>
  <c r="CO320" i="56" a="1"/>
  <c r="CO320" i="56" s="1"/>
  <c r="CR320" i="56"/>
  <c r="DH320" i="56" s="1"/>
  <c r="FH336" i="56"/>
  <c r="FG336" i="56" a="1"/>
  <c r="FG336" i="56" s="1"/>
  <c r="CW220" i="56"/>
  <c r="DA220" i="56" s="1"/>
  <c r="P337" i="56" a="1"/>
  <c r="P337" i="56" s="1"/>
  <c r="FH17" i="56"/>
  <c r="FG17" i="56" a="1"/>
  <c r="FG17" i="56" s="1"/>
  <c r="FH49" i="56"/>
  <c r="FG49" i="56" a="1"/>
  <c r="FG49" i="56" s="1"/>
  <c r="FH81" i="56"/>
  <c r="FG81" i="56" a="1"/>
  <c r="FG81" i="56" s="1"/>
  <c r="CJ97" i="56"/>
  <c r="CK97" i="56" s="1"/>
  <c r="CP113" i="56" a="1"/>
  <c r="CP113" i="56" s="1"/>
  <c r="CQ113" i="56" a="1"/>
  <c r="CQ113" i="56" s="1"/>
  <c r="CR113" i="56"/>
  <c r="DH113" i="56" s="1"/>
  <c r="CO113" i="56" a="1"/>
  <c r="CO113" i="56" s="1"/>
  <c r="CP225" i="56" a="1"/>
  <c r="CP225" i="56" s="1"/>
  <c r="CO225" i="56" a="1"/>
  <c r="CO225" i="56" s="1"/>
  <c r="CR225" i="56"/>
  <c r="DH225" i="56" s="1"/>
  <c r="CQ225" i="56" a="1"/>
  <c r="CQ225" i="56" s="1"/>
  <c r="P241" i="56" a="1"/>
  <c r="P241" i="56" s="1"/>
  <c r="CJ273" i="56"/>
  <c r="CK273" i="56" s="1"/>
  <c r="P305" i="56" a="1"/>
  <c r="P305" i="56" s="1"/>
  <c r="DI305" i="56" s="1"/>
  <c r="FH115" i="56"/>
  <c r="FG115" i="56" a="1"/>
  <c r="FG115" i="56" s="1"/>
  <c r="FI115" i="56" s="1"/>
  <c r="BL212" i="56"/>
  <c r="P212" i="56" a="1"/>
  <c r="P212" i="56" s="1"/>
  <c r="HZ252" i="56"/>
  <c r="IG252" i="56"/>
  <c r="IF146" i="56"/>
  <c r="HY146" i="56"/>
  <c r="EI350" i="56"/>
  <c r="S350" i="56" s="1"/>
  <c r="IG21" i="56"/>
  <c r="HZ21" i="56"/>
  <c r="EI127" i="56"/>
  <c r="EI191" i="56"/>
  <c r="EI319" i="56"/>
  <c r="EU226" i="56"/>
  <c r="EZ226" i="56"/>
  <c r="EY226" i="56"/>
  <c r="ET226" i="56"/>
  <c r="EX226" i="56"/>
  <c r="ES226" i="56"/>
  <c r="EV226" i="56"/>
  <c r="EW226" i="56"/>
  <c r="P203" i="56" a="1"/>
  <c r="P203" i="56" s="1"/>
  <c r="EF203" i="56" s="1"/>
  <c r="EG203" i="56" s="1"/>
  <c r="FG251" i="56" a="1"/>
  <c r="FG251" i="56" s="1"/>
  <c r="FH251" i="56"/>
  <c r="CP347" i="56" a="1"/>
  <c r="CP347" i="56" s="1"/>
  <c r="CO347" i="56" a="1"/>
  <c r="CO347" i="56" s="1"/>
  <c r="CQ347" i="56" a="1"/>
  <c r="CQ347" i="56" s="1"/>
  <c r="CR347" i="56"/>
  <c r="DH347" i="56" s="1"/>
  <c r="BZ13" i="55" a="1"/>
  <c r="BZ13" i="55" s="1"/>
  <c r="BO13" i="55" a="1"/>
  <c r="BO13" i="55" s="1"/>
  <c r="BK13" i="55" a="1"/>
  <c r="BK13" i="55" s="1"/>
  <c r="BW13" i="55" a="1"/>
  <c r="BW13" i="55" s="1"/>
  <c r="W13" i="55" a="1"/>
  <c r="W13" i="55" s="1"/>
  <c r="U13" i="55" a="1"/>
  <c r="U13" i="55" s="1"/>
  <c r="ES19" i="56"/>
  <c r="FA19" i="56"/>
  <c r="EX19" i="56"/>
  <c r="EY19" i="56"/>
  <c r="EU19" i="56"/>
  <c r="ER19" i="56"/>
  <c r="EW19" i="56"/>
  <c r="ET19" i="56"/>
  <c r="EZ19" i="56"/>
  <c r="EV19" i="56"/>
  <c r="EZ227" i="56"/>
  <c r="FA227" i="56"/>
  <c r="EY227" i="56"/>
  <c r="ES227" i="56"/>
  <c r="ET227" i="56"/>
  <c r="EX227" i="56"/>
  <c r="EW227" i="56"/>
  <c r="EU227" i="56"/>
  <c r="EV227" i="56"/>
  <c r="CQ274" i="56" a="1"/>
  <c r="CQ274" i="56" s="1"/>
  <c r="CR274" i="56"/>
  <c r="DH274" i="56" s="1"/>
  <c r="CP274" i="56" a="1"/>
  <c r="CP274" i="56" s="1"/>
  <c r="CO274" i="56" a="1"/>
  <c r="CO274" i="56" s="1"/>
  <c r="P339" i="56" a="1"/>
  <c r="P339" i="56" s="1"/>
  <c r="P179" i="56" a="1"/>
  <c r="P179" i="56" s="1"/>
  <c r="DI179" i="56" s="1"/>
  <c r="CJ307" i="56"/>
  <c r="CK307" i="56" s="1"/>
  <c r="ER86" i="56"/>
  <c r="EV86" i="56" s="1"/>
  <c r="EW86" i="56"/>
  <c r="EU86" i="56"/>
  <c r="EY86" i="56"/>
  <c r="ES86" i="56"/>
  <c r="EZ86" i="56"/>
  <c r="ET86" i="56"/>
  <c r="EX86" i="56"/>
  <c r="BL132" i="56"/>
  <c r="P132" i="56" a="1"/>
  <c r="P132" i="56" s="1"/>
  <c r="FI342" i="56"/>
  <c r="CW10" i="56"/>
  <c r="DA10" i="56" s="1"/>
  <c r="CR96" i="56"/>
  <c r="DH96" i="56" s="1"/>
  <c r="CQ96" i="56" a="1"/>
  <c r="CQ96" i="56" s="1"/>
  <c r="CP96" i="56" a="1"/>
  <c r="CP96" i="56" s="1"/>
  <c r="CO96" i="56" a="1"/>
  <c r="CO96" i="56" s="1"/>
  <c r="FH288" i="56"/>
  <c r="FG288" i="56" a="1"/>
  <c r="FG288" i="56" s="1"/>
  <c r="FH304" i="56"/>
  <c r="FG304" i="56" a="1"/>
  <c r="FG304" i="56" s="1"/>
  <c r="FI304" i="56" s="1"/>
  <c r="FH320" i="56"/>
  <c r="FG320" i="56" a="1"/>
  <c r="FG320" i="56" s="1"/>
  <c r="CJ336" i="56"/>
  <c r="CK336" i="56" s="1"/>
  <c r="EK209" i="56"/>
  <c r="EL209" i="56"/>
  <c r="CQ275" i="56" a="1"/>
  <c r="CQ275" i="56" s="1"/>
  <c r="CR275" i="56"/>
  <c r="DH275" i="56" s="1"/>
  <c r="CO275" i="56" a="1"/>
  <c r="CO275" i="56" s="1"/>
  <c r="CP275" i="56" a="1"/>
  <c r="CP275" i="56" s="1"/>
  <c r="IP165" i="56"/>
  <c r="FL165" i="56"/>
  <c r="FM165" i="56" s="1"/>
  <c r="FO165" i="56" s="1" a="1"/>
  <c r="FO165" i="56" s="1"/>
  <c r="FB165" i="56"/>
  <c r="FF165" i="56"/>
  <c r="CK165" i="56"/>
  <c r="DC165" i="56"/>
  <c r="IP245" i="56"/>
  <c r="FL245" i="56"/>
  <c r="FM245" i="56" s="1"/>
  <c r="FO245" i="56" s="1" a="1"/>
  <c r="FO245" i="56" s="1"/>
  <c r="FB245" i="56"/>
  <c r="DC245" i="56"/>
  <c r="IP293" i="56"/>
  <c r="HB293" i="56"/>
  <c r="FF293" i="56"/>
  <c r="FL293" i="56"/>
  <c r="FM293" i="56" s="1"/>
  <c r="FO293" i="56" s="1" a="1"/>
  <c r="FO293" i="56" s="1"/>
  <c r="FB293" i="56"/>
  <c r="DH293" i="56"/>
  <c r="DC293" i="56"/>
  <c r="CR81" i="56"/>
  <c r="DH81" i="56" s="1"/>
  <c r="CP81" i="56" a="1"/>
  <c r="CP81" i="56" s="1"/>
  <c r="CQ81" i="56" a="1"/>
  <c r="CQ81" i="56" s="1"/>
  <c r="CO81" i="56" a="1"/>
  <c r="CO81" i="56" s="1"/>
  <c r="FH337" i="56"/>
  <c r="FG337" i="56" a="1"/>
  <c r="FG337" i="56" s="1"/>
  <c r="FG243" i="56" a="1"/>
  <c r="FG243" i="56" s="1"/>
  <c r="FH243" i="56"/>
  <c r="FI223" i="56"/>
  <c r="EI188" i="56"/>
  <c r="S188" i="56" s="1"/>
  <c r="FS188" i="56"/>
  <c r="FP188" i="56"/>
  <c r="FI327" i="56"/>
  <c r="EI237" i="56"/>
  <c r="S286" i="56"/>
  <c r="FG180" i="56" a="1"/>
  <c r="FG180" i="56" s="1"/>
  <c r="FH180" i="56"/>
  <c r="EU34" i="56"/>
  <c r="EZ34" i="56"/>
  <c r="FA34" i="56"/>
  <c r="EX34" i="56"/>
  <c r="EY34" i="56"/>
  <c r="EV34" i="56"/>
  <c r="ES34" i="56"/>
  <c r="EW34" i="56"/>
  <c r="ET34" i="56"/>
  <c r="EU338" i="56"/>
  <c r="FA338" i="56"/>
  <c r="EY338" i="56"/>
  <c r="ER338" i="56"/>
  <c r="EX338" i="56"/>
  <c r="EZ338" i="56"/>
  <c r="ET338" i="56"/>
  <c r="EW338" i="56"/>
  <c r="ES338" i="56"/>
  <c r="EV338" i="56"/>
  <c r="CQ27" i="56" a="1"/>
  <c r="CQ27" i="56" s="1"/>
  <c r="CO27" i="56" a="1"/>
  <c r="CO27" i="56" s="1"/>
  <c r="CR27" i="56"/>
  <c r="DH27" i="56" s="1"/>
  <c r="CP27" i="56" a="1"/>
  <c r="CP27" i="56" s="1"/>
  <c r="CJ43" i="56"/>
  <c r="CK43" i="56" s="1"/>
  <c r="CR91" i="56"/>
  <c r="DH91" i="56" s="1"/>
  <c r="CQ91" i="56" a="1"/>
  <c r="CQ91" i="56" s="1"/>
  <c r="CO91" i="56" a="1"/>
  <c r="CO91" i="56" s="1"/>
  <c r="CP91" i="56" a="1"/>
  <c r="CP91" i="56" s="1"/>
  <c r="CJ171" i="56"/>
  <c r="CK171" i="56" s="1"/>
  <c r="FH315" i="56"/>
  <c r="FG315" i="56" a="1"/>
  <c r="FG315" i="56" s="1"/>
  <c r="BO10" i="55" a="1"/>
  <c r="BO10" i="55" s="1"/>
  <c r="BW10" i="55" a="1"/>
  <c r="BW10" i="55" s="1"/>
  <c r="BQ10" i="55" a="1"/>
  <c r="BQ10" i="55" s="1"/>
  <c r="W10" i="55" a="1"/>
  <c r="W10" i="55" s="1"/>
  <c r="BZ10" i="55" a="1"/>
  <c r="BZ10" i="55" s="1"/>
  <c r="BK10" i="55" a="1"/>
  <c r="BK10" i="55" s="1"/>
  <c r="BS10" i="55" a="1"/>
  <c r="BS10" i="55" s="1"/>
  <c r="BE10" i="55" a="1"/>
  <c r="BE10" i="55" s="1"/>
  <c r="BY10" i="55" a="1"/>
  <c r="BY10" i="55" s="1"/>
  <c r="U10" i="55" a="1"/>
  <c r="U10" i="55" s="1"/>
  <c r="FA131" i="56"/>
  <c r="EZ131" i="56"/>
  <c r="EX131" i="56"/>
  <c r="EY131" i="56"/>
  <c r="ER131" i="56"/>
  <c r="EV131" i="56" s="1"/>
  <c r="EW131" i="56"/>
  <c r="ET131" i="56"/>
  <c r="EU131" i="56"/>
  <c r="ES131" i="56"/>
  <c r="EW179" i="56"/>
  <c r="EZ179" i="56"/>
  <c r="ES179" i="56"/>
  <c r="EV179" i="56"/>
  <c r="EY179" i="56"/>
  <c r="EX179" i="56"/>
  <c r="ER179" i="56"/>
  <c r="EU179" i="56"/>
  <c r="FA179" i="56"/>
  <c r="ET179" i="56"/>
  <c r="FA339" i="56"/>
  <c r="EZ339" i="56"/>
  <c r="EY339" i="56"/>
  <c r="ER339" i="56"/>
  <c r="ET339" i="56"/>
  <c r="EV339" i="56"/>
  <c r="ES339" i="56"/>
  <c r="EU339" i="56"/>
  <c r="EX339" i="56"/>
  <c r="EW339" i="56"/>
  <c r="FG274" i="56" a="1"/>
  <c r="FG274" i="56" s="1"/>
  <c r="FH274" i="56"/>
  <c r="FG147" i="56" a="1"/>
  <c r="FG147" i="56" s="1"/>
  <c r="FH147" i="56"/>
  <c r="FH228" i="56"/>
  <c r="FG228" i="56" a="1"/>
  <c r="FG228" i="56" s="1"/>
  <c r="FI228" i="56" s="1"/>
  <c r="GC286" i="56"/>
  <c r="IF333" i="56"/>
  <c r="HY333" i="56"/>
  <c r="GO341" i="56"/>
  <c r="GN341" i="56"/>
  <c r="IK341" i="56" s="1"/>
  <c r="GF234" i="56"/>
  <c r="FG130" i="56" a="1"/>
  <c r="FG130" i="56" s="1"/>
  <c r="FH130" i="56"/>
  <c r="CQ242" i="56" a="1"/>
  <c r="CQ242" i="56" s="1"/>
  <c r="CP242" i="56" a="1"/>
  <c r="CP242" i="56" s="1"/>
  <c r="CO242" i="56" a="1"/>
  <c r="CO242" i="56" s="1"/>
  <c r="CR242" i="56"/>
  <c r="DH242" i="56" s="1"/>
  <c r="EK177" i="56"/>
  <c r="EL177" i="56"/>
  <c r="CJ179" i="56"/>
  <c r="CK179" i="56" s="1"/>
  <c r="EW214" i="56"/>
  <c r="EV214" i="56"/>
  <c r="EZ214" i="56"/>
  <c r="EU214" i="56"/>
  <c r="EY214" i="56"/>
  <c r="ES214" i="56"/>
  <c r="ET214" i="56"/>
  <c r="EX214" i="56"/>
  <c r="EK259" i="56"/>
  <c r="EH4" i="56"/>
  <c r="DM4" i="56"/>
  <c r="CQ100" i="56" a="1"/>
  <c r="CQ100" i="56" s="1"/>
  <c r="CR100" i="56"/>
  <c r="DH100" i="56" s="1"/>
  <c r="CO100" i="56" a="1"/>
  <c r="CO100" i="56" s="1"/>
  <c r="CP100" i="56" a="1"/>
  <c r="CP100" i="56" s="1"/>
  <c r="BL180" i="56"/>
  <c r="BY180" i="56" a="1"/>
  <c r="BY180" i="56" s="1"/>
  <c r="P180" i="56" s="1" a="1"/>
  <c r="P180" i="56" s="1"/>
  <c r="CQ16" i="56" a="1"/>
  <c r="CQ16" i="56" s="1"/>
  <c r="CP16" i="56" a="1"/>
  <c r="CP16" i="56" s="1"/>
  <c r="CO16" i="56" a="1"/>
  <c r="CO16" i="56" s="1"/>
  <c r="CR16" i="56"/>
  <c r="DH16" i="56" s="1"/>
  <c r="CJ64" i="56"/>
  <c r="CK64" i="56" s="1"/>
  <c r="CJ224" i="56"/>
  <c r="CK224" i="56" s="1"/>
  <c r="CR288" i="56"/>
  <c r="CP288" i="56" a="1"/>
  <c r="CP288" i="56" s="1"/>
  <c r="CQ288" i="56" a="1"/>
  <c r="CQ288" i="56" s="1"/>
  <c r="CO288" i="56" a="1"/>
  <c r="CO288" i="56" s="1"/>
  <c r="CP304" i="56" a="1"/>
  <c r="CP304" i="56" s="1"/>
  <c r="CQ304" i="56" a="1"/>
  <c r="CQ304" i="56" s="1"/>
  <c r="CO304" i="56" a="1"/>
  <c r="CO304" i="56" s="1"/>
  <c r="CR304" i="56"/>
  <c r="CR352" i="56"/>
  <c r="DH352" i="56" s="1"/>
  <c r="CQ352" i="56" a="1"/>
  <c r="CQ352" i="56" s="1"/>
  <c r="CP352" i="56" a="1"/>
  <c r="CP352" i="56" s="1"/>
  <c r="CO352" i="56" a="1"/>
  <c r="CO352" i="56" s="1"/>
  <c r="GN3" i="56"/>
  <c r="GO3" i="56"/>
  <c r="DV83" i="56"/>
  <c r="CQ17" i="56" a="1"/>
  <c r="CQ17" i="56" s="1"/>
  <c r="CO17" i="56" a="1"/>
  <c r="CO17" i="56" s="1"/>
  <c r="CP17" i="56" a="1"/>
  <c r="CP17" i="56" s="1"/>
  <c r="CR17" i="56"/>
  <c r="DH17" i="56" s="1"/>
  <c r="CP49" i="56" a="1"/>
  <c r="CP49" i="56" s="1"/>
  <c r="CR49" i="56"/>
  <c r="DH49" i="56" s="1"/>
  <c r="CQ49" i="56" a="1"/>
  <c r="CQ49" i="56" s="1"/>
  <c r="CO49" i="56" a="1"/>
  <c r="CO49" i="56" s="1"/>
  <c r="CQ65" i="56" a="1"/>
  <c r="CQ65" i="56" s="1"/>
  <c r="CR65" i="56"/>
  <c r="DH65" i="56" s="1"/>
  <c r="CO65" i="56" a="1"/>
  <c r="CO65" i="56" s="1"/>
  <c r="CP65" i="56" a="1"/>
  <c r="CP65" i="56" s="1"/>
  <c r="P161" i="56" a="1"/>
  <c r="P161" i="56" s="1"/>
  <c r="CJ337" i="56"/>
  <c r="CK337" i="56" s="1"/>
  <c r="CO163" i="56" a="1"/>
  <c r="CO163" i="56" s="1"/>
  <c r="CQ163" i="56" a="1"/>
  <c r="CQ163" i="56" s="1"/>
  <c r="CP163" i="56" a="1"/>
  <c r="CP163" i="56" s="1"/>
  <c r="CR163" i="56"/>
  <c r="DH163" i="56" s="1"/>
  <c r="BL292" i="56"/>
  <c r="P292" i="56" a="1"/>
  <c r="P292" i="56" s="1"/>
  <c r="EF292" i="56" s="1"/>
  <c r="EG292" i="56" s="1"/>
  <c r="FA237" i="56"/>
  <c r="EX237" i="56"/>
  <c r="EZ237" i="56"/>
  <c r="EY237" i="56"/>
  <c r="EU237" i="56"/>
  <c r="ET237" i="56"/>
  <c r="ES237" i="56"/>
  <c r="EW237" i="56"/>
  <c r="EV237" i="56"/>
  <c r="FI53" i="56"/>
  <c r="BW15" i="55" a="1"/>
  <c r="BW15" i="55" s="1"/>
  <c r="BK15" i="55" a="1"/>
  <c r="BK15" i="55" s="1"/>
  <c r="BZ15" i="55" a="1"/>
  <c r="BZ15" i="55" s="1"/>
  <c r="BO15" i="55" a="1"/>
  <c r="BO15" i="55" s="1"/>
  <c r="U15" i="55" a="1"/>
  <c r="U15" i="55" s="1"/>
  <c r="W15" i="55" a="1"/>
  <c r="W15" i="55" s="1"/>
  <c r="EU83" i="56"/>
  <c r="EY83" i="56"/>
  <c r="ER83" i="56"/>
  <c r="EV83" i="56" s="1"/>
  <c r="EX83" i="56"/>
  <c r="ES83" i="56"/>
  <c r="EW83" i="56"/>
  <c r="EZ83" i="56"/>
  <c r="ET83" i="56"/>
  <c r="BY243" i="56" a="1"/>
  <c r="BY243" i="56" s="1"/>
  <c r="FA291" i="56"/>
  <c r="EX291" i="56"/>
  <c r="EW291" i="56"/>
  <c r="EV291" i="56"/>
  <c r="EZ291" i="56"/>
  <c r="ET291" i="56"/>
  <c r="EY291" i="56"/>
  <c r="EU291" i="56"/>
  <c r="ES291" i="56"/>
  <c r="BL114" i="56"/>
  <c r="CJ162" i="56"/>
  <c r="CK162" i="56" s="1"/>
  <c r="CJ226" i="56"/>
  <c r="CK226" i="56" s="1"/>
  <c r="FH322" i="56"/>
  <c r="FG322" i="56" a="1"/>
  <c r="FG322" i="56" s="1"/>
  <c r="FI322" i="56" s="1"/>
  <c r="CQ3" i="56" a="1"/>
  <c r="CQ3" i="56" s="1"/>
  <c r="CP3" i="56" a="1"/>
  <c r="CP3" i="56" s="1"/>
  <c r="CR3" i="56"/>
  <c r="DH3" i="56" s="1"/>
  <c r="CO3" i="56" a="1"/>
  <c r="CO3" i="56" s="1"/>
  <c r="CP211" i="56" a="1"/>
  <c r="CP211" i="56" s="1"/>
  <c r="CO211" i="56" a="1"/>
  <c r="CO211" i="56" s="1"/>
  <c r="CR211" i="56"/>
  <c r="DH211" i="56" s="1"/>
  <c r="CQ211" i="56" a="1"/>
  <c r="CQ211" i="56" s="1"/>
  <c r="FH339" i="56"/>
  <c r="FG339" i="56" a="1"/>
  <c r="FG339" i="56" s="1"/>
  <c r="FI339" i="56" s="1"/>
  <c r="CQ164" i="56" a="1"/>
  <c r="CQ164" i="56" s="1"/>
  <c r="CP164" i="56" a="1"/>
  <c r="CP164" i="56" s="1"/>
  <c r="CO164" i="56" a="1"/>
  <c r="CO164" i="56" s="1"/>
  <c r="CR164" i="56"/>
  <c r="DH164" i="56" s="1"/>
  <c r="IE333" i="56"/>
  <c r="HX333" i="56"/>
  <c r="FH99" i="56"/>
  <c r="FG99" i="56" a="1"/>
  <c r="FG99" i="56" s="1"/>
  <c r="GF107" i="56"/>
  <c r="GF235" i="56"/>
  <c r="CW26" i="56"/>
  <c r="DA26" i="56" s="1"/>
  <c r="ER134" i="56"/>
  <c r="EV134" i="56" s="1"/>
  <c r="EZ134" i="56"/>
  <c r="EY134" i="56"/>
  <c r="ET134" i="56"/>
  <c r="EX134" i="56"/>
  <c r="EU134" i="56"/>
  <c r="EW134" i="56"/>
  <c r="ES134" i="56"/>
  <c r="EK132" i="56"/>
  <c r="EL132" i="56"/>
  <c r="EY205" i="56"/>
  <c r="EX205" i="56"/>
  <c r="EW205" i="56"/>
  <c r="EZ205" i="56"/>
  <c r="EV205" i="56"/>
  <c r="EU205" i="56"/>
  <c r="ES205" i="56"/>
  <c r="ET205" i="56"/>
  <c r="FS340" i="56"/>
  <c r="FP340" i="56"/>
  <c r="GF268" i="56"/>
  <c r="CJ80" i="56"/>
  <c r="CK80" i="56" s="1"/>
  <c r="FH98" i="56"/>
  <c r="FG98" i="56" a="1"/>
  <c r="FG98" i="56" s="1"/>
  <c r="CW156" i="56"/>
  <c r="DA156" i="56" s="1"/>
  <c r="FH161" i="56"/>
  <c r="FG161" i="56" a="1"/>
  <c r="FG161" i="56" s="1"/>
  <c r="FI161" i="56" s="1"/>
  <c r="P225" i="56" a="1"/>
  <c r="P225" i="56" s="1"/>
  <c r="EF225" i="56" s="1"/>
  <c r="EG225" i="56" s="1"/>
  <c r="FH305" i="56"/>
  <c r="FG305" i="56" a="1"/>
  <c r="FG305" i="56" s="1"/>
  <c r="FI305" i="56" s="1"/>
  <c r="T63" i="56"/>
  <c r="CQ259" i="56" a="1"/>
  <c r="CQ259" i="56" s="1"/>
  <c r="CP259" i="56" a="1"/>
  <c r="CP259" i="56" s="1"/>
  <c r="CR259" i="56"/>
  <c r="DH259" i="56" s="1"/>
  <c r="CO259" i="56" a="1"/>
  <c r="CO259" i="56" s="1"/>
  <c r="BL164" i="56"/>
  <c r="P164" i="56" a="1"/>
  <c r="P164" i="56" s="1"/>
  <c r="FG276" i="56" a="1"/>
  <c r="FG276" i="56" s="1"/>
  <c r="FI276" i="56" s="1"/>
  <c r="FH276" i="56"/>
  <c r="FH340" i="56"/>
  <c r="FG340" i="56" a="1"/>
  <c r="FG340" i="56" s="1"/>
  <c r="IG333" i="56"/>
  <c r="HZ333" i="56"/>
  <c r="T295" i="56"/>
  <c r="GF123" i="56"/>
  <c r="CW122" i="56"/>
  <c r="DA122" i="56" s="1"/>
  <c r="FA54" i="56"/>
  <c r="EY54" i="56"/>
  <c r="EW54" i="56"/>
  <c r="EU54" i="56"/>
  <c r="ER54" i="56"/>
  <c r="EV54" i="56" s="1"/>
  <c r="EX54" i="56"/>
  <c r="EZ54" i="56"/>
  <c r="ET54" i="56"/>
  <c r="ES54" i="56"/>
  <c r="ER342" i="56"/>
  <c r="EW342" i="56"/>
  <c r="EV342" i="56"/>
  <c r="EZ342" i="56"/>
  <c r="ET342" i="56"/>
  <c r="EY342" i="56"/>
  <c r="EX342" i="56"/>
  <c r="ES342" i="56"/>
  <c r="EU342" i="56"/>
  <c r="BL290" i="56"/>
  <c r="CR52" i="56"/>
  <c r="DH52" i="56" s="1"/>
  <c r="CQ52" i="56" a="1"/>
  <c r="CQ52" i="56" s="1"/>
  <c r="CP52" i="56" a="1"/>
  <c r="CP52" i="56" s="1"/>
  <c r="CO52" i="56" a="1"/>
  <c r="CO52" i="56" s="1"/>
  <c r="FH132" i="56"/>
  <c r="FG132" i="56" a="1"/>
  <c r="FG132" i="56" s="1"/>
  <c r="EK180" i="56"/>
  <c r="EL180" i="56"/>
  <c r="BL260" i="56"/>
  <c r="P260" i="56" a="1"/>
  <c r="P260" i="56" s="1"/>
  <c r="GF156" i="56"/>
  <c r="CW203" i="56"/>
  <c r="DV272" i="56"/>
  <c r="FH50" i="56"/>
  <c r="FG50" i="56" a="1"/>
  <c r="FG50" i="56" s="1"/>
  <c r="FI50" i="56" s="1"/>
  <c r="FH194" i="56"/>
  <c r="FG194" i="56" a="1"/>
  <c r="FG194" i="56" s="1"/>
  <c r="FG258" i="56" a="1"/>
  <c r="FG258" i="56" s="1"/>
  <c r="FH258" i="56"/>
  <c r="IP133" i="56"/>
  <c r="FL133" i="56"/>
  <c r="FM133" i="56" s="1"/>
  <c r="FO133" i="56" s="1" a="1"/>
  <c r="FO133" i="56" s="1"/>
  <c r="FB133" i="56"/>
  <c r="CK133" i="56"/>
  <c r="DC133" i="56"/>
  <c r="DH133" i="56"/>
  <c r="IP213" i="56"/>
  <c r="FL213" i="56"/>
  <c r="FM213" i="56" s="1"/>
  <c r="FO213" i="56" s="1" a="1"/>
  <c r="FO213" i="56" s="1"/>
  <c r="FF213" i="56"/>
  <c r="FB213" i="56"/>
  <c r="DC213" i="56"/>
  <c r="IP261" i="56"/>
  <c r="FL261" i="56"/>
  <c r="FM261" i="56" s="1"/>
  <c r="FO261" i="56" s="1" a="1"/>
  <c r="FO261" i="56" s="1"/>
  <c r="FF261" i="56"/>
  <c r="FB261" i="56"/>
  <c r="DC261" i="56"/>
  <c r="CW76" i="56"/>
  <c r="DA76" i="56" s="1"/>
  <c r="CJ305" i="56"/>
  <c r="CK305" i="56" s="1"/>
  <c r="CW305" i="56" s="1"/>
  <c r="DA305" i="56" s="1"/>
  <c r="FH321" i="56"/>
  <c r="FG321" i="56" a="1"/>
  <c r="FG321" i="56" s="1"/>
  <c r="CR337" i="56"/>
  <c r="DH337" i="56" s="1"/>
  <c r="CP337" i="56" a="1"/>
  <c r="CP337" i="56" s="1"/>
  <c r="CQ337" i="56" a="1"/>
  <c r="CQ337" i="56" s="1"/>
  <c r="CO337" i="56" a="1"/>
  <c r="CO337" i="56" s="1"/>
  <c r="FH178" i="56"/>
  <c r="FG178" i="56" a="1"/>
  <c r="FG178" i="56" s="1"/>
  <c r="FG51" i="56" a="1"/>
  <c r="FG51" i="56" s="1"/>
  <c r="CJ323" i="56"/>
  <c r="CK323" i="56" s="1"/>
  <c r="FH20" i="56"/>
  <c r="FG20" i="56" a="1"/>
  <c r="FG20" i="56" s="1"/>
  <c r="FH148" i="56"/>
  <c r="FG148" i="56" a="1"/>
  <c r="FG148" i="56" s="1"/>
  <c r="FI148" i="56" s="1"/>
  <c r="DV171" i="56"/>
  <c r="CQ251" i="56" a="1"/>
  <c r="CQ251" i="56" s="1"/>
  <c r="CP251" i="56" a="1"/>
  <c r="CP251" i="56" s="1"/>
  <c r="CO251" i="56" a="1"/>
  <c r="CO251" i="56" s="1"/>
  <c r="CR251" i="56"/>
  <c r="DH251" i="56" s="1"/>
  <c r="FG283" i="56" a="1"/>
  <c r="FG283" i="56" s="1"/>
  <c r="FH283" i="56"/>
  <c r="CQ331" i="56" a="1"/>
  <c r="CQ331" i="56" s="1"/>
  <c r="CP331" i="56" a="1"/>
  <c r="CP331" i="56" s="1"/>
  <c r="CR331" i="56"/>
  <c r="DH331" i="56" s="1"/>
  <c r="CO331" i="56" a="1"/>
  <c r="CO331" i="56" s="1"/>
  <c r="FG347" i="56" a="1"/>
  <c r="FG347" i="56" s="1"/>
  <c r="FH347" i="56"/>
  <c r="BO19" i="55" a="1"/>
  <c r="BO19" i="55" s="1"/>
  <c r="BW19" i="55" a="1"/>
  <c r="BW19" i="55" s="1"/>
  <c r="BK19" i="55" a="1"/>
  <c r="BK19" i="55" s="1"/>
  <c r="W19" i="55" a="1"/>
  <c r="W19" i="55" s="1"/>
  <c r="BZ19" i="55" a="1"/>
  <c r="BZ19" i="55" s="1"/>
  <c r="U19" i="55" a="1"/>
  <c r="U19" i="55" s="1"/>
  <c r="EX35" i="56"/>
  <c r="EV35" i="56"/>
  <c r="EZ35" i="56"/>
  <c r="FA35" i="56"/>
  <c r="EW35" i="56"/>
  <c r="ET35" i="56"/>
  <c r="EY35" i="56"/>
  <c r="EU35" i="56"/>
  <c r="ES35" i="56"/>
  <c r="EU195" i="56"/>
  <c r="FA195" i="56"/>
  <c r="ET195" i="56"/>
  <c r="EX195" i="56"/>
  <c r="EV195" i="56"/>
  <c r="EW195" i="56"/>
  <c r="ES195" i="56"/>
  <c r="EZ195" i="56"/>
  <c r="EY195" i="56"/>
  <c r="EZ243" i="56"/>
  <c r="EX243" i="56"/>
  <c r="EW243" i="56"/>
  <c r="EY243" i="56"/>
  <c r="EV243" i="56"/>
  <c r="EU243" i="56"/>
  <c r="ET243" i="56"/>
  <c r="ES243" i="56"/>
  <c r="CR82" i="56"/>
  <c r="DH82" i="56" s="1"/>
  <c r="CQ82" i="56" a="1"/>
  <c r="CQ82" i="56" s="1"/>
  <c r="CP82" i="56" a="1"/>
  <c r="CP82" i="56" s="1"/>
  <c r="CO82" i="56" a="1"/>
  <c r="CO82" i="56" s="1"/>
  <c r="CK3" i="56"/>
  <c r="CR228" i="56"/>
  <c r="DH228" i="56" s="1"/>
  <c r="CP228" i="56" a="1"/>
  <c r="CP228" i="56" s="1"/>
  <c r="CO228" i="56" a="1"/>
  <c r="CO228" i="56" s="1"/>
  <c r="CQ228" i="56" a="1"/>
  <c r="CQ228" i="56" s="1"/>
  <c r="EX109" i="56"/>
  <c r="FA109" i="56"/>
  <c r="EW109" i="56"/>
  <c r="ES109" i="56"/>
  <c r="EZ109" i="56"/>
  <c r="EU109" i="56"/>
  <c r="EY109" i="56"/>
  <c r="ET109" i="56"/>
  <c r="ER109" i="56"/>
  <c r="EV109" i="56" s="1"/>
  <c r="CJ91" i="56"/>
  <c r="CK91" i="56" s="1"/>
  <c r="T103" i="56"/>
  <c r="P338" i="56" a="1"/>
  <c r="P338" i="56" s="1"/>
  <c r="EF338" i="56" s="1"/>
  <c r="EG338" i="56" s="1"/>
  <c r="EZ262" i="56"/>
  <c r="EY262" i="56"/>
  <c r="ES262" i="56"/>
  <c r="EX262" i="56"/>
  <c r="EW262" i="56"/>
  <c r="EV262" i="56"/>
  <c r="EU262" i="56"/>
  <c r="ET262" i="56"/>
  <c r="P146" i="56" a="1"/>
  <c r="P146" i="56" s="1"/>
  <c r="EF146" i="56" s="1"/>
  <c r="EG146" i="56" s="1"/>
  <c r="CR291" i="56"/>
  <c r="DH291" i="56" s="1"/>
  <c r="CQ291" i="56" a="1"/>
  <c r="CQ291" i="56" s="1"/>
  <c r="CP291" i="56" a="1"/>
  <c r="CP291" i="56" s="1"/>
  <c r="CO291" i="56" a="1"/>
  <c r="CO291" i="56" s="1"/>
  <c r="EW93" i="56"/>
  <c r="EX93" i="56"/>
  <c r="EY93" i="56"/>
  <c r="EZ93" i="56"/>
  <c r="ET93" i="56"/>
  <c r="ER93" i="56"/>
  <c r="EU93" i="56"/>
  <c r="EV93" i="56"/>
  <c r="ES93" i="56"/>
  <c r="CQ50" i="56" a="1"/>
  <c r="CQ50" i="56" s="1"/>
  <c r="CR50" i="56"/>
  <c r="DH50" i="56" s="1"/>
  <c r="CP50" i="56" a="1"/>
  <c r="CP50" i="56" s="1"/>
  <c r="CO50" i="56" a="1"/>
  <c r="CO50" i="56" s="1"/>
  <c r="FG275" i="56" a="1"/>
  <c r="FG275" i="56" s="1"/>
  <c r="FH275" i="56"/>
  <c r="IP85" i="56"/>
  <c r="FL85" i="56"/>
  <c r="FM85" i="56" s="1"/>
  <c r="FO85" i="56" s="1" a="1"/>
  <c r="FO85" i="56" s="1"/>
  <c r="FD85" i="56"/>
  <c r="M85" i="56" s="1"/>
  <c r="FE85" i="56" s="1"/>
  <c r="FF85" i="56" s="1"/>
  <c r="FB85" i="56"/>
  <c r="DC85" i="56"/>
  <c r="IP309" i="56"/>
  <c r="FF309" i="56"/>
  <c r="FB309" i="56"/>
  <c r="FL309" i="56"/>
  <c r="FM309" i="56" s="1"/>
  <c r="FO309" i="56" s="1" a="1"/>
  <c r="FO309" i="56" s="1"/>
  <c r="DH309" i="56"/>
  <c r="DC309" i="56"/>
  <c r="CK309" i="56"/>
  <c r="P113" i="56" a="1"/>
  <c r="P113" i="56" s="1"/>
  <c r="EF113" i="56" s="1"/>
  <c r="EG113" i="56" s="1"/>
  <c r="P129" i="56" a="1"/>
  <c r="P129" i="56" s="1"/>
  <c r="EF129" i="56" s="1"/>
  <c r="EG129" i="56" s="1"/>
  <c r="FH177" i="56"/>
  <c r="FG177" i="56" a="1"/>
  <c r="FG177" i="56" s="1"/>
  <c r="FG193" i="56" a="1"/>
  <c r="FG193" i="56" s="1"/>
  <c r="FH193" i="56"/>
  <c r="FG209" i="56" a="1"/>
  <c r="FG209" i="56" s="1"/>
  <c r="FH209" i="56"/>
  <c r="FG241" i="56" a="1"/>
  <c r="FG241" i="56" s="1"/>
  <c r="FH241" i="56"/>
  <c r="FG257" i="56" a="1"/>
  <c r="FG257" i="56" s="1"/>
  <c r="FH257" i="56"/>
  <c r="CP273" i="56" a="1"/>
  <c r="CP273" i="56" s="1"/>
  <c r="CO273" i="56" a="1"/>
  <c r="CO273" i="56" s="1"/>
  <c r="CR273" i="56"/>
  <c r="DH273" i="56" s="1"/>
  <c r="CQ273" i="56" a="1"/>
  <c r="CQ273" i="56" s="1"/>
  <c r="CR305" i="56"/>
  <c r="DH305" i="56" s="1"/>
  <c r="CQ305" i="56" a="1"/>
  <c r="CQ305" i="56" s="1"/>
  <c r="CO305" i="56" a="1"/>
  <c r="CO305" i="56" s="1"/>
  <c r="CP305" i="56" a="1"/>
  <c r="CP305" i="56" s="1"/>
  <c r="CQ321" i="56" a="1"/>
  <c r="CQ321" i="56" s="1"/>
  <c r="CP321" i="56" a="1"/>
  <c r="CP321" i="56" s="1"/>
  <c r="CO321" i="56" a="1"/>
  <c r="CO321" i="56" s="1"/>
  <c r="CR321" i="56"/>
  <c r="DH321" i="56" s="1"/>
  <c r="CJ51" i="56"/>
  <c r="CK51" i="56" s="1"/>
  <c r="CP115" i="56" a="1"/>
  <c r="CP115" i="56" s="1"/>
  <c r="CO115" i="56" a="1"/>
  <c r="CO115" i="56" s="1"/>
  <c r="CQ115" i="56" a="1"/>
  <c r="CQ115" i="56" s="1"/>
  <c r="CR115" i="56"/>
  <c r="DH115" i="56" s="1"/>
  <c r="CQ323" i="56" a="1"/>
  <c r="CQ323" i="56" s="1"/>
  <c r="CO323" i="56" a="1"/>
  <c r="CO323" i="56" s="1"/>
  <c r="CP323" i="56" a="1"/>
  <c r="CP323" i="56" s="1"/>
  <c r="CR323" i="56"/>
  <c r="DH323" i="56" s="1"/>
  <c r="FH212" i="56"/>
  <c r="FG212" i="56" a="1"/>
  <c r="FG212" i="56" s="1"/>
  <c r="CJ244" i="56"/>
  <c r="CK244" i="56" s="1"/>
  <c r="CQ292" i="56" a="1"/>
  <c r="CQ292" i="56" s="1"/>
  <c r="CR292" i="56"/>
  <c r="DH292" i="56" s="1"/>
  <c r="CP292" i="56" a="1"/>
  <c r="CP292" i="56" s="1"/>
  <c r="CO292" i="56" a="1"/>
  <c r="CO292" i="56" s="1"/>
  <c r="T158" i="56"/>
  <c r="CJ235" i="56"/>
  <c r="CK235" i="56" s="1"/>
  <c r="FG299" i="56" a="1"/>
  <c r="FG299" i="56" s="1"/>
  <c r="FH299" i="56"/>
  <c r="GN184" i="56"/>
  <c r="IK184" i="56" s="1"/>
  <c r="GO184" i="56"/>
  <c r="BW18" i="55" a="1"/>
  <c r="BW18" i="55" s="1"/>
  <c r="BK18" i="55" a="1"/>
  <c r="BK18" i="55" s="1"/>
  <c r="W18" i="55" a="1"/>
  <c r="W18" i="55" s="1"/>
  <c r="BZ18" i="55" a="1"/>
  <c r="BZ18" i="55" s="1"/>
  <c r="BO18" i="55" a="1"/>
  <c r="BO18" i="55" s="1"/>
  <c r="U18" i="55" a="1"/>
  <c r="U18" i="55" s="1"/>
  <c r="BL99" i="56"/>
  <c r="P34" i="56" a="1"/>
  <c r="P34" i="56" s="1"/>
  <c r="BL34" i="56"/>
  <c r="CQ226" i="56" a="1"/>
  <c r="CQ226" i="56" s="1"/>
  <c r="CR226" i="56"/>
  <c r="DH226" i="56" s="1"/>
  <c r="CP226" i="56" a="1"/>
  <c r="CP226" i="56" s="1"/>
  <c r="CO226" i="56" a="1"/>
  <c r="CO226" i="56" s="1"/>
  <c r="T263" i="56"/>
  <c r="FH242" i="56"/>
  <c r="FG242" i="56" a="1"/>
  <c r="FG242" i="56" s="1"/>
  <c r="FI242" i="56" s="1"/>
  <c r="CJ338" i="56"/>
  <c r="CK338" i="56" s="1"/>
  <c r="CW338" i="56" s="1"/>
  <c r="DA338" i="56" s="1"/>
  <c r="GF139" i="56"/>
  <c r="EZ182" i="56"/>
  <c r="EX182" i="56"/>
  <c r="EV182" i="56"/>
  <c r="ET182" i="56"/>
  <c r="ER182" i="56"/>
  <c r="EW182" i="56"/>
  <c r="EU182" i="56"/>
  <c r="ES182" i="56"/>
  <c r="EY182" i="56"/>
  <c r="FH290" i="56"/>
  <c r="FG290" i="56" a="1"/>
  <c r="FG290" i="56" s="1"/>
  <c r="FI290" i="56" s="1"/>
  <c r="CQ19" i="56" a="1"/>
  <c r="CQ19" i="56" s="1"/>
  <c r="CR19" i="56"/>
  <c r="DH19" i="56" s="1"/>
  <c r="CO19" i="56" a="1"/>
  <c r="CO19" i="56" s="1"/>
  <c r="CP19" i="56" a="1"/>
  <c r="CP19" i="56" s="1"/>
  <c r="CJ131" i="56"/>
  <c r="FG227" i="56" a="1"/>
  <c r="FG227" i="56" s="1"/>
  <c r="FH227" i="56"/>
  <c r="CP4" i="56" a="1"/>
  <c r="CP4" i="56" s="1"/>
  <c r="CR4" i="56"/>
  <c r="DH4" i="56" s="1"/>
  <c r="CQ4" i="56" a="1"/>
  <c r="CQ4" i="56" s="1"/>
  <c r="CO4" i="56" a="1"/>
  <c r="CO4" i="56" s="1"/>
  <c r="FH100" i="56"/>
  <c r="FG100" i="56" a="1"/>
  <c r="FG100" i="56" s="1"/>
  <c r="FG308" i="56" a="1"/>
  <c r="FG308" i="56" s="1"/>
  <c r="FH308" i="56"/>
  <c r="FP240" i="56"/>
  <c r="FS240" i="56"/>
  <c r="GF172" i="56"/>
  <c r="P145" i="56" a="1"/>
  <c r="P145" i="56" s="1"/>
  <c r="DV304" i="56"/>
  <c r="P50" i="56" a="1"/>
  <c r="P50" i="56" s="1"/>
  <c r="CP194" i="56" a="1"/>
  <c r="CP194" i="56" s="1"/>
  <c r="CO194" i="56" a="1"/>
  <c r="CO194" i="56" s="1"/>
  <c r="CQ194" i="56" a="1"/>
  <c r="CQ194" i="56" s="1"/>
  <c r="CR194" i="56"/>
  <c r="DH194" i="56" s="1"/>
  <c r="FG35" i="56" a="1"/>
  <c r="FG35" i="56" s="1"/>
  <c r="FH35" i="56"/>
  <c r="CR195" i="56"/>
  <c r="DH195" i="56" s="1"/>
  <c r="CP195" i="56" a="1"/>
  <c r="CP195" i="56" s="1"/>
  <c r="CO195" i="56" a="1"/>
  <c r="CO195" i="56" s="1"/>
  <c r="CQ195" i="56" a="1"/>
  <c r="CQ195" i="56" s="1"/>
  <c r="IP53" i="56"/>
  <c r="GG53" i="56"/>
  <c r="FB53" i="56"/>
  <c r="FL53" i="56"/>
  <c r="FM53" i="56" s="1"/>
  <c r="FO53" i="56" s="1" a="1"/>
  <c r="FO53" i="56" s="1"/>
  <c r="FD53" i="56"/>
  <c r="M53" i="56" s="1"/>
  <c r="FE53" i="56" s="1"/>
  <c r="DC53" i="56"/>
  <c r="CK53" i="56"/>
  <c r="FI86" i="56"/>
  <c r="CW172" i="56"/>
  <c r="DA172" i="56" s="1"/>
  <c r="CJ257" i="56"/>
  <c r="CK257" i="56" s="1"/>
  <c r="FH273" i="56"/>
  <c r="FG273" i="56" a="1"/>
  <c r="FG273" i="56" s="1"/>
  <c r="CQ289" i="56" a="1"/>
  <c r="CQ289" i="56" s="1"/>
  <c r="CP289" i="56" a="1"/>
  <c r="CP289" i="56" s="1"/>
  <c r="CR289" i="56"/>
  <c r="DH289" i="56" s="1"/>
  <c r="CO289" i="56" a="1"/>
  <c r="CO289" i="56" s="1"/>
  <c r="CJ66" i="56"/>
  <c r="CK66" i="56" s="1"/>
  <c r="CJ163" i="56"/>
  <c r="CK163" i="56" s="1"/>
  <c r="CR243" i="56"/>
  <c r="DH243" i="56" s="1"/>
  <c r="CQ243" i="56" a="1"/>
  <c r="CQ243" i="56" s="1"/>
  <c r="CP243" i="56" a="1"/>
  <c r="CP243" i="56" s="1"/>
  <c r="CO243" i="56" a="1"/>
  <c r="CO243" i="56" s="1"/>
  <c r="ES125" i="56"/>
  <c r="EZ125" i="56"/>
  <c r="EU125" i="56"/>
  <c r="EX125" i="56"/>
  <c r="ET125" i="56"/>
  <c r="EW125" i="56"/>
  <c r="ER125" i="56"/>
  <c r="EV125" i="56" s="1"/>
  <c r="EY125" i="56"/>
  <c r="BK24" i="55" a="1"/>
  <c r="BK24" i="55" s="1"/>
  <c r="BZ24" i="55" a="1"/>
  <c r="BZ24" i="55" s="1"/>
  <c r="BO24" i="55" a="1"/>
  <c r="BO24" i="55" s="1"/>
  <c r="U24" i="55" a="1"/>
  <c r="U24" i="55" s="1"/>
  <c r="BW24" i="55" a="1"/>
  <c r="BW24" i="55" s="1"/>
  <c r="W24" i="55" a="1"/>
  <c r="W24" i="55" s="1"/>
  <c r="BY99" i="56" a="1"/>
  <c r="BY99" i="56" s="1"/>
  <c r="DU99" i="56" s="1"/>
  <c r="ET147" i="56"/>
  <c r="EW147" i="56"/>
  <c r="ER147" i="56"/>
  <c r="EV147" i="56" s="1"/>
  <c r="EU147" i="56"/>
  <c r="EZ147" i="56"/>
  <c r="EX147" i="56"/>
  <c r="ES147" i="56"/>
  <c r="EY147" i="56"/>
  <c r="CR162" i="56"/>
  <c r="DH162" i="56" s="1"/>
  <c r="CO162" i="56" a="1"/>
  <c r="CO162" i="56" s="1"/>
  <c r="CP162" i="56" a="1"/>
  <c r="CP162" i="56" s="1"/>
  <c r="CQ162" i="56" a="1"/>
  <c r="CQ162" i="56" s="1"/>
  <c r="DV339" i="56"/>
  <c r="FG18" i="56" a="1"/>
  <c r="FG18" i="56" s="1"/>
  <c r="FH18" i="56"/>
  <c r="P242" i="56" a="1"/>
  <c r="P242" i="56" s="1"/>
  <c r="P144" i="56" a="1"/>
  <c r="P144" i="56" s="1"/>
  <c r="DI144" i="56" s="1"/>
  <c r="AX15" i="55"/>
  <c r="AY15" i="55" s="1" a="1"/>
  <c r="AY15" i="55" s="1"/>
  <c r="FA102" i="56"/>
  <c r="ER102" i="56"/>
  <c r="EZ102" i="56"/>
  <c r="EY102" i="56"/>
  <c r="EV102" i="56"/>
  <c r="ET102" i="56"/>
  <c r="EX102" i="56"/>
  <c r="EU102" i="56"/>
  <c r="ES102" i="56"/>
  <c r="EW102" i="56"/>
  <c r="FG146" i="56" a="1"/>
  <c r="FG146" i="56" s="1"/>
  <c r="FH146" i="56"/>
  <c r="FG131" i="56" a="1"/>
  <c r="FG131" i="56" s="1"/>
  <c r="FH131" i="56"/>
  <c r="CJ291" i="56"/>
  <c r="CK291" i="56" s="1"/>
  <c r="BY308" i="56" a="1"/>
  <c r="BY308" i="56" s="1"/>
  <c r="BL308" i="56"/>
  <c r="P308" i="56" a="1"/>
  <c r="P308" i="56" s="1"/>
  <c r="FB240" i="56"/>
  <c r="CW43" i="56"/>
  <c r="CW299" i="56"/>
  <c r="DA299" i="56" s="1"/>
  <c r="BL244" i="56"/>
  <c r="P244" i="56" a="1"/>
  <c r="P244" i="56" s="1"/>
  <c r="EK286" i="56"/>
  <c r="EL286" i="56"/>
  <c r="FG224" i="56" a="1"/>
  <c r="FG224" i="56" s="1"/>
  <c r="FH224" i="56"/>
  <c r="P240" i="56" a="1"/>
  <c r="P240" i="56" s="1"/>
  <c r="DV320" i="56"/>
  <c r="P194" i="56" a="1"/>
  <c r="P194" i="56" s="1"/>
  <c r="EF194" i="56" s="1"/>
  <c r="EG194" i="56" s="1"/>
  <c r="P258" i="56" a="1"/>
  <c r="P258" i="56" s="1"/>
  <c r="T302" i="56"/>
  <c r="IP101" i="56"/>
  <c r="FF101" i="56"/>
  <c r="FL101" i="56"/>
  <c r="FM101" i="56" s="1"/>
  <c r="FO101" i="56" s="1" a="1"/>
  <c r="FO101" i="56" s="1"/>
  <c r="FB101" i="56"/>
  <c r="DC101" i="56"/>
  <c r="IP181" i="56"/>
  <c r="FL181" i="56"/>
  <c r="FM181" i="56" s="1"/>
  <c r="FO181" i="56" s="1" a="1"/>
  <c r="FO181" i="56" s="1"/>
  <c r="FF181" i="56"/>
  <c r="FB181" i="56"/>
  <c r="DC181" i="56"/>
  <c r="DH181" i="56"/>
  <c r="CW308" i="56"/>
  <c r="DA308" i="56" s="1"/>
  <c r="CR193" i="56"/>
  <c r="DH193" i="56" s="1"/>
  <c r="CP193" i="56" a="1"/>
  <c r="CP193" i="56" s="1"/>
  <c r="CO193" i="56" a="1"/>
  <c r="CO193" i="56" s="1"/>
  <c r="CQ193" i="56" a="1"/>
  <c r="CQ193" i="56" s="1"/>
  <c r="CR209" i="56"/>
  <c r="DH209" i="56" s="1"/>
  <c r="CO209" i="56" a="1"/>
  <c r="CO209" i="56" s="1"/>
  <c r="CQ209" i="56" a="1"/>
  <c r="CQ209" i="56" s="1"/>
  <c r="CP209" i="56" a="1"/>
  <c r="CP209" i="56" s="1"/>
  <c r="FH306" i="56"/>
  <c r="FG306" i="56" a="1"/>
  <c r="FG306" i="56" s="1"/>
  <c r="CQ51" i="56" a="1"/>
  <c r="CQ51" i="56" s="1"/>
  <c r="CR51" i="56"/>
  <c r="DH51" i="56" s="1"/>
  <c r="CP51" i="56" a="1"/>
  <c r="CP51" i="56" s="1"/>
  <c r="CO51" i="56" a="1"/>
  <c r="CO51" i="56" s="1"/>
  <c r="FH84" i="56"/>
  <c r="FG84" i="56" a="1"/>
  <c r="FG84" i="56" s="1"/>
  <c r="FI84" i="56" s="1"/>
  <c r="CR212" i="56"/>
  <c r="DH212" i="56" s="1"/>
  <c r="CP212" i="56" a="1"/>
  <c r="CP212" i="56" s="1"/>
  <c r="CO212" i="56" a="1"/>
  <c r="CO212" i="56" s="1"/>
  <c r="CQ212" i="56" a="1"/>
  <c r="CQ212" i="56" s="1"/>
  <c r="FG244" i="56" a="1"/>
  <c r="FG244" i="56" s="1"/>
  <c r="FH244" i="56"/>
  <c r="FH11" i="56"/>
  <c r="FG11" i="56" a="1"/>
  <c r="FG11" i="56" s="1"/>
  <c r="FH75" i="56"/>
  <c r="FG75" i="56" a="1"/>
  <c r="FG75" i="56" s="1"/>
  <c r="CQ107" i="56" a="1"/>
  <c r="CQ107" i="56" s="1"/>
  <c r="CR107" i="56"/>
  <c r="DH107" i="56" s="1"/>
  <c r="CP107" i="56" a="1"/>
  <c r="CP107" i="56" s="1"/>
  <c r="CO107" i="56" a="1"/>
  <c r="CO107" i="56" s="1"/>
  <c r="CJ139" i="56"/>
  <c r="CK139" i="56" s="1"/>
  <c r="CJ267" i="56"/>
  <c r="CK267" i="56" s="1"/>
  <c r="CW267" i="56" s="1"/>
  <c r="CJ299" i="56"/>
  <c r="CK299" i="56" s="1"/>
  <c r="FH331" i="56"/>
  <c r="FG331" i="56" a="1"/>
  <c r="FG331" i="56" s="1"/>
  <c r="FI331" i="56" s="1"/>
  <c r="BW23" i="55" a="1"/>
  <c r="BW23" i="55" s="1"/>
  <c r="BK23" i="55" a="1"/>
  <c r="BK23" i="55" s="1"/>
  <c r="BZ23" i="55" a="1"/>
  <c r="BZ23" i="55" s="1"/>
  <c r="BO23" i="55" a="1"/>
  <c r="BO23" i="55" s="1"/>
  <c r="U23" i="55" a="1"/>
  <c r="U23" i="55" s="1"/>
  <c r="W23" i="55" a="1"/>
  <c r="W23" i="55" s="1"/>
  <c r="EZ99" i="56"/>
  <c r="EY99" i="56"/>
  <c r="ET99" i="56"/>
  <c r="ER99" i="56"/>
  <c r="EV99" i="56" s="1"/>
  <c r="EX99" i="56"/>
  <c r="EW99" i="56"/>
  <c r="ES99" i="56"/>
  <c r="EU99" i="56"/>
  <c r="BY211" i="56" a="1"/>
  <c r="BY211" i="56" s="1"/>
  <c r="DU211" i="56" s="1"/>
  <c r="BL259" i="56"/>
  <c r="FH34" i="56"/>
  <c r="FG34" i="56" a="1"/>
  <c r="FG34" i="56" s="1"/>
  <c r="FH82" i="56"/>
  <c r="FG82" i="56" a="1"/>
  <c r="FG82" i="56" s="1"/>
  <c r="FI82" i="56" s="1"/>
  <c r="CR114" i="56"/>
  <c r="DH114" i="56" s="1"/>
  <c r="CQ114" i="56" a="1"/>
  <c r="CQ114" i="56" s="1"/>
  <c r="CO114" i="56" a="1"/>
  <c r="CO114" i="56" s="1"/>
  <c r="CP114" i="56" a="1"/>
  <c r="CP114" i="56" s="1"/>
  <c r="FH68" i="56"/>
  <c r="FG68" i="56" a="1"/>
  <c r="FG68" i="56" s="1"/>
  <c r="FI68" i="56" s="1"/>
  <c r="CR196" i="56"/>
  <c r="DH196" i="56" s="1"/>
  <c r="CQ196" i="56" a="1"/>
  <c r="CQ196" i="56" s="1"/>
  <c r="CP196" i="56" a="1"/>
  <c r="CP196" i="56" s="1"/>
  <c r="CO196" i="56" a="1"/>
  <c r="CO196" i="56" s="1"/>
  <c r="GF282" i="56"/>
  <c r="GC183" i="56"/>
  <c r="GF155" i="56"/>
  <c r="ES22" i="56"/>
  <c r="ER22" i="56"/>
  <c r="EY22" i="56"/>
  <c r="EX22" i="56"/>
  <c r="EW22" i="56"/>
  <c r="EU22" i="56"/>
  <c r="EV22" i="56"/>
  <c r="ET22" i="56"/>
  <c r="EZ22" i="56"/>
  <c r="EY310" i="56"/>
  <c r="EW310" i="56"/>
  <c r="EU310" i="56"/>
  <c r="ER310" i="56"/>
  <c r="EX310" i="56"/>
  <c r="ES310" i="56"/>
  <c r="EZ310" i="56"/>
  <c r="EV310" i="56"/>
  <c r="ET310" i="56"/>
  <c r="CP290" i="56" a="1"/>
  <c r="CP290" i="56" s="1"/>
  <c r="CO290" i="56" a="1"/>
  <c r="CO290" i="56" s="1"/>
  <c r="CR290" i="56"/>
  <c r="DH290" i="56" s="1"/>
  <c r="CQ290" i="56" a="1"/>
  <c r="CQ290" i="56" s="1"/>
  <c r="P131" i="56" a="1"/>
  <c r="P131" i="56" s="1"/>
  <c r="EF131" i="56" s="1"/>
  <c r="EG131" i="56" s="1"/>
  <c r="P227" i="56" a="1"/>
  <c r="P227" i="56" s="1"/>
  <c r="EF227" i="56" s="1"/>
  <c r="EG227" i="56" s="1"/>
  <c r="CW139" i="56"/>
  <c r="P112" i="56" a="1"/>
  <c r="P112" i="56" s="1"/>
  <c r="DI112" i="56" s="1"/>
  <c r="P128" i="56" a="1"/>
  <c r="P128" i="56" s="1"/>
  <c r="FH160" i="56"/>
  <c r="FG160" i="56" a="1"/>
  <c r="FG160" i="56" s="1"/>
  <c r="P256" i="56" a="1"/>
  <c r="P256" i="56" s="1"/>
  <c r="CJ50" i="56"/>
  <c r="CK50" i="56" s="1"/>
  <c r="P98" i="56" a="1"/>
  <c r="P98" i="56" s="1"/>
  <c r="FG97" i="56" a="1"/>
  <c r="FG97" i="56" s="1"/>
  <c r="FH97" i="56"/>
  <c r="FG113" i="56" a="1"/>
  <c r="FG113" i="56" s="1"/>
  <c r="FH113" i="56"/>
  <c r="FG129" i="56" a="1"/>
  <c r="FG129" i="56" s="1"/>
  <c r="FH129" i="56"/>
  <c r="FH145" i="56"/>
  <c r="FG145" i="56" a="1"/>
  <c r="FG145" i="56" s="1"/>
  <c r="CR177" i="56"/>
  <c r="DH177" i="56" s="1"/>
  <c r="CQ177" i="56" a="1"/>
  <c r="CQ177" i="56" s="1"/>
  <c r="CP177" i="56" a="1"/>
  <c r="CP177" i="56" s="1"/>
  <c r="CO177" i="56" a="1"/>
  <c r="CO177" i="56" s="1"/>
  <c r="DV321" i="56"/>
  <c r="CQ20" i="56" a="1"/>
  <c r="CQ20" i="56" s="1"/>
  <c r="CP20" i="56" a="1"/>
  <c r="CP20" i="56" s="1"/>
  <c r="CR20" i="56"/>
  <c r="DH20" i="56" s="1"/>
  <c r="CO20" i="56" a="1"/>
  <c r="CO20" i="56" s="1"/>
  <c r="T271" i="56"/>
  <c r="EV301" i="56"/>
  <c r="ET301" i="56"/>
  <c r="FA301" i="56"/>
  <c r="EU301" i="56"/>
  <c r="EX301" i="56"/>
  <c r="EZ301" i="56"/>
  <c r="EW301" i="56"/>
  <c r="EY301" i="56"/>
  <c r="ES301" i="56"/>
  <c r="EY349" i="56"/>
  <c r="EW349" i="56"/>
  <c r="EX349" i="56"/>
  <c r="ET349" i="56"/>
  <c r="EU349" i="56"/>
  <c r="ES349" i="56"/>
  <c r="EZ349" i="56"/>
  <c r="EV349" i="56"/>
  <c r="ER349" i="56"/>
  <c r="CR315" i="56"/>
  <c r="DH315" i="56" s="1"/>
  <c r="CQ315" i="56" a="1"/>
  <c r="CQ315" i="56" s="1"/>
  <c r="CO315" i="56" a="1"/>
  <c r="CO315" i="56" s="1"/>
  <c r="CP315" i="56" a="1"/>
  <c r="CP315" i="56" s="1"/>
  <c r="IE22" i="56"/>
  <c r="HX22" i="56"/>
  <c r="BZ22" i="55" a="1"/>
  <c r="BZ22" i="55" s="1"/>
  <c r="BO22" i="55" a="1"/>
  <c r="BO22" i="55" s="1"/>
  <c r="U22" i="55" a="1"/>
  <c r="U22" i="55" s="1"/>
  <c r="W22" i="55" a="1"/>
  <c r="W22" i="55" s="1"/>
  <c r="BK22" i="55" a="1"/>
  <c r="BK22" i="55" s="1"/>
  <c r="BW22" i="55" a="1"/>
  <c r="BW22" i="55" s="1"/>
  <c r="BY259" i="56" a="1"/>
  <c r="BY259" i="56" s="1"/>
  <c r="EZ307" i="56"/>
  <c r="EU307" i="56"/>
  <c r="EY307" i="56"/>
  <c r="EV307" i="56"/>
  <c r="EX307" i="56"/>
  <c r="EW307" i="56"/>
  <c r="ES307" i="56"/>
  <c r="ET307" i="56"/>
  <c r="CJ82" i="56"/>
  <c r="CK82" i="56" s="1"/>
  <c r="CJ67" i="56"/>
  <c r="CK67" i="56" s="1"/>
  <c r="DV259" i="56"/>
  <c r="FS318" i="56"/>
  <c r="FP318" i="56"/>
  <c r="DV228" i="56"/>
  <c r="T62" i="56"/>
  <c r="GF23" i="56"/>
  <c r="FH179" i="56"/>
  <c r="FG179" i="56" a="1"/>
  <c r="FG179" i="56" s="1"/>
  <c r="CW314" i="56"/>
  <c r="DA314" i="56" s="1"/>
  <c r="FA230" i="56"/>
  <c r="EZ230" i="56"/>
  <c r="EY230" i="56"/>
  <c r="ET230" i="56"/>
  <c r="EW230" i="56"/>
  <c r="EX230" i="56"/>
  <c r="EV230" i="56"/>
  <c r="ES230" i="56"/>
  <c r="EU230" i="56"/>
  <c r="CJ19" i="56"/>
  <c r="CK19" i="56" s="1"/>
  <c r="GF316" i="56"/>
  <c r="CW59" i="56"/>
  <c r="DA59" i="56" s="1"/>
  <c r="BY32" i="56" a="1"/>
  <c r="BY32" i="56" s="1"/>
  <c r="P32" i="56" s="1" a="1"/>
  <c r="P32" i="56" s="1"/>
  <c r="DI32" i="56" s="1"/>
  <c r="P208" i="56" a="1"/>
  <c r="P208" i="56" s="1"/>
  <c r="EF208" i="56" s="1"/>
  <c r="EG208" i="56" s="1"/>
  <c r="P288" i="56" a="1"/>
  <c r="P288" i="56" s="1"/>
  <c r="EF288" i="56" s="1"/>
  <c r="EG288" i="56" s="1"/>
  <c r="CP258" i="56" a="1"/>
  <c r="CP258" i="56" s="1"/>
  <c r="CO258" i="56" a="1"/>
  <c r="CO258" i="56" s="1"/>
  <c r="CR258" i="56"/>
  <c r="DH258" i="56" s="1"/>
  <c r="CQ258" i="56" a="1"/>
  <c r="CQ258" i="56" s="1"/>
  <c r="BY83" i="56" a="1"/>
  <c r="BY83" i="56" s="1"/>
  <c r="P83" i="56" s="1" a="1"/>
  <c r="P83" i="56" s="1"/>
  <c r="FH195" i="56"/>
  <c r="FG195" i="56" a="1"/>
  <c r="FG195" i="56" s="1"/>
  <c r="CJ275" i="56"/>
  <c r="CK275" i="56" s="1"/>
  <c r="FH33" i="56"/>
  <c r="FG33" i="56" a="1"/>
  <c r="FG33" i="56" s="1"/>
  <c r="CJ161" i="56"/>
  <c r="CK161" i="56" s="1"/>
  <c r="CQ257" i="56" a="1"/>
  <c r="CQ257" i="56" s="1"/>
  <c r="CP257" i="56" a="1"/>
  <c r="CP257" i="56" s="1"/>
  <c r="CO257" i="56" a="1"/>
  <c r="CO257" i="56" s="1"/>
  <c r="CR257" i="56"/>
  <c r="DH257" i="56" s="1"/>
  <c r="DV305" i="56"/>
  <c r="CQ178" i="56" a="1"/>
  <c r="CQ178" i="56" s="1"/>
  <c r="CP178" i="56" a="1"/>
  <c r="CP178" i="56" s="1"/>
  <c r="CO178" i="56" a="1"/>
  <c r="CO178" i="56" s="1"/>
  <c r="CR178" i="56"/>
  <c r="DH178" i="56" s="1"/>
  <c r="DV323" i="56"/>
  <c r="DV20" i="56"/>
  <c r="CQ57" i="56" a="1"/>
  <c r="CQ57" i="56" s="1"/>
  <c r="CP57" i="56" a="1"/>
  <c r="CP57" i="56" s="1"/>
  <c r="CO57" i="56" a="1"/>
  <c r="CO57" i="56" s="1"/>
  <c r="CR57" i="56"/>
  <c r="DH57" i="56" s="1"/>
  <c r="FG105" i="56" a="1"/>
  <c r="FG105" i="56" s="1"/>
  <c r="FH105" i="56"/>
  <c r="CR233" i="56"/>
  <c r="DH233" i="56" s="1"/>
  <c r="CQ233" i="56" a="1"/>
  <c r="CQ233" i="56" s="1"/>
  <c r="CP233" i="56" a="1"/>
  <c r="CP233" i="56" s="1"/>
  <c r="CO233" i="56" a="1"/>
  <c r="CO233" i="56" s="1"/>
  <c r="EX92" i="56"/>
  <c r="FA92" i="56"/>
  <c r="ES92" i="56"/>
  <c r="EY92" i="56"/>
  <c r="EU92" i="56"/>
  <c r="EZ92" i="56"/>
  <c r="ET92" i="56"/>
  <c r="ER92" i="56"/>
  <c r="EV92" i="56" s="1"/>
  <c r="EW92" i="56"/>
  <c r="FY188" i="56"/>
  <c r="CQ90" i="56" a="1"/>
  <c r="CQ90" i="56" s="1"/>
  <c r="CO90" i="56" a="1"/>
  <c r="CO90" i="56" s="1"/>
  <c r="CR90" i="56"/>
  <c r="DH90" i="56" s="1"/>
  <c r="CP90" i="56" a="1"/>
  <c r="CP90" i="56" s="1"/>
  <c r="CJ106" i="56"/>
  <c r="CK106" i="56" s="1"/>
  <c r="CW106" i="56" s="1"/>
  <c r="DA106" i="56" s="1"/>
  <c r="CR186" i="56"/>
  <c r="DH186" i="56" s="1"/>
  <c r="CP186" i="56" a="1"/>
  <c r="CP186" i="56" s="1"/>
  <c r="CO186" i="56" a="1"/>
  <c r="CO186" i="56" s="1"/>
  <c r="CQ186" i="56" a="1"/>
  <c r="CQ186" i="56" s="1"/>
  <c r="CQ202" i="56" a="1"/>
  <c r="CQ202" i="56" s="1"/>
  <c r="CR202" i="56"/>
  <c r="DH202" i="56" s="1"/>
  <c r="CP202" i="56" a="1"/>
  <c r="CP202" i="56" s="1"/>
  <c r="CO202" i="56" a="1"/>
  <c r="CO202" i="56" s="1"/>
  <c r="CJ330" i="56"/>
  <c r="CK330" i="56" s="1"/>
  <c r="FS236" i="56"/>
  <c r="FP236" i="56"/>
  <c r="GF52" i="56"/>
  <c r="GF180" i="56"/>
  <c r="GF308" i="56"/>
  <c r="S55" i="56"/>
  <c r="S183" i="56"/>
  <c r="CQ197" i="56" a="1"/>
  <c r="CQ197" i="56" s="1"/>
  <c r="CO197" i="56" a="1"/>
  <c r="CO197" i="56" s="1"/>
  <c r="CR197" i="56"/>
  <c r="DH197" i="56" s="1"/>
  <c r="CP197" i="56" a="1"/>
  <c r="CP197" i="56" s="1"/>
  <c r="FS28" i="56"/>
  <c r="FP28" i="56"/>
  <c r="EH28" i="56"/>
  <c r="DM28" i="56"/>
  <c r="CJ60" i="56"/>
  <c r="CK60" i="56" s="1"/>
  <c r="CW60" i="56" s="1"/>
  <c r="DA60" i="56" s="1"/>
  <c r="CR199" i="56"/>
  <c r="DH199" i="56" s="1"/>
  <c r="CQ199" i="56" a="1"/>
  <c r="CQ199" i="56" s="1"/>
  <c r="CP199" i="56" a="1"/>
  <c r="CP199" i="56" s="1"/>
  <c r="CO199" i="56" a="1"/>
  <c r="CO199" i="56" s="1"/>
  <c r="FS238" i="56"/>
  <c r="FP238" i="56"/>
  <c r="FH349" i="56"/>
  <c r="FG349" i="56" a="1"/>
  <c r="FG349" i="56" s="1"/>
  <c r="FY158" i="56"/>
  <c r="EX127" i="56"/>
  <c r="EZ127" i="56"/>
  <c r="EY127" i="56"/>
  <c r="FA127" i="56"/>
  <c r="ET127" i="56"/>
  <c r="ER127" i="56"/>
  <c r="EW127" i="56"/>
  <c r="EV127" i="56"/>
  <c r="ES127" i="56"/>
  <c r="EU127" i="56"/>
  <c r="FH13" i="56"/>
  <c r="FG13" i="56" a="1"/>
  <c r="FG13" i="56" s="1"/>
  <c r="FI13" i="56" s="1"/>
  <c r="FH118" i="56"/>
  <c r="FG118" i="56" a="1"/>
  <c r="FG118" i="56" s="1"/>
  <c r="GF215" i="56"/>
  <c r="EL198" i="56"/>
  <c r="EK198" i="56"/>
  <c r="CQ105" i="56" a="1"/>
  <c r="CQ105" i="56" s="1"/>
  <c r="CP105" i="56" a="1"/>
  <c r="CP105" i="56" s="1"/>
  <c r="CO105" i="56" a="1"/>
  <c r="CO105" i="56" s="1"/>
  <c r="CR105" i="56"/>
  <c r="DH105" i="56" s="1"/>
  <c r="IP176" i="56"/>
  <c r="FF176" i="56"/>
  <c r="FL176" i="56"/>
  <c r="FM176" i="56" s="1"/>
  <c r="FO176" i="56" s="1" a="1"/>
  <c r="FO176" i="56" s="1"/>
  <c r="FB176" i="56"/>
  <c r="DC176" i="56"/>
  <c r="DH176" i="56"/>
  <c r="S139" i="56"/>
  <c r="EW33" i="56"/>
  <c r="EV33" i="56"/>
  <c r="EZ33" i="56"/>
  <c r="EU33" i="56"/>
  <c r="EX33" i="56"/>
  <c r="ET33" i="56"/>
  <c r="ES33" i="56"/>
  <c r="EY33" i="56"/>
  <c r="FA97" i="56"/>
  <c r="EZ97" i="56"/>
  <c r="EX97" i="56"/>
  <c r="ET97" i="56"/>
  <c r="ER97" i="56"/>
  <c r="EV97" i="56" s="1"/>
  <c r="EW97" i="56"/>
  <c r="EY97" i="56"/>
  <c r="ES97" i="56"/>
  <c r="EU97" i="56"/>
  <c r="S76" i="56"/>
  <c r="S140" i="56"/>
  <c r="EI220" i="56"/>
  <c r="FP350" i="56"/>
  <c r="FS350" i="56"/>
  <c r="IG237" i="56"/>
  <c r="HZ237" i="56"/>
  <c r="GF75" i="56"/>
  <c r="FI328" i="56"/>
  <c r="S77" i="56"/>
  <c r="P320" i="56" a="1"/>
  <c r="P320" i="56" s="1"/>
  <c r="EK82" i="56"/>
  <c r="S29" i="56"/>
  <c r="S142" i="56"/>
  <c r="EI206" i="56"/>
  <c r="S318" i="56"/>
  <c r="P321" i="56" a="1"/>
  <c r="P321" i="56" s="1"/>
  <c r="IE330" i="56"/>
  <c r="HX330" i="56"/>
  <c r="BY210" i="56" a="1"/>
  <c r="BY210" i="56" s="1"/>
  <c r="FA210" i="56" s="1"/>
  <c r="FG27" i="56" a="1"/>
  <c r="FG27" i="56" s="1"/>
  <c r="FH27" i="56"/>
  <c r="CQ203" i="56" a="1"/>
  <c r="CQ203" i="56" s="1"/>
  <c r="CP203" i="56" a="1"/>
  <c r="CP203" i="56" s="1"/>
  <c r="CO203" i="56" a="1"/>
  <c r="CO203" i="56" s="1"/>
  <c r="CR203" i="56"/>
  <c r="DH203" i="56" s="1"/>
  <c r="DV251" i="56"/>
  <c r="CR267" i="56"/>
  <c r="DH267" i="56" s="1"/>
  <c r="CP267" i="56" a="1"/>
  <c r="CP267" i="56" s="1"/>
  <c r="CO267" i="56" a="1"/>
  <c r="CO267" i="56" s="1"/>
  <c r="CQ267" i="56" a="1"/>
  <c r="CQ267" i="56" s="1"/>
  <c r="CQ299" i="56" a="1"/>
  <c r="CQ299" i="56" s="1"/>
  <c r="CP299" i="56" a="1"/>
  <c r="CP299" i="56" s="1"/>
  <c r="CO299" i="56" a="1"/>
  <c r="CO299" i="56" s="1"/>
  <c r="CR299" i="56"/>
  <c r="DH299" i="56" s="1"/>
  <c r="IF22" i="56"/>
  <c r="HY22" i="56"/>
  <c r="AX10" i="55"/>
  <c r="AY10" i="55" s="1" a="1"/>
  <c r="AY10" i="55" s="1"/>
  <c r="EY3" i="56"/>
  <c r="EW3" i="56"/>
  <c r="EU3" i="56"/>
  <c r="FA3" i="56"/>
  <c r="ET3" i="56"/>
  <c r="EV3" i="56"/>
  <c r="EZ3" i="56"/>
  <c r="EX3" i="56"/>
  <c r="ES3" i="56"/>
  <c r="ER3" i="56"/>
  <c r="BZ21" i="55" a="1"/>
  <c r="BZ21" i="55" s="1"/>
  <c r="BO21" i="55" a="1"/>
  <c r="BO21" i="55" s="1"/>
  <c r="BW21" i="55" a="1"/>
  <c r="BW21" i="55" s="1"/>
  <c r="BK21" i="55" a="1"/>
  <c r="BK21" i="55" s="1"/>
  <c r="W21" i="55" a="1"/>
  <c r="W21" i="55" s="1"/>
  <c r="U21" i="55" a="1"/>
  <c r="U21" i="55" s="1"/>
  <c r="BL211" i="56"/>
  <c r="EY259" i="56"/>
  <c r="EW259" i="56"/>
  <c r="EU259" i="56"/>
  <c r="EX259" i="56"/>
  <c r="ES259" i="56"/>
  <c r="EZ259" i="56"/>
  <c r="EV259" i="56"/>
  <c r="ET259" i="56"/>
  <c r="DV114" i="56"/>
  <c r="CP147" i="56" a="1"/>
  <c r="CP147" i="56" s="1"/>
  <c r="CO147" i="56" a="1"/>
  <c r="CO147" i="56" s="1"/>
  <c r="CR147" i="56"/>
  <c r="DH147" i="56" s="1"/>
  <c r="CQ147" i="56" a="1"/>
  <c r="CQ147" i="56" s="1"/>
  <c r="CJ68" i="56"/>
  <c r="CK68" i="56" s="1"/>
  <c r="EW13" i="56"/>
  <c r="EZ13" i="56"/>
  <c r="EU13" i="56"/>
  <c r="FA13" i="56"/>
  <c r="ER13" i="56"/>
  <c r="ET13" i="56"/>
  <c r="EX13" i="56"/>
  <c r="ES13" i="56"/>
  <c r="EY13" i="56"/>
  <c r="EV13" i="56"/>
  <c r="EZ189" i="56"/>
  <c r="EY189" i="56"/>
  <c r="EX189" i="56"/>
  <c r="EV189" i="56"/>
  <c r="EU189" i="56"/>
  <c r="EW189" i="56"/>
  <c r="ET189" i="56"/>
  <c r="ES189" i="56"/>
  <c r="GF298" i="56"/>
  <c r="CJ242" i="56"/>
  <c r="CK242" i="56" s="1"/>
  <c r="FH338" i="56"/>
  <c r="FG338" i="56" a="1"/>
  <c r="FG338" i="56" s="1"/>
  <c r="FI338" i="56" s="1"/>
  <c r="FA70" i="56"/>
  <c r="ER70" i="56"/>
  <c r="EV70" i="56" s="1"/>
  <c r="EZ70" i="56"/>
  <c r="EU70" i="56"/>
  <c r="EY70" i="56"/>
  <c r="EX70" i="56"/>
  <c r="ES70" i="56"/>
  <c r="EW70" i="56"/>
  <c r="ET70" i="56"/>
  <c r="ER150" i="56"/>
  <c r="EY150" i="56"/>
  <c r="EX150" i="56"/>
  <c r="ET150" i="56"/>
  <c r="EW150" i="56"/>
  <c r="EV150" i="56"/>
  <c r="EU150" i="56"/>
  <c r="ES150" i="56"/>
  <c r="EZ150" i="56"/>
  <c r="FG291" i="56" a="1"/>
  <c r="FG291" i="56" s="1"/>
  <c r="FH291" i="56"/>
  <c r="BL52" i="56"/>
  <c r="BY52" i="56" a="1"/>
  <c r="BY52" i="56" s="1"/>
  <c r="P52" i="56" s="1" a="1"/>
  <c r="P52" i="56" s="1"/>
  <c r="CO180" i="56" a="1"/>
  <c r="CO180" i="56" s="1"/>
  <c r="CR180" i="56"/>
  <c r="DH180" i="56" s="1"/>
  <c r="CQ180" i="56" a="1"/>
  <c r="CQ180" i="56" s="1"/>
  <c r="CP180" i="56" a="1"/>
  <c r="CP180" i="56" s="1"/>
  <c r="FG260" i="56" a="1"/>
  <c r="FG260" i="56" s="1"/>
  <c r="FH260" i="56"/>
  <c r="EW269" i="56"/>
  <c r="EV269" i="56"/>
  <c r="EY269" i="56"/>
  <c r="ET269" i="56"/>
  <c r="ES269" i="56"/>
  <c r="FA269" i="56"/>
  <c r="EX269" i="56"/>
  <c r="EZ269" i="56"/>
  <c r="EU269" i="56"/>
  <c r="FG112" i="56" a="1"/>
  <c r="FG112" i="56" s="1"/>
  <c r="FH112" i="56"/>
  <c r="CJ128" i="56"/>
  <c r="CK128" i="56" s="1"/>
  <c r="CW128" i="56" s="1"/>
  <c r="DA128" i="56" s="1"/>
  <c r="CP144" i="56" a="1"/>
  <c r="CP144" i="56" s="1"/>
  <c r="CO144" i="56" a="1"/>
  <c r="CO144" i="56" s="1"/>
  <c r="CR144" i="56"/>
  <c r="DH144" i="56" s="1"/>
  <c r="CQ144" i="56" a="1"/>
  <c r="CQ144" i="56" s="1"/>
  <c r="FG176" i="56" a="1"/>
  <c r="FG176" i="56" s="1"/>
  <c r="FH176" i="56"/>
  <c r="CJ208" i="56"/>
  <c r="CK208" i="56" s="1"/>
  <c r="CJ240" i="56"/>
  <c r="CK240" i="56" s="1"/>
  <c r="CJ258" i="56"/>
  <c r="CK258" i="56" s="1"/>
  <c r="CJ83" i="56"/>
  <c r="CK83" i="56" s="1"/>
  <c r="P195" i="56" a="1"/>
  <c r="P195" i="56" s="1"/>
  <c r="BY275" i="56" a="1"/>
  <c r="BY275" i="56" s="1"/>
  <c r="P275" i="56" s="1" a="1"/>
  <c r="P275" i="56" s="1"/>
  <c r="BY33" i="56" a="1"/>
  <c r="BY33" i="56" s="1"/>
  <c r="DU33" i="56" s="1"/>
  <c r="CJ113" i="56"/>
  <c r="CK113" i="56" s="1"/>
  <c r="CP161" i="56" a="1"/>
  <c r="CP161" i="56" s="1"/>
  <c r="CQ161" i="56" a="1"/>
  <c r="CQ161" i="56" s="1"/>
  <c r="CO161" i="56" a="1"/>
  <c r="CO161" i="56" s="1"/>
  <c r="CR161" i="56"/>
  <c r="DH161" i="56" s="1"/>
  <c r="DV209" i="56"/>
  <c r="CQ241" i="56" a="1"/>
  <c r="CQ241" i="56" s="1"/>
  <c r="CP241" i="56" a="1"/>
  <c r="CP241" i="56" s="1"/>
  <c r="CO241" i="56" a="1"/>
  <c r="CO241" i="56" s="1"/>
  <c r="CR241" i="56"/>
  <c r="DH241" i="56" s="1"/>
  <c r="DV273" i="56"/>
  <c r="P66" i="56" a="1"/>
  <c r="P66" i="56" s="1"/>
  <c r="EF66" i="56" s="1"/>
  <c r="EG66" i="56" s="1"/>
  <c r="P178" i="56" a="1"/>
  <c r="P178" i="56" s="1"/>
  <c r="EF178" i="56" s="1"/>
  <c r="EG178" i="56" s="1"/>
  <c r="P306" i="56" a="1"/>
  <c r="P306" i="56" s="1"/>
  <c r="DV115" i="56"/>
  <c r="CR148" i="56"/>
  <c r="DH148" i="56" s="1"/>
  <c r="CQ148" i="56" a="1"/>
  <c r="CQ148" i="56" s="1"/>
  <c r="CP148" i="56" a="1"/>
  <c r="CP148" i="56" s="1"/>
  <c r="CO148" i="56" a="1"/>
  <c r="CO148" i="56" s="1"/>
  <c r="CJ292" i="56"/>
  <c r="CK292" i="56" s="1"/>
  <c r="FA29" i="56"/>
  <c r="EZ29" i="56"/>
  <c r="EX29" i="56"/>
  <c r="ER29" i="56"/>
  <c r="EY29" i="56"/>
  <c r="ET29" i="56"/>
  <c r="EW29" i="56"/>
  <c r="EV29" i="56"/>
  <c r="ES29" i="56"/>
  <c r="EU29" i="56"/>
  <c r="BL162" i="56"/>
  <c r="FA187" i="56"/>
  <c r="EY187" i="56"/>
  <c r="EW187" i="56"/>
  <c r="EX187" i="56"/>
  <c r="EV187" i="56"/>
  <c r="EU187" i="56"/>
  <c r="ES187" i="56"/>
  <c r="EZ187" i="56"/>
  <c r="ET187" i="56"/>
  <c r="FA251" i="56"/>
  <c r="EZ251" i="56"/>
  <c r="EW251" i="56"/>
  <c r="EV251" i="56"/>
  <c r="EY251" i="56"/>
  <c r="EX251" i="56"/>
  <c r="ET251" i="56"/>
  <c r="ES251" i="56"/>
  <c r="EU251" i="56"/>
  <c r="CJ105" i="56"/>
  <c r="CK105" i="56" s="1"/>
  <c r="CQ169" i="56" a="1"/>
  <c r="CQ169" i="56" s="1"/>
  <c r="CO169" i="56" a="1"/>
  <c r="CO169" i="56" s="1"/>
  <c r="CR169" i="56"/>
  <c r="DH169" i="56" s="1"/>
  <c r="CP169" i="56" a="1"/>
  <c r="CP169" i="56" s="1"/>
  <c r="FH233" i="56"/>
  <c r="FG233" i="56" a="1"/>
  <c r="FG233" i="56" s="1"/>
  <c r="FH297" i="56"/>
  <c r="FG297" i="56" a="1"/>
  <c r="FG297" i="56" s="1"/>
  <c r="FP26" i="56"/>
  <c r="FS26" i="56"/>
  <c r="GC102" i="56"/>
  <c r="EX12" i="56"/>
  <c r="FA12" i="56"/>
  <c r="EZ12" i="56"/>
  <c r="ER12" i="56"/>
  <c r="EU12" i="56"/>
  <c r="EY12" i="56"/>
  <c r="ET12" i="56"/>
  <c r="EV12" i="56"/>
  <c r="ES12" i="56"/>
  <c r="EW12" i="56"/>
  <c r="FY108" i="56"/>
  <c r="P108" i="56" a="1"/>
  <c r="P108" i="56" s="1"/>
  <c r="EF108" i="56" s="1"/>
  <c r="EG108" i="56" s="1"/>
  <c r="EX300" i="56"/>
  <c r="EZ300" i="56"/>
  <c r="EY300" i="56"/>
  <c r="ET300" i="56"/>
  <c r="EU300" i="56"/>
  <c r="ES300" i="56"/>
  <c r="EV300" i="56"/>
  <c r="EW300" i="56"/>
  <c r="GF197" i="56"/>
  <c r="EW318" i="56"/>
  <c r="ET318" i="56"/>
  <c r="EZ318" i="56"/>
  <c r="EY318" i="56"/>
  <c r="EX318" i="56"/>
  <c r="ES318" i="56"/>
  <c r="ER318" i="56"/>
  <c r="EV318" i="56" s="1"/>
  <c r="EU318" i="56"/>
  <c r="CQ12" i="56" a="1"/>
  <c r="CQ12" i="56" s="1"/>
  <c r="CO12" i="56" a="1"/>
  <c r="CO12" i="56" s="1"/>
  <c r="CR12" i="56"/>
  <c r="DH12" i="56" s="1"/>
  <c r="CP12" i="56" a="1"/>
  <c r="CP12" i="56" s="1"/>
  <c r="FH92" i="56"/>
  <c r="FG92" i="56" a="1"/>
  <c r="FG92" i="56" s="1"/>
  <c r="FI92" i="56" s="1"/>
  <c r="CJ204" i="56"/>
  <c r="CK204" i="56" s="1"/>
  <c r="CR268" i="56"/>
  <c r="DH268" i="56" s="1"/>
  <c r="CP268" i="56" a="1"/>
  <c r="CP268" i="56" s="1"/>
  <c r="CO268" i="56" a="1"/>
  <c r="CO268" i="56" s="1"/>
  <c r="CQ268" i="56" a="1"/>
  <c r="CQ268" i="56" s="1"/>
  <c r="GF262" i="56"/>
  <c r="AX12" i="55"/>
  <c r="AY12" i="55" s="1" a="1"/>
  <c r="AY12" i="55" s="1"/>
  <c r="EZ31" i="56"/>
  <c r="ER31" i="56"/>
  <c r="FA31" i="56"/>
  <c r="EU31" i="56"/>
  <c r="EX31" i="56"/>
  <c r="ET31" i="56"/>
  <c r="EY31" i="56"/>
  <c r="EW31" i="56"/>
  <c r="EV31" i="56"/>
  <c r="ES31" i="56"/>
  <c r="FA319" i="56"/>
  <c r="EZ319" i="56"/>
  <c r="EX319" i="56"/>
  <c r="EU319" i="56"/>
  <c r="ER319" i="56"/>
  <c r="EV319" i="56" s="1"/>
  <c r="ET319" i="56"/>
  <c r="EW319" i="56"/>
  <c r="EY319" i="56"/>
  <c r="ES319" i="56"/>
  <c r="CR93" i="56"/>
  <c r="DH93" i="56" s="1"/>
  <c r="CP93" i="56" a="1"/>
  <c r="CP93" i="56" s="1"/>
  <c r="CO93" i="56" a="1"/>
  <c r="CO93" i="56" s="1"/>
  <c r="CQ93" i="56" a="1"/>
  <c r="CQ93" i="56" s="1"/>
  <c r="CJ301" i="56"/>
  <c r="CK301" i="56" s="1"/>
  <c r="CJ317" i="56"/>
  <c r="CK317" i="56" s="1"/>
  <c r="IP191" i="56"/>
  <c r="FL191" i="56"/>
  <c r="FM191" i="56" s="1"/>
  <c r="FO191" i="56" s="1" a="1"/>
  <c r="FO191" i="56" s="1"/>
  <c r="FB191" i="56"/>
  <c r="FF191" i="56"/>
  <c r="CK191" i="56"/>
  <c r="CW191" i="56" s="1"/>
  <c r="DC191" i="56"/>
  <c r="DF191" i="56"/>
  <c r="DG191" i="56" s="1"/>
  <c r="DI191" i="56"/>
  <c r="IP335" i="56"/>
  <c r="FL335" i="56"/>
  <c r="FM335" i="56" s="1"/>
  <c r="FO335" i="56" s="1" a="1"/>
  <c r="FO335" i="56" s="1"/>
  <c r="FD335" i="56"/>
  <c r="M335" i="56" s="1"/>
  <c r="FE335" i="56" s="1"/>
  <c r="FB335" i="56"/>
  <c r="DC335" i="56"/>
  <c r="DF335" i="56"/>
  <c r="DG335" i="56" s="1"/>
  <c r="CK335" i="56"/>
  <c r="CW335" i="56" s="1"/>
  <c r="DA335" i="56" s="1"/>
  <c r="DH335" i="56"/>
  <c r="FH263" i="56"/>
  <c r="FG263" i="56" a="1"/>
  <c r="FG263" i="56" s="1"/>
  <c r="GF103" i="56"/>
  <c r="P89" i="56" a="1"/>
  <c r="P89" i="56" s="1"/>
  <c r="BL89" i="56"/>
  <c r="EV32" i="56"/>
  <c r="EW32" i="56"/>
  <c r="EY32" i="56"/>
  <c r="EX32" i="56"/>
  <c r="ET32" i="56"/>
  <c r="EZ32" i="56"/>
  <c r="ES32" i="56"/>
  <c r="EU32" i="56"/>
  <c r="EV304" i="56"/>
  <c r="EZ304" i="56"/>
  <c r="EU304" i="56"/>
  <c r="FA304" i="56"/>
  <c r="ET304" i="56"/>
  <c r="EX304" i="56"/>
  <c r="EY304" i="56"/>
  <c r="ES304" i="56"/>
  <c r="EW304" i="56"/>
  <c r="FP7" i="56"/>
  <c r="BY15" i="55" s="1" a="1"/>
  <c r="BY15" i="55" s="1"/>
  <c r="FS7" i="56"/>
  <c r="IP288" i="56"/>
  <c r="FF288" i="56"/>
  <c r="FL288" i="56"/>
  <c r="FM288" i="56" s="1"/>
  <c r="FO288" i="56" s="1" a="1"/>
  <c r="FO288" i="56" s="1"/>
  <c r="FB288" i="56"/>
  <c r="DH288" i="56"/>
  <c r="DC288" i="56"/>
  <c r="CK288" i="56"/>
  <c r="CW288" i="56" s="1"/>
  <c r="DA288" i="56" s="1"/>
  <c r="DE288" i="56" s="1"/>
  <c r="GY288" i="56" s="1"/>
  <c r="EI26" i="56"/>
  <c r="EI91" i="56"/>
  <c r="EI155" i="56"/>
  <c r="S155" i="56" s="1"/>
  <c r="EI219" i="56"/>
  <c r="EI283" i="56"/>
  <c r="EY257" i="56"/>
  <c r="EW257" i="56"/>
  <c r="EV257" i="56"/>
  <c r="FA257" i="56"/>
  <c r="EX257" i="56"/>
  <c r="EU257" i="56"/>
  <c r="ES257" i="56"/>
  <c r="EZ257" i="56"/>
  <c r="ET257" i="56"/>
  <c r="EI10" i="56"/>
  <c r="S10" i="56" s="1"/>
  <c r="EI92" i="56"/>
  <c r="S92" i="56" s="1"/>
  <c r="IF237" i="56"/>
  <c r="HY237" i="56"/>
  <c r="BY322" i="56" a="1"/>
  <c r="BY322" i="56" s="1"/>
  <c r="EI93" i="56"/>
  <c r="S93" i="56" s="1"/>
  <c r="S157" i="56"/>
  <c r="EI45" i="56"/>
  <c r="S94" i="56"/>
  <c r="IF330" i="56"/>
  <c r="HY330" i="56"/>
  <c r="FH324" i="56"/>
  <c r="FG324" i="56" a="1"/>
  <c r="FG324" i="56" s="1"/>
  <c r="FI324" i="56" s="1"/>
  <c r="S95" i="56"/>
  <c r="BY162" i="56" a="1"/>
  <c r="BY162" i="56" s="1"/>
  <c r="EU258" i="56"/>
  <c r="EY258" i="56"/>
  <c r="EW258" i="56"/>
  <c r="FA258" i="56"/>
  <c r="EX258" i="56"/>
  <c r="EZ258" i="56"/>
  <c r="EV258" i="56"/>
  <c r="ET258" i="56"/>
  <c r="ES258" i="56"/>
  <c r="BL322" i="56"/>
  <c r="CR11" i="56"/>
  <c r="DH11" i="56" s="1"/>
  <c r="CP11" i="56" a="1"/>
  <c r="CP11" i="56" s="1"/>
  <c r="CO11" i="56" a="1"/>
  <c r="CO11" i="56" s="1"/>
  <c r="CQ11" i="56" a="1"/>
  <c r="CQ11" i="56" s="1"/>
  <c r="BY59" i="56" a="1"/>
  <c r="BY59" i="56" s="1"/>
  <c r="DU59" i="56" s="1"/>
  <c r="BY75" i="56" a="1"/>
  <c r="BY75" i="56" s="1"/>
  <c r="P75" i="56" a="1"/>
  <c r="P75" i="56" s="1"/>
  <c r="P107" i="56" a="1"/>
  <c r="P107" i="56" s="1"/>
  <c r="EF107" i="56" s="1"/>
  <c r="EG107" i="56" s="1"/>
  <c r="FG139" i="56" a="1"/>
  <c r="FG139" i="56" s="1"/>
  <c r="FH139" i="56"/>
  <c r="CQ155" i="56" a="1"/>
  <c r="CQ155" i="56" s="1"/>
  <c r="CR155" i="56"/>
  <c r="DH155" i="56" s="1"/>
  <c r="CP155" i="56" a="1"/>
  <c r="CP155" i="56" s="1"/>
  <c r="CO155" i="56" a="1"/>
  <c r="CO155" i="56" s="1"/>
  <c r="P187" i="56" a="1"/>
  <c r="P187" i="56" s="1"/>
  <c r="IG22" i="56"/>
  <c r="HZ22" i="56"/>
  <c r="BO12" i="55" a="1"/>
  <c r="BO12" i="55" s="1"/>
  <c r="BW12" i="55" a="1"/>
  <c r="BW12" i="55" s="1"/>
  <c r="BZ12" i="55" a="1"/>
  <c r="BZ12" i="55" s="1"/>
  <c r="U12" i="55" a="1"/>
  <c r="U12" i="55" s="1"/>
  <c r="BY12" i="55" a="1"/>
  <c r="BY12" i="55" s="1"/>
  <c r="BK12" i="55" a="1"/>
  <c r="BK12" i="55" s="1"/>
  <c r="W12" i="55" a="1"/>
  <c r="W12" i="55" s="1"/>
  <c r="BK17" i="55" a="1"/>
  <c r="BK17" i="55" s="1"/>
  <c r="U17" i="55" a="1"/>
  <c r="U17" i="55" s="1"/>
  <c r="W17" i="55" a="1"/>
  <c r="W17" i="55" s="1"/>
  <c r="BZ17" i="55" a="1"/>
  <c r="BZ17" i="55" s="1"/>
  <c r="BO17" i="55" a="1"/>
  <c r="BO17" i="55" s="1"/>
  <c r="BW17" i="55" a="1"/>
  <c r="BW17" i="55" s="1"/>
  <c r="EW51" i="56"/>
  <c r="EV51" i="56"/>
  <c r="EY51" i="56"/>
  <c r="ES51" i="56"/>
  <c r="EX51" i="56"/>
  <c r="EZ211" i="56"/>
  <c r="EU211" i="56"/>
  <c r="EY211" i="56"/>
  <c r="ES211" i="56"/>
  <c r="ET211" i="56"/>
  <c r="EV211" i="56"/>
  <c r="EW211" i="56"/>
  <c r="EX211" i="56"/>
  <c r="CR34" i="56"/>
  <c r="DH34" i="56" s="1"/>
  <c r="CO34" i="56" a="1"/>
  <c r="CO34" i="56" s="1"/>
  <c r="CP34" i="56" a="1"/>
  <c r="CP34" i="56" s="1"/>
  <c r="CQ34" i="56" a="1"/>
  <c r="CQ34" i="56" s="1"/>
  <c r="DV147" i="56"/>
  <c r="CR116" i="56"/>
  <c r="DH116" i="56" s="1"/>
  <c r="CP116" i="56" a="1"/>
  <c r="CP116" i="56" s="1"/>
  <c r="CO116" i="56" a="1"/>
  <c r="CO116" i="56" s="1"/>
  <c r="CQ116" i="56" a="1"/>
  <c r="CQ116" i="56" s="1"/>
  <c r="FH196" i="56"/>
  <c r="FG196" i="56" a="1"/>
  <c r="FG196" i="56" s="1"/>
  <c r="BL228" i="56"/>
  <c r="P228" i="56" a="1"/>
  <c r="P228" i="56" s="1"/>
  <c r="DV276" i="56"/>
  <c r="CJ340" i="56"/>
  <c r="CK340" i="56" s="1"/>
  <c r="GF186" i="56"/>
  <c r="P192" i="56" a="1"/>
  <c r="P192" i="56" s="1"/>
  <c r="CP18" i="56" a="1"/>
  <c r="CP18" i="56" s="1"/>
  <c r="CR18" i="56"/>
  <c r="DH18" i="56" s="1"/>
  <c r="CQ18" i="56" a="1"/>
  <c r="CQ18" i="56" s="1"/>
  <c r="CO18" i="56" a="1"/>
  <c r="CO18" i="56" s="1"/>
  <c r="CR338" i="56"/>
  <c r="DH338" i="56" s="1"/>
  <c r="CP338" i="56" a="1"/>
  <c r="CP338" i="56" s="1"/>
  <c r="CQ338" i="56" a="1"/>
  <c r="CQ338" i="56" s="1"/>
  <c r="CO338" i="56" a="1"/>
  <c r="CO338" i="56" s="1"/>
  <c r="GF299" i="56"/>
  <c r="CW234" i="56"/>
  <c r="CJ146" i="56"/>
  <c r="CK146" i="56" s="1"/>
  <c r="P291" i="56" a="1"/>
  <c r="P291" i="56" s="1"/>
  <c r="EF291" i="56" s="1"/>
  <c r="EG291" i="56" s="1"/>
  <c r="DV100" i="56"/>
  <c r="CR132" i="56"/>
  <c r="DH132" i="56" s="1"/>
  <c r="CO132" i="56" a="1"/>
  <c r="CO132" i="56" s="1"/>
  <c r="CP132" i="56" a="1"/>
  <c r="CP132" i="56" s="1"/>
  <c r="CQ132" i="56" a="1"/>
  <c r="CQ132" i="56" s="1"/>
  <c r="DV180" i="56"/>
  <c r="GF332" i="56"/>
  <c r="CW155" i="56"/>
  <c r="DA155" i="56" s="1"/>
  <c r="CQ48" i="56" a="1"/>
  <c r="CQ48" i="56" s="1"/>
  <c r="CP48" i="56" a="1"/>
  <c r="CP48" i="56" s="1"/>
  <c r="CO48" i="56" a="1"/>
  <c r="CO48" i="56" s="1"/>
  <c r="CR48" i="56"/>
  <c r="DH48" i="56" s="1"/>
  <c r="CP64" i="56" a="1"/>
  <c r="CP64" i="56" s="1"/>
  <c r="CO64" i="56" a="1"/>
  <c r="CO64" i="56" s="1"/>
  <c r="CQ64" i="56" a="1"/>
  <c r="CQ64" i="56" s="1"/>
  <c r="CR64" i="56"/>
  <c r="DH64" i="56" s="1"/>
  <c r="P80" i="56" a="1"/>
  <c r="P80" i="56" s="1"/>
  <c r="FG96" i="56" a="1"/>
  <c r="FG96" i="56" s="1"/>
  <c r="FH96" i="56"/>
  <c r="FH144" i="56"/>
  <c r="FG144" i="56" a="1"/>
  <c r="FG144" i="56" s="1"/>
  <c r="FI144" i="56" s="1"/>
  <c r="CR160" i="56"/>
  <c r="DH160" i="56" s="1"/>
  <c r="CO160" i="56" a="1"/>
  <c r="CO160" i="56" s="1"/>
  <c r="CQ160" i="56" a="1"/>
  <c r="CQ160" i="56" s="1"/>
  <c r="CP160" i="56" a="1"/>
  <c r="CP160" i="56" s="1"/>
  <c r="CR176" i="56"/>
  <c r="CQ176" i="56" a="1"/>
  <c r="CQ176" i="56" s="1"/>
  <c r="CP176" i="56" a="1"/>
  <c r="CP176" i="56" s="1"/>
  <c r="CO176" i="56" a="1"/>
  <c r="CO176" i="56" s="1"/>
  <c r="FG192" i="56" a="1"/>
  <c r="FG192" i="56" s="1"/>
  <c r="FH192" i="56"/>
  <c r="FG240" i="56" a="1"/>
  <c r="FG240" i="56" s="1"/>
  <c r="FH240" i="56"/>
  <c r="CJ256" i="56"/>
  <c r="CK256" i="56" s="1"/>
  <c r="CQ272" i="56" a="1"/>
  <c r="CQ272" i="56" s="1"/>
  <c r="CR272" i="56"/>
  <c r="DH272" i="56" s="1"/>
  <c r="CP272" i="56" a="1"/>
  <c r="CP272" i="56" s="1"/>
  <c r="CO272" i="56" a="1"/>
  <c r="CO272" i="56" s="1"/>
  <c r="CJ320" i="56"/>
  <c r="CK320" i="56" s="1"/>
  <c r="CR336" i="56"/>
  <c r="DH336" i="56" s="1"/>
  <c r="CP336" i="56" a="1"/>
  <c r="CP336" i="56" s="1"/>
  <c r="CO336" i="56" a="1"/>
  <c r="CO336" i="56" s="1"/>
  <c r="CQ336" i="56" a="1"/>
  <c r="CQ336" i="56" s="1"/>
  <c r="CJ98" i="56"/>
  <c r="CK98" i="56" s="1"/>
  <c r="CW98" i="56" s="1"/>
  <c r="DA98" i="56" s="1"/>
  <c r="CQ83" i="56" a="1"/>
  <c r="CQ83" i="56" s="1"/>
  <c r="CP83" i="56" a="1"/>
  <c r="CP83" i="56" s="1"/>
  <c r="CO83" i="56" a="1"/>
  <c r="CO83" i="56" s="1"/>
  <c r="CR83" i="56"/>
  <c r="DH83" i="56" s="1"/>
  <c r="IP21" i="56"/>
  <c r="IQ21" i="56"/>
  <c r="FB21" i="56"/>
  <c r="FD21" i="56"/>
  <c r="M21" i="56" s="1"/>
  <c r="FE21" i="56" s="1"/>
  <c r="FF21" i="56" s="1"/>
  <c r="FL21" i="56"/>
  <c r="FM21" i="56" s="1"/>
  <c r="FO21" i="56" s="1" a="1"/>
  <c r="FO21" i="56" s="1"/>
  <c r="DC21" i="56"/>
  <c r="DF21" i="56"/>
  <c r="DG21" i="56" s="1"/>
  <c r="DI21" i="56"/>
  <c r="CK21" i="56"/>
  <c r="CW21" i="56" s="1"/>
  <c r="DA21" i="56" s="1"/>
  <c r="DH21" i="56"/>
  <c r="IR69" i="56"/>
  <c r="IP69" i="56"/>
  <c r="FL69" i="56"/>
  <c r="FM69" i="56" s="1"/>
  <c r="FO69" i="56" s="1" a="1"/>
  <c r="FO69" i="56" s="1"/>
  <c r="FB69" i="56"/>
  <c r="DH69" i="56"/>
  <c r="DC69" i="56"/>
  <c r="CK69" i="56"/>
  <c r="CW69" i="56" s="1"/>
  <c r="DA69" i="56" s="1"/>
  <c r="DE69" i="56" s="1"/>
  <c r="GY69" i="56" s="1"/>
  <c r="IP229" i="56"/>
  <c r="GG229" i="56"/>
  <c r="FL229" i="56"/>
  <c r="FM229" i="56" s="1"/>
  <c r="FO229" i="56" s="1" a="1"/>
  <c r="FO229" i="56" s="1"/>
  <c r="FB229" i="56"/>
  <c r="DC229" i="56"/>
  <c r="DH229" i="56"/>
  <c r="CK229" i="56"/>
  <c r="CW229" i="56" s="1"/>
  <c r="IP277" i="56"/>
  <c r="FB277" i="56"/>
  <c r="FL277" i="56"/>
  <c r="FM277" i="56" s="1"/>
  <c r="FO277" i="56" s="1" a="1"/>
  <c r="FO277" i="56" s="1"/>
  <c r="DH277" i="56"/>
  <c r="CK277" i="56"/>
  <c r="CW277" i="56" s="1"/>
  <c r="DC277" i="56"/>
  <c r="CW11" i="56"/>
  <c r="BL148" i="56"/>
  <c r="BY148" i="56" a="1"/>
  <c r="BY148" i="56" s="1"/>
  <c r="P148" i="56" s="1" a="1"/>
  <c r="P148" i="56" s="1"/>
  <c r="P49" i="56" a="1"/>
  <c r="P49" i="56" s="1"/>
  <c r="P97" i="56" a="1"/>
  <c r="P97" i="56" s="1"/>
  <c r="CR145" i="56"/>
  <c r="DH145" i="56" s="1"/>
  <c r="CQ145" i="56" a="1"/>
  <c r="CQ145" i="56" s="1"/>
  <c r="CO145" i="56" a="1"/>
  <c r="CO145" i="56" s="1"/>
  <c r="CP145" i="56" a="1"/>
  <c r="CP145" i="56" s="1"/>
  <c r="DV289" i="56"/>
  <c r="CP84" i="56" a="1"/>
  <c r="CP84" i="56" s="1"/>
  <c r="CR84" i="56"/>
  <c r="DH84" i="56" s="1"/>
  <c r="CO84" i="56" a="1"/>
  <c r="CO84" i="56" s="1"/>
  <c r="CQ84" i="56" a="1"/>
  <c r="CQ84" i="56" s="1"/>
  <c r="FI214" i="56"/>
  <c r="BY226" i="56" a="1"/>
  <c r="BY226" i="56" s="1"/>
  <c r="FH66" i="56"/>
  <c r="FG66" i="56" a="1"/>
  <c r="FG66" i="56" s="1"/>
  <c r="DV84" i="56"/>
  <c r="DV148" i="56"/>
  <c r="FG292" i="56" a="1"/>
  <c r="FG292" i="56" s="1"/>
  <c r="FH292" i="56"/>
  <c r="EW173" i="56"/>
  <c r="EU173" i="56"/>
  <c r="EV173" i="56"/>
  <c r="EZ173" i="56"/>
  <c r="ET173" i="56"/>
  <c r="ES173" i="56"/>
  <c r="EY173" i="56"/>
  <c r="EX173" i="56"/>
  <c r="GN130" i="56"/>
  <c r="IK130" i="56" s="1"/>
  <c r="GO130" i="56"/>
  <c r="BL338" i="56"/>
  <c r="FI175" i="56"/>
  <c r="FS68" i="56"/>
  <c r="FP68" i="56"/>
  <c r="FI137" i="56"/>
  <c r="EI221" i="56"/>
  <c r="S221" i="56" s="1"/>
  <c r="EI285" i="56"/>
  <c r="S158" i="56"/>
  <c r="S334" i="56"/>
  <c r="CJ324" i="56"/>
  <c r="CK324" i="56" s="1"/>
  <c r="IF21" i="56"/>
  <c r="HY21" i="56"/>
  <c r="EI175" i="56"/>
  <c r="S175" i="56" s="1"/>
  <c r="EU18" i="56"/>
  <c r="EX18" i="56"/>
  <c r="EW18" i="56"/>
  <c r="EV18" i="56"/>
  <c r="EZ18" i="56"/>
  <c r="FA18" i="56"/>
  <c r="EY18" i="56"/>
  <c r="ES18" i="56"/>
  <c r="ER18" i="56"/>
  <c r="ET18" i="56"/>
  <c r="EU66" i="56"/>
  <c r="FA66" i="56"/>
  <c r="EZ66" i="56"/>
  <c r="EY66" i="56"/>
  <c r="ER66" i="56"/>
  <c r="ET66" i="56"/>
  <c r="EX66" i="56"/>
  <c r="ES66" i="56"/>
  <c r="EW66" i="56"/>
  <c r="EV66" i="56"/>
  <c r="EU114" i="56"/>
  <c r="EZ114" i="56"/>
  <c r="EX114" i="56"/>
  <c r="EY114" i="56"/>
  <c r="ER114" i="56"/>
  <c r="EV114" i="56" s="1"/>
  <c r="EW114" i="56"/>
  <c r="ES114" i="56"/>
  <c r="ET114" i="56"/>
  <c r="BL226" i="56"/>
  <c r="EU322" i="56"/>
  <c r="EZ322" i="56"/>
  <c r="ER322" i="56"/>
  <c r="EX322" i="56"/>
  <c r="ET322" i="56"/>
  <c r="EY322" i="56"/>
  <c r="EW322" i="56"/>
  <c r="EV322" i="56"/>
  <c r="ES322" i="56"/>
  <c r="FG43" i="56" a="1"/>
  <c r="FG43" i="56" s="1"/>
  <c r="FH43" i="56"/>
  <c r="FG123" i="56" a="1"/>
  <c r="FG123" i="56" s="1"/>
  <c r="FH123" i="56"/>
  <c r="CJ219" i="56"/>
  <c r="CK219" i="56" s="1"/>
  <c r="DV299" i="56"/>
  <c r="FG36" i="56" a="1"/>
  <c r="FG36" i="56" s="1"/>
  <c r="FH36" i="56"/>
  <c r="BL276" i="56"/>
  <c r="P276" i="56" a="1"/>
  <c r="P276" i="56" s="1"/>
  <c r="BZ14" i="55" a="1"/>
  <c r="BZ14" i="55" s="1"/>
  <c r="BK14" i="55" a="1"/>
  <c r="BK14" i="55" s="1"/>
  <c r="BO14" i="55" a="1"/>
  <c r="BO14" i="55" s="1"/>
  <c r="U14" i="55" a="1"/>
  <c r="U14" i="55" s="1"/>
  <c r="BW14" i="55" a="1"/>
  <c r="BW14" i="55" s="1"/>
  <c r="W14" i="55" a="1"/>
  <c r="W14" i="55" s="1"/>
  <c r="ET115" i="56"/>
  <c r="EW115" i="56"/>
  <c r="EZ115" i="56"/>
  <c r="EU115" i="56"/>
  <c r="EY115" i="56"/>
  <c r="ES115" i="56"/>
  <c r="EX115" i="56"/>
  <c r="ER115" i="56"/>
  <c r="EV115" i="56" s="1"/>
  <c r="IF332" i="56"/>
  <c r="HY332" i="56"/>
  <c r="DV82" i="56"/>
  <c r="CJ210" i="56"/>
  <c r="CK210" i="56" s="1"/>
  <c r="EK179" i="56"/>
  <c r="EL179" i="56"/>
  <c r="CR130" i="56"/>
  <c r="DH130" i="56" s="1"/>
  <c r="CQ130" i="56" a="1"/>
  <c r="CQ130" i="56" s="1"/>
  <c r="CP130" i="56" a="1"/>
  <c r="CP130" i="56" s="1"/>
  <c r="CO130" i="56" a="1"/>
  <c r="CO130" i="56" s="1"/>
  <c r="CR179" i="56"/>
  <c r="CQ179" i="56" a="1"/>
  <c r="CQ179" i="56" s="1"/>
  <c r="CP179" i="56" a="1"/>
  <c r="CP179" i="56" s="1"/>
  <c r="CO179" i="56" a="1"/>
  <c r="CO179" i="56" s="1"/>
  <c r="GF315" i="56"/>
  <c r="GF170" i="56"/>
  <c r="EF250" i="56"/>
  <c r="EG250" i="56" s="1"/>
  <c r="ES38" i="56"/>
  <c r="EV38" i="56"/>
  <c r="EZ38" i="56"/>
  <c r="ET38" i="56"/>
  <c r="EX38" i="56"/>
  <c r="EY38" i="56"/>
  <c r="EU38" i="56"/>
  <c r="EW38" i="56"/>
  <c r="FA118" i="56"/>
  <c r="ER118" i="56"/>
  <c r="EV118" i="56" s="1"/>
  <c r="EZ118" i="56"/>
  <c r="ET118" i="56"/>
  <c r="EW118" i="56"/>
  <c r="ES118" i="56"/>
  <c r="EU118" i="56"/>
  <c r="EX118" i="56"/>
  <c r="EY118" i="56"/>
  <c r="FI278" i="56"/>
  <c r="CR131" i="56"/>
  <c r="CQ131" i="56" a="1"/>
  <c r="CQ131" i="56" s="1"/>
  <c r="CP131" i="56" a="1"/>
  <c r="CP131" i="56" s="1"/>
  <c r="CO131" i="56" a="1"/>
  <c r="CO131" i="56" s="1"/>
  <c r="CO227" i="56" a="1"/>
  <c r="CO227" i="56" s="1"/>
  <c r="CQ227" i="56" a="1"/>
  <c r="CQ227" i="56" s="1"/>
  <c r="CR227" i="56"/>
  <c r="DH227" i="56" s="1"/>
  <c r="CP227" i="56" a="1"/>
  <c r="CP227" i="56" s="1"/>
  <c r="BL100" i="56"/>
  <c r="P100" i="56" a="1"/>
  <c r="P100" i="56" s="1"/>
  <c r="FI231" i="56"/>
  <c r="GF348" i="56"/>
  <c r="CJ48" i="56"/>
  <c r="CK48" i="56" s="1"/>
  <c r="CW48" i="56" s="1"/>
  <c r="CQ112" i="56" a="1"/>
  <c r="CQ112" i="56" s="1"/>
  <c r="CR112" i="56"/>
  <c r="DH112" i="56" s="1"/>
  <c r="CP112" i="56" a="1"/>
  <c r="CP112" i="56" s="1"/>
  <c r="CO112" i="56" a="1"/>
  <c r="CO112" i="56" s="1"/>
  <c r="CJ176" i="56"/>
  <c r="CK176" i="56" s="1"/>
  <c r="CQ192" i="56" a="1"/>
  <c r="CQ192" i="56" s="1"/>
  <c r="CP192" i="56" a="1"/>
  <c r="CP192" i="56" s="1"/>
  <c r="CO192" i="56" a="1"/>
  <c r="CO192" i="56" s="1"/>
  <c r="CR192" i="56"/>
  <c r="DH192" i="56" s="1"/>
  <c r="FH256" i="56"/>
  <c r="FG256" i="56" a="1"/>
  <c r="FG256" i="56" s="1"/>
  <c r="CJ272" i="56"/>
  <c r="DV50" i="56"/>
  <c r="DV194" i="56"/>
  <c r="DV258" i="56"/>
  <c r="CP35" i="56" a="1"/>
  <c r="CP35" i="56" s="1"/>
  <c r="CQ35" i="56" a="1"/>
  <c r="CQ35" i="56" s="1"/>
  <c r="CR35" i="56"/>
  <c r="DH35" i="56" s="1"/>
  <c r="CO35" i="56" a="1"/>
  <c r="CO35" i="56" s="1"/>
  <c r="FH83" i="56"/>
  <c r="FG83" i="56" a="1"/>
  <c r="FG83" i="56" s="1"/>
  <c r="FI83" i="56" s="1"/>
  <c r="CJ195" i="56"/>
  <c r="CK195" i="56" s="1"/>
  <c r="IP149" i="56"/>
  <c r="FL149" i="56"/>
  <c r="FM149" i="56" s="1"/>
  <c r="FO149" i="56" s="1" a="1"/>
  <c r="FO149" i="56" s="1"/>
  <c r="FB149" i="56"/>
  <c r="DC149" i="56"/>
  <c r="DH149" i="56"/>
  <c r="BD63" i="56" a="1"/>
  <c r="BD63" i="56" s="1"/>
  <c r="CR97" i="56"/>
  <c r="DH97" i="56" s="1"/>
  <c r="CQ97" i="56" a="1"/>
  <c r="CQ97" i="56" s="1"/>
  <c r="CP97" i="56" a="1"/>
  <c r="CP97" i="56" s="1"/>
  <c r="CO97" i="56" a="1"/>
  <c r="CO97" i="56" s="1"/>
  <c r="DV177" i="56"/>
  <c r="DV193" i="56"/>
  <c r="CJ178" i="56"/>
  <c r="CK178" i="56" s="1"/>
  <c r="CJ306" i="56"/>
  <c r="CK306" i="56" s="1"/>
  <c r="HX252" i="56"/>
  <c r="IE252" i="56"/>
  <c r="IG146" i="56"/>
  <c r="HZ146" i="56"/>
  <c r="W5" i="42"/>
  <c r="X5" i="42" s="1"/>
  <c r="X4" i="42"/>
  <c r="BH37" i="10"/>
  <c r="BH14" i="10"/>
  <c r="BH28" i="10"/>
  <c r="BH9" i="10"/>
  <c r="BH30" i="10"/>
  <c r="BI21" i="10"/>
  <c r="BI14" i="10"/>
  <c r="BH6" i="10"/>
  <c r="BI35" i="10"/>
  <c r="BH35" i="10"/>
  <c r="BH26" i="10"/>
  <c r="BI17" i="10"/>
  <c r="BI13" i="10"/>
  <c r="BH36" i="10"/>
  <c r="BI24" i="10"/>
  <c r="BH15" i="10"/>
  <c r="BI27" i="10"/>
  <c r="BI15" i="10"/>
  <c r="BH18" i="10"/>
  <c r="BH7" i="10"/>
  <c r="BI29" i="10"/>
  <c r="BH29" i="10"/>
  <c r="BH12" i="10"/>
  <c r="BI34" i="10"/>
  <c r="AB4" i="42"/>
  <c r="AA23" i="42"/>
  <c r="AB5" i="42" s="1"/>
  <c r="Z4" i="42"/>
  <c r="Y13" i="42"/>
  <c r="AC17" i="42"/>
  <c r="AD6" i="42" s="1"/>
  <c r="FI94" i="56" l="1"/>
  <c r="GH184" i="56"/>
  <c r="GI184" i="56" s="1"/>
  <c r="GJ184" i="56" s="1"/>
  <c r="FI8" i="56"/>
  <c r="EF186" i="56"/>
  <c r="EG186" i="56" s="1"/>
  <c r="FI146" i="56"/>
  <c r="FI91" i="56"/>
  <c r="FI210" i="56"/>
  <c r="FI297" i="56"/>
  <c r="FI194" i="56"/>
  <c r="FI128" i="56"/>
  <c r="FI70" i="56"/>
  <c r="AJ26" i="55"/>
  <c r="GD202" i="56"/>
  <c r="FI341" i="56"/>
  <c r="GD5" i="56"/>
  <c r="GE5" i="56" s="1"/>
  <c r="FI184" i="56"/>
  <c r="GD3" i="56"/>
  <c r="FI117" i="56"/>
  <c r="FA114" i="56"/>
  <c r="P125" i="56" a="1"/>
  <c r="P125" i="56" s="1"/>
  <c r="FZ125" i="56" s="1"/>
  <c r="S271" i="56"/>
  <c r="FA222" i="56"/>
  <c r="FI287" i="56"/>
  <c r="P119" i="56" a="1"/>
  <c r="P119" i="56" s="1"/>
  <c r="FZ119" i="56" s="1"/>
  <c r="HB168" i="56"/>
  <c r="EF90" i="56"/>
  <c r="EG90" i="56" s="1"/>
  <c r="FI286" i="56"/>
  <c r="FI60" i="56"/>
  <c r="FA134" i="56"/>
  <c r="FI69" i="56"/>
  <c r="DB168" i="56" a="1"/>
  <c r="DB168" i="56" s="1"/>
  <c r="DD168" i="56" s="1"/>
  <c r="GG130" i="56"/>
  <c r="GD149" i="56"/>
  <c r="GE149" i="56" s="1"/>
  <c r="FI333" i="56"/>
  <c r="FI233" i="56"/>
  <c r="P193" i="56" a="1"/>
  <c r="P193" i="56" s="1"/>
  <c r="GD79" i="56"/>
  <c r="FI317" i="56"/>
  <c r="FA156" i="56"/>
  <c r="EJ60" i="56"/>
  <c r="GQ60" i="56" s="1"/>
  <c r="P182" i="56" a="1"/>
  <c r="P182" i="56" s="1"/>
  <c r="EF182" i="56" s="1"/>
  <c r="EG182" i="56" s="1"/>
  <c r="EJ182" i="56" s="1"/>
  <c r="P173" i="56" a="1"/>
  <c r="P173" i="56" s="1"/>
  <c r="EF173" i="56" s="1"/>
  <c r="EG173" i="56" s="1"/>
  <c r="EJ173" i="56" s="1"/>
  <c r="FI207" i="56"/>
  <c r="GD344" i="56"/>
  <c r="GE344" i="56" s="1"/>
  <c r="GD343" i="56"/>
  <c r="GE343" i="56" s="1"/>
  <c r="EF150" i="56"/>
  <c r="EG150" i="56" s="1"/>
  <c r="FI49" i="56"/>
  <c r="FI59" i="56"/>
  <c r="P253" i="56" a="1"/>
  <c r="P253" i="56" s="1"/>
  <c r="EF253" i="56" s="1"/>
  <c r="EG253" i="56" s="1"/>
  <c r="GG313" i="56"/>
  <c r="P71" i="56" a="1"/>
  <c r="P71" i="56" s="1"/>
  <c r="EF71" i="56" s="1"/>
  <c r="EG71" i="56" s="1"/>
  <c r="EJ71" i="56" s="1"/>
  <c r="FA124" i="56"/>
  <c r="EJ229" i="56"/>
  <c r="FX229" i="56" s="1"/>
  <c r="P248" i="56" a="1"/>
  <c r="P248" i="56" s="1"/>
  <c r="EF248" i="56" s="1"/>
  <c r="EG248" i="56" s="1"/>
  <c r="EJ248" i="56" s="1"/>
  <c r="DI279" i="56"/>
  <c r="P27" i="56" a="1"/>
  <c r="P27" i="56" s="1"/>
  <c r="FZ27" i="56" s="1"/>
  <c r="FI205" i="56"/>
  <c r="EF70" i="56"/>
  <c r="EG70" i="56" s="1"/>
  <c r="EJ70" i="56" s="1"/>
  <c r="GQ70" i="56" s="1"/>
  <c r="FI273" i="56"/>
  <c r="P44" i="56" a="1"/>
  <c r="P44" i="56" s="1"/>
  <c r="EF44" i="56" s="1"/>
  <c r="EG44" i="56" s="1"/>
  <c r="EJ44" i="56" s="1"/>
  <c r="FA253" i="56"/>
  <c r="FI65" i="56"/>
  <c r="FI229" i="56"/>
  <c r="P120" i="56" a="1"/>
  <c r="P120" i="56" s="1"/>
  <c r="FI235" i="56"/>
  <c r="FI218" i="56"/>
  <c r="FA150" i="56"/>
  <c r="DI131" i="56"/>
  <c r="FA236" i="56"/>
  <c r="BI8" i="10"/>
  <c r="FI27" i="56"/>
  <c r="FI283" i="56"/>
  <c r="P99" i="56" a="1"/>
  <c r="P99" i="56" s="1"/>
  <c r="CU99" i="56" s="1"/>
  <c r="CY99" i="56" s="1"/>
  <c r="EJ319" i="56"/>
  <c r="GQ319" i="56" s="1"/>
  <c r="FA193" i="56"/>
  <c r="GD271" i="56"/>
  <c r="GE271" i="56" s="1"/>
  <c r="AL23" i="55"/>
  <c r="EJ253" i="56"/>
  <c r="EJ203" i="56"/>
  <c r="FI204" i="56"/>
  <c r="EF56" i="56"/>
  <c r="EG56" i="56" s="1"/>
  <c r="P103" i="56" a="1"/>
  <c r="P103" i="56" s="1"/>
  <c r="BC18" i="55"/>
  <c r="P55" i="56" a="1"/>
  <c r="P55" i="56" s="1"/>
  <c r="FI224" i="56"/>
  <c r="FI4" i="56"/>
  <c r="BI11" i="10"/>
  <c r="BH33" i="10"/>
  <c r="BH16" i="10"/>
  <c r="P35" i="56" a="1"/>
  <c r="P35" i="56" s="1"/>
  <c r="EF35" i="56" s="1"/>
  <c r="EG35" i="56" s="1"/>
  <c r="FA211" i="56"/>
  <c r="FA214" i="56"/>
  <c r="EJ191" i="56"/>
  <c r="FA326" i="56"/>
  <c r="P331" i="56" a="1"/>
  <c r="P331" i="56" s="1"/>
  <c r="S44" i="56"/>
  <c r="GD326" i="56"/>
  <c r="GE326" i="56" s="1"/>
  <c r="FI133" i="56"/>
  <c r="EJ249" i="56"/>
  <c r="GQ249" i="56" s="1"/>
  <c r="FI201" i="56"/>
  <c r="DB316" i="56" a="1"/>
  <c r="DB316" i="56" s="1"/>
  <c r="DD316" i="56" s="1"/>
  <c r="DY316" i="56" s="1" a="1"/>
  <c r="DY316" i="56" s="1"/>
  <c r="EA316" i="56" s="1"/>
  <c r="FA173" i="56"/>
  <c r="DI288" i="56"/>
  <c r="FA310" i="56"/>
  <c r="EF298" i="56"/>
  <c r="EG298" i="56" s="1"/>
  <c r="FA147" i="56"/>
  <c r="FA262" i="56"/>
  <c r="FI203" i="56"/>
  <c r="P156" i="56" a="1"/>
  <c r="P156" i="56" s="1"/>
  <c r="EF156" i="56" s="1"/>
  <c r="EG156" i="56" s="1"/>
  <c r="P298" i="56" a="1"/>
  <c r="P298" i="56" s="1"/>
  <c r="FA44" i="56"/>
  <c r="FA298" i="56"/>
  <c r="GD131" i="56"/>
  <c r="GE131" i="56" s="1"/>
  <c r="BI10" i="10"/>
  <c r="BI23" i="10"/>
  <c r="BI36" i="10"/>
  <c r="FI145" i="56"/>
  <c r="FA99" i="56"/>
  <c r="P349" i="56" a="1"/>
  <c r="P349" i="56" s="1"/>
  <c r="FZ349" i="56" s="1"/>
  <c r="FA188" i="56"/>
  <c r="S173" i="56"/>
  <c r="FI169" i="56"/>
  <c r="FI116" i="56"/>
  <c r="FA294" i="56"/>
  <c r="P236" i="56" a="1"/>
  <c r="P236" i="56" s="1"/>
  <c r="HB316" i="56"/>
  <c r="HC316" i="56" s="1"/>
  <c r="GG149" i="56"/>
  <c r="IQ228" i="56"/>
  <c r="CW228" i="56"/>
  <c r="GG228" i="56"/>
  <c r="IQ347" i="56"/>
  <c r="CW347" i="56"/>
  <c r="DA347" i="56" s="1"/>
  <c r="DB347" i="56" s="1" a="1"/>
  <c r="DB347" i="56" s="1"/>
  <c r="DD347" i="56" s="1"/>
  <c r="IQ150" i="56"/>
  <c r="IR150" i="56"/>
  <c r="CW150" i="56"/>
  <c r="DF150" i="56"/>
  <c r="DG150" i="56" s="1"/>
  <c r="CW241" i="56"/>
  <c r="DF241" i="56"/>
  <c r="DG241" i="56" s="1"/>
  <c r="IQ241" i="56"/>
  <c r="IR241" i="56"/>
  <c r="IR138" i="56"/>
  <c r="IQ138" i="56"/>
  <c r="CW138" i="56"/>
  <c r="DF138" i="56"/>
  <c r="DG138" i="56" s="1"/>
  <c r="IQ346" i="56"/>
  <c r="IR346" i="56"/>
  <c r="CW346" i="56"/>
  <c r="DA346" i="56" s="1"/>
  <c r="DB346" i="56" s="1" a="1"/>
  <c r="DB346" i="56" s="1"/>
  <c r="DD346" i="56" s="1"/>
  <c r="DF346" i="56"/>
  <c r="DG346" i="56" s="1"/>
  <c r="GE329" i="56"/>
  <c r="GG329" i="56"/>
  <c r="HV329" i="56" s="1"/>
  <c r="CW149" i="56"/>
  <c r="DF149" i="56"/>
  <c r="DG149" i="56" s="1"/>
  <c r="IR149" i="56"/>
  <c r="DF339" i="56"/>
  <c r="DG339" i="56" s="1"/>
  <c r="IR339" i="56"/>
  <c r="IQ339" i="56"/>
  <c r="CW339" i="56"/>
  <c r="DA339" i="56" s="1"/>
  <c r="CW212" i="56"/>
  <c r="IQ212" i="56"/>
  <c r="DF212" i="56"/>
  <c r="DG212" i="56" s="1"/>
  <c r="CW111" i="56"/>
  <c r="DA111" i="56" s="1"/>
  <c r="HB111" i="56" s="1"/>
  <c r="DF111" i="56"/>
  <c r="DG111" i="56" s="1"/>
  <c r="FI280" i="56"/>
  <c r="GG328" i="56"/>
  <c r="HV328" i="56" s="1"/>
  <c r="EJ185" i="56"/>
  <c r="S185" i="56"/>
  <c r="DF18" i="56"/>
  <c r="DG18" i="56" s="1"/>
  <c r="DU302" i="56"/>
  <c r="P302" i="56" a="1"/>
  <c r="P302" i="56" s="1"/>
  <c r="FZ302" i="56" s="1"/>
  <c r="IR221" i="56"/>
  <c r="CW221" i="56"/>
  <c r="DA221" i="56" s="1"/>
  <c r="HB221" i="56" s="1"/>
  <c r="CW86" i="56"/>
  <c r="DA86" i="56" s="1"/>
  <c r="IR86" i="56"/>
  <c r="FI164" i="56"/>
  <c r="DU155" i="56"/>
  <c r="FA155" i="56"/>
  <c r="IQ321" i="56"/>
  <c r="DF321" i="56"/>
  <c r="DG321" i="56" s="1"/>
  <c r="FI215" i="56"/>
  <c r="IR122" i="56"/>
  <c r="IQ122" i="56"/>
  <c r="DF122" i="56"/>
  <c r="DG122" i="56" s="1"/>
  <c r="DU263" i="56"/>
  <c r="FA263" i="56"/>
  <c r="EF263" i="56"/>
  <c r="EG263" i="56" s="1"/>
  <c r="EJ263" i="56" s="1"/>
  <c r="GQ263" i="56" s="1"/>
  <c r="P28" i="56" a="1"/>
  <c r="P28" i="56" s="1"/>
  <c r="FZ28" i="56" s="1"/>
  <c r="IQ99" i="56"/>
  <c r="IR99" i="56"/>
  <c r="DF285" i="56"/>
  <c r="DG285" i="56" s="1"/>
  <c r="GG196" i="56"/>
  <c r="FI40" i="56"/>
  <c r="GD134" i="56"/>
  <c r="GE134" i="56" s="1"/>
  <c r="CW70" i="56"/>
  <c r="DA70" i="56" s="1"/>
  <c r="DE70" i="56" s="1"/>
  <c r="GY70" i="56" s="1"/>
  <c r="IQ70" i="56"/>
  <c r="DF71" i="56"/>
  <c r="DG71" i="56" s="1"/>
  <c r="CW71" i="56"/>
  <c r="DA71" i="56" s="1"/>
  <c r="DB71" i="56" s="1" a="1"/>
  <c r="DB71" i="56" s="1"/>
  <c r="DD71" i="56" s="1"/>
  <c r="CW321" i="56"/>
  <c r="DA321" i="56" s="1"/>
  <c r="DE321" i="56" s="1"/>
  <c r="GY321" i="56" s="1"/>
  <c r="DU198" i="56"/>
  <c r="EF198" i="56" s="1"/>
  <c r="EG198" i="56" s="1"/>
  <c r="EJ198" i="56" s="1"/>
  <c r="FA198" i="56"/>
  <c r="DF221" i="56"/>
  <c r="DG221" i="56" s="1"/>
  <c r="DF154" i="56"/>
  <c r="DG154" i="56" s="1"/>
  <c r="IQ194" i="56"/>
  <c r="IR194" i="56"/>
  <c r="IR290" i="56"/>
  <c r="DF290" i="56"/>
  <c r="DG290" i="56" s="1"/>
  <c r="IR8" i="56"/>
  <c r="DF8" i="56"/>
  <c r="DG8" i="56" s="1"/>
  <c r="IQ8" i="56"/>
  <c r="DF315" i="56"/>
  <c r="DG315" i="56" s="1"/>
  <c r="IQ315" i="56"/>
  <c r="IR315" i="56"/>
  <c r="IR331" i="56"/>
  <c r="DF331" i="56"/>
  <c r="DG331" i="56" s="1"/>
  <c r="IQ331" i="56"/>
  <c r="CW331" i="56"/>
  <c r="DA331" i="56" s="1"/>
  <c r="DB331" i="56" s="1" a="1"/>
  <c r="DB331" i="56" s="1"/>
  <c r="IQ35" i="56"/>
  <c r="DF35" i="56"/>
  <c r="DG35" i="56" s="1"/>
  <c r="DI127" i="56"/>
  <c r="EF127" i="56"/>
  <c r="EG127" i="56" s="1"/>
  <c r="EJ127" i="56" s="1"/>
  <c r="CW108" i="56"/>
  <c r="DA108" i="56" s="1"/>
  <c r="IR108" i="56"/>
  <c r="IQ108" i="56"/>
  <c r="AN10" i="55"/>
  <c r="DF271" i="56"/>
  <c r="DG271" i="56" s="1"/>
  <c r="S71" i="56"/>
  <c r="GD145" i="56"/>
  <c r="GE145" i="56" s="1"/>
  <c r="FI295" i="56"/>
  <c r="GD135" i="56"/>
  <c r="GE135" i="56" s="1"/>
  <c r="DU254" i="56"/>
  <c r="P254" i="56" a="1"/>
  <c r="P254" i="56" s="1"/>
  <c r="CU254" i="56" s="1"/>
  <c r="IR18" i="56"/>
  <c r="GE316" i="56"/>
  <c r="GG316" i="56"/>
  <c r="GI316" i="56" s="1"/>
  <c r="GJ316" i="56" s="1"/>
  <c r="DF87" i="56"/>
  <c r="DG87" i="56" s="1"/>
  <c r="CW87" i="56"/>
  <c r="DA87" i="56" s="1"/>
  <c r="IR87" i="56"/>
  <c r="IQ87" i="56"/>
  <c r="FA79" i="56"/>
  <c r="CW133" i="56"/>
  <c r="IQ133" i="56"/>
  <c r="GG133" i="56"/>
  <c r="HV133" i="56" s="1"/>
  <c r="FI243" i="56"/>
  <c r="DF288" i="56"/>
  <c r="DG288" i="56" s="1"/>
  <c r="AN18" i="55"/>
  <c r="AL10" i="55"/>
  <c r="CW351" i="56"/>
  <c r="DA351" i="56" s="1"/>
  <c r="DF351" i="56"/>
  <c r="DG351" i="56" s="1"/>
  <c r="IQ18" i="56"/>
  <c r="IQ193" i="56"/>
  <c r="CW193" i="56"/>
  <c r="GD245" i="56"/>
  <c r="GE245" i="56" s="1"/>
  <c r="GD254" i="56"/>
  <c r="GD232" i="56"/>
  <c r="GE232" i="56" s="1"/>
  <c r="GD236" i="56"/>
  <c r="GE236" i="56" s="1"/>
  <c r="GD240" i="56"/>
  <c r="GE240" i="56" s="1"/>
  <c r="GD230" i="56"/>
  <c r="GE230" i="56" s="1"/>
  <c r="GD237" i="56"/>
  <c r="GE237" i="56" s="1"/>
  <c r="GD235" i="56"/>
  <c r="GD141" i="56"/>
  <c r="GE141" i="56" s="1"/>
  <c r="GD138" i="56"/>
  <c r="GD144" i="56"/>
  <c r="GE144" i="56" s="1"/>
  <c r="GD140" i="56"/>
  <c r="GD136" i="56"/>
  <c r="GE136" i="56" s="1"/>
  <c r="GD148" i="56"/>
  <c r="GD139" i="56"/>
  <c r="GD146" i="56"/>
  <c r="GE146" i="56" s="1"/>
  <c r="IQ123" i="56"/>
  <c r="IR123" i="56"/>
  <c r="DF123" i="56"/>
  <c r="DG123" i="56" s="1"/>
  <c r="CW123" i="56"/>
  <c r="DA123" i="56" s="1"/>
  <c r="CW223" i="56"/>
  <c r="DA223" i="56" s="1"/>
  <c r="DF223" i="56"/>
  <c r="DG223" i="56" s="1"/>
  <c r="GD165" i="56"/>
  <c r="GE165" i="56" s="1"/>
  <c r="FI345" i="56"/>
  <c r="IQ239" i="56"/>
  <c r="CW239" i="56"/>
  <c r="IR239" i="56"/>
  <c r="FI10" i="56"/>
  <c r="FI154" i="56"/>
  <c r="IQ101" i="56"/>
  <c r="FI130" i="56"/>
  <c r="AJ18" i="55"/>
  <c r="CW154" i="56"/>
  <c r="DA154" i="56" s="1"/>
  <c r="FI217" i="56"/>
  <c r="CW329" i="56"/>
  <c r="DA329" i="56" s="1"/>
  <c r="DE329" i="56" s="1"/>
  <c r="GY329" i="56" s="1"/>
  <c r="IQ329" i="56"/>
  <c r="AQ11" i="55"/>
  <c r="DF69" i="56"/>
  <c r="DG69" i="56" s="1"/>
  <c r="IR133" i="56"/>
  <c r="FA220" i="56"/>
  <c r="BH32" i="10"/>
  <c r="BI37" i="10"/>
  <c r="BI5" i="10"/>
  <c r="BK5" i="10" s="1"/>
  <c r="BN5" i="10" s="1"/>
  <c r="BI7" i="10"/>
  <c r="BH34" i="10"/>
  <c r="DF328" i="56"/>
  <c r="DG328" i="56" s="1"/>
  <c r="IQ328" i="56"/>
  <c r="IR328" i="56"/>
  <c r="GD137" i="56"/>
  <c r="BH20" i="10"/>
  <c r="BH13" i="10"/>
  <c r="BI6" i="10"/>
  <c r="BH8" i="10"/>
  <c r="IR277" i="56"/>
  <c r="IQ191" i="56"/>
  <c r="DU32" i="56"/>
  <c r="EF32" i="56"/>
  <c r="EG32" i="56" s="1"/>
  <c r="EJ32" i="56" s="1"/>
  <c r="FA307" i="56"/>
  <c r="P155" i="56" a="1"/>
  <c r="P155" i="56" s="1"/>
  <c r="FZ155" i="56" s="1"/>
  <c r="GD263" i="56"/>
  <c r="GE263" i="56" s="1"/>
  <c r="S254" i="56"/>
  <c r="CW96" i="56"/>
  <c r="DA96" i="56" s="1"/>
  <c r="DB96" i="56" s="1" a="1"/>
  <c r="DB96" i="56" s="1"/>
  <c r="DD96" i="56" s="1"/>
  <c r="IR96" i="56"/>
  <c r="IQ96" i="56"/>
  <c r="DU176" i="56"/>
  <c r="FA176" i="56"/>
  <c r="FI71" i="56"/>
  <c r="IR321" i="56"/>
  <c r="DU246" i="56"/>
  <c r="EF246" i="56" s="1"/>
  <c r="EG246" i="56" s="1"/>
  <c r="EJ246" i="56" s="1"/>
  <c r="GQ246" i="56" s="1"/>
  <c r="FA246" i="56"/>
  <c r="DF282" i="56"/>
  <c r="DG282" i="56" s="1"/>
  <c r="S147" i="56"/>
  <c r="CW129" i="56"/>
  <c r="DA129" i="56" s="1"/>
  <c r="DU128" i="56"/>
  <c r="EF128" i="56" s="1"/>
  <c r="EG128" i="56" s="1"/>
  <c r="FA128" i="56"/>
  <c r="IR270" i="56"/>
  <c r="IQ270" i="56"/>
  <c r="DF270" i="56"/>
  <c r="DG270" i="56" s="1"/>
  <c r="CW270" i="56"/>
  <c r="BH11" i="10"/>
  <c r="IR191" i="56"/>
  <c r="CW165" i="56"/>
  <c r="DA165" i="56" s="1"/>
  <c r="DF165" i="56"/>
  <c r="DG165" i="56" s="1"/>
  <c r="GD143" i="56"/>
  <c r="GE143" i="56" s="1"/>
  <c r="GG239" i="56"/>
  <c r="FA302" i="56"/>
  <c r="IR131" i="56"/>
  <c r="P233" i="56" a="1"/>
  <c r="P233" i="56" s="1"/>
  <c r="EF233" i="56" s="1"/>
  <c r="EG233" i="56" s="1"/>
  <c r="EJ233" i="56" s="1"/>
  <c r="IR71" i="56"/>
  <c r="DF227" i="56"/>
  <c r="DG227" i="56" s="1"/>
  <c r="CW151" i="56"/>
  <c r="IR183" i="56"/>
  <c r="DF183" i="56"/>
  <c r="DG183" i="56" s="1"/>
  <c r="CW183" i="56"/>
  <c r="DA183" i="56" s="1"/>
  <c r="IR58" i="56"/>
  <c r="IQ58" i="56"/>
  <c r="DF58" i="56"/>
  <c r="DG58" i="56" s="1"/>
  <c r="CW58" i="56"/>
  <c r="DA58" i="56" s="1"/>
  <c r="DB58" i="56" s="1" a="1"/>
  <c r="DB58" i="56" s="1"/>
  <c r="EJ109" i="56"/>
  <c r="FX109" i="56" s="1"/>
  <c r="FI261" i="56"/>
  <c r="GG230" i="56"/>
  <c r="HV230" i="56" s="1"/>
  <c r="IR107" i="56"/>
  <c r="IQ107" i="56"/>
  <c r="DF107" i="56"/>
  <c r="DG107" i="56" s="1"/>
  <c r="BI16" i="10"/>
  <c r="P255" i="56" a="1"/>
  <c r="P255" i="56" s="1"/>
  <c r="DI255" i="56" s="1"/>
  <c r="CW325" i="56"/>
  <c r="DA325" i="56" s="1"/>
  <c r="DB325" i="56" s="1" a="1"/>
  <c r="DB325" i="56" s="1"/>
  <c r="DD325" i="56" s="1"/>
  <c r="IQ325" i="56"/>
  <c r="S191" i="56"/>
  <c r="GE224" i="56"/>
  <c r="GG224" i="56"/>
  <c r="S203" i="56"/>
  <c r="GD128" i="56"/>
  <c r="DF329" i="56"/>
  <c r="DG329" i="56" s="1"/>
  <c r="P79" i="56" a="1"/>
  <c r="P79" i="56" s="1"/>
  <c r="EF79" i="56" s="1"/>
  <c r="EG79" i="56" s="1"/>
  <c r="EJ79" i="56" s="1"/>
  <c r="FA199" i="56"/>
  <c r="GD255" i="56"/>
  <c r="IR278" i="56"/>
  <c r="IR227" i="56"/>
  <c r="GD147" i="56"/>
  <c r="GE147" i="56" s="1"/>
  <c r="DF250" i="56"/>
  <c r="DG250" i="56" s="1"/>
  <c r="DU213" i="56"/>
  <c r="EF213" i="56" s="1"/>
  <c r="EG213" i="56" s="1"/>
  <c r="FA213" i="56"/>
  <c r="P213" i="56" a="1"/>
  <c r="P213" i="56" s="1"/>
  <c r="DI213" i="56" s="1"/>
  <c r="DU161" i="56"/>
  <c r="EF161" i="56" s="1"/>
  <c r="EG161" i="56" s="1"/>
  <c r="FA161" i="56"/>
  <c r="IQ277" i="56"/>
  <c r="FI35" i="56"/>
  <c r="FA290" i="56"/>
  <c r="CW333" i="56"/>
  <c r="DA333" i="56" s="1"/>
  <c r="DB333" i="56" s="1" a="1"/>
  <c r="DB333" i="56" s="1"/>
  <c r="DD333" i="56" s="1"/>
  <c r="IQ333" i="56"/>
  <c r="GG321" i="56"/>
  <c r="HV321" i="56" s="1"/>
  <c r="GD274" i="56"/>
  <c r="DU22" i="56"/>
  <c r="FA22" i="56"/>
  <c r="DU104" i="56"/>
  <c r="P104" i="56" a="1"/>
  <c r="P104" i="56" s="1"/>
  <c r="CU104" i="56" s="1"/>
  <c r="CY104" i="56" s="1"/>
  <c r="FA104" i="56"/>
  <c r="IQ36" i="56"/>
  <c r="BH38" i="10"/>
  <c r="BH22" i="10"/>
  <c r="IQ223" i="56"/>
  <c r="BH10" i="10"/>
  <c r="BI25" i="10"/>
  <c r="BH23" i="10"/>
  <c r="BH25" i="10"/>
  <c r="P188" i="56" a="1"/>
  <c r="P188" i="56" s="1"/>
  <c r="CW315" i="56"/>
  <c r="DA315" i="56" s="1"/>
  <c r="DB315" i="56" s="1" a="1"/>
  <c r="DB315" i="56" s="1"/>
  <c r="DD315" i="56" s="1"/>
  <c r="CW283" i="56"/>
  <c r="DA283" i="56" s="1"/>
  <c r="DB283" i="56" s="1" a="1"/>
  <c r="DB283" i="56" s="1"/>
  <c r="DD283" i="56" s="1"/>
  <c r="BI22" i="10"/>
  <c r="BI18" i="10"/>
  <c r="BI33" i="10"/>
  <c r="BJ33" i="10" s="1"/>
  <c r="BI30" i="10"/>
  <c r="BM30" i="10" s="1"/>
  <c r="BI32" i="10"/>
  <c r="EJ92" i="56"/>
  <c r="GQ92" i="56" s="1"/>
  <c r="DF229" i="56"/>
  <c r="DG229" i="56" s="1"/>
  <c r="IR288" i="56"/>
  <c r="DY50" i="56" a="1"/>
  <c r="DY50" i="56" s="1"/>
  <c r="S316" i="56"/>
  <c r="IR112" i="56"/>
  <c r="IR143" i="56"/>
  <c r="IQ143" i="56"/>
  <c r="DU106" i="56"/>
  <c r="FA106" i="56"/>
  <c r="P147" i="56" a="1"/>
  <c r="P147" i="56" s="1"/>
  <c r="EF147" i="56" s="1"/>
  <c r="EG147" i="56" s="1"/>
  <c r="EJ147" i="56" s="1"/>
  <c r="FI87" i="56"/>
  <c r="CW8" i="56"/>
  <c r="DA8" i="56" s="1"/>
  <c r="DF118" i="56"/>
  <c r="DG118" i="56" s="1"/>
  <c r="IQ118" i="56"/>
  <c r="CW93" i="56"/>
  <c r="DA93" i="56" s="1"/>
  <c r="DB93" i="56" s="1" a="1"/>
  <c r="DB93" i="56" s="1"/>
  <c r="DD93" i="56" s="1"/>
  <c r="IQ93" i="56"/>
  <c r="IQ227" i="56"/>
  <c r="CW65" i="56"/>
  <c r="DA65" i="56" s="1"/>
  <c r="DF130" i="56"/>
  <c r="DG130" i="56" s="1"/>
  <c r="CW130" i="56"/>
  <c r="DA130" i="56" s="1"/>
  <c r="DB130" i="56" s="1" a="1"/>
  <c r="DB130" i="56" s="1"/>
  <c r="DD130" i="56" s="1"/>
  <c r="BH31" i="10"/>
  <c r="BI38" i="10"/>
  <c r="BH19" i="10"/>
  <c r="BH39" i="10"/>
  <c r="FA38" i="56"/>
  <c r="IQ69" i="56"/>
  <c r="FI196" i="56"/>
  <c r="FA32" i="56"/>
  <c r="FI178" i="56"/>
  <c r="CW140" i="56"/>
  <c r="FI57" i="56"/>
  <c r="CU319" i="56"/>
  <c r="CY319" i="56" s="1"/>
  <c r="DF143" i="56"/>
  <c r="DG143" i="56" s="1"/>
  <c r="GD231" i="56"/>
  <c r="FI114" i="56"/>
  <c r="IR341" i="56"/>
  <c r="DF144" i="56"/>
  <c r="DG144" i="56" s="1"/>
  <c r="P199" i="56" a="1"/>
  <c r="P199" i="56" s="1"/>
  <c r="FZ199" i="56" s="1"/>
  <c r="GD207" i="56"/>
  <c r="FI311" i="56"/>
  <c r="CW143" i="56"/>
  <c r="DU316" i="56"/>
  <c r="P316" i="56" a="1"/>
  <c r="P316" i="56" s="1"/>
  <c r="FZ316" i="56" s="1"/>
  <c r="FA234" i="56"/>
  <c r="FI23" i="56"/>
  <c r="DU119" i="56"/>
  <c r="EF119" i="56" s="1"/>
  <c r="EG119" i="56" s="1"/>
  <c r="EJ119" i="56" s="1"/>
  <c r="IQ89" i="56"/>
  <c r="DU46" i="56"/>
  <c r="FA46" i="56"/>
  <c r="DU76" i="56"/>
  <c r="FA76" i="56"/>
  <c r="DF280" i="56"/>
  <c r="DG280" i="56" s="1"/>
  <c r="IR65" i="56"/>
  <c r="IQ119" i="56"/>
  <c r="IR119" i="56"/>
  <c r="DF119" i="56"/>
  <c r="DG119" i="56" s="1"/>
  <c r="CW119" i="56"/>
  <c r="DA119" i="56" s="1"/>
  <c r="DB119" i="56" s="1" a="1"/>
  <c r="DB119" i="56" s="1"/>
  <c r="DD119" i="56" s="1"/>
  <c r="IR201" i="56"/>
  <c r="CW201" i="56"/>
  <c r="P290" i="56" a="1"/>
  <c r="P290" i="56" s="1"/>
  <c r="EF290" i="56" s="1"/>
  <c r="EG290" i="56" s="1"/>
  <c r="S109" i="56"/>
  <c r="FA86" i="56"/>
  <c r="DU45" i="56"/>
  <c r="P45" i="56" a="1"/>
  <c r="P45" i="56" s="1"/>
  <c r="CW250" i="56"/>
  <c r="DU300" i="56"/>
  <c r="P300" i="56" a="1"/>
  <c r="P300" i="56" s="1"/>
  <c r="FZ300" i="56" s="1"/>
  <c r="FA300" i="56"/>
  <c r="FA235" i="56"/>
  <c r="CW6" i="56"/>
  <c r="DA6" i="56" s="1"/>
  <c r="DB6" i="56" s="1" a="1"/>
  <c r="DB6" i="56" s="1"/>
  <c r="DD6" i="56" s="1"/>
  <c r="DU96" i="56"/>
  <c r="P96" i="56" a="1"/>
  <c r="P96" i="56" s="1"/>
  <c r="DI96" i="56" s="1"/>
  <c r="CU63" i="56"/>
  <c r="IR280" i="56"/>
  <c r="CW63" i="56"/>
  <c r="DA63" i="56" s="1"/>
  <c r="DE63" i="56" s="1"/>
  <c r="GY63" i="56" s="1"/>
  <c r="DF63" i="56"/>
  <c r="DG63" i="56" s="1"/>
  <c r="BI31" i="10"/>
  <c r="BH27" i="10"/>
  <c r="BH21" i="10"/>
  <c r="BI26" i="10"/>
  <c r="FA115" i="56"/>
  <c r="DI229" i="56"/>
  <c r="DU210" i="56"/>
  <c r="P210" i="56" a="1"/>
  <c r="P210" i="56" s="1"/>
  <c r="FZ210" i="56" s="1"/>
  <c r="P220" i="56" a="1"/>
  <c r="P220" i="56" s="1"/>
  <c r="CU220" i="56" s="1"/>
  <c r="CY220" i="56" s="1"/>
  <c r="GD158" i="56"/>
  <c r="GE158" i="56" s="1"/>
  <c r="GD270" i="56"/>
  <c r="CU127" i="56"/>
  <c r="IR272" i="56"/>
  <c r="P234" i="56" a="1"/>
  <c r="P234" i="56" s="1"/>
  <c r="CU234" i="56" s="1"/>
  <c r="CY234" i="56" s="1"/>
  <c r="G234" i="56" s="1"/>
  <c r="CZ234" i="56" s="1"/>
  <c r="DA234" i="56" s="1"/>
  <c r="EJ204" i="56"/>
  <c r="GQ204" i="56" s="1"/>
  <c r="IQ351" i="56"/>
  <c r="CW35" i="56"/>
  <c r="FI88" i="56"/>
  <c r="DU42" i="56"/>
  <c r="P42" i="56" a="1"/>
  <c r="P42" i="56" s="1"/>
  <c r="DI42" i="56" s="1"/>
  <c r="FI78" i="56"/>
  <c r="DF177" i="56"/>
  <c r="DG177" i="56" s="1"/>
  <c r="IQ183" i="56"/>
  <c r="FZ63" i="56"/>
  <c r="FI46" i="56"/>
  <c r="DF206" i="56"/>
  <c r="DG206" i="56" s="1"/>
  <c r="DF65" i="56"/>
  <c r="DG65" i="56" s="1"/>
  <c r="GD233" i="56"/>
  <c r="GE233" i="56" s="1"/>
  <c r="EJ298" i="56"/>
  <c r="FA166" i="56"/>
  <c r="GD248" i="56"/>
  <c r="GE4" i="56"/>
  <c r="GG4" i="56"/>
  <c r="BI20" i="10"/>
  <c r="BL20" i="10" s="1"/>
  <c r="BH5" i="10"/>
  <c r="BI28" i="10"/>
  <c r="BI9" i="10"/>
  <c r="P59" i="56" a="1"/>
  <c r="P59" i="56" s="1"/>
  <c r="EF59" i="56" s="1"/>
  <c r="EG59" i="56" s="1"/>
  <c r="DU162" i="56"/>
  <c r="P162" i="56" a="1"/>
  <c r="P162" i="56" s="1"/>
  <c r="FZ162" i="56" s="1"/>
  <c r="IQ335" i="56"/>
  <c r="DU275" i="56"/>
  <c r="FA275" i="56"/>
  <c r="FA182" i="56"/>
  <c r="FI177" i="56"/>
  <c r="DY4" i="56" a="1"/>
  <c r="DY4" i="56" s="1"/>
  <c r="EA4" i="56" s="1"/>
  <c r="DW4" i="56" a="1"/>
  <c r="DW4" i="56" s="1"/>
  <c r="K4" i="56" s="1"/>
  <c r="DX4" i="56" s="1"/>
  <c r="EI4" i="56" s="1"/>
  <c r="EF170" i="56"/>
  <c r="EG170" i="56" s="1"/>
  <c r="EJ170" i="56" s="1"/>
  <c r="P235" i="56" a="1"/>
  <c r="P235" i="56" s="1"/>
  <c r="FZ235" i="56" s="1"/>
  <c r="FI22" i="56"/>
  <c r="DI63" i="56"/>
  <c r="EF38" i="56"/>
  <c r="EG38" i="56" s="1"/>
  <c r="EJ38" i="56" s="1"/>
  <c r="GD142" i="56"/>
  <c r="FZ127" i="56"/>
  <c r="FI246" i="56"/>
  <c r="IR351" i="56"/>
  <c r="FI323" i="56"/>
  <c r="DF37" i="56"/>
  <c r="DG37" i="56" s="1"/>
  <c r="CW313" i="56"/>
  <c r="DA313" i="56" s="1"/>
  <c r="HB313" i="56" s="1"/>
  <c r="HC313" i="56" s="1"/>
  <c r="DF313" i="56"/>
  <c r="DG313" i="56" s="1"/>
  <c r="DU67" i="56"/>
  <c r="EF67" i="56" s="1"/>
  <c r="EG67" i="56" s="1"/>
  <c r="P67" i="56" a="1"/>
  <c r="P67" i="56" s="1"/>
  <c r="FZ67" i="56" s="1"/>
  <c r="FA67" i="56"/>
  <c r="FI168" i="56"/>
  <c r="DU123" i="56"/>
  <c r="P123" i="56" a="1"/>
  <c r="P123" i="56" s="1"/>
  <c r="FI149" i="56"/>
  <c r="FI42" i="56"/>
  <c r="IQ250" i="56"/>
  <c r="IQ206" i="56"/>
  <c r="AM13" i="55"/>
  <c r="GD95" i="56"/>
  <c r="GE95" i="56" s="1"/>
  <c r="DF287" i="56"/>
  <c r="DG287" i="56" s="1"/>
  <c r="CW294" i="56"/>
  <c r="DA294" i="56" s="1"/>
  <c r="DB294" i="56" s="1" a="1"/>
  <c r="DB294" i="56" s="1"/>
  <c r="DD294" i="56" s="1"/>
  <c r="IQ294" i="56"/>
  <c r="IR294" i="56"/>
  <c r="IR206" i="56"/>
  <c r="BH17" i="10"/>
  <c r="BH24" i="10"/>
  <c r="BI12" i="10"/>
  <c r="BI19" i="10"/>
  <c r="GD127" i="56"/>
  <c r="GE127" i="56" s="1"/>
  <c r="CW298" i="56"/>
  <c r="DA298" i="56" s="1"/>
  <c r="DB298" i="56" s="1" a="1"/>
  <c r="DB298" i="56" s="1"/>
  <c r="DD298" i="56" s="1"/>
  <c r="FI212" i="56"/>
  <c r="CW282" i="56"/>
  <c r="FI64" i="56"/>
  <c r="CU191" i="56"/>
  <c r="CY191" i="56" s="1"/>
  <c r="G191" i="56" s="1"/>
  <c r="CZ191" i="56" s="1"/>
  <c r="DA191" i="56" s="1"/>
  <c r="FI348" i="56"/>
  <c r="EF275" i="56"/>
  <c r="EG275" i="56" s="1"/>
  <c r="DF196" i="56"/>
  <c r="DG196" i="56" s="1"/>
  <c r="IQ196" i="56"/>
  <c r="DI311" i="56"/>
  <c r="EF311" i="56"/>
  <c r="EG311" i="56" s="1"/>
  <c r="EJ311" i="56" s="1"/>
  <c r="IQ153" i="56"/>
  <c r="IQ274" i="56"/>
  <c r="FI7" i="56"/>
  <c r="FI110" i="56"/>
  <c r="GG93" i="56"/>
  <c r="HV93" i="56" s="1"/>
  <c r="DF276" i="56"/>
  <c r="DG276" i="56" s="1"/>
  <c r="IR276" i="56"/>
  <c r="IQ276" i="56"/>
  <c r="P252" i="56" a="1"/>
  <c r="P252" i="56" s="1"/>
  <c r="EF252" i="56" s="1"/>
  <c r="EG252" i="56" s="1"/>
  <c r="EJ252" i="56" s="1"/>
  <c r="FI140" i="56"/>
  <c r="GD251" i="56"/>
  <c r="IQ59" i="56"/>
  <c r="IR59" i="56"/>
  <c r="DF59" i="56"/>
  <c r="DG59" i="56" s="1"/>
  <c r="FI183" i="56"/>
  <c r="EF326" i="56"/>
  <c r="EG326" i="56" s="1"/>
  <c r="EJ326" i="56" s="1"/>
  <c r="FX326" i="56" s="1"/>
  <c r="FI75" i="56"/>
  <c r="AQ22" i="55"/>
  <c r="AK23" i="55"/>
  <c r="FA177" i="56"/>
  <c r="FI253" i="56"/>
  <c r="EF350" i="56"/>
  <c r="EG350" i="56" s="1"/>
  <c r="P118" i="56" a="1"/>
  <c r="P118" i="56" s="1"/>
  <c r="EF118" i="56" s="1"/>
  <c r="EG118" i="56" s="1"/>
  <c r="FI79" i="56"/>
  <c r="P326" i="56" a="1"/>
  <c r="P326" i="56" s="1"/>
  <c r="P343" i="56" a="1"/>
  <c r="P343" i="56" s="1"/>
  <c r="EF110" i="56"/>
  <c r="EG110" i="56" s="1"/>
  <c r="P281" i="56" a="1"/>
  <c r="P281" i="56" s="1"/>
  <c r="DI281" i="56" s="1"/>
  <c r="CW114" i="56"/>
  <c r="DA114" i="56" s="1"/>
  <c r="DF41" i="56"/>
  <c r="DG41" i="56" s="1"/>
  <c r="IQ41" i="56"/>
  <c r="P177" i="56" a="1"/>
  <c r="P177" i="56" s="1"/>
  <c r="FZ177" i="56" s="1"/>
  <c r="AQ23" i="55"/>
  <c r="FI252" i="56"/>
  <c r="AQ25" i="55"/>
  <c r="FI126" i="56"/>
  <c r="DF102" i="56"/>
  <c r="DG102" i="56" s="1"/>
  <c r="FI216" i="56"/>
  <c r="GG6" i="56"/>
  <c r="GI6" i="56" s="1"/>
  <c r="GJ6" i="56" s="1"/>
  <c r="FI334" i="56"/>
  <c r="GD315" i="56"/>
  <c r="DF109" i="56"/>
  <c r="DG109" i="56" s="1"/>
  <c r="IQ170" i="56"/>
  <c r="IR170" i="56"/>
  <c r="DF170" i="56"/>
  <c r="DG170" i="56" s="1"/>
  <c r="DF225" i="56"/>
  <c r="DG225" i="56" s="1"/>
  <c r="IQ225" i="56"/>
  <c r="IR225" i="56"/>
  <c r="AM23" i="55"/>
  <c r="FI221" i="56"/>
  <c r="FA284" i="56"/>
  <c r="P48" i="56" a="1"/>
  <c r="P48" i="56" s="1"/>
  <c r="FZ48" i="56" s="1"/>
  <c r="FI190" i="56"/>
  <c r="DF249" i="56"/>
  <c r="DG249" i="56" s="1"/>
  <c r="IR249" i="56"/>
  <c r="IQ249" i="56"/>
  <c r="IQ137" i="56"/>
  <c r="IR137" i="56"/>
  <c r="DF137" i="56"/>
  <c r="DG137" i="56" s="1"/>
  <c r="FI160" i="56"/>
  <c r="FI11" i="56"/>
  <c r="FI347" i="56"/>
  <c r="FI340" i="56"/>
  <c r="FI99" i="56"/>
  <c r="FI307" i="56"/>
  <c r="EJ108" i="56"/>
  <c r="GQ108" i="56" s="1"/>
  <c r="AP23" i="55"/>
  <c r="DF269" i="56"/>
  <c r="DG269" i="56" s="1"/>
  <c r="AM24" i="55"/>
  <c r="FI150" i="56"/>
  <c r="FI31" i="56"/>
  <c r="P124" i="56" a="1"/>
  <c r="P124" i="56" s="1"/>
  <c r="EF124" i="56" s="1"/>
  <c r="EG124" i="56" s="1"/>
  <c r="EJ124" i="56" s="1"/>
  <c r="P54" i="56" a="1"/>
  <c r="P54" i="56" s="1"/>
  <c r="EF54" i="56" s="1"/>
  <c r="EG54" i="56" s="1"/>
  <c r="DF164" i="56"/>
  <c r="DG164" i="56" s="1"/>
  <c r="IQ25" i="56"/>
  <c r="DF120" i="56"/>
  <c r="DG120" i="56" s="1"/>
  <c r="IR120" i="56"/>
  <c r="IQ120" i="56"/>
  <c r="DF187" i="56"/>
  <c r="DG187" i="56" s="1"/>
  <c r="IR187" i="56"/>
  <c r="DB335" i="56" a="1"/>
  <c r="DB335" i="56" s="1"/>
  <c r="DD335" i="56" s="1"/>
  <c r="DE335" i="56"/>
  <c r="GY335" i="56" s="1"/>
  <c r="HB335" i="56"/>
  <c r="HC335" i="56" s="1"/>
  <c r="BM17" i="55"/>
  <c r="BN17" i="55" s="1"/>
  <c r="BG17" i="55"/>
  <c r="AF17" i="55" a="1"/>
  <c r="AF17" i="55" s="1"/>
  <c r="BI17" i="55"/>
  <c r="BJ17" i="55" s="1"/>
  <c r="BG19" i="55"/>
  <c r="BM19" i="55"/>
  <c r="BN19" i="55" s="1"/>
  <c r="BI19" i="55"/>
  <c r="BJ19" i="55" s="1"/>
  <c r="AF19" i="55" a="1"/>
  <c r="AF19" i="55" s="1"/>
  <c r="IQ324" i="56"/>
  <c r="IR324" i="56"/>
  <c r="CW324" i="56"/>
  <c r="DA324" i="56" s="1"/>
  <c r="DF324" i="56"/>
  <c r="DG324" i="56" s="1"/>
  <c r="FZ80" i="56"/>
  <c r="CU80" i="56"/>
  <c r="CY80" i="56" s="1"/>
  <c r="DI80" i="56"/>
  <c r="IG241" i="56"/>
  <c r="HZ241" i="56"/>
  <c r="IF267" i="56"/>
  <c r="HY267" i="56"/>
  <c r="IF275" i="56"/>
  <c r="HY275" i="56"/>
  <c r="IG113" i="56"/>
  <c r="HZ113" i="56"/>
  <c r="CW311" i="56"/>
  <c r="DA311" i="56" s="1"/>
  <c r="IR311" i="56"/>
  <c r="IQ311" i="56"/>
  <c r="DF311" i="56"/>
  <c r="DG311" i="56" s="1"/>
  <c r="HY331" i="56"/>
  <c r="IF331" i="56"/>
  <c r="BM13" i="55"/>
  <c r="BN13" i="55" s="1"/>
  <c r="BG13" i="55"/>
  <c r="AF13" i="55" a="1"/>
  <c r="AF13" i="55" s="1"/>
  <c r="BI13" i="55"/>
  <c r="BJ13" i="55" s="1"/>
  <c r="DB305" i="56" a="1"/>
  <c r="DB305" i="56" s="1"/>
  <c r="DD305" i="56" s="1"/>
  <c r="HB305" i="56"/>
  <c r="DE305" i="56"/>
  <c r="GY305" i="56" s="1"/>
  <c r="FZ344" i="56"/>
  <c r="CU344" i="56"/>
  <c r="CY344" i="56" s="1"/>
  <c r="DI344" i="56"/>
  <c r="CW181" i="56"/>
  <c r="DA181" i="56" s="1"/>
  <c r="IR181" i="56"/>
  <c r="IQ181" i="56"/>
  <c r="DF181" i="56"/>
  <c r="DG181" i="56" s="1"/>
  <c r="IE83" i="56"/>
  <c r="HX83" i="56"/>
  <c r="FI240" i="56"/>
  <c r="HY169" i="56"/>
  <c r="IF169" i="56"/>
  <c r="GQ332" i="56"/>
  <c r="FX332" i="56"/>
  <c r="IE275" i="56"/>
  <c r="HX275" i="56"/>
  <c r="IE284" i="56"/>
  <c r="HX284" i="56"/>
  <c r="CW352" i="56"/>
  <c r="DA352" i="56" s="1"/>
  <c r="DF352" i="56"/>
  <c r="DG352" i="56" s="1"/>
  <c r="IR352" i="56"/>
  <c r="DU323" i="56"/>
  <c r="P323" i="56" a="1"/>
  <c r="P323" i="56" s="1"/>
  <c r="FA323" i="56"/>
  <c r="IR242" i="56"/>
  <c r="IQ242" i="56"/>
  <c r="DF242" i="56"/>
  <c r="DG242" i="56" s="1"/>
  <c r="CW242" i="56"/>
  <c r="CW309" i="56"/>
  <c r="DA309" i="56" s="1"/>
  <c r="DF309" i="56"/>
  <c r="DG309" i="56" s="1"/>
  <c r="IQ309" i="56"/>
  <c r="HX81" i="56"/>
  <c r="IE81" i="56"/>
  <c r="S13" i="56"/>
  <c r="IE148" i="56"/>
  <c r="HX148" i="56"/>
  <c r="IG258" i="56"/>
  <c r="HZ258" i="56"/>
  <c r="BI23" i="55"/>
  <c r="BJ23" i="55" s="1"/>
  <c r="BG23" i="55"/>
  <c r="BM23" i="55"/>
  <c r="BN23" i="55" s="1"/>
  <c r="AF23" i="55" a="1"/>
  <c r="AF23" i="55" s="1"/>
  <c r="FP49" i="56"/>
  <c r="FS49" i="56"/>
  <c r="DB21" i="56" a="1"/>
  <c r="DB21" i="56" s="1"/>
  <c r="DD21" i="56" s="1"/>
  <c r="DE21" i="56"/>
  <c r="GY21" i="56" s="1"/>
  <c r="IG115" i="56"/>
  <c r="HZ115" i="56"/>
  <c r="CW213" i="56"/>
  <c r="DF213" i="56"/>
  <c r="DG213" i="56" s="1"/>
  <c r="IR213" i="56"/>
  <c r="S4" i="56"/>
  <c r="IF244" i="56"/>
  <c r="HY244" i="56"/>
  <c r="IE338" i="56"/>
  <c r="HX338" i="56"/>
  <c r="DB101" i="56" a="1"/>
  <c r="DB101" i="56" s="1"/>
  <c r="DD101" i="56" s="1"/>
  <c r="HB101" i="56"/>
  <c r="IF243" i="56"/>
  <c r="HY243" i="56"/>
  <c r="IE115" i="56"/>
  <c r="HX115" i="56"/>
  <c r="FI257" i="56"/>
  <c r="C4" i="61"/>
  <c r="BI10" i="55"/>
  <c r="BJ10" i="55" s="1"/>
  <c r="BM10" i="55"/>
  <c r="BN10" i="55" s="1"/>
  <c r="AF10" i="55" a="1"/>
  <c r="AF10" i="55" s="1"/>
  <c r="BG10" i="55"/>
  <c r="CW336" i="56"/>
  <c r="DA336" i="56" s="1"/>
  <c r="IQ336" i="56"/>
  <c r="DF336" i="56"/>
  <c r="DG336" i="56" s="1"/>
  <c r="IR336" i="56"/>
  <c r="DL11" i="56"/>
  <c r="DJ11" i="56"/>
  <c r="IG66" i="56"/>
  <c r="HZ66" i="56"/>
  <c r="DU289" i="56"/>
  <c r="EF289" i="56" s="1"/>
  <c r="EG289" i="56" s="1"/>
  <c r="P289" i="56" a="1"/>
  <c r="P289" i="56" s="1"/>
  <c r="FA289" i="56"/>
  <c r="IE116" i="56"/>
  <c r="HX116" i="56"/>
  <c r="FZ52" i="56"/>
  <c r="CU52" i="56"/>
  <c r="DI52" i="56"/>
  <c r="IG177" i="56"/>
  <c r="HZ177" i="56"/>
  <c r="IG243" i="56"/>
  <c r="HZ243" i="56"/>
  <c r="CW64" i="56"/>
  <c r="DA64" i="56" s="1"/>
  <c r="DF64" i="56"/>
  <c r="DG64" i="56" s="1"/>
  <c r="IR64" i="56"/>
  <c r="IQ64" i="56"/>
  <c r="IR185" i="56"/>
  <c r="IQ185" i="56"/>
  <c r="DF185" i="56"/>
  <c r="DG185" i="56" s="1"/>
  <c r="CW185" i="56"/>
  <c r="IE249" i="56"/>
  <c r="HX249" i="56"/>
  <c r="HZ211" i="56"/>
  <c r="IG211" i="56"/>
  <c r="IF113" i="56"/>
  <c r="HY113" i="56"/>
  <c r="DB16" i="56" a="1"/>
  <c r="DB16" i="56" s="1"/>
  <c r="DD16" i="56" s="1"/>
  <c r="DE16" i="56"/>
  <c r="GY16" i="56" s="1"/>
  <c r="HB16" i="56"/>
  <c r="HC16" i="56" s="1"/>
  <c r="DB95" i="56" a="1"/>
  <c r="DB95" i="56" s="1"/>
  <c r="DD95" i="56" s="1"/>
  <c r="HB95" i="56"/>
  <c r="DE95" i="56"/>
  <c r="GY95" i="56" s="1"/>
  <c r="CW176" i="56"/>
  <c r="DA176" i="56" s="1"/>
  <c r="DF176" i="56"/>
  <c r="DG176" i="56" s="1"/>
  <c r="IR176" i="56"/>
  <c r="IQ176" i="56"/>
  <c r="IG123" i="56"/>
  <c r="HZ123" i="56"/>
  <c r="DB112" i="56" a="1"/>
  <c r="DB112" i="56" s="1"/>
  <c r="DD112" i="56" s="1"/>
  <c r="HB112" i="56"/>
  <c r="GV112" i="56"/>
  <c r="DE112" i="56"/>
  <c r="GY112" i="56" s="1"/>
  <c r="DF50" i="56"/>
  <c r="DG50" i="56" s="1"/>
  <c r="IR50" i="56"/>
  <c r="IQ50" i="56"/>
  <c r="CW50" i="56"/>
  <c r="BM15" i="55"/>
  <c r="BN15" i="55" s="1"/>
  <c r="BG15" i="55"/>
  <c r="BI15" i="55"/>
  <c r="BJ15" i="55" s="1"/>
  <c r="AF15" i="55" a="1"/>
  <c r="AF15" i="55" s="1"/>
  <c r="GD218" i="56"/>
  <c r="GE218" i="56" s="1"/>
  <c r="GD223" i="56"/>
  <c r="IF297" i="56"/>
  <c r="HY297" i="56"/>
  <c r="HY36" i="56"/>
  <c r="IF36" i="56"/>
  <c r="DU223" i="56"/>
  <c r="P223" i="56" a="1"/>
  <c r="P223" i="56" s="1"/>
  <c r="EF223" i="56"/>
  <c r="EG223" i="56" s="1"/>
  <c r="FA223" i="56"/>
  <c r="DE333" i="56"/>
  <c r="GY333" i="56" s="1"/>
  <c r="IG36" i="56"/>
  <c r="HZ36" i="56"/>
  <c r="FZ327" i="56"/>
  <c r="CU327" i="56"/>
  <c r="DI327" i="56"/>
  <c r="IE233" i="56"/>
  <c r="HX233" i="56"/>
  <c r="EL50" i="56"/>
  <c r="EO50" i="56"/>
  <c r="EM50" i="56"/>
  <c r="EN50" i="56" s="1"/>
  <c r="GX50" i="56" s="1"/>
  <c r="GZ50" i="56" s="1"/>
  <c r="EB50" i="56"/>
  <c r="EC50" i="56"/>
  <c r="EK50" i="56"/>
  <c r="DY11" i="56" a="1"/>
  <c r="DY11" i="56" s="1"/>
  <c r="DW11" i="56" a="1"/>
  <c r="DW11" i="56" s="1"/>
  <c r="K11" i="56" s="1"/>
  <c r="DX11" i="56" s="1"/>
  <c r="EI11" i="56" s="1"/>
  <c r="DB223" i="56" a="1"/>
  <c r="DB223" i="56" s="1"/>
  <c r="DD223" i="56" s="1"/>
  <c r="DE223" i="56"/>
  <c r="GY223" i="56" s="1"/>
  <c r="HB223" i="56"/>
  <c r="S136" i="56"/>
  <c r="IG205" i="56"/>
  <c r="HZ205" i="56"/>
  <c r="IE112" i="56"/>
  <c r="HX112" i="56"/>
  <c r="FI123" i="56"/>
  <c r="IG81" i="56"/>
  <c r="HZ81" i="56"/>
  <c r="GQ253" i="56"/>
  <c r="FX253" i="56"/>
  <c r="IE35" i="56"/>
  <c r="HX35" i="56"/>
  <c r="IG161" i="56"/>
  <c r="HZ161" i="56"/>
  <c r="S207" i="56"/>
  <c r="HB96" i="56"/>
  <c r="IF161" i="56"/>
  <c r="HY161" i="56"/>
  <c r="HY209" i="56"/>
  <c r="IF209" i="56"/>
  <c r="BM14" i="55"/>
  <c r="BN14" i="55" s="1"/>
  <c r="BG14" i="55"/>
  <c r="BI14" i="55"/>
  <c r="BJ14" i="55" s="1"/>
  <c r="AF14" i="55" a="1"/>
  <c r="AF14" i="55" s="1"/>
  <c r="IG116" i="56"/>
  <c r="HZ116" i="56"/>
  <c r="HZ178" i="56"/>
  <c r="IG178" i="56"/>
  <c r="FI299" i="56"/>
  <c r="EJ338" i="56"/>
  <c r="IR224" i="56"/>
  <c r="IQ224" i="56"/>
  <c r="CW224" i="56"/>
  <c r="DA224" i="56" s="1"/>
  <c r="DF224" i="56"/>
  <c r="DG224" i="56" s="1"/>
  <c r="DU36" i="56"/>
  <c r="FA36" i="56"/>
  <c r="P36" i="56" a="1"/>
  <c r="P36" i="56" s="1"/>
  <c r="BM16" i="55"/>
  <c r="BN16" i="55" s="1"/>
  <c r="AF16" i="55" a="1"/>
  <c r="AF16" i="55" s="1"/>
  <c r="BI16" i="55"/>
  <c r="BJ16" i="55" s="1"/>
  <c r="BG16" i="55"/>
  <c r="IG244" i="56"/>
  <c r="HZ244" i="56"/>
  <c r="GD222" i="56"/>
  <c r="IQ352" i="56"/>
  <c r="IG144" i="56"/>
  <c r="HZ144" i="56"/>
  <c r="IF197" i="56"/>
  <c r="HY197" i="56"/>
  <c r="HX266" i="56"/>
  <c r="IE266" i="56"/>
  <c r="DB304" i="56" a="1"/>
  <c r="DB304" i="56" s="1"/>
  <c r="DD304" i="56" s="1"/>
  <c r="HB304" i="56"/>
  <c r="IF155" i="56"/>
  <c r="HY155" i="56"/>
  <c r="FZ158" i="56"/>
  <c r="CU158" i="56"/>
  <c r="CY158" i="56" s="1"/>
  <c r="DI158" i="56"/>
  <c r="BI22" i="55"/>
  <c r="BJ22" i="55" s="1"/>
  <c r="BG22" i="55"/>
  <c r="BM22" i="55"/>
  <c r="BN22" i="55" s="1"/>
  <c r="AF22" i="55" a="1"/>
  <c r="AF22" i="55" s="1"/>
  <c r="FZ256" i="56"/>
  <c r="CU256" i="56"/>
  <c r="DI256" i="56"/>
  <c r="EF256" i="56"/>
  <c r="EG256" i="56" s="1"/>
  <c r="IF13" i="56"/>
  <c r="HY13" i="56"/>
  <c r="HX256" i="56"/>
  <c r="IE256" i="56"/>
  <c r="BG20" i="55"/>
  <c r="BI20" i="55"/>
  <c r="BJ20" i="55" s="1"/>
  <c r="BM20" i="55"/>
  <c r="BN20" i="55" s="1"/>
  <c r="AF20" i="55" a="1"/>
  <c r="AF20" i="55" s="1"/>
  <c r="IF148" i="56"/>
  <c r="HY148" i="56"/>
  <c r="CW53" i="56"/>
  <c r="DA53" i="56" s="1"/>
  <c r="DF53" i="56"/>
  <c r="DG53" i="56" s="1"/>
  <c r="IQ53" i="56"/>
  <c r="DU95" i="56"/>
  <c r="P95" i="56" a="1"/>
  <c r="P95" i="56" s="1"/>
  <c r="FA95" i="56"/>
  <c r="HZ339" i="56"/>
  <c r="IG339" i="56"/>
  <c r="IG338" i="56"/>
  <c r="HZ338" i="56"/>
  <c r="BI21" i="55"/>
  <c r="BJ21" i="55" s="1"/>
  <c r="BM21" i="55"/>
  <c r="BN21" i="55" s="1"/>
  <c r="AF21" i="55" a="1"/>
  <c r="AF21" i="55" s="1"/>
  <c r="BG21" i="55"/>
  <c r="IE274" i="56"/>
  <c r="HX274" i="56"/>
  <c r="IE306" i="56"/>
  <c r="HX306" i="56"/>
  <c r="IF82" i="56"/>
  <c r="HY82" i="56"/>
  <c r="GU3" i="56"/>
  <c r="GW3" i="56"/>
  <c r="GP3" i="56"/>
  <c r="IG315" i="56"/>
  <c r="HZ315" i="56"/>
  <c r="IF196" i="56"/>
  <c r="HY196" i="56"/>
  <c r="IF4" i="56"/>
  <c r="HY4" i="56"/>
  <c r="IR309" i="56"/>
  <c r="DU169" i="56"/>
  <c r="P169" i="56" a="1"/>
  <c r="P169" i="56" s="1"/>
  <c r="EF169" i="56"/>
  <c r="EG169" i="56" s="1"/>
  <c r="FA169" i="56"/>
  <c r="EJ141" i="56"/>
  <c r="IG18" i="56"/>
  <c r="HZ18" i="56"/>
  <c r="DB85" i="56" a="1"/>
  <c r="DB85" i="56" s="1"/>
  <c r="DE85" i="56"/>
  <c r="GY85" i="56" s="1"/>
  <c r="HB85" i="56"/>
  <c r="HC85" i="56" s="1"/>
  <c r="AK13" i="55"/>
  <c r="IE259" i="56"/>
  <c r="HX259" i="56"/>
  <c r="IG27" i="56"/>
  <c r="HZ27" i="56"/>
  <c r="FZ141" i="56"/>
  <c r="CU141" i="56"/>
  <c r="DI141" i="56"/>
  <c r="IG28" i="56"/>
  <c r="HZ28" i="56"/>
  <c r="FF341" i="56"/>
  <c r="DF166" i="56"/>
  <c r="DG166" i="56" s="1"/>
  <c r="IR166" i="56"/>
  <c r="IQ166" i="56"/>
  <c r="CW166" i="56"/>
  <c r="DA166" i="56" s="1"/>
  <c r="FS191" i="56"/>
  <c r="FP191" i="56"/>
  <c r="EJ107" i="56"/>
  <c r="GE190" i="56"/>
  <c r="GG190" i="56"/>
  <c r="DY3" i="56" a="1"/>
  <c r="DY3" i="56" s="1"/>
  <c r="DW3" i="56" a="1"/>
  <c r="DW3" i="56" s="1"/>
  <c r="K3" i="56" s="1"/>
  <c r="DX3" i="56" s="1"/>
  <c r="EI3" i="56" s="1"/>
  <c r="DB102" i="56" a="1"/>
  <c r="DB102" i="56" s="1"/>
  <c r="DD102" i="56" s="1"/>
  <c r="DE102" i="56"/>
  <c r="GY102" i="56" s="1"/>
  <c r="HB102" i="56"/>
  <c r="HC102" i="56" s="1"/>
  <c r="GD294" i="56"/>
  <c r="GE294" i="56" s="1"/>
  <c r="CW127" i="56"/>
  <c r="DF127" i="56"/>
  <c r="DG127" i="56" s="1"/>
  <c r="IR127" i="56"/>
  <c r="GE79" i="56"/>
  <c r="GG79" i="56"/>
  <c r="DB155" i="56" a="1"/>
  <c r="DB155" i="56" s="1"/>
  <c r="DD155" i="56" s="1"/>
  <c r="HB155" i="56"/>
  <c r="DE155" i="56"/>
  <c r="GY155" i="56" s="1"/>
  <c r="IG82" i="56"/>
  <c r="HZ82" i="56"/>
  <c r="FZ161" i="56"/>
  <c r="CU161" i="56"/>
  <c r="CY161" i="56" s="1"/>
  <c r="DI161" i="56"/>
  <c r="IE16" i="56"/>
  <c r="HX16" i="56"/>
  <c r="S247" i="56"/>
  <c r="EJ159" i="56"/>
  <c r="S159" i="56"/>
  <c r="S46" i="56"/>
  <c r="DF214" i="56"/>
  <c r="DG214" i="56" s="1"/>
  <c r="IQ214" i="56"/>
  <c r="IR214" i="56"/>
  <c r="CW214" i="56"/>
  <c r="FZ97" i="56"/>
  <c r="CU97" i="56"/>
  <c r="EF97" i="56"/>
  <c r="EG97" i="56" s="1"/>
  <c r="DI97" i="56"/>
  <c r="DB128" i="56" a="1"/>
  <c r="DB128" i="56" s="1"/>
  <c r="DD128" i="56" s="1"/>
  <c r="DE128" i="56"/>
  <c r="GY128" i="56" s="1"/>
  <c r="HB128" i="56"/>
  <c r="IR326" i="56"/>
  <c r="IQ326" i="56"/>
  <c r="CW326" i="56"/>
  <c r="DA326" i="56" s="1"/>
  <c r="DF326" i="56"/>
  <c r="DG326" i="56" s="1"/>
  <c r="AJ22" i="55"/>
  <c r="IQ259" i="56"/>
  <c r="IR259" i="56"/>
  <c r="DF259" i="56"/>
  <c r="DG259" i="56" s="1"/>
  <c r="CW259" i="56"/>
  <c r="EJ284" i="56"/>
  <c r="S284" i="56"/>
  <c r="DU189" i="56"/>
  <c r="FA189" i="56"/>
  <c r="P189" i="56" a="1"/>
  <c r="P189" i="56" s="1"/>
  <c r="GV21" i="56"/>
  <c r="IF34" i="56"/>
  <c r="HY34" i="56"/>
  <c r="HB21" i="56"/>
  <c r="HC21" i="56" s="1"/>
  <c r="IE11" i="56"/>
  <c r="HX11" i="56"/>
  <c r="AN15" i="55"/>
  <c r="EJ299" i="56"/>
  <c r="BM18" i="55"/>
  <c r="BN18" i="55" s="1"/>
  <c r="BG18" i="55"/>
  <c r="BI18" i="55"/>
  <c r="BJ18" i="55" s="1"/>
  <c r="AF18" i="55" a="1"/>
  <c r="AF18" i="55" s="1"/>
  <c r="AQ13" i="55"/>
  <c r="FZ180" i="56"/>
  <c r="CU180" i="56"/>
  <c r="CY180" i="56" s="1"/>
  <c r="DI180" i="56"/>
  <c r="BM11" i="55"/>
  <c r="BN11" i="55" s="1"/>
  <c r="AF11" i="55" a="1"/>
  <c r="AF11" i="55" s="1"/>
  <c r="BI11" i="55"/>
  <c r="BJ11" i="55" s="1"/>
  <c r="BG11" i="55"/>
  <c r="HB333" i="56"/>
  <c r="IE315" i="56"/>
  <c r="HX315" i="56"/>
  <c r="DE101" i="56"/>
  <c r="GY101" i="56" s="1"/>
  <c r="HZ226" i="56"/>
  <c r="IG226" i="56"/>
  <c r="EA50" i="56"/>
  <c r="DZ50" i="56" a="1"/>
  <c r="DZ50" i="56" s="1"/>
  <c r="CW117" i="56"/>
  <c r="DA117" i="56" s="1"/>
  <c r="DF117" i="56"/>
  <c r="DG117" i="56" s="1"/>
  <c r="IQ117" i="56"/>
  <c r="IR117" i="56"/>
  <c r="IE196" i="56"/>
  <c r="HX196" i="56"/>
  <c r="IR80" i="56"/>
  <c r="IQ80" i="56"/>
  <c r="DF80" i="56"/>
  <c r="DG80" i="56" s="1"/>
  <c r="CW80" i="56"/>
  <c r="DA80" i="56" s="1"/>
  <c r="IK3" i="56"/>
  <c r="DB165" i="56" a="1"/>
  <c r="DB165" i="56" s="1"/>
  <c r="DD165" i="56" s="1"/>
  <c r="HB165" i="56"/>
  <c r="DE165" i="56"/>
  <c r="GY165" i="56" s="1"/>
  <c r="EJ50" i="56"/>
  <c r="S50" i="56"/>
  <c r="DB285" i="56" a="1"/>
  <c r="DB285" i="56" s="1"/>
  <c r="DD285" i="56" s="1"/>
  <c r="HB285" i="56"/>
  <c r="BI26" i="55"/>
  <c r="BJ26" i="55" s="1"/>
  <c r="BG26" i="55"/>
  <c r="BM26" i="55"/>
  <c r="BN26" i="55" s="1"/>
  <c r="AF26" i="55" a="1"/>
  <c r="AF26" i="55" s="1"/>
  <c r="DB84" i="56" a="1"/>
  <c r="DB84" i="56" s="1"/>
  <c r="DD84" i="56" s="1"/>
  <c r="HB84" i="56"/>
  <c r="HC84" i="56" s="1"/>
  <c r="DE84" i="56"/>
  <c r="GY84" i="56" s="1"/>
  <c r="EJ250" i="56"/>
  <c r="AL13" i="55"/>
  <c r="IE272" i="56"/>
  <c r="HX272" i="56"/>
  <c r="DU322" i="56"/>
  <c r="FA322" i="56"/>
  <c r="P322" i="56" a="1"/>
  <c r="P322" i="56" s="1"/>
  <c r="IF272" i="56"/>
  <c r="HY272" i="56"/>
  <c r="IQ258" i="56"/>
  <c r="DF258" i="56"/>
  <c r="DG258" i="56" s="1"/>
  <c r="IR258" i="56"/>
  <c r="CW258" i="56"/>
  <c r="IF227" i="56"/>
  <c r="HY227" i="56"/>
  <c r="HX132" i="56"/>
  <c r="IE132" i="56"/>
  <c r="IF11" i="56"/>
  <c r="HY11" i="56"/>
  <c r="IF268" i="56"/>
  <c r="HY268" i="56"/>
  <c r="DU259" i="56"/>
  <c r="EF259" i="56" s="1"/>
  <c r="EG259" i="56" s="1"/>
  <c r="P259" i="56" a="1"/>
  <c r="P259" i="56" s="1"/>
  <c r="FA259" i="56"/>
  <c r="IE290" i="56"/>
  <c r="HX290" i="56"/>
  <c r="FZ308" i="56"/>
  <c r="CU308" i="56"/>
  <c r="CY308" i="56" s="1"/>
  <c r="DI308" i="56"/>
  <c r="IR53" i="56"/>
  <c r="FS293" i="56"/>
  <c r="FP293" i="56"/>
  <c r="HX128" i="56"/>
  <c r="IE128" i="56"/>
  <c r="GQ191" i="56"/>
  <c r="FX191" i="56"/>
  <c r="FP255" i="56"/>
  <c r="FS255" i="56"/>
  <c r="DB303" i="56" a="1"/>
  <c r="DB303" i="56" s="1"/>
  <c r="DD303" i="56" s="1"/>
  <c r="DE303" i="56"/>
  <c r="GY303" i="56" s="1"/>
  <c r="HX189" i="56"/>
  <c r="IE189" i="56"/>
  <c r="EJ57" i="56"/>
  <c r="BI24" i="55"/>
  <c r="BJ24" i="55" s="1"/>
  <c r="BG24" i="55"/>
  <c r="AF24" i="55" a="1"/>
  <c r="AF24" i="55" s="1"/>
  <c r="BM24" i="55"/>
  <c r="BN24" i="55" s="1"/>
  <c r="CW337" i="56"/>
  <c r="DA337" i="56" s="1"/>
  <c r="DF337" i="56"/>
  <c r="DG337" i="56" s="1"/>
  <c r="IQ337" i="56"/>
  <c r="IR337" i="56"/>
  <c r="IF274" i="56"/>
  <c r="HY274" i="56"/>
  <c r="FI292" i="56"/>
  <c r="BM12" i="55"/>
  <c r="BN12" i="55" s="1"/>
  <c r="AF12" i="55" a="1"/>
  <c r="AF12" i="55" s="1"/>
  <c r="BG12" i="55"/>
  <c r="BI12" i="55"/>
  <c r="BJ12" i="55" s="1"/>
  <c r="BI25" i="55"/>
  <c r="BJ25" i="55" s="1"/>
  <c r="BM25" i="55"/>
  <c r="BN25" i="55" s="1"/>
  <c r="BG25" i="55"/>
  <c r="AF25" i="55" a="1"/>
  <c r="AF25" i="55" s="1"/>
  <c r="HZ44" i="56"/>
  <c r="IG44" i="56"/>
  <c r="DU342" i="56"/>
  <c r="FA342" i="56"/>
  <c r="P342" i="56" a="1"/>
  <c r="P342" i="56" s="1"/>
  <c r="IG34" i="56"/>
  <c r="HZ34" i="56"/>
  <c r="FZ188" i="56"/>
  <c r="CU188" i="56"/>
  <c r="DI188" i="56"/>
  <c r="EF188" i="56"/>
  <c r="EG188" i="56" s="1"/>
  <c r="IQ213" i="56"/>
  <c r="DU226" i="56"/>
  <c r="P226" i="56" a="1"/>
  <c r="P226" i="56" s="1"/>
  <c r="FA226" i="56"/>
  <c r="HY241" i="56"/>
  <c r="IF241" i="56"/>
  <c r="S206" i="56"/>
  <c r="IF290" i="56"/>
  <c r="HY290" i="56"/>
  <c r="GW341" i="56"/>
  <c r="GP341" i="56"/>
  <c r="GU341" i="56"/>
  <c r="HS341" i="56" s="1"/>
  <c r="FP325" i="56"/>
  <c r="FS325" i="56"/>
  <c r="DU61" i="56"/>
  <c r="P61" i="56" a="1"/>
  <c r="P61" i="56" s="1"/>
  <c r="EF61" i="56" s="1"/>
  <c r="EG61" i="56" s="1"/>
  <c r="FA61" i="56"/>
  <c r="FZ331" i="56"/>
  <c r="CU331" i="56"/>
  <c r="CY331" i="56" s="1"/>
  <c r="DI331" i="56"/>
  <c r="EF331" i="56"/>
  <c r="EG331" i="56" s="1"/>
  <c r="DU205" i="56"/>
  <c r="FA205" i="56"/>
  <c r="P205" i="56" a="1"/>
  <c r="P205" i="56" s="1"/>
  <c r="GQ91" i="56"/>
  <c r="FX91" i="56"/>
  <c r="FI41" i="56"/>
  <c r="DB22" i="56" a="1"/>
  <c r="DB22" i="56" s="1"/>
  <c r="DD22" i="56" s="1"/>
  <c r="DE22" i="56"/>
  <c r="GY22" i="56" s="1"/>
  <c r="HB22" i="56"/>
  <c r="HC22" i="56" s="1"/>
  <c r="GD282" i="56"/>
  <c r="GE282" i="56" s="1"/>
  <c r="CW245" i="56"/>
  <c r="IQ245" i="56"/>
  <c r="DF245" i="56"/>
  <c r="DG245" i="56" s="1"/>
  <c r="IR245" i="56"/>
  <c r="GG245" i="56"/>
  <c r="DU52" i="56"/>
  <c r="EF52" i="56" s="1"/>
  <c r="EG52" i="56" s="1"/>
  <c r="EJ52" i="56" s="1"/>
  <c r="FA52" i="56"/>
  <c r="DF195" i="56"/>
  <c r="DG195" i="56" s="1"/>
  <c r="CW195" i="56"/>
  <c r="IQ195" i="56"/>
  <c r="IR195" i="56"/>
  <c r="IF338" i="56"/>
  <c r="HY338" i="56"/>
  <c r="CW208" i="56"/>
  <c r="IR208" i="56"/>
  <c r="IQ208" i="56"/>
  <c r="DF208" i="56"/>
  <c r="DG208" i="56" s="1"/>
  <c r="IG299" i="56"/>
  <c r="HZ299" i="56"/>
  <c r="CW306" i="56"/>
  <c r="DA306" i="56" s="1"/>
  <c r="DF306" i="56"/>
  <c r="DG306" i="56" s="1"/>
  <c r="IR306" i="56"/>
  <c r="IQ306" i="56"/>
  <c r="IF192" i="56"/>
  <c r="HY192" i="56"/>
  <c r="FZ100" i="56"/>
  <c r="CU100" i="56"/>
  <c r="EF100" i="56"/>
  <c r="EG100" i="56" s="1"/>
  <c r="DI100" i="56"/>
  <c r="FI43" i="56"/>
  <c r="GP130" i="56"/>
  <c r="GW130" i="56"/>
  <c r="GU130" i="56"/>
  <c r="HS130" i="56" s="1"/>
  <c r="FZ148" i="56"/>
  <c r="CU148" i="56"/>
  <c r="CY148" i="56" s="1"/>
  <c r="G148" i="56" s="1"/>
  <c r="CZ148" i="56" s="1"/>
  <c r="DA148" i="56" s="1"/>
  <c r="DI148" i="56"/>
  <c r="IR21" i="56"/>
  <c r="HZ272" i="56"/>
  <c r="IG272" i="56"/>
  <c r="IG132" i="56"/>
  <c r="HZ132" i="56"/>
  <c r="FZ187" i="56"/>
  <c r="CU187" i="56"/>
  <c r="CY187" i="56" s="1"/>
  <c r="G187" i="56" s="1"/>
  <c r="CZ187" i="56" s="1"/>
  <c r="DA187" i="56" s="1"/>
  <c r="DI187" i="56"/>
  <c r="IR335" i="56"/>
  <c r="IG268" i="56"/>
  <c r="HZ268" i="56"/>
  <c r="IG169" i="56"/>
  <c r="HZ169" i="56"/>
  <c r="HZ267" i="56"/>
  <c r="IG267" i="56"/>
  <c r="FZ321" i="56"/>
  <c r="CU321" i="56"/>
  <c r="IE90" i="56"/>
  <c r="HX90" i="56"/>
  <c r="IE178" i="56"/>
  <c r="HX178" i="56"/>
  <c r="FZ83" i="56"/>
  <c r="CU83" i="56"/>
  <c r="DI83" i="56"/>
  <c r="IQ19" i="56"/>
  <c r="CW19" i="56"/>
  <c r="DA19" i="56" s="1"/>
  <c r="DF19" i="56"/>
  <c r="DG19" i="56" s="1"/>
  <c r="IR19" i="56"/>
  <c r="IE177" i="56"/>
  <c r="HX177" i="56"/>
  <c r="IG290" i="56"/>
  <c r="HZ290" i="56"/>
  <c r="GD183" i="56"/>
  <c r="GE183" i="56" s="1"/>
  <c r="IG51" i="56"/>
  <c r="HZ51" i="56"/>
  <c r="DB299" i="56" a="1"/>
  <c r="DB299" i="56" s="1"/>
  <c r="DD299" i="56" s="1"/>
  <c r="DE299" i="56"/>
  <c r="GY299" i="56" s="1"/>
  <c r="HB299" i="56"/>
  <c r="AL15" i="55"/>
  <c r="IE162" i="56"/>
  <c r="HX162" i="56"/>
  <c r="DB172" i="56" a="1"/>
  <c r="DB172" i="56" s="1"/>
  <c r="DD172" i="56" s="1"/>
  <c r="DE172" i="56"/>
  <c r="GY172" i="56" s="1"/>
  <c r="HB172" i="56"/>
  <c r="IE4" i="56"/>
  <c r="HX4" i="56"/>
  <c r="IF226" i="56"/>
  <c r="HY226" i="56"/>
  <c r="HT184" i="56"/>
  <c r="GU184" i="56"/>
  <c r="HS184" i="56" s="1"/>
  <c r="GW184" i="56"/>
  <c r="GT184" i="56"/>
  <c r="GP184" i="56"/>
  <c r="GP185" i="56" s="1"/>
  <c r="GP186" i="56" s="1"/>
  <c r="HZ323" i="56"/>
  <c r="IG323" i="56"/>
  <c r="IE273" i="56"/>
  <c r="HX273" i="56"/>
  <c r="FS85" i="56"/>
  <c r="FP85" i="56"/>
  <c r="DB123" i="56" a="1"/>
  <c r="DB123" i="56" s="1"/>
  <c r="DD123" i="56" s="1"/>
  <c r="HB123" i="56"/>
  <c r="DE123" i="56"/>
  <c r="GY123" i="56" s="1"/>
  <c r="DF3" i="56"/>
  <c r="DG3" i="56" s="1"/>
  <c r="IQ3" i="56"/>
  <c r="IR3" i="56"/>
  <c r="CW3" i="56"/>
  <c r="IR323" i="56"/>
  <c r="IQ323" i="56"/>
  <c r="GG323" i="56"/>
  <c r="FZ164" i="56"/>
  <c r="CU164" i="56"/>
  <c r="CY164" i="56" s="1"/>
  <c r="EF164" i="56"/>
  <c r="EG164" i="56" s="1"/>
  <c r="DI164" i="56"/>
  <c r="DB156" i="56" a="1"/>
  <c r="DB156" i="56" s="1"/>
  <c r="DD156" i="56" s="1"/>
  <c r="DE156" i="56"/>
  <c r="GY156" i="56" s="1"/>
  <c r="HB156" i="56"/>
  <c r="FZ114" i="56"/>
  <c r="CU114" i="56"/>
  <c r="DI114" i="56"/>
  <c r="IG163" i="56"/>
  <c r="HZ163" i="56"/>
  <c r="DB60" i="56" a="1"/>
  <c r="DB60" i="56" s="1"/>
  <c r="DD60" i="56" s="1"/>
  <c r="DE60" i="56"/>
  <c r="GY60" i="56" s="1"/>
  <c r="HB60" i="56"/>
  <c r="FI337" i="56"/>
  <c r="IQ165" i="56"/>
  <c r="IF96" i="56"/>
  <c r="HY96" i="56"/>
  <c r="P211" i="56" a="1"/>
  <c r="P211" i="56" s="1"/>
  <c r="EF211" i="56" s="1"/>
  <c r="EG211" i="56" s="1"/>
  <c r="IE113" i="56"/>
  <c r="HX113" i="56"/>
  <c r="IF208" i="56"/>
  <c r="HY208" i="56"/>
  <c r="AM22" i="55"/>
  <c r="IE123" i="56"/>
  <c r="HX123" i="56"/>
  <c r="IF284" i="56"/>
  <c r="HY284" i="56"/>
  <c r="IE205" i="56"/>
  <c r="HX205" i="56"/>
  <c r="S311" i="56"/>
  <c r="GD174" i="56"/>
  <c r="GE174" i="56" s="1"/>
  <c r="IR285" i="56"/>
  <c r="IE250" i="56"/>
  <c r="HX250" i="56"/>
  <c r="EJ146" i="56"/>
  <c r="FZ175" i="56"/>
  <c r="CU175" i="56"/>
  <c r="CY175" i="56" s="1"/>
  <c r="DI175" i="56"/>
  <c r="EF175" i="56"/>
  <c r="EG175" i="56" s="1"/>
  <c r="IG102" i="56"/>
  <c r="HZ102" i="56"/>
  <c r="IF281" i="56"/>
  <c r="HY281" i="56"/>
  <c r="IQ112" i="56"/>
  <c r="FZ64" i="56"/>
  <c r="CU64" i="56"/>
  <c r="EF64" i="56"/>
  <c r="EG64" i="56" s="1"/>
  <c r="EJ64" i="56" s="1"/>
  <c r="IG306" i="56"/>
  <c r="HZ306" i="56"/>
  <c r="P157" i="56" a="1"/>
  <c r="P157" i="56" s="1"/>
  <c r="EF157" i="56" s="1"/>
  <c r="EG157" i="56" s="1"/>
  <c r="IR47" i="56"/>
  <c r="EJ279" i="56"/>
  <c r="S279" i="56"/>
  <c r="FI272" i="56"/>
  <c r="IQ95" i="56"/>
  <c r="HZ220" i="56"/>
  <c r="IG220" i="56"/>
  <c r="EJ275" i="56"/>
  <c r="IQ253" i="56"/>
  <c r="IR253" i="56"/>
  <c r="DF253" i="56"/>
  <c r="DG253" i="56" s="1"/>
  <c r="CW253" i="56"/>
  <c r="FI80" i="56"/>
  <c r="GD330" i="56"/>
  <c r="GE330" i="56" s="1"/>
  <c r="GD332" i="56"/>
  <c r="GD333" i="56"/>
  <c r="GD331" i="56"/>
  <c r="GG330" i="56"/>
  <c r="IQ304" i="56"/>
  <c r="AJ25" i="55"/>
  <c r="IE349" i="56"/>
  <c r="HX349" i="56"/>
  <c r="IG297" i="56"/>
  <c r="HZ297" i="56"/>
  <c r="AN24" i="55"/>
  <c r="DU23" i="56"/>
  <c r="FA23" i="56"/>
  <c r="IG213" i="56"/>
  <c r="HZ213" i="56"/>
  <c r="DB159" i="56" a="1"/>
  <c r="DB159" i="56" s="1"/>
  <c r="DD159" i="56" s="1"/>
  <c r="HB159" i="56"/>
  <c r="DE159" i="56"/>
  <c r="GY159" i="56" s="1"/>
  <c r="EJ328" i="56"/>
  <c r="S328" i="56"/>
  <c r="AN26" i="55"/>
  <c r="IQ158" i="56"/>
  <c r="IR158" i="56"/>
  <c r="DF158" i="56"/>
  <c r="DG158" i="56" s="1"/>
  <c r="CW158" i="56"/>
  <c r="DA158" i="56" s="1"/>
  <c r="HV196" i="56"/>
  <c r="GH196" i="56"/>
  <c r="GI196" i="56"/>
  <c r="DB338" i="56" a="1"/>
  <c r="DB338" i="56" s="1"/>
  <c r="DD338" i="56" s="1"/>
  <c r="HB338" i="56"/>
  <c r="DE338" i="56"/>
  <c r="GY338" i="56" s="1"/>
  <c r="HZ296" i="56"/>
  <c r="IG296" i="56"/>
  <c r="DU153" i="56"/>
  <c r="IF72" i="56"/>
  <c r="HY72" i="56"/>
  <c r="DU278" i="56"/>
  <c r="FA278" i="56"/>
  <c r="IE231" i="56"/>
  <c r="HX231" i="56"/>
  <c r="IF38" i="56"/>
  <c r="HY38" i="56"/>
  <c r="DB62" i="56" a="1"/>
  <c r="DB62" i="56" s="1"/>
  <c r="DD62" i="56" s="1"/>
  <c r="DE62" i="56"/>
  <c r="GY62" i="56" s="1"/>
  <c r="HB62" i="56"/>
  <c r="DB164" i="56" a="1"/>
  <c r="DB164" i="56" s="1"/>
  <c r="DD164" i="56" s="1"/>
  <c r="HB164" i="56"/>
  <c r="DE164" i="56"/>
  <c r="GY164" i="56" s="1"/>
  <c r="IG98" i="56"/>
  <c r="HZ98" i="56"/>
  <c r="IF312" i="56"/>
  <c r="HY312" i="56"/>
  <c r="FZ231" i="56"/>
  <c r="CU231" i="56"/>
  <c r="CY231" i="56" s="1"/>
  <c r="G231" i="56" s="1"/>
  <c r="CZ231" i="56" s="1"/>
  <c r="DA231" i="56" s="1"/>
  <c r="DI231" i="56"/>
  <c r="EF231" i="56"/>
  <c r="EG231" i="56" s="1"/>
  <c r="FZ122" i="56"/>
  <c r="CU122" i="56"/>
  <c r="CY122" i="56" s="1"/>
  <c r="DI122" i="56"/>
  <c r="IG109" i="56"/>
  <c r="HZ109" i="56"/>
  <c r="DU140" i="56"/>
  <c r="P140" i="56" a="1"/>
  <c r="P140" i="56" s="1"/>
  <c r="FA140" i="56"/>
  <c r="IF183" i="56"/>
  <c r="HY183" i="56"/>
  <c r="GE202" i="56"/>
  <c r="GG202" i="56"/>
  <c r="S104" i="56"/>
  <c r="AQ18" i="55"/>
  <c r="IQ134" i="56"/>
  <c r="IR134" i="56"/>
  <c r="DF134" i="56"/>
  <c r="DG134" i="56" s="1"/>
  <c r="DF240" i="56"/>
  <c r="DG240" i="56" s="1"/>
  <c r="IR240" i="56"/>
  <c r="IQ240" i="56"/>
  <c r="CW240" i="56"/>
  <c r="IE192" i="56"/>
  <c r="HX192" i="56"/>
  <c r="IQ210" i="56"/>
  <c r="IR210" i="56"/>
  <c r="DF210" i="56"/>
  <c r="DG210" i="56" s="1"/>
  <c r="CW210" i="56"/>
  <c r="FZ49" i="56"/>
  <c r="CU49" i="56"/>
  <c r="CY49" i="56" s="1"/>
  <c r="G49" i="56" s="1"/>
  <c r="CZ49" i="56" s="1"/>
  <c r="DA49" i="56" s="1"/>
  <c r="IF116" i="56"/>
  <c r="HY116" i="56"/>
  <c r="DB288" i="56" a="1"/>
  <c r="DB288" i="56" s="1"/>
  <c r="DD288" i="56" s="1"/>
  <c r="IE169" i="56"/>
  <c r="HX169" i="56"/>
  <c r="DF178" i="56"/>
  <c r="DG178" i="56" s="1"/>
  <c r="IQ178" i="56"/>
  <c r="IR178" i="56"/>
  <c r="CW178" i="56"/>
  <c r="DA178" i="56" s="1"/>
  <c r="IG192" i="56"/>
  <c r="HZ192" i="56"/>
  <c r="FI66" i="56"/>
  <c r="DU148" i="56"/>
  <c r="EF148" i="56" s="1"/>
  <c r="EG148" i="56" s="1"/>
  <c r="FA148" i="56"/>
  <c r="FP277" i="56"/>
  <c r="FS277" i="56"/>
  <c r="DB69" i="56" a="1"/>
  <c r="DB69" i="56" s="1"/>
  <c r="DD69" i="56" s="1"/>
  <c r="DF256" i="56"/>
  <c r="DG256" i="56" s="1"/>
  <c r="IR256" i="56"/>
  <c r="IQ256" i="56"/>
  <c r="CW256" i="56"/>
  <c r="FI96" i="56"/>
  <c r="IF132" i="56"/>
  <c r="HY132" i="56"/>
  <c r="IE18" i="56"/>
  <c r="HX18" i="56"/>
  <c r="IE155" i="56"/>
  <c r="HX155" i="56"/>
  <c r="FZ352" i="56"/>
  <c r="CU352" i="56"/>
  <c r="IE268" i="56"/>
  <c r="HX268" i="56"/>
  <c r="GD120" i="56"/>
  <c r="GD104" i="56"/>
  <c r="GD124" i="56"/>
  <c r="GD125" i="56"/>
  <c r="GD109" i="56"/>
  <c r="GD107" i="56"/>
  <c r="GD113" i="56"/>
  <c r="GD115" i="56"/>
  <c r="GD112" i="56"/>
  <c r="GD116" i="56"/>
  <c r="GD126" i="56"/>
  <c r="GD105" i="56"/>
  <c r="GD114" i="56"/>
  <c r="GD122" i="56"/>
  <c r="GD117" i="56"/>
  <c r="GD123" i="56"/>
  <c r="GD108" i="56"/>
  <c r="GD121" i="56"/>
  <c r="DF105" i="56"/>
  <c r="DG105" i="56" s="1"/>
  <c r="CW105" i="56"/>
  <c r="DA105" i="56" s="1"/>
  <c r="IR105" i="56"/>
  <c r="IQ105" i="56"/>
  <c r="DF292" i="56"/>
  <c r="DG292" i="56" s="1"/>
  <c r="IR292" i="56"/>
  <c r="IQ292" i="56"/>
  <c r="CW292" i="56"/>
  <c r="DA292" i="56" s="1"/>
  <c r="IE161" i="56"/>
  <c r="HX161" i="56"/>
  <c r="FI176" i="56"/>
  <c r="FI291" i="56"/>
  <c r="AP10" i="55"/>
  <c r="IE267" i="56"/>
  <c r="HX267" i="56"/>
  <c r="FI118" i="56"/>
  <c r="FI349" i="56"/>
  <c r="IG90" i="56"/>
  <c r="HZ90" i="56"/>
  <c r="IF178" i="56"/>
  <c r="HY178" i="56"/>
  <c r="DU83" i="56"/>
  <c r="EF83" i="56"/>
  <c r="EG83" i="56" s="1"/>
  <c r="HY315" i="56"/>
  <c r="IF315" i="56"/>
  <c r="IF177" i="56"/>
  <c r="HY177" i="56"/>
  <c r="FZ98" i="56"/>
  <c r="CU98" i="56"/>
  <c r="CY98" i="56" s="1"/>
  <c r="DI98" i="56"/>
  <c r="EF98" i="56"/>
  <c r="EG98" i="56" s="1"/>
  <c r="FI306" i="56"/>
  <c r="IR101" i="56"/>
  <c r="AQ15" i="55"/>
  <c r="IE243" i="56"/>
  <c r="HX243" i="56"/>
  <c r="FZ145" i="56"/>
  <c r="CU145" i="56"/>
  <c r="CY145" i="56" s="1"/>
  <c r="G145" i="56" s="1"/>
  <c r="CZ145" i="56" s="1"/>
  <c r="DA145" i="56" s="1"/>
  <c r="DI145" i="56"/>
  <c r="IG4" i="56"/>
  <c r="HZ4" i="56"/>
  <c r="IF273" i="56"/>
  <c r="HY273" i="56"/>
  <c r="IQ91" i="56"/>
  <c r="IR91" i="56"/>
  <c r="DF91" i="56"/>
  <c r="DG91" i="56" s="1"/>
  <c r="IE82" i="56"/>
  <c r="HX82" i="56"/>
  <c r="IE331" i="56"/>
  <c r="HX331" i="56"/>
  <c r="IR261" i="56"/>
  <c r="FP133" i="56"/>
  <c r="FS133" i="56"/>
  <c r="FI98" i="56"/>
  <c r="HX163" i="56"/>
  <c r="IE163" i="56"/>
  <c r="EC4" i="56"/>
  <c r="EB4" i="56"/>
  <c r="EL4" i="56"/>
  <c r="IE27" i="56"/>
  <c r="HX27" i="56"/>
  <c r="IR165" i="56"/>
  <c r="HZ96" i="56"/>
  <c r="IG96" i="56"/>
  <c r="FI336" i="56"/>
  <c r="IG208" i="56"/>
  <c r="HZ208" i="56"/>
  <c r="AP22" i="55"/>
  <c r="FZ285" i="56"/>
  <c r="CU285" i="56"/>
  <c r="CY285" i="56" s="1"/>
  <c r="IF123" i="56"/>
  <c r="HY123" i="56"/>
  <c r="EI50" i="56"/>
  <c r="IG284" i="56"/>
  <c r="HZ284" i="56"/>
  <c r="IE244" i="56"/>
  <c r="HX244" i="56"/>
  <c r="GD55" i="56"/>
  <c r="GE55" i="56" s="1"/>
  <c r="GD81" i="56"/>
  <c r="GD69" i="56"/>
  <c r="GD75" i="56"/>
  <c r="GD59" i="56"/>
  <c r="GD67" i="56"/>
  <c r="GD82" i="56"/>
  <c r="GD64" i="56"/>
  <c r="GD76" i="56"/>
  <c r="GD72" i="56"/>
  <c r="GD68" i="56"/>
  <c r="GD56" i="56"/>
  <c r="GD61" i="56"/>
  <c r="GD77" i="56"/>
  <c r="GD66" i="56"/>
  <c r="GD85" i="56"/>
  <c r="GD83" i="56"/>
  <c r="GD71" i="56"/>
  <c r="GD60" i="56"/>
  <c r="GD57" i="56"/>
  <c r="GD73" i="56"/>
  <c r="GD65" i="56"/>
  <c r="GD84" i="56"/>
  <c r="GD86" i="56"/>
  <c r="GD70" i="56"/>
  <c r="GQ271" i="56"/>
  <c r="FX271" i="56"/>
  <c r="DU80" i="56"/>
  <c r="EF80" i="56" s="1"/>
  <c r="EG80" i="56" s="1"/>
  <c r="HY205" i="56"/>
  <c r="IF205" i="56"/>
  <c r="IF250" i="56"/>
  <c r="HY250" i="56"/>
  <c r="DB66" i="56" a="1"/>
  <c r="DB66" i="56" s="1"/>
  <c r="DD66" i="56" s="1"/>
  <c r="HB66" i="56"/>
  <c r="DE66" i="56"/>
  <c r="GY66" i="56" s="1"/>
  <c r="FP16" i="56"/>
  <c r="BY21" i="55" s="1" a="1"/>
  <c r="BY21" i="55" s="1"/>
  <c r="FS16" i="56"/>
  <c r="DB111" i="56" a="1"/>
  <c r="DB111" i="56" s="1"/>
  <c r="DD111" i="56" s="1"/>
  <c r="FI28" i="56"/>
  <c r="GG263" i="56"/>
  <c r="IF44" i="56"/>
  <c r="HY44" i="56"/>
  <c r="IG137" i="56"/>
  <c r="HZ137" i="56"/>
  <c r="FZ82" i="56"/>
  <c r="CU82" i="56"/>
  <c r="DI82" i="56"/>
  <c r="DU296" i="56"/>
  <c r="FA296" i="56"/>
  <c r="IG281" i="56"/>
  <c r="HZ281" i="56"/>
  <c r="IE36" i="56"/>
  <c r="HX36" i="56"/>
  <c r="DU216" i="56"/>
  <c r="EF216" i="56" s="1"/>
  <c r="EG216" i="56" s="1"/>
  <c r="FA216" i="56"/>
  <c r="DF95" i="56"/>
  <c r="DG95" i="56" s="1"/>
  <c r="IR95" i="56"/>
  <c r="IF220" i="56"/>
  <c r="HY220" i="56"/>
  <c r="DB99" i="56" a="1"/>
  <c r="DB99" i="56" s="1"/>
  <c r="DD99" i="56" s="1"/>
  <c r="HB99" i="56"/>
  <c r="DE99" i="56"/>
  <c r="GY99" i="56" s="1"/>
  <c r="HY26" i="56"/>
  <c r="IF26" i="56"/>
  <c r="EJ194" i="56"/>
  <c r="FZ273" i="56"/>
  <c r="CU273" i="56"/>
  <c r="EF273" i="56"/>
  <c r="EG273" i="56" s="1"/>
  <c r="DI273" i="56"/>
  <c r="HY189" i="56"/>
  <c r="IF189" i="56"/>
  <c r="EJ43" i="56"/>
  <c r="S43" i="56"/>
  <c r="HV32" i="56"/>
  <c r="GH32" i="56"/>
  <c r="GH33" i="56" s="1"/>
  <c r="GI33" i="56" s="1"/>
  <c r="GJ33" i="56" s="1"/>
  <c r="AP19" i="55"/>
  <c r="AL25" i="55"/>
  <c r="IF349" i="56"/>
  <c r="HY349" i="56"/>
  <c r="IE297" i="56"/>
  <c r="HX297" i="56"/>
  <c r="AO24" i="55"/>
  <c r="DU295" i="56"/>
  <c r="P23" i="56" a="1"/>
  <c r="P23" i="56" s="1"/>
  <c r="IF213" i="56"/>
  <c r="HY213" i="56"/>
  <c r="IQ131" i="56"/>
  <c r="S200" i="56"/>
  <c r="BC21" i="55"/>
  <c r="BB21" i="55"/>
  <c r="BD21" i="55"/>
  <c r="AP26" i="55"/>
  <c r="DU126" i="56"/>
  <c r="FA126" i="56"/>
  <c r="P126" i="56" a="1"/>
  <c r="P126" i="56" s="1"/>
  <c r="EF126" i="56" s="1"/>
  <c r="EG126" i="56" s="1"/>
  <c r="FS326" i="56"/>
  <c r="FP326" i="56"/>
  <c r="FS166" i="56"/>
  <c r="FP166" i="56"/>
  <c r="DU172" i="56"/>
  <c r="FA172" i="56"/>
  <c r="IE73" i="56"/>
  <c r="HX73" i="56"/>
  <c r="IR232" i="56"/>
  <c r="IQ232" i="56"/>
  <c r="DF232" i="56"/>
  <c r="DG232" i="56" s="1"/>
  <c r="CW232" i="56"/>
  <c r="FZ57" i="56"/>
  <c r="CU57" i="56"/>
  <c r="DI57" i="56"/>
  <c r="IE72" i="56"/>
  <c r="HX72" i="56"/>
  <c r="IE87" i="56"/>
  <c r="HX87" i="56"/>
  <c r="IE230" i="56"/>
  <c r="HX230" i="56"/>
  <c r="FI21" i="56"/>
  <c r="FI318" i="56"/>
  <c r="BX22" i="55" s="1"/>
  <c r="IG231" i="56"/>
  <c r="HZ231" i="56"/>
  <c r="IE38" i="56"/>
  <c r="HX38" i="56"/>
  <c r="IE98" i="56"/>
  <c r="HX98" i="56"/>
  <c r="IE328" i="56"/>
  <c r="HX328" i="56"/>
  <c r="DB222" i="56" a="1"/>
  <c r="DB222" i="56" s="1"/>
  <c r="DD222" i="56" s="1"/>
  <c r="HB222" i="56"/>
  <c r="DE222" i="56"/>
  <c r="GY222" i="56" s="1"/>
  <c r="GQ298" i="56"/>
  <c r="FX298" i="56"/>
  <c r="S67" i="56"/>
  <c r="EJ256" i="56"/>
  <c r="DF286" i="56"/>
  <c r="DG286" i="56" s="1"/>
  <c r="IR286" i="56"/>
  <c r="IQ286" i="56"/>
  <c r="CW286" i="56"/>
  <c r="DA286" i="56" s="1"/>
  <c r="EJ178" i="56"/>
  <c r="FZ133" i="56"/>
  <c r="CU133" i="56"/>
  <c r="CY133" i="56" s="1"/>
  <c r="G133" i="56" s="1"/>
  <c r="CZ133" i="56" s="1"/>
  <c r="DA133" i="56" s="1"/>
  <c r="EF285" i="56"/>
  <c r="EG285" i="56" s="1"/>
  <c r="EJ285" i="56" s="1"/>
  <c r="FS214" i="56"/>
  <c r="FP214" i="56"/>
  <c r="DB177" i="56" a="1"/>
  <c r="DB177" i="56" s="1"/>
  <c r="DD177" i="56" s="1"/>
  <c r="HB177" i="56"/>
  <c r="DE177" i="56"/>
  <c r="GY177" i="56" s="1"/>
  <c r="EJ241" i="56"/>
  <c r="EJ100" i="56"/>
  <c r="HZ72" i="56"/>
  <c r="IG72" i="56"/>
  <c r="IF87" i="56"/>
  <c r="HY87" i="56"/>
  <c r="IF230" i="56"/>
  <c r="HY230" i="56"/>
  <c r="DB319" i="56" a="1"/>
  <c r="DB319" i="56" s="1"/>
  <c r="DD319" i="56" s="1"/>
  <c r="HB319" i="56"/>
  <c r="DE319" i="56"/>
  <c r="GY319" i="56" s="1"/>
  <c r="FS84" i="56"/>
  <c r="FP84" i="56"/>
  <c r="DU238" i="56"/>
  <c r="P238" i="56" a="1"/>
  <c r="P238" i="56" s="1"/>
  <c r="IR284" i="56"/>
  <c r="IQ284" i="56"/>
  <c r="DF284" i="56"/>
  <c r="DG284" i="56" s="1"/>
  <c r="IF95" i="56"/>
  <c r="HY95" i="56"/>
  <c r="IF98" i="56"/>
  <c r="HY98" i="56"/>
  <c r="IF328" i="56"/>
  <c r="HY328" i="56"/>
  <c r="S16" i="56"/>
  <c r="FI101" i="56"/>
  <c r="EJ41" i="56"/>
  <c r="S41" i="56"/>
  <c r="IE154" i="56"/>
  <c r="HX154" i="56"/>
  <c r="FZ118" i="56"/>
  <c r="CU118" i="56"/>
  <c r="DI118" i="56"/>
  <c r="S352" i="56"/>
  <c r="DB75" i="56" a="1"/>
  <c r="DB75" i="56" s="1"/>
  <c r="DD75" i="56" s="1"/>
  <c r="DE75" i="56"/>
  <c r="GY75" i="56" s="1"/>
  <c r="HB75" i="56"/>
  <c r="CW94" i="56"/>
  <c r="DA94" i="56" s="1"/>
  <c r="IQ94" i="56"/>
  <c r="IR94" i="56"/>
  <c r="DF94" i="56"/>
  <c r="DG94" i="56" s="1"/>
  <c r="EJ196" i="56"/>
  <c r="FZ168" i="56"/>
  <c r="CU168" i="56"/>
  <c r="CY168" i="56" s="1"/>
  <c r="DI168" i="56"/>
  <c r="IE339" i="56"/>
  <c r="HX339" i="56"/>
  <c r="FZ216" i="56"/>
  <c r="CU216" i="56"/>
  <c r="DI216" i="56"/>
  <c r="EJ225" i="56"/>
  <c r="IF256" i="56"/>
  <c r="HY256" i="56"/>
  <c r="IE26" i="56"/>
  <c r="HX26" i="56"/>
  <c r="IR264" i="56"/>
  <c r="IQ264" i="56"/>
  <c r="DF264" i="56"/>
  <c r="DG264" i="56" s="1"/>
  <c r="CW264" i="56"/>
  <c r="GD7" i="56"/>
  <c r="GE7" i="56" s="1"/>
  <c r="GD16" i="56"/>
  <c r="GD13" i="56"/>
  <c r="GD24" i="56"/>
  <c r="FZ209" i="56"/>
  <c r="CU209" i="56"/>
  <c r="CY209" i="56" s="1"/>
  <c r="G209" i="56" s="1"/>
  <c r="CZ209" i="56" s="1"/>
  <c r="DA209" i="56" s="1"/>
  <c r="DI209" i="56"/>
  <c r="IQ32" i="56"/>
  <c r="IF151" i="56"/>
  <c r="HY151" i="56"/>
  <c r="FZ181" i="56"/>
  <c r="CU181" i="56"/>
  <c r="HV313" i="56"/>
  <c r="GH313" i="56"/>
  <c r="GI313" i="56"/>
  <c r="GJ313" i="56" s="1"/>
  <c r="HY73" i="56"/>
  <c r="IF73" i="56"/>
  <c r="IF231" i="56"/>
  <c r="HY231" i="56"/>
  <c r="IE286" i="56"/>
  <c r="HX286" i="56"/>
  <c r="HZ328" i="56"/>
  <c r="IG328" i="56"/>
  <c r="FP122" i="56"/>
  <c r="FS122" i="56"/>
  <c r="DB287" i="56" a="1"/>
  <c r="DB287" i="56" s="1"/>
  <c r="DD287" i="56" s="1"/>
  <c r="DE287" i="56"/>
  <c r="GY287" i="56" s="1"/>
  <c r="HB287" i="56"/>
  <c r="CW5" i="56"/>
  <c r="DA5" i="56" s="1"/>
  <c r="DF5" i="56"/>
  <c r="DG5" i="56" s="1"/>
  <c r="IQ5" i="56"/>
  <c r="IR5" i="56"/>
  <c r="GG251" i="56"/>
  <c r="GE251" i="56"/>
  <c r="FS207" i="56"/>
  <c r="FP207" i="56"/>
  <c r="IG249" i="56"/>
  <c r="HZ249" i="56"/>
  <c r="DU81" i="56"/>
  <c r="FS341" i="56"/>
  <c r="FP341" i="56"/>
  <c r="AM19" i="55"/>
  <c r="IF217" i="56"/>
  <c r="HY217" i="56"/>
  <c r="S72" i="56"/>
  <c r="IG230" i="56"/>
  <c r="HZ230" i="56"/>
  <c r="IE271" i="56"/>
  <c r="HX271" i="56"/>
  <c r="S47" i="56"/>
  <c r="HX97" i="56"/>
  <c r="IE97" i="56"/>
  <c r="HZ35" i="56"/>
  <c r="IG35" i="56"/>
  <c r="IF112" i="56"/>
  <c r="HY112" i="56"/>
  <c r="HZ227" i="56"/>
  <c r="IG227" i="56"/>
  <c r="S285" i="56"/>
  <c r="HY83" i="56"/>
  <c r="IF83" i="56"/>
  <c r="IG64" i="56"/>
  <c r="HZ64" i="56"/>
  <c r="IF18" i="56"/>
  <c r="HY18" i="56"/>
  <c r="IE34" i="56"/>
  <c r="HX34" i="56"/>
  <c r="IG155" i="56"/>
  <c r="HZ155" i="56"/>
  <c r="DF317" i="56"/>
  <c r="DG317" i="56" s="1"/>
  <c r="IR317" i="56"/>
  <c r="IQ317" i="56"/>
  <c r="CW317" i="56"/>
  <c r="DA317" i="56" s="1"/>
  <c r="DF204" i="56"/>
  <c r="DG204" i="56" s="1"/>
  <c r="IQ204" i="56"/>
  <c r="IR204" i="56"/>
  <c r="HZ148" i="56"/>
  <c r="IG148" i="56"/>
  <c r="IQ113" i="56"/>
  <c r="IR113" i="56"/>
  <c r="DF113" i="56"/>
  <c r="DG113" i="56" s="1"/>
  <c r="CW113" i="56"/>
  <c r="DA113" i="56" s="1"/>
  <c r="IE144" i="56"/>
  <c r="HX144" i="56"/>
  <c r="IQ68" i="56"/>
  <c r="IR68" i="56"/>
  <c r="DF68" i="56"/>
  <c r="DG68" i="56" s="1"/>
  <c r="CW68" i="56"/>
  <c r="DA68" i="56" s="1"/>
  <c r="AJ10" i="55"/>
  <c r="IE197" i="56"/>
  <c r="HX197" i="56"/>
  <c r="DF330" i="56"/>
  <c r="DG330" i="56" s="1"/>
  <c r="IQ330" i="56"/>
  <c r="IR330" i="56"/>
  <c r="IF233" i="56"/>
  <c r="HY233" i="56"/>
  <c r="IE258" i="56"/>
  <c r="HX258" i="56"/>
  <c r="IG196" i="56"/>
  <c r="HZ196" i="56"/>
  <c r="IG209" i="56"/>
  <c r="HZ209" i="56"/>
  <c r="FZ34" i="56"/>
  <c r="CU34" i="56"/>
  <c r="DI34" i="56"/>
  <c r="DF235" i="56"/>
  <c r="DG235" i="56" s="1"/>
  <c r="IQ235" i="56"/>
  <c r="IR235" i="56"/>
  <c r="CW235" i="56"/>
  <c r="IF115" i="56"/>
  <c r="HY115" i="56"/>
  <c r="IG331" i="56"/>
  <c r="HZ331" i="56"/>
  <c r="IF259" i="56"/>
  <c r="HY259" i="56"/>
  <c r="DB26" i="56" a="1"/>
  <c r="DB26" i="56" s="1"/>
  <c r="DD26" i="56" s="1"/>
  <c r="HB26" i="56"/>
  <c r="HC26" i="56" s="1"/>
  <c r="DE26" i="56"/>
  <c r="GY26" i="56" s="1"/>
  <c r="IE211" i="56"/>
  <c r="HX211" i="56"/>
  <c r="IF65" i="56"/>
  <c r="HY65" i="56"/>
  <c r="IE352" i="56"/>
  <c r="HX352" i="56"/>
  <c r="IF16" i="56"/>
  <c r="HY16" i="56"/>
  <c r="IF81" i="56"/>
  <c r="HY81" i="56"/>
  <c r="DF97" i="56"/>
  <c r="DG97" i="56" s="1"/>
  <c r="IQ97" i="56"/>
  <c r="IR97" i="56"/>
  <c r="IE320" i="56"/>
  <c r="HX320" i="56"/>
  <c r="IF128" i="56"/>
  <c r="HY128" i="56"/>
  <c r="AN22" i="55"/>
  <c r="GD350" i="56"/>
  <c r="GE350" i="56" s="1"/>
  <c r="FZ217" i="56"/>
  <c r="CU217" i="56"/>
  <c r="EF217" i="56"/>
  <c r="EG217" i="56" s="1"/>
  <c r="HX13" i="56"/>
  <c r="IE13" i="56"/>
  <c r="IF172" i="56"/>
  <c r="HY172" i="56"/>
  <c r="FZ84" i="56"/>
  <c r="CU84" i="56"/>
  <c r="CY84" i="56" s="1"/>
  <c r="HV325" i="56"/>
  <c r="GH325" i="56"/>
  <c r="GT325" i="56" s="1"/>
  <c r="FI171" i="56"/>
  <c r="S30" i="56"/>
  <c r="DF54" i="56"/>
  <c r="DG54" i="56" s="1"/>
  <c r="IR54" i="56"/>
  <c r="IQ54" i="56"/>
  <c r="GG54" i="56"/>
  <c r="CW54" i="56"/>
  <c r="DA54" i="56" s="1"/>
  <c r="IR77" i="56"/>
  <c r="IQ77" i="56"/>
  <c r="DF77" i="56"/>
  <c r="DG77" i="56" s="1"/>
  <c r="CW77" i="56"/>
  <c r="DA77" i="56" s="1"/>
  <c r="IE10" i="56"/>
  <c r="HX10" i="56"/>
  <c r="IF266" i="56"/>
  <c r="HY266" i="56"/>
  <c r="IF28" i="56"/>
  <c r="HY28" i="56"/>
  <c r="DU352" i="56"/>
  <c r="EF352" i="56" s="1"/>
  <c r="EG352" i="56" s="1"/>
  <c r="EJ352" i="56" s="1"/>
  <c r="FI225" i="56"/>
  <c r="P115" i="56" a="1"/>
  <c r="P115" i="56" s="1"/>
  <c r="IF339" i="56"/>
  <c r="HY339" i="56"/>
  <c r="IQ303" i="56"/>
  <c r="FZ301" i="56"/>
  <c r="CU301" i="56"/>
  <c r="CY301" i="56" s="1"/>
  <c r="IG256" i="56"/>
  <c r="HZ256" i="56"/>
  <c r="IG68" i="56"/>
  <c r="HZ68" i="56"/>
  <c r="HX125" i="56"/>
  <c r="IE125" i="56"/>
  <c r="DF92" i="56"/>
  <c r="DG92" i="56" s="1"/>
  <c r="IQ92" i="56"/>
  <c r="IR92" i="56"/>
  <c r="CW92" i="56"/>
  <c r="DA92" i="56" s="1"/>
  <c r="IG26" i="56"/>
  <c r="HZ26" i="56"/>
  <c r="IF249" i="56"/>
  <c r="HY249" i="56"/>
  <c r="IF324" i="56"/>
  <c r="HY324" i="56"/>
  <c r="GD58" i="56"/>
  <c r="GE58" i="56" s="1"/>
  <c r="HZ189" i="56"/>
  <c r="IG189" i="56"/>
  <c r="CW327" i="56"/>
  <c r="DA327" i="56" s="1"/>
  <c r="DF327" i="56"/>
  <c r="DG327" i="56" s="1"/>
  <c r="IQ327" i="56"/>
  <c r="IR327" i="56"/>
  <c r="IG219" i="56"/>
  <c r="HZ219" i="56"/>
  <c r="P81" i="56" a="1"/>
  <c r="P81" i="56" s="1"/>
  <c r="IF141" i="56"/>
  <c r="HY141" i="56"/>
  <c r="IR48" i="56"/>
  <c r="AQ24" i="55"/>
  <c r="IG151" i="56"/>
  <c r="HZ151" i="56"/>
  <c r="IE37" i="56"/>
  <c r="HX37" i="56"/>
  <c r="FI26" i="56"/>
  <c r="DB115" i="56" a="1"/>
  <c r="DB115" i="56" s="1"/>
  <c r="DD115" i="56" s="1"/>
  <c r="DE115" i="56"/>
  <c r="GY115" i="56" s="1"/>
  <c r="HB115" i="56"/>
  <c r="FP229" i="56"/>
  <c r="FS229" i="56"/>
  <c r="FI192" i="56"/>
  <c r="IE64" i="56"/>
  <c r="HX64" i="56"/>
  <c r="FZ192" i="56"/>
  <c r="CU192" i="56"/>
  <c r="CY192" i="56" s="1"/>
  <c r="G192" i="56" s="1"/>
  <c r="CZ192" i="56" s="1"/>
  <c r="DA192" i="56" s="1"/>
  <c r="EF192" i="56"/>
  <c r="EG192" i="56" s="1"/>
  <c r="FS288" i="56"/>
  <c r="FP288" i="56"/>
  <c r="IR301" i="56"/>
  <c r="IQ301" i="56"/>
  <c r="CW301" i="56"/>
  <c r="DA301" i="56" s="1"/>
  <c r="AL12" i="55"/>
  <c r="FZ108" i="56"/>
  <c r="CU108" i="56"/>
  <c r="CY108" i="56" s="1"/>
  <c r="DI108" i="56"/>
  <c r="IF144" i="56"/>
  <c r="HY144" i="56"/>
  <c r="IG147" i="56"/>
  <c r="HZ147" i="56"/>
  <c r="IG197" i="56"/>
  <c r="HZ197" i="56"/>
  <c r="IE202" i="56"/>
  <c r="HX202" i="56"/>
  <c r="IG233" i="56"/>
  <c r="HZ233" i="56"/>
  <c r="IE257" i="56"/>
  <c r="HX257" i="56"/>
  <c r="IF258" i="56"/>
  <c r="HY258" i="56"/>
  <c r="HX209" i="56"/>
  <c r="IE209" i="56"/>
  <c r="FZ258" i="56"/>
  <c r="CU258" i="56"/>
  <c r="DI258" i="56"/>
  <c r="EF258" i="56"/>
  <c r="EG258" i="56" s="1"/>
  <c r="DU308" i="56"/>
  <c r="EF308" i="56" s="1"/>
  <c r="EG308" i="56" s="1"/>
  <c r="FA308" i="56"/>
  <c r="CW163" i="56"/>
  <c r="DA163" i="56" s="1"/>
  <c r="DF163" i="56"/>
  <c r="DG163" i="56" s="1"/>
  <c r="IQ163" i="56"/>
  <c r="IR163" i="56"/>
  <c r="IG195" i="56"/>
  <c r="HZ195" i="56"/>
  <c r="FI227" i="56"/>
  <c r="IR51" i="56"/>
  <c r="IQ51" i="56"/>
  <c r="DF51" i="56"/>
  <c r="DG51" i="56" s="1"/>
  <c r="CW51" i="56"/>
  <c r="FI241" i="56"/>
  <c r="IE337" i="56"/>
  <c r="HX337" i="56"/>
  <c r="DF261" i="56"/>
  <c r="DG261" i="56" s="1"/>
  <c r="FZ260" i="56"/>
  <c r="CU260" i="56"/>
  <c r="CY260" i="56" s="1"/>
  <c r="G260" i="56" s="1"/>
  <c r="CZ260" i="56" s="1"/>
  <c r="DA260" i="56" s="1"/>
  <c r="DI260" i="56"/>
  <c r="EF260" i="56"/>
  <c r="EG260" i="56" s="1"/>
  <c r="IG259" i="56"/>
  <c r="HZ259" i="56"/>
  <c r="IF211" i="56"/>
  <c r="HY211" i="56"/>
  <c r="FA83" i="56"/>
  <c r="IE65" i="56"/>
  <c r="HX65" i="56"/>
  <c r="IF352" i="56"/>
  <c r="HY352" i="56"/>
  <c r="IG16" i="56"/>
  <c r="HZ16" i="56"/>
  <c r="GD286" i="56"/>
  <c r="GE286" i="56" s="1"/>
  <c r="GD308" i="56"/>
  <c r="GD298" i="56"/>
  <c r="GD293" i="56"/>
  <c r="GD305" i="56"/>
  <c r="GD296" i="56"/>
  <c r="GD297" i="56"/>
  <c r="GD312" i="56"/>
  <c r="GD299" i="56"/>
  <c r="GD290" i="56"/>
  <c r="GD287" i="56"/>
  <c r="GD292" i="56"/>
  <c r="GD306" i="56"/>
  <c r="GD311" i="56"/>
  <c r="GD307" i="56"/>
  <c r="GD301" i="56"/>
  <c r="GD295" i="56"/>
  <c r="GD289" i="56"/>
  <c r="GD288" i="56"/>
  <c r="GD291" i="56"/>
  <c r="GD300" i="56"/>
  <c r="GD309" i="56"/>
  <c r="IG275" i="56"/>
  <c r="HZ275" i="56"/>
  <c r="IG274" i="56"/>
  <c r="HZ274" i="56"/>
  <c r="FZ212" i="56"/>
  <c r="CU212" i="56"/>
  <c r="CY212" i="56" s="1"/>
  <c r="G212" i="56" s="1"/>
  <c r="CZ212" i="56" s="1"/>
  <c r="DA212" i="56" s="1"/>
  <c r="DI212" i="56"/>
  <c r="FI81" i="56"/>
  <c r="IF320" i="56"/>
  <c r="HY320" i="56"/>
  <c r="IG128" i="56"/>
  <c r="HZ128" i="56"/>
  <c r="CW91" i="56"/>
  <c r="DA91" i="56" s="1"/>
  <c r="EJ90" i="56"/>
  <c r="FI107" i="56"/>
  <c r="IG13" i="56"/>
  <c r="HZ13" i="56"/>
  <c r="DU84" i="56"/>
  <c r="EF84" i="56" s="1"/>
  <c r="EG84" i="56" s="1"/>
  <c r="FA84" i="56"/>
  <c r="FP197" i="56"/>
  <c r="FS197" i="56"/>
  <c r="IQ192" i="56"/>
  <c r="S103" i="56"/>
  <c r="FZ220" i="56"/>
  <c r="DB15" i="56" a="1"/>
  <c r="DB15" i="56" s="1"/>
  <c r="DD15" i="56" s="1"/>
  <c r="HB15" i="56"/>
  <c r="HC15" i="56" s="1"/>
  <c r="DE15" i="56"/>
  <c r="GY15" i="56" s="1"/>
  <c r="CW134" i="56"/>
  <c r="EJ131" i="56"/>
  <c r="HY10" i="56"/>
  <c r="IF10" i="56"/>
  <c r="IQ128" i="56"/>
  <c r="FS223" i="56"/>
  <c r="FP223" i="56"/>
  <c r="S3" i="56"/>
  <c r="GG240" i="56"/>
  <c r="DU141" i="56"/>
  <c r="EF141" i="56"/>
  <c r="EG141" i="56" s="1"/>
  <c r="IE28" i="56"/>
  <c r="HX28" i="56"/>
  <c r="FI250" i="56"/>
  <c r="EJ11" i="56"/>
  <c r="S11" i="56"/>
  <c r="GD74" i="56"/>
  <c r="GE74" i="56" s="1"/>
  <c r="IR333" i="56"/>
  <c r="IE66" i="56"/>
  <c r="HX66" i="56"/>
  <c r="DI64" i="56"/>
  <c r="FI48" i="56"/>
  <c r="IE204" i="56"/>
  <c r="HX204" i="56"/>
  <c r="IQ272" i="56"/>
  <c r="IR303" i="56"/>
  <c r="DU301" i="56"/>
  <c r="EF301" i="56" s="1"/>
  <c r="EG301" i="56" s="1"/>
  <c r="DF348" i="56"/>
  <c r="DG348" i="56" s="1"/>
  <c r="IQ348" i="56"/>
  <c r="IR348" i="56"/>
  <c r="CW348" i="56"/>
  <c r="DA348" i="56" s="1"/>
  <c r="EF145" i="56"/>
  <c r="EG145" i="56" s="1"/>
  <c r="IE68" i="56"/>
  <c r="HX68" i="56"/>
  <c r="IF125" i="56"/>
  <c r="HY125" i="56"/>
  <c r="FZ138" i="56"/>
  <c r="CU138" i="56"/>
  <c r="CY138" i="56" s="1"/>
  <c r="G138" i="56" s="1"/>
  <c r="CZ138" i="56" s="1"/>
  <c r="DA138" i="56" s="1"/>
  <c r="DI138" i="56"/>
  <c r="IQ9" i="56"/>
  <c r="IR9" i="56"/>
  <c r="DF9" i="56"/>
  <c r="DG9" i="56" s="1"/>
  <c r="CW9" i="56"/>
  <c r="DA9" i="56" s="1"/>
  <c r="IF61" i="56"/>
  <c r="HY61" i="56"/>
  <c r="IE219" i="56"/>
  <c r="HX219" i="56"/>
  <c r="HV341" i="56"/>
  <c r="GH341" i="56"/>
  <c r="IE75" i="56"/>
  <c r="HX75" i="56"/>
  <c r="DU240" i="56"/>
  <c r="EF240" i="56" s="1"/>
  <c r="EG240" i="56" s="1"/>
  <c r="AN16" i="55"/>
  <c r="S302" i="56"/>
  <c r="FZ136" i="56"/>
  <c r="CU136" i="56"/>
  <c r="CY136" i="56" s="1"/>
  <c r="G136" i="56" s="1"/>
  <c r="CZ136" i="56" s="1"/>
  <c r="DA136" i="56" s="1"/>
  <c r="DI136" i="56"/>
  <c r="EF136" i="56"/>
  <c r="EG136" i="56" s="1"/>
  <c r="IR32" i="56"/>
  <c r="FI61" i="56"/>
  <c r="IE269" i="56"/>
  <c r="HX269" i="56"/>
  <c r="DU346" i="56"/>
  <c r="P346" i="56" a="1"/>
  <c r="P346" i="56" s="1"/>
  <c r="FA346" i="56"/>
  <c r="IE151" i="56"/>
  <c r="HX151" i="56"/>
  <c r="DU167" i="56"/>
  <c r="P167" i="56" a="1"/>
  <c r="P167" i="56" s="1"/>
  <c r="FA167" i="56"/>
  <c r="HV49" i="56"/>
  <c r="EJ292" i="56"/>
  <c r="FP102" i="56"/>
  <c r="FS102" i="56"/>
  <c r="FI58" i="56"/>
  <c r="IE166" i="56"/>
  <c r="HX166" i="56"/>
  <c r="IG341" i="56"/>
  <c r="HZ341" i="56"/>
  <c r="IF286" i="56"/>
  <c r="HY286" i="56"/>
  <c r="AN21" i="55"/>
  <c r="HZ185" i="56"/>
  <c r="IG185" i="56"/>
  <c r="HZ24" i="56"/>
  <c r="IG24" i="56"/>
  <c r="DI321" i="56"/>
  <c r="DI217" i="56"/>
  <c r="EJ288" i="56"/>
  <c r="FI352" i="56"/>
  <c r="IG286" i="56"/>
  <c r="HZ286" i="56"/>
  <c r="FI56" i="56"/>
  <c r="IE152" i="56"/>
  <c r="HX152" i="56"/>
  <c r="DB183" i="56" a="1"/>
  <c r="DB183" i="56" s="1"/>
  <c r="DD183" i="56" s="1"/>
  <c r="HB183" i="56"/>
  <c r="DE183" i="56"/>
  <c r="GY183" i="56" s="1"/>
  <c r="IF35" i="56"/>
  <c r="HY35" i="56"/>
  <c r="IG84" i="56"/>
  <c r="HZ84" i="56"/>
  <c r="IE131" i="56"/>
  <c r="HX131" i="56"/>
  <c r="IF179" i="56"/>
  <c r="HY179" i="56"/>
  <c r="IF64" i="56"/>
  <c r="HY64" i="56"/>
  <c r="FI139" i="56"/>
  <c r="FZ89" i="56"/>
  <c r="CU89" i="56"/>
  <c r="CY89" i="56" s="1"/>
  <c r="DI89" i="56"/>
  <c r="EF89" i="56"/>
  <c r="EG89" i="56" s="1"/>
  <c r="HZ93" i="56"/>
  <c r="IG93" i="56"/>
  <c r="AM12" i="55"/>
  <c r="P33" i="56" a="1"/>
  <c r="P33" i="56" s="1"/>
  <c r="AK10" i="55"/>
  <c r="IE203" i="56"/>
  <c r="HX203" i="56"/>
  <c r="IE199" i="56"/>
  <c r="HX199" i="56"/>
  <c r="IF202" i="56"/>
  <c r="HY202" i="56"/>
  <c r="IF257" i="56"/>
  <c r="HY257" i="56"/>
  <c r="FZ288" i="56"/>
  <c r="CU288" i="56"/>
  <c r="CY288" i="56" s="1"/>
  <c r="FZ128" i="56"/>
  <c r="CU128" i="56"/>
  <c r="CY128" i="56" s="1"/>
  <c r="FI244" i="56"/>
  <c r="DI181" i="56"/>
  <c r="FZ194" i="56"/>
  <c r="CU194" i="56"/>
  <c r="CY194" i="56" s="1"/>
  <c r="G194" i="56" s="1"/>
  <c r="CZ194" i="56" s="1"/>
  <c r="DA194" i="56" s="1"/>
  <c r="DI194" i="56"/>
  <c r="CW291" i="56"/>
  <c r="DA291" i="56" s="1"/>
  <c r="DF291" i="56"/>
  <c r="DG291" i="56" s="1"/>
  <c r="IQ291" i="56"/>
  <c r="IR291" i="56"/>
  <c r="FZ144" i="56"/>
  <c r="CU144" i="56"/>
  <c r="CY144" i="56" s="1"/>
  <c r="G144" i="56" s="1"/>
  <c r="CZ144" i="56" s="1"/>
  <c r="DA144" i="56" s="1"/>
  <c r="EF144" i="56"/>
  <c r="EG144" i="56" s="1"/>
  <c r="IR66" i="56"/>
  <c r="DF66" i="56"/>
  <c r="DG66" i="56" s="1"/>
  <c r="IQ66" i="56"/>
  <c r="IE195" i="56"/>
  <c r="HX195" i="56"/>
  <c r="IE292" i="56"/>
  <c r="HX292" i="56"/>
  <c r="IR85" i="56"/>
  <c r="IG337" i="56"/>
  <c r="HZ337" i="56"/>
  <c r="CW202" i="56"/>
  <c r="CU67" i="56"/>
  <c r="CY67" i="56" s="1"/>
  <c r="DI67" i="56"/>
  <c r="IG352" i="56"/>
  <c r="HZ352" i="56"/>
  <c r="EF187" i="56"/>
  <c r="EG187" i="56" s="1"/>
  <c r="IR179" i="56"/>
  <c r="CW179" i="56"/>
  <c r="DA179" i="56" s="1"/>
  <c r="FI315" i="56"/>
  <c r="GQ109" i="56"/>
  <c r="IG320" i="56"/>
  <c r="HZ320" i="56"/>
  <c r="IQ211" i="56"/>
  <c r="IR211" i="56"/>
  <c r="DF211" i="56"/>
  <c r="DG211" i="56" s="1"/>
  <c r="CW211" i="56"/>
  <c r="DF27" i="56"/>
  <c r="DG27" i="56" s="1"/>
  <c r="IQ27" i="56"/>
  <c r="IR27" i="56"/>
  <c r="FZ255" i="56"/>
  <c r="CU255" i="56"/>
  <c r="CY255" i="56" s="1"/>
  <c r="G255" i="56" s="1"/>
  <c r="CZ255" i="56" s="1"/>
  <c r="DA255" i="56" s="1"/>
  <c r="HX172" i="56"/>
  <c r="IE172" i="56"/>
  <c r="HY42" i="56"/>
  <c r="IF42" i="56"/>
  <c r="DI192" i="56"/>
  <c r="EJ54" i="56"/>
  <c r="FS271" i="56"/>
  <c r="FP271" i="56"/>
  <c r="HX317" i="56"/>
  <c r="IE317" i="56"/>
  <c r="DU264" i="56"/>
  <c r="FA264" i="56"/>
  <c r="DF124" i="56"/>
  <c r="DG124" i="56" s="1"/>
  <c r="IR124" i="56"/>
  <c r="IQ124" i="56"/>
  <c r="DI285" i="56"/>
  <c r="IG10" i="56"/>
  <c r="HZ10" i="56"/>
  <c r="FI267" i="56"/>
  <c r="S253" i="56"/>
  <c r="IR128" i="56"/>
  <c r="IG266" i="56"/>
  <c r="HZ266" i="56"/>
  <c r="IF29" i="56"/>
  <c r="HY29" i="56"/>
  <c r="IF188" i="56"/>
  <c r="HY188" i="56"/>
  <c r="IF66" i="56"/>
  <c r="HY66" i="56"/>
  <c r="S220" i="56"/>
  <c r="IQ255" i="56"/>
  <c r="FP224" i="56"/>
  <c r="FS224" i="56"/>
  <c r="DU314" i="56"/>
  <c r="P314" i="56" a="1"/>
  <c r="P314" i="56" s="1"/>
  <c r="FZ65" i="56"/>
  <c r="CU65" i="56"/>
  <c r="CY65" i="56" s="1"/>
  <c r="DI65" i="56"/>
  <c r="EF65" i="56"/>
  <c r="EG65" i="56" s="1"/>
  <c r="P221" i="56" a="1"/>
  <c r="P221" i="56" s="1"/>
  <c r="DF252" i="56"/>
  <c r="DG252" i="56" s="1"/>
  <c r="IR252" i="56"/>
  <c r="IQ252" i="56"/>
  <c r="CW252" i="56"/>
  <c r="P172" i="56" a="1"/>
  <c r="P172" i="56" s="1"/>
  <c r="FI16" i="56"/>
  <c r="HY68" i="56"/>
  <c r="IF68" i="56"/>
  <c r="IG125" i="56"/>
  <c r="HZ125" i="56"/>
  <c r="IE324" i="56"/>
  <c r="HX324" i="56"/>
  <c r="FS351" i="56"/>
  <c r="FP351" i="56"/>
  <c r="IE61" i="56"/>
  <c r="HX61" i="56"/>
  <c r="DF268" i="56"/>
  <c r="DG268" i="56" s="1"/>
  <c r="IR268" i="56"/>
  <c r="IQ268" i="56"/>
  <c r="DF42" i="56"/>
  <c r="DG42" i="56" s="1"/>
  <c r="IQ42" i="56"/>
  <c r="IR42" i="56"/>
  <c r="IF33" i="56"/>
  <c r="HY33" i="56"/>
  <c r="IF219" i="56"/>
  <c r="HY219" i="56"/>
  <c r="GD98" i="56"/>
  <c r="GD94" i="56"/>
  <c r="GE94" i="56" s="1"/>
  <c r="GD97" i="56"/>
  <c r="GD99" i="56"/>
  <c r="GD101" i="56"/>
  <c r="GD100" i="56"/>
  <c r="IG141" i="56"/>
  <c r="HZ141" i="56"/>
  <c r="FI163" i="56"/>
  <c r="FS37" i="56"/>
  <c r="FP37" i="56"/>
  <c r="FI3" i="56"/>
  <c r="IF75" i="56"/>
  <c r="HY75" i="56"/>
  <c r="FA240" i="56"/>
  <c r="IF269" i="56"/>
  <c r="HY269" i="56"/>
  <c r="IG217" i="56"/>
  <c r="HZ217" i="56"/>
  <c r="DU266" i="56"/>
  <c r="EF266" i="56" s="1"/>
  <c r="EG266" i="56" s="1"/>
  <c r="P266" i="56" a="1"/>
  <c r="P266" i="56" s="1"/>
  <c r="FA266" i="56"/>
  <c r="IF119" i="56"/>
  <c r="HY119" i="56"/>
  <c r="DB78" i="56" a="1"/>
  <c r="DB78" i="56" s="1"/>
  <c r="DD78" i="56" s="1"/>
  <c r="HB78" i="56"/>
  <c r="DE78" i="56"/>
  <c r="GY78" i="56" s="1"/>
  <c r="DU165" i="56"/>
  <c r="FA165" i="56"/>
  <c r="GG145" i="56"/>
  <c r="IF166" i="56"/>
  <c r="HY166" i="56"/>
  <c r="IF94" i="56"/>
  <c r="HY94" i="56"/>
  <c r="IF214" i="56"/>
  <c r="HY214" i="56"/>
  <c r="AP14" i="55"/>
  <c r="EJ208" i="56"/>
  <c r="S208" i="56"/>
  <c r="FP329" i="56"/>
  <c r="FS329" i="56"/>
  <c r="FP311" i="56"/>
  <c r="FS311" i="56"/>
  <c r="AJ21" i="55"/>
  <c r="IE185" i="56"/>
  <c r="HX185" i="56"/>
  <c r="DU287" i="56"/>
  <c r="P287" i="56" a="1"/>
  <c r="P287" i="56" s="1"/>
  <c r="CW25" i="56"/>
  <c r="FD25" i="56"/>
  <c r="M25" i="56" s="1"/>
  <c r="FE25" i="56" s="1"/>
  <c r="FF25" i="56" s="1"/>
  <c r="HZ152" i="56"/>
  <c r="IG152" i="56"/>
  <c r="EJ129" i="56"/>
  <c r="HB71" i="56"/>
  <c r="DB160" i="56" a="1"/>
  <c r="DB160" i="56" s="1"/>
  <c r="DD160" i="56" s="1"/>
  <c r="DE160" i="56"/>
  <c r="GY160" i="56" s="1"/>
  <c r="HB160" i="56"/>
  <c r="AL26" i="55"/>
  <c r="GG326" i="56"/>
  <c r="IG73" i="56"/>
  <c r="HZ73" i="56"/>
  <c r="IF271" i="56"/>
  <c r="HY271" i="56"/>
  <c r="FI248" i="56"/>
  <c r="DB98" i="56" a="1"/>
  <c r="DB98" i="56" s="1"/>
  <c r="DD98" i="56" s="1"/>
  <c r="HB98" i="56"/>
  <c r="DE98" i="56"/>
  <c r="GY98" i="56" s="1"/>
  <c r="IF55" i="56"/>
  <c r="HY55" i="56"/>
  <c r="IG97" i="56"/>
  <c r="HZ97" i="56"/>
  <c r="IG112" i="56"/>
  <c r="HZ112" i="56"/>
  <c r="IE176" i="56"/>
  <c r="HX176" i="56"/>
  <c r="FZ276" i="56"/>
  <c r="CU276" i="56"/>
  <c r="CY276" i="56" s="1"/>
  <c r="G276" i="56" s="1"/>
  <c r="CZ276" i="56" s="1"/>
  <c r="DA276" i="56" s="1"/>
  <c r="DI276" i="56"/>
  <c r="EF276" i="56"/>
  <c r="EG276" i="56" s="1"/>
  <c r="FS69" i="56"/>
  <c r="FP69" i="56"/>
  <c r="IF176" i="56"/>
  <c r="HY176" i="56"/>
  <c r="IR340" i="56"/>
  <c r="IQ340" i="56"/>
  <c r="DF340" i="56"/>
  <c r="DG340" i="56" s="1"/>
  <c r="CW340" i="56"/>
  <c r="DA340" i="56" s="1"/>
  <c r="FZ107" i="56"/>
  <c r="CU107" i="56"/>
  <c r="CY107" i="56" s="1"/>
  <c r="DI107" i="56"/>
  <c r="AQ12" i="55"/>
  <c r="IF12" i="56"/>
  <c r="HY12" i="56"/>
  <c r="AM10" i="55"/>
  <c r="IF203" i="56"/>
  <c r="HY203" i="56"/>
  <c r="IE105" i="56"/>
  <c r="HX105" i="56"/>
  <c r="IF199" i="56"/>
  <c r="HY199" i="56"/>
  <c r="IG257" i="56"/>
  <c r="HZ257" i="56"/>
  <c r="FZ208" i="56"/>
  <c r="CU208" i="56"/>
  <c r="DI208" i="56"/>
  <c r="IR67" i="56"/>
  <c r="CW67" i="56"/>
  <c r="DA67" i="56" s="1"/>
  <c r="DF67" i="56"/>
  <c r="DG67" i="56" s="1"/>
  <c r="IQ67" i="56"/>
  <c r="FI129" i="56"/>
  <c r="FZ112" i="56"/>
  <c r="CU112" i="56"/>
  <c r="CY112" i="56" s="1"/>
  <c r="IG212" i="56"/>
  <c r="HZ212" i="56"/>
  <c r="IG193" i="56"/>
  <c r="HZ193" i="56"/>
  <c r="DF101" i="56"/>
  <c r="DG101" i="56" s="1"/>
  <c r="IE289" i="56"/>
  <c r="HX289" i="56"/>
  <c r="IF195" i="56"/>
  <c r="HY195" i="56"/>
  <c r="IF19" i="56"/>
  <c r="HY19" i="56"/>
  <c r="IF292" i="56"/>
  <c r="HY292" i="56"/>
  <c r="IE321" i="56"/>
  <c r="HX321" i="56"/>
  <c r="FI209" i="56"/>
  <c r="IQ85" i="56"/>
  <c r="IF337" i="56"/>
  <c r="HY337" i="56"/>
  <c r="DB122" i="56" a="1"/>
  <c r="DB122" i="56" s="1"/>
  <c r="DD122" i="56" s="1"/>
  <c r="DE122" i="56"/>
  <c r="GY122" i="56" s="1"/>
  <c r="HB122" i="56"/>
  <c r="IE3" i="56"/>
  <c r="HX3" i="56"/>
  <c r="I3" i="40" a="1"/>
  <c r="I3" i="40" s="1"/>
  <c r="IG65" i="56"/>
  <c r="HZ65" i="56"/>
  <c r="IG347" i="56"/>
  <c r="HZ347" i="56"/>
  <c r="IE308" i="56"/>
  <c r="HX308" i="56"/>
  <c r="IG172" i="56"/>
  <c r="HZ172" i="56"/>
  <c r="HX42" i="56"/>
  <c r="IE42" i="56"/>
  <c r="IF317" i="56"/>
  <c r="HY317" i="56"/>
  <c r="HZ76" i="56"/>
  <c r="IG76" i="56"/>
  <c r="IQ16" i="56"/>
  <c r="IE234" i="56"/>
  <c r="HX234" i="56"/>
  <c r="FA352" i="56"/>
  <c r="IE29" i="56"/>
  <c r="HX29" i="56"/>
  <c r="IE188" i="56"/>
  <c r="HX188" i="56"/>
  <c r="GD310" i="56"/>
  <c r="GE310" i="56" s="1"/>
  <c r="GD26" i="56"/>
  <c r="GE26" i="56" s="1"/>
  <c r="GG26" i="56"/>
  <c r="GD28" i="56"/>
  <c r="GD29" i="56"/>
  <c r="GD27" i="56"/>
  <c r="EF115" i="56"/>
  <c r="EG115" i="56" s="1"/>
  <c r="DL27" i="56"/>
  <c r="DJ27" i="56"/>
  <c r="GQ203" i="56"/>
  <c r="FX203" i="56"/>
  <c r="IF204" i="56"/>
  <c r="HY204" i="56"/>
  <c r="DF303" i="56"/>
  <c r="DG303" i="56" s="1"/>
  <c r="IQ207" i="56"/>
  <c r="DU221" i="56"/>
  <c r="EF221" i="56" s="1"/>
  <c r="EG221" i="56" s="1"/>
  <c r="FS269" i="56"/>
  <c r="FP269" i="56"/>
  <c r="EF49" i="56"/>
  <c r="EG49" i="56" s="1"/>
  <c r="IF316" i="56"/>
  <c r="HY316" i="56"/>
  <c r="IG324" i="56"/>
  <c r="HZ324" i="56"/>
  <c r="IG108" i="56"/>
  <c r="HZ108" i="56"/>
  <c r="IE33" i="56"/>
  <c r="HX33" i="56"/>
  <c r="IE141" i="56"/>
  <c r="HX141" i="56"/>
  <c r="DU274" i="56"/>
  <c r="IG75" i="56"/>
  <c r="HZ75" i="56"/>
  <c r="AP16" i="55"/>
  <c r="AL19" i="55"/>
  <c r="FZ45" i="56"/>
  <c r="CU45" i="56"/>
  <c r="CY45" i="56" s="1"/>
  <c r="G45" i="56" s="1"/>
  <c r="CZ45" i="56" s="1"/>
  <c r="DA45" i="56" s="1"/>
  <c r="DI45" i="56"/>
  <c r="IE253" i="56"/>
  <c r="HX253" i="56"/>
  <c r="FZ284" i="56"/>
  <c r="CU284" i="56"/>
  <c r="DI284" i="56"/>
  <c r="DU138" i="56"/>
  <c r="EF138" i="56" s="1"/>
  <c r="EG138" i="56" s="1"/>
  <c r="FA138" i="56"/>
  <c r="GW154" i="56"/>
  <c r="GU154" i="56"/>
  <c r="HS154" i="56" s="1"/>
  <c r="GP154" i="56"/>
  <c r="FI346" i="56"/>
  <c r="DF55" i="56"/>
  <c r="DG55" i="56" s="1"/>
  <c r="IR55" i="56"/>
  <c r="CW55" i="56"/>
  <c r="DA55" i="56" s="1"/>
  <c r="IQ55" i="56"/>
  <c r="FZ309" i="56"/>
  <c r="CU309" i="56"/>
  <c r="CY309" i="56" s="1"/>
  <c r="P165" i="56" a="1"/>
  <c r="P165" i="56" s="1"/>
  <c r="DB349" i="56" a="1"/>
  <c r="DB349" i="56" s="1"/>
  <c r="DD349" i="56" s="1"/>
  <c r="DE349" i="56"/>
  <c r="GY349" i="56" s="1"/>
  <c r="HB349" i="56"/>
  <c r="EJ186" i="56"/>
  <c r="S217" i="56"/>
  <c r="AQ26" i="55"/>
  <c r="HV38" i="56"/>
  <c r="IE351" i="56"/>
  <c r="HX351" i="56"/>
  <c r="HZ168" i="56"/>
  <c r="IG168" i="56"/>
  <c r="DE130" i="56"/>
  <c r="GY130" i="56" s="1"/>
  <c r="FI296" i="56"/>
  <c r="IG166" i="56"/>
  <c r="HZ166" i="56"/>
  <c r="S272" i="56"/>
  <c r="IE174" i="56"/>
  <c r="HX174" i="56"/>
  <c r="P264" i="56" a="1"/>
  <c r="P264" i="56" s="1"/>
  <c r="GU185" i="56"/>
  <c r="HS185" i="56" s="1"/>
  <c r="GW185" i="56"/>
  <c r="DU77" i="56"/>
  <c r="P77" i="56" a="1"/>
  <c r="P77" i="56" s="1"/>
  <c r="IF185" i="56"/>
  <c r="HY185" i="56"/>
  <c r="FZ37" i="56"/>
  <c r="CU37" i="56"/>
  <c r="CY37" i="56" s="1"/>
  <c r="G37" i="56" s="1"/>
  <c r="CZ37" i="56" s="1"/>
  <c r="DA37" i="56" s="1"/>
  <c r="IF152" i="56"/>
  <c r="HY152" i="56"/>
  <c r="IG122" i="56"/>
  <c r="HZ122" i="56"/>
  <c r="FP178" i="56"/>
  <c r="FS178" i="56"/>
  <c r="EJ66" i="56"/>
  <c r="IG269" i="56"/>
  <c r="HZ269" i="56"/>
  <c r="IE217" i="56"/>
  <c r="HX217" i="56"/>
  <c r="DU181" i="56"/>
  <c r="FA181" i="56"/>
  <c r="EF181" i="56"/>
  <c r="EG181" i="56" s="1"/>
  <c r="FS38" i="56"/>
  <c r="FP38" i="56"/>
  <c r="DB106" i="56" a="1"/>
  <c r="DB106" i="56" s="1"/>
  <c r="DD106" i="56" s="1"/>
  <c r="DE106" i="56"/>
  <c r="GY106" i="56" s="1"/>
  <c r="HB106" i="56"/>
  <c r="EJ113" i="56"/>
  <c r="IG87" i="56"/>
  <c r="HZ87" i="56"/>
  <c r="IG167" i="56"/>
  <c r="HZ167" i="56"/>
  <c r="IE24" i="56"/>
  <c r="HX24" i="56"/>
  <c r="DF100" i="56"/>
  <c r="DG100" i="56" s="1"/>
  <c r="CW100" i="56"/>
  <c r="DA100" i="56" s="1"/>
  <c r="IF97" i="56"/>
  <c r="HY97" i="56"/>
  <c r="IE227" i="56"/>
  <c r="HX227" i="56"/>
  <c r="HX179" i="56"/>
  <c r="IE179" i="56"/>
  <c r="IG83" i="56"/>
  <c r="HZ83" i="56"/>
  <c r="FP149" i="56"/>
  <c r="FS149" i="56"/>
  <c r="IE84" i="56"/>
  <c r="HX84" i="56"/>
  <c r="FZ291" i="56"/>
  <c r="CU291" i="56"/>
  <c r="DI291" i="56"/>
  <c r="IF131" i="56"/>
  <c r="HY131" i="56"/>
  <c r="IG179" i="56"/>
  <c r="HZ179" i="56"/>
  <c r="HV229" i="56"/>
  <c r="GH229" i="56"/>
  <c r="GI229" i="56"/>
  <c r="GJ229" i="56" s="1"/>
  <c r="DF98" i="56"/>
  <c r="DG98" i="56" s="1"/>
  <c r="IR98" i="56"/>
  <c r="IQ98" i="56"/>
  <c r="CW146" i="56"/>
  <c r="IQ146" i="56"/>
  <c r="IR146" i="56"/>
  <c r="DF146" i="56"/>
  <c r="DG146" i="56" s="1"/>
  <c r="IE93" i="56"/>
  <c r="HX93" i="56"/>
  <c r="BU11" i="55"/>
  <c r="FZ306" i="56"/>
  <c r="CU306" i="56"/>
  <c r="DI306" i="56"/>
  <c r="IE147" i="56"/>
  <c r="HX147" i="56"/>
  <c r="IG131" i="56"/>
  <c r="HZ131" i="56"/>
  <c r="IF84" i="56"/>
  <c r="HY84" i="56"/>
  <c r="FS21" i="56"/>
  <c r="FP21" i="56"/>
  <c r="IG336" i="56"/>
  <c r="HZ336" i="56"/>
  <c r="IG176" i="56"/>
  <c r="HZ176" i="56"/>
  <c r="HX48" i="56"/>
  <c r="IE48" i="56"/>
  <c r="FZ75" i="56"/>
  <c r="CU75" i="56"/>
  <c r="CY75" i="56" s="1"/>
  <c r="DI75" i="56"/>
  <c r="GV75" i="56" s="1"/>
  <c r="GV288" i="56"/>
  <c r="EJ150" i="56"/>
  <c r="IF93" i="56"/>
  <c r="HY93" i="56"/>
  <c r="FZ178" i="56"/>
  <c r="CU178" i="56"/>
  <c r="DI178" i="56"/>
  <c r="FI112" i="56"/>
  <c r="FI260" i="56"/>
  <c r="IF147" i="56"/>
  <c r="HY147" i="56"/>
  <c r="AQ10" i="55"/>
  <c r="IG203" i="56"/>
  <c r="HZ203" i="56"/>
  <c r="IF105" i="56"/>
  <c r="HY105" i="56"/>
  <c r="IG199" i="56"/>
  <c r="HZ199" i="56"/>
  <c r="IG202" i="56"/>
  <c r="HZ202" i="56"/>
  <c r="FI105" i="56"/>
  <c r="CW161" i="56"/>
  <c r="DA161" i="56" s="1"/>
  <c r="DF161" i="56"/>
  <c r="DG161" i="56" s="1"/>
  <c r="IQ161" i="56"/>
  <c r="IR161" i="56"/>
  <c r="FZ176" i="56"/>
  <c r="CU176" i="56"/>
  <c r="CY176" i="56" s="1"/>
  <c r="IQ82" i="56"/>
  <c r="DF82" i="56"/>
  <c r="DG82" i="56" s="1"/>
  <c r="IR82" i="56"/>
  <c r="CW82" i="56"/>
  <c r="DA82" i="56" s="1"/>
  <c r="FZ193" i="56"/>
  <c r="CU193" i="56"/>
  <c r="CY193" i="56" s="1"/>
  <c r="G193" i="56" s="1"/>
  <c r="CZ193" i="56" s="1"/>
  <c r="DA193" i="56" s="1"/>
  <c r="DI193" i="56"/>
  <c r="EF193" i="56"/>
  <c r="EG193" i="56" s="1"/>
  <c r="IF114" i="56"/>
  <c r="HY114" i="56"/>
  <c r="IE212" i="56"/>
  <c r="HX212" i="56"/>
  <c r="IE193" i="56"/>
  <c r="HX193" i="56"/>
  <c r="FZ240" i="56"/>
  <c r="CU240" i="56"/>
  <c r="DI240" i="56"/>
  <c r="FI131" i="56"/>
  <c r="HX19" i="56"/>
  <c r="IE19" i="56"/>
  <c r="HY321" i="56"/>
  <c r="IF321" i="56"/>
  <c r="IE251" i="56"/>
  <c r="HX251" i="56"/>
  <c r="IE49" i="56"/>
  <c r="HX49" i="56"/>
  <c r="DB107" i="56" a="1"/>
  <c r="DB107" i="56" s="1"/>
  <c r="DD107" i="56" s="1"/>
  <c r="DE107" i="56"/>
  <c r="GY107" i="56" s="1"/>
  <c r="HB107" i="56"/>
  <c r="GV107" i="56"/>
  <c r="FS245" i="56"/>
  <c r="FP245" i="56"/>
  <c r="DB10" i="56" a="1"/>
  <c r="DB10" i="56" s="1"/>
  <c r="DD10" i="56" s="1"/>
  <c r="DE10" i="56"/>
  <c r="GY10" i="56" s="1"/>
  <c r="HB10" i="56"/>
  <c r="IE347" i="56"/>
  <c r="HX347" i="56"/>
  <c r="HX240" i="56"/>
  <c r="IE240" i="56"/>
  <c r="IE80" i="56"/>
  <c r="HX80" i="56"/>
  <c r="IF308" i="56"/>
  <c r="HY308" i="56"/>
  <c r="IG67" i="56"/>
  <c r="HZ67" i="56"/>
  <c r="GD334" i="56"/>
  <c r="FI73" i="56"/>
  <c r="S6" i="56"/>
  <c r="IG42" i="56"/>
  <c r="HZ42" i="56"/>
  <c r="DI44" i="56"/>
  <c r="IG317" i="56"/>
  <c r="HZ317" i="56"/>
  <c r="IE76" i="56"/>
  <c r="HX76" i="56"/>
  <c r="P11" i="56" a="1"/>
  <c r="P11" i="56" s="1"/>
  <c r="DI352" i="56"/>
  <c r="IG235" i="56"/>
  <c r="HZ235" i="56"/>
  <c r="IF234" i="56"/>
  <c r="HY234" i="56"/>
  <c r="GD346" i="56"/>
  <c r="GE346" i="56" s="1"/>
  <c r="GD348" i="56"/>
  <c r="GD352" i="56"/>
  <c r="GD347" i="56"/>
  <c r="GD349" i="56"/>
  <c r="FI122" i="56"/>
  <c r="DU116" i="56"/>
  <c r="EF116" i="56" s="1"/>
  <c r="EG116" i="56" s="1"/>
  <c r="P116" i="56" a="1"/>
  <c r="P116" i="56" s="1"/>
  <c r="FA116" i="56"/>
  <c r="DF333" i="56"/>
  <c r="DG333" i="56" s="1"/>
  <c r="S237" i="56"/>
  <c r="GP283" i="56"/>
  <c r="GW283" i="56"/>
  <c r="GU283" i="56"/>
  <c r="HS283" i="56" s="1"/>
  <c r="DF112" i="56"/>
  <c r="DG112" i="56" s="1"/>
  <c r="IR255" i="56"/>
  <c r="IG204" i="56"/>
  <c r="HZ204" i="56"/>
  <c r="FZ40" i="56"/>
  <c r="CU40" i="56"/>
  <c r="CY40" i="56" s="1"/>
  <c r="G40" i="56" s="1"/>
  <c r="CZ40" i="56" s="1"/>
  <c r="DA40" i="56" s="1"/>
  <c r="DI40" i="56"/>
  <c r="EF40" i="56"/>
  <c r="EG40" i="56" s="1"/>
  <c r="FS143" i="56"/>
  <c r="FP143" i="56"/>
  <c r="IR189" i="56"/>
  <c r="IQ189" i="56"/>
  <c r="DF189" i="56"/>
  <c r="DG189" i="56" s="1"/>
  <c r="CW189" i="56"/>
  <c r="DF233" i="56"/>
  <c r="DG233" i="56" s="1"/>
  <c r="IR233" i="56"/>
  <c r="IQ233" i="56"/>
  <c r="CW233" i="56"/>
  <c r="DE331" i="56"/>
  <c r="GY331" i="56" s="1"/>
  <c r="IG210" i="56"/>
  <c r="HZ210" i="56"/>
  <c r="S204" i="56"/>
  <c r="DU93" i="56"/>
  <c r="FI157" i="56"/>
  <c r="FI74" i="56"/>
  <c r="GD351" i="56"/>
  <c r="HZ61" i="56"/>
  <c r="IG61" i="56"/>
  <c r="IE108" i="56"/>
  <c r="HX108" i="56"/>
  <c r="HV37" i="56"/>
  <c r="P274" i="56" a="1"/>
  <c r="P274" i="56" s="1"/>
  <c r="CW125" i="56"/>
  <c r="DA125" i="56" s="1"/>
  <c r="DF125" i="56"/>
  <c r="DG125" i="56" s="1"/>
  <c r="IQ125" i="56"/>
  <c r="IR125" i="56"/>
  <c r="HX340" i="56"/>
  <c r="IE340" i="56"/>
  <c r="S315" i="56"/>
  <c r="DF304" i="56"/>
  <c r="DG304" i="56" s="1"/>
  <c r="HY253" i="56"/>
  <c r="IF253" i="56"/>
  <c r="IE119" i="56"/>
  <c r="HX119" i="56"/>
  <c r="EF33" i="56"/>
  <c r="EG33" i="56" s="1"/>
  <c r="FS179" i="56"/>
  <c r="FP179" i="56"/>
  <c r="GD102" i="56"/>
  <c r="GE102" i="56" s="1"/>
  <c r="IE184" i="56"/>
  <c r="HX184" i="56"/>
  <c r="FZ135" i="56"/>
  <c r="CU135" i="56"/>
  <c r="CY135" i="56" s="1"/>
  <c r="G135" i="56" s="1"/>
  <c r="CZ135" i="56" s="1"/>
  <c r="DA135" i="56" s="1"/>
  <c r="DI135" i="56"/>
  <c r="EF135" i="56"/>
  <c r="EG135" i="56" s="1"/>
  <c r="EJ135" i="56" s="1"/>
  <c r="AK14" i="55"/>
  <c r="HZ8" i="56"/>
  <c r="IG8" i="56"/>
  <c r="DU306" i="56"/>
  <c r="FA306" i="56"/>
  <c r="IE130" i="56"/>
  <c r="HX130" i="56"/>
  <c r="AP12" i="55"/>
  <c r="FZ66" i="56"/>
  <c r="CU66" i="56"/>
  <c r="CY66" i="56" s="1"/>
  <c r="DI66" i="56"/>
  <c r="FZ275" i="56"/>
  <c r="CU275" i="56"/>
  <c r="DI275" i="56"/>
  <c r="IF180" i="56"/>
  <c r="HY180" i="56"/>
  <c r="IG105" i="56"/>
  <c r="HZ105" i="56"/>
  <c r="IG186" i="56"/>
  <c r="HZ186" i="56"/>
  <c r="FI33" i="56"/>
  <c r="FI113" i="56"/>
  <c r="IE114" i="56"/>
  <c r="HX114" i="56"/>
  <c r="IQ299" i="56"/>
  <c r="DF299" i="56"/>
  <c r="DG299" i="56" s="1"/>
  <c r="IR299" i="56"/>
  <c r="IF212" i="56"/>
  <c r="HY212" i="56"/>
  <c r="IF193" i="56"/>
  <c r="HY193" i="56"/>
  <c r="HY289" i="56"/>
  <c r="IF289" i="56"/>
  <c r="IG292" i="56"/>
  <c r="HZ292" i="56"/>
  <c r="IG321" i="56"/>
  <c r="HZ321" i="56"/>
  <c r="FI193" i="56"/>
  <c r="FI275" i="56"/>
  <c r="IF251" i="56"/>
  <c r="HY251" i="56"/>
  <c r="FI321" i="56"/>
  <c r="FI258" i="56"/>
  <c r="FI132" i="56"/>
  <c r="HY3" i="56"/>
  <c r="IF3" i="56"/>
  <c r="J3" i="40" a="1"/>
  <c r="J3" i="40" s="1"/>
  <c r="HZ49" i="56"/>
  <c r="IG49" i="56"/>
  <c r="HX304" i="56"/>
  <c r="IE304" i="56"/>
  <c r="FI147" i="56"/>
  <c r="DF171" i="56"/>
  <c r="DG171" i="56" s="1"/>
  <c r="IQ171" i="56"/>
  <c r="IR171" i="56"/>
  <c r="CW171" i="56"/>
  <c r="DA171" i="56" s="1"/>
  <c r="IR293" i="56"/>
  <c r="FI320" i="56"/>
  <c r="DF307" i="56"/>
  <c r="DG307" i="56" s="1"/>
  <c r="IR307" i="56"/>
  <c r="IQ307" i="56"/>
  <c r="CW307" i="56"/>
  <c r="DA307" i="56" s="1"/>
  <c r="IF347" i="56"/>
  <c r="HY347" i="56"/>
  <c r="S127" i="56"/>
  <c r="FZ305" i="56"/>
  <c r="CU305" i="56"/>
  <c r="CY305" i="56" s="1"/>
  <c r="FI17" i="56"/>
  <c r="IF240" i="56"/>
  <c r="HY240" i="56"/>
  <c r="HZ80" i="56"/>
  <c r="IG80" i="56"/>
  <c r="IG308" i="56"/>
  <c r="HZ308" i="56"/>
  <c r="FI226" i="56"/>
  <c r="IE67" i="56"/>
  <c r="HX67" i="56"/>
  <c r="S239" i="56"/>
  <c r="GD30" i="56"/>
  <c r="FI108" i="56"/>
  <c r="IR325" i="56"/>
  <c r="DB170" i="56" a="1"/>
  <c r="DB170" i="56" s="1"/>
  <c r="DD170" i="56" s="1"/>
  <c r="DE170" i="56"/>
  <c r="GY170" i="56" s="1"/>
  <c r="HB170" i="56"/>
  <c r="FZ269" i="56"/>
  <c r="CU269" i="56"/>
  <c r="CY269" i="56" s="1"/>
  <c r="G269" i="56" s="1"/>
  <c r="CZ269" i="56" s="1"/>
  <c r="DA269" i="56" s="1"/>
  <c r="IF76" i="56"/>
  <c r="HY76" i="56"/>
  <c r="FS285" i="56"/>
  <c r="FP285" i="56"/>
  <c r="IE235" i="56"/>
  <c r="HX235" i="56"/>
  <c r="IR16" i="56"/>
  <c r="FP111" i="56"/>
  <c r="FS111" i="56"/>
  <c r="IE300" i="56"/>
  <c r="HX300" i="56"/>
  <c r="FZ315" i="56"/>
  <c r="CU315" i="56"/>
  <c r="DI315" i="56"/>
  <c r="IG29" i="56"/>
  <c r="HZ29" i="56"/>
  <c r="IG188" i="56"/>
  <c r="HZ188" i="56"/>
  <c r="FA238" i="56"/>
  <c r="IE69" i="56"/>
  <c r="HX69" i="56"/>
  <c r="IE58" i="56"/>
  <c r="HX58" i="56"/>
  <c r="IF345" i="56"/>
  <c r="HY345" i="56"/>
  <c r="FZ237" i="56"/>
  <c r="CU237" i="56"/>
  <c r="CY237" i="56" s="1"/>
  <c r="G237" i="56" s="1"/>
  <c r="CZ237" i="56" s="1"/>
  <c r="DA237" i="56" s="1"/>
  <c r="DI237" i="56"/>
  <c r="EF237" i="56"/>
  <c r="EG237" i="56" s="1"/>
  <c r="S151" i="56"/>
  <c r="IE32" i="56"/>
  <c r="HX32" i="56"/>
  <c r="DW27" i="56" a="1"/>
  <c r="DW27" i="56" s="1"/>
  <c r="K27" i="56" s="1"/>
  <c r="DX27" i="56" s="1"/>
  <c r="EI27" i="56" s="1"/>
  <c r="FI237" i="56"/>
  <c r="IR207" i="56"/>
  <c r="GG143" i="56"/>
  <c r="IG45" i="56"/>
  <c r="HZ45" i="56"/>
  <c r="GE231" i="56"/>
  <c r="GG231" i="56"/>
  <c r="FI120" i="56"/>
  <c r="IE316" i="56"/>
  <c r="HX316" i="56"/>
  <c r="DU112" i="56"/>
  <c r="EF112" i="56" s="1"/>
  <c r="EG112" i="56" s="1"/>
  <c r="IF108" i="56"/>
  <c r="HY108" i="56"/>
  <c r="FP336" i="56"/>
  <c r="FS336" i="56"/>
  <c r="FI106" i="56"/>
  <c r="IG33" i="56"/>
  <c r="HZ33" i="56"/>
  <c r="S45" i="56"/>
  <c r="DF96" i="56"/>
  <c r="DG96" i="56" s="1"/>
  <c r="FS239" i="56"/>
  <c r="FP239" i="56"/>
  <c r="IQ341" i="56"/>
  <c r="DF61" i="56"/>
  <c r="DG61" i="56" s="1"/>
  <c r="IR61" i="56"/>
  <c r="IQ61" i="56"/>
  <c r="IF340" i="56"/>
  <c r="HY340" i="56"/>
  <c r="AL16" i="55"/>
  <c r="EF321" i="56"/>
  <c r="EG321" i="56" s="1"/>
  <c r="EJ304" i="56"/>
  <c r="IG119" i="56"/>
  <c r="HZ119" i="56"/>
  <c r="FA153" i="56"/>
  <c r="DU309" i="56"/>
  <c r="EF309" i="56" s="1"/>
  <c r="EG309" i="56" s="1"/>
  <c r="FA309" i="56"/>
  <c r="FZ69" i="56"/>
  <c r="CU69" i="56"/>
  <c r="CY69" i="56" s="1"/>
  <c r="IQ49" i="56"/>
  <c r="S89" i="56"/>
  <c r="AM26" i="55"/>
  <c r="GD119" i="56"/>
  <c r="IG351" i="56"/>
  <c r="HZ351" i="56"/>
  <c r="FZ137" i="56"/>
  <c r="CU137" i="56"/>
  <c r="CY137" i="56" s="1"/>
  <c r="G137" i="56" s="1"/>
  <c r="CZ137" i="56" s="1"/>
  <c r="DA137" i="56" s="1"/>
  <c r="DI137" i="56"/>
  <c r="EF137" i="56"/>
  <c r="EG137" i="56" s="1"/>
  <c r="HY9" i="56"/>
  <c r="IF9" i="56"/>
  <c r="DF56" i="56"/>
  <c r="DG56" i="56" s="1"/>
  <c r="IQ56" i="56"/>
  <c r="IR56" i="56"/>
  <c r="CW56" i="56"/>
  <c r="DA56" i="56" s="1"/>
  <c r="GD186" i="56"/>
  <c r="GE186" i="56" s="1"/>
  <c r="GD213" i="56"/>
  <c r="GD221" i="56"/>
  <c r="GD203" i="56"/>
  <c r="GD215" i="56"/>
  <c r="GD200" i="56"/>
  <c r="GD209" i="56"/>
  <c r="GD204" i="56"/>
  <c r="GD197" i="56"/>
  <c r="GD217" i="56"/>
  <c r="GD193" i="56"/>
  <c r="GD201" i="56"/>
  <c r="GD199" i="56"/>
  <c r="GD189" i="56"/>
  <c r="GD216" i="56"/>
  <c r="GD208" i="56"/>
  <c r="GD188" i="56"/>
  <c r="GD220" i="56"/>
  <c r="GD205" i="56"/>
  <c r="GD195" i="56"/>
  <c r="GD214" i="56"/>
  <c r="GD210" i="56"/>
  <c r="GD194" i="56"/>
  <c r="GD219" i="56"/>
  <c r="GD187" i="56"/>
  <c r="EF34" i="56"/>
  <c r="EG34" i="56" s="1"/>
  <c r="IE248" i="56"/>
  <c r="HX248" i="56"/>
  <c r="IF62" i="56"/>
  <c r="HY62" i="56"/>
  <c r="IF184" i="56"/>
  <c r="HY184" i="56"/>
  <c r="P134" i="56" a="1"/>
  <c r="P134" i="56" s="1"/>
  <c r="AM14" i="55"/>
  <c r="DU219" i="56"/>
  <c r="P219" i="56" a="1"/>
  <c r="P219" i="56" s="1"/>
  <c r="FA219" i="56"/>
  <c r="DF343" i="56"/>
  <c r="DG343" i="56" s="1"/>
  <c r="IR343" i="56"/>
  <c r="IQ343" i="56"/>
  <c r="CW343" i="56"/>
  <c r="IR310" i="56"/>
  <c r="CW310" i="56"/>
  <c r="DA310" i="56" s="1"/>
  <c r="IQ310" i="56"/>
  <c r="DF310" i="56"/>
  <c r="DG310" i="56" s="1"/>
  <c r="IG263" i="56"/>
  <c r="HZ263" i="56"/>
  <c r="P230" i="56" a="1"/>
  <c r="P230" i="56" s="1"/>
  <c r="AL18" i="55"/>
  <c r="FZ200" i="56"/>
  <c r="CU200" i="56"/>
  <c r="DI200" i="56"/>
  <c r="EF200" i="56"/>
  <c r="EG200" i="56" s="1"/>
  <c r="DB18" i="56" a="1"/>
  <c r="DB18" i="56" s="1"/>
  <c r="DD18" i="56" s="1"/>
  <c r="DE18" i="56"/>
  <c r="GY18" i="56" s="1"/>
  <c r="HB18" i="56"/>
  <c r="DB89" i="56" a="1"/>
  <c r="DB89" i="56" s="1"/>
  <c r="DD89" i="56" s="1"/>
  <c r="DE89" i="56"/>
  <c r="GY89" i="56" s="1"/>
  <c r="HB89" i="56"/>
  <c r="IF48" i="56"/>
  <c r="HY48" i="56"/>
  <c r="FF335" i="56"/>
  <c r="IF130" i="56"/>
  <c r="HY130" i="56"/>
  <c r="IF336" i="56"/>
  <c r="HY336" i="56"/>
  <c r="FS335" i="56"/>
  <c r="FP335" i="56"/>
  <c r="FZ242" i="56"/>
  <c r="CU242" i="56"/>
  <c r="DI242" i="56"/>
  <c r="IG289" i="56"/>
  <c r="HZ289" i="56"/>
  <c r="IG19" i="56"/>
  <c r="HZ19" i="56"/>
  <c r="DF244" i="56"/>
  <c r="DG244" i="56" s="1"/>
  <c r="IR244" i="56"/>
  <c r="IQ244" i="56"/>
  <c r="CW244" i="56"/>
  <c r="IF305" i="56"/>
  <c r="HY305" i="56"/>
  <c r="IE50" i="56"/>
  <c r="HX50" i="56"/>
  <c r="IG251" i="56"/>
  <c r="HZ251" i="56"/>
  <c r="DF133" i="56"/>
  <c r="DG133" i="56" s="1"/>
  <c r="FZ225" i="56"/>
  <c r="CU225" i="56"/>
  <c r="CY225" i="56" s="1"/>
  <c r="G225" i="56" s="1"/>
  <c r="CZ225" i="56" s="1"/>
  <c r="DA225" i="56" s="1"/>
  <c r="DI225" i="56"/>
  <c r="IG3" i="56"/>
  <c r="HZ3" i="56"/>
  <c r="K3" i="40" a="1"/>
  <c r="K3" i="40" s="1"/>
  <c r="IG304" i="56"/>
  <c r="HZ304" i="56"/>
  <c r="DU180" i="56"/>
  <c r="EF180" i="56" s="1"/>
  <c r="EG180" i="56" s="1"/>
  <c r="FA180" i="56"/>
  <c r="IF91" i="56"/>
  <c r="HY91" i="56"/>
  <c r="DB293" i="56" a="1"/>
  <c r="DB293" i="56" s="1"/>
  <c r="FS165" i="56"/>
  <c r="FP165" i="56"/>
  <c r="FZ132" i="56"/>
  <c r="CU132" i="56"/>
  <c r="CY132" i="56" s="1"/>
  <c r="G132" i="56" s="1"/>
  <c r="CZ132" i="56" s="1"/>
  <c r="DA132" i="56" s="1"/>
  <c r="DI132" i="56"/>
  <c r="EF132" i="56"/>
  <c r="EG132" i="56" s="1"/>
  <c r="FZ179" i="56"/>
  <c r="CU179" i="56"/>
  <c r="CY179" i="56" s="1"/>
  <c r="EF179" i="56"/>
  <c r="EG179" i="56" s="1"/>
  <c r="CW273" i="56"/>
  <c r="DF273" i="56"/>
  <c r="DG273" i="56" s="1"/>
  <c r="IQ273" i="56"/>
  <c r="IR273" i="56"/>
  <c r="IG240" i="56"/>
  <c r="HZ240" i="56"/>
  <c r="IF80" i="56"/>
  <c r="HY80" i="56"/>
  <c r="IE260" i="56"/>
  <c r="HX260" i="56"/>
  <c r="IF67" i="56"/>
  <c r="HY67" i="56"/>
  <c r="FZ267" i="56"/>
  <c r="CU267" i="56"/>
  <c r="CY267" i="56" s="1"/>
  <c r="G267" i="56" s="1"/>
  <c r="CZ267" i="56" s="1"/>
  <c r="DA267" i="56" s="1"/>
  <c r="DI267" i="56"/>
  <c r="HX129" i="56"/>
  <c r="IE129" i="56"/>
  <c r="IR10" i="56"/>
  <c r="DF10" i="56"/>
  <c r="DG10" i="56" s="1"/>
  <c r="IQ10" i="56"/>
  <c r="GD182" i="56"/>
  <c r="GE182" i="56" s="1"/>
  <c r="DB90" i="56" a="1"/>
  <c r="DB90" i="56" s="1"/>
  <c r="DD90" i="56" s="1"/>
  <c r="DE90" i="56"/>
  <c r="GY90" i="56" s="1"/>
  <c r="HB90" i="56"/>
  <c r="GD96" i="56"/>
  <c r="GE96" i="56" s="1"/>
  <c r="IQ271" i="56"/>
  <c r="FS63" i="56"/>
  <c r="FP63" i="56"/>
  <c r="IQ74" i="56"/>
  <c r="IR74" i="56"/>
  <c r="DF74" i="56"/>
  <c r="DG74" i="56" s="1"/>
  <c r="IF235" i="56"/>
  <c r="HY235" i="56"/>
  <c r="DI128" i="56"/>
  <c r="IF300" i="56"/>
  <c r="HY300" i="56"/>
  <c r="CW131" i="56"/>
  <c r="IG234" i="56"/>
  <c r="HZ234" i="56"/>
  <c r="IF124" i="56"/>
  <c r="HY124" i="56"/>
  <c r="IF69" i="56"/>
  <c r="HY69" i="56"/>
  <c r="IG345" i="56"/>
  <c r="HZ345" i="56"/>
  <c r="GD335" i="56"/>
  <c r="GD337" i="56"/>
  <c r="GD338" i="56"/>
  <c r="GD339" i="56"/>
  <c r="FZ171" i="56"/>
  <c r="CU171" i="56"/>
  <c r="DI171" i="56"/>
  <c r="HY32" i="56"/>
  <c r="IF32" i="56"/>
  <c r="EJ27" i="56"/>
  <c r="S27" i="56"/>
  <c r="FP112" i="56"/>
  <c r="FS112" i="56"/>
  <c r="GE270" i="56"/>
  <c r="GG270" i="56"/>
  <c r="HV224" i="56"/>
  <c r="GH224" i="56"/>
  <c r="HT224" i="56" s="1"/>
  <c r="GI224" i="56"/>
  <c r="GJ224" i="56" s="1"/>
  <c r="FP47" i="56"/>
  <c r="FS47" i="56"/>
  <c r="IF45" i="56"/>
  <c r="HY45" i="56"/>
  <c r="GD87" i="56"/>
  <c r="IE210" i="56"/>
  <c r="HX210" i="56"/>
  <c r="P93" i="56" a="1"/>
  <c r="P93" i="56" s="1"/>
  <c r="IG316" i="56"/>
  <c r="HZ316" i="56"/>
  <c r="HV239" i="56"/>
  <c r="GI239" i="56"/>
  <c r="GH239" i="56"/>
  <c r="FP144" i="56"/>
  <c r="FS144" i="56"/>
  <c r="DF48" i="56"/>
  <c r="DG48" i="56" s="1"/>
  <c r="AM16" i="55"/>
  <c r="EJ171" i="56"/>
  <c r="FP304" i="56"/>
  <c r="FS304" i="56"/>
  <c r="IG253" i="56"/>
  <c r="HZ253" i="56"/>
  <c r="FZ265" i="56"/>
  <c r="CU265" i="56"/>
  <c r="DI265" i="56"/>
  <c r="DF248" i="56"/>
  <c r="DG248" i="56" s="1"/>
  <c r="IQ248" i="56"/>
  <c r="IR248" i="56"/>
  <c r="CW248" i="56"/>
  <c r="GD110" i="56"/>
  <c r="IQ102" i="56"/>
  <c r="IE9" i="56"/>
  <c r="HX9" i="56"/>
  <c r="EF209" i="56"/>
  <c r="EG209" i="56" s="1"/>
  <c r="DU202" i="56"/>
  <c r="P202" i="56" a="1"/>
  <c r="P202" i="56" s="1"/>
  <c r="FA202" i="56"/>
  <c r="IE307" i="56"/>
  <c r="HX307" i="56"/>
  <c r="P272" i="56" a="1"/>
  <c r="P272" i="56" s="1"/>
  <c r="HY248" i="56"/>
  <c r="IF248" i="56"/>
  <c r="IE327" i="56"/>
  <c r="HX327" i="56"/>
  <c r="IE62" i="56"/>
  <c r="HX62" i="56"/>
  <c r="S215" i="56"/>
  <c r="DU39" i="56"/>
  <c r="EF39" i="56" s="1"/>
  <c r="EG39" i="56" s="1"/>
  <c r="EJ39" i="56" s="1"/>
  <c r="FA39" i="56"/>
  <c r="P39" i="56" a="1"/>
  <c r="P39" i="56" s="1"/>
  <c r="AQ14" i="55"/>
  <c r="S120" i="56"/>
  <c r="GD78" i="56"/>
  <c r="FI230" i="56"/>
  <c r="EF45" i="56"/>
  <c r="EG45" i="56" s="1"/>
  <c r="FA59" i="56"/>
  <c r="S106" i="56"/>
  <c r="FI332" i="56"/>
  <c r="FA327" i="56"/>
  <c r="IG59" i="56"/>
  <c r="HZ59" i="56"/>
  <c r="DU315" i="56"/>
  <c r="EF315" i="56" s="1"/>
  <c r="EG315" i="56" s="1"/>
  <c r="FA315" i="56"/>
  <c r="AO21" i="55" s="1"/>
  <c r="FI269" i="56"/>
  <c r="FZ186" i="56"/>
  <c r="CU186" i="56"/>
  <c r="DI186" i="56"/>
  <c r="GD303" i="56"/>
  <c r="DB116" i="56" a="1"/>
  <c r="DB116" i="56" s="1"/>
  <c r="DD116" i="56" s="1"/>
  <c r="DE116" i="56"/>
  <c r="GY116" i="56" s="1"/>
  <c r="HB116" i="56"/>
  <c r="DB180" i="56" a="1"/>
  <c r="DB180" i="56" s="1"/>
  <c r="DD180" i="56" s="1"/>
  <c r="DE180" i="56"/>
  <c r="GY180" i="56" s="1"/>
  <c r="HB180" i="56"/>
  <c r="AK26" i="55"/>
  <c r="GE274" i="56"/>
  <c r="GG274" i="56"/>
  <c r="HV149" i="56"/>
  <c r="GI149" i="56"/>
  <c r="GH149" i="56"/>
  <c r="IE336" i="56"/>
  <c r="HX336" i="56"/>
  <c r="FZ228" i="56"/>
  <c r="CU228" i="56"/>
  <c r="CY228" i="56" s="1"/>
  <c r="G228" i="56" s="1"/>
  <c r="CZ228" i="56" s="1"/>
  <c r="DA228" i="56" s="1"/>
  <c r="EF228" i="56"/>
  <c r="EG228" i="56" s="1"/>
  <c r="DI228" i="56"/>
  <c r="DU75" i="56"/>
  <c r="EF75" i="56" s="1"/>
  <c r="EG75" i="56" s="1"/>
  <c r="FA75" i="56"/>
  <c r="IF145" i="56"/>
  <c r="HY145" i="56"/>
  <c r="GV69" i="56"/>
  <c r="IG48" i="56"/>
  <c r="HZ48" i="56"/>
  <c r="HB288" i="56"/>
  <c r="DB154" i="56" a="1"/>
  <c r="DB154" i="56" s="1"/>
  <c r="DD154" i="56" s="1"/>
  <c r="DE154" i="56"/>
  <c r="GY154" i="56" s="1"/>
  <c r="HB154" i="56"/>
  <c r="FZ320" i="56"/>
  <c r="CU320" i="56"/>
  <c r="EF320" i="56"/>
  <c r="EG320" i="56" s="1"/>
  <c r="DI320" i="56"/>
  <c r="IQ60" i="56"/>
  <c r="DF60" i="56"/>
  <c r="DG60" i="56" s="1"/>
  <c r="IR60" i="56"/>
  <c r="FP181" i="56"/>
  <c r="FS181" i="56"/>
  <c r="CW124" i="56"/>
  <c r="DA124" i="56" s="1"/>
  <c r="IG130" i="56"/>
  <c r="HZ130" i="56"/>
  <c r="HX145" i="56"/>
  <c r="IE145" i="56"/>
  <c r="DB74" i="56" a="1"/>
  <c r="DB74" i="56" s="1"/>
  <c r="DD74" i="56" s="1"/>
  <c r="DE74" i="56"/>
  <c r="GY74" i="56" s="1"/>
  <c r="HB74" i="56"/>
  <c r="IQ288" i="56"/>
  <c r="S333" i="56"/>
  <c r="HY186" i="56"/>
  <c r="IF186" i="56"/>
  <c r="DB314" i="56" a="1"/>
  <c r="DB314" i="56" s="1"/>
  <c r="DD314" i="56" s="1"/>
  <c r="HB314" i="56"/>
  <c r="DE314" i="56"/>
  <c r="GY314" i="56" s="1"/>
  <c r="AM15" i="55"/>
  <c r="IR338" i="56"/>
  <c r="IQ338" i="56"/>
  <c r="DF338" i="56"/>
  <c r="DG338" i="56" s="1"/>
  <c r="IF50" i="56"/>
  <c r="HY50" i="56"/>
  <c r="FP261" i="56"/>
  <c r="FS261" i="56"/>
  <c r="IE52" i="56"/>
  <c r="HX52" i="56"/>
  <c r="IF49" i="56"/>
  <c r="HY49" i="56"/>
  <c r="IE242" i="56"/>
  <c r="HX242" i="56"/>
  <c r="IE91" i="56"/>
  <c r="HX91" i="56"/>
  <c r="FI180" i="56"/>
  <c r="FZ99" i="56"/>
  <c r="EJ63" i="56"/>
  <c r="FZ337" i="56"/>
  <c r="CU337" i="56"/>
  <c r="EF337" i="56"/>
  <c r="EG337" i="56" s="1"/>
  <c r="DI337" i="56"/>
  <c r="HY129" i="56"/>
  <c r="IF129" i="56"/>
  <c r="FZ348" i="56"/>
  <c r="CU348" i="56"/>
  <c r="CY348" i="56" s="1"/>
  <c r="DI348" i="56"/>
  <c r="DU269" i="56"/>
  <c r="EF269" i="56" s="1"/>
  <c r="EG269" i="56" s="1"/>
  <c r="GG285" i="56"/>
  <c r="IR223" i="56"/>
  <c r="IG300" i="56"/>
  <c r="HZ300" i="56"/>
  <c r="DF186" i="56"/>
  <c r="DG186" i="56" s="1"/>
  <c r="IQ186" i="56"/>
  <c r="IR186" i="56"/>
  <c r="CW186" i="56"/>
  <c r="EF267" i="56"/>
  <c r="EG267" i="56" s="1"/>
  <c r="EJ350" i="56"/>
  <c r="IG69" i="56"/>
  <c r="HZ69" i="56"/>
  <c r="HY58" i="56"/>
  <c r="IF58" i="56"/>
  <c r="IE345" i="56"/>
  <c r="HX345" i="56"/>
  <c r="FZ268" i="56"/>
  <c r="CU268" i="56"/>
  <c r="DI268" i="56"/>
  <c r="S190" i="56"/>
  <c r="IG173" i="56"/>
  <c r="HZ173" i="56"/>
  <c r="S267" i="56"/>
  <c r="HX45" i="56"/>
  <c r="IE45" i="56"/>
  <c r="DF169" i="56"/>
  <c r="DG169" i="56" s="1"/>
  <c r="IR169" i="56"/>
  <c r="IQ169" i="56"/>
  <c r="CW169" i="56"/>
  <c r="DA169" i="56" s="1"/>
  <c r="DF22" i="56"/>
  <c r="DG22" i="56" s="1"/>
  <c r="IQ22" i="56"/>
  <c r="IR22" i="56"/>
  <c r="HY210" i="56"/>
  <c r="IF210" i="56"/>
  <c r="DU114" i="56"/>
  <c r="FA77" i="56"/>
  <c r="DB341" i="56" a="1"/>
  <c r="DB341" i="56" s="1"/>
  <c r="EJ251" i="56"/>
  <c r="FS117" i="56"/>
  <c r="FP117" i="56"/>
  <c r="IG340" i="56"/>
  <c r="HZ340" i="56"/>
  <c r="AJ24" i="55"/>
  <c r="EF77" i="56"/>
  <c r="EG77" i="56" s="1"/>
  <c r="DI49" i="56"/>
  <c r="GD198" i="56"/>
  <c r="GE198" i="56" s="1"/>
  <c r="IG9" i="56"/>
  <c r="HZ9" i="56"/>
  <c r="FA11" i="56"/>
  <c r="DI84" i="56"/>
  <c r="HZ62" i="56"/>
  <c r="IG62" i="56"/>
  <c r="FZ303" i="56"/>
  <c r="CU303" i="56"/>
  <c r="CY303" i="56" s="1"/>
  <c r="EF303" i="56"/>
  <c r="EG303" i="56" s="1"/>
  <c r="CW97" i="56"/>
  <c r="DA97" i="56" s="1"/>
  <c r="AK11" i="55"/>
  <c r="DU245" i="56"/>
  <c r="FA245" i="56"/>
  <c r="P245" i="56" a="1"/>
  <c r="P245" i="56" s="1"/>
  <c r="IR202" i="56"/>
  <c r="DF246" i="56"/>
  <c r="DG246" i="56" s="1"/>
  <c r="IQ246" i="56"/>
  <c r="IR246" i="56"/>
  <c r="CW246" i="56"/>
  <c r="FZ233" i="56"/>
  <c r="CU233" i="56"/>
  <c r="IQ100" i="56"/>
  <c r="HV6" i="56"/>
  <c r="FZ236" i="56"/>
  <c r="CU236" i="56"/>
  <c r="CY236" i="56" s="1"/>
  <c r="G236" i="56" s="1"/>
  <c r="CZ236" i="56" s="1"/>
  <c r="DA236" i="56" s="1"/>
  <c r="DI236" i="56"/>
  <c r="AQ20" i="55"/>
  <c r="DB108" i="56" a="1"/>
  <c r="DB108" i="56" s="1"/>
  <c r="DD108" i="56" s="1"/>
  <c r="HB108" i="56"/>
  <c r="DE108" i="56"/>
  <c r="GY108" i="56" s="1"/>
  <c r="S153" i="56"/>
  <c r="IQ313" i="56"/>
  <c r="HY351" i="56"/>
  <c r="IF351" i="56"/>
  <c r="IR72" i="56"/>
  <c r="DF72" i="56"/>
  <c r="DG72" i="56" s="1"/>
  <c r="IQ72" i="56"/>
  <c r="CW72" i="56"/>
  <c r="DA72" i="56" s="1"/>
  <c r="HZ248" i="56"/>
  <c r="IG248" i="56"/>
  <c r="AK21" i="55"/>
  <c r="FI141" i="56"/>
  <c r="FI343" i="56"/>
  <c r="FZ87" i="56"/>
  <c r="CU87" i="56"/>
  <c r="CY87" i="56" s="1"/>
  <c r="DI87" i="56"/>
  <c r="EF87" i="56"/>
  <c r="EG87" i="56" s="1"/>
  <c r="IE198" i="56"/>
  <c r="HX198" i="56"/>
  <c r="EF212" i="56"/>
  <c r="EG212" i="56" s="1"/>
  <c r="IE12" i="56"/>
  <c r="HX12" i="56"/>
  <c r="FI36" i="56"/>
  <c r="DF277" i="56"/>
  <c r="DG277" i="56" s="1"/>
  <c r="IR229" i="56"/>
  <c r="IF160" i="56"/>
  <c r="HY160" i="56"/>
  <c r="DI59" i="56"/>
  <c r="IG12" i="56"/>
  <c r="HZ12" i="56"/>
  <c r="IG180" i="56"/>
  <c r="HZ180" i="56"/>
  <c r="IE186" i="56"/>
  <c r="HX186" i="56"/>
  <c r="IE57" i="56"/>
  <c r="HX57" i="56"/>
  <c r="FZ32" i="56"/>
  <c r="CU32" i="56"/>
  <c r="CY32" i="56" s="1"/>
  <c r="G32" i="56" s="1"/>
  <c r="CZ32" i="56" s="1"/>
  <c r="DA32" i="56" s="1"/>
  <c r="IG114" i="56"/>
  <c r="HZ114" i="56"/>
  <c r="IR267" i="56"/>
  <c r="IQ267" i="56"/>
  <c r="DF267" i="56"/>
  <c r="DG267" i="56" s="1"/>
  <c r="W6" i="42"/>
  <c r="IQ229" i="56"/>
  <c r="HB69" i="56"/>
  <c r="IG160" i="56"/>
  <c r="HZ160" i="56"/>
  <c r="FZ195" i="56"/>
  <c r="CU195" i="56"/>
  <c r="DI195" i="56"/>
  <c r="EJ183" i="56"/>
  <c r="IF57" i="56"/>
  <c r="HY57" i="56"/>
  <c r="IE20" i="56"/>
  <c r="HX20" i="56"/>
  <c r="FI97" i="56"/>
  <c r="DF139" i="56"/>
  <c r="DG139" i="56" s="1"/>
  <c r="IQ139" i="56"/>
  <c r="IR139" i="56"/>
  <c r="FZ160" i="56"/>
  <c r="CU160" i="56"/>
  <c r="CY160" i="56" s="1"/>
  <c r="DI160" i="56"/>
  <c r="IE305" i="56"/>
  <c r="HX305" i="56"/>
  <c r="IE291" i="56"/>
  <c r="HX291" i="56"/>
  <c r="IQ305" i="56"/>
  <c r="IR305" i="56"/>
  <c r="DF305" i="56"/>
  <c r="DG305" i="56" s="1"/>
  <c r="DU243" i="56"/>
  <c r="FZ292" i="56"/>
  <c r="CU292" i="56"/>
  <c r="DI292" i="56"/>
  <c r="IF304" i="56"/>
  <c r="HY304" i="56"/>
  <c r="IQ293" i="56"/>
  <c r="FI251" i="56"/>
  <c r="FZ241" i="56"/>
  <c r="CU241" i="56"/>
  <c r="DI241" i="56"/>
  <c r="EF241" i="56"/>
  <c r="EG241" i="56" s="1"/>
  <c r="IG224" i="56"/>
  <c r="HZ224" i="56"/>
  <c r="IF260" i="56"/>
  <c r="HY260" i="56"/>
  <c r="IE322" i="56"/>
  <c r="HX322" i="56"/>
  <c r="IQ197" i="56"/>
  <c r="GE254" i="56"/>
  <c r="GG254" i="56"/>
  <c r="DY27" i="56" a="1"/>
  <c r="DY27" i="56" s="1"/>
  <c r="GD15" i="56"/>
  <c r="DU139" i="56"/>
  <c r="FA139" i="56"/>
  <c r="FI188" i="56"/>
  <c r="HV47" i="56"/>
  <c r="DI269" i="56"/>
  <c r="FP95" i="56"/>
  <c r="FS95" i="56"/>
  <c r="DB351" i="56" a="1"/>
  <c r="DB351" i="56" s="1"/>
  <c r="DF32" i="56"/>
  <c r="DG32" i="56" s="1"/>
  <c r="AM25" i="55"/>
  <c r="FZ92" i="56"/>
  <c r="CU92" i="56"/>
  <c r="DI92" i="56"/>
  <c r="IE71" i="56"/>
  <c r="HX71" i="56"/>
  <c r="FZ58" i="56"/>
  <c r="CU58" i="56"/>
  <c r="CY58" i="56" s="1"/>
  <c r="DI58" i="56"/>
  <c r="IG307" i="56"/>
  <c r="HZ307" i="56"/>
  <c r="IF327" i="56"/>
  <c r="HY327" i="56"/>
  <c r="GQ248" i="56"/>
  <c r="FX248" i="56"/>
  <c r="DU168" i="56"/>
  <c r="EF168" i="56" s="1"/>
  <c r="EG168" i="56" s="1"/>
  <c r="FA168" i="56"/>
  <c r="AM21" i="55"/>
  <c r="DF301" i="56"/>
  <c r="DG301" i="56" s="1"/>
  <c r="IF89" i="56"/>
  <c r="HY89" i="56"/>
  <c r="IF261" i="56"/>
  <c r="HY261" i="56"/>
  <c r="HX23" i="56"/>
  <c r="IE23" i="56"/>
  <c r="AP18" i="55"/>
  <c r="IQ149" i="56"/>
  <c r="FI256" i="56"/>
  <c r="DF219" i="56"/>
  <c r="DG219" i="56" s="1"/>
  <c r="IQ219" i="56"/>
  <c r="IR219" i="56"/>
  <c r="CW219" i="56"/>
  <c r="GD191" i="56"/>
  <c r="HZ145" i="56"/>
  <c r="IG145" i="56"/>
  <c r="DF320" i="56"/>
  <c r="DG320" i="56" s="1"/>
  <c r="CW320" i="56"/>
  <c r="DA320" i="56" s="1"/>
  <c r="IR320" i="56"/>
  <c r="IQ320" i="56"/>
  <c r="IE160" i="56"/>
  <c r="HX160" i="56"/>
  <c r="HZ11" i="56"/>
  <c r="IG11" i="56"/>
  <c r="FI263" i="56"/>
  <c r="HX241" i="56"/>
  <c r="IE241" i="56"/>
  <c r="DF83" i="56"/>
  <c r="DG83" i="56" s="1"/>
  <c r="IQ83" i="56"/>
  <c r="IR83" i="56"/>
  <c r="CW83" i="56"/>
  <c r="DA83" i="56" s="1"/>
  <c r="IE180" i="56"/>
  <c r="HX180" i="56"/>
  <c r="DW28" i="56" a="1"/>
  <c r="DW28" i="56" s="1"/>
  <c r="K28" i="56" s="1"/>
  <c r="DX28" i="56" s="1"/>
  <c r="IG57" i="56"/>
  <c r="HZ57" i="56"/>
  <c r="EF268" i="56"/>
  <c r="EG268" i="56" s="1"/>
  <c r="EJ268" i="56" s="1"/>
  <c r="EF58" i="56"/>
  <c r="EG58" i="56" s="1"/>
  <c r="EF348" i="56"/>
  <c r="EG348" i="56" s="1"/>
  <c r="IE107" i="56"/>
  <c r="HX107" i="56"/>
  <c r="EF172" i="56"/>
  <c r="EG172" i="56" s="1"/>
  <c r="FP101" i="56"/>
  <c r="FS101" i="56"/>
  <c r="FI18" i="56"/>
  <c r="FP53" i="56"/>
  <c r="FS53" i="56"/>
  <c r="IG194" i="56"/>
  <c r="HZ194" i="56"/>
  <c r="IG305" i="56"/>
  <c r="HZ305" i="56"/>
  <c r="FZ129" i="56"/>
  <c r="CU129" i="56"/>
  <c r="DI129" i="56"/>
  <c r="FP309" i="56"/>
  <c r="FS309" i="56"/>
  <c r="DF85" i="56"/>
  <c r="DG85" i="56" s="1"/>
  <c r="HY291" i="56"/>
  <c r="IF291" i="56"/>
  <c r="IG228" i="56"/>
  <c r="HZ228" i="56"/>
  <c r="DI133" i="56"/>
  <c r="IF52" i="56"/>
  <c r="HY52" i="56"/>
  <c r="AJ13" i="55"/>
  <c r="IE164" i="56"/>
  <c r="HX164" i="56"/>
  <c r="IE288" i="56"/>
  <c r="HX288" i="56"/>
  <c r="IF100" i="56"/>
  <c r="HY100" i="56"/>
  <c r="IF242" i="56"/>
  <c r="HY242" i="56"/>
  <c r="FI274" i="56"/>
  <c r="IG91" i="56"/>
  <c r="HZ91" i="56"/>
  <c r="FZ203" i="56"/>
  <c r="CU203" i="56"/>
  <c r="CY203" i="56" s="1"/>
  <c r="G203" i="56" s="1"/>
  <c r="CZ203" i="56" s="1"/>
  <c r="DA203" i="56" s="1"/>
  <c r="DI203" i="56"/>
  <c r="IG225" i="56"/>
  <c r="HZ225" i="56"/>
  <c r="IE224" i="56"/>
  <c r="HX224" i="56"/>
  <c r="AK22" i="55"/>
  <c r="IG260" i="56"/>
  <c r="HZ260" i="56"/>
  <c r="HX99" i="56"/>
  <c r="IE99" i="56"/>
  <c r="FZ340" i="56"/>
  <c r="CU340" i="56"/>
  <c r="CY340" i="56" s="1"/>
  <c r="DI340" i="56"/>
  <c r="IG322" i="56"/>
  <c r="HZ322" i="56"/>
  <c r="EJ111" i="56"/>
  <c r="DF345" i="56"/>
  <c r="DG345" i="56" s="1"/>
  <c r="CW345" i="56"/>
  <c r="DA345" i="56" s="1"/>
  <c r="IR345" i="56"/>
  <c r="IQ345" i="56"/>
  <c r="IR197" i="56"/>
  <c r="GD302" i="56"/>
  <c r="DF192" i="56"/>
  <c r="DG192" i="56" s="1"/>
  <c r="IR271" i="56"/>
  <c r="HX221" i="56"/>
  <c r="IE221" i="56"/>
  <c r="FP352" i="56"/>
  <c r="FS352" i="56"/>
  <c r="DU349" i="56"/>
  <c r="EF349" i="56" s="1"/>
  <c r="EG349" i="56" s="1"/>
  <c r="DF128" i="56"/>
  <c r="DG128" i="56" s="1"/>
  <c r="GD111" i="56"/>
  <c r="DF188" i="56"/>
  <c r="DG188" i="56" s="1"/>
  <c r="IR188" i="56"/>
  <c r="IQ188" i="56"/>
  <c r="CW188" i="56"/>
  <c r="IG74" i="56"/>
  <c r="HZ74" i="56"/>
  <c r="IE124" i="56"/>
  <c r="HX124" i="56"/>
  <c r="IG58" i="56"/>
  <c r="HZ58" i="56"/>
  <c r="DU257" i="56"/>
  <c r="IE77" i="56"/>
  <c r="HX77" i="56"/>
  <c r="IG32" i="56"/>
  <c r="HZ32" i="56"/>
  <c r="GD206" i="56"/>
  <c r="GE206" i="56" s="1"/>
  <c r="S75" i="56"/>
  <c r="BN51" i="56"/>
  <c r="GD167" i="56"/>
  <c r="GE167" i="56" s="1"/>
  <c r="P139" i="56" a="1"/>
  <c r="P139" i="56" s="1"/>
  <c r="IF173" i="56"/>
  <c r="HY173" i="56"/>
  <c r="IF140" i="56"/>
  <c r="HY140" i="56"/>
  <c r="EF306" i="56"/>
  <c r="EG306" i="56" s="1"/>
  <c r="FA141" i="56"/>
  <c r="IQ269" i="56"/>
  <c r="CW312" i="56"/>
  <c r="DA312" i="56" s="1"/>
  <c r="IQ312" i="56"/>
  <c r="DF312" i="56"/>
  <c r="DG312" i="56" s="1"/>
  <c r="IR312" i="56"/>
  <c r="IE283" i="56"/>
  <c r="HX283" i="56"/>
  <c r="FI44" i="56"/>
  <c r="GG336" i="56"/>
  <c r="FP96" i="56"/>
  <c r="FS96" i="56"/>
  <c r="DE341" i="56"/>
  <c r="GY341" i="56" s="1"/>
  <c r="AQ16" i="55"/>
  <c r="FZ345" i="56"/>
  <c r="CU345" i="56"/>
  <c r="CY345" i="56" s="1"/>
  <c r="DI345" i="56"/>
  <c r="AK25" i="55"/>
  <c r="FI125" i="56"/>
  <c r="IF71" i="56"/>
  <c r="HY71" i="56"/>
  <c r="DU265" i="56"/>
  <c r="EF265" i="56" s="1"/>
  <c r="EG265" i="56" s="1"/>
  <c r="FA265" i="56"/>
  <c r="FI12" i="56"/>
  <c r="FI104" i="56"/>
  <c r="IE295" i="56"/>
  <c r="HX295" i="56"/>
  <c r="EJ291" i="56"/>
  <c r="S291" i="56"/>
  <c r="HZ229" i="56"/>
  <c r="IG229" i="56"/>
  <c r="IQ179" i="56"/>
  <c r="IE350" i="56"/>
  <c r="HX350" i="56"/>
  <c r="S135" i="56"/>
  <c r="IF307" i="56"/>
  <c r="HY307" i="56"/>
  <c r="S42" i="56"/>
  <c r="HZ120" i="56"/>
  <c r="IG120" i="56"/>
  <c r="FZ350" i="56"/>
  <c r="CU350" i="56"/>
  <c r="CY350" i="56" s="1"/>
  <c r="DI350" i="56"/>
  <c r="S119" i="56"/>
  <c r="IF247" i="56"/>
  <c r="HY247" i="56"/>
  <c r="IG86" i="56"/>
  <c r="HZ86" i="56"/>
  <c r="DU101" i="56"/>
  <c r="FA101" i="56"/>
  <c r="P101" i="56" a="1"/>
  <c r="P101" i="56" s="1"/>
  <c r="IE207" i="56"/>
  <c r="HX207" i="56"/>
  <c r="FA157" i="56"/>
  <c r="IF279" i="56"/>
  <c r="HY279" i="56"/>
  <c r="IF23" i="56"/>
  <c r="HY23" i="56"/>
  <c r="GD80" i="56"/>
  <c r="AL11" i="55"/>
  <c r="HZ133" i="56"/>
  <c r="IG133" i="56"/>
  <c r="FZ120" i="56"/>
  <c r="CU120" i="56"/>
  <c r="CY120" i="56" s="1"/>
  <c r="DI120" i="56"/>
  <c r="IQ202" i="56"/>
  <c r="DU160" i="56"/>
  <c r="EF160" i="56"/>
  <c r="EG160" i="56" s="1"/>
  <c r="EJ160" i="56" s="1"/>
  <c r="FA160" i="56"/>
  <c r="GD212" i="56"/>
  <c r="GE212" i="56" s="1"/>
  <c r="IR100" i="56"/>
  <c r="IF104" i="56"/>
  <c r="HY104" i="56"/>
  <c r="EJ56" i="56"/>
  <c r="S56" i="56"/>
  <c r="DB339" i="56" a="1"/>
  <c r="DB339" i="56" s="1"/>
  <c r="DD339" i="56" s="1"/>
  <c r="DE339" i="56"/>
  <c r="GY339" i="56" s="1"/>
  <c r="HB339" i="56"/>
  <c r="EJ345" i="56"/>
  <c r="DB121" i="56" a="1"/>
  <c r="DB121" i="56" s="1"/>
  <c r="DD121" i="56" s="1"/>
  <c r="DE121" i="56"/>
  <c r="GY121" i="56" s="1"/>
  <c r="HB121" i="56"/>
  <c r="IE299" i="56"/>
  <c r="HX299" i="56"/>
  <c r="S141" i="56"/>
  <c r="FA33" i="56"/>
  <c r="FP176" i="56"/>
  <c r="FS176" i="56"/>
  <c r="DY28" i="56" a="1"/>
  <c r="DY28" i="56" s="1"/>
  <c r="EA28" i="56" s="1"/>
  <c r="DF106" i="56"/>
  <c r="DG106" i="56" s="1"/>
  <c r="IR106" i="56"/>
  <c r="IQ106" i="56"/>
  <c r="IQ275" i="56"/>
  <c r="IR275" i="56"/>
  <c r="DF275" i="56"/>
  <c r="DG275" i="56" s="1"/>
  <c r="CW275" i="56"/>
  <c r="IF20" i="56"/>
  <c r="HY20" i="56"/>
  <c r="IF107" i="56"/>
  <c r="HY107" i="56"/>
  <c r="IE51" i="56"/>
  <c r="HX51" i="56"/>
  <c r="DB308" i="56" a="1"/>
  <c r="DB308" i="56" s="1"/>
  <c r="DD308" i="56" s="1"/>
  <c r="HB308" i="56"/>
  <c r="DE308" i="56"/>
  <c r="GY308" i="56" s="1"/>
  <c r="AK15" i="55"/>
  <c r="CW257" i="56"/>
  <c r="IQ257" i="56"/>
  <c r="IR257" i="56"/>
  <c r="DF257" i="56"/>
  <c r="DG257" i="56" s="1"/>
  <c r="IE194" i="56"/>
  <c r="HX194" i="56"/>
  <c r="FI308" i="56"/>
  <c r="FZ113" i="56"/>
  <c r="CU113" i="56"/>
  <c r="DI113" i="56"/>
  <c r="IG50" i="56"/>
  <c r="HZ50" i="56"/>
  <c r="IG291" i="56"/>
  <c r="HZ291" i="56"/>
  <c r="EF122" i="56"/>
  <c r="EG122" i="56" s="1"/>
  <c r="IE228" i="56"/>
  <c r="HX228" i="56"/>
  <c r="FA243" i="56"/>
  <c r="IG52" i="56"/>
  <c r="HZ52" i="56"/>
  <c r="AN13" i="55"/>
  <c r="IF164" i="56"/>
  <c r="HY164" i="56"/>
  <c r="IR226" i="56"/>
  <c r="IQ226" i="56"/>
  <c r="DF226" i="56"/>
  <c r="DG226" i="56" s="1"/>
  <c r="CW226" i="56"/>
  <c r="P243" i="56" a="1"/>
  <c r="P243" i="56" s="1"/>
  <c r="IF17" i="56"/>
  <c r="HY17" i="56"/>
  <c r="IG288" i="56"/>
  <c r="HZ288" i="56"/>
  <c r="IE100" i="56"/>
  <c r="HX100" i="56"/>
  <c r="IG242" i="56"/>
  <c r="HZ242" i="56"/>
  <c r="DE293" i="56"/>
  <c r="GY293" i="56" s="1"/>
  <c r="FI288" i="56"/>
  <c r="IF224" i="56"/>
  <c r="HY224" i="56"/>
  <c r="IF99" i="56"/>
  <c r="HY99" i="56"/>
  <c r="IG139" i="56"/>
  <c r="HZ139" i="56"/>
  <c r="IG129" i="56"/>
  <c r="HZ129" i="56"/>
  <c r="DF349" i="56"/>
  <c r="DG349" i="56" s="1"/>
  <c r="IQ349" i="56"/>
  <c r="IR349" i="56"/>
  <c r="P307" i="56" a="1"/>
  <c r="P307" i="56" s="1"/>
  <c r="GD63" i="56"/>
  <c r="HB63" i="56"/>
  <c r="FI52" i="56"/>
  <c r="GD14" i="56"/>
  <c r="GE14" i="56" s="1"/>
  <c r="HZ301" i="56"/>
  <c r="IG301" i="56"/>
  <c r="DF314" i="56"/>
  <c r="DG314" i="56" s="1"/>
  <c r="IQ314" i="56"/>
  <c r="IR314" i="56"/>
  <c r="GG314" i="56"/>
  <c r="FI155" i="56"/>
  <c r="IG124" i="56"/>
  <c r="HZ124" i="56"/>
  <c r="DF217" i="56"/>
  <c r="DG217" i="56" s="1"/>
  <c r="IR217" i="56"/>
  <c r="IQ217" i="56"/>
  <c r="CW217" i="56"/>
  <c r="P257" i="56" a="1"/>
  <c r="P257" i="56" s="1"/>
  <c r="IF77" i="56"/>
  <c r="HY77" i="56"/>
  <c r="IE140" i="56"/>
  <c r="HX140" i="56"/>
  <c r="DF272" i="56"/>
  <c r="DG272" i="56" s="1"/>
  <c r="GD181" i="56"/>
  <c r="GD173" i="56"/>
  <c r="GD161" i="56"/>
  <c r="GD166" i="56"/>
  <c r="GD157" i="56"/>
  <c r="GD170" i="56"/>
  <c r="GD175" i="56"/>
  <c r="GD164" i="56"/>
  <c r="GD176" i="56"/>
  <c r="GD180" i="56"/>
  <c r="GD169" i="56"/>
  <c r="GD162" i="56"/>
  <c r="GG154" i="56"/>
  <c r="GD154" i="56"/>
  <c r="GE154" i="56" s="1"/>
  <c r="GD168" i="56"/>
  <c r="GD171" i="56"/>
  <c r="GD179" i="56"/>
  <c r="GD178" i="56"/>
  <c r="GD177" i="56"/>
  <c r="GD156" i="56"/>
  <c r="GD163" i="56"/>
  <c r="GD155" i="56"/>
  <c r="GD160" i="56"/>
  <c r="GD172" i="56"/>
  <c r="DF207" i="56"/>
  <c r="DG207" i="56" s="1"/>
  <c r="IE264" i="56"/>
  <c r="HX264" i="56"/>
  <c r="P163" i="56" a="1"/>
  <c r="P163" i="56" s="1"/>
  <c r="IE276" i="56"/>
  <c r="HX276" i="56"/>
  <c r="FZ123" i="56"/>
  <c r="CU123" i="56"/>
  <c r="CY123" i="56" s="1"/>
  <c r="DI123" i="56"/>
  <c r="FI300" i="56"/>
  <c r="HY283" i="56"/>
  <c r="IF283" i="56"/>
  <c r="DF57" i="56"/>
  <c r="DG57" i="56" s="1"/>
  <c r="IQ57" i="56"/>
  <c r="CW57" i="56"/>
  <c r="DA57" i="56" s="1"/>
  <c r="IR57" i="56"/>
  <c r="P106" i="56" a="1"/>
  <c r="P106" i="56" s="1"/>
  <c r="FZ253" i="56"/>
  <c r="CU253" i="56"/>
  <c r="CY253" i="56" s="1"/>
  <c r="G253" i="56" s="1"/>
  <c r="CZ253" i="56" s="1"/>
  <c r="DA253" i="56" s="1"/>
  <c r="DI253" i="56"/>
  <c r="S123" i="56"/>
  <c r="FP127" i="56"/>
  <c r="FS127" i="56"/>
  <c r="DI37" i="56"/>
  <c r="IQ37" i="56"/>
  <c r="FP48" i="56"/>
  <c r="FS48" i="56"/>
  <c r="AJ16" i="55"/>
  <c r="FS32" i="56"/>
  <c r="FP32" i="56"/>
  <c r="IE285" i="56"/>
  <c r="HX285" i="56"/>
  <c r="IE348" i="56"/>
  <c r="HX348" i="56"/>
  <c r="AL24" i="55"/>
  <c r="IG71" i="56"/>
  <c r="HZ71" i="56"/>
  <c r="IE229" i="56"/>
  <c r="HX229" i="56"/>
  <c r="FA295" i="56"/>
  <c r="DF110" i="56"/>
  <c r="DG110" i="56" s="1"/>
  <c r="IR110" i="56"/>
  <c r="IQ110" i="56"/>
  <c r="CW110" i="56"/>
  <c r="DA110" i="56" s="1"/>
  <c r="DE313" i="56"/>
  <c r="GY313" i="56" s="1"/>
  <c r="FI271" i="56"/>
  <c r="HY350" i="56"/>
  <c r="IF350" i="56"/>
  <c r="FZ111" i="56"/>
  <c r="CU111" i="56"/>
  <c r="CY111" i="56" s="1"/>
  <c r="GD118" i="56"/>
  <c r="GE118" i="56" s="1"/>
  <c r="IF296" i="56"/>
  <c r="HY296" i="56"/>
  <c r="GD340" i="56"/>
  <c r="GD259" i="56"/>
  <c r="GE259" i="56" s="1"/>
  <c r="GD273" i="56"/>
  <c r="GD280" i="56"/>
  <c r="GD266" i="56"/>
  <c r="P153" i="56" a="1"/>
  <c r="P153" i="56" s="1"/>
  <c r="IE319" i="56"/>
  <c r="HX319" i="56"/>
  <c r="IF207" i="56"/>
  <c r="HY207" i="56"/>
  <c r="FI9" i="56"/>
  <c r="IR73" i="56"/>
  <c r="IQ73" i="56"/>
  <c r="CW73" i="56"/>
  <c r="DA73" i="56" s="1"/>
  <c r="DF73" i="56"/>
  <c r="DG73" i="56" s="1"/>
  <c r="IQ279" i="56"/>
  <c r="IR279" i="56"/>
  <c r="DF279" i="56"/>
  <c r="DG279" i="56" s="1"/>
  <c r="IG23" i="56"/>
  <c r="HZ23" i="56"/>
  <c r="GD62" i="56"/>
  <c r="DF323" i="56"/>
  <c r="DG323" i="56" s="1"/>
  <c r="AK18" i="55"/>
  <c r="DB20" i="56" a="1"/>
  <c r="DB20" i="56" s="1"/>
  <c r="DD20" i="56" s="1"/>
  <c r="DE20" i="56"/>
  <c r="GY20" i="56" s="1"/>
  <c r="HB20" i="56"/>
  <c r="HC20" i="56" s="1"/>
  <c r="GD150" i="56"/>
  <c r="GE150" i="56" s="1"/>
  <c r="GD152" i="56"/>
  <c r="GD151" i="56"/>
  <c r="GD153" i="56"/>
  <c r="CW182" i="56"/>
  <c r="DA182" i="56" s="1"/>
  <c r="IR182" i="56"/>
  <c r="DF182" i="56"/>
  <c r="DG182" i="56" s="1"/>
  <c r="IQ182" i="56"/>
  <c r="DB86" i="56" a="1"/>
  <c r="DB86" i="56" s="1"/>
  <c r="DD86" i="56" s="1"/>
  <c r="DE86" i="56"/>
  <c r="GY86" i="56" s="1"/>
  <c r="HB86" i="56"/>
  <c r="HC86" i="56" s="1"/>
  <c r="EJ266" i="56"/>
  <c r="DB129" i="56" a="1"/>
  <c r="DB129" i="56" s="1"/>
  <c r="DD129" i="56" s="1"/>
  <c r="DE129" i="56"/>
  <c r="GY129" i="56" s="1"/>
  <c r="HB129" i="56"/>
  <c r="HY299" i="56"/>
  <c r="IF299" i="56"/>
  <c r="EJ28" i="56"/>
  <c r="S28" i="56"/>
  <c r="HY90" i="56"/>
  <c r="IF90" i="56"/>
  <c r="FI195" i="56"/>
  <c r="DB59" i="56" a="1"/>
  <c r="DB59" i="56" s="1"/>
  <c r="DD59" i="56" s="1"/>
  <c r="DE59" i="56"/>
  <c r="GY59" i="56" s="1"/>
  <c r="HB59" i="56"/>
  <c r="FI179" i="56"/>
  <c r="IG20" i="56"/>
  <c r="HZ20" i="56"/>
  <c r="CW268" i="56"/>
  <c r="FZ227" i="56"/>
  <c r="CU227" i="56"/>
  <c r="CY227" i="56" s="1"/>
  <c r="G227" i="56" s="1"/>
  <c r="CZ227" i="56" s="1"/>
  <c r="DA227" i="56" s="1"/>
  <c r="DI227" i="56"/>
  <c r="FI34" i="56"/>
  <c r="IF51" i="56"/>
  <c r="HY51" i="56"/>
  <c r="FZ244" i="56"/>
  <c r="CU244" i="56"/>
  <c r="EF244" i="56"/>
  <c r="EG244" i="56" s="1"/>
  <c r="DI244" i="56"/>
  <c r="AP15" i="55"/>
  <c r="IG162" i="56"/>
  <c r="HZ162" i="56"/>
  <c r="FF53" i="56"/>
  <c r="IF194" i="56"/>
  <c r="HY194" i="56"/>
  <c r="FI100" i="56"/>
  <c r="IF323" i="56"/>
  <c r="HY323" i="56"/>
  <c r="IG273" i="56"/>
  <c r="HZ273" i="56"/>
  <c r="CW42" i="56"/>
  <c r="IF228" i="56"/>
  <c r="HY228" i="56"/>
  <c r="FI20" i="56"/>
  <c r="DB76" i="56" a="1"/>
  <c r="DB76" i="56" s="1"/>
  <c r="DD76" i="56" s="1"/>
  <c r="HB76" i="56"/>
  <c r="DE76" i="56"/>
  <c r="GY76" i="56" s="1"/>
  <c r="FS213" i="56"/>
  <c r="FP213" i="56"/>
  <c r="IG164" i="56"/>
  <c r="HZ164" i="56"/>
  <c r="DF162" i="56"/>
  <c r="DG162" i="56" s="1"/>
  <c r="IQ162" i="56"/>
  <c r="IR162" i="56"/>
  <c r="CW162" i="56"/>
  <c r="DA162" i="56" s="1"/>
  <c r="HX17" i="56"/>
  <c r="IE17" i="56"/>
  <c r="IF288" i="56"/>
  <c r="HY288" i="56"/>
  <c r="DF43" i="56"/>
  <c r="DG43" i="56" s="1"/>
  <c r="IR43" i="56"/>
  <c r="IQ43" i="56"/>
  <c r="FZ339" i="56"/>
  <c r="CU339" i="56"/>
  <c r="CY339" i="56" s="1"/>
  <c r="DI339" i="56"/>
  <c r="EF339" i="56"/>
  <c r="EG339" i="56" s="1"/>
  <c r="IE225" i="56"/>
  <c r="HX225" i="56"/>
  <c r="DB220" i="56" a="1"/>
  <c r="DB220" i="56" s="1"/>
  <c r="DD220" i="56" s="1"/>
  <c r="DE220" i="56"/>
  <c r="GY220" i="56" s="1"/>
  <c r="HB220" i="56"/>
  <c r="HC220" i="56" s="1"/>
  <c r="FI32" i="56"/>
  <c r="DU340" i="56"/>
  <c r="EF340" i="56" s="1"/>
  <c r="EG340" i="56" s="1"/>
  <c r="FA340" i="56"/>
  <c r="AO25" i="55" s="1"/>
  <c r="HY322" i="56"/>
  <c r="IF322" i="56"/>
  <c r="IE139" i="56"/>
  <c r="HX139" i="56"/>
  <c r="EJ110" i="56"/>
  <c r="DF141" i="56"/>
  <c r="DG141" i="56" s="1"/>
  <c r="IR141" i="56"/>
  <c r="IQ141" i="56"/>
  <c r="P296" i="56" a="1"/>
  <c r="P296" i="56" s="1"/>
  <c r="EF162" i="56"/>
  <c r="EG162" i="56" s="1"/>
  <c r="GD279" i="56"/>
  <c r="GE279" i="56" s="1"/>
  <c r="IF221" i="56"/>
  <c r="HY221" i="56"/>
  <c r="CW284" i="56"/>
  <c r="DA284" i="56" s="1"/>
  <c r="IF301" i="56"/>
  <c r="HY301" i="56"/>
  <c r="IR266" i="56"/>
  <c r="DF266" i="56"/>
  <c r="DG266" i="56" s="1"/>
  <c r="IQ266" i="56"/>
  <c r="EF242" i="56"/>
  <c r="EG242" i="56" s="1"/>
  <c r="FP128" i="56"/>
  <c r="FS128" i="56"/>
  <c r="DE111" i="56"/>
  <c r="GY111" i="56" s="1"/>
  <c r="IQ111" i="56"/>
  <c r="IE74" i="56"/>
  <c r="HX74" i="56"/>
  <c r="CW330" i="56"/>
  <c r="DA330" i="56" s="1"/>
  <c r="IE102" i="56"/>
  <c r="HX102" i="56"/>
  <c r="IR76" i="56"/>
  <c r="IQ76" i="56"/>
  <c r="DF76" i="56"/>
  <c r="DG76" i="56" s="1"/>
  <c r="IE137" i="56"/>
  <c r="HX137" i="56"/>
  <c r="CW204" i="56"/>
  <c r="FS333" i="56"/>
  <c r="FP333" i="56"/>
  <c r="S335" i="56"/>
  <c r="FI310" i="56"/>
  <c r="FS64" i="56"/>
  <c r="FP64" i="56"/>
  <c r="DF255" i="56"/>
  <c r="DG255" i="56" s="1"/>
  <c r="GD103" i="56"/>
  <c r="IE173" i="56"/>
  <c r="HX173" i="56"/>
  <c r="EF195" i="56"/>
  <c r="EG195" i="56" s="1"/>
  <c r="S319" i="56"/>
  <c r="GD106" i="56"/>
  <c r="GE106" i="56" s="1"/>
  <c r="DF47" i="56"/>
  <c r="DG47" i="56" s="1"/>
  <c r="IF264" i="56"/>
  <c r="HY264" i="56"/>
  <c r="FI289" i="56"/>
  <c r="IF276" i="56"/>
  <c r="HY276" i="56"/>
  <c r="IE220" i="56"/>
  <c r="HX220" i="56"/>
  <c r="AK16" i="55"/>
  <c r="IF285" i="56"/>
  <c r="HY285" i="56"/>
  <c r="AP25" i="55"/>
  <c r="IF348" i="56"/>
  <c r="HY348" i="56"/>
  <c r="AP24" i="55"/>
  <c r="IQ39" i="56"/>
  <c r="DF39" i="56"/>
  <c r="DG39" i="56" s="1"/>
  <c r="IR39" i="56"/>
  <c r="EJ227" i="56"/>
  <c r="IG295" i="56"/>
  <c r="HZ295" i="56"/>
  <c r="S163" i="56"/>
  <c r="HY229" i="56"/>
  <c r="IF229" i="56"/>
  <c r="DF49" i="56"/>
  <c r="DG49" i="56" s="1"/>
  <c r="HV317" i="56"/>
  <c r="GH317" i="56"/>
  <c r="GI317" i="56" s="1"/>
  <c r="FS131" i="56"/>
  <c r="FP131" i="56"/>
  <c r="IG350" i="56"/>
  <c r="HZ350" i="56"/>
  <c r="FS196" i="56"/>
  <c r="FP196" i="56"/>
  <c r="S38" i="56"/>
  <c r="IE296" i="56"/>
  <c r="HX296" i="56"/>
  <c r="DU82" i="56"/>
  <c r="EF82" i="56" s="1"/>
  <c r="EG82" i="56" s="1"/>
  <c r="S108" i="56"/>
  <c r="GD192" i="56"/>
  <c r="DU73" i="56"/>
  <c r="P73" i="56" a="1"/>
  <c r="P73" i="56" s="1"/>
  <c r="EF73" i="56"/>
  <c r="EG73" i="56" s="1"/>
  <c r="EJ73" i="56" s="1"/>
  <c r="GG211" i="56"/>
  <c r="FZ197" i="56"/>
  <c r="CU197" i="56"/>
  <c r="CY197" i="56" s="1"/>
  <c r="G197" i="56" s="1"/>
  <c r="CZ197" i="56" s="1"/>
  <c r="DA197" i="56" s="1"/>
  <c r="EF197" i="56"/>
  <c r="EG197" i="56" s="1"/>
  <c r="IF319" i="56"/>
  <c r="HY319" i="56"/>
  <c r="FY28" i="56"/>
  <c r="FB28" i="56"/>
  <c r="IG247" i="56"/>
  <c r="HZ247" i="56"/>
  <c r="FZ250" i="56"/>
  <c r="CU250" i="56"/>
  <c r="CY250" i="56" s="1"/>
  <c r="G250" i="56" s="1"/>
  <c r="CZ250" i="56" s="1"/>
  <c r="DA250" i="56" s="1"/>
  <c r="DI250" i="56"/>
  <c r="FZ85" i="56"/>
  <c r="CU85" i="56"/>
  <c r="CY85" i="56" s="1"/>
  <c r="CW61" i="56"/>
  <c r="DA61" i="56" s="1"/>
  <c r="DB329" i="56" a="1"/>
  <c r="DB329" i="56" s="1"/>
  <c r="HB329" i="56"/>
  <c r="FZ79" i="56"/>
  <c r="HZ312" i="56"/>
  <c r="IG312" i="56"/>
  <c r="CY279" i="56"/>
  <c r="G279" i="56" s="1"/>
  <c r="CZ279" i="56" s="1"/>
  <c r="DA279" i="56" s="1"/>
  <c r="AQ21" i="55"/>
  <c r="DI301" i="56"/>
  <c r="IR263" i="56"/>
  <c r="DF263" i="56"/>
  <c r="DG263" i="56" s="1"/>
  <c r="IQ263" i="56"/>
  <c r="CW263" i="56"/>
  <c r="FZ332" i="56"/>
  <c r="CU332" i="56"/>
  <c r="CY332" i="56" s="1"/>
  <c r="DI332" i="56"/>
  <c r="GG5" i="56"/>
  <c r="IE133" i="56"/>
  <c r="HX133" i="56"/>
  <c r="CW141" i="56"/>
  <c r="EJ232" i="56"/>
  <c r="EF69" i="56"/>
  <c r="EG69" i="56" s="1"/>
  <c r="EF176" i="56"/>
  <c r="EG176" i="56" s="1"/>
  <c r="DF152" i="56"/>
  <c r="DG152" i="56" s="1"/>
  <c r="IR152" i="56"/>
  <c r="IQ152" i="56"/>
  <c r="FZ183" i="56"/>
  <c r="CU183" i="56"/>
  <c r="CY183" i="56" s="1"/>
  <c r="DI183" i="56"/>
  <c r="AM18" i="55"/>
  <c r="FZ277" i="56"/>
  <c r="CU277" i="56"/>
  <c r="CY277" i="56" s="1"/>
  <c r="G277" i="56" s="1"/>
  <c r="CZ277" i="56" s="1"/>
  <c r="DA277" i="56" s="1"/>
  <c r="IG309" i="56"/>
  <c r="HZ309" i="56"/>
  <c r="FP256" i="56"/>
  <c r="FS256" i="56"/>
  <c r="CU119" i="56"/>
  <c r="CY119" i="56" s="1"/>
  <c r="S336" i="56"/>
  <c r="DB70" i="56" a="1"/>
  <c r="DB70" i="56" s="1"/>
  <c r="DD70" i="56" s="1"/>
  <c r="HB70" i="56"/>
  <c r="GV70" i="56"/>
  <c r="FZ131" i="56"/>
  <c r="CU131" i="56"/>
  <c r="CY131" i="56" s="1"/>
  <c r="G131" i="56" s="1"/>
  <c r="CZ131" i="56" s="1"/>
  <c r="DA131" i="56" s="1"/>
  <c r="IG107" i="56"/>
  <c r="HZ107" i="56"/>
  <c r="AJ15" i="55"/>
  <c r="IF162" i="56"/>
  <c r="HY162" i="56"/>
  <c r="HV53" i="56"/>
  <c r="GH53" i="56"/>
  <c r="GI53" i="56" s="1"/>
  <c r="FZ50" i="56"/>
  <c r="CU50" i="56"/>
  <c r="CY50" i="56" s="1"/>
  <c r="G50" i="56" s="1"/>
  <c r="CZ50" i="56" s="1"/>
  <c r="DA50" i="56" s="1"/>
  <c r="DI50" i="56"/>
  <c r="IE226" i="56"/>
  <c r="HX226" i="56"/>
  <c r="IE323" i="56"/>
  <c r="HX323" i="56"/>
  <c r="FZ146" i="56"/>
  <c r="CU146" i="56"/>
  <c r="CY146" i="56" s="1"/>
  <c r="G146" i="56" s="1"/>
  <c r="CZ146" i="56" s="1"/>
  <c r="DA146" i="56" s="1"/>
  <c r="DI146" i="56"/>
  <c r="FZ338" i="56"/>
  <c r="CU338" i="56"/>
  <c r="CY338" i="56" s="1"/>
  <c r="DI338" i="56"/>
  <c r="IQ261" i="56"/>
  <c r="AP13" i="55"/>
  <c r="EF236" i="56"/>
  <c r="EG236" i="56" s="1"/>
  <c r="HY163" i="56"/>
  <c r="IF163" i="56"/>
  <c r="IG17" i="56"/>
  <c r="HZ17" i="56"/>
  <c r="HZ100" i="56"/>
  <c r="IG100" i="56"/>
  <c r="IF27" i="56"/>
  <c r="HY27" i="56"/>
  <c r="DF293" i="56"/>
  <c r="DG293" i="56" s="1"/>
  <c r="HX96" i="56"/>
  <c r="IE96" i="56"/>
  <c r="IF225" i="56"/>
  <c r="HY225" i="56"/>
  <c r="IE208" i="56"/>
  <c r="HX208" i="56"/>
  <c r="AL22" i="55"/>
  <c r="IG99" i="56"/>
  <c r="HZ99" i="56"/>
  <c r="IF139" i="56"/>
  <c r="HY139" i="56"/>
  <c r="DJ50" i="56"/>
  <c r="DL50" i="56"/>
  <c r="FA45" i="56"/>
  <c r="GD159" i="56"/>
  <c r="GE159" i="56" s="1"/>
  <c r="DU125" i="56"/>
  <c r="EF125" i="56"/>
  <c r="EG125" i="56" s="1"/>
  <c r="DF332" i="56"/>
  <c r="DG332" i="56" s="1"/>
  <c r="IQ332" i="56"/>
  <c r="IR332" i="56"/>
  <c r="CW332" i="56"/>
  <c r="DA332" i="56" s="1"/>
  <c r="DF197" i="56"/>
  <c r="DG197" i="56" s="1"/>
  <c r="FP192" i="56"/>
  <c r="FS192" i="56"/>
  <c r="IQ63" i="56"/>
  <c r="IG221" i="56"/>
  <c r="HZ221" i="56"/>
  <c r="CW323" i="56"/>
  <c r="DA323" i="56" s="1"/>
  <c r="IE301" i="56"/>
  <c r="HX301" i="56"/>
  <c r="IQ285" i="56"/>
  <c r="IG250" i="56"/>
  <c r="HZ250" i="56"/>
  <c r="DF16" i="56"/>
  <c r="DG16" i="56" s="1"/>
  <c r="IR111" i="56"/>
  <c r="HY74" i="56"/>
  <c r="IF74" i="56"/>
  <c r="GG343" i="56"/>
  <c r="IF102" i="56"/>
  <c r="HY102" i="56"/>
  <c r="IE44" i="56"/>
  <c r="HX44" i="56"/>
  <c r="IF137" i="56"/>
  <c r="HY137" i="56"/>
  <c r="GE142" i="56"/>
  <c r="GG142" i="56"/>
  <c r="IG77" i="56"/>
  <c r="HZ77" i="56"/>
  <c r="IE281" i="56"/>
  <c r="HX281" i="56"/>
  <c r="IF306" i="56"/>
  <c r="HY306" i="56"/>
  <c r="FI211" i="56"/>
  <c r="DU344" i="56"/>
  <c r="EF344" i="56" s="1"/>
  <c r="EG344" i="56" s="1"/>
  <c r="FA344" i="56"/>
  <c r="IG140" i="56"/>
  <c r="HZ140" i="56"/>
  <c r="FI298" i="56"/>
  <c r="FA162" i="56"/>
  <c r="FP272" i="56"/>
  <c r="FS272" i="56"/>
  <c r="GD10" i="56"/>
  <c r="GE10" i="56" s="1"/>
  <c r="GG10" i="56"/>
  <c r="FS303" i="56"/>
  <c r="FP303" i="56"/>
  <c r="IQ47" i="56"/>
  <c r="HZ264" i="56"/>
  <c r="IG264" i="56"/>
  <c r="IG276" i="56"/>
  <c r="HZ276" i="56"/>
  <c r="FI281" i="56"/>
  <c r="IG283" i="56"/>
  <c r="HZ283" i="56"/>
  <c r="GD304" i="56"/>
  <c r="EF305" i="56"/>
  <c r="EG305" i="56" s="1"/>
  <c r="EJ305" i="56" s="1"/>
  <c r="FI25" i="56"/>
  <c r="DF341" i="56"/>
  <c r="DG341" i="56" s="1"/>
  <c r="FZ304" i="56"/>
  <c r="CU304" i="56"/>
  <c r="CY304" i="56" s="1"/>
  <c r="HV48" i="56"/>
  <c r="EF140" i="56"/>
  <c r="EG140" i="56" s="1"/>
  <c r="GF3" i="56"/>
  <c r="S268" i="56"/>
  <c r="AQ19" i="55"/>
  <c r="IG285" i="56"/>
  <c r="HZ285" i="56"/>
  <c r="AN25" i="55"/>
  <c r="IG349" i="56"/>
  <c r="HZ349" i="56"/>
  <c r="IG348" i="56"/>
  <c r="HZ348" i="56"/>
  <c r="AK24" i="55"/>
  <c r="P295" i="56" a="1"/>
  <c r="P295" i="56" s="1"/>
  <c r="IF295" i="56"/>
  <c r="HY295" i="56"/>
  <c r="S99" i="56"/>
  <c r="HX213" i="56"/>
  <c r="IE213" i="56"/>
  <c r="GG318" i="56"/>
  <c r="GE318" i="56"/>
  <c r="EF327" i="56"/>
  <c r="EG327" i="56" s="1"/>
  <c r="FS313" i="56"/>
  <c r="FP313" i="56"/>
  <c r="DF38" i="56"/>
  <c r="DG38" i="56" s="1"/>
  <c r="CW38" i="56"/>
  <c r="FI151" i="56"/>
  <c r="CU302" i="56"/>
  <c r="CY302" i="56" s="1"/>
  <c r="DI302" i="56"/>
  <c r="P278" i="56" a="1"/>
  <c r="P278" i="56" s="1"/>
  <c r="EF278" i="56" s="1"/>
  <c r="EG278" i="56" s="1"/>
  <c r="DB318" i="56" a="1"/>
  <c r="DB318" i="56" s="1"/>
  <c r="DD318" i="56" s="1"/>
  <c r="HB318" i="56"/>
  <c r="DE318" i="56"/>
  <c r="GY318" i="56" s="1"/>
  <c r="HZ319" i="56"/>
  <c r="IG319" i="56"/>
  <c r="DU318" i="56"/>
  <c r="P318" i="56" a="1"/>
  <c r="P318" i="56" s="1"/>
  <c r="IG38" i="56"/>
  <c r="HZ38" i="56"/>
  <c r="IG207" i="56"/>
  <c r="HZ207" i="56"/>
  <c r="IG103" i="56"/>
  <c r="HZ103" i="56"/>
  <c r="IG294" i="56"/>
  <c r="HZ294" i="56"/>
  <c r="EJ121" i="56"/>
  <c r="CU109" i="56"/>
  <c r="CY109" i="56" s="1"/>
  <c r="DH109" i="56"/>
  <c r="IF133" i="56"/>
  <c r="HY133" i="56"/>
  <c r="IR88" i="56"/>
  <c r="IQ88" i="56"/>
  <c r="DF88" i="56"/>
  <c r="DG88" i="56" s="1"/>
  <c r="CW88" i="56"/>
  <c r="DA88" i="56" s="1"/>
  <c r="DU105" i="56"/>
  <c r="P105" i="56" a="1"/>
  <c r="P105" i="56" s="1"/>
  <c r="FZ103" i="56"/>
  <c r="CU103" i="56"/>
  <c r="DI103" i="56"/>
  <c r="EF103" i="56"/>
  <c r="EG103" i="56" s="1"/>
  <c r="EJ103" i="56" s="1"/>
  <c r="DB17" i="56" a="1"/>
  <c r="DB17" i="56" s="1"/>
  <c r="DD17" i="56" s="1"/>
  <c r="DE17" i="56"/>
  <c r="GY17" i="56" s="1"/>
  <c r="HB17" i="56"/>
  <c r="HC17" i="56" s="1"/>
  <c r="IG265" i="56"/>
  <c r="HZ265" i="56"/>
  <c r="IR216" i="56"/>
  <c r="DF216" i="56"/>
  <c r="DG216" i="56" s="1"/>
  <c r="IQ216" i="56"/>
  <c r="HX55" i="56"/>
  <c r="IE55" i="56"/>
  <c r="IF309" i="56"/>
  <c r="HY309" i="56"/>
  <c r="DF215" i="56"/>
  <c r="DG215" i="56" s="1"/>
  <c r="IR215" i="56"/>
  <c r="IQ215" i="56"/>
  <c r="DF222" i="56"/>
  <c r="DG222" i="56" s="1"/>
  <c r="IQ222" i="56"/>
  <c r="IR222" i="56"/>
  <c r="AM20" i="55"/>
  <c r="FZ21" i="56"/>
  <c r="CU21" i="56"/>
  <c r="CY21" i="56" s="1"/>
  <c r="IF110" i="56"/>
  <c r="HY110" i="56"/>
  <c r="FI119" i="56"/>
  <c r="DB173" i="56" a="1"/>
  <c r="DB173" i="56" s="1"/>
  <c r="DD173" i="56" s="1"/>
  <c r="DE173" i="56"/>
  <c r="GY173" i="56" s="1"/>
  <c r="HB173" i="56"/>
  <c r="IE334" i="56"/>
  <c r="HX334" i="56"/>
  <c r="FS198" i="56"/>
  <c r="FP198" i="56"/>
  <c r="HZ280" i="56"/>
  <c r="IG280" i="56"/>
  <c r="IE302" i="56"/>
  <c r="HX302" i="56"/>
  <c r="FP118" i="56"/>
  <c r="FS118" i="56"/>
  <c r="FZ343" i="56"/>
  <c r="CU343" i="56"/>
  <c r="DI343" i="56"/>
  <c r="IQ342" i="56"/>
  <c r="IQ254" i="56"/>
  <c r="DF254" i="56"/>
  <c r="DG254" i="56" s="1"/>
  <c r="IR254" i="56"/>
  <c r="DF262" i="56"/>
  <c r="DG262" i="56" s="1"/>
  <c r="IR262" i="56"/>
  <c r="FP182" i="56"/>
  <c r="FS182" i="56"/>
  <c r="FS93" i="56"/>
  <c r="FP93" i="56"/>
  <c r="FS126" i="56"/>
  <c r="FP126" i="56"/>
  <c r="DU201" i="56"/>
  <c r="P201" i="56" a="1"/>
  <c r="P201" i="56" s="1"/>
  <c r="GG320" i="56"/>
  <c r="IQ282" i="56"/>
  <c r="IF14" i="56"/>
  <c r="HY14" i="56"/>
  <c r="FI14" i="56"/>
  <c r="FS52" i="56"/>
  <c r="FP52" i="56"/>
  <c r="IR212" i="56"/>
  <c r="DB221" i="56" a="1"/>
  <c r="DB221" i="56" s="1"/>
  <c r="DD221" i="56" s="1"/>
  <c r="S116" i="56"/>
  <c r="GQ297" i="56"/>
  <c r="FX297" i="56"/>
  <c r="GO27" i="56"/>
  <c r="GN27" i="56"/>
  <c r="IK27" i="56" s="1"/>
  <c r="GM28" i="56"/>
  <c r="GU313" i="56"/>
  <c r="HS313" i="56" s="1"/>
  <c r="GW313" i="56"/>
  <c r="GP313" i="56"/>
  <c r="GH230" i="56"/>
  <c r="GI230" i="56"/>
  <c r="GJ230" i="56" s="1"/>
  <c r="FS244" i="56"/>
  <c r="FP244" i="56"/>
  <c r="IF127" i="56"/>
  <c r="HY127" i="56"/>
  <c r="FS36" i="56"/>
  <c r="FP36" i="56"/>
  <c r="IE255" i="56"/>
  <c r="HX255" i="56"/>
  <c r="HY206" i="56"/>
  <c r="IF206" i="56"/>
  <c r="FP257" i="56"/>
  <c r="FS257" i="56"/>
  <c r="HB119" i="56"/>
  <c r="GG235" i="56"/>
  <c r="GE235" i="56"/>
  <c r="HV25" i="56"/>
  <c r="FP194" i="56"/>
  <c r="FS194" i="56"/>
  <c r="AP20" i="55"/>
  <c r="FS17" i="56"/>
  <c r="FP17" i="56"/>
  <c r="BY22" i="55" s="1" a="1"/>
  <c r="BY22" i="55" s="1"/>
  <c r="IG110" i="56"/>
  <c r="HZ110" i="56"/>
  <c r="HY334" i="56"/>
  <c r="IF334" i="56"/>
  <c r="IQ278" i="56"/>
  <c r="IF302" i="56"/>
  <c r="HY302" i="56"/>
  <c r="DB87" i="56" a="1"/>
  <c r="DB87" i="56" s="1"/>
  <c r="DD87" i="56" s="1"/>
  <c r="HB87" i="56"/>
  <c r="HC87" i="56" s="1"/>
  <c r="DE87" i="56"/>
  <c r="GY87" i="56" s="1"/>
  <c r="IR142" i="56"/>
  <c r="IQ142" i="56"/>
  <c r="DF142" i="56"/>
  <c r="DG142" i="56" s="1"/>
  <c r="IR342" i="56"/>
  <c r="AM17" i="55"/>
  <c r="DB157" i="56" a="1"/>
  <c r="DB157" i="56" s="1"/>
  <c r="DD157" i="56" s="1"/>
  <c r="HB157" i="56"/>
  <c r="DE157" i="56"/>
  <c r="GY157" i="56" s="1"/>
  <c r="IQ298" i="56"/>
  <c r="DU190" i="56"/>
  <c r="P190" i="56" a="1"/>
  <c r="P190" i="56" s="1"/>
  <c r="FA190" i="56"/>
  <c r="FS289" i="56"/>
  <c r="FP289" i="56"/>
  <c r="FS347" i="56"/>
  <c r="FP347" i="56"/>
  <c r="GU88" i="56"/>
  <c r="HS88" i="56" s="1"/>
  <c r="GW88" i="56"/>
  <c r="GP88" i="56"/>
  <c r="GP89" i="56" s="1"/>
  <c r="GG146" i="56"/>
  <c r="FI350" i="56"/>
  <c r="CW254" i="56"/>
  <c r="IE310" i="56"/>
  <c r="HX310" i="56"/>
  <c r="GG90" i="56"/>
  <c r="DB328" i="56" a="1"/>
  <c r="DB328" i="56" s="1"/>
  <c r="DD328" i="56" s="1"/>
  <c r="DE328" i="56"/>
  <c r="GY328" i="56" s="1"/>
  <c r="HB328" i="56"/>
  <c r="IG127" i="56"/>
  <c r="HZ127" i="56"/>
  <c r="IF255" i="56"/>
  <c r="HY255" i="56"/>
  <c r="GO156" i="56"/>
  <c r="GN156" i="56"/>
  <c r="IK156" i="56" s="1"/>
  <c r="GM157" i="56"/>
  <c r="GP335" i="56"/>
  <c r="GU335" i="56"/>
  <c r="HS335" i="56" s="1"/>
  <c r="GW335" i="56"/>
  <c r="IG206" i="56"/>
  <c r="HZ206" i="56"/>
  <c r="GW186" i="56"/>
  <c r="GU186" i="56"/>
  <c r="HS186" i="56" s="1"/>
  <c r="IQ237" i="56"/>
  <c r="GU89" i="56"/>
  <c r="HS89" i="56" s="1"/>
  <c r="GW89" i="56"/>
  <c r="FI93" i="56"/>
  <c r="GW5" i="56"/>
  <c r="GU5" i="56"/>
  <c r="HS5" i="56" s="1"/>
  <c r="DB8" i="56" a="1"/>
  <c r="DB8" i="56" s="1"/>
  <c r="DD8" i="56" s="1"/>
  <c r="HB8" i="56"/>
  <c r="HC8" i="56" s="1"/>
  <c r="DE8" i="56"/>
  <c r="GY8" i="56" s="1"/>
  <c r="IG334" i="56"/>
  <c r="HZ334" i="56"/>
  <c r="FZ326" i="56"/>
  <c r="CU326" i="56"/>
  <c r="CY326" i="56" s="1"/>
  <c r="FS89" i="56"/>
  <c r="FP89" i="56"/>
  <c r="IG302" i="56"/>
  <c r="HZ302" i="56"/>
  <c r="AP17" i="55"/>
  <c r="IE293" i="56"/>
  <c r="HX293" i="56"/>
  <c r="IR298" i="56"/>
  <c r="IE239" i="56"/>
  <c r="HX239" i="56"/>
  <c r="DU324" i="56"/>
  <c r="P324" i="56" a="1"/>
  <c r="P324" i="56" s="1"/>
  <c r="P76" i="56" a="1"/>
  <c r="P76" i="56" s="1"/>
  <c r="IE85" i="56"/>
  <c r="HX85" i="56"/>
  <c r="GW325" i="56"/>
  <c r="GU325" i="56"/>
  <c r="HS325" i="56" s="1"/>
  <c r="GP325" i="56"/>
  <c r="FP129" i="56"/>
  <c r="FS129" i="56"/>
  <c r="FZ159" i="56"/>
  <c r="CU159" i="56"/>
  <c r="CY159" i="56" s="1"/>
  <c r="DI159" i="56"/>
  <c r="GV159" i="56" s="1"/>
  <c r="IF310" i="56"/>
  <c r="HY310" i="56"/>
  <c r="GW26" i="56"/>
  <c r="GU26" i="56"/>
  <c r="HS26" i="56" s="1"/>
  <c r="GP26" i="56"/>
  <c r="FS195" i="56"/>
  <c r="FP195" i="56"/>
  <c r="FS116" i="56"/>
  <c r="FP116" i="56"/>
  <c r="FS314" i="56"/>
  <c r="FP314" i="56"/>
  <c r="IR6" i="56"/>
  <c r="FS292" i="56"/>
  <c r="FP292" i="56"/>
  <c r="IG255" i="56"/>
  <c r="HZ255" i="56"/>
  <c r="DB79" i="56" a="1"/>
  <c r="DB79" i="56" s="1"/>
  <c r="DD79" i="56" s="1"/>
  <c r="HB79" i="56"/>
  <c r="DE79" i="56"/>
  <c r="GY79" i="56" s="1"/>
  <c r="IF343" i="56"/>
  <c r="HY343" i="56"/>
  <c r="DB109" i="56" a="1"/>
  <c r="DB109" i="56" s="1"/>
  <c r="DD109" i="56" s="1"/>
  <c r="GG226" i="56"/>
  <c r="GE226" i="56"/>
  <c r="IR121" i="56"/>
  <c r="FZ70" i="56"/>
  <c r="CU70" i="56"/>
  <c r="CY70" i="56" s="1"/>
  <c r="HY43" i="56"/>
  <c r="IF43" i="56"/>
  <c r="HX104" i="56"/>
  <c r="IE104" i="56"/>
  <c r="HZ311" i="56"/>
  <c r="IG311" i="56"/>
  <c r="FZ182" i="56"/>
  <c r="CU182" i="56"/>
  <c r="CY182" i="56" s="1"/>
  <c r="FI39" i="56"/>
  <c r="IG39" i="56"/>
  <c r="HZ39" i="56"/>
  <c r="FP145" i="56"/>
  <c r="FS145" i="56"/>
  <c r="DB120" i="56" a="1"/>
  <c r="DB120" i="56" s="1"/>
  <c r="DD120" i="56" s="1"/>
  <c r="DE120" i="56"/>
  <c r="GY120" i="56" s="1"/>
  <c r="HB120" i="56"/>
  <c r="AN20" i="55"/>
  <c r="DU30" i="56"/>
  <c r="P30" i="56" a="1"/>
  <c r="P30" i="56" s="1"/>
  <c r="IR70" i="56"/>
  <c r="FS71" i="56"/>
  <c r="FP71" i="56"/>
  <c r="IG156" i="56"/>
  <c r="HZ156" i="56"/>
  <c r="DF342" i="56"/>
  <c r="DG342" i="56" s="1"/>
  <c r="FZ198" i="56"/>
  <c r="CU198" i="56"/>
  <c r="CY198" i="56" s="1"/>
  <c r="G198" i="56" s="1"/>
  <c r="CZ198" i="56" s="1"/>
  <c r="DA198" i="56" s="1"/>
  <c r="DU143" i="56"/>
  <c r="P143" i="56" a="1"/>
  <c r="P143" i="56" s="1"/>
  <c r="FZ91" i="56"/>
  <c r="CU91" i="56"/>
  <c r="FP73" i="56"/>
  <c r="FS73" i="56"/>
  <c r="HY239" i="56"/>
  <c r="IF239" i="56"/>
  <c r="DB65" i="56" a="1"/>
  <c r="DB65" i="56" s="1"/>
  <c r="DD65" i="56" s="1"/>
  <c r="DE65" i="56"/>
  <c r="GY65" i="56" s="1"/>
  <c r="GV65" i="56"/>
  <c r="HB65" i="56"/>
  <c r="IF85" i="56"/>
  <c r="HY85" i="56"/>
  <c r="FP327" i="56"/>
  <c r="FS327" i="56"/>
  <c r="IE175" i="56"/>
  <c r="HX175" i="56"/>
  <c r="FS307" i="56"/>
  <c r="FP307" i="56"/>
  <c r="HY287" i="56"/>
  <c r="IF287" i="56"/>
  <c r="IF318" i="56"/>
  <c r="HY318" i="56"/>
  <c r="IG310" i="56"/>
  <c r="HZ310" i="56"/>
  <c r="GW342" i="56"/>
  <c r="GU342" i="56"/>
  <c r="HS342" i="56" s="1"/>
  <c r="GP342" i="56"/>
  <c r="GO333" i="56"/>
  <c r="GN333" i="56"/>
  <c r="IK333" i="56" s="1"/>
  <c r="GM334" i="56"/>
  <c r="IQ230" i="56"/>
  <c r="E3" i="40" a="1"/>
  <c r="E3" i="40" s="1"/>
  <c r="BF8" i="10" s="1"/>
  <c r="FZ281" i="56"/>
  <c r="IE127" i="56"/>
  <c r="HX127" i="56"/>
  <c r="GO225" i="56"/>
  <c r="GN225" i="56"/>
  <c r="IK225" i="56" s="1"/>
  <c r="GM226" i="56"/>
  <c r="DB175" i="56" a="1"/>
  <c r="DB175" i="56" s="1"/>
  <c r="DD175" i="56" s="1"/>
  <c r="DE175" i="56"/>
  <c r="GY175" i="56" s="1"/>
  <c r="HB175" i="56"/>
  <c r="GV175" i="56"/>
  <c r="IE343" i="56"/>
  <c r="HX343" i="56"/>
  <c r="GE248" i="56"/>
  <c r="GG248" i="56"/>
  <c r="IQ121" i="56"/>
  <c r="AL21" i="55"/>
  <c r="IE167" i="56"/>
  <c r="HX167" i="56"/>
  <c r="IF24" i="56"/>
  <c r="HY24" i="56"/>
  <c r="DB295" i="56" a="1"/>
  <c r="DB295" i="56" s="1"/>
  <c r="DD295" i="56" s="1"/>
  <c r="DE295" i="56"/>
  <c r="GY295" i="56" s="1"/>
  <c r="HB295" i="56"/>
  <c r="AM11" i="55"/>
  <c r="HX263" i="56"/>
  <c r="IE263" i="56"/>
  <c r="FZ232" i="56"/>
  <c r="CU232" i="56"/>
  <c r="CY232" i="56" s="1"/>
  <c r="G232" i="56" s="1"/>
  <c r="CZ232" i="56" s="1"/>
  <c r="DA232" i="56" s="1"/>
  <c r="DI232" i="56"/>
  <c r="IE254" i="56"/>
  <c r="HX254" i="56"/>
  <c r="FZ204" i="56"/>
  <c r="CU204" i="56"/>
  <c r="DI204" i="56"/>
  <c r="IE182" i="56"/>
  <c r="HX182" i="56"/>
  <c r="IE43" i="56"/>
  <c r="HX43" i="56"/>
  <c r="IE122" i="56"/>
  <c r="HX122" i="56"/>
  <c r="HZ104" i="56"/>
  <c r="IG104" i="56"/>
  <c r="IE311" i="56"/>
  <c r="HX311" i="56"/>
  <c r="FI189" i="56"/>
  <c r="HY39" i="56"/>
  <c r="IF39" i="56"/>
  <c r="DB174" i="56" a="1"/>
  <c r="DB174" i="56" s="1"/>
  <c r="DD174" i="56" s="1"/>
  <c r="HB174" i="56"/>
  <c r="DE174" i="56"/>
  <c r="GY174" i="56" s="1"/>
  <c r="DF200" i="56"/>
  <c r="DG200" i="56" s="1"/>
  <c r="IR200" i="56"/>
  <c r="IQ200" i="56"/>
  <c r="IG121" i="56"/>
  <c r="HZ121" i="56"/>
  <c r="AK20" i="55"/>
  <c r="S39" i="56"/>
  <c r="FS228" i="56"/>
  <c r="FP228" i="56"/>
  <c r="IQ198" i="56"/>
  <c r="IE278" i="56"/>
  <c r="HX278" i="56"/>
  <c r="IG222" i="56"/>
  <c r="HZ222" i="56"/>
  <c r="GD18" i="56"/>
  <c r="IF156" i="56"/>
  <c r="HY156" i="56"/>
  <c r="FP42" i="56"/>
  <c r="FS42" i="56"/>
  <c r="FI302" i="56"/>
  <c r="AK17" i="55"/>
  <c r="IF293" i="56"/>
  <c r="HY293" i="56"/>
  <c r="GE139" i="56"/>
  <c r="GG139" i="56"/>
  <c r="IG191" i="56"/>
  <c r="HZ191" i="56"/>
  <c r="FS247" i="56"/>
  <c r="FP247" i="56"/>
  <c r="IE158" i="56"/>
  <c r="HX158" i="56"/>
  <c r="FI143" i="56"/>
  <c r="EF343" i="56"/>
  <c r="EG343" i="56" s="1"/>
  <c r="IG239" i="56"/>
  <c r="HZ239" i="56"/>
  <c r="IQ160" i="56"/>
  <c r="HV52" i="56"/>
  <c r="IG85" i="56"/>
  <c r="HZ85" i="56"/>
  <c r="GG327" i="56"/>
  <c r="FS246" i="56"/>
  <c r="FP246" i="56"/>
  <c r="IF175" i="56"/>
  <c r="HY175" i="56"/>
  <c r="FS221" i="56"/>
  <c r="FP221" i="56"/>
  <c r="HV129" i="56"/>
  <c r="IG287" i="56"/>
  <c r="HZ287" i="56"/>
  <c r="IG318" i="56"/>
  <c r="HZ318" i="56"/>
  <c r="S324" i="56"/>
  <c r="S321" i="56"/>
  <c r="CW118" i="56"/>
  <c r="DA118" i="56" s="1"/>
  <c r="IQ75" i="56"/>
  <c r="P166" i="56" a="1"/>
  <c r="P166" i="56" s="1"/>
  <c r="S160" i="56"/>
  <c r="HV88" i="56"/>
  <c r="GH88" i="56"/>
  <c r="GT88" i="56" s="1"/>
  <c r="FS35" i="56"/>
  <c r="FP35" i="56"/>
  <c r="IQ86" i="56"/>
  <c r="IR230" i="56"/>
  <c r="CW218" i="56"/>
  <c r="GD244" i="56"/>
  <c r="IQ6" i="56"/>
  <c r="S84" i="56"/>
  <c r="HV36" i="56"/>
  <c r="EF120" i="56"/>
  <c r="EG120" i="56" s="1"/>
  <c r="EJ120" i="56" s="1"/>
  <c r="FS180" i="56"/>
  <c r="FP180" i="56"/>
  <c r="FP151" i="56"/>
  <c r="FS151" i="56"/>
  <c r="GD241" i="56"/>
  <c r="S266" i="56"/>
  <c r="S36" i="56"/>
  <c r="S244" i="56"/>
  <c r="IR25" i="56"/>
  <c r="IE94" i="56"/>
  <c r="HX94" i="56"/>
  <c r="FI186" i="56"/>
  <c r="IE247" i="56"/>
  <c r="HX247" i="56"/>
  <c r="IE86" i="56"/>
  <c r="HX86" i="56"/>
  <c r="AN14" i="55"/>
  <c r="FI197" i="56"/>
  <c r="FZ298" i="56"/>
  <c r="CU298" i="56"/>
  <c r="CY298" i="56" s="1"/>
  <c r="IE95" i="56"/>
  <c r="HX95" i="56"/>
  <c r="IE312" i="56"/>
  <c r="HX312" i="56"/>
  <c r="IG279" i="56"/>
  <c r="HZ279" i="56"/>
  <c r="IE89" i="56"/>
  <c r="HX89" i="56"/>
  <c r="IF167" i="56"/>
  <c r="HY167" i="56"/>
  <c r="FI102" i="56"/>
  <c r="IF37" i="56"/>
  <c r="HY37" i="56"/>
  <c r="DU152" i="56"/>
  <c r="EF152" i="56" s="1"/>
  <c r="EG152" i="56" s="1"/>
  <c r="FA152" i="56"/>
  <c r="FP321" i="56"/>
  <c r="FS321" i="56"/>
  <c r="IF263" i="56"/>
  <c r="HY263" i="56"/>
  <c r="FZ46" i="56"/>
  <c r="CU46" i="56"/>
  <c r="CY46" i="56" s="1"/>
  <c r="G46" i="56" s="1"/>
  <c r="CZ46" i="56" s="1"/>
  <c r="DA46" i="56" s="1"/>
  <c r="DI46" i="56"/>
  <c r="P310" i="56" a="1"/>
  <c r="P310" i="56" s="1"/>
  <c r="S32" i="56"/>
  <c r="HY254" i="56"/>
  <c r="IF254" i="56"/>
  <c r="IF182" i="56"/>
  <c r="HY182" i="56"/>
  <c r="IF335" i="56"/>
  <c r="HY335" i="56"/>
  <c r="IE88" i="56"/>
  <c r="HX88" i="56"/>
  <c r="IG43" i="56"/>
  <c r="HZ43" i="56"/>
  <c r="IG346" i="56"/>
  <c r="HZ346" i="56"/>
  <c r="HY122" i="56"/>
  <c r="IF122" i="56"/>
  <c r="HY311" i="56"/>
  <c r="IF311" i="56"/>
  <c r="IE70" i="56"/>
  <c r="HX70" i="56"/>
  <c r="IE216" i="56"/>
  <c r="HX216" i="56"/>
  <c r="IE39" i="56"/>
  <c r="HX39" i="56"/>
  <c r="GD20" i="56"/>
  <c r="FS34" i="56"/>
  <c r="FP34" i="56"/>
  <c r="HY121" i="56"/>
  <c r="IF121" i="56"/>
  <c r="GD17" i="56"/>
  <c r="P174" i="56" a="1"/>
  <c r="P174" i="56" s="1"/>
  <c r="IF278" i="56"/>
  <c r="HY278" i="56"/>
  <c r="GG89" i="56"/>
  <c r="IE222" i="56"/>
  <c r="HX222" i="56"/>
  <c r="IR118" i="56"/>
  <c r="DD184" i="56"/>
  <c r="HZ134" i="56"/>
  <c r="IG134" i="56"/>
  <c r="HV42" i="56"/>
  <c r="AL17" i="55"/>
  <c r="IG293" i="56"/>
  <c r="HZ293" i="56"/>
  <c r="GD11" i="56"/>
  <c r="FP201" i="56"/>
  <c r="FS201" i="56"/>
  <c r="IF191" i="56"/>
  <c r="HY191" i="56"/>
  <c r="IG158" i="56"/>
  <c r="HZ158" i="56"/>
  <c r="FS324" i="56"/>
  <c r="FP324" i="56"/>
  <c r="DU158" i="56"/>
  <c r="EF158" i="56" s="1"/>
  <c r="EG158" i="56" s="1"/>
  <c r="FA158" i="56"/>
  <c r="FS54" i="56"/>
  <c r="FP54" i="56"/>
  <c r="IR93" i="56"/>
  <c r="FI199" i="56"/>
  <c r="IR160" i="56"/>
  <c r="GG322" i="56"/>
  <c r="GE322" i="56"/>
  <c r="FS345" i="56"/>
  <c r="FP345" i="56"/>
  <c r="IE318" i="56"/>
  <c r="HX318" i="56"/>
  <c r="GD22" i="56"/>
  <c r="FP97" i="56"/>
  <c r="FS97" i="56"/>
  <c r="FZ55" i="56"/>
  <c r="CU55" i="56"/>
  <c r="FZ24" i="56"/>
  <c r="CU24" i="56"/>
  <c r="CY24" i="56" s="1"/>
  <c r="DI24" i="56"/>
  <c r="IR75" i="56"/>
  <c r="DD344" i="56"/>
  <c r="GV344" i="56" s="1"/>
  <c r="DB13" i="56" a="1"/>
  <c r="DB13" i="56" s="1"/>
  <c r="DD13" i="56" s="1"/>
  <c r="HB13" i="56"/>
  <c r="HC13" i="56" s="1"/>
  <c r="DE13" i="56"/>
  <c r="GY13" i="56" s="1"/>
  <c r="GW332" i="56"/>
  <c r="GU332" i="56"/>
  <c r="HS332" i="56" s="1"/>
  <c r="DB104" i="56" a="1"/>
  <c r="DB104" i="56" s="1"/>
  <c r="DD104" i="56" s="1"/>
  <c r="DE104" i="56"/>
  <c r="GY104" i="56" s="1"/>
  <c r="HB104" i="56"/>
  <c r="HC104" i="56" s="1"/>
  <c r="IQ90" i="56"/>
  <c r="CW52" i="56"/>
  <c r="GU224" i="56"/>
  <c r="HS224" i="56" s="1"/>
  <c r="GT224" i="56"/>
  <c r="GW224" i="56"/>
  <c r="GP224" i="56"/>
  <c r="IG343" i="56"/>
  <c r="HZ343" i="56"/>
  <c r="HT31" i="56"/>
  <c r="GW31" i="56"/>
  <c r="GU31" i="56"/>
  <c r="HS31" i="56" s="1"/>
  <c r="GP31" i="56"/>
  <c r="GT31" i="56"/>
  <c r="BD17" i="55"/>
  <c r="BC17" i="55"/>
  <c r="BB17" i="55"/>
  <c r="IG37" i="56"/>
  <c r="HZ37" i="56"/>
  <c r="FZ152" i="56"/>
  <c r="CU152" i="56"/>
  <c r="CY152" i="56" s="1"/>
  <c r="G152" i="56" s="1"/>
  <c r="CZ152" i="56" s="1"/>
  <c r="DA152" i="56" s="1"/>
  <c r="DI152" i="56"/>
  <c r="GI321" i="56"/>
  <c r="GJ321" i="56" s="1"/>
  <c r="GD238" i="56"/>
  <c r="GE238" i="56" s="1"/>
  <c r="IE313" i="56"/>
  <c r="HX313" i="56"/>
  <c r="AP11" i="55"/>
  <c r="IG254" i="56"/>
  <c r="HZ254" i="56"/>
  <c r="IG182" i="56"/>
  <c r="HZ182" i="56"/>
  <c r="FZ104" i="56"/>
  <c r="FS323" i="56"/>
  <c r="FP323" i="56"/>
  <c r="HY88" i="56"/>
  <c r="IF88" i="56"/>
  <c r="IE346" i="56"/>
  <c r="HX346" i="56"/>
  <c r="IF70" i="56"/>
  <c r="HY70" i="56"/>
  <c r="IF216" i="56"/>
  <c r="HY216" i="56"/>
  <c r="FZ121" i="56"/>
  <c r="CU121" i="56"/>
  <c r="CY121" i="56" s="1"/>
  <c r="FP208" i="56"/>
  <c r="FS208" i="56"/>
  <c r="FZ173" i="56"/>
  <c r="CU173" i="56"/>
  <c r="CY173" i="56" s="1"/>
  <c r="DI173" i="56"/>
  <c r="GV173" i="56" s="1"/>
  <c r="FS134" i="56"/>
  <c r="FP134" i="56"/>
  <c r="IR20" i="56"/>
  <c r="P22" i="56" a="1"/>
  <c r="P22" i="56" s="1"/>
  <c r="IR17" i="56"/>
  <c r="CW216" i="56"/>
  <c r="HV228" i="56"/>
  <c r="GI228" i="56"/>
  <c r="GJ228" i="56" s="1"/>
  <c r="GH228" i="56"/>
  <c r="IE78" i="56"/>
  <c r="HX78" i="56"/>
  <c r="IR198" i="56"/>
  <c r="FA30" i="56"/>
  <c r="AO11" i="55" s="1"/>
  <c r="FP287" i="56"/>
  <c r="FS287" i="56"/>
  <c r="IG278" i="56"/>
  <c r="HZ278" i="56"/>
  <c r="IF222" i="56"/>
  <c r="HY222" i="56"/>
  <c r="FS164" i="56"/>
  <c r="FP164" i="56"/>
  <c r="IE156" i="56"/>
  <c r="HX156" i="56"/>
  <c r="IQ218" i="56"/>
  <c r="IE270" i="56"/>
  <c r="HX270" i="56"/>
  <c r="FZ261" i="56"/>
  <c r="CU261" i="56"/>
  <c r="CY261" i="56" s="1"/>
  <c r="G261" i="56" s="1"/>
  <c r="CZ261" i="56" s="1"/>
  <c r="DA261" i="56" s="1"/>
  <c r="IE191" i="56"/>
  <c r="HX191" i="56"/>
  <c r="IF158" i="56"/>
  <c r="HY158" i="56"/>
  <c r="FS162" i="56"/>
  <c r="FP162" i="56"/>
  <c r="GD242" i="56"/>
  <c r="IE165" i="56"/>
  <c r="HX165" i="56"/>
  <c r="GD234" i="56"/>
  <c r="GE234" i="56" s="1"/>
  <c r="GD268" i="56"/>
  <c r="GD253" i="56"/>
  <c r="DB300" i="56" a="1"/>
  <c r="DB300" i="56" s="1"/>
  <c r="DD300" i="56" s="1"/>
  <c r="DE300" i="56"/>
  <c r="GY300" i="56" s="1"/>
  <c r="HB300" i="56"/>
  <c r="IG175" i="56"/>
  <c r="HZ175" i="56"/>
  <c r="IE287" i="56"/>
  <c r="HX287" i="56"/>
  <c r="S260" i="56"/>
  <c r="CW289" i="56"/>
  <c r="DA289" i="56" s="1"/>
  <c r="S274" i="56"/>
  <c r="GO336" i="56"/>
  <c r="GN336" i="56"/>
  <c r="IK336" i="56" s="1"/>
  <c r="GM337" i="56"/>
  <c r="FZ90" i="56"/>
  <c r="CU90" i="56"/>
  <c r="CY90" i="56" s="1"/>
  <c r="BX25" i="55"/>
  <c r="GO7" i="56"/>
  <c r="GN7" i="56"/>
  <c r="IK7" i="56" s="1"/>
  <c r="GM8" i="56"/>
  <c r="GO286" i="56"/>
  <c r="GN286" i="56"/>
  <c r="IK286" i="56" s="1"/>
  <c r="GM287" i="56"/>
  <c r="DU206" i="56"/>
  <c r="P206" i="56" a="1"/>
  <c r="P206" i="56" s="1"/>
  <c r="GD257" i="56"/>
  <c r="DE109" i="56"/>
  <c r="GY109" i="56" s="1"/>
  <c r="GD281" i="56"/>
  <c r="IF143" i="56"/>
  <c r="HY143" i="56"/>
  <c r="GW6" i="56"/>
  <c r="GU6" i="56"/>
  <c r="HS6" i="56" s="1"/>
  <c r="FF154" i="56"/>
  <c r="HZ94" i="56"/>
  <c r="IG94" i="56"/>
  <c r="HY86" i="56"/>
  <c r="IF86" i="56"/>
  <c r="IG95" i="56"/>
  <c r="HZ95" i="56"/>
  <c r="IF174" i="56"/>
  <c r="HY174" i="56"/>
  <c r="FZ60" i="56"/>
  <c r="CU60" i="56"/>
  <c r="CY60" i="56" s="1"/>
  <c r="DI60" i="56"/>
  <c r="GV60" i="56" s="1"/>
  <c r="IE279" i="56"/>
  <c r="HX279" i="56"/>
  <c r="FS301" i="56"/>
  <c r="FP301" i="56"/>
  <c r="IE294" i="56"/>
  <c r="HX294" i="56"/>
  <c r="IG89" i="56"/>
  <c r="HZ89" i="56"/>
  <c r="IR103" i="56"/>
  <c r="DF103" i="56"/>
  <c r="DG103" i="56" s="1"/>
  <c r="IQ103" i="56"/>
  <c r="IG261" i="56"/>
  <c r="HZ261" i="56"/>
  <c r="HZ313" i="56"/>
  <c r="IG313" i="56"/>
  <c r="IE183" i="56"/>
  <c r="HX183" i="56"/>
  <c r="CW28" i="56"/>
  <c r="IF246" i="56"/>
  <c r="HY246" i="56"/>
  <c r="IF111" i="56"/>
  <c r="HY111" i="56"/>
  <c r="DU47" i="56"/>
  <c r="P47" i="56" a="1"/>
  <c r="P47" i="56" s="1"/>
  <c r="IF200" i="56"/>
  <c r="HY200" i="56"/>
  <c r="FZ38" i="56"/>
  <c r="CU38" i="56"/>
  <c r="FZ42" i="56"/>
  <c r="FP281" i="56"/>
  <c r="FS281" i="56"/>
  <c r="HZ335" i="56"/>
  <c r="IG335" i="56"/>
  <c r="HZ88" i="56"/>
  <c r="IG88" i="56"/>
  <c r="IF346" i="56"/>
  <c r="HY346" i="56"/>
  <c r="HZ56" i="56"/>
  <c r="IG56" i="56"/>
  <c r="IG70" i="56"/>
  <c r="HZ70" i="56"/>
  <c r="HZ216" i="56"/>
  <c r="IG216" i="56"/>
  <c r="IF325" i="56"/>
  <c r="HY325" i="56"/>
  <c r="BD3" i="40" a="1"/>
  <c r="BD3" i="40" s="1"/>
  <c r="HV34" i="56"/>
  <c r="GH34" i="56"/>
  <c r="GI34" i="56" s="1"/>
  <c r="GJ34" i="56" s="1"/>
  <c r="IE121" i="56"/>
  <c r="HX121" i="56"/>
  <c r="DF70" i="56"/>
  <c r="DG70" i="56" s="1"/>
  <c r="GD260" i="56"/>
  <c r="GE260" i="56" s="1"/>
  <c r="IF78" i="56"/>
  <c r="HY78" i="56"/>
  <c r="IE134" i="56"/>
  <c r="HX134" i="56"/>
  <c r="DF218" i="56"/>
  <c r="DG218" i="56" s="1"/>
  <c r="S310" i="56"/>
  <c r="IF270" i="56"/>
  <c r="HY270" i="56"/>
  <c r="AJ17" i="55"/>
  <c r="GD247" i="56"/>
  <c r="FZ299" i="56"/>
  <c r="CU299" i="56"/>
  <c r="CY299" i="56" s="1"/>
  <c r="DI299" i="56"/>
  <c r="IR289" i="56"/>
  <c r="CW200" i="56"/>
  <c r="FI158" i="56"/>
  <c r="IQ126" i="56"/>
  <c r="DB14" i="56" a="1"/>
  <c r="DB14" i="56" s="1"/>
  <c r="DD14" i="56" s="1"/>
  <c r="DE14" i="56"/>
  <c r="GY14" i="56" s="1"/>
  <c r="HB14" i="56"/>
  <c r="HC14" i="56" s="1"/>
  <c r="IF165" i="56"/>
  <c r="HY165" i="56"/>
  <c r="GG236" i="56"/>
  <c r="FA120" i="56"/>
  <c r="S73" i="56"/>
  <c r="IQ52" i="56"/>
  <c r="FS92" i="56"/>
  <c r="FP92" i="56"/>
  <c r="GD246" i="56"/>
  <c r="DU239" i="56"/>
  <c r="P239" i="56" a="1"/>
  <c r="P239" i="56" s="1"/>
  <c r="HY238" i="56"/>
  <c r="IF238" i="56"/>
  <c r="FP94" i="56"/>
  <c r="FS94" i="56"/>
  <c r="FZ94" i="56"/>
  <c r="CU94" i="56"/>
  <c r="CY94" i="56" s="1"/>
  <c r="FZ196" i="56"/>
  <c r="CU196" i="56"/>
  <c r="CY196" i="56" s="1"/>
  <c r="G196" i="56" s="1"/>
  <c r="CZ196" i="56" s="1"/>
  <c r="DA196" i="56" s="1"/>
  <c r="FP199" i="56"/>
  <c r="FS199" i="56"/>
  <c r="HV35" i="56"/>
  <c r="GH35" i="56"/>
  <c r="GH36" i="56" s="1"/>
  <c r="DF86" i="56"/>
  <c r="DG86" i="56" s="1"/>
  <c r="IR116" i="56"/>
  <c r="S17" i="56"/>
  <c r="GE315" i="56"/>
  <c r="GG315" i="56"/>
  <c r="GG283" i="56"/>
  <c r="GN54" i="56"/>
  <c r="IK54" i="56" s="1"/>
  <c r="GO54" i="56"/>
  <c r="GM55" i="56"/>
  <c r="GD264" i="56"/>
  <c r="S149" i="56"/>
  <c r="FS154" i="56"/>
  <c r="FP154" i="56"/>
  <c r="IG174" i="56"/>
  <c r="HZ174" i="56"/>
  <c r="FA96" i="56"/>
  <c r="AP21" i="55"/>
  <c r="FA194" i="56"/>
  <c r="IF294" i="56"/>
  <c r="HY294" i="56"/>
  <c r="IE261" i="56"/>
  <c r="HX261" i="56"/>
  <c r="FZ170" i="56"/>
  <c r="CU170" i="56"/>
  <c r="CY170" i="56" s="1"/>
  <c r="DI170" i="56"/>
  <c r="GV170" i="56" s="1"/>
  <c r="FS217" i="56"/>
  <c r="FP217" i="56"/>
  <c r="FI136" i="56"/>
  <c r="AJ11" i="55"/>
  <c r="IG183" i="56"/>
  <c r="HZ183" i="56"/>
  <c r="IE246" i="56"/>
  <c r="HX246" i="56"/>
  <c r="CW126" i="56"/>
  <c r="DA126" i="56" s="1"/>
  <c r="IE111" i="56"/>
  <c r="HX111" i="56"/>
  <c r="FP305" i="56"/>
  <c r="FS305" i="56"/>
  <c r="DF62" i="56"/>
  <c r="DG62" i="56" s="1"/>
  <c r="IQ62" i="56"/>
  <c r="IR62" i="56"/>
  <c r="HZ200" i="56"/>
  <c r="IG200" i="56"/>
  <c r="FI166" i="56"/>
  <c r="IR265" i="56"/>
  <c r="DF265" i="56"/>
  <c r="DG265" i="56" s="1"/>
  <c r="IQ265" i="56"/>
  <c r="IE60" i="56"/>
  <c r="HX60" i="56"/>
  <c r="FI277" i="56"/>
  <c r="HX335" i="56"/>
  <c r="IE335" i="56"/>
  <c r="FI219" i="56"/>
  <c r="IF298" i="56"/>
  <c r="HY298" i="56"/>
  <c r="IE56" i="56"/>
  <c r="HX56" i="56"/>
  <c r="FI279" i="56"/>
  <c r="FZ41" i="56"/>
  <c r="CU41" i="56"/>
  <c r="CY41" i="56" s="1"/>
  <c r="G41" i="56" s="1"/>
  <c r="CZ41" i="56" s="1"/>
  <c r="DA41" i="56" s="1"/>
  <c r="DI41" i="56"/>
  <c r="FZ351" i="56"/>
  <c r="CU351" i="56"/>
  <c r="FI344" i="56"/>
  <c r="BX26" i="55" s="1"/>
  <c r="IR145" i="56"/>
  <c r="GD12" i="56"/>
  <c r="GV168" i="56"/>
  <c r="GQ185" i="56"/>
  <c r="FX185" i="56"/>
  <c r="IG30" i="56"/>
  <c r="HZ30" i="56"/>
  <c r="GG134" i="56"/>
  <c r="IQ20" i="56"/>
  <c r="S306" i="56"/>
  <c r="IG25" i="56"/>
  <c r="HZ25" i="56"/>
  <c r="IQ17" i="56"/>
  <c r="EF104" i="56"/>
  <c r="EG104" i="56" s="1"/>
  <c r="EJ104" i="56" s="1"/>
  <c r="DB297" i="56" a="1"/>
  <c r="DB297" i="56" s="1"/>
  <c r="DD297" i="56" s="1"/>
  <c r="HB297" i="56"/>
  <c r="DE297" i="56"/>
  <c r="GY297" i="56" s="1"/>
  <c r="IG78" i="56"/>
  <c r="HZ78" i="56"/>
  <c r="IG262" i="56"/>
  <c r="HZ262" i="56"/>
  <c r="IR89" i="56"/>
  <c r="DU78" i="56"/>
  <c r="P78" i="56" a="1"/>
  <c r="P78" i="56" s="1"/>
  <c r="IQ71" i="56"/>
  <c r="IF134" i="56"/>
  <c r="HY134" i="56"/>
  <c r="HZ270" i="56"/>
  <c r="IG270" i="56"/>
  <c r="AR3" i="40" a="1"/>
  <c r="AR3" i="40" s="1"/>
  <c r="AO17" i="55"/>
  <c r="IG181" i="56"/>
  <c r="HZ181" i="56"/>
  <c r="DI298" i="56"/>
  <c r="IR247" i="56"/>
  <c r="GG324" i="56"/>
  <c r="IQ289" i="56"/>
  <c r="IR126" i="56"/>
  <c r="IG6" i="56"/>
  <c r="HZ6" i="56"/>
  <c r="IG165" i="56"/>
  <c r="HZ165" i="56"/>
  <c r="IR52" i="56"/>
  <c r="DF347" i="56"/>
  <c r="DG347" i="56" s="1"/>
  <c r="IR347" i="56"/>
  <c r="GG92" i="56"/>
  <c r="FI285" i="56"/>
  <c r="GG345" i="56"/>
  <c r="IR129" i="56"/>
  <c r="FI239" i="56"/>
  <c r="IE238" i="56"/>
  <c r="HX238" i="56"/>
  <c r="FS310" i="56"/>
  <c r="FP310" i="56"/>
  <c r="IE344" i="56"/>
  <c r="HX344" i="56"/>
  <c r="P6" i="56" a="1"/>
  <c r="P6" i="56" s="1"/>
  <c r="FS39" i="56"/>
  <c r="FP39" i="56"/>
  <c r="FS294" i="56"/>
  <c r="FP294" i="56"/>
  <c r="FZ271" i="56"/>
  <c r="CU271" i="56"/>
  <c r="CY271" i="56" s="1"/>
  <c r="G271" i="56" s="1"/>
  <c r="CZ271" i="56" s="1"/>
  <c r="DA271" i="56" s="1"/>
  <c r="HV225" i="56"/>
  <c r="GH225" i="56"/>
  <c r="GI225" i="56"/>
  <c r="GJ225" i="56" s="1"/>
  <c r="FI206" i="56"/>
  <c r="FZ328" i="56"/>
  <c r="CU328" i="56"/>
  <c r="CY328" i="56" s="1"/>
  <c r="DI328" i="56"/>
  <c r="GV328" i="56" s="1"/>
  <c r="IQ151" i="56"/>
  <c r="GD252" i="56"/>
  <c r="IE143" i="56"/>
  <c r="HX143" i="56"/>
  <c r="DF121" i="56"/>
  <c r="DG121" i="56" s="1"/>
  <c r="FS290" i="56"/>
  <c r="FP290" i="56"/>
  <c r="P294" i="56" a="1"/>
  <c r="P294" i="56" s="1"/>
  <c r="FP130" i="56"/>
  <c r="FS130" i="56"/>
  <c r="IF313" i="56"/>
  <c r="HY313" i="56"/>
  <c r="AN11" i="55"/>
  <c r="HZ246" i="56"/>
  <c r="IG246" i="56"/>
  <c r="IG111" i="56"/>
  <c r="HZ111" i="56"/>
  <c r="IE200" i="56"/>
  <c r="HX200" i="56"/>
  <c r="IE282" i="56"/>
  <c r="HX282" i="56"/>
  <c r="IE201" i="56"/>
  <c r="HX201" i="56"/>
  <c r="IF60" i="56"/>
  <c r="HY60" i="56"/>
  <c r="DB296" i="56" a="1"/>
  <c r="DB296" i="56" s="1"/>
  <c r="DD296" i="56" s="1"/>
  <c r="HB296" i="56"/>
  <c r="DE296" i="56"/>
  <c r="GY296" i="56" s="1"/>
  <c r="DF79" i="56"/>
  <c r="DG79" i="56" s="1"/>
  <c r="IQ79" i="56"/>
  <c r="IR79" i="56"/>
  <c r="IE187" i="56"/>
  <c r="HX187" i="56"/>
  <c r="IF218" i="56"/>
  <c r="HY218" i="56"/>
  <c r="IG298" i="56"/>
  <c r="HZ298" i="56"/>
  <c r="IF56" i="56"/>
  <c r="HY56" i="56"/>
  <c r="FZ251" i="56"/>
  <c r="CU251" i="56"/>
  <c r="CY251" i="56" s="1"/>
  <c r="G251" i="56" s="1"/>
  <c r="CZ251" i="56" s="1"/>
  <c r="DA251" i="56" s="1"/>
  <c r="DI251" i="56"/>
  <c r="DU74" i="56"/>
  <c r="P74" i="56" a="1"/>
  <c r="P74" i="56" s="1"/>
  <c r="EF174" i="56"/>
  <c r="EG174" i="56" s="1"/>
  <c r="HZ232" i="56"/>
  <c r="IG232" i="56"/>
  <c r="IG325" i="56"/>
  <c r="HZ325" i="56"/>
  <c r="IQ145" i="56"/>
  <c r="GE3" i="56"/>
  <c r="GG3" i="56"/>
  <c r="IE30" i="56"/>
  <c r="HX30" i="56"/>
  <c r="FS91" i="56"/>
  <c r="FP91" i="56"/>
  <c r="IF25" i="56"/>
  <c r="HY25" i="56"/>
  <c r="FI247" i="56"/>
  <c r="P86" i="56" a="1"/>
  <c r="P86" i="56" s="1"/>
  <c r="IE262" i="56"/>
  <c r="HX262" i="56"/>
  <c r="HV45" i="56"/>
  <c r="HV316" i="56"/>
  <c r="GH316" i="56"/>
  <c r="FP183" i="56"/>
  <c r="FS183" i="56"/>
  <c r="FS19" i="56"/>
  <c r="FP19" i="56"/>
  <c r="BY24" i="55" s="1" a="1"/>
  <c r="BY24" i="55" s="1"/>
  <c r="AN17" i="55"/>
  <c r="FS148" i="56"/>
  <c r="FP148" i="56"/>
  <c r="DF93" i="56"/>
  <c r="DG93" i="56" s="1"/>
  <c r="GD261" i="56"/>
  <c r="DB31" i="56" a="1"/>
  <c r="DB31" i="56" s="1"/>
  <c r="DD31" i="56" s="1"/>
  <c r="DE31" i="56"/>
  <c r="GY31" i="56" s="1"/>
  <c r="HB31" i="56"/>
  <c r="HC31" i="56" s="1"/>
  <c r="FA324" i="56"/>
  <c r="IG303" i="56"/>
  <c r="HZ303" i="56"/>
  <c r="FS212" i="56"/>
  <c r="FP212" i="56"/>
  <c r="GO103" i="56"/>
  <c r="GN103" i="56"/>
  <c r="IK103" i="56" s="1"/>
  <c r="GM104" i="56"/>
  <c r="HZ238" i="56"/>
  <c r="IG238" i="56"/>
  <c r="IF7" i="56"/>
  <c r="HY7" i="56"/>
  <c r="FS147" i="56"/>
  <c r="FP147" i="56"/>
  <c r="FS115" i="56"/>
  <c r="FP115" i="56"/>
  <c r="IF344" i="56"/>
  <c r="HY344" i="56"/>
  <c r="CW34" i="56"/>
  <c r="IQ116" i="56"/>
  <c r="IR36" i="56"/>
  <c r="FI213" i="56"/>
  <c r="IF31" i="56"/>
  <c r="HY31" i="56"/>
  <c r="DU286" i="56"/>
  <c r="P286" i="56" a="1"/>
  <c r="P286" i="56" s="1"/>
  <c r="IG142" i="56"/>
  <c r="HZ142" i="56"/>
  <c r="S326" i="56"/>
  <c r="DU142" i="56"/>
  <c r="P142" i="56" a="1"/>
  <c r="P142" i="56" s="1"/>
  <c r="IR151" i="56"/>
  <c r="FS109" i="56"/>
  <c r="FP109" i="56"/>
  <c r="IG143" i="56"/>
  <c r="HZ143" i="56"/>
  <c r="GO344" i="56"/>
  <c r="GN344" i="56"/>
  <c r="IK344" i="56" s="1"/>
  <c r="GM345" i="56"/>
  <c r="HZ136" i="56"/>
  <c r="IG136" i="56"/>
  <c r="IF282" i="56"/>
  <c r="HY282" i="56"/>
  <c r="IF201" i="56"/>
  <c r="HY201" i="56"/>
  <c r="DB24" i="56" a="1"/>
  <c r="DB24" i="56" s="1"/>
  <c r="DD24" i="56" s="1"/>
  <c r="HB24" i="56"/>
  <c r="HC24" i="56" s="1"/>
  <c r="DE24" i="56"/>
  <c r="GY24" i="56" s="1"/>
  <c r="IE47" i="56"/>
  <c r="HX47" i="56"/>
  <c r="IF187" i="56"/>
  <c r="HY187" i="56"/>
  <c r="GD277" i="56"/>
  <c r="IE342" i="56"/>
  <c r="HX342" i="56"/>
  <c r="IE171" i="56"/>
  <c r="HX171" i="56"/>
  <c r="IE298" i="56"/>
  <c r="HX298" i="56"/>
  <c r="FZ54" i="56"/>
  <c r="CU54" i="56"/>
  <c r="CY54" i="56" s="1"/>
  <c r="IE135" i="56"/>
  <c r="HX135" i="56"/>
  <c r="IE232" i="56"/>
  <c r="HX232" i="56"/>
  <c r="IE325" i="56"/>
  <c r="HX325" i="56"/>
  <c r="GD21" i="56"/>
  <c r="DY168" i="56" a="1"/>
  <c r="DY168" i="56" s="1"/>
  <c r="IF30" i="56"/>
  <c r="HY30" i="56"/>
  <c r="IE25" i="56"/>
  <c r="HX25" i="56"/>
  <c r="GD276" i="56"/>
  <c r="IR228" i="56"/>
  <c r="FZ229" i="56"/>
  <c r="CU229" i="56"/>
  <c r="CY229" i="56" s="1"/>
  <c r="G229" i="56" s="1"/>
  <c r="CZ229" i="56" s="1"/>
  <c r="DA229" i="56" s="1"/>
  <c r="IQ287" i="56"/>
  <c r="IF262" i="56"/>
  <c r="HY262" i="56"/>
  <c r="FS161" i="56"/>
  <c r="FP161" i="56"/>
  <c r="FP177" i="56"/>
  <c r="FS177" i="56"/>
  <c r="GW4" i="56"/>
  <c r="GU4" i="56"/>
  <c r="HS4" i="56" s="1"/>
  <c r="GP4" i="56"/>
  <c r="GP5" i="56" s="1"/>
  <c r="GP6" i="56" s="1"/>
  <c r="AQ17" i="55"/>
  <c r="IF150" i="56"/>
  <c r="HY150" i="56"/>
  <c r="IF181" i="56"/>
  <c r="HY181" i="56"/>
  <c r="IE46" i="56"/>
  <c r="HX46" i="56"/>
  <c r="FA247" i="56"/>
  <c r="IF6" i="56"/>
  <c r="HY6" i="56"/>
  <c r="FS282" i="56"/>
  <c r="FP282" i="56"/>
  <c r="S70" i="56"/>
  <c r="DU312" i="56"/>
  <c r="P312" i="56" a="1"/>
  <c r="P312" i="56" s="1"/>
  <c r="FA312" i="56"/>
  <c r="FZ252" i="56"/>
  <c r="DI252" i="56"/>
  <c r="S288" i="56"/>
  <c r="FS308" i="56"/>
  <c r="FP308" i="56"/>
  <c r="IE303" i="56"/>
  <c r="HX303" i="56"/>
  <c r="FS67" i="56"/>
  <c r="FP67" i="56"/>
  <c r="DU329" i="56"/>
  <c r="P329" i="56" a="1"/>
  <c r="P329" i="56" s="1"/>
  <c r="GU102" i="56"/>
  <c r="HS102" i="56" s="1"/>
  <c r="GP102" i="56"/>
  <c r="GW102" i="56"/>
  <c r="S52" i="56"/>
  <c r="DU282" i="56"/>
  <c r="P282" i="56" a="1"/>
  <c r="P282" i="56" s="1"/>
  <c r="IE7" i="56"/>
  <c r="HX7" i="56"/>
  <c r="GG147" i="56"/>
  <c r="HZ344" i="56"/>
  <c r="IG344" i="56"/>
  <c r="S114" i="56"/>
  <c r="IR35" i="56"/>
  <c r="FS346" i="56"/>
  <c r="FP346" i="56"/>
  <c r="EF24" i="56"/>
  <c r="EG24" i="56" s="1"/>
  <c r="HY5" i="56"/>
  <c r="IF5" i="56"/>
  <c r="DU72" i="56"/>
  <c r="P72" i="56" a="1"/>
  <c r="P72" i="56" s="1"/>
  <c r="IE31" i="56"/>
  <c r="HX31" i="56"/>
  <c r="IE142" i="56"/>
  <c r="HX142" i="56"/>
  <c r="GD269" i="56"/>
  <c r="CW215" i="56"/>
  <c r="FP55" i="56"/>
  <c r="FS55" i="56"/>
  <c r="IE103" i="56"/>
  <c r="HX103" i="56"/>
  <c r="FI316" i="56"/>
  <c r="IE329" i="56"/>
  <c r="HX329" i="56"/>
  <c r="FZ71" i="56"/>
  <c r="CU71" i="56"/>
  <c r="CY71" i="56" s="1"/>
  <c r="IF149" i="56"/>
  <c r="HY149" i="56"/>
  <c r="FI249" i="56"/>
  <c r="FI72" i="56"/>
  <c r="FZ151" i="56"/>
  <c r="CU151" i="56"/>
  <c r="CY151" i="56" s="1"/>
  <c r="G151" i="56" s="1"/>
  <c r="CZ151" i="56" s="1"/>
  <c r="DA151" i="56" s="1"/>
  <c r="FS202" i="56"/>
  <c r="FP202" i="56"/>
  <c r="IE79" i="56"/>
  <c r="HX79" i="56"/>
  <c r="GE319" i="56"/>
  <c r="GG319" i="56"/>
  <c r="IQ234" i="56"/>
  <c r="DF234" i="56"/>
  <c r="DG234" i="56" s="1"/>
  <c r="IR234" i="56"/>
  <c r="CW167" i="56"/>
  <c r="DA167" i="56" s="1"/>
  <c r="DF167" i="56"/>
  <c r="DG167" i="56" s="1"/>
  <c r="IQ167" i="56"/>
  <c r="IR167" i="56"/>
  <c r="IE54" i="56"/>
  <c r="HX54" i="56"/>
  <c r="IG201" i="56"/>
  <c r="HZ201" i="56"/>
  <c r="HZ60" i="56"/>
  <c r="IG60" i="56"/>
  <c r="FA201" i="56"/>
  <c r="DU117" i="56"/>
  <c r="FA117" i="56"/>
  <c r="IQ281" i="56"/>
  <c r="FS100" i="56"/>
  <c r="FP100" i="56"/>
  <c r="IF47" i="56"/>
  <c r="HY47" i="56"/>
  <c r="IG218" i="56"/>
  <c r="HZ218" i="56"/>
  <c r="FA281" i="56"/>
  <c r="IF342" i="56"/>
  <c r="HY342" i="56"/>
  <c r="FA24" i="56"/>
  <c r="DU277" i="56"/>
  <c r="EF277" i="56" s="1"/>
  <c r="EG277" i="56" s="1"/>
  <c r="FA277" i="56"/>
  <c r="GG227" i="56"/>
  <c r="IF135" i="56"/>
  <c r="HY135" i="56"/>
  <c r="EF94" i="56"/>
  <c r="EG94" i="56" s="1"/>
  <c r="IF232" i="56"/>
  <c r="HY232" i="56"/>
  <c r="FZ293" i="56"/>
  <c r="CU293" i="56"/>
  <c r="CY293" i="56" s="1"/>
  <c r="GD23" i="56"/>
  <c r="DF20" i="56"/>
  <c r="DG20" i="56" s="1"/>
  <c r="IR34" i="56"/>
  <c r="GE132" i="56"/>
  <c r="GG132" i="56"/>
  <c r="DF228" i="56"/>
  <c r="DG228" i="56" s="1"/>
  <c r="FS70" i="56"/>
  <c r="FP70" i="56"/>
  <c r="HX215" i="56"/>
  <c r="IE215" i="56"/>
  <c r="EF201" i="56"/>
  <c r="EG201" i="56" s="1"/>
  <c r="DB7" i="56" a="1"/>
  <c r="DB7" i="56" s="1"/>
  <c r="DD7" i="56" s="1"/>
  <c r="DE7" i="56"/>
  <c r="GY7" i="56" s="1"/>
  <c r="HB7" i="56"/>
  <c r="HC7" i="56" s="1"/>
  <c r="DI198" i="56"/>
  <c r="DU68" i="56"/>
  <c r="P68" i="56" a="1"/>
  <c r="P68" i="56" s="1"/>
  <c r="GD258" i="56"/>
  <c r="FS342" i="56"/>
  <c r="FP342" i="56"/>
  <c r="GU331" i="56"/>
  <c r="HS331" i="56" s="1"/>
  <c r="GW331" i="56"/>
  <c r="IE150" i="56"/>
  <c r="HX150" i="56"/>
  <c r="IE181" i="56"/>
  <c r="HX181" i="56"/>
  <c r="S345" i="56"/>
  <c r="IF46" i="56"/>
  <c r="HY46" i="56"/>
  <c r="EF281" i="56"/>
  <c r="EG281" i="56" s="1"/>
  <c r="DI182" i="56"/>
  <c r="IE6" i="56"/>
  <c r="HX6" i="56"/>
  <c r="P280" i="56" a="1"/>
  <c r="P280" i="56" s="1"/>
  <c r="EF280" i="56" s="1"/>
  <c r="EG280" i="56" s="1"/>
  <c r="S117" i="56"/>
  <c r="DF160" i="56"/>
  <c r="DG160" i="56" s="1"/>
  <c r="IF303" i="56"/>
  <c r="HY303" i="56"/>
  <c r="FP306" i="56"/>
  <c r="FS306" i="56"/>
  <c r="IQ221" i="56"/>
  <c r="CW265" i="56"/>
  <c r="IG7" i="56"/>
  <c r="HZ7" i="56"/>
  <c r="FS57" i="56"/>
  <c r="FP57" i="56"/>
  <c r="FS150" i="56"/>
  <c r="FP150" i="56"/>
  <c r="GG185" i="56"/>
  <c r="IR199" i="56"/>
  <c r="HV39" i="56"/>
  <c r="DF116" i="56"/>
  <c r="DG116" i="56" s="1"/>
  <c r="GD249" i="56"/>
  <c r="IE5" i="56"/>
  <c r="HX5" i="56"/>
  <c r="IQ180" i="56"/>
  <c r="IF142" i="56"/>
  <c r="HY142" i="56"/>
  <c r="FI142" i="56"/>
  <c r="GD275" i="56"/>
  <c r="FS121" i="56"/>
  <c r="FP121" i="56"/>
  <c r="HV130" i="56"/>
  <c r="GH130" i="56"/>
  <c r="GT130" i="56" s="1"/>
  <c r="DD12" i="56"/>
  <c r="GW343" i="56"/>
  <c r="GU343" i="56"/>
  <c r="HS343" i="56" s="1"/>
  <c r="GP343" i="56"/>
  <c r="DI326" i="56"/>
  <c r="DI196" i="56"/>
  <c r="FA286" i="56"/>
  <c r="DL25" i="56"/>
  <c r="DJ25" i="56"/>
  <c r="IF168" i="56"/>
  <c r="HY168" i="56"/>
  <c r="IG327" i="56"/>
  <c r="HZ327" i="56"/>
  <c r="IF245" i="56"/>
  <c r="HY245" i="56"/>
  <c r="FI309" i="56"/>
  <c r="FZ215" i="56"/>
  <c r="CU215" i="56"/>
  <c r="CY215" i="56" s="1"/>
  <c r="G215" i="56" s="1"/>
  <c r="CZ215" i="56" s="1"/>
  <c r="DA215" i="56" s="1"/>
  <c r="DI215" i="56"/>
  <c r="AL14" i="55"/>
  <c r="FI330" i="56"/>
  <c r="BX24" i="55" s="1"/>
  <c r="EF261" i="56"/>
  <c r="EG261" i="56" s="1"/>
  <c r="DU62" i="56"/>
  <c r="P62" i="56" a="1"/>
  <c r="P62" i="56" s="1"/>
  <c r="FI313" i="56"/>
  <c r="IF103" i="56"/>
  <c r="HY103" i="56"/>
  <c r="IF329" i="56"/>
  <c r="HY329" i="56"/>
  <c r="IE149" i="56"/>
  <c r="HX149" i="56"/>
  <c r="FP153" i="56"/>
  <c r="FS153" i="56"/>
  <c r="DU347" i="56"/>
  <c r="P347" i="56" a="1"/>
  <c r="P347" i="56" s="1"/>
  <c r="IR24" i="56"/>
  <c r="IQ24" i="56"/>
  <c r="DF24" i="56"/>
  <c r="DG24" i="56" s="1"/>
  <c r="EF199" i="56"/>
  <c r="EG199" i="56" s="1"/>
  <c r="IF79" i="56"/>
  <c r="HY79" i="56"/>
  <c r="IF136" i="56"/>
  <c r="HY136" i="56"/>
  <c r="IQ23" i="56"/>
  <c r="DF23" i="56"/>
  <c r="DG23" i="56" s="1"/>
  <c r="IR23" i="56"/>
  <c r="IG282" i="56"/>
  <c r="HZ282" i="56"/>
  <c r="IF54" i="56"/>
  <c r="HY54" i="56"/>
  <c r="P247" i="56" a="1"/>
  <c r="P247" i="56" s="1"/>
  <c r="P117" i="56" a="1"/>
  <c r="P117" i="56" s="1"/>
  <c r="IG47" i="56"/>
  <c r="HZ47" i="56"/>
  <c r="HZ187" i="56"/>
  <c r="IG187" i="56"/>
  <c r="HX218" i="56"/>
  <c r="IE218" i="56"/>
  <c r="IF41" i="56"/>
  <c r="HY41" i="56"/>
  <c r="FZ254" i="56"/>
  <c r="DI254" i="56"/>
  <c r="FZ263" i="56"/>
  <c r="CU263" i="56"/>
  <c r="CY263" i="56" s="1"/>
  <c r="G263" i="56" s="1"/>
  <c r="CZ263" i="56" s="1"/>
  <c r="DA263" i="56" s="1"/>
  <c r="DI263" i="56"/>
  <c r="IG171" i="56"/>
  <c r="HZ171" i="56"/>
  <c r="IF92" i="56"/>
  <c r="HY92" i="56"/>
  <c r="HY170" i="56"/>
  <c r="IF170" i="56"/>
  <c r="IE40" i="56"/>
  <c r="HX40" i="56"/>
  <c r="IG135" i="56"/>
  <c r="HZ135" i="56"/>
  <c r="S246" i="56"/>
  <c r="GG141" i="56"/>
  <c r="FP274" i="56"/>
  <c r="FS274" i="56"/>
  <c r="IQ34" i="56"/>
  <c r="GG91" i="56"/>
  <c r="DU218" i="56"/>
  <c r="P218" i="56" a="1"/>
  <c r="P218" i="56" s="1"/>
  <c r="AJ20" i="55"/>
  <c r="FI325" i="56"/>
  <c r="IF215" i="56"/>
  <c r="HY215" i="56"/>
  <c r="IE101" i="56"/>
  <c r="HX101" i="56"/>
  <c r="HZ15" i="56"/>
  <c r="IG15" i="56"/>
  <c r="FS278" i="56"/>
  <c r="FP278" i="56"/>
  <c r="DB322" i="56" a="1"/>
  <c r="DB322" i="56" s="1"/>
  <c r="DD322" i="56" s="1"/>
  <c r="DE322" i="56"/>
  <c r="GY322" i="56" s="1"/>
  <c r="HB322" i="56"/>
  <c r="S265" i="56"/>
  <c r="FS339" i="56"/>
  <c r="FP339" i="56"/>
  <c r="DI71" i="56"/>
  <c r="GP284" i="56"/>
  <c r="GU284" i="56"/>
  <c r="HS284" i="56" s="1"/>
  <c r="GW284" i="56"/>
  <c r="IG150" i="56"/>
  <c r="HZ150" i="56"/>
  <c r="IG53" i="56"/>
  <c r="HZ53" i="56"/>
  <c r="FS298" i="56"/>
  <c r="FP298" i="56"/>
  <c r="FP337" i="56"/>
  <c r="FS337" i="56"/>
  <c r="IG46" i="56"/>
  <c r="HZ46" i="56"/>
  <c r="EF190" i="56"/>
  <c r="EG190" i="56" s="1"/>
  <c r="EJ190" i="56" s="1"/>
  <c r="FS262" i="56"/>
  <c r="FP262" i="56"/>
  <c r="DI54" i="56"/>
  <c r="FP320" i="56"/>
  <c r="FS320" i="56"/>
  <c r="FY280" i="56"/>
  <c r="EU280" i="56"/>
  <c r="AK19" i="55" s="1"/>
  <c r="FB280" i="56"/>
  <c r="FA280" i="56"/>
  <c r="EZ280" i="56"/>
  <c r="AN19" i="55" s="1"/>
  <c r="ET280" i="56"/>
  <c r="AJ19" i="55" s="1"/>
  <c r="FS108" i="56"/>
  <c r="FP108" i="56"/>
  <c r="FI312" i="56"/>
  <c r="FZ150" i="56"/>
  <c r="CU150" i="56"/>
  <c r="CY150" i="56" s="1"/>
  <c r="G150" i="56" s="1"/>
  <c r="CZ150" i="56" s="1"/>
  <c r="DA150" i="56" s="1"/>
  <c r="HV4" i="56"/>
  <c r="GH4" i="56"/>
  <c r="GI4" i="56"/>
  <c r="GJ4" i="56" s="1"/>
  <c r="P222" i="56" a="1"/>
  <c r="P222" i="56" s="1"/>
  <c r="EF222" i="56" s="1"/>
  <c r="EG222" i="56" s="1"/>
  <c r="IE126" i="56"/>
  <c r="HX126" i="56"/>
  <c r="FI329" i="56"/>
  <c r="S129" i="56"/>
  <c r="EF85" i="56"/>
  <c r="EG85" i="56" s="1"/>
  <c r="FZ185" i="56"/>
  <c r="CU185" i="56"/>
  <c r="CY185" i="56" s="1"/>
  <c r="G185" i="56" s="1"/>
  <c r="CZ185" i="56" s="1"/>
  <c r="DA185" i="56" s="1"/>
  <c r="DI185" i="56"/>
  <c r="GD8" i="56"/>
  <c r="FS291" i="56"/>
  <c r="FP291" i="56"/>
  <c r="IQ199" i="56"/>
  <c r="DI90" i="56"/>
  <c r="GV90" i="56" s="1"/>
  <c r="GO132" i="56"/>
  <c r="GN132" i="56"/>
  <c r="IK132" i="56" s="1"/>
  <c r="GM133" i="56"/>
  <c r="GO327" i="56"/>
  <c r="GN327" i="56"/>
  <c r="IK327" i="56" s="1"/>
  <c r="GM328" i="56"/>
  <c r="FS250" i="56"/>
  <c r="FP250" i="56"/>
  <c r="IG5" i="56"/>
  <c r="HZ5" i="56"/>
  <c r="IG31" i="56"/>
  <c r="HZ31" i="56"/>
  <c r="DF180" i="56"/>
  <c r="DG180" i="56" s="1"/>
  <c r="IR180" i="56"/>
  <c r="DD302" i="56"/>
  <c r="GV302" i="56"/>
  <c r="FP279" i="56"/>
  <c r="FS279" i="56"/>
  <c r="FS237" i="56"/>
  <c r="FP237" i="56"/>
  <c r="DI151" i="56"/>
  <c r="GD9" i="56"/>
  <c r="CW23" i="56"/>
  <c r="DA23" i="56" s="1"/>
  <c r="S64" i="56"/>
  <c r="IR154" i="56"/>
  <c r="CW290" i="56"/>
  <c r="DA290" i="56" s="1"/>
  <c r="GE138" i="56"/>
  <c r="GG138" i="56"/>
  <c r="GO33" i="56"/>
  <c r="GN33" i="56"/>
  <c r="IK33" i="56" s="1"/>
  <c r="GM34" i="56"/>
  <c r="GG131" i="56"/>
  <c r="IF120" i="56"/>
  <c r="HY120" i="56"/>
  <c r="FZ311" i="56"/>
  <c r="CU311" i="56"/>
  <c r="CY311" i="56" s="1"/>
  <c r="IG245" i="56"/>
  <c r="HZ245" i="56"/>
  <c r="FI232" i="56"/>
  <c r="IG214" i="56"/>
  <c r="HZ214" i="56"/>
  <c r="IE341" i="56"/>
  <c r="HX341" i="56"/>
  <c r="IR329" i="56"/>
  <c r="FI268" i="56"/>
  <c r="IG329" i="56"/>
  <c r="HZ329" i="56"/>
  <c r="HX109" i="56"/>
  <c r="IE109" i="56"/>
  <c r="IF8" i="56"/>
  <c r="HY8" i="56"/>
  <c r="S112" i="56"/>
  <c r="CW103" i="56"/>
  <c r="DA103" i="56" s="1"/>
  <c r="GD272" i="56"/>
  <c r="HX136" i="56"/>
  <c r="IE136" i="56"/>
  <c r="IG326" i="56"/>
  <c r="HZ326" i="56"/>
  <c r="IG54" i="56"/>
  <c r="HZ54" i="56"/>
  <c r="GD256" i="56"/>
  <c r="IG157" i="56"/>
  <c r="HZ157" i="56"/>
  <c r="FA55" i="56"/>
  <c r="IR281" i="56"/>
  <c r="IG106" i="56"/>
  <c r="HZ106" i="56"/>
  <c r="IE41" i="56"/>
  <c r="HX41" i="56"/>
  <c r="IG342" i="56"/>
  <c r="HZ342" i="56"/>
  <c r="IF171" i="56"/>
  <c r="HY171" i="56"/>
  <c r="IG92" i="56"/>
  <c r="HZ92" i="56"/>
  <c r="IG170" i="56"/>
  <c r="HZ170" i="56"/>
  <c r="IF265" i="56"/>
  <c r="HY265" i="56"/>
  <c r="IF40" i="56"/>
  <c r="HY40" i="56"/>
  <c r="IG153" i="56"/>
  <c r="HZ153" i="56"/>
  <c r="AL20" i="55"/>
  <c r="DF17" i="56"/>
  <c r="DG17" i="56" s="1"/>
  <c r="FI254" i="56"/>
  <c r="HZ215" i="56"/>
  <c r="IG215" i="56"/>
  <c r="IF15" i="56"/>
  <c r="HY15" i="56"/>
  <c r="IE223" i="56"/>
  <c r="HX223" i="56"/>
  <c r="DF89" i="56"/>
  <c r="DG89" i="56" s="1"/>
  <c r="DU334" i="56"/>
  <c r="P334" i="56" a="1"/>
  <c r="P334" i="56" s="1"/>
  <c r="IG190" i="56"/>
  <c r="HZ190" i="56"/>
  <c r="GG342" i="56"/>
  <c r="IF53" i="56"/>
  <c r="HY53" i="56"/>
  <c r="DU207" i="56"/>
  <c r="P207" i="56" a="1"/>
  <c r="P207" i="56" s="1"/>
  <c r="DF201" i="56"/>
  <c r="DG201" i="56" s="1"/>
  <c r="DU270" i="56"/>
  <c r="P270" i="56" a="1"/>
  <c r="P270" i="56" s="1"/>
  <c r="FZ248" i="56"/>
  <c r="CU248" i="56"/>
  <c r="CY248" i="56" s="1"/>
  <c r="G248" i="56" s="1"/>
  <c r="CZ248" i="56" s="1"/>
  <c r="DA248" i="56" s="1"/>
  <c r="DI248" i="56"/>
  <c r="S15" i="56"/>
  <c r="HY126" i="56"/>
  <c r="IF126" i="56"/>
  <c r="GG136" i="56"/>
  <c r="P214" i="56" a="1"/>
  <c r="P214" i="56" s="1"/>
  <c r="IG277" i="56"/>
  <c r="HZ277" i="56"/>
  <c r="FI182" i="56"/>
  <c r="DF147" i="56"/>
  <c r="DG147" i="56" s="1"/>
  <c r="IR147" i="56"/>
  <c r="FS75" i="56"/>
  <c r="FP75" i="56"/>
  <c r="FA42" i="56"/>
  <c r="FS86" i="56"/>
  <c r="FP86" i="56"/>
  <c r="GU326" i="56"/>
  <c r="HS326" i="56" s="1"/>
  <c r="GW326" i="56"/>
  <c r="GP326" i="56"/>
  <c r="S256" i="56"/>
  <c r="DF36" i="56"/>
  <c r="DG36" i="56" s="1"/>
  <c r="EF351" i="56"/>
  <c r="EG351" i="56" s="1"/>
  <c r="FZ297" i="56"/>
  <c r="CU297" i="56"/>
  <c r="CY297" i="56" s="1"/>
  <c r="DI297" i="56"/>
  <c r="GP155" i="56"/>
  <c r="GU155" i="56"/>
  <c r="HS155" i="56" s="1"/>
  <c r="GW155" i="56"/>
  <c r="GD243" i="56"/>
  <c r="GU285" i="56"/>
  <c r="HS285" i="56" s="1"/>
  <c r="GP285" i="56"/>
  <c r="GW285" i="56"/>
  <c r="IE168" i="56"/>
  <c r="HX168" i="56"/>
  <c r="IE120" i="56"/>
  <c r="HX120" i="56"/>
  <c r="FA329" i="56"/>
  <c r="IE245" i="56"/>
  <c r="HX245" i="56"/>
  <c r="IR84" i="56"/>
  <c r="HZ271" i="56"/>
  <c r="IG271" i="56"/>
  <c r="FI67" i="56"/>
  <c r="HZ184" i="56"/>
  <c r="IG184" i="56"/>
  <c r="FI167" i="56"/>
  <c r="IE214" i="56"/>
  <c r="HX214" i="56"/>
  <c r="AJ14" i="55"/>
  <c r="IF341" i="56"/>
  <c r="HY341" i="56"/>
  <c r="DU293" i="56"/>
  <c r="EF293" i="56" s="1"/>
  <c r="EG293" i="56" s="1"/>
  <c r="FA293" i="56"/>
  <c r="AO20" i="55" s="1"/>
  <c r="FI62" i="56"/>
  <c r="EF46" i="56"/>
  <c r="EG46" i="56" s="1"/>
  <c r="EJ46" i="56" s="1"/>
  <c r="HZ149" i="56"/>
  <c r="IG149" i="56"/>
  <c r="IF109" i="56"/>
  <c r="HY109" i="56"/>
  <c r="IE8" i="56"/>
  <c r="HX8" i="56"/>
  <c r="FI103" i="56"/>
  <c r="IG79" i="56"/>
  <c r="HZ79" i="56"/>
  <c r="IE326" i="56"/>
  <c r="HX326" i="56"/>
  <c r="IG154" i="56"/>
  <c r="HZ154" i="56"/>
  <c r="HX157" i="56"/>
  <c r="IE157" i="56"/>
  <c r="IE106" i="56"/>
  <c r="HX106" i="56"/>
  <c r="IG41" i="56"/>
  <c r="HZ41" i="56"/>
  <c r="IG198" i="56"/>
  <c r="HZ198" i="56"/>
  <c r="FZ249" i="56"/>
  <c r="CU249" i="56"/>
  <c r="CY249" i="56" s="1"/>
  <c r="G249" i="56" s="1"/>
  <c r="CZ249" i="56" s="1"/>
  <c r="DA249" i="56" s="1"/>
  <c r="DI249" i="56"/>
  <c r="IE59" i="56"/>
  <c r="HX59" i="56"/>
  <c r="IE170" i="56"/>
  <c r="HX170" i="56"/>
  <c r="IE265" i="56"/>
  <c r="HX265" i="56"/>
  <c r="HZ40" i="56"/>
  <c r="IG40" i="56"/>
  <c r="DB350" i="56" a="1"/>
  <c r="DB350" i="56" s="1"/>
  <c r="DD350" i="56" s="1"/>
  <c r="GV350" i="56"/>
  <c r="HB350" i="56"/>
  <c r="DE350" i="56"/>
  <c r="GY350" i="56" s="1"/>
  <c r="IE153" i="56"/>
  <c r="HX153" i="56"/>
  <c r="IG55" i="56"/>
  <c r="HZ55" i="56"/>
  <c r="P333" i="56" a="1"/>
  <c r="P333" i="56" s="1"/>
  <c r="P262" i="56" a="1"/>
  <c r="P262" i="56" s="1"/>
  <c r="FZ43" i="56"/>
  <c r="CU43" i="56"/>
  <c r="CY43" i="56" s="1"/>
  <c r="G43" i="56" s="1"/>
  <c r="CZ43" i="56" s="1"/>
  <c r="DA43" i="56" s="1"/>
  <c r="DI43" i="56"/>
  <c r="DU149" i="56"/>
  <c r="EF149" i="56" s="1"/>
  <c r="EG149" i="56" s="1"/>
  <c r="FA149" i="56"/>
  <c r="GU330" i="56"/>
  <c r="HS330" i="56" s="1"/>
  <c r="GW330" i="56"/>
  <c r="GP330" i="56"/>
  <c r="GP331" i="56" s="1"/>
  <c r="GP332" i="56" s="1"/>
  <c r="FA85" i="56"/>
  <c r="HY101" i="56"/>
  <c r="IF101" i="56"/>
  <c r="S74" i="56"/>
  <c r="HX15" i="56"/>
  <c r="IE15" i="56"/>
  <c r="IF223" i="56"/>
  <c r="HY223" i="56"/>
  <c r="IE280" i="56"/>
  <c r="HX280" i="56"/>
  <c r="GG233" i="56"/>
  <c r="FS18" i="56"/>
  <c r="FP18" i="56"/>
  <c r="BY23" i="55" s="1" a="1"/>
  <c r="BY23" i="55" s="1"/>
  <c r="FS218" i="56"/>
  <c r="FP218" i="56"/>
  <c r="GD267" i="56"/>
  <c r="IE190" i="56"/>
  <c r="HX190" i="56"/>
  <c r="GD19" i="56"/>
  <c r="FA233" i="56"/>
  <c r="HX53" i="56"/>
  <c r="IE53" i="56"/>
  <c r="FI270" i="56"/>
  <c r="CW147" i="56"/>
  <c r="IG14" i="56"/>
  <c r="HZ14" i="56"/>
  <c r="FI38" i="56"/>
  <c r="FS160" i="56"/>
  <c r="FP160" i="56"/>
  <c r="IG126" i="56"/>
  <c r="HZ126" i="56"/>
  <c r="FS349" i="56"/>
  <c r="FP349" i="56"/>
  <c r="DF136" i="56"/>
  <c r="DG136" i="56" s="1"/>
  <c r="IQ136" i="56"/>
  <c r="IR136" i="56"/>
  <c r="IE277" i="56"/>
  <c r="HX277" i="56"/>
  <c r="DE221" i="56"/>
  <c r="GY221" i="56" s="1"/>
  <c r="S202" i="56"/>
  <c r="FP90" i="56"/>
  <c r="FS90" i="56"/>
  <c r="GP131" i="56"/>
  <c r="GU131" i="56"/>
  <c r="HS131" i="56" s="1"/>
  <c r="GW131" i="56"/>
  <c r="FS230" i="56"/>
  <c r="FP230" i="56"/>
  <c r="FP74" i="56"/>
  <c r="FS74" i="56"/>
  <c r="FI255" i="56"/>
  <c r="FS6" i="56"/>
  <c r="FP6" i="56"/>
  <c r="S305" i="56"/>
  <c r="GG284" i="56"/>
  <c r="GG237" i="56"/>
  <c r="GW317" i="56"/>
  <c r="GU317" i="56"/>
  <c r="HS317" i="56" s="1"/>
  <c r="GP317" i="56"/>
  <c r="GT317" i="56"/>
  <c r="HB109" i="56"/>
  <c r="EF215" i="56"/>
  <c r="EG215" i="56" s="1"/>
  <c r="S198" i="56"/>
  <c r="IQ290" i="56"/>
  <c r="IR130" i="56"/>
  <c r="GU32" i="56"/>
  <c r="HS32" i="56" s="1"/>
  <c r="GW32" i="56"/>
  <c r="GP32" i="56"/>
  <c r="IF326" i="56"/>
  <c r="HY326" i="56"/>
  <c r="FZ56" i="56"/>
  <c r="CU56" i="56"/>
  <c r="CY56" i="56" s="1"/>
  <c r="DI56" i="56"/>
  <c r="HY154" i="56"/>
  <c r="IF154" i="56"/>
  <c r="DB81" i="56" a="1"/>
  <c r="DB81" i="56" s="1"/>
  <c r="DD81" i="56" s="1"/>
  <c r="HB81" i="56"/>
  <c r="HC81" i="56" s="1"/>
  <c r="DE81" i="56"/>
  <c r="GY81" i="56" s="1"/>
  <c r="HY157" i="56"/>
  <c r="IF157" i="56"/>
  <c r="DU37" i="56"/>
  <c r="EF37" i="56" s="1"/>
  <c r="EG37" i="56" s="1"/>
  <c r="FA37" i="56"/>
  <c r="HY106" i="56"/>
  <c r="IF106" i="56"/>
  <c r="IF198" i="56"/>
  <c r="HY198" i="56"/>
  <c r="DU133" i="56"/>
  <c r="EF133" i="56" s="1"/>
  <c r="EG133" i="56" s="1"/>
  <c r="FA133" i="56"/>
  <c r="IF59" i="56"/>
  <c r="HY59" i="56"/>
  <c r="IE92" i="56"/>
  <c r="HX92" i="56"/>
  <c r="IF153" i="56"/>
  <c r="HY153" i="56"/>
  <c r="IE309" i="56"/>
  <c r="HX309" i="56"/>
  <c r="FZ149" i="56"/>
  <c r="CU149" i="56"/>
  <c r="FZ246" i="56"/>
  <c r="CU246" i="56"/>
  <c r="CY246" i="56" s="1"/>
  <c r="G246" i="56" s="1"/>
  <c r="CZ246" i="56" s="1"/>
  <c r="DA246" i="56" s="1"/>
  <c r="FS20" i="56"/>
  <c r="FP20" i="56"/>
  <c r="BY26" i="55" s="1" a="1"/>
  <c r="BY26" i="55" s="1"/>
  <c r="DU21" i="56"/>
  <c r="EF21" i="56" s="1"/>
  <c r="EG21" i="56" s="1"/>
  <c r="FA21" i="56"/>
  <c r="IE110" i="56"/>
  <c r="HX110" i="56"/>
  <c r="HZ101" i="56"/>
  <c r="IG101" i="56"/>
  <c r="IG223" i="56"/>
  <c r="HZ223" i="56"/>
  <c r="GD278" i="56"/>
  <c r="IF280" i="56"/>
  <c r="HY280" i="56"/>
  <c r="FA103" i="56"/>
  <c r="IF190" i="56"/>
  <c r="HY190" i="56"/>
  <c r="GD262" i="56"/>
  <c r="FS163" i="56"/>
  <c r="FP163" i="56"/>
  <c r="IE14" i="56"/>
  <c r="HX14" i="56"/>
  <c r="EF151" i="56"/>
  <c r="EG151" i="56" s="1"/>
  <c r="EJ151" i="56" s="1"/>
  <c r="IF277" i="56"/>
  <c r="HY277" i="56"/>
  <c r="DI246" i="56"/>
  <c r="FP146" i="56"/>
  <c r="FS146" i="56"/>
  <c r="FP273" i="56"/>
  <c r="FS273" i="56"/>
  <c r="FS22" i="56"/>
  <c r="FP22" i="56"/>
  <c r="DB334" i="56" a="1"/>
  <c r="DB334" i="56" s="1"/>
  <c r="DD334" i="56" s="1"/>
  <c r="HB334" i="56"/>
  <c r="DE334" i="56"/>
  <c r="GY334" i="56" s="1"/>
  <c r="FZ110" i="56"/>
  <c r="CU110" i="56"/>
  <c r="CY110" i="56" s="1"/>
  <c r="DI110" i="56"/>
  <c r="DF199" i="56"/>
  <c r="DG199" i="56" s="1"/>
  <c r="GO314" i="56"/>
  <c r="GN314" i="56"/>
  <c r="IK314" i="56" s="1"/>
  <c r="GM315" i="56"/>
  <c r="GD250" i="56"/>
  <c r="BU24" i="55"/>
  <c r="GN318" i="56"/>
  <c r="IK318" i="56" s="1"/>
  <c r="GO318" i="56"/>
  <c r="GM319" i="56"/>
  <c r="IE206" i="56"/>
  <c r="HX206" i="56"/>
  <c r="GO187" i="56"/>
  <c r="GN187" i="56"/>
  <c r="IK187" i="56" s="1"/>
  <c r="GM188" i="56"/>
  <c r="GO90" i="56"/>
  <c r="GN90" i="56"/>
  <c r="IK90" i="56" s="1"/>
  <c r="GM91" i="56"/>
  <c r="GD265" i="56"/>
  <c r="GW53" i="56"/>
  <c r="GT53" i="56"/>
  <c r="GP53" i="56"/>
  <c r="GU53" i="56"/>
  <c r="HS53" i="56" s="1"/>
  <c r="FP25" i="56"/>
  <c r="BY11" i="55" s="1" a="1"/>
  <c r="BY11" i="55" s="1"/>
  <c r="FS25" i="56"/>
  <c r="X6" i="42"/>
  <c r="W7" i="42"/>
  <c r="Z5" i="42"/>
  <c r="Y14" i="42"/>
  <c r="BM29" i="10"/>
  <c r="BL29" i="10"/>
  <c r="BK29" i="10"/>
  <c r="BN29" i="10" s="1"/>
  <c r="BJ29" i="10"/>
  <c r="BM19" i="10"/>
  <c r="BJ19" i="10"/>
  <c r="BL19" i="10"/>
  <c r="BK19" i="10"/>
  <c r="BN19" i="10" s="1"/>
  <c r="BL13" i="10"/>
  <c r="BK13" i="10"/>
  <c r="BN13" i="10" s="1"/>
  <c r="BJ13" i="10"/>
  <c r="BM13" i="10"/>
  <c r="BK8" i="10"/>
  <c r="BN8" i="10" s="1"/>
  <c r="BJ8" i="10"/>
  <c r="BM8" i="10"/>
  <c r="BL8" i="10"/>
  <c r="BM35" i="10"/>
  <c r="BL35" i="10"/>
  <c r="BK35" i="10"/>
  <c r="BN35" i="10" s="1"/>
  <c r="BJ35" i="10"/>
  <c r="AA24" i="42"/>
  <c r="BL15" i="10"/>
  <c r="BM15" i="10"/>
  <c r="BK15" i="10"/>
  <c r="BN15" i="10" s="1"/>
  <c r="BJ15" i="10"/>
  <c r="BK27" i="10"/>
  <c r="BN27" i="10" s="1"/>
  <c r="BM27" i="10"/>
  <c r="BJ27" i="10"/>
  <c r="BL27" i="10"/>
  <c r="BM10" i="10"/>
  <c r="BK10" i="10"/>
  <c r="BN10" i="10" s="1"/>
  <c r="BL10" i="10"/>
  <c r="BJ10" i="10"/>
  <c r="BL14" i="10"/>
  <c r="BK14" i="10"/>
  <c r="BN14" i="10" s="1"/>
  <c r="BJ14" i="10"/>
  <c r="BM14" i="10"/>
  <c r="BJ11" i="10"/>
  <c r="BM11" i="10"/>
  <c r="BL11" i="10"/>
  <c r="BK11" i="10"/>
  <c r="BN11" i="10" s="1"/>
  <c r="BL36" i="10"/>
  <c r="BK36" i="10"/>
  <c r="BN36" i="10" s="1"/>
  <c r="BJ36" i="10"/>
  <c r="BM36" i="10"/>
  <c r="BL21" i="10"/>
  <c r="BK21" i="10"/>
  <c r="BN21" i="10" s="1"/>
  <c r="BJ21" i="10"/>
  <c r="BM21" i="10"/>
  <c r="BJ23" i="10"/>
  <c r="BL23" i="10"/>
  <c r="BM23" i="10"/>
  <c r="BK23" i="10"/>
  <c r="BN23" i="10" s="1"/>
  <c r="BM7" i="10"/>
  <c r="BL7" i="10"/>
  <c r="BK7" i="10"/>
  <c r="BN7" i="10" s="1"/>
  <c r="BJ7" i="10"/>
  <c r="BM5" i="10"/>
  <c r="BL5" i="10"/>
  <c r="BJ5" i="10"/>
  <c r="BL37" i="10"/>
  <c r="BK37" i="10"/>
  <c r="BN37" i="10" s="1"/>
  <c r="BJ37" i="10"/>
  <c r="BM37" i="10"/>
  <c r="BM22" i="10"/>
  <c r="BL22" i="10"/>
  <c r="BK22" i="10"/>
  <c r="BN22" i="10" s="1"/>
  <c r="BJ22" i="10"/>
  <c r="BK6" i="10"/>
  <c r="BN6" i="10" s="1"/>
  <c r="BJ6" i="10"/>
  <c r="BM6" i="10"/>
  <c r="BL6" i="10"/>
  <c r="BJ39" i="10"/>
  <c r="BM39" i="10"/>
  <c r="BL39" i="10"/>
  <c r="BK39" i="10"/>
  <c r="BN39" i="10" s="1"/>
  <c r="BL18" i="10"/>
  <c r="BK18" i="10"/>
  <c r="BN18" i="10" s="1"/>
  <c r="BM18" i="10"/>
  <c r="BJ18" i="10"/>
  <c r="BM25" i="10"/>
  <c r="BL25" i="10"/>
  <c r="BK25" i="10"/>
  <c r="BN25" i="10" s="1"/>
  <c r="BJ25" i="10"/>
  <c r="BL34" i="10"/>
  <c r="BK34" i="10"/>
  <c r="BN34" i="10" s="1"/>
  <c r="BM34" i="10"/>
  <c r="BJ34" i="10"/>
  <c r="BL38" i="10"/>
  <c r="BM38" i="10"/>
  <c r="BJ38" i="10"/>
  <c r="BK38" i="10"/>
  <c r="BN38" i="10" s="1"/>
  <c r="BM33" i="10"/>
  <c r="BL33" i="10"/>
  <c r="BK33" i="10"/>
  <c r="BN33" i="10" s="1"/>
  <c r="BK16" i="10"/>
  <c r="BN16" i="10" s="1"/>
  <c r="BJ16" i="10"/>
  <c r="BM16" i="10"/>
  <c r="BL16" i="10"/>
  <c r="BM31" i="10"/>
  <c r="BK31" i="10"/>
  <c r="BN31" i="10" s="1"/>
  <c r="BL31" i="10"/>
  <c r="BJ31" i="10"/>
  <c r="BK30" i="10"/>
  <c r="BN30" i="10" s="1"/>
  <c r="BJ30" i="10"/>
  <c r="BL30" i="10"/>
  <c r="AC21" i="42"/>
  <c r="AC31" i="42" s="1"/>
  <c r="BM20" i="10"/>
  <c r="BK20" i="10"/>
  <c r="BN20" i="10" s="1"/>
  <c r="BJ20" i="10"/>
  <c r="BL17" i="10"/>
  <c r="BM17" i="10"/>
  <c r="BJ17" i="10"/>
  <c r="BK17" i="10"/>
  <c r="BN17" i="10" s="1"/>
  <c r="BJ32" i="10"/>
  <c r="BM32" i="10"/>
  <c r="BL32" i="10"/>
  <c r="BK32" i="10"/>
  <c r="BN32" i="10" s="1"/>
  <c r="BM28" i="10"/>
  <c r="BL28" i="10"/>
  <c r="BK28" i="10"/>
  <c r="BN28" i="10" s="1"/>
  <c r="BJ28" i="10"/>
  <c r="BK26" i="10"/>
  <c r="BN26" i="10" s="1"/>
  <c r="BM26" i="10"/>
  <c r="BL26" i="10"/>
  <c r="BJ26" i="10"/>
  <c r="BM24" i="10"/>
  <c r="BJ24" i="10"/>
  <c r="BK24" i="10"/>
  <c r="BN24" i="10" s="1"/>
  <c r="BL24" i="10"/>
  <c r="BM12" i="10"/>
  <c r="BJ12" i="10"/>
  <c r="BL12" i="10"/>
  <c r="BK12" i="10"/>
  <c r="BN12" i="10" s="1"/>
  <c r="BM9" i="10"/>
  <c r="BJ9" i="10"/>
  <c r="BL9" i="10"/>
  <c r="BK9" i="10"/>
  <c r="BN9" i="10" s="1"/>
  <c r="BU22" i="55" l="1"/>
  <c r="GJ53" i="56"/>
  <c r="HT53" i="56"/>
  <c r="GQ119" i="56"/>
  <c r="FX119" i="56"/>
  <c r="GQ71" i="56"/>
  <c r="FX71" i="56"/>
  <c r="GQ311" i="56"/>
  <c r="FX311" i="56"/>
  <c r="GQ173" i="56"/>
  <c r="IH173" i="56" s="1"/>
  <c r="IN173" i="56" s="1"/>
  <c r="IO173" i="56" s="1"/>
  <c r="FX173" i="56"/>
  <c r="GQ44" i="56"/>
  <c r="FX44" i="56"/>
  <c r="DB191" i="56" a="1"/>
  <c r="DB191" i="56" s="1"/>
  <c r="DD191" i="56" s="1"/>
  <c r="DE191" i="56"/>
  <c r="GY191" i="56" s="1"/>
  <c r="GV191" i="56"/>
  <c r="HB191" i="56"/>
  <c r="GI325" i="56"/>
  <c r="EF95" i="56"/>
  <c r="EG95" i="56" s="1"/>
  <c r="EF245" i="56"/>
  <c r="EG245" i="56" s="1"/>
  <c r="EF324" i="56"/>
  <c r="EG324" i="56" s="1"/>
  <c r="EJ324" i="56" s="1"/>
  <c r="EF257" i="56"/>
  <c r="EG257" i="56" s="1"/>
  <c r="EJ257" i="56" s="1"/>
  <c r="EF302" i="56"/>
  <c r="EG302" i="56" s="1"/>
  <c r="EJ302" i="56" s="1"/>
  <c r="CY55" i="56"/>
  <c r="CU213" i="56"/>
  <c r="CY213" i="56" s="1"/>
  <c r="G213" i="56" s="1"/>
  <c r="CZ213" i="56" s="1"/>
  <c r="DA213" i="56" s="1"/>
  <c r="DB213" i="56" s="1" a="1"/>
  <c r="DB213" i="56" s="1"/>
  <c r="DD213" i="56" s="1"/>
  <c r="CU44" i="56"/>
  <c r="CY44" i="56" s="1"/>
  <c r="G44" i="56" s="1"/>
  <c r="CZ44" i="56" s="1"/>
  <c r="DA44" i="56" s="1"/>
  <c r="HB44" i="56" s="1"/>
  <c r="DI35" i="56"/>
  <c r="GG58" i="56"/>
  <c r="GH58" i="56" s="1"/>
  <c r="HB325" i="56"/>
  <c r="HC325" i="56" s="1"/>
  <c r="FX204" i="56"/>
  <c r="IH204" i="56" s="1"/>
  <c r="IN204" i="56" s="1"/>
  <c r="DE96" i="56"/>
  <c r="GY96" i="56" s="1"/>
  <c r="GV129" i="56"/>
  <c r="CY254" i="56"/>
  <c r="G254" i="56" s="1"/>
  <c r="CZ254" i="56" s="1"/>
  <c r="DA254" i="56" s="1"/>
  <c r="DB254" i="56" s="1" a="1"/>
  <c r="DB254" i="56" s="1"/>
  <c r="DD254" i="56" s="1"/>
  <c r="DI104" i="56"/>
  <c r="GV104" i="56" s="1"/>
  <c r="FZ213" i="56"/>
  <c r="FZ44" i="56"/>
  <c r="CU35" i="56"/>
  <c r="CY35" i="56" s="1"/>
  <c r="G35" i="56" s="1"/>
  <c r="CZ35" i="56" s="1"/>
  <c r="DA35" i="56" s="1"/>
  <c r="GG282" i="56"/>
  <c r="EF226" i="56"/>
  <c r="EG226" i="56" s="1"/>
  <c r="EJ226" i="56" s="1"/>
  <c r="DE325" i="56"/>
  <c r="GY325" i="56" s="1"/>
  <c r="FX263" i="56"/>
  <c r="IH263" i="56" s="1"/>
  <c r="IN263" i="56" s="1"/>
  <c r="EF323" i="56"/>
  <c r="EG323" i="56" s="1"/>
  <c r="EF235" i="56"/>
  <c r="EG235" i="56" s="1"/>
  <c r="EJ235" i="56" s="1"/>
  <c r="DI235" i="56"/>
  <c r="FZ35" i="56"/>
  <c r="EK4" i="56"/>
  <c r="GG7" i="56"/>
  <c r="HV7" i="56" s="1"/>
  <c r="BX14" i="55"/>
  <c r="EF153" i="56"/>
  <c r="EG153" i="56" s="1"/>
  <c r="CU235" i="56"/>
  <c r="CY235" i="56" s="1"/>
  <c r="G235" i="56" s="1"/>
  <c r="CZ235" i="56" s="1"/>
  <c r="DA235" i="56" s="1"/>
  <c r="EF287" i="56"/>
  <c r="EG287" i="56" s="1"/>
  <c r="DI290" i="56"/>
  <c r="EF96" i="56"/>
  <c r="EG96" i="56" s="1"/>
  <c r="EJ96" i="56" s="1"/>
  <c r="EF30" i="56"/>
  <c r="EG30" i="56" s="1"/>
  <c r="DE119" i="56"/>
  <c r="GY119" i="56" s="1"/>
  <c r="EF105" i="56"/>
  <c r="EG105" i="56" s="1"/>
  <c r="EJ105" i="56" s="1"/>
  <c r="GF4" i="56"/>
  <c r="EF177" i="56"/>
  <c r="EG177" i="56" s="1"/>
  <c r="EJ177" i="56" s="1"/>
  <c r="DE294" i="56"/>
  <c r="GY294" i="56" s="1"/>
  <c r="CY240" i="56"/>
  <c r="G240" i="56" s="1"/>
  <c r="CZ240" i="56" s="1"/>
  <c r="DA240" i="56" s="1"/>
  <c r="DB240" i="56" s="1" a="1"/>
  <c r="DB240" i="56" s="1"/>
  <c r="DD240" i="56" s="1"/>
  <c r="EF274" i="56"/>
  <c r="EG274" i="56" s="1"/>
  <c r="EJ274" i="56" s="1"/>
  <c r="HB321" i="56"/>
  <c r="FX60" i="56"/>
  <c r="IH60" i="56" s="1"/>
  <c r="IN60" i="56" s="1"/>
  <c r="IO60" i="56" s="1"/>
  <c r="CU290" i="56"/>
  <c r="CY290" i="56" s="1"/>
  <c r="DI27" i="56"/>
  <c r="CY149" i="56"/>
  <c r="G149" i="56" s="1"/>
  <c r="CZ149" i="56" s="1"/>
  <c r="DA149" i="56" s="1"/>
  <c r="EF270" i="56"/>
  <c r="EG270" i="56" s="1"/>
  <c r="GG144" i="56"/>
  <c r="EF139" i="56"/>
  <c r="EG139" i="56" s="1"/>
  <c r="DI177" i="56"/>
  <c r="GV177" i="56" s="1"/>
  <c r="HB294" i="56"/>
  <c r="CY291" i="56"/>
  <c r="DB313" i="56" a="1"/>
  <c r="DB313" i="56" s="1"/>
  <c r="DB321" i="56" a="1"/>
  <c r="DB321" i="56" s="1"/>
  <c r="DD321" i="56" s="1"/>
  <c r="DB63" i="56" a="1"/>
  <c r="DB63" i="56" s="1"/>
  <c r="DD63" i="56" s="1"/>
  <c r="DY63" i="56" s="1" a="1"/>
  <c r="DY63" i="56" s="1"/>
  <c r="HT313" i="56"/>
  <c r="GV319" i="56"/>
  <c r="FZ290" i="56"/>
  <c r="CY188" i="56"/>
  <c r="G188" i="56" s="1"/>
  <c r="CZ188" i="56" s="1"/>
  <c r="DA188" i="56" s="1"/>
  <c r="DE188" i="56" s="1"/>
  <c r="GY188" i="56" s="1"/>
  <c r="CU27" i="56"/>
  <c r="CY27" i="56" s="1"/>
  <c r="G27" i="56" s="1"/>
  <c r="CZ27" i="56" s="1"/>
  <c r="DA27" i="56" s="1"/>
  <c r="DE27" i="56" s="1"/>
  <c r="GY27" i="56" s="1"/>
  <c r="GG271" i="56"/>
  <c r="HV271" i="56" s="1"/>
  <c r="EF55" i="56"/>
  <c r="EG55" i="56" s="1"/>
  <c r="EJ55" i="56" s="1"/>
  <c r="DI55" i="56"/>
  <c r="GV123" i="56"/>
  <c r="GV111" i="56"/>
  <c r="CU177" i="56"/>
  <c r="CY177" i="56" s="1"/>
  <c r="DI156" i="56"/>
  <c r="GV156" i="56" s="1"/>
  <c r="CY217" i="56"/>
  <c r="G217" i="56" s="1"/>
  <c r="CZ217" i="56" s="1"/>
  <c r="DA217" i="56" s="1"/>
  <c r="AO22" i="55"/>
  <c r="CU281" i="56"/>
  <c r="CY281" i="56" s="1"/>
  <c r="G281" i="56" s="1"/>
  <c r="CZ281" i="56" s="1"/>
  <c r="DA281" i="56" s="1"/>
  <c r="DB281" i="56" s="1" a="1"/>
  <c r="DB281" i="56" s="1"/>
  <c r="DD281" i="56" s="1"/>
  <c r="CY91" i="56"/>
  <c r="DI119" i="56"/>
  <c r="GV119" i="56" s="1"/>
  <c r="CU156" i="56"/>
  <c r="CY156" i="56" s="1"/>
  <c r="CY181" i="56"/>
  <c r="FX92" i="56"/>
  <c r="IH92" i="56" s="1"/>
  <c r="IN92" i="56" s="1"/>
  <c r="DI316" i="56"/>
  <c r="GV316" i="56" s="1"/>
  <c r="FZ156" i="56"/>
  <c r="EF167" i="56"/>
  <c r="EG167" i="56" s="1"/>
  <c r="HB347" i="56"/>
  <c r="DE346" i="56"/>
  <c r="GY346" i="56" s="1"/>
  <c r="EF300" i="56"/>
  <c r="EG300" i="56" s="1"/>
  <c r="EF155" i="56"/>
  <c r="EG155" i="56" s="1"/>
  <c r="EF99" i="56"/>
  <c r="EG99" i="56" s="1"/>
  <c r="EJ99" i="56" s="1"/>
  <c r="GQ99" i="56" s="1"/>
  <c r="CY113" i="56"/>
  <c r="CU316" i="56"/>
  <c r="CY316" i="56" s="1"/>
  <c r="HB93" i="56"/>
  <c r="DI124" i="56"/>
  <c r="DI349" i="56"/>
  <c r="DI125" i="56"/>
  <c r="GV125" i="56" s="1"/>
  <c r="GV128" i="56"/>
  <c r="DE347" i="56"/>
  <c r="GY347" i="56" s="1"/>
  <c r="HB346" i="56"/>
  <c r="FX319" i="56"/>
  <c r="IH319" i="56" s="1"/>
  <c r="IN319" i="56" s="1"/>
  <c r="GG344" i="56"/>
  <c r="EF218" i="56"/>
  <c r="EG218" i="56" s="1"/>
  <c r="EF143" i="56"/>
  <c r="EG143" i="56" s="1"/>
  <c r="DI79" i="56"/>
  <c r="DE58" i="56"/>
  <c r="GY58" i="56" s="1"/>
  <c r="GG95" i="56"/>
  <c r="GI95" i="56" s="1"/>
  <c r="DE93" i="56"/>
  <c r="GY93" i="56" s="1"/>
  <c r="CU124" i="56"/>
  <c r="CU349" i="56"/>
  <c r="CY349" i="56" s="1"/>
  <c r="DI99" i="56"/>
  <c r="FX249" i="56"/>
  <c r="IH249" i="56" s="1"/>
  <c r="IN249" i="56" s="1"/>
  <c r="GG158" i="56"/>
  <c r="HV158" i="56" s="1"/>
  <c r="CU125" i="56"/>
  <c r="CY125" i="56" s="1"/>
  <c r="EM4" i="56"/>
  <c r="EN4" i="56" s="1"/>
  <c r="GX4" i="56" s="1"/>
  <c r="GZ4" i="56" s="1"/>
  <c r="GQ229" i="56"/>
  <c r="CY114" i="56"/>
  <c r="GG183" i="56"/>
  <c r="FZ234" i="56"/>
  <c r="GV338" i="56"/>
  <c r="CU79" i="56"/>
  <c r="CY79" i="56" s="1"/>
  <c r="HB58" i="56"/>
  <c r="FZ124" i="56"/>
  <c r="EF202" i="56"/>
  <c r="EG202" i="56" s="1"/>
  <c r="EJ202" i="56" s="1"/>
  <c r="GQ202" i="56" s="1"/>
  <c r="EF255" i="56"/>
  <c r="EG255" i="56" s="1"/>
  <c r="EJ255" i="56" s="1"/>
  <c r="EO4" i="56"/>
  <c r="CY352" i="56"/>
  <c r="CY321" i="56"/>
  <c r="GQ38" i="56"/>
  <c r="IH38" i="56" s="1"/>
  <c r="IN38" i="56" s="1"/>
  <c r="IO38" i="56" s="1"/>
  <c r="FX38" i="56"/>
  <c r="FX302" i="56"/>
  <c r="GQ302" i="56"/>
  <c r="IH302" i="56" s="1"/>
  <c r="IN302" i="56" s="1"/>
  <c r="DD58" i="56"/>
  <c r="GV58" i="56" s="1"/>
  <c r="GQ252" i="56"/>
  <c r="FX252" i="56"/>
  <c r="DD331" i="56"/>
  <c r="DY331" i="56" s="1" a="1"/>
  <c r="DY331" i="56" s="1"/>
  <c r="GQ32" i="56"/>
  <c r="GT32" i="56" s="1"/>
  <c r="FX32" i="56"/>
  <c r="IH32" i="56" s="1"/>
  <c r="GQ147" i="56"/>
  <c r="FX147" i="56"/>
  <c r="GQ79" i="56"/>
  <c r="IH79" i="56" s="1"/>
  <c r="IN79" i="56" s="1"/>
  <c r="IO79" i="56" s="1"/>
  <c r="FX79" i="56"/>
  <c r="GJ317" i="56"/>
  <c r="HT317" i="56"/>
  <c r="GV87" i="56"/>
  <c r="BX19" i="55"/>
  <c r="GE148" i="56"/>
  <c r="GG148" i="56"/>
  <c r="BX15" i="55"/>
  <c r="GG159" i="56"/>
  <c r="GV303" i="56"/>
  <c r="GG294" i="56"/>
  <c r="HV294" i="56" s="1"/>
  <c r="BX17" i="55"/>
  <c r="GE207" i="56"/>
  <c r="GG207" i="56"/>
  <c r="GE140" i="56"/>
  <c r="GG140" i="56"/>
  <c r="HB351" i="56"/>
  <c r="DE351" i="56"/>
  <c r="GY351" i="56" s="1"/>
  <c r="EF238" i="56"/>
  <c r="EG238" i="56" s="1"/>
  <c r="EJ238" i="56" s="1"/>
  <c r="GE255" i="56"/>
  <c r="GG255" i="56"/>
  <c r="BX20" i="55"/>
  <c r="GG234" i="56"/>
  <c r="HV234" i="56" s="1"/>
  <c r="GF50" i="56"/>
  <c r="GG106" i="56"/>
  <c r="HV106" i="56" s="1"/>
  <c r="EF243" i="56"/>
  <c r="EG243" i="56" s="1"/>
  <c r="CU59" i="56"/>
  <c r="CY59" i="56" s="1"/>
  <c r="GV89" i="56"/>
  <c r="HB331" i="56"/>
  <c r="GV160" i="56"/>
  <c r="GG94" i="56"/>
  <c r="GH94" i="56" s="1"/>
  <c r="EF254" i="56"/>
  <c r="EG254" i="56" s="1"/>
  <c r="EJ254" i="56" s="1"/>
  <c r="CY244" i="56"/>
  <c r="G244" i="56" s="1"/>
  <c r="CZ244" i="56" s="1"/>
  <c r="DA244" i="56" s="1"/>
  <c r="GV244" i="56" s="1"/>
  <c r="GV315" i="56"/>
  <c r="FZ59" i="56"/>
  <c r="GV84" i="56"/>
  <c r="CY315" i="56"/>
  <c r="GQ326" i="56"/>
  <c r="EF264" i="56"/>
  <c r="EG264" i="56" s="1"/>
  <c r="EJ264" i="56" s="1"/>
  <c r="EF123" i="56"/>
  <c r="EG123" i="56" s="1"/>
  <c r="EJ123" i="56" s="1"/>
  <c r="EF42" i="56"/>
  <c r="EG42" i="56" s="1"/>
  <c r="EJ42" i="56" s="1"/>
  <c r="CU252" i="56"/>
  <c r="CY252" i="56" s="1"/>
  <c r="G252" i="56" s="1"/>
  <c r="CZ252" i="56" s="1"/>
  <c r="DA252" i="56" s="1"/>
  <c r="DB252" i="56" s="1" a="1"/>
  <c r="DB252" i="56" s="1"/>
  <c r="DD252" i="56" s="1"/>
  <c r="CY351" i="56"/>
  <c r="DZ28" i="56" a="1"/>
  <c r="DZ28" i="56" s="1"/>
  <c r="AO14" i="55"/>
  <c r="AA14" i="55" s="1"/>
  <c r="GT313" i="56"/>
  <c r="DI147" i="56"/>
  <c r="HB315" i="56"/>
  <c r="HC315" i="56" s="1"/>
  <c r="AO10" i="55"/>
  <c r="CY141" i="56"/>
  <c r="G141" i="56" s="1"/>
  <c r="CZ141" i="56" s="1"/>
  <c r="DA141" i="56" s="1"/>
  <c r="BU21" i="55"/>
  <c r="BV21" i="55" s="1" a="1"/>
  <c r="BV21" i="55" s="1"/>
  <c r="CU147" i="56"/>
  <c r="CY147" i="56" s="1"/>
  <c r="G147" i="56" s="1"/>
  <c r="CZ147" i="56" s="1"/>
  <c r="DA147" i="56" s="1"/>
  <c r="EF210" i="56"/>
  <c r="EG210" i="56" s="1"/>
  <c r="EJ210" i="56" s="1"/>
  <c r="DE315" i="56"/>
  <c r="GY315" i="56" s="1"/>
  <c r="BX16" i="55"/>
  <c r="DI155" i="56"/>
  <c r="GV155" i="56" s="1"/>
  <c r="EF295" i="56"/>
  <c r="EG295" i="56" s="1"/>
  <c r="GE128" i="56"/>
  <c r="GE129" i="56" s="1"/>
  <c r="GG128" i="56"/>
  <c r="EF318" i="56"/>
  <c r="EG318" i="56" s="1"/>
  <c r="EJ318" i="56" s="1"/>
  <c r="AO26" i="55"/>
  <c r="AA26" i="55" s="1"/>
  <c r="BU18" i="55"/>
  <c r="BV18" i="55" s="1" a="1"/>
  <c r="BV18" i="55" s="1"/>
  <c r="FZ147" i="56"/>
  <c r="CY129" i="56"/>
  <c r="CY124" i="56"/>
  <c r="HB130" i="56"/>
  <c r="DI162" i="56"/>
  <c r="DE71" i="56"/>
  <c r="GY71" i="56" s="1"/>
  <c r="CU155" i="56"/>
  <c r="CY155" i="56" s="1"/>
  <c r="GV108" i="56"/>
  <c r="CU42" i="56"/>
  <c r="CY42" i="56" s="1"/>
  <c r="G42" i="56" s="1"/>
  <c r="CZ42" i="56" s="1"/>
  <c r="DA42" i="56" s="1"/>
  <c r="DB42" i="56" s="1" a="1"/>
  <c r="DB42" i="56" s="1"/>
  <c r="DD42" i="56" s="1"/>
  <c r="GH321" i="56"/>
  <c r="GH328" i="56"/>
  <c r="GH93" i="56"/>
  <c r="DI300" i="56"/>
  <c r="GV300" i="56" s="1"/>
  <c r="DI199" i="56"/>
  <c r="GF27" i="56"/>
  <c r="CU162" i="56"/>
  <c r="CY162" i="56" s="1"/>
  <c r="BX13" i="55"/>
  <c r="EF322" i="56"/>
  <c r="EG322" i="56" s="1"/>
  <c r="EF220" i="56"/>
  <c r="EG220" i="56" s="1"/>
  <c r="EJ220" i="56" s="1"/>
  <c r="BU12" i="55"/>
  <c r="BV12" i="55" s="1" a="1"/>
  <c r="BV12" i="55" s="1"/>
  <c r="CY204" i="56"/>
  <c r="G204" i="56" s="1"/>
  <c r="CZ204" i="56" s="1"/>
  <c r="DA204" i="56" s="1"/>
  <c r="DB204" i="56" s="1" a="1"/>
  <c r="DB204" i="56" s="1"/>
  <c r="DD204" i="56" s="1"/>
  <c r="GI328" i="56"/>
  <c r="GJ328" i="56" s="1"/>
  <c r="GI93" i="56"/>
  <c r="GJ93" i="56" s="1"/>
  <c r="GG150" i="56"/>
  <c r="HV150" i="56" s="1"/>
  <c r="GG167" i="56"/>
  <c r="GH167" i="56" s="1"/>
  <c r="CU300" i="56"/>
  <c r="CY300" i="56" s="1"/>
  <c r="GH329" i="56"/>
  <c r="CU199" i="56"/>
  <c r="CY199" i="56" s="1"/>
  <c r="G199" i="56" s="1"/>
  <c r="CZ199" i="56" s="1"/>
  <c r="DA199" i="56" s="1"/>
  <c r="DE283" i="56"/>
  <c r="GY283" i="56" s="1"/>
  <c r="CY57" i="56"/>
  <c r="DI28" i="56"/>
  <c r="GV180" i="56"/>
  <c r="FX108" i="56"/>
  <c r="IH108" i="56" s="1"/>
  <c r="CY38" i="56"/>
  <c r="G38" i="56" s="1"/>
  <c r="CZ38" i="56" s="1"/>
  <c r="DA38" i="56" s="1"/>
  <c r="GV38" i="56" s="1"/>
  <c r="GG165" i="56"/>
  <c r="GH165" i="56" s="1"/>
  <c r="CY241" i="56"/>
  <c r="G241" i="56" s="1"/>
  <c r="CZ241" i="56" s="1"/>
  <c r="DA241" i="56" s="1"/>
  <c r="HB241" i="56" s="1"/>
  <c r="GH6" i="56"/>
  <c r="CU96" i="56"/>
  <c r="CY96" i="56" s="1"/>
  <c r="GI329" i="56"/>
  <c r="GJ329" i="56" s="1"/>
  <c r="DE298" i="56"/>
  <c r="GY298" i="56" s="1"/>
  <c r="HB283" i="56"/>
  <c r="HC283" i="56" s="1"/>
  <c r="GG135" i="56"/>
  <c r="GI135" i="56" s="1"/>
  <c r="EF296" i="56"/>
  <c r="EG296" i="56" s="1"/>
  <c r="EJ296" i="56" s="1"/>
  <c r="CU28" i="56"/>
  <c r="CY28" i="56" s="1"/>
  <c r="G28" i="56" s="1"/>
  <c r="CZ28" i="56" s="1"/>
  <c r="DA28" i="56" s="1"/>
  <c r="DI48" i="56"/>
  <c r="AO18" i="55"/>
  <c r="AA18" i="55" s="1"/>
  <c r="DB114" i="56" a="1"/>
  <c r="DB114" i="56" s="1"/>
  <c r="DD114" i="56" s="1"/>
  <c r="DY114" i="56" s="1" a="1"/>
  <c r="DY114" i="56" s="1"/>
  <c r="EA114" i="56" s="1"/>
  <c r="DE114" i="56"/>
  <c r="GY114" i="56" s="1"/>
  <c r="HB114" i="56"/>
  <c r="EF239" i="56"/>
  <c r="EG239" i="56" s="1"/>
  <c r="EJ239" i="56" s="1"/>
  <c r="GV109" i="56"/>
  <c r="EF68" i="56"/>
  <c r="EG68" i="56" s="1"/>
  <c r="AO13" i="55"/>
  <c r="AA13" i="55" s="1"/>
  <c r="BU14" i="55"/>
  <c r="GV120" i="56"/>
  <c r="GG212" i="56"/>
  <c r="HV212" i="56" s="1"/>
  <c r="GG182" i="56"/>
  <c r="HV182" i="56" s="1"/>
  <c r="FZ96" i="56"/>
  <c r="CY275" i="56"/>
  <c r="G275" i="56" s="1"/>
  <c r="CZ275" i="56" s="1"/>
  <c r="DA275" i="56" s="1"/>
  <c r="DB275" i="56" s="1" a="1"/>
  <c r="DB275" i="56" s="1"/>
  <c r="DD275" i="56" s="1"/>
  <c r="HB298" i="56"/>
  <c r="DI210" i="56"/>
  <c r="FX246" i="56"/>
  <c r="IH246" i="56" s="1"/>
  <c r="IN246" i="56" s="1"/>
  <c r="IO246" i="56" s="1"/>
  <c r="GG232" i="56"/>
  <c r="GH232" i="56" s="1"/>
  <c r="EF48" i="56"/>
  <c r="EG48" i="56" s="1"/>
  <c r="EF189" i="56"/>
  <c r="EG189" i="56" s="1"/>
  <c r="EJ189" i="56" s="1"/>
  <c r="GI133" i="56"/>
  <c r="GJ133" i="56" s="1"/>
  <c r="GE137" i="56"/>
  <c r="GG137" i="56"/>
  <c r="GV71" i="56"/>
  <c r="EF117" i="56"/>
  <c r="EG117" i="56" s="1"/>
  <c r="HB6" i="56"/>
  <c r="CU210" i="56"/>
  <c r="CY210" i="56" s="1"/>
  <c r="G210" i="56" s="1"/>
  <c r="CZ210" i="56" s="1"/>
  <c r="DA210" i="56" s="1"/>
  <c r="DB210" i="56" s="1" a="1"/>
  <c r="DB210" i="56" s="1"/>
  <c r="DD210" i="56" s="1"/>
  <c r="CY82" i="56"/>
  <c r="EF205" i="56"/>
  <c r="EG205" i="56" s="1"/>
  <c r="EJ205" i="56" s="1"/>
  <c r="CU48" i="56"/>
  <c r="CY48" i="56" s="1"/>
  <c r="G48" i="56" s="1"/>
  <c r="CZ48" i="56" s="1"/>
  <c r="DA48" i="56" s="1"/>
  <c r="DB48" i="56" s="1" a="1"/>
  <c r="DB48" i="56" s="1"/>
  <c r="DD48" i="56" s="1"/>
  <c r="EF234" i="56"/>
  <c r="EG234" i="56" s="1"/>
  <c r="EJ234" i="56" s="1"/>
  <c r="GH133" i="56"/>
  <c r="AO19" i="55"/>
  <c r="AA19" i="55" s="1"/>
  <c r="AO15" i="55"/>
  <c r="AA15" i="55" s="1"/>
  <c r="BU10" i="55"/>
  <c r="BX18" i="55"/>
  <c r="FX70" i="56"/>
  <c r="EF93" i="56"/>
  <c r="EG93" i="56" s="1"/>
  <c r="DE6" i="56"/>
  <c r="GY6" i="56" s="1"/>
  <c r="DI220" i="56"/>
  <c r="GV220" i="56" s="1"/>
  <c r="EF342" i="56"/>
  <c r="EG342" i="56" s="1"/>
  <c r="EJ342" i="56" s="1"/>
  <c r="GG127" i="56"/>
  <c r="HV127" i="56" s="1"/>
  <c r="DI234" i="56"/>
  <c r="CY63" i="56"/>
  <c r="GV298" i="56"/>
  <c r="AO16" i="55"/>
  <c r="AA16" i="55" s="1"/>
  <c r="CY92" i="56"/>
  <c r="DI233" i="56"/>
  <c r="GG186" i="56"/>
  <c r="HV186" i="56" s="1"/>
  <c r="BU20" i="55"/>
  <c r="BV20" i="55" s="1" a="1"/>
  <c r="BV20" i="55" s="1"/>
  <c r="GG102" i="56"/>
  <c r="GG286" i="56"/>
  <c r="CY97" i="56"/>
  <c r="DZ316" i="56" a="1"/>
  <c r="DZ316" i="56" s="1"/>
  <c r="EF316" i="56"/>
  <c r="EG316" i="56" s="1"/>
  <c r="EJ316" i="56" s="1"/>
  <c r="EJ117" i="56"/>
  <c r="EJ265" i="56"/>
  <c r="EJ149" i="56"/>
  <c r="GQ151" i="56"/>
  <c r="FX151" i="56"/>
  <c r="GQ104" i="56"/>
  <c r="FX104" i="56"/>
  <c r="GI36" i="56"/>
  <c r="GJ36" i="56" s="1"/>
  <c r="GH37" i="56"/>
  <c r="GQ324" i="56"/>
  <c r="FX324" i="56"/>
  <c r="EJ82" i="56"/>
  <c r="EJ323" i="56"/>
  <c r="EJ84" i="56"/>
  <c r="EJ68" i="56"/>
  <c r="EJ30" i="56"/>
  <c r="EJ340" i="56"/>
  <c r="EJ295" i="56"/>
  <c r="EJ344" i="56"/>
  <c r="GQ190" i="56"/>
  <c r="FX190" i="56"/>
  <c r="FX202" i="56"/>
  <c r="EJ308" i="56"/>
  <c r="GQ120" i="56"/>
  <c r="FX120" i="56"/>
  <c r="EJ349" i="56"/>
  <c r="EJ221" i="56"/>
  <c r="EJ139" i="56"/>
  <c r="EJ269" i="56"/>
  <c r="GQ39" i="56"/>
  <c r="FX39" i="56"/>
  <c r="EJ112" i="56"/>
  <c r="GQ73" i="56"/>
  <c r="FX73" i="56"/>
  <c r="EJ138" i="56"/>
  <c r="EJ167" i="56"/>
  <c r="EJ322" i="56"/>
  <c r="EJ278" i="56"/>
  <c r="GQ135" i="56"/>
  <c r="FX135" i="56"/>
  <c r="EJ93" i="56"/>
  <c r="FX46" i="56"/>
  <c r="GQ46" i="56"/>
  <c r="GQ305" i="56"/>
  <c r="FX305" i="56"/>
  <c r="EJ243" i="56"/>
  <c r="EJ75" i="56"/>
  <c r="EJ240" i="56"/>
  <c r="GE241" i="56"/>
  <c r="GG241" i="56"/>
  <c r="DY65" i="56" a="1"/>
  <c r="DY65" i="56" s="1"/>
  <c r="FZ324" i="56"/>
  <c r="CU324" i="56"/>
  <c r="CY324" i="56" s="1"/>
  <c r="DI324" i="56"/>
  <c r="DY70" i="56" a="1"/>
  <c r="DY70" i="56" s="1"/>
  <c r="FZ73" i="56"/>
  <c r="CU73" i="56"/>
  <c r="CY73" i="56" s="1"/>
  <c r="DI73" i="56"/>
  <c r="GE168" i="56"/>
  <c r="GG168" i="56"/>
  <c r="GV308" i="56"/>
  <c r="EO28" i="56"/>
  <c r="EM28" i="56"/>
  <c r="EN28" i="56" s="1"/>
  <c r="GX28" i="56" s="1"/>
  <c r="GZ28" i="56" s="1"/>
  <c r="EL28" i="56"/>
  <c r="EC28" i="56"/>
  <c r="EB28" i="56"/>
  <c r="EK28" i="56"/>
  <c r="IH70" i="56"/>
  <c r="IN70" i="56" s="1"/>
  <c r="GE337" i="56"/>
  <c r="GG337" i="56"/>
  <c r="DB310" i="56" a="1"/>
  <c r="DB310" i="56" s="1"/>
  <c r="DD310" i="56" s="1"/>
  <c r="DE310" i="56"/>
  <c r="GY310" i="56" s="1"/>
  <c r="HB310" i="56"/>
  <c r="GE201" i="56"/>
  <c r="GG201" i="56"/>
  <c r="EJ309" i="56"/>
  <c r="GE30" i="56"/>
  <c r="GG30" i="56"/>
  <c r="FZ274" i="56"/>
  <c r="CU274" i="56"/>
  <c r="CY274" i="56" s="1"/>
  <c r="G274" i="56" s="1"/>
  <c r="CZ274" i="56" s="1"/>
  <c r="DA274" i="56" s="1"/>
  <c r="DI274" i="56"/>
  <c r="GE348" i="56"/>
  <c r="GG348" i="56"/>
  <c r="DB100" i="56" a="1"/>
  <c r="DB100" i="56" s="1"/>
  <c r="DD100" i="56" s="1"/>
  <c r="HB100" i="56"/>
  <c r="GV100" i="56"/>
  <c r="DE100" i="56"/>
  <c r="GY100" i="56" s="1"/>
  <c r="DY130" i="56" a="1"/>
  <c r="DY130" i="56" s="1"/>
  <c r="GV349" i="56"/>
  <c r="DY6" i="56" a="1"/>
  <c r="DY6" i="56" s="1"/>
  <c r="GE27" i="56"/>
  <c r="GG27" i="56"/>
  <c r="DB340" i="56" a="1"/>
  <c r="DB340" i="56" s="1"/>
  <c r="DD340" i="56" s="1"/>
  <c r="DE340" i="56"/>
  <c r="GY340" i="56" s="1"/>
  <c r="HB340" i="56"/>
  <c r="GQ129" i="56"/>
  <c r="FX129" i="56"/>
  <c r="FZ314" i="56"/>
  <c r="CU314" i="56"/>
  <c r="CY314" i="56" s="1"/>
  <c r="DI314" i="56"/>
  <c r="GV314" i="56" s="1"/>
  <c r="DY183" i="56" a="1"/>
  <c r="DY183" i="56" s="1"/>
  <c r="FZ346" i="56"/>
  <c r="CU346" i="56"/>
  <c r="CY346" i="56" s="1"/>
  <c r="DI346" i="56"/>
  <c r="GV346" i="56" s="1"/>
  <c r="DY15" i="56" a="1"/>
  <c r="DY15" i="56" s="1"/>
  <c r="GE299" i="56"/>
  <c r="GG299" i="56"/>
  <c r="CY34" i="56"/>
  <c r="G34" i="56" s="1"/>
  <c r="CZ34" i="56" s="1"/>
  <c r="DA34" i="56" s="1"/>
  <c r="DB317" i="56" a="1"/>
  <c r="DB317" i="56" s="1"/>
  <c r="DD317" i="56" s="1"/>
  <c r="HB317" i="56"/>
  <c r="HC317" i="56" s="1"/>
  <c r="DE317" i="56"/>
  <c r="GY317" i="56" s="1"/>
  <c r="FX285" i="56"/>
  <c r="GQ285" i="56"/>
  <c r="HV251" i="56"/>
  <c r="GH251" i="56"/>
  <c r="GI251" i="56"/>
  <c r="GQ225" i="56"/>
  <c r="FX225" i="56"/>
  <c r="DB94" i="56" a="1"/>
  <c r="DB94" i="56" s="1"/>
  <c r="DD94" i="56" s="1"/>
  <c r="HB94" i="56"/>
  <c r="GV94" i="56"/>
  <c r="DE94" i="56"/>
  <c r="GY94" i="56" s="1"/>
  <c r="FZ238" i="56"/>
  <c r="CU238" i="56"/>
  <c r="CY238" i="56" s="1"/>
  <c r="G238" i="56" s="1"/>
  <c r="CZ238" i="56" s="1"/>
  <c r="DA238" i="56" s="1"/>
  <c r="DI238" i="56"/>
  <c r="GQ100" i="56"/>
  <c r="FX100" i="56"/>
  <c r="DB286" i="56" a="1"/>
  <c r="DB286" i="56" s="1"/>
  <c r="DD286" i="56" s="1"/>
  <c r="DE286" i="56"/>
  <c r="GY286" i="56" s="1"/>
  <c r="HB286" i="56"/>
  <c r="GQ352" i="56"/>
  <c r="FX352" i="56"/>
  <c r="DY99" i="56" a="1"/>
  <c r="DY99" i="56" s="1"/>
  <c r="GE65" i="56"/>
  <c r="GG65" i="56"/>
  <c r="GE82" i="56"/>
  <c r="GG82" i="56"/>
  <c r="GE122" i="56"/>
  <c r="GG122" i="56"/>
  <c r="DY164" i="56" a="1"/>
  <c r="DY164" i="56" s="1"/>
  <c r="F3" i="40" a="1"/>
  <c r="F3" i="40" s="1"/>
  <c r="IH91" i="56"/>
  <c r="IN91" i="56" s="1"/>
  <c r="EJ188" i="56"/>
  <c r="DB337" i="56" a="1"/>
  <c r="DB337" i="56" s="1"/>
  <c r="DD337" i="56" s="1"/>
  <c r="HB337" i="56"/>
  <c r="GV337" i="56"/>
  <c r="DE337" i="56"/>
  <c r="GY337" i="56" s="1"/>
  <c r="GV285" i="56"/>
  <c r="DB326" i="56" a="1"/>
  <c r="DB326" i="56" s="1"/>
  <c r="DD326" i="56" s="1"/>
  <c r="DE326" i="56"/>
  <c r="GY326" i="56" s="1"/>
  <c r="HB326" i="56"/>
  <c r="DA127" i="56"/>
  <c r="CY127" i="56"/>
  <c r="DD85" i="56"/>
  <c r="GV85" i="56" s="1"/>
  <c r="GQ338" i="56"/>
  <c r="FX338" i="56"/>
  <c r="IH119" i="56"/>
  <c r="DY95" i="56" a="1"/>
  <c r="DY95" i="56" s="1"/>
  <c r="IH332" i="56"/>
  <c r="IN332" i="56" s="1"/>
  <c r="GV305" i="56"/>
  <c r="DB311" i="56" a="1"/>
  <c r="DB311" i="56" s="1"/>
  <c r="DD311" i="56" s="1"/>
  <c r="DE311" i="56"/>
  <c r="GY311" i="56" s="1"/>
  <c r="HB311" i="56"/>
  <c r="GV297" i="56"/>
  <c r="GE12" i="56"/>
  <c r="GG12" i="56"/>
  <c r="GW286" i="56"/>
  <c r="GU286" i="56"/>
  <c r="HS286" i="56" s="1"/>
  <c r="GP286" i="56"/>
  <c r="HV90" i="56"/>
  <c r="GI90" i="56"/>
  <c r="GJ90" i="56" s="1"/>
  <c r="GH90" i="56"/>
  <c r="FZ295" i="56"/>
  <c r="CU295" i="56"/>
  <c r="CY295" i="56" s="1"/>
  <c r="DI295" i="56"/>
  <c r="GV295" i="56" s="1"/>
  <c r="DB332" i="56" a="1"/>
  <c r="DB332" i="56" s="1"/>
  <c r="DD332" i="56" s="1"/>
  <c r="DE332" i="56"/>
  <c r="GY332" i="56" s="1"/>
  <c r="HB332" i="56"/>
  <c r="EJ236" i="56"/>
  <c r="EJ162" i="56"/>
  <c r="GQ266" i="56"/>
  <c r="FX266" i="56"/>
  <c r="DB320" i="56" a="1"/>
  <c r="DB320" i="56" s="1"/>
  <c r="DD320" i="56" s="1"/>
  <c r="GV320" i="56"/>
  <c r="HB320" i="56"/>
  <c r="DE320" i="56"/>
  <c r="GY320" i="56" s="1"/>
  <c r="EJ212" i="56"/>
  <c r="DY93" i="56" a="1"/>
  <c r="DY93" i="56" s="1"/>
  <c r="EJ59" i="56"/>
  <c r="HV274" i="56"/>
  <c r="GI274" i="56"/>
  <c r="GJ274" i="56" s="1"/>
  <c r="GH274" i="56"/>
  <c r="FZ272" i="56"/>
  <c r="CU272" i="56"/>
  <c r="CY272" i="56" s="1"/>
  <c r="G272" i="56" s="1"/>
  <c r="CZ272" i="56" s="1"/>
  <c r="DA272" i="56" s="1"/>
  <c r="DI272" i="56"/>
  <c r="EF272" i="56"/>
  <c r="EG272" i="56" s="1"/>
  <c r="GJ239" i="56"/>
  <c r="HV270" i="56"/>
  <c r="GH270" i="56"/>
  <c r="GI270" i="56"/>
  <c r="GJ270" i="56" s="1"/>
  <c r="GE335" i="56"/>
  <c r="GG335" i="56"/>
  <c r="GG193" i="56"/>
  <c r="GE193" i="56"/>
  <c r="EJ193" i="56"/>
  <c r="EJ49" i="56"/>
  <c r="GE29" i="56"/>
  <c r="GG29" i="56"/>
  <c r="EF314" i="56"/>
  <c r="EG314" i="56" s="1"/>
  <c r="GQ54" i="56"/>
  <c r="FX54" i="56"/>
  <c r="BU15" i="55"/>
  <c r="BV15" i="55" s="1" a="1"/>
  <c r="BV15" i="55" s="1"/>
  <c r="EF346" i="56"/>
  <c r="EG346" i="56" s="1"/>
  <c r="GI341" i="56"/>
  <c r="GJ341" i="56" s="1"/>
  <c r="GE312" i="56"/>
  <c r="GG312" i="56"/>
  <c r="DB54" i="56" a="1"/>
  <c r="DB54" i="56" s="1"/>
  <c r="DD54" i="56" s="1"/>
  <c r="DE54" i="56"/>
  <c r="GY54" i="56" s="1"/>
  <c r="HB54" i="56"/>
  <c r="GV54" i="56"/>
  <c r="DB68" i="56" a="1"/>
  <c r="DB68" i="56" s="1"/>
  <c r="DD68" i="56" s="1"/>
  <c r="HB68" i="56"/>
  <c r="DE68" i="56"/>
  <c r="GY68" i="56" s="1"/>
  <c r="DB209" i="56" a="1"/>
  <c r="DB209" i="56" s="1"/>
  <c r="DD209" i="56" s="1"/>
  <c r="DE209" i="56"/>
  <c r="GY209" i="56" s="1"/>
  <c r="HB209" i="56"/>
  <c r="GQ241" i="56"/>
  <c r="FX241" i="56"/>
  <c r="GQ43" i="56"/>
  <c r="FX43" i="56"/>
  <c r="GV66" i="56"/>
  <c r="GE73" i="56"/>
  <c r="GG73" i="56"/>
  <c r="GE67" i="56"/>
  <c r="GG67" i="56"/>
  <c r="GE114" i="56"/>
  <c r="GG114" i="56"/>
  <c r="HV245" i="56"/>
  <c r="GI245" i="56"/>
  <c r="GH245" i="56"/>
  <c r="HV190" i="56"/>
  <c r="GH190" i="56"/>
  <c r="GI190" i="56"/>
  <c r="GJ190" i="56" s="1"/>
  <c r="AH21" i="55"/>
  <c r="AG21" i="55"/>
  <c r="AE21" i="55" a="1"/>
  <c r="AE21" i="55" s="1"/>
  <c r="FU313" i="56"/>
  <c r="FU314" i="56"/>
  <c r="FU315" i="56"/>
  <c r="FU316" i="56"/>
  <c r="EO11" i="56"/>
  <c r="EM11" i="56"/>
  <c r="EN11" i="56" s="1"/>
  <c r="GX11" i="56" s="1"/>
  <c r="GZ11" i="56" s="1"/>
  <c r="EL11" i="56"/>
  <c r="EC11" i="56"/>
  <c r="EB11" i="56"/>
  <c r="EK11" i="56"/>
  <c r="FZ289" i="56"/>
  <c r="CU289" i="56"/>
  <c r="CY289" i="56" s="1"/>
  <c r="DI289" i="56"/>
  <c r="DY297" i="56" a="1"/>
  <c r="DY297" i="56" s="1"/>
  <c r="DB126" i="56" a="1"/>
  <c r="DB126" i="56" s="1"/>
  <c r="DD126" i="56" s="1"/>
  <c r="DE126" i="56"/>
  <c r="GY126" i="56" s="1"/>
  <c r="HB126" i="56"/>
  <c r="HV283" i="56"/>
  <c r="GH283" i="56"/>
  <c r="GI283" i="56"/>
  <c r="GJ283" i="56" s="1"/>
  <c r="GO8" i="56"/>
  <c r="GN8" i="56"/>
  <c r="IK8" i="56" s="1"/>
  <c r="GM9" i="56"/>
  <c r="DY104" i="56" a="1"/>
  <c r="DY104" i="56" s="1"/>
  <c r="HV322" i="56"/>
  <c r="GH322" i="56"/>
  <c r="GI322" i="56"/>
  <c r="GJ322" i="56" s="1"/>
  <c r="EJ152" i="56"/>
  <c r="HV226" i="56"/>
  <c r="GI226" i="56"/>
  <c r="GJ226" i="56" s="1"/>
  <c r="GH226" i="56"/>
  <c r="EJ128" i="56"/>
  <c r="GE192" i="56"/>
  <c r="GG192" i="56"/>
  <c r="FZ296" i="56"/>
  <c r="CU296" i="56"/>
  <c r="CY296" i="56" s="1"/>
  <c r="DI296" i="56"/>
  <c r="GV296" i="56" s="1"/>
  <c r="DB162" i="56" a="1"/>
  <c r="DB162" i="56" s="1"/>
  <c r="DD162" i="56" s="1"/>
  <c r="HB162" i="56"/>
  <c r="DE162" i="56"/>
  <c r="GY162" i="56" s="1"/>
  <c r="DY59" i="56" a="1"/>
  <c r="DY59" i="56" s="1"/>
  <c r="HV154" i="56"/>
  <c r="GH154" i="56"/>
  <c r="GI154" i="56" s="1"/>
  <c r="GJ154" i="56" s="1"/>
  <c r="FZ243" i="56"/>
  <c r="CU243" i="56"/>
  <c r="CY243" i="56" s="1"/>
  <c r="G243" i="56" s="1"/>
  <c r="CZ243" i="56" s="1"/>
  <c r="DA243" i="56" s="1"/>
  <c r="DI243" i="56"/>
  <c r="DY308" i="56" a="1"/>
  <c r="DY308" i="56" s="1"/>
  <c r="GV121" i="56"/>
  <c r="GQ350" i="56"/>
  <c r="FX350" i="56"/>
  <c r="GE303" i="56"/>
  <c r="GG303" i="56"/>
  <c r="GE78" i="56"/>
  <c r="GG78" i="56"/>
  <c r="CY265" i="56"/>
  <c r="G265" i="56" s="1"/>
  <c r="CZ265" i="56" s="1"/>
  <c r="DA265" i="56" s="1"/>
  <c r="EJ180" i="56"/>
  <c r="BU25" i="55"/>
  <c r="BV25" i="55" s="1" a="1"/>
  <c r="BV25" i="55" s="1"/>
  <c r="EJ34" i="56"/>
  <c r="GE217" i="56"/>
  <c r="GG217" i="56"/>
  <c r="DB307" i="56" a="1"/>
  <c r="DB307" i="56" s="1"/>
  <c r="DD307" i="56" s="1"/>
  <c r="DE307" i="56"/>
  <c r="GY307" i="56" s="1"/>
  <c r="HB307" i="56"/>
  <c r="BO3" i="40" a="1"/>
  <c r="BO3" i="40" s="1"/>
  <c r="EJ33" i="56"/>
  <c r="EJ40" i="56"/>
  <c r="DY10" i="56" a="1"/>
  <c r="DY10" i="56" s="1"/>
  <c r="GE28" i="56"/>
  <c r="GG28" i="56"/>
  <c r="HV326" i="56"/>
  <c r="GI326" i="56"/>
  <c r="GJ326" i="56" s="1"/>
  <c r="GH326" i="56"/>
  <c r="FZ266" i="56"/>
  <c r="CU266" i="56"/>
  <c r="CY266" i="56" s="1"/>
  <c r="G266" i="56" s="1"/>
  <c r="CZ266" i="56" s="1"/>
  <c r="DA266" i="56" s="1"/>
  <c r="DI266" i="56"/>
  <c r="GE297" i="56"/>
  <c r="GG297" i="56"/>
  <c r="HV54" i="56"/>
  <c r="GH54" i="56"/>
  <c r="GI54" i="56"/>
  <c r="GJ54" i="56" s="1"/>
  <c r="DB217" i="56" a="1"/>
  <c r="DB217" i="56" s="1"/>
  <c r="DD217" i="56" s="1"/>
  <c r="DE217" i="56"/>
  <c r="GY217" i="56" s="1"/>
  <c r="HB217" i="56"/>
  <c r="GQ41" i="56"/>
  <c r="FX41" i="56"/>
  <c r="DY66" i="56" a="1"/>
  <c r="DY66" i="56" s="1"/>
  <c r="GE57" i="56"/>
  <c r="GG57" i="56"/>
  <c r="GE59" i="56"/>
  <c r="GG59" i="56"/>
  <c r="GE105" i="56"/>
  <c r="GG105" i="56"/>
  <c r="EJ148" i="56"/>
  <c r="DB49" i="56" a="1"/>
  <c r="DB49" i="56" s="1"/>
  <c r="DD49" i="56" s="1"/>
  <c r="DE49" i="56"/>
  <c r="GY49" i="56" s="1"/>
  <c r="HB49" i="56"/>
  <c r="FX328" i="56"/>
  <c r="GQ328" i="56"/>
  <c r="DY156" i="56" a="1"/>
  <c r="DY156" i="56" s="1"/>
  <c r="DY299" i="56" a="1"/>
  <c r="DY299" i="56" s="1"/>
  <c r="CY83" i="56"/>
  <c r="DB187" i="56" a="1"/>
  <c r="DB187" i="56" s="1"/>
  <c r="DD187" i="56" s="1"/>
  <c r="HB187" i="56"/>
  <c r="DE187" i="56"/>
  <c r="GY187" i="56" s="1"/>
  <c r="FZ205" i="56"/>
  <c r="CU205" i="56"/>
  <c r="CY205" i="56" s="1"/>
  <c r="G205" i="56" s="1"/>
  <c r="CZ205" i="56" s="1"/>
  <c r="DA205" i="56" s="1"/>
  <c r="DI205" i="56"/>
  <c r="DY285" i="56" a="1"/>
  <c r="DY285" i="56" s="1"/>
  <c r="FZ189" i="56"/>
  <c r="CU189" i="56"/>
  <c r="CY189" i="56" s="1"/>
  <c r="G189" i="56" s="1"/>
  <c r="CZ189" i="56" s="1"/>
  <c r="DA189" i="56" s="1"/>
  <c r="DI189" i="56"/>
  <c r="DB141" i="56" a="1"/>
  <c r="DB141" i="56" s="1"/>
  <c r="DD141" i="56" s="1"/>
  <c r="DE141" i="56"/>
  <c r="GY141" i="56" s="1"/>
  <c r="HB141" i="56"/>
  <c r="HC141" i="56" s="1"/>
  <c r="IH311" i="56"/>
  <c r="IN311" i="56" s="1"/>
  <c r="AH20" i="55"/>
  <c r="AE20" i="55" a="1"/>
  <c r="AE20" i="55" s="1"/>
  <c r="AG20" i="55"/>
  <c r="FU287" i="56"/>
  <c r="FU303" i="56"/>
  <c r="FU288" i="56"/>
  <c r="FU304" i="56"/>
  <c r="FU289" i="56"/>
  <c r="FU305" i="56"/>
  <c r="FU291" i="56"/>
  <c r="FU307" i="56"/>
  <c r="FU294" i="56"/>
  <c r="FU310" i="56"/>
  <c r="FU295" i="56"/>
  <c r="FU311" i="56"/>
  <c r="FU296" i="56"/>
  <c r="FU312" i="56"/>
  <c r="FU297" i="56"/>
  <c r="FU302" i="56"/>
  <c r="FU306" i="56"/>
  <c r="FU308" i="56"/>
  <c r="FU309" i="56"/>
  <c r="FU283" i="56"/>
  <c r="FU285" i="56"/>
  <c r="FU286" i="56"/>
  <c r="FU290" i="56"/>
  <c r="FU292" i="56"/>
  <c r="FU284" i="56"/>
  <c r="FU298" i="56"/>
  <c r="FU299" i="56"/>
  <c r="FU300" i="56"/>
  <c r="FU301" i="56"/>
  <c r="FU293" i="56"/>
  <c r="EA11" i="56"/>
  <c r="DZ11" i="56" a="1"/>
  <c r="DZ11" i="56" s="1"/>
  <c r="EJ289" i="56"/>
  <c r="DY305" i="56" a="1"/>
  <c r="DY305" i="56" s="1"/>
  <c r="AG19" i="55"/>
  <c r="AE19" i="55" a="1"/>
  <c r="AE19" i="55" s="1"/>
  <c r="AH19" i="55"/>
  <c r="FU239" i="56"/>
  <c r="FU255" i="56"/>
  <c r="FU271" i="56"/>
  <c r="FU224" i="56"/>
  <c r="FU240" i="56"/>
  <c r="FU256" i="56"/>
  <c r="FU272" i="56"/>
  <c r="FU225" i="56"/>
  <c r="FU241" i="56"/>
  <c r="FU257" i="56"/>
  <c r="FU273" i="56"/>
  <c r="FU226" i="56"/>
  <c r="FU242" i="56"/>
  <c r="FU227" i="56"/>
  <c r="FU243" i="56"/>
  <c r="FU259" i="56"/>
  <c r="FU275" i="56"/>
  <c r="FU230" i="56"/>
  <c r="FU246" i="56"/>
  <c r="FU262" i="56"/>
  <c r="FU278" i="56"/>
  <c r="FU231" i="56"/>
  <c r="FU247" i="56"/>
  <c r="FU263" i="56"/>
  <c r="FU279" i="56"/>
  <c r="FU232" i="56"/>
  <c r="FU248" i="56"/>
  <c r="FU264" i="56"/>
  <c r="FU280" i="56"/>
  <c r="FU233" i="56"/>
  <c r="FU249" i="56"/>
  <c r="FU265" i="56"/>
  <c r="FU281" i="56"/>
  <c r="FU237" i="56"/>
  <c r="FU270" i="56"/>
  <c r="FU238" i="56"/>
  <c r="FU274" i="56"/>
  <c r="FU244" i="56"/>
  <c r="FU276" i="56"/>
  <c r="FU245" i="56"/>
  <c r="FU277" i="56"/>
  <c r="FU250" i="56"/>
  <c r="FU282" i="56"/>
  <c r="FU251" i="56"/>
  <c r="FU253" i="56"/>
  <c r="FU254" i="56"/>
  <c r="FU258" i="56"/>
  <c r="FU260" i="56"/>
  <c r="FU266" i="56"/>
  <c r="FU267" i="56"/>
  <c r="FU268" i="56"/>
  <c r="FU269" i="56"/>
  <c r="FU228" i="56"/>
  <c r="FU229" i="56"/>
  <c r="FU236" i="56"/>
  <c r="FU252" i="56"/>
  <c r="FU261" i="56"/>
  <c r="FU235" i="56"/>
  <c r="FU234" i="56"/>
  <c r="DY109" i="56" a="1"/>
  <c r="DY109" i="56" s="1"/>
  <c r="HV10" i="56"/>
  <c r="GH10" i="56"/>
  <c r="GI10" i="56"/>
  <c r="DB250" i="56" a="1"/>
  <c r="DB250" i="56" s="1"/>
  <c r="DD250" i="56" s="1"/>
  <c r="HB250" i="56"/>
  <c r="GV250" i="56"/>
  <c r="DE250" i="56"/>
  <c r="GY250" i="56" s="1"/>
  <c r="DY220" i="56" a="1"/>
  <c r="DY220" i="56" s="1"/>
  <c r="DB244" i="56" a="1"/>
  <c r="DB244" i="56" s="1"/>
  <c r="DD244" i="56" s="1"/>
  <c r="DE244" i="56"/>
  <c r="GY244" i="56" s="1"/>
  <c r="HB244" i="56"/>
  <c r="DY20" i="56" a="1"/>
  <c r="DY20" i="56" s="1"/>
  <c r="FZ163" i="56"/>
  <c r="CU163" i="56"/>
  <c r="CY163" i="56" s="1"/>
  <c r="DI163" i="56"/>
  <c r="EF163" i="56"/>
  <c r="EG163" i="56" s="1"/>
  <c r="GE162" i="56"/>
  <c r="GG162" i="56"/>
  <c r="DY121" i="56" a="1"/>
  <c r="DY121" i="56" s="1"/>
  <c r="HV336" i="56"/>
  <c r="GH336" i="56"/>
  <c r="GT336" i="56" s="1"/>
  <c r="DB83" i="56" a="1"/>
  <c r="DB83" i="56" s="1"/>
  <c r="DD83" i="56" s="1"/>
  <c r="DE83" i="56"/>
  <c r="GY83" i="56" s="1"/>
  <c r="HB83" i="56"/>
  <c r="HC83" i="56" s="1"/>
  <c r="GQ251" i="56"/>
  <c r="FX251" i="56"/>
  <c r="GE187" i="56"/>
  <c r="GG187" i="56"/>
  <c r="GE197" i="56"/>
  <c r="GG197" i="56"/>
  <c r="EJ137" i="56"/>
  <c r="BI3" i="40" a="1"/>
  <c r="BI3" i="40" s="1"/>
  <c r="HB275" i="56"/>
  <c r="DE275" i="56"/>
  <c r="GY275" i="56" s="1"/>
  <c r="DB193" i="56" a="1"/>
  <c r="DB193" i="56" s="1"/>
  <c r="DD193" i="56" s="1"/>
  <c r="GV193" i="56"/>
  <c r="DE193" i="56"/>
  <c r="GY193" i="56" s="1"/>
  <c r="HB193" i="56"/>
  <c r="EJ181" i="56"/>
  <c r="DY349" i="56" a="1"/>
  <c r="DY349" i="56" s="1"/>
  <c r="HV26" i="56"/>
  <c r="GH26" i="56"/>
  <c r="GQ160" i="56"/>
  <c r="FX160" i="56"/>
  <c r="GE100" i="56"/>
  <c r="GG100" i="56"/>
  <c r="BU19" i="55"/>
  <c r="BV19" i="55" s="1" a="1"/>
  <c r="BV19" i="55" s="1"/>
  <c r="DB35" i="56" a="1"/>
  <c r="DB35" i="56" s="1"/>
  <c r="DD35" i="56" s="1"/>
  <c r="DE35" i="56"/>
  <c r="GY35" i="56" s="1"/>
  <c r="HB35" i="56"/>
  <c r="GV35" i="56"/>
  <c r="GQ292" i="56"/>
  <c r="FX292" i="56"/>
  <c r="EJ145" i="56"/>
  <c r="GE309" i="56"/>
  <c r="GG309" i="56"/>
  <c r="GE296" i="56"/>
  <c r="GG296" i="56"/>
  <c r="DY283" i="56" a="1"/>
  <c r="DY283" i="56" s="1"/>
  <c r="GE24" i="56"/>
  <c r="GE25" i="56" s="1"/>
  <c r="GG24" i="56"/>
  <c r="CY216" i="56"/>
  <c r="G216" i="56" s="1"/>
  <c r="CZ216" i="56" s="1"/>
  <c r="DA216" i="56" s="1"/>
  <c r="GH135" i="56"/>
  <c r="FZ23" i="56"/>
  <c r="CU23" i="56"/>
  <c r="CY23" i="56" s="1"/>
  <c r="DI23" i="56"/>
  <c r="GE60" i="56"/>
  <c r="GG60" i="56"/>
  <c r="GE75" i="56"/>
  <c r="GG75" i="56"/>
  <c r="GE126" i="56"/>
  <c r="GG126" i="56"/>
  <c r="GT341" i="56"/>
  <c r="AH24" i="55"/>
  <c r="AE24" i="55" a="1"/>
  <c r="AE24" i="55" s="1"/>
  <c r="AG24" i="55"/>
  <c r="FU334" i="56"/>
  <c r="FU330" i="56"/>
  <c r="FU332" i="56"/>
  <c r="FU333" i="56"/>
  <c r="FU331" i="56"/>
  <c r="EJ267" i="56"/>
  <c r="DB234" i="56" a="1"/>
  <c r="DB234" i="56" s="1"/>
  <c r="DD234" i="56" s="1"/>
  <c r="HB234" i="56"/>
  <c r="DE234" i="56"/>
  <c r="GY234" i="56" s="1"/>
  <c r="GQ107" i="56"/>
  <c r="FX107" i="56"/>
  <c r="GE223" i="56"/>
  <c r="GG223" i="56"/>
  <c r="GW7" i="56"/>
  <c r="GU7" i="56"/>
  <c r="HS7" i="56" s="1"/>
  <c r="GP7" i="56"/>
  <c r="GG238" i="56"/>
  <c r="GI88" i="56"/>
  <c r="GJ88" i="56" s="1"/>
  <c r="FZ30" i="56"/>
  <c r="CU30" i="56"/>
  <c r="CY30" i="56" s="1"/>
  <c r="G30" i="56" s="1"/>
  <c r="CZ30" i="56" s="1"/>
  <c r="DA30" i="56" s="1"/>
  <c r="DI30" i="56"/>
  <c r="FZ190" i="56"/>
  <c r="CU190" i="56"/>
  <c r="CY190" i="56" s="1"/>
  <c r="G190" i="56" s="1"/>
  <c r="CZ190" i="56" s="1"/>
  <c r="DA190" i="56" s="1"/>
  <c r="DI190" i="56"/>
  <c r="DY87" i="56" a="1"/>
  <c r="DY87" i="56" s="1"/>
  <c r="FZ318" i="56"/>
  <c r="CU318" i="56"/>
  <c r="CY318" i="56" s="1"/>
  <c r="DI318" i="56"/>
  <c r="GV318" i="56" s="1"/>
  <c r="DB253" i="56" a="1"/>
  <c r="DB253" i="56" s="1"/>
  <c r="DD253" i="56" s="1"/>
  <c r="DE253" i="56"/>
  <c r="GY253" i="56" s="1"/>
  <c r="HB253" i="56"/>
  <c r="GV253" i="56"/>
  <c r="GE169" i="56"/>
  <c r="GG169" i="56"/>
  <c r="FZ257" i="56"/>
  <c r="CU257" i="56"/>
  <c r="CY257" i="56" s="1"/>
  <c r="G257" i="56" s="1"/>
  <c r="CZ257" i="56" s="1"/>
  <c r="DA257" i="56" s="1"/>
  <c r="DI257" i="56"/>
  <c r="GG14" i="56"/>
  <c r="FZ139" i="56"/>
  <c r="CU139" i="56"/>
  <c r="CY139" i="56" s="1"/>
  <c r="G139" i="56" s="1"/>
  <c r="CZ139" i="56" s="1"/>
  <c r="DA139" i="56" s="1"/>
  <c r="DI139" i="56"/>
  <c r="DD341" i="56"/>
  <c r="CY186" i="56"/>
  <c r="G186" i="56" s="1"/>
  <c r="CZ186" i="56" s="1"/>
  <c r="DA186" i="56" s="1"/>
  <c r="EJ179" i="56"/>
  <c r="DY18" i="56" a="1"/>
  <c r="DY18" i="56" s="1"/>
  <c r="GE219" i="56"/>
  <c r="GG219" i="56"/>
  <c r="GG204" i="56"/>
  <c r="GE204" i="56"/>
  <c r="HV231" i="56"/>
  <c r="GH231" i="56"/>
  <c r="GI231" i="56"/>
  <c r="GJ231" i="56" s="1"/>
  <c r="DB40" i="56" a="1"/>
  <c r="DB40" i="56" s="1"/>
  <c r="DD40" i="56" s="1"/>
  <c r="DE40" i="56"/>
  <c r="GY40" i="56" s="1"/>
  <c r="HB40" i="56"/>
  <c r="GV40" i="56"/>
  <c r="GE334" i="56"/>
  <c r="GG334" i="56"/>
  <c r="FZ264" i="56"/>
  <c r="CU264" i="56"/>
  <c r="CY264" i="56" s="1"/>
  <c r="G264" i="56" s="1"/>
  <c r="CZ264" i="56" s="1"/>
  <c r="DA264" i="56" s="1"/>
  <c r="DI264" i="56"/>
  <c r="GE101" i="56"/>
  <c r="GG101" i="56"/>
  <c r="FZ172" i="56"/>
  <c r="CU172" i="56"/>
  <c r="CY172" i="56" s="1"/>
  <c r="DI172" i="56"/>
  <c r="GV172" i="56" s="1"/>
  <c r="DB291" i="56" a="1"/>
  <c r="DB291" i="56" s="1"/>
  <c r="DD291" i="56" s="1"/>
  <c r="DE291" i="56"/>
  <c r="GY291" i="56" s="1"/>
  <c r="HB291" i="56"/>
  <c r="DB348" i="56" a="1"/>
  <c r="DB348" i="56" s="1"/>
  <c r="DD348" i="56" s="1"/>
  <c r="DE348" i="56"/>
  <c r="GY348" i="56" s="1"/>
  <c r="HB348" i="56"/>
  <c r="GG74" i="56"/>
  <c r="GQ90" i="56"/>
  <c r="FX90" i="56"/>
  <c r="GE300" i="56"/>
  <c r="GG300" i="56"/>
  <c r="GE305" i="56"/>
  <c r="GG305" i="56"/>
  <c r="IH71" i="56"/>
  <c r="GG350" i="56"/>
  <c r="GE13" i="56"/>
  <c r="GG13" i="56"/>
  <c r="DY75" i="56" a="1"/>
  <c r="DY75" i="56" s="1"/>
  <c r="GE71" i="56"/>
  <c r="GG71" i="56"/>
  <c r="GE69" i="56"/>
  <c r="GG69" i="56"/>
  <c r="DB292" i="56" a="1"/>
  <c r="DB292" i="56" s="1"/>
  <c r="DD292" i="56" s="1"/>
  <c r="DE292" i="56"/>
  <c r="GY292" i="56" s="1"/>
  <c r="GV292" i="56"/>
  <c r="HB292" i="56"/>
  <c r="GE116" i="56"/>
  <c r="GG116" i="56"/>
  <c r="CY100" i="56"/>
  <c r="GQ250" i="56"/>
  <c r="FX250" i="56"/>
  <c r="AG18" i="55"/>
  <c r="AH18" i="55"/>
  <c r="AE18" i="55" a="1"/>
  <c r="AE18" i="55" s="1"/>
  <c r="FU191" i="56"/>
  <c r="FU207" i="56"/>
  <c r="FU223" i="56"/>
  <c r="FU192" i="56"/>
  <c r="FU208" i="56"/>
  <c r="FU193" i="56"/>
  <c r="FU209" i="56"/>
  <c r="FU194" i="56"/>
  <c r="FU210" i="56"/>
  <c r="FU195" i="56"/>
  <c r="FU211" i="56"/>
  <c r="FU198" i="56"/>
  <c r="FU214" i="56"/>
  <c r="FU199" i="56"/>
  <c r="FU215" i="56"/>
  <c r="FU184" i="56"/>
  <c r="FU200" i="56"/>
  <c r="FU216" i="56"/>
  <c r="FU185" i="56"/>
  <c r="FU201" i="56"/>
  <c r="FU217" i="56"/>
  <c r="FU203" i="56"/>
  <c r="FU204" i="56"/>
  <c r="FU205" i="56"/>
  <c r="FU206" i="56"/>
  <c r="FU212" i="56"/>
  <c r="FU213" i="56"/>
  <c r="FU219" i="56"/>
  <c r="FU186" i="56"/>
  <c r="FU220" i="56"/>
  <c r="FU187" i="56"/>
  <c r="FU221" i="56"/>
  <c r="FU188" i="56"/>
  <c r="FU222" i="56"/>
  <c r="FU189" i="56"/>
  <c r="FU190" i="56"/>
  <c r="FU197" i="56"/>
  <c r="FU202" i="56"/>
  <c r="FU218" i="56"/>
  <c r="FU196" i="56"/>
  <c r="GQ159" i="56"/>
  <c r="FX159" i="56"/>
  <c r="GQ141" i="56"/>
  <c r="FX141" i="56"/>
  <c r="AH22" i="55"/>
  <c r="AG22" i="55"/>
  <c r="AE22" i="55" a="1"/>
  <c r="AE22" i="55" s="1"/>
  <c r="FU319" i="56"/>
  <c r="FU320" i="56"/>
  <c r="FU321" i="56"/>
  <c r="FU323" i="56"/>
  <c r="FU317" i="56"/>
  <c r="FU318" i="56"/>
  <c r="FU322" i="56"/>
  <c r="FU324" i="56"/>
  <c r="GV96" i="56"/>
  <c r="DY333" i="56" a="1"/>
  <c r="DY333" i="56" s="1"/>
  <c r="GG218" i="56"/>
  <c r="GE180" i="56"/>
  <c r="GG180" i="56"/>
  <c r="GE191" i="56"/>
  <c r="GG191" i="56"/>
  <c r="EJ87" i="56"/>
  <c r="EJ153" i="56"/>
  <c r="EJ320" i="56"/>
  <c r="FZ202" i="56"/>
  <c r="CU202" i="56"/>
  <c r="CY202" i="56" s="1"/>
  <c r="G202" i="56" s="1"/>
  <c r="CZ202" i="56" s="1"/>
  <c r="DA202" i="56" s="1"/>
  <c r="DI202" i="56"/>
  <c r="FZ93" i="56"/>
  <c r="CU93" i="56"/>
  <c r="CY93" i="56" s="1"/>
  <c r="DI93" i="56"/>
  <c r="GV93" i="56" s="1"/>
  <c r="GE194" i="56"/>
  <c r="GG194" i="56"/>
  <c r="GE209" i="56"/>
  <c r="GG209" i="56"/>
  <c r="DB137" i="56" a="1"/>
  <c r="DB137" i="56" s="1"/>
  <c r="DD137" i="56" s="1"/>
  <c r="DE137" i="56"/>
  <c r="GY137" i="56" s="1"/>
  <c r="HB137" i="56"/>
  <c r="HC137" i="56" s="1"/>
  <c r="DB82" i="56" a="1"/>
  <c r="DB82" i="56" s="1"/>
  <c r="DD82" i="56" s="1"/>
  <c r="DE82" i="56"/>
  <c r="GY82" i="56" s="1"/>
  <c r="HB82" i="56"/>
  <c r="HC82" i="56" s="1"/>
  <c r="FZ165" i="56"/>
  <c r="CU165" i="56"/>
  <c r="CY165" i="56" s="1"/>
  <c r="DI165" i="56"/>
  <c r="GV165" i="56" s="1"/>
  <c r="CY284" i="56"/>
  <c r="GG310" i="56"/>
  <c r="HV145" i="56"/>
  <c r="GI145" i="56"/>
  <c r="GH145" i="56"/>
  <c r="GE99" i="56"/>
  <c r="GG99" i="56"/>
  <c r="GE291" i="56"/>
  <c r="GG291" i="56"/>
  <c r="GE293" i="56"/>
  <c r="GG293" i="56"/>
  <c r="GE16" i="56"/>
  <c r="GG16" i="56"/>
  <c r="DY177" i="56" a="1"/>
  <c r="DY177" i="56" s="1"/>
  <c r="GQ256" i="56"/>
  <c r="FX256" i="56"/>
  <c r="FZ126" i="56"/>
  <c r="CU126" i="56"/>
  <c r="CY126" i="56" s="1"/>
  <c r="DI126" i="56"/>
  <c r="GE83" i="56"/>
  <c r="GG83" i="56"/>
  <c r="GE81" i="56"/>
  <c r="GG81" i="56"/>
  <c r="EJ83" i="56"/>
  <c r="GE112" i="56"/>
  <c r="GG112" i="56"/>
  <c r="IH229" i="56"/>
  <c r="IN229" i="56" s="1"/>
  <c r="EJ231" i="56"/>
  <c r="DY62" i="56" a="1"/>
  <c r="DY62" i="56" s="1"/>
  <c r="HV330" i="56"/>
  <c r="GH330" i="56"/>
  <c r="EJ164" i="56"/>
  <c r="DY123" i="56" a="1"/>
  <c r="DY123" i="56" s="1"/>
  <c r="DY303" i="56" a="1"/>
  <c r="DY303" i="56" s="1"/>
  <c r="GQ50" i="56"/>
  <c r="FX50" i="56"/>
  <c r="AG11" i="55"/>
  <c r="AH11" i="55"/>
  <c r="AE11" i="55" a="1"/>
  <c r="AE11" i="55" s="1"/>
  <c r="FU30" i="56"/>
  <c r="FU26" i="56"/>
  <c r="FU27" i="56"/>
  <c r="FU28" i="56"/>
  <c r="FU29" i="56"/>
  <c r="AH16" i="55"/>
  <c r="AG16" i="55"/>
  <c r="AE16" i="55" a="1"/>
  <c r="AE16" i="55" s="1"/>
  <c r="FU143" i="56"/>
  <c r="FU144" i="56"/>
  <c r="FU145" i="56"/>
  <c r="FU130" i="56"/>
  <c r="FU146" i="56"/>
  <c r="FU131" i="56"/>
  <c r="FU147" i="56"/>
  <c r="FU134" i="56"/>
  <c r="FU150" i="56"/>
  <c r="FU135" i="56"/>
  <c r="FU151" i="56"/>
  <c r="FU136" i="56"/>
  <c r="FU152" i="56"/>
  <c r="FU137" i="56"/>
  <c r="FU153" i="56"/>
  <c r="FU132" i="56"/>
  <c r="FU133" i="56"/>
  <c r="FU138" i="56"/>
  <c r="FU139" i="56"/>
  <c r="FU140" i="56"/>
  <c r="FU142" i="56"/>
  <c r="FU148" i="56"/>
  <c r="FU149" i="56"/>
  <c r="FU141" i="56"/>
  <c r="EJ45" i="56"/>
  <c r="DY96" i="56" a="1"/>
  <c r="DY96" i="56" s="1"/>
  <c r="DY112" i="56" a="1"/>
  <c r="DY112" i="56" s="1"/>
  <c r="DY16" i="56" a="1"/>
  <c r="DY16" i="56" s="1"/>
  <c r="FZ323" i="56"/>
  <c r="CU323" i="56"/>
  <c r="CY323" i="56" s="1"/>
  <c r="DI323" i="56"/>
  <c r="EJ242" i="56"/>
  <c r="GQ110" i="56"/>
  <c r="FX110" i="56"/>
  <c r="FZ153" i="56"/>
  <c r="CU153" i="56"/>
  <c r="CY153" i="56" s="1"/>
  <c r="G153" i="56" s="1"/>
  <c r="CZ153" i="56" s="1"/>
  <c r="DA153" i="56" s="1"/>
  <c r="DI153" i="56"/>
  <c r="FZ106" i="56"/>
  <c r="CU106" i="56"/>
  <c r="CY106" i="56" s="1"/>
  <c r="DI106" i="56"/>
  <c r="GV106" i="56" s="1"/>
  <c r="EF106" i="56"/>
  <c r="EG106" i="56" s="1"/>
  <c r="GE176" i="56"/>
  <c r="GG176" i="56"/>
  <c r="GQ345" i="56"/>
  <c r="FX345" i="56"/>
  <c r="EJ157" i="56"/>
  <c r="EJ172" i="56"/>
  <c r="EJ168" i="56"/>
  <c r="GE15" i="56"/>
  <c r="GG15" i="56"/>
  <c r="DY74" i="56" a="1"/>
  <c r="DY74" i="56" s="1"/>
  <c r="CY320" i="56"/>
  <c r="DB267" i="56" a="1"/>
  <c r="DB267" i="56" s="1"/>
  <c r="DD267" i="56" s="1"/>
  <c r="HB267" i="56"/>
  <c r="DE267" i="56"/>
  <c r="GY267" i="56" s="1"/>
  <c r="GE210" i="56"/>
  <c r="GG210" i="56"/>
  <c r="GE200" i="56"/>
  <c r="GG200" i="56"/>
  <c r="GQ304" i="56"/>
  <c r="FX304" i="56"/>
  <c r="DY294" i="56" a="1"/>
  <c r="DY294" i="56" s="1"/>
  <c r="GQ150" i="56"/>
  <c r="FX150" i="56"/>
  <c r="N14" i="42"/>
  <c r="P14" i="42" s="1"/>
  <c r="AE14" i="42" s="1"/>
  <c r="AF14" i="42" s="1"/>
  <c r="N17" i="42"/>
  <c r="P17" i="42" s="1"/>
  <c r="AE17" i="42" s="1"/>
  <c r="AF17" i="42" s="1"/>
  <c r="N18" i="42"/>
  <c r="P18" i="42" s="1"/>
  <c r="AE18" i="42" s="1"/>
  <c r="AF18" i="42" s="1"/>
  <c r="N20" i="42"/>
  <c r="P20" i="42" s="1"/>
  <c r="AE20" i="42" s="1"/>
  <c r="AF20" i="42" s="1"/>
  <c r="N21" i="42"/>
  <c r="P21" i="42" s="1"/>
  <c r="AE21" i="42" s="1"/>
  <c r="AF21" i="42" s="1"/>
  <c r="N16" i="42"/>
  <c r="P16" i="42" s="1"/>
  <c r="AE16" i="42" s="1"/>
  <c r="AF16" i="42" s="1"/>
  <c r="N19" i="42"/>
  <c r="P19" i="42" s="1"/>
  <c r="AE19" i="42" s="1"/>
  <c r="AF19" i="42" s="1"/>
  <c r="N12" i="42"/>
  <c r="P12" i="42" s="1"/>
  <c r="AE12" i="42" s="1"/>
  <c r="AF12" i="42" s="1"/>
  <c r="N13" i="42"/>
  <c r="P13" i="42" s="1"/>
  <c r="AE13" i="42" s="1"/>
  <c r="AF13" i="42" s="1"/>
  <c r="N15" i="42"/>
  <c r="P15" i="42" s="1"/>
  <c r="AE15" i="42" s="1"/>
  <c r="AF15" i="42" s="1"/>
  <c r="GE97" i="56"/>
  <c r="GG97" i="56"/>
  <c r="DB194" i="56" a="1"/>
  <c r="DB194" i="56" s="1"/>
  <c r="DD194" i="56" s="1"/>
  <c r="DE194" i="56"/>
  <c r="GY194" i="56" s="1"/>
  <c r="HB194" i="56"/>
  <c r="DB91" i="56" a="1"/>
  <c r="DB91" i="56" s="1"/>
  <c r="DD91" i="56" s="1"/>
  <c r="HB91" i="56"/>
  <c r="DE91" i="56"/>
  <c r="GY91" i="56" s="1"/>
  <c r="GE288" i="56"/>
  <c r="GG288" i="56"/>
  <c r="GE298" i="56"/>
  <c r="GG298" i="56"/>
  <c r="GQ170" i="56"/>
  <c r="FX170" i="56"/>
  <c r="DB5" i="56" a="1"/>
  <c r="DB5" i="56" s="1"/>
  <c r="DD5" i="56" s="1"/>
  <c r="DE5" i="56"/>
  <c r="GY5" i="56" s="1"/>
  <c r="HB5" i="56"/>
  <c r="GF28" i="56"/>
  <c r="EJ126" i="56"/>
  <c r="EJ273" i="56"/>
  <c r="EJ216" i="56"/>
  <c r="GE85" i="56"/>
  <c r="GG85" i="56"/>
  <c r="DB145" i="56" a="1"/>
  <c r="DB145" i="56" s="1"/>
  <c r="DD145" i="56" s="1"/>
  <c r="DE145" i="56"/>
  <c r="GY145" i="56" s="1"/>
  <c r="HB145" i="56"/>
  <c r="HC145" i="56" s="1"/>
  <c r="GE115" i="56"/>
  <c r="GG115" i="56"/>
  <c r="GE331" i="56"/>
  <c r="GG331" i="56"/>
  <c r="GQ279" i="56"/>
  <c r="FX279" i="56"/>
  <c r="EJ175" i="56"/>
  <c r="HV183" i="56"/>
  <c r="GI183" i="56"/>
  <c r="GH183" i="56"/>
  <c r="HV282" i="56"/>
  <c r="GI282" i="56"/>
  <c r="GJ282" i="56" s="1"/>
  <c r="GH282" i="56"/>
  <c r="EJ331" i="56"/>
  <c r="AG12" i="55"/>
  <c r="AE12" i="55" a="1"/>
  <c r="AE12" i="55" s="1"/>
  <c r="AH12" i="55"/>
  <c r="FU39" i="56"/>
  <c r="FU47" i="56"/>
  <c r="FU31" i="56"/>
  <c r="FU48" i="56"/>
  <c r="FU32" i="56"/>
  <c r="FU49" i="56"/>
  <c r="FU33" i="56"/>
  <c r="FU50" i="56"/>
  <c r="FU34" i="56"/>
  <c r="FU51" i="56"/>
  <c r="FU37" i="56"/>
  <c r="FU38" i="56"/>
  <c r="FU40" i="56"/>
  <c r="FU41" i="56"/>
  <c r="FU35" i="56"/>
  <c r="FU36" i="56"/>
  <c r="FU42" i="56"/>
  <c r="FU43" i="56"/>
  <c r="FU44" i="56"/>
  <c r="FU45" i="56"/>
  <c r="FU46" i="56"/>
  <c r="FU52" i="56"/>
  <c r="DY128" i="56" a="1"/>
  <c r="DY128" i="56" s="1"/>
  <c r="EJ169" i="56"/>
  <c r="EF50" i="56"/>
  <c r="EG50" i="56" s="1"/>
  <c r="R50" i="56" s="1"/>
  <c r="DB64" i="56" a="1"/>
  <c r="DB64" i="56" s="1"/>
  <c r="DD64" i="56" s="1"/>
  <c r="DE64" i="56"/>
  <c r="GY64" i="56" s="1"/>
  <c r="HB64" i="56"/>
  <c r="GV64" i="56"/>
  <c r="GE62" i="56"/>
  <c r="GG62" i="56"/>
  <c r="GE266" i="56"/>
  <c r="GG266" i="56"/>
  <c r="DB110" i="56" a="1"/>
  <c r="DB110" i="56" s="1"/>
  <c r="DD110" i="56" s="1"/>
  <c r="HB110" i="56"/>
  <c r="DE110" i="56"/>
  <c r="GY110" i="56" s="1"/>
  <c r="GE172" i="56"/>
  <c r="GG172" i="56"/>
  <c r="GE164" i="56"/>
  <c r="GG164" i="56"/>
  <c r="FZ101" i="56"/>
  <c r="CU101" i="56"/>
  <c r="CY101" i="56" s="1"/>
  <c r="DI101" i="56"/>
  <c r="GV101" i="56" s="1"/>
  <c r="HV95" i="56"/>
  <c r="GH95" i="56"/>
  <c r="EA27" i="56"/>
  <c r="DZ27" i="56" a="1"/>
  <c r="DZ27" i="56" s="1"/>
  <c r="DB236" i="56" a="1"/>
  <c r="DB236" i="56" s="1"/>
  <c r="DD236" i="56" s="1"/>
  <c r="DE236" i="56"/>
  <c r="GY236" i="56" s="1"/>
  <c r="HB236" i="56"/>
  <c r="GV236" i="56"/>
  <c r="FZ39" i="56"/>
  <c r="CU39" i="56"/>
  <c r="CY39" i="56" s="1"/>
  <c r="G39" i="56" s="1"/>
  <c r="CZ39" i="56" s="1"/>
  <c r="DA39" i="56" s="1"/>
  <c r="DI39" i="56"/>
  <c r="EJ209" i="56"/>
  <c r="EJ132" i="56"/>
  <c r="FZ219" i="56"/>
  <c r="CU219" i="56"/>
  <c r="CY219" i="56" s="1"/>
  <c r="G219" i="56" s="1"/>
  <c r="CZ219" i="56" s="1"/>
  <c r="DA219" i="56" s="1"/>
  <c r="DI219" i="56"/>
  <c r="GE214" i="56"/>
  <c r="GG214" i="56"/>
  <c r="GE215" i="56"/>
  <c r="GG215" i="56"/>
  <c r="DB269" i="56" a="1"/>
  <c r="DB269" i="56" s="1"/>
  <c r="DD269" i="56" s="1"/>
  <c r="HB269" i="56"/>
  <c r="DE269" i="56"/>
  <c r="GY269" i="56" s="1"/>
  <c r="FZ11" i="56"/>
  <c r="CU11" i="56"/>
  <c r="CY11" i="56" s="1"/>
  <c r="G11" i="56" s="1"/>
  <c r="CZ11" i="56" s="1"/>
  <c r="DA11" i="56" s="1"/>
  <c r="DI11" i="56"/>
  <c r="DB199" i="56" a="1"/>
  <c r="DB199" i="56" s="1"/>
  <c r="DD199" i="56" s="1"/>
  <c r="HB199" i="56"/>
  <c r="DE199" i="56"/>
  <c r="GY199" i="56" s="1"/>
  <c r="BH3" i="40" a="1"/>
  <c r="BH3" i="40" s="1"/>
  <c r="EJ287" i="56"/>
  <c r="EF165" i="56"/>
  <c r="EG165" i="56" s="1"/>
  <c r="FZ33" i="56"/>
  <c r="CU33" i="56"/>
  <c r="CY33" i="56" s="1"/>
  <c r="G33" i="56" s="1"/>
  <c r="CZ33" i="56" s="1"/>
  <c r="DA33" i="56" s="1"/>
  <c r="DI33" i="56"/>
  <c r="GQ11" i="56"/>
  <c r="FX11" i="56"/>
  <c r="GQ103" i="56"/>
  <c r="FX103" i="56"/>
  <c r="GE289" i="56"/>
  <c r="GG289" i="56"/>
  <c r="GE308" i="56"/>
  <c r="GG308" i="56"/>
  <c r="DB260" i="56" a="1"/>
  <c r="DB260" i="56" s="1"/>
  <c r="DD260" i="56" s="1"/>
  <c r="DE260" i="56"/>
  <c r="GY260" i="56" s="1"/>
  <c r="HB260" i="56"/>
  <c r="DB113" i="56" a="1"/>
  <c r="DB113" i="56" s="1"/>
  <c r="DD113" i="56" s="1"/>
  <c r="HB113" i="56"/>
  <c r="GV113" i="56"/>
  <c r="DE113" i="56"/>
  <c r="GY113" i="56" s="1"/>
  <c r="BU26" i="55"/>
  <c r="BV26" i="55" s="1" a="1"/>
  <c r="BV26" i="55" s="1"/>
  <c r="EJ67" i="56"/>
  <c r="CY273" i="56"/>
  <c r="G273" i="56" s="1"/>
  <c r="CZ273" i="56" s="1"/>
  <c r="DA273" i="56" s="1"/>
  <c r="HV263" i="56"/>
  <c r="GI263" i="56"/>
  <c r="GJ263" i="56" s="1"/>
  <c r="GH263" i="56"/>
  <c r="GE66" i="56"/>
  <c r="GG66" i="56"/>
  <c r="GE113" i="56"/>
  <c r="GG113" i="56"/>
  <c r="DB231" i="56" a="1"/>
  <c r="DB231" i="56" s="1"/>
  <c r="DD231" i="56" s="1"/>
  <c r="DE231" i="56"/>
  <c r="GY231" i="56" s="1"/>
  <c r="HB231" i="56"/>
  <c r="DY338" i="56" a="1"/>
  <c r="DY338" i="56" s="1"/>
  <c r="DY159" i="56" a="1"/>
  <c r="DY159" i="56" s="1"/>
  <c r="GE333" i="56"/>
  <c r="GG333" i="56"/>
  <c r="DY60" i="56" a="1"/>
  <c r="DY60" i="56" s="1"/>
  <c r="DB117" i="56" a="1"/>
  <c r="DB117" i="56" s="1"/>
  <c r="DD117" i="56" s="1"/>
  <c r="HB117" i="56"/>
  <c r="DE117" i="56"/>
  <c r="GY117" i="56" s="1"/>
  <c r="GQ284" i="56"/>
  <c r="FX284" i="56"/>
  <c r="DY155" i="56" a="1"/>
  <c r="DY155" i="56" s="1"/>
  <c r="DB166" i="56" a="1"/>
  <c r="DB166" i="56" s="1"/>
  <c r="DD166" i="56" s="1"/>
  <c r="HB166" i="56"/>
  <c r="DE166" i="56"/>
  <c r="GY166" i="56" s="1"/>
  <c r="DY325" i="56" a="1"/>
  <c r="DY325" i="56" s="1"/>
  <c r="FZ169" i="56"/>
  <c r="CU169" i="56"/>
  <c r="CY169" i="56" s="1"/>
  <c r="DI169" i="56"/>
  <c r="HS3" i="56"/>
  <c r="FZ36" i="56"/>
  <c r="CU36" i="56"/>
  <c r="CY36" i="56" s="1"/>
  <c r="G36" i="56" s="1"/>
  <c r="CZ36" i="56" s="1"/>
  <c r="DA36" i="56" s="1"/>
  <c r="DI36" i="56"/>
  <c r="EJ223" i="56"/>
  <c r="GF11" i="56"/>
  <c r="AG13" i="55"/>
  <c r="AE13" i="55" a="1"/>
  <c r="AE13" i="55" s="1"/>
  <c r="AH13" i="55"/>
  <c r="FU63" i="56"/>
  <c r="FU79" i="56"/>
  <c r="FU64" i="56"/>
  <c r="FU80" i="56"/>
  <c r="FU65" i="56"/>
  <c r="FU81" i="56"/>
  <c r="FU66" i="56"/>
  <c r="FU82" i="56"/>
  <c r="FU67" i="56"/>
  <c r="FU83" i="56"/>
  <c r="FU54" i="56"/>
  <c r="FU70" i="56"/>
  <c r="FU86" i="56"/>
  <c r="FU55" i="56"/>
  <c r="FU71" i="56"/>
  <c r="FU87" i="56"/>
  <c r="FU56" i="56"/>
  <c r="FU72" i="56"/>
  <c r="FU57" i="56"/>
  <c r="FU73" i="56"/>
  <c r="FU58" i="56"/>
  <c r="FU59" i="56"/>
  <c r="FU60" i="56"/>
  <c r="FU61" i="56"/>
  <c r="FU62" i="56"/>
  <c r="FU68" i="56"/>
  <c r="FU74" i="56"/>
  <c r="FU75" i="56"/>
  <c r="FU76" i="56"/>
  <c r="FU77" i="56"/>
  <c r="FU69" i="56"/>
  <c r="FU78" i="56"/>
  <c r="FU84" i="56"/>
  <c r="FU85" i="56"/>
  <c r="FU53" i="56"/>
  <c r="DB57" i="56" a="1"/>
  <c r="DB57" i="56" s="1"/>
  <c r="DD57" i="56" s="1"/>
  <c r="DE57" i="56"/>
  <c r="GY57" i="56" s="1"/>
  <c r="HB57" i="56"/>
  <c r="GV57" i="56"/>
  <c r="GE160" i="56"/>
  <c r="GG160" i="56"/>
  <c r="GE175" i="56"/>
  <c r="GG175" i="56"/>
  <c r="GE63" i="56"/>
  <c r="GG63" i="56"/>
  <c r="HV165" i="56"/>
  <c r="GI165" i="56"/>
  <c r="GJ165" i="56" s="1"/>
  <c r="EF101" i="56"/>
  <c r="EG101" i="56" s="1"/>
  <c r="FY51" i="56"/>
  <c r="FB51" i="56"/>
  <c r="P51" i="56" a="1"/>
  <c r="P51" i="56" s="1"/>
  <c r="EZ51" i="56"/>
  <c r="AN12" i="55" s="1"/>
  <c r="FA51" i="56"/>
  <c r="AO12" i="55" s="1"/>
  <c r="FH51" i="56"/>
  <c r="FI51" i="56" s="1"/>
  <c r="BX12" i="55" s="1"/>
  <c r="EU51" i="56"/>
  <c r="AK12" i="55" s="1"/>
  <c r="AR12" i="55" s="1"/>
  <c r="ET51" i="56"/>
  <c r="AJ12" i="55" s="1"/>
  <c r="X11" i="55" s="1"/>
  <c r="GE302" i="56"/>
  <c r="GG302" i="56"/>
  <c r="DY315" i="56" a="1"/>
  <c r="DY315" i="56" s="1"/>
  <c r="EJ245" i="56"/>
  <c r="EF114" i="56"/>
  <c r="EG114" i="56" s="1"/>
  <c r="DB235" i="56" a="1"/>
  <c r="DB235" i="56" s="1"/>
  <c r="DD235" i="56" s="1"/>
  <c r="HB235" i="56"/>
  <c r="DE235" i="56"/>
  <c r="GY235" i="56" s="1"/>
  <c r="DB228" i="56" a="1"/>
  <c r="DB228" i="56" s="1"/>
  <c r="DD228" i="56" s="1"/>
  <c r="DE228" i="56"/>
  <c r="GY228" i="56" s="1"/>
  <c r="HB228" i="56"/>
  <c r="GE87" i="56"/>
  <c r="GG87" i="56"/>
  <c r="GQ27" i="56"/>
  <c r="FX27" i="56"/>
  <c r="EJ118" i="56"/>
  <c r="BJ3" i="40" a="1"/>
  <c r="BJ3" i="40" s="1"/>
  <c r="CY200" i="56"/>
  <c r="G200" i="56" s="1"/>
  <c r="CZ200" i="56" s="1"/>
  <c r="DA200" i="56" s="1"/>
  <c r="EF219" i="56"/>
  <c r="EG219" i="56" s="1"/>
  <c r="GE195" i="56"/>
  <c r="GG195" i="56"/>
  <c r="GE203" i="56"/>
  <c r="GG203" i="56"/>
  <c r="HV143" i="56"/>
  <c r="GH143" i="56"/>
  <c r="GI143" i="56"/>
  <c r="DB171" i="56" a="1"/>
  <c r="DB171" i="56" s="1"/>
  <c r="DD171" i="56" s="1"/>
  <c r="DE171" i="56"/>
  <c r="GY171" i="56" s="1"/>
  <c r="HB171" i="56"/>
  <c r="DB135" i="56" a="1"/>
  <c r="DB135" i="56" s="1"/>
  <c r="DD135" i="56" s="1"/>
  <c r="HB135" i="56"/>
  <c r="HC135" i="56" s="1"/>
  <c r="DE135" i="56"/>
  <c r="GY135" i="56" s="1"/>
  <c r="BN3" i="40" a="1"/>
  <c r="BN3" i="40" s="1"/>
  <c r="DY298" i="56" a="1"/>
  <c r="DY298" i="56" s="1"/>
  <c r="DY160" i="56" a="1"/>
  <c r="DY160" i="56" s="1"/>
  <c r="FZ287" i="56"/>
  <c r="CU287" i="56"/>
  <c r="CY287" i="56" s="1"/>
  <c r="DI287" i="56"/>
  <c r="GV287" i="56" s="1"/>
  <c r="IH109" i="56"/>
  <c r="EJ260" i="56"/>
  <c r="DB9" i="56" a="1"/>
  <c r="DB9" i="56" s="1"/>
  <c r="DD9" i="56" s="1"/>
  <c r="DE9" i="56"/>
  <c r="GY9" i="56" s="1"/>
  <c r="HB9" i="56"/>
  <c r="HC9" i="56" s="1"/>
  <c r="EJ301" i="56"/>
  <c r="GE295" i="56"/>
  <c r="GG295" i="56"/>
  <c r="HV286" i="56"/>
  <c r="GH286" i="56"/>
  <c r="GI286" i="56"/>
  <c r="GJ286" i="56" s="1"/>
  <c r="DB163" i="56" a="1"/>
  <c r="DB163" i="56" s="1"/>
  <c r="DD163" i="56" s="1"/>
  <c r="DE163" i="56"/>
  <c r="GY163" i="56" s="1"/>
  <c r="HB163" i="56"/>
  <c r="DB301" i="56" a="1"/>
  <c r="DB301" i="56" s="1"/>
  <c r="DD301" i="56" s="1"/>
  <c r="DE301" i="56"/>
  <c r="GY301" i="56" s="1"/>
  <c r="HB301" i="56"/>
  <c r="GV301" i="56"/>
  <c r="FZ81" i="56"/>
  <c r="CU81" i="56"/>
  <c r="CY81" i="56" s="1"/>
  <c r="DI81" i="56"/>
  <c r="GV81" i="56" s="1"/>
  <c r="EF81" i="56"/>
  <c r="EG81" i="56" s="1"/>
  <c r="DY319" i="56" a="1"/>
  <c r="DY319" i="56" s="1"/>
  <c r="GE77" i="56"/>
  <c r="GG77" i="56"/>
  <c r="GE107" i="56"/>
  <c r="GG107" i="56"/>
  <c r="DB178" i="56" a="1"/>
  <c r="DB178" i="56" s="1"/>
  <c r="DD178" i="56" s="1"/>
  <c r="DE178" i="56"/>
  <c r="GY178" i="56" s="1"/>
  <c r="HB178" i="56"/>
  <c r="GG332" i="56"/>
  <c r="GE332" i="56"/>
  <c r="FZ342" i="56"/>
  <c r="CU342" i="56"/>
  <c r="CY342" i="56" s="1"/>
  <c r="G342" i="56" s="1"/>
  <c r="CZ342" i="56" s="1"/>
  <c r="DA342" i="56" s="1"/>
  <c r="DI342" i="56"/>
  <c r="GG96" i="56"/>
  <c r="EF36" i="56"/>
  <c r="EG36" i="56" s="1"/>
  <c r="EJ136" i="56"/>
  <c r="FZ223" i="56"/>
  <c r="CU223" i="56"/>
  <c r="CY223" i="56" s="1"/>
  <c r="DI223" i="56"/>
  <c r="GV223" i="56" s="1"/>
  <c r="AH17" i="55"/>
  <c r="AE17" i="55" a="1"/>
  <c r="AE17" i="55" s="1"/>
  <c r="AG17" i="55"/>
  <c r="FU159" i="56"/>
  <c r="FU175" i="56"/>
  <c r="FU160" i="56"/>
  <c r="FU176" i="56"/>
  <c r="FU161" i="56"/>
  <c r="FU177" i="56"/>
  <c r="FU162" i="56"/>
  <c r="FU178" i="56"/>
  <c r="FU163" i="56"/>
  <c r="FU179" i="56"/>
  <c r="FU166" i="56"/>
  <c r="FU182" i="56"/>
  <c r="FU167" i="56"/>
  <c r="FU183" i="56"/>
  <c r="FU168" i="56"/>
  <c r="FU169" i="56"/>
  <c r="FU165" i="56"/>
  <c r="FU170" i="56"/>
  <c r="FU171" i="56"/>
  <c r="FU172" i="56"/>
  <c r="FU173" i="56"/>
  <c r="FU174" i="56"/>
  <c r="FU181" i="56"/>
  <c r="FU154" i="56"/>
  <c r="FU158" i="56"/>
  <c r="FU164" i="56"/>
  <c r="FU180" i="56"/>
  <c r="FU155" i="56"/>
  <c r="FU156" i="56"/>
  <c r="FU157" i="56"/>
  <c r="HV147" i="56"/>
  <c r="GI147" i="56"/>
  <c r="GH147" i="56"/>
  <c r="DB232" i="56" a="1"/>
  <c r="DB232" i="56" s="1"/>
  <c r="DD232" i="56" s="1"/>
  <c r="HB232" i="56"/>
  <c r="DE232" i="56"/>
  <c r="GY232" i="56" s="1"/>
  <c r="DB263" i="56" a="1"/>
  <c r="DB263" i="56" s="1"/>
  <c r="DD263" i="56" s="1"/>
  <c r="DE263" i="56"/>
  <c r="GY263" i="56" s="1"/>
  <c r="HB263" i="56"/>
  <c r="GV263" i="56"/>
  <c r="EA168" i="56"/>
  <c r="DZ168" i="56" a="1"/>
  <c r="DZ168" i="56" s="1"/>
  <c r="EF72" i="56"/>
  <c r="EG72" i="56" s="1"/>
  <c r="DB251" i="56" a="1"/>
  <c r="DB251" i="56" s="1"/>
  <c r="DD251" i="56" s="1"/>
  <c r="DE251" i="56"/>
  <c r="GY251" i="56" s="1"/>
  <c r="HB251" i="56"/>
  <c r="DY300" i="56" a="1"/>
  <c r="DY300" i="56" s="1"/>
  <c r="GE11" i="56"/>
  <c r="GG11" i="56"/>
  <c r="GO334" i="56"/>
  <c r="GN334" i="56"/>
  <c r="IK334" i="56" s="1"/>
  <c r="GN157" i="56"/>
  <c r="IK157" i="56" s="1"/>
  <c r="GO157" i="56"/>
  <c r="GM158" i="56"/>
  <c r="GP318" i="56"/>
  <c r="GU318" i="56"/>
  <c r="HS318" i="56" s="1"/>
  <c r="GW318" i="56"/>
  <c r="GE258" i="56"/>
  <c r="GG258" i="56"/>
  <c r="BU16" i="55"/>
  <c r="BV16" i="55" s="1" a="1"/>
  <c r="BV16" i="55" s="1"/>
  <c r="FZ239" i="56"/>
  <c r="CU239" i="56"/>
  <c r="CY239" i="56" s="1"/>
  <c r="G239" i="56" s="1"/>
  <c r="CZ239" i="56" s="1"/>
  <c r="DA239" i="56" s="1"/>
  <c r="DI239" i="56"/>
  <c r="HV320" i="56"/>
  <c r="GI320" i="56"/>
  <c r="GJ320" i="56" s="1"/>
  <c r="GH320" i="56"/>
  <c r="GE304" i="56"/>
  <c r="GG304" i="56"/>
  <c r="DB46" i="56" a="1"/>
  <c r="DB46" i="56" s="1"/>
  <c r="DD46" i="56" s="1"/>
  <c r="HB46" i="56"/>
  <c r="DE46" i="56"/>
  <c r="GY46" i="56" s="1"/>
  <c r="FZ143" i="56"/>
  <c r="CU143" i="56"/>
  <c r="CY143" i="56" s="1"/>
  <c r="G143" i="56" s="1"/>
  <c r="CZ143" i="56" s="1"/>
  <c r="DA143" i="56" s="1"/>
  <c r="DI143" i="56"/>
  <c r="EJ228" i="56"/>
  <c r="DB323" i="56" a="1"/>
  <c r="DB323" i="56" s="1"/>
  <c r="DD323" i="56" s="1"/>
  <c r="DE323" i="56"/>
  <c r="GY323" i="56" s="1"/>
  <c r="HB323" i="56"/>
  <c r="GV323" i="56"/>
  <c r="EJ195" i="56"/>
  <c r="DB227" i="56" a="1"/>
  <c r="DB227" i="56" s="1"/>
  <c r="DD227" i="56" s="1"/>
  <c r="HB227" i="56"/>
  <c r="DE227" i="56"/>
  <c r="GY227" i="56" s="1"/>
  <c r="GE273" i="56"/>
  <c r="GG273" i="56"/>
  <c r="GE155" i="56"/>
  <c r="GG155" i="56"/>
  <c r="GE170" i="56"/>
  <c r="GG170" i="56"/>
  <c r="FZ307" i="56"/>
  <c r="CU307" i="56"/>
  <c r="CY307" i="56" s="1"/>
  <c r="DI307" i="56"/>
  <c r="EF307" i="56"/>
  <c r="EG307" i="56" s="1"/>
  <c r="GV339" i="56"/>
  <c r="FZ245" i="56"/>
  <c r="CU245" i="56"/>
  <c r="CY245" i="56" s="1"/>
  <c r="G245" i="56" s="1"/>
  <c r="CZ245" i="56" s="1"/>
  <c r="DA245" i="56" s="1"/>
  <c r="DI245" i="56"/>
  <c r="GG198" i="56"/>
  <c r="CY268" i="56"/>
  <c r="G268" i="56" s="1"/>
  <c r="CZ268" i="56" s="1"/>
  <c r="DA268" i="56" s="1"/>
  <c r="DB132" i="56" a="1"/>
  <c r="DB132" i="56" s="1"/>
  <c r="DD132" i="56" s="1"/>
  <c r="DE132" i="56"/>
  <c r="GY132" i="56" s="1"/>
  <c r="HB132" i="56"/>
  <c r="HC132" i="56" s="1"/>
  <c r="BP3" i="40" a="1"/>
  <c r="BP3" i="40" s="1"/>
  <c r="GG205" i="56"/>
  <c r="GE205" i="56"/>
  <c r="GE221" i="56"/>
  <c r="GG221" i="56"/>
  <c r="GE119" i="56"/>
  <c r="GG119" i="56"/>
  <c r="EJ315" i="56"/>
  <c r="GE351" i="56"/>
  <c r="GG351" i="56"/>
  <c r="FZ116" i="56"/>
  <c r="CU116" i="56"/>
  <c r="CY116" i="56" s="1"/>
  <c r="DI116" i="56"/>
  <c r="GV116" i="56" s="1"/>
  <c r="GQ113" i="56"/>
  <c r="FX113" i="56"/>
  <c r="DB37" i="56" a="1"/>
  <c r="DB37" i="56" s="1"/>
  <c r="DD37" i="56" s="1"/>
  <c r="DE37" i="56"/>
  <c r="GY37" i="56" s="1"/>
  <c r="HB37" i="56"/>
  <c r="HV102" i="56"/>
  <c r="GH102" i="56"/>
  <c r="GI102" i="56" s="1"/>
  <c r="GJ102" i="56" s="1"/>
  <c r="DB55" i="56" a="1"/>
  <c r="DB55" i="56" s="1"/>
  <c r="DD55" i="56" s="1"/>
  <c r="HB55" i="56"/>
  <c r="DE55" i="56"/>
  <c r="GY55" i="56" s="1"/>
  <c r="EJ276" i="56"/>
  <c r="GV98" i="56"/>
  <c r="GQ208" i="56"/>
  <c r="FX208" i="56"/>
  <c r="GE98" i="56"/>
  <c r="GG98" i="56"/>
  <c r="FZ221" i="56"/>
  <c r="CU221" i="56"/>
  <c r="CY221" i="56" s="1"/>
  <c r="DI221" i="56"/>
  <c r="GV221" i="56" s="1"/>
  <c r="DB255" i="56" a="1"/>
  <c r="DB255" i="56" s="1"/>
  <c r="DD255" i="56" s="1"/>
  <c r="DE255" i="56"/>
  <c r="GY255" i="56" s="1"/>
  <c r="HB255" i="56"/>
  <c r="EJ116" i="56"/>
  <c r="DB136" i="56" a="1"/>
  <c r="DB136" i="56" s="1"/>
  <c r="DD136" i="56" s="1"/>
  <c r="DE136" i="56"/>
  <c r="GY136" i="56" s="1"/>
  <c r="HB136" i="56"/>
  <c r="HC136" i="56" s="1"/>
  <c r="GE301" i="56"/>
  <c r="GG301" i="56"/>
  <c r="DB92" i="56" a="1"/>
  <c r="DB92" i="56" s="1"/>
  <c r="DD92" i="56" s="1"/>
  <c r="GV92" i="56"/>
  <c r="HB92" i="56"/>
  <c r="DE92" i="56"/>
  <c r="GY92" i="56" s="1"/>
  <c r="GQ64" i="56"/>
  <c r="FX64" i="56"/>
  <c r="IH298" i="56"/>
  <c r="GQ194" i="56"/>
  <c r="FX194" i="56"/>
  <c r="EJ80" i="56"/>
  <c r="GE61" i="56"/>
  <c r="GG61" i="56"/>
  <c r="GE109" i="56"/>
  <c r="GG109" i="56"/>
  <c r="HV202" i="56"/>
  <c r="GI202" i="56"/>
  <c r="GH202" i="56"/>
  <c r="GJ196" i="56"/>
  <c r="FZ157" i="56"/>
  <c r="CU157" i="56"/>
  <c r="CY157" i="56" s="1"/>
  <c r="DI157" i="56"/>
  <c r="GV157" i="56" s="1"/>
  <c r="DY191" i="56" a="1"/>
  <c r="DY191" i="56" s="1"/>
  <c r="DY84" i="56" a="1"/>
  <c r="DY84" i="56" s="1"/>
  <c r="DY165" i="56" a="1"/>
  <c r="DY165" i="56" s="1"/>
  <c r="GQ299" i="56"/>
  <c r="FX299" i="56"/>
  <c r="EJ97" i="56"/>
  <c r="HV79" i="56"/>
  <c r="GI79" i="56"/>
  <c r="GH79" i="56"/>
  <c r="EJ95" i="56"/>
  <c r="AE14" i="55" a="1"/>
  <c r="AE14" i="55" s="1"/>
  <c r="AG14" i="55"/>
  <c r="AH14" i="55"/>
  <c r="FU95" i="56"/>
  <c r="FU96" i="56"/>
  <c r="FU97" i="56"/>
  <c r="FU98" i="56"/>
  <c r="FU99" i="56"/>
  <c r="FU88" i="56"/>
  <c r="FU89" i="56"/>
  <c r="FU92" i="56"/>
  <c r="FU93" i="56"/>
  <c r="FU94" i="56"/>
  <c r="FU100" i="56"/>
  <c r="FU101" i="56"/>
  <c r="FU90" i="56"/>
  <c r="FU91" i="56"/>
  <c r="AG15" i="55"/>
  <c r="AE15" i="55" a="1"/>
  <c r="AE15" i="55" s="1"/>
  <c r="AH15" i="55"/>
  <c r="FU111" i="56"/>
  <c r="FU127" i="56"/>
  <c r="FU112" i="56"/>
  <c r="FU128" i="56"/>
  <c r="FU113" i="56"/>
  <c r="FU129" i="56"/>
  <c r="FU114" i="56"/>
  <c r="FU115" i="56"/>
  <c r="FU102" i="56"/>
  <c r="FU118" i="56"/>
  <c r="FU103" i="56"/>
  <c r="FU119" i="56"/>
  <c r="FU104" i="56"/>
  <c r="FU120" i="56"/>
  <c r="FU105" i="56"/>
  <c r="FU121" i="56"/>
  <c r="FU126" i="56"/>
  <c r="FU106" i="56"/>
  <c r="FU108" i="56"/>
  <c r="FU109" i="56"/>
  <c r="FU110" i="56"/>
  <c r="FU116" i="56"/>
  <c r="FU107" i="56"/>
  <c r="FU117" i="56"/>
  <c r="FU122" i="56"/>
  <c r="FU123" i="56"/>
  <c r="FU124" i="56"/>
  <c r="FU125" i="56"/>
  <c r="X7" i="42"/>
  <c r="GE8" i="56"/>
  <c r="GG8" i="56"/>
  <c r="EJ218" i="56"/>
  <c r="EJ261" i="56"/>
  <c r="EJ94" i="56"/>
  <c r="FZ142" i="56"/>
  <c r="CU142" i="56"/>
  <c r="CY142" i="56" s="1"/>
  <c r="G142" i="56" s="1"/>
  <c r="CZ142" i="56" s="1"/>
  <c r="DA142" i="56" s="1"/>
  <c r="DI142" i="56"/>
  <c r="HV92" i="56"/>
  <c r="GI92" i="56"/>
  <c r="GH92" i="56"/>
  <c r="GU54" i="56"/>
  <c r="HS54" i="56" s="1"/>
  <c r="GW54" i="56"/>
  <c r="GP54" i="56"/>
  <c r="HV236" i="56"/>
  <c r="GI236" i="56"/>
  <c r="GH236" i="56"/>
  <c r="GE252" i="56"/>
  <c r="GG252" i="56"/>
  <c r="FZ74" i="56"/>
  <c r="CU74" i="56"/>
  <c r="CY74" i="56" s="1"/>
  <c r="DI74" i="56"/>
  <c r="GV74" i="56" s="1"/>
  <c r="FZ6" i="56"/>
  <c r="CU6" i="56"/>
  <c r="CY6" i="56" s="1"/>
  <c r="DI6" i="56"/>
  <c r="GV6" i="56" s="1"/>
  <c r="EF6" i="56"/>
  <c r="EG6" i="56" s="1"/>
  <c r="GE243" i="56"/>
  <c r="GG243" i="56"/>
  <c r="DB185" i="56" a="1"/>
  <c r="DB185" i="56" s="1"/>
  <c r="DD185" i="56" s="1"/>
  <c r="HB185" i="56"/>
  <c r="DE185" i="56"/>
  <c r="GY185" i="56" s="1"/>
  <c r="EJ280" i="56"/>
  <c r="EF347" i="56"/>
  <c r="EG347" i="56" s="1"/>
  <c r="FZ280" i="56"/>
  <c r="CU280" i="56"/>
  <c r="CY280" i="56" s="1"/>
  <c r="G280" i="56" s="1"/>
  <c r="CZ280" i="56" s="1"/>
  <c r="DA280" i="56" s="1"/>
  <c r="DI280" i="56"/>
  <c r="HV227" i="56"/>
  <c r="GI227" i="56"/>
  <c r="GJ227" i="56" s="1"/>
  <c r="GH227" i="56"/>
  <c r="HV319" i="56"/>
  <c r="GI319" i="56"/>
  <c r="GJ319" i="56" s="1"/>
  <c r="GH319" i="56"/>
  <c r="EF74" i="56"/>
  <c r="EG74" i="56" s="1"/>
  <c r="DY81" i="56" a="1"/>
  <c r="DY81" i="56" s="1"/>
  <c r="HV342" i="56"/>
  <c r="GH342" i="56"/>
  <c r="GI342" i="56"/>
  <c r="GJ342" i="56" s="1"/>
  <c r="DB215" i="56" a="1"/>
  <c r="DB215" i="56" s="1"/>
  <c r="DD215" i="56" s="1"/>
  <c r="HB215" i="56"/>
  <c r="DE215" i="56"/>
  <c r="GY215" i="56" s="1"/>
  <c r="FZ72" i="56"/>
  <c r="CU72" i="56"/>
  <c r="CY72" i="56" s="1"/>
  <c r="DI72" i="56"/>
  <c r="GV72" i="56" s="1"/>
  <c r="FZ282" i="56"/>
  <c r="CU282" i="56"/>
  <c r="CY282" i="56" s="1"/>
  <c r="G282" i="56" s="1"/>
  <c r="CZ282" i="56" s="1"/>
  <c r="DA282" i="56" s="1"/>
  <c r="DI282" i="56"/>
  <c r="GN319" i="56"/>
  <c r="IK319" i="56" s="1"/>
  <c r="GO319" i="56"/>
  <c r="GM320" i="56"/>
  <c r="GN328" i="56"/>
  <c r="IK328" i="56" s="1"/>
  <c r="GO328" i="56"/>
  <c r="GM329" i="56"/>
  <c r="EF282" i="56"/>
  <c r="EG282" i="56" s="1"/>
  <c r="FZ286" i="56"/>
  <c r="CU286" i="56"/>
  <c r="CY286" i="56" s="1"/>
  <c r="DI286" i="56"/>
  <c r="GV286" i="56" s="1"/>
  <c r="DB261" i="56" a="1"/>
  <c r="DB261" i="56" s="1"/>
  <c r="DD261" i="56" s="1"/>
  <c r="HB261" i="56"/>
  <c r="DE261" i="56"/>
  <c r="GY261" i="56" s="1"/>
  <c r="DB43" i="56" a="1"/>
  <c r="DB43" i="56" s="1"/>
  <c r="DD43" i="56" s="1"/>
  <c r="DE43" i="56"/>
  <c r="GY43" i="56" s="1"/>
  <c r="HB43" i="56"/>
  <c r="EJ85" i="56"/>
  <c r="GE21" i="56"/>
  <c r="GG21" i="56"/>
  <c r="GO345" i="56"/>
  <c r="GN345" i="56"/>
  <c r="IK345" i="56" s="1"/>
  <c r="GM346" i="56"/>
  <c r="EF286" i="56"/>
  <c r="EG286" i="56" s="1"/>
  <c r="DY14" i="56" a="1"/>
  <c r="DY14" i="56" s="1"/>
  <c r="FZ174" i="56"/>
  <c r="CU174" i="56"/>
  <c r="CY174" i="56" s="1"/>
  <c r="DI174" i="56"/>
  <c r="GV174" i="56" s="1"/>
  <c r="GN28" i="56"/>
  <c r="IK28" i="56" s="1"/>
  <c r="GO28" i="56"/>
  <c r="GM29" i="56"/>
  <c r="DB279" i="56" a="1"/>
  <c r="DB279" i="56" s="1"/>
  <c r="DD279" i="56" s="1"/>
  <c r="HB279" i="56"/>
  <c r="GV279" i="56"/>
  <c r="DE279" i="56"/>
  <c r="GY279" i="56" s="1"/>
  <c r="HV132" i="56"/>
  <c r="GH132" i="56"/>
  <c r="GI132" i="56"/>
  <c r="GJ132" i="56" s="1"/>
  <c r="GE253" i="56"/>
  <c r="GG253" i="56"/>
  <c r="FZ310" i="56"/>
  <c r="CU310" i="56"/>
  <c r="CY310" i="56" s="1"/>
  <c r="DI310" i="56"/>
  <c r="EF310" i="56"/>
  <c r="EG310" i="56" s="1"/>
  <c r="GW156" i="56"/>
  <c r="GP156" i="56"/>
  <c r="GU156" i="56"/>
  <c r="HS156" i="56" s="1"/>
  <c r="DY79" i="56" a="1"/>
  <c r="DY79" i="56" s="1"/>
  <c r="DY157" i="56" a="1"/>
  <c r="DY157" i="56" s="1"/>
  <c r="CY343" i="56"/>
  <c r="G343" i="56" s="1"/>
  <c r="CZ343" i="56" s="1"/>
  <c r="DA343" i="56" s="1"/>
  <c r="HV318" i="56"/>
  <c r="GH318" i="56"/>
  <c r="GI318" i="56"/>
  <c r="GJ318" i="56" s="1"/>
  <c r="EJ35" i="56"/>
  <c r="DB131" i="56" a="1"/>
  <c r="DB131" i="56" s="1"/>
  <c r="DD131" i="56" s="1"/>
  <c r="DE131" i="56"/>
  <c r="GY131" i="56" s="1"/>
  <c r="HB131" i="56"/>
  <c r="HC131" i="56" s="1"/>
  <c r="DB182" i="56" a="1"/>
  <c r="DB182" i="56" s="1"/>
  <c r="DD182" i="56" s="1"/>
  <c r="DE182" i="56"/>
  <c r="GY182" i="56" s="1"/>
  <c r="HB182" i="56"/>
  <c r="GE163" i="56"/>
  <c r="GG163" i="56"/>
  <c r="GE157" i="56"/>
  <c r="GG157" i="56"/>
  <c r="DY339" i="56" a="1"/>
  <c r="DY339" i="56" s="1"/>
  <c r="GG206" i="56"/>
  <c r="EJ348" i="56"/>
  <c r="IH248" i="56"/>
  <c r="DD351" i="56"/>
  <c r="GV351" i="56" s="1"/>
  <c r="DY180" i="56" a="1"/>
  <c r="DY180" i="56" s="1"/>
  <c r="GQ171" i="56"/>
  <c r="FX171" i="56"/>
  <c r="GE220" i="56"/>
  <c r="GG220" i="56"/>
  <c r="GE213" i="56"/>
  <c r="GG213" i="56"/>
  <c r="DB237" i="56" a="1"/>
  <c r="DB237" i="56" s="1"/>
  <c r="DD237" i="56" s="1"/>
  <c r="DE237" i="56"/>
  <c r="GY237" i="56" s="1"/>
  <c r="HB237" i="56"/>
  <c r="DB45" i="56" a="1"/>
  <c r="DB45" i="56" s="1"/>
  <c r="DD45" i="56" s="1"/>
  <c r="HB45" i="56"/>
  <c r="DE45" i="56"/>
  <c r="GY45" i="56" s="1"/>
  <c r="EJ65" i="56"/>
  <c r="DB179" i="56" a="1"/>
  <c r="DB179" i="56" s="1"/>
  <c r="DD179" i="56" s="1"/>
  <c r="HB179" i="56"/>
  <c r="DE179" i="56"/>
  <c r="GY179" i="56" s="1"/>
  <c r="GQ288" i="56"/>
  <c r="FX288" i="56"/>
  <c r="GQ131" i="56"/>
  <c r="FX131" i="56"/>
  <c r="GE307" i="56"/>
  <c r="GG307" i="56"/>
  <c r="DY287" i="56" a="1"/>
  <c r="DY287" i="56" s="1"/>
  <c r="GQ196" i="56"/>
  <c r="FX196" i="56"/>
  <c r="DY111" i="56" a="1"/>
  <c r="DY111" i="56" s="1"/>
  <c r="GE56" i="56"/>
  <c r="GG56" i="56"/>
  <c r="DB105" i="56" a="1"/>
  <c r="DB105" i="56" s="1"/>
  <c r="DD105" i="56" s="1"/>
  <c r="DE105" i="56"/>
  <c r="GY105" i="56" s="1"/>
  <c r="HB105" i="56"/>
  <c r="GE125" i="56"/>
  <c r="GG125" i="56"/>
  <c r="GQ146" i="56"/>
  <c r="FX146" i="56"/>
  <c r="DY172" i="56" a="1"/>
  <c r="DY172" i="56" s="1"/>
  <c r="DB148" i="56" a="1"/>
  <c r="DB148" i="56" s="1"/>
  <c r="DD148" i="56" s="1"/>
  <c r="HB148" i="56"/>
  <c r="HC148" i="56" s="1"/>
  <c r="DE148" i="56"/>
  <c r="GY148" i="56" s="1"/>
  <c r="DY346" i="56" a="1"/>
  <c r="DY346" i="56" s="1"/>
  <c r="DY102" i="56" a="1"/>
  <c r="DY102" i="56" s="1"/>
  <c r="FZ95" i="56"/>
  <c r="CU95" i="56"/>
  <c r="CY95" i="56" s="1"/>
  <c r="DI95" i="56"/>
  <c r="GV95" i="56" s="1"/>
  <c r="DY21" i="56" a="1"/>
  <c r="DY21" i="56" s="1"/>
  <c r="EJ300" i="56"/>
  <c r="DB352" i="56" a="1"/>
  <c r="DB352" i="56" s="1"/>
  <c r="DD352" i="56" s="1"/>
  <c r="GV352" i="56"/>
  <c r="DE352" i="56"/>
  <c r="GY352" i="56" s="1"/>
  <c r="HB352" i="56"/>
  <c r="DB181" i="56" a="1"/>
  <c r="DB181" i="56" s="1"/>
  <c r="DD181" i="56" s="1"/>
  <c r="HB181" i="56"/>
  <c r="DE181" i="56"/>
  <c r="GY181" i="56" s="1"/>
  <c r="GE275" i="56"/>
  <c r="GG275" i="56"/>
  <c r="EJ201" i="56"/>
  <c r="GE272" i="56"/>
  <c r="GG272" i="56"/>
  <c r="EJ277" i="56"/>
  <c r="HV91" i="56"/>
  <c r="GI91" i="56"/>
  <c r="GH91" i="56"/>
  <c r="EF142" i="56"/>
  <c r="EG142" i="56" s="1"/>
  <c r="DB103" i="56" a="1"/>
  <c r="DB103" i="56" s="1"/>
  <c r="DD103" i="56" s="1"/>
  <c r="DE103" i="56"/>
  <c r="GY103" i="56" s="1"/>
  <c r="GV103" i="56"/>
  <c r="HB103" i="56"/>
  <c r="GE9" i="56"/>
  <c r="GG9" i="56"/>
  <c r="FZ247" i="56"/>
  <c r="CU247" i="56"/>
  <c r="CY247" i="56" s="1"/>
  <c r="G247" i="56" s="1"/>
  <c r="CZ247" i="56" s="1"/>
  <c r="DA247" i="56" s="1"/>
  <c r="DI247" i="56"/>
  <c r="HV248" i="56"/>
  <c r="GI248" i="56"/>
  <c r="GJ248" i="56" s="1"/>
  <c r="GH248" i="56"/>
  <c r="EJ343" i="56"/>
  <c r="EJ125" i="56"/>
  <c r="DY86" i="56" a="1"/>
  <c r="DY86" i="56" s="1"/>
  <c r="EJ293" i="56"/>
  <c r="DY31" i="56" a="1"/>
  <c r="DY31" i="56" s="1"/>
  <c r="EJ222" i="56"/>
  <c r="HV146" i="56"/>
  <c r="GI146" i="56"/>
  <c r="GH146" i="56"/>
  <c r="EJ176" i="56"/>
  <c r="FZ334" i="56"/>
  <c r="CU334" i="56"/>
  <c r="CY334" i="56" s="1"/>
  <c r="DI334" i="56"/>
  <c r="GV334" i="56" s="1"/>
  <c r="GW327" i="56"/>
  <c r="GP327" i="56"/>
  <c r="GU327" i="56"/>
  <c r="HS327" i="56" s="1"/>
  <c r="EJ281" i="56"/>
  <c r="GU333" i="56"/>
  <c r="HS333" i="56" s="1"/>
  <c r="GP333" i="56"/>
  <c r="GW333" i="56"/>
  <c r="HV159" i="56"/>
  <c r="GH159" i="56"/>
  <c r="GI159" i="56"/>
  <c r="GJ159" i="56" s="1"/>
  <c r="DB198" i="56" a="1"/>
  <c r="DB198" i="56" s="1"/>
  <c r="DD198" i="56" s="1"/>
  <c r="DE198" i="56"/>
  <c r="GY198" i="56" s="1"/>
  <c r="HB198" i="56"/>
  <c r="IH297" i="56"/>
  <c r="DY173" i="56" a="1"/>
  <c r="DY173" i="56" s="1"/>
  <c r="CY103" i="56"/>
  <c r="DY318" i="56" a="1"/>
  <c r="DY318" i="56" s="1"/>
  <c r="EJ197" i="56"/>
  <c r="GQ227" i="56"/>
  <c r="FX227" i="56"/>
  <c r="GQ182" i="56"/>
  <c r="FX182" i="56"/>
  <c r="GE153" i="56"/>
  <c r="GG153" i="56"/>
  <c r="GG259" i="56"/>
  <c r="GE156" i="56"/>
  <c r="GG156" i="56"/>
  <c r="GE166" i="56"/>
  <c r="GG166" i="56"/>
  <c r="EJ58" i="56"/>
  <c r="HV254" i="56"/>
  <c r="GH254" i="56"/>
  <c r="GI254" i="56"/>
  <c r="EJ337" i="56"/>
  <c r="DY314" i="56" a="1"/>
  <c r="DY314" i="56" s="1"/>
  <c r="DY154" i="56" a="1"/>
  <c r="DY154" i="56" s="1"/>
  <c r="AO23" i="55"/>
  <c r="AA23" i="55" s="1"/>
  <c r="GE110" i="56"/>
  <c r="GG110" i="56"/>
  <c r="DB225" i="56" a="1"/>
  <c r="DB225" i="56" s="1"/>
  <c r="DD225" i="56" s="1"/>
  <c r="DE225" i="56"/>
  <c r="GY225" i="56" s="1"/>
  <c r="HB225" i="56"/>
  <c r="FZ230" i="56"/>
  <c r="CU230" i="56"/>
  <c r="CY230" i="56" s="1"/>
  <c r="G230" i="56" s="1"/>
  <c r="CZ230" i="56" s="1"/>
  <c r="DA230" i="56" s="1"/>
  <c r="DI230" i="56"/>
  <c r="EF230" i="56"/>
  <c r="EG230" i="56" s="1"/>
  <c r="FZ134" i="56"/>
  <c r="CU134" i="56"/>
  <c r="CY134" i="56" s="1"/>
  <c r="G134" i="56" s="1"/>
  <c r="CZ134" i="56" s="1"/>
  <c r="DA134" i="56" s="1"/>
  <c r="DI134" i="56"/>
  <c r="EF134" i="56"/>
  <c r="EG134" i="56" s="1"/>
  <c r="GE188" i="56"/>
  <c r="GG188" i="56"/>
  <c r="GH186" i="56"/>
  <c r="GI186" i="56"/>
  <c r="GJ186" i="56" s="1"/>
  <c r="GQ124" i="56"/>
  <c r="FX124" i="56"/>
  <c r="DY107" i="56" a="1"/>
  <c r="DY107" i="56" s="1"/>
  <c r="DD313" i="56"/>
  <c r="DY122" i="56" a="1"/>
  <c r="DY122" i="56" s="1"/>
  <c r="DB67" i="56" a="1"/>
  <c r="DB67" i="56" s="1"/>
  <c r="DD67" i="56" s="1"/>
  <c r="HB67" i="56"/>
  <c r="DE67" i="56"/>
  <c r="GY67" i="56" s="1"/>
  <c r="DB276" i="56" a="1"/>
  <c r="DB276" i="56" s="1"/>
  <c r="DD276" i="56" s="1"/>
  <c r="DE276" i="56"/>
  <c r="GY276" i="56" s="1"/>
  <c r="HB276" i="56"/>
  <c r="DY98" i="56" a="1"/>
  <c r="DY98" i="56" s="1"/>
  <c r="FZ167" i="56"/>
  <c r="CU167" i="56"/>
  <c r="CY167" i="56" s="1"/>
  <c r="DI167" i="56"/>
  <c r="GE311" i="56"/>
  <c r="GG311" i="56"/>
  <c r="DY115" i="56" a="1"/>
  <c r="DY115" i="56" s="1"/>
  <c r="GE68" i="56"/>
  <c r="GG68" i="56"/>
  <c r="GE124" i="56"/>
  <c r="GG124" i="56"/>
  <c r="EF23" i="56"/>
  <c r="EG23" i="56" s="1"/>
  <c r="HV323" i="56"/>
  <c r="GH323" i="56"/>
  <c r="GI323" i="56"/>
  <c r="GJ323" i="56" s="1"/>
  <c r="DB306" i="56" a="1"/>
  <c r="DB306" i="56" s="1"/>
  <c r="DD306" i="56" s="1"/>
  <c r="HB306" i="56"/>
  <c r="DE306" i="56"/>
  <c r="GY306" i="56" s="1"/>
  <c r="DY22" i="56" a="1"/>
  <c r="DY22" i="56" s="1"/>
  <c r="EJ61" i="56"/>
  <c r="GQ57" i="56"/>
  <c r="FX57" i="56"/>
  <c r="EJ259" i="56"/>
  <c r="FX233" i="56"/>
  <c r="GQ233" i="56"/>
  <c r="EJ237" i="56"/>
  <c r="DB336" i="56" a="1"/>
  <c r="DB336" i="56" s="1"/>
  <c r="DD336" i="56" s="1"/>
  <c r="DE336" i="56"/>
  <c r="GY336" i="56" s="1"/>
  <c r="HB336" i="56"/>
  <c r="HC336" i="56" s="1"/>
  <c r="FZ262" i="56"/>
  <c r="CU262" i="56"/>
  <c r="CY262" i="56" s="1"/>
  <c r="G262" i="56" s="1"/>
  <c r="CZ262" i="56" s="1"/>
  <c r="DA262" i="56" s="1"/>
  <c r="DI262" i="56"/>
  <c r="EF262" i="56"/>
  <c r="EG262" i="56" s="1"/>
  <c r="EF334" i="56"/>
  <c r="EG334" i="56" s="1"/>
  <c r="HV131" i="56"/>
  <c r="GI131" i="56"/>
  <c r="GJ131" i="56" s="1"/>
  <c r="GH131" i="56"/>
  <c r="GO133" i="56"/>
  <c r="GN133" i="56"/>
  <c r="IK133" i="56" s="1"/>
  <c r="GM134" i="56"/>
  <c r="EJ213" i="56"/>
  <c r="DY12" i="56" a="1"/>
  <c r="DY12" i="56" s="1"/>
  <c r="FZ68" i="56"/>
  <c r="CU68" i="56"/>
  <c r="CY68" i="56" s="1"/>
  <c r="DI68" i="56"/>
  <c r="FZ166" i="56"/>
  <c r="CU166" i="56"/>
  <c r="CY166" i="56" s="1"/>
  <c r="DI166" i="56"/>
  <c r="EF166" i="56"/>
  <c r="EG166" i="56" s="1"/>
  <c r="EJ24" i="56"/>
  <c r="HV3" i="56"/>
  <c r="GH3" i="56"/>
  <c r="GI3" i="56"/>
  <c r="DB248" i="56" a="1"/>
  <c r="DB248" i="56" s="1"/>
  <c r="DD248" i="56" s="1"/>
  <c r="DE248" i="56"/>
  <c r="GY248" i="56" s="1"/>
  <c r="HB248" i="56"/>
  <c r="DB151" i="56" a="1"/>
  <c r="DB151" i="56" s="1"/>
  <c r="DD151" i="56" s="1"/>
  <c r="DE151" i="56"/>
  <c r="GY151" i="56" s="1"/>
  <c r="HB151" i="56"/>
  <c r="HC151" i="56" s="1"/>
  <c r="GO104" i="56"/>
  <c r="GN104" i="56"/>
  <c r="IK104" i="56" s="1"/>
  <c r="GM105" i="56"/>
  <c r="DB152" i="56" a="1"/>
  <c r="DB152" i="56" s="1"/>
  <c r="DD152" i="56" s="1"/>
  <c r="DE152" i="56"/>
  <c r="GY152" i="56" s="1"/>
  <c r="HB152" i="56"/>
  <c r="GE22" i="56"/>
  <c r="GG22" i="56"/>
  <c r="DB118" i="56" a="1"/>
  <c r="DB118" i="56" s="1"/>
  <c r="DD118" i="56" s="1"/>
  <c r="DE118" i="56"/>
  <c r="GY118" i="56" s="1"/>
  <c r="HB118" i="56"/>
  <c r="DB246" i="56" a="1"/>
  <c r="DB246" i="56" s="1"/>
  <c r="DD246" i="56" s="1"/>
  <c r="DE246" i="56"/>
  <c r="GY246" i="56" s="1"/>
  <c r="HB246" i="56"/>
  <c r="GW33" i="56"/>
  <c r="GU33" i="56"/>
  <c r="HS33" i="56" s="1"/>
  <c r="GP33" i="56"/>
  <c r="FZ47" i="56"/>
  <c r="CU47" i="56"/>
  <c r="CY47" i="56" s="1"/>
  <c r="G47" i="56" s="1"/>
  <c r="CZ47" i="56" s="1"/>
  <c r="DA47" i="56" s="1"/>
  <c r="DI47" i="56"/>
  <c r="DY295" i="56" a="1"/>
  <c r="DY295" i="56" s="1"/>
  <c r="GE265" i="56"/>
  <c r="GG265" i="56"/>
  <c r="GW314" i="56"/>
  <c r="GP314" i="56"/>
  <c r="GU314" i="56"/>
  <c r="HS314" i="56" s="1"/>
  <c r="HV237" i="56"/>
  <c r="GI237" i="56"/>
  <c r="GH237" i="56"/>
  <c r="DB249" i="56" a="1"/>
  <c r="DB249" i="56" s="1"/>
  <c r="DD249" i="56" s="1"/>
  <c r="DE249" i="56"/>
  <c r="GY249" i="56" s="1"/>
  <c r="HB249" i="56"/>
  <c r="EJ351" i="56"/>
  <c r="FZ270" i="56"/>
  <c r="CU270" i="56"/>
  <c r="CY270" i="56" s="1"/>
  <c r="G270" i="56" s="1"/>
  <c r="CZ270" i="56" s="1"/>
  <c r="DA270" i="56" s="1"/>
  <c r="DI270" i="56"/>
  <c r="HV138" i="56"/>
  <c r="GI138" i="56"/>
  <c r="GH138" i="56"/>
  <c r="DB229" i="56" a="1"/>
  <c r="DB229" i="56" s="1"/>
  <c r="DD229" i="56" s="1"/>
  <c r="HB229" i="56"/>
  <c r="DE229" i="56"/>
  <c r="GY229" i="56" s="1"/>
  <c r="GV24" i="56"/>
  <c r="GW103" i="56"/>
  <c r="GU103" i="56"/>
  <c r="HS103" i="56" s="1"/>
  <c r="GP103" i="56"/>
  <c r="BU17" i="55"/>
  <c r="BV17" i="55" s="1" a="1"/>
  <c r="BV17" i="55" s="1"/>
  <c r="GG260" i="56"/>
  <c r="EF47" i="56"/>
  <c r="EG47" i="56" s="1"/>
  <c r="GE257" i="56"/>
  <c r="GG257" i="56"/>
  <c r="DB289" i="56" a="1"/>
  <c r="DB289" i="56" s="1"/>
  <c r="DD289" i="56" s="1"/>
  <c r="DE289" i="56"/>
  <c r="GY289" i="56" s="1"/>
  <c r="HB289" i="56"/>
  <c r="DY13" i="56" a="1"/>
  <c r="DY13" i="56" s="1"/>
  <c r="HV327" i="56"/>
  <c r="GH327" i="56"/>
  <c r="GI327" i="56"/>
  <c r="GJ327" i="56" s="1"/>
  <c r="GO226" i="56"/>
  <c r="GN226" i="56"/>
  <c r="IK226" i="56" s="1"/>
  <c r="GM227" i="56"/>
  <c r="DY119" i="56" a="1"/>
  <c r="DY119" i="56" s="1"/>
  <c r="GQ268" i="56"/>
  <c r="FX268" i="56"/>
  <c r="GQ198" i="56"/>
  <c r="FX198" i="56"/>
  <c r="GQ96" i="56"/>
  <c r="FX96" i="56"/>
  <c r="HV5" i="56"/>
  <c r="GH5" i="56"/>
  <c r="GI5" i="56"/>
  <c r="GJ5" i="56" s="1"/>
  <c r="DB197" i="56" a="1"/>
  <c r="DB197" i="56" s="1"/>
  <c r="DD197" i="56" s="1"/>
  <c r="DE197" i="56"/>
  <c r="GY197" i="56" s="1"/>
  <c r="HB197" i="56"/>
  <c r="GE103" i="56"/>
  <c r="GG103" i="56"/>
  <c r="DB284" i="56" a="1"/>
  <c r="DB284" i="56" s="1"/>
  <c r="DD284" i="56" s="1"/>
  <c r="HB284" i="56"/>
  <c r="GV284" i="56"/>
  <c r="DE284" i="56"/>
  <c r="GY284" i="56" s="1"/>
  <c r="GE151" i="56"/>
  <c r="GG151" i="56"/>
  <c r="GE340" i="56"/>
  <c r="GG340" i="56"/>
  <c r="HV144" i="56"/>
  <c r="GI144" i="56"/>
  <c r="GH144" i="56"/>
  <c r="GE177" i="56"/>
  <c r="GG177" i="56"/>
  <c r="GE161" i="56"/>
  <c r="GG161" i="56"/>
  <c r="DB312" i="56" a="1"/>
  <c r="DB312" i="56" s="1"/>
  <c r="DD312" i="56" s="1"/>
  <c r="HB312" i="56"/>
  <c r="DE312" i="56"/>
  <c r="GY312" i="56" s="1"/>
  <c r="DB345" i="56" a="1"/>
  <c r="DB345" i="56" s="1"/>
  <c r="DD345" i="56" s="1"/>
  <c r="DE345" i="56"/>
  <c r="GY345" i="56" s="1"/>
  <c r="HB345" i="56"/>
  <c r="GQ183" i="56"/>
  <c r="FX183" i="56"/>
  <c r="DB32" i="56" a="1"/>
  <c r="DB32" i="56" s="1"/>
  <c r="DD32" i="56" s="1"/>
  <c r="DE32" i="56"/>
  <c r="GY32" i="56" s="1"/>
  <c r="GV32" i="56"/>
  <c r="HB32" i="56"/>
  <c r="DY108" i="56" a="1"/>
  <c r="DY108" i="56" s="1"/>
  <c r="EJ77" i="56"/>
  <c r="HV285" i="56"/>
  <c r="GI285" i="56"/>
  <c r="GJ285" i="56" s="1"/>
  <c r="GH285" i="56"/>
  <c r="CY337" i="56"/>
  <c r="CY171" i="56"/>
  <c r="DY90" i="56" a="1"/>
  <c r="DY90" i="56" s="1"/>
  <c r="GE208" i="56"/>
  <c r="GG208" i="56"/>
  <c r="EJ89" i="56"/>
  <c r="DY170" i="56" a="1"/>
  <c r="DY170" i="56" s="1"/>
  <c r="GE349" i="56"/>
  <c r="GG349" i="56"/>
  <c r="CY306" i="56"/>
  <c r="IH203" i="56"/>
  <c r="DY321" i="56" a="1"/>
  <c r="DY321" i="56" s="1"/>
  <c r="BX10" i="55"/>
  <c r="C22" i="61" s="1"/>
  <c r="EJ187" i="56"/>
  <c r="GR32" i="56"/>
  <c r="N32" i="56" s="1"/>
  <c r="GS32" i="56" s="1"/>
  <c r="GE306" i="56"/>
  <c r="GG306" i="56"/>
  <c r="EJ258" i="56"/>
  <c r="EJ244" i="56"/>
  <c r="CY118" i="56"/>
  <c r="DB133" i="56" a="1"/>
  <c r="DB133" i="56" s="1"/>
  <c r="DD133" i="56" s="1"/>
  <c r="DE133" i="56"/>
  <c r="GY133" i="56" s="1"/>
  <c r="HB133" i="56"/>
  <c r="HC133" i="56" s="1"/>
  <c r="IH271" i="56"/>
  <c r="GE72" i="56"/>
  <c r="GG72" i="56"/>
  <c r="GE121" i="56"/>
  <c r="GG121" i="56"/>
  <c r="GE104" i="56"/>
  <c r="GG104" i="56"/>
  <c r="DB158" i="56" a="1"/>
  <c r="DB158" i="56" s="1"/>
  <c r="DD158" i="56" s="1"/>
  <c r="HB158" i="56"/>
  <c r="DE158" i="56"/>
  <c r="GY158" i="56" s="1"/>
  <c r="FZ61" i="56"/>
  <c r="CU61" i="56"/>
  <c r="CY61" i="56" s="1"/>
  <c r="DI61" i="56"/>
  <c r="AH26" i="55"/>
  <c r="AE26" i="55" a="1"/>
  <c r="AE26" i="55" s="1"/>
  <c r="AG26" i="55"/>
  <c r="FU351" i="56"/>
  <c r="FU352" i="56"/>
  <c r="FU342" i="56"/>
  <c r="FU343" i="56"/>
  <c r="FU344" i="56"/>
  <c r="FU345" i="56"/>
  <c r="FU341" i="56"/>
  <c r="FU346" i="56"/>
  <c r="FU347" i="56"/>
  <c r="FU349" i="56"/>
  <c r="FU350" i="56"/>
  <c r="FU348" i="56"/>
  <c r="CY256" i="56"/>
  <c r="G256" i="56" s="1"/>
  <c r="CZ256" i="56" s="1"/>
  <c r="DA256" i="56" s="1"/>
  <c r="DB176" i="56" a="1"/>
  <c r="DB176" i="56" s="1"/>
  <c r="DD176" i="56" s="1"/>
  <c r="DE176" i="56"/>
  <c r="GY176" i="56" s="1"/>
  <c r="HB176" i="56"/>
  <c r="CY52" i="56"/>
  <c r="G52" i="56" s="1"/>
  <c r="CZ52" i="56" s="1"/>
  <c r="DA52" i="56" s="1"/>
  <c r="DY101" i="56" a="1"/>
  <c r="DY101" i="56" s="1"/>
  <c r="GO188" i="56"/>
  <c r="GN188" i="56"/>
  <c r="IK188" i="56" s="1"/>
  <c r="GM189" i="56"/>
  <c r="FZ207" i="56"/>
  <c r="CU207" i="56"/>
  <c r="CY207" i="56" s="1"/>
  <c r="G207" i="56" s="1"/>
  <c r="CZ207" i="56" s="1"/>
  <c r="DA207" i="56" s="1"/>
  <c r="DI207" i="56"/>
  <c r="DY350" i="56" a="1"/>
  <c r="DY350" i="56" s="1"/>
  <c r="EF207" i="56"/>
  <c r="EG207" i="56" s="1"/>
  <c r="DB23" i="56" a="1"/>
  <c r="DB23" i="56" s="1"/>
  <c r="DD23" i="56" s="1"/>
  <c r="DE23" i="56"/>
  <c r="GY23" i="56" s="1"/>
  <c r="HB23" i="56"/>
  <c r="HC23" i="56" s="1"/>
  <c r="FZ117" i="56"/>
  <c r="CU117" i="56"/>
  <c r="CY117" i="56" s="1"/>
  <c r="DI117" i="56"/>
  <c r="EJ174" i="56"/>
  <c r="GU187" i="56"/>
  <c r="HS187" i="56" s="1"/>
  <c r="GW187" i="56"/>
  <c r="GP187" i="56"/>
  <c r="HV233" i="56"/>
  <c r="GI233" i="56"/>
  <c r="GH233" i="56"/>
  <c r="DY322" i="56" a="1"/>
  <c r="DY322" i="56" s="1"/>
  <c r="FZ347" i="56"/>
  <c r="CU347" i="56"/>
  <c r="CY347" i="56" s="1"/>
  <c r="DI347" i="56"/>
  <c r="GV347" i="56" s="1"/>
  <c r="FZ214" i="56"/>
  <c r="CU214" i="56"/>
  <c r="CY214" i="56" s="1"/>
  <c r="G214" i="56" s="1"/>
  <c r="CZ214" i="56" s="1"/>
  <c r="DA214" i="56" s="1"/>
  <c r="DI214" i="56"/>
  <c r="EF214" i="56"/>
  <c r="EG214" i="56" s="1"/>
  <c r="HV315" i="56"/>
  <c r="GI315" i="56"/>
  <c r="GJ315" i="56" s="1"/>
  <c r="GH315" i="56"/>
  <c r="HV89" i="56"/>
  <c r="GI89" i="56"/>
  <c r="GH89" i="56"/>
  <c r="HT89" i="56" s="1"/>
  <c r="DY334" i="56" a="1"/>
  <c r="DY334" i="56" s="1"/>
  <c r="HV136" i="56"/>
  <c r="GI136" i="56"/>
  <c r="GJ136" i="56" s="1"/>
  <c r="GH136" i="56"/>
  <c r="GE277" i="56"/>
  <c r="GG277" i="56"/>
  <c r="DY296" i="56" a="1"/>
  <c r="DY296" i="56" s="1"/>
  <c r="HV141" i="56"/>
  <c r="GH141" i="56"/>
  <c r="GI141" i="56"/>
  <c r="HV142" i="56"/>
  <c r="GH142" i="56"/>
  <c r="GI142" i="56"/>
  <c r="EJ21" i="56"/>
  <c r="EF247" i="56"/>
  <c r="EG247" i="56" s="1"/>
  <c r="DB41" i="56" a="1"/>
  <c r="DB41" i="56" s="1"/>
  <c r="DD41" i="56" s="1"/>
  <c r="HB41" i="56"/>
  <c r="DE41" i="56"/>
  <c r="GY41" i="56" s="1"/>
  <c r="DB38" i="56" a="1"/>
  <c r="DB38" i="56" s="1"/>
  <c r="DD38" i="56" s="1"/>
  <c r="DE38" i="56"/>
  <c r="GY38" i="56" s="1"/>
  <c r="GE17" i="56"/>
  <c r="GG17" i="56"/>
  <c r="DY17" i="56" a="1"/>
  <c r="DY17" i="56" s="1"/>
  <c r="GQ121" i="56"/>
  <c r="FX121" i="56"/>
  <c r="EJ69" i="56"/>
  <c r="EJ339" i="56"/>
  <c r="GE19" i="56"/>
  <c r="GG19" i="56"/>
  <c r="GU344" i="56"/>
  <c r="HS344" i="56" s="1"/>
  <c r="GW344" i="56"/>
  <c r="GP344" i="56"/>
  <c r="FZ78" i="56"/>
  <c r="CU78" i="56"/>
  <c r="CY78" i="56" s="1"/>
  <c r="DI78" i="56"/>
  <c r="GV78" i="56" s="1"/>
  <c r="GN337" i="56"/>
  <c r="IK337" i="56" s="1"/>
  <c r="GO337" i="56"/>
  <c r="GM338" i="56"/>
  <c r="GE280" i="56"/>
  <c r="GG280" i="56"/>
  <c r="GE262" i="56"/>
  <c r="GG262" i="56"/>
  <c r="FZ333" i="56"/>
  <c r="CU333" i="56"/>
  <c r="CY333" i="56" s="1"/>
  <c r="DI333" i="56"/>
  <c r="GV333" i="56" s="1"/>
  <c r="EF333" i="56"/>
  <c r="EG333" i="56" s="1"/>
  <c r="GE246" i="56"/>
  <c r="GG246" i="56"/>
  <c r="GE256" i="56"/>
  <c r="GG256" i="56"/>
  <c r="GW132" i="56"/>
  <c r="GU132" i="56"/>
  <c r="HS132" i="56" s="1"/>
  <c r="GP132" i="56"/>
  <c r="GI130" i="56"/>
  <c r="GJ130" i="56" s="1"/>
  <c r="GE281" i="56"/>
  <c r="GG281" i="56"/>
  <c r="GW336" i="56"/>
  <c r="GU336" i="56"/>
  <c r="HS336" i="56" s="1"/>
  <c r="GP336" i="56"/>
  <c r="DY175" i="56" a="1"/>
  <c r="DY175" i="56" s="1"/>
  <c r="GN91" i="56"/>
  <c r="IK91" i="56" s="1"/>
  <c r="GO91" i="56"/>
  <c r="GM92" i="56"/>
  <c r="BX23" i="55"/>
  <c r="BX21" i="55"/>
  <c r="FZ312" i="56"/>
  <c r="CU312" i="56"/>
  <c r="CY312" i="56" s="1"/>
  <c r="DI312" i="56"/>
  <c r="FZ206" i="56"/>
  <c r="CU206" i="56"/>
  <c r="CY206" i="56" s="1"/>
  <c r="G206" i="56" s="1"/>
  <c r="CZ206" i="56" s="1"/>
  <c r="DA206" i="56" s="1"/>
  <c r="DI206" i="56"/>
  <c r="GE242" i="56"/>
  <c r="GG242" i="56"/>
  <c r="GE244" i="56"/>
  <c r="GG244" i="56"/>
  <c r="DY120" i="56" a="1"/>
  <c r="DY120" i="56" s="1"/>
  <c r="DY221" i="56" a="1"/>
  <c r="DY221" i="56" s="1"/>
  <c r="FZ105" i="56"/>
  <c r="CU105" i="56"/>
  <c r="CY105" i="56" s="1"/>
  <c r="DI105" i="56"/>
  <c r="FZ278" i="56"/>
  <c r="CU278" i="56"/>
  <c r="CY278" i="56" s="1"/>
  <c r="G278" i="56" s="1"/>
  <c r="CZ278" i="56" s="1"/>
  <c r="DA278" i="56" s="1"/>
  <c r="DI278" i="56"/>
  <c r="GQ52" i="56"/>
  <c r="FX52" i="56"/>
  <c r="DB277" i="56" a="1"/>
  <c r="DB277" i="56" s="1"/>
  <c r="DD277" i="56" s="1"/>
  <c r="DE277" i="56"/>
  <c r="GY277" i="56" s="1"/>
  <c r="HB277" i="56"/>
  <c r="DD329" i="56"/>
  <c r="GE152" i="56"/>
  <c r="GG152" i="56"/>
  <c r="GE178" i="56"/>
  <c r="GG178" i="56"/>
  <c r="GE173" i="56"/>
  <c r="GG173" i="56"/>
  <c r="GE111" i="56"/>
  <c r="GG111" i="56"/>
  <c r="DB124" i="56" a="1"/>
  <c r="DB124" i="56" s="1"/>
  <c r="DD124" i="56" s="1"/>
  <c r="DE124" i="56"/>
  <c r="GY124" i="56" s="1"/>
  <c r="HB124" i="56"/>
  <c r="GJ149" i="56"/>
  <c r="CY242" i="56"/>
  <c r="G242" i="56" s="1"/>
  <c r="CZ242" i="56" s="1"/>
  <c r="DA242" i="56" s="1"/>
  <c r="GE216" i="56"/>
  <c r="GG216" i="56"/>
  <c r="DB56" i="56" a="1"/>
  <c r="DB56" i="56" s="1"/>
  <c r="DD56" i="56" s="1"/>
  <c r="DE56" i="56"/>
  <c r="GY56" i="56" s="1"/>
  <c r="HB56" i="56"/>
  <c r="GV56" i="56"/>
  <c r="GE347" i="56"/>
  <c r="GG347" i="56"/>
  <c r="DB44" i="56" a="1"/>
  <c r="DB44" i="56" s="1"/>
  <c r="DD44" i="56" s="1"/>
  <c r="FZ77" i="56"/>
  <c r="CU77" i="56"/>
  <c r="CY77" i="56" s="1"/>
  <c r="DI77" i="56"/>
  <c r="DY71" i="56" a="1"/>
  <c r="DY71" i="56" s="1"/>
  <c r="DY78" i="56" a="1"/>
  <c r="DY78" i="56" s="1"/>
  <c r="DB138" i="56" a="1"/>
  <c r="DB138" i="56" s="1"/>
  <c r="DD138" i="56" s="1"/>
  <c r="DE138" i="56"/>
  <c r="GY138" i="56" s="1"/>
  <c r="HB138" i="56"/>
  <c r="HC138" i="56" s="1"/>
  <c r="HV240" i="56"/>
  <c r="GI240" i="56"/>
  <c r="GH240" i="56"/>
  <c r="DB212" i="56" a="1"/>
  <c r="DB212" i="56" s="1"/>
  <c r="DD212" i="56" s="1"/>
  <c r="HB212" i="56"/>
  <c r="DE212" i="56"/>
  <c r="GY212" i="56" s="1"/>
  <c r="GE292" i="56"/>
  <c r="GG292" i="56"/>
  <c r="BX11" i="55"/>
  <c r="DB77" i="56" a="1"/>
  <c r="DB77" i="56" s="1"/>
  <c r="DD77" i="56" s="1"/>
  <c r="DE77" i="56"/>
  <c r="GY77" i="56" s="1"/>
  <c r="HB77" i="56"/>
  <c r="DY222" i="56" a="1"/>
  <c r="DY222" i="56" s="1"/>
  <c r="GI32" i="56"/>
  <c r="GJ32" i="56" s="1"/>
  <c r="GE70" i="56"/>
  <c r="GG70" i="56"/>
  <c r="GE76" i="56"/>
  <c r="GG76" i="56"/>
  <c r="EJ98" i="56"/>
  <c r="GE108" i="56"/>
  <c r="GG108" i="56"/>
  <c r="GG120" i="56"/>
  <c r="GE120" i="56"/>
  <c r="DY69" i="56" a="1"/>
  <c r="DY69" i="56" s="1"/>
  <c r="CY64" i="56"/>
  <c r="EJ211" i="56"/>
  <c r="EJ215" i="56"/>
  <c r="FZ226" i="56"/>
  <c r="CU226" i="56"/>
  <c r="CY226" i="56" s="1"/>
  <c r="G226" i="56" s="1"/>
  <c r="CZ226" i="56" s="1"/>
  <c r="DA226" i="56" s="1"/>
  <c r="DI226" i="56"/>
  <c r="FZ259" i="56"/>
  <c r="CU259" i="56"/>
  <c r="CY259" i="56" s="1"/>
  <c r="G259" i="56" s="1"/>
  <c r="CZ259" i="56" s="1"/>
  <c r="DA259" i="56" s="1"/>
  <c r="DI259" i="56"/>
  <c r="FZ322" i="56"/>
  <c r="CU322" i="56"/>
  <c r="CY322" i="56" s="1"/>
  <c r="DI322" i="56"/>
  <c r="GV322" i="56" s="1"/>
  <c r="DB80" i="56" a="1"/>
  <c r="DB80" i="56" s="1"/>
  <c r="DD80" i="56" s="1"/>
  <c r="DE80" i="56"/>
  <c r="GY80" i="56" s="1"/>
  <c r="HB80" i="56"/>
  <c r="HC80" i="56" s="1"/>
  <c r="GV304" i="56"/>
  <c r="DB224" i="56" a="1"/>
  <c r="DB224" i="56" s="1"/>
  <c r="DD224" i="56" s="1"/>
  <c r="DE224" i="56"/>
  <c r="GY224" i="56" s="1"/>
  <c r="HB224" i="56"/>
  <c r="HC224" i="56" s="1"/>
  <c r="EJ133" i="56"/>
  <c r="GE261" i="56"/>
  <c r="GG261" i="56"/>
  <c r="GV79" i="56"/>
  <c r="GP27" i="56"/>
  <c r="GU27" i="56"/>
  <c r="HS27" i="56" s="1"/>
  <c r="GW27" i="56"/>
  <c r="EJ327" i="56"/>
  <c r="FX232" i="56"/>
  <c r="GQ232" i="56"/>
  <c r="GE250" i="56"/>
  <c r="GG250" i="56"/>
  <c r="GN34" i="56"/>
  <c r="IK34" i="56" s="1"/>
  <c r="GO34" i="56"/>
  <c r="GM35" i="56"/>
  <c r="GI35" i="56"/>
  <c r="GJ35" i="56" s="1"/>
  <c r="DB271" i="56" a="1"/>
  <c r="DB271" i="56" s="1"/>
  <c r="DD271" i="56" s="1"/>
  <c r="DE271" i="56"/>
  <c r="GY271" i="56" s="1"/>
  <c r="HB271" i="56"/>
  <c r="GV271" i="56"/>
  <c r="HV324" i="56"/>
  <c r="GH324" i="56"/>
  <c r="GI324" i="56"/>
  <c r="GJ324" i="56" s="1"/>
  <c r="GE18" i="56"/>
  <c r="GG18" i="56"/>
  <c r="EJ143" i="56"/>
  <c r="DY302" i="56" a="1"/>
  <c r="DY302" i="56" s="1"/>
  <c r="FZ222" i="56"/>
  <c r="CU222" i="56"/>
  <c r="CY222" i="56" s="1"/>
  <c r="DI222" i="56"/>
  <c r="GV222" i="56" s="1"/>
  <c r="HV134" i="56"/>
  <c r="GI134" i="56"/>
  <c r="GJ134" i="56" s="1"/>
  <c r="GH134" i="56"/>
  <c r="EJ37" i="56"/>
  <c r="EJ199" i="56"/>
  <c r="FZ62" i="56"/>
  <c r="CU62" i="56"/>
  <c r="CY62" i="56" s="1"/>
  <c r="DI62" i="56"/>
  <c r="GV62" i="56" s="1"/>
  <c r="HV185" i="56"/>
  <c r="GI185" i="56"/>
  <c r="GJ185" i="56" s="1"/>
  <c r="GH185" i="56"/>
  <c r="GT185" i="56" s="1"/>
  <c r="DY7" i="56" a="1"/>
  <c r="DY7" i="56" s="1"/>
  <c r="GE269" i="56"/>
  <c r="GG269" i="56"/>
  <c r="FZ329" i="56"/>
  <c r="CU329" i="56"/>
  <c r="CY329" i="56" s="1"/>
  <c r="DI329" i="56"/>
  <c r="GV329" i="56" s="1"/>
  <c r="EF312" i="56"/>
  <c r="EG312" i="56" s="1"/>
  <c r="DY24" i="56" a="1"/>
  <c r="DY24" i="56" s="1"/>
  <c r="HV345" i="56"/>
  <c r="GI345" i="56"/>
  <c r="GJ345" i="56" s="1"/>
  <c r="GH345" i="56"/>
  <c r="GE264" i="56"/>
  <c r="GG264" i="56"/>
  <c r="DB196" i="56" a="1"/>
  <c r="DB196" i="56" s="1"/>
  <c r="DD196" i="56" s="1"/>
  <c r="DE196" i="56"/>
  <c r="GY196" i="56" s="1"/>
  <c r="HB196" i="56"/>
  <c r="EF206" i="56"/>
  <c r="EG206" i="56" s="1"/>
  <c r="GE20" i="56"/>
  <c r="GG20" i="56"/>
  <c r="DY174" i="56" a="1"/>
  <c r="DY174" i="56" s="1"/>
  <c r="DE204" i="56"/>
  <c r="GY204" i="56" s="1"/>
  <c r="GW225" i="56"/>
  <c r="GU225" i="56"/>
  <c r="HS225" i="56" s="1"/>
  <c r="GP225" i="56"/>
  <c r="GT225" i="56"/>
  <c r="EJ140" i="56"/>
  <c r="HV211" i="56"/>
  <c r="GI211" i="56"/>
  <c r="GH211" i="56"/>
  <c r="DB330" i="56" a="1"/>
  <c r="DB330" i="56" s="1"/>
  <c r="DD330" i="56" s="1"/>
  <c r="DE330" i="56"/>
  <c r="GY330" i="56" s="1"/>
  <c r="HB330" i="56"/>
  <c r="DY76" i="56" a="1"/>
  <c r="DY76" i="56" s="1"/>
  <c r="DB73" i="56" a="1"/>
  <c r="DB73" i="56" s="1"/>
  <c r="DD73" i="56" s="1"/>
  <c r="DE73" i="56"/>
  <c r="GY73" i="56" s="1"/>
  <c r="HB73" i="56"/>
  <c r="GE179" i="56"/>
  <c r="GG179" i="56"/>
  <c r="GE181" i="56"/>
  <c r="GG181" i="56"/>
  <c r="HV314" i="56"/>
  <c r="GH314" i="56"/>
  <c r="GI314" i="56"/>
  <c r="GJ314" i="56" s="1"/>
  <c r="GQ56" i="56"/>
  <c r="FX56" i="56"/>
  <c r="GE80" i="56"/>
  <c r="GG80" i="56"/>
  <c r="GQ111" i="56"/>
  <c r="FX111" i="56"/>
  <c r="DB203" i="56" a="1"/>
  <c r="DB203" i="56" s="1"/>
  <c r="DD203" i="56" s="1"/>
  <c r="DE203" i="56"/>
  <c r="GY203" i="56" s="1"/>
  <c r="HB203" i="56"/>
  <c r="CY292" i="56"/>
  <c r="CY195" i="56"/>
  <c r="G195" i="56" s="1"/>
  <c r="CZ195" i="56" s="1"/>
  <c r="DA195" i="56" s="1"/>
  <c r="DB72" i="56" a="1"/>
  <c r="DB72" i="56" s="1"/>
  <c r="DD72" i="56" s="1"/>
  <c r="DE72" i="56"/>
  <c r="GY72" i="56" s="1"/>
  <c r="HB72" i="56"/>
  <c r="CY233" i="56"/>
  <c r="G233" i="56" s="1"/>
  <c r="CZ233" i="56" s="1"/>
  <c r="DA233" i="56" s="1"/>
  <c r="DB97" i="56" a="1"/>
  <c r="DB97" i="56" s="1"/>
  <c r="DD97" i="56" s="1"/>
  <c r="DE97" i="56"/>
  <c r="GY97" i="56" s="1"/>
  <c r="HB97" i="56"/>
  <c r="DB169" i="56" a="1"/>
  <c r="DB169" i="56" s="1"/>
  <c r="DD169" i="56" s="1"/>
  <c r="DE169" i="56"/>
  <c r="GY169" i="56" s="1"/>
  <c r="GV169" i="56"/>
  <c r="HB169" i="56"/>
  <c r="GQ63" i="56"/>
  <c r="FX63" i="56"/>
  <c r="GE339" i="56"/>
  <c r="GG339" i="56"/>
  <c r="DD293" i="56"/>
  <c r="GV293" i="56"/>
  <c r="DY89" i="56" a="1"/>
  <c r="DY89" i="56" s="1"/>
  <c r="GE189" i="56"/>
  <c r="GG189" i="56"/>
  <c r="EJ155" i="56"/>
  <c r="GE352" i="56"/>
  <c r="GG352" i="56"/>
  <c r="DB161" i="56" a="1"/>
  <c r="DB161" i="56" s="1"/>
  <c r="DD161" i="56" s="1"/>
  <c r="HB161" i="56"/>
  <c r="GV161" i="56"/>
  <c r="DE161" i="56"/>
  <c r="GY161" i="56" s="1"/>
  <c r="CY178" i="56"/>
  <c r="DY106" i="56" a="1"/>
  <c r="DY106" i="56" s="1"/>
  <c r="GQ66" i="56"/>
  <c r="FX66" i="56"/>
  <c r="EJ217" i="56"/>
  <c r="CY208" i="56"/>
  <c r="G208" i="56" s="1"/>
  <c r="CZ208" i="56" s="1"/>
  <c r="DA208" i="56" s="1"/>
  <c r="EJ290" i="56"/>
  <c r="EJ144" i="56"/>
  <c r="GE287" i="56"/>
  <c r="GG287" i="56"/>
  <c r="CY258" i="56"/>
  <c r="G258" i="56" s="1"/>
  <c r="CZ258" i="56" s="1"/>
  <c r="DA258" i="56" s="1"/>
  <c r="EJ192" i="56"/>
  <c r="DB327" i="56" a="1"/>
  <c r="DB327" i="56" s="1"/>
  <c r="DD327" i="56" s="1"/>
  <c r="DE327" i="56"/>
  <c r="GY327" i="56" s="1"/>
  <c r="GV327" i="56"/>
  <c r="HB327" i="56"/>
  <c r="DY26" i="56" a="1"/>
  <c r="DY26" i="56" s="1"/>
  <c r="GQ178" i="56"/>
  <c r="FX178" i="56"/>
  <c r="EJ200" i="56"/>
  <c r="GE86" i="56"/>
  <c r="GG86" i="56"/>
  <c r="GG55" i="56"/>
  <c r="GE123" i="56"/>
  <c r="GG123" i="56"/>
  <c r="DY288" i="56" a="1"/>
  <c r="DY288" i="56" s="1"/>
  <c r="EJ321" i="56"/>
  <c r="FZ140" i="56"/>
  <c r="CU140" i="56"/>
  <c r="CY140" i="56" s="1"/>
  <c r="G140" i="56" s="1"/>
  <c r="CZ140" i="56" s="1"/>
  <c r="DA140" i="56" s="1"/>
  <c r="DI140" i="56"/>
  <c r="GV164" i="56"/>
  <c r="FZ211" i="56"/>
  <c r="CU211" i="56"/>
  <c r="CY211" i="56" s="1"/>
  <c r="G211" i="56" s="1"/>
  <c r="CZ211" i="56" s="1"/>
  <c r="DA211" i="56" s="1"/>
  <c r="DI211" i="56"/>
  <c r="AT3" i="40" a="1"/>
  <c r="AT3" i="40" s="1"/>
  <c r="BU23" i="55"/>
  <c r="BV23" i="55" s="1" a="1"/>
  <c r="BV23" i="55" s="1"/>
  <c r="AE25" i="55" a="1"/>
  <c r="AE25" i="55" s="1"/>
  <c r="AH25" i="55"/>
  <c r="AG25" i="55"/>
  <c r="FU335" i="56"/>
  <c r="FU336" i="56"/>
  <c r="FU337" i="56"/>
  <c r="FU339" i="56"/>
  <c r="FU338" i="56"/>
  <c r="FU340" i="56"/>
  <c r="EJ48" i="56"/>
  <c r="IH191" i="56"/>
  <c r="IN191" i="56" s="1"/>
  <c r="DY347" i="56" a="1"/>
  <c r="DY347" i="56" s="1"/>
  <c r="EJ161" i="56"/>
  <c r="EL3" i="56"/>
  <c r="EB3" i="56"/>
  <c r="EC3" i="56"/>
  <c r="EO3" i="56"/>
  <c r="EM3" i="56"/>
  <c r="EN3" i="56" s="1"/>
  <c r="GX3" i="56" s="1"/>
  <c r="GZ3" i="56" s="1"/>
  <c r="EK3" i="56"/>
  <c r="DB53" i="56" a="1"/>
  <c r="DB53" i="56" s="1"/>
  <c r="DD53" i="56" s="1"/>
  <c r="DE53" i="56"/>
  <c r="GY53" i="56" s="1"/>
  <c r="HB53" i="56"/>
  <c r="HC53" i="56" s="1"/>
  <c r="IH253" i="56"/>
  <c r="DY223" i="56" a="1"/>
  <c r="DY223" i="56" s="1"/>
  <c r="CY327" i="56"/>
  <c r="IH44" i="56"/>
  <c r="AW16" i="55"/>
  <c r="AV15" i="55"/>
  <c r="AU14" i="55"/>
  <c r="AT13" i="55"/>
  <c r="AR26" i="55"/>
  <c r="AW18" i="55"/>
  <c r="AV17" i="55"/>
  <c r="AU16" i="55"/>
  <c r="AT15" i="55"/>
  <c r="BV22" i="55" a="1"/>
  <c r="BV22" i="55" s="1"/>
  <c r="BV14" i="55" a="1"/>
  <c r="BV14" i="55" s="1"/>
  <c r="AW26" i="55"/>
  <c r="AU10" i="55"/>
  <c r="C9" i="61" s="1"/>
  <c r="AT11" i="55"/>
  <c r="AR16" i="55"/>
  <c r="X26" i="55"/>
  <c r="AV10" i="55"/>
  <c r="C10" i="61" s="1"/>
  <c r="AU11" i="55"/>
  <c r="AT12" i="55"/>
  <c r="AR17" i="55"/>
  <c r="AW10" i="55"/>
  <c r="C11" i="61" s="1"/>
  <c r="AV11" i="55"/>
  <c r="AU12" i="55"/>
  <c r="AT14" i="55"/>
  <c r="AR18" i="55"/>
  <c r="AW11" i="55"/>
  <c r="AV12" i="55"/>
  <c r="AU13" i="55"/>
  <c r="AT16" i="55"/>
  <c r="AR19" i="55"/>
  <c r="AW13" i="55"/>
  <c r="AV20" i="55"/>
  <c r="AU25" i="55"/>
  <c r="X22" i="55"/>
  <c r="AW14" i="55"/>
  <c r="AV21" i="55"/>
  <c r="AU26" i="55"/>
  <c r="AG10" i="55"/>
  <c r="AA17" i="55"/>
  <c r="X23" i="55"/>
  <c r="AW17" i="55"/>
  <c r="AV23" i="55"/>
  <c r="AT17" i="55"/>
  <c r="X25" i="55"/>
  <c r="AV18" i="55"/>
  <c r="AU23" i="55"/>
  <c r="X20" i="55"/>
  <c r="AV22" i="55"/>
  <c r="AT21" i="55"/>
  <c r="AV24" i="55"/>
  <c r="AT22" i="55"/>
  <c r="AV25" i="55"/>
  <c r="AT23" i="55"/>
  <c r="AW12" i="55"/>
  <c r="AV26" i="55"/>
  <c r="AT24" i="55"/>
  <c r="X16" i="55"/>
  <c r="AW15" i="55"/>
  <c r="AU15" i="55"/>
  <c r="AT25" i="55"/>
  <c r="AW19" i="55"/>
  <c r="AU17" i="55"/>
  <c r="AT26" i="55"/>
  <c r="AR13" i="55"/>
  <c r="AA20" i="55"/>
  <c r="X18" i="55"/>
  <c r="AW20" i="55"/>
  <c r="AU18" i="55"/>
  <c r="AR14" i="55"/>
  <c r="AW21" i="55"/>
  <c r="AU19" i="55"/>
  <c r="AR15" i="55"/>
  <c r="BV24" i="55" a="1"/>
  <c r="BV24" i="55" s="1"/>
  <c r="AW22" i="55"/>
  <c r="AW23" i="55"/>
  <c r="AU21" i="55"/>
  <c r="AR21" i="55"/>
  <c r="AA24" i="55"/>
  <c r="AW24" i="55"/>
  <c r="AU22" i="55"/>
  <c r="AR22" i="55"/>
  <c r="AH10" i="55"/>
  <c r="AA25" i="55"/>
  <c r="AV16" i="55"/>
  <c r="AR24" i="55"/>
  <c r="X19" i="55"/>
  <c r="AV19" i="55"/>
  <c r="AR25" i="55"/>
  <c r="AU20" i="55"/>
  <c r="X24" i="55"/>
  <c r="AU24" i="55"/>
  <c r="AT10" i="55"/>
  <c r="C8" i="61" s="1"/>
  <c r="AT18" i="55"/>
  <c r="AE10" i="55" a="1"/>
  <c r="AE10" i="55" s="1"/>
  <c r="AT20" i="55"/>
  <c r="AA21" i="55"/>
  <c r="AA22" i="55"/>
  <c r="AW25" i="55"/>
  <c r="AV13" i="55"/>
  <c r="X13" i="55"/>
  <c r="AV14" i="55"/>
  <c r="X14" i="55"/>
  <c r="AT19" i="55"/>
  <c r="X15" i="55"/>
  <c r="X21" i="55"/>
  <c r="AR20" i="55"/>
  <c r="AR23" i="55"/>
  <c r="X17" i="55"/>
  <c r="FU7" i="56"/>
  <c r="FU23" i="56"/>
  <c r="FU13" i="56"/>
  <c r="FU14" i="56"/>
  <c r="FU15" i="56"/>
  <c r="FU16" i="56"/>
  <c r="FU17" i="56"/>
  <c r="FU3" i="56"/>
  <c r="FU20" i="56"/>
  <c r="FU4" i="56"/>
  <c r="FU21" i="56"/>
  <c r="FU5" i="56"/>
  <c r="FU22" i="56"/>
  <c r="FU6" i="56"/>
  <c r="FU24" i="56"/>
  <c r="FU18" i="56"/>
  <c r="FU19" i="56"/>
  <c r="FU25" i="56"/>
  <c r="FU9" i="56"/>
  <c r="FU10" i="56"/>
  <c r="FU11" i="56"/>
  <c r="FU12" i="56"/>
  <c r="FU8" i="56"/>
  <c r="GV122" i="56"/>
  <c r="DB324" i="56" a="1"/>
  <c r="DB324" i="56" s="1"/>
  <c r="DD324" i="56" s="1"/>
  <c r="DE324" i="56"/>
  <c r="GY324" i="56" s="1"/>
  <c r="HB324" i="56"/>
  <c r="DY335" i="56" a="1"/>
  <c r="DY335" i="56" s="1"/>
  <c r="GE249" i="56"/>
  <c r="GG249" i="56"/>
  <c r="GE268" i="56"/>
  <c r="GG268" i="56"/>
  <c r="DY8" i="56" a="1"/>
  <c r="DY8" i="56" s="1"/>
  <c r="HV235" i="56"/>
  <c r="GI235" i="56"/>
  <c r="GH235" i="56"/>
  <c r="FZ201" i="56"/>
  <c r="CU201" i="56"/>
  <c r="CY201" i="56" s="1"/>
  <c r="G201" i="56" s="1"/>
  <c r="CZ201" i="56" s="1"/>
  <c r="DA201" i="56" s="1"/>
  <c r="DI201" i="56"/>
  <c r="DB146" i="56" a="1"/>
  <c r="DB146" i="56" s="1"/>
  <c r="DD146" i="56" s="1"/>
  <c r="DE146" i="56"/>
  <c r="GY146" i="56" s="1"/>
  <c r="HB146" i="56"/>
  <c r="HC146" i="56" s="1"/>
  <c r="GQ28" i="56"/>
  <c r="FX28" i="56"/>
  <c r="EF78" i="56"/>
  <c r="EG78" i="56" s="1"/>
  <c r="GO315" i="56"/>
  <c r="GN315" i="56"/>
  <c r="IK315" i="56" s="1"/>
  <c r="GM316" i="56"/>
  <c r="AF3" i="40" a="1"/>
  <c r="AF3" i="40" s="1"/>
  <c r="FZ294" i="56"/>
  <c r="CU294" i="56"/>
  <c r="CY294" i="56" s="1"/>
  <c r="DI294" i="56"/>
  <c r="GV294" i="56" s="1"/>
  <c r="EF294" i="56"/>
  <c r="EG294" i="56" s="1"/>
  <c r="EJ158" i="56"/>
  <c r="GE267" i="56"/>
  <c r="GG267" i="56"/>
  <c r="GE23" i="56"/>
  <c r="GG23" i="56"/>
  <c r="DB149" i="56" a="1"/>
  <c r="DB149" i="56" s="1"/>
  <c r="DD149" i="56" s="1"/>
  <c r="GV149" i="56"/>
  <c r="HB149" i="56"/>
  <c r="HC149" i="56" s="1"/>
  <c r="DE149" i="56"/>
  <c r="GY149" i="56" s="1"/>
  <c r="HV284" i="56"/>
  <c r="GI284" i="56"/>
  <c r="GJ284" i="56" s="1"/>
  <c r="GH284" i="56"/>
  <c r="EJ270" i="56"/>
  <c r="DB290" i="56" a="1"/>
  <c r="DB290" i="56" s="1"/>
  <c r="DD290" i="56" s="1"/>
  <c r="HB290" i="56"/>
  <c r="DE290" i="56"/>
  <c r="GY290" i="56" s="1"/>
  <c r="GW90" i="56"/>
  <c r="GU90" i="56"/>
  <c r="HS90" i="56" s="1"/>
  <c r="GP90" i="56"/>
  <c r="GE278" i="56"/>
  <c r="GG278" i="56"/>
  <c r="DB150" i="56" a="1"/>
  <c r="DB150" i="56" s="1"/>
  <c r="DD150" i="56" s="1"/>
  <c r="GV150" i="56"/>
  <c r="HB150" i="56"/>
  <c r="HC150" i="56" s="1"/>
  <c r="DE150" i="56"/>
  <c r="GY150" i="56" s="1"/>
  <c r="FZ218" i="56"/>
  <c r="CU218" i="56"/>
  <c r="CY218" i="56" s="1"/>
  <c r="G218" i="56" s="1"/>
  <c r="CZ218" i="56" s="1"/>
  <c r="DA218" i="56" s="1"/>
  <c r="DI218" i="56"/>
  <c r="EF62" i="56"/>
  <c r="EG62" i="56" s="1"/>
  <c r="DB167" i="56" a="1"/>
  <c r="DB167" i="56" s="1"/>
  <c r="DD167" i="56" s="1"/>
  <c r="HB167" i="56"/>
  <c r="DE167" i="56"/>
  <c r="GY167" i="56" s="1"/>
  <c r="EF329" i="56"/>
  <c r="EG329" i="56" s="1"/>
  <c r="GG276" i="56"/>
  <c r="GE276" i="56"/>
  <c r="FZ86" i="56"/>
  <c r="CU86" i="56"/>
  <c r="CY86" i="56" s="1"/>
  <c r="DI86" i="56"/>
  <c r="GV86" i="56" s="1"/>
  <c r="EF86" i="56"/>
  <c r="EG86" i="56" s="1"/>
  <c r="IH185" i="56"/>
  <c r="GR185" i="56"/>
  <c r="N185" i="56" s="1"/>
  <c r="GS185" i="56" s="1"/>
  <c r="GN55" i="56"/>
  <c r="IK55" i="56" s="1"/>
  <c r="GO55" i="56"/>
  <c r="GM56" i="56"/>
  <c r="GE247" i="56"/>
  <c r="GG247" i="56"/>
  <c r="GO287" i="56"/>
  <c r="GN287" i="56"/>
  <c r="IK287" i="56" s="1"/>
  <c r="GM288" i="56"/>
  <c r="FZ22" i="56"/>
  <c r="CU22" i="56"/>
  <c r="CY22" i="56" s="1"/>
  <c r="DI22" i="56"/>
  <c r="GV22" i="56" s="1"/>
  <c r="EF22" i="56"/>
  <c r="EG22" i="56" s="1"/>
  <c r="DY344" i="56" a="1"/>
  <c r="DY344" i="56" s="1"/>
  <c r="DY184" i="56" a="1"/>
  <c r="DY184" i="56" s="1"/>
  <c r="HV139" i="56"/>
  <c r="GH139" i="56"/>
  <c r="GI139" i="56"/>
  <c r="FZ76" i="56"/>
  <c r="CU76" i="56"/>
  <c r="CY76" i="56" s="1"/>
  <c r="DI76" i="56"/>
  <c r="GV76" i="56" s="1"/>
  <c r="EF76" i="56"/>
  <c r="EG76" i="56" s="1"/>
  <c r="DY328" i="56" a="1"/>
  <c r="DY328" i="56" s="1"/>
  <c r="DB88" i="56" a="1"/>
  <c r="DB88" i="56" s="1"/>
  <c r="DD88" i="56" s="1"/>
  <c r="DE88" i="56"/>
  <c r="GY88" i="56" s="1"/>
  <c r="HB88" i="56"/>
  <c r="HC88" i="56" s="1"/>
  <c r="HV343" i="56"/>
  <c r="GH343" i="56"/>
  <c r="GI343" i="56"/>
  <c r="GJ343" i="56" s="1"/>
  <c r="DB50" i="56" a="1"/>
  <c r="DB50" i="56" s="1"/>
  <c r="DD50" i="56" s="1"/>
  <c r="HB50" i="56"/>
  <c r="DE50" i="56"/>
  <c r="GY50" i="56" s="1"/>
  <c r="DB61" i="56" a="1"/>
  <c r="DB61" i="56" s="1"/>
  <c r="DD61" i="56" s="1"/>
  <c r="HB61" i="56"/>
  <c r="GV61" i="56"/>
  <c r="DE61" i="56"/>
  <c r="GY61" i="56" s="1"/>
  <c r="GG279" i="56"/>
  <c r="GV59" i="56"/>
  <c r="DY129" i="56" a="1"/>
  <c r="DY129" i="56" s="1"/>
  <c r="GG118" i="56"/>
  <c r="GE171" i="56"/>
  <c r="GG171" i="56"/>
  <c r="EJ122" i="56"/>
  <c r="GQ291" i="56"/>
  <c r="FX291" i="56"/>
  <c r="EJ156" i="56"/>
  <c r="BU13" i="55"/>
  <c r="BV13" i="55" s="1" a="1"/>
  <c r="BV13" i="55" s="1"/>
  <c r="EJ303" i="56"/>
  <c r="EI28" i="56"/>
  <c r="DY116" i="56" a="1"/>
  <c r="DY116" i="56" s="1"/>
  <c r="GE338" i="56"/>
  <c r="GG338" i="56"/>
  <c r="GE199" i="56"/>
  <c r="GG199" i="56"/>
  <c r="EO27" i="56"/>
  <c r="EM27" i="56"/>
  <c r="EN27" i="56" s="1"/>
  <c r="GX27" i="56" s="1"/>
  <c r="GZ27" i="56" s="1"/>
  <c r="EL27" i="56"/>
  <c r="EC27" i="56"/>
  <c r="EB27" i="56"/>
  <c r="EK27" i="56"/>
  <c r="FX127" i="56"/>
  <c r="GQ127" i="56"/>
  <c r="DB125" i="56" a="1"/>
  <c r="DB125" i="56" s="1"/>
  <c r="DD125" i="56" s="1"/>
  <c r="HB125" i="56"/>
  <c r="DE125" i="56"/>
  <c r="GY125" i="56" s="1"/>
  <c r="GG346" i="56"/>
  <c r="GQ186" i="56"/>
  <c r="FX186" i="56"/>
  <c r="EJ115" i="56"/>
  <c r="DB144" i="56" a="1"/>
  <c r="DB144" i="56" s="1"/>
  <c r="DD144" i="56" s="1"/>
  <c r="GV144" i="56"/>
  <c r="HB144" i="56"/>
  <c r="HC144" i="56" s="1"/>
  <c r="DE144" i="56"/>
  <c r="GY144" i="56" s="1"/>
  <c r="GV183" i="56"/>
  <c r="GE290" i="56"/>
  <c r="GG290" i="56"/>
  <c r="DB192" i="56" a="1"/>
  <c r="DB192" i="56" s="1"/>
  <c r="DD192" i="56" s="1"/>
  <c r="DE192" i="56"/>
  <c r="GY192" i="56" s="1"/>
  <c r="HB192" i="56"/>
  <c r="FZ115" i="56"/>
  <c r="CU115" i="56"/>
  <c r="CY115" i="56" s="1"/>
  <c r="DI115" i="56"/>
  <c r="GV115" i="56" s="1"/>
  <c r="GV99" i="56"/>
  <c r="GE84" i="56"/>
  <c r="GG84" i="56"/>
  <c r="GE64" i="56"/>
  <c r="GG64" i="56"/>
  <c r="GE117" i="56"/>
  <c r="GG117" i="56"/>
  <c r="EJ306" i="56"/>
  <c r="GQ275" i="56"/>
  <c r="FX275" i="56"/>
  <c r="GG174" i="56"/>
  <c r="AS3" i="40" a="1"/>
  <c r="AS3" i="40" s="1"/>
  <c r="GV299" i="56"/>
  <c r="DB19" i="56" a="1"/>
  <c r="DB19" i="56" s="1"/>
  <c r="DD19" i="56" s="1"/>
  <c r="HB19" i="56"/>
  <c r="HC19" i="56" s="1"/>
  <c r="DE19" i="56"/>
  <c r="GY19" i="56" s="1"/>
  <c r="EA3" i="56"/>
  <c r="IH252" i="56"/>
  <c r="DY304" i="56" a="1"/>
  <c r="DY304" i="56" s="1"/>
  <c r="GE222" i="56"/>
  <c r="GG222" i="56"/>
  <c r="AE23" i="55" a="1"/>
  <c r="AE23" i="55" s="1"/>
  <c r="AH23" i="55"/>
  <c r="AG23" i="55"/>
  <c r="FU326" i="56"/>
  <c r="FU327" i="56"/>
  <c r="FU328" i="56"/>
  <c r="FU329" i="56"/>
  <c r="FU325" i="56"/>
  <c r="DB309" i="56" a="1"/>
  <c r="DB309" i="56" s="1"/>
  <c r="DD309" i="56" s="1"/>
  <c r="DE309" i="56"/>
  <c r="GY309" i="56" s="1"/>
  <c r="HB309" i="56"/>
  <c r="GV309" i="56"/>
  <c r="W8" i="42"/>
  <c r="BN41" i="10"/>
  <c r="AA25" i="42"/>
  <c r="AB6" i="42"/>
  <c r="Z6" i="42"/>
  <c r="AD8" i="42"/>
  <c r="AC33" i="42"/>
  <c r="AC55" i="42" s="1"/>
  <c r="AD10" i="42" s="1"/>
  <c r="AD7" i="42"/>
  <c r="Y15" i="42"/>
  <c r="Z7" i="42" s="1"/>
  <c r="BV11" i="55" l="1" a="1"/>
  <c r="BV11" i="55" s="1"/>
  <c r="GI271" i="56"/>
  <c r="GJ271" i="56" s="1"/>
  <c r="GI150" i="56"/>
  <c r="GJ150" i="56" s="1"/>
  <c r="GV310" i="56"/>
  <c r="DB27" i="56" a="1"/>
  <c r="DB27" i="56" s="1"/>
  <c r="DD27" i="56" s="1"/>
  <c r="HV167" i="56"/>
  <c r="GH212" i="56"/>
  <c r="GH150" i="56"/>
  <c r="HB27" i="56"/>
  <c r="HC27" i="56" s="1"/>
  <c r="HB204" i="56"/>
  <c r="GI212" i="56"/>
  <c r="GJ212" i="56" s="1"/>
  <c r="GI167" i="56"/>
  <c r="GJ167" i="56" s="1"/>
  <c r="GV204" i="56"/>
  <c r="GH127" i="56"/>
  <c r="GH271" i="56"/>
  <c r="GV240" i="56"/>
  <c r="GI158" i="56"/>
  <c r="GJ158" i="56" s="1"/>
  <c r="GH7" i="56"/>
  <c r="GH158" i="56"/>
  <c r="GR326" i="56"/>
  <c r="N326" i="56" s="1"/>
  <c r="GS326" i="56" s="1"/>
  <c r="HE326" i="56" s="1"/>
  <c r="HF326" i="56" s="1"/>
  <c r="HB188" i="56"/>
  <c r="DE241" i="56"/>
  <c r="GY241" i="56" s="1"/>
  <c r="GI7" i="56"/>
  <c r="GJ7" i="56" s="1"/>
  <c r="IH326" i="56"/>
  <c r="IN326" i="56" s="1"/>
  <c r="IO326" i="56" s="1"/>
  <c r="IH147" i="56"/>
  <c r="IN147" i="56" s="1"/>
  <c r="IO147" i="56" s="1"/>
  <c r="DE240" i="56"/>
  <c r="GY240" i="56" s="1"/>
  <c r="HB240" i="56"/>
  <c r="DE281" i="56"/>
  <c r="GY281" i="56" s="1"/>
  <c r="DB188" i="56" a="1"/>
  <c r="DB188" i="56" s="1"/>
  <c r="DD188" i="56" s="1"/>
  <c r="DY188" i="56" s="1" a="1"/>
  <c r="DY188" i="56" s="1"/>
  <c r="GV281" i="56"/>
  <c r="GV312" i="56"/>
  <c r="HB254" i="56"/>
  <c r="DB241" i="56" a="1"/>
  <c r="DB241" i="56" s="1"/>
  <c r="DD241" i="56" s="1"/>
  <c r="GT90" i="56"/>
  <c r="DE213" i="56"/>
  <c r="GY213" i="56" s="1"/>
  <c r="HV58" i="56"/>
  <c r="HB281" i="56"/>
  <c r="GT54" i="56"/>
  <c r="IO332" i="56"/>
  <c r="GI58" i="56"/>
  <c r="GJ58" i="56" s="1"/>
  <c r="HB213" i="56"/>
  <c r="FX99" i="56"/>
  <c r="IH99" i="56" s="1"/>
  <c r="IN99" i="56" s="1"/>
  <c r="IO99" i="56" s="1"/>
  <c r="DE44" i="56"/>
  <c r="GY44" i="56" s="1"/>
  <c r="DE254" i="56"/>
  <c r="GY254" i="56" s="1"/>
  <c r="GV136" i="56"/>
  <c r="GV227" i="56"/>
  <c r="GV146" i="56"/>
  <c r="GV324" i="56"/>
  <c r="AR11" i="55"/>
  <c r="GV44" i="56"/>
  <c r="GV63" i="56"/>
  <c r="HB38" i="56"/>
  <c r="GV235" i="56"/>
  <c r="GV82" i="56"/>
  <c r="GV321" i="56"/>
  <c r="EF27" i="56"/>
  <c r="EG27" i="56" s="1"/>
  <c r="R27" i="56" s="1"/>
  <c r="GV212" i="56"/>
  <c r="GV151" i="56"/>
  <c r="DY58" i="56" a="1"/>
  <c r="DY58" i="56" s="1"/>
  <c r="GI344" i="56"/>
  <c r="HV344" i="56"/>
  <c r="GH344" i="56"/>
  <c r="HT344" i="56" s="1"/>
  <c r="GQ55" i="56"/>
  <c r="FX55" i="56"/>
  <c r="GJ325" i="56"/>
  <c r="HT325" i="56"/>
  <c r="GV196" i="56"/>
  <c r="GV277" i="56"/>
  <c r="GV46" i="56"/>
  <c r="HV94" i="56"/>
  <c r="HV232" i="56"/>
  <c r="GQ254" i="56"/>
  <c r="FX254" i="56"/>
  <c r="HV140" i="56"/>
  <c r="GI140" i="56"/>
  <c r="GJ140" i="56" s="1"/>
  <c r="GH140" i="56"/>
  <c r="HV207" i="56"/>
  <c r="GI207" i="56"/>
  <c r="GJ207" i="56" s="1"/>
  <c r="GH207" i="56"/>
  <c r="IN253" i="56"/>
  <c r="IO253" i="56" s="1"/>
  <c r="X10" i="55"/>
  <c r="X12" i="55"/>
  <c r="HV128" i="56"/>
  <c r="GI128" i="56"/>
  <c r="GJ128" i="56" s="1"/>
  <c r="GH128" i="56"/>
  <c r="GH129" i="56" s="1"/>
  <c r="GI129" i="56" s="1"/>
  <c r="GJ129" i="56" s="1"/>
  <c r="AR10" i="55"/>
  <c r="AS10" i="55" s="1" a="1"/>
  <c r="AS10" i="55" s="1"/>
  <c r="IO249" i="56"/>
  <c r="GQ42" i="56"/>
  <c r="FX42" i="56"/>
  <c r="GV331" i="56"/>
  <c r="HT7" i="56"/>
  <c r="GQ123" i="56"/>
  <c r="FX123" i="56"/>
  <c r="GH106" i="56"/>
  <c r="GV42" i="56"/>
  <c r="HV135" i="56"/>
  <c r="GI336" i="56"/>
  <c r="GV187" i="56"/>
  <c r="GI106" i="56"/>
  <c r="GJ106" i="56" s="1"/>
  <c r="GV176" i="56"/>
  <c r="GV229" i="56"/>
  <c r="GV118" i="56"/>
  <c r="HB42" i="56"/>
  <c r="DE210" i="56"/>
  <c r="GY210" i="56" s="1"/>
  <c r="GI148" i="56"/>
  <c r="GJ148" i="56" s="1"/>
  <c r="GH148" i="56"/>
  <c r="HV148" i="56"/>
  <c r="GV114" i="56"/>
  <c r="GI127" i="56"/>
  <c r="GJ127" i="56" s="1"/>
  <c r="DE48" i="56"/>
  <c r="GY48" i="56" s="1"/>
  <c r="DE252" i="56"/>
  <c r="GY252" i="56" s="1"/>
  <c r="DE42" i="56"/>
  <c r="GY42" i="56" s="1"/>
  <c r="IN108" i="56"/>
  <c r="IO108" i="56" s="1"/>
  <c r="GV210" i="56"/>
  <c r="GQ316" i="56"/>
  <c r="FX316" i="56"/>
  <c r="HV255" i="56"/>
  <c r="GI255" i="56"/>
  <c r="GJ255" i="56" s="1"/>
  <c r="GH255" i="56"/>
  <c r="HB48" i="56"/>
  <c r="GH182" i="56"/>
  <c r="HB252" i="56"/>
  <c r="HB210" i="56"/>
  <c r="GI182" i="56"/>
  <c r="GJ182" i="56" s="1"/>
  <c r="GV23" i="56"/>
  <c r="GI234" i="56"/>
  <c r="GJ234" i="56" s="1"/>
  <c r="GV198" i="56"/>
  <c r="GV185" i="56"/>
  <c r="GV166" i="56"/>
  <c r="GV241" i="56"/>
  <c r="GH294" i="56"/>
  <c r="GV137" i="56"/>
  <c r="GT326" i="56"/>
  <c r="GV340" i="56"/>
  <c r="GH137" i="56"/>
  <c r="HV137" i="56"/>
  <c r="GI137" i="56"/>
  <c r="GJ137" i="56" s="1"/>
  <c r="GV41" i="56"/>
  <c r="GH234" i="56"/>
  <c r="GV254" i="56"/>
  <c r="DZ114" i="56" a="1"/>
  <c r="DZ114" i="56" s="1"/>
  <c r="GI94" i="56"/>
  <c r="GJ94" i="56" s="1"/>
  <c r="GI232" i="56"/>
  <c r="GJ232" i="56" s="1"/>
  <c r="GI294" i="56"/>
  <c r="GQ220" i="56"/>
  <c r="FX220" i="56"/>
  <c r="GV290" i="56"/>
  <c r="GV152" i="56"/>
  <c r="GV45" i="56"/>
  <c r="GV251" i="56"/>
  <c r="AB3" i="40" a="1"/>
  <c r="AB3" i="40" s="1"/>
  <c r="GV267" i="56"/>
  <c r="GV291" i="56"/>
  <c r="GV213" i="56"/>
  <c r="EF11" i="56"/>
  <c r="EG11" i="56" s="1"/>
  <c r="R11" i="56" s="1"/>
  <c r="AA12" i="55"/>
  <c r="AA11" i="55"/>
  <c r="AA10" i="55"/>
  <c r="EJ207" i="56"/>
  <c r="W9" i="42"/>
  <c r="IH186" i="56"/>
  <c r="GR186" i="56"/>
  <c r="N186" i="56" s="1"/>
  <c r="GS186" i="56" s="1"/>
  <c r="GT186" i="56"/>
  <c r="IH291" i="56"/>
  <c r="EJ76" i="56"/>
  <c r="HV276" i="56"/>
  <c r="GH276" i="56"/>
  <c r="GI276" i="56"/>
  <c r="GJ276" i="56" s="1"/>
  <c r="BY13" i="56" a="1"/>
  <c r="BY13" i="56" s="1"/>
  <c r="BY184" i="56" a="1"/>
  <c r="BY184" i="56" s="1"/>
  <c r="AZ22" i="55"/>
  <c r="AS22" i="55" a="1"/>
  <c r="AS22" i="55" s="1"/>
  <c r="Y22" i="55" s="1"/>
  <c r="BA22" i="55" s="1"/>
  <c r="BL184" i="56"/>
  <c r="BN13" i="56"/>
  <c r="BL13" i="56"/>
  <c r="IN44" i="56"/>
  <c r="IO44" i="56" s="1"/>
  <c r="IH178" i="56"/>
  <c r="GQ290" i="56"/>
  <c r="FX290" i="56"/>
  <c r="HV352" i="56"/>
  <c r="GI352" i="56"/>
  <c r="GH352" i="56"/>
  <c r="EA76" i="56"/>
  <c r="DZ76" i="56" a="1"/>
  <c r="DZ76" i="56" s="1"/>
  <c r="IH232" i="56"/>
  <c r="IN232" i="56" s="1"/>
  <c r="IO232" i="56" s="1"/>
  <c r="HV292" i="56"/>
  <c r="GI292" i="56"/>
  <c r="GH292" i="56"/>
  <c r="DY277" i="56" a="1"/>
  <c r="DY277" i="56" s="1"/>
  <c r="GN92" i="56"/>
  <c r="IK92" i="56" s="1"/>
  <c r="GO92" i="56"/>
  <c r="GM93" i="56"/>
  <c r="GW337" i="56"/>
  <c r="GP337" i="56"/>
  <c r="GU337" i="56"/>
  <c r="HS337" i="56" s="1"/>
  <c r="DY41" i="56" a="1"/>
  <c r="DY41" i="56" s="1"/>
  <c r="EA296" i="56"/>
  <c r="DZ296" i="56" a="1"/>
  <c r="DZ296" i="56" s="1"/>
  <c r="DY158" i="56" a="1"/>
  <c r="DY158" i="56" s="1"/>
  <c r="EA170" i="56"/>
  <c r="DZ170" i="56" a="1"/>
  <c r="DZ170" i="56" s="1"/>
  <c r="IH96" i="56"/>
  <c r="DY249" i="56" a="1"/>
  <c r="DY249" i="56" s="1"/>
  <c r="HV22" i="56"/>
  <c r="GH22" i="56"/>
  <c r="GI22" i="56"/>
  <c r="GJ22" i="56" s="1"/>
  <c r="HV124" i="56"/>
  <c r="GI124" i="56"/>
  <c r="GH124" i="56"/>
  <c r="EA98" i="56"/>
  <c r="DZ98" i="56" a="1"/>
  <c r="DZ98" i="56" s="1"/>
  <c r="EA107" i="56"/>
  <c r="DZ107" i="56" a="1"/>
  <c r="DZ107" i="56" s="1"/>
  <c r="GJ254" i="56"/>
  <c r="IH182" i="56"/>
  <c r="IN182" i="56" s="1"/>
  <c r="IO182" i="56" s="1"/>
  <c r="EA21" i="56"/>
  <c r="DZ21" i="56" a="1"/>
  <c r="DZ21" i="56" s="1"/>
  <c r="DB343" i="56" a="1"/>
  <c r="DB343" i="56" s="1"/>
  <c r="DD343" i="56" s="1"/>
  <c r="DE343" i="56"/>
  <c r="GY343" i="56" s="1"/>
  <c r="HB343" i="56"/>
  <c r="HC343" i="56" s="1"/>
  <c r="GP28" i="56"/>
  <c r="GW28" i="56"/>
  <c r="GU28" i="56"/>
  <c r="HS28" i="56" s="1"/>
  <c r="EJ347" i="56"/>
  <c r="DB142" i="56" a="1"/>
  <c r="DB142" i="56" s="1"/>
  <c r="DD142" i="56" s="1"/>
  <c r="HB142" i="56"/>
  <c r="HC142" i="56" s="1"/>
  <c r="GV142" i="56"/>
  <c r="DE142" i="56"/>
  <c r="GY142" i="56" s="1"/>
  <c r="GQ95" i="56"/>
  <c r="FX95" i="56"/>
  <c r="IH194" i="56"/>
  <c r="IH208" i="56"/>
  <c r="DY37" i="56" a="1"/>
  <c r="DY37" i="56" s="1"/>
  <c r="HV304" i="56"/>
  <c r="GH304" i="56"/>
  <c r="GI304" i="56"/>
  <c r="GO158" i="56"/>
  <c r="GN158" i="56"/>
  <c r="IK158" i="56" s="1"/>
  <c r="GM159" i="56"/>
  <c r="DY9" i="56" a="1"/>
  <c r="DY9" i="56" s="1"/>
  <c r="L36" i="16"/>
  <c r="L30" i="16"/>
  <c r="L35" i="16"/>
  <c r="L29" i="16"/>
  <c r="L31" i="16"/>
  <c r="L34" i="16"/>
  <c r="L32" i="16"/>
  <c r="L33" i="16"/>
  <c r="L28" i="16"/>
  <c r="L27" i="16"/>
  <c r="HV203" i="56"/>
  <c r="GI203" i="56"/>
  <c r="GH203" i="56"/>
  <c r="EA60" i="56"/>
  <c r="DZ60" i="56" a="1"/>
  <c r="DZ60" i="56" s="1"/>
  <c r="GQ273" i="56"/>
  <c r="FX273" i="56"/>
  <c r="IH150" i="56"/>
  <c r="IN150" i="56" s="1"/>
  <c r="GQ157" i="56"/>
  <c r="FX157" i="56"/>
  <c r="GQ242" i="56"/>
  <c r="FX242" i="56"/>
  <c r="GT330" i="56"/>
  <c r="HV81" i="56"/>
  <c r="GI81" i="56"/>
  <c r="GJ81" i="56" s="1"/>
  <c r="GH81" i="56"/>
  <c r="HV13" i="56"/>
  <c r="GH13" i="56"/>
  <c r="GI13" i="56"/>
  <c r="GQ181" i="56"/>
  <c r="FX181" i="56"/>
  <c r="EA20" i="56"/>
  <c r="BS26" i="55" s="1" a="1"/>
  <c r="BS26" i="55" s="1"/>
  <c r="FQ225" i="56"/>
  <c r="FT225" i="56" s="1"/>
  <c r="FQ248" i="56"/>
  <c r="FT248" i="56" s="1"/>
  <c r="FQ267" i="56"/>
  <c r="FT267" i="56" s="1"/>
  <c r="FQ235" i="56"/>
  <c r="FT235" i="56" s="1"/>
  <c r="FQ252" i="56"/>
  <c r="FT252" i="56" s="1"/>
  <c r="FQ264" i="56"/>
  <c r="FT264" i="56" s="1"/>
  <c r="FQ276" i="56"/>
  <c r="FT276" i="56" s="1"/>
  <c r="FQ249" i="56"/>
  <c r="FT249" i="56" s="1"/>
  <c r="FQ280" i="56"/>
  <c r="FT280" i="56" s="1"/>
  <c r="FQ254" i="56"/>
  <c r="FT254" i="56" s="1"/>
  <c r="FQ234" i="56"/>
  <c r="FT234" i="56" s="1"/>
  <c r="FQ242" i="56"/>
  <c r="FT242" i="56" s="1"/>
  <c r="FQ243" i="56"/>
  <c r="FT243" i="56" s="1"/>
  <c r="FQ232" i="56"/>
  <c r="FT232" i="56" s="1"/>
  <c r="FQ253" i="56"/>
  <c r="FT253" i="56" s="1"/>
  <c r="FQ226" i="56"/>
  <c r="FT226" i="56" s="1"/>
  <c r="FQ241" i="56"/>
  <c r="FT241" i="56" s="1"/>
  <c r="FQ270" i="56"/>
  <c r="FT270" i="56" s="1"/>
  <c r="FQ259" i="56"/>
  <c r="FT259" i="56" s="1"/>
  <c r="FQ258" i="56"/>
  <c r="FT258" i="56" s="1"/>
  <c r="FQ275" i="56"/>
  <c r="FT275" i="56" s="1"/>
  <c r="FQ268" i="56"/>
  <c r="FT268" i="56" s="1"/>
  <c r="FQ233" i="56"/>
  <c r="FT233" i="56" s="1"/>
  <c r="FQ266" i="56"/>
  <c r="FT266" i="56" s="1"/>
  <c r="FQ240" i="56"/>
  <c r="FT240" i="56" s="1"/>
  <c r="FQ260" i="56"/>
  <c r="FT260" i="56" s="1"/>
  <c r="FQ227" i="56"/>
  <c r="FT227" i="56" s="1"/>
  <c r="FQ238" i="56"/>
  <c r="FT238" i="56" s="1"/>
  <c r="FQ265" i="56"/>
  <c r="FT265" i="56" s="1"/>
  <c r="FQ231" i="56"/>
  <c r="FT231" i="56" s="1"/>
  <c r="FQ251" i="56"/>
  <c r="FT251" i="56" s="1"/>
  <c r="FQ236" i="56"/>
  <c r="FT236" i="56" s="1"/>
  <c r="FQ263" i="56"/>
  <c r="FT263" i="56" s="1"/>
  <c r="FQ277" i="56"/>
  <c r="FT277" i="56" s="1"/>
  <c r="FQ271" i="56"/>
  <c r="FT271" i="56" s="1"/>
  <c r="FQ257" i="56"/>
  <c r="FT257" i="56" s="1"/>
  <c r="FQ273" i="56"/>
  <c r="FT273" i="56" s="1"/>
  <c r="FQ256" i="56"/>
  <c r="FT256" i="56" s="1"/>
  <c r="FQ278" i="56"/>
  <c r="FT278" i="56" s="1"/>
  <c r="FQ274" i="56"/>
  <c r="FT274" i="56" s="1"/>
  <c r="FQ262" i="56"/>
  <c r="FT262" i="56" s="1"/>
  <c r="FQ282" i="56"/>
  <c r="FT282" i="56" s="1"/>
  <c r="FQ244" i="56"/>
  <c r="FT244" i="56" s="1"/>
  <c r="FQ247" i="56"/>
  <c r="FT247" i="56" s="1"/>
  <c r="FQ246" i="56"/>
  <c r="FT246" i="56" s="1"/>
  <c r="FQ279" i="56"/>
  <c r="FT279" i="56" s="1"/>
  <c r="FQ230" i="56"/>
  <c r="FT230" i="56" s="1"/>
  <c r="FQ272" i="56"/>
  <c r="FT272" i="56" s="1"/>
  <c r="FQ250" i="56"/>
  <c r="FT250" i="56" s="1"/>
  <c r="FQ237" i="56"/>
  <c r="FT237" i="56" s="1"/>
  <c r="FQ255" i="56"/>
  <c r="FT255" i="56" s="1"/>
  <c r="FQ229" i="56"/>
  <c r="FT229" i="56" s="1"/>
  <c r="FQ245" i="56"/>
  <c r="FT245" i="56" s="1"/>
  <c r="FQ224" i="56"/>
  <c r="FT224" i="56" s="1"/>
  <c r="FQ269" i="56"/>
  <c r="FT269" i="56" s="1"/>
  <c r="FQ239" i="56"/>
  <c r="FT239" i="56" s="1"/>
  <c r="FQ281" i="56"/>
  <c r="FT281" i="56" s="1"/>
  <c r="FQ261" i="56"/>
  <c r="FT261" i="56" s="1"/>
  <c r="FQ228" i="56"/>
  <c r="FT228" i="56" s="1"/>
  <c r="HV57" i="56"/>
  <c r="GI57" i="56"/>
  <c r="GH57" i="56"/>
  <c r="GQ40" i="56"/>
  <c r="FX40" i="56"/>
  <c r="GQ180" i="56"/>
  <c r="FX180" i="56"/>
  <c r="GW8" i="56"/>
  <c r="GU8" i="56"/>
  <c r="GP8" i="56"/>
  <c r="BP21" i="55" a="1"/>
  <c r="BP21" i="55" s="1"/>
  <c r="BT21" i="55" a="1"/>
  <c r="BT21" i="55" s="1"/>
  <c r="BL21" i="55" a="1"/>
  <c r="BL21" i="55" s="1"/>
  <c r="HV73" i="56"/>
  <c r="GI73" i="56"/>
  <c r="GJ73" i="56" s="1"/>
  <c r="GH73" i="56"/>
  <c r="HV29" i="56"/>
  <c r="GI29" i="56"/>
  <c r="GJ29" i="56" s="1"/>
  <c r="GH29" i="56"/>
  <c r="DY332" i="56" a="1"/>
  <c r="DY332" i="56" s="1"/>
  <c r="EA95" i="56"/>
  <c r="DZ95" i="56" a="1"/>
  <c r="DZ95" i="56" s="1"/>
  <c r="IH225" i="56"/>
  <c r="IN225" i="56" s="1"/>
  <c r="GR225" i="56"/>
  <c r="N225" i="56" s="1"/>
  <c r="GS225" i="56" s="1"/>
  <c r="DB274" i="56" a="1"/>
  <c r="DB274" i="56" s="1"/>
  <c r="DD274" i="56" s="1"/>
  <c r="DE274" i="56"/>
  <c r="GY274" i="56" s="1"/>
  <c r="HB274" i="56"/>
  <c r="HC274" i="56" s="1"/>
  <c r="GQ243" i="56"/>
  <c r="FX243" i="56"/>
  <c r="GQ112" i="56"/>
  <c r="FX112" i="56"/>
  <c r="IH120" i="56"/>
  <c r="IN120" i="56" s="1"/>
  <c r="HT341" i="56"/>
  <c r="HV199" i="56"/>
  <c r="GI199" i="56"/>
  <c r="GH199" i="56"/>
  <c r="GQ122" i="56"/>
  <c r="FX122" i="56"/>
  <c r="GW287" i="56"/>
  <c r="GU287" i="56"/>
  <c r="HS287" i="56" s="1"/>
  <c r="GP287" i="56"/>
  <c r="EJ329" i="56"/>
  <c r="DY150" i="56" a="1"/>
  <c r="DY150" i="56" s="1"/>
  <c r="GQ270" i="56"/>
  <c r="FX270" i="56"/>
  <c r="EA335" i="56"/>
  <c r="BL12" i="56"/>
  <c r="BN12" i="56"/>
  <c r="BL154" i="56"/>
  <c r="BY15" i="56" a="1"/>
  <c r="BY15" i="56" s="1"/>
  <c r="BY283" i="56" a="1"/>
  <c r="BY283" i="56" s="1"/>
  <c r="BL18" i="56"/>
  <c r="BN18" i="56"/>
  <c r="BL325" i="56"/>
  <c r="BL20" i="56"/>
  <c r="BN20" i="56"/>
  <c r="BL341" i="56"/>
  <c r="IH63" i="56"/>
  <c r="DY72" i="56" a="1"/>
  <c r="DY72" i="56" s="1"/>
  <c r="EA7" i="56"/>
  <c r="BS15" i="55" s="1" a="1"/>
  <c r="BS15" i="55" s="1"/>
  <c r="GQ98" i="56"/>
  <c r="FX98" i="56"/>
  <c r="EA78" i="56"/>
  <c r="DZ78" i="56" a="1"/>
  <c r="DZ78" i="56" s="1"/>
  <c r="HV111" i="56"/>
  <c r="GI111" i="56"/>
  <c r="GH111" i="56"/>
  <c r="HT91" i="56"/>
  <c r="GT91" i="56"/>
  <c r="GP91" i="56"/>
  <c r="GW91" i="56"/>
  <c r="GU91" i="56"/>
  <c r="HS91" i="56" s="1"/>
  <c r="EA350" i="56"/>
  <c r="DZ350" i="56" a="1"/>
  <c r="DZ350" i="56" s="1"/>
  <c r="DB256" i="56" a="1"/>
  <c r="DB256" i="56" s="1"/>
  <c r="DD256" i="56" s="1"/>
  <c r="DE256" i="56"/>
  <c r="GY256" i="56" s="1"/>
  <c r="HB256" i="56"/>
  <c r="BL26" i="55" a="1"/>
  <c r="BL26" i="55" s="1"/>
  <c r="BP26" i="55" a="1"/>
  <c r="BP26" i="55" s="1"/>
  <c r="BT26" i="55" a="1"/>
  <c r="BT26" i="55" s="1"/>
  <c r="DY133" i="56" a="1"/>
  <c r="DY133" i="56" s="1"/>
  <c r="IN32" i="56"/>
  <c r="IO32" i="56" s="1"/>
  <c r="GQ89" i="56"/>
  <c r="GR90" i="56" s="1"/>
  <c r="N90" i="56" s="1"/>
  <c r="GS90" i="56" s="1"/>
  <c r="FX89" i="56"/>
  <c r="DB262" i="56" a="1"/>
  <c r="DB262" i="56" s="1"/>
  <c r="DD262" i="56" s="1"/>
  <c r="HB262" i="56"/>
  <c r="DE262" i="56"/>
  <c r="GY262" i="56" s="1"/>
  <c r="GV276" i="56"/>
  <c r="GV225" i="56"/>
  <c r="HV9" i="56"/>
  <c r="GI9" i="56"/>
  <c r="GH9" i="56"/>
  <c r="GQ201" i="56"/>
  <c r="FX201" i="56"/>
  <c r="DY45" i="56" a="1"/>
  <c r="DY45" i="56" s="1"/>
  <c r="GQ280" i="56"/>
  <c r="FX280" i="56"/>
  <c r="HV252" i="56"/>
  <c r="GI252" i="56"/>
  <c r="GH252" i="56"/>
  <c r="HV119" i="56"/>
  <c r="GI119" i="56"/>
  <c r="GH119" i="56"/>
  <c r="DB268" i="56" a="1"/>
  <c r="DB268" i="56" s="1"/>
  <c r="DD268" i="56" s="1"/>
  <c r="DE268" i="56"/>
  <c r="GY268" i="56" s="1"/>
  <c r="HB268" i="56"/>
  <c r="HV273" i="56"/>
  <c r="GI273" i="56"/>
  <c r="GJ273" i="56" s="1"/>
  <c r="GH273" i="56"/>
  <c r="GP157" i="56"/>
  <c r="GU157" i="56"/>
  <c r="HS157" i="56" s="1"/>
  <c r="GW157" i="56"/>
  <c r="DY232" i="56" a="1"/>
  <c r="DY232" i="56" s="1"/>
  <c r="DB342" i="56" a="1"/>
  <c r="DB342" i="56" s="1"/>
  <c r="DD342" i="56" s="1"/>
  <c r="HB342" i="56"/>
  <c r="HC342" i="56" s="1"/>
  <c r="DE342" i="56"/>
  <c r="GY342" i="56" s="1"/>
  <c r="EA319" i="56"/>
  <c r="DZ319" i="56" a="1"/>
  <c r="DZ319" i="56" s="1"/>
  <c r="HV160" i="56"/>
  <c r="GH160" i="56"/>
  <c r="GI160" i="56"/>
  <c r="GJ160" i="56" s="1"/>
  <c r="EA325" i="56"/>
  <c r="IN11" i="56"/>
  <c r="IO11" i="56"/>
  <c r="IH11" i="56"/>
  <c r="II11" i="56" s="1"/>
  <c r="GR11" i="56"/>
  <c r="DY199" i="56" a="1"/>
  <c r="DY199" i="56" s="1"/>
  <c r="DB219" i="56" a="1"/>
  <c r="DB219" i="56" s="1"/>
  <c r="DD219" i="56" s="1"/>
  <c r="DE219" i="56"/>
  <c r="GY219" i="56" s="1"/>
  <c r="HB219" i="56"/>
  <c r="IH279" i="56"/>
  <c r="IN279" i="56" s="1"/>
  <c r="IO279" i="56" s="1"/>
  <c r="IH170" i="56"/>
  <c r="IN170" i="56" s="1"/>
  <c r="DY194" i="56" a="1"/>
  <c r="DY194" i="56" s="1"/>
  <c r="IO50" i="56"/>
  <c r="IN50" i="56"/>
  <c r="IH50" i="56"/>
  <c r="II50" i="56" s="1"/>
  <c r="GR50" i="56"/>
  <c r="N50" i="56" s="1"/>
  <c r="GS50" i="56" s="1"/>
  <c r="HE50" i="56" s="1"/>
  <c r="HF50" i="56" s="1"/>
  <c r="GI330" i="56"/>
  <c r="GJ330" i="56" s="1"/>
  <c r="HV291" i="56"/>
  <c r="GI291" i="56"/>
  <c r="GJ291" i="56" s="1"/>
  <c r="GH291" i="56"/>
  <c r="HV194" i="56"/>
  <c r="GH194" i="56"/>
  <c r="GI194" i="56"/>
  <c r="GJ194" i="56" s="1"/>
  <c r="DY348" i="56" a="1"/>
  <c r="DY348" i="56" s="1"/>
  <c r="DB139" i="56" a="1"/>
  <c r="DB139" i="56" s="1"/>
  <c r="DD139" i="56" s="1"/>
  <c r="DE139" i="56"/>
  <c r="GY139" i="56" s="1"/>
  <c r="HB139" i="56"/>
  <c r="HC139" i="56" s="1"/>
  <c r="HV223" i="56"/>
  <c r="GH223" i="56"/>
  <c r="GI223" i="56"/>
  <c r="GJ223" i="56" s="1"/>
  <c r="GJ135" i="56"/>
  <c r="HV187" i="56"/>
  <c r="GH187" i="56"/>
  <c r="GI187" i="56"/>
  <c r="GJ187" i="56" s="1"/>
  <c r="BP19" i="55" a="1"/>
  <c r="BP19" i="55" s="1"/>
  <c r="BL19" i="55" a="1"/>
  <c r="BL19" i="55" s="1"/>
  <c r="BT19" i="55" a="1"/>
  <c r="BT19" i="55" s="1"/>
  <c r="EA156" i="56"/>
  <c r="DZ156" i="56" a="1"/>
  <c r="DZ156" i="56" s="1"/>
  <c r="GQ128" i="56"/>
  <c r="FX128" i="56"/>
  <c r="GJ251" i="56"/>
  <c r="HV27" i="56"/>
  <c r="GI27" i="56"/>
  <c r="GJ27" i="56" s="1"/>
  <c r="GH27" i="56"/>
  <c r="GT27" i="56" s="1"/>
  <c r="GQ238" i="56"/>
  <c r="FX238" i="56"/>
  <c r="GQ340" i="56"/>
  <c r="FX340" i="56"/>
  <c r="IH324" i="56"/>
  <c r="IN324" i="56" s="1"/>
  <c r="IO324" i="56" s="1"/>
  <c r="HV117" i="56"/>
  <c r="GI117" i="56"/>
  <c r="GH117" i="56"/>
  <c r="GV50" i="56"/>
  <c r="HV247" i="56"/>
  <c r="GI247" i="56"/>
  <c r="GH247" i="56"/>
  <c r="EJ294" i="56"/>
  <c r="AS23" i="55" a="1"/>
  <c r="AS23" i="55" s="1"/>
  <c r="AZ23" i="55"/>
  <c r="Y23" i="55" s="1"/>
  <c r="BA23" i="55" s="1"/>
  <c r="C27" i="61"/>
  <c r="G6" i="59"/>
  <c r="FQ10" i="56"/>
  <c r="FT10" i="56" s="1"/>
  <c r="FQ8" i="56"/>
  <c r="FT8" i="56" s="1"/>
  <c r="FQ15" i="56"/>
  <c r="FT15" i="56" s="1"/>
  <c r="FQ13" i="56"/>
  <c r="FT13" i="56" s="1"/>
  <c r="FQ11" i="56"/>
  <c r="FT11" i="56" s="1"/>
  <c r="FQ3" i="56"/>
  <c r="FT3" i="56" s="1"/>
  <c r="FQ9" i="56"/>
  <c r="FT9" i="56" s="1"/>
  <c r="FQ23" i="56"/>
  <c r="FT23" i="56" s="1"/>
  <c r="FQ24" i="56"/>
  <c r="FT24" i="56" s="1"/>
  <c r="FQ12" i="56"/>
  <c r="FT12" i="56" s="1"/>
  <c r="FQ4" i="56"/>
  <c r="FT4" i="56" s="1"/>
  <c r="FQ5" i="56"/>
  <c r="FT5" i="56" s="1"/>
  <c r="FQ14" i="56"/>
  <c r="FT14" i="56" s="1"/>
  <c r="FQ7" i="56"/>
  <c r="FT7" i="56" s="1"/>
  <c r="FQ18" i="56"/>
  <c r="FT18" i="56" s="1"/>
  <c r="FQ16" i="56"/>
  <c r="FT16" i="56" s="1"/>
  <c r="FQ17" i="56"/>
  <c r="FT17" i="56" s="1"/>
  <c r="FQ20" i="56"/>
  <c r="FT20" i="56" s="1"/>
  <c r="FQ22" i="56"/>
  <c r="FT22" i="56" s="1"/>
  <c r="FQ19" i="56"/>
  <c r="FT19" i="56" s="1"/>
  <c r="FQ25" i="56"/>
  <c r="FT25" i="56" s="1"/>
  <c r="FQ6" i="56"/>
  <c r="FT6" i="56" s="1"/>
  <c r="FQ21" i="56"/>
  <c r="FT21" i="56" s="1"/>
  <c r="AZ13" i="55"/>
  <c r="AS13" i="55" a="1"/>
  <c r="AS13" i="55" s="1"/>
  <c r="BY12" i="56" a="1"/>
  <c r="BY12" i="56" s="1"/>
  <c r="BY154" i="56" a="1"/>
  <c r="BY154" i="56" s="1"/>
  <c r="C5" i="61"/>
  <c r="BL3" i="56"/>
  <c r="E3" i="56" s="1"/>
  <c r="BM3" i="56" s="1"/>
  <c r="BL4" i="56"/>
  <c r="E4" i="56" s="1"/>
  <c r="BM4" i="56" s="1"/>
  <c r="EA26" i="56"/>
  <c r="DB208" i="56" a="1"/>
  <c r="DB208" i="56" s="1"/>
  <c r="DD208" i="56" s="1"/>
  <c r="DE208" i="56"/>
  <c r="GY208" i="56" s="1"/>
  <c r="HB208" i="56"/>
  <c r="GQ155" i="56"/>
  <c r="FX155" i="56"/>
  <c r="DY196" i="56" a="1"/>
  <c r="DY196" i="56" s="1"/>
  <c r="GQ327" i="56"/>
  <c r="FX327" i="56"/>
  <c r="DY224" i="56" a="1"/>
  <c r="DY224" i="56" s="1"/>
  <c r="EA71" i="56"/>
  <c r="DZ71" i="56" a="1"/>
  <c r="DZ71" i="56" s="1"/>
  <c r="DY56" i="56" a="1"/>
  <c r="DY56" i="56" s="1"/>
  <c r="HV256" i="56"/>
  <c r="GI256" i="56"/>
  <c r="GH256" i="56"/>
  <c r="IH121" i="56"/>
  <c r="EJ247" i="56"/>
  <c r="HV277" i="56"/>
  <c r="GH277" i="56"/>
  <c r="GI277" i="56"/>
  <c r="GJ277" i="56" s="1"/>
  <c r="EJ214" i="56"/>
  <c r="FQ344" i="56"/>
  <c r="FT344" i="56" s="1"/>
  <c r="FQ343" i="56"/>
  <c r="FT343" i="56" s="1"/>
  <c r="FQ350" i="56"/>
  <c r="FT350" i="56" s="1"/>
  <c r="FQ348" i="56"/>
  <c r="FT348" i="56" s="1"/>
  <c r="FQ345" i="56"/>
  <c r="FT345" i="56" s="1"/>
  <c r="FQ349" i="56"/>
  <c r="FT349" i="56" s="1"/>
  <c r="FQ347" i="56"/>
  <c r="FT347" i="56" s="1"/>
  <c r="FQ346" i="56"/>
  <c r="FT346" i="56" s="1"/>
  <c r="FQ342" i="56"/>
  <c r="FT342" i="56" s="1"/>
  <c r="FQ351" i="56"/>
  <c r="FT351" i="56" s="1"/>
  <c r="FQ341" i="56"/>
  <c r="FT341" i="56" s="1"/>
  <c r="FQ352" i="56"/>
  <c r="FT352" i="56" s="1"/>
  <c r="HV104" i="56"/>
  <c r="GH104" i="56"/>
  <c r="GT104" i="56" s="1"/>
  <c r="GI104" i="56"/>
  <c r="GJ104" i="56" s="1"/>
  <c r="GQ187" i="56"/>
  <c r="FX187" i="56"/>
  <c r="HV208" i="56"/>
  <c r="GH208" i="56"/>
  <c r="GI208" i="56"/>
  <c r="GJ208" i="56" s="1"/>
  <c r="DY312" i="56" a="1"/>
  <c r="DY312" i="56" s="1"/>
  <c r="DY284" i="56" a="1"/>
  <c r="DY284" i="56" s="1"/>
  <c r="IH198" i="56"/>
  <c r="DY289" i="56" a="1"/>
  <c r="DY289" i="56" s="1"/>
  <c r="DY229" i="56" a="1"/>
  <c r="DY229" i="56" s="1"/>
  <c r="DY248" i="56" a="1"/>
  <c r="DY248" i="56" s="1"/>
  <c r="IH57" i="56"/>
  <c r="IN57" i="56" s="1"/>
  <c r="IO57" i="56" s="1"/>
  <c r="GR57" i="56"/>
  <c r="HV68" i="56"/>
  <c r="GH68" i="56"/>
  <c r="GI68" i="56"/>
  <c r="IH227" i="56"/>
  <c r="EA31" i="56"/>
  <c r="GV105" i="56"/>
  <c r="IH131" i="56"/>
  <c r="IN131" i="56" s="1"/>
  <c r="IO131" i="56" s="1"/>
  <c r="GR131" i="56"/>
  <c r="N131" i="56" s="1"/>
  <c r="GS131" i="56" s="1"/>
  <c r="GT131" i="56"/>
  <c r="GV182" i="56"/>
  <c r="DY43" i="56" a="1"/>
  <c r="DY43" i="56" s="1"/>
  <c r="GN320" i="56"/>
  <c r="IK320" i="56" s="1"/>
  <c r="GO320" i="56"/>
  <c r="GM321" i="56"/>
  <c r="GQ94" i="56"/>
  <c r="FX94" i="56"/>
  <c r="DY136" i="56" a="1"/>
  <c r="DY136" i="56" s="1"/>
  <c r="GQ276" i="56"/>
  <c r="FX276" i="56"/>
  <c r="HV198" i="56"/>
  <c r="GI198" i="56"/>
  <c r="GH198" i="56"/>
  <c r="GQ228" i="56"/>
  <c r="FX228" i="56"/>
  <c r="DY163" i="56" a="1"/>
  <c r="DY163" i="56" s="1"/>
  <c r="GQ260" i="56"/>
  <c r="FX260" i="56"/>
  <c r="GV135" i="56"/>
  <c r="HV195" i="56"/>
  <c r="GH195" i="56"/>
  <c r="GI195" i="56"/>
  <c r="DY228" i="56" a="1"/>
  <c r="DY228" i="56" s="1"/>
  <c r="HV333" i="56"/>
  <c r="GH333" i="56"/>
  <c r="GI333" i="56"/>
  <c r="GJ333" i="56" s="1"/>
  <c r="FQ45" i="56"/>
  <c r="FT45" i="56" s="1"/>
  <c r="FQ33" i="56"/>
  <c r="FT33" i="56" s="1"/>
  <c r="FQ31" i="56"/>
  <c r="FT31" i="56" s="1"/>
  <c r="FQ51" i="56"/>
  <c r="FT51" i="56" s="1"/>
  <c r="FQ43" i="56"/>
  <c r="FT43" i="56" s="1"/>
  <c r="FQ41" i="56"/>
  <c r="FT41" i="56" s="1"/>
  <c r="FQ40" i="56"/>
  <c r="FT40" i="56" s="1"/>
  <c r="FQ44" i="56"/>
  <c r="FT44" i="56" s="1"/>
  <c r="FQ50" i="56"/>
  <c r="FT50" i="56" s="1"/>
  <c r="FQ46" i="56"/>
  <c r="FT46" i="56" s="1"/>
  <c r="FQ49" i="56"/>
  <c r="FT49" i="56" s="1"/>
  <c r="FQ37" i="56"/>
  <c r="FT37" i="56" s="1"/>
  <c r="FQ47" i="56"/>
  <c r="FT47" i="56" s="1"/>
  <c r="FQ34" i="56"/>
  <c r="FT34" i="56" s="1"/>
  <c r="FQ48" i="56"/>
  <c r="FT48" i="56" s="1"/>
  <c r="FQ39" i="56"/>
  <c r="FT39" i="56" s="1"/>
  <c r="FQ36" i="56"/>
  <c r="FT36" i="56" s="1"/>
  <c r="FQ42" i="56"/>
  <c r="FT42" i="56" s="1"/>
  <c r="FQ32" i="56"/>
  <c r="FT32" i="56" s="1"/>
  <c r="FQ35" i="56"/>
  <c r="FT35" i="56" s="1"/>
  <c r="FQ38" i="56"/>
  <c r="FT38" i="56" s="1"/>
  <c r="FQ52" i="56"/>
  <c r="FT52" i="56" s="1"/>
  <c r="HV331" i="56"/>
  <c r="GH331" i="56"/>
  <c r="GI331" i="56"/>
  <c r="GJ331" i="56" s="1"/>
  <c r="GQ126" i="56"/>
  <c r="FX126" i="56"/>
  <c r="HV298" i="56"/>
  <c r="GI298" i="56"/>
  <c r="GH298" i="56"/>
  <c r="DY267" i="56" a="1"/>
  <c r="DY267" i="56" s="1"/>
  <c r="HV83" i="56"/>
  <c r="GI83" i="56"/>
  <c r="GJ83" i="56" s="1"/>
  <c r="GH83" i="56"/>
  <c r="HV116" i="56"/>
  <c r="GI116" i="56"/>
  <c r="GH116" i="56"/>
  <c r="HV350" i="56"/>
  <c r="GH350" i="56"/>
  <c r="GI350" i="56"/>
  <c r="EA87" i="56"/>
  <c r="DZ87" i="56" a="1"/>
  <c r="DZ87" i="56" s="1"/>
  <c r="BT24" i="55" a="1"/>
  <c r="BT24" i="55" s="1"/>
  <c r="BL24" i="55" a="1"/>
  <c r="BL24" i="55" s="1"/>
  <c r="BP24" i="55" a="1"/>
  <c r="BP24" i="55" s="1"/>
  <c r="IH328" i="56"/>
  <c r="IN328" i="56" s="1"/>
  <c r="GR328" i="56"/>
  <c r="N328" i="56" s="1"/>
  <c r="GS328" i="56" s="1"/>
  <c r="HE328" i="56" s="1"/>
  <c r="HF328" i="56" s="1"/>
  <c r="GQ33" i="56"/>
  <c r="FX33" i="56"/>
  <c r="DB265" i="56" a="1"/>
  <c r="DB265" i="56" s="1"/>
  <c r="DD265" i="56" s="1"/>
  <c r="HB265" i="56"/>
  <c r="GV265" i="56"/>
  <c r="DE265" i="56"/>
  <c r="GY265" i="56" s="1"/>
  <c r="EA59" i="56"/>
  <c r="DZ59" i="56" a="1"/>
  <c r="DZ59" i="56" s="1"/>
  <c r="HT283" i="56"/>
  <c r="GT283" i="56"/>
  <c r="GQ49" i="56"/>
  <c r="FX49" i="56"/>
  <c r="EA164" i="56"/>
  <c r="DZ164" i="56" a="1"/>
  <c r="DZ164" i="56" s="1"/>
  <c r="HV30" i="56"/>
  <c r="GH30" i="56"/>
  <c r="GI30" i="56"/>
  <c r="GJ30" i="56" s="1"/>
  <c r="IO70" i="56"/>
  <c r="GQ308" i="56"/>
  <c r="FX308" i="56"/>
  <c r="GH38" i="56"/>
  <c r="GI37" i="56"/>
  <c r="GJ37" i="56" s="1"/>
  <c r="DB28" i="56" a="1"/>
  <c r="DB28" i="56" s="1"/>
  <c r="DD28" i="56" s="1"/>
  <c r="HB28" i="56"/>
  <c r="HC28" i="56" s="1"/>
  <c r="DE28" i="56"/>
  <c r="GY28" i="56" s="1"/>
  <c r="HV346" i="56"/>
  <c r="GI346" i="56"/>
  <c r="GH346" i="56"/>
  <c r="HV338" i="56"/>
  <c r="GI338" i="56"/>
  <c r="GJ338" i="56" s="1"/>
  <c r="GH338" i="56"/>
  <c r="HV171" i="56"/>
  <c r="GI171" i="56"/>
  <c r="GH171" i="56"/>
  <c r="DY146" i="56" a="1"/>
  <c r="DY146" i="56" s="1"/>
  <c r="AZ20" i="55"/>
  <c r="AS20" i="55" a="1"/>
  <c r="AS20" i="55" s="1"/>
  <c r="Y20" i="55"/>
  <c r="BA20" i="55" s="1"/>
  <c r="Z20" i="55" s="1"/>
  <c r="BL31" i="56"/>
  <c r="BN29" i="56"/>
  <c r="BL29" i="56"/>
  <c r="E29" i="56" s="1"/>
  <c r="BM29" i="56" s="1"/>
  <c r="BY8" i="56" a="1"/>
  <c r="BY8" i="56" s="1"/>
  <c r="BY53" i="56" a="1"/>
  <c r="BY53" i="56" s="1"/>
  <c r="AZ26" i="55"/>
  <c r="AS26" i="55" a="1"/>
  <c r="AS26" i="55" s="1"/>
  <c r="Y26" i="55"/>
  <c r="BA26" i="55" s="1"/>
  <c r="DB140" i="56" a="1"/>
  <c r="DB140" i="56" s="1"/>
  <c r="DD140" i="56" s="1"/>
  <c r="DE140" i="56"/>
  <c r="GY140" i="56" s="1"/>
  <c r="HB140" i="56"/>
  <c r="HC140" i="56" s="1"/>
  <c r="DB195" i="56" a="1"/>
  <c r="DB195" i="56" s="1"/>
  <c r="DD195" i="56" s="1"/>
  <c r="DE195" i="56"/>
  <c r="GY195" i="56" s="1"/>
  <c r="HB195" i="56"/>
  <c r="GV195" i="56"/>
  <c r="HV181" i="56"/>
  <c r="GI181" i="56"/>
  <c r="GH181" i="56"/>
  <c r="DY271" i="56" a="1"/>
  <c r="DY271" i="56" s="1"/>
  <c r="DB259" i="56" a="1"/>
  <c r="DB259" i="56" s="1"/>
  <c r="DD259" i="56" s="1"/>
  <c r="HB259" i="56"/>
  <c r="GV259" i="56"/>
  <c r="DE259" i="56"/>
  <c r="GY259" i="56" s="1"/>
  <c r="HV76" i="56"/>
  <c r="GI76" i="56"/>
  <c r="GH76" i="56"/>
  <c r="HV173" i="56"/>
  <c r="GH173" i="56"/>
  <c r="GI173" i="56"/>
  <c r="IH52" i="56"/>
  <c r="HV244" i="56"/>
  <c r="GI244" i="56"/>
  <c r="GH244" i="56"/>
  <c r="EA175" i="56"/>
  <c r="DZ175" i="56" a="1"/>
  <c r="DZ175" i="56" s="1"/>
  <c r="GQ21" i="56"/>
  <c r="FX21" i="56"/>
  <c r="DB207" i="56" a="1"/>
  <c r="DB207" i="56" s="1"/>
  <c r="DD207" i="56" s="1"/>
  <c r="DE207" i="56"/>
  <c r="GY207" i="56" s="1"/>
  <c r="HB207" i="56"/>
  <c r="DY32" i="56" a="1"/>
  <c r="DY32" i="56" s="1"/>
  <c r="GJ237" i="56"/>
  <c r="GQ61" i="56"/>
  <c r="FX61" i="56"/>
  <c r="IH124" i="56"/>
  <c r="GQ58" i="56"/>
  <c r="FX58" i="56"/>
  <c r="GQ197" i="56"/>
  <c r="FX197" i="56"/>
  <c r="GQ293" i="56"/>
  <c r="FX293" i="56"/>
  <c r="HV275" i="56"/>
  <c r="GI275" i="56"/>
  <c r="GJ275" i="56" s="1"/>
  <c r="GH275" i="56"/>
  <c r="DY351" i="56" a="1"/>
  <c r="DY351" i="56" s="1"/>
  <c r="EA157" i="56"/>
  <c r="DZ157" i="56" a="1"/>
  <c r="DZ157" i="56" s="1"/>
  <c r="GW319" i="56"/>
  <c r="GP319" i="56"/>
  <c r="GT319" i="56"/>
  <c r="GU319" i="56"/>
  <c r="HS319" i="56" s="1"/>
  <c r="GJ79" i="56"/>
  <c r="IN298" i="56"/>
  <c r="IO298" i="56" s="1"/>
  <c r="IH113" i="56"/>
  <c r="HV221" i="56"/>
  <c r="GI221" i="56"/>
  <c r="GJ221" i="56" s="1"/>
  <c r="GH221" i="56"/>
  <c r="DY251" i="56" a="1"/>
  <c r="DY251" i="56" s="1"/>
  <c r="GV27" i="56"/>
  <c r="GQ132" i="56"/>
  <c r="FX132" i="56"/>
  <c r="DY241" i="56" a="1"/>
  <c r="DY241" i="56" s="1"/>
  <c r="HV164" i="56"/>
  <c r="GI164" i="56"/>
  <c r="GH164" i="56"/>
  <c r="DY64" i="56" a="1"/>
  <c r="DY64" i="56" s="1"/>
  <c r="HV97" i="56"/>
  <c r="GI97" i="56"/>
  <c r="GH97" i="56"/>
  <c r="IH345" i="56"/>
  <c r="IN345" i="56" s="1"/>
  <c r="GJ294" i="56"/>
  <c r="EA303" i="56"/>
  <c r="DZ303" i="56" a="1"/>
  <c r="DZ303" i="56" s="1"/>
  <c r="HV14" i="56"/>
  <c r="GH14" i="56"/>
  <c r="GI14" i="56"/>
  <c r="FQ332" i="56"/>
  <c r="FT332" i="56" s="1"/>
  <c r="FQ330" i="56"/>
  <c r="FT330" i="56" s="1"/>
  <c r="FQ331" i="56"/>
  <c r="FT331" i="56" s="1"/>
  <c r="FQ334" i="56"/>
  <c r="FT334" i="56" s="1"/>
  <c r="FQ333" i="56"/>
  <c r="FT333" i="56" s="1"/>
  <c r="DB216" i="56" a="1"/>
  <c r="DB216" i="56" s="1"/>
  <c r="DD216" i="56" s="1"/>
  <c r="DE216" i="56"/>
  <c r="GY216" i="56" s="1"/>
  <c r="HB216" i="56"/>
  <c r="DY35" i="56" a="1"/>
  <c r="DY35" i="56" s="1"/>
  <c r="EA109" i="56"/>
  <c r="DZ109" i="56" a="1"/>
  <c r="DZ109" i="56" s="1"/>
  <c r="EA66" i="56"/>
  <c r="DZ66" i="56" a="1"/>
  <c r="DZ66" i="56" s="1"/>
  <c r="HV78" i="56"/>
  <c r="GH78" i="56"/>
  <c r="GI78" i="56"/>
  <c r="HV12" i="56"/>
  <c r="GI12" i="56"/>
  <c r="GH12" i="56"/>
  <c r="DY286" i="56" a="1"/>
  <c r="DY286" i="56" s="1"/>
  <c r="EA6" i="56"/>
  <c r="DZ6" i="56" a="1"/>
  <c r="DZ6" i="56" s="1"/>
  <c r="EA70" i="56"/>
  <c r="DZ70" i="56" a="1"/>
  <c r="DZ70" i="56" s="1"/>
  <c r="IH305" i="56"/>
  <c r="GQ167" i="56"/>
  <c r="FX167" i="56"/>
  <c r="IH39" i="56"/>
  <c r="GQ30" i="56"/>
  <c r="FX30" i="56"/>
  <c r="GJ139" i="56"/>
  <c r="GN56" i="56"/>
  <c r="IK56" i="56" s="1"/>
  <c r="GO56" i="56"/>
  <c r="GM57" i="56"/>
  <c r="GV167" i="56"/>
  <c r="BL313" i="56"/>
  <c r="BL16" i="56"/>
  <c r="BN16" i="56"/>
  <c r="BY19" i="56" a="1"/>
  <c r="BY19" i="56" s="1"/>
  <c r="BY330" i="56" a="1"/>
  <c r="BY330" i="56" s="1"/>
  <c r="BL10" i="55" a="1"/>
  <c r="BL10" i="55" s="1"/>
  <c r="BP10" i="55" a="1"/>
  <c r="BP10" i="55" s="1"/>
  <c r="BT10" i="55" a="1"/>
  <c r="BT10" i="55" s="1"/>
  <c r="BY7" i="56" a="1"/>
  <c r="BY7" i="56" s="1"/>
  <c r="BY102" i="56" a="1"/>
  <c r="BY102" i="56" s="1"/>
  <c r="AZ16" i="55"/>
  <c r="AS16" i="55" a="1"/>
  <c r="AS16" i="55" s="1"/>
  <c r="Y16" i="55" s="1"/>
  <c r="BA16" i="55" s="1"/>
  <c r="C6" i="61"/>
  <c r="AZ10" i="55"/>
  <c r="C12" i="61" s="1"/>
  <c r="EA223" i="56"/>
  <c r="DZ223" i="56" a="1"/>
  <c r="DZ223" i="56" s="1"/>
  <c r="GQ217" i="56"/>
  <c r="FX217" i="56"/>
  <c r="HV189" i="56"/>
  <c r="GI189" i="56"/>
  <c r="GJ189" i="56" s="1"/>
  <c r="GH189" i="56"/>
  <c r="DY330" i="56" a="1"/>
  <c r="DY330" i="56" s="1"/>
  <c r="HV264" i="56"/>
  <c r="GI264" i="56"/>
  <c r="GJ264" i="56" s="1"/>
  <c r="GH264" i="56"/>
  <c r="HV216" i="56"/>
  <c r="GI216" i="56"/>
  <c r="GH216" i="56"/>
  <c r="AP3" i="40" a="1"/>
  <c r="AP3" i="40" s="1"/>
  <c r="HV246" i="56"/>
  <c r="GI246" i="56"/>
  <c r="GH246" i="56"/>
  <c r="EA17" i="56"/>
  <c r="BS22" i="55" s="1" a="1"/>
  <c r="BS22" i="55" s="1"/>
  <c r="DB214" i="56" a="1"/>
  <c r="DB214" i="56" s="1"/>
  <c r="DD214" i="56" s="1"/>
  <c r="DE214" i="56"/>
  <c r="GY214" i="56" s="1"/>
  <c r="HB214" i="56"/>
  <c r="GV214" i="56"/>
  <c r="HV121" i="56"/>
  <c r="GH121" i="56"/>
  <c r="GI121" i="56"/>
  <c r="GQ244" i="56"/>
  <c r="FX244" i="56"/>
  <c r="HV161" i="56"/>
  <c r="GH161" i="56"/>
  <c r="GI161" i="56"/>
  <c r="GJ161" i="56" s="1"/>
  <c r="HV103" i="56"/>
  <c r="GH103" i="56"/>
  <c r="GT103" i="56" s="1"/>
  <c r="GI103" i="56"/>
  <c r="GJ103" i="56" s="1"/>
  <c r="IH268" i="56"/>
  <c r="IN268" i="56" s="1"/>
  <c r="HV257" i="56"/>
  <c r="GI257" i="56"/>
  <c r="GH257" i="56"/>
  <c r="DY276" i="56" a="1"/>
  <c r="DY276" i="56" s="1"/>
  <c r="DY225" i="56" a="1"/>
  <c r="DY225" i="56" s="1"/>
  <c r="DY105" i="56" a="1"/>
  <c r="DY105" i="56" s="1"/>
  <c r="IH288" i="56"/>
  <c r="DY182" i="56" a="1"/>
  <c r="DY182" i="56" s="1"/>
  <c r="EA79" i="56"/>
  <c r="DZ79" i="56" a="1"/>
  <c r="DZ79" i="56" s="1"/>
  <c r="EA81" i="56"/>
  <c r="DZ81" i="56" a="1"/>
  <c r="DZ81" i="56" s="1"/>
  <c r="GJ236" i="56"/>
  <c r="GQ261" i="56"/>
  <c r="FX261" i="56"/>
  <c r="GQ116" i="56"/>
  <c r="FX116" i="56"/>
  <c r="DB245" i="56" a="1"/>
  <c r="DB245" i="56" s="1"/>
  <c r="DD245" i="56" s="1"/>
  <c r="HB245" i="56"/>
  <c r="GV245" i="56"/>
  <c r="DE245" i="56"/>
  <c r="GY245" i="56" s="1"/>
  <c r="GJ147" i="56"/>
  <c r="BT17" i="55" a="1"/>
  <c r="BT17" i="55" s="1"/>
  <c r="BP17" i="55" a="1"/>
  <c r="BP17" i="55" s="1"/>
  <c r="BL17" i="55" a="1"/>
  <c r="BL17" i="55" s="1"/>
  <c r="EJ81" i="56"/>
  <c r="DY135" i="56" a="1"/>
  <c r="DY135" i="56" s="1"/>
  <c r="EJ219" i="56"/>
  <c r="EA159" i="56"/>
  <c r="DZ159" i="56" a="1"/>
  <c r="DZ159" i="56" s="1"/>
  <c r="DB273" i="56" a="1"/>
  <c r="DB273" i="56" s="1"/>
  <c r="DD273" i="56" s="1"/>
  <c r="DE273" i="56"/>
  <c r="GY273" i="56" s="1"/>
  <c r="HB273" i="56"/>
  <c r="DB33" i="56" a="1"/>
  <c r="DB33" i="56" s="1"/>
  <c r="DD33" i="56" s="1"/>
  <c r="DE33" i="56"/>
  <c r="GY33" i="56" s="1"/>
  <c r="HB33" i="56"/>
  <c r="GV33" i="56"/>
  <c r="DB11" i="56" a="1"/>
  <c r="DB11" i="56" s="1"/>
  <c r="DD11" i="56" s="1"/>
  <c r="GV11" i="56"/>
  <c r="HB11" i="56"/>
  <c r="HC11" i="56" s="1"/>
  <c r="DE11" i="56"/>
  <c r="GY11" i="56" s="1"/>
  <c r="HV288" i="56"/>
  <c r="GH288" i="56"/>
  <c r="GI288" i="56"/>
  <c r="GJ288" i="56" s="1"/>
  <c r="IH107" i="56"/>
  <c r="IN107" i="56" s="1"/>
  <c r="IO107" i="56" s="1"/>
  <c r="HV24" i="56"/>
  <c r="GI24" i="56"/>
  <c r="GH24" i="56"/>
  <c r="GH25" i="56" s="1"/>
  <c r="GI25" i="56" s="1"/>
  <c r="GJ25" i="56" s="1"/>
  <c r="EA305" i="56"/>
  <c r="DZ305" i="56" a="1"/>
  <c r="DZ305" i="56" s="1"/>
  <c r="HV297" i="56"/>
  <c r="GI297" i="56"/>
  <c r="GH297" i="56"/>
  <c r="IH43" i="56"/>
  <c r="EJ272" i="56"/>
  <c r="DY320" i="56" a="1"/>
  <c r="DY320" i="56" s="1"/>
  <c r="IN119" i="56"/>
  <c r="IO119" i="56" s="1"/>
  <c r="HV122" i="56"/>
  <c r="GH122" i="56"/>
  <c r="GI122" i="56"/>
  <c r="GJ122" i="56" s="1"/>
  <c r="IH285" i="56"/>
  <c r="GR285" i="56"/>
  <c r="N285" i="56" s="1"/>
  <c r="GS285" i="56" s="1"/>
  <c r="GT285" i="56"/>
  <c r="EA183" i="56"/>
  <c r="DZ183" i="56" a="1"/>
  <c r="DZ183" i="56" s="1"/>
  <c r="GQ309" i="56"/>
  <c r="FX309" i="56"/>
  <c r="IH46" i="56"/>
  <c r="GQ296" i="56"/>
  <c r="FX296" i="56"/>
  <c r="GQ205" i="56"/>
  <c r="FX205" i="56"/>
  <c r="BY20" i="56" a="1"/>
  <c r="BY20" i="56" s="1"/>
  <c r="BY341" i="56" a="1"/>
  <c r="BY341" i="56" s="1"/>
  <c r="AS21" i="55" a="1"/>
  <c r="AS21" i="55" s="1"/>
  <c r="AZ21" i="55"/>
  <c r="Y21" i="55" s="1"/>
  <c r="BA21" i="55" s="1"/>
  <c r="Z21" i="55" s="1"/>
  <c r="AZ18" i="55"/>
  <c r="AS18" i="55" a="1"/>
  <c r="AS18" i="55" s="1"/>
  <c r="GQ161" i="56"/>
  <c r="FX161" i="56"/>
  <c r="GQ321" i="56"/>
  <c r="FX321" i="56"/>
  <c r="DY169" i="56" a="1"/>
  <c r="DY169" i="56" s="1"/>
  <c r="GV203" i="56"/>
  <c r="HV179" i="56"/>
  <c r="GH179" i="56"/>
  <c r="GI179" i="56"/>
  <c r="GJ179" i="56" s="1"/>
  <c r="HV70" i="56"/>
  <c r="GH70" i="56"/>
  <c r="GI70" i="56"/>
  <c r="DY212" i="56" a="1"/>
  <c r="DY212" i="56" s="1"/>
  <c r="HV178" i="56"/>
  <c r="GH178" i="56"/>
  <c r="GI178" i="56"/>
  <c r="HV242" i="56"/>
  <c r="GH242" i="56"/>
  <c r="GI242" i="56"/>
  <c r="GJ142" i="56"/>
  <c r="GQ174" i="56"/>
  <c r="FX174" i="56"/>
  <c r="GO189" i="56"/>
  <c r="GN189" i="56"/>
  <c r="IK189" i="56" s="1"/>
  <c r="GM190" i="56"/>
  <c r="DY152" i="56" a="1"/>
  <c r="DY152" i="56" s="1"/>
  <c r="EA12" i="56"/>
  <c r="BS17" i="55" s="1" a="1"/>
  <c r="BS17" i="55" s="1"/>
  <c r="EA22" i="56"/>
  <c r="DZ22" i="56" a="1"/>
  <c r="DZ22" i="56" s="1"/>
  <c r="DY198" i="56" a="1"/>
  <c r="DY198" i="56" s="1"/>
  <c r="EA86" i="56"/>
  <c r="DZ86" i="56" a="1"/>
  <c r="DZ86" i="56" s="1"/>
  <c r="IO263" i="56"/>
  <c r="IO92" i="56"/>
  <c r="GV237" i="56"/>
  <c r="GV261" i="56"/>
  <c r="GV255" i="56"/>
  <c r="EJ72" i="56"/>
  <c r="FQ173" i="56"/>
  <c r="FT173" i="56" s="1"/>
  <c r="FQ158" i="56"/>
  <c r="FT158" i="56" s="1"/>
  <c r="FQ174" i="56"/>
  <c r="FT174" i="56" s="1"/>
  <c r="FQ167" i="56"/>
  <c r="FT167" i="56" s="1"/>
  <c r="FQ169" i="56"/>
  <c r="FT169" i="56" s="1"/>
  <c r="FQ171" i="56"/>
  <c r="FT171" i="56" s="1"/>
  <c r="FQ156" i="56"/>
  <c r="FT156" i="56" s="1"/>
  <c r="FQ168" i="56"/>
  <c r="FT168" i="56" s="1"/>
  <c r="FQ170" i="56"/>
  <c r="FT170" i="56" s="1"/>
  <c r="FQ172" i="56"/>
  <c r="FT172" i="56" s="1"/>
  <c r="FQ155" i="56"/>
  <c r="FT155" i="56" s="1"/>
  <c r="FQ175" i="56"/>
  <c r="FT175" i="56" s="1"/>
  <c r="FQ157" i="56"/>
  <c r="FT157" i="56" s="1"/>
  <c r="FQ159" i="56"/>
  <c r="FT159" i="56" s="1"/>
  <c r="FQ179" i="56"/>
  <c r="FT179" i="56" s="1"/>
  <c r="FQ181" i="56"/>
  <c r="FT181" i="56" s="1"/>
  <c r="FQ160" i="56"/>
  <c r="FT160" i="56" s="1"/>
  <c r="FQ154" i="56"/>
  <c r="FT154" i="56" s="1"/>
  <c r="FQ162" i="56"/>
  <c r="FT162" i="56" s="1"/>
  <c r="FQ165" i="56"/>
  <c r="FT165" i="56" s="1"/>
  <c r="FQ164" i="56"/>
  <c r="FT164" i="56" s="1"/>
  <c r="FQ161" i="56"/>
  <c r="FT161" i="56" s="1"/>
  <c r="FQ183" i="56"/>
  <c r="FT183" i="56" s="1"/>
  <c r="FQ163" i="56"/>
  <c r="FT163" i="56" s="1"/>
  <c r="FQ177" i="56"/>
  <c r="FT177" i="56" s="1"/>
  <c r="FQ176" i="56"/>
  <c r="FT176" i="56" s="1"/>
  <c r="FQ180" i="56"/>
  <c r="FT180" i="56" s="1"/>
  <c r="FQ182" i="56"/>
  <c r="FT182" i="56" s="1"/>
  <c r="FQ166" i="56"/>
  <c r="FT166" i="56" s="1"/>
  <c r="FQ178" i="56"/>
  <c r="FT178" i="56" s="1"/>
  <c r="IN109" i="56"/>
  <c r="IO109" i="56" s="1"/>
  <c r="DB200" i="56" a="1"/>
  <c r="DB200" i="56" s="1"/>
  <c r="DD200" i="56" s="1"/>
  <c r="DE200" i="56"/>
  <c r="GY200" i="56" s="1"/>
  <c r="GV200" i="56"/>
  <c r="HB200" i="56"/>
  <c r="DY166" i="56" a="1"/>
  <c r="DY166" i="56" s="1"/>
  <c r="GQ67" i="56"/>
  <c r="FX67" i="56"/>
  <c r="GV260" i="56"/>
  <c r="GQ209" i="56"/>
  <c r="FX209" i="56"/>
  <c r="HV172" i="56"/>
  <c r="GI172" i="56"/>
  <c r="GH172" i="56"/>
  <c r="BP12" i="55" a="1"/>
  <c r="BP12" i="55" s="1"/>
  <c r="BT12" i="55" a="1"/>
  <c r="BT12" i="55" s="1"/>
  <c r="BL12" i="55" a="1"/>
  <c r="BL12" i="55" s="1"/>
  <c r="HV115" i="56"/>
  <c r="GH115" i="56"/>
  <c r="GI115" i="56"/>
  <c r="HV176" i="56"/>
  <c r="GH176" i="56"/>
  <c r="GI176" i="56"/>
  <c r="IO302" i="56"/>
  <c r="EA62" i="56"/>
  <c r="DZ62" i="56" a="1"/>
  <c r="DZ62" i="56" s="1"/>
  <c r="HV180" i="56"/>
  <c r="GI180" i="56"/>
  <c r="GJ180" i="56" s="1"/>
  <c r="GH180" i="56"/>
  <c r="FQ319" i="56"/>
  <c r="FT319" i="56" s="1"/>
  <c r="FQ317" i="56"/>
  <c r="FT317" i="56" s="1"/>
  <c r="FQ318" i="56"/>
  <c r="FT318" i="56" s="1"/>
  <c r="FQ322" i="56"/>
  <c r="FT322" i="56" s="1"/>
  <c r="FQ321" i="56"/>
  <c r="FT321" i="56" s="1"/>
  <c r="FQ324" i="56"/>
  <c r="FT324" i="56" s="1"/>
  <c r="FQ320" i="56"/>
  <c r="FT320" i="56" s="1"/>
  <c r="FQ323" i="56"/>
  <c r="FT323" i="56" s="1"/>
  <c r="IN71" i="56"/>
  <c r="IO71" i="56" s="1"/>
  <c r="HV204" i="56"/>
  <c r="GI204" i="56"/>
  <c r="GH204" i="56"/>
  <c r="DB257" i="56" a="1"/>
  <c r="DB257" i="56" s="1"/>
  <c r="DD257" i="56" s="1"/>
  <c r="DE257" i="56"/>
  <c r="GY257" i="56" s="1"/>
  <c r="HB257" i="56"/>
  <c r="DB190" i="56" a="1"/>
  <c r="DB190" i="56" s="1"/>
  <c r="DD190" i="56" s="1"/>
  <c r="HB190" i="56"/>
  <c r="DE190" i="56"/>
  <c r="GY190" i="56" s="1"/>
  <c r="DY193" i="56" a="1"/>
  <c r="DY193" i="56" s="1"/>
  <c r="DY244" i="56" a="1"/>
  <c r="DY244" i="56" s="1"/>
  <c r="IO311" i="56"/>
  <c r="IH41" i="56"/>
  <c r="GV307" i="56"/>
  <c r="HV303" i="56"/>
  <c r="GI303" i="56"/>
  <c r="GH303" i="56"/>
  <c r="GV126" i="56"/>
  <c r="GQ234" i="56"/>
  <c r="FX234" i="56"/>
  <c r="GQ193" i="56"/>
  <c r="FX193" i="56"/>
  <c r="DY337" i="56" a="1"/>
  <c r="DY337" i="56" s="1"/>
  <c r="EF28" i="56"/>
  <c r="EG28" i="56" s="1"/>
  <c r="R28" i="56" s="1"/>
  <c r="GQ274" i="56"/>
  <c r="FX274" i="56"/>
  <c r="GQ68" i="56"/>
  <c r="FX68" i="56"/>
  <c r="IH104" i="56"/>
  <c r="GR104" i="56"/>
  <c r="N104" i="56" s="1"/>
  <c r="GS104" i="56" s="1"/>
  <c r="DB201" i="56" a="1"/>
  <c r="DB201" i="56" s="1"/>
  <c r="DD201" i="56" s="1"/>
  <c r="HB201" i="56"/>
  <c r="DE201" i="56"/>
  <c r="GY201" i="56" s="1"/>
  <c r="DY324" i="56" a="1"/>
  <c r="DY324" i="56" s="1"/>
  <c r="BL7" i="56"/>
  <c r="BN7" i="56"/>
  <c r="BL102" i="56"/>
  <c r="BL330" i="56"/>
  <c r="BN19" i="56"/>
  <c r="BL19" i="56"/>
  <c r="BT25" i="55" a="1"/>
  <c r="BT25" i="55" s="1"/>
  <c r="BP25" i="55" a="1"/>
  <c r="BP25" i="55" s="1"/>
  <c r="BL25" i="55" a="1"/>
  <c r="BL25" i="55" s="1"/>
  <c r="EA288" i="56"/>
  <c r="DZ288" i="56" a="1"/>
  <c r="DZ288" i="56" s="1"/>
  <c r="DY327" i="56" a="1"/>
  <c r="DY327" i="56" s="1"/>
  <c r="EA89" i="56"/>
  <c r="DZ89" i="56" a="1"/>
  <c r="DZ89" i="56" s="1"/>
  <c r="GV252" i="56"/>
  <c r="DB226" i="56" a="1"/>
  <c r="DB226" i="56" s="1"/>
  <c r="DD226" i="56" s="1"/>
  <c r="HB226" i="56"/>
  <c r="GV226" i="56"/>
  <c r="DE226" i="56"/>
  <c r="GY226" i="56" s="1"/>
  <c r="DB242" i="56" a="1"/>
  <c r="DB242" i="56" s="1"/>
  <c r="DD242" i="56" s="1"/>
  <c r="HB242" i="56"/>
  <c r="DE242" i="56"/>
  <c r="GY242" i="56" s="1"/>
  <c r="EJ333" i="56"/>
  <c r="HV17" i="56"/>
  <c r="GI17" i="56"/>
  <c r="GH17" i="56"/>
  <c r="EA90" i="56"/>
  <c r="DZ90" i="56" a="1"/>
  <c r="DZ90" i="56" s="1"/>
  <c r="IH183" i="56"/>
  <c r="HV177" i="56"/>
  <c r="GH177" i="56"/>
  <c r="GI177" i="56"/>
  <c r="GV197" i="56"/>
  <c r="EA119" i="56"/>
  <c r="DZ119" i="56" a="1"/>
  <c r="DZ119" i="56" s="1"/>
  <c r="EJ47" i="56"/>
  <c r="GJ138" i="56"/>
  <c r="GV246" i="56"/>
  <c r="GQ213" i="56"/>
  <c r="FX213" i="56"/>
  <c r="EA115" i="56"/>
  <c r="DZ115" i="56" a="1"/>
  <c r="DZ115" i="56" s="1"/>
  <c r="HV110" i="56"/>
  <c r="GH110" i="56"/>
  <c r="GI110" i="56"/>
  <c r="EA58" i="56"/>
  <c r="DZ58" i="56" a="1"/>
  <c r="DZ58" i="56" s="1"/>
  <c r="EA318" i="56"/>
  <c r="DZ318" i="56" a="1"/>
  <c r="DZ318" i="56" s="1"/>
  <c r="DY103" i="56" a="1"/>
  <c r="DY103" i="56" s="1"/>
  <c r="GV181" i="56"/>
  <c r="HV56" i="56"/>
  <c r="GI56" i="56"/>
  <c r="GJ56" i="56" s="1"/>
  <c r="GH56" i="56"/>
  <c r="GV179" i="56"/>
  <c r="DY237" i="56" a="1"/>
  <c r="DY237" i="56" s="1"/>
  <c r="EA14" i="56"/>
  <c r="BS19" i="55" s="1" a="1"/>
  <c r="BS19" i="55" s="1"/>
  <c r="DB282" i="56" a="1"/>
  <c r="DB282" i="56" s="1"/>
  <c r="DD282" i="56" s="1"/>
  <c r="DE282" i="56"/>
  <c r="GY282" i="56" s="1"/>
  <c r="HB282" i="56"/>
  <c r="HC282" i="56" s="1"/>
  <c r="EJ74" i="56"/>
  <c r="DY185" i="56" a="1"/>
  <c r="DY185" i="56" s="1"/>
  <c r="GQ218" i="56"/>
  <c r="FX218" i="56"/>
  <c r="GQ97" i="56"/>
  <c r="FX97" i="56"/>
  <c r="IH64" i="56"/>
  <c r="IN64" i="56" s="1"/>
  <c r="IO64" i="56" s="1"/>
  <c r="GV55" i="56"/>
  <c r="HV205" i="56"/>
  <c r="GH205" i="56"/>
  <c r="GI205" i="56"/>
  <c r="DY227" i="56" a="1"/>
  <c r="DY227" i="56" s="1"/>
  <c r="DB239" i="56" a="1"/>
  <c r="DB239" i="56" s="1"/>
  <c r="DD239" i="56" s="1"/>
  <c r="HB239" i="56"/>
  <c r="DE239" i="56"/>
  <c r="GY239" i="56" s="1"/>
  <c r="GW334" i="56"/>
  <c r="GU334" i="56"/>
  <c r="HS334" i="56" s="1"/>
  <c r="GP334" i="56"/>
  <c r="GV171" i="56"/>
  <c r="FZ51" i="56"/>
  <c r="CU51" i="56"/>
  <c r="CY51" i="56" s="1"/>
  <c r="G51" i="56" s="1"/>
  <c r="CZ51" i="56" s="1"/>
  <c r="DA51" i="56" s="1"/>
  <c r="DI51" i="56"/>
  <c r="EF51" i="56"/>
  <c r="EG51" i="56" s="1"/>
  <c r="DY57" i="56" a="1"/>
  <c r="DY57" i="56" s="1"/>
  <c r="GQ223" i="56"/>
  <c r="FX223" i="56"/>
  <c r="GQ169" i="56"/>
  <c r="FX169" i="56"/>
  <c r="GQ331" i="56"/>
  <c r="FX331" i="56"/>
  <c r="FX231" i="56"/>
  <c r="GQ231" i="56"/>
  <c r="DY210" i="56" a="1"/>
  <c r="DY210" i="56" s="1"/>
  <c r="DY82" i="56" a="1"/>
  <c r="DY82" i="56" s="1"/>
  <c r="DY291" i="56" a="1"/>
  <c r="DY291" i="56" s="1"/>
  <c r="DB264" i="56" a="1"/>
  <c r="DB264" i="56" s="1"/>
  <c r="DD264" i="56" s="1"/>
  <c r="HB264" i="56"/>
  <c r="DE264" i="56"/>
  <c r="GY264" i="56" s="1"/>
  <c r="HV219" i="56"/>
  <c r="GI219" i="56"/>
  <c r="GH219" i="56"/>
  <c r="GV234" i="56"/>
  <c r="EA283" i="56"/>
  <c r="HV100" i="56"/>
  <c r="GI100" i="56"/>
  <c r="GH100" i="56"/>
  <c r="DY213" i="56" a="1"/>
  <c r="DY213" i="56" s="1"/>
  <c r="GQ289" i="56"/>
  <c r="FX289" i="56"/>
  <c r="GV141" i="56"/>
  <c r="DB205" i="56" a="1"/>
  <c r="DB205" i="56" s="1"/>
  <c r="DD205" i="56" s="1"/>
  <c r="HB205" i="56"/>
  <c r="DE205" i="56"/>
  <c r="GY205" i="56" s="1"/>
  <c r="GV49" i="56"/>
  <c r="GV162" i="56"/>
  <c r="GQ152" i="56"/>
  <c r="FX152" i="56"/>
  <c r="IH241" i="56"/>
  <c r="IN241" i="56" s="1"/>
  <c r="IO241" i="56" s="1"/>
  <c r="DY54" i="56" a="1"/>
  <c r="DY54" i="56" s="1"/>
  <c r="DB272" i="56" a="1"/>
  <c r="DB272" i="56" s="1"/>
  <c r="DD272" i="56" s="1"/>
  <c r="DE272" i="56"/>
  <c r="GY272" i="56" s="1"/>
  <c r="HB272" i="56"/>
  <c r="IH100" i="56"/>
  <c r="HV201" i="56"/>
  <c r="GI201" i="56"/>
  <c r="GH201" i="56"/>
  <c r="GQ342" i="56"/>
  <c r="FX342" i="56"/>
  <c r="GQ269" i="56"/>
  <c r="FX269" i="56"/>
  <c r="HE185" i="56"/>
  <c r="HF185" i="56" s="1"/>
  <c r="HT185" i="56"/>
  <c r="EJ62" i="56"/>
  <c r="GO316" i="56"/>
  <c r="GN316" i="56"/>
  <c r="IK316" i="56" s="1"/>
  <c r="BN15" i="56"/>
  <c r="BL15" i="56"/>
  <c r="BL283" i="56"/>
  <c r="EA347" i="56"/>
  <c r="DZ347" i="56" a="1"/>
  <c r="DZ347" i="56" s="1"/>
  <c r="IH66" i="56"/>
  <c r="GV97" i="56"/>
  <c r="GV73" i="56"/>
  <c r="GJ211" i="56"/>
  <c r="DY204" i="56" a="1"/>
  <c r="DY204" i="56" s="1"/>
  <c r="EA302" i="56"/>
  <c r="DZ302" i="56" a="1"/>
  <c r="DZ302" i="56" s="1"/>
  <c r="HV152" i="56"/>
  <c r="GI152" i="56"/>
  <c r="GH152" i="56"/>
  <c r="DB278" i="56" a="1"/>
  <c r="DB278" i="56" s="1"/>
  <c r="DD278" i="56" s="1"/>
  <c r="HB278" i="56"/>
  <c r="GV278" i="56"/>
  <c r="DE278" i="56"/>
  <c r="GY278" i="56" s="1"/>
  <c r="EA334" i="56"/>
  <c r="DZ334" i="56" a="1"/>
  <c r="DZ334" i="56" s="1"/>
  <c r="GU188" i="56"/>
  <c r="HS188" i="56" s="1"/>
  <c r="GW188" i="56"/>
  <c r="GT188" i="56"/>
  <c r="GP188" i="56"/>
  <c r="HV72" i="56"/>
  <c r="GI72" i="56"/>
  <c r="GJ72" i="56" s="1"/>
  <c r="GH72" i="56"/>
  <c r="EA321" i="56"/>
  <c r="DZ321" i="56" a="1"/>
  <c r="DZ321" i="56" s="1"/>
  <c r="GQ235" i="56"/>
  <c r="FX235" i="56"/>
  <c r="GO227" i="56"/>
  <c r="GN227" i="56"/>
  <c r="IK227" i="56" s="1"/>
  <c r="GM228" i="56"/>
  <c r="HV260" i="56"/>
  <c r="GH260" i="56"/>
  <c r="GI260" i="56"/>
  <c r="GJ260" i="56" s="1"/>
  <c r="GO105" i="56"/>
  <c r="GN105" i="56"/>
  <c r="IK105" i="56" s="1"/>
  <c r="GM106" i="56"/>
  <c r="AJ3" i="40" a="1"/>
  <c r="AJ3" i="40" s="1"/>
  <c r="BF9" i="10" s="1"/>
  <c r="DY336" i="56" a="1"/>
  <c r="DY336" i="56" s="1"/>
  <c r="HV311" i="56"/>
  <c r="GI311" i="56"/>
  <c r="GH311" i="56"/>
  <c r="GV67" i="56"/>
  <c r="HV188" i="56"/>
  <c r="GI188" i="56"/>
  <c r="GJ188" i="56" s="1"/>
  <c r="GH188" i="56"/>
  <c r="HV166" i="56"/>
  <c r="GI166" i="56"/>
  <c r="GH166" i="56"/>
  <c r="GQ125" i="56"/>
  <c r="FX125" i="56"/>
  <c r="GV148" i="56"/>
  <c r="IN248" i="56"/>
  <c r="IO248" i="56" s="1"/>
  <c r="DY254" i="56" a="1"/>
  <c r="DY254" i="56" s="1"/>
  <c r="EJ286" i="56"/>
  <c r="DY261" i="56" a="1"/>
  <c r="DY261" i="56" s="1"/>
  <c r="GJ202" i="56"/>
  <c r="DY240" i="56" a="1"/>
  <c r="DY240" i="56" s="1"/>
  <c r="HV11" i="56"/>
  <c r="GI11" i="56"/>
  <c r="GH11" i="56"/>
  <c r="HV332" i="56"/>
  <c r="GI332" i="56"/>
  <c r="GJ332" i="56" s="1"/>
  <c r="GH332" i="56"/>
  <c r="GT332" i="56" s="1"/>
  <c r="HV295" i="56"/>
  <c r="GH295" i="56"/>
  <c r="GI295" i="56"/>
  <c r="GQ255" i="56"/>
  <c r="FX255" i="56"/>
  <c r="GQ118" i="56"/>
  <c r="FX118" i="56"/>
  <c r="DY235" i="56" a="1"/>
  <c r="DY235" i="56" s="1"/>
  <c r="EA338" i="56"/>
  <c r="DZ338" i="56" a="1"/>
  <c r="DZ338" i="56" s="1"/>
  <c r="GJ95" i="56"/>
  <c r="GV145" i="56"/>
  <c r="GV91" i="56"/>
  <c r="EA294" i="56"/>
  <c r="DZ294" i="56" a="1"/>
  <c r="DZ294" i="56" s="1"/>
  <c r="EA74" i="56"/>
  <c r="DZ74" i="56" a="1"/>
  <c r="DZ74" i="56" s="1"/>
  <c r="EJ106" i="56"/>
  <c r="DB202" i="56" a="1"/>
  <c r="DB202" i="56" s="1"/>
  <c r="DD202" i="56" s="1"/>
  <c r="HB202" i="56"/>
  <c r="DE202" i="56"/>
  <c r="GY202" i="56" s="1"/>
  <c r="BT22" i="55" a="1"/>
  <c r="BT22" i="55" s="1"/>
  <c r="BL22" i="55" a="1"/>
  <c r="BL22" i="55" s="1"/>
  <c r="BP22" i="55" a="1"/>
  <c r="BP22" i="55" s="1"/>
  <c r="FQ200" i="56"/>
  <c r="FT200" i="56" s="1"/>
  <c r="FQ209" i="56"/>
  <c r="FT209" i="56" s="1"/>
  <c r="FQ216" i="56"/>
  <c r="FT216" i="56" s="1"/>
  <c r="FQ204" i="56"/>
  <c r="FT204" i="56" s="1"/>
  <c r="FQ210" i="56"/>
  <c r="FT210" i="56" s="1"/>
  <c r="FQ193" i="56"/>
  <c r="FT193" i="56" s="1"/>
  <c r="FQ184" i="56"/>
  <c r="FT184" i="56" s="1"/>
  <c r="FQ222" i="56"/>
  <c r="FT222" i="56" s="1"/>
  <c r="FQ219" i="56"/>
  <c r="FT219" i="56" s="1"/>
  <c r="FQ185" i="56"/>
  <c r="FT185" i="56" s="1"/>
  <c r="FQ205" i="56"/>
  <c r="FT205" i="56" s="1"/>
  <c r="FQ187" i="56"/>
  <c r="FT187" i="56" s="1"/>
  <c r="FQ188" i="56"/>
  <c r="FT188" i="56" s="1"/>
  <c r="FQ186" i="56"/>
  <c r="FT186" i="56" s="1"/>
  <c r="FQ211" i="56"/>
  <c r="FT211" i="56" s="1"/>
  <c r="FQ220" i="56"/>
  <c r="FT220" i="56" s="1"/>
  <c r="FQ206" i="56"/>
  <c r="FT206" i="56" s="1"/>
  <c r="FQ189" i="56"/>
  <c r="FT189" i="56" s="1"/>
  <c r="FQ203" i="56"/>
  <c r="FT203" i="56" s="1"/>
  <c r="FQ190" i="56"/>
  <c r="FT190" i="56" s="1"/>
  <c r="FQ215" i="56"/>
  <c r="FT215" i="56" s="1"/>
  <c r="FQ213" i="56"/>
  <c r="FT213" i="56" s="1"/>
  <c r="FQ208" i="56"/>
  <c r="FT208" i="56" s="1"/>
  <c r="FQ207" i="56"/>
  <c r="FT207" i="56" s="1"/>
  <c r="FQ192" i="56"/>
  <c r="FT192" i="56" s="1"/>
  <c r="FQ199" i="56"/>
  <c r="FT199" i="56" s="1"/>
  <c r="FQ212" i="56"/>
  <c r="FT212" i="56" s="1"/>
  <c r="FQ217" i="56"/>
  <c r="FT217" i="56" s="1"/>
  <c r="FQ218" i="56"/>
  <c r="FT218" i="56" s="1"/>
  <c r="FQ195" i="56"/>
  <c r="FT195" i="56" s="1"/>
  <c r="FQ197" i="56"/>
  <c r="FT197" i="56" s="1"/>
  <c r="FQ202" i="56"/>
  <c r="FT202" i="56" s="1"/>
  <c r="FQ196" i="56"/>
  <c r="FT196" i="56" s="1"/>
  <c r="FQ201" i="56"/>
  <c r="FT201" i="56" s="1"/>
  <c r="FQ214" i="56"/>
  <c r="FT214" i="56" s="1"/>
  <c r="FQ191" i="56"/>
  <c r="FT191" i="56" s="1"/>
  <c r="FQ223" i="56"/>
  <c r="FT223" i="56" s="1"/>
  <c r="FQ221" i="56"/>
  <c r="FT221" i="56" s="1"/>
  <c r="FQ198" i="56"/>
  <c r="FT198" i="56" s="1"/>
  <c r="FQ194" i="56"/>
  <c r="FT194" i="56" s="1"/>
  <c r="DY292" i="56" a="1"/>
  <c r="DY292" i="56" s="1"/>
  <c r="HV305" i="56"/>
  <c r="GH305" i="56"/>
  <c r="GI305" i="56"/>
  <c r="HV169" i="56"/>
  <c r="GH169" i="56"/>
  <c r="GI169" i="56"/>
  <c r="HV126" i="56"/>
  <c r="GH126" i="56"/>
  <c r="GI126" i="56"/>
  <c r="GV275" i="56"/>
  <c r="EA121" i="56"/>
  <c r="DZ121" i="56" a="1"/>
  <c r="DZ121" i="56" s="1"/>
  <c r="EA220" i="56"/>
  <c r="DZ220" i="56" a="1"/>
  <c r="DZ220" i="56" s="1"/>
  <c r="GV217" i="56"/>
  <c r="DB266" i="56" a="1"/>
  <c r="DB266" i="56" s="1"/>
  <c r="DD266" i="56" s="1"/>
  <c r="HB266" i="56"/>
  <c r="GV266" i="56"/>
  <c r="DE266" i="56"/>
  <c r="GY266" i="56" s="1"/>
  <c r="DY126" i="56" a="1"/>
  <c r="DY126" i="56" s="1"/>
  <c r="IO204" i="56"/>
  <c r="GV209" i="56"/>
  <c r="GV311" i="56"/>
  <c r="IH338" i="56"/>
  <c r="FX188" i="56"/>
  <c r="GQ188" i="56"/>
  <c r="HV82" i="56"/>
  <c r="GI82" i="56"/>
  <c r="GJ82" i="56" s="1"/>
  <c r="GH82" i="56"/>
  <c r="EA130" i="56"/>
  <c r="GQ138" i="56"/>
  <c r="FX138" i="56"/>
  <c r="IH202" i="56"/>
  <c r="IN202" i="56" s="1"/>
  <c r="IH151" i="56"/>
  <c r="IN151" i="56" s="1"/>
  <c r="IO151" i="56" s="1"/>
  <c r="DY252" i="56" a="1"/>
  <c r="DY252" i="56" s="1"/>
  <c r="GQ215" i="56"/>
  <c r="FX215" i="56"/>
  <c r="DB206" i="56" a="1"/>
  <c r="DB206" i="56" s="1"/>
  <c r="DD206" i="56" s="1"/>
  <c r="HB206" i="56"/>
  <c r="DE206" i="56"/>
  <c r="GY206" i="56" s="1"/>
  <c r="GJ3" i="56"/>
  <c r="GN134" i="56"/>
  <c r="IK134" i="56" s="1"/>
  <c r="GO134" i="56"/>
  <c r="GM135" i="56"/>
  <c r="GV306" i="56"/>
  <c r="EA173" i="56"/>
  <c r="DZ173" i="56" a="1"/>
  <c r="DZ173" i="56" s="1"/>
  <c r="DY181" i="56" a="1"/>
  <c r="DY181" i="56" s="1"/>
  <c r="EA111" i="56"/>
  <c r="DZ111" i="56" a="1"/>
  <c r="DZ111" i="56" s="1"/>
  <c r="DY179" i="56" a="1"/>
  <c r="DY179" i="56" s="1"/>
  <c r="HV213" i="56"/>
  <c r="GH213" i="56"/>
  <c r="GI213" i="56"/>
  <c r="GQ348" i="56"/>
  <c r="FX348" i="56"/>
  <c r="GV131" i="56"/>
  <c r="GN346" i="56"/>
  <c r="IK346" i="56" s="1"/>
  <c r="GO346" i="56"/>
  <c r="GM347" i="56"/>
  <c r="HV243" i="56"/>
  <c r="GI243" i="56"/>
  <c r="GH243" i="56"/>
  <c r="HV8" i="56"/>
  <c r="GI8" i="56"/>
  <c r="GJ8" i="56" s="1"/>
  <c r="GH8" i="56"/>
  <c r="DY255" i="56" a="1"/>
  <c r="DY255" i="56" s="1"/>
  <c r="DY55" i="56" a="1"/>
  <c r="DY55" i="56" s="1"/>
  <c r="GV132" i="56"/>
  <c r="EJ307" i="56"/>
  <c r="GQ195" i="56"/>
  <c r="FX195" i="56"/>
  <c r="DB143" i="56" a="1"/>
  <c r="DB143" i="56" s="1"/>
  <c r="DD143" i="56" s="1"/>
  <c r="HB143" i="56"/>
  <c r="HC143" i="56" s="1"/>
  <c r="GV143" i="56"/>
  <c r="DE143" i="56"/>
  <c r="GY143" i="56" s="1"/>
  <c r="GV178" i="56"/>
  <c r="EA155" i="56"/>
  <c r="DZ155" i="56" a="1"/>
  <c r="DZ155" i="56" s="1"/>
  <c r="GV231" i="56"/>
  <c r="DY260" i="56" a="1"/>
  <c r="DY260" i="56" s="1"/>
  <c r="GV269" i="56"/>
  <c r="DB39" i="56" a="1"/>
  <c r="DB39" i="56" s="1"/>
  <c r="DD39" i="56" s="1"/>
  <c r="DE39" i="56"/>
  <c r="GY39" i="56" s="1"/>
  <c r="HB39" i="56"/>
  <c r="GV110" i="56"/>
  <c r="EA128" i="56"/>
  <c r="DZ128" i="56" a="1"/>
  <c r="DZ128" i="56" s="1"/>
  <c r="FQ141" i="56"/>
  <c r="FT141" i="56" s="1"/>
  <c r="FQ132" i="56"/>
  <c r="FT132" i="56" s="1"/>
  <c r="FQ142" i="56"/>
  <c r="FT142" i="56" s="1"/>
  <c r="FQ140" i="56"/>
  <c r="FT140" i="56" s="1"/>
  <c r="FQ138" i="56"/>
  <c r="FT138" i="56" s="1"/>
  <c r="FQ139" i="56"/>
  <c r="FT139" i="56" s="1"/>
  <c r="FQ152" i="56"/>
  <c r="FT152" i="56" s="1"/>
  <c r="FQ136" i="56"/>
  <c r="FT136" i="56" s="1"/>
  <c r="FQ137" i="56"/>
  <c r="FT137" i="56" s="1"/>
  <c r="FQ135" i="56"/>
  <c r="FT135" i="56" s="1"/>
  <c r="FQ143" i="56"/>
  <c r="FT143" i="56" s="1"/>
  <c r="FQ144" i="56"/>
  <c r="FT144" i="56" s="1"/>
  <c r="FQ146" i="56"/>
  <c r="FT146" i="56" s="1"/>
  <c r="FQ131" i="56"/>
  <c r="FT131" i="56" s="1"/>
  <c r="FQ130" i="56"/>
  <c r="FT130" i="56" s="1"/>
  <c r="FQ148" i="56"/>
  <c r="FT148" i="56" s="1"/>
  <c r="FQ153" i="56"/>
  <c r="FT153" i="56" s="1"/>
  <c r="FQ151" i="56"/>
  <c r="FT151" i="56" s="1"/>
  <c r="FQ147" i="56"/>
  <c r="FT147" i="56" s="1"/>
  <c r="FQ150" i="56"/>
  <c r="FT150" i="56" s="1"/>
  <c r="FQ133" i="56"/>
  <c r="FT133" i="56" s="1"/>
  <c r="FQ149" i="56"/>
  <c r="FT149" i="56" s="1"/>
  <c r="FQ134" i="56"/>
  <c r="FT134" i="56" s="1"/>
  <c r="FQ145" i="56"/>
  <c r="FT145" i="56" s="1"/>
  <c r="IH256" i="56"/>
  <c r="IN256" i="56" s="1"/>
  <c r="HV99" i="56"/>
  <c r="GI99" i="56"/>
  <c r="GH99" i="56"/>
  <c r="HV218" i="56"/>
  <c r="GI218" i="56"/>
  <c r="GH218" i="56"/>
  <c r="HV334" i="56"/>
  <c r="GH334" i="56"/>
  <c r="GI334" i="56"/>
  <c r="GJ334" i="56" s="1"/>
  <c r="DB30" i="56" a="1"/>
  <c r="DB30" i="56" s="1"/>
  <c r="DD30" i="56" s="1"/>
  <c r="GV30" i="56"/>
  <c r="DE30" i="56"/>
  <c r="GY30" i="56" s="1"/>
  <c r="HB30" i="56"/>
  <c r="HC30" i="56" s="1"/>
  <c r="DY234" i="56" a="1"/>
  <c r="DY234" i="56" s="1"/>
  <c r="HV296" i="56"/>
  <c r="GH296" i="56"/>
  <c r="GI296" i="56"/>
  <c r="DY49" i="56" a="1"/>
  <c r="DY49" i="56" s="1"/>
  <c r="DY307" i="56" a="1"/>
  <c r="DY307" i="56" s="1"/>
  <c r="IH350" i="56"/>
  <c r="IN350" i="56" s="1"/>
  <c r="DY162" i="56" a="1"/>
  <c r="DY162" i="56" s="1"/>
  <c r="HV312" i="56"/>
  <c r="GI312" i="56"/>
  <c r="GH312" i="56"/>
  <c r="IH266" i="56"/>
  <c r="IN266" i="56" s="1"/>
  <c r="IO266" i="56" s="1"/>
  <c r="DB238" i="56" a="1"/>
  <c r="DB238" i="56" s="1"/>
  <c r="DD238" i="56" s="1"/>
  <c r="DE238" i="56"/>
  <c r="GY238" i="56" s="1"/>
  <c r="GV238" i="56"/>
  <c r="HB238" i="56"/>
  <c r="GQ93" i="56"/>
  <c r="FX93" i="56"/>
  <c r="GQ84" i="56"/>
  <c r="FX84" i="56"/>
  <c r="GQ264" i="56"/>
  <c r="FX264" i="56"/>
  <c r="BY130" i="56" a="1"/>
  <c r="BY130" i="56" s="1"/>
  <c r="BY10" i="56" a="1"/>
  <c r="BY10" i="56" s="1"/>
  <c r="EA106" i="56"/>
  <c r="DZ106" i="56" a="1"/>
  <c r="DZ106" i="56" s="1"/>
  <c r="DY293" i="56" a="1"/>
  <c r="DY293" i="56" s="1"/>
  <c r="FX140" i="56"/>
  <c r="GQ140" i="56"/>
  <c r="EA24" i="56"/>
  <c r="DZ24" i="56" a="1"/>
  <c r="DZ24" i="56" s="1"/>
  <c r="GQ143" i="56"/>
  <c r="FX143" i="56"/>
  <c r="GQ211" i="56"/>
  <c r="FX211" i="56"/>
  <c r="EA222" i="56"/>
  <c r="DZ222" i="56" a="1"/>
  <c r="DZ222" i="56" s="1"/>
  <c r="GJ240" i="56"/>
  <c r="GJ141" i="56"/>
  <c r="EA101" i="56"/>
  <c r="DZ101" i="56" a="1"/>
  <c r="DZ101" i="56" s="1"/>
  <c r="GV345" i="56"/>
  <c r="GJ144" i="56"/>
  <c r="DY197" i="56" a="1"/>
  <c r="DY197" i="56" s="1"/>
  <c r="GW226" i="56"/>
  <c r="GP226" i="56"/>
  <c r="GU226" i="56"/>
  <c r="HS226" i="56" s="1"/>
  <c r="DB270" i="56" a="1"/>
  <c r="DB270" i="56" s="1"/>
  <c r="DD270" i="56" s="1"/>
  <c r="DE270" i="56"/>
  <c r="GY270" i="56" s="1"/>
  <c r="HB270" i="56"/>
  <c r="DY246" i="56" a="1"/>
  <c r="DY246" i="56" s="1"/>
  <c r="GW104" i="56"/>
  <c r="GU104" i="56"/>
  <c r="HS104" i="56" s="1"/>
  <c r="GP104" i="56"/>
  <c r="GQ237" i="56"/>
  <c r="FX237" i="56"/>
  <c r="DY67" i="56" a="1"/>
  <c r="DY67" i="56" s="1"/>
  <c r="EJ134" i="56"/>
  <c r="EA154" i="56"/>
  <c r="HV156" i="56"/>
  <c r="GI156" i="56"/>
  <c r="GJ156" i="56" s="1"/>
  <c r="GH156" i="56"/>
  <c r="GQ176" i="56"/>
  <c r="FX176" i="56"/>
  <c r="GQ343" i="56"/>
  <c r="FX343" i="56"/>
  <c r="EJ142" i="56"/>
  <c r="DY148" i="56" a="1"/>
  <c r="DY148" i="56" s="1"/>
  <c r="DY131" i="56" a="1"/>
  <c r="DY131" i="56" s="1"/>
  <c r="IH299" i="56"/>
  <c r="HV109" i="56"/>
  <c r="GI109" i="56"/>
  <c r="GH109" i="56"/>
  <c r="HV258" i="56"/>
  <c r="GI258" i="56"/>
  <c r="GH258" i="56"/>
  <c r="EA300" i="56"/>
  <c r="DZ300" i="56" a="1"/>
  <c r="DZ300" i="56" s="1"/>
  <c r="DY171" i="56" a="1"/>
  <c r="DY171" i="56" s="1"/>
  <c r="EJ114" i="56"/>
  <c r="EJ101" i="56"/>
  <c r="DB36" i="56" a="1"/>
  <c r="DB36" i="56" s="1"/>
  <c r="DD36" i="56" s="1"/>
  <c r="DE36" i="56"/>
  <c r="GY36" i="56" s="1"/>
  <c r="HB36" i="56"/>
  <c r="GV36" i="56"/>
  <c r="EJ165" i="56"/>
  <c r="DY91" i="56" a="1"/>
  <c r="DY91" i="56" s="1"/>
  <c r="IH304" i="56"/>
  <c r="EA16" i="56"/>
  <c r="BS21" i="55" s="1" a="1"/>
  <c r="BS21" i="55" s="1"/>
  <c r="BT16" i="55" a="1"/>
  <c r="BT16" i="55" s="1"/>
  <c r="BP16" i="55" a="1"/>
  <c r="BP16" i="55" s="1"/>
  <c r="BL16" i="55" a="1"/>
  <c r="BL16" i="55" s="1"/>
  <c r="EA123" i="56"/>
  <c r="DZ123" i="56" a="1"/>
  <c r="DZ123" i="56" s="1"/>
  <c r="EA177" i="56"/>
  <c r="DZ177" i="56" a="1"/>
  <c r="DZ177" i="56" s="1"/>
  <c r="EA331" i="56"/>
  <c r="DZ331" i="56" a="1"/>
  <c r="DZ331" i="56" s="1"/>
  <c r="GQ320" i="56"/>
  <c r="FX320" i="56"/>
  <c r="BL18" i="55" a="1"/>
  <c r="BL18" i="55" s="1"/>
  <c r="BP18" i="55" a="1"/>
  <c r="BP18" i="55" s="1"/>
  <c r="BT18" i="55" a="1"/>
  <c r="BT18" i="55" s="1"/>
  <c r="HV69" i="56"/>
  <c r="GH69" i="56"/>
  <c r="GI69" i="56"/>
  <c r="HV300" i="56"/>
  <c r="GI300" i="56"/>
  <c r="GH300" i="56"/>
  <c r="EA18" i="56"/>
  <c r="BS23" i="55" s="1" a="1"/>
  <c r="BS23" i="55" s="1"/>
  <c r="HV75" i="56"/>
  <c r="GI75" i="56"/>
  <c r="GH75" i="56"/>
  <c r="HV162" i="56"/>
  <c r="GI162" i="56"/>
  <c r="GJ162" i="56" s="1"/>
  <c r="GH162" i="56"/>
  <c r="DY141" i="56" a="1"/>
  <c r="DY141" i="56" s="1"/>
  <c r="EA297" i="56"/>
  <c r="DZ297" i="56" a="1"/>
  <c r="DZ297" i="56" s="1"/>
  <c r="GQ162" i="56"/>
  <c r="FX162" i="56"/>
  <c r="DY311" i="56" a="1"/>
  <c r="DY311" i="56" s="1"/>
  <c r="DY85" i="56" a="1"/>
  <c r="DY85" i="56" s="1"/>
  <c r="HV65" i="56"/>
  <c r="GI65" i="56"/>
  <c r="GH65" i="56"/>
  <c r="DY317" i="56" a="1"/>
  <c r="DY317" i="56" s="1"/>
  <c r="EA65" i="56"/>
  <c r="DZ65" i="56" a="1"/>
  <c r="DZ65" i="56" s="1"/>
  <c r="GQ257" i="56"/>
  <c r="FX257" i="56"/>
  <c r="GQ139" i="56"/>
  <c r="FX139" i="56"/>
  <c r="IH190" i="56"/>
  <c r="IN190" i="56" s="1"/>
  <c r="IO190" i="56" s="1"/>
  <c r="IN185" i="56"/>
  <c r="IO185" i="56" s="1"/>
  <c r="EJ78" i="56"/>
  <c r="BL8" i="56"/>
  <c r="BN8" i="56"/>
  <c r="BL53" i="56"/>
  <c r="AZ15" i="55"/>
  <c r="AS15" i="55" a="1"/>
  <c r="AS15" i="55" s="1"/>
  <c r="Y15" i="55"/>
  <c r="BA15" i="55" s="1"/>
  <c r="BL26" i="56"/>
  <c r="BN25" i="56"/>
  <c r="BL25" i="56"/>
  <c r="E25" i="56" s="1"/>
  <c r="BM25" i="56" s="1"/>
  <c r="BV10" i="55" a="1"/>
  <c r="BV10" i="55" s="1"/>
  <c r="GQ226" i="56"/>
  <c r="GR227" i="56" s="1"/>
  <c r="N227" i="56" s="1"/>
  <c r="GS227" i="56" s="1"/>
  <c r="HE227" i="56" s="1"/>
  <c r="HF227" i="56" s="1"/>
  <c r="FX226" i="56"/>
  <c r="HV55" i="56"/>
  <c r="GI55" i="56"/>
  <c r="GJ55" i="56" s="1"/>
  <c r="GH55" i="56"/>
  <c r="DB258" i="56" a="1"/>
  <c r="DB258" i="56" s="1"/>
  <c r="DD258" i="56" s="1"/>
  <c r="DE258" i="56"/>
  <c r="GY258" i="56" s="1"/>
  <c r="HB258" i="56"/>
  <c r="DY97" i="56" a="1"/>
  <c r="DY97" i="56" s="1"/>
  <c r="DY73" i="56" a="1"/>
  <c r="DY73" i="56" s="1"/>
  <c r="EA174" i="56"/>
  <c r="DZ174" i="56" a="1"/>
  <c r="DZ174" i="56" s="1"/>
  <c r="HV261" i="56"/>
  <c r="GI261" i="56"/>
  <c r="GJ261" i="56" s="1"/>
  <c r="GH261" i="56"/>
  <c r="GV80" i="56"/>
  <c r="GV124" i="56"/>
  <c r="HV281" i="56"/>
  <c r="GI281" i="56"/>
  <c r="GJ281" i="56" s="1"/>
  <c r="GH281" i="56"/>
  <c r="HV262" i="56"/>
  <c r="GI262" i="56"/>
  <c r="GJ262" i="56" s="1"/>
  <c r="GH262" i="56"/>
  <c r="HV19" i="56"/>
  <c r="GI19" i="56"/>
  <c r="GH19" i="56"/>
  <c r="GJ89" i="56"/>
  <c r="HE89" i="56"/>
  <c r="HF89" i="56" s="1"/>
  <c r="EA322" i="56"/>
  <c r="DZ322" i="56" a="1"/>
  <c r="DZ322" i="56" s="1"/>
  <c r="DB52" i="56" a="1"/>
  <c r="DB52" i="56" s="1"/>
  <c r="DD52" i="56" s="1"/>
  <c r="DE52" i="56"/>
  <c r="GY52" i="56" s="1"/>
  <c r="HB52" i="56"/>
  <c r="GQ258" i="56"/>
  <c r="FX258" i="56"/>
  <c r="IN203" i="56"/>
  <c r="IO203" i="56" s="1"/>
  <c r="HV265" i="56"/>
  <c r="GI265" i="56"/>
  <c r="GJ265" i="56" s="1"/>
  <c r="GH265" i="56"/>
  <c r="GW133" i="56"/>
  <c r="GU133" i="56"/>
  <c r="HS133" i="56" s="1"/>
  <c r="GP133" i="56"/>
  <c r="IH233" i="56"/>
  <c r="DY306" i="56" a="1"/>
  <c r="DY306" i="56" s="1"/>
  <c r="GQ65" i="56"/>
  <c r="FX65" i="56"/>
  <c r="HV220" i="56"/>
  <c r="GI220" i="56"/>
  <c r="GJ220" i="56" s="1"/>
  <c r="GH220" i="56"/>
  <c r="HV206" i="56"/>
  <c r="GH206" i="56"/>
  <c r="GI206" i="56"/>
  <c r="GU345" i="56"/>
  <c r="HS345" i="56" s="1"/>
  <c r="GT345" i="56"/>
  <c r="GW345" i="56"/>
  <c r="GP345" i="56"/>
  <c r="EJ6" i="56"/>
  <c r="FQ119" i="56"/>
  <c r="FT119" i="56" s="1"/>
  <c r="FQ124" i="56"/>
  <c r="FT124" i="56" s="1"/>
  <c r="FQ125" i="56"/>
  <c r="FT125" i="56" s="1"/>
  <c r="FQ107" i="56"/>
  <c r="FT107" i="56" s="1"/>
  <c r="FQ103" i="56"/>
  <c r="FT103" i="56" s="1"/>
  <c r="FQ110" i="56"/>
  <c r="FT110" i="56" s="1"/>
  <c r="FQ104" i="56"/>
  <c r="FT104" i="56" s="1"/>
  <c r="FQ120" i="56"/>
  <c r="FT120" i="56" s="1"/>
  <c r="FQ114" i="56"/>
  <c r="FT114" i="56" s="1"/>
  <c r="FQ105" i="56"/>
  <c r="FT105" i="56" s="1"/>
  <c r="FQ123" i="56"/>
  <c r="FT123" i="56" s="1"/>
  <c r="FQ106" i="56"/>
  <c r="FT106" i="56" s="1"/>
  <c r="FQ113" i="56"/>
  <c r="FT113" i="56" s="1"/>
  <c r="FQ115" i="56"/>
  <c r="FT115" i="56" s="1"/>
  <c r="FQ109" i="56"/>
  <c r="FT109" i="56" s="1"/>
  <c r="FQ121" i="56"/>
  <c r="FT121" i="56" s="1"/>
  <c r="FQ122" i="56"/>
  <c r="FT122" i="56" s="1"/>
  <c r="FQ111" i="56"/>
  <c r="FT111" i="56" s="1"/>
  <c r="FQ118" i="56"/>
  <c r="FT118" i="56" s="1"/>
  <c r="FQ126" i="56"/>
  <c r="FT126" i="56" s="1"/>
  <c r="FQ116" i="56"/>
  <c r="FT116" i="56" s="1"/>
  <c r="FQ108" i="56"/>
  <c r="FT108" i="56" s="1"/>
  <c r="FQ129" i="56"/>
  <c r="FT129" i="56" s="1"/>
  <c r="FQ112" i="56"/>
  <c r="FT112" i="56" s="1"/>
  <c r="FQ128" i="56"/>
  <c r="FT128" i="56" s="1"/>
  <c r="FQ117" i="56"/>
  <c r="FT117" i="56" s="1"/>
  <c r="FQ127" i="56"/>
  <c r="FT127" i="56" s="1"/>
  <c r="FQ102" i="56"/>
  <c r="FT102" i="56" s="1"/>
  <c r="EA165" i="56"/>
  <c r="DZ165" i="56" a="1"/>
  <c r="DZ165" i="56" s="1"/>
  <c r="DY92" i="56" a="1"/>
  <c r="DY92" i="56" s="1"/>
  <c r="EA63" i="56"/>
  <c r="DZ63" i="56" a="1"/>
  <c r="DZ63" i="56" s="1"/>
  <c r="IO27" i="56"/>
  <c r="IN27" i="56"/>
  <c r="IH27" i="56"/>
  <c r="II27" i="56" s="1"/>
  <c r="GR27" i="56"/>
  <c r="N27" i="56" s="1"/>
  <c r="GS27" i="56" s="1"/>
  <c r="IH284" i="56"/>
  <c r="IN284" i="56" s="1"/>
  <c r="GR284" i="56"/>
  <c r="N284" i="56" s="1"/>
  <c r="GS284" i="56" s="1"/>
  <c r="GT284" i="56"/>
  <c r="HV308" i="56"/>
  <c r="GI308" i="56"/>
  <c r="GJ308" i="56" s="1"/>
  <c r="GH308" i="56"/>
  <c r="GQ287" i="56"/>
  <c r="FX287" i="56"/>
  <c r="DY269" i="56" a="1"/>
  <c r="DY269" i="56" s="1"/>
  <c r="DY110" i="56" a="1"/>
  <c r="DY110" i="56" s="1"/>
  <c r="DY145" i="56" a="1"/>
  <c r="DY145" i="56" s="1"/>
  <c r="HV200" i="56"/>
  <c r="GI200" i="56"/>
  <c r="GH200" i="56"/>
  <c r="HV15" i="56"/>
  <c r="GH15" i="56"/>
  <c r="GI15" i="56"/>
  <c r="GQ164" i="56"/>
  <c r="FX164" i="56"/>
  <c r="EA333" i="56"/>
  <c r="DZ333" i="56" a="1"/>
  <c r="DZ333" i="56" s="1"/>
  <c r="GQ179" i="56"/>
  <c r="FX179" i="56"/>
  <c r="GQ267" i="56"/>
  <c r="FX267" i="56"/>
  <c r="HV309" i="56"/>
  <c r="GI309" i="56"/>
  <c r="GH309" i="56"/>
  <c r="IH160" i="56"/>
  <c r="IN160" i="56" s="1"/>
  <c r="IO160" i="56" s="1"/>
  <c r="DY275" i="56" a="1"/>
  <c r="DY275" i="56" s="1"/>
  <c r="IH251" i="56"/>
  <c r="IN251" i="56" s="1"/>
  <c r="FX148" i="56"/>
  <c r="GQ148" i="56"/>
  <c r="DY217" i="56" a="1"/>
  <c r="DY217" i="56" s="1"/>
  <c r="HV217" i="56"/>
  <c r="GI217" i="56"/>
  <c r="GH217" i="56"/>
  <c r="GJ245" i="56"/>
  <c r="DY209" i="56" a="1"/>
  <c r="DY209" i="56" s="1"/>
  <c r="IH129" i="56"/>
  <c r="HV241" i="56"/>
  <c r="GH241" i="56"/>
  <c r="GI241" i="56"/>
  <c r="FX189" i="56"/>
  <c r="GQ189" i="56"/>
  <c r="GQ323" i="56"/>
  <c r="FX323" i="56"/>
  <c r="FX149" i="56"/>
  <c r="GQ149" i="56"/>
  <c r="EJ22" i="56"/>
  <c r="EJ86" i="56"/>
  <c r="HV23" i="56"/>
  <c r="GH23" i="56"/>
  <c r="GI23" i="56"/>
  <c r="GJ23" i="56" s="1"/>
  <c r="BN14" i="56"/>
  <c r="BL14" i="56"/>
  <c r="BL224" i="56"/>
  <c r="BL5" i="56"/>
  <c r="BN5" i="56"/>
  <c r="BL335" i="56"/>
  <c r="BL336" i="56"/>
  <c r="BY9" i="56" a="1"/>
  <c r="BY9" i="56" s="1"/>
  <c r="BY88" i="56" a="1"/>
  <c r="BY88" i="56" s="1"/>
  <c r="IO191" i="56"/>
  <c r="HV86" i="56"/>
  <c r="GH86" i="56"/>
  <c r="GI86" i="56"/>
  <c r="GJ86" i="56" s="1"/>
  <c r="HV287" i="56"/>
  <c r="GH287" i="56"/>
  <c r="GI287" i="56"/>
  <c r="GJ287" i="56" s="1"/>
  <c r="IH111" i="56"/>
  <c r="HV20" i="56"/>
  <c r="GH20" i="56"/>
  <c r="GI20" i="56"/>
  <c r="EJ312" i="56"/>
  <c r="GQ199" i="56"/>
  <c r="FX199" i="56"/>
  <c r="HV18" i="56"/>
  <c r="GI18" i="56"/>
  <c r="GH18" i="56"/>
  <c r="GN35" i="56"/>
  <c r="IK35" i="56" s="1"/>
  <c r="GO35" i="56"/>
  <c r="GM36" i="56"/>
  <c r="EA69" i="56"/>
  <c r="DZ69" i="56" a="1"/>
  <c r="DZ69" i="56" s="1"/>
  <c r="GV77" i="56"/>
  <c r="GV138" i="56"/>
  <c r="DY44" i="56" a="1"/>
  <c r="DY44" i="56" s="1"/>
  <c r="DY329" i="56" a="1"/>
  <c r="DY329" i="56" s="1"/>
  <c r="DY38" i="56" a="1"/>
  <c r="DY38" i="56" s="1"/>
  <c r="IN271" i="56"/>
  <c r="IO271" i="56" s="1"/>
  <c r="HV340" i="56"/>
  <c r="GH340" i="56"/>
  <c r="GI340" i="56"/>
  <c r="GJ340" i="56" s="1"/>
  <c r="GQ351" i="56"/>
  <c r="FX351" i="56"/>
  <c r="GQ24" i="56"/>
  <c r="FX24" i="56"/>
  <c r="EA122" i="56"/>
  <c r="DZ122" i="56" a="1"/>
  <c r="DZ122" i="56" s="1"/>
  <c r="DB134" i="56" a="1"/>
  <c r="DB134" i="56" s="1"/>
  <c r="DD134" i="56" s="1"/>
  <c r="DE134" i="56"/>
  <c r="GY134" i="56" s="1"/>
  <c r="HB134" i="56"/>
  <c r="HC134" i="56" s="1"/>
  <c r="GV134" i="56"/>
  <c r="EA314" i="56"/>
  <c r="DZ314" i="56" a="1"/>
  <c r="DZ314" i="56" s="1"/>
  <c r="HV259" i="56"/>
  <c r="GH259" i="56"/>
  <c r="GI259" i="56"/>
  <c r="GJ91" i="56"/>
  <c r="HE91" i="56"/>
  <c r="HF91" i="56" s="1"/>
  <c r="EA102" i="56"/>
  <c r="GQ35" i="56"/>
  <c r="FX35" i="56"/>
  <c r="EJ310" i="56"/>
  <c r="HV21" i="56"/>
  <c r="GI21" i="56"/>
  <c r="GH21" i="56"/>
  <c r="BT15" i="55" a="1"/>
  <c r="BT15" i="55" s="1"/>
  <c r="BL15" i="55" a="1"/>
  <c r="BL15" i="55" s="1"/>
  <c r="BP15" i="55" a="1"/>
  <c r="BP15" i="55" s="1"/>
  <c r="HV61" i="56"/>
  <c r="GI61" i="56"/>
  <c r="GH61" i="56"/>
  <c r="GT102" i="56"/>
  <c r="HT102" i="56"/>
  <c r="DY132" i="56" a="1"/>
  <c r="DY132" i="56" s="1"/>
  <c r="DY178" i="56" a="1"/>
  <c r="DY178" i="56" s="1"/>
  <c r="GQ301" i="56"/>
  <c r="FX301" i="56"/>
  <c r="HV87" i="56"/>
  <c r="GH87" i="56"/>
  <c r="GI87" i="56"/>
  <c r="GJ87" i="56" s="1"/>
  <c r="GQ245" i="56"/>
  <c r="FX245" i="56"/>
  <c r="DY231" i="56" a="1"/>
  <c r="DY231" i="56" s="1"/>
  <c r="FQ27" i="56"/>
  <c r="FT27" i="56" s="1"/>
  <c r="FQ26" i="56"/>
  <c r="FT26" i="56" s="1"/>
  <c r="FQ28" i="56"/>
  <c r="FT28" i="56" s="1"/>
  <c r="IO229" i="56"/>
  <c r="HV16" i="56"/>
  <c r="GH16" i="56"/>
  <c r="GI16" i="56"/>
  <c r="GJ145" i="56"/>
  <c r="GQ153" i="56"/>
  <c r="FX153" i="56"/>
  <c r="IH141" i="56"/>
  <c r="HV71" i="56"/>
  <c r="GH71" i="56"/>
  <c r="GI71" i="56"/>
  <c r="HV101" i="56"/>
  <c r="GI101" i="56"/>
  <c r="GH101" i="56"/>
  <c r="HV238" i="56"/>
  <c r="GH238" i="56"/>
  <c r="GI238" i="56"/>
  <c r="HV60" i="56"/>
  <c r="GI60" i="56"/>
  <c r="GH60" i="56"/>
  <c r="GT26" i="56"/>
  <c r="EJ163" i="56"/>
  <c r="IO319" i="56"/>
  <c r="DY187" i="56" a="1"/>
  <c r="DY187" i="56" s="1"/>
  <c r="EA308" i="56"/>
  <c r="DZ308" i="56" a="1"/>
  <c r="DZ308" i="56" s="1"/>
  <c r="EA104" i="56"/>
  <c r="DZ104" i="56" a="1"/>
  <c r="DZ104" i="56" s="1"/>
  <c r="EJ346" i="56"/>
  <c r="GQ59" i="56"/>
  <c r="FX59" i="56"/>
  <c r="GQ236" i="56"/>
  <c r="FX236" i="56"/>
  <c r="DY281" i="56" a="1"/>
  <c r="DY281" i="56" s="1"/>
  <c r="DB127" i="56" a="1"/>
  <c r="DB127" i="56" s="1"/>
  <c r="DD127" i="56" s="1"/>
  <c r="HB127" i="56"/>
  <c r="DE127" i="56"/>
  <c r="GY127" i="56" s="1"/>
  <c r="GV127" i="56"/>
  <c r="DB34" i="56" a="1"/>
  <c r="DB34" i="56" s="1"/>
  <c r="DD34" i="56" s="1"/>
  <c r="HB34" i="56"/>
  <c r="DE34" i="56"/>
  <c r="GY34" i="56" s="1"/>
  <c r="DY100" i="56" a="1"/>
  <c r="DY100" i="56" s="1"/>
  <c r="DY310" i="56" a="1"/>
  <c r="DY310" i="56" s="1"/>
  <c r="IH135" i="56"/>
  <c r="GQ221" i="56"/>
  <c r="FX221" i="56"/>
  <c r="HV222" i="56"/>
  <c r="GH222" i="56"/>
  <c r="GI222" i="56"/>
  <c r="GJ222" i="56" s="1"/>
  <c r="EA304" i="56"/>
  <c r="DZ304" i="56" a="1"/>
  <c r="DZ304" i="56" s="1"/>
  <c r="HV64" i="56"/>
  <c r="GI64" i="56"/>
  <c r="GH64" i="56"/>
  <c r="DY167" i="56" a="1"/>
  <c r="DY167" i="56" s="1"/>
  <c r="DY19" i="56" a="1"/>
  <c r="DY19" i="56" s="1"/>
  <c r="DY125" i="56" a="1"/>
  <c r="DY125" i="56" s="1"/>
  <c r="BN9" i="56"/>
  <c r="BL9" i="56"/>
  <c r="BL88" i="56"/>
  <c r="EA344" i="56"/>
  <c r="DZ344" i="56" a="1"/>
  <c r="DZ344" i="56" s="1"/>
  <c r="DY149" i="56" a="1"/>
  <c r="DY149" i="56" s="1"/>
  <c r="GU315" i="56"/>
  <c r="HS315" i="56" s="1"/>
  <c r="GP315" i="56"/>
  <c r="GW315" i="56"/>
  <c r="GJ235" i="56"/>
  <c r="GQ156" i="56"/>
  <c r="FX156" i="56"/>
  <c r="DY88" i="56" a="1"/>
  <c r="DY88" i="56" s="1"/>
  <c r="EA8" i="56"/>
  <c r="BS13" i="55" s="1" a="1"/>
  <c r="BS13" i="55" s="1"/>
  <c r="AZ24" i="55"/>
  <c r="AS24" i="55" a="1"/>
  <c r="AS24" i="55" s="1"/>
  <c r="Y24" i="55" s="1"/>
  <c r="BA24" i="55" s="1"/>
  <c r="Z24" i="55" s="1"/>
  <c r="BN10" i="56"/>
  <c r="BL10" i="56"/>
  <c r="BL130" i="56"/>
  <c r="BY14" i="56" a="1"/>
  <c r="BY14" i="56" s="1"/>
  <c r="BY224" i="56" a="1"/>
  <c r="BY224" i="56" s="1"/>
  <c r="AZ17" i="55"/>
  <c r="AS17" i="55" a="1"/>
  <c r="AS17" i="55" s="1"/>
  <c r="Y17" i="55"/>
  <c r="BA17" i="55" s="1"/>
  <c r="Z17" i="55" s="1"/>
  <c r="AS12" i="55" a="1"/>
  <c r="AS12" i="55" s="1"/>
  <c r="AZ12" i="55"/>
  <c r="DB233" i="56" a="1"/>
  <c r="DB233" i="56" s="1"/>
  <c r="DD233" i="56" s="1"/>
  <c r="HB233" i="56"/>
  <c r="DE233" i="56"/>
  <c r="GY233" i="56" s="1"/>
  <c r="HV80" i="56"/>
  <c r="GI80" i="56"/>
  <c r="GH80" i="56"/>
  <c r="GP34" i="56"/>
  <c r="GU34" i="56"/>
  <c r="HS34" i="56" s="1"/>
  <c r="GW34" i="56"/>
  <c r="GQ133" i="56"/>
  <c r="GT133" i="56" s="1"/>
  <c r="FX133" i="56"/>
  <c r="HV280" i="56"/>
  <c r="GI280" i="56"/>
  <c r="GJ280" i="56" s="1"/>
  <c r="GH280" i="56"/>
  <c r="GQ339" i="56"/>
  <c r="FX339" i="56"/>
  <c r="HV306" i="56"/>
  <c r="GH306" i="56"/>
  <c r="GI306" i="56"/>
  <c r="GQ77" i="56"/>
  <c r="FX77" i="56"/>
  <c r="DY345" i="56" a="1"/>
  <c r="DY345" i="56" s="1"/>
  <c r="HV153" i="56"/>
  <c r="GI153" i="56"/>
  <c r="GH153" i="56"/>
  <c r="GJ146" i="56"/>
  <c r="EA346" i="56"/>
  <c r="DZ346" i="56" a="1"/>
  <c r="DZ346" i="56" s="1"/>
  <c r="EA172" i="56"/>
  <c r="DZ172" i="56" a="1"/>
  <c r="DZ172" i="56" s="1"/>
  <c r="IH196" i="56"/>
  <c r="EA339" i="56"/>
  <c r="DZ339" i="56" a="1"/>
  <c r="DZ339" i="56" s="1"/>
  <c r="EJ282" i="56"/>
  <c r="EA84" i="56"/>
  <c r="DZ84" i="56" a="1"/>
  <c r="DZ84" i="56" s="1"/>
  <c r="DY263" i="56" a="1"/>
  <c r="DY263" i="56" s="1"/>
  <c r="GQ136" i="56"/>
  <c r="FX136" i="56"/>
  <c r="GJ143" i="56"/>
  <c r="FQ72" i="56"/>
  <c r="FT72" i="56" s="1"/>
  <c r="FQ62" i="56"/>
  <c r="FT62" i="56" s="1"/>
  <c r="FQ82" i="56"/>
  <c r="FT82" i="56" s="1"/>
  <c r="FQ61" i="56"/>
  <c r="FT61" i="56" s="1"/>
  <c r="FQ76" i="56"/>
  <c r="FT76" i="56" s="1"/>
  <c r="FQ87" i="56"/>
  <c r="FT87" i="56" s="1"/>
  <c r="FQ77" i="56"/>
  <c r="FT77" i="56" s="1"/>
  <c r="FQ56" i="56"/>
  <c r="FT56" i="56" s="1"/>
  <c r="FQ59" i="56"/>
  <c r="FT59" i="56" s="1"/>
  <c r="FQ78" i="56"/>
  <c r="FT78" i="56" s="1"/>
  <c r="FQ81" i="56"/>
  <c r="FT81" i="56" s="1"/>
  <c r="FQ65" i="56"/>
  <c r="FT65" i="56" s="1"/>
  <c r="FQ83" i="56"/>
  <c r="FT83" i="56" s="1"/>
  <c r="FQ79" i="56"/>
  <c r="FT79" i="56" s="1"/>
  <c r="FQ58" i="56"/>
  <c r="FT58" i="56" s="1"/>
  <c r="FQ60" i="56"/>
  <c r="FT60" i="56" s="1"/>
  <c r="FQ66" i="56"/>
  <c r="FT66" i="56" s="1"/>
  <c r="FQ68" i="56"/>
  <c r="FT68" i="56" s="1"/>
  <c r="FQ80" i="56"/>
  <c r="FT80" i="56" s="1"/>
  <c r="FQ54" i="56"/>
  <c r="FT54" i="56" s="1"/>
  <c r="FQ64" i="56"/>
  <c r="FT64" i="56" s="1"/>
  <c r="FQ74" i="56"/>
  <c r="FT74" i="56" s="1"/>
  <c r="FQ55" i="56"/>
  <c r="FT55" i="56" s="1"/>
  <c r="FQ75" i="56"/>
  <c r="FT75" i="56" s="1"/>
  <c r="FQ86" i="56"/>
  <c r="FT86" i="56" s="1"/>
  <c r="FQ57" i="56"/>
  <c r="FT57" i="56" s="1"/>
  <c r="FQ67" i="56"/>
  <c r="FT67" i="56" s="1"/>
  <c r="FQ70" i="56"/>
  <c r="FT70" i="56" s="1"/>
  <c r="FQ73" i="56"/>
  <c r="FT73" i="56" s="1"/>
  <c r="FQ85" i="56"/>
  <c r="FT85" i="56" s="1"/>
  <c r="FQ69" i="56"/>
  <c r="FT69" i="56" s="1"/>
  <c r="FQ63" i="56"/>
  <c r="FT63" i="56" s="1"/>
  <c r="FQ84" i="56"/>
  <c r="FT84" i="56" s="1"/>
  <c r="FQ71" i="56"/>
  <c r="FT71" i="56" s="1"/>
  <c r="FQ53" i="56"/>
  <c r="FT53" i="56" s="1"/>
  <c r="GV117" i="56"/>
  <c r="HV289" i="56"/>
  <c r="GH289" i="56"/>
  <c r="GI289" i="56"/>
  <c r="GJ289" i="56" s="1"/>
  <c r="HV215" i="56"/>
  <c r="GH215" i="56"/>
  <c r="GI215" i="56"/>
  <c r="HV266" i="56"/>
  <c r="GH266" i="56"/>
  <c r="GI266" i="56"/>
  <c r="GJ266" i="56" s="1"/>
  <c r="GJ183" i="56"/>
  <c r="HV85" i="56"/>
  <c r="GH85" i="56"/>
  <c r="GI85" i="56"/>
  <c r="GJ85" i="56" s="1"/>
  <c r="HV210" i="56"/>
  <c r="GI210" i="56"/>
  <c r="GH210" i="56"/>
  <c r="GQ168" i="56"/>
  <c r="FX168" i="56"/>
  <c r="DB153" i="56" a="1"/>
  <c r="DB153" i="56" s="1"/>
  <c r="DD153" i="56" s="1"/>
  <c r="HB153" i="56"/>
  <c r="DE153" i="56"/>
  <c r="GY153" i="56" s="1"/>
  <c r="EA112" i="56"/>
  <c r="DZ112" i="56" a="1"/>
  <c r="DZ112" i="56" s="1"/>
  <c r="HV112" i="56"/>
  <c r="GI112" i="56"/>
  <c r="GH112" i="56"/>
  <c r="GQ87" i="56"/>
  <c r="FX87" i="56"/>
  <c r="IH90" i="56"/>
  <c r="DB186" i="56" a="1"/>
  <c r="DB186" i="56" s="1"/>
  <c r="DD186" i="56" s="1"/>
  <c r="DE186" i="56"/>
  <c r="GY186" i="56" s="1"/>
  <c r="HB186" i="56"/>
  <c r="DY253" i="56" a="1"/>
  <c r="DY253" i="56" s="1"/>
  <c r="GQ145" i="56"/>
  <c r="FX145" i="56"/>
  <c r="GI26" i="56"/>
  <c r="GJ26" i="56" s="1"/>
  <c r="GV83" i="56"/>
  <c r="DY250" i="56" a="1"/>
  <c r="DY250" i="56" s="1"/>
  <c r="DB189" i="56" a="1"/>
  <c r="DB189" i="56" s="1"/>
  <c r="DD189" i="56" s="1"/>
  <c r="HB189" i="56"/>
  <c r="DE189" i="56"/>
  <c r="GY189" i="56" s="1"/>
  <c r="HV105" i="56"/>
  <c r="GH105" i="56"/>
  <c r="GI105" i="56"/>
  <c r="GJ105" i="56" s="1"/>
  <c r="HV28" i="56"/>
  <c r="GI28" i="56"/>
  <c r="GJ28" i="56" s="1"/>
  <c r="GH28" i="56"/>
  <c r="GT28" i="56" s="1"/>
  <c r="GQ34" i="56"/>
  <c r="GT34" i="56" s="1"/>
  <c r="FX34" i="56"/>
  <c r="HV114" i="56"/>
  <c r="GI114" i="56"/>
  <c r="GH114" i="56"/>
  <c r="HV193" i="56"/>
  <c r="GH193" i="56"/>
  <c r="GI193" i="56"/>
  <c r="GV326" i="56"/>
  <c r="IO91" i="56"/>
  <c r="EA99" i="56"/>
  <c r="DZ99" i="56" a="1"/>
  <c r="DZ99" i="56" s="1"/>
  <c r="HV299" i="56"/>
  <c r="GI299" i="56"/>
  <c r="GH299" i="56"/>
  <c r="HV168" i="56"/>
  <c r="GH168" i="56"/>
  <c r="GI168" i="56"/>
  <c r="GQ240" i="56"/>
  <c r="FX240" i="56"/>
  <c r="GQ278" i="56"/>
  <c r="FX278" i="56"/>
  <c r="IH73" i="56"/>
  <c r="GQ344" i="56"/>
  <c r="FX344" i="56"/>
  <c r="GQ82" i="56"/>
  <c r="FX82" i="56"/>
  <c r="GQ265" i="56"/>
  <c r="FX265" i="56"/>
  <c r="HV84" i="56"/>
  <c r="GI84" i="56"/>
  <c r="GJ84" i="56" s="1"/>
  <c r="GH84" i="56"/>
  <c r="AB3" i="58" a="1"/>
  <c r="AB3" i="58" s="1"/>
  <c r="AA3" i="58" a="1"/>
  <c r="AA3" i="58" s="1"/>
  <c r="A17" i="59" a="1"/>
  <c r="A17" i="59" s="1"/>
  <c r="C16" i="59" a="1"/>
  <c r="DB218" i="56" a="1"/>
  <c r="DB218" i="56" s="1"/>
  <c r="DD218" i="56" s="1"/>
  <c r="DE218" i="56"/>
  <c r="GY218" i="56" s="1"/>
  <c r="HB218" i="56"/>
  <c r="IN28" i="56"/>
  <c r="IO28" i="56"/>
  <c r="IH28" i="56"/>
  <c r="II28" i="56" s="1"/>
  <c r="GR28" i="56"/>
  <c r="N28" i="56" s="1"/>
  <c r="GS28" i="56" s="1"/>
  <c r="BY18" i="56" a="1"/>
  <c r="BY18" i="56" s="1"/>
  <c r="BY325" i="56" a="1"/>
  <c r="BY325" i="56" s="1"/>
  <c r="AZ14" i="55"/>
  <c r="AS14" i="55" a="1"/>
  <c r="AS14" i="55" s="1"/>
  <c r="Y14" i="55"/>
  <c r="BA14" i="55" s="1"/>
  <c r="AS11" i="55" a="1"/>
  <c r="AS11" i="55" s="1"/>
  <c r="ER30" i="56" s="1"/>
  <c r="AZ11" i="55"/>
  <c r="Y11" i="55" s="1"/>
  <c r="BA11" i="55" s="1"/>
  <c r="AS19" i="55" a="1"/>
  <c r="AS19" i="55" s="1"/>
  <c r="AZ19" i="55"/>
  <c r="Y19" i="55" s="1"/>
  <c r="BA19" i="55" s="1"/>
  <c r="DY53" i="56" a="1"/>
  <c r="DY53" i="56" s="1"/>
  <c r="GQ48" i="56"/>
  <c r="FX48" i="56"/>
  <c r="HV339" i="56"/>
  <c r="GI339" i="56"/>
  <c r="GJ339" i="56" s="1"/>
  <c r="GH339" i="56"/>
  <c r="GQ105" i="56"/>
  <c r="FX105" i="56"/>
  <c r="DY80" i="56" a="1"/>
  <c r="DY80" i="56" s="1"/>
  <c r="DY77" i="56" a="1"/>
  <c r="DY77" i="56" s="1"/>
  <c r="HV347" i="56"/>
  <c r="GI347" i="56"/>
  <c r="GH347" i="56"/>
  <c r="DY124" i="56" a="1"/>
  <c r="DY124" i="56" s="1"/>
  <c r="EA221" i="56"/>
  <c r="DZ221" i="56" a="1"/>
  <c r="DZ221" i="56" s="1"/>
  <c r="GJ233" i="56"/>
  <c r="DY23" i="56" a="1"/>
  <c r="DY23" i="56" s="1"/>
  <c r="HV349" i="56"/>
  <c r="GI349" i="56"/>
  <c r="GH349" i="56"/>
  <c r="HV151" i="56"/>
  <c r="GH151" i="56"/>
  <c r="GI151" i="56"/>
  <c r="GJ151" i="56" s="1"/>
  <c r="EA295" i="56"/>
  <c r="DZ295" i="56" a="1"/>
  <c r="DZ295" i="56" s="1"/>
  <c r="DY151" i="56" a="1"/>
  <c r="DY151" i="56" s="1"/>
  <c r="EJ166" i="56"/>
  <c r="GQ259" i="56"/>
  <c r="FX259" i="56"/>
  <c r="EJ230" i="56"/>
  <c r="GQ337" i="56"/>
  <c r="GR338" i="56" s="1"/>
  <c r="N338" i="56" s="1"/>
  <c r="GS338" i="56" s="1"/>
  <c r="FX337" i="56"/>
  <c r="IN297" i="56"/>
  <c r="IO297" i="56" s="1"/>
  <c r="GQ277" i="56"/>
  <c r="FX277" i="56"/>
  <c r="DY352" i="56" a="1"/>
  <c r="DY352" i="56" s="1"/>
  <c r="EA287" i="56"/>
  <c r="DZ287" i="56" a="1"/>
  <c r="DZ287" i="56" s="1"/>
  <c r="HV157" i="56"/>
  <c r="GI157" i="56"/>
  <c r="GJ157" i="56" s="1"/>
  <c r="GH157" i="56"/>
  <c r="DY279" i="56" a="1"/>
  <c r="DY279" i="56" s="1"/>
  <c r="GQ85" i="56"/>
  <c r="FX85" i="56"/>
  <c r="GV215" i="56"/>
  <c r="GJ92" i="56"/>
  <c r="HE92" i="56"/>
  <c r="HF92" i="56" s="1"/>
  <c r="BT14" i="55" a="1"/>
  <c r="BT14" i="55" s="1"/>
  <c r="BL14" i="55" a="1"/>
  <c r="BL14" i="55" s="1"/>
  <c r="BP14" i="55" a="1"/>
  <c r="BP14" i="55" s="1"/>
  <c r="GQ80" i="56"/>
  <c r="FX80" i="56"/>
  <c r="HV301" i="56"/>
  <c r="GI301" i="56"/>
  <c r="GH301" i="56"/>
  <c r="HV98" i="56"/>
  <c r="GI98" i="56"/>
  <c r="GH98" i="56"/>
  <c r="GV37" i="56"/>
  <c r="HV351" i="56"/>
  <c r="GH351" i="56"/>
  <c r="GI351" i="56"/>
  <c r="HV170" i="56"/>
  <c r="GI170" i="56"/>
  <c r="GH170" i="56"/>
  <c r="DY323" i="56" a="1"/>
  <c r="DY323" i="56" s="1"/>
  <c r="EJ36" i="56"/>
  <c r="HV107" i="56"/>
  <c r="GI107" i="56"/>
  <c r="GH107" i="56"/>
  <c r="DY301" i="56" a="1"/>
  <c r="DY301" i="56" s="1"/>
  <c r="EA160" i="56"/>
  <c r="DZ160" i="56" a="1"/>
  <c r="DZ160" i="56" s="1"/>
  <c r="EA315" i="56"/>
  <c r="DZ315" i="56" a="1"/>
  <c r="DZ315" i="56" s="1"/>
  <c r="HV63" i="56"/>
  <c r="GI63" i="56"/>
  <c r="GH63" i="56"/>
  <c r="BP13" i="55" a="1"/>
  <c r="BP13" i="55" s="1"/>
  <c r="BT13" i="55" a="1"/>
  <c r="BT13" i="55" s="1"/>
  <c r="BL13" i="55" a="1"/>
  <c r="BL13" i="55" s="1"/>
  <c r="HV113" i="56"/>
  <c r="GH113" i="56"/>
  <c r="GI113" i="56"/>
  <c r="BP11" i="55" a="1"/>
  <c r="BP11" i="55" s="1"/>
  <c r="BT11" i="55" a="1"/>
  <c r="BT11" i="55" s="1"/>
  <c r="BL11" i="55" a="1"/>
  <c r="BL11" i="55" s="1"/>
  <c r="DY137" i="56" a="1"/>
  <c r="DY137" i="56" s="1"/>
  <c r="IH159" i="56"/>
  <c r="IH250" i="56"/>
  <c r="IN250" i="56" s="1"/>
  <c r="HV74" i="56"/>
  <c r="GI74" i="56"/>
  <c r="GH74" i="56"/>
  <c r="DY40" i="56" a="1"/>
  <c r="DY40" i="56" s="1"/>
  <c r="GQ137" i="56"/>
  <c r="FX137" i="56"/>
  <c r="BP20" i="55" a="1"/>
  <c r="BP20" i="55" s="1"/>
  <c r="BT20" i="55" a="1"/>
  <c r="BT20" i="55" s="1"/>
  <c r="BL20" i="55" a="1"/>
  <c r="BL20" i="55" s="1"/>
  <c r="DB243" i="56" a="1"/>
  <c r="DB243" i="56" s="1"/>
  <c r="DD243" i="56" s="1"/>
  <c r="DE243" i="56"/>
  <c r="GY243" i="56" s="1"/>
  <c r="GV243" i="56"/>
  <c r="HB243" i="56"/>
  <c r="FQ315" i="56"/>
  <c r="FT315" i="56" s="1"/>
  <c r="FQ316" i="56"/>
  <c r="FT316" i="56" s="1"/>
  <c r="FQ313" i="56"/>
  <c r="FT313" i="56" s="1"/>
  <c r="FQ314" i="56"/>
  <c r="FT314" i="56" s="1"/>
  <c r="HV335" i="56"/>
  <c r="GH335" i="56"/>
  <c r="EA93" i="56"/>
  <c r="DZ93" i="56" a="1"/>
  <c r="DZ93" i="56" s="1"/>
  <c r="GV332" i="56"/>
  <c r="HT130" i="56"/>
  <c r="DY94" i="56" a="1"/>
  <c r="DY94" i="56" s="1"/>
  <c r="HV348" i="56"/>
  <c r="GI348" i="56"/>
  <c r="GH348" i="56"/>
  <c r="HV337" i="56"/>
  <c r="GI337" i="56"/>
  <c r="GJ337" i="56" s="1"/>
  <c r="GH337" i="56"/>
  <c r="GQ239" i="56"/>
  <c r="FX239" i="56"/>
  <c r="GQ349" i="56"/>
  <c r="FX349" i="56"/>
  <c r="DY48" i="56" a="1"/>
  <c r="DY48" i="56" s="1"/>
  <c r="HV290" i="56"/>
  <c r="GI290" i="56"/>
  <c r="GJ290" i="56" s="1"/>
  <c r="GH290" i="56"/>
  <c r="DY309" i="56" a="1"/>
  <c r="DY309" i="56" s="1"/>
  <c r="HV118" i="56"/>
  <c r="GI118" i="56"/>
  <c r="GH118" i="56"/>
  <c r="GW55" i="56"/>
  <c r="GU55" i="56"/>
  <c r="HS55" i="56" s="1"/>
  <c r="GT55" i="56"/>
  <c r="GP55" i="56"/>
  <c r="EA129" i="56"/>
  <c r="DZ129" i="56" a="1"/>
  <c r="DZ129" i="56" s="1"/>
  <c r="IN252" i="56"/>
  <c r="IO252" i="56" s="1"/>
  <c r="DY144" i="56" a="1"/>
  <c r="DY144" i="56" s="1"/>
  <c r="EA184" i="56"/>
  <c r="FQ340" i="56"/>
  <c r="FT340" i="56" s="1"/>
  <c r="FQ338" i="56"/>
  <c r="FT338" i="56" s="1"/>
  <c r="FQ337" i="56"/>
  <c r="FT337" i="56" s="1"/>
  <c r="FQ339" i="56"/>
  <c r="FT339" i="56" s="1"/>
  <c r="FQ336" i="56"/>
  <c r="FT336" i="56" s="1"/>
  <c r="FQ335" i="56"/>
  <c r="FT335" i="56" s="1"/>
  <c r="HV123" i="56"/>
  <c r="GH123" i="56"/>
  <c r="GI123" i="56"/>
  <c r="GJ123" i="56" s="1"/>
  <c r="IH127" i="56"/>
  <c r="HV279" i="56"/>
  <c r="GI279" i="56"/>
  <c r="GJ279" i="56" s="1"/>
  <c r="GH279" i="56"/>
  <c r="BT23" i="55" a="1"/>
  <c r="BT23" i="55" s="1"/>
  <c r="BL23" i="55" a="1"/>
  <c r="BL23" i="55" s="1"/>
  <c r="BP23" i="55" a="1"/>
  <c r="BP23" i="55" s="1"/>
  <c r="HV174" i="56"/>
  <c r="GH174" i="56"/>
  <c r="GI174" i="56"/>
  <c r="GV192" i="56"/>
  <c r="GQ115" i="56"/>
  <c r="FX115" i="56"/>
  <c r="HV267" i="56"/>
  <c r="GI267" i="56"/>
  <c r="GJ267" i="56" s="1"/>
  <c r="GH267" i="56"/>
  <c r="HV268" i="56"/>
  <c r="GI268" i="56"/>
  <c r="GJ268" i="56" s="1"/>
  <c r="GH268" i="56"/>
  <c r="FQ328" i="56"/>
  <c r="FT328" i="56" s="1"/>
  <c r="FQ327" i="56"/>
  <c r="FT327" i="56" s="1"/>
  <c r="FQ329" i="56"/>
  <c r="FT329" i="56" s="1"/>
  <c r="FQ326" i="56"/>
  <c r="FT326" i="56" s="1"/>
  <c r="FQ325" i="56"/>
  <c r="FT325" i="56" s="1"/>
  <c r="DY61" i="56" a="1"/>
  <c r="DY61" i="56" s="1"/>
  <c r="EA328" i="56"/>
  <c r="DZ328" i="56" a="1"/>
  <c r="DZ328" i="56" s="1"/>
  <c r="GQ210" i="56"/>
  <c r="FX210" i="56"/>
  <c r="BY17" i="56" a="1"/>
  <c r="BY17" i="56" s="1"/>
  <c r="BY317" i="56" a="1"/>
  <c r="BY317" i="56" s="1"/>
  <c r="BY5" i="56" a="1"/>
  <c r="BY5" i="56" s="1"/>
  <c r="BY335" i="56" a="1"/>
  <c r="BY335" i="56" s="1"/>
  <c r="BY336" i="56" a="1"/>
  <c r="BY336" i="56" s="1"/>
  <c r="GQ200" i="56"/>
  <c r="FX200" i="56"/>
  <c r="GQ144" i="56"/>
  <c r="FX144" i="56"/>
  <c r="DY161" i="56" a="1"/>
  <c r="DY161" i="56" s="1"/>
  <c r="EJ206" i="56"/>
  <c r="HV250" i="56"/>
  <c r="GI250" i="56"/>
  <c r="GH250" i="56"/>
  <c r="HV120" i="56"/>
  <c r="GH120" i="56"/>
  <c r="GI120" i="56"/>
  <c r="DY138" i="56" a="1"/>
  <c r="DY138" i="56" s="1"/>
  <c r="DB147" i="56" a="1"/>
  <c r="DB147" i="56" s="1"/>
  <c r="DD147" i="56" s="1"/>
  <c r="HB147" i="56"/>
  <c r="HC147" i="56" s="1"/>
  <c r="DE147" i="56"/>
  <c r="GY147" i="56" s="1"/>
  <c r="DY176" i="56" a="1"/>
  <c r="DY176" i="56" s="1"/>
  <c r="GV158" i="56"/>
  <c r="GV133" i="56"/>
  <c r="HE32" i="56"/>
  <c r="HF32" i="56" s="1"/>
  <c r="HT32" i="56"/>
  <c r="EA108" i="56"/>
  <c r="DZ108" i="56" a="1"/>
  <c r="DZ108" i="56" s="1"/>
  <c r="EA13" i="56"/>
  <c r="BS18" i="55" s="1" a="1"/>
  <c r="BS18" i="55" s="1"/>
  <c r="DY118" i="56" a="1"/>
  <c r="DY118" i="56" s="1"/>
  <c r="EJ334" i="56"/>
  <c r="DY313" i="56" a="1"/>
  <c r="DY313" i="56" s="1"/>
  <c r="HT88" i="56"/>
  <c r="IH146" i="56"/>
  <c r="IH171" i="56"/>
  <c r="GN329" i="56"/>
  <c r="IK329" i="56" s="1"/>
  <c r="GO329" i="56"/>
  <c r="DY215" i="56" a="1"/>
  <c r="DY215" i="56" s="1"/>
  <c r="DB280" i="56" a="1"/>
  <c r="DB280" i="56" s="1"/>
  <c r="DD280" i="56" s="1"/>
  <c r="HB280" i="56"/>
  <c r="DE280" i="56"/>
  <c r="GY280" i="56" s="1"/>
  <c r="GV280" i="56"/>
  <c r="FQ88" i="56"/>
  <c r="FT88" i="56" s="1"/>
  <c r="FQ99" i="56"/>
  <c r="FT99" i="56" s="1"/>
  <c r="FQ98" i="56"/>
  <c r="FT98" i="56" s="1"/>
  <c r="FQ100" i="56"/>
  <c r="FT100" i="56" s="1"/>
  <c r="FQ90" i="56"/>
  <c r="FT90" i="56" s="1"/>
  <c r="FQ93" i="56"/>
  <c r="FT93" i="56" s="1"/>
  <c r="FQ92" i="56"/>
  <c r="FT92" i="56" s="1"/>
  <c r="FQ95" i="56"/>
  <c r="FT95" i="56" s="1"/>
  <c r="FQ97" i="56"/>
  <c r="FT97" i="56" s="1"/>
  <c r="FQ91" i="56"/>
  <c r="FT91" i="56" s="1"/>
  <c r="FQ94" i="56"/>
  <c r="FT94" i="56" s="1"/>
  <c r="FQ101" i="56"/>
  <c r="FT101" i="56" s="1"/>
  <c r="FQ96" i="56"/>
  <c r="FT96" i="56" s="1"/>
  <c r="FQ89" i="56"/>
  <c r="FT89" i="56" s="1"/>
  <c r="DY46" i="56" a="1"/>
  <c r="DY46" i="56" s="1"/>
  <c r="DY42" i="56" a="1"/>
  <c r="DY42" i="56" s="1"/>
  <c r="HV96" i="56"/>
  <c r="GH96" i="56"/>
  <c r="GI96" i="56"/>
  <c r="EA298" i="56"/>
  <c r="DZ298" i="56" a="1"/>
  <c r="DZ298" i="56" s="1"/>
  <c r="DY117" i="56" a="1"/>
  <c r="DY117" i="56" s="1"/>
  <c r="HV214" i="56"/>
  <c r="GH214" i="56"/>
  <c r="GI214" i="56"/>
  <c r="DY236" i="56" a="1"/>
  <c r="DY236" i="56" s="1"/>
  <c r="HV62" i="56"/>
  <c r="GH62" i="56"/>
  <c r="GI62" i="56"/>
  <c r="GQ175" i="56"/>
  <c r="FX175" i="56"/>
  <c r="GQ216" i="56"/>
  <c r="FX216" i="56"/>
  <c r="DY5" i="56" a="1"/>
  <c r="DY5" i="56" s="1"/>
  <c r="GV194" i="56"/>
  <c r="GQ172" i="56"/>
  <c r="FX172" i="56"/>
  <c r="EA96" i="56"/>
  <c r="DZ96" i="56" a="1"/>
  <c r="DZ96" i="56" s="1"/>
  <c r="GQ83" i="56"/>
  <c r="FX83" i="56"/>
  <c r="HV310" i="56"/>
  <c r="GH310" i="56"/>
  <c r="GI310" i="56"/>
  <c r="EA75" i="56"/>
  <c r="DZ75" i="56" a="1"/>
  <c r="DZ75" i="56" s="1"/>
  <c r="EA349" i="56"/>
  <c r="DZ349" i="56" a="1"/>
  <c r="DZ349" i="56" s="1"/>
  <c r="GJ10" i="56"/>
  <c r="HE10" i="56"/>
  <c r="HF10" i="56" s="1"/>
  <c r="FQ300" i="56"/>
  <c r="FT300" i="56" s="1"/>
  <c r="FQ302" i="56"/>
  <c r="FT302" i="56" s="1"/>
  <c r="FQ286" i="56"/>
  <c r="FT286" i="56" s="1"/>
  <c r="FQ284" i="56"/>
  <c r="FT284" i="56" s="1"/>
  <c r="FQ296" i="56"/>
  <c r="FT296" i="56" s="1"/>
  <c r="FQ299" i="56"/>
  <c r="FT299" i="56" s="1"/>
  <c r="FQ297" i="56"/>
  <c r="FT297" i="56" s="1"/>
  <c r="FQ312" i="56"/>
  <c r="FT312" i="56" s="1"/>
  <c r="FQ283" i="56"/>
  <c r="FT283" i="56" s="1"/>
  <c r="FQ295" i="56"/>
  <c r="FT295" i="56" s="1"/>
  <c r="FQ289" i="56"/>
  <c r="FT289" i="56" s="1"/>
  <c r="FQ290" i="56"/>
  <c r="FT290" i="56" s="1"/>
  <c r="FQ292" i="56"/>
  <c r="FT292" i="56" s="1"/>
  <c r="FQ305" i="56"/>
  <c r="FT305" i="56" s="1"/>
  <c r="FQ291" i="56"/>
  <c r="FT291" i="56" s="1"/>
  <c r="FQ294" i="56"/>
  <c r="FT294" i="56" s="1"/>
  <c r="FQ306" i="56"/>
  <c r="FT306" i="56" s="1"/>
  <c r="FQ298" i="56"/>
  <c r="FT298" i="56" s="1"/>
  <c r="FQ288" i="56"/>
  <c r="FT288" i="56" s="1"/>
  <c r="FQ287" i="56"/>
  <c r="FT287" i="56" s="1"/>
  <c r="FQ310" i="56"/>
  <c r="FT310" i="56" s="1"/>
  <c r="FQ308" i="56"/>
  <c r="FT308" i="56" s="1"/>
  <c r="FQ304" i="56"/>
  <c r="FT304" i="56" s="1"/>
  <c r="FQ309" i="56"/>
  <c r="FT309" i="56" s="1"/>
  <c r="FQ311" i="56"/>
  <c r="FT311" i="56" s="1"/>
  <c r="FQ285" i="56"/>
  <c r="FT285" i="56" s="1"/>
  <c r="FQ307" i="56"/>
  <c r="FT307" i="56" s="1"/>
  <c r="FQ303" i="56"/>
  <c r="FT303" i="56" s="1"/>
  <c r="FQ293" i="56"/>
  <c r="FT293" i="56" s="1"/>
  <c r="FQ301" i="56"/>
  <c r="FT301" i="56" s="1"/>
  <c r="EA285" i="56"/>
  <c r="DZ285" i="56" a="1"/>
  <c r="DZ285" i="56" s="1"/>
  <c r="EA299" i="56"/>
  <c r="DZ299" i="56" a="1"/>
  <c r="DZ299" i="56" s="1"/>
  <c r="HV59" i="56"/>
  <c r="GH59" i="56"/>
  <c r="GI59" i="56"/>
  <c r="EA10" i="56"/>
  <c r="BS16" i="55" s="1" a="1"/>
  <c r="BS16" i="55" s="1"/>
  <c r="GO9" i="56"/>
  <c r="GN9" i="56"/>
  <c r="GM10" i="56"/>
  <c r="HV67" i="56"/>
  <c r="GH67" i="56"/>
  <c r="GI67" i="56"/>
  <c r="GV68" i="56"/>
  <c r="IH54" i="56"/>
  <c r="IN54" i="56" s="1"/>
  <c r="GR54" i="56"/>
  <c r="N54" i="56" s="1"/>
  <c r="GS54" i="56" s="1"/>
  <c r="DY340" i="56" a="1"/>
  <c r="DY340" i="56" s="1"/>
  <c r="GQ75" i="56"/>
  <c r="FX75" i="56"/>
  <c r="GQ295" i="56"/>
  <c r="FX295" i="56"/>
  <c r="GQ318" i="56"/>
  <c r="FX318" i="56"/>
  <c r="GQ117" i="56"/>
  <c r="FX117" i="56"/>
  <c r="FX306" i="56"/>
  <c r="GQ306" i="56"/>
  <c r="HV278" i="56"/>
  <c r="GH278" i="56"/>
  <c r="GI278" i="56"/>
  <c r="GJ278" i="56" s="1"/>
  <c r="EA116" i="56"/>
  <c r="DZ116" i="56" a="1"/>
  <c r="DZ116" i="56" s="1"/>
  <c r="GQ303" i="56"/>
  <c r="FX303" i="56"/>
  <c r="AZ25" i="55"/>
  <c r="AS25" i="55" a="1"/>
  <c r="AS25" i="55" s="1"/>
  <c r="Y25" i="55" s="1"/>
  <c r="BA25" i="55" s="1"/>
  <c r="BL17" i="56"/>
  <c r="BN17" i="56"/>
  <c r="BL317" i="56"/>
  <c r="GQ192" i="56"/>
  <c r="FX192" i="56"/>
  <c r="DY203" i="56" a="1"/>
  <c r="DY203" i="56" s="1"/>
  <c r="GV48" i="56"/>
  <c r="IH275" i="56"/>
  <c r="IN275" i="56" s="1"/>
  <c r="IO275" i="56" s="1"/>
  <c r="DY192" i="56" a="1"/>
  <c r="DY192" i="56" s="1"/>
  <c r="GO288" i="56"/>
  <c r="GN288" i="56"/>
  <c r="IK288" i="56" s="1"/>
  <c r="GM289" i="56"/>
  <c r="DY290" i="56" a="1"/>
  <c r="DY290" i="56" s="1"/>
  <c r="GQ158" i="56"/>
  <c r="FX158" i="56"/>
  <c r="HV249" i="56"/>
  <c r="GH249" i="56"/>
  <c r="GI249" i="56"/>
  <c r="GJ249" i="56" s="1"/>
  <c r="BY16" i="56" a="1"/>
  <c r="BY16" i="56" s="1"/>
  <c r="BY313" i="56" a="1"/>
  <c r="BY313" i="56" s="1"/>
  <c r="DB211" i="56" a="1"/>
  <c r="DB211" i="56" s="1"/>
  <c r="DD211" i="56" s="1"/>
  <c r="DE211" i="56"/>
  <c r="GY211" i="56" s="1"/>
  <c r="HB211" i="56"/>
  <c r="IH56" i="56"/>
  <c r="GR56" i="56"/>
  <c r="N56" i="56" s="1"/>
  <c r="GS56" i="56" s="1"/>
  <c r="HV269" i="56"/>
  <c r="GH269" i="56"/>
  <c r="GI269" i="56"/>
  <c r="GJ269" i="56" s="1"/>
  <c r="FX37" i="56"/>
  <c r="GQ37" i="56"/>
  <c r="HV108" i="56"/>
  <c r="GI108" i="56"/>
  <c r="GJ108" i="56" s="1"/>
  <c r="GH108" i="56"/>
  <c r="EA120" i="56"/>
  <c r="DZ120" i="56" a="1"/>
  <c r="DZ120" i="56" s="1"/>
  <c r="GN338" i="56"/>
  <c r="IK338" i="56" s="1"/>
  <c r="GO338" i="56"/>
  <c r="GM339" i="56"/>
  <c r="GQ69" i="56"/>
  <c r="FX69" i="56"/>
  <c r="GV289" i="56"/>
  <c r="GV249" i="56"/>
  <c r="DB47" i="56" a="1"/>
  <c r="DB47" i="56" s="1"/>
  <c r="DD47" i="56" s="1"/>
  <c r="HB47" i="56"/>
  <c r="GV47" i="56"/>
  <c r="DE47" i="56"/>
  <c r="GY47" i="56" s="1"/>
  <c r="GV248" i="56"/>
  <c r="EJ262" i="56"/>
  <c r="EJ23" i="56"/>
  <c r="DB230" i="56" a="1"/>
  <c r="DB230" i="56" s="1"/>
  <c r="DD230" i="56" s="1"/>
  <c r="DE230" i="56"/>
  <c r="GY230" i="56" s="1"/>
  <c r="HB230" i="56"/>
  <c r="GQ281" i="56"/>
  <c r="FX281" i="56"/>
  <c r="GQ222" i="56"/>
  <c r="FX222" i="56"/>
  <c r="DB247" i="56" a="1"/>
  <c r="DB247" i="56" s="1"/>
  <c r="DD247" i="56" s="1"/>
  <c r="DE247" i="56"/>
  <c r="GY247" i="56" s="1"/>
  <c r="HB247" i="56"/>
  <c r="GV247" i="56"/>
  <c r="HV272" i="56"/>
  <c r="GI272" i="56"/>
  <c r="GJ272" i="56" s="1"/>
  <c r="GH272" i="56"/>
  <c r="GQ300" i="56"/>
  <c r="FX300" i="56"/>
  <c r="HV125" i="56"/>
  <c r="GH125" i="56"/>
  <c r="GI125" i="56"/>
  <c r="HV307" i="56"/>
  <c r="GH307" i="56"/>
  <c r="GI307" i="56"/>
  <c r="GJ307" i="56" s="1"/>
  <c r="EA180" i="56"/>
  <c r="DZ180" i="56" a="1"/>
  <c r="DZ180" i="56" s="1"/>
  <c r="HV163" i="56"/>
  <c r="GI163" i="56"/>
  <c r="GJ163" i="56" s="1"/>
  <c r="GH163" i="56"/>
  <c r="HV253" i="56"/>
  <c r="GH253" i="56"/>
  <c r="GI253" i="56"/>
  <c r="GN29" i="56"/>
  <c r="IK29" i="56" s="1"/>
  <c r="GO29" i="56"/>
  <c r="GM30" i="56"/>
  <c r="GV43" i="56"/>
  <c r="GU328" i="56"/>
  <c r="HS328" i="56" s="1"/>
  <c r="GW328" i="56"/>
  <c r="GP328" i="56"/>
  <c r="GT328" i="56"/>
  <c r="EA191" i="56"/>
  <c r="DZ191" i="56" a="1"/>
  <c r="DZ191" i="56" s="1"/>
  <c r="GQ315" i="56"/>
  <c r="FX315" i="56"/>
  <c r="GQ177" i="56"/>
  <c r="FX177" i="56"/>
  <c r="HV155" i="56"/>
  <c r="GI155" i="56"/>
  <c r="GJ155" i="56" s="1"/>
  <c r="GH155" i="56"/>
  <c r="GV232" i="56"/>
  <c r="HV77" i="56"/>
  <c r="GH77" i="56"/>
  <c r="GI77" i="56"/>
  <c r="GV163" i="56"/>
  <c r="GV228" i="56"/>
  <c r="HV302" i="56"/>
  <c r="GH302" i="56"/>
  <c r="GI302" i="56"/>
  <c r="HV175" i="56"/>
  <c r="GI175" i="56"/>
  <c r="GH175" i="56"/>
  <c r="HV66" i="56"/>
  <c r="GH66" i="56"/>
  <c r="GI66" i="56"/>
  <c r="DY113" i="56" a="1"/>
  <c r="DY113" i="56" s="1"/>
  <c r="IH103" i="56"/>
  <c r="IN103" i="56" s="1"/>
  <c r="IO103" i="56" s="1"/>
  <c r="GR103" i="56"/>
  <c r="N103" i="56" s="1"/>
  <c r="GS103" i="56" s="1"/>
  <c r="GV199" i="56"/>
  <c r="IH110" i="56"/>
  <c r="GQ45" i="56"/>
  <c r="FX45" i="56"/>
  <c r="HV293" i="56"/>
  <c r="GH293" i="56"/>
  <c r="GI293" i="56"/>
  <c r="GJ293" i="56" s="1"/>
  <c r="HV209" i="56"/>
  <c r="GI209" i="56"/>
  <c r="GJ209" i="56" s="1"/>
  <c r="GH209" i="56"/>
  <c r="HV191" i="56"/>
  <c r="GH191" i="56"/>
  <c r="GI191" i="56"/>
  <c r="GJ191" i="56" s="1"/>
  <c r="GV348" i="56"/>
  <c r="DY341" i="56" a="1"/>
  <c r="DY341" i="56" s="1"/>
  <c r="IH292" i="56"/>
  <c r="HV197" i="56"/>
  <c r="GH197" i="56"/>
  <c r="GI197" i="56"/>
  <c r="DY83" i="56" a="1"/>
  <c r="DY83" i="56" s="1"/>
  <c r="GT154" i="56"/>
  <c r="HT154" i="56"/>
  <c r="HV192" i="56"/>
  <c r="GI192" i="56"/>
  <c r="GJ192" i="56" s="1"/>
  <c r="GH192" i="56"/>
  <c r="DY68" i="56" a="1"/>
  <c r="DY68" i="56" s="1"/>
  <c r="EJ314" i="56"/>
  <c r="GQ212" i="56"/>
  <c r="FX212" i="56"/>
  <c r="DY326" i="56" a="1"/>
  <c r="DY326" i="56" s="1"/>
  <c r="IH352" i="56"/>
  <c r="IN352" i="56" s="1"/>
  <c r="EA15" i="56"/>
  <c r="BS20" i="55" s="1" a="1"/>
  <c r="BS20" i="55" s="1"/>
  <c r="GQ322" i="56"/>
  <c r="FX322" i="56"/>
  <c r="X8" i="42"/>
  <c r="W10" i="42"/>
  <c r="AD9" i="42"/>
  <c r="AA26" i="42"/>
  <c r="AB8" i="42" s="1"/>
  <c r="AC68" i="42"/>
  <c r="AB7" i="42"/>
  <c r="Y16" i="42"/>
  <c r="HE338" i="56" l="1"/>
  <c r="HF338" i="56" s="1"/>
  <c r="GV153" i="56"/>
  <c r="GV233" i="56"/>
  <c r="GV52" i="56"/>
  <c r="IH55" i="56"/>
  <c r="GR55" i="56"/>
  <c r="N55" i="56" s="1"/>
  <c r="GS55" i="56" s="1"/>
  <c r="HT55" i="56" s="1"/>
  <c r="GJ344" i="56"/>
  <c r="HE344" i="56"/>
  <c r="HF344" i="56" s="1"/>
  <c r="GR159" i="56"/>
  <c r="N159" i="56" s="1"/>
  <c r="GS159" i="56" s="1"/>
  <c r="HE159" i="56" s="1"/>
  <c r="HF159" i="56" s="1"/>
  <c r="HO159" i="56" s="1" a="1"/>
  <c r="HO159" i="56" s="1"/>
  <c r="HP159" i="56" s="1"/>
  <c r="Y10" i="55"/>
  <c r="GV188" i="56"/>
  <c r="IN338" i="56"/>
  <c r="IO338" i="56" s="1"/>
  <c r="GV242" i="56"/>
  <c r="HT326" i="56"/>
  <c r="IH220" i="56"/>
  <c r="IN220" i="56" s="1"/>
  <c r="IO220" i="56" s="1"/>
  <c r="GV34" i="56"/>
  <c r="HE7" i="56"/>
  <c r="HF7" i="56" s="1"/>
  <c r="GV190" i="56"/>
  <c r="GV273" i="56"/>
  <c r="GV219" i="56"/>
  <c r="Y13" i="55"/>
  <c r="BA13" i="55" s="1"/>
  <c r="IO328" i="56"/>
  <c r="BF3" i="40" a="1"/>
  <c r="BF3" i="40" s="1"/>
  <c r="GV207" i="56"/>
  <c r="IO256" i="56"/>
  <c r="IO170" i="56"/>
  <c r="IN159" i="56"/>
  <c r="IO159" i="56" s="1"/>
  <c r="IO225" i="56"/>
  <c r="GT157" i="56"/>
  <c r="IH123" i="56"/>
  <c r="IN123" i="56" s="1"/>
  <c r="IO123" i="56" s="1"/>
  <c r="IH42" i="56"/>
  <c r="IN42" i="56" s="1"/>
  <c r="IO42" i="56" s="1"/>
  <c r="IH254" i="56"/>
  <c r="IN254" i="56" s="1"/>
  <c r="IO254" i="56" s="1"/>
  <c r="GT287" i="56"/>
  <c r="GR100" i="56"/>
  <c r="HE56" i="56"/>
  <c r="HF56" i="56" s="1"/>
  <c r="Y18" i="55"/>
  <c r="BA18" i="55" s="1"/>
  <c r="Z18" i="55" s="1"/>
  <c r="IO268" i="56"/>
  <c r="IH316" i="56"/>
  <c r="IN316" i="56" s="1"/>
  <c r="IO316" i="56" s="1"/>
  <c r="GV230" i="56"/>
  <c r="GV206" i="56"/>
  <c r="GR202" i="56"/>
  <c r="AG3" i="40" a="1"/>
  <c r="AG3" i="40" s="1"/>
  <c r="GV272" i="56"/>
  <c r="GV139" i="56"/>
  <c r="HE55" i="56"/>
  <c r="HF55" i="56" s="1"/>
  <c r="HG55" i="56" s="1" a="1"/>
  <c r="HG55" i="56" s="1"/>
  <c r="HH55" i="56" s="1"/>
  <c r="GV140" i="56"/>
  <c r="GV268" i="56"/>
  <c r="GJ336" i="56"/>
  <c r="HT336" i="56"/>
  <c r="Y12" i="55"/>
  <c r="BA12" i="55" s="1"/>
  <c r="HE28" i="56"/>
  <c r="HF28" i="56" s="1"/>
  <c r="GV218" i="56"/>
  <c r="HE104" i="56"/>
  <c r="HF104" i="56" s="1"/>
  <c r="HQ104" i="56" s="1" a="1"/>
  <c r="HQ104" i="56" s="1"/>
  <c r="HR104" i="56" s="1"/>
  <c r="GV274" i="56"/>
  <c r="P330" i="56" a="1"/>
  <c r="P330" i="56" s="1"/>
  <c r="P19" i="56" a="1"/>
  <c r="P19" i="56" s="1"/>
  <c r="EF19" i="56" s="1"/>
  <c r="EG19" i="56" s="1"/>
  <c r="AZ3" i="40" a="1"/>
  <c r="AZ3" i="40" s="1"/>
  <c r="P16" i="56" a="1"/>
  <c r="P16" i="56" s="1"/>
  <c r="EF16" i="56" s="1"/>
  <c r="EG16" i="56" s="1"/>
  <c r="P313" i="56" a="1"/>
  <c r="P313" i="56" s="1"/>
  <c r="C13" i="61"/>
  <c r="BA10" i="55"/>
  <c r="H15" i="59"/>
  <c r="G15" i="59"/>
  <c r="C15" i="59"/>
  <c r="P12" i="56" a="1"/>
  <c r="P12" i="56" s="1"/>
  <c r="P154" i="56" a="1"/>
  <c r="P154" i="56" s="1"/>
  <c r="P13" i="56" a="1"/>
  <c r="P13" i="56" s="1"/>
  <c r="P184" i="56" a="1"/>
  <c r="P184" i="56" s="1"/>
  <c r="IO111" i="56"/>
  <c r="GQ334" i="56"/>
  <c r="FX334" i="56"/>
  <c r="GV147" i="56"/>
  <c r="EA61" i="56"/>
  <c r="DZ61" i="56" a="1"/>
  <c r="DZ61" i="56" s="1"/>
  <c r="IH349" i="56"/>
  <c r="GR349" i="56"/>
  <c r="AD20" i="55"/>
  <c r="EO311" i="56"/>
  <c r="EO297" i="56"/>
  <c r="EO298" i="56"/>
  <c r="EO294" i="56"/>
  <c r="EO295" i="56"/>
  <c r="EO296" i="56"/>
  <c r="EO308" i="56"/>
  <c r="EO290" i="56"/>
  <c r="EO304" i="56"/>
  <c r="EO293" i="56"/>
  <c r="EO292" i="56"/>
  <c r="EO284" i="56"/>
  <c r="EO303" i="56"/>
  <c r="EO307" i="56"/>
  <c r="EO287" i="56"/>
  <c r="EO291" i="56"/>
  <c r="EO286" i="56"/>
  <c r="EO285" i="56"/>
  <c r="EO305" i="56"/>
  <c r="EO299" i="56"/>
  <c r="EO309" i="56"/>
  <c r="EO283" i="56"/>
  <c r="EO288" i="56"/>
  <c r="EO302" i="56"/>
  <c r="EO312" i="56"/>
  <c r="EO310" i="56"/>
  <c r="EO306" i="56"/>
  <c r="EO289" i="56"/>
  <c r="EO301" i="56"/>
  <c r="EO300" i="56"/>
  <c r="GJ63" i="56"/>
  <c r="GJ170" i="56"/>
  <c r="DQ93" i="56"/>
  <c r="DQ95" i="56"/>
  <c r="DQ96" i="56"/>
  <c r="DQ97" i="56"/>
  <c r="DQ98" i="56"/>
  <c r="DQ99" i="56"/>
  <c r="DQ100" i="56"/>
  <c r="DQ88" i="56"/>
  <c r="DQ89" i="56"/>
  <c r="DQ94" i="56"/>
  <c r="DQ101" i="56"/>
  <c r="DQ92" i="56"/>
  <c r="DQ91" i="56"/>
  <c r="DQ90" i="56"/>
  <c r="IH277" i="56"/>
  <c r="GJ168" i="56"/>
  <c r="GJ114" i="56"/>
  <c r="GQ282" i="56"/>
  <c r="FX282" i="56"/>
  <c r="IH133" i="56"/>
  <c r="GR133" i="56"/>
  <c r="N133" i="56" s="1"/>
  <c r="GS133" i="56" s="1"/>
  <c r="DY233" i="56" a="1"/>
  <c r="DY233" i="56" s="1"/>
  <c r="EA149" i="56"/>
  <c r="DZ149" i="56" a="1"/>
  <c r="DZ149" i="56" s="1"/>
  <c r="GQ346" i="56"/>
  <c r="GT346" i="56" s="1"/>
  <c r="FX346" i="56"/>
  <c r="IH153" i="56"/>
  <c r="AC15" i="55"/>
  <c r="DO105" i="56"/>
  <c r="DO121" i="56"/>
  <c r="DO107" i="56"/>
  <c r="DO123" i="56"/>
  <c r="DO109" i="56"/>
  <c r="DO125" i="56"/>
  <c r="DO110" i="56"/>
  <c r="DO126" i="56"/>
  <c r="DO113" i="56"/>
  <c r="DO114" i="56"/>
  <c r="DO115" i="56"/>
  <c r="DO116" i="56"/>
  <c r="DO117" i="56"/>
  <c r="DO118" i="56"/>
  <c r="DO120" i="56"/>
  <c r="DO122" i="56"/>
  <c r="DO102" i="56"/>
  <c r="DO124" i="56"/>
  <c r="DO103" i="56"/>
  <c r="DO127" i="56"/>
  <c r="DO111" i="56"/>
  <c r="DO112" i="56"/>
  <c r="DO119" i="56"/>
  <c r="DO128" i="56"/>
  <c r="DO108" i="56"/>
  <c r="DO104" i="56"/>
  <c r="DO106" i="56"/>
  <c r="DO129" i="56"/>
  <c r="EM122" i="56"/>
  <c r="EN122" i="56" s="1"/>
  <c r="GX122" i="56" s="1"/>
  <c r="GZ122" i="56" s="1"/>
  <c r="EM111" i="56"/>
  <c r="EN111" i="56" s="1"/>
  <c r="GX111" i="56" s="1"/>
  <c r="GZ111" i="56" s="1"/>
  <c r="EM119" i="56"/>
  <c r="EN119" i="56" s="1"/>
  <c r="GX119" i="56" s="1"/>
  <c r="GZ119" i="56" s="1"/>
  <c r="EM103" i="56"/>
  <c r="EN103" i="56" s="1"/>
  <c r="GX103" i="56" s="1"/>
  <c r="GZ103" i="56" s="1"/>
  <c r="EM104" i="56"/>
  <c r="EN104" i="56" s="1"/>
  <c r="GX104" i="56" s="1"/>
  <c r="GZ104" i="56" s="1"/>
  <c r="EM102" i="56"/>
  <c r="EN102" i="56" s="1"/>
  <c r="GX102" i="56" s="1"/>
  <c r="GZ102" i="56" s="1"/>
  <c r="EM126" i="56"/>
  <c r="EN126" i="56" s="1"/>
  <c r="GX126" i="56" s="1"/>
  <c r="GZ126" i="56" s="1"/>
  <c r="EM124" i="56"/>
  <c r="EN124" i="56" s="1"/>
  <c r="GX124" i="56" s="1"/>
  <c r="GZ124" i="56" s="1"/>
  <c r="EM128" i="56"/>
  <c r="EN128" i="56" s="1"/>
  <c r="GX128" i="56" s="1"/>
  <c r="GZ128" i="56" s="1"/>
  <c r="EM107" i="56"/>
  <c r="EN107" i="56" s="1"/>
  <c r="GX107" i="56" s="1"/>
  <c r="GZ107" i="56" s="1"/>
  <c r="EM129" i="56"/>
  <c r="EN129" i="56" s="1"/>
  <c r="GX129" i="56" s="1"/>
  <c r="GZ129" i="56" s="1"/>
  <c r="EM112" i="56"/>
  <c r="EN112" i="56" s="1"/>
  <c r="GX112" i="56" s="1"/>
  <c r="GZ112" i="56" s="1"/>
  <c r="EM115" i="56"/>
  <c r="EN115" i="56" s="1"/>
  <c r="GX115" i="56" s="1"/>
  <c r="GZ115" i="56" s="1"/>
  <c r="EM113" i="56"/>
  <c r="EN113" i="56" s="1"/>
  <c r="GX113" i="56" s="1"/>
  <c r="GZ113" i="56" s="1"/>
  <c r="EM127" i="56"/>
  <c r="EN127" i="56" s="1"/>
  <c r="GX127" i="56" s="1"/>
  <c r="GZ127" i="56" s="1"/>
  <c r="EM108" i="56"/>
  <c r="EN108" i="56" s="1"/>
  <c r="GX108" i="56" s="1"/>
  <c r="GZ108" i="56" s="1"/>
  <c r="EM110" i="56"/>
  <c r="EN110" i="56" s="1"/>
  <c r="GX110" i="56" s="1"/>
  <c r="GZ110" i="56" s="1"/>
  <c r="EM116" i="56"/>
  <c r="EN116" i="56" s="1"/>
  <c r="GX116" i="56" s="1"/>
  <c r="GZ116" i="56" s="1"/>
  <c r="EM106" i="56"/>
  <c r="EN106" i="56" s="1"/>
  <c r="GX106" i="56" s="1"/>
  <c r="GZ106" i="56" s="1"/>
  <c r="EM105" i="56"/>
  <c r="EN105" i="56" s="1"/>
  <c r="GX105" i="56" s="1"/>
  <c r="GZ105" i="56" s="1"/>
  <c r="EM125" i="56"/>
  <c r="EN125" i="56" s="1"/>
  <c r="GX125" i="56" s="1"/>
  <c r="GZ125" i="56" s="1"/>
  <c r="EM118" i="56"/>
  <c r="EN118" i="56" s="1"/>
  <c r="GX118" i="56" s="1"/>
  <c r="GZ118" i="56" s="1"/>
  <c r="EM114" i="56"/>
  <c r="EN114" i="56" s="1"/>
  <c r="GX114" i="56" s="1"/>
  <c r="GZ114" i="56" s="1"/>
  <c r="EM109" i="56"/>
  <c r="EN109" i="56" s="1"/>
  <c r="GX109" i="56" s="1"/>
  <c r="GZ109" i="56" s="1"/>
  <c r="EM117" i="56"/>
  <c r="EN117" i="56" s="1"/>
  <c r="GX117" i="56" s="1"/>
  <c r="GZ117" i="56" s="1"/>
  <c r="EM123" i="56"/>
  <c r="EN123" i="56" s="1"/>
  <c r="GX123" i="56" s="1"/>
  <c r="GZ123" i="56" s="1"/>
  <c r="EM120" i="56"/>
  <c r="EN120" i="56" s="1"/>
  <c r="GX120" i="56" s="1"/>
  <c r="GZ120" i="56" s="1"/>
  <c r="EM121" i="56"/>
  <c r="EN121" i="56" s="1"/>
  <c r="GX121" i="56" s="1"/>
  <c r="GZ121" i="56" s="1"/>
  <c r="IH323" i="56"/>
  <c r="GR323" i="56"/>
  <c r="N323" i="56" s="1"/>
  <c r="GS323" i="56" s="1"/>
  <c r="CA15" i="55"/>
  <c r="GV258" i="56"/>
  <c r="EA148" i="56"/>
  <c r="DZ148" i="56" a="1"/>
  <c r="DZ148" i="56" s="1"/>
  <c r="GT226" i="56"/>
  <c r="GR191" i="56"/>
  <c r="N191" i="56" s="1"/>
  <c r="GS191" i="56" s="1"/>
  <c r="EA292" i="56"/>
  <c r="DZ292" i="56" a="1"/>
  <c r="DZ292" i="56" s="1"/>
  <c r="EA240" i="56"/>
  <c r="DZ240" i="56" a="1"/>
  <c r="DZ240" i="56" s="1"/>
  <c r="IH223" i="56"/>
  <c r="GV239" i="56"/>
  <c r="DQ335" i="56"/>
  <c r="DQ336" i="56"/>
  <c r="DQ337" i="56"/>
  <c r="DQ338" i="56"/>
  <c r="DQ339" i="56"/>
  <c r="DQ340" i="56"/>
  <c r="IH234" i="56"/>
  <c r="GU189" i="56"/>
  <c r="HS189" i="56" s="1"/>
  <c r="GW189" i="56"/>
  <c r="GP189" i="56"/>
  <c r="GT189" i="56"/>
  <c r="HE285" i="56"/>
  <c r="HF285" i="56" s="1"/>
  <c r="HT285" i="56"/>
  <c r="IN43" i="56"/>
  <c r="IO43" i="56" s="1"/>
  <c r="DY33" i="56" a="1"/>
  <c r="DY33" i="56" s="1"/>
  <c r="GQ81" i="56"/>
  <c r="FX81" i="56"/>
  <c r="EA225" i="56"/>
  <c r="DZ225" i="56" a="1"/>
  <c r="DZ225" i="56" s="1"/>
  <c r="IH167" i="56"/>
  <c r="IO345" i="56"/>
  <c r="EA251" i="56"/>
  <c r="DZ251" i="56" a="1"/>
  <c r="DZ251" i="56" s="1"/>
  <c r="DY207" i="56" a="1"/>
  <c r="DY207" i="56" s="1"/>
  <c r="DY195" i="56" a="1"/>
  <c r="DY195" i="56" s="1"/>
  <c r="GJ346" i="56"/>
  <c r="HE346" i="56"/>
  <c r="HF346" i="56" s="1"/>
  <c r="IH187" i="56"/>
  <c r="IN187" i="56" s="1"/>
  <c r="IO187" i="56" s="1"/>
  <c r="GR187" i="56"/>
  <c r="N187" i="56" s="1"/>
  <c r="GS187" i="56" s="1"/>
  <c r="GT187" i="56"/>
  <c r="FX214" i="56"/>
  <c r="GQ214" i="56"/>
  <c r="GJ117" i="56"/>
  <c r="GV262" i="56"/>
  <c r="IH98" i="56"/>
  <c r="GR98" i="56"/>
  <c r="FY18" i="56"/>
  <c r="FB18" i="56"/>
  <c r="EA332" i="56"/>
  <c r="DZ332" i="56" a="1"/>
  <c r="DZ332" i="56" s="1"/>
  <c r="IH242" i="56"/>
  <c r="M27" i="16"/>
  <c r="AG24" i="42"/>
  <c r="AH24" i="42" s="1"/>
  <c r="IH95" i="56"/>
  <c r="GR95" i="56"/>
  <c r="GJ124" i="56"/>
  <c r="GJ197" i="56"/>
  <c r="IH83" i="56"/>
  <c r="EA236" i="56"/>
  <c r="DZ236" i="56" a="1"/>
  <c r="DZ236" i="56" s="1"/>
  <c r="EA176" i="56"/>
  <c r="DZ176" i="56" a="1"/>
  <c r="DZ176" i="56" s="1"/>
  <c r="GJ253" i="56"/>
  <c r="GQ206" i="56"/>
  <c r="GR209" i="56" s="1"/>
  <c r="N209" i="56" s="1"/>
  <c r="GS209" i="56" s="1"/>
  <c r="FX206" i="56"/>
  <c r="IH115" i="56"/>
  <c r="DU325" i="56"/>
  <c r="IH212" i="56"/>
  <c r="IH45" i="56"/>
  <c r="IH158" i="56"/>
  <c r="GR158" i="56"/>
  <c r="N158" i="56" s="1"/>
  <c r="GS158" i="56" s="1"/>
  <c r="HE158" i="56" s="1"/>
  <c r="HF158" i="56" s="1"/>
  <c r="IH306" i="56"/>
  <c r="EA250" i="56"/>
  <c r="DZ250" i="56" a="1"/>
  <c r="DZ250" i="56" s="1"/>
  <c r="IH59" i="56"/>
  <c r="IN59" i="56"/>
  <c r="IO59" i="56" s="1"/>
  <c r="GR59" i="56"/>
  <c r="GR160" i="56"/>
  <c r="N160" i="56" s="1"/>
  <c r="GS160" i="56" s="1"/>
  <c r="EA311" i="56"/>
  <c r="DZ311" i="56" a="1"/>
  <c r="DZ311" i="56" s="1"/>
  <c r="EA307" i="56"/>
  <c r="DZ307" i="56" a="1"/>
  <c r="DZ307" i="56" s="1"/>
  <c r="GQ23" i="56"/>
  <c r="FX23" i="56"/>
  <c r="EA290" i="56"/>
  <c r="DZ290" i="56" a="1"/>
  <c r="DZ290" i="56" s="1"/>
  <c r="EA341" i="56"/>
  <c r="GN289" i="56"/>
  <c r="IK289" i="56" s="1"/>
  <c r="GO289" i="56"/>
  <c r="GM290" i="56"/>
  <c r="EA117" i="56"/>
  <c r="DZ117" i="56" a="1"/>
  <c r="DZ117" i="56" s="1"/>
  <c r="EA215" i="56"/>
  <c r="DZ215" i="56" a="1"/>
  <c r="DZ215" i="56" s="1"/>
  <c r="CA23" i="55"/>
  <c r="HT335" i="56"/>
  <c r="GT335" i="56"/>
  <c r="HQ92" i="56" a="1"/>
  <c r="HQ92" i="56" s="1"/>
  <c r="HR92" i="56" s="1"/>
  <c r="HK92" i="56" a="1"/>
  <c r="HK92" i="56" s="1"/>
  <c r="HL92" i="56" s="1"/>
  <c r="HO92" i="56" a="1"/>
  <c r="HO92" i="56" s="1"/>
  <c r="HP92" i="56" s="1"/>
  <c r="HI92" i="56" a="1"/>
  <c r="HI92" i="56" s="1"/>
  <c r="HJ92" i="56" s="1"/>
  <c r="HM92" i="56" a="1"/>
  <c r="HM92" i="56" s="1"/>
  <c r="HN92" i="56" s="1"/>
  <c r="HG92" i="56" a="1"/>
  <c r="HG92" i="56" s="1"/>
  <c r="HH92" i="56" s="1"/>
  <c r="EA77" i="56"/>
  <c r="DZ77" i="56" a="1"/>
  <c r="DZ77" i="56" s="1"/>
  <c r="IH48" i="56"/>
  <c r="IH87" i="56"/>
  <c r="HE284" i="56"/>
  <c r="HF284" i="56" s="1"/>
  <c r="HT284" i="56"/>
  <c r="IH162" i="56"/>
  <c r="GR162" i="56"/>
  <c r="N162" i="56" s="1"/>
  <c r="GS162" i="56" s="1"/>
  <c r="GQ142" i="56"/>
  <c r="FX142" i="56"/>
  <c r="DU10" i="56"/>
  <c r="EA255" i="56"/>
  <c r="DZ255" i="56" a="1"/>
  <c r="DZ255" i="56" s="1"/>
  <c r="GJ100" i="56"/>
  <c r="HO104" i="56" a="1"/>
  <c r="HO104" i="56" s="1"/>
  <c r="HP104" i="56" s="1"/>
  <c r="DU341" i="56"/>
  <c r="C7" i="61"/>
  <c r="ER11" i="56"/>
  <c r="IH58" i="56"/>
  <c r="GR58" i="56"/>
  <c r="N58" i="56" s="1"/>
  <c r="GS58" i="56" s="1"/>
  <c r="GJ76" i="56"/>
  <c r="IH94" i="56"/>
  <c r="IN94" i="56" s="1"/>
  <c r="GR94" i="56"/>
  <c r="HQ227" i="56" a="1"/>
  <c r="HQ227" i="56" s="1"/>
  <c r="HR227" i="56" s="1"/>
  <c r="HI227" i="56" a="1"/>
  <c r="HI227" i="56" s="1"/>
  <c r="HJ227" i="56" s="1"/>
  <c r="HK227" i="56" a="1"/>
  <c r="HK227" i="56" s="1"/>
  <c r="HL227" i="56" s="1"/>
  <c r="HM227" i="56" a="1"/>
  <c r="HM227" i="56" s="1"/>
  <c r="HN227" i="56" s="1"/>
  <c r="HO227" i="56" a="1"/>
  <c r="HO227" i="56" s="1"/>
  <c r="HP227" i="56" s="1"/>
  <c r="HG227" i="56" a="1"/>
  <c r="HG227" i="56" s="1"/>
  <c r="HH227" i="56" s="1"/>
  <c r="EA229" i="56"/>
  <c r="DZ229" i="56" a="1"/>
  <c r="DZ229" i="56" s="1"/>
  <c r="DY262" i="56" a="1"/>
  <c r="DY262" i="56" s="1"/>
  <c r="DY256" i="56" a="1"/>
  <c r="DY256" i="56" s="1"/>
  <c r="IH112" i="56"/>
  <c r="IN112" i="56" s="1"/>
  <c r="AG25" i="42"/>
  <c r="AH25" i="42" s="1"/>
  <c r="M28" i="16"/>
  <c r="GW158" i="56"/>
  <c r="GT158" i="56"/>
  <c r="GP158" i="56"/>
  <c r="GU158" i="56"/>
  <c r="HS158" i="56" s="1"/>
  <c r="DY343" i="56" a="1"/>
  <c r="DY343" i="56" s="1"/>
  <c r="GQ76" i="56"/>
  <c r="FX76" i="56"/>
  <c r="GQ207" i="56"/>
  <c r="FX207" i="56"/>
  <c r="HE54" i="56"/>
  <c r="HF54" i="56" s="1"/>
  <c r="HT54" i="56"/>
  <c r="CA14" i="55"/>
  <c r="EA151" i="56"/>
  <c r="DZ151" i="56" a="1"/>
  <c r="DZ151" i="56" s="1"/>
  <c r="IH105" i="56"/>
  <c r="GR105" i="56"/>
  <c r="N105" i="56" s="1"/>
  <c r="GS105" i="56" s="1"/>
  <c r="HE105" i="56" s="1"/>
  <c r="HF105" i="56" s="1"/>
  <c r="IN146" i="56"/>
  <c r="IO146" i="56" s="1"/>
  <c r="IH69" i="56"/>
  <c r="IN69" i="56" s="1"/>
  <c r="GR69" i="56"/>
  <c r="GJ214" i="56"/>
  <c r="IN127" i="56"/>
  <c r="IO127" i="56" s="1"/>
  <c r="DQ61" i="56"/>
  <c r="DQ77" i="56"/>
  <c r="DQ60" i="56"/>
  <c r="DQ78" i="56"/>
  <c r="DQ62" i="56"/>
  <c r="DQ79" i="56"/>
  <c r="DQ63" i="56"/>
  <c r="DQ80" i="56"/>
  <c r="DQ64" i="56"/>
  <c r="DQ81" i="56"/>
  <c r="DQ65" i="56"/>
  <c r="DQ82" i="56"/>
  <c r="DQ66" i="56"/>
  <c r="DQ83" i="56"/>
  <c r="DQ68" i="56"/>
  <c r="DQ85" i="56"/>
  <c r="DQ69" i="56"/>
  <c r="DQ86" i="56"/>
  <c r="DQ53" i="56"/>
  <c r="DQ70" i="56"/>
  <c r="DQ87" i="56"/>
  <c r="DQ54" i="56"/>
  <c r="DQ71" i="56"/>
  <c r="DQ57" i="56"/>
  <c r="DQ58" i="56"/>
  <c r="DQ59" i="56"/>
  <c r="DQ67" i="56"/>
  <c r="DQ72" i="56"/>
  <c r="DQ73" i="56"/>
  <c r="DQ75" i="56"/>
  <c r="DQ76" i="56"/>
  <c r="DQ84" i="56"/>
  <c r="DQ55" i="56"/>
  <c r="DQ56" i="56"/>
  <c r="DQ74" i="56"/>
  <c r="IH80" i="56"/>
  <c r="IH300" i="56"/>
  <c r="HM10" i="56" a="1"/>
  <c r="HM10" i="56" s="1"/>
  <c r="HN10" i="56" s="1"/>
  <c r="HO10" i="56" a="1"/>
  <c r="HO10" i="56" s="1"/>
  <c r="HP10" i="56" s="1"/>
  <c r="HQ10" i="56" a="1"/>
  <c r="HQ10" i="56" s="1"/>
  <c r="HR10" i="56" s="1"/>
  <c r="HI10" i="56" a="1"/>
  <c r="HI10" i="56" s="1"/>
  <c r="HJ10" i="56" s="1"/>
  <c r="HK10" i="56" a="1"/>
  <c r="HK10" i="56" s="1"/>
  <c r="HL10" i="56" s="1"/>
  <c r="HG10" i="56" a="1"/>
  <c r="HG10" i="56" s="1"/>
  <c r="HH10" i="56" s="1"/>
  <c r="GQ314" i="56"/>
  <c r="FX314" i="56"/>
  <c r="IH172" i="56"/>
  <c r="GJ174" i="56"/>
  <c r="AC14" i="55"/>
  <c r="DO89" i="56"/>
  <c r="DO91" i="56"/>
  <c r="DO93" i="56"/>
  <c r="DO94" i="56"/>
  <c r="DO90" i="56"/>
  <c r="DO92" i="56"/>
  <c r="DO95" i="56"/>
  <c r="DO96" i="56"/>
  <c r="DO97" i="56"/>
  <c r="DO98" i="56"/>
  <c r="DO100" i="56"/>
  <c r="DO101" i="56"/>
  <c r="DO88" i="56"/>
  <c r="DO99" i="56"/>
  <c r="EM92" i="56"/>
  <c r="EN92" i="56" s="1"/>
  <c r="GX92" i="56" s="1"/>
  <c r="GZ92" i="56" s="1"/>
  <c r="EM101" i="56"/>
  <c r="EN101" i="56" s="1"/>
  <c r="GX101" i="56" s="1"/>
  <c r="GZ101" i="56" s="1"/>
  <c r="EM90" i="56"/>
  <c r="EN90" i="56" s="1"/>
  <c r="GX90" i="56" s="1"/>
  <c r="GZ90" i="56" s="1"/>
  <c r="EM97" i="56"/>
  <c r="EN97" i="56" s="1"/>
  <c r="GX97" i="56" s="1"/>
  <c r="GZ97" i="56" s="1"/>
  <c r="EM89" i="56"/>
  <c r="EN89" i="56" s="1"/>
  <c r="GX89" i="56" s="1"/>
  <c r="GZ89" i="56" s="1"/>
  <c r="EM100" i="56"/>
  <c r="EN100" i="56" s="1"/>
  <c r="GX100" i="56" s="1"/>
  <c r="GZ100" i="56" s="1"/>
  <c r="EM99" i="56"/>
  <c r="EN99" i="56" s="1"/>
  <c r="GX99" i="56" s="1"/>
  <c r="GZ99" i="56" s="1"/>
  <c r="EM94" i="56"/>
  <c r="EN94" i="56" s="1"/>
  <c r="GX94" i="56" s="1"/>
  <c r="GZ94" i="56" s="1"/>
  <c r="EM93" i="56"/>
  <c r="EN93" i="56" s="1"/>
  <c r="GX93" i="56" s="1"/>
  <c r="GZ93" i="56" s="1"/>
  <c r="EM96" i="56"/>
  <c r="EN96" i="56" s="1"/>
  <c r="GX96" i="56" s="1"/>
  <c r="GZ96" i="56" s="1"/>
  <c r="EM98" i="56"/>
  <c r="EN98" i="56" s="1"/>
  <c r="GX98" i="56" s="1"/>
  <c r="GZ98" i="56" s="1"/>
  <c r="EM91" i="56"/>
  <c r="EN91" i="56" s="1"/>
  <c r="GX91" i="56" s="1"/>
  <c r="GZ91" i="56" s="1"/>
  <c r="EM95" i="56"/>
  <c r="EN95" i="56" s="1"/>
  <c r="GX95" i="56" s="1"/>
  <c r="GZ95" i="56" s="1"/>
  <c r="EM88" i="56"/>
  <c r="EN88" i="56" s="1"/>
  <c r="GX88" i="56" s="1"/>
  <c r="GZ88" i="56" s="1"/>
  <c r="IH240" i="56"/>
  <c r="GJ210" i="56"/>
  <c r="GJ60" i="56"/>
  <c r="IN292" i="56"/>
  <c r="IO292" i="56" s="1"/>
  <c r="GJ175" i="56"/>
  <c r="IN56" i="56"/>
  <c r="IO56" i="56" s="1"/>
  <c r="FY17" i="56"/>
  <c r="FB17" i="56"/>
  <c r="GJ67" i="56"/>
  <c r="EA68" i="56"/>
  <c r="DZ68" i="56" a="1"/>
  <c r="DZ68" i="56" s="1"/>
  <c r="IH315" i="56"/>
  <c r="IN315" i="56" s="1"/>
  <c r="IO315" i="56" s="1"/>
  <c r="IH117" i="56"/>
  <c r="EA5" i="56"/>
  <c r="BS25" i="55" s="1" a="1"/>
  <c r="BS25" i="55" s="1"/>
  <c r="EA137" i="56"/>
  <c r="DZ137" i="56" a="1"/>
  <c r="DZ137" i="56" s="1"/>
  <c r="GJ153" i="56"/>
  <c r="GJ238" i="56"/>
  <c r="DQ109" i="56"/>
  <c r="DQ125" i="56"/>
  <c r="DQ112" i="56"/>
  <c r="DQ129" i="56"/>
  <c r="DQ113" i="56"/>
  <c r="DQ114" i="56"/>
  <c r="DQ115" i="56"/>
  <c r="DQ116" i="56"/>
  <c r="DQ117" i="56"/>
  <c r="DQ102" i="56"/>
  <c r="DQ119" i="56"/>
  <c r="DQ103" i="56"/>
  <c r="DQ120" i="56"/>
  <c r="DQ104" i="56"/>
  <c r="DQ121" i="56"/>
  <c r="DQ105" i="56"/>
  <c r="DQ122" i="56"/>
  <c r="DQ106" i="56"/>
  <c r="DQ107" i="56"/>
  <c r="DQ108" i="56"/>
  <c r="DQ110" i="56"/>
  <c r="DQ111" i="56"/>
  <c r="DQ118" i="56"/>
  <c r="DQ124" i="56"/>
  <c r="DQ126" i="56"/>
  <c r="DQ127" i="56"/>
  <c r="DQ128" i="56"/>
  <c r="DQ123" i="56"/>
  <c r="GO36" i="56"/>
  <c r="GN36" i="56"/>
  <c r="IK36" i="56" s="1"/>
  <c r="GM37" i="56"/>
  <c r="IN111" i="56"/>
  <c r="IH189" i="56"/>
  <c r="GR189" i="56"/>
  <c r="N189" i="56" s="1"/>
  <c r="GS189" i="56" s="1"/>
  <c r="HE189" i="56" s="1"/>
  <c r="HF189" i="56" s="1"/>
  <c r="IN233" i="56"/>
  <c r="IO233" i="56" s="1"/>
  <c r="GJ218" i="56"/>
  <c r="GR203" i="56"/>
  <c r="GJ166" i="56"/>
  <c r="FY15" i="56"/>
  <c r="FB15" i="56"/>
  <c r="EA82" i="56"/>
  <c r="DZ82" i="56" a="1"/>
  <c r="DZ82" i="56" s="1"/>
  <c r="EA57" i="56"/>
  <c r="DZ57" i="56" a="1"/>
  <c r="DZ57" i="56" s="1"/>
  <c r="IH97" i="56"/>
  <c r="IN97" i="56" s="1"/>
  <c r="IO97" i="56" s="1"/>
  <c r="GR97" i="56"/>
  <c r="GR204" i="56"/>
  <c r="EA193" i="56"/>
  <c r="DZ193" i="56" a="1"/>
  <c r="DZ193" i="56" s="1"/>
  <c r="IH244" i="56"/>
  <c r="GJ216" i="56"/>
  <c r="IN110" i="56"/>
  <c r="IO110" i="56" s="1"/>
  <c r="GJ302" i="56"/>
  <c r="GQ262" i="56"/>
  <c r="GR271" i="56" s="1"/>
  <c r="N271" i="56" s="1"/>
  <c r="GS271" i="56" s="1"/>
  <c r="FX262" i="56"/>
  <c r="DY147" i="56" a="1"/>
  <c r="DY147" i="56" s="1"/>
  <c r="IH144" i="56"/>
  <c r="CA25" i="55"/>
  <c r="IH239" i="56"/>
  <c r="IN239" i="56" s="1"/>
  <c r="IO239" i="56" s="1"/>
  <c r="GI335" i="56"/>
  <c r="GJ335" i="56" s="1"/>
  <c r="IH137" i="56"/>
  <c r="GJ351" i="56"/>
  <c r="EA80" i="56"/>
  <c r="DZ80" i="56" a="1"/>
  <c r="DZ80" i="56" s="1"/>
  <c r="EA53" i="56"/>
  <c r="CA13" i="55"/>
  <c r="GT35" i="56"/>
  <c r="GW35" i="56"/>
  <c r="GP35" i="56"/>
  <c r="GU35" i="56"/>
  <c r="HS35" i="56" s="1"/>
  <c r="IH139" i="56"/>
  <c r="EA49" i="56"/>
  <c r="DZ49" i="56" a="1"/>
  <c r="DZ49" i="56" s="1"/>
  <c r="GQ106" i="56"/>
  <c r="FX106" i="56"/>
  <c r="P15" i="56" a="1"/>
  <c r="P15" i="56" s="1"/>
  <c r="P283" i="56" a="1"/>
  <c r="P283" i="56" s="1"/>
  <c r="DY239" i="56" a="1"/>
  <c r="DY239" i="56" s="1"/>
  <c r="DU20" i="56"/>
  <c r="M33" i="16"/>
  <c r="AG30" i="42"/>
  <c r="AH30" i="42" s="1"/>
  <c r="GJ304" i="56"/>
  <c r="EA158" i="56"/>
  <c r="DZ158" i="56" a="1"/>
  <c r="DZ158" i="56" s="1"/>
  <c r="IN178" i="56"/>
  <c r="IO178" i="56" s="1"/>
  <c r="GU288" i="56"/>
  <c r="HS288" i="56" s="1"/>
  <c r="GT288" i="56"/>
  <c r="GW288" i="56"/>
  <c r="GP288" i="56"/>
  <c r="IH318" i="56"/>
  <c r="GR318" i="56"/>
  <c r="N318" i="56" s="1"/>
  <c r="GS318" i="56" s="1"/>
  <c r="GT318" i="56"/>
  <c r="GR319" i="56"/>
  <c r="N319" i="56" s="1"/>
  <c r="GS319" i="56" s="1"/>
  <c r="GU329" i="56"/>
  <c r="HS329" i="56" s="1"/>
  <c r="GW329" i="56"/>
  <c r="GP329" i="56"/>
  <c r="EA118" i="56"/>
  <c r="DZ118" i="56" a="1"/>
  <c r="DZ118" i="56" s="1"/>
  <c r="EA40" i="56"/>
  <c r="DZ40" i="56" a="1"/>
  <c r="DZ40" i="56" s="1"/>
  <c r="IH337" i="56"/>
  <c r="IN337" i="56" s="1"/>
  <c r="IO337" i="56" s="1"/>
  <c r="GR337" i="56"/>
  <c r="N337" i="56" s="1"/>
  <c r="GS337" i="56" s="1"/>
  <c r="GJ349" i="56"/>
  <c r="IH265" i="56"/>
  <c r="IH34" i="56"/>
  <c r="GR34" i="56"/>
  <c r="N34" i="56" s="1"/>
  <c r="GS34" i="56" s="1"/>
  <c r="GJ112" i="56"/>
  <c r="EA345" i="56"/>
  <c r="DZ345" i="56" a="1"/>
  <c r="DZ345" i="56" s="1"/>
  <c r="DY34" i="56" a="1"/>
  <c r="DY34" i="56" s="1"/>
  <c r="GJ16" i="56"/>
  <c r="IH301" i="56"/>
  <c r="GJ21" i="56"/>
  <c r="GJ241" i="56"/>
  <c r="GJ200" i="56"/>
  <c r="IO284" i="56"/>
  <c r="GJ206" i="56"/>
  <c r="DY258" i="56" a="1"/>
  <c r="DY258" i="56" s="1"/>
  <c r="AC16" i="55"/>
  <c r="DO137" i="56"/>
  <c r="DO139" i="56"/>
  <c r="DO141" i="56"/>
  <c r="DO142" i="56"/>
  <c r="DO133" i="56"/>
  <c r="DO153" i="56"/>
  <c r="DO134" i="56"/>
  <c r="DO135" i="56"/>
  <c r="DO136" i="56"/>
  <c r="DO138" i="56"/>
  <c r="DO140" i="56"/>
  <c r="DO144" i="56"/>
  <c r="DO145" i="56"/>
  <c r="DO146" i="56"/>
  <c r="DO147" i="56"/>
  <c r="DO131" i="56"/>
  <c r="DO143" i="56"/>
  <c r="DO149" i="56"/>
  <c r="DO150" i="56"/>
  <c r="DO152" i="56"/>
  <c r="DO130" i="56"/>
  <c r="DO132" i="56"/>
  <c r="DO148" i="56"/>
  <c r="DO151" i="56"/>
  <c r="EM141" i="56"/>
  <c r="EN141" i="56" s="1"/>
  <c r="GX141" i="56" s="1"/>
  <c r="GZ141" i="56" s="1"/>
  <c r="EM138" i="56"/>
  <c r="EN138" i="56" s="1"/>
  <c r="GX138" i="56" s="1"/>
  <c r="GZ138" i="56" s="1"/>
  <c r="EM134" i="56"/>
  <c r="EN134" i="56" s="1"/>
  <c r="GX134" i="56" s="1"/>
  <c r="GZ134" i="56" s="1"/>
  <c r="EM151" i="56"/>
  <c r="EN151" i="56" s="1"/>
  <c r="GX151" i="56" s="1"/>
  <c r="GZ151" i="56" s="1"/>
  <c r="EM135" i="56"/>
  <c r="EN135" i="56" s="1"/>
  <c r="GX135" i="56" s="1"/>
  <c r="GZ135" i="56" s="1"/>
  <c r="EM144" i="56"/>
  <c r="EN144" i="56" s="1"/>
  <c r="GX144" i="56" s="1"/>
  <c r="GZ144" i="56" s="1"/>
  <c r="EM140" i="56"/>
  <c r="EN140" i="56" s="1"/>
  <c r="GX140" i="56" s="1"/>
  <c r="GZ140" i="56" s="1"/>
  <c r="EM146" i="56"/>
  <c r="EN146" i="56" s="1"/>
  <c r="GX146" i="56" s="1"/>
  <c r="GZ146" i="56" s="1"/>
  <c r="EM150" i="56"/>
  <c r="EN150" i="56" s="1"/>
  <c r="GX150" i="56" s="1"/>
  <c r="GZ150" i="56" s="1"/>
  <c r="EM130" i="56"/>
  <c r="EN130" i="56" s="1"/>
  <c r="GX130" i="56" s="1"/>
  <c r="GZ130" i="56" s="1"/>
  <c r="EM143" i="56"/>
  <c r="EN143" i="56" s="1"/>
  <c r="GX143" i="56" s="1"/>
  <c r="GZ143" i="56" s="1"/>
  <c r="EM131" i="56"/>
  <c r="EN131" i="56" s="1"/>
  <c r="GX131" i="56" s="1"/>
  <c r="GZ131" i="56" s="1"/>
  <c r="EM149" i="56"/>
  <c r="EN149" i="56" s="1"/>
  <c r="GX149" i="56" s="1"/>
  <c r="GZ149" i="56" s="1"/>
  <c r="EM148" i="56"/>
  <c r="EN148" i="56" s="1"/>
  <c r="GX148" i="56" s="1"/>
  <c r="GZ148" i="56" s="1"/>
  <c r="EM147" i="56"/>
  <c r="EN147" i="56" s="1"/>
  <c r="GX147" i="56" s="1"/>
  <c r="GZ147" i="56" s="1"/>
  <c r="EM132" i="56"/>
  <c r="EN132" i="56" s="1"/>
  <c r="GX132" i="56" s="1"/>
  <c r="GZ132" i="56" s="1"/>
  <c r="EM152" i="56"/>
  <c r="EN152" i="56" s="1"/>
  <c r="GX152" i="56" s="1"/>
  <c r="GZ152" i="56" s="1"/>
  <c r="EM133" i="56"/>
  <c r="EN133" i="56" s="1"/>
  <c r="GX133" i="56" s="1"/>
  <c r="GZ133" i="56" s="1"/>
  <c r="EM139" i="56"/>
  <c r="EN139" i="56" s="1"/>
  <c r="GX139" i="56" s="1"/>
  <c r="GZ139" i="56" s="1"/>
  <c r="EM145" i="56"/>
  <c r="EN145" i="56" s="1"/>
  <c r="GX145" i="56" s="1"/>
  <c r="GZ145" i="56" s="1"/>
  <c r="EM142" i="56"/>
  <c r="EN142" i="56" s="1"/>
  <c r="GX142" i="56" s="1"/>
  <c r="GZ142" i="56" s="1"/>
  <c r="EM153" i="56"/>
  <c r="EN153" i="56" s="1"/>
  <c r="GX153" i="56" s="1"/>
  <c r="GZ153" i="56" s="1"/>
  <c r="EM137" i="56"/>
  <c r="EN137" i="56" s="1"/>
  <c r="GX137" i="56" s="1"/>
  <c r="GZ137" i="56" s="1"/>
  <c r="EM136" i="56"/>
  <c r="EN136" i="56" s="1"/>
  <c r="GX136" i="56" s="1"/>
  <c r="GZ136" i="56" s="1"/>
  <c r="GJ296" i="56"/>
  <c r="IO202" i="56"/>
  <c r="IN100" i="56"/>
  <c r="IO100" i="56" s="1"/>
  <c r="EA210" i="56"/>
  <c r="DZ210" i="56" a="1"/>
  <c r="DZ210" i="56" s="1"/>
  <c r="EJ51" i="56"/>
  <c r="IH218" i="56"/>
  <c r="IO183" i="56"/>
  <c r="DY226" i="56" a="1"/>
  <c r="DY226" i="56" s="1"/>
  <c r="FY19" i="56"/>
  <c r="FB19" i="56"/>
  <c r="AD17" i="55"/>
  <c r="EO183" i="56"/>
  <c r="EO178" i="56"/>
  <c r="EO167" i="56"/>
  <c r="EO162" i="56"/>
  <c r="EO158" i="56"/>
  <c r="EO157" i="56"/>
  <c r="EO181" i="56"/>
  <c r="EO177" i="56"/>
  <c r="EO175" i="56"/>
  <c r="EO170" i="56"/>
  <c r="EO165" i="56"/>
  <c r="EO161" i="56"/>
  <c r="EO155" i="56"/>
  <c r="EO164" i="56"/>
  <c r="EO168" i="56"/>
  <c r="EO169" i="56"/>
  <c r="EO179" i="56"/>
  <c r="EO172" i="56"/>
  <c r="EO171" i="56"/>
  <c r="EO156" i="56"/>
  <c r="EO182" i="56"/>
  <c r="EO176" i="56"/>
  <c r="EO173" i="56"/>
  <c r="EO154" i="56"/>
  <c r="EO160" i="56"/>
  <c r="EO180" i="56"/>
  <c r="EO159" i="56"/>
  <c r="EO163" i="56"/>
  <c r="EO174" i="56"/>
  <c r="EO166" i="56"/>
  <c r="GJ97" i="56"/>
  <c r="IH21" i="56"/>
  <c r="ER293" i="56"/>
  <c r="ER292" i="56"/>
  <c r="ER296" i="56"/>
  <c r="ER308" i="56"/>
  <c r="ER309" i="56"/>
  <c r="ER306" i="56"/>
  <c r="ER299" i="56"/>
  <c r="ER284" i="56"/>
  <c r="ER289" i="56"/>
  <c r="ER288" i="56"/>
  <c r="ER295" i="56"/>
  <c r="ER300" i="56"/>
  <c r="ER297" i="56"/>
  <c r="ER294" i="56"/>
  <c r="ER305" i="56"/>
  <c r="ER304" i="56"/>
  <c r="ER298" i="56"/>
  <c r="ER302" i="56"/>
  <c r="ER291" i="56"/>
  <c r="ER301" i="56"/>
  <c r="ER287" i="56"/>
  <c r="ER286" i="56"/>
  <c r="ER285" i="56"/>
  <c r="ER307" i="56"/>
  <c r="ER290" i="56"/>
  <c r="ER303" i="56"/>
  <c r="IH49" i="56"/>
  <c r="IH260" i="56"/>
  <c r="IN260" i="56" s="1"/>
  <c r="IO260" i="56" s="1"/>
  <c r="GW320" i="56"/>
  <c r="GU320" i="56"/>
  <c r="HS320" i="56" s="1"/>
  <c r="GP320" i="56"/>
  <c r="GT320" i="56"/>
  <c r="IN227" i="56"/>
  <c r="IO227" i="56" s="1"/>
  <c r="EA289" i="56"/>
  <c r="DZ289" i="56" a="1"/>
  <c r="DZ289" i="56" s="1"/>
  <c r="GR324" i="56"/>
  <c r="N324" i="56" s="1"/>
  <c r="GS324" i="56" s="1"/>
  <c r="IH128" i="56"/>
  <c r="IN128" i="56" s="1"/>
  <c r="IO128" i="56" s="1"/>
  <c r="HQ50" i="56" a="1"/>
  <c r="HQ50" i="56" s="1"/>
  <c r="HR50" i="56" s="1"/>
  <c r="HM50" i="56" a="1"/>
  <c r="HM50" i="56" s="1"/>
  <c r="HN50" i="56" s="1"/>
  <c r="HO50" i="56" a="1"/>
  <c r="HO50" i="56" s="1"/>
  <c r="HP50" i="56" s="1"/>
  <c r="HK50" i="56" a="1"/>
  <c r="HK50" i="56" s="1"/>
  <c r="HL50" i="56" s="1"/>
  <c r="HI50" i="56" a="1"/>
  <c r="HI50" i="56" s="1"/>
  <c r="HJ50" i="56" s="1"/>
  <c r="HG50" i="56" a="1"/>
  <c r="HG50" i="56" s="1"/>
  <c r="HH50" i="56" s="1"/>
  <c r="DU283" i="56"/>
  <c r="DZ283" i="56" s="1" a="1"/>
  <c r="DZ283" i="56" s="1"/>
  <c r="EF283" i="56"/>
  <c r="EG283" i="56" s="1"/>
  <c r="R283" i="56" s="1"/>
  <c r="IH243" i="56"/>
  <c r="M32" i="16"/>
  <c r="AG29" i="42"/>
  <c r="AH29" i="42" s="1"/>
  <c r="GJ292" i="56"/>
  <c r="GQ165" i="56"/>
  <c r="FX165" i="56"/>
  <c r="IH237" i="56"/>
  <c r="EA237" i="56"/>
  <c r="DZ237" i="56" a="1"/>
  <c r="DZ237" i="56" s="1"/>
  <c r="GJ176" i="56"/>
  <c r="IN285" i="56"/>
  <c r="IO285" i="56" s="1"/>
  <c r="AC17" i="55"/>
  <c r="DO155" i="56"/>
  <c r="DO171" i="56"/>
  <c r="DO157" i="56"/>
  <c r="DO173" i="56"/>
  <c r="DO158" i="56"/>
  <c r="DO174" i="56"/>
  <c r="DO175" i="56"/>
  <c r="DO154" i="56"/>
  <c r="DO176" i="56"/>
  <c r="DO156" i="56"/>
  <c r="DO177" i="56"/>
  <c r="DO159" i="56"/>
  <c r="DO178" i="56"/>
  <c r="DO160" i="56"/>
  <c r="DO179" i="56"/>
  <c r="DO161" i="56"/>
  <c r="DO180" i="56"/>
  <c r="DO163" i="56"/>
  <c r="DO182" i="56"/>
  <c r="DO164" i="56"/>
  <c r="DO183" i="56"/>
  <c r="DO165" i="56"/>
  <c r="DO166" i="56"/>
  <c r="DO168" i="56"/>
  <c r="DO169" i="56"/>
  <c r="DO170" i="56"/>
  <c r="DO172" i="56"/>
  <c r="DO167" i="56"/>
  <c r="DO162" i="56"/>
  <c r="DO181" i="56"/>
  <c r="EM161" i="56"/>
  <c r="EN161" i="56" s="1"/>
  <c r="GX161" i="56" s="1"/>
  <c r="GZ161" i="56" s="1"/>
  <c r="EM167" i="56"/>
  <c r="EN167" i="56" s="1"/>
  <c r="GX167" i="56" s="1"/>
  <c r="GZ167" i="56" s="1"/>
  <c r="EM183" i="56"/>
  <c r="EN183" i="56" s="1"/>
  <c r="GX183" i="56" s="1"/>
  <c r="GZ183" i="56" s="1"/>
  <c r="EM180" i="56"/>
  <c r="EN180" i="56" s="1"/>
  <c r="GX180" i="56" s="1"/>
  <c r="GZ180" i="56" s="1"/>
  <c r="EM170" i="56"/>
  <c r="EN170" i="56" s="1"/>
  <c r="GX170" i="56" s="1"/>
  <c r="GZ170" i="56" s="1"/>
  <c r="EM157" i="56"/>
  <c r="EN157" i="56" s="1"/>
  <c r="GX157" i="56" s="1"/>
  <c r="GZ157" i="56" s="1"/>
  <c r="EM158" i="56"/>
  <c r="EN158" i="56" s="1"/>
  <c r="GX158" i="56" s="1"/>
  <c r="GZ158" i="56" s="1"/>
  <c r="EM171" i="56"/>
  <c r="EN171" i="56" s="1"/>
  <c r="GX171" i="56" s="1"/>
  <c r="GZ171" i="56" s="1"/>
  <c r="EM155" i="56"/>
  <c r="EN155" i="56" s="1"/>
  <c r="GX155" i="56" s="1"/>
  <c r="GZ155" i="56" s="1"/>
  <c r="EM164" i="56"/>
  <c r="EN164" i="56" s="1"/>
  <c r="GX164" i="56" s="1"/>
  <c r="GZ164" i="56" s="1"/>
  <c r="EM168" i="56"/>
  <c r="EN168" i="56" s="1"/>
  <c r="GX168" i="56" s="1"/>
  <c r="GZ168" i="56" s="1"/>
  <c r="EM165" i="56"/>
  <c r="EN165" i="56" s="1"/>
  <c r="GX165" i="56" s="1"/>
  <c r="GZ165" i="56" s="1"/>
  <c r="EM182" i="56"/>
  <c r="EN182" i="56" s="1"/>
  <c r="GX182" i="56" s="1"/>
  <c r="GZ182" i="56" s="1"/>
  <c r="EM166" i="56"/>
  <c r="EN166" i="56" s="1"/>
  <c r="GX166" i="56" s="1"/>
  <c r="GZ166" i="56" s="1"/>
  <c r="EM163" i="56"/>
  <c r="EN163" i="56" s="1"/>
  <c r="GX163" i="56" s="1"/>
  <c r="GZ163" i="56" s="1"/>
  <c r="EM160" i="56"/>
  <c r="EN160" i="56" s="1"/>
  <c r="GX160" i="56" s="1"/>
  <c r="GZ160" i="56" s="1"/>
  <c r="EM172" i="56"/>
  <c r="EN172" i="56" s="1"/>
  <c r="GX172" i="56" s="1"/>
  <c r="GZ172" i="56" s="1"/>
  <c r="EM176" i="56"/>
  <c r="EN176" i="56" s="1"/>
  <c r="GX176" i="56" s="1"/>
  <c r="GZ176" i="56" s="1"/>
  <c r="EM173" i="56"/>
  <c r="EN173" i="56" s="1"/>
  <c r="GX173" i="56" s="1"/>
  <c r="GZ173" i="56" s="1"/>
  <c r="EM156" i="56"/>
  <c r="EN156" i="56" s="1"/>
  <c r="GX156" i="56" s="1"/>
  <c r="GZ156" i="56" s="1"/>
  <c r="EM175" i="56"/>
  <c r="EN175" i="56" s="1"/>
  <c r="GX175" i="56" s="1"/>
  <c r="GZ175" i="56" s="1"/>
  <c r="EM174" i="56"/>
  <c r="EN174" i="56" s="1"/>
  <c r="GX174" i="56" s="1"/>
  <c r="GZ174" i="56" s="1"/>
  <c r="EM179" i="56"/>
  <c r="EN179" i="56" s="1"/>
  <c r="GX179" i="56" s="1"/>
  <c r="GZ179" i="56" s="1"/>
  <c r="EM169" i="56"/>
  <c r="EN169" i="56" s="1"/>
  <c r="GX169" i="56" s="1"/>
  <c r="GZ169" i="56" s="1"/>
  <c r="EM181" i="56"/>
  <c r="EN181" i="56" s="1"/>
  <c r="GX181" i="56" s="1"/>
  <c r="GZ181" i="56" s="1"/>
  <c r="EM178" i="56"/>
  <c r="EN178" i="56" s="1"/>
  <c r="GX178" i="56" s="1"/>
  <c r="GZ178" i="56" s="1"/>
  <c r="EM159" i="56"/>
  <c r="EN159" i="56" s="1"/>
  <c r="GX159" i="56" s="1"/>
  <c r="GZ159" i="56" s="1"/>
  <c r="EM177" i="56"/>
  <c r="EN177" i="56" s="1"/>
  <c r="GX177" i="56" s="1"/>
  <c r="GZ177" i="56" s="1"/>
  <c r="EM162" i="56"/>
  <c r="EN162" i="56" s="1"/>
  <c r="GX162" i="56" s="1"/>
  <c r="GZ162" i="56" s="1"/>
  <c r="GO321" i="56"/>
  <c r="GN321" i="56"/>
  <c r="IK321" i="56" s="1"/>
  <c r="GM322" i="56"/>
  <c r="IH157" i="56"/>
  <c r="GR157" i="56"/>
  <c r="N157" i="56" s="1"/>
  <c r="GS157" i="56" s="1"/>
  <c r="GV211" i="56"/>
  <c r="GN10" i="56"/>
  <c r="IK10" i="56" s="1"/>
  <c r="GO10" i="56"/>
  <c r="GM11" i="56"/>
  <c r="IH216" i="56"/>
  <c r="IH200" i="56"/>
  <c r="GR200" i="56"/>
  <c r="AD23" i="55"/>
  <c r="EO327" i="56"/>
  <c r="EO326" i="56"/>
  <c r="EO329" i="56"/>
  <c r="EO325" i="56"/>
  <c r="EO328" i="56"/>
  <c r="AC11" i="55"/>
  <c r="DO27" i="56"/>
  <c r="DO29" i="56"/>
  <c r="DO30" i="56"/>
  <c r="DO26" i="56"/>
  <c r="DO28" i="56"/>
  <c r="EM26" i="56"/>
  <c r="EN26" i="56" s="1"/>
  <c r="GX26" i="56" s="1"/>
  <c r="GZ26" i="56" s="1"/>
  <c r="EM30" i="56"/>
  <c r="EN30" i="56" s="1"/>
  <c r="GX30" i="56" s="1"/>
  <c r="GZ30" i="56" s="1"/>
  <c r="EM29" i="56"/>
  <c r="EN29" i="56" s="1"/>
  <c r="GX29" i="56" s="1"/>
  <c r="GZ29" i="56" s="1"/>
  <c r="GQ230" i="56"/>
  <c r="GR239" i="56" s="1"/>
  <c r="FX230" i="56"/>
  <c r="IH145" i="56"/>
  <c r="ER36" i="56"/>
  <c r="ER52" i="56"/>
  <c r="ER37" i="56"/>
  <c r="ER41" i="56"/>
  <c r="ER40" i="56"/>
  <c r="ER47" i="56"/>
  <c r="ER44" i="56"/>
  <c r="ER42" i="56"/>
  <c r="ER39" i="56"/>
  <c r="ER50" i="56"/>
  <c r="ER43" i="56"/>
  <c r="ER49" i="56"/>
  <c r="ER48" i="56"/>
  <c r="ER46" i="56"/>
  <c r="ER33" i="56"/>
  <c r="ER45" i="56"/>
  <c r="ER35" i="56"/>
  <c r="ER51" i="56"/>
  <c r="ER34" i="56"/>
  <c r="ER32" i="56"/>
  <c r="ER38" i="56"/>
  <c r="EA88" i="56"/>
  <c r="FY14" i="56"/>
  <c r="FB14" i="56"/>
  <c r="EA217" i="56"/>
  <c r="DZ217" i="56" a="1"/>
  <c r="DZ217" i="56" s="1"/>
  <c r="GJ309" i="56"/>
  <c r="DY52" i="56" a="1"/>
  <c r="DY52" i="56" s="1"/>
  <c r="IH257" i="56"/>
  <c r="GJ69" i="56"/>
  <c r="AD16" i="55"/>
  <c r="HC153" i="56" s="1"/>
  <c r="EO135" i="56"/>
  <c r="EO151" i="56"/>
  <c r="EO146" i="56"/>
  <c r="EO132" i="56"/>
  <c r="EO133" i="56"/>
  <c r="EO134" i="56"/>
  <c r="EO136" i="56"/>
  <c r="EO137" i="56"/>
  <c r="EO140" i="56"/>
  <c r="EO144" i="56"/>
  <c r="EO150" i="56"/>
  <c r="EO131" i="56"/>
  <c r="EO145" i="56"/>
  <c r="EO138" i="56"/>
  <c r="EO147" i="56"/>
  <c r="EO141" i="56"/>
  <c r="EO149" i="56"/>
  <c r="EO139" i="56"/>
  <c r="EO142" i="56"/>
  <c r="EO153" i="56"/>
  <c r="EO148" i="56"/>
  <c r="EO152" i="56"/>
  <c r="EO130" i="56"/>
  <c r="EO143" i="56"/>
  <c r="GJ258" i="56"/>
  <c r="IH343" i="56"/>
  <c r="GR343" i="56"/>
  <c r="N343" i="56" s="1"/>
  <c r="GS343" i="56" s="1"/>
  <c r="GT343" i="56"/>
  <c r="IH264" i="56"/>
  <c r="IN264" i="56" s="1"/>
  <c r="IO264" i="56" s="1"/>
  <c r="GJ99" i="56"/>
  <c r="CA16" i="55"/>
  <c r="EA261" i="56"/>
  <c r="DZ261" i="56" a="1"/>
  <c r="DZ261" i="56" s="1"/>
  <c r="GO228" i="56"/>
  <c r="GN228" i="56"/>
  <c r="IK228" i="56" s="1"/>
  <c r="GM229" i="56"/>
  <c r="EA204" i="56"/>
  <c r="DZ204" i="56" a="1"/>
  <c r="DZ204" i="56" s="1"/>
  <c r="GW316" i="56"/>
  <c r="GU316" i="56"/>
  <c r="HS316" i="56" s="1"/>
  <c r="GT316" i="56"/>
  <c r="GP316" i="56"/>
  <c r="IH213" i="56"/>
  <c r="IN104" i="56"/>
  <c r="IO104" i="56" s="1"/>
  <c r="GJ303" i="56"/>
  <c r="EA166" i="56"/>
  <c r="DZ166" i="56" a="1"/>
  <c r="DZ166" i="56" s="1"/>
  <c r="IH205" i="56"/>
  <c r="IN205" i="56" s="1"/>
  <c r="GR205" i="56"/>
  <c r="GJ297" i="56"/>
  <c r="DQ157" i="56"/>
  <c r="DQ173" i="56"/>
  <c r="DQ163" i="56"/>
  <c r="DQ180" i="56"/>
  <c r="DQ164" i="56"/>
  <c r="DQ181" i="56"/>
  <c r="DQ165" i="56"/>
  <c r="DQ182" i="56"/>
  <c r="DQ166" i="56"/>
  <c r="DQ183" i="56"/>
  <c r="DQ167" i="56"/>
  <c r="DQ168" i="56"/>
  <c r="DQ170" i="56"/>
  <c r="DQ154" i="56"/>
  <c r="DW154" i="56" s="1" a="1"/>
  <c r="DW154" i="56" s="1"/>
  <c r="DQ171" i="56"/>
  <c r="DQ155" i="56"/>
  <c r="DQ172" i="56"/>
  <c r="DQ156" i="56"/>
  <c r="DQ174" i="56"/>
  <c r="DQ158" i="56"/>
  <c r="DQ159" i="56"/>
  <c r="DQ160" i="56"/>
  <c r="DQ161" i="56"/>
  <c r="DQ169" i="56"/>
  <c r="DQ175" i="56"/>
  <c r="DQ176" i="56"/>
  <c r="DQ177" i="56"/>
  <c r="DQ162" i="56"/>
  <c r="DQ178" i="56"/>
  <c r="DQ179" i="56"/>
  <c r="GJ257" i="56"/>
  <c r="GN57" i="56"/>
  <c r="IK57" i="56" s="1"/>
  <c r="GO57" i="56"/>
  <c r="GM58" i="56"/>
  <c r="IN305" i="56"/>
  <c r="IO305" i="56" s="1"/>
  <c r="EA188" i="56"/>
  <c r="DZ188" i="56" a="1"/>
  <c r="DZ188" i="56" s="1"/>
  <c r="CA24" i="55"/>
  <c r="IN124" i="56"/>
  <c r="IO124" i="56" s="1"/>
  <c r="GV28" i="56"/>
  <c r="AD24" i="55"/>
  <c r="EO331" i="56"/>
  <c r="EO330" i="56"/>
  <c r="EO332" i="56"/>
  <c r="EO334" i="56"/>
  <c r="EO333" i="56"/>
  <c r="CA12" i="55"/>
  <c r="EA163" i="56"/>
  <c r="DZ163" i="56" a="1"/>
  <c r="DZ163" i="56" s="1"/>
  <c r="GR198" i="56"/>
  <c r="BN4" i="56"/>
  <c r="EJ4" i="56"/>
  <c r="DU15" i="56"/>
  <c r="DZ15" i="56" s="1" a="1"/>
  <c r="DZ15" i="56" s="1"/>
  <c r="BQ20" i="55" s="1" a="1"/>
  <c r="BQ20" i="55" s="1"/>
  <c r="EF15" i="56"/>
  <c r="EG15" i="56" s="1"/>
  <c r="GR70" i="56"/>
  <c r="IH40" i="56"/>
  <c r="IN40" i="56" s="1"/>
  <c r="AG31" i="42"/>
  <c r="AH31" i="42" s="1"/>
  <c r="M34" i="16"/>
  <c r="DY142" i="56" a="1"/>
  <c r="DY142" i="56" s="1"/>
  <c r="GJ217" i="56"/>
  <c r="GJ300" i="56"/>
  <c r="IN183" i="56"/>
  <c r="IH67" i="56"/>
  <c r="IN67" i="56" s="1"/>
  <c r="EA276" i="56"/>
  <c r="DZ276" i="56" a="1"/>
  <c r="DZ276" i="56" s="1"/>
  <c r="EA351" i="56"/>
  <c r="DZ351" i="56" a="1"/>
  <c r="DZ351" i="56" s="1"/>
  <c r="EA224" i="56"/>
  <c r="DY211" i="56" a="1"/>
  <c r="DY211" i="56" s="1"/>
  <c r="IK9" i="56"/>
  <c r="DU336" i="56"/>
  <c r="AC23" i="55"/>
  <c r="DO325" i="56"/>
  <c r="DO326" i="56"/>
  <c r="DO328" i="56"/>
  <c r="DO329" i="56"/>
  <c r="DO327" i="56"/>
  <c r="EM327" i="56"/>
  <c r="EN327" i="56" s="1"/>
  <c r="GX327" i="56" s="1"/>
  <c r="GZ327" i="56" s="1"/>
  <c r="EM329" i="56"/>
  <c r="EN329" i="56" s="1"/>
  <c r="GX329" i="56" s="1"/>
  <c r="GZ329" i="56" s="1"/>
  <c r="EM325" i="56"/>
  <c r="EN325" i="56" s="1"/>
  <c r="GX325" i="56" s="1"/>
  <c r="GZ325" i="56" s="1"/>
  <c r="EM328" i="56"/>
  <c r="EN328" i="56" s="1"/>
  <c r="GX328" i="56" s="1"/>
  <c r="GZ328" i="56" s="1"/>
  <c r="EM326" i="56"/>
  <c r="EN326" i="56" s="1"/>
  <c r="GX326" i="56" s="1"/>
  <c r="GZ326" i="56" s="1"/>
  <c r="DQ29" i="56"/>
  <c r="DQ26" i="56"/>
  <c r="DQ27" i="56"/>
  <c r="DQ28" i="56"/>
  <c r="DQ30" i="56"/>
  <c r="IH85" i="56"/>
  <c r="EA253" i="56"/>
  <c r="DZ253" i="56" a="1"/>
  <c r="DZ253" i="56" s="1"/>
  <c r="GR196" i="56"/>
  <c r="FY9" i="56"/>
  <c r="FB9" i="56"/>
  <c r="GQ310" i="56"/>
  <c r="FX310" i="56"/>
  <c r="GJ18" i="56"/>
  <c r="HE27" i="56"/>
  <c r="HF27" i="56" s="1"/>
  <c r="HT27" i="56"/>
  <c r="FY8" i="56"/>
  <c r="FB8" i="56"/>
  <c r="DQ141" i="56"/>
  <c r="DQ146" i="56"/>
  <c r="DQ130" i="56"/>
  <c r="DQ147" i="56"/>
  <c r="DQ131" i="56"/>
  <c r="DQ148" i="56"/>
  <c r="DQ132" i="56"/>
  <c r="DQ149" i="56"/>
  <c r="DQ133" i="56"/>
  <c r="DQ150" i="56"/>
  <c r="DQ134" i="56"/>
  <c r="DQ151" i="56"/>
  <c r="DQ136" i="56"/>
  <c r="DQ153" i="56"/>
  <c r="DQ137" i="56"/>
  <c r="DQ138" i="56"/>
  <c r="DQ139" i="56"/>
  <c r="DQ145" i="56"/>
  <c r="DQ152" i="56"/>
  <c r="DQ135" i="56"/>
  <c r="DQ140" i="56"/>
  <c r="DQ143" i="56"/>
  <c r="DQ142" i="56"/>
  <c r="DQ144" i="56"/>
  <c r="IH211" i="56"/>
  <c r="IN211" i="56" s="1"/>
  <c r="IO211" i="56" s="1"/>
  <c r="GJ312" i="56"/>
  <c r="GJ126" i="56"/>
  <c r="IH255" i="56"/>
  <c r="GQ62" i="56"/>
  <c r="FX62" i="56"/>
  <c r="IH231" i="56"/>
  <c r="IN231" i="56" s="1"/>
  <c r="DB51" i="56" a="1"/>
  <c r="DB51" i="56" s="1"/>
  <c r="DD51" i="56" s="1"/>
  <c r="DE51" i="56"/>
  <c r="GY51" i="56" s="1"/>
  <c r="HB51" i="56"/>
  <c r="EA227" i="56"/>
  <c r="DZ227" i="56" a="1"/>
  <c r="DZ227" i="56" s="1"/>
  <c r="EA185" i="56"/>
  <c r="DZ185" i="56" a="1"/>
  <c r="DZ185" i="56" s="1"/>
  <c r="GJ115" i="56"/>
  <c r="GJ242" i="56"/>
  <c r="EA169" i="56"/>
  <c r="DZ169" i="56" a="1"/>
  <c r="DZ169" i="56" s="1"/>
  <c r="DY273" i="56" a="1"/>
  <c r="DY273" i="56" s="1"/>
  <c r="HT56" i="56"/>
  <c r="GU56" i="56"/>
  <c r="HS56" i="56" s="1"/>
  <c r="GT56" i="56"/>
  <c r="GW56" i="56"/>
  <c r="GP56" i="56"/>
  <c r="AC24" i="55"/>
  <c r="DO334" i="56"/>
  <c r="DO330" i="56"/>
  <c r="DO331" i="56"/>
  <c r="DO333" i="56"/>
  <c r="DO332" i="56"/>
  <c r="EM334" i="56"/>
  <c r="EN334" i="56" s="1"/>
  <c r="GX334" i="56" s="1"/>
  <c r="GZ334" i="56" s="1"/>
  <c r="EM331" i="56"/>
  <c r="EN331" i="56" s="1"/>
  <c r="GX331" i="56" s="1"/>
  <c r="GZ331" i="56" s="1"/>
  <c r="EM333" i="56"/>
  <c r="EN333" i="56" s="1"/>
  <c r="GX333" i="56" s="1"/>
  <c r="GZ333" i="56" s="1"/>
  <c r="EM330" i="56"/>
  <c r="EN330" i="56" s="1"/>
  <c r="GX330" i="56" s="1"/>
  <c r="GZ330" i="56" s="1"/>
  <c r="EM332" i="56"/>
  <c r="EN332" i="56" s="1"/>
  <c r="GX332" i="56" s="1"/>
  <c r="GZ332" i="56" s="1"/>
  <c r="EA43" i="56"/>
  <c r="DZ43" i="56" a="1"/>
  <c r="DZ43" i="56" s="1"/>
  <c r="CA26" i="55"/>
  <c r="GQ247" i="56"/>
  <c r="FX247" i="56"/>
  <c r="IH327" i="56"/>
  <c r="GR327" i="56"/>
  <c r="N327" i="56" s="1"/>
  <c r="GS327" i="56" s="1"/>
  <c r="GT327" i="56"/>
  <c r="BN3" i="56"/>
  <c r="EJ3" i="56"/>
  <c r="EA45" i="56"/>
  <c r="DZ45" i="56" a="1"/>
  <c r="DZ45" i="56" s="1"/>
  <c r="M31" i="16"/>
  <c r="AG28" i="42"/>
  <c r="AH28" i="42" s="1"/>
  <c r="EA37" i="56"/>
  <c r="DZ37" i="56" a="1"/>
  <c r="DZ37" i="56" s="1"/>
  <c r="DU130" i="56"/>
  <c r="EA179" i="56"/>
  <c r="DZ179" i="56" a="1"/>
  <c r="DZ179" i="56" s="1"/>
  <c r="CA18" i="55"/>
  <c r="IH118" i="56"/>
  <c r="IH152" i="56"/>
  <c r="IN152" i="56" s="1"/>
  <c r="IH174" i="56"/>
  <c r="IN174" i="56" s="1"/>
  <c r="GJ121" i="56"/>
  <c r="IH280" i="56"/>
  <c r="IH180" i="56"/>
  <c r="IH322" i="56"/>
  <c r="GR322" i="56"/>
  <c r="N322" i="56" s="1"/>
  <c r="GS322" i="56" s="1"/>
  <c r="HE322" i="56" s="1"/>
  <c r="HF322" i="56" s="1"/>
  <c r="DY247" i="56" a="1"/>
  <c r="DY247" i="56" s="1"/>
  <c r="EA192" i="56"/>
  <c r="DZ192" i="56" a="1"/>
  <c r="DZ192" i="56" s="1"/>
  <c r="IH295" i="56"/>
  <c r="CA20" i="55"/>
  <c r="EA138" i="56"/>
  <c r="DZ138" i="56" a="1"/>
  <c r="DZ138" i="56" s="1"/>
  <c r="IH82" i="56"/>
  <c r="IN82" i="56" s="1"/>
  <c r="GJ299" i="56"/>
  <c r="HE103" i="56"/>
  <c r="HF103" i="56" s="1"/>
  <c r="HT103" i="56"/>
  <c r="IH37" i="56"/>
  <c r="HT9" i="56"/>
  <c r="GU9" i="56"/>
  <c r="HS9" i="56" s="1"/>
  <c r="GW9" i="56"/>
  <c r="GP9" i="56"/>
  <c r="GJ310" i="56"/>
  <c r="IH175" i="56"/>
  <c r="IN175" i="56" s="1"/>
  <c r="IO175" i="56" s="1"/>
  <c r="GJ96" i="56"/>
  <c r="DU335" i="56"/>
  <c r="DQ325" i="56"/>
  <c r="DQ326" i="56"/>
  <c r="DQ327" i="56"/>
  <c r="DQ328" i="56"/>
  <c r="DQ329" i="56"/>
  <c r="GJ118" i="56"/>
  <c r="CA21" i="55"/>
  <c r="AD11" i="55"/>
  <c r="EO29" i="56"/>
  <c r="EO26" i="56"/>
  <c r="EO30" i="56"/>
  <c r="EA279" i="56"/>
  <c r="DZ279" i="56" a="1"/>
  <c r="DZ279" i="56" s="1"/>
  <c r="EA23" i="56"/>
  <c r="DZ23" i="56" a="1"/>
  <c r="DZ23" i="56" s="1"/>
  <c r="ER261" i="56"/>
  <c r="ER228" i="56"/>
  <c r="ER276" i="56"/>
  <c r="ER280" i="56"/>
  <c r="ER244" i="56"/>
  <c r="ER229" i="56"/>
  <c r="ER260" i="56"/>
  <c r="ER277" i="56"/>
  <c r="ER245" i="56"/>
  <c r="ER264" i="56"/>
  <c r="ER279" i="56"/>
  <c r="ER236" i="56"/>
  <c r="ER252" i="56"/>
  <c r="ER265" i="56"/>
  <c r="ER255" i="56"/>
  <c r="ER267" i="56"/>
  <c r="ER263" i="56"/>
  <c r="ER281" i="56"/>
  <c r="ER247" i="56"/>
  <c r="ER248" i="56"/>
  <c r="ER278" i="56"/>
  <c r="ER231" i="56"/>
  <c r="ER233" i="56"/>
  <c r="ER266" i="56"/>
  <c r="ER268" i="56"/>
  <c r="ER226" i="56"/>
  <c r="ER225" i="56"/>
  <c r="ER254" i="56"/>
  <c r="ER271" i="56"/>
  <c r="ER238" i="56"/>
  <c r="ER239" i="56"/>
  <c r="ER275" i="56"/>
  <c r="ER259" i="56"/>
  <c r="ER232" i="56"/>
  <c r="ER249" i="56"/>
  <c r="ER273" i="56"/>
  <c r="ER256" i="56"/>
  <c r="ER253" i="56"/>
  <c r="ER230" i="56"/>
  <c r="ER240" i="56"/>
  <c r="ER235" i="56"/>
  <c r="ER227" i="56"/>
  <c r="ER237" i="56"/>
  <c r="ER262" i="56"/>
  <c r="ER258" i="56"/>
  <c r="ER241" i="56"/>
  <c r="ER242" i="56"/>
  <c r="ER251" i="56"/>
  <c r="ER246" i="56"/>
  <c r="ER272" i="56"/>
  <c r="ER243" i="56"/>
  <c r="ER234" i="56"/>
  <c r="ER250" i="56"/>
  <c r="ER274" i="56"/>
  <c r="ER270" i="56"/>
  <c r="ER257" i="56"/>
  <c r="ER269" i="56"/>
  <c r="IH77" i="56"/>
  <c r="IN77" i="56" s="1"/>
  <c r="GR99" i="56"/>
  <c r="ER168" i="56"/>
  <c r="ER158" i="56"/>
  <c r="ER165" i="56"/>
  <c r="ER164" i="56"/>
  <c r="ER157" i="56"/>
  <c r="ER167" i="56"/>
  <c r="ER169" i="56"/>
  <c r="ER155" i="56"/>
  <c r="ER161" i="56"/>
  <c r="ER160" i="56"/>
  <c r="ER175" i="56"/>
  <c r="ER170" i="56"/>
  <c r="ER162" i="56"/>
  <c r="ER156" i="56"/>
  <c r="ER171" i="56"/>
  <c r="ER177" i="56"/>
  <c r="ER172" i="56"/>
  <c r="ER163" i="56"/>
  <c r="ER159" i="56"/>
  <c r="ER178" i="56"/>
  <c r="ER176" i="56"/>
  <c r="ER166" i="56"/>
  <c r="ER174" i="56"/>
  <c r="ER173" i="56"/>
  <c r="IH156" i="56"/>
  <c r="IN156" i="56" s="1"/>
  <c r="IO156" i="56" s="1"/>
  <c r="GR156" i="56"/>
  <c r="N156" i="56" s="1"/>
  <c r="GS156" i="56" s="1"/>
  <c r="GT156" i="56"/>
  <c r="EA187" i="56"/>
  <c r="DZ187" i="56" a="1"/>
  <c r="DZ187" i="56" s="1"/>
  <c r="GJ101" i="56"/>
  <c r="EA178" i="56"/>
  <c r="DZ178" i="56" a="1"/>
  <c r="DZ178" i="56" s="1"/>
  <c r="DY134" i="56" a="1"/>
  <c r="DY134" i="56" s="1"/>
  <c r="EA38" i="56"/>
  <c r="DZ38" i="56" a="1"/>
  <c r="DZ38" i="56" s="1"/>
  <c r="IH148" i="56"/>
  <c r="IN148" i="56" s="1"/>
  <c r="EA145" i="56"/>
  <c r="DZ145" i="56" a="1"/>
  <c r="DZ145" i="56" s="1"/>
  <c r="EA141" i="56"/>
  <c r="DZ141" i="56" a="1"/>
  <c r="DZ141" i="56" s="1"/>
  <c r="IH176" i="56"/>
  <c r="EA197" i="56"/>
  <c r="DZ197" i="56" a="1"/>
  <c r="DZ197" i="56" s="1"/>
  <c r="IH84" i="56"/>
  <c r="IN84" i="56" s="1"/>
  <c r="IO84" i="56" s="1"/>
  <c r="DY206" i="56" a="1"/>
  <c r="DY206" i="56" s="1"/>
  <c r="IH138" i="56"/>
  <c r="GJ295" i="56"/>
  <c r="GQ286" i="56"/>
  <c r="GR295" i="56" s="1"/>
  <c r="FX286" i="56"/>
  <c r="HT227" i="56"/>
  <c r="GW227" i="56"/>
  <c r="GP227" i="56"/>
  <c r="GT227" i="56"/>
  <c r="GU227" i="56"/>
  <c r="HS227" i="56" s="1"/>
  <c r="GJ205" i="56"/>
  <c r="IH68" i="56"/>
  <c r="IN68" i="56" s="1"/>
  <c r="IO68" i="56" s="1"/>
  <c r="IH296" i="56"/>
  <c r="IN296" i="56" s="1"/>
  <c r="EA182" i="56"/>
  <c r="DZ182" i="56" a="1"/>
  <c r="DZ182" i="56" s="1"/>
  <c r="GJ14" i="56"/>
  <c r="EA64" i="56"/>
  <c r="DZ64" i="56" a="1"/>
  <c r="DZ64" i="56" s="1"/>
  <c r="DY259" i="56" a="1"/>
  <c r="DY259" i="56" s="1"/>
  <c r="DY140" i="56" a="1"/>
  <c r="DY140" i="56" s="1"/>
  <c r="EA146" i="56"/>
  <c r="DZ146" i="56" a="1"/>
  <c r="DZ146" i="56" s="1"/>
  <c r="DQ333" i="56"/>
  <c r="DQ334" i="56"/>
  <c r="DQ330" i="56"/>
  <c r="DQ332" i="56"/>
  <c r="DQ331" i="56"/>
  <c r="EA267" i="56"/>
  <c r="DZ267" i="56" a="1"/>
  <c r="DZ267" i="56" s="1"/>
  <c r="IN198" i="56"/>
  <c r="IO198" i="56" s="1"/>
  <c r="DY139" i="56" a="1"/>
  <c r="DY139" i="56" s="1"/>
  <c r="DY219" i="56" a="1"/>
  <c r="DY219" i="56" s="1"/>
  <c r="EA72" i="56"/>
  <c r="DZ72" i="56" a="1"/>
  <c r="DZ72" i="56" s="1"/>
  <c r="FY12" i="56"/>
  <c r="FB12" i="56"/>
  <c r="GJ57" i="56"/>
  <c r="HE57" i="56"/>
  <c r="HF57" i="56" s="1"/>
  <c r="IH181" i="56"/>
  <c r="IO150" i="56"/>
  <c r="AG26" i="42"/>
  <c r="AH26" i="42" s="1"/>
  <c r="M29" i="16"/>
  <c r="GQ347" i="56"/>
  <c r="FX347" i="56"/>
  <c r="EA41" i="56"/>
  <c r="DZ41" i="56" a="1"/>
  <c r="DZ41" i="56" s="1"/>
  <c r="FY13" i="56"/>
  <c r="FB13" i="56"/>
  <c r="IN291" i="56"/>
  <c r="IO291" i="56" s="1"/>
  <c r="GJ77" i="56"/>
  <c r="IH303" i="56"/>
  <c r="IN303" i="56" s="1"/>
  <c r="IH75" i="56"/>
  <c r="GJ62" i="56"/>
  <c r="IN171" i="56"/>
  <c r="IO171" i="56" s="1"/>
  <c r="GJ120" i="56"/>
  <c r="DU5" i="56"/>
  <c r="GJ348" i="56"/>
  <c r="GJ74" i="56"/>
  <c r="EA301" i="56"/>
  <c r="DZ301" i="56" a="1"/>
  <c r="DZ301" i="56" s="1"/>
  <c r="GJ98" i="56"/>
  <c r="IH259" i="56"/>
  <c r="IH344" i="56"/>
  <c r="GR344" i="56"/>
  <c r="GT344" i="56"/>
  <c r="GV186" i="56"/>
  <c r="IN196" i="56"/>
  <c r="IO196" i="56" s="1"/>
  <c r="GJ306" i="56"/>
  <c r="EA125" i="56"/>
  <c r="DZ125" i="56" a="1"/>
  <c r="DZ125" i="56" s="1"/>
  <c r="IH221" i="56"/>
  <c r="IN221" i="56" s="1"/>
  <c r="IO221" i="56" s="1"/>
  <c r="IH267" i="56"/>
  <c r="EA317" i="56"/>
  <c r="DQ189" i="56"/>
  <c r="DQ205" i="56"/>
  <c r="DQ221" i="56"/>
  <c r="DQ197" i="56"/>
  <c r="DQ214" i="56"/>
  <c r="DQ198" i="56"/>
  <c r="DQ215" i="56"/>
  <c r="DQ199" i="56"/>
  <c r="DQ216" i="56"/>
  <c r="DQ200" i="56"/>
  <c r="DQ217" i="56"/>
  <c r="DQ184" i="56"/>
  <c r="DQ201" i="56"/>
  <c r="DQ218" i="56"/>
  <c r="DQ185" i="56"/>
  <c r="DQ202" i="56"/>
  <c r="DQ219" i="56"/>
  <c r="DQ187" i="56"/>
  <c r="DQ204" i="56"/>
  <c r="DQ222" i="56"/>
  <c r="DQ188" i="56"/>
  <c r="DQ206" i="56"/>
  <c r="DQ223" i="56"/>
  <c r="DQ190" i="56"/>
  <c r="DQ207" i="56"/>
  <c r="DQ191" i="56"/>
  <c r="DQ208" i="56"/>
  <c r="DQ194" i="56"/>
  <c r="DQ195" i="56"/>
  <c r="DQ196" i="56"/>
  <c r="DQ203" i="56"/>
  <c r="DQ209" i="56"/>
  <c r="DQ210" i="56"/>
  <c r="DQ212" i="56"/>
  <c r="DQ213" i="56"/>
  <c r="DQ220" i="56"/>
  <c r="DQ186" i="56"/>
  <c r="DQ192" i="56"/>
  <c r="DQ193" i="56"/>
  <c r="DQ211" i="56"/>
  <c r="GJ109" i="56"/>
  <c r="IH143" i="56"/>
  <c r="IN143" i="56" s="1"/>
  <c r="EA234" i="56"/>
  <c r="DZ234" i="56" a="1"/>
  <c r="DZ234" i="56" s="1"/>
  <c r="GV39" i="56"/>
  <c r="DY143" i="56" a="1"/>
  <c r="DY143" i="56" s="1"/>
  <c r="GJ243" i="56"/>
  <c r="EA181" i="56"/>
  <c r="DZ181" i="56" a="1"/>
  <c r="DZ181" i="56" s="1"/>
  <c r="EA126" i="56"/>
  <c r="DZ126" i="56" a="1"/>
  <c r="DZ126" i="56" s="1"/>
  <c r="GV205" i="56"/>
  <c r="GJ219" i="56"/>
  <c r="GQ74" i="56"/>
  <c r="FX74" i="56"/>
  <c r="GJ17" i="56"/>
  <c r="FY7" i="56"/>
  <c r="FB7" i="56"/>
  <c r="DY190" i="56" a="1"/>
  <c r="DY190" i="56" s="1"/>
  <c r="CA17" i="55"/>
  <c r="EA198" i="56"/>
  <c r="DZ198" i="56" a="1"/>
  <c r="DZ198" i="56" s="1"/>
  <c r="IH321" i="56"/>
  <c r="IN321" i="56" s="1"/>
  <c r="GR321" i="56"/>
  <c r="N321" i="56" s="1"/>
  <c r="GS321" i="56" s="1"/>
  <c r="HE321" i="56" s="1"/>
  <c r="HF321" i="56" s="1"/>
  <c r="EA330" i="56"/>
  <c r="DU102" i="56"/>
  <c r="IN113" i="56"/>
  <c r="IO113" i="56" s="1"/>
  <c r="IH61" i="56"/>
  <c r="GR61" i="56"/>
  <c r="GJ244" i="56"/>
  <c r="IH228" i="56"/>
  <c r="IN228" i="56" s="1"/>
  <c r="GR228" i="56"/>
  <c r="N228" i="56" s="1"/>
  <c r="GS228" i="56" s="1"/>
  <c r="HE228" i="56" s="1"/>
  <c r="HF228" i="56" s="1"/>
  <c r="GJ68" i="56"/>
  <c r="EA196" i="56"/>
  <c r="DZ196" i="56" a="1"/>
  <c r="DZ196" i="56" s="1"/>
  <c r="DQ237" i="56"/>
  <c r="DQ253" i="56"/>
  <c r="DQ269" i="56"/>
  <c r="DQ231" i="56"/>
  <c r="DQ248" i="56"/>
  <c r="DQ265" i="56"/>
  <c r="DQ282" i="56"/>
  <c r="DQ232" i="56"/>
  <c r="DQ249" i="56"/>
  <c r="DQ266" i="56"/>
  <c r="DQ233" i="56"/>
  <c r="DQ250" i="56"/>
  <c r="DQ267" i="56"/>
  <c r="DQ234" i="56"/>
  <c r="DQ251" i="56"/>
  <c r="DQ268" i="56"/>
  <c r="DQ235" i="56"/>
  <c r="DQ252" i="56"/>
  <c r="DQ270" i="56"/>
  <c r="DQ236" i="56"/>
  <c r="DQ254" i="56"/>
  <c r="DQ271" i="56"/>
  <c r="DQ239" i="56"/>
  <c r="DQ256" i="56"/>
  <c r="DQ273" i="56"/>
  <c r="DQ240" i="56"/>
  <c r="DQ257" i="56"/>
  <c r="DQ274" i="56"/>
  <c r="DQ224" i="56"/>
  <c r="DQ241" i="56"/>
  <c r="DQ258" i="56"/>
  <c r="DQ275" i="56"/>
  <c r="DQ225" i="56"/>
  <c r="DQ242" i="56"/>
  <c r="DQ243" i="56"/>
  <c r="DQ279" i="56"/>
  <c r="DQ244" i="56"/>
  <c r="DQ280" i="56"/>
  <c r="DQ245" i="56"/>
  <c r="DQ281" i="56"/>
  <c r="DQ246" i="56"/>
  <c r="DQ247" i="56"/>
  <c r="DQ255" i="56"/>
  <c r="DQ260" i="56"/>
  <c r="DQ261" i="56"/>
  <c r="DQ262" i="56"/>
  <c r="DQ226" i="56"/>
  <c r="DQ263" i="56"/>
  <c r="DQ228" i="56"/>
  <c r="DQ229" i="56"/>
  <c r="DQ230" i="56"/>
  <c r="DQ238" i="56"/>
  <c r="DQ259" i="56"/>
  <c r="DQ272" i="56"/>
  <c r="DQ277" i="56"/>
  <c r="DQ227" i="56"/>
  <c r="DQ264" i="56"/>
  <c r="DQ276" i="56"/>
  <c r="DQ278" i="56"/>
  <c r="GV342" i="56"/>
  <c r="IH89" i="56"/>
  <c r="IN89" i="56" s="1"/>
  <c r="GR89" i="56"/>
  <c r="GT89" i="56"/>
  <c r="GR91" i="56"/>
  <c r="GR92" i="56"/>
  <c r="IH122" i="56"/>
  <c r="IN122" i="56" s="1"/>
  <c r="GJ13" i="56"/>
  <c r="M35" i="16"/>
  <c r="AG32" i="42"/>
  <c r="AH32" i="42" s="1"/>
  <c r="EA249" i="56"/>
  <c r="DZ249" i="56" a="1"/>
  <c r="DZ249" i="56" s="1"/>
  <c r="DY47" i="56" a="1"/>
  <c r="DY47" i="56" s="1"/>
  <c r="DU313" i="56"/>
  <c r="DU317" i="56"/>
  <c r="EA309" i="56"/>
  <c r="DZ309" i="56" a="1"/>
  <c r="DZ309" i="56" s="1"/>
  <c r="GJ113" i="56"/>
  <c r="GQ166" i="56"/>
  <c r="FX166" i="56"/>
  <c r="DY218" i="56" a="1"/>
  <c r="DY218" i="56" s="1"/>
  <c r="IH136" i="56"/>
  <c r="DU224" i="56"/>
  <c r="DY127" i="56" a="1"/>
  <c r="DY127" i="56" s="1"/>
  <c r="GJ71" i="56"/>
  <c r="CA11" i="55"/>
  <c r="IH35" i="56"/>
  <c r="IN35" i="56" s="1"/>
  <c r="GR35" i="56"/>
  <c r="N35" i="56" s="1"/>
  <c r="GS35" i="56" s="1"/>
  <c r="HE35" i="56" s="1"/>
  <c r="HF35" i="56" s="1"/>
  <c r="IH199" i="56"/>
  <c r="IN199" i="56"/>
  <c r="IO199" i="56" s="1"/>
  <c r="GR199" i="56"/>
  <c r="EA110" i="56"/>
  <c r="DZ110" i="56" a="1"/>
  <c r="DZ110" i="56" s="1"/>
  <c r="HQ89" i="56" a="1"/>
  <c r="HQ89" i="56" s="1"/>
  <c r="HR89" i="56" s="1"/>
  <c r="HM89" i="56" a="1"/>
  <c r="HM89" i="56" s="1"/>
  <c r="HN89" i="56" s="1"/>
  <c r="HO89" i="56" a="1"/>
  <c r="HO89" i="56" s="1"/>
  <c r="HP89" i="56" s="1"/>
  <c r="HI89" i="56" a="1"/>
  <c r="HI89" i="56" s="1"/>
  <c r="HJ89" i="56" s="1"/>
  <c r="HG89" i="56" a="1"/>
  <c r="HG89" i="56" s="1"/>
  <c r="HH89" i="56" s="1"/>
  <c r="HK89" i="56" a="1"/>
  <c r="HK89" i="56" s="1"/>
  <c r="HL89" i="56" s="1"/>
  <c r="GQ78" i="56"/>
  <c r="FX78" i="56"/>
  <c r="AD18" i="55"/>
  <c r="HC218" i="56" s="1"/>
  <c r="EO198" i="56"/>
  <c r="EO215" i="56"/>
  <c r="EO197" i="56"/>
  <c r="EO221" i="56"/>
  <c r="EO201" i="56"/>
  <c r="EO211" i="56"/>
  <c r="EO204" i="56"/>
  <c r="EO192" i="56"/>
  <c r="EO185" i="56"/>
  <c r="EO184" i="56"/>
  <c r="EO205" i="56"/>
  <c r="EO195" i="56"/>
  <c r="EO196" i="56"/>
  <c r="EO223" i="56"/>
  <c r="EO199" i="56"/>
  <c r="EO219" i="56"/>
  <c r="EO188" i="56"/>
  <c r="EO200" i="56"/>
  <c r="EO206" i="56"/>
  <c r="EO189" i="56"/>
  <c r="EO207" i="56"/>
  <c r="EO214" i="56"/>
  <c r="EO203" i="56"/>
  <c r="EO194" i="56"/>
  <c r="EO190" i="56"/>
  <c r="EO222" i="56"/>
  <c r="EO218" i="56"/>
  <c r="EO213" i="56"/>
  <c r="EO187" i="56"/>
  <c r="EO212" i="56"/>
  <c r="EO216" i="56"/>
  <c r="EO202" i="56"/>
  <c r="EO191" i="56"/>
  <c r="EO209" i="56"/>
  <c r="EO208" i="56"/>
  <c r="EO186" i="56"/>
  <c r="EO220" i="56"/>
  <c r="EO193" i="56"/>
  <c r="EO210" i="56"/>
  <c r="EO217" i="56"/>
  <c r="DY36" i="56" a="1"/>
  <c r="DY36" i="56" s="1"/>
  <c r="HT104" i="56"/>
  <c r="IH93" i="56"/>
  <c r="GR93" i="56"/>
  <c r="GJ311" i="56"/>
  <c r="HQ185" i="56" a="1"/>
  <c r="HQ185" i="56" s="1"/>
  <c r="HR185" i="56" s="1"/>
  <c r="HO185" i="56" a="1"/>
  <c r="HO185" i="56" s="1"/>
  <c r="HP185" i="56" s="1"/>
  <c r="HM185" i="56" a="1"/>
  <c r="HM185" i="56" s="1"/>
  <c r="HN185" i="56" s="1"/>
  <c r="HI185" i="56" a="1"/>
  <c r="HI185" i="56" s="1"/>
  <c r="HJ185" i="56" s="1"/>
  <c r="HK185" i="56" a="1"/>
  <c r="HK185" i="56" s="1"/>
  <c r="HL185" i="56" s="1"/>
  <c r="HG185" i="56" a="1"/>
  <c r="HG185" i="56" s="1"/>
  <c r="HH185" i="56" s="1"/>
  <c r="DY272" i="56" a="1"/>
  <c r="DY272" i="56" s="1"/>
  <c r="GQ47" i="56"/>
  <c r="FX47" i="56"/>
  <c r="IH274" i="56"/>
  <c r="CA22" i="55"/>
  <c r="AC12" i="55"/>
  <c r="DO41" i="56"/>
  <c r="DO43" i="56"/>
  <c r="DO45" i="56"/>
  <c r="DO46" i="56"/>
  <c r="DO49" i="56"/>
  <c r="DO50" i="56"/>
  <c r="DO31" i="56"/>
  <c r="DO51" i="56"/>
  <c r="DO32" i="56"/>
  <c r="DO52" i="56"/>
  <c r="DO33" i="56"/>
  <c r="DO34" i="56"/>
  <c r="DO36" i="56"/>
  <c r="DO37" i="56"/>
  <c r="DO38" i="56"/>
  <c r="DO39" i="56"/>
  <c r="DO48" i="56"/>
  <c r="DO42" i="56"/>
  <c r="DO44" i="56"/>
  <c r="DO35" i="56"/>
  <c r="DO47" i="56"/>
  <c r="DO40" i="56"/>
  <c r="EM39" i="56"/>
  <c r="EN39" i="56" s="1"/>
  <c r="GX39" i="56" s="1"/>
  <c r="GZ39" i="56" s="1"/>
  <c r="EM32" i="56"/>
  <c r="EN32" i="56" s="1"/>
  <c r="GX32" i="56" s="1"/>
  <c r="GZ32" i="56" s="1"/>
  <c r="EM45" i="56"/>
  <c r="EN45" i="56" s="1"/>
  <c r="GX45" i="56" s="1"/>
  <c r="GZ45" i="56" s="1"/>
  <c r="EM52" i="56"/>
  <c r="EN52" i="56" s="1"/>
  <c r="GX52" i="56" s="1"/>
  <c r="GZ52" i="56" s="1"/>
  <c r="EM36" i="56"/>
  <c r="EN36" i="56" s="1"/>
  <c r="GX36" i="56" s="1"/>
  <c r="GZ36" i="56" s="1"/>
  <c r="EM46" i="56"/>
  <c r="EN46" i="56" s="1"/>
  <c r="GX46" i="56" s="1"/>
  <c r="GZ46" i="56" s="1"/>
  <c r="EM34" i="56"/>
  <c r="EN34" i="56" s="1"/>
  <c r="GX34" i="56" s="1"/>
  <c r="GZ34" i="56" s="1"/>
  <c r="EM47" i="56"/>
  <c r="EN47" i="56" s="1"/>
  <c r="GX47" i="56" s="1"/>
  <c r="GZ47" i="56" s="1"/>
  <c r="EM40" i="56"/>
  <c r="EN40" i="56" s="1"/>
  <c r="GX40" i="56" s="1"/>
  <c r="GZ40" i="56" s="1"/>
  <c r="EM44" i="56"/>
  <c r="EN44" i="56" s="1"/>
  <c r="GX44" i="56" s="1"/>
  <c r="GZ44" i="56" s="1"/>
  <c r="EM42" i="56"/>
  <c r="EN42" i="56" s="1"/>
  <c r="GX42" i="56" s="1"/>
  <c r="GZ42" i="56" s="1"/>
  <c r="EM38" i="56"/>
  <c r="EN38" i="56" s="1"/>
  <c r="GX38" i="56" s="1"/>
  <c r="GZ38" i="56" s="1"/>
  <c r="EM49" i="56"/>
  <c r="EN49" i="56" s="1"/>
  <c r="GX49" i="56" s="1"/>
  <c r="GZ49" i="56" s="1"/>
  <c r="EM33" i="56"/>
  <c r="EN33" i="56" s="1"/>
  <c r="GX33" i="56" s="1"/>
  <c r="GZ33" i="56" s="1"/>
  <c r="EM37" i="56"/>
  <c r="EN37" i="56" s="1"/>
  <c r="GX37" i="56" s="1"/>
  <c r="GZ37" i="56" s="1"/>
  <c r="EM51" i="56"/>
  <c r="EN51" i="56" s="1"/>
  <c r="GX51" i="56" s="1"/>
  <c r="GZ51" i="56" s="1"/>
  <c r="EM43" i="56"/>
  <c r="EN43" i="56" s="1"/>
  <c r="GX43" i="56" s="1"/>
  <c r="GZ43" i="56" s="1"/>
  <c r="EM48" i="56"/>
  <c r="EN48" i="56" s="1"/>
  <c r="GX48" i="56" s="1"/>
  <c r="GZ48" i="56" s="1"/>
  <c r="EM41" i="56"/>
  <c r="EN41" i="56" s="1"/>
  <c r="GX41" i="56" s="1"/>
  <c r="GZ41" i="56" s="1"/>
  <c r="EM35" i="56"/>
  <c r="EN35" i="56" s="1"/>
  <c r="GX35" i="56" s="1"/>
  <c r="GZ35" i="56" s="1"/>
  <c r="DY200" i="56" a="1"/>
  <c r="DY200" i="56" s="1"/>
  <c r="GJ178" i="56"/>
  <c r="DY214" i="56" a="1"/>
  <c r="DY214" i="56" s="1"/>
  <c r="DU7" i="56"/>
  <c r="GJ164" i="56"/>
  <c r="EA271" i="56"/>
  <c r="DZ271" i="56" a="1"/>
  <c r="DZ271" i="56" s="1"/>
  <c r="GH39" i="56"/>
  <c r="GI38" i="56"/>
  <c r="GJ38" i="56" s="1"/>
  <c r="DU154" i="56"/>
  <c r="DZ154" i="56" s="1" a="1"/>
  <c r="DZ154" i="56" s="1"/>
  <c r="EF154" i="56"/>
  <c r="EG154" i="56" s="1"/>
  <c r="R154" i="56" s="1"/>
  <c r="IH340" i="56"/>
  <c r="IN340" i="56" s="1"/>
  <c r="IO340" i="56" s="1"/>
  <c r="GR340" i="56"/>
  <c r="N340" i="56" s="1"/>
  <c r="GS340" i="56" s="1"/>
  <c r="AC19" i="55"/>
  <c r="DO235" i="56"/>
  <c r="DO251" i="56"/>
  <c r="DO237" i="56"/>
  <c r="DO238" i="56"/>
  <c r="DO254" i="56"/>
  <c r="DO270" i="56"/>
  <c r="DO232" i="56"/>
  <c r="DO252" i="56"/>
  <c r="DO269" i="56"/>
  <c r="DO233" i="56"/>
  <c r="DO253" i="56"/>
  <c r="DO271" i="56"/>
  <c r="DO234" i="56"/>
  <c r="DO255" i="56"/>
  <c r="DO272" i="56"/>
  <c r="DO236" i="56"/>
  <c r="DO256" i="56"/>
  <c r="DO273" i="56"/>
  <c r="DO239" i="56"/>
  <c r="DO257" i="56"/>
  <c r="DO274" i="56"/>
  <c r="DO240" i="56"/>
  <c r="DO258" i="56"/>
  <c r="DO275" i="56"/>
  <c r="DO242" i="56"/>
  <c r="DO260" i="56"/>
  <c r="DO277" i="56"/>
  <c r="DO224" i="56"/>
  <c r="DO243" i="56"/>
  <c r="DO261" i="56"/>
  <c r="DO278" i="56"/>
  <c r="DO225" i="56"/>
  <c r="DO244" i="56"/>
  <c r="DO262" i="56"/>
  <c r="DO279" i="56"/>
  <c r="DO226" i="56"/>
  <c r="DO245" i="56"/>
  <c r="DO263" i="56"/>
  <c r="DO280" i="56"/>
  <c r="DO267" i="56"/>
  <c r="DO227" i="56"/>
  <c r="DO268" i="56"/>
  <c r="DO228" i="56"/>
  <c r="DO276" i="56"/>
  <c r="DO229" i="56"/>
  <c r="DO281" i="56"/>
  <c r="DO241" i="56"/>
  <c r="DO247" i="56"/>
  <c r="DO266" i="56"/>
  <c r="DO246" i="56"/>
  <c r="DO248" i="56"/>
  <c r="DO250" i="56"/>
  <c r="DO259" i="56"/>
  <c r="DO264" i="56"/>
  <c r="DO265" i="56"/>
  <c r="DO282" i="56"/>
  <c r="DO230" i="56"/>
  <c r="DO231" i="56"/>
  <c r="DO249" i="56"/>
  <c r="EM231" i="56"/>
  <c r="EN231" i="56" s="1"/>
  <c r="GX231" i="56" s="1"/>
  <c r="GZ231" i="56" s="1"/>
  <c r="EM275" i="56"/>
  <c r="EN275" i="56" s="1"/>
  <c r="GX275" i="56" s="1"/>
  <c r="GZ275" i="56" s="1"/>
  <c r="EM279" i="56"/>
  <c r="EN279" i="56" s="1"/>
  <c r="GX279" i="56" s="1"/>
  <c r="GZ279" i="56" s="1"/>
  <c r="EM263" i="56"/>
  <c r="EN263" i="56" s="1"/>
  <c r="GX263" i="56" s="1"/>
  <c r="GZ263" i="56" s="1"/>
  <c r="EM268" i="56"/>
  <c r="EN268" i="56" s="1"/>
  <c r="GX268" i="56" s="1"/>
  <c r="GZ268" i="56" s="1"/>
  <c r="EM247" i="56"/>
  <c r="EN247" i="56" s="1"/>
  <c r="GX247" i="56" s="1"/>
  <c r="GZ247" i="56" s="1"/>
  <c r="EM242" i="56"/>
  <c r="EN242" i="56" s="1"/>
  <c r="GX242" i="56" s="1"/>
  <c r="GZ242" i="56" s="1"/>
  <c r="EM273" i="56"/>
  <c r="EN273" i="56" s="1"/>
  <c r="GX273" i="56" s="1"/>
  <c r="GZ273" i="56" s="1"/>
  <c r="EM250" i="56"/>
  <c r="EN250" i="56" s="1"/>
  <c r="GX250" i="56" s="1"/>
  <c r="GZ250" i="56" s="1"/>
  <c r="EM265" i="56"/>
  <c r="EN265" i="56" s="1"/>
  <c r="GX265" i="56" s="1"/>
  <c r="GZ265" i="56" s="1"/>
  <c r="EM278" i="56"/>
  <c r="EN278" i="56" s="1"/>
  <c r="GX278" i="56" s="1"/>
  <c r="GZ278" i="56" s="1"/>
  <c r="EM280" i="56"/>
  <c r="EN280" i="56" s="1"/>
  <c r="GX280" i="56" s="1"/>
  <c r="GZ280" i="56" s="1"/>
  <c r="EM267" i="56"/>
  <c r="EN267" i="56" s="1"/>
  <c r="GX267" i="56" s="1"/>
  <c r="GZ267" i="56" s="1"/>
  <c r="EM240" i="56"/>
  <c r="EN240" i="56" s="1"/>
  <c r="GX240" i="56" s="1"/>
  <c r="GZ240" i="56" s="1"/>
  <c r="EM228" i="56"/>
  <c r="EN228" i="56" s="1"/>
  <c r="GX228" i="56" s="1"/>
  <c r="GZ228" i="56" s="1"/>
  <c r="EM226" i="56"/>
  <c r="EN226" i="56" s="1"/>
  <c r="GX226" i="56" s="1"/>
  <c r="GZ226" i="56" s="1"/>
  <c r="EM249" i="56"/>
  <c r="EN249" i="56" s="1"/>
  <c r="GX249" i="56" s="1"/>
  <c r="GZ249" i="56" s="1"/>
  <c r="EM264" i="56"/>
  <c r="EN264" i="56" s="1"/>
  <c r="GX264" i="56" s="1"/>
  <c r="GZ264" i="56" s="1"/>
  <c r="EM236" i="56"/>
  <c r="EN236" i="56" s="1"/>
  <c r="GX236" i="56" s="1"/>
  <c r="GZ236" i="56" s="1"/>
  <c r="EM261" i="56"/>
  <c r="EN261" i="56" s="1"/>
  <c r="GX261" i="56" s="1"/>
  <c r="GZ261" i="56" s="1"/>
  <c r="EM237" i="56"/>
  <c r="EN237" i="56" s="1"/>
  <c r="GX237" i="56" s="1"/>
  <c r="GZ237" i="56" s="1"/>
  <c r="EM260" i="56"/>
  <c r="EN260" i="56" s="1"/>
  <c r="GX260" i="56" s="1"/>
  <c r="GZ260" i="56" s="1"/>
  <c r="EM233" i="56"/>
  <c r="EN233" i="56" s="1"/>
  <c r="GX233" i="56" s="1"/>
  <c r="GZ233" i="56" s="1"/>
  <c r="EM241" i="56"/>
  <c r="EN241" i="56" s="1"/>
  <c r="GX241" i="56" s="1"/>
  <c r="GZ241" i="56" s="1"/>
  <c r="EM255" i="56"/>
  <c r="EN255" i="56" s="1"/>
  <c r="GX255" i="56" s="1"/>
  <c r="GZ255" i="56" s="1"/>
  <c r="EM232" i="56"/>
  <c r="EN232" i="56" s="1"/>
  <c r="GX232" i="56" s="1"/>
  <c r="GZ232" i="56" s="1"/>
  <c r="EM277" i="56"/>
  <c r="EN277" i="56" s="1"/>
  <c r="GX277" i="56" s="1"/>
  <c r="GZ277" i="56" s="1"/>
  <c r="EM229" i="56"/>
  <c r="EN229" i="56" s="1"/>
  <c r="GX229" i="56" s="1"/>
  <c r="GZ229" i="56" s="1"/>
  <c r="EM258" i="56"/>
  <c r="EN258" i="56" s="1"/>
  <c r="GX258" i="56" s="1"/>
  <c r="GZ258" i="56" s="1"/>
  <c r="EM225" i="56"/>
  <c r="EN225" i="56" s="1"/>
  <c r="GX225" i="56" s="1"/>
  <c r="GZ225" i="56" s="1"/>
  <c r="EM269" i="56"/>
  <c r="EN269" i="56" s="1"/>
  <c r="GX269" i="56" s="1"/>
  <c r="GZ269" i="56" s="1"/>
  <c r="EM235" i="56"/>
  <c r="EN235" i="56" s="1"/>
  <c r="GX235" i="56" s="1"/>
  <c r="GZ235" i="56" s="1"/>
  <c r="EM252" i="56"/>
  <c r="EN252" i="56" s="1"/>
  <c r="GX252" i="56" s="1"/>
  <c r="GZ252" i="56" s="1"/>
  <c r="EM282" i="56"/>
  <c r="EN282" i="56" s="1"/>
  <c r="GX282" i="56" s="1"/>
  <c r="GZ282" i="56" s="1"/>
  <c r="EM253" i="56"/>
  <c r="EN253" i="56" s="1"/>
  <c r="GX253" i="56" s="1"/>
  <c r="GZ253" i="56" s="1"/>
  <c r="EM281" i="56"/>
  <c r="EN281" i="56" s="1"/>
  <c r="GX281" i="56" s="1"/>
  <c r="GZ281" i="56" s="1"/>
  <c r="EM272" i="56"/>
  <c r="EN272" i="56" s="1"/>
  <c r="GX272" i="56" s="1"/>
  <c r="GZ272" i="56" s="1"/>
  <c r="EM266" i="56"/>
  <c r="EN266" i="56" s="1"/>
  <c r="GX266" i="56" s="1"/>
  <c r="GZ266" i="56" s="1"/>
  <c r="EM244" i="56"/>
  <c r="EN244" i="56" s="1"/>
  <c r="GX244" i="56" s="1"/>
  <c r="GZ244" i="56" s="1"/>
  <c r="EM243" i="56"/>
  <c r="EN243" i="56" s="1"/>
  <c r="GX243" i="56" s="1"/>
  <c r="GZ243" i="56" s="1"/>
  <c r="EM271" i="56"/>
  <c r="EN271" i="56" s="1"/>
  <c r="GX271" i="56" s="1"/>
  <c r="GZ271" i="56" s="1"/>
  <c r="EM254" i="56"/>
  <c r="EN254" i="56" s="1"/>
  <c r="GX254" i="56" s="1"/>
  <c r="GZ254" i="56" s="1"/>
  <c r="EM262" i="56"/>
  <c r="EN262" i="56" s="1"/>
  <c r="GX262" i="56" s="1"/>
  <c r="GZ262" i="56" s="1"/>
  <c r="EM270" i="56"/>
  <c r="EN270" i="56" s="1"/>
  <c r="GX270" i="56" s="1"/>
  <c r="GZ270" i="56" s="1"/>
  <c r="EM238" i="56"/>
  <c r="EN238" i="56" s="1"/>
  <c r="GX238" i="56" s="1"/>
  <c r="GZ238" i="56" s="1"/>
  <c r="EM245" i="56"/>
  <c r="EN245" i="56" s="1"/>
  <c r="GX245" i="56" s="1"/>
  <c r="GZ245" i="56" s="1"/>
  <c r="EM257" i="56"/>
  <c r="EN257" i="56" s="1"/>
  <c r="GX257" i="56" s="1"/>
  <c r="GZ257" i="56" s="1"/>
  <c r="EM256" i="56"/>
  <c r="EN256" i="56" s="1"/>
  <c r="GX256" i="56" s="1"/>
  <c r="GZ256" i="56" s="1"/>
  <c r="EM239" i="56"/>
  <c r="EN239" i="56" s="1"/>
  <c r="GX239" i="56" s="1"/>
  <c r="GZ239" i="56" s="1"/>
  <c r="EM251" i="56"/>
  <c r="EN251" i="56" s="1"/>
  <c r="GX251" i="56" s="1"/>
  <c r="GZ251" i="56" s="1"/>
  <c r="EM227" i="56"/>
  <c r="EN227" i="56" s="1"/>
  <c r="GX227" i="56" s="1"/>
  <c r="GZ227" i="56" s="1"/>
  <c r="EM234" i="56"/>
  <c r="EN234" i="56" s="1"/>
  <c r="GX234" i="56" s="1"/>
  <c r="GZ234" i="56" s="1"/>
  <c r="EM246" i="56"/>
  <c r="EN246" i="56" s="1"/>
  <c r="GX246" i="56" s="1"/>
  <c r="GZ246" i="56" s="1"/>
  <c r="EM276" i="56"/>
  <c r="EN276" i="56" s="1"/>
  <c r="GX276" i="56" s="1"/>
  <c r="GZ276" i="56" s="1"/>
  <c r="EM274" i="56"/>
  <c r="EN274" i="56" s="1"/>
  <c r="GX274" i="56" s="1"/>
  <c r="GZ274" i="56" s="1"/>
  <c r="EM230" i="56"/>
  <c r="EN230" i="56" s="1"/>
  <c r="GX230" i="56" s="1"/>
  <c r="GZ230" i="56" s="1"/>
  <c r="EM248" i="56"/>
  <c r="EN248" i="56" s="1"/>
  <c r="GX248" i="56" s="1"/>
  <c r="GZ248" i="56" s="1"/>
  <c r="EM259" i="56"/>
  <c r="EN259" i="56" s="1"/>
  <c r="GX259" i="56" s="1"/>
  <c r="GZ259" i="56" s="1"/>
  <c r="EA194" i="56"/>
  <c r="DZ194" i="56" a="1"/>
  <c r="DZ194" i="56" s="1"/>
  <c r="DY268" i="56" a="1"/>
  <c r="DY268" i="56" s="1"/>
  <c r="IH201" i="56"/>
  <c r="GR201" i="56"/>
  <c r="DY274" i="56" a="1"/>
  <c r="DY274" i="56" s="1"/>
  <c r="AC21" i="55"/>
  <c r="DO313" i="56"/>
  <c r="DO314" i="56"/>
  <c r="DO316" i="56"/>
  <c r="DO315" i="56"/>
  <c r="EM316" i="56"/>
  <c r="EN316" i="56" s="1"/>
  <c r="GX316" i="56" s="1"/>
  <c r="GZ316" i="56" s="1"/>
  <c r="EM315" i="56"/>
  <c r="EN315" i="56" s="1"/>
  <c r="GX315" i="56" s="1"/>
  <c r="GZ315" i="56" s="1"/>
  <c r="EM314" i="56"/>
  <c r="EN314" i="56" s="1"/>
  <c r="GX314" i="56" s="1"/>
  <c r="GZ314" i="56" s="1"/>
  <c r="EM313" i="56"/>
  <c r="EN313" i="56" s="1"/>
  <c r="GX313" i="56" s="1"/>
  <c r="GZ313" i="56" s="1"/>
  <c r="IH273" i="56"/>
  <c r="IN273" i="56" s="1"/>
  <c r="M30" i="16"/>
  <c r="AG27" i="42"/>
  <c r="AH27" i="42" s="1"/>
  <c r="HE186" i="56"/>
  <c r="HF186" i="56" s="1"/>
  <c r="HT186" i="56"/>
  <c r="HT328" i="56"/>
  <c r="IH222" i="56"/>
  <c r="IN222" i="56" s="1"/>
  <c r="IO222" i="56" s="1"/>
  <c r="IO352" i="56"/>
  <c r="EA83" i="56"/>
  <c r="DZ83" i="56" a="1"/>
  <c r="DZ83" i="56" s="1"/>
  <c r="GJ125" i="56"/>
  <c r="DU16" i="56"/>
  <c r="EA340" i="56"/>
  <c r="DZ340" i="56" a="1"/>
  <c r="DZ340" i="56" s="1"/>
  <c r="GJ59" i="56"/>
  <c r="HQ32" i="56" a="1"/>
  <c r="HQ32" i="56" s="1"/>
  <c r="HR32" i="56" s="1"/>
  <c r="HO32" i="56" a="1"/>
  <c r="HO32" i="56" s="1"/>
  <c r="HP32" i="56" s="1"/>
  <c r="HG32" i="56" a="1"/>
  <c r="HG32" i="56" s="1"/>
  <c r="HH32" i="56" s="1"/>
  <c r="HM32" i="56" a="1"/>
  <c r="HM32" i="56" s="1"/>
  <c r="HN32" i="56" s="1"/>
  <c r="HK32" i="56" a="1"/>
  <c r="HK32" i="56" s="1"/>
  <c r="HL32" i="56" s="1"/>
  <c r="HI32" i="56" a="1"/>
  <c r="HI32" i="56" s="1"/>
  <c r="HJ32" i="56" s="1"/>
  <c r="DU17" i="56"/>
  <c r="EA94" i="56"/>
  <c r="DZ94" i="56" a="1"/>
  <c r="DZ94" i="56" s="1"/>
  <c r="GJ107" i="56"/>
  <c r="DU14" i="56"/>
  <c r="EA19" i="56"/>
  <c r="BS24" i="55" s="1" a="1"/>
  <c r="BS24" i="55" s="1"/>
  <c r="EA132" i="56"/>
  <c r="DZ132" i="56" a="1"/>
  <c r="DZ132" i="56" s="1"/>
  <c r="EA329" i="56"/>
  <c r="DZ329" i="56" a="1"/>
  <c r="DZ329" i="56" s="1"/>
  <c r="GQ312" i="56"/>
  <c r="FX312" i="56"/>
  <c r="GQ86" i="56"/>
  <c r="FX86" i="56"/>
  <c r="IN129" i="56"/>
  <c r="IO129" i="56" s="1"/>
  <c r="IH226" i="56"/>
  <c r="IN226" i="56" s="1"/>
  <c r="GR226" i="56"/>
  <c r="N226" i="56" s="1"/>
  <c r="GS226" i="56" s="1"/>
  <c r="AC18" i="55"/>
  <c r="DO187" i="56"/>
  <c r="DO203" i="56"/>
  <c r="DO219" i="56"/>
  <c r="DO189" i="56"/>
  <c r="DO205" i="56"/>
  <c r="DO221" i="56"/>
  <c r="DO190" i="56"/>
  <c r="DO206" i="56"/>
  <c r="DO222" i="56"/>
  <c r="DO194" i="56"/>
  <c r="DO213" i="56"/>
  <c r="DO195" i="56"/>
  <c r="DO214" i="56"/>
  <c r="DO196" i="56"/>
  <c r="DO215" i="56"/>
  <c r="DO197" i="56"/>
  <c r="DO216" i="56"/>
  <c r="DO198" i="56"/>
  <c r="DO217" i="56"/>
  <c r="DO199" i="56"/>
  <c r="DO218" i="56"/>
  <c r="DO201" i="56"/>
  <c r="DO223" i="56"/>
  <c r="DO202" i="56"/>
  <c r="DO184" i="56"/>
  <c r="DO204" i="56"/>
  <c r="DO185" i="56"/>
  <c r="DO207" i="56"/>
  <c r="DO220" i="56"/>
  <c r="DO188" i="56"/>
  <c r="DO192" i="56"/>
  <c r="DO212" i="56"/>
  <c r="DO186" i="56"/>
  <c r="DO191" i="56"/>
  <c r="DO193" i="56"/>
  <c r="DO200" i="56"/>
  <c r="DO208" i="56"/>
  <c r="DO211" i="56"/>
  <c r="DO210" i="56"/>
  <c r="DO209" i="56"/>
  <c r="EM215" i="56"/>
  <c r="EN215" i="56" s="1"/>
  <c r="GX215" i="56" s="1"/>
  <c r="GZ215" i="56" s="1"/>
  <c r="EM197" i="56"/>
  <c r="EN197" i="56" s="1"/>
  <c r="GX197" i="56" s="1"/>
  <c r="GZ197" i="56" s="1"/>
  <c r="EM220" i="56"/>
  <c r="EN220" i="56" s="1"/>
  <c r="GX220" i="56" s="1"/>
  <c r="GZ220" i="56" s="1"/>
  <c r="EM196" i="56"/>
  <c r="EN196" i="56" s="1"/>
  <c r="GX196" i="56" s="1"/>
  <c r="GZ196" i="56" s="1"/>
  <c r="EM221" i="56"/>
  <c r="EN221" i="56" s="1"/>
  <c r="GX221" i="56" s="1"/>
  <c r="GZ221" i="56" s="1"/>
  <c r="EM186" i="56"/>
  <c r="EN186" i="56" s="1"/>
  <c r="GX186" i="56" s="1"/>
  <c r="GZ186" i="56" s="1"/>
  <c r="EM213" i="56"/>
  <c r="EN213" i="56" s="1"/>
  <c r="GX213" i="56" s="1"/>
  <c r="GZ213" i="56" s="1"/>
  <c r="EM222" i="56"/>
  <c r="EN222" i="56" s="1"/>
  <c r="GX222" i="56" s="1"/>
  <c r="GZ222" i="56" s="1"/>
  <c r="EM223" i="56"/>
  <c r="EN223" i="56" s="1"/>
  <c r="GX223" i="56" s="1"/>
  <c r="GZ223" i="56" s="1"/>
  <c r="EM205" i="56"/>
  <c r="EN205" i="56" s="1"/>
  <c r="GX205" i="56" s="1"/>
  <c r="GZ205" i="56" s="1"/>
  <c r="EM204" i="56"/>
  <c r="EN204" i="56" s="1"/>
  <c r="GX204" i="56" s="1"/>
  <c r="GZ204" i="56" s="1"/>
  <c r="EM193" i="56"/>
  <c r="EN193" i="56" s="1"/>
  <c r="GX193" i="56" s="1"/>
  <c r="GZ193" i="56" s="1"/>
  <c r="EM195" i="56"/>
  <c r="EN195" i="56" s="1"/>
  <c r="GX195" i="56" s="1"/>
  <c r="GZ195" i="56" s="1"/>
  <c r="EM214" i="56"/>
  <c r="EN214" i="56" s="1"/>
  <c r="GX214" i="56" s="1"/>
  <c r="GZ214" i="56" s="1"/>
  <c r="EM219" i="56"/>
  <c r="EN219" i="56" s="1"/>
  <c r="GX219" i="56" s="1"/>
  <c r="GZ219" i="56" s="1"/>
  <c r="EM207" i="56"/>
  <c r="EN207" i="56" s="1"/>
  <c r="GX207" i="56" s="1"/>
  <c r="GZ207" i="56" s="1"/>
  <c r="EM218" i="56"/>
  <c r="EN218" i="56" s="1"/>
  <c r="GX218" i="56" s="1"/>
  <c r="GZ218" i="56" s="1"/>
  <c r="EM203" i="56"/>
  <c r="EN203" i="56" s="1"/>
  <c r="GX203" i="56" s="1"/>
  <c r="GZ203" i="56" s="1"/>
  <c r="EM210" i="56"/>
  <c r="EN210" i="56" s="1"/>
  <c r="GX210" i="56" s="1"/>
  <c r="GZ210" i="56" s="1"/>
  <c r="EM189" i="56"/>
  <c r="EN189" i="56" s="1"/>
  <c r="GX189" i="56" s="1"/>
  <c r="GZ189" i="56" s="1"/>
  <c r="EM201" i="56"/>
  <c r="EN201" i="56" s="1"/>
  <c r="GX201" i="56" s="1"/>
  <c r="GZ201" i="56" s="1"/>
  <c r="EM212" i="56"/>
  <c r="EN212" i="56" s="1"/>
  <c r="GX212" i="56" s="1"/>
  <c r="GZ212" i="56" s="1"/>
  <c r="EM200" i="56"/>
  <c r="EN200" i="56" s="1"/>
  <c r="GX200" i="56" s="1"/>
  <c r="GZ200" i="56" s="1"/>
  <c r="EM202" i="56"/>
  <c r="EN202" i="56" s="1"/>
  <c r="GX202" i="56" s="1"/>
  <c r="GZ202" i="56" s="1"/>
  <c r="EM211" i="56"/>
  <c r="EN211" i="56" s="1"/>
  <c r="GX211" i="56" s="1"/>
  <c r="GZ211" i="56" s="1"/>
  <c r="EM194" i="56"/>
  <c r="EN194" i="56" s="1"/>
  <c r="GX194" i="56" s="1"/>
  <c r="GZ194" i="56" s="1"/>
  <c r="EM191" i="56"/>
  <c r="EN191" i="56" s="1"/>
  <c r="GX191" i="56" s="1"/>
  <c r="GZ191" i="56" s="1"/>
  <c r="EM206" i="56"/>
  <c r="EN206" i="56" s="1"/>
  <c r="GX206" i="56" s="1"/>
  <c r="GZ206" i="56" s="1"/>
  <c r="EM216" i="56"/>
  <c r="EN216" i="56" s="1"/>
  <c r="GX216" i="56" s="1"/>
  <c r="GZ216" i="56" s="1"/>
  <c r="EM185" i="56"/>
  <c r="EN185" i="56" s="1"/>
  <c r="GX185" i="56" s="1"/>
  <c r="GZ185" i="56" s="1"/>
  <c r="EM209" i="56"/>
  <c r="EN209" i="56" s="1"/>
  <c r="GX209" i="56" s="1"/>
  <c r="GZ209" i="56" s="1"/>
  <c r="EM208" i="56"/>
  <c r="EN208" i="56" s="1"/>
  <c r="GX208" i="56" s="1"/>
  <c r="GZ208" i="56" s="1"/>
  <c r="EM187" i="56"/>
  <c r="EN187" i="56" s="1"/>
  <c r="GX187" i="56" s="1"/>
  <c r="GZ187" i="56" s="1"/>
  <c r="EM192" i="56"/>
  <c r="EN192" i="56" s="1"/>
  <c r="GX192" i="56" s="1"/>
  <c r="GZ192" i="56" s="1"/>
  <c r="EM190" i="56"/>
  <c r="EN190" i="56" s="1"/>
  <c r="GX190" i="56" s="1"/>
  <c r="GZ190" i="56" s="1"/>
  <c r="EM188" i="56"/>
  <c r="EN188" i="56" s="1"/>
  <c r="GX188" i="56" s="1"/>
  <c r="GZ188" i="56" s="1"/>
  <c r="EM199" i="56"/>
  <c r="EN199" i="56" s="1"/>
  <c r="GX199" i="56" s="1"/>
  <c r="GZ199" i="56" s="1"/>
  <c r="EM217" i="56"/>
  <c r="EN217" i="56" s="1"/>
  <c r="GX217" i="56" s="1"/>
  <c r="GZ217" i="56" s="1"/>
  <c r="EM198" i="56"/>
  <c r="EN198" i="56" s="1"/>
  <c r="GX198" i="56" s="1"/>
  <c r="GZ198" i="56" s="1"/>
  <c r="EA162" i="56"/>
  <c r="DZ162" i="56" a="1"/>
  <c r="DZ162" i="56" s="1"/>
  <c r="GO347" i="56"/>
  <c r="GN347" i="56"/>
  <c r="IK347" i="56" s="1"/>
  <c r="GM348" i="56"/>
  <c r="HE348" i="56" s="1"/>
  <c r="HF348" i="56" s="1"/>
  <c r="IH215" i="56"/>
  <c r="GJ169" i="56"/>
  <c r="AD22" i="55"/>
  <c r="EO320" i="56"/>
  <c r="EO317" i="56"/>
  <c r="EO321" i="56"/>
  <c r="EO324" i="56"/>
  <c r="EO319" i="56"/>
  <c r="EO322" i="56"/>
  <c r="EO323" i="56"/>
  <c r="EO318" i="56"/>
  <c r="EA254" i="56"/>
  <c r="DZ254" i="56" a="1"/>
  <c r="DZ254" i="56" s="1"/>
  <c r="IH235" i="56"/>
  <c r="IN235" i="56" s="1"/>
  <c r="IO235" i="56" s="1"/>
  <c r="DY205" i="56" a="1"/>
  <c r="DY205" i="56" s="1"/>
  <c r="IH331" i="56"/>
  <c r="IN331" i="56" s="1"/>
  <c r="GR331" i="56"/>
  <c r="N331" i="56" s="1"/>
  <c r="GS331" i="56" s="1"/>
  <c r="GT331" i="56"/>
  <c r="GR332" i="56"/>
  <c r="N332" i="56" s="1"/>
  <c r="GS332" i="56" s="1"/>
  <c r="EA103" i="56"/>
  <c r="DZ103" i="56" a="1"/>
  <c r="DZ103" i="56" s="1"/>
  <c r="GQ333" i="56"/>
  <c r="FX333" i="56"/>
  <c r="IN41" i="56"/>
  <c r="GV257" i="56"/>
  <c r="DQ45" i="56"/>
  <c r="DQ43" i="56"/>
  <c r="DQ44" i="56"/>
  <c r="DQ46" i="56"/>
  <c r="DQ47" i="56"/>
  <c r="DQ31" i="56"/>
  <c r="DQ48" i="56"/>
  <c r="DQ32" i="56"/>
  <c r="DQ49" i="56"/>
  <c r="DQ34" i="56"/>
  <c r="DQ51" i="56"/>
  <c r="DQ35" i="56"/>
  <c r="DQ52" i="56"/>
  <c r="DQ36" i="56"/>
  <c r="DQ37" i="56"/>
  <c r="DQ33" i="56"/>
  <c r="DQ38" i="56"/>
  <c r="DQ39" i="56"/>
  <c r="DQ40" i="56"/>
  <c r="DQ42" i="56"/>
  <c r="DQ41" i="56"/>
  <c r="DQ50" i="56"/>
  <c r="GQ72" i="56"/>
  <c r="FX72" i="56"/>
  <c r="IH161" i="56"/>
  <c r="IN161" i="56" s="1"/>
  <c r="IO161" i="56" s="1"/>
  <c r="GR161" i="56"/>
  <c r="N161" i="56" s="1"/>
  <c r="GS161" i="56" s="1"/>
  <c r="IN46" i="56"/>
  <c r="IO46" i="56" s="1"/>
  <c r="DQ13" i="56"/>
  <c r="DQ9" i="56"/>
  <c r="DQ10" i="56"/>
  <c r="DQ11" i="56"/>
  <c r="DQ12" i="56"/>
  <c r="DQ14" i="56"/>
  <c r="DQ15" i="56"/>
  <c r="DQ17" i="56"/>
  <c r="DQ18" i="56"/>
  <c r="DQ19" i="56"/>
  <c r="DQ3" i="56"/>
  <c r="DQ20" i="56"/>
  <c r="DQ8" i="56"/>
  <c r="DQ16" i="56"/>
  <c r="DQ21" i="56"/>
  <c r="DQ22" i="56"/>
  <c r="DQ23" i="56"/>
  <c r="DQ24" i="56"/>
  <c r="DQ4" i="56"/>
  <c r="DQ5" i="56"/>
  <c r="DQ6" i="56"/>
  <c r="DQ25" i="56"/>
  <c r="DQ7" i="56"/>
  <c r="EA286" i="56"/>
  <c r="DZ286" i="56" a="1"/>
  <c r="DZ286" i="56" s="1"/>
  <c r="GR71" i="56"/>
  <c r="GJ198" i="56"/>
  <c r="HE131" i="56"/>
  <c r="HF131" i="56" s="1"/>
  <c r="HT131" i="56"/>
  <c r="EA284" i="56"/>
  <c r="DZ284" i="56" a="1"/>
  <c r="DZ284" i="56" s="1"/>
  <c r="DU12" i="56"/>
  <c r="DZ12" i="56" s="1" a="1"/>
  <c r="DZ12" i="56" s="1"/>
  <c r="BQ17" i="55" s="1" a="1"/>
  <c r="BQ17" i="55" s="1"/>
  <c r="GQ294" i="56"/>
  <c r="FX294" i="56"/>
  <c r="AD19" i="55"/>
  <c r="HC259" i="56" s="1"/>
  <c r="EO231" i="56"/>
  <c r="EO263" i="56"/>
  <c r="EO247" i="56"/>
  <c r="EO230" i="56"/>
  <c r="EO278" i="56"/>
  <c r="EO279" i="56"/>
  <c r="EO239" i="56"/>
  <c r="EO248" i="56"/>
  <c r="EO256" i="56"/>
  <c r="EO276" i="56"/>
  <c r="EO241" i="56"/>
  <c r="EO235" i="56"/>
  <c r="EO244" i="56"/>
  <c r="EO275" i="56"/>
  <c r="EO262" i="56"/>
  <c r="EO255" i="56"/>
  <c r="EO229" i="56"/>
  <c r="EO246" i="56"/>
  <c r="EO267" i="56"/>
  <c r="EO280" i="56"/>
  <c r="EO228" i="56"/>
  <c r="EO259" i="56"/>
  <c r="EO226" i="56"/>
  <c r="EO243" i="56"/>
  <c r="EO257" i="56"/>
  <c r="EO269" i="56"/>
  <c r="EO234" i="56"/>
  <c r="EO249" i="56"/>
  <c r="EO237" i="56"/>
  <c r="EO251" i="56"/>
  <c r="EO268" i="56"/>
  <c r="EO277" i="56"/>
  <c r="EO227" i="56"/>
  <c r="EO224" i="56"/>
  <c r="EO253" i="56"/>
  <c r="EO252" i="56"/>
  <c r="EO282" i="56"/>
  <c r="EO274" i="56"/>
  <c r="EO233" i="56"/>
  <c r="EO232" i="56"/>
  <c r="EO258" i="56"/>
  <c r="EO240" i="56"/>
  <c r="EO225" i="56"/>
  <c r="EO260" i="56"/>
  <c r="EO242" i="56"/>
  <c r="EO281" i="56"/>
  <c r="EO236" i="56"/>
  <c r="EO266" i="56"/>
  <c r="EO261" i="56"/>
  <c r="EO272" i="56"/>
  <c r="EO271" i="56"/>
  <c r="EO273" i="56"/>
  <c r="EO265" i="56"/>
  <c r="EO250" i="56"/>
  <c r="EO245" i="56"/>
  <c r="EO264" i="56"/>
  <c r="EO270" i="56"/>
  <c r="EO238" i="56"/>
  <c r="EO254" i="56"/>
  <c r="HQ326" i="56" a="1"/>
  <c r="HQ326" i="56" s="1"/>
  <c r="HR326" i="56" s="1"/>
  <c r="HO326" i="56" a="1"/>
  <c r="HO326" i="56" s="1"/>
  <c r="HP326" i="56" s="1"/>
  <c r="HM326" i="56" a="1"/>
  <c r="HM326" i="56" s="1"/>
  <c r="HN326" i="56" s="1"/>
  <c r="HK326" i="56" a="1"/>
  <c r="HK326" i="56" s="1"/>
  <c r="HL326" i="56" s="1"/>
  <c r="HI326" i="56" a="1"/>
  <c r="HI326" i="56" s="1"/>
  <c r="HJ326" i="56" s="1"/>
  <c r="HG326" i="56" a="1"/>
  <c r="HG326" i="56" s="1"/>
  <c r="HH326" i="56" s="1"/>
  <c r="EA199" i="56"/>
  <c r="DZ199" i="56" a="1"/>
  <c r="DZ199" i="56" s="1"/>
  <c r="DY342" i="56" a="1"/>
  <c r="DY342" i="56" s="1"/>
  <c r="IN63" i="56"/>
  <c r="IO63" i="56" s="1"/>
  <c r="GJ199" i="56"/>
  <c r="DQ316" i="56"/>
  <c r="DQ315" i="56"/>
  <c r="DQ314" i="56"/>
  <c r="DQ313" i="56"/>
  <c r="AG33" i="42"/>
  <c r="AH33" i="42" s="1"/>
  <c r="M36" i="16"/>
  <c r="GR96" i="56"/>
  <c r="GT337" i="56"/>
  <c r="GR108" i="56"/>
  <c r="N108" i="56" s="1"/>
  <c r="GS108" i="56" s="1"/>
  <c r="G12" i="59"/>
  <c r="C16" i="59"/>
  <c r="G7" i="59" s="1"/>
  <c r="G9" i="59"/>
  <c r="G8" i="59"/>
  <c r="DY186" i="56" a="1"/>
  <c r="DY186" i="56" s="1"/>
  <c r="DY153" i="56" a="1"/>
  <c r="DY153" i="56" s="1"/>
  <c r="GJ215" i="56"/>
  <c r="EA263" i="56"/>
  <c r="DZ263" i="56" a="1"/>
  <c r="DZ263" i="56" s="1"/>
  <c r="IN135" i="56"/>
  <c r="IO135" i="56" s="1"/>
  <c r="EA281" i="56"/>
  <c r="DZ281" i="56" a="1"/>
  <c r="DZ281" i="56" s="1"/>
  <c r="GQ163" i="56"/>
  <c r="GR182" i="56" s="1"/>
  <c r="FX163" i="56"/>
  <c r="IH179" i="56"/>
  <c r="IN179" i="56" s="1"/>
  <c r="IO179" i="56" s="1"/>
  <c r="EA269" i="56"/>
  <c r="DZ269" i="56" a="1"/>
  <c r="DZ269" i="56" s="1"/>
  <c r="IH65" i="56"/>
  <c r="IN65" i="56" s="1"/>
  <c r="IO65" i="56" s="1"/>
  <c r="GR65" i="56"/>
  <c r="GJ65" i="56"/>
  <c r="IN304" i="56"/>
  <c r="IO304" i="56" s="1"/>
  <c r="GQ101" i="56"/>
  <c r="FX101" i="56"/>
  <c r="EA246" i="56"/>
  <c r="DZ246" i="56" a="1"/>
  <c r="DZ246" i="56" s="1"/>
  <c r="IH140" i="56"/>
  <c r="IN140" i="56" s="1"/>
  <c r="GR229" i="56"/>
  <c r="N229" i="56" s="1"/>
  <c r="GS229" i="56" s="1"/>
  <c r="DY39" i="56" a="1"/>
  <c r="DY39" i="56" s="1"/>
  <c r="IH195" i="56"/>
  <c r="IN195" i="56" s="1"/>
  <c r="IO195" i="56" s="1"/>
  <c r="GR195" i="56"/>
  <c r="HT346" i="56"/>
  <c r="GU346" i="56"/>
  <c r="HS346" i="56" s="1"/>
  <c r="GW346" i="56"/>
  <c r="GP346" i="56"/>
  <c r="EA252" i="56"/>
  <c r="DZ252" i="56" a="1"/>
  <c r="DZ252" i="56" s="1"/>
  <c r="AC22" i="55"/>
  <c r="DO318" i="56"/>
  <c r="DO321" i="56"/>
  <c r="DO322" i="56"/>
  <c r="DO323" i="56"/>
  <c r="DO324" i="56"/>
  <c r="DO317" i="56"/>
  <c r="DO319" i="56"/>
  <c r="DO320" i="56"/>
  <c r="EM317" i="56"/>
  <c r="EN317" i="56" s="1"/>
  <c r="GX317" i="56" s="1"/>
  <c r="GZ317" i="56" s="1"/>
  <c r="EM321" i="56"/>
  <c r="EN321" i="56" s="1"/>
  <c r="GX321" i="56" s="1"/>
  <c r="GZ321" i="56" s="1"/>
  <c r="EM318" i="56"/>
  <c r="EN318" i="56" s="1"/>
  <c r="GX318" i="56" s="1"/>
  <c r="GZ318" i="56" s="1"/>
  <c r="EM320" i="56"/>
  <c r="EN320" i="56" s="1"/>
  <c r="GX320" i="56" s="1"/>
  <c r="GZ320" i="56" s="1"/>
  <c r="EM319" i="56"/>
  <c r="EN319" i="56" s="1"/>
  <c r="GX319" i="56" s="1"/>
  <c r="GZ319" i="56" s="1"/>
  <c r="EM322" i="56"/>
  <c r="EN322" i="56" s="1"/>
  <c r="GX322" i="56" s="1"/>
  <c r="GZ322" i="56" s="1"/>
  <c r="EM324" i="56"/>
  <c r="EN324" i="56" s="1"/>
  <c r="GX324" i="56" s="1"/>
  <c r="GZ324" i="56" s="1"/>
  <c r="EM323" i="56"/>
  <c r="EN323" i="56" s="1"/>
  <c r="GX323" i="56" s="1"/>
  <c r="GZ323" i="56" s="1"/>
  <c r="DY278" i="56" a="1"/>
  <c r="DY278" i="56" s="1"/>
  <c r="IH269" i="56"/>
  <c r="GV264" i="56"/>
  <c r="GV282" i="56"/>
  <c r="EA327" i="56"/>
  <c r="DZ327" i="56" a="1"/>
  <c r="DZ327" i="56" s="1"/>
  <c r="EA324" i="56"/>
  <c r="DZ324" i="56" a="1"/>
  <c r="DZ324" i="56" s="1"/>
  <c r="IO41" i="56"/>
  <c r="AD12" i="55"/>
  <c r="HC33" i="56" s="1"/>
  <c r="EO38" i="56"/>
  <c r="EO39" i="56"/>
  <c r="EO51" i="56"/>
  <c r="EO34" i="56"/>
  <c r="EO41" i="56"/>
  <c r="EO52" i="56"/>
  <c r="EO36" i="56"/>
  <c r="EO43" i="56"/>
  <c r="EO45" i="56"/>
  <c r="EO37" i="56"/>
  <c r="EO35" i="56"/>
  <c r="EO33" i="56"/>
  <c r="EO49" i="56"/>
  <c r="EO48" i="56"/>
  <c r="EO42" i="56"/>
  <c r="EO31" i="56"/>
  <c r="EO32" i="56"/>
  <c r="EO44" i="56"/>
  <c r="EO46" i="56"/>
  <c r="EO47" i="56"/>
  <c r="EO40" i="56"/>
  <c r="EA320" i="56"/>
  <c r="DZ320" i="56" a="1"/>
  <c r="DZ320" i="56" s="1"/>
  <c r="GJ24" i="56"/>
  <c r="DY245" i="56" a="1"/>
  <c r="DY245" i="56" s="1"/>
  <c r="AD10" i="55"/>
  <c r="EO7" i="56"/>
  <c r="EO21" i="56"/>
  <c r="EO22" i="56"/>
  <c r="EO23" i="56"/>
  <c r="EO17" i="56"/>
  <c r="EO14" i="56"/>
  <c r="EO10" i="56"/>
  <c r="EO12" i="56"/>
  <c r="EO9" i="56"/>
  <c r="EO5" i="56"/>
  <c r="EO19" i="56"/>
  <c r="EO8" i="56"/>
  <c r="EO18" i="56"/>
  <c r="EO20" i="56"/>
  <c r="EO24" i="56"/>
  <c r="EO16" i="56"/>
  <c r="EO6" i="56"/>
  <c r="EO15" i="56"/>
  <c r="EO13" i="56"/>
  <c r="IH30" i="56"/>
  <c r="GJ171" i="56"/>
  <c r="IH308" i="56"/>
  <c r="IN308" i="56" s="1"/>
  <c r="GJ350" i="56"/>
  <c r="GJ298" i="56"/>
  <c r="EA312" i="56"/>
  <c r="DZ312" i="56" a="1"/>
  <c r="DZ312" i="56" s="1"/>
  <c r="IN121" i="56"/>
  <c r="IO121" i="56" s="1"/>
  <c r="IH238" i="56"/>
  <c r="EA348" i="56"/>
  <c r="DZ348" i="56" a="1"/>
  <c r="DZ348" i="56" s="1"/>
  <c r="GR170" i="56"/>
  <c r="GJ9" i="56"/>
  <c r="HE9" i="56"/>
  <c r="HF9" i="56" s="1"/>
  <c r="EA133" i="56"/>
  <c r="DZ133" i="56" a="1"/>
  <c r="DZ133" i="56" s="1"/>
  <c r="HE225" i="56"/>
  <c r="HF225" i="56" s="1"/>
  <c r="HT225" i="56"/>
  <c r="AD21" i="55"/>
  <c r="HC314" i="56" s="1"/>
  <c r="EO313" i="56"/>
  <c r="EO315" i="56"/>
  <c r="EO314" i="56"/>
  <c r="EO316" i="56"/>
  <c r="IN208" i="56"/>
  <c r="IO208" i="56" s="1"/>
  <c r="IN186" i="56"/>
  <c r="IO186" i="56" s="1"/>
  <c r="IN73" i="56"/>
  <c r="IO73" i="56" s="1"/>
  <c r="GV189" i="56"/>
  <c r="IH339" i="56"/>
  <c r="GR339" i="56"/>
  <c r="N339" i="56" s="1"/>
  <c r="GS339" i="56" s="1"/>
  <c r="HE339" i="56" s="1"/>
  <c r="HF339" i="56" s="1"/>
  <c r="GJ80" i="56"/>
  <c r="EA231" i="56"/>
  <c r="DZ231" i="56" a="1"/>
  <c r="DZ231" i="56" s="1"/>
  <c r="HM91" i="56" a="1"/>
  <c r="HM91" i="56" s="1"/>
  <c r="HN91" i="56" s="1"/>
  <c r="HK91" i="56" a="1"/>
  <c r="HK91" i="56" s="1"/>
  <c r="HL91" i="56" s="1"/>
  <c r="HO91" i="56" a="1"/>
  <c r="HO91" i="56" s="1"/>
  <c r="HP91" i="56" s="1"/>
  <c r="HQ91" i="56" a="1"/>
  <c r="HQ91" i="56" s="1"/>
  <c r="HR91" i="56" s="1"/>
  <c r="HG91" i="56" a="1"/>
  <c r="HG91" i="56" s="1"/>
  <c r="HH91" i="56" s="1"/>
  <c r="HI91" i="56" a="1"/>
  <c r="HI91" i="56" s="1"/>
  <c r="HJ91" i="56" s="1"/>
  <c r="IH24" i="56"/>
  <c r="GJ20" i="56"/>
  <c r="DU88" i="56"/>
  <c r="FX22" i="56"/>
  <c r="GQ22" i="56"/>
  <c r="IO251" i="56"/>
  <c r="GJ19" i="56"/>
  <c r="IH320" i="56"/>
  <c r="GR320" i="56"/>
  <c r="N320" i="56" s="1"/>
  <c r="GS320" i="56" s="1"/>
  <c r="HE320" i="56" s="1"/>
  <c r="HF320" i="56" s="1"/>
  <c r="IN299" i="56"/>
  <c r="IO299" i="56" s="1"/>
  <c r="GV270" i="56"/>
  <c r="DY30" i="56" a="1"/>
  <c r="DY30" i="56" s="1"/>
  <c r="FX307" i="56"/>
  <c r="GQ307" i="56"/>
  <c r="DQ317" i="56"/>
  <c r="DQ318" i="56"/>
  <c r="DQ319" i="56"/>
  <c r="DQ320" i="56"/>
  <c r="DQ321" i="56"/>
  <c r="DQ322" i="56"/>
  <c r="DQ324" i="56"/>
  <c r="DQ323" i="56"/>
  <c r="EA336" i="56"/>
  <c r="IN66" i="56"/>
  <c r="IO66" i="56" s="1"/>
  <c r="EA54" i="56"/>
  <c r="DZ54" i="56" a="1"/>
  <c r="DZ54" i="56" s="1"/>
  <c r="IH169" i="56"/>
  <c r="EA337" i="56"/>
  <c r="DZ337" i="56" a="1"/>
  <c r="DZ337" i="56" s="1"/>
  <c r="ER190" i="56"/>
  <c r="ER200" i="56"/>
  <c r="ER216" i="56"/>
  <c r="ER197" i="56"/>
  <c r="ER212" i="56"/>
  <c r="ER209" i="56"/>
  <c r="ER202" i="56"/>
  <c r="ER194" i="56"/>
  <c r="ER219" i="56"/>
  <c r="ER199" i="56"/>
  <c r="ER203" i="56"/>
  <c r="ER213" i="56"/>
  <c r="ER196" i="56"/>
  <c r="ER218" i="56"/>
  <c r="ER185" i="56"/>
  <c r="ER210" i="56"/>
  <c r="ER214" i="56"/>
  <c r="ER198" i="56"/>
  <c r="ER187" i="56"/>
  <c r="ER211" i="56"/>
  <c r="ER201" i="56"/>
  <c r="ER207" i="56"/>
  <c r="ER208" i="56"/>
  <c r="ER191" i="56"/>
  <c r="ER215" i="56"/>
  <c r="ER206" i="56"/>
  <c r="ER204" i="56"/>
  <c r="ER186" i="56"/>
  <c r="ER192" i="56"/>
  <c r="ER188" i="56"/>
  <c r="ER195" i="56"/>
  <c r="ER217" i="56"/>
  <c r="ER193" i="56"/>
  <c r="ER205" i="56"/>
  <c r="ER189" i="56"/>
  <c r="GQ272" i="56"/>
  <c r="FX272" i="56"/>
  <c r="GQ219" i="56"/>
  <c r="FX219" i="56"/>
  <c r="IN288" i="56"/>
  <c r="IO288" i="56" s="1"/>
  <c r="AC10" i="55"/>
  <c r="DO9" i="56"/>
  <c r="DO25" i="56"/>
  <c r="DO11" i="56"/>
  <c r="DO13" i="56"/>
  <c r="DO14" i="56"/>
  <c r="DO5" i="56"/>
  <c r="DO6" i="56"/>
  <c r="DO7" i="56"/>
  <c r="DO8" i="56"/>
  <c r="DO10" i="56"/>
  <c r="DO12" i="56"/>
  <c r="DO16" i="56"/>
  <c r="DO17" i="56"/>
  <c r="DO18" i="56"/>
  <c r="DO19" i="56"/>
  <c r="DO3" i="56"/>
  <c r="DO4" i="56"/>
  <c r="DO21" i="56"/>
  <c r="DO23" i="56"/>
  <c r="DO15" i="56"/>
  <c r="DO20" i="56"/>
  <c r="DO22" i="56"/>
  <c r="DO24" i="56"/>
  <c r="EM7" i="56"/>
  <c r="EN7" i="56" s="1"/>
  <c r="GX7" i="56" s="1"/>
  <c r="GZ7" i="56" s="1"/>
  <c r="EM23" i="56"/>
  <c r="EN23" i="56" s="1"/>
  <c r="GX23" i="56" s="1"/>
  <c r="GZ23" i="56" s="1"/>
  <c r="EM22" i="56"/>
  <c r="EN22" i="56" s="1"/>
  <c r="GX22" i="56" s="1"/>
  <c r="GZ22" i="56" s="1"/>
  <c r="EM6" i="56"/>
  <c r="EN6" i="56" s="1"/>
  <c r="GX6" i="56" s="1"/>
  <c r="GZ6" i="56" s="1"/>
  <c r="EM21" i="56"/>
  <c r="EN21" i="56" s="1"/>
  <c r="GX21" i="56" s="1"/>
  <c r="GZ21" i="56" s="1"/>
  <c r="EM19" i="56"/>
  <c r="EN19" i="56" s="1"/>
  <c r="GX19" i="56" s="1"/>
  <c r="GZ19" i="56" s="1"/>
  <c r="EM24" i="56"/>
  <c r="EN24" i="56" s="1"/>
  <c r="GX24" i="56" s="1"/>
  <c r="GZ24" i="56" s="1"/>
  <c r="EM12" i="56"/>
  <c r="EN12" i="56" s="1"/>
  <c r="GX12" i="56" s="1"/>
  <c r="GZ12" i="56" s="1"/>
  <c r="EM18" i="56"/>
  <c r="EN18" i="56" s="1"/>
  <c r="GX18" i="56" s="1"/>
  <c r="GZ18" i="56" s="1"/>
  <c r="EM16" i="56"/>
  <c r="EN16" i="56" s="1"/>
  <c r="GX16" i="56" s="1"/>
  <c r="GZ16" i="56" s="1"/>
  <c r="EM15" i="56"/>
  <c r="EN15" i="56" s="1"/>
  <c r="GX15" i="56" s="1"/>
  <c r="GZ15" i="56" s="1"/>
  <c r="EM20" i="56"/>
  <c r="EN20" i="56" s="1"/>
  <c r="GX20" i="56" s="1"/>
  <c r="GZ20" i="56" s="1"/>
  <c r="EM17" i="56"/>
  <c r="EN17" i="56" s="1"/>
  <c r="GX17" i="56" s="1"/>
  <c r="GZ17" i="56" s="1"/>
  <c r="EM13" i="56"/>
  <c r="EN13" i="56" s="1"/>
  <c r="GX13" i="56" s="1"/>
  <c r="GZ13" i="56" s="1"/>
  <c r="EM9" i="56"/>
  <c r="EN9" i="56" s="1"/>
  <c r="GX9" i="56" s="1"/>
  <c r="GZ9" i="56" s="1"/>
  <c r="EM8" i="56"/>
  <c r="EN8" i="56" s="1"/>
  <c r="GX8" i="56" s="1"/>
  <c r="GZ8" i="56" s="1"/>
  <c r="EM10" i="56"/>
  <c r="EN10" i="56" s="1"/>
  <c r="GX10" i="56" s="1"/>
  <c r="GZ10" i="56" s="1"/>
  <c r="EM14" i="56"/>
  <c r="EN14" i="56" s="1"/>
  <c r="GX14" i="56" s="1"/>
  <c r="GZ14" i="56" s="1"/>
  <c r="EM5" i="56"/>
  <c r="EN5" i="56" s="1"/>
  <c r="GX5" i="56" s="1"/>
  <c r="GZ5" i="56" s="1"/>
  <c r="GR39" i="56"/>
  <c r="N39" i="56" s="1"/>
  <c r="GS39" i="56" s="1"/>
  <c r="HE39" i="56" s="1"/>
  <c r="HF39" i="56" s="1"/>
  <c r="EA35" i="56"/>
  <c r="DZ35" i="56" a="1"/>
  <c r="DZ35" i="56" s="1"/>
  <c r="EA241" i="56"/>
  <c r="DZ241" i="56" a="1"/>
  <c r="DZ241" i="56" s="1"/>
  <c r="EA32" i="56"/>
  <c r="DZ32" i="56" a="1"/>
  <c r="DZ32" i="56" s="1"/>
  <c r="IN52" i="56"/>
  <c r="IO52" i="56" s="1"/>
  <c r="GJ181" i="56"/>
  <c r="DY265" i="56" a="1"/>
  <c r="DY265" i="56" s="1"/>
  <c r="IH155" i="56"/>
  <c r="GR155" i="56"/>
  <c r="N155" i="56" s="1"/>
  <c r="GS155" i="56" s="1"/>
  <c r="GT155" i="56"/>
  <c r="EA232" i="56"/>
  <c r="DZ232" i="56" a="1"/>
  <c r="DZ232" i="56" s="1"/>
  <c r="GJ119" i="56"/>
  <c r="DQ349" i="56"/>
  <c r="DQ351" i="56"/>
  <c r="DQ352" i="56"/>
  <c r="DQ341" i="56"/>
  <c r="DQ342" i="56"/>
  <c r="DQ343" i="56"/>
  <c r="DQ344" i="56"/>
  <c r="DQ345" i="56"/>
  <c r="DQ346" i="56"/>
  <c r="DQ347" i="56"/>
  <c r="DQ348" i="56"/>
  <c r="DQ350" i="56"/>
  <c r="GJ111" i="56"/>
  <c r="EA9" i="56"/>
  <c r="BS14" i="55" s="1" a="1"/>
  <c r="BS14" i="55" s="1"/>
  <c r="GR194" i="56"/>
  <c r="N194" i="56" s="1"/>
  <c r="GS194" i="56" s="1"/>
  <c r="IN96" i="56"/>
  <c r="IO96" i="56" s="1"/>
  <c r="EA113" i="56"/>
  <c r="DZ113" i="56" a="1"/>
  <c r="DZ113" i="56" s="1"/>
  <c r="IH281" i="56"/>
  <c r="IN281" i="56" s="1"/>
  <c r="GJ301" i="56"/>
  <c r="GW29" i="56"/>
  <c r="GU29" i="56"/>
  <c r="HS29" i="56" s="1"/>
  <c r="GP29" i="56"/>
  <c r="EA203" i="56"/>
  <c r="DZ203" i="56" a="1"/>
  <c r="DZ203" i="56" s="1"/>
  <c r="EA144" i="56"/>
  <c r="DZ144" i="56" a="1"/>
  <c r="DZ144" i="56" s="1"/>
  <c r="GQ36" i="56"/>
  <c r="GR37" i="56" s="1"/>
  <c r="N37" i="56" s="1"/>
  <c r="GS37" i="56" s="1"/>
  <c r="HE37" i="56" s="1"/>
  <c r="HF37" i="56" s="1"/>
  <c r="FX36" i="56"/>
  <c r="EA124" i="56"/>
  <c r="DZ124" i="56" a="1"/>
  <c r="DZ124" i="56" s="1"/>
  <c r="GJ66" i="56"/>
  <c r="C77" i="58" a="1"/>
  <c r="C77" i="58" s="1"/>
  <c r="C76" i="58" a="1"/>
  <c r="C76" i="58" s="1"/>
  <c r="C78" i="58" a="1"/>
  <c r="C78" i="58" s="1"/>
  <c r="C75" i="58" a="1"/>
  <c r="C75" i="58" s="1"/>
  <c r="C79" i="58"/>
  <c r="GJ193" i="56"/>
  <c r="HE90" i="56"/>
  <c r="HF90" i="56" s="1"/>
  <c r="HT90" i="56"/>
  <c r="FY10" i="56"/>
  <c r="FB10" i="56"/>
  <c r="EA167" i="56"/>
  <c r="DZ167" i="56" a="1"/>
  <c r="DZ167" i="56" s="1"/>
  <c r="EA310" i="56"/>
  <c r="DZ310" i="56" a="1"/>
  <c r="DZ310" i="56" s="1"/>
  <c r="EA44" i="56"/>
  <c r="DZ44" i="56" a="1"/>
  <c r="DZ44" i="56" s="1"/>
  <c r="DU9" i="56"/>
  <c r="IH287" i="56"/>
  <c r="FX6" i="56"/>
  <c r="GQ6" i="56"/>
  <c r="EA306" i="56"/>
  <c r="DZ306" i="56" a="1"/>
  <c r="DZ306" i="56" s="1"/>
  <c r="GQ114" i="56"/>
  <c r="GR118" i="56" s="1"/>
  <c r="FX114" i="56"/>
  <c r="GQ134" i="56"/>
  <c r="FX134" i="56"/>
  <c r="GO135" i="56"/>
  <c r="GN135" i="56"/>
  <c r="IK135" i="56" s="1"/>
  <c r="GM136" i="56"/>
  <c r="GJ305" i="56"/>
  <c r="IH342" i="56"/>
  <c r="GR342" i="56"/>
  <c r="N342" i="56" s="1"/>
  <c r="GS342" i="56" s="1"/>
  <c r="GT342" i="56"/>
  <c r="DY264" i="56" a="1"/>
  <c r="DY264" i="56" s="1"/>
  <c r="DY282" i="56" a="1"/>
  <c r="DY282" i="56" s="1"/>
  <c r="DY257" i="56" a="1"/>
  <c r="DY257" i="56" s="1"/>
  <c r="GJ172" i="56"/>
  <c r="EA152" i="56"/>
  <c r="DZ152" i="56" a="1"/>
  <c r="DZ152" i="56" s="1"/>
  <c r="EA212" i="56"/>
  <c r="DZ212" i="56" a="1"/>
  <c r="DZ212" i="56" s="1"/>
  <c r="IH309" i="56"/>
  <c r="GR107" i="56"/>
  <c r="DU330" i="56"/>
  <c r="EF330" i="56" s="1"/>
  <c r="EG330" i="56" s="1"/>
  <c r="GV216" i="56"/>
  <c r="IH293" i="56"/>
  <c r="DU53" i="56"/>
  <c r="EA228" i="56"/>
  <c r="DZ228" i="56" a="1"/>
  <c r="DZ228" i="56" s="1"/>
  <c r="IH276" i="56"/>
  <c r="GJ256" i="56"/>
  <c r="GV208" i="56"/>
  <c r="GJ247" i="56"/>
  <c r="AD26" i="55"/>
  <c r="EO343" i="56"/>
  <c r="EO346" i="56"/>
  <c r="EO345" i="56"/>
  <c r="EO344" i="56"/>
  <c r="EO349" i="56"/>
  <c r="EO341" i="56"/>
  <c r="EO342" i="56"/>
  <c r="EO352" i="56"/>
  <c r="EO350" i="56"/>
  <c r="EO348" i="56"/>
  <c r="EO347" i="56"/>
  <c r="EO351" i="56"/>
  <c r="FY20" i="56"/>
  <c r="FB20" i="56"/>
  <c r="IH270" i="56"/>
  <c r="IN270" i="56" s="1"/>
  <c r="GN93" i="56"/>
  <c r="IK93" i="56" s="1"/>
  <c r="GO93" i="56"/>
  <c r="GM94" i="56"/>
  <c r="HE93" i="56"/>
  <c r="HF93" i="56" s="1"/>
  <c r="GJ352" i="56"/>
  <c r="DU184" i="56"/>
  <c r="DW184" i="56" s="1" a="1"/>
  <c r="DW184" i="56" s="1"/>
  <c r="EF184" i="56"/>
  <c r="EG184" i="56" s="1"/>
  <c r="R184" i="56" s="1"/>
  <c r="C15" i="61"/>
  <c r="BY4" i="56" a="1"/>
  <c r="BY4" i="56" s="1"/>
  <c r="BY3" i="56" a="1"/>
  <c r="BY3" i="56" s="1"/>
  <c r="AC3" i="58" a="1"/>
  <c r="AC3" i="58" s="1"/>
  <c r="AD3" i="58" a="1"/>
  <c r="AD3" i="58" s="1"/>
  <c r="H77" i="58" s="1" a="1"/>
  <c r="H77" i="58" s="1"/>
  <c r="IH278" i="56"/>
  <c r="DY189" i="56" a="1"/>
  <c r="DY189" i="56" s="1"/>
  <c r="IH168" i="56"/>
  <c r="GT315" i="56"/>
  <c r="IH236" i="56"/>
  <c r="HT26" i="56"/>
  <c r="GJ61" i="56"/>
  <c r="IH149" i="56"/>
  <c r="EA92" i="56"/>
  <c r="DZ92" i="56" a="1"/>
  <c r="DZ92" i="56" s="1"/>
  <c r="EA73" i="56"/>
  <c r="DZ73" i="56" a="1"/>
  <c r="DZ73" i="56" s="1"/>
  <c r="GR190" i="56"/>
  <c r="N190" i="56" s="1"/>
  <c r="GS190" i="56" s="1"/>
  <c r="HE190" i="56" s="1"/>
  <c r="HF190" i="56" s="1"/>
  <c r="EA85" i="56"/>
  <c r="DZ85" i="56" a="1"/>
  <c r="DZ85" i="56" s="1"/>
  <c r="GJ75" i="56"/>
  <c r="EA91" i="56"/>
  <c r="DZ91" i="56" a="1"/>
  <c r="DZ91" i="56" s="1"/>
  <c r="EA293" i="56"/>
  <c r="DZ293" i="56" a="1"/>
  <c r="DZ293" i="56" s="1"/>
  <c r="DY238" i="56" a="1"/>
  <c r="DY238" i="56" s="1"/>
  <c r="IO350" i="56"/>
  <c r="GU134" i="56"/>
  <c r="HS134" i="56" s="1"/>
  <c r="GW134" i="56"/>
  <c r="GP134" i="56"/>
  <c r="GR151" i="56"/>
  <c r="N151" i="56" s="1"/>
  <c r="GS151" i="56" s="1"/>
  <c r="IH188" i="56"/>
  <c r="GR188" i="56"/>
  <c r="N188" i="56" s="1"/>
  <c r="GS188" i="56" s="1"/>
  <c r="DY266" i="56" a="1"/>
  <c r="DY266" i="56" s="1"/>
  <c r="GV202" i="56"/>
  <c r="GJ11" i="56"/>
  <c r="HE11" i="56"/>
  <c r="HF11" i="56" s="1"/>
  <c r="GO106" i="56"/>
  <c r="GN106" i="56"/>
  <c r="IK106" i="56" s="1"/>
  <c r="GM107" i="56"/>
  <c r="GJ152" i="56"/>
  <c r="IH289" i="56"/>
  <c r="GR289" i="56"/>
  <c r="N289" i="56" s="1"/>
  <c r="GS289" i="56" s="1"/>
  <c r="HE289" i="56" s="1"/>
  <c r="HF289" i="56" s="1"/>
  <c r="GJ177" i="56"/>
  <c r="GV201" i="56"/>
  <c r="GJ70" i="56"/>
  <c r="EA135" i="56"/>
  <c r="DZ135" i="56" a="1"/>
  <c r="DZ135" i="56" s="1"/>
  <c r="IH116" i="56"/>
  <c r="EA105" i="56"/>
  <c r="DZ105" i="56" a="1"/>
  <c r="DZ105" i="56" s="1"/>
  <c r="GJ246" i="56"/>
  <c r="IH217" i="56"/>
  <c r="IN217" i="56" s="1"/>
  <c r="DU19" i="56"/>
  <c r="IN39" i="56"/>
  <c r="IO39" i="56" s="1"/>
  <c r="GJ12" i="56"/>
  <c r="IH132" i="56"/>
  <c r="GR132" i="56"/>
  <c r="N132" i="56" s="1"/>
  <c r="GS132" i="56" s="1"/>
  <c r="GT132" i="56"/>
  <c r="GJ173" i="56"/>
  <c r="DU8" i="56"/>
  <c r="IH126" i="56"/>
  <c r="IN126" i="56" s="1"/>
  <c r="EA136" i="56"/>
  <c r="DZ136" i="56" a="1"/>
  <c r="DZ136" i="56" s="1"/>
  <c r="AC26" i="55"/>
  <c r="DO350" i="56"/>
  <c r="DO341" i="56"/>
  <c r="DO342" i="56"/>
  <c r="DO343" i="56"/>
  <c r="DO345" i="56"/>
  <c r="DO346" i="56"/>
  <c r="DO347" i="56"/>
  <c r="DO348" i="56"/>
  <c r="DO344" i="56"/>
  <c r="DO349" i="56"/>
  <c r="DO351" i="56"/>
  <c r="DO352" i="56"/>
  <c r="EM342" i="56"/>
  <c r="EN342" i="56" s="1"/>
  <c r="GX342" i="56" s="1"/>
  <c r="GZ342" i="56" s="1"/>
  <c r="EM343" i="56"/>
  <c r="EN343" i="56" s="1"/>
  <c r="GX343" i="56" s="1"/>
  <c r="GZ343" i="56" s="1"/>
  <c r="EM350" i="56"/>
  <c r="EN350" i="56" s="1"/>
  <c r="GX350" i="56" s="1"/>
  <c r="GZ350" i="56" s="1"/>
  <c r="EM346" i="56"/>
  <c r="EN346" i="56" s="1"/>
  <c r="GX346" i="56" s="1"/>
  <c r="GZ346" i="56" s="1"/>
  <c r="EM344" i="56"/>
  <c r="EN344" i="56" s="1"/>
  <c r="GX344" i="56" s="1"/>
  <c r="GZ344" i="56" s="1"/>
  <c r="EM349" i="56"/>
  <c r="EN349" i="56" s="1"/>
  <c r="GX349" i="56" s="1"/>
  <c r="GZ349" i="56" s="1"/>
  <c r="EM352" i="56"/>
  <c r="EN352" i="56" s="1"/>
  <c r="GX352" i="56" s="1"/>
  <c r="GZ352" i="56" s="1"/>
  <c r="EM348" i="56"/>
  <c r="EN348" i="56" s="1"/>
  <c r="GX348" i="56" s="1"/>
  <c r="GZ348" i="56" s="1"/>
  <c r="EM347" i="56"/>
  <c r="EN347" i="56" s="1"/>
  <c r="GX347" i="56" s="1"/>
  <c r="GZ347" i="56" s="1"/>
  <c r="EM345" i="56"/>
  <c r="EN345" i="56" s="1"/>
  <c r="GX345" i="56" s="1"/>
  <c r="GZ345" i="56" s="1"/>
  <c r="EM351" i="56"/>
  <c r="EN351" i="56" s="1"/>
  <c r="GX351" i="56" s="1"/>
  <c r="GZ351" i="56" s="1"/>
  <c r="EM341" i="56"/>
  <c r="EN341" i="56" s="1"/>
  <c r="GX341" i="56" s="1"/>
  <c r="GZ341" i="56" s="1"/>
  <c r="CA19" i="55"/>
  <c r="IN194" i="56"/>
  <c r="IO194" i="56" s="1"/>
  <c r="HT28" i="56"/>
  <c r="HT92" i="56"/>
  <c r="GW92" i="56"/>
  <c r="GU92" i="56"/>
  <c r="HS92" i="56" s="1"/>
  <c r="GP92" i="56"/>
  <c r="GT92" i="56"/>
  <c r="DU13" i="56"/>
  <c r="EF13" i="56" s="1"/>
  <c r="EG13" i="56" s="1"/>
  <c r="BY25" i="56" a="1"/>
  <c r="BY25" i="56" s="1"/>
  <c r="DU25" i="56" s="1"/>
  <c r="BY26" i="56" a="1"/>
  <c r="BY26" i="56" s="1"/>
  <c r="EA313" i="56"/>
  <c r="AC20" i="55"/>
  <c r="DO286" i="56"/>
  <c r="DO302" i="56"/>
  <c r="DO287" i="56"/>
  <c r="DO304" i="56"/>
  <c r="DO288" i="56"/>
  <c r="DO305" i="56"/>
  <c r="DO289" i="56"/>
  <c r="DO306" i="56"/>
  <c r="DO290" i="56"/>
  <c r="DO307" i="56"/>
  <c r="DO291" i="56"/>
  <c r="DO308" i="56"/>
  <c r="DO292" i="56"/>
  <c r="DO309" i="56"/>
  <c r="DO294" i="56"/>
  <c r="DO311" i="56"/>
  <c r="DO295" i="56"/>
  <c r="DO312" i="56"/>
  <c r="DO296" i="56"/>
  <c r="DO297" i="56"/>
  <c r="DO284" i="56"/>
  <c r="DO293" i="56"/>
  <c r="DO283" i="56"/>
  <c r="DO285" i="56"/>
  <c r="DO298" i="56"/>
  <c r="DO299" i="56"/>
  <c r="DO300" i="56"/>
  <c r="DO303" i="56"/>
  <c r="DO310" i="56"/>
  <c r="DO301" i="56"/>
  <c r="EM295" i="56"/>
  <c r="EN295" i="56" s="1"/>
  <c r="GX295" i="56" s="1"/>
  <c r="GZ295" i="56" s="1"/>
  <c r="EM294" i="56"/>
  <c r="EN294" i="56" s="1"/>
  <c r="GX294" i="56" s="1"/>
  <c r="GZ294" i="56" s="1"/>
  <c r="EM298" i="56"/>
  <c r="EN298" i="56" s="1"/>
  <c r="GX298" i="56" s="1"/>
  <c r="GZ298" i="56" s="1"/>
  <c r="EM311" i="56"/>
  <c r="EN311" i="56" s="1"/>
  <c r="GX311" i="56" s="1"/>
  <c r="GZ311" i="56" s="1"/>
  <c r="EM306" i="56"/>
  <c r="EN306" i="56" s="1"/>
  <c r="GX306" i="56" s="1"/>
  <c r="GZ306" i="56" s="1"/>
  <c r="EM309" i="56"/>
  <c r="EN309" i="56" s="1"/>
  <c r="GX309" i="56" s="1"/>
  <c r="GZ309" i="56" s="1"/>
  <c r="EM304" i="56"/>
  <c r="EN304" i="56" s="1"/>
  <c r="GX304" i="56" s="1"/>
  <c r="GZ304" i="56" s="1"/>
  <c r="EM285" i="56"/>
  <c r="EN285" i="56" s="1"/>
  <c r="GX285" i="56" s="1"/>
  <c r="GZ285" i="56" s="1"/>
  <c r="EM290" i="56"/>
  <c r="EN290" i="56" s="1"/>
  <c r="GX290" i="56" s="1"/>
  <c r="GZ290" i="56" s="1"/>
  <c r="EM292" i="56"/>
  <c r="EN292" i="56" s="1"/>
  <c r="GX292" i="56" s="1"/>
  <c r="GZ292" i="56" s="1"/>
  <c r="EM284" i="56"/>
  <c r="EN284" i="56" s="1"/>
  <c r="GX284" i="56" s="1"/>
  <c r="GZ284" i="56" s="1"/>
  <c r="EM305" i="56"/>
  <c r="EN305" i="56" s="1"/>
  <c r="GX305" i="56" s="1"/>
  <c r="GZ305" i="56" s="1"/>
  <c r="EM288" i="56"/>
  <c r="EN288" i="56" s="1"/>
  <c r="GX288" i="56" s="1"/>
  <c r="GZ288" i="56" s="1"/>
  <c r="EM302" i="56"/>
  <c r="EN302" i="56" s="1"/>
  <c r="GX302" i="56" s="1"/>
  <c r="GZ302" i="56" s="1"/>
  <c r="EM299" i="56"/>
  <c r="EN299" i="56" s="1"/>
  <c r="GX299" i="56" s="1"/>
  <c r="GZ299" i="56" s="1"/>
  <c r="EM300" i="56"/>
  <c r="EN300" i="56" s="1"/>
  <c r="GX300" i="56" s="1"/>
  <c r="GZ300" i="56" s="1"/>
  <c r="EM307" i="56"/>
  <c r="EN307" i="56" s="1"/>
  <c r="GX307" i="56" s="1"/>
  <c r="GZ307" i="56" s="1"/>
  <c r="EM291" i="56"/>
  <c r="EN291" i="56" s="1"/>
  <c r="GX291" i="56" s="1"/>
  <c r="GZ291" i="56" s="1"/>
  <c r="EM310" i="56"/>
  <c r="EN310" i="56" s="1"/>
  <c r="GX310" i="56" s="1"/>
  <c r="GZ310" i="56" s="1"/>
  <c r="EM287" i="56"/>
  <c r="EN287" i="56" s="1"/>
  <c r="GX287" i="56" s="1"/>
  <c r="GZ287" i="56" s="1"/>
  <c r="EM312" i="56"/>
  <c r="EN312" i="56" s="1"/>
  <c r="GX312" i="56" s="1"/>
  <c r="GZ312" i="56" s="1"/>
  <c r="EM289" i="56"/>
  <c r="EN289" i="56" s="1"/>
  <c r="GX289" i="56" s="1"/>
  <c r="GZ289" i="56" s="1"/>
  <c r="EM303" i="56"/>
  <c r="EN303" i="56" s="1"/>
  <c r="GX303" i="56" s="1"/>
  <c r="GZ303" i="56" s="1"/>
  <c r="EM296" i="56"/>
  <c r="EN296" i="56" s="1"/>
  <c r="GX296" i="56" s="1"/>
  <c r="GZ296" i="56" s="1"/>
  <c r="EM286" i="56"/>
  <c r="EN286" i="56" s="1"/>
  <c r="GX286" i="56" s="1"/>
  <c r="GZ286" i="56" s="1"/>
  <c r="EM308" i="56"/>
  <c r="EN308" i="56" s="1"/>
  <c r="GX308" i="56" s="1"/>
  <c r="GZ308" i="56" s="1"/>
  <c r="EM293" i="56"/>
  <c r="EN293" i="56" s="1"/>
  <c r="GX293" i="56" s="1"/>
  <c r="GZ293" i="56" s="1"/>
  <c r="EM301" i="56"/>
  <c r="EN301" i="56" s="1"/>
  <c r="GX301" i="56" s="1"/>
  <c r="GZ301" i="56" s="1"/>
  <c r="EM297" i="56"/>
  <c r="EN297" i="56" s="1"/>
  <c r="GX297" i="56" s="1"/>
  <c r="GZ297" i="56" s="1"/>
  <c r="AD13" i="55"/>
  <c r="EO55" i="56"/>
  <c r="EO87" i="56"/>
  <c r="EO58" i="56"/>
  <c r="EO66" i="56"/>
  <c r="EO70" i="56"/>
  <c r="EO71" i="56"/>
  <c r="EO72" i="56"/>
  <c r="EO82" i="56"/>
  <c r="EO75" i="56"/>
  <c r="EO80" i="56"/>
  <c r="EO61" i="56"/>
  <c r="EO67" i="56"/>
  <c r="EO79" i="56"/>
  <c r="EO63" i="56"/>
  <c r="EO59" i="56"/>
  <c r="EO64" i="56"/>
  <c r="EO81" i="56"/>
  <c r="EO73" i="56"/>
  <c r="EO84" i="56"/>
  <c r="EO69" i="56"/>
  <c r="EO60" i="56"/>
  <c r="EO85" i="56"/>
  <c r="EO77" i="56"/>
  <c r="EO78" i="56"/>
  <c r="EO86" i="56"/>
  <c r="EO83" i="56"/>
  <c r="EO54" i="56"/>
  <c r="EO62" i="56"/>
  <c r="EO74" i="56"/>
  <c r="EO57" i="56"/>
  <c r="EO53" i="56"/>
  <c r="EO68" i="56"/>
  <c r="EO56" i="56"/>
  <c r="EO65" i="56"/>
  <c r="EO76" i="56"/>
  <c r="EA323" i="56"/>
  <c r="DZ323" i="56" a="1"/>
  <c r="DZ323" i="56" s="1"/>
  <c r="AD14" i="55"/>
  <c r="EO89" i="56"/>
  <c r="EO95" i="56"/>
  <c r="EO97" i="56"/>
  <c r="EO100" i="56"/>
  <c r="EO98" i="56"/>
  <c r="EO101" i="56"/>
  <c r="EO88" i="56"/>
  <c r="EO92" i="56"/>
  <c r="EO96" i="56"/>
  <c r="EO90" i="56"/>
  <c r="EO93" i="56"/>
  <c r="EO91" i="56"/>
  <c r="EO94" i="56"/>
  <c r="EO99" i="56"/>
  <c r="EA352" i="56"/>
  <c r="DZ352" i="56" a="1"/>
  <c r="DZ352" i="56" s="1"/>
  <c r="GJ347" i="56"/>
  <c r="HE347" i="56"/>
  <c r="HF347" i="56" s="1"/>
  <c r="DU18" i="56"/>
  <c r="IN90" i="56"/>
  <c r="IO90" i="56" s="1"/>
  <c r="EA100" i="56"/>
  <c r="DZ100" i="56" a="1"/>
  <c r="DZ100" i="56" s="1"/>
  <c r="IN141" i="56"/>
  <c r="IO141" i="56" s="1"/>
  <c r="IH245" i="56"/>
  <c r="GJ259" i="56"/>
  <c r="IH351" i="56"/>
  <c r="EA209" i="56"/>
  <c r="DZ209" i="56" a="1"/>
  <c r="DZ209" i="56" s="1"/>
  <c r="EA275" i="56"/>
  <c r="DZ275" i="56" a="1"/>
  <c r="DZ275" i="56" s="1"/>
  <c r="IH164" i="56"/>
  <c r="IN164" i="56" s="1"/>
  <c r="IO164" i="56" s="1"/>
  <c r="IH258" i="56"/>
  <c r="EA97" i="56"/>
  <c r="DZ97" i="56" a="1"/>
  <c r="DZ97" i="56" s="1"/>
  <c r="FY25" i="56"/>
  <c r="FB25" i="56"/>
  <c r="HQ7" i="56" a="1"/>
  <c r="HQ7" i="56" s="1"/>
  <c r="HR7" i="56" s="1"/>
  <c r="HO7" i="56" a="1"/>
  <c r="HO7" i="56" s="1"/>
  <c r="HP7" i="56" s="1"/>
  <c r="HM7" i="56" a="1"/>
  <c r="HM7" i="56" s="1"/>
  <c r="HN7" i="56" s="1"/>
  <c r="HI7" i="56" a="1"/>
  <c r="HI7" i="56" s="1"/>
  <c r="HJ7" i="56" s="1"/>
  <c r="HG7" i="56" a="1"/>
  <c r="HG7" i="56" s="1"/>
  <c r="HH7" i="56" s="1"/>
  <c r="HK7" i="56" a="1"/>
  <c r="HK7" i="56" s="1"/>
  <c r="HL7" i="56" s="1"/>
  <c r="EA171" i="56"/>
  <c r="DZ171" i="56" a="1"/>
  <c r="DZ171" i="56" s="1"/>
  <c r="EA131" i="56"/>
  <c r="DZ131" i="56" a="1"/>
  <c r="DZ131" i="56" s="1"/>
  <c r="EA67" i="56"/>
  <c r="DZ67" i="56" a="1"/>
  <c r="DZ67" i="56" s="1"/>
  <c r="DY270" i="56" a="1"/>
  <c r="DY270" i="56" s="1"/>
  <c r="EA260" i="56"/>
  <c r="DZ260" i="56" a="1"/>
  <c r="DZ260" i="56" s="1"/>
  <c r="IN348" i="56"/>
  <c r="IH348" i="56"/>
  <c r="GJ201" i="56"/>
  <c r="EA213" i="56"/>
  <c r="DZ213" i="56" a="1"/>
  <c r="DZ213" i="56" s="1"/>
  <c r="EA291" i="56"/>
  <c r="DZ291" i="56" a="1"/>
  <c r="DZ291" i="56" s="1"/>
  <c r="GJ110" i="56"/>
  <c r="DY242" i="56" a="1"/>
  <c r="DY242" i="56" s="1"/>
  <c r="AC25" i="55"/>
  <c r="DO338" i="56"/>
  <c r="DO339" i="56"/>
  <c r="DO340" i="56"/>
  <c r="DO336" i="56"/>
  <c r="DO337" i="56"/>
  <c r="DO335" i="56"/>
  <c r="EM337" i="56"/>
  <c r="EN337" i="56" s="1"/>
  <c r="GX337" i="56" s="1"/>
  <c r="GZ337" i="56" s="1"/>
  <c r="EM340" i="56"/>
  <c r="EN340" i="56" s="1"/>
  <c r="GX340" i="56" s="1"/>
  <c r="GZ340" i="56" s="1"/>
  <c r="EM338" i="56"/>
  <c r="EN338" i="56" s="1"/>
  <c r="GX338" i="56" s="1"/>
  <c r="GZ338" i="56" s="1"/>
  <c r="EM336" i="56"/>
  <c r="EN336" i="56" s="1"/>
  <c r="GX336" i="56" s="1"/>
  <c r="GZ336" i="56" s="1"/>
  <c r="EM339" i="56"/>
  <c r="EN339" i="56" s="1"/>
  <c r="GX339" i="56" s="1"/>
  <c r="GZ339" i="56" s="1"/>
  <c r="EM335" i="56"/>
  <c r="EN335" i="56" s="1"/>
  <c r="GX335" i="56" s="1"/>
  <c r="GZ335" i="56" s="1"/>
  <c r="IH193" i="56"/>
  <c r="GR193" i="56"/>
  <c r="EA244" i="56"/>
  <c r="DZ244" i="56" a="1"/>
  <c r="DZ244" i="56" s="1"/>
  <c r="GO190" i="56"/>
  <c r="GN190" i="56"/>
  <c r="IK190" i="56" s="1"/>
  <c r="GM191" i="56"/>
  <c r="FY16" i="56"/>
  <c r="FB16" i="56"/>
  <c r="GR345" i="56"/>
  <c r="N345" i="56" s="1"/>
  <c r="GS345" i="56" s="1"/>
  <c r="IH33" i="56"/>
  <c r="GR33" i="56"/>
  <c r="N33" i="56" s="1"/>
  <c r="GS33" i="56" s="1"/>
  <c r="GT33" i="56"/>
  <c r="GJ116" i="56"/>
  <c r="GJ195" i="56"/>
  <c r="EA248" i="56"/>
  <c r="DZ248" i="56" a="1"/>
  <c r="DZ248" i="56" s="1"/>
  <c r="EA56" i="56"/>
  <c r="DZ56" i="56" a="1"/>
  <c r="DZ56" i="56" s="1"/>
  <c r="CA10" i="55"/>
  <c r="HE135" i="56"/>
  <c r="HF135" i="56" s="1"/>
  <c r="GR60" i="56"/>
  <c r="GV256" i="56"/>
  <c r="EA150" i="56"/>
  <c r="DZ150" i="56" a="1"/>
  <c r="DZ150" i="56" s="1"/>
  <c r="IO120" i="56"/>
  <c r="HS8" i="56"/>
  <c r="HT330" i="56"/>
  <c r="GJ203" i="56"/>
  <c r="GV343" i="56"/>
  <c r="X9" i="42"/>
  <c r="BY29" i="56" a="1"/>
  <c r="BY29" i="56" s="1"/>
  <c r="BY31" i="56" a="1"/>
  <c r="BY31" i="56" s="1"/>
  <c r="GO30" i="56"/>
  <c r="GN30" i="56"/>
  <c r="IK30" i="56" s="1"/>
  <c r="EA42" i="56"/>
  <c r="DZ42" i="56" a="1"/>
  <c r="DZ42" i="56" s="1"/>
  <c r="EA326" i="56"/>
  <c r="DZ326" i="56" a="1"/>
  <c r="DZ326" i="56" s="1"/>
  <c r="GJ250" i="56"/>
  <c r="IH210" i="56"/>
  <c r="EA46" i="56"/>
  <c r="DZ46" i="56" a="1"/>
  <c r="DZ46" i="56" s="1"/>
  <c r="DY243" i="56" a="1"/>
  <c r="DY243" i="56" s="1"/>
  <c r="IO250" i="56"/>
  <c r="AC13" i="55"/>
  <c r="DO57" i="56"/>
  <c r="DO73" i="56"/>
  <c r="DO59" i="56"/>
  <c r="DO75" i="56"/>
  <c r="DO61" i="56"/>
  <c r="DO77" i="56"/>
  <c r="DO62" i="56"/>
  <c r="DO78" i="56"/>
  <c r="DO69" i="56"/>
  <c r="DO70" i="56"/>
  <c r="DO71" i="56"/>
  <c r="DO72" i="56"/>
  <c r="DO53" i="56"/>
  <c r="DO74" i="56"/>
  <c r="DO54" i="56"/>
  <c r="DO76" i="56"/>
  <c r="DO56" i="56"/>
  <c r="DO80" i="56"/>
  <c r="DO58" i="56"/>
  <c r="DO81" i="56"/>
  <c r="DO60" i="56"/>
  <c r="DO82" i="56"/>
  <c r="DO63" i="56"/>
  <c r="DO83" i="56"/>
  <c r="DO55" i="56"/>
  <c r="DO64" i="56"/>
  <c r="DO65" i="56"/>
  <c r="DO66" i="56"/>
  <c r="DO79" i="56"/>
  <c r="DO85" i="56"/>
  <c r="DO67" i="56"/>
  <c r="DO68" i="56"/>
  <c r="DO84" i="56"/>
  <c r="DO86" i="56"/>
  <c r="DO87" i="56"/>
  <c r="EM81" i="56"/>
  <c r="EN81" i="56" s="1"/>
  <c r="GX81" i="56" s="1"/>
  <c r="GZ81" i="56" s="1"/>
  <c r="EM66" i="56"/>
  <c r="EN66" i="56" s="1"/>
  <c r="GX66" i="56" s="1"/>
  <c r="GZ66" i="56" s="1"/>
  <c r="EM65" i="56"/>
  <c r="EN65" i="56" s="1"/>
  <c r="GX65" i="56" s="1"/>
  <c r="GZ65" i="56" s="1"/>
  <c r="EM63" i="56"/>
  <c r="EN63" i="56" s="1"/>
  <c r="GX63" i="56" s="1"/>
  <c r="GZ63" i="56" s="1"/>
  <c r="EM60" i="56"/>
  <c r="EN60" i="56" s="1"/>
  <c r="GX60" i="56" s="1"/>
  <c r="GZ60" i="56" s="1"/>
  <c r="EM61" i="56"/>
  <c r="EN61" i="56" s="1"/>
  <c r="GX61" i="56" s="1"/>
  <c r="GZ61" i="56" s="1"/>
  <c r="EM55" i="56"/>
  <c r="EN55" i="56" s="1"/>
  <c r="GX55" i="56" s="1"/>
  <c r="GZ55" i="56" s="1"/>
  <c r="EM54" i="56"/>
  <c r="EN54" i="56" s="1"/>
  <c r="GX54" i="56" s="1"/>
  <c r="GZ54" i="56" s="1"/>
  <c r="EM87" i="56"/>
  <c r="EN87" i="56" s="1"/>
  <c r="GX87" i="56" s="1"/>
  <c r="GZ87" i="56" s="1"/>
  <c r="EM71" i="56"/>
  <c r="EN71" i="56" s="1"/>
  <c r="GX71" i="56" s="1"/>
  <c r="GZ71" i="56" s="1"/>
  <c r="EM68" i="56"/>
  <c r="EN68" i="56" s="1"/>
  <c r="GX68" i="56" s="1"/>
  <c r="GZ68" i="56" s="1"/>
  <c r="EM62" i="56"/>
  <c r="EN62" i="56" s="1"/>
  <c r="GX62" i="56" s="1"/>
  <c r="GZ62" i="56" s="1"/>
  <c r="EM53" i="56"/>
  <c r="EN53" i="56" s="1"/>
  <c r="GX53" i="56" s="1"/>
  <c r="GZ53" i="56" s="1"/>
  <c r="EM59" i="56"/>
  <c r="EN59" i="56" s="1"/>
  <c r="GX59" i="56" s="1"/>
  <c r="GZ59" i="56" s="1"/>
  <c r="EM74" i="56"/>
  <c r="EN74" i="56" s="1"/>
  <c r="GX74" i="56" s="1"/>
  <c r="GZ74" i="56" s="1"/>
  <c r="EM72" i="56"/>
  <c r="EN72" i="56" s="1"/>
  <c r="GX72" i="56" s="1"/>
  <c r="GZ72" i="56" s="1"/>
  <c r="EM85" i="56"/>
  <c r="EN85" i="56" s="1"/>
  <c r="GX85" i="56" s="1"/>
  <c r="GZ85" i="56" s="1"/>
  <c r="EM76" i="56"/>
  <c r="EN76" i="56" s="1"/>
  <c r="GX76" i="56" s="1"/>
  <c r="GZ76" i="56" s="1"/>
  <c r="EM77" i="56"/>
  <c r="EN77" i="56" s="1"/>
  <c r="GX77" i="56" s="1"/>
  <c r="GZ77" i="56" s="1"/>
  <c r="EM73" i="56"/>
  <c r="EN73" i="56" s="1"/>
  <c r="GX73" i="56" s="1"/>
  <c r="GZ73" i="56" s="1"/>
  <c r="EM80" i="56"/>
  <c r="EN80" i="56" s="1"/>
  <c r="GX80" i="56" s="1"/>
  <c r="GZ80" i="56" s="1"/>
  <c r="EM86" i="56"/>
  <c r="EN86" i="56" s="1"/>
  <c r="GX86" i="56" s="1"/>
  <c r="GZ86" i="56" s="1"/>
  <c r="EM67" i="56"/>
  <c r="EN67" i="56" s="1"/>
  <c r="GX67" i="56" s="1"/>
  <c r="GZ67" i="56" s="1"/>
  <c r="EM64" i="56"/>
  <c r="EN64" i="56" s="1"/>
  <c r="GX64" i="56" s="1"/>
  <c r="GZ64" i="56" s="1"/>
  <c r="EM78" i="56"/>
  <c r="EN78" i="56" s="1"/>
  <c r="GX78" i="56" s="1"/>
  <c r="GZ78" i="56" s="1"/>
  <c r="EM69" i="56"/>
  <c r="EN69" i="56" s="1"/>
  <c r="GX69" i="56" s="1"/>
  <c r="GZ69" i="56" s="1"/>
  <c r="EM79" i="56"/>
  <c r="EN79" i="56" s="1"/>
  <c r="GX79" i="56" s="1"/>
  <c r="GZ79" i="56" s="1"/>
  <c r="EM84" i="56"/>
  <c r="EN84" i="56" s="1"/>
  <c r="GX84" i="56" s="1"/>
  <c r="GZ84" i="56" s="1"/>
  <c r="EM75" i="56"/>
  <c r="EN75" i="56" s="1"/>
  <c r="GX75" i="56" s="1"/>
  <c r="GZ75" i="56" s="1"/>
  <c r="EM57" i="56"/>
  <c r="EN57" i="56" s="1"/>
  <c r="GX57" i="56" s="1"/>
  <c r="GZ57" i="56" s="1"/>
  <c r="EM58" i="56"/>
  <c r="EN58" i="56" s="1"/>
  <c r="GX58" i="56" s="1"/>
  <c r="GZ58" i="56" s="1"/>
  <c r="EM56" i="56"/>
  <c r="EN56" i="56" s="1"/>
  <c r="GX56" i="56" s="1"/>
  <c r="GZ56" i="56" s="1"/>
  <c r="EM82" i="56"/>
  <c r="EN82" i="56" s="1"/>
  <c r="GX82" i="56" s="1"/>
  <c r="GZ82" i="56" s="1"/>
  <c r="EM70" i="56"/>
  <c r="EN70" i="56" s="1"/>
  <c r="GX70" i="56" s="1"/>
  <c r="GZ70" i="56" s="1"/>
  <c r="EM83" i="56"/>
  <c r="EN83" i="56" s="1"/>
  <c r="GX83" i="56" s="1"/>
  <c r="GZ83" i="56" s="1"/>
  <c r="HQ56" i="56" a="1"/>
  <c r="HQ56" i="56" s="1"/>
  <c r="HR56" i="56" s="1"/>
  <c r="HM56" i="56" a="1"/>
  <c r="HM56" i="56" s="1"/>
  <c r="HN56" i="56" s="1"/>
  <c r="HI56" i="56" a="1"/>
  <c r="HI56" i="56" s="1"/>
  <c r="HJ56" i="56" s="1"/>
  <c r="HO56" i="56" a="1"/>
  <c r="HO56" i="56" s="1"/>
  <c r="HP56" i="56" s="1"/>
  <c r="HG56" i="56" a="1"/>
  <c r="HG56" i="56" s="1"/>
  <c r="HH56" i="56" s="1"/>
  <c r="HK56" i="56" a="1"/>
  <c r="HK56" i="56" s="1"/>
  <c r="HL56" i="56" s="1"/>
  <c r="IO54" i="56"/>
  <c r="EA48" i="56"/>
  <c r="DZ48" i="56" a="1"/>
  <c r="DZ48" i="56" s="1"/>
  <c r="DY230" i="56" a="1"/>
  <c r="DY230" i="56" s="1"/>
  <c r="GO339" i="56"/>
  <c r="GN339" i="56"/>
  <c r="IK339" i="56" s="1"/>
  <c r="GM340" i="56"/>
  <c r="IH192" i="56"/>
  <c r="IN192" i="56" s="1"/>
  <c r="IO192" i="56" s="1"/>
  <c r="GR192" i="56"/>
  <c r="N192" i="56" s="1"/>
  <c r="GS192" i="56" s="1"/>
  <c r="GR110" i="56"/>
  <c r="IH177" i="56"/>
  <c r="HT338" i="56"/>
  <c r="GP338" i="56"/>
  <c r="GT338" i="56"/>
  <c r="GU338" i="56"/>
  <c r="HS338" i="56" s="1"/>
  <c r="GW338" i="56"/>
  <c r="DY280" i="56" a="1"/>
  <c r="DY280" i="56" s="1"/>
  <c r="EA161" i="56"/>
  <c r="DZ161" i="56" a="1"/>
  <c r="DZ161" i="56" s="1"/>
  <c r="DQ285" i="56"/>
  <c r="DQ301" i="56"/>
  <c r="DQ299" i="56"/>
  <c r="DQ283" i="56"/>
  <c r="DQ300" i="56"/>
  <c r="DQ284" i="56"/>
  <c r="DQ302" i="56"/>
  <c r="DQ286" i="56"/>
  <c r="DQ303" i="56"/>
  <c r="DQ287" i="56"/>
  <c r="DQ304" i="56"/>
  <c r="DQ288" i="56"/>
  <c r="DQ305" i="56"/>
  <c r="DQ290" i="56"/>
  <c r="DQ307" i="56"/>
  <c r="DQ291" i="56"/>
  <c r="DQ308" i="56"/>
  <c r="DQ292" i="56"/>
  <c r="DQ309" i="56"/>
  <c r="DQ289" i="56"/>
  <c r="DQ293" i="56"/>
  <c r="DQ294" i="56"/>
  <c r="DQ296" i="56"/>
  <c r="DQ297" i="56"/>
  <c r="DQ298" i="56"/>
  <c r="DQ306" i="56"/>
  <c r="DQ295" i="56"/>
  <c r="DQ310" i="56"/>
  <c r="DQ311" i="56"/>
  <c r="DQ312" i="56"/>
  <c r="HO28" i="56" a="1"/>
  <c r="HO28" i="56" s="1"/>
  <c r="HP28" i="56" s="1"/>
  <c r="HQ28" i="56" a="1"/>
  <c r="HQ28" i="56" s="1"/>
  <c r="HR28" i="56" s="1"/>
  <c r="HI28" i="56" a="1"/>
  <c r="HI28" i="56" s="1"/>
  <c r="HJ28" i="56" s="1"/>
  <c r="HM28" i="56" a="1"/>
  <c r="HM28" i="56" s="1"/>
  <c r="HN28" i="56" s="1"/>
  <c r="HK28" i="56" a="1"/>
  <c r="HK28" i="56" s="1"/>
  <c r="HL28" i="56" s="1"/>
  <c r="HG28" i="56" a="1"/>
  <c r="HG28" i="56" s="1"/>
  <c r="HH28" i="56" s="1"/>
  <c r="GJ64" i="56"/>
  <c r="AD15" i="55"/>
  <c r="HC127" i="56" s="1"/>
  <c r="EO103" i="56"/>
  <c r="EO119" i="56"/>
  <c r="EO113" i="56"/>
  <c r="EO112" i="56"/>
  <c r="EO121" i="56"/>
  <c r="EO114" i="56"/>
  <c r="EO118" i="56"/>
  <c r="EO116" i="56"/>
  <c r="EO124" i="56"/>
  <c r="EO106" i="56"/>
  <c r="EO125" i="56"/>
  <c r="EO111" i="56"/>
  <c r="EO105" i="56"/>
  <c r="EO129" i="56"/>
  <c r="EO126" i="56"/>
  <c r="EO107" i="56"/>
  <c r="EO108" i="56"/>
  <c r="EO110" i="56"/>
  <c r="EO109" i="56"/>
  <c r="EO102" i="56"/>
  <c r="EO122" i="56"/>
  <c r="EO127" i="56"/>
  <c r="EO120" i="56"/>
  <c r="EO104" i="56"/>
  <c r="EO115" i="56"/>
  <c r="EO128" i="56"/>
  <c r="EO117" i="56"/>
  <c r="EO123" i="56"/>
  <c r="FY5" i="56"/>
  <c r="FB5" i="56"/>
  <c r="GJ15" i="56"/>
  <c r="EA55" i="56"/>
  <c r="DZ55" i="56" a="1"/>
  <c r="DZ55" i="56" s="1"/>
  <c r="GJ213" i="56"/>
  <c r="HQ338" i="56" a="1"/>
  <c r="HQ338" i="56" s="1"/>
  <c r="HR338" i="56" s="1"/>
  <c r="HM338" i="56" a="1"/>
  <c r="HM338" i="56" s="1"/>
  <c r="HN338" i="56" s="1"/>
  <c r="HI338" i="56" a="1"/>
  <c r="HI338" i="56" s="1"/>
  <c r="HJ338" i="56" s="1"/>
  <c r="HK338" i="56" a="1"/>
  <c r="HK338" i="56" s="1"/>
  <c r="HL338" i="56" s="1"/>
  <c r="HO338" i="56" a="1"/>
  <c r="HO338" i="56" s="1"/>
  <c r="HP338" i="56" s="1"/>
  <c r="HG338" i="56" a="1"/>
  <c r="HG338" i="56" s="1"/>
  <c r="HH338" i="56" s="1"/>
  <c r="DY202" i="56" a="1"/>
  <c r="DY202" i="56" s="1"/>
  <c r="EA235" i="56"/>
  <c r="DZ235" i="56" a="1"/>
  <c r="DZ235" i="56" s="1"/>
  <c r="IH125" i="56"/>
  <c r="GW105" i="56"/>
  <c r="GU105" i="56"/>
  <c r="HS105" i="56" s="1"/>
  <c r="GP105" i="56"/>
  <c r="GT105" i="56"/>
  <c r="AD25" i="55"/>
  <c r="EO340" i="56"/>
  <c r="EO335" i="56"/>
  <c r="EO339" i="56"/>
  <c r="EO338" i="56"/>
  <c r="EO337" i="56"/>
  <c r="EO336" i="56"/>
  <c r="DY201" i="56" a="1"/>
  <c r="DY201" i="56" s="1"/>
  <c r="GJ204" i="56"/>
  <c r="IH209" i="56"/>
  <c r="IN209" i="56" s="1"/>
  <c r="IH261" i="56"/>
  <c r="GR261" i="56"/>
  <c r="N261" i="56" s="1"/>
  <c r="GS261" i="56" s="1"/>
  <c r="GJ78" i="56"/>
  <c r="DY216" i="56" a="1"/>
  <c r="DY216" i="56" s="1"/>
  <c r="IH197" i="56"/>
  <c r="GR197" i="56"/>
  <c r="FY29" i="56"/>
  <c r="FB29" i="56"/>
  <c r="HQ328" i="56" a="1"/>
  <c r="HQ328" i="56" s="1"/>
  <c r="HR328" i="56" s="1"/>
  <c r="HO328" i="56" a="1"/>
  <c r="HO328" i="56" s="1"/>
  <c r="HP328" i="56" s="1"/>
  <c r="HM328" i="56" a="1"/>
  <c r="HM328" i="56" s="1"/>
  <c r="HN328" i="56" s="1"/>
  <c r="HK328" i="56" a="1"/>
  <c r="HK328" i="56" s="1"/>
  <c r="HL328" i="56" s="1"/>
  <c r="HI328" i="56" a="1"/>
  <c r="HI328" i="56" s="1"/>
  <c r="HJ328" i="56" s="1"/>
  <c r="HG328" i="56" a="1"/>
  <c r="HG328" i="56" s="1"/>
  <c r="HH328" i="56" s="1"/>
  <c r="DY208" i="56" a="1"/>
  <c r="DY208" i="56" s="1"/>
  <c r="GJ252" i="56"/>
  <c r="GQ329" i="56"/>
  <c r="FX329" i="56"/>
  <c r="GO159" i="56"/>
  <c r="GN159" i="56"/>
  <c r="IK159" i="56" s="1"/>
  <c r="GM160" i="56"/>
  <c r="EA277" i="56"/>
  <c r="DZ277" i="56" a="1"/>
  <c r="DZ277" i="56" s="1"/>
  <c r="IH290" i="56"/>
  <c r="X10" i="42"/>
  <c r="W11" i="42"/>
  <c r="X472" i="42" s="1"/>
  <c r="AC88" i="42"/>
  <c r="AA27" i="42"/>
  <c r="AB9" i="42" s="1"/>
  <c r="AD11" i="42"/>
  <c r="Y17" i="42"/>
  <c r="Y18" i="42" s="1"/>
  <c r="Z8" i="42"/>
  <c r="C23" i="61" l="1"/>
  <c r="GR293" i="56"/>
  <c r="N293" i="56" s="1"/>
  <c r="GS293" i="56" s="1"/>
  <c r="GR258" i="56"/>
  <c r="GR238" i="56"/>
  <c r="GR84" i="56"/>
  <c r="N84" i="56" s="1"/>
  <c r="GS84" i="56" s="1"/>
  <c r="EF313" i="56"/>
  <c r="EG313" i="56" s="1"/>
  <c r="GR243" i="56"/>
  <c r="GR233" i="56"/>
  <c r="GR173" i="56"/>
  <c r="GR263" i="56"/>
  <c r="N263" i="56" s="1"/>
  <c r="GS263" i="56" s="1"/>
  <c r="GR164" i="56"/>
  <c r="GR253" i="56"/>
  <c r="GR234" i="56"/>
  <c r="N234" i="56" s="1"/>
  <c r="GS234" i="56" s="1"/>
  <c r="GR235" i="56"/>
  <c r="GR167" i="56"/>
  <c r="HM344" i="56" a="1"/>
  <c r="HM344" i="56" s="1"/>
  <c r="HN344" i="56" s="1"/>
  <c r="HI344" i="56" a="1"/>
  <c r="HI344" i="56" s="1"/>
  <c r="HJ344" i="56" s="1"/>
  <c r="HK344" i="56" a="1"/>
  <c r="HK344" i="56" s="1"/>
  <c r="HL344" i="56" s="1"/>
  <c r="HO344" i="56" a="1"/>
  <c r="HO344" i="56" s="1"/>
  <c r="HP344" i="56" s="1"/>
  <c r="HG344" i="56" a="1"/>
  <c r="HG344" i="56" s="1"/>
  <c r="HH344" i="56" s="1"/>
  <c r="HQ344" i="56" a="1"/>
  <c r="HQ344" i="56" s="1"/>
  <c r="HR344" i="56" s="1"/>
  <c r="GR244" i="56"/>
  <c r="GR169" i="56"/>
  <c r="GR254" i="56"/>
  <c r="HI159" i="56" a="1"/>
  <c r="HI159" i="56" s="1"/>
  <c r="HJ159" i="56" s="1"/>
  <c r="GR236" i="56"/>
  <c r="GR38" i="56"/>
  <c r="N38" i="56" s="1"/>
  <c r="GS38" i="56" s="1"/>
  <c r="HE38" i="56" s="1"/>
  <c r="HF38" i="56" s="1"/>
  <c r="HK38" i="56" s="1" a="1"/>
  <c r="HK38" i="56" s="1"/>
  <c r="HL38" i="56" s="1"/>
  <c r="GR44" i="56"/>
  <c r="N44" i="56" s="1"/>
  <c r="GS44" i="56" s="1"/>
  <c r="HE44" i="56" s="1"/>
  <c r="HF44" i="56" s="1"/>
  <c r="HO44" i="56" s="1" a="1"/>
  <c r="HO44" i="56" s="1"/>
  <c r="HP44" i="56" s="1"/>
  <c r="DZ19" i="56" a="1"/>
  <c r="DZ19" i="56" s="1"/>
  <c r="BQ24" i="55" s="1" a="1"/>
  <c r="BQ24" i="55" s="1"/>
  <c r="GR267" i="56"/>
  <c r="N267" i="56" s="1"/>
  <c r="GS267" i="56" s="1"/>
  <c r="GR240" i="56"/>
  <c r="HG159" i="56" a="1"/>
  <c r="HG159" i="56" s="1"/>
  <c r="HH159" i="56" s="1"/>
  <c r="IN55" i="56"/>
  <c r="IO55" i="56" s="1"/>
  <c r="GR42" i="56"/>
  <c r="N42" i="56" s="1"/>
  <c r="GS42" i="56" s="1"/>
  <c r="HE42" i="56" s="1"/>
  <c r="HF42" i="56" s="1"/>
  <c r="IN172" i="56"/>
  <c r="IO172" i="56" s="1"/>
  <c r="HK159" i="56" a="1"/>
  <c r="HK159" i="56" s="1"/>
  <c r="HL159" i="56" s="1"/>
  <c r="HK55" i="56" a="1"/>
  <c r="HK55" i="56" s="1"/>
  <c r="HL55" i="56" s="1"/>
  <c r="HG104" i="56" a="1"/>
  <c r="HG104" i="56" s="1"/>
  <c r="HH104" i="56" s="1"/>
  <c r="GR290" i="56"/>
  <c r="N290" i="56" s="1"/>
  <c r="GS290" i="56" s="1"/>
  <c r="HE290" i="56" s="1"/>
  <c r="HF290" i="56" s="1"/>
  <c r="GR168" i="56"/>
  <c r="GR252" i="56"/>
  <c r="GR177" i="56"/>
  <c r="HC202" i="56"/>
  <c r="GR181" i="56"/>
  <c r="HQ159" i="56" a="1"/>
  <c r="HQ159" i="56" s="1"/>
  <c r="HR159" i="56" s="1"/>
  <c r="HQ55" i="56" a="1"/>
  <c r="HQ55" i="56" s="1"/>
  <c r="HR55" i="56" s="1"/>
  <c r="HI104" i="56" a="1"/>
  <c r="HI104" i="56" s="1"/>
  <c r="HJ104" i="56" s="1"/>
  <c r="GR245" i="56"/>
  <c r="DZ13" i="56" a="1"/>
  <c r="DZ13" i="56" s="1"/>
  <c r="BQ18" i="55" s="1" a="1"/>
  <c r="BQ18" i="55" s="1"/>
  <c r="GR179" i="56"/>
  <c r="N179" i="56" s="1"/>
  <c r="GS179" i="56" s="1"/>
  <c r="IO148" i="56"/>
  <c r="GR237" i="56"/>
  <c r="HM159" i="56" a="1"/>
  <c r="HM159" i="56" s="1"/>
  <c r="HN159" i="56" s="1"/>
  <c r="HK104" i="56" a="1"/>
  <c r="HK104" i="56" s="1"/>
  <c r="HL104" i="56" s="1"/>
  <c r="GR287" i="56"/>
  <c r="N287" i="56" s="1"/>
  <c r="GS287" i="56" s="1"/>
  <c r="HE287" i="56" s="1"/>
  <c r="HF287" i="56" s="1"/>
  <c r="HM104" i="56" a="1"/>
  <c r="HM104" i="56" s="1"/>
  <c r="HN104" i="56" s="1"/>
  <c r="X370" i="42"/>
  <c r="IO89" i="56"/>
  <c r="IN320" i="56"/>
  <c r="IO320" i="56" s="1"/>
  <c r="IO331" i="56"/>
  <c r="HM55" i="56" a="1"/>
  <c r="HM55" i="56" s="1"/>
  <c r="HN55" i="56" s="1"/>
  <c r="HO55" i="56" a="1"/>
  <c r="HO55" i="56" s="1"/>
  <c r="HP55" i="56" s="1"/>
  <c r="GR217" i="56"/>
  <c r="HT189" i="56"/>
  <c r="GR210" i="56"/>
  <c r="IO35" i="56"/>
  <c r="GR79" i="56"/>
  <c r="GR215" i="56"/>
  <c r="X161" i="42"/>
  <c r="HC208" i="56"/>
  <c r="GR208" i="56"/>
  <c r="N208" i="56" s="1"/>
  <c r="GS208" i="56" s="1"/>
  <c r="IO143" i="56"/>
  <c r="HC36" i="56"/>
  <c r="IN98" i="56"/>
  <c r="IO98" i="56" s="1"/>
  <c r="GR276" i="56"/>
  <c r="N276" i="56" s="1"/>
  <c r="GS276" i="56" s="1"/>
  <c r="X447" i="42"/>
  <c r="GR222" i="56"/>
  <c r="N222" i="56" s="1"/>
  <c r="GS222" i="56" s="1"/>
  <c r="GR66" i="56"/>
  <c r="BA3" i="40" a="1"/>
  <c r="BA3" i="40" s="1"/>
  <c r="IN180" i="56"/>
  <c r="IO180" i="56" s="1"/>
  <c r="HC201" i="56"/>
  <c r="GR273" i="56"/>
  <c r="N273" i="56" s="1"/>
  <c r="GS273" i="56" s="1"/>
  <c r="HT105" i="56"/>
  <c r="GR270" i="56"/>
  <c r="N270" i="56" s="1"/>
  <c r="GS270" i="56" s="1"/>
  <c r="GR350" i="56"/>
  <c r="X177" i="42"/>
  <c r="GR279" i="56"/>
  <c r="N279" i="56" s="1"/>
  <c r="GS279" i="56" s="1"/>
  <c r="HC195" i="56"/>
  <c r="GR152" i="56"/>
  <c r="HE229" i="56"/>
  <c r="HF229" i="56" s="1"/>
  <c r="HK229" i="56" s="1" a="1"/>
  <c r="HK229" i="56" s="1"/>
  <c r="HL229" i="56" s="1"/>
  <c r="HC47" i="56"/>
  <c r="X173" i="42"/>
  <c r="HC207" i="56"/>
  <c r="GR278" i="56"/>
  <c r="N278" i="56" s="1"/>
  <c r="GS278" i="56" s="1"/>
  <c r="IO270" i="56"/>
  <c r="GR269" i="56"/>
  <c r="N269" i="56" s="1"/>
  <c r="GS269" i="56" s="1"/>
  <c r="IO140" i="56"/>
  <c r="DW283" i="56" a="1"/>
  <c r="DW283" i="56" s="1"/>
  <c r="DZ16" i="56" a="1"/>
  <c r="DZ16" i="56" s="1"/>
  <c r="BQ21" i="55" s="1" a="1"/>
  <c r="BQ21" i="55" s="1"/>
  <c r="GR63" i="56"/>
  <c r="GR352" i="56"/>
  <c r="HC34" i="56"/>
  <c r="GR115" i="56"/>
  <c r="IN169" i="56"/>
  <c r="IO169" i="56" s="1"/>
  <c r="E9" i="58" a="1"/>
  <c r="E9" i="58" s="1"/>
  <c r="HC189" i="56"/>
  <c r="HC264" i="56"/>
  <c r="HC205" i="56"/>
  <c r="HT158" i="56"/>
  <c r="GR242" i="56"/>
  <c r="GR348" i="56"/>
  <c r="DZ313" i="56" a="1"/>
  <c r="DZ313" i="56" s="1"/>
  <c r="GR351" i="56"/>
  <c r="HI55" i="56" a="1"/>
  <c r="HI55" i="56" s="1"/>
  <c r="HJ55" i="56" s="1"/>
  <c r="I15" i="59"/>
  <c r="J15" i="59" s="1"/>
  <c r="GR111" i="56"/>
  <c r="GR43" i="56"/>
  <c r="N43" i="56" s="1"/>
  <c r="GS43" i="56" s="1"/>
  <c r="HE43" i="56" s="1"/>
  <c r="HF43" i="56" s="1"/>
  <c r="HO43" i="56" s="1" a="1"/>
  <c r="HO43" i="56" s="1"/>
  <c r="HP43" i="56" s="1"/>
  <c r="HC280" i="56"/>
  <c r="HC216" i="56"/>
  <c r="GT134" i="56"/>
  <c r="GR149" i="56"/>
  <c r="GR64" i="56"/>
  <c r="GR231" i="56"/>
  <c r="N231" i="56" s="1"/>
  <c r="GS231" i="56" s="1"/>
  <c r="HK37" i="56" a="1"/>
  <c r="HK37" i="56" s="1"/>
  <c r="HL37" i="56" s="1"/>
  <c r="HQ37" i="56" a="1"/>
  <c r="HQ37" i="56" s="1"/>
  <c r="HR37" i="56" s="1"/>
  <c r="HO37" i="56" a="1"/>
  <c r="HO37" i="56" s="1"/>
  <c r="HP37" i="56" s="1"/>
  <c r="HG37" i="56" a="1"/>
  <c r="HG37" i="56" s="1"/>
  <c r="HH37" i="56" s="1"/>
  <c r="HM37" i="56" a="1"/>
  <c r="HM37" i="56" s="1"/>
  <c r="HN37" i="56" s="1"/>
  <c r="HI37" i="56" a="1"/>
  <c r="HI37" i="56" s="1"/>
  <c r="HJ37" i="56" s="1"/>
  <c r="HQ348" i="56" a="1"/>
  <c r="HQ348" i="56" s="1"/>
  <c r="HR348" i="56" s="1"/>
  <c r="HM348" i="56" a="1"/>
  <c r="HM348" i="56" s="1"/>
  <c r="HN348" i="56" s="1"/>
  <c r="HI348" i="56" a="1"/>
  <c r="HI348" i="56" s="1"/>
  <c r="HJ348" i="56" s="1"/>
  <c r="HK348" i="56" a="1"/>
  <c r="HK348" i="56" s="1"/>
  <c r="HL348" i="56" s="1"/>
  <c r="HO348" i="56" a="1"/>
  <c r="HO348" i="56" s="1"/>
  <c r="HP348" i="56" s="1"/>
  <c r="HG348" i="56" a="1"/>
  <c r="HG348" i="56" s="1"/>
  <c r="HH348" i="56" s="1"/>
  <c r="C42" i="58" a="1"/>
  <c r="C42" i="58" s="1"/>
  <c r="C25" i="61"/>
  <c r="G11" i="59"/>
  <c r="HQ131" i="56" a="1"/>
  <c r="HQ131" i="56" s="1"/>
  <c r="HR131" i="56" s="1"/>
  <c r="HO131" i="56" a="1"/>
  <c r="HO131" i="56" s="1"/>
  <c r="HP131" i="56" s="1"/>
  <c r="HK131" i="56" a="1"/>
  <c r="HK131" i="56" s="1"/>
  <c r="HL131" i="56" s="1"/>
  <c r="HM131" i="56" a="1"/>
  <c r="HM131" i="56" s="1"/>
  <c r="HN131" i="56" s="1"/>
  <c r="HI131" i="56" a="1"/>
  <c r="HI131" i="56" s="1"/>
  <c r="HJ131" i="56" s="1"/>
  <c r="HG131" i="56" a="1"/>
  <c r="HG131" i="56" s="1"/>
  <c r="HH131" i="56" s="1"/>
  <c r="HM186" i="56" a="1"/>
  <c r="HM186" i="56" s="1"/>
  <c r="HN186" i="56" s="1"/>
  <c r="HQ186" i="56" a="1"/>
  <c r="HQ186" i="56" s="1"/>
  <c r="HR186" i="56" s="1"/>
  <c r="HO186" i="56" a="1"/>
  <c r="HO186" i="56" s="1"/>
  <c r="HP186" i="56" s="1"/>
  <c r="HG186" i="56" a="1"/>
  <c r="HG186" i="56" s="1"/>
  <c r="HH186" i="56" s="1"/>
  <c r="HK186" i="56" a="1"/>
  <c r="HK186" i="56" s="1"/>
  <c r="HL186" i="56" s="1"/>
  <c r="HI186" i="56" a="1"/>
  <c r="HI186" i="56" s="1"/>
  <c r="HJ186" i="56" s="1"/>
  <c r="GR138" i="56"/>
  <c r="HO103" i="56" a="1"/>
  <c r="HO103" i="56" s="1"/>
  <c r="HP103" i="56" s="1"/>
  <c r="HQ103" i="56" a="1"/>
  <c r="HQ103" i="56" s="1"/>
  <c r="HR103" i="56" s="1"/>
  <c r="HG103" i="56" a="1"/>
  <c r="HG103" i="56" s="1"/>
  <c r="HH103" i="56" s="1"/>
  <c r="HK103" i="56" a="1"/>
  <c r="HK103" i="56" s="1"/>
  <c r="HL103" i="56" s="1"/>
  <c r="HI103" i="56" a="1"/>
  <c r="HI103" i="56" s="1"/>
  <c r="HJ103" i="56" s="1"/>
  <c r="HM103" i="56" a="1"/>
  <c r="HM103" i="56" s="1"/>
  <c r="HN103" i="56" s="1"/>
  <c r="GV51" i="56"/>
  <c r="GR40" i="56"/>
  <c r="N40" i="56" s="1"/>
  <c r="GS40" i="56" s="1"/>
  <c r="HE40" i="56" s="1"/>
  <c r="HF40" i="56" s="1"/>
  <c r="GN229" i="56"/>
  <c r="IK229" i="56" s="1"/>
  <c r="GO229" i="56"/>
  <c r="GM230" i="56"/>
  <c r="HC328" i="56"/>
  <c r="HC329" i="56"/>
  <c r="HC327" i="56"/>
  <c r="HC326" i="56"/>
  <c r="IH262" i="56"/>
  <c r="GR262" i="56"/>
  <c r="N262" i="56" s="1"/>
  <c r="GS262" i="56" s="1"/>
  <c r="GO290" i="56"/>
  <c r="GN290" i="56"/>
  <c r="IK290" i="56" s="1"/>
  <c r="GM291" i="56"/>
  <c r="HQ158" i="56" a="1"/>
  <c r="HQ158" i="56" s="1"/>
  <c r="HR158" i="56" s="1"/>
  <c r="HK158" i="56" a="1"/>
  <c r="HK158" i="56" s="1"/>
  <c r="HL158" i="56" s="1"/>
  <c r="HI158" i="56" a="1"/>
  <c r="HI158" i="56" s="1"/>
  <c r="HJ158" i="56" s="1"/>
  <c r="HO158" i="56" a="1"/>
  <c r="HO158" i="56" s="1"/>
  <c r="HP158" i="56" s="1"/>
  <c r="HM158" i="56" a="1"/>
  <c r="HM158" i="56" s="1"/>
  <c r="HN158" i="56" s="1"/>
  <c r="HG158" i="56" a="1"/>
  <c r="HG158" i="56" s="1"/>
  <c r="HH158" i="56" s="1"/>
  <c r="HE191" i="56"/>
  <c r="HF191" i="56" s="1"/>
  <c r="EA190" i="56"/>
  <c r="DZ190" i="56" a="1"/>
  <c r="DZ190" i="56" s="1"/>
  <c r="DY51" i="56" a="1"/>
  <c r="DY51" i="56" s="1"/>
  <c r="HE343" i="56"/>
  <c r="HF343" i="56" s="1"/>
  <c r="HT343" i="56"/>
  <c r="HE319" i="56"/>
  <c r="HF319" i="56" s="1"/>
  <c r="HT319" i="56"/>
  <c r="IH106" i="56"/>
  <c r="GR106" i="56"/>
  <c r="N106" i="56" s="1"/>
  <c r="GS106" i="56" s="1"/>
  <c r="GR127" i="56"/>
  <c r="GR117" i="56"/>
  <c r="GR80" i="56"/>
  <c r="IH207" i="56"/>
  <c r="GR207" i="56"/>
  <c r="HT289" i="56"/>
  <c r="GW289" i="56"/>
  <c r="GU289" i="56"/>
  <c r="HS289" i="56" s="1"/>
  <c r="GP289" i="56"/>
  <c r="GT289" i="56"/>
  <c r="GR223" i="56"/>
  <c r="N223" i="56" s="1"/>
  <c r="GS223" i="56" s="1"/>
  <c r="EA233" i="56"/>
  <c r="DZ233" i="56" a="1"/>
  <c r="DZ233" i="56" s="1"/>
  <c r="IN277" i="56"/>
  <c r="IO277" i="56" s="1"/>
  <c r="IH333" i="56"/>
  <c r="GR333" i="56"/>
  <c r="N333" i="56" s="1"/>
  <c r="GS333" i="56" s="1"/>
  <c r="GT333" i="56"/>
  <c r="HE226" i="56"/>
  <c r="HF226" i="56" s="1"/>
  <c r="HT226" i="56"/>
  <c r="BE21" i="55" a="1"/>
  <c r="BE21" i="55" s="1"/>
  <c r="EJ16" i="56"/>
  <c r="EA36" i="56"/>
  <c r="DZ36" i="56" a="1"/>
  <c r="DZ36" i="56" s="1"/>
  <c r="HC186" i="56"/>
  <c r="GR75" i="56"/>
  <c r="HQ57" i="56" a="1"/>
  <c r="HQ57" i="56" s="1"/>
  <c r="HR57" i="56" s="1"/>
  <c r="HO57" i="56" a="1"/>
  <c r="HO57" i="56" s="1"/>
  <c r="HP57" i="56" s="1"/>
  <c r="HM57" i="56" a="1"/>
  <c r="HM57" i="56" s="1"/>
  <c r="HN57" i="56" s="1"/>
  <c r="HI57" i="56" a="1"/>
  <c r="HI57" i="56" s="1"/>
  <c r="HJ57" i="56" s="1"/>
  <c r="HG57" i="56" a="1"/>
  <c r="HG57" i="56" s="1"/>
  <c r="HH57" i="56" s="1"/>
  <c r="HK57" i="56" a="1"/>
  <c r="HK57" i="56" s="1"/>
  <c r="HL57" i="56" s="1"/>
  <c r="GR280" i="56"/>
  <c r="N280" i="56" s="1"/>
  <c r="GS280" i="56" s="1"/>
  <c r="IH247" i="56"/>
  <c r="GR247" i="56"/>
  <c r="HT228" i="56"/>
  <c r="GP228" i="56"/>
  <c r="GT228" i="56"/>
  <c r="GU228" i="56"/>
  <c r="HS228" i="56" s="1"/>
  <c r="GW228" i="56"/>
  <c r="GR257" i="56"/>
  <c r="HE157" i="56"/>
  <c r="HF157" i="56" s="1"/>
  <c r="HT157" i="56"/>
  <c r="GR112" i="56"/>
  <c r="HO284" i="56" a="1"/>
  <c r="HO284" i="56" s="1"/>
  <c r="HP284" i="56" s="1"/>
  <c r="HM284" i="56" a="1"/>
  <c r="HM284" i="56" s="1"/>
  <c r="HN284" i="56" s="1"/>
  <c r="HQ284" i="56" a="1"/>
  <c r="HQ284" i="56" s="1"/>
  <c r="HR284" i="56" s="1"/>
  <c r="HI284" i="56" a="1"/>
  <c r="HI284" i="56" s="1"/>
  <c r="HJ284" i="56" s="1"/>
  <c r="HG284" i="56" a="1"/>
  <c r="HG284" i="56" s="1"/>
  <c r="HH284" i="56" s="1"/>
  <c r="HK284" i="56" a="1"/>
  <c r="HK284" i="56" s="1"/>
  <c r="HL284" i="56" s="1"/>
  <c r="HE160" i="56"/>
  <c r="HF160" i="56" s="1"/>
  <c r="IN115" i="56"/>
  <c r="HE187" i="56"/>
  <c r="HF187" i="56" s="1"/>
  <c r="HT187" i="56"/>
  <c r="DZ184" i="56" a="1"/>
  <c r="DZ184" i="56" s="1"/>
  <c r="HC59" i="56"/>
  <c r="HC74" i="56"/>
  <c r="HC71" i="56"/>
  <c r="HC66" i="56"/>
  <c r="HC69" i="56"/>
  <c r="HC76" i="56"/>
  <c r="HC58" i="56"/>
  <c r="HC75" i="56"/>
  <c r="HC79" i="56"/>
  <c r="HC78" i="56"/>
  <c r="HC62" i="56"/>
  <c r="HC63" i="56"/>
  <c r="HC65" i="56"/>
  <c r="HC60" i="56"/>
  <c r="HC70" i="56"/>
  <c r="HC54" i="56"/>
  <c r="HC73" i="56"/>
  <c r="HC57" i="56"/>
  <c r="HC67" i="56"/>
  <c r="HC64" i="56"/>
  <c r="HC77" i="56"/>
  <c r="HC68" i="56"/>
  <c r="HC61" i="56"/>
  <c r="HC56" i="56"/>
  <c r="HC55" i="56"/>
  <c r="HC72" i="56"/>
  <c r="GR73" i="56"/>
  <c r="N73" i="56" s="1"/>
  <c r="GS73" i="56" s="1"/>
  <c r="DZ330" i="56" a="1"/>
  <c r="DZ330" i="56" s="1"/>
  <c r="GR41" i="56"/>
  <c r="N41" i="56" s="1"/>
  <c r="GS41" i="56" s="1"/>
  <c r="HE41" i="56" s="1"/>
  <c r="HF41" i="56" s="1"/>
  <c r="IN267" i="56"/>
  <c r="IO267" i="56" s="1"/>
  <c r="HC214" i="56"/>
  <c r="IN138" i="56"/>
  <c r="IO138" i="56" s="1"/>
  <c r="IN295" i="56"/>
  <c r="IO295" i="56" s="1"/>
  <c r="HC206" i="56"/>
  <c r="GR85" i="56"/>
  <c r="N85" i="56" s="1"/>
  <c r="GS85" i="56" s="1"/>
  <c r="IO40" i="56"/>
  <c r="IN343" i="56"/>
  <c r="IO343" i="56" s="1"/>
  <c r="IN237" i="56"/>
  <c r="IO237" i="56" s="1"/>
  <c r="EA226" i="56"/>
  <c r="DZ226" i="56" a="1"/>
  <c r="DZ226" i="56" s="1"/>
  <c r="HE318" i="56"/>
  <c r="HF318" i="56" s="1"/>
  <c r="HT318" i="56"/>
  <c r="HC239" i="56"/>
  <c r="IN117" i="56"/>
  <c r="IO117" i="56" s="1"/>
  <c r="IN80" i="56"/>
  <c r="IO80" i="56" s="1"/>
  <c r="IH76" i="56"/>
  <c r="IN76" i="56" s="1"/>
  <c r="GR76" i="56"/>
  <c r="IN158" i="56"/>
  <c r="IO158" i="56" s="1"/>
  <c r="IO115" i="56"/>
  <c r="IN223" i="56"/>
  <c r="IO223" i="56" s="1"/>
  <c r="HE133" i="56"/>
  <c r="HF133" i="56" s="1"/>
  <c r="HT133" i="56"/>
  <c r="HC303" i="56"/>
  <c r="HC302" i="56"/>
  <c r="HC293" i="56"/>
  <c r="HC296" i="56"/>
  <c r="HC288" i="56"/>
  <c r="HC299" i="56"/>
  <c r="HC298" i="56"/>
  <c r="HC305" i="56"/>
  <c r="HC297" i="56"/>
  <c r="HC295" i="56"/>
  <c r="HC304" i="56"/>
  <c r="HC285" i="56"/>
  <c r="HC308" i="56"/>
  <c r="HC300" i="56"/>
  <c r="HC287" i="56"/>
  <c r="HC294" i="56"/>
  <c r="HC310" i="56"/>
  <c r="HC289" i="56"/>
  <c r="HC292" i="56"/>
  <c r="HC312" i="56"/>
  <c r="HC284" i="56"/>
  <c r="HC307" i="56"/>
  <c r="HC311" i="56"/>
  <c r="HC301" i="56"/>
  <c r="HC309" i="56"/>
  <c r="HC290" i="56"/>
  <c r="HC286" i="56"/>
  <c r="HC291" i="56"/>
  <c r="HC306" i="56"/>
  <c r="EA238" i="56"/>
  <c r="DZ238" i="56" a="1"/>
  <c r="DZ238" i="56" s="1"/>
  <c r="IN125" i="56"/>
  <c r="IO125" i="56" s="1"/>
  <c r="HM38" i="56" a="1"/>
  <c r="HM38" i="56" s="1"/>
  <c r="HN38" i="56" s="1"/>
  <c r="HQ38" i="56" a="1"/>
  <c r="HQ38" i="56" s="1"/>
  <c r="HR38" i="56" s="1"/>
  <c r="HO38" i="56" a="1"/>
  <c r="HO38" i="56" s="1"/>
  <c r="HP38" i="56" s="1"/>
  <c r="HI38" i="56" a="1"/>
  <c r="HI38" i="56" s="1"/>
  <c r="HJ38" i="56" s="1"/>
  <c r="EA201" i="56"/>
  <c r="DZ201" i="56" a="1"/>
  <c r="DZ201" i="56" s="1"/>
  <c r="GO191" i="56"/>
  <c r="GN191" i="56"/>
  <c r="IK191" i="56" s="1"/>
  <c r="GM192" i="56"/>
  <c r="HE188" i="56"/>
  <c r="HF188" i="56" s="1"/>
  <c r="HT188" i="56"/>
  <c r="D77" i="58" a="1"/>
  <c r="D77" i="58" s="1"/>
  <c r="EA218" i="56"/>
  <c r="DZ218" i="56" a="1"/>
  <c r="DZ218" i="56" s="1"/>
  <c r="GR122" i="56"/>
  <c r="N122" i="56" s="1"/>
  <c r="GS122" i="56" s="1"/>
  <c r="HQ228" i="56" a="1"/>
  <c r="HQ228" i="56" s="1"/>
  <c r="HR228" i="56" s="1"/>
  <c r="HM228" i="56" a="1"/>
  <c r="HM228" i="56" s="1"/>
  <c r="HN228" i="56" s="1"/>
  <c r="HK228" i="56" a="1"/>
  <c r="HK228" i="56" s="1"/>
  <c r="HL228" i="56" s="1"/>
  <c r="HI228" i="56" a="1"/>
  <c r="HI228" i="56" s="1"/>
  <c r="HJ228" i="56" s="1"/>
  <c r="HG228" i="56" a="1"/>
  <c r="HG228" i="56" s="1"/>
  <c r="HH228" i="56" s="1"/>
  <c r="HO228" i="56" a="1"/>
  <c r="HO228" i="56" s="1"/>
  <c r="HP228" i="56" s="1"/>
  <c r="GR129" i="56"/>
  <c r="N129" i="56" s="1"/>
  <c r="GS129" i="56" s="1"/>
  <c r="HE129" i="56" s="1"/>
  <c r="HF129" i="56" s="1"/>
  <c r="IN75" i="56"/>
  <c r="GR77" i="56"/>
  <c r="GR82" i="56"/>
  <c r="N82" i="56" s="1"/>
  <c r="GS82" i="56" s="1"/>
  <c r="IN118" i="56"/>
  <c r="GN58" i="56"/>
  <c r="IK58" i="56" s="1"/>
  <c r="GO58" i="56"/>
  <c r="GM59" i="56"/>
  <c r="IN257" i="56"/>
  <c r="IO257" i="56" s="1"/>
  <c r="IN157" i="56"/>
  <c r="IO157" i="56" s="1"/>
  <c r="IN243" i="56"/>
  <c r="IO243" i="56" s="1"/>
  <c r="GR49" i="56"/>
  <c r="N49" i="56" s="1"/>
  <c r="GS49" i="56" s="1"/>
  <c r="HE49" i="56" s="1"/>
  <c r="HF49" i="56" s="1"/>
  <c r="IN21" i="56"/>
  <c r="HK189" i="56" a="1"/>
  <c r="HK189" i="56" s="1"/>
  <c r="HL189" i="56" s="1"/>
  <c r="HO189" i="56" a="1"/>
  <c r="HO189" i="56" s="1"/>
  <c r="HP189" i="56" s="1"/>
  <c r="HQ189" i="56" a="1"/>
  <c r="HQ189" i="56" s="1"/>
  <c r="HR189" i="56" s="1"/>
  <c r="HM189" i="56" a="1"/>
  <c r="HM189" i="56" s="1"/>
  <c r="HN189" i="56" s="1"/>
  <c r="HI189" i="56" a="1"/>
  <c r="HI189" i="56" s="1"/>
  <c r="HJ189" i="56" s="1"/>
  <c r="HG189" i="56" a="1"/>
  <c r="HG189" i="56" s="1"/>
  <c r="HH189" i="56" s="1"/>
  <c r="IH314" i="56"/>
  <c r="GR314" i="56"/>
  <c r="N314" i="56" s="1"/>
  <c r="GS314" i="56" s="1"/>
  <c r="GR316" i="56"/>
  <c r="N316" i="56" s="1"/>
  <c r="GS316" i="56" s="1"/>
  <c r="GT314" i="56"/>
  <c r="GR87" i="56"/>
  <c r="N87" i="56" s="1"/>
  <c r="GS87" i="56" s="1"/>
  <c r="IN167" i="56"/>
  <c r="IO167" i="56" s="1"/>
  <c r="C14" i="61"/>
  <c r="HC344" i="56"/>
  <c r="HC351" i="56"/>
  <c r="HC346" i="56"/>
  <c r="HC349" i="56"/>
  <c r="HC350" i="56"/>
  <c r="HC347" i="56"/>
  <c r="HC345" i="56"/>
  <c r="HC352" i="56"/>
  <c r="HC348" i="56"/>
  <c r="IN210" i="56"/>
  <c r="IO210" i="56" s="1"/>
  <c r="HQ135" i="56" a="1"/>
  <c r="HQ135" i="56" s="1"/>
  <c r="HR135" i="56" s="1"/>
  <c r="HO135" i="56" a="1"/>
  <c r="HO135" i="56" s="1"/>
  <c r="HP135" i="56" s="1"/>
  <c r="HK135" i="56" a="1"/>
  <c r="HK135" i="56" s="1"/>
  <c r="HL135" i="56" s="1"/>
  <c r="HI135" i="56" a="1"/>
  <c r="HI135" i="56" s="1"/>
  <c r="HJ135" i="56" s="1"/>
  <c r="HM135" i="56" a="1"/>
  <c r="HM135" i="56" s="1"/>
  <c r="HN135" i="56" s="1"/>
  <c r="HG135" i="56" a="1"/>
  <c r="HG135" i="56" s="1"/>
  <c r="HH135" i="56" s="1"/>
  <c r="HE132" i="56"/>
  <c r="HF132" i="56" s="1"/>
  <c r="HT132" i="56"/>
  <c r="IH114" i="56"/>
  <c r="IN114" i="56" s="1"/>
  <c r="IO114" i="56" s="1"/>
  <c r="GR114" i="56"/>
  <c r="E53" i="58" a="1"/>
  <c r="E53" i="58" s="1"/>
  <c r="HQ289" i="56" a="1"/>
  <c r="HQ289" i="56" s="1"/>
  <c r="HR289" i="56" s="1"/>
  <c r="HO289" i="56" a="1"/>
  <c r="HO289" i="56" s="1"/>
  <c r="HP289" i="56" s="1"/>
  <c r="HK289" i="56" a="1"/>
  <c r="HK289" i="56" s="1"/>
  <c r="HL289" i="56" s="1"/>
  <c r="HM289" i="56" a="1"/>
  <c r="HM289" i="56" s="1"/>
  <c r="HN289" i="56" s="1"/>
  <c r="HI289" i="56" a="1"/>
  <c r="HI289" i="56" s="1"/>
  <c r="HJ289" i="56" s="1"/>
  <c r="HG289" i="56" a="1"/>
  <c r="HG289" i="56" s="1"/>
  <c r="HH289" i="56" s="1"/>
  <c r="IN168" i="56"/>
  <c r="IO168" i="56" s="1"/>
  <c r="IH101" i="56"/>
  <c r="GR101" i="56"/>
  <c r="EA186" i="56"/>
  <c r="DZ186" i="56" a="1"/>
  <c r="DZ186" i="56" s="1"/>
  <c r="IH294" i="56"/>
  <c r="GR294" i="56"/>
  <c r="HE332" i="56"/>
  <c r="HF332" i="56" s="1"/>
  <c r="HT332" i="56"/>
  <c r="IO226" i="56"/>
  <c r="EA200" i="56"/>
  <c r="DZ200" i="56" a="1"/>
  <c r="DZ200" i="56" s="1"/>
  <c r="IO75" i="56"/>
  <c r="EA206" i="56"/>
  <c r="DZ206" i="56" a="1"/>
  <c r="DZ206" i="56" s="1"/>
  <c r="IN280" i="56"/>
  <c r="IO280" i="56" s="1"/>
  <c r="IO118" i="56"/>
  <c r="IO231" i="56"/>
  <c r="IN85" i="56"/>
  <c r="IO85" i="56" s="1"/>
  <c r="HT57" i="56"/>
  <c r="GU57" i="56"/>
  <c r="HS57" i="56" s="1"/>
  <c r="GT57" i="56"/>
  <c r="GW57" i="56"/>
  <c r="GP57" i="56"/>
  <c r="GR213" i="56"/>
  <c r="IN200" i="56"/>
  <c r="IO200" i="56" s="1"/>
  <c r="IH165" i="56"/>
  <c r="GR165" i="56"/>
  <c r="N165" i="56" s="1"/>
  <c r="GS165" i="56" s="1"/>
  <c r="IO21" i="56"/>
  <c r="HE34" i="56"/>
  <c r="HF34" i="56" s="1"/>
  <c r="HT34" i="56"/>
  <c r="IN318" i="56"/>
  <c r="IO318" i="56" s="1"/>
  <c r="GR139" i="56"/>
  <c r="GR144" i="56"/>
  <c r="GR315" i="56"/>
  <c r="N315" i="56" s="1"/>
  <c r="GS315" i="56" s="1"/>
  <c r="IO69" i="56"/>
  <c r="EA343" i="56"/>
  <c r="DZ343" i="56" a="1"/>
  <c r="DZ343" i="56" s="1"/>
  <c r="IO112" i="56"/>
  <c r="GR45" i="56"/>
  <c r="N45" i="56" s="1"/>
  <c r="GS45" i="56" s="1"/>
  <c r="HE45" i="56" s="1"/>
  <c r="HF45" i="56" s="1"/>
  <c r="IH206" i="56"/>
  <c r="GR206" i="56"/>
  <c r="IN133" i="56"/>
  <c r="IO133" i="56" s="1"/>
  <c r="FZ184" i="56"/>
  <c r="CU184" i="56"/>
  <c r="CY184" i="56" s="1"/>
  <c r="DI184" i="56"/>
  <c r="GV184" i="56" s="1"/>
  <c r="C16" i="61"/>
  <c r="C17" i="61" s="1"/>
  <c r="EA216" i="56"/>
  <c r="DZ216" i="56" a="1"/>
  <c r="DZ216" i="56" s="1"/>
  <c r="G53" i="58" a="1"/>
  <c r="G53" i="58" s="1"/>
  <c r="GO340" i="56"/>
  <c r="GN340" i="56"/>
  <c r="IK340" i="56" s="1"/>
  <c r="HK43" i="56" a="1"/>
  <c r="HK43" i="56" s="1"/>
  <c r="HL43" i="56" s="1"/>
  <c r="EA266" i="56"/>
  <c r="DZ266" i="56" a="1"/>
  <c r="DZ266" i="56" s="1"/>
  <c r="IN342" i="56"/>
  <c r="IO342" i="56" s="1"/>
  <c r="HE155" i="56"/>
  <c r="HF155" i="56" s="1"/>
  <c r="HT155" i="56"/>
  <c r="HQ225" i="56" a="1"/>
  <c r="HQ225" i="56" s="1"/>
  <c r="HR225" i="56" s="1"/>
  <c r="HO225" i="56" a="1"/>
  <c r="HO225" i="56" s="1"/>
  <c r="HP225" i="56" s="1"/>
  <c r="HI225" i="56" a="1"/>
  <c r="HI225" i="56" s="1"/>
  <c r="HJ225" i="56" s="1"/>
  <c r="HG225" i="56" a="1"/>
  <c r="HG225" i="56" s="1"/>
  <c r="HH225" i="56" s="1"/>
  <c r="HM225" i="56" a="1"/>
  <c r="HM225" i="56" s="1"/>
  <c r="HN225" i="56" s="1"/>
  <c r="HK225" i="56" a="1"/>
  <c r="HK225" i="56" s="1"/>
  <c r="HL225" i="56" s="1"/>
  <c r="H75" i="58" a="1"/>
  <c r="H75" i="58" s="1"/>
  <c r="GH40" i="56"/>
  <c r="GI39" i="56"/>
  <c r="GJ39" i="56" s="1"/>
  <c r="GR274" i="56"/>
  <c r="N274" i="56" s="1"/>
  <c r="GS274" i="56" s="1"/>
  <c r="EA47" i="56"/>
  <c r="DZ47" i="56" a="1"/>
  <c r="DZ47" i="56" s="1"/>
  <c r="GR46" i="56"/>
  <c r="N46" i="56" s="1"/>
  <c r="GS46" i="56" s="1"/>
  <c r="HE46" i="56" s="1"/>
  <c r="HF46" i="56" s="1"/>
  <c r="GR303" i="56"/>
  <c r="GR296" i="56"/>
  <c r="HC200" i="56"/>
  <c r="BE20" i="55" a="1"/>
  <c r="BE20" i="55" s="1"/>
  <c r="EJ15" i="56"/>
  <c r="GR218" i="56"/>
  <c r="GR301" i="56"/>
  <c r="FZ13" i="56"/>
  <c r="CU13" i="56"/>
  <c r="CY13" i="56" s="1"/>
  <c r="DI13" i="56"/>
  <c r="GV13" i="56" s="1"/>
  <c r="IN293" i="56"/>
  <c r="IO293" i="56" s="1"/>
  <c r="IN30" i="56"/>
  <c r="IO30" i="56" s="1"/>
  <c r="EA153" i="56"/>
  <c r="DZ153" i="56" a="1"/>
  <c r="DZ153" i="56" s="1"/>
  <c r="HC254" i="56"/>
  <c r="HC251" i="56"/>
  <c r="HC261" i="56"/>
  <c r="HC260" i="56"/>
  <c r="HC249" i="56"/>
  <c r="HC232" i="56"/>
  <c r="HC228" i="56"/>
  <c r="HC281" i="56"/>
  <c r="HC227" i="56"/>
  <c r="HC255" i="56"/>
  <c r="HC275" i="56"/>
  <c r="HC263" i="56"/>
  <c r="HC244" i="56"/>
  <c r="HC240" i="56"/>
  <c r="HC250" i="56"/>
  <c r="HC236" i="56"/>
  <c r="HC234" i="56"/>
  <c r="HC253" i="56"/>
  <c r="HC267" i="56"/>
  <c r="HC241" i="56"/>
  <c r="HC235" i="56"/>
  <c r="HC276" i="56"/>
  <c r="HC225" i="56"/>
  <c r="HC248" i="56"/>
  <c r="HC237" i="56"/>
  <c r="HC231" i="56"/>
  <c r="HC277" i="56"/>
  <c r="HC279" i="56"/>
  <c r="HC229" i="56"/>
  <c r="HC269" i="56"/>
  <c r="HC271" i="56"/>
  <c r="HC252" i="56"/>
  <c r="HC246" i="56"/>
  <c r="X303" i="42"/>
  <c r="HC114" i="56"/>
  <c r="HC123" i="56"/>
  <c r="HC108" i="56"/>
  <c r="HC106" i="56"/>
  <c r="HC128" i="56"/>
  <c r="HC111" i="56"/>
  <c r="HC115" i="56"/>
  <c r="HC109" i="56"/>
  <c r="HC121" i="56"/>
  <c r="HC107" i="56"/>
  <c r="HC129" i="56"/>
  <c r="HC112" i="56"/>
  <c r="HC116" i="56"/>
  <c r="HC122" i="56"/>
  <c r="HC119" i="56"/>
  <c r="HC120" i="56"/>
  <c r="HC118" i="56"/>
  <c r="HC125" i="56"/>
  <c r="HC103" i="56"/>
  <c r="HC124" i="56"/>
  <c r="HC105" i="56"/>
  <c r="HC126" i="56"/>
  <c r="HC117" i="56"/>
  <c r="HC110" i="56"/>
  <c r="HC113" i="56"/>
  <c r="EA270" i="56"/>
  <c r="DZ270" i="56" a="1"/>
  <c r="DZ270" i="56" s="1"/>
  <c r="EA230" i="56"/>
  <c r="DZ230" i="56" a="1"/>
  <c r="DZ230" i="56" s="1"/>
  <c r="D42" i="58" a="1"/>
  <c r="D42" i="58" s="1"/>
  <c r="HT93" i="56"/>
  <c r="GW93" i="56"/>
  <c r="GU93" i="56"/>
  <c r="HS93" i="56" s="1"/>
  <c r="GT93" i="56"/>
  <c r="GP93" i="56"/>
  <c r="GR126" i="56"/>
  <c r="EA257" i="56"/>
  <c r="DZ257" i="56" a="1"/>
  <c r="DZ257" i="56" s="1"/>
  <c r="HC266" i="56"/>
  <c r="F9" i="58" a="1"/>
  <c r="F9" i="58" s="1"/>
  <c r="C53" i="58" a="1"/>
  <c r="C53" i="58" s="1"/>
  <c r="C26" i="61"/>
  <c r="HC12" i="56"/>
  <c r="HC18" i="56"/>
  <c r="HC6" i="56"/>
  <c r="HC10" i="56"/>
  <c r="HC5" i="56"/>
  <c r="EA278" i="56"/>
  <c r="DZ278" i="56" a="1"/>
  <c r="DZ278" i="56" s="1"/>
  <c r="HE331" i="56"/>
  <c r="HF331" i="56" s="1"/>
  <c r="HT331" i="56"/>
  <c r="GO348" i="56"/>
  <c r="GN348" i="56"/>
  <c r="IK348" i="56" s="1"/>
  <c r="GM349" i="56"/>
  <c r="IO273" i="56"/>
  <c r="EA274" i="56"/>
  <c r="DZ274" i="56" a="1"/>
  <c r="DZ274" i="56" s="1"/>
  <c r="IH166" i="56"/>
  <c r="GR166" i="56"/>
  <c r="IO122" i="56"/>
  <c r="IO228" i="56"/>
  <c r="HQ321" i="56" a="1"/>
  <c r="HQ321" i="56" s="1"/>
  <c r="HR321" i="56" s="1"/>
  <c r="HM321" i="56" a="1"/>
  <c r="HM321" i="56" s="1"/>
  <c r="HN321" i="56" s="1"/>
  <c r="HO321" i="56" a="1"/>
  <c r="HO321" i="56" s="1"/>
  <c r="HP321" i="56" s="1"/>
  <c r="HK321" i="56" a="1"/>
  <c r="HK321" i="56" s="1"/>
  <c r="HL321" i="56" s="1"/>
  <c r="HI321" i="56" a="1"/>
  <c r="HI321" i="56" s="1"/>
  <c r="HJ321" i="56" s="1"/>
  <c r="HG321" i="56" a="1"/>
  <c r="HG321" i="56" s="1"/>
  <c r="HH321" i="56" s="1"/>
  <c r="EA143" i="56"/>
  <c r="DZ143" i="56" a="1"/>
  <c r="DZ143" i="56" s="1"/>
  <c r="GR221" i="56"/>
  <c r="N221" i="56" s="1"/>
  <c r="GS221" i="56" s="1"/>
  <c r="IH347" i="56"/>
  <c r="GR347" i="56"/>
  <c r="HE156" i="56"/>
  <c r="HF156" i="56" s="1"/>
  <c r="HT156" i="56"/>
  <c r="IO77" i="56"/>
  <c r="IO82" i="56"/>
  <c r="HC272" i="56"/>
  <c r="GR211" i="56"/>
  <c r="IN213" i="56"/>
  <c r="EA52" i="56"/>
  <c r="DZ52" i="56" a="1"/>
  <c r="DZ52" i="56" s="1"/>
  <c r="GR216" i="56"/>
  <c r="IN49" i="56"/>
  <c r="IO49" i="56" s="1"/>
  <c r="IN34" i="56"/>
  <c r="IO34" i="56" s="1"/>
  <c r="IN139" i="56"/>
  <c r="IO139" i="56" s="1"/>
  <c r="IN144" i="56"/>
  <c r="IN189" i="56"/>
  <c r="IO189" i="56" s="1"/>
  <c r="HO54" i="56" a="1"/>
  <c r="HO54" i="56" s="1"/>
  <c r="HP54" i="56" s="1"/>
  <c r="HQ54" i="56" a="1"/>
  <c r="HQ54" i="56" s="1"/>
  <c r="HR54" i="56" s="1"/>
  <c r="HK54" i="56" a="1"/>
  <c r="HK54" i="56" s="1"/>
  <c r="HL54" i="56" s="1"/>
  <c r="HM54" i="56" a="1"/>
  <c r="HM54" i="56" s="1"/>
  <c r="HN54" i="56" s="1"/>
  <c r="HG54" i="56" a="1"/>
  <c r="HG54" i="56" s="1"/>
  <c r="HH54" i="56" s="1"/>
  <c r="HI54" i="56" a="1"/>
  <c r="HI54" i="56" s="1"/>
  <c r="HJ54" i="56" s="1"/>
  <c r="EA256" i="56"/>
  <c r="DZ256" i="56" a="1"/>
  <c r="DZ256" i="56" s="1"/>
  <c r="IO94" i="56"/>
  <c r="IN87" i="56"/>
  <c r="IO87" i="56" s="1"/>
  <c r="HC233" i="56"/>
  <c r="IN45" i="56"/>
  <c r="IO45" i="56" s="1"/>
  <c r="IN95" i="56"/>
  <c r="IO95" i="56" s="1"/>
  <c r="IN349" i="56"/>
  <c r="IO349" i="56" s="1"/>
  <c r="FZ313" i="56"/>
  <c r="CU313" i="56"/>
  <c r="CY313" i="56" s="1"/>
  <c r="DI313" i="56"/>
  <c r="GV313" i="56" s="1"/>
  <c r="IN132" i="56"/>
  <c r="IO132" i="56" s="1"/>
  <c r="IN269" i="56"/>
  <c r="IO269" i="56" s="1"/>
  <c r="HK93" i="56" a="1"/>
  <c r="HK93" i="56" s="1"/>
  <c r="HL93" i="56" s="1"/>
  <c r="HQ93" i="56" a="1"/>
  <c r="HQ93" i="56" s="1"/>
  <c r="HR93" i="56" s="1"/>
  <c r="HO93" i="56" a="1"/>
  <c r="HO93" i="56" s="1"/>
  <c r="HP93" i="56" s="1"/>
  <c r="HI93" i="56" a="1"/>
  <c r="HI93" i="56" s="1"/>
  <c r="HJ93" i="56" s="1"/>
  <c r="HM93" i="56" a="1"/>
  <c r="HM93" i="56" s="1"/>
  <c r="HN93" i="56" s="1"/>
  <c r="HG93" i="56" a="1"/>
  <c r="HG93" i="56" s="1"/>
  <c r="HH93" i="56" s="1"/>
  <c r="HQ39" i="56" a="1"/>
  <c r="HQ39" i="56" s="1"/>
  <c r="HR39" i="56" s="1"/>
  <c r="HO39" i="56" a="1"/>
  <c r="HO39" i="56" s="1"/>
  <c r="HP39" i="56" s="1"/>
  <c r="HM39" i="56" a="1"/>
  <c r="HM39" i="56" s="1"/>
  <c r="HN39" i="56" s="1"/>
  <c r="HI39" i="56" a="1"/>
  <c r="HI39" i="56" s="1"/>
  <c r="HJ39" i="56" s="1"/>
  <c r="HK39" i="56" a="1"/>
  <c r="HK39" i="56" s="1"/>
  <c r="HL39" i="56" s="1"/>
  <c r="HG39" i="56" a="1"/>
  <c r="HG39" i="56" s="1"/>
  <c r="HH39" i="56" s="1"/>
  <c r="X409" i="42"/>
  <c r="IH329" i="56"/>
  <c r="GR329" i="56"/>
  <c r="N329" i="56" s="1"/>
  <c r="GS329" i="56" s="1"/>
  <c r="IN261" i="56"/>
  <c r="IO261" i="56" s="1"/>
  <c r="IN289" i="56"/>
  <c r="IO289" i="56" s="1"/>
  <c r="X404" i="42"/>
  <c r="HC256" i="56"/>
  <c r="EA202" i="56"/>
  <c r="DZ202" i="56" a="1"/>
  <c r="DZ202" i="56" s="1"/>
  <c r="HQ347" i="56" a="1"/>
  <c r="HQ347" i="56" s="1"/>
  <c r="HR347" i="56" s="1"/>
  <c r="HM347" i="56" a="1"/>
  <c r="HM347" i="56" s="1"/>
  <c r="HN347" i="56" s="1"/>
  <c r="HK347" i="56" a="1"/>
  <c r="HK347" i="56" s="1"/>
  <c r="HL347" i="56" s="1"/>
  <c r="HI347" i="56" a="1"/>
  <c r="HI347" i="56" s="1"/>
  <c r="HJ347" i="56" s="1"/>
  <c r="HG347" i="56" a="1"/>
  <c r="HG347" i="56" s="1"/>
  <c r="HH347" i="56" s="1"/>
  <c r="HO347" i="56" a="1"/>
  <c r="HO347" i="56" s="1"/>
  <c r="HP347" i="56" s="1"/>
  <c r="GO107" i="56"/>
  <c r="GN107" i="56"/>
  <c r="IK107" i="56" s="1"/>
  <c r="GM108" i="56"/>
  <c r="IN278" i="56"/>
  <c r="GO136" i="56"/>
  <c r="GN136" i="56"/>
  <c r="IK136" i="56" s="1"/>
  <c r="GM137" i="56"/>
  <c r="G9" i="58" a="1"/>
  <c r="G9" i="58" s="1"/>
  <c r="D76" i="58" a="1"/>
  <c r="D76" i="58" s="1"/>
  <c r="HC265" i="56"/>
  <c r="HC41" i="56"/>
  <c r="HC32" i="56"/>
  <c r="HC35" i="56"/>
  <c r="HC48" i="56"/>
  <c r="HC46" i="56"/>
  <c r="HC49" i="56"/>
  <c r="HC42" i="56"/>
  <c r="HC43" i="56"/>
  <c r="HC50" i="56"/>
  <c r="HC38" i="56"/>
  <c r="HC45" i="56"/>
  <c r="HC44" i="56"/>
  <c r="HC40" i="56"/>
  <c r="HC37" i="56"/>
  <c r="EA39" i="56"/>
  <c r="DZ39" i="56" a="1"/>
  <c r="DZ39" i="56" s="1"/>
  <c r="IH163" i="56"/>
  <c r="GR163" i="56"/>
  <c r="N163" i="56" s="1"/>
  <c r="GS163" i="56" s="1"/>
  <c r="EF12" i="56"/>
  <c r="EG12" i="56" s="1"/>
  <c r="EA127" i="56"/>
  <c r="DZ127" i="56" a="1"/>
  <c r="DZ127" i="56" s="1"/>
  <c r="IN344" i="56"/>
  <c r="IO344" i="56" s="1"/>
  <c r="IO303" i="56"/>
  <c r="IO296" i="56"/>
  <c r="GR148" i="56"/>
  <c r="EA247" i="56"/>
  <c r="DZ247" i="56" a="1"/>
  <c r="DZ247" i="56" s="1"/>
  <c r="HC268" i="56"/>
  <c r="HQ27" i="56" a="1"/>
  <c r="HQ27" i="56" s="1"/>
  <c r="HR27" i="56" s="1"/>
  <c r="HO27" i="56" a="1"/>
  <c r="HO27" i="56" s="1"/>
  <c r="HP27" i="56" s="1"/>
  <c r="HM27" i="56" a="1"/>
  <c r="HM27" i="56" s="1"/>
  <c r="HN27" i="56" s="1"/>
  <c r="HK27" i="56" a="1"/>
  <c r="HK27" i="56" s="1"/>
  <c r="HL27" i="56" s="1"/>
  <c r="HG27" i="56" a="1"/>
  <c r="HG27" i="56" s="1"/>
  <c r="HH27" i="56" s="1"/>
  <c r="HI27" i="56" a="1"/>
  <c r="HI27" i="56" s="1"/>
  <c r="HJ27" i="56" s="1"/>
  <c r="HC219" i="56"/>
  <c r="IO213" i="56"/>
  <c r="GO322" i="56"/>
  <c r="GN322" i="56"/>
  <c r="IK322" i="56" s="1"/>
  <c r="GM323" i="56"/>
  <c r="IN218" i="56"/>
  <c r="IO218" i="56" s="1"/>
  <c r="EA258" i="56"/>
  <c r="DZ258" i="56" a="1"/>
  <c r="DZ258" i="56" s="1"/>
  <c r="IN301" i="56"/>
  <c r="IO301" i="56" s="1"/>
  <c r="IO144" i="56"/>
  <c r="GR119" i="56"/>
  <c r="GR48" i="56"/>
  <c r="N48" i="56" s="1"/>
  <c r="GS48" i="56" s="1"/>
  <c r="HE48" i="56" s="1"/>
  <c r="HF48" i="56" s="1"/>
  <c r="HM346" i="56" a="1"/>
  <c r="HM346" i="56" s="1"/>
  <c r="HN346" i="56" s="1"/>
  <c r="HQ346" i="56" a="1"/>
  <c r="HQ346" i="56" s="1"/>
  <c r="HR346" i="56" s="1"/>
  <c r="HK346" i="56" a="1"/>
  <c r="HK346" i="56" s="1"/>
  <c r="HL346" i="56" s="1"/>
  <c r="HO346" i="56" a="1"/>
  <c r="HO346" i="56" s="1"/>
  <c r="HP346" i="56" s="1"/>
  <c r="HI346" i="56" a="1"/>
  <c r="HI346" i="56" s="1"/>
  <c r="HJ346" i="56" s="1"/>
  <c r="HG346" i="56" a="1"/>
  <c r="HG346" i="56" s="1"/>
  <c r="HH346" i="56" s="1"/>
  <c r="IH81" i="56"/>
  <c r="GR81" i="56"/>
  <c r="N81" i="56" s="1"/>
  <c r="GS81" i="56" s="1"/>
  <c r="IN234" i="56"/>
  <c r="IO234" i="56" s="1"/>
  <c r="IH282" i="56"/>
  <c r="GR282" i="56"/>
  <c r="N282" i="56" s="1"/>
  <c r="GS282" i="56" s="1"/>
  <c r="GR178" i="56"/>
  <c r="FZ16" i="56"/>
  <c r="CU16" i="56"/>
  <c r="CY16" i="56" s="1"/>
  <c r="DI16" i="56"/>
  <c r="GV16" i="56" s="1"/>
  <c r="DU26" i="56"/>
  <c r="IN149" i="56"/>
  <c r="IO149" i="56" s="1"/>
  <c r="F53" i="58" a="1"/>
  <c r="F53" i="58" s="1"/>
  <c r="IH307" i="56"/>
  <c r="IN307" i="56" s="1"/>
  <c r="GR307" i="56"/>
  <c r="N307" i="56" s="1"/>
  <c r="GS307" i="56" s="1"/>
  <c r="IN155" i="56"/>
  <c r="IO155" i="56" s="1"/>
  <c r="EA189" i="56"/>
  <c r="DZ189" i="56" a="1"/>
  <c r="DZ189" i="56" s="1"/>
  <c r="IH6" i="56"/>
  <c r="GT6" i="56"/>
  <c r="HC230" i="56"/>
  <c r="IH22" i="56"/>
  <c r="IN22" i="56" s="1"/>
  <c r="HQ9" i="56" a="1"/>
  <c r="HQ9" i="56" s="1"/>
  <c r="HR9" i="56" s="1"/>
  <c r="HO9" i="56" a="1"/>
  <c r="HO9" i="56" s="1"/>
  <c r="HP9" i="56" s="1"/>
  <c r="HG9" i="56" a="1"/>
  <c r="HG9" i="56" s="1"/>
  <c r="HH9" i="56" s="1"/>
  <c r="HI9" i="56" a="1"/>
  <c r="HI9" i="56" s="1"/>
  <c r="HJ9" i="56" s="1"/>
  <c r="HK9" i="56" a="1"/>
  <c r="HK9" i="56" s="1"/>
  <c r="HL9" i="56" s="1"/>
  <c r="HM9" i="56" a="1"/>
  <c r="HM9" i="56" s="1"/>
  <c r="HN9" i="56" s="1"/>
  <c r="IN33" i="56"/>
  <c r="IO33" i="56" s="1"/>
  <c r="X74" i="42"/>
  <c r="HC262" i="56"/>
  <c r="IN351" i="56"/>
  <c r="IO351" i="56" s="1"/>
  <c r="IN290" i="56"/>
  <c r="IO290" i="56" s="1"/>
  <c r="HC339" i="56"/>
  <c r="HC338" i="56"/>
  <c r="HC337" i="56"/>
  <c r="HC340" i="56"/>
  <c r="HQ190" i="56" a="1"/>
  <c r="HQ190" i="56" s="1"/>
  <c r="HR190" i="56" s="1"/>
  <c r="HK190" i="56" a="1"/>
  <c r="HK190" i="56" s="1"/>
  <c r="HL190" i="56" s="1"/>
  <c r="HO190" i="56" a="1"/>
  <c r="HO190" i="56" s="1"/>
  <c r="HP190" i="56" s="1"/>
  <c r="HM190" i="56" a="1"/>
  <c r="HM190" i="56" s="1"/>
  <c r="HN190" i="56" s="1"/>
  <c r="HG190" i="56" a="1"/>
  <c r="HG190" i="56" s="1"/>
  <c r="HH190" i="56" s="1"/>
  <c r="HI190" i="56" a="1"/>
  <c r="HI190" i="56" s="1"/>
  <c r="HJ190" i="56" s="1"/>
  <c r="IO278" i="56"/>
  <c r="D78" i="58" a="1"/>
  <c r="D78" i="58" s="1"/>
  <c r="H79" i="58" a="1"/>
  <c r="H79" i="58" s="1"/>
  <c r="EA265" i="56"/>
  <c r="DZ265" i="56" a="1"/>
  <c r="DZ265" i="56" s="1"/>
  <c r="GR308" i="56"/>
  <c r="N308" i="56" s="1"/>
  <c r="GS308" i="56" s="1"/>
  <c r="HE340" i="56"/>
  <c r="HF340" i="56" s="1"/>
  <c r="IN274" i="56"/>
  <c r="IO274" i="56" s="1"/>
  <c r="IH74" i="56"/>
  <c r="IN74" i="56" s="1"/>
  <c r="GR74" i="56"/>
  <c r="GR259" i="56"/>
  <c r="EA219" i="56"/>
  <c r="DZ219" i="56" a="1"/>
  <c r="DZ219" i="56" s="1"/>
  <c r="HM322" i="56" a="1"/>
  <c r="HM322" i="56" s="1"/>
  <c r="HN322" i="56" s="1"/>
  <c r="HQ322" i="56" a="1"/>
  <c r="HQ322" i="56" s="1"/>
  <c r="HR322" i="56" s="1"/>
  <c r="HI322" i="56" a="1"/>
  <c r="HI322" i="56" s="1"/>
  <c r="HJ322" i="56" s="1"/>
  <c r="HG322" i="56" a="1"/>
  <c r="HG322" i="56" s="1"/>
  <c r="HH322" i="56" s="1"/>
  <c r="HO322" i="56" a="1"/>
  <c r="HO322" i="56" s="1"/>
  <c r="HP322" i="56" s="1"/>
  <c r="HK322" i="56" a="1"/>
  <c r="HK322" i="56" s="1"/>
  <c r="HL322" i="56" s="1"/>
  <c r="GR174" i="56"/>
  <c r="IH62" i="56"/>
  <c r="IN62" i="56" s="1"/>
  <c r="IO62" i="56" s="1"/>
  <c r="GR62" i="56"/>
  <c r="GR67" i="56"/>
  <c r="EA142" i="56"/>
  <c r="DZ142" i="56" a="1"/>
  <c r="DZ142" i="56" s="1"/>
  <c r="HC168" i="56"/>
  <c r="HC165" i="56"/>
  <c r="HC180" i="56"/>
  <c r="HC175" i="56"/>
  <c r="HC156" i="56"/>
  <c r="HC177" i="56"/>
  <c r="HC160" i="56"/>
  <c r="HC154" i="56"/>
  <c r="HC183" i="56"/>
  <c r="HC155" i="56"/>
  <c r="HC172" i="56"/>
  <c r="HC157" i="56"/>
  <c r="HC159" i="56"/>
  <c r="HC174" i="56"/>
  <c r="HC173" i="56"/>
  <c r="HC170" i="56"/>
  <c r="HC164" i="56"/>
  <c r="HC181" i="56"/>
  <c r="HC163" i="56"/>
  <c r="HC179" i="56"/>
  <c r="HC169" i="56"/>
  <c r="HC166" i="56"/>
  <c r="HC162" i="56"/>
  <c r="HC167" i="56"/>
  <c r="HC176" i="56"/>
  <c r="HC182" i="56"/>
  <c r="HC171" i="56"/>
  <c r="HC161" i="56"/>
  <c r="HC158" i="56"/>
  <c r="HC178" i="56"/>
  <c r="GR265" i="56"/>
  <c r="N265" i="56" s="1"/>
  <c r="GS265" i="56" s="1"/>
  <c r="HC52" i="56"/>
  <c r="GR137" i="56"/>
  <c r="IN244" i="56"/>
  <c r="IO244" i="56" s="1"/>
  <c r="GO37" i="56"/>
  <c r="GN37" i="56"/>
  <c r="IK37" i="56" s="1"/>
  <c r="GM38" i="56"/>
  <c r="GR109" i="56"/>
  <c r="EA262" i="56"/>
  <c r="DZ262" i="56" a="1"/>
  <c r="DZ262" i="56" s="1"/>
  <c r="IH23" i="56"/>
  <c r="GR212" i="56"/>
  <c r="EA33" i="56"/>
  <c r="DZ33" i="56" a="1"/>
  <c r="DZ33" i="56" s="1"/>
  <c r="GR153" i="56"/>
  <c r="GR248" i="56"/>
  <c r="N248" i="56" s="1"/>
  <c r="GS248" i="56" s="1"/>
  <c r="HT339" i="56"/>
  <c r="GW339" i="56"/>
  <c r="GP339" i="56"/>
  <c r="GT339" i="56"/>
  <c r="GU339" i="56"/>
  <c r="HS339" i="56" s="1"/>
  <c r="HM42" i="56" a="1"/>
  <c r="HM42" i="56" s="1"/>
  <c r="HN42" i="56" s="1"/>
  <c r="HQ42" i="56" a="1"/>
  <c r="HQ42" i="56" s="1"/>
  <c r="HR42" i="56" s="1"/>
  <c r="HG42" i="56" a="1"/>
  <c r="HG42" i="56" s="1"/>
  <c r="HH42" i="56" s="1"/>
  <c r="HI42" i="56" a="1"/>
  <c r="HI42" i="56" s="1"/>
  <c r="HJ42" i="56" s="1"/>
  <c r="HO42" i="56" a="1"/>
  <c r="HO42" i="56" s="1"/>
  <c r="HP42" i="56" s="1"/>
  <c r="HK42" i="56" a="1"/>
  <c r="HK42" i="56" s="1"/>
  <c r="HL42" i="56" s="1"/>
  <c r="GR116" i="56"/>
  <c r="D79" i="58" a="1"/>
  <c r="D79" i="58" s="1"/>
  <c r="X277" i="42"/>
  <c r="HE33" i="56"/>
  <c r="HF33" i="56" s="1"/>
  <c r="HT33" i="56"/>
  <c r="HT190" i="56"/>
  <c r="GW190" i="56"/>
  <c r="GU190" i="56"/>
  <c r="HS190" i="56" s="1"/>
  <c r="GT190" i="56"/>
  <c r="GP190" i="56"/>
  <c r="C5" i="58" a="1"/>
  <c r="C5" i="58" s="1"/>
  <c r="IH219" i="56"/>
  <c r="GR219" i="56"/>
  <c r="BE18" i="55" a="1"/>
  <c r="BE18" i="55" s="1"/>
  <c r="EJ13" i="56"/>
  <c r="IN116" i="56"/>
  <c r="IO116" i="56" s="1"/>
  <c r="IN188" i="56"/>
  <c r="IO188" i="56" s="1"/>
  <c r="GN94" i="56"/>
  <c r="IK94" i="56" s="1"/>
  <c r="GO94" i="56"/>
  <c r="GM95" i="56"/>
  <c r="HE94" i="56"/>
  <c r="HF94" i="56" s="1"/>
  <c r="D75" i="58" a="1"/>
  <c r="D75" i="58" s="1"/>
  <c r="IH272" i="56"/>
  <c r="IN272" i="56" s="1"/>
  <c r="GR272" i="56"/>
  <c r="N272" i="56" s="1"/>
  <c r="GS272" i="56" s="1"/>
  <c r="EA30" i="56"/>
  <c r="DZ30" i="56" a="1"/>
  <c r="DZ30" i="56" s="1"/>
  <c r="IH72" i="56"/>
  <c r="IN72" i="56" s="1"/>
  <c r="GR72" i="56"/>
  <c r="N72" i="56" s="1"/>
  <c r="GS72" i="56" s="1"/>
  <c r="IN215" i="56"/>
  <c r="IO215" i="56" s="1"/>
  <c r="X35" i="42"/>
  <c r="X321" i="42"/>
  <c r="IN258" i="56"/>
  <c r="IO258" i="56" s="1"/>
  <c r="BE24" i="55" a="1"/>
  <c r="BE24" i="55" s="1"/>
  <c r="EJ19" i="56"/>
  <c r="EA282" i="56"/>
  <c r="DZ282" i="56" a="1"/>
  <c r="DZ282" i="56" s="1"/>
  <c r="HC257" i="56"/>
  <c r="HT347" i="56"/>
  <c r="GT347" i="56"/>
  <c r="GP347" i="56"/>
  <c r="GU347" i="56"/>
  <c r="HS347" i="56" s="1"/>
  <c r="GW347" i="56"/>
  <c r="X312" i="42"/>
  <c r="IH86" i="56"/>
  <c r="IN86" i="56" s="1"/>
  <c r="IO86" i="56" s="1"/>
  <c r="GR86" i="56"/>
  <c r="N86" i="56" s="1"/>
  <c r="GS86" i="56" s="1"/>
  <c r="HC39" i="56"/>
  <c r="IO321" i="56"/>
  <c r="EA140" i="56"/>
  <c r="DZ140" i="56" a="1"/>
  <c r="DZ140" i="56" s="1"/>
  <c r="IH286" i="56"/>
  <c r="IN286" i="56" s="1"/>
  <c r="IO286" i="56" s="1"/>
  <c r="GR286" i="56"/>
  <c r="N286" i="56" s="1"/>
  <c r="GS286" i="56" s="1"/>
  <c r="GR297" i="56"/>
  <c r="GT286" i="56"/>
  <c r="GR298" i="56"/>
  <c r="GR311" i="56"/>
  <c r="GR288" i="56"/>
  <c r="N288" i="56" s="1"/>
  <c r="GS288" i="56" s="1"/>
  <c r="GR299" i="56"/>
  <c r="GR304" i="56"/>
  <c r="GR302" i="56"/>
  <c r="GR291" i="56"/>
  <c r="N291" i="56" s="1"/>
  <c r="GS291" i="56" s="1"/>
  <c r="GR292" i="56"/>
  <c r="GR305" i="56"/>
  <c r="GQ3" i="56"/>
  <c r="FX3" i="56"/>
  <c r="GR255" i="56"/>
  <c r="GR171" i="56"/>
  <c r="HC331" i="56"/>
  <c r="HC334" i="56"/>
  <c r="HC333" i="56"/>
  <c r="HC330" i="56"/>
  <c r="HC332" i="56"/>
  <c r="GR145" i="56"/>
  <c r="IN216" i="56"/>
  <c r="IO216" i="56" s="1"/>
  <c r="HT321" i="56"/>
  <c r="GW321" i="56"/>
  <c r="GU321" i="56"/>
  <c r="HS321" i="56" s="1"/>
  <c r="GP321" i="56"/>
  <c r="GT321" i="56"/>
  <c r="HC273" i="56"/>
  <c r="GQ51" i="56"/>
  <c r="FX51" i="56"/>
  <c r="HC226" i="56"/>
  <c r="EA147" i="56"/>
  <c r="DZ147" i="56" a="1"/>
  <c r="DZ147" i="56" s="1"/>
  <c r="GR123" i="56"/>
  <c r="N123" i="56" s="1"/>
  <c r="GS123" i="56" s="1"/>
  <c r="IH142" i="56"/>
  <c r="GR142" i="56"/>
  <c r="IN48" i="56"/>
  <c r="IO48" i="56" s="1"/>
  <c r="EA195" i="56"/>
  <c r="DZ195" i="56" a="1"/>
  <c r="DZ195" i="56" s="1"/>
  <c r="FZ154" i="56"/>
  <c r="CU154" i="56"/>
  <c r="CY154" i="56" s="1"/>
  <c r="DI154" i="56"/>
  <c r="GV154" i="56" s="1"/>
  <c r="EA139" i="56"/>
  <c r="DZ139" i="56" a="1"/>
  <c r="DZ139" i="56" s="1"/>
  <c r="FY3" i="56"/>
  <c r="FB3" i="56"/>
  <c r="GQ4" i="56"/>
  <c r="FX4" i="56"/>
  <c r="GR220" i="56"/>
  <c r="N220" i="56" s="1"/>
  <c r="GS220" i="56" s="1"/>
  <c r="GT329" i="56"/>
  <c r="EA239" i="56"/>
  <c r="DZ239" i="56" a="1"/>
  <c r="DZ239" i="56" s="1"/>
  <c r="GU36" i="56"/>
  <c r="HS36" i="56" s="1"/>
  <c r="GW36" i="56"/>
  <c r="GP36" i="56"/>
  <c r="GT36" i="56"/>
  <c r="HQ105" i="56" a="1"/>
  <c r="HQ105" i="56" s="1"/>
  <c r="HR105" i="56" s="1"/>
  <c r="HM105" i="56" a="1"/>
  <c r="HM105" i="56" s="1"/>
  <c r="HN105" i="56" s="1"/>
  <c r="HO105" i="56" a="1"/>
  <c r="HO105" i="56" s="1"/>
  <c r="HP105" i="56" s="1"/>
  <c r="HK105" i="56" a="1"/>
  <c r="HK105" i="56" s="1"/>
  <c r="HL105" i="56" s="1"/>
  <c r="HI105" i="56" a="1"/>
  <c r="HI105" i="56" s="1"/>
  <c r="HJ105" i="56" s="1"/>
  <c r="HG105" i="56" a="1"/>
  <c r="HG105" i="56" s="1"/>
  <c r="HH105" i="56" s="1"/>
  <c r="HE323" i="56"/>
  <c r="HF323" i="56" s="1"/>
  <c r="FZ12" i="56"/>
  <c r="CU12" i="56"/>
  <c r="CY12" i="56" s="1"/>
  <c r="DI12" i="56"/>
  <c r="GV12" i="56" s="1"/>
  <c r="HC96" i="56"/>
  <c r="HC98" i="56"/>
  <c r="HC99" i="56"/>
  <c r="HC90" i="56"/>
  <c r="HC93" i="56"/>
  <c r="HC89" i="56"/>
  <c r="HC101" i="56"/>
  <c r="HC95" i="56"/>
  <c r="HC97" i="56"/>
  <c r="HC94" i="56"/>
  <c r="HC100" i="56"/>
  <c r="HC92" i="56"/>
  <c r="HC91" i="56"/>
  <c r="IO126" i="56"/>
  <c r="HM11" i="56" a="1"/>
  <c r="HM11" i="56" s="1"/>
  <c r="HN11" i="56" s="1"/>
  <c r="HI11" i="56" a="1"/>
  <c r="HI11" i="56" s="1"/>
  <c r="HJ11" i="56" s="1"/>
  <c r="HQ11" i="56" a="1"/>
  <c r="HQ11" i="56" s="1"/>
  <c r="HR11" i="56" s="1"/>
  <c r="HG11" i="56" a="1"/>
  <c r="HG11" i="56" s="1"/>
  <c r="HH11" i="56" s="1"/>
  <c r="HK11" i="56" a="1"/>
  <c r="HK11" i="56" s="1"/>
  <c r="HL11" i="56" s="1"/>
  <c r="HO11" i="56" a="1"/>
  <c r="HO11" i="56" s="1"/>
  <c r="HP11" i="56" s="1"/>
  <c r="IN236" i="56"/>
  <c r="IO236" i="56" s="1"/>
  <c r="HQ339" i="56" a="1"/>
  <c r="HQ339" i="56" s="1"/>
  <c r="HR339" i="56" s="1"/>
  <c r="HO339" i="56" a="1"/>
  <c r="HO339" i="56" s="1"/>
  <c r="HP339" i="56" s="1"/>
  <c r="HK339" i="56" a="1"/>
  <c r="HK339" i="56" s="1"/>
  <c r="HL339" i="56" s="1"/>
  <c r="HG339" i="56" a="1"/>
  <c r="HG339" i="56" s="1"/>
  <c r="HH339" i="56" s="1"/>
  <c r="HI339" i="56" a="1"/>
  <c r="HI339" i="56" s="1"/>
  <c r="HJ339" i="56" s="1"/>
  <c r="HM339" i="56" a="1"/>
  <c r="HM339" i="56" s="1"/>
  <c r="HN339" i="56" s="1"/>
  <c r="IO308" i="56"/>
  <c r="EA245" i="56"/>
  <c r="DZ245" i="56" a="1"/>
  <c r="DZ245" i="56" s="1"/>
  <c r="DU31" i="56"/>
  <c r="DU3" i="56"/>
  <c r="EA264" i="56"/>
  <c r="DZ264" i="56" a="1"/>
  <c r="DZ264" i="56" s="1"/>
  <c r="H53" i="58" a="1"/>
  <c r="H53" i="58" s="1"/>
  <c r="IO281" i="56"/>
  <c r="HQ320" i="56" a="1"/>
  <c r="HQ320" i="56" s="1"/>
  <c r="HR320" i="56" s="1"/>
  <c r="HO320" i="56" a="1"/>
  <c r="HO320" i="56" s="1"/>
  <c r="HP320" i="56" s="1"/>
  <c r="HI320" i="56" a="1"/>
  <c r="HI320" i="56" s="1"/>
  <c r="HJ320" i="56" s="1"/>
  <c r="HG320" i="56" a="1"/>
  <c r="HG320" i="56" s="1"/>
  <c r="HH320" i="56" s="1"/>
  <c r="HM320" i="56" a="1"/>
  <c r="HM320" i="56" s="1"/>
  <c r="HN320" i="56" s="1"/>
  <c r="HK320" i="56" a="1"/>
  <c r="HK320" i="56" s="1"/>
  <c r="HL320" i="56" s="1"/>
  <c r="IN238" i="56"/>
  <c r="HC238" i="56"/>
  <c r="IH312" i="56"/>
  <c r="GR312" i="56"/>
  <c r="HE107" i="56"/>
  <c r="HF107" i="56" s="1"/>
  <c r="HC222" i="56"/>
  <c r="HC221" i="56"/>
  <c r="HC191" i="56"/>
  <c r="HC223" i="56"/>
  <c r="HC198" i="56"/>
  <c r="HC185" i="56"/>
  <c r="HC210" i="56"/>
  <c r="HC199" i="56"/>
  <c r="HC213" i="56"/>
  <c r="HC187" i="56"/>
  <c r="HC203" i="56"/>
  <c r="HC197" i="56"/>
  <c r="HC209" i="56"/>
  <c r="HC192" i="56"/>
  <c r="HC188" i="56"/>
  <c r="HC204" i="56"/>
  <c r="HC193" i="56"/>
  <c r="HC212" i="56"/>
  <c r="HC194" i="56"/>
  <c r="HC215" i="56"/>
  <c r="HC196" i="56"/>
  <c r="HC217" i="56"/>
  <c r="GR136" i="56"/>
  <c r="N136" i="56" s="1"/>
  <c r="GS136" i="56" s="1"/>
  <c r="HE136" i="56" s="1"/>
  <c r="HF136" i="56" s="1"/>
  <c r="IN259" i="56"/>
  <c r="IO259" i="56" s="1"/>
  <c r="IN322" i="56"/>
  <c r="IO322" i="56" s="1"/>
  <c r="IO174" i="56"/>
  <c r="IN255" i="56"/>
  <c r="IO255" i="56" s="1"/>
  <c r="IH310" i="56"/>
  <c r="GR310" i="56"/>
  <c r="IO67" i="56"/>
  <c r="FY4" i="56"/>
  <c r="FB4" i="56"/>
  <c r="IO205" i="56"/>
  <c r="GR264" i="56"/>
  <c r="N264" i="56" s="1"/>
  <c r="GS264" i="56" s="1"/>
  <c r="IN145" i="56"/>
  <c r="IO145" i="56" s="1"/>
  <c r="GR124" i="56"/>
  <c r="IN265" i="56"/>
  <c r="IO265" i="56" s="1"/>
  <c r="HC247" i="56"/>
  <c r="IN137" i="56"/>
  <c r="IO137" i="56" s="1"/>
  <c r="GR300" i="56"/>
  <c r="HE58" i="56"/>
  <c r="HF58" i="56" s="1"/>
  <c r="GR306" i="56"/>
  <c r="IN212" i="56"/>
  <c r="IO212" i="56" s="1"/>
  <c r="GR83" i="56"/>
  <c r="N83" i="56" s="1"/>
  <c r="GS83" i="56" s="1"/>
  <c r="IN153" i="56"/>
  <c r="IO153" i="56" s="1"/>
  <c r="IH334" i="56"/>
  <c r="GR334" i="56"/>
  <c r="N334" i="56" s="1"/>
  <c r="GS334" i="56" s="1"/>
  <c r="GT334" i="56"/>
  <c r="IN177" i="56"/>
  <c r="IO177" i="56" s="1"/>
  <c r="EA243" i="56"/>
  <c r="DZ243" i="56" a="1"/>
  <c r="DZ243" i="56" s="1"/>
  <c r="HT106" i="56"/>
  <c r="GT106" i="56"/>
  <c r="GU106" i="56"/>
  <c r="HS106" i="56" s="1"/>
  <c r="GW106" i="56"/>
  <c r="GP106" i="56"/>
  <c r="IN276" i="56"/>
  <c r="IO276" i="56" s="1"/>
  <c r="HT135" i="56"/>
  <c r="GW135" i="56"/>
  <c r="GT135" i="56"/>
  <c r="GU135" i="56"/>
  <c r="HS135" i="56" s="1"/>
  <c r="GP135" i="56"/>
  <c r="IN287" i="56"/>
  <c r="IO287" i="56" s="1"/>
  <c r="D9" i="58" a="1"/>
  <c r="D9" i="58" s="1"/>
  <c r="IH36" i="56"/>
  <c r="IN36" i="56" s="1"/>
  <c r="GR36" i="56"/>
  <c r="N36" i="56" s="1"/>
  <c r="GS36" i="56" s="1"/>
  <c r="HE36" i="56" s="1"/>
  <c r="HF36" i="56" s="1"/>
  <c r="GW30" i="56"/>
  <c r="GT30" i="56"/>
  <c r="GU30" i="56"/>
  <c r="HS30" i="56" s="1"/>
  <c r="GP30" i="56"/>
  <c r="GR309" i="56"/>
  <c r="D31" i="58" a="1"/>
  <c r="D31" i="58" s="1"/>
  <c r="HQ229" i="56" a="1"/>
  <c r="HQ229" i="56" s="1"/>
  <c r="HR229" i="56" s="1"/>
  <c r="EA205" i="56"/>
  <c r="DZ205" i="56" a="1"/>
  <c r="DZ205" i="56" s="1"/>
  <c r="IH47" i="56"/>
  <c r="IN47" i="56" s="1"/>
  <c r="GR47" i="56"/>
  <c r="N47" i="56" s="1"/>
  <c r="GS47" i="56" s="1"/>
  <c r="HE47" i="56" s="1"/>
  <c r="HF47" i="56" s="1"/>
  <c r="X498" i="42"/>
  <c r="GO160" i="56"/>
  <c r="GN160" i="56"/>
  <c r="IK160" i="56" s="1"/>
  <c r="GM161" i="56"/>
  <c r="HE161" i="56" s="1"/>
  <c r="HF161" i="56" s="1"/>
  <c r="IN197" i="56"/>
  <c r="IO197" i="56" s="1"/>
  <c r="X412" i="42"/>
  <c r="IO209" i="56"/>
  <c r="HE192" i="56"/>
  <c r="HF192" i="56" s="1"/>
  <c r="DU29" i="56"/>
  <c r="EA242" i="56"/>
  <c r="DZ242" i="56" a="1"/>
  <c r="DZ242" i="56" s="1"/>
  <c r="IO348" i="56"/>
  <c r="IN245" i="56"/>
  <c r="IO245" i="56" s="1"/>
  <c r="IO217" i="56"/>
  <c r="DU4" i="56"/>
  <c r="GR120" i="56"/>
  <c r="HC270" i="56"/>
  <c r="H76" i="58" a="1"/>
  <c r="H76" i="58" s="1"/>
  <c r="IO238" i="56"/>
  <c r="GR140" i="56"/>
  <c r="IN201" i="56"/>
  <c r="IO201" i="56" s="1"/>
  <c r="EA272" i="56"/>
  <c r="DZ272" i="56" a="1"/>
  <c r="DZ272" i="56" s="1"/>
  <c r="IN61" i="56"/>
  <c r="IO61" i="56" s="1"/>
  <c r="IN181" i="56"/>
  <c r="IO181" i="56" s="1"/>
  <c r="EA259" i="56"/>
  <c r="DZ259" i="56" a="1"/>
  <c r="DZ259" i="56" s="1"/>
  <c r="HC190" i="56"/>
  <c r="GR176" i="56"/>
  <c r="IN37" i="56"/>
  <c r="HE327" i="56"/>
  <c r="HF327" i="56" s="1"/>
  <c r="HT327" i="56"/>
  <c r="GN11" i="56"/>
  <c r="GO11" i="56"/>
  <c r="GM12" i="56"/>
  <c r="HT320" i="56"/>
  <c r="EA34" i="56"/>
  <c r="DZ34" i="56" a="1"/>
  <c r="DZ34" i="56" s="1"/>
  <c r="IN240" i="56"/>
  <c r="IO240" i="56" s="1"/>
  <c r="IN162" i="56"/>
  <c r="IN242" i="56"/>
  <c r="IO242" i="56" s="1"/>
  <c r="EA207" i="56"/>
  <c r="DZ207" i="56" a="1"/>
  <c r="DZ207" i="56" s="1"/>
  <c r="HK285" i="56" a="1"/>
  <c r="HK285" i="56" s="1"/>
  <c r="HL285" i="56" s="1"/>
  <c r="HI285" i="56" a="1"/>
  <c r="HI285" i="56" s="1"/>
  <c r="HJ285" i="56" s="1"/>
  <c r="HO285" i="56" a="1"/>
  <c r="HO285" i="56" s="1"/>
  <c r="HP285" i="56" s="1"/>
  <c r="HM285" i="56" a="1"/>
  <c r="HM285" i="56" s="1"/>
  <c r="HN285" i="56" s="1"/>
  <c r="HG285" i="56" a="1"/>
  <c r="HG285" i="56" s="1"/>
  <c r="HH285" i="56" s="1"/>
  <c r="HQ285" i="56" a="1"/>
  <c r="HQ285" i="56" s="1"/>
  <c r="HR285" i="56" s="1"/>
  <c r="IN323" i="56"/>
  <c r="IO323" i="56" s="1"/>
  <c r="GR281" i="56"/>
  <c r="N281" i="56" s="1"/>
  <c r="GS281" i="56" s="1"/>
  <c r="X432" i="42"/>
  <c r="HE345" i="56"/>
  <c r="HF345" i="56" s="1"/>
  <c r="HT345" i="56"/>
  <c r="IN193" i="56"/>
  <c r="IO193" i="56" s="1"/>
  <c r="H78" i="58" a="1"/>
  <c r="H78" i="58" s="1"/>
  <c r="HT159" i="56"/>
  <c r="GW159" i="56"/>
  <c r="GT159" i="56"/>
  <c r="GU159" i="56"/>
  <c r="HS159" i="56" s="1"/>
  <c r="GP159" i="56"/>
  <c r="EA208" i="56"/>
  <c r="DZ208" i="56" a="1"/>
  <c r="DZ208" i="56" s="1"/>
  <c r="HC242" i="56"/>
  <c r="IN309" i="56"/>
  <c r="IO309" i="56" s="1"/>
  <c r="C83" i="58" a="1"/>
  <c r="C83" i="58" s="1"/>
  <c r="IN24" i="56"/>
  <c r="IO24" i="56" s="1"/>
  <c r="IN339" i="56"/>
  <c r="IO339" i="56" s="1"/>
  <c r="EA342" i="56"/>
  <c r="DZ342" i="56" a="1"/>
  <c r="DZ342" i="56" s="1"/>
  <c r="HC278" i="56"/>
  <c r="HC318" i="56"/>
  <c r="HC321" i="56"/>
  <c r="HC322" i="56"/>
  <c r="HC319" i="56"/>
  <c r="HC323" i="56"/>
  <c r="HC324" i="56"/>
  <c r="HC320" i="56"/>
  <c r="HC243" i="56"/>
  <c r="EA268" i="56"/>
  <c r="DZ268" i="56" a="1"/>
  <c r="DZ268" i="56" s="1"/>
  <c r="EA214" i="56"/>
  <c r="DZ214" i="56" a="1"/>
  <c r="DZ214" i="56" s="1"/>
  <c r="GR143" i="56"/>
  <c r="GR68" i="56"/>
  <c r="GR175" i="56"/>
  <c r="IO37" i="56"/>
  <c r="GR180" i="56"/>
  <c r="N180" i="56" s="1"/>
  <c r="GS180" i="56" s="1"/>
  <c r="HC51" i="56"/>
  <c r="EA211" i="56"/>
  <c r="DZ211" i="56" a="1"/>
  <c r="DZ211" i="56" s="1"/>
  <c r="GR113" i="56"/>
  <c r="HT10" i="56"/>
  <c r="GW10" i="56"/>
  <c r="GP10" i="56"/>
  <c r="GU10" i="56"/>
  <c r="GR260" i="56"/>
  <c r="N260" i="56" s="1"/>
  <c r="GS260" i="56" s="1"/>
  <c r="FZ283" i="56"/>
  <c r="CU283" i="56"/>
  <c r="CY283" i="56" s="1"/>
  <c r="DI283" i="56"/>
  <c r="GV283" i="56" s="1"/>
  <c r="HT35" i="56"/>
  <c r="HC211" i="56"/>
  <c r="GR172" i="56"/>
  <c r="IN300" i="56"/>
  <c r="IO300" i="56" s="1"/>
  <c r="IN105" i="56"/>
  <c r="IO105" i="56" s="1"/>
  <c r="IN58" i="56"/>
  <c r="IO58" i="56" s="1"/>
  <c r="IO162" i="56"/>
  <c r="IN83" i="56"/>
  <c r="IO83" i="56" s="1"/>
  <c r="IH346" i="56"/>
  <c r="GR346" i="56"/>
  <c r="FZ19" i="56"/>
  <c r="CU19" i="56"/>
  <c r="CY19" i="56" s="1"/>
  <c r="DI19" i="56"/>
  <c r="GV19" i="56" s="1"/>
  <c r="HQ90" i="56" a="1"/>
  <c r="HQ90" i="56" s="1"/>
  <c r="HR90" i="56" s="1"/>
  <c r="HM90" i="56" a="1"/>
  <c r="HM90" i="56" s="1"/>
  <c r="HN90" i="56" s="1"/>
  <c r="HO90" i="56" a="1"/>
  <c r="HO90" i="56" s="1"/>
  <c r="HP90" i="56" s="1"/>
  <c r="HI90" i="56" a="1"/>
  <c r="HI90" i="56" s="1"/>
  <c r="HJ90" i="56" s="1"/>
  <c r="HG90" i="56" a="1"/>
  <c r="HG90" i="56" s="1"/>
  <c r="HH90" i="56" s="1"/>
  <c r="HK90" i="56" a="1"/>
  <c r="HK90" i="56" s="1"/>
  <c r="HL90" i="56" s="1"/>
  <c r="GR125" i="56"/>
  <c r="EA280" i="56"/>
  <c r="DZ280" i="56" a="1"/>
  <c r="DZ280" i="56" s="1"/>
  <c r="HE342" i="56"/>
  <c r="HF342" i="56" s="1"/>
  <c r="HT342" i="56"/>
  <c r="IH134" i="56"/>
  <c r="GR134" i="56"/>
  <c r="N134" i="56" s="1"/>
  <c r="GS134" i="56" s="1"/>
  <c r="GR141" i="56"/>
  <c r="GR146" i="56"/>
  <c r="GR135" i="56"/>
  <c r="GR147" i="56"/>
  <c r="GR150" i="56"/>
  <c r="N150" i="56" s="1"/>
  <c r="GS150" i="56" s="1"/>
  <c r="D53" i="58" a="1"/>
  <c r="D53" i="58" s="1"/>
  <c r="D20" i="58" a="1"/>
  <c r="D20" i="58" s="1"/>
  <c r="HC245" i="56"/>
  <c r="IN93" i="56"/>
  <c r="IO93" i="56" s="1"/>
  <c r="IH78" i="56"/>
  <c r="GR78" i="56"/>
  <c r="HO35" i="56" a="1"/>
  <c r="HO35" i="56" s="1"/>
  <c r="HP35" i="56" s="1"/>
  <c r="HK35" i="56" a="1"/>
  <c r="HK35" i="56" s="1"/>
  <c r="HL35" i="56" s="1"/>
  <c r="HQ35" i="56" a="1"/>
  <c r="HQ35" i="56" s="1"/>
  <c r="HR35" i="56" s="1"/>
  <c r="HM35" i="56" a="1"/>
  <c r="HM35" i="56" s="1"/>
  <c r="HN35" i="56" s="1"/>
  <c r="HG35" i="56" a="1"/>
  <c r="HG35" i="56" s="1"/>
  <c r="HH35" i="56" s="1"/>
  <c r="HI35" i="56" a="1"/>
  <c r="HI35" i="56" s="1"/>
  <c r="HJ35" i="56" s="1"/>
  <c r="IN136" i="56"/>
  <c r="IO136" i="56" s="1"/>
  <c r="GR121" i="56"/>
  <c r="IN176" i="56"/>
  <c r="IO176" i="56" s="1"/>
  <c r="EA134" i="56"/>
  <c r="DZ134" i="56" a="1"/>
  <c r="DZ134" i="56" s="1"/>
  <c r="IO152" i="56"/>
  <c r="IN327" i="56"/>
  <c r="IO327" i="56" s="1"/>
  <c r="EA273" i="56"/>
  <c r="DZ273" i="56" a="1"/>
  <c r="DZ273" i="56" s="1"/>
  <c r="HC130" i="56"/>
  <c r="HC152" i="56"/>
  <c r="IH230" i="56"/>
  <c r="GR230" i="56"/>
  <c r="N230" i="56" s="1"/>
  <c r="GS230" i="56" s="1"/>
  <c r="HE230" i="56" s="1"/>
  <c r="HF230" i="56" s="1"/>
  <c r="GR266" i="56"/>
  <c r="N266" i="56" s="1"/>
  <c r="GS266" i="56" s="1"/>
  <c r="GR241" i="56"/>
  <c r="GR246" i="56"/>
  <c r="GR251" i="56"/>
  <c r="GR250" i="56"/>
  <c r="GR268" i="56"/>
  <c r="N268" i="56" s="1"/>
  <c r="GS268" i="56" s="1"/>
  <c r="GR256" i="56"/>
  <c r="GR275" i="56"/>
  <c r="N275" i="56" s="1"/>
  <c r="GS275" i="56" s="1"/>
  <c r="GR232" i="56"/>
  <c r="N232" i="56" s="1"/>
  <c r="GS232" i="56" s="1"/>
  <c r="GR249" i="56"/>
  <c r="N249" i="56" s="1"/>
  <c r="GS249" i="56" s="1"/>
  <c r="GR128" i="56"/>
  <c r="HE337" i="56"/>
  <c r="HF337" i="56" s="1"/>
  <c r="HT337" i="56"/>
  <c r="FZ15" i="56"/>
  <c r="CU15" i="56"/>
  <c r="CY15" i="56" s="1"/>
  <c r="DI15" i="56"/>
  <c r="GV15" i="56" s="1"/>
  <c r="HC258" i="56"/>
  <c r="IN306" i="56"/>
  <c r="IO306" i="56" s="1"/>
  <c r="IH214" i="56"/>
  <c r="GR214" i="56"/>
  <c r="GR183" i="56"/>
  <c r="GR277" i="56"/>
  <c r="N277" i="56" s="1"/>
  <c r="GS277" i="56" s="1"/>
  <c r="FZ330" i="56"/>
  <c r="CU330" i="56"/>
  <c r="CY330" i="56" s="1"/>
  <c r="DI330" i="56"/>
  <c r="GV330" i="56" s="1"/>
  <c r="X224" i="42"/>
  <c r="X349" i="42"/>
  <c r="X380" i="42"/>
  <c r="X14" i="42"/>
  <c r="X351" i="42"/>
  <c r="X102" i="42"/>
  <c r="X376" i="42"/>
  <c r="X99" i="42"/>
  <c r="X442" i="42"/>
  <c r="X427" i="42"/>
  <c r="X61" i="42"/>
  <c r="X262" i="42"/>
  <c r="X67" i="42"/>
  <c r="X255" i="42"/>
  <c r="X175" i="42"/>
  <c r="X456" i="42"/>
  <c r="X222" i="42"/>
  <c r="X94" i="42"/>
  <c r="X76" i="42"/>
  <c r="X416" i="42"/>
  <c r="X441" i="42"/>
  <c r="X134" i="42"/>
  <c r="X363" i="42"/>
  <c r="X211" i="42"/>
  <c r="X115" i="42"/>
  <c r="X473" i="42"/>
  <c r="X158" i="42"/>
  <c r="X18" i="42"/>
  <c r="X413" i="42"/>
  <c r="X450" i="42"/>
  <c r="X285" i="42"/>
  <c r="X313" i="42"/>
  <c r="X478" i="42"/>
  <c r="X283" i="42"/>
  <c r="X197" i="42"/>
  <c r="X212" i="42"/>
  <c r="X342" i="42"/>
  <c r="X228" i="42"/>
  <c r="X116" i="42"/>
  <c r="X415" i="42"/>
  <c r="X270" i="42"/>
  <c r="X62" i="42"/>
  <c r="X382" i="42"/>
  <c r="X278" i="42"/>
  <c r="X113" i="42"/>
  <c r="X139" i="42"/>
  <c r="X79" i="42"/>
  <c r="X284" i="42"/>
  <c r="X302" i="42"/>
  <c r="X292" i="42"/>
  <c r="X365" i="42"/>
  <c r="X257" i="42"/>
  <c r="AD373" i="42"/>
  <c r="AD298" i="42"/>
  <c r="AD481" i="42"/>
  <c r="X129" i="42"/>
  <c r="AD463" i="42"/>
  <c r="X38" i="42"/>
  <c r="X42" i="42"/>
  <c r="X198" i="42"/>
  <c r="X232" i="42"/>
  <c r="X392" i="42"/>
  <c r="X474" i="42"/>
  <c r="X156" i="42"/>
  <c r="X254" i="42"/>
  <c r="X468" i="42"/>
  <c r="X119" i="42"/>
  <c r="X249" i="42"/>
  <c r="X244" i="42"/>
  <c r="X386" i="42"/>
  <c r="X464" i="42"/>
  <c r="X58" i="42"/>
  <c r="X288" i="42"/>
  <c r="X168" i="42"/>
  <c r="X207" i="42"/>
  <c r="X209" i="42"/>
  <c r="X452" i="42"/>
  <c r="X81" i="42"/>
  <c r="X112" i="42"/>
  <c r="X387" i="42"/>
  <c r="X44" i="42"/>
  <c r="X83" i="42"/>
  <c r="X397" i="42"/>
  <c r="X485" i="42"/>
  <c r="X236" i="42"/>
  <c r="X193" i="42"/>
  <c r="X30" i="42"/>
  <c r="X324" i="42"/>
  <c r="X487" i="42"/>
  <c r="X103" i="42"/>
  <c r="X348" i="42"/>
  <c r="X214" i="42"/>
  <c r="X314" i="42"/>
  <c r="X201" i="42"/>
  <c r="X350" i="42"/>
  <c r="X486" i="42"/>
  <c r="X420" i="42"/>
  <c r="X405" i="42"/>
  <c r="X217" i="42"/>
  <c r="X241" i="42"/>
  <c r="X40" i="42"/>
  <c r="X195" i="42"/>
  <c r="X143" i="42"/>
  <c r="X39" i="42"/>
  <c r="X359" i="42"/>
  <c r="X66" i="42"/>
  <c r="X223" i="42"/>
  <c r="X120" i="42"/>
  <c r="X150" i="42"/>
  <c r="X220" i="42"/>
  <c r="X304" i="42"/>
  <c r="X109" i="42"/>
  <c r="X461" i="42"/>
  <c r="X457" i="42"/>
  <c r="X398" i="42"/>
  <c r="X163" i="42"/>
  <c r="X465" i="42"/>
  <c r="X308" i="42"/>
  <c r="X403" i="42"/>
  <c r="X394" i="42"/>
  <c r="X178" i="42"/>
  <c r="X354" i="42"/>
  <c r="X21" i="42"/>
  <c r="X188" i="42"/>
  <c r="X73" i="42"/>
  <c r="X296" i="42"/>
  <c r="X318" i="42"/>
  <c r="X231" i="42"/>
  <c r="X309" i="42"/>
  <c r="X458" i="42"/>
  <c r="X170" i="42"/>
  <c r="X264" i="42"/>
  <c r="X57" i="42"/>
  <c r="X344" i="42"/>
  <c r="X340" i="42"/>
  <c r="X141" i="42"/>
  <c r="X431" i="42"/>
  <c r="X493" i="42"/>
  <c r="X346" i="42"/>
  <c r="X362" i="42"/>
  <c r="X414" i="42"/>
  <c r="X15" i="42"/>
  <c r="X496" i="42"/>
  <c r="AD288" i="42"/>
  <c r="X377" i="42"/>
  <c r="X182" i="42"/>
  <c r="X335" i="42"/>
  <c r="X199" i="42"/>
  <c r="X454" i="42"/>
  <c r="X279" i="42"/>
  <c r="X243" i="42"/>
  <c r="X471" i="42"/>
  <c r="X169" i="42"/>
  <c r="X51" i="42"/>
  <c r="X260" i="42"/>
  <c r="X482" i="42"/>
  <c r="X407" i="42"/>
  <c r="X144" i="42"/>
  <c r="X68" i="42"/>
  <c r="X215" i="42"/>
  <c r="X358" i="42"/>
  <c r="X157" i="42"/>
  <c r="X444" i="42"/>
  <c r="X88" i="42"/>
  <c r="X440" i="42"/>
  <c r="X190" i="42"/>
  <c r="X206" i="42"/>
  <c r="X429" i="42"/>
  <c r="X165" i="42"/>
  <c r="X184" i="42"/>
  <c r="X203" i="42"/>
  <c r="X330" i="42"/>
  <c r="X384" i="42"/>
  <c r="X221" i="42"/>
  <c r="X343" i="42"/>
  <c r="X92" i="42"/>
  <c r="X323" i="42"/>
  <c r="X256" i="42"/>
  <c r="X393" i="42"/>
  <c r="X131" i="42"/>
  <c r="X480" i="42"/>
  <c r="X107" i="42"/>
  <c r="X421" i="42"/>
  <c r="X186" i="42"/>
  <c r="X396" i="42"/>
  <c r="X80" i="42"/>
  <c r="X272" i="42"/>
  <c r="X46" i="42"/>
  <c r="X282" i="42"/>
  <c r="X423" i="42"/>
  <c r="X310" i="42"/>
  <c r="X96" i="42"/>
  <c r="X23" i="42"/>
  <c r="X29" i="42"/>
  <c r="X327" i="42"/>
  <c r="X259" i="42"/>
  <c r="X152" i="42"/>
  <c r="X208" i="42"/>
  <c r="X445" i="42"/>
  <c r="X373" i="42"/>
  <c r="X252" i="42"/>
  <c r="X411" i="42"/>
  <c r="X85" i="42"/>
  <c r="X71" i="42"/>
  <c r="X375" i="42"/>
  <c r="X399" i="42"/>
  <c r="X181" i="42"/>
  <c r="X446" i="42"/>
  <c r="X227" i="42"/>
  <c r="X320" i="42"/>
  <c r="X110" i="42"/>
  <c r="X63" i="42"/>
  <c r="X234" i="42"/>
  <c r="X439" i="42"/>
  <c r="X218" i="42"/>
  <c r="X124" i="42"/>
  <c r="X258" i="42"/>
  <c r="X11" i="42"/>
  <c r="X105" i="42"/>
  <c r="X128" i="42"/>
  <c r="X237" i="42"/>
  <c r="X353" i="42"/>
  <c r="X315" i="42"/>
  <c r="X53" i="42"/>
  <c r="X470" i="42"/>
  <c r="X369" i="42"/>
  <c r="X275" i="42"/>
  <c r="X64" i="42"/>
  <c r="X202" i="42"/>
  <c r="X238" i="42"/>
  <c r="X24" i="42"/>
  <c r="X489" i="42"/>
  <c r="X166" i="42"/>
  <c r="X89" i="42"/>
  <c r="X118" i="42"/>
  <c r="X77" i="42"/>
  <c r="X65" i="42"/>
  <c r="X54" i="42"/>
  <c r="X47" i="42"/>
  <c r="X298" i="42"/>
  <c r="X159" i="42"/>
  <c r="X70" i="42"/>
  <c r="X332" i="42"/>
  <c r="X142" i="42"/>
  <c r="X151" i="42"/>
  <c r="X167" i="42"/>
  <c r="X462" i="42"/>
  <c r="X306" i="42"/>
  <c r="X352" i="42"/>
  <c r="X176" i="42"/>
  <c r="X483" i="42"/>
  <c r="X183" i="42"/>
  <c r="X463" i="42"/>
  <c r="X180" i="42"/>
  <c r="X280" i="42"/>
  <c r="X488" i="42"/>
  <c r="X443" i="42"/>
  <c r="X117" i="42"/>
  <c r="X329" i="42"/>
  <c r="X481" i="42"/>
  <c r="X273" i="42"/>
  <c r="X328" i="42"/>
  <c r="X135" i="42"/>
  <c r="X191" i="42"/>
  <c r="X55" i="42"/>
  <c r="X436" i="42"/>
  <c r="X476" i="42"/>
  <c r="X276" i="42"/>
  <c r="X251" i="42"/>
  <c r="X455" i="42"/>
  <c r="X100" i="42"/>
  <c r="X261" i="42"/>
  <c r="X213" i="42"/>
  <c r="X48" i="42"/>
  <c r="X385" i="42"/>
  <c r="X16" i="42"/>
  <c r="X326" i="42"/>
  <c r="X301" i="42"/>
  <c r="X378" i="42"/>
  <c r="X93" i="42"/>
  <c r="X17" i="42"/>
  <c r="X84" i="42"/>
  <c r="X299" i="42"/>
  <c r="X247" i="42"/>
  <c r="X216" i="42"/>
  <c r="X466" i="42"/>
  <c r="X162" i="42"/>
  <c r="X319" i="42"/>
  <c r="X146" i="42"/>
  <c r="X374" i="42"/>
  <c r="X333" i="42"/>
  <c r="X122" i="42"/>
  <c r="X497" i="42"/>
  <c r="X268" i="42"/>
  <c r="X390" i="42"/>
  <c r="X424" i="42"/>
  <c r="X289" i="42"/>
  <c r="X422" i="42"/>
  <c r="X185" i="42"/>
  <c r="X174" i="42"/>
  <c r="X372" i="42"/>
  <c r="X50" i="42"/>
  <c r="X210" i="42"/>
  <c r="X52" i="42"/>
  <c r="X250" i="42"/>
  <c r="X242" i="42"/>
  <c r="X225" i="42"/>
  <c r="X499" i="42"/>
  <c r="X28" i="42"/>
  <c r="X484" i="42"/>
  <c r="X59" i="42"/>
  <c r="X290" i="42"/>
  <c r="X339" i="42"/>
  <c r="X295" i="42"/>
  <c r="X453" i="42"/>
  <c r="X294" i="42"/>
  <c r="X205" i="42"/>
  <c r="X430" i="42"/>
  <c r="X300" i="42"/>
  <c r="X368" i="42"/>
  <c r="X337" i="42"/>
  <c r="X449" i="42"/>
  <c r="X136" i="42"/>
  <c r="X274" i="42"/>
  <c r="X400" i="42"/>
  <c r="X360" i="42"/>
  <c r="X366" i="42"/>
  <c r="X43" i="42"/>
  <c r="X106" i="42"/>
  <c r="X408" i="42"/>
  <c r="X200" i="42"/>
  <c r="X189" i="42"/>
  <c r="X495" i="42"/>
  <c r="X91" i="42"/>
  <c r="X56" i="42"/>
  <c r="X357" i="42"/>
  <c r="X36" i="42"/>
  <c r="X104" i="42"/>
  <c r="X395" i="42"/>
  <c r="X138" i="42"/>
  <c r="X233" i="42"/>
  <c r="X121" i="42"/>
  <c r="X33" i="42"/>
  <c r="X153" i="42"/>
  <c r="X49" i="42"/>
  <c r="X160" i="42"/>
  <c r="X467" i="42"/>
  <c r="X172" i="42"/>
  <c r="X235" i="42"/>
  <c r="X25" i="42"/>
  <c r="X219" i="42"/>
  <c r="X433" i="42"/>
  <c r="X69" i="42"/>
  <c r="X78" i="42"/>
  <c r="X361" i="42"/>
  <c r="X419" i="42"/>
  <c r="X322" i="42"/>
  <c r="X500" i="42"/>
  <c r="X204" i="42"/>
  <c r="X239" i="42"/>
  <c r="X253" i="42"/>
  <c r="X145" i="42"/>
  <c r="X41" i="42"/>
  <c r="X316" i="42"/>
  <c r="X367" i="42"/>
  <c r="X267" i="42"/>
  <c r="X287" i="42"/>
  <c r="X477" i="42"/>
  <c r="X127" i="42"/>
  <c r="X60" i="42"/>
  <c r="X347" i="42"/>
  <c r="X336" i="42"/>
  <c r="X22" i="42"/>
  <c r="X75" i="42"/>
  <c r="X418" i="42"/>
  <c r="X86" i="42"/>
  <c r="X230" i="42"/>
  <c r="X137" i="42"/>
  <c r="X147" i="42"/>
  <c r="X171" i="42"/>
  <c r="X98" i="42"/>
  <c r="X37" i="42"/>
  <c r="X305" i="42"/>
  <c r="X148" i="42"/>
  <c r="X345" i="42"/>
  <c r="X379" i="42"/>
  <c r="X132" i="42"/>
  <c r="X406" i="42"/>
  <c r="X19" i="42"/>
  <c r="X334" i="42"/>
  <c r="X108" i="42"/>
  <c r="X125" i="42"/>
  <c r="X391" i="42"/>
  <c r="X154" i="42"/>
  <c r="X281" i="42"/>
  <c r="X95" i="42"/>
  <c r="X12" i="42"/>
  <c r="X266" i="42"/>
  <c r="X448" i="42"/>
  <c r="X32" i="42"/>
  <c r="X435" i="42"/>
  <c r="X263" i="42"/>
  <c r="X371" i="42"/>
  <c r="X338" i="42"/>
  <c r="X286" i="42"/>
  <c r="X434" i="42"/>
  <c r="X269" i="42"/>
  <c r="X226" i="42"/>
  <c r="X297" i="42"/>
  <c r="X140" i="42"/>
  <c r="X179" i="42"/>
  <c r="X271" i="42"/>
  <c r="X248" i="42"/>
  <c r="X494" i="42"/>
  <c r="X101" i="42"/>
  <c r="X317" i="42"/>
  <c r="X27" i="42"/>
  <c r="X194" i="42"/>
  <c r="X389" i="42"/>
  <c r="X459" i="42"/>
  <c r="X438" i="42"/>
  <c r="X492" i="42"/>
  <c r="X402" i="42"/>
  <c r="X20" i="42"/>
  <c r="X87" i="42"/>
  <c r="X426" i="42"/>
  <c r="X114" i="42"/>
  <c r="X417" i="42"/>
  <c r="X13" i="42"/>
  <c r="X126" i="42"/>
  <c r="X388" i="42"/>
  <c r="X149" i="42"/>
  <c r="X364" i="42"/>
  <c r="X307" i="42"/>
  <c r="X90" i="42"/>
  <c r="X381" i="42"/>
  <c r="X475" i="42"/>
  <c r="X491" i="42"/>
  <c r="X325" i="42"/>
  <c r="X97" i="42"/>
  <c r="X45" i="42"/>
  <c r="X479" i="42"/>
  <c r="X355" i="42"/>
  <c r="X469" i="42"/>
  <c r="X401" i="42"/>
  <c r="X187" i="42"/>
  <c r="X229" i="42"/>
  <c r="X460" i="42"/>
  <c r="X356" i="42"/>
  <c r="X26" i="42"/>
  <c r="X240" i="42"/>
  <c r="X331" i="42"/>
  <c r="X490" i="42"/>
  <c r="X265" i="42"/>
  <c r="X155" i="42"/>
  <c r="X451" i="42"/>
  <c r="X311" i="42"/>
  <c r="X133" i="42"/>
  <c r="X425" i="42"/>
  <c r="X383" i="42"/>
  <c r="X192" i="42"/>
  <c r="AD15" i="42"/>
  <c r="X428" i="42"/>
  <c r="X246" i="42"/>
  <c r="X341" i="42"/>
  <c r="X164" i="42"/>
  <c r="X72" i="42"/>
  <c r="X31" i="42"/>
  <c r="X34" i="42"/>
  <c r="X293" i="42"/>
  <c r="X123" i="42"/>
  <c r="X111" i="42"/>
  <c r="X196" i="42"/>
  <c r="X130" i="42"/>
  <c r="X245" i="42"/>
  <c r="AD206" i="42"/>
  <c r="X291" i="42"/>
  <c r="X437" i="42"/>
  <c r="X82" i="42"/>
  <c r="X410" i="42"/>
  <c r="AD143" i="42"/>
  <c r="AD278" i="42"/>
  <c r="AD51" i="42"/>
  <c r="AD345" i="42"/>
  <c r="AD398" i="42"/>
  <c r="AD241" i="42"/>
  <c r="AD40" i="42"/>
  <c r="AD118" i="42"/>
  <c r="AD313" i="42"/>
  <c r="AD246" i="42"/>
  <c r="AD435" i="42"/>
  <c r="AD25" i="42"/>
  <c r="AD139" i="42"/>
  <c r="AD325" i="42"/>
  <c r="AD333" i="42"/>
  <c r="AD299" i="42"/>
  <c r="AD55" i="42"/>
  <c r="AD329" i="42"/>
  <c r="AD149" i="42"/>
  <c r="AD467" i="42"/>
  <c r="AD267" i="42"/>
  <c r="AD426" i="42"/>
  <c r="AD486" i="42"/>
  <c r="AD244" i="42"/>
  <c r="AD477" i="42"/>
  <c r="AD331" i="42"/>
  <c r="AD119" i="42"/>
  <c r="AD147" i="42"/>
  <c r="AD423" i="42"/>
  <c r="AD184" i="42"/>
  <c r="AD357" i="42"/>
  <c r="AD381" i="42"/>
  <c r="AD495" i="42"/>
  <c r="AD483" i="42"/>
  <c r="AD494" i="42"/>
  <c r="AD412" i="42"/>
  <c r="AD245" i="42"/>
  <c r="AD16" i="42"/>
  <c r="AD12" i="42"/>
  <c r="AD399" i="42"/>
  <c r="AD106" i="42"/>
  <c r="AD402" i="42"/>
  <c r="AD458" i="42"/>
  <c r="AD437" i="42"/>
  <c r="AD372" i="42"/>
  <c r="AD306" i="42"/>
  <c r="AD242" i="42"/>
  <c r="AD274" i="42"/>
  <c r="AD19" i="42"/>
  <c r="AD350" i="42"/>
  <c r="AD382" i="42"/>
  <c r="AD287" i="42"/>
  <c r="AD113" i="42"/>
  <c r="AD450" i="42"/>
  <c r="AD234" i="42"/>
  <c r="AD167" i="42"/>
  <c r="AD49" i="42"/>
  <c r="AD195" i="42"/>
  <c r="AD279" i="42"/>
  <c r="AD226" i="42"/>
  <c r="AD305" i="42"/>
  <c r="AD307" i="42"/>
  <c r="AD73" i="42"/>
  <c r="AD150" i="42"/>
  <c r="AD424" i="42"/>
  <c r="AD472" i="42"/>
  <c r="AD344" i="42"/>
  <c r="AD459" i="42"/>
  <c r="AD148" i="42"/>
  <c r="AD181" i="42"/>
  <c r="AD174" i="42"/>
  <c r="AD436" i="42"/>
  <c r="AD59" i="42"/>
  <c r="AD445" i="42"/>
  <c r="AD247" i="42"/>
  <c r="AD24" i="42"/>
  <c r="AD384" i="42"/>
  <c r="AD88" i="42"/>
  <c r="AD487" i="42"/>
  <c r="AD470" i="42"/>
  <c r="AD386" i="42"/>
  <c r="AD262" i="42"/>
  <c r="AD335" i="42"/>
  <c r="AD395" i="42"/>
  <c r="AD275" i="42"/>
  <c r="AD122" i="42"/>
  <c r="AD193" i="42"/>
  <c r="AD91" i="42"/>
  <c r="AD111" i="42"/>
  <c r="AD225" i="42"/>
  <c r="AD340" i="42"/>
  <c r="AD61" i="42"/>
  <c r="AD185" i="42"/>
  <c r="AD26" i="42"/>
  <c r="AD489" i="42"/>
  <c r="AD465" i="42"/>
  <c r="AD374" i="42"/>
  <c r="AD308" i="42"/>
  <c r="AD285" i="42"/>
  <c r="AD197" i="42"/>
  <c r="AD254" i="42"/>
  <c r="AD92" i="42"/>
  <c r="AD255" i="42"/>
  <c r="AD256" i="42"/>
  <c r="AD239" i="42"/>
  <c r="AD68" i="42"/>
  <c r="AD431" i="42"/>
  <c r="AD14" i="42"/>
  <c r="AD97" i="42"/>
  <c r="AD117" i="42"/>
  <c r="AD169" i="42"/>
  <c r="AD74" i="42"/>
  <c r="AD30" i="42"/>
  <c r="AD34" i="42"/>
  <c r="AD151" i="42"/>
  <c r="AD231" i="42"/>
  <c r="AD348" i="42"/>
  <c r="AD263" i="42"/>
  <c r="AD408" i="42"/>
  <c r="AD105" i="42"/>
  <c r="AD37" i="42"/>
  <c r="AD317" i="42"/>
  <c r="AD440" i="42"/>
  <c r="AD351" i="42"/>
  <c r="AD64" i="42"/>
  <c r="AD120" i="42"/>
  <c r="AD303" i="42"/>
  <c r="AD203" i="42"/>
  <c r="AD176" i="42"/>
  <c r="AD336" i="42"/>
  <c r="AD198" i="42"/>
  <c r="AD114" i="42"/>
  <c r="AD442" i="42"/>
  <c r="AD66" i="42"/>
  <c r="AD132" i="42"/>
  <c r="AD391" i="42"/>
  <c r="AD438" i="42"/>
  <c r="AD476" i="42"/>
  <c r="AD448" i="42"/>
  <c r="AD488" i="42"/>
  <c r="AD53" i="42"/>
  <c r="AD490" i="42"/>
  <c r="AD449" i="42"/>
  <c r="AD332" i="42"/>
  <c r="AD338" i="42"/>
  <c r="AD219" i="42"/>
  <c r="AD211" i="42"/>
  <c r="AD415" i="42"/>
  <c r="AD166" i="42"/>
  <c r="AD378" i="42"/>
  <c r="AD107" i="42"/>
  <c r="AD388" i="42"/>
  <c r="AD89" i="42"/>
  <c r="AD464" i="42"/>
  <c r="AD419" i="42"/>
  <c r="AD214" i="42"/>
  <c r="AD272" i="42"/>
  <c r="AD316" i="42"/>
  <c r="AD404" i="42"/>
  <c r="AD284" i="42"/>
  <c r="AD27" i="42"/>
  <c r="AD282" i="42"/>
  <c r="AD422" i="42"/>
  <c r="AD491" i="42"/>
  <c r="AD390" i="42"/>
  <c r="AD71" i="42"/>
  <c r="AD406" i="42"/>
  <c r="AD50" i="42"/>
  <c r="AD451" i="42"/>
  <c r="AD229" i="42"/>
  <c r="AD249" i="42"/>
  <c r="AD98" i="42"/>
  <c r="AD77" i="42"/>
  <c r="AD277" i="42"/>
  <c r="AD36" i="42"/>
  <c r="AD385" i="42"/>
  <c r="AD96" i="42"/>
  <c r="AD253" i="42"/>
  <c r="AD85" i="42"/>
  <c r="AD154" i="42"/>
  <c r="AD121" i="42"/>
  <c r="AD276" i="42"/>
  <c r="AD112" i="42"/>
  <c r="AD192" i="42"/>
  <c r="AD43" i="42"/>
  <c r="AD309" i="42"/>
  <c r="AD228" i="42"/>
  <c r="AD362" i="42"/>
  <c r="AD212" i="42"/>
  <c r="AD155" i="42"/>
  <c r="AD420" i="42"/>
  <c r="AD235" i="42"/>
  <c r="AD482" i="42"/>
  <c r="AD205" i="42"/>
  <c r="AD410" i="42"/>
  <c r="AD327" i="42"/>
  <c r="AD140" i="42"/>
  <c r="AD44" i="42"/>
  <c r="AD209" i="42"/>
  <c r="AD460" i="42"/>
  <c r="AD434" i="42"/>
  <c r="AD304" i="42"/>
  <c r="AD145" i="42"/>
  <c r="AD296" i="42"/>
  <c r="AD301" i="42"/>
  <c r="AD337" i="42"/>
  <c r="AD191" i="42"/>
  <c r="AD207" i="42"/>
  <c r="AD258" i="42"/>
  <c r="AD310" i="42"/>
  <c r="AD38" i="42"/>
  <c r="AD210" i="42"/>
  <c r="AD173" i="42"/>
  <c r="AD233" i="42"/>
  <c r="AD312" i="42"/>
  <c r="AD342" i="42"/>
  <c r="AD444" i="42"/>
  <c r="AD369" i="42"/>
  <c r="AD443" i="42"/>
  <c r="AD218" i="42"/>
  <c r="AD164" i="42"/>
  <c r="AD455" i="42"/>
  <c r="AD251" i="42"/>
  <c r="AD141" i="42"/>
  <c r="AD70" i="42"/>
  <c r="AD289" i="42"/>
  <c r="AD315" i="42"/>
  <c r="AD290" i="42"/>
  <c r="AD76" i="42"/>
  <c r="AD497" i="42"/>
  <c r="AD131" i="42"/>
  <c r="AD379" i="42"/>
  <c r="AD86" i="42"/>
  <c r="AD260" i="42"/>
  <c r="AD180" i="42"/>
  <c r="AD405" i="42"/>
  <c r="AD183" i="42"/>
  <c r="AD421" i="42"/>
  <c r="AD170" i="42"/>
  <c r="AD500" i="42"/>
  <c r="AD138" i="42"/>
  <c r="AD334" i="42"/>
  <c r="AD158" i="42"/>
  <c r="AD496" i="42"/>
  <c r="AD21" i="42"/>
  <c r="AD355" i="42"/>
  <c r="AD46" i="42"/>
  <c r="AD94" i="42"/>
  <c r="AD108" i="42"/>
  <c r="AD81" i="42"/>
  <c r="AD318" i="42"/>
  <c r="AD146" i="42"/>
  <c r="AD380" i="42"/>
  <c r="AD432" i="42"/>
  <c r="AD110" i="42"/>
  <c r="AD480" i="42"/>
  <c r="AD171" i="42"/>
  <c r="AD265" i="42"/>
  <c r="AD353" i="42"/>
  <c r="AD179" i="42"/>
  <c r="AD462" i="42"/>
  <c r="AD60" i="42"/>
  <c r="Y19" i="42"/>
  <c r="Z11" i="42" s="1"/>
  <c r="AD144" i="42"/>
  <c r="AD479" i="42"/>
  <c r="AD321" i="42"/>
  <c r="AD161" i="42"/>
  <c r="AD102" i="42"/>
  <c r="AD273" i="42"/>
  <c r="AD324" i="42"/>
  <c r="AD302" i="42"/>
  <c r="AD160" i="42"/>
  <c r="AD42" i="42"/>
  <c r="AD295" i="42"/>
  <c r="AD136" i="42"/>
  <c r="AD281" i="42"/>
  <c r="AD58" i="42"/>
  <c r="AD29" i="42"/>
  <c r="AD383" i="42"/>
  <c r="AD471" i="42"/>
  <c r="AD261" i="42"/>
  <c r="AD257" i="42"/>
  <c r="AD376" i="42"/>
  <c r="AD69" i="42"/>
  <c r="AD264" i="42"/>
  <c r="AD54" i="42"/>
  <c r="AD223" i="42"/>
  <c r="AD130" i="42"/>
  <c r="AD407" i="42"/>
  <c r="AD47" i="42"/>
  <c r="AD17" i="42"/>
  <c r="AD126" i="42"/>
  <c r="AD230" i="42"/>
  <c r="AD427" i="42"/>
  <c r="AD162" i="42"/>
  <c r="AD22" i="42"/>
  <c r="AD454" i="42"/>
  <c r="AD125" i="42"/>
  <c r="AD418" i="42"/>
  <c r="AD363" i="42"/>
  <c r="AD447" i="42"/>
  <c r="AD377" i="42"/>
  <c r="AD292" i="42"/>
  <c r="AD87" i="42"/>
  <c r="AD243" i="42"/>
  <c r="AD13" i="42"/>
  <c r="AD396" i="42"/>
  <c r="AD433" i="42"/>
  <c r="AD165" i="42"/>
  <c r="AD95" i="42"/>
  <c r="AD341" i="42"/>
  <c r="AD354" i="42"/>
  <c r="AD291" i="42"/>
  <c r="AD411" i="42"/>
  <c r="AD439" i="42"/>
  <c r="AD83" i="42"/>
  <c r="AD484" i="42"/>
  <c r="AD57" i="42"/>
  <c r="AD322" i="42"/>
  <c r="AD204" i="42"/>
  <c r="AD39" i="42"/>
  <c r="AD248" i="42"/>
  <c r="AD269" i="42"/>
  <c r="AD232" i="42"/>
  <c r="AD201" i="42"/>
  <c r="AD67" i="42"/>
  <c r="AD79" i="42"/>
  <c r="AD469" i="42"/>
  <c r="AD75" i="42"/>
  <c r="AD266" i="42"/>
  <c r="AD123" i="42"/>
  <c r="AD178" i="42"/>
  <c r="AD220" i="42"/>
  <c r="AD485" i="42"/>
  <c r="AD387" i="42"/>
  <c r="AD240" i="42"/>
  <c r="AD80" i="42"/>
  <c r="AD93" i="42"/>
  <c r="AD417" i="42"/>
  <c r="AD177" i="42"/>
  <c r="AD365" i="42"/>
  <c r="AD414" i="42"/>
  <c r="AD457" i="42"/>
  <c r="AD224" i="42"/>
  <c r="AD453" i="42"/>
  <c r="AD156" i="42"/>
  <c r="AD236" i="42"/>
  <c r="AD360" i="42"/>
  <c r="AD200" i="42"/>
  <c r="AD401" i="42"/>
  <c r="AD293" i="42"/>
  <c r="AD252" i="42"/>
  <c r="AD473" i="42"/>
  <c r="AD283" i="42"/>
  <c r="AD297" i="42"/>
  <c r="AD18" i="42"/>
  <c r="AD84" i="42"/>
  <c r="AD238" i="42"/>
  <c r="AD280" i="42"/>
  <c r="AD389" i="42"/>
  <c r="AD100" i="42"/>
  <c r="AD364" i="42"/>
  <c r="AD72" i="42"/>
  <c r="AD217" i="42"/>
  <c r="AD45" i="42"/>
  <c r="AD237" i="42"/>
  <c r="AD20" i="42"/>
  <c r="AD101" i="42"/>
  <c r="AD413" i="42"/>
  <c r="AD90" i="42"/>
  <c r="AD52" i="42"/>
  <c r="AD56" i="42"/>
  <c r="AD492" i="42"/>
  <c r="AD286" i="42"/>
  <c r="AD319" i="42"/>
  <c r="AD268" i="42"/>
  <c r="AD397" i="42"/>
  <c r="AD135" i="42"/>
  <c r="AD392" i="42"/>
  <c r="AD32" i="42"/>
  <c r="AD361" i="42"/>
  <c r="AD28" i="42"/>
  <c r="AD216" i="42"/>
  <c r="AD428" i="42"/>
  <c r="AD356" i="42"/>
  <c r="AD134" i="42"/>
  <c r="AD159" i="42"/>
  <c r="AD330" i="42"/>
  <c r="AD270" i="42"/>
  <c r="AD446" i="42"/>
  <c r="AD409" i="42"/>
  <c r="AD31" i="42"/>
  <c r="AD137" i="42"/>
  <c r="AD163" i="42"/>
  <c r="AD456" i="42"/>
  <c r="AD157" i="42"/>
  <c r="AD359" i="42"/>
  <c r="AD196" i="42"/>
  <c r="AD259" i="42"/>
  <c r="AD371" i="42"/>
  <c r="AD227" i="42"/>
  <c r="AD441" i="42"/>
  <c r="AD475" i="42"/>
  <c r="AD416" i="42"/>
  <c r="AD109" i="42"/>
  <c r="AD103" i="42"/>
  <c r="AD78" i="42"/>
  <c r="AD115" i="42"/>
  <c r="AD188" i="42"/>
  <c r="AD202" i="42"/>
  <c r="AD370" i="42"/>
  <c r="AD368" i="42"/>
  <c r="AD425" i="42"/>
  <c r="AD99" i="42"/>
  <c r="AD393" i="42"/>
  <c r="AD271" i="42"/>
  <c r="AD314" i="42"/>
  <c r="AD129" i="42"/>
  <c r="AD358" i="42"/>
  <c r="AD400" i="42"/>
  <c r="AD128" i="42"/>
  <c r="AD468" i="42"/>
  <c r="AD429" i="42"/>
  <c r="AA28" i="42"/>
  <c r="AD300" i="42"/>
  <c r="AD189" i="42"/>
  <c r="AD347" i="42"/>
  <c r="AD175" i="42"/>
  <c r="AD394" i="42"/>
  <c r="AD142" i="42"/>
  <c r="AD116" i="42"/>
  <c r="AD311" i="42"/>
  <c r="AD168" i="42"/>
  <c r="AD215" i="42"/>
  <c r="AD194" i="42"/>
  <c r="AD23" i="42"/>
  <c r="AD352" i="42"/>
  <c r="AD498" i="42"/>
  <c r="AD182" i="42"/>
  <c r="AD366" i="42"/>
  <c r="AD250" i="42"/>
  <c r="AD323" i="42"/>
  <c r="AD127" i="42"/>
  <c r="AD320" i="42"/>
  <c r="AD172" i="42"/>
  <c r="AD339" i="42"/>
  <c r="AD65" i="42"/>
  <c r="AD375" i="42"/>
  <c r="AD133" i="42"/>
  <c r="AD343" i="42"/>
  <c r="AD41" i="42"/>
  <c r="AD62" i="42"/>
  <c r="AD186" i="42"/>
  <c r="AD452" i="42"/>
  <c r="AD48" i="42"/>
  <c r="AD190" i="42"/>
  <c r="AD35" i="42"/>
  <c r="AD187" i="42"/>
  <c r="AD466" i="42"/>
  <c r="AD33" i="42"/>
  <c r="AD199" i="42"/>
  <c r="AD349" i="42"/>
  <c r="Z9" i="42"/>
  <c r="AD294" i="42"/>
  <c r="AD63" i="42"/>
  <c r="AD213" i="42"/>
  <c r="AD461" i="42"/>
  <c r="AD222" i="42"/>
  <c r="AD403" i="42"/>
  <c r="AD478" i="42"/>
  <c r="AD152" i="42"/>
  <c r="AD367" i="42"/>
  <c r="AD346" i="42"/>
  <c r="AD104" i="42"/>
  <c r="AD124" i="42"/>
  <c r="AD499" i="42"/>
  <c r="AD153" i="42"/>
  <c r="AD82" i="42"/>
  <c r="AD430" i="42"/>
  <c r="AD326" i="42"/>
  <c r="AD328" i="42"/>
  <c r="AD208" i="42"/>
  <c r="AD221" i="42"/>
  <c r="AD493" i="42"/>
  <c r="AD474" i="42"/>
  <c r="HM290" i="56" l="1" a="1"/>
  <c r="HM290" i="56" s="1"/>
  <c r="HN290" i="56" s="1"/>
  <c r="HO290" i="56" a="1"/>
  <c r="HO290" i="56" s="1"/>
  <c r="HP290" i="56" s="1"/>
  <c r="HQ290" i="56" a="1"/>
  <c r="HQ290" i="56" s="1"/>
  <c r="HR290" i="56" s="1"/>
  <c r="HK290" i="56" a="1"/>
  <c r="HK290" i="56" s="1"/>
  <c r="HL290" i="56" s="1"/>
  <c r="HG290" i="56" a="1"/>
  <c r="HG290" i="56" s="1"/>
  <c r="HH290" i="56" s="1"/>
  <c r="HI290" i="56" a="1"/>
  <c r="HI290" i="56" s="1"/>
  <c r="HJ290" i="56" s="1"/>
  <c r="HG38" i="56" a="1"/>
  <c r="HG38" i="56" s="1"/>
  <c r="HH38" i="56" s="1"/>
  <c r="HM44" i="56" a="1"/>
  <c r="HM44" i="56" s="1"/>
  <c r="HN44" i="56" s="1"/>
  <c r="HI43" i="56" a="1"/>
  <c r="HI43" i="56" s="1"/>
  <c r="HJ43" i="56" s="1"/>
  <c r="HQ44" i="56" a="1"/>
  <c r="HQ44" i="56" s="1"/>
  <c r="HR44" i="56" s="1"/>
  <c r="HG44" i="56" a="1"/>
  <c r="HG44" i="56" s="1"/>
  <c r="HH44" i="56" s="1"/>
  <c r="HG43" i="56" a="1"/>
  <c r="HG43" i="56" s="1"/>
  <c r="HH43" i="56" s="1"/>
  <c r="HK44" i="56" a="1"/>
  <c r="HK44" i="56" s="1"/>
  <c r="HL44" i="56" s="1"/>
  <c r="HI44" i="56" a="1"/>
  <c r="HI44" i="56" s="1"/>
  <c r="HJ44" i="56" s="1"/>
  <c r="HM43" i="56" a="1"/>
  <c r="HM43" i="56" s="1"/>
  <c r="HN43" i="56" s="1"/>
  <c r="HG229" i="56" a="1"/>
  <c r="HG229" i="56" s="1"/>
  <c r="HH229" i="56" s="1"/>
  <c r="HT287" i="56"/>
  <c r="HQ43" i="56" a="1"/>
  <c r="HQ43" i="56" s="1"/>
  <c r="HR43" i="56" s="1"/>
  <c r="HM229" i="56" a="1"/>
  <c r="HM229" i="56" s="1"/>
  <c r="HN229" i="56" s="1"/>
  <c r="HO229" i="56" a="1"/>
  <c r="HO229" i="56" s="1"/>
  <c r="HP229" i="56" s="1"/>
  <c r="HI229" i="56" a="1"/>
  <c r="HI229" i="56" s="1"/>
  <c r="HJ229" i="56" s="1"/>
  <c r="IN214" i="56"/>
  <c r="IO214" i="56" s="1"/>
  <c r="IN333" i="56"/>
  <c r="IO333" i="56" s="1"/>
  <c r="T3" i="40" a="1"/>
  <c r="T3" i="40" s="1"/>
  <c r="IO307" i="56"/>
  <c r="HE291" i="56"/>
  <c r="HF291" i="56" s="1"/>
  <c r="HO291" i="56" s="1" a="1"/>
  <c r="HO291" i="56" s="1"/>
  <c r="HP291" i="56" s="1"/>
  <c r="HQ161" i="56" a="1"/>
  <c r="HQ161" i="56" s="1"/>
  <c r="HR161" i="56" s="1"/>
  <c r="HO161" i="56" a="1"/>
  <c r="HO161" i="56" s="1"/>
  <c r="HP161" i="56" s="1"/>
  <c r="HM161" i="56" a="1"/>
  <c r="HM161" i="56" s="1"/>
  <c r="HN161" i="56" s="1"/>
  <c r="HK161" i="56" a="1"/>
  <c r="HK161" i="56" s="1"/>
  <c r="HL161" i="56" s="1"/>
  <c r="HG161" i="56" a="1"/>
  <c r="HG161" i="56" s="1"/>
  <c r="HH161" i="56" s="1"/>
  <c r="HI161" i="56" a="1"/>
  <c r="HI161" i="56" s="1"/>
  <c r="HJ161" i="56" s="1"/>
  <c r="HQ36" i="56" a="1"/>
  <c r="HQ36" i="56" s="1"/>
  <c r="HR36" i="56" s="1"/>
  <c r="HM36" i="56" a="1"/>
  <c r="HM36" i="56" s="1"/>
  <c r="HN36" i="56" s="1"/>
  <c r="HO36" i="56" a="1"/>
  <c r="HO36" i="56" s="1"/>
  <c r="HP36" i="56" s="1"/>
  <c r="HG36" i="56" a="1"/>
  <c r="HG36" i="56" s="1"/>
  <c r="HH36" i="56" s="1"/>
  <c r="HI36" i="56" a="1"/>
  <c r="HI36" i="56" s="1"/>
  <c r="HJ36" i="56" s="1"/>
  <c r="HK36" i="56" a="1"/>
  <c r="HK36" i="56" s="1"/>
  <c r="HL36" i="56" s="1"/>
  <c r="IO3" i="56"/>
  <c r="IN3" i="56"/>
  <c r="IH3" i="56"/>
  <c r="GR3" i="56"/>
  <c r="N3" i="56" s="1"/>
  <c r="GS3" i="56" s="1"/>
  <c r="GT3" i="56"/>
  <c r="HT322" i="56"/>
  <c r="GW322" i="56"/>
  <c r="GP322" i="56"/>
  <c r="GT322" i="56"/>
  <c r="GU322" i="56"/>
  <c r="HS322" i="56" s="1"/>
  <c r="HT136" i="56"/>
  <c r="GW136" i="56"/>
  <c r="GU136" i="56"/>
  <c r="HS136" i="56" s="1"/>
  <c r="GP136" i="56"/>
  <c r="GT136" i="56"/>
  <c r="GN349" i="56"/>
  <c r="IK349" i="56" s="1"/>
  <c r="GO349" i="56"/>
  <c r="GM350" i="56"/>
  <c r="HE349" i="56"/>
  <c r="HF349" i="56" s="1"/>
  <c r="HQ46" i="56" a="1"/>
  <c r="HQ46" i="56" s="1"/>
  <c r="HR46" i="56" s="1"/>
  <c r="HO46" i="56" a="1"/>
  <c r="HO46" i="56" s="1"/>
  <c r="HP46" i="56" s="1"/>
  <c r="HM46" i="56" a="1"/>
  <c r="HM46" i="56" s="1"/>
  <c r="HN46" i="56" s="1"/>
  <c r="HK46" i="56" a="1"/>
  <c r="HK46" i="56" s="1"/>
  <c r="HL46" i="56" s="1"/>
  <c r="HI46" i="56" a="1"/>
  <c r="HI46" i="56" s="1"/>
  <c r="HJ46" i="56" s="1"/>
  <c r="HG46" i="56" a="1"/>
  <c r="HG46" i="56" s="1"/>
  <c r="HH46" i="56" s="1"/>
  <c r="HA184" i="56"/>
  <c r="HT290" i="56"/>
  <c r="GP290" i="56"/>
  <c r="GU290" i="56"/>
  <c r="HS290" i="56" s="1"/>
  <c r="GT290" i="56"/>
  <c r="GW290" i="56"/>
  <c r="HQ48" i="56" a="1"/>
  <c r="HQ48" i="56" s="1"/>
  <c r="HR48" i="56" s="1"/>
  <c r="HM48" i="56" a="1"/>
  <c r="HM48" i="56" s="1"/>
  <c r="HN48" i="56" s="1"/>
  <c r="HO48" i="56" a="1"/>
  <c r="HO48" i="56" s="1"/>
  <c r="HP48" i="56" s="1"/>
  <c r="HI48" i="56" a="1"/>
  <c r="HI48" i="56" s="1"/>
  <c r="HJ48" i="56" s="1"/>
  <c r="HG48" i="56" a="1"/>
  <c r="HG48" i="56" s="1"/>
  <c r="HH48" i="56" s="1"/>
  <c r="HK48" i="56" a="1"/>
  <c r="HK48" i="56" s="1"/>
  <c r="HL48" i="56" s="1"/>
  <c r="EJ12" i="56"/>
  <c r="BE17" i="55" a="1"/>
  <c r="BE17" i="55" s="1"/>
  <c r="HQ318" i="56" a="1"/>
  <c r="HQ318" i="56" s="1"/>
  <c r="HR318" i="56" s="1"/>
  <c r="HO318" i="56" a="1"/>
  <c r="HO318" i="56" s="1"/>
  <c r="HP318" i="56" s="1"/>
  <c r="HM318" i="56" a="1"/>
  <c r="HM318" i="56" s="1"/>
  <c r="HN318" i="56" s="1"/>
  <c r="HK318" i="56" a="1"/>
  <c r="HK318" i="56" s="1"/>
  <c r="HL318" i="56" s="1"/>
  <c r="HG318" i="56" a="1"/>
  <c r="HG318" i="56" s="1"/>
  <c r="HH318" i="56" s="1"/>
  <c r="HI318" i="56" a="1"/>
  <c r="HI318" i="56" s="1"/>
  <c r="HJ318" i="56" s="1"/>
  <c r="HO319" i="56" a="1"/>
  <c r="HO319" i="56" s="1"/>
  <c r="HP319" i="56" s="1"/>
  <c r="HQ319" i="56" a="1"/>
  <c r="HQ319" i="56" s="1"/>
  <c r="HR319" i="56" s="1"/>
  <c r="HM319" i="56" a="1"/>
  <c r="HM319" i="56" s="1"/>
  <c r="HN319" i="56" s="1"/>
  <c r="HI319" i="56" a="1"/>
  <c r="HI319" i="56" s="1"/>
  <c r="HJ319" i="56" s="1"/>
  <c r="HG319" i="56" a="1"/>
  <c r="HG319" i="56" s="1"/>
  <c r="HH319" i="56" s="1"/>
  <c r="HK319" i="56" a="1"/>
  <c r="HK319" i="56" s="1"/>
  <c r="HL319" i="56" s="1"/>
  <c r="GN230" i="56"/>
  <c r="IK230" i="56" s="1"/>
  <c r="GO230" i="56"/>
  <c r="GM231" i="56"/>
  <c r="HE134" i="56"/>
  <c r="HF134" i="56" s="1"/>
  <c r="HT134" i="56"/>
  <c r="IO74" i="56"/>
  <c r="IN6" i="56"/>
  <c r="IO6" i="56" s="1"/>
  <c r="GN108" i="56"/>
  <c r="IK108" i="56" s="1"/>
  <c r="GO108" i="56"/>
  <c r="GM109" i="56"/>
  <c r="HT348" i="56"/>
  <c r="GU348" i="56"/>
  <c r="HS348" i="56" s="1"/>
  <c r="GW348" i="56"/>
  <c r="GT348" i="56"/>
  <c r="GP348" i="56"/>
  <c r="HO155" i="56" a="1"/>
  <c r="HO155" i="56" s="1"/>
  <c r="HP155" i="56" s="1"/>
  <c r="HM155" i="56" a="1"/>
  <c r="HM155" i="56" s="1"/>
  <c r="HN155" i="56" s="1"/>
  <c r="HK155" i="56" a="1"/>
  <c r="HK155" i="56" s="1"/>
  <c r="HL155" i="56" s="1"/>
  <c r="HI155" i="56" a="1"/>
  <c r="HI155" i="56" s="1"/>
  <c r="HJ155" i="56" s="1"/>
  <c r="HQ155" i="56" a="1"/>
  <c r="HQ155" i="56" s="1"/>
  <c r="HR155" i="56" s="1"/>
  <c r="HG155" i="56" a="1"/>
  <c r="HG155" i="56" s="1"/>
  <c r="HH155" i="56" s="1"/>
  <c r="IN206" i="56"/>
  <c r="IO206" i="56" s="1"/>
  <c r="IN294" i="56"/>
  <c r="IO294" i="56" s="1"/>
  <c r="HQ129" i="56" a="1"/>
  <c r="HQ129" i="56" s="1"/>
  <c r="HR129" i="56" s="1"/>
  <c r="HO129" i="56" a="1"/>
  <c r="HO129" i="56" s="1"/>
  <c r="HP129" i="56" s="1"/>
  <c r="HK129" i="56" a="1"/>
  <c r="HK129" i="56" s="1"/>
  <c r="HL129" i="56" s="1"/>
  <c r="HM129" i="56" a="1"/>
  <c r="HM129" i="56" s="1"/>
  <c r="HN129" i="56" s="1"/>
  <c r="HI129" i="56" a="1"/>
  <c r="HI129" i="56" s="1"/>
  <c r="HJ129" i="56" s="1"/>
  <c r="HG129" i="56" a="1"/>
  <c r="HG129" i="56" s="1"/>
  <c r="HH129" i="56" s="1"/>
  <c r="HT229" i="56"/>
  <c r="GW229" i="56"/>
  <c r="GP229" i="56"/>
  <c r="GT229" i="56"/>
  <c r="GU229" i="56"/>
  <c r="HS229" i="56" s="1"/>
  <c r="HQ230" i="56" a="1"/>
  <c r="HQ230" i="56" s="1"/>
  <c r="HR230" i="56" s="1"/>
  <c r="HO230" i="56" a="1"/>
  <c r="HO230" i="56" s="1"/>
  <c r="HP230" i="56" s="1"/>
  <c r="HM230" i="56" a="1"/>
  <c r="HM230" i="56" s="1"/>
  <c r="HN230" i="56" s="1"/>
  <c r="HK230" i="56" a="1"/>
  <c r="HK230" i="56" s="1"/>
  <c r="HL230" i="56" s="1"/>
  <c r="HG230" i="56" a="1"/>
  <c r="HG230" i="56" s="1"/>
  <c r="HH230" i="56" s="1"/>
  <c r="HI230" i="56" a="1"/>
  <c r="HI230" i="56" s="1"/>
  <c r="HJ230" i="56" s="1"/>
  <c r="HS10" i="56"/>
  <c r="IO72" i="56"/>
  <c r="HQ94" i="56" a="1"/>
  <c r="HQ94" i="56" s="1"/>
  <c r="HR94" i="56" s="1"/>
  <c r="HO94" i="56" a="1"/>
  <c r="HO94" i="56" s="1"/>
  <c r="HP94" i="56" s="1"/>
  <c r="HM94" i="56" a="1"/>
  <c r="HM94" i="56" s="1"/>
  <c r="HN94" i="56" s="1"/>
  <c r="HI94" i="56" a="1"/>
  <c r="HI94" i="56" s="1"/>
  <c r="HJ94" i="56" s="1"/>
  <c r="HK94" i="56" a="1"/>
  <c r="HK94" i="56" s="1"/>
  <c r="HL94" i="56" s="1"/>
  <c r="HG94" i="56" a="1"/>
  <c r="HG94" i="56" s="1"/>
  <c r="HH94" i="56" s="1"/>
  <c r="HT37" i="56"/>
  <c r="GW37" i="56"/>
  <c r="GU37" i="56"/>
  <c r="HS37" i="56" s="1"/>
  <c r="GT37" i="56"/>
  <c r="GP37" i="56"/>
  <c r="IN347" i="56"/>
  <c r="IO347" i="56" s="1"/>
  <c r="HO287" i="56" a="1"/>
  <c r="HO287" i="56" s="1"/>
  <c r="HP287" i="56" s="1"/>
  <c r="HQ287" i="56" a="1"/>
  <c r="HQ287" i="56" s="1"/>
  <c r="HR287" i="56" s="1"/>
  <c r="HM287" i="56" a="1"/>
  <c r="HM287" i="56" s="1"/>
  <c r="HN287" i="56" s="1"/>
  <c r="HI287" i="56" a="1"/>
  <c r="HI287" i="56" s="1"/>
  <c r="HJ287" i="56" s="1"/>
  <c r="HK287" i="56" a="1"/>
  <c r="HK287" i="56" s="1"/>
  <c r="HL287" i="56" s="1"/>
  <c r="HG287" i="56" a="1"/>
  <c r="HG287" i="56" s="1"/>
  <c r="HH287" i="56" s="1"/>
  <c r="HK45" i="56" a="1"/>
  <c r="HK45" i="56" s="1"/>
  <c r="HL45" i="56" s="1"/>
  <c r="HQ45" i="56" a="1"/>
  <c r="HQ45" i="56" s="1"/>
  <c r="HR45" i="56" s="1"/>
  <c r="HM45" i="56" a="1"/>
  <c r="HM45" i="56" s="1"/>
  <c r="HN45" i="56" s="1"/>
  <c r="HO45" i="56" a="1"/>
  <c r="HO45" i="56" s="1"/>
  <c r="HP45" i="56" s="1"/>
  <c r="HI45" i="56" a="1"/>
  <c r="HI45" i="56" s="1"/>
  <c r="HJ45" i="56" s="1"/>
  <c r="HG45" i="56" a="1"/>
  <c r="HG45" i="56" s="1"/>
  <c r="HH45" i="56" s="1"/>
  <c r="GO59" i="56"/>
  <c r="GN59" i="56"/>
  <c r="IK59" i="56" s="1"/>
  <c r="GM60" i="56"/>
  <c r="HE59" i="56"/>
  <c r="HF59" i="56" s="1"/>
  <c r="HG188" i="56" a="1"/>
  <c r="HG188" i="56" s="1"/>
  <c r="HH188" i="56" s="1"/>
  <c r="HQ188" i="56" a="1"/>
  <c r="HQ188" i="56" s="1"/>
  <c r="HR188" i="56" s="1"/>
  <c r="HO188" i="56" a="1"/>
  <c r="HO188" i="56" s="1"/>
  <c r="HP188" i="56" s="1"/>
  <c r="HK188" i="56" a="1"/>
  <c r="HK188" i="56" s="1"/>
  <c r="HL188" i="56" s="1"/>
  <c r="HM188" i="56" a="1"/>
  <c r="HM188" i="56" s="1"/>
  <c r="HN188" i="56" s="1"/>
  <c r="HI188" i="56" a="1"/>
  <c r="HI188" i="56" s="1"/>
  <c r="HJ188" i="56" s="1"/>
  <c r="HK187" i="56" a="1"/>
  <c r="HK187" i="56" s="1"/>
  <c r="HL187" i="56" s="1"/>
  <c r="HQ187" i="56" a="1"/>
  <c r="HQ187" i="56" s="1"/>
  <c r="HR187" i="56" s="1"/>
  <c r="HO187" i="56" a="1"/>
  <c r="HO187" i="56" s="1"/>
  <c r="HP187" i="56" s="1"/>
  <c r="HM187" i="56" a="1"/>
  <c r="HM187" i="56" s="1"/>
  <c r="HN187" i="56" s="1"/>
  <c r="HI187" i="56" a="1"/>
  <c r="HI187" i="56" s="1"/>
  <c r="HJ187" i="56" s="1"/>
  <c r="HG187" i="56" a="1"/>
  <c r="HG187" i="56" s="1"/>
  <c r="HH187" i="56" s="1"/>
  <c r="IN247" i="56"/>
  <c r="IO247" i="56" s="1"/>
  <c r="IN207" i="56"/>
  <c r="IO207" i="56" s="1"/>
  <c r="C84" i="58"/>
  <c r="C85" i="58" s="1" a="1"/>
  <c r="C85" i="58" s="1"/>
  <c r="C86" i="58" s="1"/>
  <c r="C87" i="58"/>
  <c r="IO36" i="56"/>
  <c r="D5" i="58"/>
  <c r="H9" i="58" s="1" a="1"/>
  <c r="H9" i="58" s="1"/>
  <c r="C88" i="58"/>
  <c r="IN282" i="56"/>
  <c r="IO282" i="56" s="1"/>
  <c r="HT107" i="56"/>
  <c r="GT107" i="56"/>
  <c r="GU107" i="56"/>
  <c r="HS107" i="56" s="1"/>
  <c r="GP107" i="56"/>
  <c r="GW107" i="56"/>
  <c r="HQ331" i="56" a="1"/>
  <c r="HQ331" i="56" s="1"/>
  <c r="HR331" i="56" s="1"/>
  <c r="HI331" i="56" a="1"/>
  <c r="HI331" i="56" s="1"/>
  <c r="HJ331" i="56" s="1"/>
  <c r="HO331" i="56" a="1"/>
  <c r="HO331" i="56" s="1"/>
  <c r="HP331" i="56" s="1"/>
  <c r="HM331" i="56" a="1"/>
  <c r="HM331" i="56" s="1"/>
  <c r="HN331" i="56" s="1"/>
  <c r="HG331" i="56" a="1"/>
  <c r="HG331" i="56" s="1"/>
  <c r="HH331" i="56" s="1"/>
  <c r="HK331" i="56" a="1"/>
  <c r="HK331" i="56" s="1"/>
  <c r="HL331" i="56" s="1"/>
  <c r="GQ15" i="56"/>
  <c r="FX15" i="56"/>
  <c r="HM34" i="56" a="1"/>
  <c r="HM34" i="56" s="1"/>
  <c r="HN34" i="56" s="1"/>
  <c r="HO34" i="56" a="1"/>
  <c r="HO34" i="56" s="1"/>
  <c r="HP34" i="56" s="1"/>
  <c r="HK34" i="56" a="1"/>
  <c r="HK34" i="56" s="1"/>
  <c r="HL34" i="56" s="1"/>
  <c r="HI34" i="56" a="1"/>
  <c r="HI34" i="56" s="1"/>
  <c r="HJ34" i="56" s="1"/>
  <c r="HQ34" i="56" a="1"/>
  <c r="HQ34" i="56" s="1"/>
  <c r="HR34" i="56" s="1"/>
  <c r="HG34" i="56" a="1"/>
  <c r="HG34" i="56" s="1"/>
  <c r="HH34" i="56" s="1"/>
  <c r="C64" i="58" a="1"/>
  <c r="C64" i="58" s="1"/>
  <c r="HT58" i="56"/>
  <c r="GT58" i="56"/>
  <c r="GW58" i="56"/>
  <c r="GU58" i="56"/>
  <c r="HS58" i="56" s="1"/>
  <c r="GP58" i="56"/>
  <c r="GN192" i="56"/>
  <c r="IK192" i="56" s="1"/>
  <c r="GO192" i="56"/>
  <c r="GM193" i="56"/>
  <c r="HO343" i="56" a="1"/>
  <c r="HO343" i="56" s="1"/>
  <c r="HP343" i="56" s="1"/>
  <c r="HG343" i="56" a="1"/>
  <c r="HG343" i="56" s="1"/>
  <c r="HH343" i="56" s="1"/>
  <c r="HK343" i="56" a="1"/>
  <c r="HK343" i="56" s="1"/>
  <c r="HL343" i="56" s="1"/>
  <c r="HQ343" i="56" a="1"/>
  <c r="HQ343" i="56" s="1"/>
  <c r="HR343" i="56" s="1"/>
  <c r="HM343" i="56" a="1"/>
  <c r="HM343" i="56" s="1"/>
  <c r="HN343" i="56" s="1"/>
  <c r="HI343" i="56" a="1"/>
  <c r="HI343" i="56" s="1"/>
  <c r="HJ343" i="56" s="1"/>
  <c r="IN78" i="56"/>
  <c r="IO78" i="56" s="1"/>
  <c r="IO4" i="56"/>
  <c r="IH4" i="56"/>
  <c r="II4" i="56" s="1"/>
  <c r="IN4" i="56"/>
  <c r="GR4" i="56"/>
  <c r="N4" i="56" s="1"/>
  <c r="GS4" i="56" s="1"/>
  <c r="GT4" i="56"/>
  <c r="HT94" i="56"/>
  <c r="GT94" i="56"/>
  <c r="GU94" i="56"/>
  <c r="HS94" i="56" s="1"/>
  <c r="GW94" i="56"/>
  <c r="GP94" i="56"/>
  <c r="HQ340" i="56" a="1"/>
  <c r="HQ340" i="56" s="1"/>
  <c r="HR340" i="56" s="1"/>
  <c r="HO340" i="56" a="1"/>
  <c r="HO340" i="56" s="1"/>
  <c r="HP340" i="56" s="1"/>
  <c r="HI340" i="56" a="1"/>
  <c r="HI340" i="56" s="1"/>
  <c r="HJ340" i="56" s="1"/>
  <c r="HM340" i="56" a="1"/>
  <c r="HM340" i="56" s="1"/>
  <c r="HN340" i="56" s="1"/>
  <c r="HK340" i="56" a="1"/>
  <c r="HK340" i="56" s="1"/>
  <c r="HL340" i="56" s="1"/>
  <c r="HG340" i="56" a="1"/>
  <c r="HG340" i="56" s="1"/>
  <c r="HH340" i="56" s="1"/>
  <c r="C9" i="58" a="1"/>
  <c r="C9" i="58" s="1"/>
  <c r="GO161" i="56"/>
  <c r="GN161" i="56"/>
  <c r="IK161" i="56" s="1"/>
  <c r="GM162" i="56"/>
  <c r="IN219" i="56"/>
  <c r="IO219" i="56" s="1"/>
  <c r="GN38" i="56"/>
  <c r="IK38" i="56" s="1"/>
  <c r="GO38" i="56"/>
  <c r="GM39" i="56"/>
  <c r="HT36" i="56"/>
  <c r="CB22" i="55" a="1"/>
  <c r="CB22" i="55" s="1"/>
  <c r="CB25" i="55" a="1"/>
  <c r="CB25" i="55" s="1"/>
  <c r="CB10" i="55" a="1"/>
  <c r="CB10" i="55" s="1"/>
  <c r="CB19" i="55" a="1"/>
  <c r="CB19" i="55" s="1"/>
  <c r="CB21" i="55" a="1"/>
  <c r="CB21" i="55" s="1"/>
  <c r="CB24" i="55" a="1"/>
  <c r="CB24" i="55" s="1"/>
  <c r="CB20" i="55" a="1"/>
  <c r="CB20" i="55" s="1"/>
  <c r="CB13" i="55" a="1"/>
  <c r="CB13" i="55" s="1"/>
  <c r="CB14" i="55" a="1"/>
  <c r="CB14" i="55" s="1"/>
  <c r="CB23" i="55" a="1"/>
  <c r="CB23" i="55" s="1"/>
  <c r="CB16" i="55" a="1"/>
  <c r="CB16" i="55" s="1"/>
  <c r="CB11" i="55" a="1"/>
  <c r="CB11" i="55" s="1"/>
  <c r="CB12" i="55" a="1"/>
  <c r="CB12" i="55" s="1"/>
  <c r="CB26" i="55" a="1"/>
  <c r="CB26" i="55" s="1"/>
  <c r="CB15" i="55" a="1"/>
  <c r="CB15" i="55" s="1"/>
  <c r="CB17" i="55" a="1"/>
  <c r="CB17" i="55" s="1"/>
  <c r="CB18" i="55" a="1"/>
  <c r="CB18" i="55" s="1"/>
  <c r="GQ19" i="56"/>
  <c r="FX19" i="56"/>
  <c r="IN163" i="56"/>
  <c r="IO163" i="56" s="1"/>
  <c r="GI40" i="56"/>
  <c r="GJ40" i="56" s="1"/>
  <c r="GH41" i="56"/>
  <c r="HT191" i="56"/>
  <c r="GT191" i="56"/>
  <c r="GP191" i="56"/>
  <c r="GW191" i="56"/>
  <c r="GU191" i="56"/>
  <c r="HS191" i="56" s="1"/>
  <c r="IO76" i="56"/>
  <c r="HQ160" i="56" a="1"/>
  <c r="HQ160" i="56" s="1"/>
  <c r="HR160" i="56" s="1"/>
  <c r="HK160" i="56" a="1"/>
  <c r="HK160" i="56" s="1"/>
  <c r="HL160" i="56" s="1"/>
  <c r="HO160" i="56" a="1"/>
  <c r="HO160" i="56" s="1"/>
  <c r="HP160" i="56" s="1"/>
  <c r="HI160" i="56" a="1"/>
  <c r="HI160" i="56" s="1"/>
  <c r="HJ160" i="56" s="1"/>
  <c r="HM160" i="56" a="1"/>
  <c r="HM160" i="56" s="1"/>
  <c r="HN160" i="56" s="1"/>
  <c r="HG160" i="56" a="1"/>
  <c r="HG160" i="56" s="1"/>
  <c r="HH160" i="56" s="1"/>
  <c r="HK157" i="56" a="1"/>
  <c r="HK157" i="56" s="1"/>
  <c r="HL157" i="56" s="1"/>
  <c r="HO157" i="56" a="1"/>
  <c r="HO157" i="56" s="1"/>
  <c r="HP157" i="56" s="1"/>
  <c r="HQ157" i="56" a="1"/>
  <c r="HQ157" i="56" s="1"/>
  <c r="HR157" i="56" s="1"/>
  <c r="HI157" i="56" a="1"/>
  <c r="HI157" i="56" s="1"/>
  <c r="HJ157" i="56" s="1"/>
  <c r="HG157" i="56" a="1"/>
  <c r="HG157" i="56" s="1"/>
  <c r="HH157" i="56" s="1"/>
  <c r="HM157" i="56" a="1"/>
  <c r="HM157" i="56" s="1"/>
  <c r="HN157" i="56" s="1"/>
  <c r="GQ16" i="56"/>
  <c r="FX16" i="56"/>
  <c r="HO40" i="56" a="1"/>
  <c r="HO40" i="56" s="1"/>
  <c r="HP40" i="56" s="1"/>
  <c r="HM40" i="56" a="1"/>
  <c r="HM40" i="56" s="1"/>
  <c r="HN40" i="56" s="1"/>
  <c r="HG40" i="56" a="1"/>
  <c r="HG40" i="56" s="1"/>
  <c r="HH40" i="56" s="1"/>
  <c r="HK40" i="56" a="1"/>
  <c r="HK40" i="56" s="1"/>
  <c r="HL40" i="56" s="1"/>
  <c r="HI40" i="56" a="1"/>
  <c r="HI40" i="56" s="1"/>
  <c r="HJ40" i="56" s="1"/>
  <c r="HQ40" i="56" a="1"/>
  <c r="HQ40" i="56" s="1"/>
  <c r="HR40" i="56" s="1"/>
  <c r="HQ337" i="56" a="1"/>
  <c r="HQ337" i="56" s="1"/>
  <c r="HR337" i="56" s="1"/>
  <c r="HO337" i="56" a="1"/>
  <c r="HO337" i="56" s="1"/>
  <c r="HP337" i="56" s="1"/>
  <c r="HM337" i="56" a="1"/>
  <c r="HM337" i="56" s="1"/>
  <c r="HN337" i="56" s="1"/>
  <c r="HI337" i="56" a="1"/>
  <c r="HI337" i="56" s="1"/>
  <c r="HJ337" i="56" s="1"/>
  <c r="HG337" i="56" a="1"/>
  <c r="HG337" i="56" s="1"/>
  <c r="HH337" i="56" s="1"/>
  <c r="HK337" i="56" a="1"/>
  <c r="HK337" i="56" s="1"/>
  <c r="HL337" i="56" s="1"/>
  <c r="IN230" i="56"/>
  <c r="IO230" i="56" s="1"/>
  <c r="GO12" i="56"/>
  <c r="GN12" i="56"/>
  <c r="IK12" i="56" s="1"/>
  <c r="GM13" i="56"/>
  <c r="HE12" i="56"/>
  <c r="HF12" i="56" s="1"/>
  <c r="HT160" i="56"/>
  <c r="GU160" i="56"/>
  <c r="HS160" i="56" s="1"/>
  <c r="GT160" i="56"/>
  <c r="GW160" i="56"/>
  <c r="GP160" i="56"/>
  <c r="C20" i="58" a="1"/>
  <c r="C20" i="58" s="1"/>
  <c r="IN23" i="56"/>
  <c r="HO191" i="56" a="1"/>
  <c r="HO191" i="56" s="1"/>
  <c r="HP191" i="56" s="1"/>
  <c r="HQ191" i="56" a="1"/>
  <c r="HQ191" i="56" s="1"/>
  <c r="HR191" i="56" s="1"/>
  <c r="HK191" i="56" a="1"/>
  <c r="HK191" i="56" s="1"/>
  <c r="HL191" i="56" s="1"/>
  <c r="HG191" i="56" a="1"/>
  <c r="HG191" i="56" s="1"/>
  <c r="HH191" i="56" s="1"/>
  <c r="HM191" i="56" a="1"/>
  <c r="HM191" i="56" s="1"/>
  <c r="HN191" i="56" s="1"/>
  <c r="HI191" i="56" a="1"/>
  <c r="HI191" i="56" s="1"/>
  <c r="HJ191" i="56" s="1"/>
  <c r="HQ345" i="56" a="1"/>
  <c r="HQ345" i="56" s="1"/>
  <c r="HR345" i="56" s="1"/>
  <c r="HM345" i="56" a="1"/>
  <c r="HM345" i="56" s="1"/>
  <c r="HN345" i="56" s="1"/>
  <c r="HK345" i="56" a="1"/>
  <c r="HK345" i="56" s="1"/>
  <c r="HL345" i="56" s="1"/>
  <c r="HO345" i="56" a="1"/>
  <c r="HO345" i="56" s="1"/>
  <c r="HP345" i="56" s="1"/>
  <c r="HG345" i="56" a="1"/>
  <c r="HG345" i="56" s="1"/>
  <c r="HH345" i="56" s="1"/>
  <c r="HI345" i="56" a="1"/>
  <c r="HI345" i="56" s="1"/>
  <c r="HJ345" i="56" s="1"/>
  <c r="HT11" i="56"/>
  <c r="GT11" i="56"/>
  <c r="GP11" i="56"/>
  <c r="GW11" i="56"/>
  <c r="GU11" i="56"/>
  <c r="HS11" i="56" s="1"/>
  <c r="HO342" i="56" a="1"/>
  <c r="HO342" i="56" s="1"/>
  <c r="HP342" i="56" s="1"/>
  <c r="HQ342" i="56" a="1"/>
  <c r="HQ342" i="56" s="1"/>
  <c r="HR342" i="56" s="1"/>
  <c r="HK342" i="56" a="1"/>
  <c r="HK342" i="56" s="1"/>
  <c r="HL342" i="56" s="1"/>
  <c r="HG342" i="56" a="1"/>
  <c r="HG342" i="56" s="1"/>
  <c r="HH342" i="56" s="1"/>
  <c r="HI342" i="56" a="1"/>
  <c r="HI342" i="56" s="1"/>
  <c r="HJ342" i="56" s="1"/>
  <c r="HM342" i="56" a="1"/>
  <c r="HM342" i="56" s="1"/>
  <c r="HN342" i="56" s="1"/>
  <c r="IO47" i="56"/>
  <c r="IN312" i="56"/>
  <c r="IO312" i="56" s="1"/>
  <c r="IO23" i="56"/>
  <c r="IN81" i="56"/>
  <c r="IO81" i="56" s="1"/>
  <c r="HE329" i="56"/>
  <c r="HF329" i="56" s="1"/>
  <c r="HT329" i="56"/>
  <c r="IN101" i="56"/>
  <c r="IO101" i="56" s="1"/>
  <c r="IN262" i="56"/>
  <c r="IO262" i="56" s="1"/>
  <c r="IN134" i="56"/>
  <c r="IO134" i="56" s="1"/>
  <c r="HM291" i="56" a="1"/>
  <c r="HM291" i="56" s="1"/>
  <c r="HN291" i="56" s="1"/>
  <c r="HG291" i="56" a="1"/>
  <c r="HG291" i="56" s="1"/>
  <c r="HH291" i="56" s="1"/>
  <c r="HM58" i="56" a="1"/>
  <c r="HM58" i="56" s="1"/>
  <c r="HN58" i="56" s="1"/>
  <c r="HQ58" i="56" a="1"/>
  <c r="HQ58" i="56" s="1"/>
  <c r="HR58" i="56" s="1"/>
  <c r="HI58" i="56" a="1"/>
  <c r="HI58" i="56" s="1"/>
  <c r="HJ58" i="56" s="1"/>
  <c r="HO58" i="56" a="1"/>
  <c r="HO58" i="56" s="1"/>
  <c r="HP58" i="56" s="1"/>
  <c r="HG58" i="56" a="1"/>
  <c r="HG58" i="56" s="1"/>
  <c r="HH58" i="56" s="1"/>
  <c r="HK58" i="56" a="1"/>
  <c r="HK58" i="56" s="1"/>
  <c r="HL58" i="56" s="1"/>
  <c r="HE288" i="56"/>
  <c r="HF288" i="56" s="1"/>
  <c r="HT288" i="56"/>
  <c r="FX13" i="56"/>
  <c r="GQ13" i="56"/>
  <c r="C31" i="58" a="1"/>
  <c r="C31" i="58" s="1"/>
  <c r="HQ107" i="56" a="1"/>
  <c r="HQ107" i="56" s="1"/>
  <c r="HR107" i="56" s="1"/>
  <c r="HO107" i="56" a="1"/>
  <c r="HO107" i="56" s="1"/>
  <c r="HP107" i="56" s="1"/>
  <c r="HM107" i="56" a="1"/>
  <c r="HM107" i="56" s="1"/>
  <c r="HN107" i="56" s="1"/>
  <c r="HI107" i="56" a="1"/>
  <c r="HI107" i="56" s="1"/>
  <c r="HJ107" i="56" s="1"/>
  <c r="HG107" i="56" a="1"/>
  <c r="HG107" i="56" s="1"/>
  <c r="HH107" i="56" s="1"/>
  <c r="HK107" i="56" a="1"/>
  <c r="HK107" i="56" s="1"/>
  <c r="HL107" i="56" s="1"/>
  <c r="HQ323" i="56" a="1"/>
  <c r="HQ323" i="56" s="1"/>
  <c r="HR323" i="56" s="1"/>
  <c r="HO323" i="56" a="1"/>
  <c r="HO323" i="56" s="1"/>
  <c r="HP323" i="56" s="1"/>
  <c r="HI323" i="56" a="1"/>
  <c r="HI323" i="56" s="1"/>
  <c r="HJ323" i="56" s="1"/>
  <c r="HK323" i="56" a="1"/>
  <c r="HK323" i="56" s="1"/>
  <c r="HL323" i="56" s="1"/>
  <c r="HG323" i="56" a="1"/>
  <c r="HG323" i="56" s="1"/>
  <c r="HH323" i="56" s="1"/>
  <c r="HM323" i="56" a="1"/>
  <c r="HM323" i="56" s="1"/>
  <c r="HN323" i="56" s="1"/>
  <c r="GO95" i="56"/>
  <c r="GN95" i="56"/>
  <c r="IK95" i="56" s="1"/>
  <c r="GM96" i="56"/>
  <c r="HE95" i="56"/>
  <c r="HF95" i="56" s="1"/>
  <c r="IK11" i="56"/>
  <c r="HQ47" i="56" a="1"/>
  <c r="HQ47" i="56" s="1"/>
  <c r="HR47" i="56" s="1"/>
  <c r="HO47" i="56" a="1"/>
  <c r="HO47" i="56" s="1"/>
  <c r="HP47" i="56" s="1"/>
  <c r="HM47" i="56" a="1"/>
  <c r="HM47" i="56" s="1"/>
  <c r="HN47" i="56" s="1"/>
  <c r="HI47" i="56" a="1"/>
  <c r="HI47" i="56" s="1"/>
  <c r="HJ47" i="56" s="1"/>
  <c r="HK47" i="56" a="1"/>
  <c r="HK47" i="56" s="1"/>
  <c r="HL47" i="56" s="1"/>
  <c r="HG47" i="56" a="1"/>
  <c r="HG47" i="56" s="1"/>
  <c r="HH47" i="56" s="1"/>
  <c r="HE334" i="56"/>
  <c r="HF334" i="56" s="1"/>
  <c r="HT334" i="56"/>
  <c r="HE108" i="56"/>
  <c r="HF108" i="56" s="1"/>
  <c r="IO272" i="56"/>
  <c r="IO22" i="56"/>
  <c r="IN166" i="56"/>
  <c r="IO166" i="56" s="1"/>
  <c r="IN165" i="56"/>
  <c r="IH51" i="56"/>
  <c r="IN51" i="56" s="1"/>
  <c r="GR51" i="56"/>
  <c r="N51" i="56" s="1"/>
  <c r="GS51" i="56" s="1"/>
  <c r="HE51" i="56" s="1"/>
  <c r="HF51" i="56" s="1"/>
  <c r="GR52" i="56"/>
  <c r="N52" i="56" s="1"/>
  <c r="GS52" i="56" s="1"/>
  <c r="HE52" i="56" s="1"/>
  <c r="HF52" i="56" s="1"/>
  <c r="HQ192" i="56" a="1"/>
  <c r="HQ192" i="56" s="1"/>
  <c r="HR192" i="56" s="1"/>
  <c r="HO192" i="56" a="1"/>
  <c r="HO192" i="56" s="1"/>
  <c r="HP192" i="56" s="1"/>
  <c r="HI192" i="56" a="1"/>
  <c r="HI192" i="56" s="1"/>
  <c r="HJ192" i="56" s="1"/>
  <c r="HK192" i="56" a="1"/>
  <c r="HK192" i="56" s="1"/>
  <c r="HL192" i="56" s="1"/>
  <c r="HG192" i="56" a="1"/>
  <c r="HG192" i="56" s="1"/>
  <c r="HH192" i="56" s="1"/>
  <c r="HM192" i="56" a="1"/>
  <c r="HM192" i="56" s="1"/>
  <c r="HN192" i="56" s="1"/>
  <c r="IN329" i="56"/>
  <c r="IO329" i="56" s="1"/>
  <c r="IO165" i="56"/>
  <c r="HE316" i="56"/>
  <c r="HF316" i="56" s="1"/>
  <c r="HT316" i="56"/>
  <c r="HQ49" i="56" a="1"/>
  <c r="HQ49" i="56" s="1"/>
  <c r="HR49" i="56" s="1"/>
  <c r="HM49" i="56" a="1"/>
  <c r="HM49" i="56" s="1"/>
  <c r="HN49" i="56" s="1"/>
  <c r="HO49" i="56" a="1"/>
  <c r="HO49" i="56" s="1"/>
  <c r="HP49" i="56" s="1"/>
  <c r="HI49" i="56" a="1"/>
  <c r="HI49" i="56" s="1"/>
  <c r="HJ49" i="56" s="1"/>
  <c r="HG49" i="56" a="1"/>
  <c r="HG49" i="56" s="1"/>
  <c r="HH49" i="56" s="1"/>
  <c r="HK49" i="56" a="1"/>
  <c r="HK49" i="56" s="1"/>
  <c r="HL49" i="56" s="1"/>
  <c r="HQ41" i="56" a="1"/>
  <c r="HQ41" i="56" s="1"/>
  <c r="HR41" i="56" s="1"/>
  <c r="HM41" i="56" a="1"/>
  <c r="HM41" i="56" s="1"/>
  <c r="HN41" i="56" s="1"/>
  <c r="HI41" i="56" a="1"/>
  <c r="HI41" i="56" s="1"/>
  <c r="HJ41" i="56" s="1"/>
  <c r="HK41" i="56" a="1"/>
  <c r="HK41" i="56" s="1"/>
  <c r="HL41" i="56" s="1"/>
  <c r="HG41" i="56" a="1"/>
  <c r="HG41" i="56" s="1"/>
  <c r="HH41" i="56" s="1"/>
  <c r="HO41" i="56" a="1"/>
  <c r="HO41" i="56" s="1"/>
  <c r="HP41" i="56" s="1"/>
  <c r="HM226" i="56" a="1"/>
  <c r="HM226" i="56" s="1"/>
  <c r="HN226" i="56" s="1"/>
  <c r="HO226" i="56" a="1"/>
  <c r="HO226" i="56" s="1"/>
  <c r="HP226" i="56" s="1"/>
  <c r="HQ226" i="56" a="1"/>
  <c r="HQ226" i="56" s="1"/>
  <c r="HR226" i="56" s="1"/>
  <c r="HI226" i="56" a="1"/>
  <c r="HI226" i="56" s="1"/>
  <c r="HJ226" i="56" s="1"/>
  <c r="HK226" i="56" a="1"/>
  <c r="HK226" i="56" s="1"/>
  <c r="HL226" i="56" s="1"/>
  <c r="HG226" i="56" a="1"/>
  <c r="HG226" i="56" s="1"/>
  <c r="HH226" i="56" s="1"/>
  <c r="EA51" i="56"/>
  <c r="DZ51" i="56" a="1"/>
  <c r="DZ51" i="56" s="1"/>
  <c r="IO334" i="56"/>
  <c r="IN142" i="56"/>
  <c r="HE315" i="56"/>
  <c r="HF315" i="56" s="1"/>
  <c r="HT315" i="56"/>
  <c r="HQ132" i="56" a="1"/>
  <c r="HQ132" i="56" s="1"/>
  <c r="HR132" i="56" s="1"/>
  <c r="HM132" i="56" a="1"/>
  <c r="HM132" i="56" s="1"/>
  <c r="HN132" i="56" s="1"/>
  <c r="HO132" i="56" a="1"/>
  <c r="HO132" i="56" s="1"/>
  <c r="HP132" i="56" s="1"/>
  <c r="HK132" i="56" a="1"/>
  <c r="HK132" i="56" s="1"/>
  <c r="HL132" i="56" s="1"/>
  <c r="HG132" i="56" a="1"/>
  <c r="HG132" i="56" s="1"/>
  <c r="HH132" i="56" s="1"/>
  <c r="HI132" i="56" a="1"/>
  <c r="HI132" i="56" s="1"/>
  <c r="HJ132" i="56" s="1"/>
  <c r="HE314" i="56"/>
  <c r="HF314" i="56" s="1"/>
  <c r="HT314" i="56"/>
  <c r="HE106" i="56"/>
  <c r="HF106" i="56" s="1"/>
  <c r="IN346" i="56"/>
  <c r="IO346" i="56" s="1"/>
  <c r="IN334" i="56"/>
  <c r="IN310" i="56"/>
  <c r="IO310" i="56" s="1"/>
  <c r="HQ136" i="56" a="1"/>
  <c r="HQ136" i="56" s="1"/>
  <c r="HR136" i="56" s="1"/>
  <c r="HO136" i="56" a="1"/>
  <c r="HO136" i="56" s="1"/>
  <c r="HP136" i="56" s="1"/>
  <c r="HK136" i="56" a="1"/>
  <c r="HK136" i="56" s="1"/>
  <c r="HL136" i="56" s="1"/>
  <c r="HI136" i="56" a="1"/>
  <c r="HI136" i="56" s="1"/>
  <c r="HJ136" i="56" s="1"/>
  <c r="HM136" i="56" a="1"/>
  <c r="HM136" i="56" s="1"/>
  <c r="HN136" i="56" s="1"/>
  <c r="HG136" i="56" a="1"/>
  <c r="HG136" i="56" s="1"/>
  <c r="HH136" i="56" s="1"/>
  <c r="IO142" i="56"/>
  <c r="HQ33" i="56" a="1"/>
  <c r="HQ33" i="56" s="1"/>
  <c r="HR33" i="56" s="1"/>
  <c r="HO33" i="56" a="1"/>
  <c r="HO33" i="56" s="1"/>
  <c r="HP33" i="56" s="1"/>
  <c r="HK33" i="56" a="1"/>
  <c r="HK33" i="56" s="1"/>
  <c r="HL33" i="56" s="1"/>
  <c r="HG33" i="56" a="1"/>
  <c r="HG33" i="56" s="1"/>
  <c r="HH33" i="56" s="1"/>
  <c r="HM33" i="56" a="1"/>
  <c r="HM33" i="56" s="1"/>
  <c r="HN33" i="56" s="1"/>
  <c r="HI33" i="56" a="1"/>
  <c r="HI33" i="56" s="1"/>
  <c r="HJ33" i="56" s="1"/>
  <c r="HT340" i="56"/>
  <c r="GW340" i="56"/>
  <c r="GT340" i="56"/>
  <c r="GP340" i="56"/>
  <c r="GU340" i="56"/>
  <c r="HS340" i="56" s="1"/>
  <c r="HQ133" i="56" a="1"/>
  <c r="HQ133" i="56" s="1"/>
  <c r="HR133" i="56" s="1"/>
  <c r="HK133" i="56" a="1"/>
  <c r="HK133" i="56" s="1"/>
  <c r="HL133" i="56" s="1"/>
  <c r="HI133" i="56" a="1"/>
  <c r="HI133" i="56" s="1"/>
  <c r="HJ133" i="56" s="1"/>
  <c r="HO133" i="56" a="1"/>
  <c r="HO133" i="56" s="1"/>
  <c r="HP133" i="56" s="1"/>
  <c r="HM133" i="56" a="1"/>
  <c r="HM133" i="56" s="1"/>
  <c r="HN133" i="56" s="1"/>
  <c r="HG133" i="56" a="1"/>
  <c r="HG133" i="56" s="1"/>
  <c r="HH133" i="56" s="1"/>
  <c r="HE333" i="56"/>
  <c r="HF333" i="56" s="1"/>
  <c r="HT333" i="56"/>
  <c r="HO327" i="56" a="1"/>
  <c r="HO327" i="56" s="1"/>
  <c r="HP327" i="56" s="1"/>
  <c r="HQ327" i="56" a="1"/>
  <c r="HQ327" i="56" s="1"/>
  <c r="HR327" i="56" s="1"/>
  <c r="HM327" i="56" a="1"/>
  <c r="HM327" i="56" s="1"/>
  <c r="HN327" i="56" s="1"/>
  <c r="HK327" i="56" a="1"/>
  <c r="HK327" i="56" s="1"/>
  <c r="HL327" i="56" s="1"/>
  <c r="HI327" i="56" a="1"/>
  <c r="HI327" i="56" s="1"/>
  <c r="HJ327" i="56" s="1"/>
  <c r="HG327" i="56" a="1"/>
  <c r="HG327" i="56" s="1"/>
  <c r="HH327" i="56" s="1"/>
  <c r="HE286" i="56"/>
  <c r="HF286" i="56" s="1"/>
  <c r="HT286" i="56"/>
  <c r="GO323" i="56"/>
  <c r="GN323" i="56"/>
  <c r="IK323" i="56" s="1"/>
  <c r="GM324" i="56"/>
  <c r="GN137" i="56"/>
  <c r="IK137" i="56" s="1"/>
  <c r="GO137" i="56"/>
  <c r="GM138" i="56"/>
  <c r="HE137" i="56"/>
  <c r="HF137" i="56" s="1"/>
  <c r="HQ156" i="56" a="1"/>
  <c r="HQ156" i="56" s="1"/>
  <c r="HR156" i="56" s="1"/>
  <c r="HM156" i="56" a="1"/>
  <c r="HM156" i="56" s="1"/>
  <c r="HN156" i="56" s="1"/>
  <c r="HO156" i="56" a="1"/>
  <c r="HO156" i="56" s="1"/>
  <c r="HP156" i="56" s="1"/>
  <c r="HG156" i="56" a="1"/>
  <c r="HG156" i="56" s="1"/>
  <c r="HH156" i="56" s="1"/>
  <c r="HK156" i="56" a="1"/>
  <c r="HK156" i="56" s="1"/>
  <c r="HL156" i="56" s="1"/>
  <c r="HI156" i="56" a="1"/>
  <c r="HI156" i="56" s="1"/>
  <c r="HJ156" i="56" s="1"/>
  <c r="HQ332" i="56" a="1"/>
  <c r="HQ332" i="56" s="1"/>
  <c r="HR332" i="56" s="1"/>
  <c r="HO332" i="56" a="1"/>
  <c r="HO332" i="56" s="1"/>
  <c r="HP332" i="56" s="1"/>
  <c r="HI332" i="56" a="1"/>
  <c r="HI332" i="56" s="1"/>
  <c r="HJ332" i="56" s="1"/>
  <c r="HM332" i="56" a="1"/>
  <c r="HM332" i="56" s="1"/>
  <c r="HN332" i="56" s="1"/>
  <c r="HG332" i="56" a="1"/>
  <c r="HG332" i="56" s="1"/>
  <c r="HH332" i="56" s="1"/>
  <c r="HK332" i="56" a="1"/>
  <c r="HK332" i="56" s="1"/>
  <c r="HL332" i="56" s="1"/>
  <c r="IN314" i="56"/>
  <c r="IO314" i="56" s="1"/>
  <c r="IN106" i="56"/>
  <c r="IO106" i="56" s="1"/>
  <c r="GN291" i="56"/>
  <c r="IK291" i="56" s="1"/>
  <c r="GO291" i="56"/>
  <c r="GM292" i="56"/>
  <c r="Y20" i="42"/>
  <c r="AA29" i="42"/>
  <c r="HQ291" i="56" l="1" a="1"/>
  <c r="HQ291" i="56" s="1"/>
  <c r="HR291" i="56" s="1"/>
  <c r="HK291" i="56" a="1"/>
  <c r="HK291" i="56" s="1"/>
  <c r="HL291" i="56" s="1"/>
  <c r="HI291" i="56" a="1"/>
  <c r="HI291" i="56" s="1"/>
  <c r="HJ291" i="56" s="1"/>
  <c r="IO51" i="56"/>
  <c r="GQ12" i="56"/>
  <c r="FX12" i="56"/>
  <c r="HT349" i="56"/>
  <c r="GU349" i="56"/>
  <c r="HS349" i="56" s="1"/>
  <c r="GT349" i="56"/>
  <c r="GW349" i="56"/>
  <c r="GP349" i="56"/>
  <c r="HK333" i="56" a="1"/>
  <c r="HK333" i="56" s="1"/>
  <c r="HL333" i="56" s="1"/>
  <c r="HI333" i="56" a="1"/>
  <c r="HI333" i="56" s="1"/>
  <c r="HJ333" i="56" s="1"/>
  <c r="HM333" i="56" a="1"/>
  <c r="HM333" i="56" s="1"/>
  <c r="HN333" i="56" s="1"/>
  <c r="HO333" i="56" a="1"/>
  <c r="HO333" i="56" s="1"/>
  <c r="HP333" i="56" s="1"/>
  <c r="HQ333" i="56" a="1"/>
  <c r="HQ333" i="56" s="1"/>
  <c r="HR333" i="56" s="1"/>
  <c r="HG333" i="56" a="1"/>
  <c r="HG333" i="56" s="1"/>
  <c r="HH333" i="56" s="1"/>
  <c r="HM106" i="56" a="1"/>
  <c r="HM106" i="56" s="1"/>
  <c r="HN106" i="56" s="1"/>
  <c r="HO106" i="56" a="1"/>
  <c r="HO106" i="56" s="1"/>
  <c r="HP106" i="56" s="1"/>
  <c r="HQ106" i="56" a="1"/>
  <c r="HQ106" i="56" s="1"/>
  <c r="HR106" i="56" s="1"/>
  <c r="HG106" i="56" a="1"/>
  <c r="HG106" i="56" s="1"/>
  <c r="HH106" i="56" s="1"/>
  <c r="HK106" i="56" a="1"/>
  <c r="HK106" i="56" s="1"/>
  <c r="HL106" i="56" s="1"/>
  <c r="HI106" i="56" a="1"/>
  <c r="HI106" i="56" s="1"/>
  <c r="HJ106" i="56" s="1"/>
  <c r="GN39" i="56"/>
  <c r="IK39" i="56" s="1"/>
  <c r="GO39" i="56"/>
  <c r="GM40" i="56"/>
  <c r="HQ286" i="56" a="1"/>
  <c r="HQ286" i="56" s="1"/>
  <c r="HR286" i="56" s="1"/>
  <c r="HM286" i="56" a="1"/>
  <c r="HM286" i="56" s="1"/>
  <c r="HN286" i="56" s="1"/>
  <c r="HO286" i="56" a="1"/>
  <c r="HO286" i="56" s="1"/>
  <c r="HP286" i="56" s="1"/>
  <c r="HI286" i="56" a="1"/>
  <c r="HI286" i="56" s="1"/>
  <c r="HJ286" i="56" s="1"/>
  <c r="HK286" i="56" a="1"/>
  <c r="HK286" i="56" s="1"/>
  <c r="HL286" i="56" s="1"/>
  <c r="HG286" i="56" a="1"/>
  <c r="HG286" i="56" s="1"/>
  <c r="HH286" i="56" s="1"/>
  <c r="HQ288" i="56" a="1"/>
  <c r="HQ288" i="56" s="1"/>
  <c r="HR288" i="56" s="1"/>
  <c r="HK288" i="56" a="1"/>
  <c r="HK288" i="56" s="1"/>
  <c r="HL288" i="56" s="1"/>
  <c r="HG288" i="56" a="1"/>
  <c r="HG288" i="56" s="1"/>
  <c r="HH288" i="56" s="1"/>
  <c r="HO288" i="56" a="1"/>
  <c r="HO288" i="56" s="1"/>
  <c r="HP288" i="56" s="1"/>
  <c r="HM288" i="56" a="1"/>
  <c r="HM288" i="56" s="1"/>
  <c r="HN288" i="56" s="1"/>
  <c r="HI288" i="56" a="1"/>
  <c r="HI288" i="56" s="1"/>
  <c r="HJ288" i="56" s="1"/>
  <c r="HT38" i="56"/>
  <c r="GT38" i="56"/>
  <c r="GW38" i="56"/>
  <c r="GP38" i="56"/>
  <c r="GU38" i="56"/>
  <c r="HS38" i="56" s="1"/>
  <c r="HT108" i="56"/>
  <c r="GU108" i="56"/>
  <c r="HS108" i="56" s="1"/>
  <c r="GT108" i="56"/>
  <c r="GP108" i="56"/>
  <c r="GW108" i="56"/>
  <c r="GO231" i="56"/>
  <c r="GN231" i="56"/>
  <c r="IK231" i="56" s="1"/>
  <c r="GM232" i="56"/>
  <c r="HE231" i="56"/>
  <c r="HF231" i="56" s="1"/>
  <c r="FD99" i="56"/>
  <c r="FD93" i="56"/>
  <c r="FD100" i="56"/>
  <c r="FD94" i="56"/>
  <c r="FD91" i="56"/>
  <c r="FD92" i="56"/>
  <c r="M92" i="56" s="1"/>
  <c r="FE92" i="56" s="1"/>
  <c r="FD97" i="56"/>
  <c r="FD89" i="56"/>
  <c r="FD90" i="56"/>
  <c r="FD96" i="56"/>
  <c r="FD101" i="56"/>
  <c r="FD95" i="56"/>
  <c r="FD98" i="56"/>
  <c r="HQ315" i="56" a="1"/>
  <c r="HQ315" i="56" s="1"/>
  <c r="HR315" i="56" s="1"/>
  <c r="HG315" i="56" a="1"/>
  <c r="HG315" i="56" s="1"/>
  <c r="HH315" i="56" s="1"/>
  <c r="HO315" i="56" a="1"/>
  <c r="HO315" i="56" s="1"/>
  <c r="HP315" i="56" s="1"/>
  <c r="HK315" i="56" a="1"/>
  <c r="HK315" i="56" s="1"/>
  <c r="HL315" i="56" s="1"/>
  <c r="HI315" i="56" a="1"/>
  <c r="HI315" i="56" s="1"/>
  <c r="HJ315" i="56" s="1"/>
  <c r="HM315" i="56" a="1"/>
  <c r="HM315" i="56" s="1"/>
  <c r="HN315" i="56" s="1"/>
  <c r="HQ137" i="56" a="1"/>
  <c r="HQ137" i="56" s="1"/>
  <c r="HR137" i="56" s="1"/>
  <c r="HO137" i="56" a="1"/>
  <c r="HO137" i="56" s="1"/>
  <c r="HP137" i="56" s="1"/>
  <c r="HG137" i="56" a="1"/>
  <c r="HG137" i="56" s="1"/>
  <c r="HH137" i="56" s="1"/>
  <c r="HM137" i="56" a="1"/>
  <c r="HM137" i="56" s="1"/>
  <c r="HN137" i="56" s="1"/>
  <c r="HK137" i="56" a="1"/>
  <c r="HK137" i="56" s="1"/>
  <c r="HL137" i="56" s="1"/>
  <c r="HI137" i="56" a="1"/>
  <c r="HI137" i="56" s="1"/>
  <c r="HJ137" i="56" s="1"/>
  <c r="FD328" i="56"/>
  <c r="FD327" i="56"/>
  <c r="FD329" i="56"/>
  <c r="FD325" i="56"/>
  <c r="M325" i="56" s="1"/>
  <c r="FE325" i="56" s="1"/>
  <c r="FD326" i="56"/>
  <c r="IH15" i="56"/>
  <c r="IN15" i="56" s="1"/>
  <c r="FD312" i="56"/>
  <c r="FD284" i="56"/>
  <c r="FD299" i="56"/>
  <c r="FD302" i="56"/>
  <c r="FD289" i="56"/>
  <c r="FD300" i="56"/>
  <c r="FD286" i="56"/>
  <c r="FD291" i="56"/>
  <c r="FD298" i="56"/>
  <c r="FD294" i="56"/>
  <c r="FD306" i="56"/>
  <c r="FD308" i="56"/>
  <c r="FD296" i="56"/>
  <c r="FD290" i="56"/>
  <c r="FD297" i="56"/>
  <c r="FD305" i="56"/>
  <c r="FD310" i="56"/>
  <c r="FD292" i="56"/>
  <c r="FD287" i="56"/>
  <c r="FD307" i="56"/>
  <c r="FD303" i="56"/>
  <c r="FD295" i="56"/>
  <c r="FD304" i="56"/>
  <c r="FD309" i="56"/>
  <c r="FD285" i="56"/>
  <c r="FD288" i="56"/>
  <c r="FD311" i="56"/>
  <c r="FD293" i="56"/>
  <c r="FD301" i="56"/>
  <c r="GN109" i="56"/>
  <c r="IK109" i="56" s="1"/>
  <c r="GO109" i="56"/>
  <c r="GM110" i="56"/>
  <c r="HE109" i="56"/>
  <c r="HF109" i="56" s="1"/>
  <c r="HQ134" i="56" a="1"/>
  <c r="HQ134" i="56" s="1"/>
  <c r="HR134" i="56" s="1"/>
  <c r="HO134" i="56" a="1"/>
  <c r="HO134" i="56" s="1"/>
  <c r="HP134" i="56" s="1"/>
  <c r="HK134" i="56" a="1"/>
  <c r="HK134" i="56" s="1"/>
  <c r="HL134" i="56" s="1"/>
  <c r="HG134" i="56" a="1"/>
  <c r="HG134" i="56" s="1"/>
  <c r="HH134" i="56" s="1"/>
  <c r="HI134" i="56" a="1"/>
  <c r="HI134" i="56" s="1"/>
  <c r="HJ134" i="56" s="1"/>
  <c r="HM134" i="56" a="1"/>
  <c r="HM134" i="56" s="1"/>
  <c r="HN134" i="56" s="1"/>
  <c r="GN138" i="56"/>
  <c r="IK138" i="56" s="1"/>
  <c r="GO138" i="56"/>
  <c r="GM139" i="56"/>
  <c r="HE138" i="56"/>
  <c r="HF138" i="56" s="1"/>
  <c r="GI41" i="56"/>
  <c r="GJ41" i="56" s="1"/>
  <c r="GH42" i="56"/>
  <c r="IH19" i="56"/>
  <c r="IN19" i="56" s="1"/>
  <c r="FD58" i="56"/>
  <c r="M58" i="56" s="1"/>
  <c r="FE58" i="56" s="1"/>
  <c r="FF58" i="56" s="1"/>
  <c r="FD60" i="56"/>
  <c r="M60" i="56" s="1"/>
  <c r="FE60" i="56" s="1"/>
  <c r="FF60" i="56" s="1"/>
  <c r="FD61" i="56"/>
  <c r="M61" i="56" s="1"/>
  <c r="FE61" i="56" s="1"/>
  <c r="FF61" i="56" s="1"/>
  <c r="FD76" i="56"/>
  <c r="M76" i="56" s="1"/>
  <c r="FE76" i="56" s="1"/>
  <c r="FF76" i="56" s="1"/>
  <c r="FD62" i="56"/>
  <c r="M62" i="56" s="1"/>
  <c r="FE62" i="56" s="1"/>
  <c r="FF62" i="56" s="1"/>
  <c r="FD65" i="56"/>
  <c r="M65" i="56" s="1"/>
  <c r="FE65" i="56" s="1"/>
  <c r="FF65" i="56" s="1"/>
  <c r="FD56" i="56"/>
  <c r="M56" i="56" s="1"/>
  <c r="FE56" i="56" s="1"/>
  <c r="FD59" i="56"/>
  <c r="M59" i="56" s="1"/>
  <c r="FE59" i="56" s="1"/>
  <c r="FF59" i="56" s="1"/>
  <c r="FD74" i="56"/>
  <c r="M74" i="56" s="1"/>
  <c r="FE74" i="56" s="1"/>
  <c r="FF74" i="56" s="1"/>
  <c r="FD75" i="56"/>
  <c r="M75" i="56" s="1"/>
  <c r="FE75" i="56" s="1"/>
  <c r="FF75" i="56" s="1"/>
  <c r="FD68" i="56"/>
  <c r="M68" i="56" s="1"/>
  <c r="FE68" i="56" s="1"/>
  <c r="FF68" i="56" s="1"/>
  <c r="FD72" i="56"/>
  <c r="M72" i="56" s="1"/>
  <c r="FE72" i="56" s="1"/>
  <c r="FF72" i="56" s="1"/>
  <c r="FD78" i="56"/>
  <c r="M78" i="56" s="1"/>
  <c r="FE78" i="56" s="1"/>
  <c r="FF78" i="56" s="1"/>
  <c r="FD70" i="56"/>
  <c r="M70" i="56" s="1"/>
  <c r="FE70" i="56" s="1"/>
  <c r="FF70" i="56" s="1"/>
  <c r="FD55" i="56"/>
  <c r="M55" i="56" s="1"/>
  <c r="FE55" i="56" s="1"/>
  <c r="FD67" i="56"/>
  <c r="M67" i="56" s="1"/>
  <c r="FE67" i="56" s="1"/>
  <c r="FF67" i="56" s="1"/>
  <c r="FD73" i="56"/>
  <c r="M73" i="56" s="1"/>
  <c r="FE73" i="56" s="1"/>
  <c r="FF73" i="56" s="1"/>
  <c r="FD54" i="56"/>
  <c r="M54" i="56" s="1"/>
  <c r="FE54" i="56" s="1"/>
  <c r="FD71" i="56"/>
  <c r="M71" i="56" s="1"/>
  <c r="FE71" i="56" s="1"/>
  <c r="FF71" i="56" s="1"/>
  <c r="FD77" i="56"/>
  <c r="M77" i="56" s="1"/>
  <c r="FE77" i="56" s="1"/>
  <c r="FF77" i="56" s="1"/>
  <c r="FD79" i="56"/>
  <c r="M79" i="56" s="1"/>
  <c r="FE79" i="56" s="1"/>
  <c r="FF79" i="56" s="1"/>
  <c r="FD57" i="56"/>
  <c r="M57" i="56" s="1"/>
  <c r="FE57" i="56" s="1"/>
  <c r="FD66" i="56"/>
  <c r="M66" i="56" s="1"/>
  <c r="FE66" i="56" s="1"/>
  <c r="FF66" i="56" s="1"/>
  <c r="FD64" i="56"/>
  <c r="M64" i="56" s="1"/>
  <c r="FE64" i="56" s="1"/>
  <c r="FF64" i="56" s="1"/>
  <c r="FD63" i="56"/>
  <c r="M63" i="56" s="1"/>
  <c r="FE63" i="56" s="1"/>
  <c r="FF63" i="56" s="1"/>
  <c r="FD69" i="56"/>
  <c r="M69" i="56" s="1"/>
  <c r="FE69" i="56" s="1"/>
  <c r="FF69" i="56" s="1"/>
  <c r="FD331" i="56"/>
  <c r="FD334" i="56"/>
  <c r="FD332" i="56"/>
  <c r="FD333" i="56"/>
  <c r="HT137" i="56"/>
  <c r="GU137" i="56"/>
  <c r="HS137" i="56" s="1"/>
  <c r="GW137" i="56"/>
  <c r="GP137" i="56"/>
  <c r="GT137" i="56"/>
  <c r="HT230" i="56"/>
  <c r="GT230" i="56"/>
  <c r="GW230" i="56"/>
  <c r="GP230" i="56"/>
  <c r="GU230" i="56"/>
  <c r="HS230" i="56" s="1"/>
  <c r="FD266" i="56"/>
  <c r="M266" i="56" s="1"/>
  <c r="FE266" i="56" s="1"/>
  <c r="FF266" i="56" s="1"/>
  <c r="FD268" i="56"/>
  <c r="M268" i="56" s="1"/>
  <c r="FE268" i="56" s="1"/>
  <c r="FF268" i="56" s="1"/>
  <c r="FD242" i="56"/>
  <c r="FD234" i="56"/>
  <c r="M234" i="56" s="1"/>
  <c r="FE234" i="56" s="1"/>
  <c r="FF234" i="56" s="1"/>
  <c r="FD276" i="56"/>
  <c r="M276" i="56" s="1"/>
  <c r="FE276" i="56" s="1"/>
  <c r="FF276" i="56" s="1"/>
  <c r="FD251" i="56"/>
  <c r="M251" i="56" s="1"/>
  <c r="FE251" i="56" s="1"/>
  <c r="FF251" i="56" s="1"/>
  <c r="FD226" i="56"/>
  <c r="M226" i="56" s="1"/>
  <c r="FE226" i="56" s="1"/>
  <c r="FD249" i="56"/>
  <c r="FD270" i="56"/>
  <c r="M270" i="56" s="1"/>
  <c r="FE270" i="56" s="1"/>
  <c r="FF270" i="56" s="1"/>
  <c r="FD235" i="56"/>
  <c r="FD267" i="56"/>
  <c r="M267" i="56" s="1"/>
  <c r="FE267" i="56" s="1"/>
  <c r="FF267" i="56" s="1"/>
  <c r="FD243" i="56"/>
  <c r="M243" i="56" s="1"/>
  <c r="FE243" i="56" s="1"/>
  <c r="FF243" i="56" s="1"/>
  <c r="FD225" i="56"/>
  <c r="FD248" i="56"/>
  <c r="M248" i="56" s="1"/>
  <c r="FE248" i="56" s="1"/>
  <c r="FF248" i="56" s="1"/>
  <c r="FD253" i="56"/>
  <c r="M253" i="56" s="1"/>
  <c r="FE253" i="56" s="1"/>
  <c r="FF253" i="56" s="1"/>
  <c r="FD244" i="56"/>
  <c r="M244" i="56" s="1"/>
  <c r="FE244" i="56" s="1"/>
  <c r="FF244" i="56" s="1"/>
  <c r="FD273" i="56"/>
  <c r="M273" i="56" s="1"/>
  <c r="FE273" i="56" s="1"/>
  <c r="FF273" i="56" s="1"/>
  <c r="FD263" i="56"/>
  <c r="M263" i="56" s="1"/>
  <c r="FE263" i="56" s="1"/>
  <c r="FF263" i="56" s="1"/>
  <c r="FD230" i="56"/>
  <c r="M230" i="56" s="1"/>
  <c r="FE230" i="56" s="1"/>
  <c r="FF230" i="56" s="1"/>
  <c r="FD237" i="56"/>
  <c r="M237" i="56" s="1"/>
  <c r="FE237" i="56" s="1"/>
  <c r="FF237" i="56" s="1"/>
  <c r="FD265" i="56"/>
  <c r="M265" i="56" s="1"/>
  <c r="FE265" i="56" s="1"/>
  <c r="FF265" i="56" s="1"/>
  <c r="FD278" i="56"/>
  <c r="M278" i="56" s="1"/>
  <c r="FE278" i="56" s="1"/>
  <c r="FF278" i="56" s="1"/>
  <c r="FD279" i="56"/>
  <c r="M279" i="56" s="1"/>
  <c r="FE279" i="56" s="1"/>
  <c r="FF279" i="56" s="1"/>
  <c r="FD250" i="56"/>
  <c r="M250" i="56" s="1"/>
  <c r="FE250" i="56" s="1"/>
  <c r="FF250" i="56" s="1"/>
  <c r="FD252" i="56"/>
  <c r="FD282" i="56"/>
  <c r="M282" i="56" s="1"/>
  <c r="FE282" i="56" s="1"/>
  <c r="FF282" i="56" s="1"/>
  <c r="HA283" i="56" s="1"/>
  <c r="FD262" i="56"/>
  <c r="M262" i="56" s="1"/>
  <c r="FE262" i="56" s="1"/>
  <c r="FF262" i="56" s="1"/>
  <c r="FD280" i="56"/>
  <c r="M280" i="56" s="1"/>
  <c r="FE280" i="56" s="1"/>
  <c r="FF280" i="56" s="1"/>
  <c r="FD260" i="56"/>
  <c r="M260" i="56" s="1"/>
  <c r="FE260" i="56" s="1"/>
  <c r="FF260" i="56" s="1"/>
  <c r="FD227" i="56"/>
  <c r="M227" i="56" s="1"/>
  <c r="FE227" i="56" s="1"/>
  <c r="FD259" i="56"/>
  <c r="M259" i="56" s="1"/>
  <c r="FE259" i="56" s="1"/>
  <c r="FF259" i="56" s="1"/>
  <c r="FD233" i="56"/>
  <c r="M233" i="56" s="1"/>
  <c r="FE233" i="56" s="1"/>
  <c r="FF233" i="56" s="1"/>
  <c r="FD240" i="56"/>
  <c r="M240" i="56" s="1"/>
  <c r="FE240" i="56" s="1"/>
  <c r="FF240" i="56" s="1"/>
  <c r="FD238" i="56"/>
  <c r="M238" i="56" s="1"/>
  <c r="FE238" i="56" s="1"/>
  <c r="FF238" i="56" s="1"/>
  <c r="FD232" i="56"/>
  <c r="M232" i="56" s="1"/>
  <c r="FE232" i="56" s="1"/>
  <c r="FF232" i="56" s="1"/>
  <c r="FD281" i="56"/>
  <c r="M281" i="56" s="1"/>
  <c r="FE281" i="56" s="1"/>
  <c r="FF281" i="56" s="1"/>
  <c r="FD246" i="56"/>
  <c r="M246" i="56" s="1"/>
  <c r="FE246" i="56" s="1"/>
  <c r="FF246" i="56" s="1"/>
  <c r="FD275" i="56"/>
  <c r="M275" i="56" s="1"/>
  <c r="FE275" i="56" s="1"/>
  <c r="FF275" i="56" s="1"/>
  <c r="FD256" i="56"/>
  <c r="M256" i="56" s="1"/>
  <c r="FE256" i="56" s="1"/>
  <c r="FF256" i="56" s="1"/>
  <c r="FD236" i="56"/>
  <c r="M236" i="56" s="1"/>
  <c r="FE236" i="56" s="1"/>
  <c r="FF236" i="56" s="1"/>
  <c r="FD264" i="56"/>
  <c r="M264" i="56" s="1"/>
  <c r="FE264" i="56" s="1"/>
  <c r="FF264" i="56" s="1"/>
  <c r="FD257" i="56"/>
  <c r="M257" i="56" s="1"/>
  <c r="FE257" i="56" s="1"/>
  <c r="FF257" i="56" s="1"/>
  <c r="FD247" i="56"/>
  <c r="M247" i="56" s="1"/>
  <c r="FE247" i="56" s="1"/>
  <c r="FF247" i="56" s="1"/>
  <c r="FD254" i="56"/>
  <c r="M254" i="56" s="1"/>
  <c r="FE254" i="56" s="1"/>
  <c r="FF254" i="56" s="1"/>
  <c r="FD241" i="56"/>
  <c r="M241" i="56" s="1"/>
  <c r="FE241" i="56" s="1"/>
  <c r="FF241" i="56" s="1"/>
  <c r="FD258" i="56"/>
  <c r="FD228" i="56"/>
  <c r="FD261" i="56"/>
  <c r="FD239" i="56"/>
  <c r="M239" i="56" s="1"/>
  <c r="FE239" i="56" s="1"/>
  <c r="FF239" i="56" s="1"/>
  <c r="FD245" i="56"/>
  <c r="M245" i="56" s="1"/>
  <c r="FE245" i="56" s="1"/>
  <c r="FF245" i="56" s="1"/>
  <c r="FD231" i="56"/>
  <c r="M231" i="56" s="1"/>
  <c r="FE231" i="56" s="1"/>
  <c r="FF231" i="56" s="1"/>
  <c r="FD269" i="56"/>
  <c r="M269" i="56" s="1"/>
  <c r="FE269" i="56" s="1"/>
  <c r="FF269" i="56" s="1"/>
  <c r="FD229" i="56"/>
  <c r="M229" i="56" s="1"/>
  <c r="FE229" i="56" s="1"/>
  <c r="FF229" i="56" s="1"/>
  <c r="FD272" i="56"/>
  <c r="M272" i="56" s="1"/>
  <c r="FE272" i="56" s="1"/>
  <c r="FF272" i="56" s="1"/>
  <c r="FD255" i="56"/>
  <c r="M255" i="56" s="1"/>
  <c r="FE255" i="56" s="1"/>
  <c r="FF255" i="56" s="1"/>
  <c r="FD277" i="56"/>
  <c r="M277" i="56" s="1"/>
  <c r="FE277" i="56" s="1"/>
  <c r="FF277" i="56" s="1"/>
  <c r="FD271" i="56"/>
  <c r="M271" i="56" s="1"/>
  <c r="FE271" i="56" s="1"/>
  <c r="FF271" i="56" s="1"/>
  <c r="FD339" i="56"/>
  <c r="M339" i="56" s="1"/>
  <c r="FE339" i="56" s="1"/>
  <c r="FD337" i="56"/>
  <c r="M337" i="56" s="1"/>
  <c r="FE337" i="56" s="1"/>
  <c r="FD340" i="56"/>
  <c r="M340" i="56" s="1"/>
  <c r="FE340" i="56" s="1"/>
  <c r="FF340" i="56" s="1"/>
  <c r="FD338" i="56"/>
  <c r="M338" i="56" s="1"/>
  <c r="FE338" i="56" s="1"/>
  <c r="GO162" i="56"/>
  <c r="GN162" i="56"/>
  <c r="IK162" i="56" s="1"/>
  <c r="GM163" i="56"/>
  <c r="HE162" i="56"/>
  <c r="HF162" i="56" s="1"/>
  <c r="GO60" i="56"/>
  <c r="GN60" i="56"/>
  <c r="IK60" i="56" s="1"/>
  <c r="GM61" i="56"/>
  <c r="HE60" i="56"/>
  <c r="HF60" i="56" s="1"/>
  <c r="HQ329" i="56" a="1"/>
  <c r="HQ329" i="56" s="1"/>
  <c r="HR329" i="56" s="1"/>
  <c r="HI329" i="56" a="1"/>
  <c r="HI329" i="56" s="1"/>
  <c r="HJ329" i="56" s="1"/>
  <c r="HO329" i="56" a="1"/>
  <c r="HO329" i="56" s="1"/>
  <c r="HP329" i="56" s="1"/>
  <c r="HM329" i="56" a="1"/>
  <c r="HM329" i="56" s="1"/>
  <c r="HN329" i="56" s="1"/>
  <c r="HK329" i="56" a="1"/>
  <c r="HK329" i="56" s="1"/>
  <c r="HL329" i="56" s="1"/>
  <c r="HG329" i="56" a="1"/>
  <c r="HG329" i="56" s="1"/>
  <c r="HH329" i="56" s="1"/>
  <c r="FD187" i="56"/>
  <c r="FD220" i="56"/>
  <c r="FD204" i="56"/>
  <c r="FD205" i="56"/>
  <c r="FD222" i="56"/>
  <c r="FD193" i="56"/>
  <c r="FD185" i="56"/>
  <c r="FD203" i="56"/>
  <c r="FD219" i="56"/>
  <c r="FD206" i="56"/>
  <c r="FD209" i="56"/>
  <c r="FD211" i="56"/>
  <c r="FD198" i="56"/>
  <c r="FD196" i="56"/>
  <c r="FD210" i="56"/>
  <c r="FD186" i="56"/>
  <c r="FD212" i="56"/>
  <c r="FD215" i="56"/>
  <c r="FD216" i="56"/>
  <c r="FD201" i="56"/>
  <c r="FD208" i="56"/>
  <c r="FD217" i="56"/>
  <c r="FD200" i="56"/>
  <c r="FD199" i="56"/>
  <c r="FD221" i="56"/>
  <c r="FD189" i="56"/>
  <c r="FD195" i="56"/>
  <c r="FD214" i="56"/>
  <c r="FD190" i="56"/>
  <c r="FD188" i="56"/>
  <c r="FD194" i="56"/>
  <c r="FD218" i="56"/>
  <c r="FD213" i="56"/>
  <c r="FD191" i="56"/>
  <c r="FD197" i="56"/>
  <c r="FD202" i="56"/>
  <c r="FD207" i="56"/>
  <c r="FD192" i="56"/>
  <c r="FD223" i="56"/>
  <c r="FD319" i="56"/>
  <c r="FD320" i="56"/>
  <c r="FD322" i="56"/>
  <c r="FD323" i="56"/>
  <c r="FD324" i="56"/>
  <c r="FD318" i="56"/>
  <c r="FD321" i="56"/>
  <c r="FD317" i="56"/>
  <c r="M317" i="56" s="1"/>
  <c r="FE317" i="56" s="1"/>
  <c r="HE3" i="56"/>
  <c r="HF3" i="56" s="1"/>
  <c r="HT3" i="56"/>
  <c r="FD5" i="56"/>
  <c r="M5" i="56" s="1"/>
  <c r="FE5" i="56" s="1"/>
  <c r="FD24" i="56"/>
  <c r="M24" i="56" s="1"/>
  <c r="FE24" i="56" s="1"/>
  <c r="FF24" i="56" s="1"/>
  <c r="FD18" i="56"/>
  <c r="M18" i="56" s="1"/>
  <c r="FE18" i="56" s="1"/>
  <c r="FF18" i="56" s="1"/>
  <c r="FD6" i="56"/>
  <c r="M6" i="56" s="1"/>
  <c r="FE6" i="56" s="1"/>
  <c r="FD23" i="56"/>
  <c r="M23" i="56" s="1"/>
  <c r="FE23" i="56" s="1"/>
  <c r="FF23" i="56" s="1"/>
  <c r="FD19" i="56"/>
  <c r="M19" i="56" s="1"/>
  <c r="FE19" i="56" s="1"/>
  <c r="FF19" i="56" s="1"/>
  <c r="FD17" i="56"/>
  <c r="M17" i="56" s="1"/>
  <c r="FE17" i="56" s="1"/>
  <c r="FF17" i="56" s="1"/>
  <c r="HE4" i="56"/>
  <c r="HF4" i="56" s="1"/>
  <c r="HT4" i="56"/>
  <c r="HQ59" i="56" a="1"/>
  <c r="HQ59" i="56" s="1"/>
  <c r="HR59" i="56" s="1"/>
  <c r="HO59" i="56" a="1"/>
  <c r="HO59" i="56" s="1"/>
  <c r="HP59" i="56" s="1"/>
  <c r="HG59" i="56" a="1"/>
  <c r="HG59" i="56" s="1"/>
  <c r="HH59" i="56" s="1"/>
  <c r="HK59" i="56" a="1"/>
  <c r="HK59" i="56" s="1"/>
  <c r="HL59" i="56" s="1"/>
  <c r="HM59" i="56" a="1"/>
  <c r="HM59" i="56" s="1"/>
  <c r="HN59" i="56" s="1"/>
  <c r="HI59" i="56" a="1"/>
  <c r="HI59" i="56" s="1"/>
  <c r="HJ59" i="56" s="1"/>
  <c r="GO324" i="56"/>
  <c r="GN324" i="56"/>
  <c r="IK324" i="56" s="1"/>
  <c r="HE324" i="56"/>
  <c r="HF324" i="56" s="1"/>
  <c r="GO292" i="56"/>
  <c r="GN292" i="56"/>
  <c r="IK292" i="56" s="1"/>
  <c r="GM293" i="56"/>
  <c r="HE292" i="56"/>
  <c r="HF292" i="56" s="1"/>
  <c r="HM314" i="56" a="1"/>
  <c r="HM314" i="56" s="1"/>
  <c r="HN314" i="56" s="1"/>
  <c r="HQ314" i="56" a="1"/>
  <c r="HQ314" i="56" s="1"/>
  <c r="HR314" i="56" s="1"/>
  <c r="HK314" i="56" a="1"/>
  <c r="HK314" i="56" s="1"/>
  <c r="HL314" i="56" s="1"/>
  <c r="HO314" i="56" a="1"/>
  <c r="HO314" i="56" s="1"/>
  <c r="HP314" i="56" s="1"/>
  <c r="HI314" i="56" a="1"/>
  <c r="HI314" i="56" s="1"/>
  <c r="HJ314" i="56" s="1"/>
  <c r="HG314" i="56" a="1"/>
  <c r="HG314" i="56" s="1"/>
  <c r="HH314" i="56" s="1"/>
  <c r="GO13" i="56"/>
  <c r="GN13" i="56"/>
  <c r="IK13" i="56" s="1"/>
  <c r="GM14" i="56"/>
  <c r="HE13" i="56"/>
  <c r="HF13" i="56" s="1"/>
  <c r="FD156" i="56"/>
  <c r="FD155" i="56"/>
  <c r="FD174" i="56"/>
  <c r="FD170" i="56"/>
  <c r="FD172" i="56"/>
  <c r="FD169" i="56"/>
  <c r="FD173" i="56"/>
  <c r="FD167" i="56"/>
  <c r="FD168" i="56"/>
  <c r="FD160" i="56"/>
  <c r="FD182" i="56"/>
  <c r="FD161" i="56"/>
  <c r="FD177" i="56"/>
  <c r="FD183" i="56"/>
  <c r="FD180" i="56"/>
  <c r="FD164" i="56"/>
  <c r="FD162" i="56"/>
  <c r="FD158" i="56"/>
  <c r="FD171" i="56"/>
  <c r="FD178" i="56"/>
  <c r="FD175" i="56"/>
  <c r="FD163" i="56"/>
  <c r="FD157" i="56"/>
  <c r="FD159" i="56"/>
  <c r="FD165" i="56"/>
  <c r="FD181" i="56"/>
  <c r="FD179" i="56"/>
  <c r="FD166" i="56"/>
  <c r="FD176" i="56"/>
  <c r="HT161" i="56"/>
  <c r="GW161" i="56"/>
  <c r="GP161" i="56"/>
  <c r="GT161" i="56"/>
  <c r="GU161" i="56"/>
  <c r="HS161" i="56" s="1"/>
  <c r="HT59" i="56"/>
  <c r="GT59" i="56"/>
  <c r="GU59" i="56"/>
  <c r="HS59" i="56" s="1"/>
  <c r="GW59" i="56"/>
  <c r="GP59" i="56"/>
  <c r="II3" i="56"/>
  <c r="HQ12" i="56" a="1"/>
  <c r="HQ12" i="56" s="1"/>
  <c r="HR12" i="56" s="1"/>
  <c r="HO12" i="56" a="1"/>
  <c r="HO12" i="56" s="1"/>
  <c r="HP12" i="56" s="1"/>
  <c r="HI12" i="56" a="1"/>
  <c r="HI12" i="56" s="1"/>
  <c r="HJ12" i="56" s="1"/>
  <c r="HG12" i="56" a="1"/>
  <c r="HG12" i="56" s="1"/>
  <c r="HH12" i="56" s="1"/>
  <c r="HM12" i="56" a="1"/>
  <c r="HM12" i="56" s="1"/>
  <c r="HN12" i="56" s="1"/>
  <c r="HK12" i="56" a="1"/>
  <c r="HK12" i="56" s="1"/>
  <c r="HL12" i="56" s="1"/>
  <c r="HT291" i="56"/>
  <c r="GW291" i="56"/>
  <c r="GT291" i="56"/>
  <c r="GP291" i="56"/>
  <c r="GU291" i="56"/>
  <c r="HS291" i="56" s="1"/>
  <c r="HT323" i="56"/>
  <c r="GW323" i="56"/>
  <c r="GU323" i="56"/>
  <c r="HS323" i="56" s="1"/>
  <c r="GP323" i="56"/>
  <c r="GT323" i="56"/>
  <c r="HM108" i="56" a="1"/>
  <c r="HM108" i="56" s="1"/>
  <c r="HN108" i="56" s="1"/>
  <c r="HQ108" i="56" a="1"/>
  <c r="HQ108" i="56" s="1"/>
  <c r="HR108" i="56" s="1"/>
  <c r="HO108" i="56" a="1"/>
  <c r="HO108" i="56" s="1"/>
  <c r="HP108" i="56" s="1"/>
  <c r="HG108" i="56" a="1"/>
  <c r="HG108" i="56" s="1"/>
  <c r="HH108" i="56" s="1"/>
  <c r="HI108" i="56" a="1"/>
  <c r="HI108" i="56" s="1"/>
  <c r="HJ108" i="56" s="1"/>
  <c r="HK108" i="56" a="1"/>
  <c r="HK108" i="56" s="1"/>
  <c r="HL108" i="56" s="1"/>
  <c r="HT12" i="56"/>
  <c r="GW12" i="56"/>
  <c r="GT12" i="56"/>
  <c r="GP12" i="56"/>
  <c r="GU12" i="56"/>
  <c r="HS12" i="56" s="1"/>
  <c r="IH16" i="56"/>
  <c r="FD105" i="56"/>
  <c r="FD123" i="56"/>
  <c r="M123" i="56" s="1"/>
  <c r="FE123" i="56" s="1"/>
  <c r="FF123" i="56" s="1"/>
  <c r="FD103" i="56"/>
  <c r="M103" i="56" s="1"/>
  <c r="FE103" i="56" s="1"/>
  <c r="FD120" i="56"/>
  <c r="M120" i="56" s="1"/>
  <c r="FE120" i="56" s="1"/>
  <c r="FF120" i="56" s="1"/>
  <c r="FD107" i="56"/>
  <c r="M107" i="56" s="1"/>
  <c r="FE107" i="56" s="1"/>
  <c r="FF107" i="56" s="1"/>
  <c r="FD124" i="56"/>
  <c r="M124" i="56" s="1"/>
  <c r="FE124" i="56" s="1"/>
  <c r="FF124" i="56" s="1"/>
  <c r="FD110" i="56"/>
  <c r="M110" i="56" s="1"/>
  <c r="FE110" i="56" s="1"/>
  <c r="FF110" i="56" s="1"/>
  <c r="FD125" i="56"/>
  <c r="M125" i="56" s="1"/>
  <c r="FE125" i="56" s="1"/>
  <c r="FF125" i="56" s="1"/>
  <c r="FD119" i="56"/>
  <c r="M119" i="56" s="1"/>
  <c r="FE119" i="56" s="1"/>
  <c r="FF119" i="56" s="1"/>
  <c r="FD118" i="56"/>
  <c r="M118" i="56" s="1"/>
  <c r="FE118" i="56" s="1"/>
  <c r="FF118" i="56" s="1"/>
  <c r="FD106" i="56"/>
  <c r="M106" i="56" s="1"/>
  <c r="FE106" i="56" s="1"/>
  <c r="FD109" i="56"/>
  <c r="M109" i="56" s="1"/>
  <c r="FE109" i="56" s="1"/>
  <c r="FF109" i="56" s="1"/>
  <c r="FD121" i="56"/>
  <c r="M121" i="56" s="1"/>
  <c r="FE121" i="56" s="1"/>
  <c r="FF121" i="56" s="1"/>
  <c r="FD108" i="56"/>
  <c r="M108" i="56" s="1"/>
  <c r="FE108" i="56" s="1"/>
  <c r="FF108" i="56" s="1"/>
  <c r="FD115" i="56"/>
  <c r="M115" i="56" s="1"/>
  <c r="FE115" i="56" s="1"/>
  <c r="FF115" i="56" s="1"/>
  <c r="FD129" i="56"/>
  <c r="M129" i="56" s="1"/>
  <c r="FE129" i="56" s="1"/>
  <c r="FF129" i="56" s="1"/>
  <c r="FD126" i="56"/>
  <c r="M126" i="56" s="1"/>
  <c r="FE126" i="56" s="1"/>
  <c r="FF126" i="56" s="1"/>
  <c r="FD116" i="56"/>
  <c r="M116" i="56" s="1"/>
  <c r="FE116" i="56" s="1"/>
  <c r="FF116" i="56" s="1"/>
  <c r="FD113" i="56"/>
  <c r="M113" i="56" s="1"/>
  <c r="FE113" i="56" s="1"/>
  <c r="FF113" i="56" s="1"/>
  <c r="FD114" i="56"/>
  <c r="M114" i="56" s="1"/>
  <c r="FE114" i="56" s="1"/>
  <c r="FF114" i="56" s="1"/>
  <c r="FD112" i="56"/>
  <c r="M112" i="56" s="1"/>
  <c r="FE112" i="56" s="1"/>
  <c r="FF112" i="56" s="1"/>
  <c r="FD127" i="56"/>
  <c r="M127" i="56" s="1"/>
  <c r="FE127" i="56" s="1"/>
  <c r="FF127" i="56" s="1"/>
  <c r="FD117" i="56"/>
  <c r="M117" i="56" s="1"/>
  <c r="FE117" i="56" s="1"/>
  <c r="FF117" i="56" s="1"/>
  <c r="FD111" i="56"/>
  <c r="M111" i="56" s="1"/>
  <c r="FE111" i="56" s="1"/>
  <c r="FF111" i="56" s="1"/>
  <c r="FD122" i="56"/>
  <c r="M122" i="56" s="1"/>
  <c r="FE122" i="56" s="1"/>
  <c r="FF122" i="56" s="1"/>
  <c r="FD128" i="56"/>
  <c r="M128" i="56" s="1"/>
  <c r="FE128" i="56" s="1"/>
  <c r="FF128" i="56" s="1"/>
  <c r="FD344" i="56"/>
  <c r="FD350" i="56"/>
  <c r="FD349" i="56"/>
  <c r="FD343" i="56"/>
  <c r="FD342" i="56"/>
  <c r="FD346" i="56"/>
  <c r="FD348" i="56"/>
  <c r="FD345" i="56"/>
  <c r="FD347" i="56"/>
  <c r="FD352" i="56"/>
  <c r="M352" i="56" s="1"/>
  <c r="FE352" i="56" s="1"/>
  <c r="FF352" i="56" s="1"/>
  <c r="FD351" i="56"/>
  <c r="M351" i="56" s="1"/>
  <c r="FE351" i="56" s="1"/>
  <c r="FD43" i="56"/>
  <c r="M43" i="56" s="1"/>
  <c r="FE43" i="56" s="1"/>
  <c r="FF43" i="56" s="1"/>
  <c r="FD40" i="56"/>
  <c r="M40" i="56" s="1"/>
  <c r="FE40" i="56" s="1"/>
  <c r="FF40" i="56" s="1"/>
  <c r="FD44" i="56"/>
  <c r="M44" i="56" s="1"/>
  <c r="FE44" i="56" s="1"/>
  <c r="FF44" i="56" s="1"/>
  <c r="FD45" i="56"/>
  <c r="M45" i="56" s="1"/>
  <c r="FE45" i="56" s="1"/>
  <c r="FF45" i="56" s="1"/>
  <c r="FD41" i="56"/>
  <c r="M41" i="56" s="1"/>
  <c r="FE41" i="56" s="1"/>
  <c r="FF41" i="56" s="1"/>
  <c r="FD33" i="56"/>
  <c r="M33" i="56" s="1"/>
  <c r="FE33" i="56" s="1"/>
  <c r="FD52" i="56"/>
  <c r="M52" i="56" s="1"/>
  <c r="FE52" i="56" s="1"/>
  <c r="FF52" i="56" s="1"/>
  <c r="FD51" i="56"/>
  <c r="M51" i="56" s="1"/>
  <c r="FE51" i="56" s="1"/>
  <c r="FF51" i="56" s="1"/>
  <c r="FD39" i="56"/>
  <c r="M39" i="56" s="1"/>
  <c r="FE39" i="56" s="1"/>
  <c r="FF39" i="56" s="1"/>
  <c r="FD46" i="56"/>
  <c r="M46" i="56" s="1"/>
  <c r="FE46" i="56" s="1"/>
  <c r="FF46" i="56" s="1"/>
  <c r="FD50" i="56"/>
  <c r="M50" i="56" s="1"/>
  <c r="FE50" i="56" s="1"/>
  <c r="FF50" i="56" s="1"/>
  <c r="FD34" i="56"/>
  <c r="M34" i="56" s="1"/>
  <c r="FE34" i="56" s="1"/>
  <c r="FD35" i="56"/>
  <c r="M35" i="56" s="1"/>
  <c r="FE35" i="56" s="1"/>
  <c r="FD42" i="56"/>
  <c r="M42" i="56" s="1"/>
  <c r="FE42" i="56" s="1"/>
  <c r="FF42" i="56" s="1"/>
  <c r="FD36" i="56"/>
  <c r="M36" i="56" s="1"/>
  <c r="FE36" i="56" s="1"/>
  <c r="FD32" i="56"/>
  <c r="M32" i="56" s="1"/>
  <c r="FE32" i="56" s="1"/>
  <c r="FD48" i="56"/>
  <c r="M48" i="56" s="1"/>
  <c r="FE48" i="56" s="1"/>
  <c r="FF48" i="56" s="1"/>
  <c r="FD47" i="56"/>
  <c r="M47" i="56" s="1"/>
  <c r="FE47" i="56" s="1"/>
  <c r="FF47" i="56" s="1"/>
  <c r="FD37" i="56"/>
  <c r="M37" i="56" s="1"/>
  <c r="FE37" i="56" s="1"/>
  <c r="FF37" i="56" s="1"/>
  <c r="FD38" i="56"/>
  <c r="M38" i="56" s="1"/>
  <c r="FE38" i="56" s="1"/>
  <c r="FF38" i="56" s="1"/>
  <c r="FD49" i="56"/>
  <c r="M49" i="56" s="1"/>
  <c r="FE49" i="56" s="1"/>
  <c r="FF49" i="56" s="1"/>
  <c r="GN193" i="56"/>
  <c r="IK193" i="56" s="1"/>
  <c r="GO193" i="56"/>
  <c r="GM194" i="56"/>
  <c r="HE193" i="56"/>
  <c r="HF193" i="56" s="1"/>
  <c r="HO95" i="56" a="1"/>
  <c r="HO95" i="56" s="1"/>
  <c r="HP95" i="56" s="1"/>
  <c r="HQ95" i="56" a="1"/>
  <c r="HQ95" i="56" s="1"/>
  <c r="HR95" i="56" s="1"/>
  <c r="HK95" i="56" a="1"/>
  <c r="HK95" i="56" s="1"/>
  <c r="HL95" i="56" s="1"/>
  <c r="HI95" i="56" a="1"/>
  <c r="HI95" i="56" s="1"/>
  <c r="HJ95" i="56" s="1"/>
  <c r="HM95" i="56" a="1"/>
  <c r="HM95" i="56" s="1"/>
  <c r="HN95" i="56" s="1"/>
  <c r="HG95" i="56" a="1"/>
  <c r="HG95" i="56" s="1"/>
  <c r="HH95" i="56" s="1"/>
  <c r="GN96" i="56"/>
  <c r="IK96" i="56" s="1"/>
  <c r="GO96" i="56"/>
  <c r="GM97" i="56"/>
  <c r="HE96" i="56"/>
  <c r="HF96" i="56" s="1"/>
  <c r="HQ316" i="56" a="1"/>
  <c r="HQ316" i="56" s="1"/>
  <c r="HR316" i="56" s="1"/>
  <c r="HO316" i="56" a="1"/>
  <c r="HO316" i="56" s="1"/>
  <c r="HP316" i="56" s="1"/>
  <c r="HG316" i="56" a="1"/>
  <c r="HG316" i="56" s="1"/>
  <c r="HH316" i="56" s="1"/>
  <c r="HM316" i="56" a="1"/>
  <c r="HM316" i="56" s="1"/>
  <c r="HN316" i="56" s="1"/>
  <c r="HK316" i="56" a="1"/>
  <c r="HK316" i="56" s="1"/>
  <c r="HL316" i="56" s="1"/>
  <c r="HI316" i="56" a="1"/>
  <c r="HI316" i="56" s="1"/>
  <c r="HJ316" i="56" s="1"/>
  <c r="HO51" i="56" a="1"/>
  <c r="HO51" i="56" s="1"/>
  <c r="HP51" i="56" s="1"/>
  <c r="HQ51" i="56" a="1"/>
  <c r="HQ51" i="56" s="1"/>
  <c r="HR51" i="56" s="1"/>
  <c r="HG51" i="56" a="1"/>
  <c r="HG51" i="56" s="1"/>
  <c r="HH51" i="56" s="1"/>
  <c r="HM51" i="56" a="1"/>
  <c r="HM51" i="56" s="1"/>
  <c r="HN51" i="56" s="1"/>
  <c r="HI51" i="56" a="1"/>
  <c r="HI51" i="56" s="1"/>
  <c r="HJ51" i="56" s="1"/>
  <c r="HK51" i="56" a="1"/>
  <c r="HK51" i="56" s="1"/>
  <c r="HL51" i="56" s="1"/>
  <c r="HO334" i="56" a="1"/>
  <c r="HO334" i="56" s="1"/>
  <c r="HP334" i="56" s="1"/>
  <c r="HK334" i="56" a="1"/>
  <c r="HK334" i="56" s="1"/>
  <c r="HL334" i="56" s="1"/>
  <c r="HG334" i="56" a="1"/>
  <c r="HG334" i="56" s="1"/>
  <c r="HH334" i="56" s="1"/>
  <c r="HI334" i="56" a="1"/>
  <c r="HI334" i="56" s="1"/>
  <c r="HJ334" i="56" s="1"/>
  <c r="HM334" i="56" a="1"/>
  <c r="HM334" i="56" s="1"/>
  <c r="HN334" i="56" s="1"/>
  <c r="HQ334" i="56" a="1"/>
  <c r="HQ334" i="56" s="1"/>
  <c r="HR334" i="56" s="1"/>
  <c r="FD27" i="56"/>
  <c r="M27" i="56" s="1"/>
  <c r="FE27" i="56" s="1"/>
  <c r="FD28" i="56"/>
  <c r="M28" i="56" s="1"/>
  <c r="FE28" i="56" s="1"/>
  <c r="HT192" i="56"/>
  <c r="GT192" i="56"/>
  <c r="GP192" i="56"/>
  <c r="GW192" i="56"/>
  <c r="GU192" i="56"/>
  <c r="HS192" i="56" s="1"/>
  <c r="IL184" i="56"/>
  <c r="O184" i="56"/>
  <c r="HQ349" i="56" a="1"/>
  <c r="HQ349" i="56" s="1"/>
  <c r="HR349" i="56" s="1"/>
  <c r="HI349" i="56" a="1"/>
  <c r="HI349" i="56" s="1"/>
  <c r="HJ349" i="56" s="1"/>
  <c r="HK349" i="56" a="1"/>
  <c r="HK349" i="56" s="1"/>
  <c r="HL349" i="56" s="1"/>
  <c r="HM349" i="56" a="1"/>
  <c r="HM349" i="56" s="1"/>
  <c r="HN349" i="56" s="1"/>
  <c r="HO349" i="56" a="1"/>
  <c r="HO349" i="56" s="1"/>
  <c r="HP349" i="56" s="1"/>
  <c r="HG349" i="56" a="1"/>
  <c r="HG349" i="56" s="1"/>
  <c r="HH349" i="56" s="1"/>
  <c r="HO52" i="56" a="1"/>
  <c r="HO52" i="56" s="1"/>
  <c r="HP52" i="56" s="1"/>
  <c r="HK52" i="56" a="1"/>
  <c r="HK52" i="56" s="1"/>
  <c r="HL52" i="56" s="1"/>
  <c r="HQ52" i="56" a="1"/>
  <c r="HQ52" i="56" s="1"/>
  <c r="HR52" i="56" s="1"/>
  <c r="HG52" i="56" a="1"/>
  <c r="HG52" i="56" s="1"/>
  <c r="HH52" i="56" s="1"/>
  <c r="HI52" i="56" a="1"/>
  <c r="HI52" i="56" s="1"/>
  <c r="HJ52" i="56" s="1"/>
  <c r="HM52" i="56" a="1"/>
  <c r="HM52" i="56" s="1"/>
  <c r="HN52" i="56" s="1"/>
  <c r="HT95" i="56"/>
  <c r="GW95" i="56"/>
  <c r="GU95" i="56"/>
  <c r="HS95" i="56" s="1"/>
  <c r="GT95" i="56"/>
  <c r="GP95" i="56"/>
  <c r="IH13" i="56"/>
  <c r="FD138" i="56"/>
  <c r="FD141" i="56"/>
  <c r="FD142" i="56"/>
  <c r="M142" i="56" s="1"/>
  <c r="FE142" i="56" s="1"/>
  <c r="FF142" i="56" s="1"/>
  <c r="FD140" i="56"/>
  <c r="M140" i="56" s="1"/>
  <c r="FE140" i="56" s="1"/>
  <c r="FF140" i="56" s="1"/>
  <c r="FD139" i="56"/>
  <c r="M139" i="56" s="1"/>
  <c r="FE139" i="56" s="1"/>
  <c r="FF139" i="56" s="1"/>
  <c r="FD135" i="56"/>
  <c r="FD150" i="56"/>
  <c r="M150" i="56" s="1"/>
  <c r="FE150" i="56" s="1"/>
  <c r="FF150" i="56" s="1"/>
  <c r="FD153" i="56"/>
  <c r="M153" i="56" s="1"/>
  <c r="FE153" i="56" s="1"/>
  <c r="FF153" i="56" s="1"/>
  <c r="HA154" i="56" s="1"/>
  <c r="FD148" i="56"/>
  <c r="M148" i="56" s="1"/>
  <c r="FE148" i="56" s="1"/>
  <c r="FF148" i="56" s="1"/>
  <c r="FD147" i="56"/>
  <c r="FD132" i="56"/>
  <c r="M132" i="56" s="1"/>
  <c r="FE132" i="56" s="1"/>
  <c r="FD137" i="56"/>
  <c r="M137" i="56" s="1"/>
  <c r="FE137" i="56" s="1"/>
  <c r="FF137" i="56" s="1"/>
  <c r="FD134" i="56"/>
  <c r="FD151" i="56"/>
  <c r="M151" i="56" s="1"/>
  <c r="FE151" i="56" s="1"/>
  <c r="FF151" i="56" s="1"/>
  <c r="FD146" i="56"/>
  <c r="M146" i="56" s="1"/>
  <c r="FE146" i="56" s="1"/>
  <c r="FF146" i="56" s="1"/>
  <c r="FD145" i="56"/>
  <c r="M145" i="56" s="1"/>
  <c r="FE145" i="56" s="1"/>
  <c r="FF145" i="56" s="1"/>
  <c r="FD131" i="56"/>
  <c r="FD144" i="56"/>
  <c r="FD143" i="56"/>
  <c r="M143" i="56" s="1"/>
  <c r="FE143" i="56" s="1"/>
  <c r="FF143" i="56" s="1"/>
  <c r="FD149" i="56"/>
  <c r="M149" i="56" s="1"/>
  <c r="FE149" i="56" s="1"/>
  <c r="FF149" i="56" s="1"/>
  <c r="FD136" i="56"/>
  <c r="M136" i="56" s="1"/>
  <c r="FE136" i="56" s="1"/>
  <c r="FF136" i="56" s="1"/>
  <c r="FD152" i="56"/>
  <c r="M152" i="56" s="1"/>
  <c r="FE152" i="56" s="1"/>
  <c r="FF152" i="56" s="1"/>
  <c r="FD133" i="56"/>
  <c r="M133" i="56" s="1"/>
  <c r="FE133" i="56" s="1"/>
  <c r="GO350" i="56"/>
  <c r="GN350" i="56"/>
  <c r="IK350" i="56" s="1"/>
  <c r="GM351" i="56"/>
  <c r="HE350" i="56"/>
  <c r="HF350" i="56" s="1"/>
  <c r="AA30" i="42"/>
  <c r="AA31" i="42" s="1"/>
  <c r="AA32" i="42" s="1"/>
  <c r="AB128" i="42"/>
  <c r="Y21" i="42"/>
  <c r="Z105" i="42" s="1"/>
  <c r="FF133" i="56" l="1"/>
  <c r="HM96" i="56" a="1"/>
  <c r="HM96" i="56" s="1"/>
  <c r="HN96" i="56" s="1"/>
  <c r="HO96" i="56" a="1"/>
  <c r="HO96" i="56" s="1"/>
  <c r="HP96" i="56" s="1"/>
  <c r="HQ96" i="56" a="1"/>
  <c r="HQ96" i="56" s="1"/>
  <c r="HR96" i="56" s="1"/>
  <c r="HK96" i="56" a="1"/>
  <c r="HK96" i="56" s="1"/>
  <c r="HL96" i="56" s="1"/>
  <c r="HG96" i="56" a="1"/>
  <c r="HG96" i="56" s="1"/>
  <c r="HH96" i="56" s="1"/>
  <c r="HI96" i="56" a="1"/>
  <c r="HI96" i="56" s="1"/>
  <c r="HJ96" i="56" s="1"/>
  <c r="FF227" i="56"/>
  <c r="FF56" i="56"/>
  <c r="GO97" i="56"/>
  <c r="GN97" i="56"/>
  <c r="IK97" i="56" s="1"/>
  <c r="GM98" i="56"/>
  <c r="HE97" i="56"/>
  <c r="HF97" i="56" s="1"/>
  <c r="FF338" i="56"/>
  <c r="HT138" i="56"/>
  <c r="GT138" i="56"/>
  <c r="GW138" i="56"/>
  <c r="GU138" i="56"/>
  <c r="HS138" i="56" s="1"/>
  <c r="GP138" i="56"/>
  <c r="FF57" i="56"/>
  <c r="HT96" i="56"/>
  <c r="GP96" i="56"/>
  <c r="GW96" i="56"/>
  <c r="GU96" i="56"/>
  <c r="HS96" i="56" s="1"/>
  <c r="GT96" i="56"/>
  <c r="IN16" i="56"/>
  <c r="IO16" i="56" s="1"/>
  <c r="HQ292" i="56" a="1"/>
  <c r="HQ292" i="56" s="1"/>
  <c r="HR292" i="56" s="1"/>
  <c r="HK292" i="56" a="1"/>
  <c r="HK292" i="56" s="1"/>
  <c r="HL292" i="56" s="1"/>
  <c r="HI292" i="56" a="1"/>
  <c r="HI292" i="56" s="1"/>
  <c r="HJ292" i="56" s="1"/>
  <c r="HO292" i="56" a="1"/>
  <c r="HO292" i="56" s="1"/>
  <c r="HP292" i="56" s="1"/>
  <c r="HM292" i="56" a="1"/>
  <c r="HM292" i="56" s="1"/>
  <c r="HN292" i="56" s="1"/>
  <c r="HG292" i="56" a="1"/>
  <c r="HG292" i="56" s="1"/>
  <c r="HH292" i="56" s="1"/>
  <c r="BD14" i="55"/>
  <c r="BC14" i="55"/>
  <c r="BB14" i="55"/>
  <c r="FF92" i="56"/>
  <c r="FF36" i="56"/>
  <c r="HO324" i="56" a="1"/>
  <c r="HO324" i="56" s="1"/>
  <c r="HP324" i="56" s="1"/>
  <c r="HQ324" i="56" a="1"/>
  <c r="HQ324" i="56" s="1"/>
  <c r="HR324" i="56" s="1"/>
  <c r="HK324" i="56" a="1"/>
  <c r="HK324" i="56" s="1"/>
  <c r="HL324" i="56" s="1"/>
  <c r="HG324" i="56" a="1"/>
  <c r="HG324" i="56" s="1"/>
  <c r="HH324" i="56" s="1"/>
  <c r="HI324" i="56" a="1"/>
  <c r="HI324" i="56" s="1"/>
  <c r="HJ324" i="56" s="1"/>
  <c r="HM324" i="56" a="1"/>
  <c r="HM324" i="56" s="1"/>
  <c r="HN324" i="56" s="1"/>
  <c r="HQ60" i="56" a="1"/>
  <c r="HQ60" i="56" s="1"/>
  <c r="HR60" i="56" s="1"/>
  <c r="HO60" i="56" a="1"/>
  <c r="HO60" i="56" s="1"/>
  <c r="HP60" i="56" s="1"/>
  <c r="HG60" i="56" a="1"/>
  <c r="HG60" i="56" s="1"/>
  <c r="HH60" i="56" s="1"/>
  <c r="HM60" i="56" a="1"/>
  <c r="HM60" i="56" s="1"/>
  <c r="HN60" i="56" s="1"/>
  <c r="HI60" i="56" a="1"/>
  <c r="HI60" i="56" s="1"/>
  <c r="HJ60" i="56" s="1"/>
  <c r="HK60" i="56" a="1"/>
  <c r="HK60" i="56" s="1"/>
  <c r="HL60" i="56" s="1"/>
  <c r="HK109" i="56" a="1"/>
  <c r="HK109" i="56" s="1"/>
  <c r="HL109" i="56" s="1"/>
  <c r="HQ109" i="56" a="1"/>
  <c r="HQ109" i="56" s="1"/>
  <c r="HR109" i="56" s="1"/>
  <c r="HO109" i="56" a="1"/>
  <c r="HO109" i="56" s="1"/>
  <c r="HP109" i="56" s="1"/>
  <c r="HM109" i="56" a="1"/>
  <c r="HM109" i="56" s="1"/>
  <c r="HN109" i="56" s="1"/>
  <c r="HI109" i="56" a="1"/>
  <c r="HI109" i="56" s="1"/>
  <c r="HJ109" i="56" s="1"/>
  <c r="HG109" i="56" a="1"/>
  <c r="HG109" i="56" s="1"/>
  <c r="HH109" i="56" s="1"/>
  <c r="IO19" i="56"/>
  <c r="HQ13" i="56" a="1"/>
  <c r="HQ13" i="56" s="1"/>
  <c r="HR13" i="56" s="1"/>
  <c r="HK13" i="56" a="1"/>
  <c r="HK13" i="56" s="1"/>
  <c r="HL13" i="56" s="1"/>
  <c r="HM13" i="56" a="1"/>
  <c r="HM13" i="56" s="1"/>
  <c r="HN13" i="56" s="1"/>
  <c r="HO13" i="56" a="1"/>
  <c r="HO13" i="56" s="1"/>
  <c r="HP13" i="56" s="1"/>
  <c r="HG13" i="56" a="1"/>
  <c r="HG13" i="56" s="1"/>
  <c r="HH13" i="56" s="1"/>
  <c r="HI13" i="56" a="1"/>
  <c r="HI13" i="56" s="1"/>
  <c r="HJ13" i="56" s="1"/>
  <c r="HT324" i="56"/>
  <c r="GU324" i="56"/>
  <c r="HS324" i="56" s="1"/>
  <c r="GT324" i="56"/>
  <c r="GW324" i="56"/>
  <c r="GP324" i="56"/>
  <c r="GO194" i="56"/>
  <c r="GN194" i="56"/>
  <c r="IK194" i="56" s="1"/>
  <c r="GM195" i="56"/>
  <c r="HE194" i="56"/>
  <c r="HF194" i="56" s="1"/>
  <c r="HM162" i="56" a="1"/>
  <c r="HM162" i="56" s="1"/>
  <c r="HN162" i="56" s="1"/>
  <c r="HQ162" i="56" a="1"/>
  <c r="HQ162" i="56" s="1"/>
  <c r="HR162" i="56" s="1"/>
  <c r="HO162" i="56" a="1"/>
  <c r="HO162" i="56" s="1"/>
  <c r="HP162" i="56" s="1"/>
  <c r="HK162" i="56" a="1"/>
  <c r="HK162" i="56" s="1"/>
  <c r="HL162" i="56" s="1"/>
  <c r="HG162" i="56" a="1"/>
  <c r="HG162" i="56" s="1"/>
  <c r="HH162" i="56" s="1"/>
  <c r="HI162" i="56" a="1"/>
  <c r="HI162" i="56" s="1"/>
  <c r="HJ162" i="56" s="1"/>
  <c r="GH43" i="56"/>
  <c r="GI42" i="56"/>
  <c r="GJ42" i="56" s="1"/>
  <c r="IO15" i="56"/>
  <c r="GO232" i="56"/>
  <c r="GN232" i="56"/>
  <c r="IK232" i="56" s="1"/>
  <c r="GM233" i="56"/>
  <c r="HE232" i="56"/>
  <c r="HF232" i="56" s="1"/>
  <c r="BB22" i="55"/>
  <c r="BC22" i="55"/>
  <c r="BD22" i="55"/>
  <c r="FF317" i="56"/>
  <c r="IL283" i="56"/>
  <c r="O283" i="56"/>
  <c r="GO293" i="56"/>
  <c r="GN293" i="56"/>
  <c r="IK293" i="56" s="1"/>
  <c r="GM294" i="56"/>
  <c r="HE293" i="56"/>
  <c r="HF293" i="56" s="1"/>
  <c r="FF54" i="56"/>
  <c r="BD13" i="55"/>
  <c r="BC13" i="55"/>
  <c r="BB13" i="55"/>
  <c r="FF35" i="56"/>
  <c r="FF6" i="56"/>
  <c r="FF55" i="56"/>
  <c r="GO61" i="56"/>
  <c r="GN61" i="56"/>
  <c r="IK61" i="56" s="1"/>
  <c r="GM62" i="56"/>
  <c r="HE61" i="56"/>
  <c r="HF61" i="56" s="1"/>
  <c r="GN40" i="56"/>
  <c r="IK40" i="56" s="1"/>
  <c r="GO40" i="56"/>
  <c r="GM41" i="56"/>
  <c r="FF28" i="56"/>
  <c r="HT109" i="56"/>
  <c r="GW109" i="56"/>
  <c r="GT109" i="56"/>
  <c r="GP109" i="56"/>
  <c r="GU109" i="56"/>
  <c r="HS109" i="56" s="1"/>
  <c r="HT39" i="56"/>
  <c r="GW39" i="56"/>
  <c r="GU39" i="56"/>
  <c r="HS39" i="56" s="1"/>
  <c r="GT39" i="56"/>
  <c r="GP39" i="56"/>
  <c r="FF27" i="56"/>
  <c r="BD11" i="55"/>
  <c r="BB11" i="55"/>
  <c r="BC11" i="55"/>
  <c r="HQ193" i="56" a="1"/>
  <c r="HQ193" i="56" s="1"/>
  <c r="HR193" i="56" s="1"/>
  <c r="HM193" i="56" a="1"/>
  <c r="HM193" i="56" s="1"/>
  <c r="HN193" i="56" s="1"/>
  <c r="HI193" i="56" a="1"/>
  <c r="HI193" i="56" s="1"/>
  <c r="HJ193" i="56" s="1"/>
  <c r="HO193" i="56" a="1"/>
  <c r="HO193" i="56" s="1"/>
  <c r="HP193" i="56" s="1"/>
  <c r="HK193" i="56" a="1"/>
  <c r="HK193" i="56" s="1"/>
  <c r="HL193" i="56" s="1"/>
  <c r="HG193" i="56" a="1"/>
  <c r="HG193" i="56" s="1"/>
  <c r="HH193" i="56" s="1"/>
  <c r="GO14" i="56"/>
  <c r="GN14" i="56"/>
  <c r="IK14" i="56" s="1"/>
  <c r="GM15" i="56"/>
  <c r="HE14" i="56"/>
  <c r="HF14" i="56" s="1"/>
  <c r="FF5" i="56"/>
  <c r="V3" i="40" a="1"/>
  <c r="V3" i="40" s="1"/>
  <c r="BC10" i="55"/>
  <c r="BB10" i="55"/>
  <c r="BD10" i="55"/>
  <c r="HT60" i="56"/>
  <c r="GU60" i="56"/>
  <c r="HS60" i="56" s="1"/>
  <c r="GT60" i="56"/>
  <c r="GW60" i="56"/>
  <c r="GP60" i="56"/>
  <c r="HO231" i="56" a="1"/>
  <c r="HO231" i="56" s="1"/>
  <c r="HP231" i="56" s="1"/>
  <c r="HQ231" i="56" a="1"/>
  <c r="HQ231" i="56" s="1"/>
  <c r="HR231" i="56" s="1"/>
  <c r="HG231" i="56" a="1"/>
  <c r="HG231" i="56" s="1"/>
  <c r="HH231" i="56" s="1"/>
  <c r="HM231" i="56" a="1"/>
  <c r="HM231" i="56" s="1"/>
  <c r="HN231" i="56" s="1"/>
  <c r="HK231" i="56" a="1"/>
  <c r="HK231" i="56" s="1"/>
  <c r="HL231" i="56" s="1"/>
  <c r="HI231" i="56" a="1"/>
  <c r="HI231" i="56" s="1"/>
  <c r="HJ231" i="56" s="1"/>
  <c r="HT350" i="56"/>
  <c r="GT350" i="56"/>
  <c r="GW350" i="56"/>
  <c r="GU350" i="56"/>
  <c r="HS350" i="56" s="1"/>
  <c r="GP350" i="56"/>
  <c r="HT193" i="56"/>
  <c r="GT193" i="56"/>
  <c r="GP193" i="56"/>
  <c r="GW193" i="56"/>
  <c r="GU193" i="56"/>
  <c r="HS193" i="56" s="1"/>
  <c r="FF103" i="56"/>
  <c r="BD15" i="55"/>
  <c r="BB15" i="55"/>
  <c r="BC15" i="55"/>
  <c r="HT13" i="56"/>
  <c r="GW13" i="56"/>
  <c r="GT13" i="56"/>
  <c r="GP13" i="56"/>
  <c r="GU13" i="56"/>
  <c r="HS13" i="56" s="1"/>
  <c r="GN163" i="56"/>
  <c r="IK163" i="56" s="1"/>
  <c r="GO163" i="56"/>
  <c r="GM164" i="56"/>
  <c r="HE163" i="56"/>
  <c r="HF163" i="56" s="1"/>
  <c r="FF337" i="56"/>
  <c r="BD25" i="55"/>
  <c r="BC25" i="55"/>
  <c r="BB25" i="55"/>
  <c r="FF339" i="56"/>
  <c r="HM4" i="56" a="1"/>
  <c r="HM4" i="56" s="1"/>
  <c r="HN4" i="56" s="1"/>
  <c r="HQ4" i="56" a="1"/>
  <c r="HQ4" i="56" s="1"/>
  <c r="HR4" i="56" s="1"/>
  <c r="HO4" i="56" a="1"/>
  <c r="HO4" i="56" s="1"/>
  <c r="HP4" i="56" s="1"/>
  <c r="HK4" i="56" a="1"/>
  <c r="HK4" i="56" s="1"/>
  <c r="HL4" i="56" s="1"/>
  <c r="HG4" i="56" a="1"/>
  <c r="HG4" i="56" s="1"/>
  <c r="HH4" i="56" s="1"/>
  <c r="HI4" i="56" a="1"/>
  <c r="HI4" i="56" s="1"/>
  <c r="HJ4" i="56" s="1"/>
  <c r="HT292" i="56"/>
  <c r="GU292" i="56"/>
  <c r="HS292" i="56" s="1"/>
  <c r="GP292" i="56"/>
  <c r="GW292" i="56"/>
  <c r="GT292" i="56"/>
  <c r="FF34" i="56"/>
  <c r="GN110" i="56"/>
  <c r="IK110" i="56" s="1"/>
  <c r="GO110" i="56"/>
  <c r="GM111" i="56"/>
  <c r="HE110" i="56"/>
  <c r="HF110" i="56" s="1"/>
  <c r="GO351" i="56"/>
  <c r="GN351" i="56"/>
  <c r="IK351" i="56" s="1"/>
  <c r="GM352" i="56"/>
  <c r="HE351" i="56"/>
  <c r="HF351" i="56" s="1"/>
  <c r="FF132" i="56"/>
  <c r="BD16" i="55"/>
  <c r="BC16" i="55"/>
  <c r="BB16" i="55"/>
  <c r="HQ3" i="56" a="1"/>
  <c r="HQ3" i="56" s="1"/>
  <c r="HR3" i="56" s="1"/>
  <c r="HI3" i="56" a="1"/>
  <c r="HI3" i="56" s="1"/>
  <c r="HJ3" i="56" s="1"/>
  <c r="HM3" i="56" a="1"/>
  <c r="HM3" i="56" s="1"/>
  <c r="HN3" i="56" s="1"/>
  <c r="HG3" i="56" a="1"/>
  <c r="HG3" i="56" s="1"/>
  <c r="HK3" i="56" a="1"/>
  <c r="HK3" i="56" s="1"/>
  <c r="HL3" i="56" s="1"/>
  <c r="HO3" i="56" a="1"/>
  <c r="HO3" i="56" s="1"/>
  <c r="HP3" i="56" s="1"/>
  <c r="HM138" i="56" a="1"/>
  <c r="HM138" i="56" s="1"/>
  <c r="HN138" i="56" s="1"/>
  <c r="HO138" i="56" a="1"/>
  <c r="HO138" i="56" s="1"/>
  <c r="HP138" i="56" s="1"/>
  <c r="HQ138" i="56" a="1"/>
  <c r="HQ138" i="56" s="1"/>
  <c r="HR138" i="56" s="1"/>
  <c r="HI138" i="56" a="1"/>
  <c r="HI138" i="56" s="1"/>
  <c r="HJ138" i="56" s="1"/>
  <c r="HG138" i="56" a="1"/>
  <c r="HG138" i="56" s="1"/>
  <c r="HH138" i="56" s="1"/>
  <c r="HK138" i="56" a="1"/>
  <c r="HK138" i="56" s="1"/>
  <c r="HL138" i="56" s="1"/>
  <c r="BC23" i="55"/>
  <c r="BB23" i="55"/>
  <c r="BD23" i="55"/>
  <c r="FF325" i="56"/>
  <c r="HT231" i="56"/>
  <c r="GW231" i="56"/>
  <c r="GT231" i="56"/>
  <c r="GP231" i="56"/>
  <c r="GU231" i="56"/>
  <c r="HS231" i="56" s="1"/>
  <c r="IH12" i="56"/>
  <c r="BC12" i="55"/>
  <c r="BD12" i="55"/>
  <c r="BB12" i="55"/>
  <c r="FF32" i="56"/>
  <c r="FF106" i="56"/>
  <c r="FF351" i="56"/>
  <c r="BD26" i="55"/>
  <c r="BB26" i="55"/>
  <c r="BC26" i="55"/>
  <c r="FF226" i="56"/>
  <c r="BC19" i="55"/>
  <c r="BB19" i="55"/>
  <c r="BD19" i="55"/>
  <c r="IN13" i="56"/>
  <c r="IO13" i="56" s="1"/>
  <c r="HQ350" i="56" a="1"/>
  <c r="HQ350" i="56" s="1"/>
  <c r="HR350" i="56" s="1"/>
  <c r="HO350" i="56" a="1"/>
  <c r="HO350" i="56" s="1"/>
  <c r="HP350" i="56" s="1"/>
  <c r="HK350" i="56" a="1"/>
  <c r="HK350" i="56" s="1"/>
  <c r="HL350" i="56" s="1"/>
  <c r="HM350" i="56" a="1"/>
  <c r="HM350" i="56" s="1"/>
  <c r="HN350" i="56" s="1"/>
  <c r="HG350" i="56" a="1"/>
  <c r="HG350" i="56" s="1"/>
  <c r="HH350" i="56" s="1"/>
  <c r="HI350" i="56" a="1"/>
  <c r="HI350" i="56" s="1"/>
  <c r="HJ350" i="56" s="1"/>
  <c r="IL154" i="56"/>
  <c r="O154" i="56"/>
  <c r="FF33" i="56"/>
  <c r="HT162" i="56"/>
  <c r="GP162" i="56"/>
  <c r="GU162" i="56"/>
  <c r="HS162" i="56" s="1"/>
  <c r="GT162" i="56"/>
  <c r="GW162" i="56"/>
  <c r="GO139" i="56"/>
  <c r="GN139" i="56"/>
  <c r="IK139" i="56" s="1"/>
  <c r="GM140" i="56"/>
  <c r="HE139" i="56"/>
  <c r="HF139" i="56" s="1"/>
  <c r="Z35" i="42"/>
  <c r="Z27" i="42"/>
  <c r="Z87" i="42"/>
  <c r="Z130" i="42"/>
  <c r="Z496" i="42"/>
  <c r="Z96" i="42"/>
  <c r="Z286" i="42"/>
  <c r="Z436" i="42"/>
  <c r="Z250" i="42"/>
  <c r="AB226" i="42"/>
  <c r="AB446" i="42"/>
  <c r="AB26" i="42"/>
  <c r="AB296" i="42"/>
  <c r="AB202" i="42"/>
  <c r="AB176" i="42"/>
  <c r="AB88" i="42"/>
  <c r="AB354" i="42"/>
  <c r="AB23" i="42"/>
  <c r="AB70" i="42"/>
  <c r="AB225" i="42"/>
  <c r="AB494" i="42"/>
  <c r="AB280" i="42"/>
  <c r="AB196" i="42"/>
  <c r="AB183" i="42"/>
  <c r="AB93" i="42"/>
  <c r="AB241" i="42"/>
  <c r="AB382" i="42"/>
  <c r="AB20" i="42"/>
  <c r="AB257" i="42"/>
  <c r="AB52" i="42"/>
  <c r="AB395" i="42"/>
  <c r="AB420" i="42"/>
  <c r="AB227" i="42"/>
  <c r="AB165" i="42"/>
  <c r="AB499" i="42"/>
  <c r="AB447" i="42"/>
  <c r="AB398" i="42"/>
  <c r="AB358" i="42"/>
  <c r="AB46" i="42"/>
  <c r="AB348" i="42"/>
  <c r="AB189" i="42"/>
  <c r="AB393" i="42"/>
  <c r="AB61" i="42"/>
  <c r="AB243" i="42"/>
  <c r="AB448" i="42"/>
  <c r="AB324" i="42"/>
  <c r="AB229" i="42"/>
  <c r="AB80" i="42"/>
  <c r="AB40" i="42"/>
  <c r="AB450" i="42"/>
  <c r="AB188" i="42"/>
  <c r="AB94" i="42"/>
  <c r="AB491" i="42"/>
  <c r="AB271" i="42"/>
  <c r="AB78" i="42"/>
  <c r="AB92" i="42"/>
  <c r="AB115" i="42"/>
  <c r="AB41" i="42"/>
  <c r="AB360" i="42"/>
  <c r="AB486" i="42"/>
  <c r="AB98" i="42"/>
  <c r="AB154" i="42"/>
  <c r="AB99" i="42"/>
  <c r="AB325" i="42"/>
  <c r="AB414" i="42"/>
  <c r="AB105" i="42"/>
  <c r="AB467" i="42"/>
  <c r="AB349" i="42"/>
  <c r="AB25" i="42"/>
  <c r="AB336" i="42"/>
  <c r="AB240" i="42"/>
  <c r="AB37" i="42"/>
  <c r="AB180" i="42"/>
  <c r="AB55" i="42"/>
  <c r="AB428" i="42"/>
  <c r="AB102" i="42"/>
  <c r="AB399" i="42"/>
  <c r="AB164" i="42"/>
  <c r="AB435" i="42"/>
  <c r="AB42" i="42"/>
  <c r="AB253" i="42"/>
  <c r="AB27" i="42"/>
  <c r="AB134" i="42"/>
  <c r="AB495" i="42"/>
  <c r="AB456" i="42"/>
  <c r="AB100" i="42"/>
  <c r="AB367" i="42"/>
  <c r="AB252" i="42"/>
  <c r="AB282" i="42"/>
  <c r="AB276" i="42"/>
  <c r="AB274" i="42"/>
  <c r="AB161" i="42"/>
  <c r="AB378" i="42"/>
  <c r="AB480" i="42"/>
  <c r="AB142" i="42"/>
  <c r="AB347" i="42"/>
  <c r="AB242" i="42"/>
  <c r="AB412" i="42"/>
  <c r="AB361" i="42"/>
  <c r="AB249" i="42"/>
  <c r="AB140" i="42"/>
  <c r="AB13" i="42"/>
  <c r="AB133" i="42"/>
  <c r="AB82" i="42"/>
  <c r="AB265" i="42"/>
  <c r="AB455" i="42"/>
  <c r="AB357" i="42"/>
  <c r="AB11" i="42"/>
  <c r="AB417" i="42"/>
  <c r="AB344" i="42"/>
  <c r="AB286" i="42"/>
  <c r="AB247" i="42"/>
  <c r="AB170" i="42"/>
  <c r="AB205" i="42"/>
  <c r="AB77" i="42"/>
  <c r="AB86" i="42"/>
  <c r="AB419" i="42"/>
  <c r="AB238" i="42"/>
  <c r="AB492" i="42"/>
  <c r="AB440" i="42"/>
  <c r="AB470" i="42"/>
  <c r="AB69" i="42"/>
  <c r="AB380" i="42"/>
  <c r="AB130" i="42"/>
  <c r="AB220" i="42"/>
  <c r="AB136" i="42"/>
  <c r="AB231" i="42"/>
  <c r="AB234" i="42"/>
  <c r="AB408" i="42"/>
  <c r="AB89" i="42"/>
  <c r="AB343" i="42"/>
  <c r="AB36" i="42"/>
  <c r="AB191" i="42"/>
  <c r="AB281" i="42"/>
  <c r="AB433" i="42"/>
  <c r="AB63" i="42"/>
  <c r="AB106" i="42"/>
  <c r="AB68" i="42"/>
  <c r="AB476" i="42"/>
  <c r="AB251" i="42"/>
  <c r="AB318" i="42"/>
  <c r="AB129" i="42"/>
  <c r="AB434" i="42"/>
  <c r="AB248" i="42"/>
  <c r="AB194" i="42"/>
  <c r="AB497" i="42"/>
  <c r="AB407" i="42"/>
  <c r="AB350" i="42"/>
  <c r="AB166" i="42"/>
  <c r="AB118" i="42"/>
  <c r="AB123" i="42"/>
  <c r="AB35" i="42"/>
  <c r="AB210" i="42"/>
  <c r="AB409" i="42"/>
  <c r="AB149" i="42"/>
  <c r="AB338" i="42"/>
  <c r="AB424" i="42"/>
  <c r="AB132" i="42"/>
  <c r="AB473" i="42"/>
  <c r="AB469" i="42"/>
  <c r="AB192" i="42"/>
  <c r="AB415" i="42"/>
  <c r="AB216" i="42"/>
  <c r="AB359" i="42"/>
  <c r="AB397" i="42"/>
  <c r="AB173" i="42"/>
  <c r="AB51" i="42"/>
  <c r="AB445" i="42"/>
  <c r="AB293" i="42"/>
  <c r="AB16" i="42"/>
  <c r="AB64" i="42"/>
  <c r="AB65" i="42"/>
  <c r="AB116" i="42"/>
  <c r="AB125" i="42"/>
  <c r="AB425" i="42"/>
  <c r="AB256" i="42"/>
  <c r="AB264" i="42"/>
  <c r="AB219" i="42"/>
  <c r="AB337" i="42"/>
  <c r="AB146" i="42"/>
  <c r="AB416" i="42"/>
  <c r="AB228" i="42"/>
  <c r="AB95" i="42"/>
  <c r="AB410" i="42"/>
  <c r="AB308" i="42"/>
  <c r="AB213" i="42"/>
  <c r="AB195" i="42"/>
  <c r="AB319" i="42"/>
  <c r="AB356" i="42"/>
  <c r="AB458" i="42"/>
  <c r="AB206" i="42"/>
  <c r="AB331" i="42"/>
  <c r="AB426" i="42"/>
  <c r="AB268" i="42"/>
  <c r="AB365" i="42"/>
  <c r="AB53" i="42"/>
  <c r="AB263" i="42"/>
  <c r="AB71" i="42"/>
  <c r="AB79" i="42"/>
  <c r="AB366" i="42"/>
  <c r="AB235" i="42"/>
  <c r="AB392" i="42"/>
  <c r="AB459" i="42"/>
  <c r="AB301" i="42"/>
  <c r="AB156" i="42"/>
  <c r="AB21" i="42"/>
  <c r="AB246" i="42"/>
  <c r="AB487" i="42"/>
  <c r="AB479" i="42"/>
  <c r="AB44" i="42"/>
  <c r="AB292" i="42"/>
  <c r="AB493" i="42"/>
  <c r="AB81" i="42"/>
  <c r="AB443" i="42"/>
  <c r="AB362" i="42"/>
  <c r="AB126" i="42"/>
  <c r="AB91" i="42"/>
  <c r="AB84" i="42"/>
  <c r="AB168" i="42"/>
  <c r="AB141" i="42"/>
  <c r="AB352" i="42"/>
  <c r="AB314" i="42"/>
  <c r="AB302" i="42"/>
  <c r="AB178" i="42"/>
  <c r="AB239" i="42"/>
  <c r="AB48" i="42"/>
  <c r="AB87" i="42"/>
  <c r="AB39" i="42"/>
  <c r="AB117" i="42"/>
  <c r="AB372" i="42"/>
  <c r="AB474" i="42"/>
  <c r="AB418" i="42"/>
  <c r="AB135" i="42"/>
  <c r="AB422" i="42"/>
  <c r="AB411" i="42"/>
  <c r="AB484" i="42"/>
  <c r="AB396" i="42"/>
  <c r="AB404" i="42"/>
  <c r="AB402" i="42"/>
  <c r="AB90" i="42"/>
  <c r="AB300" i="42"/>
  <c r="AB175" i="42"/>
  <c r="AB472" i="42"/>
  <c r="AB155" i="42"/>
  <c r="AB464" i="42"/>
  <c r="AB230" i="42"/>
  <c r="AB437" i="42"/>
  <c r="AB76" i="42"/>
  <c r="AB482" i="42"/>
  <c r="AB151" i="42"/>
  <c r="AB304" i="42"/>
  <c r="AB58" i="42"/>
  <c r="AB485" i="42"/>
  <c r="AB483" i="42"/>
  <c r="AB471" i="42"/>
  <c r="AB18" i="42"/>
  <c r="AB436" i="42"/>
  <c r="AB317" i="42"/>
  <c r="AB224" i="42"/>
  <c r="AB30" i="42"/>
  <c r="AB181" i="42"/>
  <c r="AB14" i="42"/>
  <c r="AB150" i="42"/>
  <c r="AB172" i="42"/>
  <c r="AB460" i="42"/>
  <c r="AB321" i="42"/>
  <c r="AB386" i="42"/>
  <c r="AB279" i="42"/>
  <c r="AB255" i="42"/>
  <c r="AB144" i="42"/>
  <c r="AB137" i="42"/>
  <c r="AB67" i="42"/>
  <c r="AB403" i="42"/>
  <c r="AB283" i="42"/>
  <c r="AB452" i="42"/>
  <c r="AB275" i="42"/>
  <c r="AB489" i="42"/>
  <c r="AB186" i="42"/>
  <c r="AB185" i="42"/>
  <c r="AB400" i="42"/>
  <c r="AB451" i="42"/>
  <c r="AB285" i="42"/>
  <c r="AB147" i="42"/>
  <c r="AB273" i="42"/>
  <c r="AB56" i="42"/>
  <c r="AB342" i="42"/>
  <c r="AB461" i="42"/>
  <c r="AB96" i="42"/>
  <c r="AB290" i="42"/>
  <c r="AB259" i="42"/>
  <c r="AB43" i="42"/>
  <c r="AB311" i="42"/>
  <c r="AB261" i="42"/>
  <c r="AB167" i="42"/>
  <c r="AB177" i="42"/>
  <c r="AB299" i="42"/>
  <c r="AB159" i="42"/>
  <c r="AB218" i="42"/>
  <c r="AB335" i="42"/>
  <c r="AB289" i="42"/>
  <c r="AB169" i="42"/>
  <c r="AB316" i="42"/>
  <c r="AB143" i="42"/>
  <c r="AB120" i="42"/>
  <c r="AB121" i="42"/>
  <c r="AB272" i="42"/>
  <c r="AB439" i="42"/>
  <c r="AB449" i="42"/>
  <c r="AB233" i="42"/>
  <c r="AB326" i="42"/>
  <c r="AB327" i="42"/>
  <c r="AB377" i="42"/>
  <c r="AB384" i="42"/>
  <c r="AB307" i="42"/>
  <c r="AB306" i="42"/>
  <c r="AB500" i="42"/>
  <c r="AB49" i="42"/>
  <c r="AB187" i="42"/>
  <c r="AB108" i="42"/>
  <c r="AB401" i="42"/>
  <c r="AB163" i="42"/>
  <c r="AB430" i="42"/>
  <c r="AB237" i="42"/>
  <c r="AB162" i="42"/>
  <c r="AB429" i="42"/>
  <c r="AB122" i="42"/>
  <c r="AB244" i="42"/>
  <c r="AB203" i="42"/>
  <c r="AB373" i="42"/>
  <c r="AB34" i="42"/>
  <c r="AB297" i="42"/>
  <c r="AB332" i="42"/>
  <c r="AB29" i="42"/>
  <c r="AB131" i="42"/>
  <c r="AB364" i="42"/>
  <c r="AB215" i="42"/>
  <c r="AB104" i="42"/>
  <c r="AB32" i="42"/>
  <c r="AB124" i="42"/>
  <c r="AB258" i="42"/>
  <c r="AB127" i="42"/>
  <c r="AB355" i="42"/>
  <c r="AB277" i="42"/>
  <c r="AB199" i="42"/>
  <c r="AB370" i="42"/>
  <c r="AB10" i="42"/>
  <c r="AB174" i="42"/>
  <c r="AB287" i="42"/>
  <c r="AB391" i="42"/>
  <c r="AB498" i="42"/>
  <c r="AB345" i="42"/>
  <c r="AB208" i="42"/>
  <c r="AB309" i="42"/>
  <c r="AB465" i="42"/>
  <c r="AB260" i="42"/>
  <c r="AB267" i="42"/>
  <c r="AB158" i="42"/>
  <c r="AB232" i="42"/>
  <c r="AB114" i="42"/>
  <c r="AB363" i="42"/>
  <c r="AB24" i="42"/>
  <c r="AB245" i="42"/>
  <c r="AB12" i="42"/>
  <c r="AB320" i="42"/>
  <c r="AB47" i="42"/>
  <c r="AB394" i="42"/>
  <c r="AB390" i="42"/>
  <c r="AB119" i="42"/>
  <c r="AB368" i="42"/>
  <c r="AB374" i="42"/>
  <c r="AB310" i="42"/>
  <c r="AB112" i="42"/>
  <c r="AB103" i="42"/>
  <c r="AB160" i="42"/>
  <c r="AB250" i="42"/>
  <c r="AB266" i="42"/>
  <c r="AB454" i="42"/>
  <c r="AB75" i="42"/>
  <c r="AB478" i="42"/>
  <c r="AB466" i="42"/>
  <c r="AB72" i="42"/>
  <c r="AB204" i="42"/>
  <c r="AB298" i="42"/>
  <c r="AB211" i="42"/>
  <c r="AB214" i="42"/>
  <c r="AB488" i="42"/>
  <c r="AB207" i="42"/>
  <c r="AB457" i="42"/>
  <c r="AB45" i="42"/>
  <c r="AB381" i="42"/>
  <c r="AB351" i="42"/>
  <c r="AB294" i="42"/>
  <c r="AB198" i="42"/>
  <c r="AB17" i="42"/>
  <c r="AB340" i="42"/>
  <c r="AB28" i="42"/>
  <c r="AB328" i="42"/>
  <c r="AB413" i="42"/>
  <c r="AB138" i="42"/>
  <c r="AB22" i="42"/>
  <c r="AB463" i="42"/>
  <c r="AB97" i="42"/>
  <c r="AB375" i="42"/>
  <c r="AB284" i="42"/>
  <c r="AB74" i="42"/>
  <c r="AB193" i="42"/>
  <c r="AB423" i="42"/>
  <c r="AB222" i="42"/>
  <c r="AB405" i="42"/>
  <c r="AB369" i="42"/>
  <c r="AB432" i="42"/>
  <c r="AB262" i="42"/>
  <c r="AB221" i="42"/>
  <c r="AB54" i="42"/>
  <c r="AB148" i="42"/>
  <c r="AB19" i="42"/>
  <c r="AB209" i="42"/>
  <c r="AB83" i="42"/>
  <c r="AB50" i="42"/>
  <c r="AB66" i="42"/>
  <c r="AB197" i="42"/>
  <c r="AB107" i="42"/>
  <c r="AB223" i="42"/>
  <c r="AB346" i="42"/>
  <c r="AB379" i="42"/>
  <c r="AB496" i="42"/>
  <c r="AB171" i="42"/>
  <c r="AB462" i="42"/>
  <c r="AB421" i="42"/>
  <c r="AB254" i="42"/>
  <c r="AB444" i="42"/>
  <c r="AB73" i="42"/>
  <c r="AB383" i="42"/>
  <c r="AB438" i="42"/>
  <c r="AB236" i="42"/>
  <c r="AB57" i="42"/>
  <c r="AB376" i="42"/>
  <c r="AB406" i="42"/>
  <c r="AB212" i="42"/>
  <c r="AB322" i="42"/>
  <c r="AB38" i="42"/>
  <c r="AB113" i="42"/>
  <c r="AB269" i="42"/>
  <c r="AB153" i="42"/>
  <c r="AB341" i="42"/>
  <c r="AB101" i="42"/>
  <c r="AB291" i="42"/>
  <c r="AB295" i="42"/>
  <c r="AB303" i="42"/>
  <c r="AB388" i="42"/>
  <c r="AB33" i="42"/>
  <c r="AB333" i="42"/>
  <c r="AB330" i="42"/>
  <c r="AB152" i="42"/>
  <c r="AB62" i="42"/>
  <c r="AB145" i="42"/>
  <c r="AB441" i="42"/>
  <c r="AB201" i="42"/>
  <c r="AB385" i="42"/>
  <c r="AB278" i="42"/>
  <c r="AB217" i="42"/>
  <c r="AB490" i="42"/>
  <c r="AB179" i="42"/>
  <c r="AB468" i="42"/>
  <c r="AB157" i="42"/>
  <c r="AB15" i="42"/>
  <c r="AB109" i="42"/>
  <c r="AB371" i="42"/>
  <c r="AB387" i="42"/>
  <c r="AB85" i="42"/>
  <c r="AB323" i="42"/>
  <c r="AB442" i="42"/>
  <c r="AB389" i="42"/>
  <c r="AB110" i="42"/>
  <c r="AB59" i="42"/>
  <c r="AB305" i="42"/>
  <c r="AB139" i="42"/>
  <c r="AB427" i="42"/>
  <c r="AB270" i="42"/>
  <c r="AB60" i="42"/>
  <c r="AB353" i="42"/>
  <c r="AB339" i="42"/>
  <c r="AB190" i="42"/>
  <c r="AB477" i="42"/>
  <c r="AB481" i="42"/>
  <c r="AB182" i="42"/>
  <c r="AB453" i="42"/>
  <c r="AB475" i="42"/>
  <c r="AB184" i="42"/>
  <c r="AB431" i="42"/>
  <c r="AB111" i="42"/>
  <c r="AB31" i="42"/>
  <c r="AB334" i="42"/>
  <c r="AB313" i="42"/>
  <c r="AB288" i="42"/>
  <c r="AB200" i="42"/>
  <c r="AB329" i="42"/>
  <c r="AB315" i="42"/>
  <c r="AB312" i="42"/>
  <c r="Z268" i="42"/>
  <c r="Z132" i="42"/>
  <c r="Z305" i="42"/>
  <c r="Z111" i="42"/>
  <c r="Z36" i="42"/>
  <c r="Z196" i="42"/>
  <c r="Z424" i="42"/>
  <c r="Z81" i="42"/>
  <c r="Z340" i="42"/>
  <c r="Z331" i="42"/>
  <c r="Z281" i="42"/>
  <c r="Z262" i="42"/>
  <c r="Z266" i="42"/>
  <c r="Z176" i="42"/>
  <c r="Z303" i="42"/>
  <c r="Z294" i="42"/>
  <c r="Z455" i="42"/>
  <c r="Z314" i="42"/>
  <c r="Z461" i="42"/>
  <c r="Z298" i="42"/>
  <c r="Z371" i="42"/>
  <c r="Z463" i="42"/>
  <c r="Z308" i="42"/>
  <c r="Z408" i="42"/>
  <c r="Z162" i="42"/>
  <c r="Z229" i="42"/>
  <c r="Z356" i="42"/>
  <c r="Z347" i="42"/>
  <c r="Z133" i="42"/>
  <c r="Z25" i="42"/>
  <c r="Z216" i="42"/>
  <c r="Z339" i="42"/>
  <c r="Z258" i="42"/>
  <c r="Z425" i="42"/>
  <c r="Z192" i="42"/>
  <c r="Z34" i="42"/>
  <c r="Z248" i="42"/>
  <c r="Z202" i="42"/>
  <c r="Z135" i="42"/>
  <c r="Z74" i="42"/>
  <c r="Z169" i="42"/>
  <c r="Z267" i="42"/>
  <c r="Z136" i="42"/>
  <c r="Z102" i="42"/>
  <c r="Z18" i="42"/>
  <c r="Z73" i="42"/>
  <c r="Z37" i="42"/>
  <c r="Z381" i="42"/>
  <c r="Z279" i="42"/>
  <c r="Z40" i="42"/>
  <c r="Z153" i="42"/>
  <c r="Z80" i="42"/>
  <c r="Z494" i="42"/>
  <c r="Z234" i="42"/>
  <c r="Z313" i="42"/>
  <c r="Z101" i="42"/>
  <c r="Z209" i="42"/>
  <c r="Z145" i="42"/>
  <c r="Z370" i="42"/>
  <c r="Z22" i="42"/>
  <c r="Z97" i="42"/>
  <c r="Z413" i="42"/>
  <c r="Z211" i="42"/>
  <c r="Z360" i="42"/>
  <c r="Z168" i="42"/>
  <c r="Z300" i="42"/>
  <c r="Z348" i="42"/>
  <c r="Z411" i="42"/>
  <c r="Z470" i="42"/>
  <c r="Z151" i="42"/>
  <c r="Z388" i="42"/>
  <c r="Z321" i="42"/>
  <c r="Z206" i="42"/>
  <c r="Z194" i="42"/>
  <c r="Z325" i="42"/>
  <c r="Z148" i="42"/>
  <c r="Z16" i="42"/>
  <c r="Z226" i="42"/>
  <c r="Z415" i="42"/>
  <c r="Z351" i="42"/>
  <c r="Z198" i="42"/>
  <c r="Z429" i="42"/>
  <c r="Z75" i="42"/>
  <c r="Z379" i="42"/>
  <c r="Z78" i="42"/>
  <c r="Z179" i="42"/>
  <c r="Z290" i="42"/>
  <c r="Z345" i="42"/>
  <c r="Z350" i="42"/>
  <c r="Z277" i="42"/>
  <c r="Z123" i="42"/>
  <c r="Z435" i="42"/>
  <c r="Z51" i="42"/>
  <c r="Z94" i="42"/>
  <c r="Z456" i="42"/>
  <c r="Z116" i="42"/>
  <c r="Z95" i="42"/>
  <c r="Z218" i="42"/>
  <c r="Z334" i="42"/>
  <c r="Z10" i="42"/>
  <c r="Z128" i="42"/>
  <c r="Z421" i="42"/>
  <c r="Z444" i="42"/>
  <c r="Z126" i="42"/>
  <c r="Z237" i="42"/>
  <c r="Z187" i="42"/>
  <c r="Z182" i="42"/>
  <c r="Z329" i="42"/>
  <c r="Z44" i="42"/>
  <c r="Z190" i="42"/>
  <c r="Z409" i="42"/>
  <c r="Z79" i="42"/>
  <c r="Z254" i="42"/>
  <c r="Z312" i="42"/>
  <c r="Z231" i="42"/>
  <c r="Z469" i="42"/>
  <c r="Z85" i="42"/>
  <c r="Z120" i="42"/>
  <c r="Z205" i="42"/>
  <c r="Z454" i="42"/>
  <c r="Z472" i="42"/>
  <c r="Z484" i="42"/>
  <c r="Z17" i="42"/>
  <c r="Z493" i="42"/>
  <c r="Z366" i="42"/>
  <c r="Z445" i="42"/>
  <c r="Z201" i="42"/>
  <c r="Z483" i="42"/>
  <c r="Z480" i="42"/>
  <c r="Z12" i="42"/>
  <c r="Z324" i="42"/>
  <c r="Z89" i="42"/>
  <c r="Z232" i="42"/>
  <c r="Z336" i="42"/>
  <c r="Z447" i="42"/>
  <c r="Z282" i="42"/>
  <c r="Z495" i="42"/>
  <c r="Z309" i="42"/>
  <c r="Z197" i="42"/>
  <c r="Z207" i="42"/>
  <c r="Z221" i="42"/>
  <c r="Z306" i="42"/>
  <c r="Z362" i="42"/>
  <c r="Z183" i="42"/>
  <c r="Z56" i="42"/>
  <c r="Z465" i="42"/>
  <c r="Z459" i="42"/>
  <c r="Z39" i="42"/>
  <c r="Z328" i="42"/>
  <c r="Z316" i="42"/>
  <c r="Z188" i="42"/>
  <c r="Z287" i="42"/>
  <c r="Z396" i="42"/>
  <c r="Z295" i="42"/>
  <c r="Z332" i="42"/>
  <c r="Z144" i="42"/>
  <c r="Z451" i="42"/>
  <c r="Z263" i="42"/>
  <c r="Z212" i="42"/>
  <c r="Z53" i="42"/>
  <c r="Z492" i="42"/>
  <c r="Z134" i="42"/>
  <c r="Z114" i="42"/>
  <c r="Z150" i="42"/>
  <c r="Z236" i="42"/>
  <c r="Z310" i="42"/>
  <c r="Z215" i="42"/>
  <c r="Z164" i="42"/>
  <c r="Z342" i="42"/>
  <c r="Z322" i="42"/>
  <c r="Z307" i="42"/>
  <c r="Z222" i="42"/>
  <c r="Z91" i="42"/>
  <c r="Z220" i="42"/>
  <c r="Z66" i="42"/>
  <c r="Z438" i="42"/>
  <c r="Z283" i="42"/>
  <c r="Z68" i="42"/>
  <c r="Z368" i="42"/>
  <c r="Z143" i="42"/>
  <c r="Z422" i="42"/>
  <c r="Z317" i="42"/>
  <c r="Z482" i="42"/>
  <c r="Z233" i="42"/>
  <c r="Z468" i="42"/>
  <c r="Z374" i="42"/>
  <c r="Z457" i="42"/>
  <c r="Z291" i="42"/>
  <c r="Z275" i="42"/>
  <c r="Z181" i="42"/>
  <c r="Z77" i="42"/>
  <c r="Z191" i="42"/>
  <c r="Z124" i="42"/>
  <c r="Z467" i="42"/>
  <c r="Z65" i="42"/>
  <c r="Z335" i="42"/>
  <c r="Z217" i="42"/>
  <c r="Z54" i="42"/>
  <c r="Z208" i="42"/>
  <c r="Z71" i="42"/>
  <c r="Z354" i="42"/>
  <c r="Z452" i="42"/>
  <c r="Z172" i="42"/>
  <c r="Z323" i="42"/>
  <c r="Z296" i="42"/>
  <c r="Z59" i="42"/>
  <c r="Z82" i="42"/>
  <c r="Z103" i="42"/>
  <c r="Z26" i="42"/>
  <c r="Z419" i="42"/>
  <c r="Z108" i="42"/>
  <c r="Z186" i="42"/>
  <c r="Z200" i="42"/>
  <c r="Z403" i="42"/>
  <c r="Z460" i="42"/>
  <c r="Z165" i="42"/>
  <c r="Z293" i="42"/>
  <c r="Z28" i="42"/>
  <c r="Z225" i="42"/>
  <c r="Z184" i="42"/>
  <c r="Z404" i="42"/>
  <c r="Z131" i="42"/>
  <c r="Z357" i="42"/>
  <c r="Z383" i="42"/>
  <c r="Z173" i="42"/>
  <c r="Z378" i="42"/>
  <c r="Z203" i="42"/>
  <c r="Z269" i="42"/>
  <c r="Z327" i="42"/>
  <c r="Z365" i="42"/>
  <c r="Z450" i="42"/>
  <c r="Z433" i="42"/>
  <c r="Z49" i="42"/>
  <c r="Z276" i="42"/>
  <c r="Z487" i="42"/>
  <c r="Z121" i="42"/>
  <c r="Z272" i="42"/>
  <c r="Z48" i="42"/>
  <c r="Z477" i="42"/>
  <c r="Z259" i="42"/>
  <c r="Z349" i="42"/>
  <c r="Z180" i="42"/>
  <c r="Z500" i="42"/>
  <c r="Z230" i="42"/>
  <c r="Z62" i="42"/>
  <c r="Z141" i="42"/>
  <c r="Z178" i="42"/>
  <c r="Z193" i="42"/>
  <c r="Z29" i="42"/>
  <c r="Z60" i="42"/>
  <c r="Z405" i="42"/>
  <c r="Z359" i="42"/>
  <c r="Z481" i="42"/>
  <c r="Z70" i="42"/>
  <c r="Z72" i="42"/>
  <c r="Z38" i="42"/>
  <c r="Z333" i="42"/>
  <c r="Z497" i="42"/>
  <c r="Z247" i="42"/>
  <c r="Z119" i="42"/>
  <c r="Z127" i="42"/>
  <c r="Z358" i="42"/>
  <c r="Z390" i="42"/>
  <c r="Z318" i="42"/>
  <c r="Z167" i="42"/>
  <c r="Z24" i="42"/>
  <c r="Z149" i="42"/>
  <c r="Z241" i="42"/>
  <c r="Z284" i="42"/>
  <c r="Z498" i="42"/>
  <c r="Z376" i="42"/>
  <c r="Z46" i="42"/>
  <c r="Z400" i="42"/>
  <c r="Z278" i="42"/>
  <c r="Z448" i="42"/>
  <c r="Z13" i="42"/>
  <c r="Z274" i="42"/>
  <c r="Z280" i="42"/>
  <c r="Z107" i="42"/>
  <c r="Z257" i="42"/>
  <c r="Z245" i="42"/>
  <c r="Z137" i="42"/>
  <c r="Z363" i="42"/>
  <c r="Z161" i="42"/>
  <c r="Z393" i="42"/>
  <c r="Z170" i="42"/>
  <c r="Z156" i="42"/>
  <c r="Z486" i="42"/>
  <c r="Z224" i="42"/>
  <c r="Z154" i="42"/>
  <c r="Z31" i="42"/>
  <c r="Z464" i="42"/>
  <c r="Z271" i="42"/>
  <c r="Z118" i="42"/>
  <c r="Z14" i="42"/>
  <c r="Z491" i="42"/>
  <c r="Z442" i="42"/>
  <c r="Z412" i="42"/>
  <c r="Z69" i="42"/>
  <c r="Z449" i="42"/>
  <c r="Z344" i="42"/>
  <c r="Z246" i="42"/>
  <c r="Z489" i="42"/>
  <c r="Z213" i="42"/>
  <c r="Z92" i="42"/>
  <c r="Z64" i="42"/>
  <c r="Z242" i="42"/>
  <c r="Z441" i="42"/>
  <c r="Z353" i="42"/>
  <c r="Z319" i="42"/>
  <c r="Z474" i="42"/>
  <c r="Z106" i="42"/>
  <c r="Z385" i="42"/>
  <c r="Z352" i="42"/>
  <c r="Z41" i="42"/>
  <c r="Z210" i="42"/>
  <c r="Z84" i="42"/>
  <c r="Z289" i="42"/>
  <c r="Z177" i="42"/>
  <c r="Z99" i="42"/>
  <c r="Z243" i="42"/>
  <c r="Z361" i="42"/>
  <c r="Z163" i="42"/>
  <c r="Z420" i="42"/>
  <c r="Z83" i="42"/>
  <c r="Z235" i="42"/>
  <c r="Z155" i="42"/>
  <c r="Z440" i="42"/>
  <c r="Z240" i="42"/>
  <c r="Z239" i="42"/>
  <c r="Z302" i="42"/>
  <c r="Z343" i="42"/>
  <c r="Z372" i="42"/>
  <c r="Z426" i="42"/>
  <c r="Z285" i="42"/>
  <c r="Z110" i="42"/>
  <c r="Z431" i="42"/>
  <c r="Z204" i="42"/>
  <c r="Z265" i="42"/>
  <c r="Z147" i="42"/>
  <c r="Z301" i="42"/>
  <c r="Z427" i="42"/>
  <c r="Z171" i="42"/>
  <c r="Z292" i="42"/>
  <c r="Z488" i="42"/>
  <c r="Z479" i="42"/>
  <c r="Z227" i="42"/>
  <c r="Z490" i="42"/>
  <c r="Z86" i="42"/>
  <c r="Z439" i="42"/>
  <c r="Z367" i="42"/>
  <c r="Z189" i="42"/>
  <c r="Z57" i="42"/>
  <c r="Z395" i="42"/>
  <c r="Z458" i="42"/>
  <c r="Z219" i="42"/>
  <c r="Z146" i="42"/>
  <c r="Z394" i="42"/>
  <c r="Z104" i="42"/>
  <c r="Z338" i="42"/>
  <c r="Z166" i="42"/>
  <c r="Z380" i="42"/>
  <c r="Z255" i="42"/>
  <c r="Z125" i="42"/>
  <c r="Z320" i="42"/>
  <c r="Z159" i="42"/>
  <c r="Z384" i="42"/>
  <c r="Z406" i="42"/>
  <c r="Z437" i="42"/>
  <c r="Z185" i="42"/>
  <c r="Z109" i="42"/>
  <c r="Z256" i="42"/>
  <c r="Z228" i="42"/>
  <c r="Z297" i="42"/>
  <c r="Z214" i="42"/>
  <c r="Z129" i="42"/>
  <c r="Z223" i="42"/>
  <c r="Z288" i="42"/>
  <c r="Z417" i="42"/>
  <c r="Z251" i="42"/>
  <c r="Z434" i="42"/>
  <c r="Z261" i="42"/>
  <c r="Z113" i="42"/>
  <c r="Z93" i="42"/>
  <c r="Z462" i="42"/>
  <c r="Z157" i="42"/>
  <c r="Z304" i="42"/>
  <c r="Z397" i="42"/>
  <c r="Z418" i="42"/>
  <c r="Z100" i="42"/>
  <c r="Z20" i="42"/>
  <c r="Z160" i="42"/>
  <c r="Z175" i="42"/>
  <c r="Z423" i="42"/>
  <c r="Z382" i="42"/>
  <c r="Z264" i="42"/>
  <c r="Z152" i="42"/>
  <c r="Z410" i="42"/>
  <c r="Z61" i="42"/>
  <c r="Z414" i="42"/>
  <c r="Z341" i="42"/>
  <c r="Z299" i="42"/>
  <c r="Z98" i="42"/>
  <c r="Z158" i="42"/>
  <c r="Z375" i="42"/>
  <c r="Z88" i="42"/>
  <c r="Z42" i="42"/>
  <c r="Z117" i="42"/>
  <c r="Z112" i="42"/>
  <c r="Z19" i="42"/>
  <c r="Z499" i="42"/>
  <c r="Z174" i="42"/>
  <c r="Z446" i="42"/>
  <c r="Z402" i="42"/>
  <c r="Z364" i="42"/>
  <c r="Z115" i="42"/>
  <c r="Z401" i="42"/>
  <c r="Z315" i="42"/>
  <c r="Z478" i="42"/>
  <c r="Z392" i="42"/>
  <c r="Z50" i="42"/>
  <c r="Z311" i="42"/>
  <c r="Z244" i="42"/>
  <c r="Z398" i="42"/>
  <c r="Z195" i="42"/>
  <c r="Z76" i="42"/>
  <c r="Z387" i="42"/>
  <c r="Z253" i="42"/>
  <c r="Z138" i="42"/>
  <c r="Z428" i="42"/>
  <c r="Z273" i="42"/>
  <c r="Z43" i="42"/>
  <c r="Z47" i="42"/>
  <c r="Z21" i="42"/>
  <c r="Z140" i="42"/>
  <c r="Z55" i="42"/>
  <c r="Z142" i="42"/>
  <c r="Z252" i="42"/>
  <c r="Z475" i="42"/>
  <c r="Z90" i="42"/>
  <c r="Z471" i="42"/>
  <c r="Z326" i="42"/>
  <c r="Z373" i="42"/>
  <c r="Z369" i="42"/>
  <c r="Z63" i="42"/>
  <c r="Z430" i="42"/>
  <c r="Z386" i="42"/>
  <c r="Z260" i="42"/>
  <c r="Z15" i="42"/>
  <c r="Z23" i="42"/>
  <c r="Z30" i="42"/>
  <c r="Z407" i="42"/>
  <c r="Z139" i="42"/>
  <c r="Z355" i="42"/>
  <c r="Z58" i="42"/>
  <c r="Z45" i="42"/>
  <c r="Z33" i="42"/>
  <c r="Z416" i="42"/>
  <c r="Z453" i="42"/>
  <c r="Z67" i="42"/>
  <c r="Z476" i="42"/>
  <c r="Z346" i="42"/>
  <c r="Z32" i="42"/>
  <c r="Z122" i="42"/>
  <c r="Z443" i="42"/>
  <c r="Z377" i="42"/>
  <c r="Z389" i="42"/>
  <c r="Z473" i="42"/>
  <c r="Z466" i="42"/>
  <c r="Z337" i="42"/>
  <c r="Z485" i="42"/>
  <c r="Z249" i="42"/>
  <c r="Z238" i="42"/>
  <c r="Z199" i="42"/>
  <c r="Z399" i="42"/>
  <c r="Z330" i="42"/>
  <c r="Z52" i="42"/>
  <c r="Z270" i="42"/>
  <c r="Z432" i="42"/>
  <c r="Z391" i="42"/>
  <c r="Z25" i="55" l="1"/>
  <c r="Z14" i="55"/>
  <c r="Z12" i="55"/>
  <c r="Z13" i="55"/>
  <c r="GN294" i="56"/>
  <c r="IK294" i="56" s="1"/>
  <c r="GO294" i="56"/>
  <c r="GM295" i="56"/>
  <c r="HE294" i="56"/>
  <c r="HF294" i="56" s="1"/>
  <c r="P9" i="56" a="1"/>
  <c r="P9" i="56" s="1"/>
  <c r="P88" i="56" a="1"/>
  <c r="P88" i="56" s="1"/>
  <c r="P29" i="56" a="1"/>
  <c r="P29" i="56" s="1"/>
  <c r="P31" i="56" a="1"/>
  <c r="P31" i="56" s="1"/>
  <c r="Z16" i="55"/>
  <c r="HT110" i="56"/>
  <c r="GU110" i="56"/>
  <c r="HS110" i="56" s="1"/>
  <c r="GP110" i="56"/>
  <c r="GW110" i="56"/>
  <c r="GT110" i="56"/>
  <c r="HT139" i="56"/>
  <c r="GT139" i="56"/>
  <c r="GU139" i="56"/>
  <c r="HS139" i="56" s="1"/>
  <c r="GP139" i="56"/>
  <c r="GW139" i="56"/>
  <c r="GO15" i="56"/>
  <c r="GN15" i="56"/>
  <c r="IK15" i="56" s="1"/>
  <c r="GM16" i="56"/>
  <c r="HE15" i="56"/>
  <c r="HF15" i="56" s="1"/>
  <c r="HT61" i="56"/>
  <c r="GU61" i="56"/>
  <c r="HS61" i="56" s="1"/>
  <c r="GT61" i="56"/>
  <c r="GP61" i="56"/>
  <c r="GW61" i="56"/>
  <c r="Z15" i="55"/>
  <c r="Z23" i="55"/>
  <c r="HQ163" i="56" a="1"/>
  <c r="HQ163" i="56" s="1"/>
  <c r="HR163" i="56" s="1"/>
  <c r="HO163" i="56" a="1"/>
  <c r="HO163" i="56" s="1"/>
  <c r="HP163" i="56" s="1"/>
  <c r="HK163" i="56" a="1"/>
  <c r="HK163" i="56" s="1"/>
  <c r="HL163" i="56" s="1"/>
  <c r="HM163" i="56" a="1"/>
  <c r="HM163" i="56" s="1"/>
  <c r="HN163" i="56" s="1"/>
  <c r="HG163" i="56" a="1"/>
  <c r="HG163" i="56" s="1"/>
  <c r="HH163" i="56" s="1"/>
  <c r="HI163" i="56" a="1"/>
  <c r="HI163" i="56" s="1"/>
  <c r="HJ163" i="56" s="1"/>
  <c r="GO164" i="56"/>
  <c r="GN164" i="56"/>
  <c r="IK164" i="56" s="1"/>
  <c r="GM165" i="56"/>
  <c r="HE164" i="56"/>
  <c r="HF164" i="56" s="1"/>
  <c r="HM194" i="56" a="1"/>
  <c r="HM194" i="56" s="1"/>
  <c r="HN194" i="56" s="1"/>
  <c r="HQ194" i="56" a="1"/>
  <c r="HQ194" i="56" s="1"/>
  <c r="HR194" i="56" s="1"/>
  <c r="HK194" i="56" a="1"/>
  <c r="HK194" i="56" s="1"/>
  <c r="HL194" i="56" s="1"/>
  <c r="HO194" i="56" a="1"/>
  <c r="HO194" i="56" s="1"/>
  <c r="HP194" i="56" s="1"/>
  <c r="HI194" i="56" a="1"/>
  <c r="HI194" i="56" s="1"/>
  <c r="HJ194" i="56" s="1"/>
  <c r="HG194" i="56" a="1"/>
  <c r="HG194" i="56" s="1"/>
  <c r="HH194" i="56" s="1"/>
  <c r="Z22" i="55"/>
  <c r="GO195" i="56"/>
  <c r="GN195" i="56"/>
  <c r="IK195" i="56" s="1"/>
  <c r="GM196" i="56"/>
  <c r="HE195" i="56"/>
  <c r="HF195" i="56" s="1"/>
  <c r="Z11" i="55"/>
  <c r="HT40" i="56"/>
  <c r="GU40" i="56"/>
  <c r="HS40" i="56" s="1"/>
  <c r="GT40" i="56"/>
  <c r="GW40" i="56"/>
  <c r="GP40" i="56"/>
  <c r="HQ97" i="56" a="1"/>
  <c r="HQ97" i="56" s="1"/>
  <c r="HR97" i="56" s="1"/>
  <c r="HM97" i="56" a="1"/>
  <c r="HM97" i="56" s="1"/>
  <c r="HN97" i="56" s="1"/>
  <c r="HG97" i="56" a="1"/>
  <c r="HG97" i="56" s="1"/>
  <c r="HH97" i="56" s="1"/>
  <c r="HO97" i="56" a="1"/>
  <c r="HO97" i="56" s="1"/>
  <c r="HP97" i="56" s="1"/>
  <c r="HK97" i="56" a="1"/>
  <c r="HK97" i="56" s="1"/>
  <c r="HL97" i="56" s="1"/>
  <c r="HI97" i="56" a="1"/>
  <c r="HI97" i="56" s="1"/>
  <c r="HJ97" i="56" s="1"/>
  <c r="Z19" i="55"/>
  <c r="HO351" i="56" a="1"/>
  <c r="HO351" i="56" s="1"/>
  <c r="HP351" i="56" s="1"/>
  <c r="HQ351" i="56" a="1"/>
  <c r="HQ351" i="56" s="1"/>
  <c r="HR351" i="56" s="1"/>
  <c r="HK351" i="56" a="1"/>
  <c r="HK351" i="56" s="1"/>
  <c r="HL351" i="56" s="1"/>
  <c r="HG351" i="56" a="1"/>
  <c r="HG351" i="56" s="1"/>
  <c r="HH351" i="56" s="1"/>
  <c r="HI351" i="56" a="1"/>
  <c r="HI351" i="56" s="1"/>
  <c r="HJ351" i="56" s="1"/>
  <c r="HM351" i="56" a="1"/>
  <c r="HM351" i="56" s="1"/>
  <c r="HN351" i="56" s="1"/>
  <c r="Z26" i="55"/>
  <c r="HT351" i="56"/>
  <c r="GU351" i="56"/>
  <c r="HS351" i="56" s="1"/>
  <c r="GT351" i="56"/>
  <c r="GW351" i="56"/>
  <c r="GP351" i="56"/>
  <c r="HH3" i="56"/>
  <c r="HT232" i="56"/>
  <c r="GW232" i="56"/>
  <c r="GU232" i="56"/>
  <c r="HS232" i="56" s="1"/>
  <c r="GT232" i="56"/>
  <c r="GP232" i="56"/>
  <c r="GO98" i="56"/>
  <c r="GN98" i="56"/>
  <c r="IK98" i="56" s="1"/>
  <c r="GM99" i="56"/>
  <c r="HE98" i="56"/>
  <c r="HF98" i="56" s="1"/>
  <c r="HQ14" i="56" a="1"/>
  <c r="HQ14" i="56" s="1"/>
  <c r="HR14" i="56" s="1"/>
  <c r="HM14" i="56" a="1"/>
  <c r="HM14" i="56" s="1"/>
  <c r="HN14" i="56" s="1"/>
  <c r="HK14" i="56" a="1"/>
  <c r="HK14" i="56" s="1"/>
  <c r="HL14" i="56" s="1"/>
  <c r="HG14" i="56" a="1"/>
  <c r="HG14" i="56" s="1"/>
  <c r="HH14" i="56" s="1"/>
  <c r="HO14" i="56" a="1"/>
  <c r="HO14" i="56" s="1"/>
  <c r="HP14" i="56" s="1"/>
  <c r="HI14" i="56" a="1"/>
  <c r="HI14" i="56" s="1"/>
  <c r="HJ14" i="56" s="1"/>
  <c r="GI43" i="56"/>
  <c r="GJ43" i="56" s="1"/>
  <c r="GH44" i="56"/>
  <c r="HT293" i="56"/>
  <c r="GW293" i="56"/>
  <c r="GU293" i="56"/>
  <c r="HS293" i="56" s="1"/>
  <c r="GT293" i="56"/>
  <c r="GP293" i="56"/>
  <c r="P5" i="56" a="1"/>
  <c r="P5" i="56" s="1"/>
  <c r="P335" i="56" a="1"/>
  <c r="P335" i="56" s="1"/>
  <c r="P336" i="56" a="1"/>
  <c r="P336" i="56" s="1"/>
  <c r="HT14" i="56"/>
  <c r="GU14" i="56"/>
  <c r="HS14" i="56" s="1"/>
  <c r="GW14" i="56"/>
  <c r="GP14" i="56"/>
  <c r="IN12" i="56"/>
  <c r="IO12" i="56" s="1"/>
  <c r="P8" i="56" a="1"/>
  <c r="P8" i="56" s="1"/>
  <c r="P53" i="56" a="1"/>
  <c r="P53" i="56" s="1"/>
  <c r="GN233" i="56"/>
  <c r="IK233" i="56" s="1"/>
  <c r="GO233" i="56"/>
  <c r="GM234" i="56"/>
  <c r="HE233" i="56"/>
  <c r="HF233" i="56" s="1"/>
  <c r="HT194" i="56"/>
  <c r="GW194" i="56"/>
  <c r="GP194" i="56"/>
  <c r="GT194" i="56"/>
  <c r="GU194" i="56"/>
  <c r="HS194" i="56" s="1"/>
  <c r="HQ139" i="56" a="1"/>
  <c r="HQ139" i="56" s="1"/>
  <c r="HR139" i="56" s="1"/>
  <c r="HM139" i="56" a="1"/>
  <c r="HM139" i="56" s="1"/>
  <c r="HN139" i="56" s="1"/>
  <c r="HO139" i="56" a="1"/>
  <c r="HO139" i="56" s="1"/>
  <c r="HP139" i="56" s="1"/>
  <c r="HI139" i="56" a="1"/>
  <c r="HI139" i="56" s="1"/>
  <c r="HJ139" i="56" s="1"/>
  <c r="HK139" i="56" a="1"/>
  <c r="HK139" i="56" s="1"/>
  <c r="HL139" i="56" s="1"/>
  <c r="HG139" i="56" a="1"/>
  <c r="HG139" i="56" s="1"/>
  <c r="HH139" i="56" s="1"/>
  <c r="HK61" i="56" a="1"/>
  <c r="HK61" i="56" s="1"/>
  <c r="HL61" i="56" s="1"/>
  <c r="HQ61" i="56" a="1"/>
  <c r="HQ61" i="56" s="1"/>
  <c r="HR61" i="56" s="1"/>
  <c r="HO61" i="56" a="1"/>
  <c r="HO61" i="56" s="1"/>
  <c r="HP61" i="56" s="1"/>
  <c r="HG61" i="56" a="1"/>
  <c r="HG61" i="56" s="1"/>
  <c r="HH61" i="56" s="1"/>
  <c r="HI61" i="56" a="1"/>
  <c r="HI61" i="56" s="1"/>
  <c r="HJ61" i="56" s="1"/>
  <c r="HM61" i="56" a="1"/>
  <c r="HM61" i="56" s="1"/>
  <c r="HN61" i="56" s="1"/>
  <c r="GN352" i="56"/>
  <c r="GO352" i="56"/>
  <c r="HE352" i="56"/>
  <c r="HF352" i="56" s="1"/>
  <c r="HT163" i="56"/>
  <c r="GT163" i="56"/>
  <c r="GW163" i="56"/>
  <c r="GP163" i="56"/>
  <c r="GU163" i="56"/>
  <c r="HS163" i="56" s="1"/>
  <c r="HO232" i="56" a="1"/>
  <c r="HO232" i="56" s="1"/>
  <c r="HP232" i="56" s="1"/>
  <c r="HQ232" i="56" a="1"/>
  <c r="HQ232" i="56" s="1"/>
  <c r="HR232" i="56" s="1"/>
  <c r="HM232" i="56" a="1"/>
  <c r="HM232" i="56" s="1"/>
  <c r="HN232" i="56" s="1"/>
  <c r="HK232" i="56" a="1"/>
  <c r="HK232" i="56" s="1"/>
  <c r="HL232" i="56" s="1"/>
  <c r="HG232" i="56" a="1"/>
  <c r="HG232" i="56" s="1"/>
  <c r="HH232" i="56" s="1"/>
  <c r="HI232" i="56" a="1"/>
  <c r="HI232" i="56" s="1"/>
  <c r="HJ232" i="56" s="1"/>
  <c r="GO41" i="56"/>
  <c r="GN41" i="56"/>
  <c r="IK41" i="56" s="1"/>
  <c r="GM42" i="56"/>
  <c r="C21" i="61"/>
  <c r="C19" i="61"/>
  <c r="Z10" i="55"/>
  <c r="C20" i="61"/>
  <c r="HQ110" i="56" a="1"/>
  <c r="HQ110" i="56" s="1"/>
  <c r="HR110" i="56" s="1"/>
  <c r="HO110" i="56" a="1"/>
  <c r="HO110" i="56" s="1"/>
  <c r="HP110" i="56" s="1"/>
  <c r="HK110" i="56" a="1"/>
  <c r="HK110" i="56" s="1"/>
  <c r="HL110" i="56" s="1"/>
  <c r="HM110" i="56" a="1"/>
  <c r="HM110" i="56" s="1"/>
  <c r="HN110" i="56" s="1"/>
  <c r="HI110" i="56" a="1"/>
  <c r="HI110" i="56" s="1"/>
  <c r="HJ110" i="56" s="1"/>
  <c r="HG110" i="56" a="1"/>
  <c r="HG110" i="56" s="1"/>
  <c r="HH110" i="56" s="1"/>
  <c r="GO140" i="56"/>
  <c r="GN140" i="56"/>
  <c r="IK140" i="56" s="1"/>
  <c r="GM141" i="56"/>
  <c r="HE140" i="56"/>
  <c r="HF140" i="56" s="1"/>
  <c r="GN111" i="56"/>
  <c r="IK111" i="56" s="1"/>
  <c r="GO111" i="56"/>
  <c r="GM112" i="56"/>
  <c r="HE111" i="56"/>
  <c r="HF111" i="56" s="1"/>
  <c r="GN62" i="56"/>
  <c r="IK62" i="56" s="1"/>
  <c r="GO62" i="56"/>
  <c r="GM63" i="56"/>
  <c r="HE62" i="56"/>
  <c r="HF62" i="56" s="1"/>
  <c r="HK293" i="56" a="1"/>
  <c r="HK293" i="56" s="1"/>
  <c r="HL293" i="56" s="1"/>
  <c r="HQ293" i="56" a="1"/>
  <c r="HQ293" i="56" s="1"/>
  <c r="HR293" i="56" s="1"/>
  <c r="HM293" i="56" a="1"/>
  <c r="HM293" i="56" s="1"/>
  <c r="HN293" i="56" s="1"/>
  <c r="HI293" i="56" a="1"/>
  <c r="HI293" i="56" s="1"/>
  <c r="HJ293" i="56" s="1"/>
  <c r="HG293" i="56" a="1"/>
  <c r="HG293" i="56" s="1"/>
  <c r="HH293" i="56" s="1"/>
  <c r="HO293" i="56" a="1"/>
  <c r="HO293" i="56" s="1"/>
  <c r="HP293" i="56" s="1"/>
  <c r="HT97" i="56"/>
  <c r="GW97" i="56"/>
  <c r="GU97" i="56"/>
  <c r="HS97" i="56" s="1"/>
  <c r="GT97" i="56"/>
  <c r="GP97" i="56"/>
  <c r="HT140" i="56" l="1"/>
  <c r="GW140" i="56"/>
  <c r="GT140" i="56"/>
  <c r="GU140" i="56"/>
  <c r="HS140" i="56" s="1"/>
  <c r="GP140" i="56"/>
  <c r="HT98" i="56"/>
  <c r="GW98" i="56"/>
  <c r="GP98" i="56"/>
  <c r="GU98" i="56"/>
  <c r="HS98" i="56" s="1"/>
  <c r="GT98" i="56"/>
  <c r="HQ164" i="56" a="1"/>
  <c r="HQ164" i="56" s="1"/>
  <c r="HR164" i="56" s="1"/>
  <c r="HM164" i="56" a="1"/>
  <c r="HM164" i="56" s="1"/>
  <c r="HN164" i="56" s="1"/>
  <c r="HI164" i="56" a="1"/>
  <c r="HI164" i="56" s="1"/>
  <c r="HJ164" i="56" s="1"/>
  <c r="HG164" i="56" a="1"/>
  <c r="HG164" i="56" s="1"/>
  <c r="HH164" i="56" s="1"/>
  <c r="HO164" i="56" a="1"/>
  <c r="HO164" i="56" s="1"/>
  <c r="HP164" i="56" s="1"/>
  <c r="HK164" i="56" a="1"/>
  <c r="HK164" i="56" s="1"/>
  <c r="HL164" i="56" s="1"/>
  <c r="P10" i="56" a="1"/>
  <c r="P10" i="56" s="1"/>
  <c r="P130" i="56" a="1"/>
  <c r="P130" i="56" s="1"/>
  <c r="HQ62" i="56" a="1"/>
  <c r="HQ62" i="56" s="1"/>
  <c r="HR62" i="56" s="1"/>
  <c r="HM62" i="56" a="1"/>
  <c r="HM62" i="56" s="1"/>
  <c r="HN62" i="56" s="1"/>
  <c r="HK62" i="56" a="1"/>
  <c r="HK62" i="56" s="1"/>
  <c r="HL62" i="56" s="1"/>
  <c r="HI62" i="56" a="1"/>
  <c r="HI62" i="56" s="1"/>
  <c r="HJ62" i="56" s="1"/>
  <c r="HG62" i="56" a="1"/>
  <c r="HG62" i="56" s="1"/>
  <c r="HH62" i="56" s="1"/>
  <c r="HO62" i="56" a="1"/>
  <c r="HO62" i="56" s="1"/>
  <c r="HP62" i="56" s="1"/>
  <c r="GO234" i="56"/>
  <c r="GN234" i="56"/>
  <c r="IK234" i="56" s="1"/>
  <c r="GM235" i="56"/>
  <c r="HE234" i="56"/>
  <c r="HF234" i="56" s="1"/>
  <c r="GO16" i="56"/>
  <c r="GN16" i="56"/>
  <c r="IK16" i="56" s="1"/>
  <c r="GM17" i="56"/>
  <c r="HE16" i="56"/>
  <c r="HF16" i="56" s="1"/>
  <c r="GN112" i="56"/>
  <c r="IK112" i="56" s="1"/>
  <c r="GO112" i="56"/>
  <c r="GM113" i="56"/>
  <c r="HE112" i="56"/>
  <c r="HF112" i="56" s="1"/>
  <c r="C18" i="61"/>
  <c r="P4" i="56" a="1"/>
  <c r="P4" i="56" s="1"/>
  <c r="P3" i="56" a="1"/>
  <c r="P3" i="56" s="1"/>
  <c r="GO196" i="56"/>
  <c r="GN196" i="56"/>
  <c r="IK196" i="56" s="1"/>
  <c r="GM197" i="56"/>
  <c r="HE196" i="56"/>
  <c r="HF196" i="56" s="1"/>
  <c r="GN295" i="56"/>
  <c r="IK295" i="56" s="1"/>
  <c r="GO295" i="56"/>
  <c r="GM296" i="56"/>
  <c r="HE295" i="56"/>
  <c r="HF295" i="56" s="1"/>
  <c r="P7" i="56" a="1"/>
  <c r="P7" i="56" s="1"/>
  <c r="P102" i="56" a="1"/>
  <c r="P102" i="56" s="1"/>
  <c r="HM98" i="56" a="1"/>
  <c r="HM98" i="56" s="1"/>
  <c r="HN98" i="56" s="1"/>
  <c r="HQ98" i="56" a="1"/>
  <c r="HQ98" i="56" s="1"/>
  <c r="HR98" i="56" s="1"/>
  <c r="HO98" i="56" a="1"/>
  <c r="HO98" i="56" s="1"/>
  <c r="HP98" i="56" s="1"/>
  <c r="HK98" i="56" a="1"/>
  <c r="HK98" i="56" s="1"/>
  <c r="HL98" i="56" s="1"/>
  <c r="HG98" i="56" a="1"/>
  <c r="HG98" i="56" s="1"/>
  <c r="HH98" i="56" s="1"/>
  <c r="HI98" i="56" a="1"/>
  <c r="HI98" i="56" s="1"/>
  <c r="HJ98" i="56" s="1"/>
  <c r="FZ335" i="56"/>
  <c r="CU335" i="56"/>
  <c r="CY335" i="56" s="1"/>
  <c r="DI335" i="56"/>
  <c r="GV335" i="56" s="1"/>
  <c r="DZ335" i="56" a="1"/>
  <c r="DZ335" i="56" s="1"/>
  <c r="EF335" i="56"/>
  <c r="EG335" i="56" s="1"/>
  <c r="GO99" i="56"/>
  <c r="GN99" i="56"/>
  <c r="IK99" i="56" s="1"/>
  <c r="GM100" i="56"/>
  <c r="HE99" i="56"/>
  <c r="HF99" i="56" s="1"/>
  <c r="HQ233" i="56" a="1"/>
  <c r="HQ233" i="56" s="1"/>
  <c r="HR233" i="56" s="1"/>
  <c r="HK233" i="56" a="1"/>
  <c r="HK233" i="56" s="1"/>
  <c r="HL233" i="56" s="1"/>
  <c r="HO233" i="56" a="1"/>
  <c r="HO233" i="56" s="1"/>
  <c r="HP233" i="56" s="1"/>
  <c r="HI233" i="56" a="1"/>
  <c r="HI233" i="56" s="1"/>
  <c r="HJ233" i="56" s="1"/>
  <c r="HM233" i="56" a="1"/>
  <c r="HM233" i="56" s="1"/>
  <c r="HN233" i="56" s="1"/>
  <c r="HG233" i="56" a="1"/>
  <c r="HG233" i="56" s="1"/>
  <c r="HH233" i="56" s="1"/>
  <c r="GN165" i="56"/>
  <c r="IK165" i="56" s="1"/>
  <c r="GO165" i="56"/>
  <c r="GM166" i="56"/>
  <c r="HE165" i="56"/>
  <c r="HF165" i="56" s="1"/>
  <c r="HT233" i="56"/>
  <c r="GW233" i="56"/>
  <c r="GU233" i="56"/>
  <c r="HS233" i="56" s="1"/>
  <c r="GP233" i="56"/>
  <c r="GT233" i="56"/>
  <c r="FZ29" i="56"/>
  <c r="CU29" i="56"/>
  <c r="CY29" i="56" s="1"/>
  <c r="G29" i="56" s="1"/>
  <c r="CZ29" i="56" s="1"/>
  <c r="DA29" i="56" s="1"/>
  <c r="DI29" i="56"/>
  <c r="EF29" i="56"/>
  <c r="EG29" i="56" s="1"/>
  <c r="HT62" i="56"/>
  <c r="GW62" i="56"/>
  <c r="GP62" i="56"/>
  <c r="GU62" i="56"/>
  <c r="HS62" i="56" s="1"/>
  <c r="GT62" i="56"/>
  <c r="FZ53" i="56"/>
  <c r="CU53" i="56"/>
  <c r="CY53" i="56" s="1"/>
  <c r="DI53" i="56"/>
  <c r="GV53" i="56" s="1"/>
  <c r="EF53" i="56"/>
  <c r="EG53" i="56" s="1"/>
  <c r="DZ53" i="56" a="1"/>
  <c r="DZ53" i="56" s="1"/>
  <c r="FZ8" i="56"/>
  <c r="CU8" i="56"/>
  <c r="CY8" i="56" s="1"/>
  <c r="DI8" i="56"/>
  <c r="GV8" i="56" s="1"/>
  <c r="EF8" i="56"/>
  <c r="EG8" i="56" s="1"/>
  <c r="DZ8" i="56" a="1"/>
  <c r="DZ8" i="56" s="1"/>
  <c r="BQ13" i="55" s="1" a="1"/>
  <c r="BQ13" i="55" s="1"/>
  <c r="HM294" i="56" a="1"/>
  <c r="HM294" i="56" s="1"/>
  <c r="HN294" i="56" s="1"/>
  <c r="HO294" i="56" a="1"/>
  <c r="HO294" i="56" s="1"/>
  <c r="HP294" i="56" s="1"/>
  <c r="HI294" i="56" a="1"/>
  <c r="HI294" i="56" s="1"/>
  <c r="HJ294" i="56" s="1"/>
  <c r="HQ294" i="56" a="1"/>
  <c r="HQ294" i="56" s="1"/>
  <c r="HR294" i="56" s="1"/>
  <c r="HK294" i="56" a="1"/>
  <c r="HK294" i="56" s="1"/>
  <c r="HL294" i="56" s="1"/>
  <c r="HG294" i="56" a="1"/>
  <c r="HG294" i="56" s="1"/>
  <c r="HH294" i="56" s="1"/>
  <c r="HT111" i="56"/>
  <c r="GW111" i="56"/>
  <c r="GU111" i="56"/>
  <c r="HS111" i="56" s="1"/>
  <c r="GT111" i="56"/>
  <c r="GP111" i="56"/>
  <c r="HT294" i="56"/>
  <c r="GW294" i="56"/>
  <c r="GT294" i="56"/>
  <c r="GP294" i="56"/>
  <c r="GU294" i="56"/>
  <c r="HS294" i="56" s="1"/>
  <c r="GO141" i="56"/>
  <c r="GN141" i="56"/>
  <c r="IK141" i="56" s="1"/>
  <c r="GM142" i="56"/>
  <c r="HE141" i="56"/>
  <c r="HF141" i="56" s="1"/>
  <c r="HT352" i="56"/>
  <c r="GW352" i="56"/>
  <c r="GP352" i="56"/>
  <c r="GU352" i="56"/>
  <c r="GT352" i="56"/>
  <c r="GO63" i="56"/>
  <c r="GN63" i="56"/>
  <c r="IK63" i="56" s="1"/>
  <c r="GM64" i="56"/>
  <c r="HE63" i="56"/>
  <c r="HF63" i="56" s="1"/>
  <c r="HO15" i="56" a="1"/>
  <c r="HO15" i="56" s="1"/>
  <c r="HP15" i="56" s="1"/>
  <c r="HQ15" i="56" a="1"/>
  <c r="HQ15" i="56" s="1"/>
  <c r="HR15" i="56" s="1"/>
  <c r="HK15" i="56" a="1"/>
  <c r="HK15" i="56" s="1"/>
  <c r="HL15" i="56" s="1"/>
  <c r="HG15" i="56" a="1"/>
  <c r="HG15" i="56" s="1"/>
  <c r="HH15" i="56" s="1"/>
  <c r="HM15" i="56" a="1"/>
  <c r="HM15" i="56" s="1"/>
  <c r="HN15" i="56" s="1"/>
  <c r="HI15" i="56" a="1"/>
  <c r="HI15" i="56" s="1"/>
  <c r="HJ15" i="56" s="1"/>
  <c r="FZ88" i="56"/>
  <c r="CU88" i="56"/>
  <c r="CY88" i="56" s="1"/>
  <c r="DI88" i="56"/>
  <c r="GV88" i="56" s="1"/>
  <c r="EF88" i="56"/>
  <c r="EG88" i="56" s="1"/>
  <c r="DZ88" i="56" a="1"/>
  <c r="DZ88" i="56" s="1"/>
  <c r="FZ9" i="56"/>
  <c r="CU9" i="56"/>
  <c r="CY9" i="56" s="1"/>
  <c r="DI9" i="56"/>
  <c r="GV9" i="56" s="1"/>
  <c r="EF9" i="56"/>
  <c r="EG9" i="56" s="1"/>
  <c r="DZ9" i="56" a="1"/>
  <c r="DZ9" i="56" s="1"/>
  <c r="BQ14" i="55" s="1" a="1"/>
  <c r="BQ14" i="55" s="1"/>
  <c r="HO111" i="56" a="1"/>
  <c r="HO111" i="56" s="1"/>
  <c r="HP111" i="56" s="1"/>
  <c r="HQ111" i="56" a="1"/>
  <c r="HQ111" i="56" s="1"/>
  <c r="HR111" i="56" s="1"/>
  <c r="HM111" i="56" a="1"/>
  <c r="HM111" i="56" s="1"/>
  <c r="HN111" i="56" s="1"/>
  <c r="HI111" i="56" a="1"/>
  <c r="HI111" i="56" s="1"/>
  <c r="HJ111" i="56" s="1"/>
  <c r="HG111" i="56" a="1"/>
  <c r="HG111" i="56" s="1"/>
  <c r="HH111" i="56" s="1"/>
  <c r="HK111" i="56" a="1"/>
  <c r="HK111" i="56" s="1"/>
  <c r="HL111" i="56" s="1"/>
  <c r="GI44" i="56"/>
  <c r="GJ44" i="56" s="1"/>
  <c r="GH45" i="56"/>
  <c r="HO352" i="56" a="1"/>
  <c r="HO352" i="56" s="1"/>
  <c r="HP352" i="56" s="1"/>
  <c r="HQ352" i="56" a="1"/>
  <c r="HQ352" i="56" s="1"/>
  <c r="HR352" i="56" s="1"/>
  <c r="HG352" i="56" a="1"/>
  <c r="HG352" i="56" s="1"/>
  <c r="HH352" i="56" s="1"/>
  <c r="HI352" i="56" a="1"/>
  <c r="HI352" i="56" s="1"/>
  <c r="HJ352" i="56" s="1"/>
  <c r="HK352" i="56" a="1"/>
  <c r="HK352" i="56" s="1"/>
  <c r="HL352" i="56" s="1"/>
  <c r="HM352" i="56" a="1"/>
  <c r="HM352" i="56" s="1"/>
  <c r="HN352" i="56" s="1"/>
  <c r="P14" i="56" a="1"/>
  <c r="P14" i="56" s="1"/>
  <c r="P224" i="56" a="1"/>
  <c r="P224" i="56" s="1"/>
  <c r="HT195" i="56"/>
  <c r="GW195" i="56"/>
  <c r="GT195" i="56"/>
  <c r="GP195" i="56"/>
  <c r="GU195" i="56"/>
  <c r="HS195" i="56" s="1"/>
  <c r="P18" i="56" a="1"/>
  <c r="P18" i="56" s="1"/>
  <c r="P325" i="56" a="1"/>
  <c r="P325" i="56" s="1"/>
  <c r="HT41" i="56"/>
  <c r="GU41" i="56"/>
  <c r="HS41" i="56" s="1"/>
  <c r="GW41" i="56"/>
  <c r="GP41" i="56"/>
  <c r="GT41" i="56"/>
  <c r="IK352" i="56"/>
  <c r="FZ336" i="56"/>
  <c r="CU336" i="56"/>
  <c r="CY336" i="56" s="1"/>
  <c r="DI336" i="56"/>
  <c r="GV336" i="56" s="1"/>
  <c r="DZ336" i="56" a="1"/>
  <c r="DZ336" i="56" s="1"/>
  <c r="EF336" i="56"/>
  <c r="EG336" i="56" s="1"/>
  <c r="P20" i="56" a="1"/>
  <c r="P20" i="56" s="1"/>
  <c r="P341" i="56" a="1"/>
  <c r="P341" i="56" s="1"/>
  <c r="CU5" i="56"/>
  <c r="CY5" i="56" s="1"/>
  <c r="FZ5" i="56"/>
  <c r="DI5" i="56"/>
  <c r="GV5" i="56" s="1"/>
  <c r="EF5" i="56"/>
  <c r="EG5" i="56" s="1"/>
  <c r="DZ5" i="56" a="1"/>
  <c r="DZ5" i="56" s="1"/>
  <c r="BQ25" i="55" s="1" a="1"/>
  <c r="BQ25" i="55" s="1"/>
  <c r="FZ31" i="56"/>
  <c r="CU31" i="56"/>
  <c r="CY31" i="56" s="1"/>
  <c r="DI31" i="56"/>
  <c r="GV31" i="56" s="1"/>
  <c r="HA31" i="56" s="1"/>
  <c r="EF31" i="56"/>
  <c r="EG31" i="56" s="1"/>
  <c r="R31" i="56" s="1"/>
  <c r="DW31" i="56" a="1"/>
  <c r="DW31" i="56" s="1"/>
  <c r="DZ31" i="56" a="1"/>
  <c r="DZ31" i="56" s="1"/>
  <c r="HT164" i="56"/>
  <c r="GU164" i="56"/>
  <c r="HS164" i="56" s="1"/>
  <c r="GW164" i="56"/>
  <c r="GP164" i="56"/>
  <c r="GT164" i="56"/>
  <c r="P25" i="56" a="1"/>
  <c r="P25" i="56" s="1"/>
  <c r="P26" i="56" a="1"/>
  <c r="P26" i="56" s="1"/>
  <c r="HQ195" i="56" a="1"/>
  <c r="HQ195" i="56" s="1"/>
  <c r="HR195" i="56" s="1"/>
  <c r="HO195" i="56" a="1"/>
  <c r="HO195" i="56" s="1"/>
  <c r="HP195" i="56" s="1"/>
  <c r="HM195" i="56" a="1"/>
  <c r="HM195" i="56" s="1"/>
  <c r="HN195" i="56" s="1"/>
  <c r="HG195" i="56" a="1"/>
  <c r="HG195" i="56" s="1"/>
  <c r="HH195" i="56" s="1"/>
  <c r="HK195" i="56" a="1"/>
  <c r="HK195" i="56" s="1"/>
  <c r="HL195" i="56" s="1"/>
  <c r="HI195" i="56" a="1"/>
  <c r="HI195" i="56" s="1"/>
  <c r="HJ195" i="56" s="1"/>
  <c r="HT15" i="56"/>
  <c r="GW15" i="56"/>
  <c r="GU15" i="56"/>
  <c r="HS15" i="56" s="1"/>
  <c r="GT15" i="56"/>
  <c r="GP15" i="56"/>
  <c r="HO140" i="56" a="1"/>
  <c r="HO140" i="56" s="1"/>
  <c r="HP140" i="56" s="1"/>
  <c r="HQ140" i="56" a="1"/>
  <c r="HQ140" i="56" s="1"/>
  <c r="HR140" i="56" s="1"/>
  <c r="HI140" i="56" a="1"/>
  <c r="HI140" i="56" s="1"/>
  <c r="HJ140" i="56" s="1"/>
  <c r="HG140" i="56" a="1"/>
  <c r="HG140" i="56" s="1"/>
  <c r="HH140" i="56" s="1"/>
  <c r="HM140" i="56" a="1"/>
  <c r="HM140" i="56" s="1"/>
  <c r="HN140" i="56" s="1"/>
  <c r="HK140" i="56" a="1"/>
  <c r="HK140" i="56" s="1"/>
  <c r="HL140" i="56" s="1"/>
  <c r="GO42" i="56"/>
  <c r="GN42" i="56"/>
  <c r="IK42" i="56" s="1"/>
  <c r="GM43" i="56"/>
  <c r="P17" i="56" a="1"/>
  <c r="P17" i="56" s="1"/>
  <c r="P317" i="56" a="1"/>
  <c r="P317" i="56" s="1"/>
  <c r="GO142" i="56" l="1"/>
  <c r="GN142" i="56"/>
  <c r="IK142" i="56" s="1"/>
  <c r="GM143" i="56"/>
  <c r="HE142" i="56"/>
  <c r="HF142" i="56" s="1"/>
  <c r="GO197" i="56"/>
  <c r="GN197" i="56"/>
  <c r="IK197" i="56" s="1"/>
  <c r="GM198" i="56"/>
  <c r="HE197" i="56"/>
  <c r="HF197" i="56" s="1"/>
  <c r="HT16" i="56"/>
  <c r="GU16" i="56"/>
  <c r="HS16" i="56" s="1"/>
  <c r="GT16" i="56"/>
  <c r="GP16" i="56"/>
  <c r="GW16" i="56"/>
  <c r="IL31" i="56"/>
  <c r="O31" i="56"/>
  <c r="GN235" i="56"/>
  <c r="IK235" i="56" s="1"/>
  <c r="GO235" i="56"/>
  <c r="GM236" i="56"/>
  <c r="HE235" i="56"/>
  <c r="HF235" i="56" s="1"/>
  <c r="GO43" i="56"/>
  <c r="GN43" i="56"/>
  <c r="IK43" i="56" s="1"/>
  <c r="GM44" i="56"/>
  <c r="EJ9" i="56"/>
  <c r="BE14" i="55" a="1"/>
  <c r="BE14" i="55" s="1"/>
  <c r="FZ4" i="56"/>
  <c r="CU4" i="56"/>
  <c r="CY4" i="56" s="1"/>
  <c r="G4" i="56" s="1"/>
  <c r="CZ4" i="56" s="1"/>
  <c r="DA4" i="56" s="1"/>
  <c r="DI4" i="56"/>
  <c r="DZ4" i="56" a="1"/>
  <c r="DZ4" i="56" s="1"/>
  <c r="EF4" i="56"/>
  <c r="EG4" i="56" s="1"/>
  <c r="R4" i="56" s="1"/>
  <c r="HT63" i="56"/>
  <c r="GW63" i="56"/>
  <c r="GP63" i="56"/>
  <c r="GT63" i="56"/>
  <c r="GU63" i="56"/>
  <c r="HS63" i="56" s="1"/>
  <c r="FZ26" i="56"/>
  <c r="CU26" i="56"/>
  <c r="CY26" i="56" s="1"/>
  <c r="DI26" i="56"/>
  <c r="GV26" i="56" s="1"/>
  <c r="EF26" i="56"/>
  <c r="EG26" i="56" s="1"/>
  <c r="DZ26" i="56" a="1"/>
  <c r="DZ26" i="56" s="1"/>
  <c r="GH46" i="56"/>
  <c r="GI45" i="56"/>
  <c r="GJ45" i="56" s="1"/>
  <c r="HT112" i="56"/>
  <c r="GT112" i="56"/>
  <c r="GU112" i="56"/>
  <c r="HS112" i="56" s="1"/>
  <c r="GP112" i="56"/>
  <c r="GW112" i="56"/>
  <c r="FZ341" i="56"/>
  <c r="CU341" i="56"/>
  <c r="CY341" i="56" s="1"/>
  <c r="DI341" i="56"/>
  <c r="GV341" i="56" s="1"/>
  <c r="EF341" i="56"/>
  <c r="EG341" i="56" s="1"/>
  <c r="DZ341" i="56" a="1"/>
  <c r="DZ341" i="56" s="1"/>
  <c r="FZ325" i="56"/>
  <c r="CU325" i="56"/>
  <c r="CY325" i="56" s="1"/>
  <c r="DI325" i="56"/>
  <c r="GV325" i="56" s="1"/>
  <c r="DZ325" i="56" a="1"/>
  <c r="DZ325" i="56" s="1"/>
  <c r="EF325" i="56"/>
  <c r="EG325" i="56" s="1"/>
  <c r="EJ53" i="56"/>
  <c r="FX53" i="56" s="1"/>
  <c r="HT99" i="56"/>
  <c r="GW99" i="56"/>
  <c r="GT99" i="56"/>
  <c r="GU99" i="56"/>
  <c r="HS99" i="56" s="1"/>
  <c r="GP99" i="56"/>
  <c r="FZ20" i="56"/>
  <c r="CU20" i="56"/>
  <c r="CY20" i="56" s="1"/>
  <c r="DI20" i="56"/>
  <c r="GV20" i="56" s="1"/>
  <c r="EF20" i="56"/>
  <c r="EG20" i="56" s="1"/>
  <c r="DZ20" i="56" a="1"/>
  <c r="DZ20" i="56" s="1"/>
  <c r="BQ26" i="55" s="1" a="1"/>
  <c r="BQ26" i="55" s="1"/>
  <c r="FZ130" i="56"/>
  <c r="CU130" i="56"/>
  <c r="CY130" i="56" s="1"/>
  <c r="DI130" i="56"/>
  <c r="GV130" i="56" s="1"/>
  <c r="EF130" i="56"/>
  <c r="EG130" i="56" s="1"/>
  <c r="DZ130" i="56" a="1"/>
  <c r="DZ130" i="56" s="1"/>
  <c r="EJ8" i="56"/>
  <c r="BE13" i="55" a="1"/>
  <c r="BE13" i="55" s="1"/>
  <c r="HT234" i="56"/>
  <c r="GT234" i="56"/>
  <c r="GU234" i="56"/>
  <c r="HS234" i="56" s="1"/>
  <c r="GW234" i="56"/>
  <c r="GP234" i="56"/>
  <c r="FZ102" i="56"/>
  <c r="CU102" i="56"/>
  <c r="CY102" i="56" s="1"/>
  <c r="DI102" i="56"/>
  <c r="GV102" i="56" s="1"/>
  <c r="EF102" i="56"/>
  <c r="EG102" i="56" s="1"/>
  <c r="DZ102" i="56" a="1"/>
  <c r="DZ102" i="56" s="1"/>
  <c r="HQ112" i="56" a="1"/>
  <c r="HQ112" i="56" s="1"/>
  <c r="HR112" i="56" s="1"/>
  <c r="HO112" i="56" a="1"/>
  <c r="HO112" i="56" s="1"/>
  <c r="HP112" i="56" s="1"/>
  <c r="HK112" i="56" a="1"/>
  <c r="HK112" i="56" s="1"/>
  <c r="HL112" i="56" s="1"/>
  <c r="HI112" i="56" a="1"/>
  <c r="HI112" i="56" s="1"/>
  <c r="HJ112" i="56" s="1"/>
  <c r="HG112" i="56" a="1"/>
  <c r="HG112" i="56" s="1"/>
  <c r="HH112" i="56" s="1"/>
  <c r="HM112" i="56" a="1"/>
  <c r="HM112" i="56" s="1"/>
  <c r="HN112" i="56" s="1"/>
  <c r="FZ25" i="56"/>
  <c r="CU25" i="56"/>
  <c r="CY25" i="56" s="1"/>
  <c r="G25" i="56" s="1"/>
  <c r="CZ25" i="56" s="1"/>
  <c r="DA25" i="56" s="1"/>
  <c r="DI25" i="56"/>
  <c r="EJ88" i="56"/>
  <c r="FX88" i="56" s="1"/>
  <c r="HS352" i="56"/>
  <c r="HQ295" i="56" a="1"/>
  <c r="HQ295" i="56" s="1"/>
  <c r="HR295" i="56" s="1"/>
  <c r="HO295" i="56" a="1"/>
  <c r="HO295" i="56" s="1"/>
  <c r="HP295" i="56" s="1"/>
  <c r="HI295" i="56" a="1"/>
  <c r="HI295" i="56" s="1"/>
  <c r="HJ295" i="56" s="1"/>
  <c r="HK295" i="56" a="1"/>
  <c r="HK295" i="56" s="1"/>
  <c r="HL295" i="56" s="1"/>
  <c r="HM295" i="56" a="1"/>
  <c r="HM295" i="56" s="1"/>
  <c r="HN295" i="56" s="1"/>
  <c r="HG295" i="56" a="1"/>
  <c r="HG295" i="56" s="1"/>
  <c r="HH295" i="56" s="1"/>
  <c r="FZ18" i="56"/>
  <c r="CU18" i="56"/>
  <c r="CY18" i="56" s="1"/>
  <c r="DI18" i="56"/>
  <c r="GV18" i="56" s="1"/>
  <c r="EF18" i="56"/>
  <c r="EG18" i="56" s="1"/>
  <c r="DZ18" i="56" a="1"/>
  <c r="DZ18" i="56" s="1"/>
  <c r="BQ23" i="55" s="1" a="1"/>
  <c r="BQ23" i="55" s="1"/>
  <c r="GO296" i="56"/>
  <c r="GN296" i="56"/>
  <c r="IK296" i="56" s="1"/>
  <c r="GM297" i="56"/>
  <c r="HE296" i="56"/>
  <c r="HF296" i="56" s="1"/>
  <c r="EJ336" i="56"/>
  <c r="FX336" i="56" s="1"/>
  <c r="HK165" i="56" a="1"/>
  <c r="HK165" i="56" s="1"/>
  <c r="HL165" i="56" s="1"/>
  <c r="HQ165" i="56" a="1"/>
  <c r="HQ165" i="56" s="1"/>
  <c r="HR165" i="56" s="1"/>
  <c r="HM165" i="56" a="1"/>
  <c r="HM165" i="56" s="1"/>
  <c r="HN165" i="56" s="1"/>
  <c r="HO165" i="56" a="1"/>
  <c r="HO165" i="56" s="1"/>
  <c r="HP165" i="56" s="1"/>
  <c r="HI165" i="56" a="1"/>
  <c r="HI165" i="56" s="1"/>
  <c r="HJ165" i="56" s="1"/>
  <c r="HG165" i="56" a="1"/>
  <c r="HG165" i="56" s="1"/>
  <c r="HH165" i="56" s="1"/>
  <c r="HT295" i="56"/>
  <c r="GW295" i="56"/>
  <c r="GU295" i="56"/>
  <c r="HS295" i="56" s="1"/>
  <c r="GT295" i="56"/>
  <c r="GP295" i="56"/>
  <c r="HO16" i="56" a="1"/>
  <c r="HO16" i="56" s="1"/>
  <c r="HP16" i="56" s="1"/>
  <c r="HQ16" i="56" a="1"/>
  <c r="HQ16" i="56" s="1"/>
  <c r="HR16" i="56" s="1"/>
  <c r="HM16" i="56" a="1"/>
  <c r="HM16" i="56" s="1"/>
  <c r="HN16" i="56" s="1"/>
  <c r="HK16" i="56" a="1"/>
  <c r="HK16" i="56" s="1"/>
  <c r="HL16" i="56" s="1"/>
  <c r="HG16" i="56" a="1"/>
  <c r="HG16" i="56" s="1"/>
  <c r="HH16" i="56" s="1"/>
  <c r="HI16" i="56" a="1"/>
  <c r="HI16" i="56" s="1"/>
  <c r="HJ16" i="56" s="1"/>
  <c r="FZ10" i="56"/>
  <c r="CU10" i="56"/>
  <c r="CY10" i="56" s="1"/>
  <c r="DI10" i="56"/>
  <c r="GV10" i="56" s="1"/>
  <c r="DZ10" i="56" a="1"/>
  <c r="DZ10" i="56" s="1"/>
  <c r="BQ16" i="55" s="1" a="1"/>
  <c r="BQ16" i="55" s="1"/>
  <c r="EF10" i="56"/>
  <c r="EG10" i="56" s="1"/>
  <c r="FZ17" i="56"/>
  <c r="CU17" i="56"/>
  <c r="CY17" i="56" s="1"/>
  <c r="DI17" i="56"/>
  <c r="GV17" i="56" s="1"/>
  <c r="EF17" i="56"/>
  <c r="EG17" i="56" s="1"/>
  <c r="DZ17" i="56" a="1"/>
  <c r="DZ17" i="56" s="1"/>
  <c r="BQ22" i="55" s="1" a="1"/>
  <c r="BQ22" i="55" s="1"/>
  <c r="FZ224" i="56"/>
  <c r="CU224" i="56"/>
  <c r="CY224" i="56" s="1"/>
  <c r="DI224" i="56"/>
  <c r="GV224" i="56" s="1"/>
  <c r="EF224" i="56"/>
  <c r="EG224" i="56" s="1"/>
  <c r="R224" i="56" s="1"/>
  <c r="DZ224" i="56" a="1"/>
  <c r="DZ224" i="56" s="1"/>
  <c r="DW224" i="56" a="1"/>
  <c r="DW224" i="56" s="1"/>
  <c r="HT196" i="56"/>
  <c r="GU196" i="56"/>
  <c r="HS196" i="56" s="1"/>
  <c r="GT196" i="56"/>
  <c r="GW196" i="56"/>
  <c r="GP196" i="56"/>
  <c r="HM234" i="56" a="1"/>
  <c r="HM234" i="56" s="1"/>
  <c r="HN234" i="56" s="1"/>
  <c r="HQ234" i="56" a="1"/>
  <c r="HQ234" i="56" s="1"/>
  <c r="HR234" i="56" s="1"/>
  <c r="HO234" i="56" a="1"/>
  <c r="HO234" i="56" s="1"/>
  <c r="HP234" i="56" s="1"/>
  <c r="HI234" i="56" a="1"/>
  <c r="HI234" i="56" s="1"/>
  <c r="HJ234" i="56" s="1"/>
  <c r="HG234" i="56" a="1"/>
  <c r="HG234" i="56" s="1"/>
  <c r="HH234" i="56" s="1"/>
  <c r="HK234" i="56" a="1"/>
  <c r="HK234" i="56" s="1"/>
  <c r="HL234" i="56" s="1"/>
  <c r="FZ14" i="56"/>
  <c r="CU14" i="56"/>
  <c r="CY14" i="56" s="1"/>
  <c r="DI14" i="56"/>
  <c r="GV14" i="56" s="1"/>
  <c r="EF14" i="56"/>
  <c r="EG14" i="56" s="1"/>
  <c r="DZ14" i="56" a="1"/>
  <c r="DZ14" i="56" s="1"/>
  <c r="BQ19" i="55" s="1" a="1"/>
  <c r="BQ19" i="55" s="1"/>
  <c r="HO63" i="56" a="1"/>
  <c r="HO63" i="56" s="1"/>
  <c r="HP63" i="56" s="1"/>
  <c r="HQ63" i="56" a="1"/>
  <c r="HQ63" i="56" s="1"/>
  <c r="HR63" i="56" s="1"/>
  <c r="HK63" i="56" a="1"/>
  <c r="HK63" i="56" s="1"/>
  <c r="HL63" i="56" s="1"/>
  <c r="HG63" i="56" a="1"/>
  <c r="HG63" i="56" s="1"/>
  <c r="HH63" i="56" s="1"/>
  <c r="HM63" i="56" a="1"/>
  <c r="HM63" i="56" s="1"/>
  <c r="HN63" i="56" s="1"/>
  <c r="HI63" i="56" a="1"/>
  <c r="HI63" i="56" s="1"/>
  <c r="HJ63" i="56" s="1"/>
  <c r="EJ335" i="56"/>
  <c r="FX335" i="56" s="1"/>
  <c r="GN166" i="56"/>
  <c r="IK166" i="56" s="1"/>
  <c r="GO166" i="56"/>
  <c r="GM167" i="56"/>
  <c r="HE166" i="56"/>
  <c r="HF166" i="56" s="1"/>
  <c r="GO17" i="56"/>
  <c r="GN17" i="56"/>
  <c r="GM18" i="56"/>
  <c r="HE17" i="56"/>
  <c r="HF17" i="56" s="1"/>
  <c r="FZ317" i="56"/>
  <c r="CU317" i="56"/>
  <c r="CY317" i="56" s="1"/>
  <c r="DI317" i="56"/>
  <c r="GV317" i="56" s="1"/>
  <c r="EF317" i="56"/>
  <c r="EG317" i="56" s="1"/>
  <c r="DZ317" i="56" a="1"/>
  <c r="DZ317" i="56" s="1"/>
  <c r="HT141" i="56"/>
  <c r="GW141" i="56"/>
  <c r="GU141" i="56"/>
  <c r="HS141" i="56" s="1"/>
  <c r="GT141" i="56"/>
  <c r="GP141" i="56"/>
  <c r="BE12" i="55" a="1"/>
  <c r="BE12" i="55" s="1"/>
  <c r="EJ29" i="56"/>
  <c r="GN64" i="56"/>
  <c r="IK64" i="56" s="1"/>
  <c r="GO64" i="56"/>
  <c r="GM65" i="56"/>
  <c r="HE64" i="56"/>
  <c r="HF64" i="56" s="1"/>
  <c r="FZ3" i="56"/>
  <c r="CU3" i="56"/>
  <c r="DI3" i="56"/>
  <c r="DZ3" i="56" a="1"/>
  <c r="DZ3" i="56" s="1"/>
  <c r="EF3" i="56"/>
  <c r="EG3" i="56" s="1"/>
  <c r="R3" i="56" s="1"/>
  <c r="HT42" i="56"/>
  <c r="GT42" i="56"/>
  <c r="GU42" i="56"/>
  <c r="HS42" i="56" s="1"/>
  <c r="GW42" i="56"/>
  <c r="GP42" i="56"/>
  <c r="DB29" i="56" a="1"/>
  <c r="DB29" i="56" s="1"/>
  <c r="DD29" i="56" s="1"/>
  <c r="DE29" i="56"/>
  <c r="GY29" i="56" s="1"/>
  <c r="HB29" i="56"/>
  <c r="HC29" i="56" s="1"/>
  <c r="GV29" i="56"/>
  <c r="EJ5" i="56"/>
  <c r="BE25" i="55" a="1"/>
  <c r="BE25" i="55" s="1"/>
  <c r="HQ99" i="56" a="1"/>
  <c r="HQ99" i="56" s="1"/>
  <c r="HR99" i="56" s="1"/>
  <c r="HI99" i="56" a="1"/>
  <c r="HI99" i="56" s="1"/>
  <c r="HJ99" i="56" s="1"/>
  <c r="HO99" i="56" a="1"/>
  <c r="HO99" i="56" s="1"/>
  <c r="HP99" i="56" s="1"/>
  <c r="HG99" i="56" a="1"/>
  <c r="HG99" i="56" s="1"/>
  <c r="HH99" i="56" s="1"/>
  <c r="HK99" i="56" a="1"/>
  <c r="HK99" i="56" s="1"/>
  <c r="HL99" i="56" s="1"/>
  <c r="HM99" i="56" a="1"/>
  <c r="HM99" i="56" s="1"/>
  <c r="HN99" i="56" s="1"/>
  <c r="GO100" i="56"/>
  <c r="GN100" i="56"/>
  <c r="IK100" i="56" s="1"/>
  <c r="GM101" i="56"/>
  <c r="HE100" i="56"/>
  <c r="HF100" i="56" s="1"/>
  <c r="FZ7" i="56"/>
  <c r="CU7" i="56"/>
  <c r="CY7" i="56" s="1"/>
  <c r="DI7" i="56"/>
  <c r="GV7" i="56" s="1"/>
  <c r="EF7" i="56"/>
  <c r="EG7" i="56" s="1"/>
  <c r="DZ7" i="56" a="1"/>
  <c r="DZ7" i="56" s="1"/>
  <c r="BQ15" i="55" s="1" a="1"/>
  <c r="BQ15" i="55" s="1"/>
  <c r="GN113" i="56"/>
  <c r="IK113" i="56" s="1"/>
  <c r="GO113" i="56"/>
  <c r="GM114" i="56"/>
  <c r="HE113" i="56"/>
  <c r="HF113" i="56" s="1"/>
  <c r="HK141" i="56" a="1"/>
  <c r="HK141" i="56" s="1"/>
  <c r="HL141" i="56" s="1"/>
  <c r="HQ141" i="56" a="1"/>
  <c r="HQ141" i="56" s="1"/>
  <c r="HR141" i="56" s="1"/>
  <c r="HM141" i="56" a="1"/>
  <c r="HM141" i="56" s="1"/>
  <c r="HN141" i="56" s="1"/>
  <c r="HO141" i="56" a="1"/>
  <c r="HO141" i="56" s="1"/>
  <c r="HP141" i="56" s="1"/>
  <c r="HI141" i="56" a="1"/>
  <c r="HI141" i="56" s="1"/>
  <c r="HJ141" i="56" s="1"/>
  <c r="HG141" i="56" a="1"/>
  <c r="HG141" i="56" s="1"/>
  <c r="HH141" i="56" s="1"/>
  <c r="HT165" i="56"/>
  <c r="GW165" i="56"/>
  <c r="GU165" i="56"/>
  <c r="HS165" i="56" s="1"/>
  <c r="GP165" i="56"/>
  <c r="GT165" i="56"/>
  <c r="HO196" i="56" a="1"/>
  <c r="HO196" i="56" s="1"/>
  <c r="HP196" i="56" s="1"/>
  <c r="HQ196" i="56" a="1"/>
  <c r="HQ196" i="56" s="1"/>
  <c r="HR196" i="56" s="1"/>
  <c r="HK196" i="56" a="1"/>
  <c r="HK196" i="56" s="1"/>
  <c r="HL196" i="56" s="1"/>
  <c r="HM196" i="56" a="1"/>
  <c r="HM196" i="56" s="1"/>
  <c r="HN196" i="56" s="1"/>
  <c r="HG196" i="56" a="1"/>
  <c r="HG196" i="56" s="1"/>
  <c r="HH196" i="56" s="1"/>
  <c r="HI196" i="56" a="1"/>
  <c r="HI196" i="56" s="1"/>
  <c r="HJ196" i="56" s="1"/>
  <c r="BF16" i="10"/>
  <c r="BE22" i="55" l="1" a="1"/>
  <c r="BE22" i="55" s="1"/>
  <c r="EJ17" i="56"/>
  <c r="HT296" i="56"/>
  <c r="GU296" i="56"/>
  <c r="HS296" i="56" s="1"/>
  <c r="GW296" i="56"/>
  <c r="GT296" i="56"/>
  <c r="GP296" i="56"/>
  <c r="GN101" i="56"/>
  <c r="IK101" i="56" s="1"/>
  <c r="GO101" i="56"/>
  <c r="HE101" i="56"/>
  <c r="HF101" i="56" s="1"/>
  <c r="GQ29" i="56"/>
  <c r="FX29" i="56"/>
  <c r="DB4" i="56" a="1"/>
  <c r="DB4" i="56" s="1"/>
  <c r="DD4" i="56" s="1"/>
  <c r="DE4" i="56"/>
  <c r="GY4" i="56" s="1"/>
  <c r="HB4" i="56"/>
  <c r="HC4" i="56" s="1"/>
  <c r="GI46" i="56"/>
  <c r="GJ46" i="56" s="1"/>
  <c r="GH47" i="56"/>
  <c r="HM166" i="56" a="1"/>
  <c r="HM166" i="56" s="1"/>
  <c r="HN166" i="56" s="1"/>
  <c r="HQ166" i="56" a="1"/>
  <c r="HQ166" i="56" s="1"/>
  <c r="HR166" i="56" s="1"/>
  <c r="HO166" i="56" a="1"/>
  <c r="HO166" i="56" s="1"/>
  <c r="HP166" i="56" s="1"/>
  <c r="HK166" i="56" a="1"/>
  <c r="HK166" i="56" s="1"/>
  <c r="HL166" i="56" s="1"/>
  <c r="HI166" i="56" a="1"/>
  <c r="HI166" i="56" s="1"/>
  <c r="HJ166" i="56" s="1"/>
  <c r="HG166" i="56" a="1"/>
  <c r="HG166" i="56" s="1"/>
  <c r="HH166" i="56" s="1"/>
  <c r="GO44" i="56"/>
  <c r="GN44" i="56"/>
  <c r="IK44" i="56" s="1"/>
  <c r="GM45" i="56"/>
  <c r="Z3" i="40" a="1"/>
  <c r="Z3" i="40" s="1"/>
  <c r="HA224" i="56"/>
  <c r="HT43" i="56"/>
  <c r="GT43" i="56"/>
  <c r="GW43" i="56"/>
  <c r="GU43" i="56"/>
  <c r="HS43" i="56" s="1"/>
  <c r="GP43" i="56"/>
  <c r="HQ142" i="56" a="1"/>
  <c r="HQ142" i="56" s="1"/>
  <c r="HR142" i="56" s="1"/>
  <c r="HM142" i="56" a="1"/>
  <c r="HM142" i="56" s="1"/>
  <c r="HN142" i="56" s="1"/>
  <c r="HK142" i="56" a="1"/>
  <c r="HK142" i="56" s="1"/>
  <c r="HL142" i="56" s="1"/>
  <c r="HG142" i="56" a="1"/>
  <c r="HG142" i="56" s="1"/>
  <c r="HH142" i="56" s="1"/>
  <c r="HI142" i="56" a="1"/>
  <c r="HI142" i="56" s="1"/>
  <c r="HJ142" i="56" s="1"/>
  <c r="HO142" i="56" a="1"/>
  <c r="HO142" i="56" s="1"/>
  <c r="HP142" i="56" s="1"/>
  <c r="EJ102" i="56"/>
  <c r="FX102" i="56" s="1"/>
  <c r="DY29" i="56" a="1"/>
  <c r="DY29" i="56" s="1"/>
  <c r="GN18" i="56"/>
  <c r="IK18" i="56" s="1"/>
  <c r="GO18" i="56"/>
  <c r="GM19" i="56"/>
  <c r="HE18" i="56"/>
  <c r="HF18" i="56" s="1"/>
  <c r="IK17" i="56"/>
  <c r="EJ18" i="56"/>
  <c r="BE23" i="55" a="1"/>
  <c r="BE23" i="55" s="1"/>
  <c r="HT100" i="56"/>
  <c r="GU100" i="56"/>
  <c r="HS100" i="56" s="1"/>
  <c r="GP100" i="56"/>
  <c r="GW100" i="56"/>
  <c r="GT100" i="56"/>
  <c r="DB25" i="56" a="1"/>
  <c r="DB25" i="56" s="1"/>
  <c r="DD25" i="56" s="1"/>
  <c r="DE25" i="56"/>
  <c r="GY25" i="56" s="1"/>
  <c r="HB25" i="56"/>
  <c r="HC25" i="56" s="1"/>
  <c r="GQ9" i="56"/>
  <c r="FX9" i="56"/>
  <c r="HT113" i="56"/>
  <c r="GW113" i="56"/>
  <c r="GP113" i="56"/>
  <c r="GU113" i="56"/>
  <c r="HS113" i="56" s="1"/>
  <c r="GT113" i="56"/>
  <c r="EJ14" i="56"/>
  <c r="BE19" i="55" a="1"/>
  <c r="BE19" i="55" s="1"/>
  <c r="AO3" i="40" a="1"/>
  <c r="AO3" i="40" s="1"/>
  <c r="AA3" i="40" a="1"/>
  <c r="AA3" i="40" s="1"/>
  <c r="CY3" i="56"/>
  <c r="G3" i="56" s="1"/>
  <c r="CZ3" i="56" s="1"/>
  <c r="DA3" i="56" s="1"/>
  <c r="HM235" i="56" a="1"/>
  <c r="HM235" i="56" s="1"/>
  <c r="HN235" i="56" s="1"/>
  <c r="HO235" i="56" a="1"/>
  <c r="HO235" i="56" s="1"/>
  <c r="HP235" i="56" s="1"/>
  <c r="HQ235" i="56" a="1"/>
  <c r="HQ235" i="56" s="1"/>
  <c r="HR235" i="56" s="1"/>
  <c r="HI235" i="56" a="1"/>
  <c r="HI235" i="56" s="1"/>
  <c r="HJ235" i="56" s="1"/>
  <c r="HG235" i="56" a="1"/>
  <c r="HG235" i="56" s="1"/>
  <c r="HH235" i="56" s="1"/>
  <c r="HK235" i="56" a="1"/>
  <c r="HK235" i="56" s="1"/>
  <c r="HL235" i="56" s="1"/>
  <c r="GO143" i="56"/>
  <c r="GN143" i="56"/>
  <c r="IK143" i="56" s="1"/>
  <c r="GM144" i="56"/>
  <c r="HE143" i="56"/>
  <c r="HF143" i="56" s="1"/>
  <c r="HT64" i="56"/>
  <c r="GU64" i="56"/>
  <c r="HS64" i="56" s="1"/>
  <c r="GP64" i="56"/>
  <c r="GT64" i="56"/>
  <c r="GW64" i="56"/>
  <c r="HO100" i="56" a="1"/>
  <c r="HO100" i="56" s="1"/>
  <c r="HP100" i="56" s="1"/>
  <c r="HQ100" i="56" a="1"/>
  <c r="HQ100" i="56" s="1"/>
  <c r="HR100" i="56" s="1"/>
  <c r="HM100" i="56" a="1"/>
  <c r="HM100" i="56" s="1"/>
  <c r="HN100" i="56" s="1"/>
  <c r="HI100" i="56" a="1"/>
  <c r="HI100" i="56" s="1"/>
  <c r="HJ100" i="56" s="1"/>
  <c r="HK100" i="56" a="1"/>
  <c r="HK100" i="56" s="1"/>
  <c r="HL100" i="56" s="1"/>
  <c r="HG100" i="56" a="1"/>
  <c r="HG100" i="56" s="1"/>
  <c r="HH100" i="56" s="1"/>
  <c r="HQ17" i="56" a="1"/>
  <c r="HQ17" i="56" s="1"/>
  <c r="HR17" i="56" s="1"/>
  <c r="HO17" i="56" a="1"/>
  <c r="HO17" i="56" s="1"/>
  <c r="HP17" i="56" s="1"/>
  <c r="HM17" i="56" a="1"/>
  <c r="HM17" i="56" s="1"/>
  <c r="HN17" i="56" s="1"/>
  <c r="HI17" i="56" a="1"/>
  <c r="HI17" i="56" s="1"/>
  <c r="HJ17" i="56" s="1"/>
  <c r="HK17" i="56" a="1"/>
  <c r="HK17" i="56" s="1"/>
  <c r="HL17" i="56" s="1"/>
  <c r="HG17" i="56" a="1"/>
  <c r="HG17" i="56" s="1"/>
  <c r="HH17" i="56" s="1"/>
  <c r="HT17" i="56"/>
  <c r="GP17" i="56"/>
  <c r="GU17" i="56"/>
  <c r="HS17" i="56" s="1"/>
  <c r="GW17" i="56"/>
  <c r="BE16" i="55" a="1"/>
  <c r="BE16" i="55" s="1"/>
  <c r="EJ10" i="56"/>
  <c r="GN198" i="56"/>
  <c r="IK198" i="56" s="1"/>
  <c r="GO198" i="56"/>
  <c r="GM199" i="56"/>
  <c r="HE198" i="56"/>
  <c r="HF198" i="56" s="1"/>
  <c r="GQ8" i="56"/>
  <c r="FX8" i="56"/>
  <c r="U3" i="40" a="1"/>
  <c r="U3" i="40" s="1"/>
  <c r="HQ296" i="56" a="1"/>
  <c r="HQ296" i="56" s="1"/>
  <c r="HR296" i="56" s="1"/>
  <c r="HM296" i="56" a="1"/>
  <c r="HM296" i="56" s="1"/>
  <c r="HN296" i="56" s="1"/>
  <c r="HK296" i="56" a="1"/>
  <c r="HK296" i="56" s="1"/>
  <c r="HL296" i="56" s="1"/>
  <c r="HI296" i="56" a="1"/>
  <c r="HI296" i="56" s="1"/>
  <c r="HJ296" i="56" s="1"/>
  <c r="HG296" i="56" a="1"/>
  <c r="HG296" i="56" s="1"/>
  <c r="HH296" i="56" s="1"/>
  <c r="HO296" i="56" a="1"/>
  <c r="HO296" i="56" s="1"/>
  <c r="HP296" i="56" s="1"/>
  <c r="GN236" i="56"/>
  <c r="IK236" i="56" s="1"/>
  <c r="GO236" i="56"/>
  <c r="GM237" i="56"/>
  <c r="HE236" i="56"/>
  <c r="HF236" i="56" s="1"/>
  <c r="GN65" i="56"/>
  <c r="IK65" i="56" s="1"/>
  <c r="GO65" i="56"/>
  <c r="GM66" i="56"/>
  <c r="HE65" i="56"/>
  <c r="HF65" i="56" s="1"/>
  <c r="GN167" i="56"/>
  <c r="IK167" i="56" s="1"/>
  <c r="GO167" i="56"/>
  <c r="GM168" i="56"/>
  <c r="HE167" i="56"/>
  <c r="HF167" i="56" s="1"/>
  <c r="HQ113" i="56" a="1"/>
  <c r="HQ113" i="56" s="1"/>
  <c r="HR113" i="56" s="1"/>
  <c r="HK113" i="56" a="1"/>
  <c r="HK113" i="56" s="1"/>
  <c r="HL113" i="56" s="1"/>
  <c r="HO113" i="56" a="1"/>
  <c r="HO113" i="56" s="1"/>
  <c r="HP113" i="56" s="1"/>
  <c r="HM113" i="56" a="1"/>
  <c r="HM113" i="56" s="1"/>
  <c r="HN113" i="56" s="1"/>
  <c r="HG113" i="56" a="1"/>
  <c r="HG113" i="56" s="1"/>
  <c r="HH113" i="56" s="1"/>
  <c r="HI113" i="56" a="1"/>
  <c r="HI113" i="56" s="1"/>
  <c r="HJ113" i="56" s="1"/>
  <c r="HT166" i="56"/>
  <c r="GT166" i="56"/>
  <c r="GW166" i="56"/>
  <c r="GP166" i="56"/>
  <c r="GU166" i="56"/>
  <c r="HS166" i="56" s="1"/>
  <c r="EJ20" i="56"/>
  <c r="BE26" i="55" a="1"/>
  <c r="BE26" i="55" s="1"/>
  <c r="HK197" i="56" a="1"/>
  <c r="HK197" i="56" s="1"/>
  <c r="HL197" i="56" s="1"/>
  <c r="HO197" i="56" a="1"/>
  <c r="HO197" i="56" s="1"/>
  <c r="HP197" i="56" s="1"/>
  <c r="HG197" i="56" a="1"/>
  <c r="HG197" i="56" s="1"/>
  <c r="HH197" i="56" s="1"/>
  <c r="HM197" i="56" a="1"/>
  <c r="HM197" i="56" s="1"/>
  <c r="HN197" i="56" s="1"/>
  <c r="HQ197" i="56" a="1"/>
  <c r="HQ197" i="56" s="1"/>
  <c r="HR197" i="56" s="1"/>
  <c r="HI197" i="56" a="1"/>
  <c r="HI197" i="56" s="1"/>
  <c r="HJ197" i="56" s="1"/>
  <c r="GO114" i="56"/>
  <c r="GN114" i="56"/>
  <c r="IK114" i="56" s="1"/>
  <c r="GM115" i="56"/>
  <c r="HE114" i="56"/>
  <c r="HF114" i="56" s="1"/>
  <c r="GW197" i="56"/>
  <c r="HT197" i="56"/>
  <c r="GU197" i="56"/>
  <c r="HS197" i="56" s="1"/>
  <c r="GP197" i="56"/>
  <c r="GT197" i="56"/>
  <c r="EJ7" i="56"/>
  <c r="BE15" i="55" a="1"/>
  <c r="BE15" i="55" s="1"/>
  <c r="FX5" i="56"/>
  <c r="GQ5" i="56"/>
  <c r="HQ64" i="56" a="1"/>
  <c r="HQ64" i="56" s="1"/>
  <c r="HR64" i="56" s="1"/>
  <c r="HO64" i="56" a="1"/>
  <c r="HO64" i="56" s="1"/>
  <c r="HP64" i="56" s="1"/>
  <c r="HM64" i="56" a="1"/>
  <c r="HM64" i="56" s="1"/>
  <c r="HN64" i="56" s="1"/>
  <c r="HI64" i="56" a="1"/>
  <c r="HI64" i="56" s="1"/>
  <c r="HJ64" i="56" s="1"/>
  <c r="HG64" i="56" a="1"/>
  <c r="HG64" i="56" s="1"/>
  <c r="HH64" i="56" s="1"/>
  <c r="HK64" i="56" a="1"/>
  <c r="HK64" i="56" s="1"/>
  <c r="HL64" i="56" s="1"/>
  <c r="GO297" i="56"/>
  <c r="GN297" i="56"/>
  <c r="IK297" i="56" s="1"/>
  <c r="GM298" i="56"/>
  <c r="HE297" i="56"/>
  <c r="HF297" i="56" s="1"/>
  <c r="HT235" i="56"/>
  <c r="GT235" i="56"/>
  <c r="GW235" i="56"/>
  <c r="GP235" i="56"/>
  <c r="GU235" i="56"/>
  <c r="HS235" i="56" s="1"/>
  <c r="HT142" i="56"/>
  <c r="GU142" i="56"/>
  <c r="HS142" i="56" s="1"/>
  <c r="GT142" i="56"/>
  <c r="GW142" i="56"/>
  <c r="GP142" i="56"/>
  <c r="GV4" i="56" l="1"/>
  <c r="HQ167" i="56" a="1"/>
  <c r="HQ167" i="56" s="1"/>
  <c r="HR167" i="56" s="1"/>
  <c r="HO167" i="56" a="1"/>
  <c r="HO167" i="56" s="1"/>
  <c r="HP167" i="56" s="1"/>
  <c r="HI167" i="56" a="1"/>
  <c r="HI167" i="56" s="1"/>
  <c r="HJ167" i="56" s="1"/>
  <c r="HM167" i="56" a="1"/>
  <c r="HM167" i="56" s="1"/>
  <c r="HN167" i="56" s="1"/>
  <c r="HG167" i="56" a="1"/>
  <c r="HG167" i="56" s="1"/>
  <c r="HH167" i="56" s="1"/>
  <c r="HK167" i="56" a="1"/>
  <c r="HK167" i="56" s="1"/>
  <c r="HL167" i="56" s="1"/>
  <c r="HQ297" i="56" a="1"/>
  <c r="HQ297" i="56" s="1"/>
  <c r="HR297" i="56" s="1"/>
  <c r="HO297" i="56" a="1"/>
  <c r="HO297" i="56" s="1"/>
  <c r="HP297" i="56" s="1"/>
  <c r="HM297" i="56" a="1"/>
  <c r="HM297" i="56" s="1"/>
  <c r="HN297" i="56" s="1"/>
  <c r="HG297" i="56" a="1"/>
  <c r="HG297" i="56" s="1"/>
  <c r="HH297" i="56" s="1"/>
  <c r="HK297" i="56" a="1"/>
  <c r="HK297" i="56" s="1"/>
  <c r="HL297" i="56" s="1"/>
  <c r="HI297" i="56" a="1"/>
  <c r="HI297" i="56" s="1"/>
  <c r="HJ297" i="56" s="1"/>
  <c r="GQ10" i="56"/>
  <c r="FX10" i="56"/>
  <c r="IH9" i="56"/>
  <c r="IN9" i="56" s="1"/>
  <c r="IO9" i="56" s="1"/>
  <c r="GT9" i="56"/>
  <c r="HT101" i="56"/>
  <c r="GW101" i="56"/>
  <c r="GU101" i="56"/>
  <c r="HS101" i="56" s="1"/>
  <c r="GP101" i="56"/>
  <c r="GT101" i="56"/>
  <c r="HM114" i="56" a="1"/>
  <c r="HM114" i="56" s="1"/>
  <c r="HN114" i="56" s="1"/>
  <c r="HQ114" i="56" a="1"/>
  <c r="HQ114" i="56" s="1"/>
  <c r="HR114" i="56" s="1"/>
  <c r="HO114" i="56" a="1"/>
  <c r="HO114" i="56" s="1"/>
  <c r="HP114" i="56" s="1"/>
  <c r="HK114" i="56" a="1"/>
  <c r="HK114" i="56" s="1"/>
  <c r="HL114" i="56" s="1"/>
  <c r="HI114" i="56" a="1"/>
  <c r="HI114" i="56" s="1"/>
  <c r="HJ114" i="56" s="1"/>
  <c r="HG114" i="56" a="1"/>
  <c r="HG114" i="56" s="1"/>
  <c r="HH114" i="56" s="1"/>
  <c r="ID3" i="56"/>
  <c r="ID5" i="56" s="1"/>
  <c r="DB3" i="56" a="1"/>
  <c r="DB3" i="56" s="1"/>
  <c r="H3" i="40" a="1"/>
  <c r="H3" i="40" s="1"/>
  <c r="DE3" i="56"/>
  <c r="GY3" i="56" s="1"/>
  <c r="HB3" i="56"/>
  <c r="HC3" i="56" s="1"/>
  <c r="ID114" i="56"/>
  <c r="ID302" i="56"/>
  <c r="ID12" i="56"/>
  <c r="ID168" i="56"/>
  <c r="ID344" i="56"/>
  <c r="ID316" i="56"/>
  <c r="ID184" i="56"/>
  <c r="ID335" i="56"/>
  <c r="ID223" i="56"/>
  <c r="ID347" i="56"/>
  <c r="ID288" i="56"/>
  <c r="ID26" i="56"/>
  <c r="ID106" i="56"/>
  <c r="ID89" i="56"/>
  <c r="ID293" i="56"/>
  <c r="ID76" i="56"/>
  <c r="ID174" i="56"/>
  <c r="ID69" i="56"/>
  <c r="ID222" i="56"/>
  <c r="ID78" i="56"/>
  <c r="ID71" i="56"/>
  <c r="ID329" i="56"/>
  <c r="ID221" i="56"/>
  <c r="ID120" i="56"/>
  <c r="ID101" i="56"/>
  <c r="ID321" i="56"/>
  <c r="ID170" i="56"/>
  <c r="ID90" i="56"/>
  <c r="ID108" i="56"/>
  <c r="ID119" i="56"/>
  <c r="ID334" i="56"/>
  <c r="ID297" i="56"/>
  <c r="ID350" i="56"/>
  <c r="ID22" i="56"/>
  <c r="ID115" i="56"/>
  <c r="ID98" i="56"/>
  <c r="ID122" i="56"/>
  <c r="ID313" i="56"/>
  <c r="ID107" i="56"/>
  <c r="ID154" i="56"/>
  <c r="ID314" i="56"/>
  <c r="ID58" i="56"/>
  <c r="ID318" i="56"/>
  <c r="ID173" i="56"/>
  <c r="ID295" i="56"/>
  <c r="ID175" i="56"/>
  <c r="ID102" i="56"/>
  <c r="ID346" i="56"/>
  <c r="ID172" i="56"/>
  <c r="ID111" i="56"/>
  <c r="ID287" i="56"/>
  <c r="ID180" i="56"/>
  <c r="ID351" i="56"/>
  <c r="ID339" i="56"/>
  <c r="ID157" i="56"/>
  <c r="ID79" i="56"/>
  <c r="ID31" i="56"/>
  <c r="ID81" i="56"/>
  <c r="ID165" i="56"/>
  <c r="ID84" i="56"/>
  <c r="ID191" i="56"/>
  <c r="ID296" i="56"/>
  <c r="ID104" i="56"/>
  <c r="ID322" i="56"/>
  <c r="ID319" i="56"/>
  <c r="ID63" i="56"/>
  <c r="ID160" i="56"/>
  <c r="ID298" i="56"/>
  <c r="ID315" i="56"/>
  <c r="ID300" i="56"/>
  <c r="ID87" i="56"/>
  <c r="ID325" i="56"/>
  <c r="ID60" i="56"/>
  <c r="ID159" i="56"/>
  <c r="ID338" i="56"/>
  <c r="ID128" i="56"/>
  <c r="ID294" i="56"/>
  <c r="ID74" i="56"/>
  <c r="ID16" i="56"/>
  <c r="ID112" i="56"/>
  <c r="ID96" i="56"/>
  <c r="ID303" i="56"/>
  <c r="ID123" i="56"/>
  <c r="ID62" i="56"/>
  <c r="ID177" i="56"/>
  <c r="ID331" i="56"/>
  <c r="ID86" i="56"/>
  <c r="ID333" i="56"/>
  <c r="ID75" i="56"/>
  <c r="ID341" i="56"/>
  <c r="ID283" i="56"/>
  <c r="ID349" i="56"/>
  <c r="ID121" i="56"/>
  <c r="ID220" i="56"/>
  <c r="ID109" i="56"/>
  <c r="ID305" i="56"/>
  <c r="ID285" i="56"/>
  <c r="ID299" i="56"/>
  <c r="ID156" i="56"/>
  <c r="ID66" i="56"/>
  <c r="ID308" i="56"/>
  <c r="ID59" i="56"/>
  <c r="ID93" i="56"/>
  <c r="ID95" i="56"/>
  <c r="ID85" i="56"/>
  <c r="ID164" i="56"/>
  <c r="ID99" i="56"/>
  <c r="ID15" i="56"/>
  <c r="ID183" i="56"/>
  <c r="ID6" i="56"/>
  <c r="ID130" i="56"/>
  <c r="ID70" i="56"/>
  <c r="ID65" i="56"/>
  <c r="ID304" i="56"/>
  <c r="ID116" i="56"/>
  <c r="ID129" i="56"/>
  <c r="ID328" i="56"/>
  <c r="ID340" i="56"/>
  <c r="ID236" i="56"/>
  <c r="ID117" i="56"/>
  <c r="ID42" i="56"/>
  <c r="ID46" i="56"/>
  <c r="ID215" i="56"/>
  <c r="ID118" i="56"/>
  <c r="ID138" i="56"/>
  <c r="ID161" i="56"/>
  <c r="ID61" i="56"/>
  <c r="ID144" i="56"/>
  <c r="ID50" i="56"/>
  <c r="ID94" i="56"/>
  <c r="ID40" i="56"/>
  <c r="ID137" i="56"/>
  <c r="ID301" i="56"/>
  <c r="ID323" i="56"/>
  <c r="ID279" i="56"/>
  <c r="ID352" i="56"/>
  <c r="ID151" i="56"/>
  <c r="ID124" i="56"/>
  <c r="ID77" i="56"/>
  <c r="ID80" i="56"/>
  <c r="ID88" i="56"/>
  <c r="ID167" i="56"/>
  <c r="ID250" i="56"/>
  <c r="ID253" i="56"/>
  <c r="ID263" i="56"/>
  <c r="ID345" i="56"/>
  <c r="ID125" i="56"/>
  <c r="ID19" i="56"/>
  <c r="ID310" i="56"/>
  <c r="ID100" i="56"/>
  <c r="ID281" i="56"/>
  <c r="ID187" i="56"/>
  <c r="ID231" i="56"/>
  <c r="ID178" i="56"/>
  <c r="ID132" i="56"/>
  <c r="ID38" i="56"/>
  <c r="ID44" i="56"/>
  <c r="ID309" i="56"/>
  <c r="ID209" i="56"/>
  <c r="ID217" i="56"/>
  <c r="ID275" i="56"/>
  <c r="ID145" i="56"/>
  <c r="ID110" i="56"/>
  <c r="ID269" i="56"/>
  <c r="ID92" i="56"/>
  <c r="ID306" i="56"/>
  <c r="ID73" i="56"/>
  <c r="ID97" i="56"/>
  <c r="ID317" i="56"/>
  <c r="ID311" i="56"/>
  <c r="ID141" i="56"/>
  <c r="ID91" i="56"/>
  <c r="ID171" i="56"/>
  <c r="ID131" i="56"/>
  <c r="ID148" i="56"/>
  <c r="ID67" i="56"/>
  <c r="ID246" i="56"/>
  <c r="ID197" i="56"/>
  <c r="ID149" i="56"/>
  <c r="ID162" i="56"/>
  <c r="ID307" i="56"/>
  <c r="ID49" i="56"/>
  <c r="ID260" i="56"/>
  <c r="ID55" i="56"/>
  <c r="ID255" i="56"/>
  <c r="ID179" i="56"/>
  <c r="ID181" i="56"/>
  <c r="ID252" i="56"/>
  <c r="ID203" i="56"/>
  <c r="ID126" i="56"/>
  <c r="ID292" i="56"/>
  <c r="ID235" i="56"/>
  <c r="ID240" i="56"/>
  <c r="ID261" i="56"/>
  <c r="ID254" i="56"/>
  <c r="ID336" i="56"/>
  <c r="ID204" i="56"/>
  <c r="ID54" i="56"/>
  <c r="ID213" i="56"/>
  <c r="ID291" i="56"/>
  <c r="ID82" i="56"/>
  <c r="ID210" i="56"/>
  <c r="ID57" i="56"/>
  <c r="ID227" i="56"/>
  <c r="ID185" i="56"/>
  <c r="ID237" i="56"/>
  <c r="ID103" i="56"/>
  <c r="ID327" i="56"/>
  <c r="ID324" i="56"/>
  <c r="ID337" i="56"/>
  <c r="ID244" i="56"/>
  <c r="ID193" i="56"/>
  <c r="ID166" i="56"/>
  <c r="ID198" i="56"/>
  <c r="ID152" i="56"/>
  <c r="ID212" i="56"/>
  <c r="ID169" i="56"/>
  <c r="ID320" i="56"/>
  <c r="ID27" i="56"/>
  <c r="ID135" i="56"/>
  <c r="ID182" i="56"/>
  <c r="ID105" i="56"/>
  <c r="ID225" i="56"/>
  <c r="ID276" i="56"/>
  <c r="ID330" i="56"/>
  <c r="ID286" i="56"/>
  <c r="ID188" i="56"/>
  <c r="ID35" i="56"/>
  <c r="ID64" i="56"/>
  <c r="ID241" i="56"/>
  <c r="ID251" i="56"/>
  <c r="ID32" i="56"/>
  <c r="ID271" i="56"/>
  <c r="ID146" i="56"/>
  <c r="ID267" i="56"/>
  <c r="ID228" i="56"/>
  <c r="ID163" i="56"/>
  <c r="ID136" i="56"/>
  <c r="ID43" i="56"/>
  <c r="ID248" i="56"/>
  <c r="ID229" i="56"/>
  <c r="ID289" i="56"/>
  <c r="ID284" i="56"/>
  <c r="ID312" i="56"/>
  <c r="ID56" i="56"/>
  <c r="ID224" i="56"/>
  <c r="ID196" i="56"/>
  <c r="ID348" i="56"/>
  <c r="ID194" i="56"/>
  <c r="ID199" i="56"/>
  <c r="ID232" i="56"/>
  <c r="ID45" i="56"/>
  <c r="ID133" i="56"/>
  <c r="ID72" i="56"/>
  <c r="ID150" i="56"/>
  <c r="ID48" i="56"/>
  <c r="ID332" i="56"/>
  <c r="ID37" i="56"/>
  <c r="ID249" i="56"/>
  <c r="ID158" i="56"/>
  <c r="ID41" i="56"/>
  <c r="ID277" i="56"/>
  <c r="ID326" i="56"/>
  <c r="ID68" i="56"/>
  <c r="ID83" i="56"/>
  <c r="ID113" i="56"/>
  <c r="ID290" i="56"/>
  <c r="ID192" i="56"/>
  <c r="ID176" i="56"/>
  <c r="ID242" i="56"/>
  <c r="ID243" i="56"/>
  <c r="ID266" i="56"/>
  <c r="ID238" i="56"/>
  <c r="ID189" i="56"/>
  <c r="ID257" i="56"/>
  <c r="ID282" i="56"/>
  <c r="ID264" i="56"/>
  <c r="ID265" i="56"/>
  <c r="ID30" i="56"/>
  <c r="ID245" i="56"/>
  <c r="ID278" i="56"/>
  <c r="ID39" i="56"/>
  <c r="ID153" i="56"/>
  <c r="ID186" i="56"/>
  <c r="ID342" i="56"/>
  <c r="ID205" i="56"/>
  <c r="ID268" i="56"/>
  <c r="ID214" i="56"/>
  <c r="ID200" i="56"/>
  <c r="ID272" i="56"/>
  <c r="ID36" i="56"/>
  <c r="ID127" i="56"/>
  <c r="ID218" i="56"/>
  <c r="ID47" i="56"/>
  <c r="ID190" i="56"/>
  <c r="ID143" i="56"/>
  <c r="ID219" i="56"/>
  <c r="ID139" i="56"/>
  <c r="ID140" i="56"/>
  <c r="ID259" i="56"/>
  <c r="ID206" i="56"/>
  <c r="ID134" i="56"/>
  <c r="ID28" i="56"/>
  <c r="ID273" i="56"/>
  <c r="ID211" i="56"/>
  <c r="ID247" i="56"/>
  <c r="ID142" i="56"/>
  <c r="ID52" i="56"/>
  <c r="ID256" i="56"/>
  <c r="ID226" i="56"/>
  <c r="ID258" i="56"/>
  <c r="ID34" i="56"/>
  <c r="ID343" i="56"/>
  <c r="ID239" i="56"/>
  <c r="ID147" i="56"/>
  <c r="ID262" i="56"/>
  <c r="ID270" i="56"/>
  <c r="ID230" i="56"/>
  <c r="ID195" i="56"/>
  <c r="ID207" i="56"/>
  <c r="ID33" i="56"/>
  <c r="ID233" i="56"/>
  <c r="ID208" i="56"/>
  <c r="ID216" i="56"/>
  <c r="ID201" i="56"/>
  <c r="ID202" i="56"/>
  <c r="ID280" i="56"/>
  <c r="ID51" i="56"/>
  <c r="ID29" i="56"/>
  <c r="GO19" i="56"/>
  <c r="GN19" i="56"/>
  <c r="GM20" i="56"/>
  <c r="HE19" i="56"/>
  <c r="HF19" i="56" s="1"/>
  <c r="GN199" i="56"/>
  <c r="IK199" i="56" s="1"/>
  <c r="GO199" i="56"/>
  <c r="GM200" i="56"/>
  <c r="HE199" i="56"/>
  <c r="HF199" i="56" s="1"/>
  <c r="IL224" i="56"/>
  <c r="O224" i="56"/>
  <c r="GQ17" i="56"/>
  <c r="FX17" i="56"/>
  <c r="GQ18" i="56"/>
  <c r="GT18" i="56" s="1"/>
  <c r="FX18" i="56"/>
  <c r="HM18" i="56" a="1"/>
  <c r="HM18" i="56" s="1"/>
  <c r="HN18" i="56" s="1"/>
  <c r="HO18" i="56" a="1"/>
  <c r="HO18" i="56" s="1"/>
  <c r="HP18" i="56" s="1"/>
  <c r="HK18" i="56" a="1"/>
  <c r="HK18" i="56" s="1"/>
  <c r="HL18" i="56" s="1"/>
  <c r="HQ18" i="56" a="1"/>
  <c r="HQ18" i="56" s="1"/>
  <c r="HR18" i="56" s="1"/>
  <c r="HI18" i="56" a="1"/>
  <c r="HI18" i="56" s="1"/>
  <c r="HJ18" i="56" s="1"/>
  <c r="HG18" i="56" a="1"/>
  <c r="HG18" i="56" s="1"/>
  <c r="HH18" i="56" s="1"/>
  <c r="HT18" i="56"/>
  <c r="GP18" i="56"/>
  <c r="GW18" i="56"/>
  <c r="GU18" i="56"/>
  <c r="GH48" i="56"/>
  <c r="GI47" i="56"/>
  <c r="GJ47" i="56" s="1"/>
  <c r="DW25" i="56" a="1"/>
  <c r="DW25" i="56" s="1"/>
  <c r="K25" i="56" s="1"/>
  <c r="DX25" i="56" s="1"/>
  <c r="DY25" i="56" a="1"/>
  <c r="DY25" i="56" s="1"/>
  <c r="HT114" i="56"/>
  <c r="GP114" i="56"/>
  <c r="GW114" i="56"/>
  <c r="GU114" i="56"/>
  <c r="HS114" i="56" s="1"/>
  <c r="GT114" i="56"/>
  <c r="EA29" i="56"/>
  <c r="BS12" i="55" s="1" a="1"/>
  <c r="BS12" i="55" s="1"/>
  <c r="DZ29" i="56" a="1"/>
  <c r="DZ29" i="56" s="1"/>
  <c r="BQ12" i="55" s="1" a="1"/>
  <c r="BQ12" i="55" s="1"/>
  <c r="HM236" i="56" a="1"/>
  <c r="HM236" i="56" s="1"/>
  <c r="HN236" i="56" s="1"/>
  <c r="HQ236" i="56" a="1"/>
  <c r="HQ236" i="56" s="1"/>
  <c r="HR236" i="56" s="1"/>
  <c r="HO236" i="56" a="1"/>
  <c r="HO236" i="56" s="1"/>
  <c r="HP236" i="56" s="1"/>
  <c r="HI236" i="56" a="1"/>
  <c r="HI236" i="56" s="1"/>
  <c r="HJ236" i="56" s="1"/>
  <c r="HK236" i="56" a="1"/>
  <c r="HK236" i="56" s="1"/>
  <c r="HL236" i="56" s="1"/>
  <c r="HG236" i="56" a="1"/>
  <c r="HG236" i="56" s="1"/>
  <c r="HH236" i="56" s="1"/>
  <c r="HO143" i="56" a="1"/>
  <c r="HO143" i="56" s="1"/>
  <c r="HP143" i="56" s="1"/>
  <c r="HQ143" i="56" a="1"/>
  <c r="HQ143" i="56" s="1"/>
  <c r="HR143" i="56" s="1"/>
  <c r="HM143" i="56" a="1"/>
  <c r="HM143" i="56" s="1"/>
  <c r="HN143" i="56" s="1"/>
  <c r="HG143" i="56" a="1"/>
  <c r="HG143" i="56" s="1"/>
  <c r="HH143" i="56" s="1"/>
  <c r="HI143" i="56" a="1"/>
  <c r="HI143" i="56" s="1"/>
  <c r="HJ143" i="56" s="1"/>
  <c r="HK143" i="56" a="1"/>
  <c r="HK143" i="56" s="1"/>
  <c r="HL143" i="56" s="1"/>
  <c r="HT44" i="56"/>
  <c r="GW44" i="56"/>
  <c r="GU44" i="56"/>
  <c r="HS44" i="56" s="1"/>
  <c r="GT44" i="56"/>
  <c r="GP44" i="56"/>
  <c r="GO168" i="56"/>
  <c r="GN168" i="56"/>
  <c r="IK168" i="56" s="1"/>
  <c r="GM169" i="56"/>
  <c r="HE168" i="56"/>
  <c r="HF168" i="56" s="1"/>
  <c r="IH29" i="56"/>
  <c r="GR29" i="56"/>
  <c r="N29" i="56" s="1"/>
  <c r="GS29" i="56" s="1"/>
  <c r="GR30" i="56"/>
  <c r="N30" i="56" s="1"/>
  <c r="GS30" i="56" s="1"/>
  <c r="GT29" i="56"/>
  <c r="HQ101" i="56" a="1"/>
  <c r="HQ101" i="56" s="1"/>
  <c r="HR101" i="56" s="1"/>
  <c r="HK101" i="56" a="1"/>
  <c r="HK101" i="56" s="1"/>
  <c r="HL101" i="56" s="1"/>
  <c r="HO101" i="56" a="1"/>
  <c r="HO101" i="56" s="1"/>
  <c r="HP101" i="56" s="1"/>
  <c r="HI101" i="56" a="1"/>
  <c r="HI101" i="56" s="1"/>
  <c r="HJ101" i="56" s="1"/>
  <c r="HG101" i="56" a="1"/>
  <c r="HG101" i="56" s="1"/>
  <c r="HH101" i="56" s="1"/>
  <c r="HM101" i="56" a="1"/>
  <c r="HM101" i="56" s="1"/>
  <c r="HN101" i="56" s="1"/>
  <c r="HT297" i="56"/>
  <c r="GU297" i="56"/>
  <c r="HS297" i="56" s="1"/>
  <c r="GT297" i="56"/>
  <c r="GP297" i="56"/>
  <c r="GW297" i="56"/>
  <c r="GO115" i="56"/>
  <c r="GN115" i="56"/>
  <c r="IK115" i="56" s="1"/>
  <c r="GM116" i="56"/>
  <c r="HE115" i="56"/>
  <c r="HF115" i="56" s="1"/>
  <c r="GO66" i="56"/>
  <c r="GN66" i="56"/>
  <c r="IK66" i="56" s="1"/>
  <c r="GM67" i="56"/>
  <c r="HE66" i="56"/>
  <c r="HF66" i="56" s="1"/>
  <c r="IH8" i="56"/>
  <c r="IN8" i="56" s="1"/>
  <c r="IO8" i="56" s="1"/>
  <c r="GR8" i="56"/>
  <c r="N8" i="56" s="1"/>
  <c r="GS8" i="56" s="1"/>
  <c r="GT8" i="56"/>
  <c r="ID25" i="56"/>
  <c r="HT198" i="56"/>
  <c r="GU198" i="56"/>
  <c r="HS198" i="56" s="1"/>
  <c r="GT198" i="56"/>
  <c r="GP198" i="56"/>
  <c r="GW198" i="56"/>
  <c r="FX14" i="56"/>
  <c r="GQ14" i="56"/>
  <c r="GN237" i="56"/>
  <c r="IK237" i="56" s="1"/>
  <c r="GO237" i="56"/>
  <c r="GM238" i="56"/>
  <c r="HE237" i="56"/>
  <c r="HF237" i="56" s="1"/>
  <c r="GN144" i="56"/>
  <c r="IK144" i="56" s="1"/>
  <c r="GO144" i="56"/>
  <c r="GM145" i="56"/>
  <c r="HE144" i="56"/>
  <c r="HF144" i="56" s="1"/>
  <c r="GN45" i="56"/>
  <c r="IK45" i="56" s="1"/>
  <c r="GO45" i="56"/>
  <c r="GM46" i="56"/>
  <c r="GO298" i="56"/>
  <c r="GN298" i="56"/>
  <c r="IK298" i="56" s="1"/>
  <c r="GM299" i="56"/>
  <c r="HE298" i="56"/>
  <c r="HF298" i="56" s="1"/>
  <c r="HT167" i="56"/>
  <c r="GW167" i="56"/>
  <c r="GU167" i="56"/>
  <c r="HS167" i="56" s="1"/>
  <c r="GT167" i="56"/>
  <c r="GP167" i="56"/>
  <c r="GQ20" i="56"/>
  <c r="FX20" i="56"/>
  <c r="HQ65" i="56" a="1"/>
  <c r="HQ65" i="56" s="1"/>
  <c r="HR65" i="56" s="1"/>
  <c r="HM65" i="56" a="1"/>
  <c r="HM65" i="56" s="1"/>
  <c r="HN65" i="56" s="1"/>
  <c r="HO65" i="56" a="1"/>
  <c r="HO65" i="56" s="1"/>
  <c r="HP65" i="56" s="1"/>
  <c r="HK65" i="56" a="1"/>
  <c r="HK65" i="56" s="1"/>
  <c r="HL65" i="56" s="1"/>
  <c r="HI65" i="56" a="1"/>
  <c r="HI65" i="56" s="1"/>
  <c r="HJ65" i="56" s="1"/>
  <c r="HG65" i="56" a="1"/>
  <c r="HG65" i="56" s="1"/>
  <c r="HH65" i="56" s="1"/>
  <c r="HT65" i="56"/>
  <c r="GW65" i="56"/>
  <c r="GU65" i="56"/>
  <c r="HS65" i="56" s="1"/>
  <c r="GP65" i="56"/>
  <c r="GT65" i="56"/>
  <c r="HM198" i="56" a="1"/>
  <c r="HM198" i="56" s="1"/>
  <c r="HN198" i="56" s="1"/>
  <c r="HO198" i="56" a="1"/>
  <c r="HO198" i="56" s="1"/>
  <c r="HP198" i="56" s="1"/>
  <c r="HI198" i="56" a="1"/>
  <c r="HI198" i="56" s="1"/>
  <c r="HJ198" i="56" s="1"/>
  <c r="HQ198" i="56" a="1"/>
  <c r="HQ198" i="56" s="1"/>
  <c r="HR198" i="56" s="1"/>
  <c r="HG198" i="56" a="1"/>
  <c r="HG198" i="56" s="1"/>
  <c r="HH198" i="56" s="1"/>
  <c r="HK198" i="56" a="1"/>
  <c r="HK198" i="56" s="1"/>
  <c r="HL198" i="56" s="1"/>
  <c r="IH5" i="56"/>
  <c r="GR5" i="56"/>
  <c r="N5" i="56" s="1"/>
  <c r="GS5" i="56" s="1"/>
  <c r="GT5" i="56"/>
  <c r="GR6" i="56"/>
  <c r="N6" i="56" s="1"/>
  <c r="GS6" i="56" s="1"/>
  <c r="HT236" i="56"/>
  <c r="GU236" i="56"/>
  <c r="HS236" i="56" s="1"/>
  <c r="GT236" i="56"/>
  <c r="GW236" i="56"/>
  <c r="GP236" i="56"/>
  <c r="GQ7" i="56"/>
  <c r="FX7" i="56"/>
  <c r="HT143" i="56"/>
  <c r="GW143" i="56"/>
  <c r="GU143" i="56"/>
  <c r="HS143" i="56" s="1"/>
  <c r="GP143" i="56"/>
  <c r="GT143" i="56"/>
  <c r="ID4" i="56"/>
  <c r="GR23" i="56" l="1"/>
  <c r="N23" i="56" s="1"/>
  <c r="GS23" i="56" s="1"/>
  <c r="GR22" i="56"/>
  <c r="N22" i="56" s="1"/>
  <c r="GS22" i="56" s="1"/>
  <c r="ID7" i="56"/>
  <c r="GR13" i="56"/>
  <c r="GR19" i="56"/>
  <c r="IN29" i="56"/>
  <c r="IO29" i="56" s="1"/>
  <c r="IH17" i="56"/>
  <c r="GR17" i="56"/>
  <c r="GT17" i="56"/>
  <c r="HT144" i="56"/>
  <c r="GU144" i="56"/>
  <c r="HS144" i="56" s="1"/>
  <c r="GT144" i="56"/>
  <c r="GW144" i="56"/>
  <c r="GP144" i="56"/>
  <c r="HQ168" i="56" a="1"/>
  <c r="HQ168" i="56" s="1"/>
  <c r="HR168" i="56" s="1"/>
  <c r="HO168" i="56" a="1"/>
  <c r="HO168" i="56" s="1"/>
  <c r="HP168" i="56" s="1"/>
  <c r="HI168" i="56" a="1"/>
  <c r="HI168" i="56" s="1"/>
  <c r="HJ168" i="56" s="1"/>
  <c r="HK168" i="56" a="1"/>
  <c r="HK168" i="56" s="1"/>
  <c r="HL168" i="56" s="1"/>
  <c r="HG168" i="56" a="1"/>
  <c r="HG168" i="56" s="1"/>
  <c r="HH168" i="56" s="1"/>
  <c r="HM168" i="56" a="1"/>
  <c r="HM168" i="56" s="1"/>
  <c r="HN168" i="56" s="1"/>
  <c r="IH10" i="56"/>
  <c r="GR10" i="56"/>
  <c r="GT10" i="56"/>
  <c r="GR21" i="56"/>
  <c r="GR24" i="56"/>
  <c r="GN238" i="56"/>
  <c r="IK238" i="56" s="1"/>
  <c r="GO238" i="56"/>
  <c r="GM239" i="56"/>
  <c r="HE238" i="56"/>
  <c r="HF238" i="56" s="1"/>
  <c r="HE8" i="56"/>
  <c r="HF8" i="56" s="1"/>
  <c r="HT8" i="56"/>
  <c r="AY3" i="40" a="1"/>
  <c r="AY3" i="40" s="1"/>
  <c r="HK237" i="56" a="1"/>
  <c r="HK237" i="56" s="1"/>
  <c r="HL237" i="56" s="1"/>
  <c r="HQ237" i="56" a="1"/>
  <c r="HQ237" i="56" s="1"/>
  <c r="HR237" i="56" s="1"/>
  <c r="HO237" i="56" a="1"/>
  <c r="HO237" i="56" s="1"/>
  <c r="HP237" i="56" s="1"/>
  <c r="HI237" i="56" a="1"/>
  <c r="HI237" i="56" s="1"/>
  <c r="HJ237" i="56" s="1"/>
  <c r="HM237" i="56" a="1"/>
  <c r="HM237" i="56" s="1"/>
  <c r="HN237" i="56" s="1"/>
  <c r="HG237" i="56" a="1"/>
  <c r="HG237" i="56" s="1"/>
  <c r="HH237" i="56" s="1"/>
  <c r="HO199" i="56" a="1"/>
  <c r="HO199" i="56" s="1"/>
  <c r="HP199" i="56" s="1"/>
  <c r="HQ199" i="56" a="1"/>
  <c r="HQ199" i="56" s="1"/>
  <c r="HR199" i="56" s="1"/>
  <c r="HM199" i="56" a="1"/>
  <c r="HM199" i="56" s="1"/>
  <c r="HN199" i="56" s="1"/>
  <c r="HI199" i="56" a="1"/>
  <c r="HI199" i="56" s="1"/>
  <c r="HJ199" i="56" s="1"/>
  <c r="HG199" i="56" a="1"/>
  <c r="HG199" i="56" s="1"/>
  <c r="HH199" i="56" s="1"/>
  <c r="HK199" i="56" a="1"/>
  <c r="HK199" i="56" s="1"/>
  <c r="HL199" i="56" s="1"/>
  <c r="HM298" i="56" a="1"/>
  <c r="HM298" i="56" s="1"/>
  <c r="HN298" i="56" s="1"/>
  <c r="HQ298" i="56" a="1"/>
  <c r="HQ298" i="56" s="1"/>
  <c r="HR298" i="56" s="1"/>
  <c r="HO298" i="56" a="1"/>
  <c r="HO298" i="56" s="1"/>
  <c r="HP298" i="56" s="1"/>
  <c r="HG298" i="56" a="1"/>
  <c r="HG298" i="56" s="1"/>
  <c r="HH298" i="56" s="1"/>
  <c r="HI298" i="56" a="1"/>
  <c r="HI298" i="56" s="1"/>
  <c r="HJ298" i="56" s="1"/>
  <c r="HK298" i="56" a="1"/>
  <c r="HK298" i="56" s="1"/>
  <c r="HL298" i="56" s="1"/>
  <c r="GN200" i="56"/>
  <c r="IK200" i="56" s="1"/>
  <c r="GO200" i="56"/>
  <c r="GM201" i="56"/>
  <c r="HE200" i="56"/>
  <c r="HF200" i="56" s="1"/>
  <c r="GN145" i="56"/>
  <c r="IK145" i="56" s="1"/>
  <c r="GO145" i="56"/>
  <c r="GM146" i="56"/>
  <c r="HE145" i="56"/>
  <c r="HF145" i="56" s="1"/>
  <c r="GH49" i="56"/>
  <c r="GI48" i="56"/>
  <c r="GJ48" i="56" s="1"/>
  <c r="IH20" i="56"/>
  <c r="GR20" i="56"/>
  <c r="GO169" i="56"/>
  <c r="GN169" i="56"/>
  <c r="IK169" i="56" s="1"/>
  <c r="GM170" i="56"/>
  <c r="HE169" i="56"/>
  <c r="HF169" i="56" s="1"/>
  <c r="HS18" i="56"/>
  <c r="HM66" i="56" a="1"/>
  <c r="HM66" i="56" s="1"/>
  <c r="HN66" i="56" s="1"/>
  <c r="HQ66" i="56" a="1"/>
  <c r="HQ66" i="56" s="1"/>
  <c r="HR66" i="56" s="1"/>
  <c r="HO66" i="56" a="1"/>
  <c r="HO66" i="56" s="1"/>
  <c r="HP66" i="56" s="1"/>
  <c r="HI66" i="56" a="1"/>
  <c r="HI66" i="56" s="1"/>
  <c r="HJ66" i="56" s="1"/>
  <c r="HK66" i="56" a="1"/>
  <c r="HK66" i="56" s="1"/>
  <c r="HL66" i="56" s="1"/>
  <c r="HG66" i="56" a="1"/>
  <c r="HG66" i="56" s="1"/>
  <c r="HH66" i="56" s="1"/>
  <c r="HT168" i="56"/>
  <c r="GU168" i="56"/>
  <c r="HS168" i="56" s="1"/>
  <c r="GW168" i="56"/>
  <c r="GT168" i="56"/>
  <c r="GP168" i="56"/>
  <c r="IH7" i="56"/>
  <c r="GR7" i="56"/>
  <c r="GT7" i="56"/>
  <c r="HT237" i="56"/>
  <c r="GT237" i="56"/>
  <c r="GW237" i="56"/>
  <c r="GP237" i="56"/>
  <c r="GU237" i="56"/>
  <c r="HS237" i="56" s="1"/>
  <c r="GO67" i="56"/>
  <c r="GN67" i="56"/>
  <c r="IK67" i="56" s="1"/>
  <c r="GM68" i="56"/>
  <c r="HE67" i="56"/>
  <c r="HF67" i="56" s="1"/>
  <c r="HE6" i="56"/>
  <c r="HF6" i="56" s="1"/>
  <c r="HT6" i="56"/>
  <c r="IH14" i="56"/>
  <c r="GR14" i="56"/>
  <c r="GT14" i="56"/>
  <c r="HT66" i="56"/>
  <c r="GW66" i="56"/>
  <c r="GP66" i="56"/>
  <c r="GT66" i="56"/>
  <c r="GU66" i="56"/>
  <c r="HS66" i="56" s="1"/>
  <c r="II5" i="56"/>
  <c r="II6" i="56"/>
  <c r="HT298" i="56"/>
  <c r="GT298" i="56"/>
  <c r="GW298" i="56"/>
  <c r="GU298" i="56"/>
  <c r="HS298" i="56" s="1"/>
  <c r="GP298" i="56"/>
  <c r="HT45" i="56"/>
  <c r="GP45" i="56"/>
  <c r="GT45" i="56"/>
  <c r="GU45" i="56"/>
  <c r="HS45" i="56" s="1"/>
  <c r="GW45" i="56"/>
  <c r="IK19" i="56"/>
  <c r="M24" i="16"/>
  <c r="N4" i="42"/>
  <c r="P4" i="42" s="1"/>
  <c r="AE4" i="42" s="1"/>
  <c r="N5" i="42"/>
  <c r="P5" i="42" s="1"/>
  <c r="AE5" i="42" s="1"/>
  <c r="N7" i="42"/>
  <c r="P7" i="42" s="1"/>
  <c r="AE7" i="42" s="1"/>
  <c r="AF7" i="42" s="1"/>
  <c r="N6" i="42"/>
  <c r="P6" i="42" s="1"/>
  <c r="AE6" i="42" s="1"/>
  <c r="N8" i="42"/>
  <c r="P8" i="42" s="1"/>
  <c r="AE8" i="42" s="1"/>
  <c r="AF8" i="42" s="1"/>
  <c r="N9" i="42"/>
  <c r="P9" i="42" s="1"/>
  <c r="AE9" i="42" s="1"/>
  <c r="N10" i="42"/>
  <c r="P10" i="42" s="1"/>
  <c r="AE10" i="42" s="1"/>
  <c r="N11" i="42"/>
  <c r="P11" i="42" s="1"/>
  <c r="AE11" i="42" s="1"/>
  <c r="AF11" i="42" s="1"/>
  <c r="GR9" i="56"/>
  <c r="GO299" i="56"/>
  <c r="GN299" i="56"/>
  <c r="IK299" i="56" s="1"/>
  <c r="GM300" i="56"/>
  <c r="HE299" i="56"/>
  <c r="HF299" i="56" s="1"/>
  <c r="HM115" i="56" a="1"/>
  <c r="HM115" i="56" s="1"/>
  <c r="HN115" i="56" s="1"/>
  <c r="HO115" i="56" a="1"/>
  <c r="HO115" i="56" s="1"/>
  <c r="HP115" i="56" s="1"/>
  <c r="HG115" i="56" a="1"/>
  <c r="HG115" i="56" s="1"/>
  <c r="HH115" i="56" s="1"/>
  <c r="HQ115" i="56" a="1"/>
  <c r="HQ115" i="56" s="1"/>
  <c r="HR115" i="56" s="1"/>
  <c r="HK115" i="56" a="1"/>
  <c r="HK115" i="56" s="1"/>
  <c r="HL115" i="56" s="1"/>
  <c r="HI115" i="56" a="1"/>
  <c r="HI115" i="56" s="1"/>
  <c r="HJ115" i="56" s="1"/>
  <c r="HT199" i="56"/>
  <c r="GW199" i="56"/>
  <c r="GT199" i="56"/>
  <c r="GP199" i="56"/>
  <c r="GU199" i="56"/>
  <c r="HS199" i="56" s="1"/>
  <c r="HE5" i="56"/>
  <c r="HF5" i="56" s="1"/>
  <c r="HT5" i="56"/>
  <c r="P3" i="40" a="1"/>
  <c r="P3" i="40" s="1"/>
  <c r="GO116" i="56"/>
  <c r="GN116" i="56"/>
  <c r="IK116" i="56" s="1"/>
  <c r="GM117" i="56"/>
  <c r="HE116" i="56"/>
  <c r="HF116" i="56" s="1"/>
  <c r="HQ19" i="56" a="1"/>
  <c r="HQ19" i="56" s="1"/>
  <c r="HR19" i="56" s="1"/>
  <c r="HI19" i="56" a="1"/>
  <c r="HI19" i="56" s="1"/>
  <c r="HJ19" i="56" s="1"/>
  <c r="HM19" i="56" a="1"/>
  <c r="HM19" i="56" s="1"/>
  <c r="HN19" i="56" s="1"/>
  <c r="HG19" i="56" a="1"/>
  <c r="HG19" i="56" s="1"/>
  <c r="HH19" i="56" s="1"/>
  <c r="HK19" i="56" a="1"/>
  <c r="HK19" i="56" s="1"/>
  <c r="HL19" i="56" s="1"/>
  <c r="HO19" i="56" a="1"/>
  <c r="HO19" i="56" s="1"/>
  <c r="HP19" i="56" s="1"/>
  <c r="IN5" i="56"/>
  <c r="IO5" i="56" s="1"/>
  <c r="GN46" i="56"/>
  <c r="IK46" i="56" s="1"/>
  <c r="GO46" i="56"/>
  <c r="GM47" i="56"/>
  <c r="HT115" i="56"/>
  <c r="GU115" i="56"/>
  <c r="HS115" i="56" s="1"/>
  <c r="GP115" i="56"/>
  <c r="GT115" i="56"/>
  <c r="GW115" i="56"/>
  <c r="HE30" i="56"/>
  <c r="HF30" i="56" s="1"/>
  <c r="HT30" i="56"/>
  <c r="GR12" i="56"/>
  <c r="HE29" i="56"/>
  <c r="HF29" i="56" s="1"/>
  <c r="HT29" i="56"/>
  <c r="HA28" i="56"/>
  <c r="HA27" i="56"/>
  <c r="EA25" i="56"/>
  <c r="BS11" i="55" s="1" a="1"/>
  <c r="BS11" i="55" s="1"/>
  <c r="DZ25" i="56" a="1"/>
  <c r="DZ25" i="56" s="1"/>
  <c r="BQ11" i="55" s="1" a="1"/>
  <c r="BQ11" i="55" s="1"/>
  <c r="HT19" i="56"/>
  <c r="GU19" i="56"/>
  <c r="HS19" i="56" s="1"/>
  <c r="GT19" i="56"/>
  <c r="GP19" i="56"/>
  <c r="GW19" i="56"/>
  <c r="DD3" i="56"/>
  <c r="GV3" i="56" s="1"/>
  <c r="W3" i="40" s="1" a="1"/>
  <c r="W3" i="40" s="1"/>
  <c r="AU3" i="40" a="1"/>
  <c r="AU3" i="40" s="1"/>
  <c r="AQ3" i="40" a="1"/>
  <c r="AQ3" i="40" s="1"/>
  <c r="GR16" i="56"/>
  <c r="EC25" i="56"/>
  <c r="EM25" i="56"/>
  <c r="EN25" i="56" s="1"/>
  <c r="GX25" i="56" s="1"/>
  <c r="GZ25" i="56" s="1"/>
  <c r="EB25" i="56"/>
  <c r="EF25" i="56" s="1"/>
  <c r="EG25" i="56" s="1"/>
  <c r="EL25" i="56"/>
  <c r="BO11" i="55" s="1" a="1"/>
  <c r="BO11" i="55" s="1"/>
  <c r="EK25" i="56"/>
  <c r="BK11" i="55" s="1" a="1"/>
  <c r="BK11" i="55" s="1"/>
  <c r="EI25" i="56"/>
  <c r="GF25" i="56"/>
  <c r="GV25" i="56" s="1"/>
  <c r="EJ25" i="56"/>
  <c r="IH18" i="56"/>
  <c r="IN18" i="56" s="1"/>
  <c r="GR18" i="56"/>
  <c r="ID8" i="56"/>
  <c r="GO20" i="56"/>
  <c r="GN20" i="56"/>
  <c r="IK20" i="56" s="1"/>
  <c r="GM21" i="56"/>
  <c r="HE20" i="56"/>
  <c r="HF20" i="56" s="1"/>
  <c r="GR15" i="56"/>
  <c r="HO144" i="56" a="1"/>
  <c r="HO144" i="56" s="1"/>
  <c r="HP144" i="56" s="1"/>
  <c r="HQ144" i="56" a="1"/>
  <c r="HQ144" i="56" s="1"/>
  <c r="HR144" i="56" s="1"/>
  <c r="HM144" i="56" a="1"/>
  <c r="HM144" i="56" s="1"/>
  <c r="HN144" i="56" s="1"/>
  <c r="HI144" i="56" a="1"/>
  <c r="HI144" i="56" s="1"/>
  <c r="HJ144" i="56" s="1"/>
  <c r="HK144" i="56" a="1"/>
  <c r="HK144" i="56" s="1"/>
  <c r="HL144" i="56" s="1"/>
  <c r="HG144" i="56" a="1"/>
  <c r="HG144" i="56" s="1"/>
  <c r="HH144" i="56" s="1"/>
  <c r="II10" i="56" l="1"/>
  <c r="EO25" i="56"/>
  <c r="HT169" i="56"/>
  <c r="GU169" i="56"/>
  <c r="HS169" i="56" s="1"/>
  <c r="GT169" i="56"/>
  <c r="GW169" i="56"/>
  <c r="GP169" i="56"/>
  <c r="HT116" i="56"/>
  <c r="GW116" i="56"/>
  <c r="GU116" i="56"/>
  <c r="HS116" i="56" s="1"/>
  <c r="GT116" i="56"/>
  <c r="GP116" i="56"/>
  <c r="HQ67" i="56" a="1"/>
  <c r="HQ67" i="56" s="1"/>
  <c r="HR67" i="56" s="1"/>
  <c r="HO67" i="56" a="1"/>
  <c r="HO67" i="56" s="1"/>
  <c r="HP67" i="56" s="1"/>
  <c r="HI67" i="56" a="1"/>
  <c r="HI67" i="56" s="1"/>
  <c r="HJ67" i="56" s="1"/>
  <c r="HK67" i="56" a="1"/>
  <c r="HK67" i="56" s="1"/>
  <c r="HL67" i="56" s="1"/>
  <c r="HM67" i="56" a="1"/>
  <c r="HM67" i="56" s="1"/>
  <c r="HN67" i="56" s="1"/>
  <c r="HG67" i="56" a="1"/>
  <c r="HG67" i="56" s="1"/>
  <c r="HH67" i="56" s="1"/>
  <c r="M61" i="16"/>
  <c r="BF10" i="10"/>
  <c r="HQ8" i="56" a="1"/>
  <c r="HQ8" i="56" s="1"/>
  <c r="HR8" i="56" s="1"/>
  <c r="HO8" i="56" a="1"/>
  <c r="HO8" i="56" s="1"/>
  <c r="HP8" i="56" s="1"/>
  <c r="HG8" i="56" a="1"/>
  <c r="HG8" i="56" s="1"/>
  <c r="HH8" i="56" s="1"/>
  <c r="HM8" i="56" a="1"/>
  <c r="HM8" i="56" s="1"/>
  <c r="HN8" i="56" s="1"/>
  <c r="HI8" i="56" a="1"/>
  <c r="HI8" i="56" s="1"/>
  <c r="HJ8" i="56" s="1"/>
  <c r="HK8" i="56" a="1"/>
  <c r="HK8" i="56" s="1"/>
  <c r="HL8" i="56" s="1"/>
  <c r="HQ145" i="56" a="1"/>
  <c r="HQ145" i="56" s="1"/>
  <c r="HR145" i="56" s="1"/>
  <c r="HO145" i="56" a="1"/>
  <c r="HO145" i="56" s="1"/>
  <c r="HP145" i="56" s="1"/>
  <c r="HM145" i="56" a="1"/>
  <c r="HM145" i="56" s="1"/>
  <c r="HN145" i="56" s="1"/>
  <c r="HG145" i="56" a="1"/>
  <c r="HG145" i="56" s="1"/>
  <c r="HH145" i="56" s="1"/>
  <c r="HI145" i="56" a="1"/>
  <c r="HI145" i="56" s="1"/>
  <c r="HJ145" i="56" s="1"/>
  <c r="HK145" i="56" a="1"/>
  <c r="HK145" i="56" s="1"/>
  <c r="HL145" i="56" s="1"/>
  <c r="GN21" i="56"/>
  <c r="GO21" i="56"/>
  <c r="GM22" i="56"/>
  <c r="HE21" i="56"/>
  <c r="HF21" i="56" s="1"/>
  <c r="A5" i="60" a="1"/>
  <c r="A5" i="60" s="1"/>
  <c r="O5" i="60" a="1"/>
  <c r="O5" i="60" s="1"/>
  <c r="II24" i="56"/>
  <c r="HT238" i="56"/>
  <c r="GU238" i="56"/>
  <c r="HS238" i="56" s="1"/>
  <c r="GW238" i="56"/>
  <c r="GP238" i="56"/>
  <c r="GT238" i="56"/>
  <c r="HQ30" i="56" a="1"/>
  <c r="HQ30" i="56" s="1"/>
  <c r="HR30" i="56" s="1"/>
  <c r="HI30" i="56" a="1"/>
  <c r="HI30" i="56" s="1"/>
  <c r="HJ30" i="56" s="1"/>
  <c r="HO30" i="56" a="1"/>
  <c r="HO30" i="56" s="1"/>
  <c r="HP30" i="56" s="1"/>
  <c r="HK30" i="56" a="1"/>
  <c r="HK30" i="56" s="1"/>
  <c r="HL30" i="56" s="1"/>
  <c r="HM30" i="56" a="1"/>
  <c r="HM30" i="56" s="1"/>
  <c r="HN30" i="56" s="1"/>
  <c r="HG30" i="56" a="1"/>
  <c r="HG30" i="56" s="1"/>
  <c r="HH30" i="56" s="1"/>
  <c r="II7" i="56"/>
  <c r="HQ200" i="56" a="1"/>
  <c r="HQ200" i="56" s="1"/>
  <c r="HR200" i="56" s="1"/>
  <c r="HM200" i="56" a="1"/>
  <c r="HM200" i="56" s="1"/>
  <c r="HN200" i="56" s="1"/>
  <c r="HO200" i="56" a="1"/>
  <c r="HO200" i="56" s="1"/>
  <c r="HP200" i="56" s="1"/>
  <c r="HI200" i="56" a="1"/>
  <c r="HI200" i="56" s="1"/>
  <c r="HJ200" i="56" s="1"/>
  <c r="HG200" i="56" a="1"/>
  <c r="HG200" i="56" s="1"/>
  <c r="HH200" i="56" s="1"/>
  <c r="HK200" i="56" a="1"/>
  <c r="HK200" i="56" s="1"/>
  <c r="HL200" i="56" s="1"/>
  <c r="BR14" i="55" a="1"/>
  <c r="BR14" i="55" s="1"/>
  <c r="BR23" i="55" a="1"/>
  <c r="BR23" i="55" s="1"/>
  <c r="BR21" i="55" a="1"/>
  <c r="BR21" i="55" s="1"/>
  <c r="BR11" i="55" a="1"/>
  <c r="BR11" i="55" s="1"/>
  <c r="BR13" i="55" a="1"/>
  <c r="BR13" i="55" s="1"/>
  <c r="BR15" i="55" a="1"/>
  <c r="BR15" i="55" s="1"/>
  <c r="BR18" i="55" a="1"/>
  <c r="BR18" i="55" s="1"/>
  <c r="BR16" i="55" a="1"/>
  <c r="BR16" i="55" s="1"/>
  <c r="BR10" i="55" a="1"/>
  <c r="BR10" i="55" s="1"/>
  <c r="BR25" i="55" a="1"/>
  <c r="BR25" i="55" s="1"/>
  <c r="BR17" i="55" a="1"/>
  <c r="BR17" i="55" s="1"/>
  <c r="BR22" i="55" a="1"/>
  <c r="BR22" i="55" s="1"/>
  <c r="BR12" i="55" a="1"/>
  <c r="BR12" i="55" s="1"/>
  <c r="BR26" i="55" a="1"/>
  <c r="BR26" i="55" s="1"/>
  <c r="BR19" i="55" a="1"/>
  <c r="BR19" i="55" s="1"/>
  <c r="BR20" i="55" a="1"/>
  <c r="BR20" i="55" s="1"/>
  <c r="BR24" i="55" a="1"/>
  <c r="BR24" i="55" s="1"/>
  <c r="GN47" i="56"/>
  <c r="IK47" i="56" s="1"/>
  <c r="GO47" i="56"/>
  <c r="GM48" i="56"/>
  <c r="II12" i="56"/>
  <c r="IL28" i="56"/>
  <c r="O28" i="56"/>
  <c r="HQ299" i="56" a="1"/>
  <c r="HQ299" i="56" s="1"/>
  <c r="HR299" i="56" s="1"/>
  <c r="HG299" i="56" a="1"/>
  <c r="HG299" i="56" s="1"/>
  <c r="HH299" i="56" s="1"/>
  <c r="HM299" i="56" a="1"/>
  <c r="HM299" i="56" s="1"/>
  <c r="HN299" i="56" s="1"/>
  <c r="HO299" i="56" a="1"/>
  <c r="HO299" i="56" s="1"/>
  <c r="HP299" i="56" s="1"/>
  <c r="HI299" i="56" a="1"/>
  <c r="HI299" i="56" s="1"/>
  <c r="HJ299" i="56" s="1"/>
  <c r="HK299" i="56" a="1"/>
  <c r="HK299" i="56" s="1"/>
  <c r="HL299" i="56" s="1"/>
  <c r="II16" i="56"/>
  <c r="GH50" i="56"/>
  <c r="GI49" i="56"/>
  <c r="GJ49" i="56" s="1"/>
  <c r="BQ3" i="40" a="1"/>
  <c r="BQ3" i="40" s="1"/>
  <c r="IN17" i="56"/>
  <c r="IO17" i="56" s="1"/>
  <c r="S25" i="56"/>
  <c r="GN239" i="56"/>
  <c r="IK239" i="56" s="1"/>
  <c r="GO239" i="56"/>
  <c r="GM240" i="56"/>
  <c r="HE239" i="56"/>
  <c r="HF239" i="56" s="1"/>
  <c r="HQ5" i="56" a="1"/>
  <c r="HQ5" i="56" s="1"/>
  <c r="HR5" i="56" s="1"/>
  <c r="HK5" i="56" a="1"/>
  <c r="HK5" i="56" s="1"/>
  <c r="HL5" i="56" s="1"/>
  <c r="HM5" i="56" a="1"/>
  <c r="HM5" i="56" s="1"/>
  <c r="HN5" i="56" s="1"/>
  <c r="HI5" i="56" a="1"/>
  <c r="HI5" i="56" s="1"/>
  <c r="HJ5" i="56" s="1"/>
  <c r="HO5" i="56" a="1"/>
  <c r="HO5" i="56" s="1"/>
  <c r="HP5" i="56" s="1"/>
  <c r="HG5" i="56" a="1"/>
  <c r="HG5" i="56" s="1"/>
  <c r="R25" i="56"/>
  <c r="BE11" i="55" a="1"/>
  <c r="BE11" i="55" s="1"/>
  <c r="IN7" i="56"/>
  <c r="IO7" i="56" s="1"/>
  <c r="HQ169" i="56" a="1"/>
  <c r="HQ169" i="56" s="1"/>
  <c r="HR169" i="56" s="1"/>
  <c r="HK169" i="56" a="1"/>
  <c r="HK169" i="56" s="1"/>
  <c r="HL169" i="56" s="1"/>
  <c r="HO169" i="56" a="1"/>
  <c r="HO169" i="56" s="1"/>
  <c r="HP169" i="56" s="1"/>
  <c r="HI169" i="56" a="1"/>
  <c r="HI169" i="56" s="1"/>
  <c r="HJ169" i="56" s="1"/>
  <c r="HM169" i="56" a="1"/>
  <c r="HM169" i="56" s="1"/>
  <c r="HN169" i="56" s="1"/>
  <c r="HG169" i="56" a="1"/>
  <c r="HG169" i="56" s="1"/>
  <c r="HH169" i="56" s="1"/>
  <c r="GN201" i="56"/>
  <c r="IK201" i="56" s="1"/>
  <c r="GO201" i="56"/>
  <c r="GM202" i="56"/>
  <c r="HE201" i="56"/>
  <c r="HF201" i="56" s="1"/>
  <c r="GO68" i="56"/>
  <c r="GN68" i="56"/>
  <c r="IK68" i="56" s="1"/>
  <c r="GM69" i="56"/>
  <c r="HE68" i="56"/>
  <c r="HF68" i="56" s="1"/>
  <c r="II20" i="56"/>
  <c r="IN10" i="56"/>
  <c r="IO10" i="56" s="1"/>
  <c r="II18" i="56"/>
  <c r="HT67" i="56"/>
  <c r="GW67" i="56"/>
  <c r="GU67" i="56"/>
  <c r="HS67" i="56" s="1"/>
  <c r="GP67" i="56"/>
  <c r="GT67" i="56"/>
  <c r="II19" i="56"/>
  <c r="GQ25" i="56"/>
  <c r="FX25" i="56"/>
  <c r="Q3" i="40" s="1" a="1"/>
  <c r="Q3" i="40" s="1"/>
  <c r="HK29" i="56" a="1"/>
  <c r="HK29" i="56" s="1"/>
  <c r="HL29" i="56" s="1"/>
  <c r="HQ29" i="56" a="1"/>
  <c r="HQ29" i="56" s="1"/>
  <c r="HR29" i="56" s="1"/>
  <c r="HO29" i="56" a="1"/>
  <c r="HO29" i="56" s="1"/>
  <c r="HP29" i="56" s="1"/>
  <c r="HI29" i="56" a="1"/>
  <c r="HI29" i="56" s="1"/>
  <c r="HJ29" i="56" s="1"/>
  <c r="HM29" i="56" a="1"/>
  <c r="HM29" i="56" s="1"/>
  <c r="HN29" i="56" s="1"/>
  <c r="HG29" i="56" a="1"/>
  <c r="HG29" i="56" s="1"/>
  <c r="HH29" i="56" s="1"/>
  <c r="GO300" i="56"/>
  <c r="GN300" i="56"/>
  <c r="IK300" i="56" s="1"/>
  <c r="GM301" i="56"/>
  <c r="HE300" i="56"/>
  <c r="HF300" i="56" s="1"/>
  <c r="HT299" i="56"/>
  <c r="GT299" i="56"/>
  <c r="GW299" i="56"/>
  <c r="GU299" i="56"/>
  <c r="HS299" i="56" s="1"/>
  <c r="GP299" i="56"/>
  <c r="HT145" i="56"/>
  <c r="GT145" i="56"/>
  <c r="GW145" i="56"/>
  <c r="GP145" i="56"/>
  <c r="GU145" i="56"/>
  <c r="HS145" i="56" s="1"/>
  <c r="HT20" i="56"/>
  <c r="GW20" i="56"/>
  <c r="GT20" i="56"/>
  <c r="GP20" i="56"/>
  <c r="GU20" i="56"/>
  <c r="HS20" i="56" s="1"/>
  <c r="IN14" i="56"/>
  <c r="IO14" i="56" s="1"/>
  <c r="HQ116" i="56" a="1"/>
  <c r="HQ116" i="56" s="1"/>
  <c r="HR116" i="56" s="1"/>
  <c r="HI116" i="56" a="1"/>
  <c r="HI116" i="56" s="1"/>
  <c r="HJ116" i="56" s="1"/>
  <c r="HO116" i="56" a="1"/>
  <c r="HO116" i="56" s="1"/>
  <c r="HP116" i="56" s="1"/>
  <c r="HM116" i="56" a="1"/>
  <c r="HM116" i="56" s="1"/>
  <c r="HN116" i="56" s="1"/>
  <c r="HK116" i="56" a="1"/>
  <c r="HK116" i="56" s="1"/>
  <c r="HL116" i="56" s="1"/>
  <c r="HG116" i="56" a="1"/>
  <c r="HG116" i="56" s="1"/>
  <c r="HH116" i="56" s="1"/>
  <c r="GO170" i="56"/>
  <c r="GN170" i="56"/>
  <c r="IK170" i="56" s="1"/>
  <c r="GM171" i="56"/>
  <c r="HE170" i="56"/>
  <c r="HF170" i="56" s="1"/>
  <c r="HT200" i="56"/>
  <c r="GU200" i="56"/>
  <c r="HS200" i="56" s="1"/>
  <c r="GW200" i="56"/>
  <c r="GP200" i="56"/>
  <c r="GT200" i="56"/>
  <c r="HO6" i="56" a="1"/>
  <c r="HO6" i="56" s="1"/>
  <c r="HP6" i="56" s="1"/>
  <c r="HM6" i="56" a="1"/>
  <c r="HM6" i="56" s="1"/>
  <c r="HN6" i="56" s="1"/>
  <c r="HQ6" i="56" a="1"/>
  <c r="HQ6" i="56" s="1"/>
  <c r="HR6" i="56" s="1"/>
  <c r="HG6" i="56" a="1"/>
  <c r="HG6" i="56" s="1"/>
  <c r="HH6" i="56" s="1"/>
  <c r="HK6" i="56" a="1"/>
  <c r="HK6" i="56" s="1"/>
  <c r="HL6" i="56" s="1"/>
  <c r="HI6" i="56" a="1"/>
  <c r="HI6" i="56" s="1"/>
  <c r="HJ6" i="56" s="1"/>
  <c r="ID9" i="56"/>
  <c r="ID10" i="56" s="1"/>
  <c r="HT46" i="56"/>
  <c r="GW46" i="56"/>
  <c r="GP46" i="56"/>
  <c r="GT46" i="56"/>
  <c r="GU46" i="56"/>
  <c r="HS46" i="56" s="1"/>
  <c r="IL27" i="56"/>
  <c r="O27" i="56"/>
  <c r="IO18" i="56"/>
  <c r="IN20" i="56"/>
  <c r="IO20" i="56" s="1"/>
  <c r="II22" i="56"/>
  <c r="HQ20" i="56" a="1"/>
  <c r="HQ20" i="56" s="1"/>
  <c r="HR20" i="56" s="1"/>
  <c r="HI20" i="56" a="1"/>
  <c r="HI20" i="56" s="1"/>
  <c r="HJ20" i="56" s="1"/>
  <c r="HO20" i="56" a="1"/>
  <c r="HO20" i="56" s="1"/>
  <c r="HP20" i="56" s="1"/>
  <c r="HM20" i="56" a="1"/>
  <c r="HM20" i="56" s="1"/>
  <c r="HN20" i="56" s="1"/>
  <c r="HG20" i="56" a="1"/>
  <c r="HG20" i="56" s="1"/>
  <c r="HH20" i="56" s="1"/>
  <c r="HK20" i="56" a="1"/>
  <c r="HK20" i="56" s="1"/>
  <c r="HL20" i="56" s="1"/>
  <c r="II15" i="56"/>
  <c r="GN146" i="56"/>
  <c r="IK146" i="56" s="1"/>
  <c r="GO146" i="56"/>
  <c r="GM147" i="56"/>
  <c r="HE146" i="56"/>
  <c r="HF146" i="56" s="1"/>
  <c r="HQ238" i="56" a="1"/>
  <c r="HQ238" i="56" s="1"/>
  <c r="HR238" i="56" s="1"/>
  <c r="HO238" i="56" a="1"/>
  <c r="HO238" i="56" s="1"/>
  <c r="HP238" i="56" s="1"/>
  <c r="HK238" i="56" a="1"/>
  <c r="HK238" i="56" s="1"/>
  <c r="HL238" i="56" s="1"/>
  <c r="HI238" i="56" a="1"/>
  <c r="HI238" i="56" s="1"/>
  <c r="HJ238" i="56" s="1"/>
  <c r="HM238" i="56" a="1"/>
  <c r="HM238" i="56" s="1"/>
  <c r="HN238" i="56" s="1"/>
  <c r="HG238" i="56" a="1"/>
  <c r="HG238" i="56" s="1"/>
  <c r="HH238" i="56" s="1"/>
  <c r="GO117" i="56"/>
  <c r="GN117" i="56"/>
  <c r="IK117" i="56" s="1"/>
  <c r="GM118" i="56"/>
  <c r="HE117" i="56"/>
  <c r="HF117" i="56" s="1"/>
  <c r="DP159" i="56" l="1"/>
  <c r="DW159" i="56" s="1" a="1"/>
  <c r="DW159" i="56" s="1"/>
  <c r="DP175" i="56"/>
  <c r="DW175" i="56" s="1" a="1"/>
  <c r="DW175" i="56" s="1"/>
  <c r="DP154" i="56"/>
  <c r="DP171" i="56"/>
  <c r="DW171" i="56" s="1" a="1"/>
  <c r="DW171" i="56" s="1"/>
  <c r="DP155" i="56"/>
  <c r="DW155" i="56" s="1" a="1"/>
  <c r="DW155" i="56" s="1"/>
  <c r="DP172" i="56"/>
  <c r="DW172" i="56" s="1" a="1"/>
  <c r="DW172" i="56" s="1"/>
  <c r="DP156" i="56"/>
  <c r="DW156" i="56" s="1" a="1"/>
  <c r="DW156" i="56" s="1"/>
  <c r="DP173" i="56"/>
  <c r="DW173" i="56" s="1" a="1"/>
  <c r="DW173" i="56" s="1"/>
  <c r="DP158" i="56"/>
  <c r="DW158" i="56" s="1" a="1"/>
  <c r="DW158" i="56" s="1"/>
  <c r="DP176" i="56"/>
  <c r="DW176" i="56" s="1" a="1"/>
  <c r="DW176" i="56" s="1"/>
  <c r="DP160" i="56"/>
  <c r="DW160" i="56" s="1" a="1"/>
  <c r="DW160" i="56" s="1"/>
  <c r="DP177" i="56"/>
  <c r="DW177" i="56" s="1" a="1"/>
  <c r="DW177" i="56" s="1"/>
  <c r="DP165" i="56"/>
  <c r="DW165" i="56" s="1" a="1"/>
  <c r="DW165" i="56" s="1"/>
  <c r="DP166" i="56"/>
  <c r="DW166" i="56" s="1" a="1"/>
  <c r="DW166" i="56" s="1"/>
  <c r="DP167" i="56"/>
  <c r="DW167" i="56" s="1" a="1"/>
  <c r="DW167" i="56" s="1"/>
  <c r="DP168" i="56"/>
  <c r="DW168" i="56" s="1" a="1"/>
  <c r="DW168" i="56" s="1"/>
  <c r="DP169" i="56"/>
  <c r="DW169" i="56" s="1" a="1"/>
  <c r="DW169" i="56" s="1"/>
  <c r="DP170" i="56"/>
  <c r="DW170" i="56" s="1" a="1"/>
  <c r="DW170" i="56" s="1"/>
  <c r="DP178" i="56"/>
  <c r="DW178" i="56" s="1" a="1"/>
  <c r="DW178" i="56" s="1"/>
  <c r="DP179" i="56"/>
  <c r="DW179" i="56" s="1" a="1"/>
  <c r="DW179" i="56" s="1"/>
  <c r="DP180" i="56"/>
  <c r="DW180" i="56" s="1" a="1"/>
  <c r="DW180" i="56" s="1"/>
  <c r="DP181" i="56"/>
  <c r="DW181" i="56" s="1" a="1"/>
  <c r="DW181" i="56" s="1"/>
  <c r="DP161" i="56"/>
  <c r="DW161" i="56" s="1" a="1"/>
  <c r="DW161" i="56" s="1"/>
  <c r="DP162" i="56"/>
  <c r="DW162" i="56" s="1" a="1"/>
  <c r="DW162" i="56" s="1"/>
  <c r="DP163" i="56"/>
  <c r="DW163" i="56" s="1" a="1"/>
  <c r="DW163" i="56" s="1"/>
  <c r="DP164" i="56"/>
  <c r="DW164" i="56" s="1" a="1"/>
  <c r="DW164" i="56" s="1"/>
  <c r="DP174" i="56"/>
  <c r="DW174" i="56" s="1" a="1"/>
  <c r="DW174" i="56" s="1"/>
  <c r="DP183" i="56"/>
  <c r="DW183" i="56" s="1" a="1"/>
  <c r="DW183" i="56" s="1"/>
  <c r="DP157" i="56"/>
  <c r="DW157" i="56" s="1" a="1"/>
  <c r="DW157" i="56" s="1"/>
  <c r="DP182" i="56"/>
  <c r="DW182" i="56" s="1" a="1"/>
  <c r="DW182" i="56" s="1"/>
  <c r="IK21" i="56"/>
  <c r="DP335" i="56"/>
  <c r="DW335" i="56" s="1" a="1"/>
  <c r="DW335" i="56" s="1"/>
  <c r="DP336" i="56"/>
  <c r="DW336" i="56" s="1" a="1"/>
  <c r="DW336" i="56" s="1"/>
  <c r="DP337" i="56"/>
  <c r="DW337" i="56" s="1" a="1"/>
  <c r="DW337" i="56" s="1"/>
  <c r="DP338" i="56"/>
  <c r="DW338" i="56" s="1" a="1"/>
  <c r="DW338" i="56" s="1"/>
  <c r="DP339" i="56"/>
  <c r="DW339" i="56" s="1" a="1"/>
  <c r="DW339" i="56" s="1"/>
  <c r="DP340" i="56"/>
  <c r="DW340" i="56" s="1" a="1"/>
  <c r="DW340" i="56" s="1"/>
  <c r="HM170" i="56" a="1"/>
  <c r="HM170" i="56" s="1"/>
  <c r="HN170" i="56" s="1"/>
  <c r="HQ170" i="56" a="1"/>
  <c r="HQ170" i="56" s="1"/>
  <c r="HR170" i="56" s="1"/>
  <c r="HK170" i="56" a="1"/>
  <c r="HK170" i="56" s="1"/>
  <c r="HL170" i="56" s="1"/>
  <c r="HO170" i="56" a="1"/>
  <c r="HO170" i="56" s="1"/>
  <c r="HP170" i="56" s="1"/>
  <c r="HI170" i="56" a="1"/>
  <c r="HI170" i="56" s="1"/>
  <c r="HJ170" i="56" s="1"/>
  <c r="HG170" i="56" a="1"/>
  <c r="HG170" i="56" s="1"/>
  <c r="HH170" i="56" s="1"/>
  <c r="HT201" i="56"/>
  <c r="GU201" i="56"/>
  <c r="HS201" i="56" s="1"/>
  <c r="GT201" i="56"/>
  <c r="GP201" i="56"/>
  <c r="GW201" i="56"/>
  <c r="DP15" i="56"/>
  <c r="DW15" i="56" s="1" a="1"/>
  <c r="DW15" i="56" s="1"/>
  <c r="DP18" i="56"/>
  <c r="DW18" i="56" s="1" a="1"/>
  <c r="DW18" i="56" s="1"/>
  <c r="DP19" i="56"/>
  <c r="DW19" i="56" s="1" a="1"/>
  <c r="DW19" i="56" s="1"/>
  <c r="DP3" i="56"/>
  <c r="DP20" i="56"/>
  <c r="DW20" i="56" s="1" a="1"/>
  <c r="DW20" i="56" s="1"/>
  <c r="DP4" i="56"/>
  <c r="DP21" i="56"/>
  <c r="DW21" i="56" s="1" a="1"/>
  <c r="DW21" i="56" s="1"/>
  <c r="DP5" i="56"/>
  <c r="DW5" i="56" s="1" a="1"/>
  <c r="DW5" i="56" s="1"/>
  <c r="DP22" i="56"/>
  <c r="DW22" i="56" s="1" a="1"/>
  <c r="DW22" i="56" s="1"/>
  <c r="DP6" i="56"/>
  <c r="DW6" i="56" s="1" a="1"/>
  <c r="DW6" i="56" s="1"/>
  <c r="DP23" i="56"/>
  <c r="DW23" i="56" s="1" a="1"/>
  <c r="DW23" i="56" s="1"/>
  <c r="DP8" i="56"/>
  <c r="DW8" i="56" s="1" a="1"/>
  <c r="DW8" i="56" s="1"/>
  <c r="DP25" i="56"/>
  <c r="DP9" i="56"/>
  <c r="DW9" i="56" s="1" a="1"/>
  <c r="DW9" i="56" s="1"/>
  <c r="DP10" i="56"/>
  <c r="DW10" i="56" s="1" a="1"/>
  <c r="DW10" i="56" s="1"/>
  <c r="DP11" i="56"/>
  <c r="DP12" i="56"/>
  <c r="DW12" i="56" s="1" a="1"/>
  <c r="DW12" i="56" s="1"/>
  <c r="DP13" i="56"/>
  <c r="DW13" i="56" s="1" a="1"/>
  <c r="DW13" i="56" s="1"/>
  <c r="DP14" i="56"/>
  <c r="DW14" i="56" s="1" a="1"/>
  <c r="DW14" i="56" s="1"/>
  <c r="DP16" i="56"/>
  <c r="DW16" i="56" s="1" a="1"/>
  <c r="DW16" i="56" s="1"/>
  <c r="DP17" i="56"/>
  <c r="DW17" i="56" s="1" a="1"/>
  <c r="DW17" i="56" s="1"/>
  <c r="DP24" i="56"/>
  <c r="DW24" i="56" s="1" a="1"/>
  <c r="DW24" i="56" s="1"/>
  <c r="DP7" i="56"/>
  <c r="DW7" i="56" s="1" a="1"/>
  <c r="DW7" i="56" s="1"/>
  <c r="HT170" i="56"/>
  <c r="GT170" i="56"/>
  <c r="GU170" i="56"/>
  <c r="HS170" i="56" s="1"/>
  <c r="GW170" i="56"/>
  <c r="GP170" i="56"/>
  <c r="HM146" i="56" a="1"/>
  <c r="HM146" i="56" s="1"/>
  <c r="HN146" i="56" s="1"/>
  <c r="HO146" i="56" a="1"/>
  <c r="HO146" i="56" s="1"/>
  <c r="HP146" i="56" s="1"/>
  <c r="HK146" i="56" a="1"/>
  <c r="HK146" i="56" s="1"/>
  <c r="HL146" i="56" s="1"/>
  <c r="HQ146" i="56" a="1"/>
  <c r="HQ146" i="56" s="1"/>
  <c r="HR146" i="56" s="1"/>
  <c r="HG146" i="56" a="1"/>
  <c r="HG146" i="56" s="1"/>
  <c r="HH146" i="56" s="1"/>
  <c r="HI146" i="56" a="1"/>
  <c r="HI146" i="56" s="1"/>
  <c r="HJ146" i="56" s="1"/>
  <c r="DP143" i="56"/>
  <c r="DW143" i="56" s="1" a="1"/>
  <c r="DW143" i="56" s="1"/>
  <c r="DP137" i="56"/>
  <c r="DW137" i="56" s="1" a="1"/>
  <c r="DW137" i="56" s="1"/>
  <c r="DP138" i="56"/>
  <c r="DW138" i="56" s="1" a="1"/>
  <c r="DW138" i="56" s="1"/>
  <c r="DP139" i="56"/>
  <c r="DW139" i="56" s="1" a="1"/>
  <c r="DW139" i="56" s="1"/>
  <c r="DP141" i="56"/>
  <c r="DW141" i="56" s="1" a="1"/>
  <c r="DW141" i="56" s="1"/>
  <c r="DP142" i="56"/>
  <c r="DW142" i="56" s="1" a="1"/>
  <c r="DW142" i="56" s="1"/>
  <c r="DP140" i="56"/>
  <c r="DW140" i="56" s="1" a="1"/>
  <c r="DW140" i="56" s="1"/>
  <c r="DP144" i="56"/>
  <c r="DW144" i="56" s="1" a="1"/>
  <c r="DW144" i="56" s="1"/>
  <c r="DP145" i="56"/>
  <c r="DW145" i="56" s="1" a="1"/>
  <c r="DW145" i="56" s="1"/>
  <c r="DP146" i="56"/>
  <c r="DW146" i="56" s="1" a="1"/>
  <c r="DW146" i="56" s="1"/>
  <c r="DP147" i="56"/>
  <c r="DW147" i="56" s="1" a="1"/>
  <c r="DW147" i="56" s="1"/>
  <c r="DP148" i="56"/>
  <c r="DW148" i="56" s="1" a="1"/>
  <c r="DW148" i="56" s="1"/>
  <c r="DP150" i="56"/>
  <c r="DW150" i="56" s="1" a="1"/>
  <c r="DW150" i="56" s="1"/>
  <c r="DP151" i="56"/>
  <c r="DW151" i="56" s="1" a="1"/>
  <c r="DW151" i="56" s="1"/>
  <c r="DP130" i="56"/>
  <c r="DW130" i="56" s="1" a="1"/>
  <c r="DW130" i="56" s="1"/>
  <c r="DP152" i="56"/>
  <c r="DW152" i="56" s="1" a="1"/>
  <c r="DW152" i="56" s="1"/>
  <c r="DP131" i="56"/>
  <c r="DW131" i="56" s="1" a="1"/>
  <c r="DW131" i="56" s="1"/>
  <c r="DP153" i="56"/>
  <c r="DW153" i="56" s="1" a="1"/>
  <c r="DW153" i="56" s="1"/>
  <c r="DP149" i="56"/>
  <c r="DW149" i="56" s="1" a="1"/>
  <c r="DW149" i="56" s="1"/>
  <c r="DP133" i="56"/>
  <c r="DW133" i="56" s="1" a="1"/>
  <c r="DW133" i="56" s="1"/>
  <c r="DP134" i="56"/>
  <c r="DW134" i="56" s="1" a="1"/>
  <c r="DW134" i="56" s="1"/>
  <c r="DP135" i="56"/>
  <c r="DW135" i="56" s="1" a="1"/>
  <c r="DW135" i="56" s="1"/>
  <c r="DP132" i="56"/>
  <c r="DW132" i="56" s="1" a="1"/>
  <c r="DW132" i="56" s="1"/>
  <c r="DP136" i="56"/>
  <c r="DW136" i="56" s="1" a="1"/>
  <c r="DW136" i="56" s="1"/>
  <c r="HO68" i="56" a="1"/>
  <c r="HO68" i="56" s="1"/>
  <c r="HP68" i="56" s="1"/>
  <c r="HM68" i="56" a="1"/>
  <c r="HM68" i="56" s="1"/>
  <c r="HN68" i="56" s="1"/>
  <c r="HQ68" i="56" a="1"/>
  <c r="HQ68" i="56" s="1"/>
  <c r="HR68" i="56" s="1"/>
  <c r="HI68" i="56" a="1"/>
  <c r="HI68" i="56" s="1"/>
  <c r="HJ68" i="56" s="1"/>
  <c r="HK68" i="56" a="1"/>
  <c r="HK68" i="56" s="1"/>
  <c r="HL68" i="56" s="1"/>
  <c r="HG68" i="56" a="1"/>
  <c r="HG68" i="56" s="1"/>
  <c r="HH68" i="56" s="1"/>
  <c r="DP63" i="56"/>
  <c r="DW63" i="56" s="1" a="1"/>
  <c r="DW63" i="56" s="1"/>
  <c r="DP79" i="56"/>
  <c r="DW79" i="56" s="1" a="1"/>
  <c r="DW79" i="56" s="1"/>
  <c r="DP69" i="56"/>
  <c r="DW69" i="56" s="1" a="1"/>
  <c r="DW69" i="56" s="1"/>
  <c r="DP86" i="56"/>
  <c r="DW86" i="56" s="1" a="1"/>
  <c r="DW86" i="56" s="1"/>
  <c r="DP53" i="56"/>
  <c r="DW53" i="56" s="1" a="1"/>
  <c r="DW53" i="56" s="1"/>
  <c r="DP70" i="56"/>
  <c r="DW70" i="56" s="1" a="1"/>
  <c r="DW70" i="56" s="1"/>
  <c r="DP87" i="56"/>
  <c r="DW87" i="56" s="1" a="1"/>
  <c r="DW87" i="56" s="1"/>
  <c r="DP54" i="56"/>
  <c r="DW54" i="56" s="1" a="1"/>
  <c r="DW54" i="56" s="1"/>
  <c r="DP71" i="56"/>
  <c r="DW71" i="56" s="1" a="1"/>
  <c r="DW71" i="56" s="1"/>
  <c r="DP55" i="56"/>
  <c r="DW55" i="56" s="1" a="1"/>
  <c r="DW55" i="56" s="1"/>
  <c r="DP72" i="56"/>
  <c r="DW72" i="56" s="1" a="1"/>
  <c r="DW72" i="56" s="1"/>
  <c r="DP56" i="56"/>
  <c r="DW56" i="56" s="1" a="1"/>
  <c r="DW56" i="56" s="1"/>
  <c r="DP73" i="56"/>
  <c r="DW73" i="56" s="1" a="1"/>
  <c r="DW73" i="56" s="1"/>
  <c r="DP57" i="56"/>
  <c r="DW57" i="56" s="1" a="1"/>
  <c r="DW57" i="56" s="1"/>
  <c r="DP74" i="56"/>
  <c r="DW74" i="56" s="1" a="1"/>
  <c r="DW74" i="56" s="1"/>
  <c r="DP59" i="56"/>
  <c r="DW59" i="56" s="1" a="1"/>
  <c r="DW59" i="56" s="1"/>
  <c r="DP76" i="56"/>
  <c r="DW76" i="56" s="1" a="1"/>
  <c r="DW76" i="56" s="1"/>
  <c r="DP60" i="56"/>
  <c r="DW60" i="56" s="1" a="1"/>
  <c r="DW60" i="56" s="1"/>
  <c r="DP77" i="56"/>
  <c r="DW77" i="56" s="1" a="1"/>
  <c r="DW77" i="56" s="1"/>
  <c r="DP61" i="56"/>
  <c r="DW61" i="56" s="1" a="1"/>
  <c r="DW61" i="56" s="1"/>
  <c r="DP78" i="56"/>
  <c r="DW78" i="56" s="1" a="1"/>
  <c r="DW78" i="56" s="1"/>
  <c r="DP84" i="56"/>
  <c r="DW84" i="56" s="1" a="1"/>
  <c r="DW84" i="56" s="1"/>
  <c r="DP85" i="56"/>
  <c r="DW85" i="56" s="1" a="1"/>
  <c r="DW85" i="56" s="1"/>
  <c r="DP58" i="56"/>
  <c r="DW58" i="56" s="1" a="1"/>
  <c r="DW58" i="56" s="1"/>
  <c r="DP62" i="56"/>
  <c r="DW62" i="56" s="1" a="1"/>
  <c r="DW62" i="56" s="1"/>
  <c r="DP65" i="56"/>
  <c r="DW65" i="56" s="1" a="1"/>
  <c r="DW65" i="56" s="1"/>
  <c r="DP66" i="56"/>
  <c r="DW66" i="56" s="1" a="1"/>
  <c r="DW66" i="56" s="1"/>
  <c r="DP67" i="56"/>
  <c r="DW67" i="56" s="1" a="1"/>
  <c r="DW67" i="56" s="1"/>
  <c r="DP68" i="56"/>
  <c r="DW68" i="56" s="1" a="1"/>
  <c r="DW68" i="56" s="1"/>
  <c r="DP82" i="56"/>
  <c r="DW82" i="56" s="1" a="1"/>
  <c r="DW82" i="56" s="1"/>
  <c r="DP83" i="56"/>
  <c r="DW83" i="56" s="1" a="1"/>
  <c r="DW83" i="56" s="1"/>
  <c r="DP81" i="56"/>
  <c r="DW81" i="56" s="1" a="1"/>
  <c r="DW81" i="56" s="1"/>
  <c r="DP64" i="56"/>
  <c r="DW64" i="56" s="1" a="1"/>
  <c r="DW64" i="56" s="1"/>
  <c r="DP75" i="56"/>
  <c r="DW75" i="56" s="1" a="1"/>
  <c r="DW75" i="56" s="1"/>
  <c r="DP80" i="56"/>
  <c r="DW80" i="56" s="1" a="1"/>
  <c r="DW80" i="56" s="1"/>
  <c r="IH25" i="56"/>
  <c r="IN25" i="56" s="1"/>
  <c r="BW3" i="40" s="1" a="1"/>
  <c r="BW3" i="40" s="1"/>
  <c r="GR25" i="56"/>
  <c r="N25" i="56" s="1"/>
  <c r="GS25" i="56" s="1"/>
  <c r="GO48" i="56"/>
  <c r="GN48" i="56"/>
  <c r="IK48" i="56" s="1"/>
  <c r="GM49" i="56"/>
  <c r="DP319" i="56"/>
  <c r="DW319" i="56" s="1" a="1"/>
  <c r="DW319" i="56" s="1"/>
  <c r="DP317" i="56"/>
  <c r="DW317" i="56" s="1" a="1"/>
  <c r="DW317" i="56" s="1"/>
  <c r="DP320" i="56"/>
  <c r="DW320" i="56" s="1" a="1"/>
  <c r="DW320" i="56" s="1"/>
  <c r="DP321" i="56"/>
  <c r="DW321" i="56" s="1" a="1"/>
  <c r="DW321" i="56" s="1"/>
  <c r="DP322" i="56"/>
  <c r="DW322" i="56" s="1" a="1"/>
  <c r="DW322" i="56" s="1"/>
  <c r="DP323" i="56"/>
  <c r="DW323" i="56" s="1" a="1"/>
  <c r="DW323" i="56" s="1"/>
  <c r="DP318" i="56"/>
  <c r="DW318" i="56" s="1" a="1"/>
  <c r="DW318" i="56" s="1"/>
  <c r="DP324" i="56"/>
  <c r="DW324" i="56" s="1" a="1"/>
  <c r="DW324" i="56" s="1"/>
  <c r="HT21" i="56"/>
  <c r="GW21" i="56"/>
  <c r="GU21" i="56"/>
  <c r="HS21" i="56" s="1"/>
  <c r="GT21" i="56"/>
  <c r="GP21" i="56"/>
  <c r="GN202" i="56"/>
  <c r="IK202" i="56" s="1"/>
  <c r="GO202" i="56"/>
  <c r="GM203" i="56"/>
  <c r="HE202" i="56"/>
  <c r="HF202" i="56" s="1"/>
  <c r="GN147" i="56"/>
  <c r="IK147" i="56" s="1"/>
  <c r="GO147" i="56"/>
  <c r="GM148" i="56"/>
  <c r="HE147" i="56"/>
  <c r="HF147" i="56" s="1"/>
  <c r="DP111" i="56"/>
  <c r="DW111" i="56" s="1" a="1"/>
  <c r="DW111" i="56" s="1"/>
  <c r="DP127" i="56"/>
  <c r="DW127" i="56" s="1" a="1"/>
  <c r="DW127" i="56" s="1"/>
  <c r="DP103" i="56"/>
  <c r="DW103" i="56" s="1" a="1"/>
  <c r="DW103" i="56" s="1"/>
  <c r="DP120" i="56"/>
  <c r="DW120" i="56" s="1" a="1"/>
  <c r="DW120" i="56" s="1"/>
  <c r="DP104" i="56"/>
  <c r="DW104" i="56" s="1" a="1"/>
  <c r="DW104" i="56" s="1"/>
  <c r="DP121" i="56"/>
  <c r="DW121" i="56" s="1" a="1"/>
  <c r="DW121" i="56" s="1"/>
  <c r="DP105" i="56"/>
  <c r="DW105" i="56" s="1" a="1"/>
  <c r="DW105" i="56" s="1"/>
  <c r="DP122" i="56"/>
  <c r="DW122" i="56" s="1" a="1"/>
  <c r="DW122" i="56" s="1"/>
  <c r="DP107" i="56"/>
  <c r="DW107" i="56" s="1" a="1"/>
  <c r="DW107" i="56" s="1"/>
  <c r="DP124" i="56"/>
  <c r="DW124" i="56" s="1" a="1"/>
  <c r="DW124" i="56" s="1"/>
  <c r="DP108" i="56"/>
  <c r="DW108" i="56" s="1" a="1"/>
  <c r="DW108" i="56" s="1"/>
  <c r="DP125" i="56"/>
  <c r="DW125" i="56" s="1" a="1"/>
  <c r="DW125" i="56" s="1"/>
  <c r="DP113" i="56"/>
  <c r="DW113" i="56" s="1" a="1"/>
  <c r="DW113" i="56" s="1"/>
  <c r="DP115" i="56"/>
  <c r="DW115" i="56" s="1" a="1"/>
  <c r="DW115" i="56" s="1"/>
  <c r="DP116" i="56"/>
  <c r="DW116" i="56" s="1" a="1"/>
  <c r="DW116" i="56" s="1"/>
  <c r="DP117" i="56"/>
  <c r="DW117" i="56" s="1" a="1"/>
  <c r="DW117" i="56" s="1"/>
  <c r="DP118" i="56"/>
  <c r="DW118" i="56" s="1" a="1"/>
  <c r="DW118" i="56" s="1"/>
  <c r="DP119" i="56"/>
  <c r="DW119" i="56" s="1" a="1"/>
  <c r="DW119" i="56" s="1"/>
  <c r="DP123" i="56"/>
  <c r="DW123" i="56" s="1" a="1"/>
  <c r="DW123" i="56" s="1"/>
  <c r="DP128" i="56"/>
  <c r="DW128" i="56" s="1" a="1"/>
  <c r="DW128" i="56" s="1"/>
  <c r="DP129" i="56"/>
  <c r="DW129" i="56" s="1" a="1"/>
  <c r="DW129" i="56" s="1"/>
  <c r="DP102" i="56"/>
  <c r="DW102" i="56" s="1" a="1"/>
  <c r="DW102" i="56" s="1"/>
  <c r="DP106" i="56"/>
  <c r="DW106" i="56" s="1" a="1"/>
  <c r="DW106" i="56" s="1"/>
  <c r="DP109" i="56"/>
  <c r="DW109" i="56" s="1" a="1"/>
  <c r="DW109" i="56" s="1"/>
  <c r="DP112" i="56"/>
  <c r="DW112" i="56" s="1" a="1"/>
  <c r="DW112" i="56" s="1"/>
  <c r="DP126" i="56"/>
  <c r="DW126" i="56" s="1" a="1"/>
  <c r="DW126" i="56" s="1"/>
  <c r="DP110" i="56"/>
  <c r="DW110" i="56" s="1" a="1"/>
  <c r="DW110" i="56" s="1"/>
  <c r="DP114" i="56"/>
  <c r="DW114" i="56" s="1" a="1"/>
  <c r="DW114" i="56" s="1"/>
  <c r="DP26" i="56"/>
  <c r="DW26" i="56" s="1" a="1"/>
  <c r="DW26" i="56" s="1"/>
  <c r="DP27" i="56"/>
  <c r="DP28" i="56"/>
  <c r="DP29" i="56"/>
  <c r="DW29" i="56" s="1" a="1"/>
  <c r="DW29" i="56" s="1"/>
  <c r="DP30" i="56"/>
  <c r="DW30" i="56" s="1" a="1"/>
  <c r="DW30" i="56" s="1"/>
  <c r="HT300" i="56"/>
  <c r="GW300" i="56"/>
  <c r="GU300" i="56"/>
  <c r="HS300" i="56" s="1"/>
  <c r="GT300" i="56"/>
  <c r="GP300" i="56"/>
  <c r="HO239" i="56" a="1"/>
  <c r="HO239" i="56" s="1"/>
  <c r="HP239" i="56" s="1"/>
  <c r="HQ239" i="56" a="1"/>
  <c r="HQ239" i="56" s="1"/>
  <c r="HR239" i="56" s="1"/>
  <c r="HM239" i="56" a="1"/>
  <c r="HM239" i="56" s="1"/>
  <c r="HN239" i="56" s="1"/>
  <c r="HK239" i="56" a="1"/>
  <c r="HK239" i="56" s="1"/>
  <c r="HL239" i="56" s="1"/>
  <c r="HI239" i="56" a="1"/>
  <c r="HI239" i="56" s="1"/>
  <c r="HJ239" i="56" s="1"/>
  <c r="HG239" i="56" a="1"/>
  <c r="HG239" i="56" s="1"/>
  <c r="HH239" i="56" s="1"/>
  <c r="HQ201" i="56" a="1"/>
  <c r="HQ201" i="56" s="1"/>
  <c r="HR201" i="56" s="1"/>
  <c r="HI201" i="56" a="1"/>
  <c r="HI201" i="56" s="1"/>
  <c r="HJ201" i="56" s="1"/>
  <c r="HO201" i="56" a="1"/>
  <c r="HO201" i="56" s="1"/>
  <c r="HP201" i="56" s="1"/>
  <c r="HK201" i="56" a="1"/>
  <c r="HK201" i="56" s="1"/>
  <c r="HL201" i="56" s="1"/>
  <c r="HM201" i="56" a="1"/>
  <c r="HM201" i="56" s="1"/>
  <c r="HN201" i="56" s="1"/>
  <c r="HG201" i="56" a="1"/>
  <c r="HG201" i="56" s="1"/>
  <c r="HH201" i="56" s="1"/>
  <c r="AB21" i="55" a="1"/>
  <c r="AB21" i="55" s="1"/>
  <c r="AB20" i="55" a="1"/>
  <c r="AB20" i="55" s="1"/>
  <c r="AB11" i="55" a="1"/>
  <c r="AB11" i="55" s="1"/>
  <c r="AB13" i="55" a="1"/>
  <c r="AB13" i="55" s="1"/>
  <c r="AB14" i="55" a="1"/>
  <c r="AB14" i="55" s="1"/>
  <c r="AB23" i="55" a="1"/>
  <c r="AB23" i="55" s="1"/>
  <c r="AB18" i="55" a="1"/>
  <c r="AB18" i="55" s="1"/>
  <c r="AB16" i="55" a="1"/>
  <c r="AB16" i="55" s="1"/>
  <c r="AB15" i="55" a="1"/>
  <c r="AB15" i="55" s="1"/>
  <c r="AB22" i="55" a="1"/>
  <c r="AB22" i="55" s="1"/>
  <c r="AB17" i="55" a="1"/>
  <c r="AB17" i="55" s="1"/>
  <c r="AB25" i="55" a="1"/>
  <c r="AB25" i="55" s="1"/>
  <c r="AB12" i="55" a="1"/>
  <c r="AB12" i="55" s="1"/>
  <c r="AB10" i="55" a="1"/>
  <c r="AB10" i="55" s="1"/>
  <c r="AB19" i="55" a="1"/>
  <c r="AB19" i="55" s="1"/>
  <c r="AB24" i="55" a="1"/>
  <c r="AB24" i="55" s="1"/>
  <c r="AB26" i="55" a="1"/>
  <c r="AB26" i="55" s="1"/>
  <c r="GO240" i="56"/>
  <c r="GN240" i="56"/>
  <c r="IK240" i="56" s="1"/>
  <c r="GM241" i="56"/>
  <c r="HE240" i="56"/>
  <c r="HF240" i="56" s="1"/>
  <c r="HT239" i="56"/>
  <c r="GU239" i="56"/>
  <c r="HS239" i="56" s="1"/>
  <c r="GT239" i="56"/>
  <c r="GW239" i="56"/>
  <c r="GP239" i="56"/>
  <c r="GO171" i="56"/>
  <c r="GN171" i="56"/>
  <c r="IK171" i="56" s="1"/>
  <c r="GM172" i="56"/>
  <c r="HE171" i="56"/>
  <c r="HF171" i="56" s="1"/>
  <c r="DP191" i="56"/>
  <c r="DW191" i="56" s="1" a="1"/>
  <c r="DW191" i="56" s="1"/>
  <c r="DP207" i="56"/>
  <c r="DW207" i="56" s="1" a="1"/>
  <c r="DW207" i="56" s="1"/>
  <c r="DP223" i="56"/>
  <c r="DW223" i="56" s="1" a="1"/>
  <c r="DW223" i="56" s="1"/>
  <c r="DP188" i="56"/>
  <c r="DW188" i="56" s="1" a="1"/>
  <c r="DW188" i="56" s="1"/>
  <c r="DP205" i="56"/>
  <c r="DW205" i="56" s="1" a="1"/>
  <c r="DW205" i="56" s="1"/>
  <c r="DP222" i="56"/>
  <c r="DW222" i="56" s="1" a="1"/>
  <c r="DW222" i="56" s="1"/>
  <c r="DP189" i="56"/>
  <c r="DW189" i="56" s="1" a="1"/>
  <c r="DW189" i="56" s="1"/>
  <c r="DP206" i="56"/>
  <c r="DW206" i="56" s="1" a="1"/>
  <c r="DW206" i="56" s="1"/>
  <c r="DP190" i="56"/>
  <c r="DW190" i="56" s="1" a="1"/>
  <c r="DW190" i="56" s="1"/>
  <c r="DP208" i="56"/>
  <c r="DW208" i="56" s="1" a="1"/>
  <c r="DW208" i="56" s="1"/>
  <c r="DP193" i="56"/>
  <c r="DW193" i="56" s="1" a="1"/>
  <c r="DW193" i="56" s="1"/>
  <c r="DP210" i="56"/>
  <c r="DW210" i="56" s="1" a="1"/>
  <c r="DW210" i="56" s="1"/>
  <c r="DP194" i="56"/>
  <c r="DW194" i="56" s="1" a="1"/>
  <c r="DW194" i="56" s="1"/>
  <c r="DP211" i="56"/>
  <c r="DW211" i="56" s="1" a="1"/>
  <c r="DW211" i="56" s="1"/>
  <c r="DP187" i="56"/>
  <c r="DW187" i="56" s="1" a="1"/>
  <c r="DW187" i="56" s="1"/>
  <c r="DP215" i="56"/>
  <c r="DW215" i="56" s="1" a="1"/>
  <c r="DW215" i="56" s="1"/>
  <c r="DP192" i="56"/>
  <c r="DW192" i="56" s="1" a="1"/>
  <c r="DW192" i="56" s="1"/>
  <c r="DP216" i="56"/>
  <c r="DW216" i="56" s="1" a="1"/>
  <c r="DW216" i="56" s="1"/>
  <c r="DP195" i="56"/>
  <c r="DW195" i="56" s="1" a="1"/>
  <c r="DW195" i="56" s="1"/>
  <c r="DP217" i="56"/>
  <c r="DW217" i="56" s="1" a="1"/>
  <c r="DW217" i="56" s="1"/>
  <c r="DP196" i="56"/>
  <c r="DW196" i="56" s="1" a="1"/>
  <c r="DW196" i="56" s="1"/>
  <c r="DP218" i="56"/>
  <c r="DW218" i="56" s="1" a="1"/>
  <c r="DW218" i="56" s="1"/>
  <c r="DP197" i="56"/>
  <c r="DW197" i="56" s="1" a="1"/>
  <c r="DW197" i="56" s="1"/>
  <c r="DP219" i="56"/>
  <c r="DW219" i="56" s="1" a="1"/>
  <c r="DW219" i="56" s="1"/>
  <c r="DP198" i="56"/>
  <c r="DW198" i="56" s="1" a="1"/>
  <c r="DW198" i="56" s="1"/>
  <c r="DP220" i="56"/>
  <c r="DW220" i="56" s="1" a="1"/>
  <c r="DW220" i="56" s="1"/>
  <c r="DP200" i="56"/>
  <c r="DW200" i="56" s="1" a="1"/>
  <c r="DW200" i="56" s="1"/>
  <c r="DP201" i="56"/>
  <c r="DW201" i="56" s="1" a="1"/>
  <c r="DW201" i="56" s="1"/>
  <c r="DP202" i="56"/>
  <c r="DW202" i="56" s="1" a="1"/>
  <c r="DW202" i="56" s="1"/>
  <c r="DP203" i="56"/>
  <c r="DW203" i="56" s="1" a="1"/>
  <c r="DW203" i="56" s="1"/>
  <c r="DP221" i="56"/>
  <c r="DW221" i="56" s="1" a="1"/>
  <c r="DW221" i="56" s="1"/>
  <c r="DP185" i="56"/>
  <c r="DW185" i="56" s="1" a="1"/>
  <c r="DW185" i="56" s="1"/>
  <c r="DP214" i="56"/>
  <c r="DW214" i="56" s="1" a="1"/>
  <c r="DW214" i="56" s="1"/>
  <c r="DP186" i="56"/>
  <c r="DW186" i="56" s="1" a="1"/>
  <c r="DW186" i="56" s="1"/>
  <c r="DP199" i="56"/>
  <c r="DW199" i="56" s="1" a="1"/>
  <c r="DW199" i="56" s="1"/>
  <c r="DP204" i="56"/>
  <c r="DW204" i="56" s="1" a="1"/>
  <c r="DW204" i="56" s="1"/>
  <c r="DP209" i="56"/>
  <c r="DW209" i="56" s="1" a="1"/>
  <c r="DW209" i="56" s="1"/>
  <c r="DP212" i="56"/>
  <c r="DW212" i="56" s="1" a="1"/>
  <c r="DW212" i="56" s="1"/>
  <c r="DP213" i="56"/>
  <c r="DW213" i="56" s="1" a="1"/>
  <c r="DW213" i="56" s="1"/>
  <c r="DP184" i="56"/>
  <c r="HT146" i="56"/>
  <c r="GP146" i="56"/>
  <c r="GU146" i="56"/>
  <c r="HS146" i="56" s="1"/>
  <c r="GW146" i="56"/>
  <c r="GT146" i="56"/>
  <c r="GO69" i="56"/>
  <c r="GN69" i="56"/>
  <c r="IK69" i="56" s="1"/>
  <c r="GM70" i="56"/>
  <c r="HE69" i="56"/>
  <c r="HF69" i="56" s="1"/>
  <c r="HT68" i="56"/>
  <c r="GU68" i="56"/>
  <c r="HS68" i="56" s="1"/>
  <c r="GT68" i="56"/>
  <c r="GP68" i="56"/>
  <c r="GW68" i="56"/>
  <c r="HK117" i="56" a="1"/>
  <c r="HK117" i="56" s="1"/>
  <c r="HL117" i="56" s="1"/>
  <c r="HQ117" i="56" a="1"/>
  <c r="HQ117" i="56" s="1"/>
  <c r="HR117" i="56" s="1"/>
  <c r="HM117" i="56" a="1"/>
  <c r="HM117" i="56" s="1"/>
  <c r="HN117" i="56" s="1"/>
  <c r="HO117" i="56" a="1"/>
  <c r="HO117" i="56" s="1"/>
  <c r="HP117" i="56" s="1"/>
  <c r="HG117" i="56" a="1"/>
  <c r="HG117" i="56" s="1"/>
  <c r="HH117" i="56" s="1"/>
  <c r="HI117" i="56" a="1"/>
  <c r="HI117" i="56" s="1"/>
  <c r="HJ117" i="56" s="1"/>
  <c r="HT47" i="56"/>
  <c r="GW47" i="56"/>
  <c r="GP47" i="56"/>
  <c r="GT47" i="56"/>
  <c r="GU47" i="56"/>
  <c r="HS47" i="56" s="1"/>
  <c r="GN118" i="56"/>
  <c r="IK118" i="56" s="1"/>
  <c r="GO118" i="56"/>
  <c r="GM119" i="56"/>
  <c r="HE118" i="56"/>
  <c r="HF118" i="56" s="1"/>
  <c r="DP325" i="56"/>
  <c r="DW325" i="56" s="1" a="1"/>
  <c r="DW325" i="56" s="1"/>
  <c r="DP327" i="56"/>
  <c r="DW327" i="56" s="1" a="1"/>
  <c r="DW327" i="56" s="1"/>
  <c r="DP329" i="56"/>
  <c r="DW329" i="56" s="1" a="1"/>
  <c r="DW329" i="56" s="1"/>
  <c r="DP326" i="56"/>
  <c r="DW326" i="56" s="1" a="1"/>
  <c r="DW326" i="56" s="1"/>
  <c r="DP328" i="56"/>
  <c r="DW328" i="56" s="1" a="1"/>
  <c r="DW328" i="56" s="1"/>
  <c r="DP330" i="56"/>
  <c r="DW330" i="56" s="1" a="1"/>
  <c r="DW330" i="56" s="1"/>
  <c r="DP333" i="56"/>
  <c r="DW333" i="56" s="1" a="1"/>
  <c r="DW333" i="56" s="1"/>
  <c r="DP334" i="56"/>
  <c r="DW334" i="56" s="1" a="1"/>
  <c r="DW334" i="56" s="1"/>
  <c r="DP331" i="56"/>
  <c r="DW331" i="56" s="1" a="1"/>
  <c r="DW331" i="56" s="1"/>
  <c r="DP332" i="56"/>
  <c r="DW332" i="56" s="1" a="1"/>
  <c r="DW332" i="56" s="1"/>
  <c r="DP287" i="56"/>
  <c r="DW287" i="56" s="1" a="1"/>
  <c r="DW287" i="56" s="1"/>
  <c r="DP303" i="56"/>
  <c r="DW303" i="56" s="1" a="1"/>
  <c r="DW303" i="56" s="1"/>
  <c r="DP291" i="56"/>
  <c r="DW291" i="56" s="1" a="1"/>
  <c r="DW291" i="56" s="1"/>
  <c r="DP308" i="56"/>
  <c r="DW308" i="56" s="1" a="1"/>
  <c r="DW308" i="56" s="1"/>
  <c r="DP293" i="56"/>
  <c r="DW293" i="56" s="1" a="1"/>
  <c r="DW293" i="56" s="1"/>
  <c r="DP310" i="56"/>
  <c r="DW310" i="56" s="1" a="1"/>
  <c r="DW310" i="56" s="1"/>
  <c r="DP295" i="56"/>
  <c r="DW295" i="56" s="1" a="1"/>
  <c r="DW295" i="56" s="1"/>
  <c r="DP312" i="56"/>
  <c r="DW312" i="56" s="1" a="1"/>
  <c r="DW312" i="56" s="1"/>
  <c r="DP296" i="56"/>
  <c r="DW296" i="56" s="1" a="1"/>
  <c r="DW296" i="56" s="1"/>
  <c r="DP286" i="56"/>
  <c r="DW286" i="56" s="1" a="1"/>
  <c r="DW286" i="56" s="1"/>
  <c r="DP309" i="56"/>
  <c r="DW309" i="56" s="1" a="1"/>
  <c r="DW309" i="56" s="1"/>
  <c r="DP288" i="56"/>
  <c r="DW288" i="56" s="1" a="1"/>
  <c r="DW288" i="56" s="1"/>
  <c r="DP311" i="56"/>
  <c r="DW311" i="56" s="1" a="1"/>
  <c r="DW311" i="56" s="1"/>
  <c r="DP289" i="56"/>
  <c r="DW289" i="56" s="1" a="1"/>
  <c r="DW289" i="56" s="1"/>
  <c r="DP290" i="56"/>
  <c r="DW290" i="56" s="1" a="1"/>
  <c r="DW290" i="56" s="1"/>
  <c r="DP292" i="56"/>
  <c r="DW292" i="56" s="1" a="1"/>
  <c r="DW292" i="56" s="1"/>
  <c r="DP294" i="56"/>
  <c r="DW294" i="56" s="1" a="1"/>
  <c r="DW294" i="56" s="1"/>
  <c r="DP298" i="56"/>
  <c r="DW298" i="56" s="1" a="1"/>
  <c r="DW298" i="56" s="1"/>
  <c r="DP299" i="56"/>
  <c r="DW299" i="56" s="1" a="1"/>
  <c r="DW299" i="56" s="1"/>
  <c r="DP300" i="56"/>
  <c r="DW300" i="56" s="1" a="1"/>
  <c r="DW300" i="56" s="1"/>
  <c r="DP301" i="56"/>
  <c r="DW301" i="56" s="1" a="1"/>
  <c r="DW301" i="56" s="1"/>
  <c r="DP284" i="56"/>
  <c r="DW284" i="56" s="1" a="1"/>
  <c r="DW284" i="56" s="1"/>
  <c r="DP285" i="56"/>
  <c r="DW285" i="56" s="1" a="1"/>
  <c r="DW285" i="56" s="1"/>
  <c r="DP297" i="56"/>
  <c r="DW297" i="56" s="1" a="1"/>
  <c r="DW297" i="56" s="1"/>
  <c r="DP302" i="56"/>
  <c r="DW302" i="56" s="1" a="1"/>
  <c r="DW302" i="56" s="1"/>
  <c r="DP306" i="56"/>
  <c r="DW306" i="56" s="1" a="1"/>
  <c r="DW306" i="56" s="1"/>
  <c r="DP283" i="56"/>
  <c r="DP304" i="56"/>
  <c r="DW304" i="56" s="1" a="1"/>
  <c r="DW304" i="56" s="1"/>
  <c r="DP307" i="56"/>
  <c r="DW307" i="56" s="1" a="1"/>
  <c r="DW307" i="56" s="1"/>
  <c r="DP305" i="56"/>
  <c r="DW305" i="56" s="1" a="1"/>
  <c r="DW305" i="56" s="1"/>
  <c r="II8" i="56"/>
  <c r="DP239" i="56"/>
  <c r="DW239" i="56" s="1" a="1"/>
  <c r="DW239" i="56" s="1"/>
  <c r="DP255" i="56"/>
  <c r="DW255" i="56" s="1" a="1"/>
  <c r="DW255" i="56" s="1"/>
  <c r="DP271" i="56"/>
  <c r="DW271" i="56" s="1" a="1"/>
  <c r="DW271" i="56" s="1"/>
  <c r="DP240" i="56"/>
  <c r="DW240" i="56" s="1" a="1"/>
  <c r="DW240" i="56" s="1"/>
  <c r="DP257" i="56"/>
  <c r="DW257" i="56" s="1" a="1"/>
  <c r="DW257" i="56" s="1"/>
  <c r="DP274" i="56"/>
  <c r="DW274" i="56" s="1" a="1"/>
  <c r="DW274" i="56" s="1"/>
  <c r="DP224" i="56"/>
  <c r="DP241" i="56"/>
  <c r="DW241" i="56" s="1" a="1"/>
  <c r="DW241" i="56" s="1"/>
  <c r="DP258" i="56"/>
  <c r="DW258" i="56" s="1" a="1"/>
  <c r="DW258" i="56" s="1"/>
  <c r="DP225" i="56"/>
  <c r="DW225" i="56" s="1" a="1"/>
  <c r="DW225" i="56" s="1"/>
  <c r="DP242" i="56"/>
  <c r="DW242" i="56" s="1" a="1"/>
  <c r="DW242" i="56" s="1"/>
  <c r="DP259" i="56"/>
  <c r="DW259" i="56" s="1" a="1"/>
  <c r="DW259" i="56" s="1"/>
  <c r="DP276" i="56"/>
  <c r="DW276" i="56" s="1" a="1"/>
  <c r="DW276" i="56" s="1"/>
  <c r="DP227" i="56"/>
  <c r="DW227" i="56" s="1" a="1"/>
  <c r="DW227" i="56" s="1"/>
  <c r="DP244" i="56"/>
  <c r="DW244" i="56" s="1" a="1"/>
  <c r="DW244" i="56" s="1"/>
  <c r="DP261" i="56"/>
  <c r="DW261" i="56" s="1" a="1"/>
  <c r="DW261" i="56" s="1"/>
  <c r="DP278" i="56"/>
  <c r="DW278" i="56" s="1" a="1"/>
  <c r="DW278" i="56" s="1"/>
  <c r="DP228" i="56"/>
  <c r="DW228" i="56" s="1" a="1"/>
  <c r="DW228" i="56" s="1"/>
  <c r="DP245" i="56"/>
  <c r="DW245" i="56" s="1" a="1"/>
  <c r="DW245" i="56" s="1"/>
  <c r="DP262" i="56"/>
  <c r="DW262" i="56" s="1" a="1"/>
  <c r="DW262" i="56" s="1"/>
  <c r="DP279" i="56"/>
  <c r="DW279" i="56" s="1" a="1"/>
  <c r="DW279" i="56" s="1"/>
  <c r="DP237" i="56"/>
  <c r="DW237" i="56" s="1" a="1"/>
  <c r="DW237" i="56" s="1"/>
  <c r="DP265" i="56"/>
  <c r="DW265" i="56" s="1" a="1"/>
  <c r="DW265" i="56" s="1"/>
  <c r="DP238" i="56"/>
  <c r="DW238" i="56" s="1" a="1"/>
  <c r="DW238" i="56" s="1"/>
  <c r="DP266" i="56"/>
  <c r="DW266" i="56" s="1" a="1"/>
  <c r="DW266" i="56" s="1"/>
  <c r="DP243" i="56"/>
  <c r="DW243" i="56" s="1" a="1"/>
  <c r="DW243" i="56" s="1"/>
  <c r="DP267" i="56"/>
  <c r="DW267" i="56" s="1" a="1"/>
  <c r="DW267" i="56" s="1"/>
  <c r="DP246" i="56"/>
  <c r="DW246" i="56" s="1" a="1"/>
  <c r="DW246" i="56" s="1"/>
  <c r="DP268" i="56"/>
  <c r="DW268" i="56" s="1" a="1"/>
  <c r="DW268" i="56" s="1"/>
  <c r="DP247" i="56"/>
  <c r="DW247" i="56" s="1" a="1"/>
  <c r="DW247" i="56" s="1"/>
  <c r="DP269" i="56"/>
  <c r="DW269" i="56" s="1" a="1"/>
  <c r="DW269" i="56" s="1"/>
  <c r="DP248" i="56"/>
  <c r="DW248" i="56" s="1" a="1"/>
  <c r="DW248" i="56" s="1"/>
  <c r="DP270" i="56"/>
  <c r="DW270" i="56" s="1" a="1"/>
  <c r="DW270" i="56" s="1"/>
  <c r="DP226" i="56"/>
  <c r="DW226" i="56" s="1" a="1"/>
  <c r="DW226" i="56" s="1"/>
  <c r="DP250" i="56"/>
  <c r="DW250" i="56" s="1" a="1"/>
  <c r="DW250" i="56" s="1"/>
  <c r="DP273" i="56"/>
  <c r="DW273" i="56" s="1" a="1"/>
  <c r="DW273" i="56" s="1"/>
  <c r="DP229" i="56"/>
  <c r="DW229" i="56" s="1" a="1"/>
  <c r="DW229" i="56" s="1"/>
  <c r="DP251" i="56"/>
  <c r="DW251" i="56" s="1" a="1"/>
  <c r="DW251" i="56" s="1"/>
  <c r="DP275" i="56"/>
  <c r="DW275" i="56" s="1" a="1"/>
  <c r="DW275" i="56" s="1"/>
  <c r="DP230" i="56"/>
  <c r="DW230" i="56" s="1" a="1"/>
  <c r="DW230" i="56" s="1"/>
  <c r="DP252" i="56"/>
  <c r="DW252" i="56" s="1" a="1"/>
  <c r="DW252" i="56" s="1"/>
  <c r="DP277" i="56"/>
  <c r="DW277" i="56" s="1" a="1"/>
  <c r="DW277" i="56" s="1"/>
  <c r="DP231" i="56"/>
  <c r="DW231" i="56" s="1" a="1"/>
  <c r="DW231" i="56" s="1"/>
  <c r="DP253" i="56"/>
  <c r="DW253" i="56" s="1" a="1"/>
  <c r="DW253" i="56" s="1"/>
  <c r="DP280" i="56"/>
  <c r="DW280" i="56" s="1" a="1"/>
  <c r="DW280" i="56" s="1"/>
  <c r="DP232" i="56"/>
  <c r="DW232" i="56" s="1" a="1"/>
  <c r="DW232" i="56" s="1"/>
  <c r="DP233" i="56"/>
  <c r="DW233" i="56" s="1" a="1"/>
  <c r="DW233" i="56" s="1"/>
  <c r="DP234" i="56"/>
  <c r="DW234" i="56" s="1" a="1"/>
  <c r="DW234" i="56" s="1"/>
  <c r="DP235" i="56"/>
  <c r="DW235" i="56" s="1" a="1"/>
  <c r="DW235" i="56" s="1"/>
  <c r="DP249" i="56"/>
  <c r="DW249" i="56" s="1" a="1"/>
  <c r="DW249" i="56" s="1"/>
  <c r="DP256" i="56"/>
  <c r="DW256" i="56" s="1" a="1"/>
  <c r="DW256" i="56" s="1"/>
  <c r="DP282" i="56"/>
  <c r="DW282" i="56" s="1" a="1"/>
  <c r="DW282" i="56" s="1"/>
  <c r="DP236" i="56"/>
  <c r="DW236" i="56" s="1" a="1"/>
  <c r="DW236" i="56" s="1"/>
  <c r="DP254" i="56"/>
  <c r="DW254" i="56" s="1" a="1"/>
  <c r="DW254" i="56" s="1"/>
  <c r="DP281" i="56"/>
  <c r="DW281" i="56" s="1" a="1"/>
  <c r="DW281" i="56" s="1"/>
  <c r="DP272" i="56"/>
  <c r="DW272" i="56" s="1" a="1"/>
  <c r="DW272" i="56" s="1"/>
  <c r="DP263" i="56"/>
  <c r="DW263" i="56" s="1" a="1"/>
  <c r="DW263" i="56" s="1"/>
  <c r="DP264" i="56"/>
  <c r="DW264" i="56" s="1" a="1"/>
  <c r="DW264" i="56" s="1"/>
  <c r="DP260" i="56"/>
  <c r="DW260" i="56" s="1" a="1"/>
  <c r="DW260" i="56" s="1"/>
  <c r="GN301" i="56"/>
  <c r="IK301" i="56" s="1"/>
  <c r="GO301" i="56"/>
  <c r="GM302" i="56"/>
  <c r="HE301" i="56"/>
  <c r="HF301" i="56" s="1"/>
  <c r="DP351" i="56"/>
  <c r="DW351" i="56" s="1" a="1"/>
  <c r="DW351" i="56" s="1"/>
  <c r="DP342" i="56"/>
  <c r="DW342" i="56" s="1" a="1"/>
  <c r="DW342" i="56" s="1"/>
  <c r="DP344" i="56"/>
  <c r="DW344" i="56" s="1" a="1"/>
  <c r="DW344" i="56" s="1"/>
  <c r="DP346" i="56"/>
  <c r="DW346" i="56" s="1" a="1"/>
  <c r="DW346" i="56" s="1"/>
  <c r="DP347" i="56"/>
  <c r="DW347" i="56" s="1" a="1"/>
  <c r="DW347" i="56" s="1"/>
  <c r="DP341" i="56"/>
  <c r="DW341" i="56" s="1" a="1"/>
  <c r="DW341" i="56" s="1"/>
  <c r="DP343" i="56"/>
  <c r="DW343" i="56" s="1" a="1"/>
  <c r="DW343" i="56" s="1"/>
  <c r="DP345" i="56"/>
  <c r="DW345" i="56" s="1" a="1"/>
  <c r="DW345" i="56" s="1"/>
  <c r="DP348" i="56"/>
  <c r="DW348" i="56" s="1" a="1"/>
  <c r="DW348" i="56" s="1"/>
  <c r="DP350" i="56"/>
  <c r="DW350" i="56" s="1" a="1"/>
  <c r="DW350" i="56" s="1"/>
  <c r="DP352" i="56"/>
  <c r="DW352" i="56" s="1" a="1"/>
  <c r="DW352" i="56" s="1"/>
  <c r="DP349" i="56"/>
  <c r="DW349" i="56" s="1" a="1"/>
  <c r="DW349" i="56" s="1"/>
  <c r="HK21" i="56" a="1"/>
  <c r="HK21" i="56" s="1"/>
  <c r="HL21" i="56" s="1"/>
  <c r="HM21" i="56" a="1"/>
  <c r="HM21" i="56" s="1"/>
  <c r="HN21" i="56" s="1"/>
  <c r="HO21" i="56" a="1"/>
  <c r="HO21" i="56" s="1"/>
  <c r="HP21" i="56" s="1"/>
  <c r="HQ21" i="56" a="1"/>
  <c r="HQ21" i="56" s="1"/>
  <c r="HR21" i="56" s="1"/>
  <c r="HI21" i="56" a="1"/>
  <c r="HI21" i="56" s="1"/>
  <c r="HJ21" i="56" s="1"/>
  <c r="HG21" i="56" a="1"/>
  <c r="HG21" i="56" s="1"/>
  <c r="HH21" i="56" s="1"/>
  <c r="DP313" i="56"/>
  <c r="DW313" i="56" s="1" a="1"/>
  <c r="DW313" i="56" s="1"/>
  <c r="DP314" i="56"/>
  <c r="DW314" i="56" s="1" a="1"/>
  <c r="DW314" i="56" s="1"/>
  <c r="DP315" i="56"/>
  <c r="DW315" i="56" s="1" a="1"/>
  <c r="DW315" i="56" s="1"/>
  <c r="DP316" i="56"/>
  <c r="DW316" i="56" s="1" a="1"/>
  <c r="DW316" i="56" s="1"/>
  <c r="HH5" i="56"/>
  <c r="DP95" i="56"/>
  <c r="DW95" i="56" s="1" a="1"/>
  <c r="DW95" i="56" s="1"/>
  <c r="DP88" i="56"/>
  <c r="DW88" i="56" s="1" a="1"/>
  <c r="DW88" i="56" s="1"/>
  <c r="DP90" i="56"/>
  <c r="DW90" i="56" s="1" a="1"/>
  <c r="DW90" i="56" s="1"/>
  <c r="DP91" i="56"/>
  <c r="DW91" i="56" s="1" a="1"/>
  <c r="DW91" i="56" s="1"/>
  <c r="DP93" i="56"/>
  <c r="DW93" i="56" s="1" a="1"/>
  <c r="DW93" i="56" s="1"/>
  <c r="DP96" i="56"/>
  <c r="DW96" i="56" s="1" a="1"/>
  <c r="DW96" i="56" s="1"/>
  <c r="DP89" i="56"/>
  <c r="DW89" i="56" s="1" a="1"/>
  <c r="DW89" i="56" s="1"/>
  <c r="DP92" i="56"/>
  <c r="DW92" i="56" s="1" a="1"/>
  <c r="DW92" i="56" s="1"/>
  <c r="DP94" i="56"/>
  <c r="DW94" i="56" s="1" a="1"/>
  <c r="DW94" i="56" s="1"/>
  <c r="DP97" i="56"/>
  <c r="DW97" i="56" s="1" a="1"/>
  <c r="DW97" i="56" s="1"/>
  <c r="DP99" i="56"/>
  <c r="DW99" i="56" s="1" a="1"/>
  <c r="DW99" i="56" s="1"/>
  <c r="DP100" i="56"/>
  <c r="DW100" i="56" s="1" a="1"/>
  <c r="DW100" i="56" s="1"/>
  <c r="DP101" i="56"/>
  <c r="DW101" i="56" s="1" a="1"/>
  <c r="DW101" i="56" s="1"/>
  <c r="DP98" i="56"/>
  <c r="DW98" i="56" s="1" a="1"/>
  <c r="DW98" i="56" s="1"/>
  <c r="HT117" i="56"/>
  <c r="GW117" i="56"/>
  <c r="GT117" i="56"/>
  <c r="GU117" i="56"/>
  <c r="HS117" i="56" s="1"/>
  <c r="GP117" i="56"/>
  <c r="ID11" i="56"/>
  <c r="ID13" i="56" s="1"/>
  <c r="ID14" i="56" s="1"/>
  <c r="ID17" i="56" s="1"/>
  <c r="ID18" i="56" s="1"/>
  <c r="ID20" i="56" s="1"/>
  <c r="ID21" i="56" s="1"/>
  <c r="GI50" i="56"/>
  <c r="GJ50" i="56" s="1"/>
  <c r="GH51" i="56"/>
  <c r="HQ300" i="56" a="1"/>
  <c r="HQ300" i="56" s="1"/>
  <c r="HR300" i="56" s="1"/>
  <c r="HO300" i="56" a="1"/>
  <c r="HO300" i="56" s="1"/>
  <c r="HP300" i="56" s="1"/>
  <c r="HG300" i="56" a="1"/>
  <c r="HG300" i="56" s="1"/>
  <c r="HH300" i="56" s="1"/>
  <c r="HM300" i="56" a="1"/>
  <c r="HM300" i="56" s="1"/>
  <c r="HN300" i="56" s="1"/>
  <c r="HK300" i="56" a="1"/>
  <c r="HK300" i="56" s="1"/>
  <c r="HL300" i="56" s="1"/>
  <c r="HI300" i="56" a="1"/>
  <c r="HI300" i="56" s="1"/>
  <c r="HJ300" i="56" s="1"/>
  <c r="DP31" i="56"/>
  <c r="DP47" i="56"/>
  <c r="DW47" i="56" s="1" a="1"/>
  <c r="DW47" i="56" s="1"/>
  <c r="DP35" i="56"/>
  <c r="DW35" i="56" s="1" a="1"/>
  <c r="DW35" i="56" s="1"/>
  <c r="DP52" i="56"/>
  <c r="DW52" i="56" s="1" a="1"/>
  <c r="DW52" i="56" s="1"/>
  <c r="DP36" i="56"/>
  <c r="DW36" i="56" s="1" a="1"/>
  <c r="DW36" i="56" s="1"/>
  <c r="DP37" i="56"/>
  <c r="DW37" i="56" s="1" a="1"/>
  <c r="DW37" i="56" s="1"/>
  <c r="DP38" i="56"/>
  <c r="DW38" i="56" s="1" a="1"/>
  <c r="DW38" i="56" s="1"/>
  <c r="DP39" i="56"/>
  <c r="DW39" i="56" s="1" a="1"/>
  <c r="DW39" i="56" s="1"/>
  <c r="DP40" i="56"/>
  <c r="DW40" i="56" s="1" a="1"/>
  <c r="DW40" i="56" s="1"/>
  <c r="DP42" i="56"/>
  <c r="DW42" i="56" s="1" a="1"/>
  <c r="DW42" i="56" s="1"/>
  <c r="DP43" i="56"/>
  <c r="DW43" i="56" s="1" a="1"/>
  <c r="DW43" i="56" s="1"/>
  <c r="DP44" i="56"/>
  <c r="DW44" i="56" s="1" a="1"/>
  <c r="DW44" i="56" s="1"/>
  <c r="DP48" i="56"/>
  <c r="DW48" i="56" s="1" a="1"/>
  <c r="DW48" i="56" s="1"/>
  <c r="DP49" i="56"/>
  <c r="DW49" i="56" s="1" a="1"/>
  <c r="DW49" i="56" s="1"/>
  <c r="DP50" i="56"/>
  <c r="DP51" i="56"/>
  <c r="DW51" i="56" s="1" a="1"/>
  <c r="DW51" i="56" s="1"/>
  <c r="DP32" i="56"/>
  <c r="DW32" i="56" s="1" a="1"/>
  <c r="DW32" i="56" s="1"/>
  <c r="DP34" i="56"/>
  <c r="DW34" i="56" s="1" a="1"/>
  <c r="DW34" i="56" s="1"/>
  <c r="DP41" i="56"/>
  <c r="DW41" i="56" s="1" a="1"/>
  <c r="DW41" i="56" s="1"/>
  <c r="DP45" i="56"/>
  <c r="DW45" i="56" s="1" a="1"/>
  <c r="DW45" i="56" s="1"/>
  <c r="DP46" i="56"/>
  <c r="DW46" i="56" s="1" a="1"/>
  <c r="DW46" i="56" s="1"/>
  <c r="DP33" i="56"/>
  <c r="DW33" i="56" s="1" a="1"/>
  <c r="DW33" i="56" s="1"/>
  <c r="GN22" i="56"/>
  <c r="IK22" i="56" s="1"/>
  <c r="GO22" i="56"/>
  <c r="GM23" i="56"/>
  <c r="HE22" i="56"/>
  <c r="HF22" i="56" s="1"/>
  <c r="IO25" i="56" l="1"/>
  <c r="BX3" i="40" s="1" a="1"/>
  <c r="BX3" i="40" s="1"/>
  <c r="N34" i="42" s="1"/>
  <c r="P34" i="42" s="1"/>
  <c r="AE34" i="42" s="1"/>
  <c r="C24" i="61"/>
  <c r="G10" i="59"/>
  <c r="DN16" i="56"/>
  <c r="R16" i="56" s="1"/>
  <c r="DN5" i="56"/>
  <c r="R5" i="56" s="1"/>
  <c r="DN22" i="56"/>
  <c r="R22" i="56" s="1"/>
  <c r="DN6" i="56"/>
  <c r="R6" i="56" s="1"/>
  <c r="HA6" i="56" s="1"/>
  <c r="DN23" i="56"/>
  <c r="R23" i="56" s="1"/>
  <c r="DN7" i="56"/>
  <c r="R7" i="56" s="1"/>
  <c r="HA7" i="56" s="1"/>
  <c r="DN24" i="56"/>
  <c r="R24" i="56" s="1"/>
  <c r="DN8" i="56"/>
  <c r="R8" i="56" s="1"/>
  <c r="HA8" i="56" s="1"/>
  <c r="DN25" i="56"/>
  <c r="DN9" i="56"/>
  <c r="R9" i="56" s="1"/>
  <c r="HA9" i="56" s="1"/>
  <c r="DN10" i="56"/>
  <c r="R10" i="56" s="1"/>
  <c r="HA10" i="56" s="1"/>
  <c r="DN12" i="56"/>
  <c r="R12" i="56" s="1"/>
  <c r="HA12" i="56" s="1"/>
  <c r="DN13" i="56"/>
  <c r="R13" i="56" s="1"/>
  <c r="HA13" i="56" s="1"/>
  <c r="DN14" i="56"/>
  <c r="R14" i="56" s="1"/>
  <c r="DN15" i="56"/>
  <c r="R15" i="56" s="1"/>
  <c r="DN11" i="56"/>
  <c r="DN17" i="56"/>
  <c r="R17" i="56" s="1"/>
  <c r="DN18" i="56"/>
  <c r="R18" i="56" s="1"/>
  <c r="HA18" i="56" s="1"/>
  <c r="DN19" i="56"/>
  <c r="R19" i="56" s="1"/>
  <c r="HA19" i="56" s="1"/>
  <c r="DN4" i="56"/>
  <c r="DN3" i="56"/>
  <c r="DN20" i="56"/>
  <c r="R20" i="56" s="1"/>
  <c r="HA20" i="56" s="1"/>
  <c r="DN21" i="56"/>
  <c r="R21" i="56" s="1"/>
  <c r="V10" i="55"/>
  <c r="F4" i="61" a="1"/>
  <c r="F4" i="61" s="1"/>
  <c r="DN224" i="56"/>
  <c r="DN240" i="56"/>
  <c r="R240" i="56" s="1"/>
  <c r="DN256" i="56"/>
  <c r="R256" i="56" s="1"/>
  <c r="DN272" i="56"/>
  <c r="R272" i="56" s="1"/>
  <c r="DN227" i="56"/>
  <c r="R227" i="56" s="1"/>
  <c r="HA227" i="56" s="1"/>
  <c r="DN244" i="56"/>
  <c r="R244" i="56" s="1"/>
  <c r="DN261" i="56"/>
  <c r="R261" i="56" s="1"/>
  <c r="DN278" i="56"/>
  <c r="R278" i="56" s="1"/>
  <c r="DN228" i="56"/>
  <c r="R228" i="56" s="1"/>
  <c r="HA228" i="56" s="1"/>
  <c r="DN245" i="56"/>
  <c r="R245" i="56" s="1"/>
  <c r="DN262" i="56"/>
  <c r="R262" i="56" s="1"/>
  <c r="DN279" i="56"/>
  <c r="R279" i="56" s="1"/>
  <c r="DN229" i="56"/>
  <c r="R229" i="56" s="1"/>
  <c r="HA229" i="56" s="1"/>
  <c r="DN246" i="56"/>
  <c r="R246" i="56" s="1"/>
  <c r="DN263" i="56"/>
  <c r="R263" i="56" s="1"/>
  <c r="DN280" i="56"/>
  <c r="R280" i="56" s="1"/>
  <c r="DN230" i="56"/>
  <c r="R230" i="56" s="1"/>
  <c r="HA230" i="56" s="1"/>
  <c r="DN247" i="56"/>
  <c r="R247" i="56" s="1"/>
  <c r="DN264" i="56"/>
  <c r="R264" i="56" s="1"/>
  <c r="DN281" i="56"/>
  <c r="R281" i="56" s="1"/>
  <c r="DN231" i="56"/>
  <c r="R231" i="56" s="1"/>
  <c r="HA231" i="56" s="1"/>
  <c r="DN248" i="56"/>
  <c r="R248" i="56" s="1"/>
  <c r="DN265" i="56"/>
  <c r="R265" i="56" s="1"/>
  <c r="DN282" i="56"/>
  <c r="R282" i="56" s="1"/>
  <c r="DN232" i="56"/>
  <c r="R232" i="56" s="1"/>
  <c r="HA232" i="56" s="1"/>
  <c r="DN249" i="56"/>
  <c r="R249" i="56" s="1"/>
  <c r="DN266" i="56"/>
  <c r="R266" i="56" s="1"/>
  <c r="DN234" i="56"/>
  <c r="R234" i="56" s="1"/>
  <c r="HA234" i="56" s="1"/>
  <c r="DN251" i="56"/>
  <c r="R251" i="56" s="1"/>
  <c r="DN268" i="56"/>
  <c r="R268" i="56" s="1"/>
  <c r="DN235" i="56"/>
  <c r="R235" i="56" s="1"/>
  <c r="HA235" i="56" s="1"/>
  <c r="DN252" i="56"/>
  <c r="R252" i="56" s="1"/>
  <c r="DN269" i="56"/>
  <c r="R269" i="56" s="1"/>
  <c r="DN236" i="56"/>
  <c r="R236" i="56" s="1"/>
  <c r="HA236" i="56" s="1"/>
  <c r="DN253" i="56"/>
  <c r="R253" i="56" s="1"/>
  <c r="DN270" i="56"/>
  <c r="R270" i="56" s="1"/>
  <c r="DN237" i="56"/>
  <c r="R237" i="56" s="1"/>
  <c r="HA237" i="56" s="1"/>
  <c r="DN254" i="56"/>
  <c r="R254" i="56" s="1"/>
  <c r="DN271" i="56"/>
  <c r="R271" i="56" s="1"/>
  <c r="DN239" i="56"/>
  <c r="R239" i="56" s="1"/>
  <c r="DN241" i="56"/>
  <c r="R241" i="56" s="1"/>
  <c r="DN242" i="56"/>
  <c r="R242" i="56" s="1"/>
  <c r="DN243" i="56"/>
  <c r="R243" i="56" s="1"/>
  <c r="DN257" i="56"/>
  <c r="R257" i="56" s="1"/>
  <c r="DN259" i="56"/>
  <c r="R259" i="56" s="1"/>
  <c r="DN238" i="56"/>
  <c r="R238" i="56" s="1"/>
  <c r="HA238" i="56" s="1"/>
  <c r="DN277" i="56"/>
  <c r="R277" i="56" s="1"/>
  <c r="DN225" i="56"/>
  <c r="R225" i="56" s="1"/>
  <c r="HA225" i="56" s="1"/>
  <c r="DN226" i="56"/>
  <c r="R226" i="56" s="1"/>
  <c r="HA226" i="56" s="1"/>
  <c r="DN233" i="56"/>
  <c r="R233" i="56" s="1"/>
  <c r="HA233" i="56" s="1"/>
  <c r="DN250" i="56"/>
  <c r="R250" i="56" s="1"/>
  <c r="DN255" i="56"/>
  <c r="R255" i="56" s="1"/>
  <c r="DN258" i="56"/>
  <c r="R258" i="56" s="1"/>
  <c r="DN260" i="56"/>
  <c r="R260" i="56" s="1"/>
  <c r="DN267" i="56"/>
  <c r="R267" i="56" s="1"/>
  <c r="DN276" i="56"/>
  <c r="R276" i="56" s="1"/>
  <c r="DN273" i="56"/>
  <c r="R273" i="56" s="1"/>
  <c r="DN274" i="56"/>
  <c r="R274" i="56" s="1"/>
  <c r="DN275" i="56"/>
  <c r="R275" i="56" s="1"/>
  <c r="V19" i="55"/>
  <c r="GO172" i="56"/>
  <c r="GN172" i="56"/>
  <c r="IK172" i="56" s="1"/>
  <c r="GM173" i="56"/>
  <c r="HE172" i="56"/>
  <c r="HF172" i="56" s="1"/>
  <c r="HA146" i="56"/>
  <c r="HT171" i="56"/>
  <c r="GT171" i="56"/>
  <c r="GU171" i="56"/>
  <c r="HS171" i="56" s="1"/>
  <c r="GW171" i="56"/>
  <c r="GP171" i="56"/>
  <c r="DN160" i="56"/>
  <c r="R160" i="56" s="1"/>
  <c r="HA160" i="56" s="1"/>
  <c r="DN176" i="56"/>
  <c r="R176" i="56" s="1"/>
  <c r="DN158" i="56"/>
  <c r="R158" i="56" s="1"/>
  <c r="HA158" i="56" s="1"/>
  <c r="DN175" i="56"/>
  <c r="R175" i="56" s="1"/>
  <c r="DN159" i="56"/>
  <c r="R159" i="56" s="1"/>
  <c r="HA159" i="56" s="1"/>
  <c r="DN177" i="56"/>
  <c r="R177" i="56" s="1"/>
  <c r="DN161" i="56"/>
  <c r="R161" i="56" s="1"/>
  <c r="HA161" i="56" s="1"/>
  <c r="DN178" i="56"/>
  <c r="R178" i="56" s="1"/>
  <c r="DN162" i="56"/>
  <c r="R162" i="56" s="1"/>
  <c r="HA162" i="56" s="1"/>
  <c r="DN179" i="56"/>
  <c r="R179" i="56" s="1"/>
  <c r="DN163" i="56"/>
  <c r="R163" i="56" s="1"/>
  <c r="HA163" i="56" s="1"/>
  <c r="DN180" i="56"/>
  <c r="R180" i="56" s="1"/>
  <c r="DN164" i="56"/>
  <c r="R164" i="56" s="1"/>
  <c r="HA164" i="56" s="1"/>
  <c r="DN181" i="56"/>
  <c r="R181" i="56" s="1"/>
  <c r="DN166" i="56"/>
  <c r="R166" i="56" s="1"/>
  <c r="HA166" i="56" s="1"/>
  <c r="DN183" i="56"/>
  <c r="R183" i="56" s="1"/>
  <c r="DN167" i="56"/>
  <c r="R167" i="56" s="1"/>
  <c r="HA167" i="56" s="1"/>
  <c r="DN168" i="56"/>
  <c r="R168" i="56" s="1"/>
  <c r="HA168" i="56" s="1"/>
  <c r="DN169" i="56"/>
  <c r="R169" i="56" s="1"/>
  <c r="HA169" i="56" s="1"/>
  <c r="DN154" i="56"/>
  <c r="DN155" i="56"/>
  <c r="R155" i="56" s="1"/>
  <c r="HA155" i="56" s="1"/>
  <c r="DN165" i="56"/>
  <c r="R165" i="56" s="1"/>
  <c r="HA165" i="56" s="1"/>
  <c r="DN171" i="56"/>
  <c r="R171" i="56" s="1"/>
  <c r="DN156" i="56"/>
  <c r="R156" i="56" s="1"/>
  <c r="HA156" i="56" s="1"/>
  <c r="DN157" i="56"/>
  <c r="R157" i="56" s="1"/>
  <c r="HA157" i="56" s="1"/>
  <c r="DN170" i="56"/>
  <c r="R170" i="56" s="1"/>
  <c r="HA170" i="56" s="1"/>
  <c r="DN172" i="56"/>
  <c r="R172" i="56" s="1"/>
  <c r="DN173" i="56"/>
  <c r="R173" i="56" s="1"/>
  <c r="DN174" i="56"/>
  <c r="R174" i="56" s="1"/>
  <c r="DN182" i="56"/>
  <c r="R182" i="56" s="1"/>
  <c r="V17" i="55"/>
  <c r="M63" i="16"/>
  <c r="BF12" i="10"/>
  <c r="N33" i="42"/>
  <c r="P33" i="42" s="1"/>
  <c r="AE33" i="42" s="1"/>
  <c r="M62" i="16"/>
  <c r="BF11" i="10"/>
  <c r="DN336" i="56"/>
  <c r="R336" i="56" s="1"/>
  <c r="HA336" i="56" s="1"/>
  <c r="DN337" i="56"/>
  <c r="R337" i="56" s="1"/>
  <c r="HA337" i="56" s="1"/>
  <c r="DN338" i="56"/>
  <c r="R338" i="56" s="1"/>
  <c r="HA338" i="56" s="1"/>
  <c r="DN339" i="56"/>
  <c r="R339" i="56" s="1"/>
  <c r="HA339" i="56" s="1"/>
  <c r="DN340" i="56"/>
  <c r="R340" i="56" s="1"/>
  <c r="HA340" i="56" s="1"/>
  <c r="DN335" i="56"/>
  <c r="R335" i="56" s="1"/>
  <c r="HA335" i="56" s="1"/>
  <c r="V25" i="55"/>
  <c r="HQ171" i="56" a="1"/>
  <c r="HQ171" i="56" s="1"/>
  <c r="HR171" i="56" s="1"/>
  <c r="HG171" i="56" a="1"/>
  <c r="HG171" i="56" s="1"/>
  <c r="HH171" i="56" s="1"/>
  <c r="HK171" i="56" a="1"/>
  <c r="HK171" i="56" s="1"/>
  <c r="HL171" i="56" s="1"/>
  <c r="HO171" i="56" a="1"/>
  <c r="HO171" i="56" s="1"/>
  <c r="HP171" i="56" s="1"/>
  <c r="HM171" i="56" a="1"/>
  <c r="HM171" i="56" s="1"/>
  <c r="HN171" i="56" s="1"/>
  <c r="HI171" i="56" a="1"/>
  <c r="HI171" i="56" s="1"/>
  <c r="HJ171" i="56" s="1"/>
  <c r="HT69" i="56"/>
  <c r="GW69" i="56"/>
  <c r="GU69" i="56"/>
  <c r="HS69" i="56" s="1"/>
  <c r="GP69" i="56"/>
  <c r="GT69" i="56"/>
  <c r="DN32" i="56"/>
  <c r="R32" i="56" s="1"/>
  <c r="HA32" i="56" s="1"/>
  <c r="DN48" i="56"/>
  <c r="R48" i="56" s="1"/>
  <c r="DN39" i="56"/>
  <c r="R39" i="56" s="1"/>
  <c r="HA39" i="56" s="1"/>
  <c r="DN40" i="56"/>
  <c r="R40" i="56" s="1"/>
  <c r="HA40" i="56" s="1"/>
  <c r="DN41" i="56"/>
  <c r="R41" i="56" s="1"/>
  <c r="HA41" i="56" s="1"/>
  <c r="DN42" i="56"/>
  <c r="R42" i="56" s="1"/>
  <c r="HA42" i="56" s="1"/>
  <c r="DN43" i="56"/>
  <c r="R43" i="56" s="1"/>
  <c r="HA43" i="56" s="1"/>
  <c r="DN44" i="56"/>
  <c r="R44" i="56" s="1"/>
  <c r="HA44" i="56" s="1"/>
  <c r="DN46" i="56"/>
  <c r="R46" i="56" s="1"/>
  <c r="HA46" i="56" s="1"/>
  <c r="DN47" i="56"/>
  <c r="R47" i="56" s="1"/>
  <c r="DN31" i="56"/>
  <c r="DN49" i="56"/>
  <c r="R49" i="56" s="1"/>
  <c r="DN33" i="56"/>
  <c r="R33" i="56" s="1"/>
  <c r="HA33" i="56" s="1"/>
  <c r="DN50" i="56"/>
  <c r="DN35" i="56"/>
  <c r="R35" i="56" s="1"/>
  <c r="HA35" i="56" s="1"/>
  <c r="DN51" i="56"/>
  <c r="R51" i="56" s="1"/>
  <c r="DN52" i="56"/>
  <c r="R52" i="56" s="1"/>
  <c r="DN37" i="56"/>
  <c r="R37" i="56" s="1"/>
  <c r="HA37" i="56" s="1"/>
  <c r="DN34" i="56"/>
  <c r="R34" i="56" s="1"/>
  <c r="HA34" i="56" s="1"/>
  <c r="DN36" i="56"/>
  <c r="R36" i="56" s="1"/>
  <c r="HA36" i="56" s="1"/>
  <c r="DN38" i="56"/>
  <c r="R38" i="56" s="1"/>
  <c r="HA38" i="56" s="1"/>
  <c r="DN45" i="56"/>
  <c r="R45" i="56" s="1"/>
  <c r="HA45" i="56" s="1"/>
  <c r="V12" i="55"/>
  <c r="HQ147" i="56" a="1"/>
  <c r="HQ147" i="56" s="1"/>
  <c r="HR147" i="56" s="1"/>
  <c r="HM147" i="56" a="1"/>
  <c r="HM147" i="56" s="1"/>
  <c r="HN147" i="56" s="1"/>
  <c r="HO147" i="56" a="1"/>
  <c r="HO147" i="56" s="1"/>
  <c r="HP147" i="56" s="1"/>
  <c r="HG147" i="56" a="1"/>
  <c r="HG147" i="56" s="1"/>
  <c r="HH147" i="56" s="1"/>
  <c r="HK147" i="56" a="1"/>
  <c r="HK147" i="56" s="1"/>
  <c r="HL147" i="56" s="1"/>
  <c r="HI147" i="56" a="1"/>
  <c r="HI147" i="56" s="1"/>
  <c r="HJ147" i="56" s="1"/>
  <c r="DN320" i="56"/>
  <c r="R320" i="56" s="1"/>
  <c r="HA320" i="56" s="1"/>
  <c r="DN317" i="56"/>
  <c r="R317" i="56" s="1"/>
  <c r="HA317" i="56" s="1"/>
  <c r="DN319" i="56"/>
  <c r="R319" i="56" s="1"/>
  <c r="HA319" i="56" s="1"/>
  <c r="DN321" i="56"/>
  <c r="R321" i="56" s="1"/>
  <c r="HA321" i="56" s="1"/>
  <c r="DN322" i="56"/>
  <c r="R322" i="56" s="1"/>
  <c r="HA322" i="56" s="1"/>
  <c r="DN323" i="56"/>
  <c r="R323" i="56" s="1"/>
  <c r="HA323" i="56" s="1"/>
  <c r="DN318" i="56"/>
  <c r="R318" i="56" s="1"/>
  <c r="HA318" i="56" s="1"/>
  <c r="DN324" i="56"/>
  <c r="R324" i="56" s="1"/>
  <c r="HA324" i="56" s="1"/>
  <c r="V22" i="55"/>
  <c r="DN112" i="56"/>
  <c r="R112" i="56" s="1"/>
  <c r="HA112" i="56" s="1"/>
  <c r="DN128" i="56"/>
  <c r="R128" i="56" s="1"/>
  <c r="DN107" i="56"/>
  <c r="R107" i="56" s="1"/>
  <c r="HA107" i="56" s="1"/>
  <c r="DN124" i="56"/>
  <c r="R124" i="56" s="1"/>
  <c r="DN108" i="56"/>
  <c r="R108" i="56" s="1"/>
  <c r="HA108" i="56" s="1"/>
  <c r="DN125" i="56"/>
  <c r="R125" i="56" s="1"/>
  <c r="DN109" i="56"/>
  <c r="R109" i="56" s="1"/>
  <c r="HA109" i="56" s="1"/>
  <c r="DN126" i="56"/>
  <c r="R126" i="56" s="1"/>
  <c r="DN110" i="56"/>
  <c r="R110" i="56" s="1"/>
  <c r="HA110" i="56" s="1"/>
  <c r="DN127" i="56"/>
  <c r="R127" i="56" s="1"/>
  <c r="DN111" i="56"/>
  <c r="R111" i="56" s="1"/>
  <c r="HA111" i="56" s="1"/>
  <c r="DN129" i="56"/>
  <c r="R129" i="56" s="1"/>
  <c r="DN113" i="56"/>
  <c r="R113" i="56" s="1"/>
  <c r="HA113" i="56" s="1"/>
  <c r="DN115" i="56"/>
  <c r="R115" i="56" s="1"/>
  <c r="HA115" i="56" s="1"/>
  <c r="DN116" i="56"/>
  <c r="R116" i="56" s="1"/>
  <c r="HA116" i="56" s="1"/>
  <c r="DN117" i="56"/>
  <c r="R117" i="56" s="1"/>
  <c r="HA117" i="56" s="1"/>
  <c r="DN118" i="56"/>
  <c r="R118" i="56" s="1"/>
  <c r="DN103" i="56"/>
  <c r="R103" i="56" s="1"/>
  <c r="HA103" i="56" s="1"/>
  <c r="DN104" i="56"/>
  <c r="R104" i="56" s="1"/>
  <c r="HA104" i="56" s="1"/>
  <c r="DN105" i="56"/>
  <c r="R105" i="56" s="1"/>
  <c r="HA105" i="56" s="1"/>
  <c r="DN106" i="56"/>
  <c r="R106" i="56" s="1"/>
  <c r="HA106" i="56" s="1"/>
  <c r="DN120" i="56"/>
  <c r="R120" i="56" s="1"/>
  <c r="DN122" i="56"/>
  <c r="R122" i="56" s="1"/>
  <c r="DN102" i="56"/>
  <c r="R102" i="56" s="1"/>
  <c r="HA102" i="56" s="1"/>
  <c r="DN114" i="56"/>
  <c r="R114" i="56" s="1"/>
  <c r="HA114" i="56" s="1"/>
  <c r="DN119" i="56"/>
  <c r="R119" i="56" s="1"/>
  <c r="DN121" i="56"/>
  <c r="R121" i="56" s="1"/>
  <c r="DN123" i="56"/>
  <c r="R123" i="56" s="1"/>
  <c r="V15" i="55"/>
  <c r="DN192" i="56"/>
  <c r="R192" i="56" s="1"/>
  <c r="HA192" i="56" s="1"/>
  <c r="DN208" i="56"/>
  <c r="R208" i="56" s="1"/>
  <c r="DN193" i="56"/>
  <c r="R193" i="56" s="1"/>
  <c r="HA193" i="56" s="1"/>
  <c r="DN210" i="56"/>
  <c r="R210" i="56" s="1"/>
  <c r="DN194" i="56"/>
  <c r="R194" i="56" s="1"/>
  <c r="HA194" i="56" s="1"/>
  <c r="DN211" i="56"/>
  <c r="R211" i="56" s="1"/>
  <c r="DN195" i="56"/>
  <c r="R195" i="56" s="1"/>
  <c r="HA195" i="56" s="1"/>
  <c r="DN212" i="56"/>
  <c r="R212" i="56" s="1"/>
  <c r="DN196" i="56"/>
  <c r="R196" i="56" s="1"/>
  <c r="HA196" i="56" s="1"/>
  <c r="DN213" i="56"/>
  <c r="R213" i="56" s="1"/>
  <c r="DN197" i="56"/>
  <c r="R197" i="56" s="1"/>
  <c r="HA197" i="56" s="1"/>
  <c r="DN214" i="56"/>
  <c r="R214" i="56" s="1"/>
  <c r="DN198" i="56"/>
  <c r="R198" i="56" s="1"/>
  <c r="HA198" i="56" s="1"/>
  <c r="DN215" i="56"/>
  <c r="R215" i="56" s="1"/>
  <c r="DN200" i="56"/>
  <c r="R200" i="56" s="1"/>
  <c r="HA200" i="56" s="1"/>
  <c r="DN217" i="56"/>
  <c r="R217" i="56" s="1"/>
  <c r="DN184" i="56"/>
  <c r="DN201" i="56"/>
  <c r="R201" i="56" s="1"/>
  <c r="HA201" i="56" s="1"/>
  <c r="DN218" i="56"/>
  <c r="R218" i="56" s="1"/>
  <c r="DN185" i="56"/>
  <c r="R185" i="56" s="1"/>
  <c r="HA185" i="56" s="1"/>
  <c r="DN202" i="56"/>
  <c r="R202" i="56" s="1"/>
  <c r="DN219" i="56"/>
  <c r="R219" i="56" s="1"/>
  <c r="DN186" i="56"/>
  <c r="R186" i="56" s="1"/>
  <c r="HA186" i="56" s="1"/>
  <c r="DN203" i="56"/>
  <c r="R203" i="56" s="1"/>
  <c r="DN220" i="56"/>
  <c r="R220" i="56" s="1"/>
  <c r="DN190" i="56"/>
  <c r="R190" i="56" s="1"/>
  <c r="HA190" i="56" s="1"/>
  <c r="DN191" i="56"/>
  <c r="R191" i="56" s="1"/>
  <c r="HA191" i="56" s="1"/>
  <c r="DN199" i="56"/>
  <c r="R199" i="56" s="1"/>
  <c r="HA199" i="56" s="1"/>
  <c r="DN204" i="56"/>
  <c r="R204" i="56" s="1"/>
  <c r="DN207" i="56"/>
  <c r="R207" i="56" s="1"/>
  <c r="DN216" i="56"/>
  <c r="R216" i="56" s="1"/>
  <c r="DN189" i="56"/>
  <c r="R189" i="56" s="1"/>
  <c r="HA189" i="56" s="1"/>
  <c r="DN221" i="56"/>
  <c r="R221" i="56" s="1"/>
  <c r="DN222" i="56"/>
  <c r="R222" i="56" s="1"/>
  <c r="DN188" i="56"/>
  <c r="R188" i="56" s="1"/>
  <c r="HA188" i="56" s="1"/>
  <c r="DN205" i="56"/>
  <c r="R205" i="56" s="1"/>
  <c r="DN206" i="56"/>
  <c r="R206" i="56" s="1"/>
  <c r="DN223" i="56"/>
  <c r="R223" i="56" s="1"/>
  <c r="DN187" i="56"/>
  <c r="R187" i="56" s="1"/>
  <c r="HA187" i="56" s="1"/>
  <c r="DN209" i="56"/>
  <c r="R209" i="56" s="1"/>
  <c r="V18" i="55"/>
  <c r="DN144" i="56"/>
  <c r="R144" i="56" s="1"/>
  <c r="HA144" i="56" s="1"/>
  <c r="DN141" i="56"/>
  <c r="R141" i="56" s="1"/>
  <c r="HA141" i="56" s="1"/>
  <c r="DN142" i="56"/>
  <c r="R142" i="56" s="1"/>
  <c r="HA142" i="56" s="1"/>
  <c r="DN143" i="56"/>
  <c r="R143" i="56" s="1"/>
  <c r="HA143" i="56" s="1"/>
  <c r="DN145" i="56"/>
  <c r="R145" i="56" s="1"/>
  <c r="HA145" i="56" s="1"/>
  <c r="DN146" i="56"/>
  <c r="R146" i="56" s="1"/>
  <c r="DN130" i="56"/>
  <c r="R130" i="56" s="1"/>
  <c r="HA130" i="56" s="1"/>
  <c r="DN147" i="56"/>
  <c r="R147" i="56" s="1"/>
  <c r="DN132" i="56"/>
  <c r="R132" i="56" s="1"/>
  <c r="HA132" i="56" s="1"/>
  <c r="DN149" i="56"/>
  <c r="R149" i="56" s="1"/>
  <c r="DN133" i="56"/>
  <c r="R133" i="56" s="1"/>
  <c r="HA133" i="56" s="1"/>
  <c r="DN150" i="56"/>
  <c r="R150" i="56" s="1"/>
  <c r="DN134" i="56"/>
  <c r="R134" i="56" s="1"/>
  <c r="HA134" i="56" s="1"/>
  <c r="DN151" i="56"/>
  <c r="R151" i="56" s="1"/>
  <c r="DN135" i="56"/>
  <c r="R135" i="56" s="1"/>
  <c r="HA135" i="56" s="1"/>
  <c r="DN152" i="56"/>
  <c r="R152" i="56" s="1"/>
  <c r="DN148" i="56"/>
  <c r="R148" i="56" s="1"/>
  <c r="DN153" i="56"/>
  <c r="R153" i="56" s="1"/>
  <c r="DN140" i="56"/>
  <c r="R140" i="56" s="1"/>
  <c r="HA140" i="56" s="1"/>
  <c r="DN136" i="56"/>
  <c r="R136" i="56" s="1"/>
  <c r="HA136" i="56" s="1"/>
  <c r="DN137" i="56"/>
  <c r="R137" i="56" s="1"/>
  <c r="HA137" i="56" s="1"/>
  <c r="DN139" i="56"/>
  <c r="R139" i="56" s="1"/>
  <c r="HA139" i="56" s="1"/>
  <c r="DN131" i="56"/>
  <c r="R131" i="56" s="1"/>
  <c r="HA131" i="56" s="1"/>
  <c r="DN138" i="56"/>
  <c r="R138" i="56" s="1"/>
  <c r="HA138" i="56" s="1"/>
  <c r="V16" i="55"/>
  <c r="HQ118" i="56" a="1"/>
  <c r="HQ118" i="56" s="1"/>
  <c r="HR118" i="56" s="1"/>
  <c r="HO118" i="56" a="1"/>
  <c r="HO118" i="56" s="1"/>
  <c r="HP118" i="56" s="1"/>
  <c r="HM118" i="56" a="1"/>
  <c r="HM118" i="56" s="1"/>
  <c r="HN118" i="56" s="1"/>
  <c r="HG118" i="56" a="1"/>
  <c r="HG118" i="56" s="1"/>
  <c r="HH118" i="56" s="1"/>
  <c r="HK118" i="56" a="1"/>
  <c r="HK118" i="56" s="1"/>
  <c r="HL118" i="56" s="1"/>
  <c r="HI118" i="56" a="1"/>
  <c r="HI118" i="56" s="1"/>
  <c r="HJ118" i="56" s="1"/>
  <c r="DN329" i="56"/>
  <c r="R329" i="56" s="1"/>
  <c r="HA329" i="56" s="1"/>
  <c r="DN327" i="56"/>
  <c r="R327" i="56" s="1"/>
  <c r="HA327" i="56" s="1"/>
  <c r="DN328" i="56"/>
  <c r="R328" i="56" s="1"/>
  <c r="HA328" i="56" s="1"/>
  <c r="DN326" i="56"/>
  <c r="R326" i="56" s="1"/>
  <c r="HA326" i="56" s="1"/>
  <c r="DN325" i="56"/>
  <c r="R325" i="56" s="1"/>
  <c r="HA325" i="56" s="1"/>
  <c r="V23" i="55"/>
  <c r="HA239" i="56"/>
  <c r="HQ240" i="56" a="1"/>
  <c r="HQ240" i="56" s="1"/>
  <c r="HR240" i="56" s="1"/>
  <c r="HO240" i="56" a="1"/>
  <c r="HO240" i="56" s="1"/>
  <c r="HP240" i="56" s="1"/>
  <c r="HK240" i="56" a="1"/>
  <c r="HK240" i="56" s="1"/>
  <c r="HL240" i="56" s="1"/>
  <c r="HG240" i="56" a="1"/>
  <c r="HG240" i="56" s="1"/>
  <c r="HH240" i="56" s="1"/>
  <c r="HM240" i="56" a="1"/>
  <c r="HM240" i="56" s="1"/>
  <c r="HN240" i="56" s="1"/>
  <c r="HI240" i="56" a="1"/>
  <c r="HI240" i="56" s="1"/>
  <c r="HJ240" i="56" s="1"/>
  <c r="HM202" i="56" a="1"/>
  <c r="HM202" i="56" s="1"/>
  <c r="HN202" i="56" s="1"/>
  <c r="HQ202" i="56" a="1"/>
  <c r="HQ202" i="56" s="1"/>
  <c r="HR202" i="56" s="1"/>
  <c r="HO202" i="56" a="1"/>
  <c r="HO202" i="56" s="1"/>
  <c r="HP202" i="56" s="1"/>
  <c r="HK202" i="56" a="1"/>
  <c r="HK202" i="56" s="1"/>
  <c r="HL202" i="56" s="1"/>
  <c r="HG202" i="56" a="1"/>
  <c r="HG202" i="56" s="1"/>
  <c r="HH202" i="56" s="1"/>
  <c r="HI202" i="56" a="1"/>
  <c r="HI202" i="56" s="1"/>
  <c r="HJ202" i="56" s="1"/>
  <c r="GO148" i="56"/>
  <c r="GN148" i="56"/>
  <c r="IK148" i="56" s="1"/>
  <c r="GM149" i="56"/>
  <c r="HE148" i="56"/>
  <c r="HF148" i="56" s="1"/>
  <c r="HT147" i="56"/>
  <c r="GU147" i="56"/>
  <c r="HS147" i="56" s="1"/>
  <c r="GT147" i="56"/>
  <c r="GW147" i="56"/>
  <c r="GP147" i="56"/>
  <c r="HQ22" i="56" a="1"/>
  <c r="HQ22" i="56" s="1"/>
  <c r="HR22" i="56" s="1"/>
  <c r="HM22" i="56" a="1"/>
  <c r="HM22" i="56" s="1"/>
  <c r="HN22" i="56" s="1"/>
  <c r="HO22" i="56" a="1"/>
  <c r="HO22" i="56" s="1"/>
  <c r="HP22" i="56" s="1"/>
  <c r="HI22" i="56" a="1"/>
  <c r="HI22" i="56" s="1"/>
  <c r="HJ22" i="56" s="1"/>
  <c r="HG22" i="56" a="1"/>
  <c r="HG22" i="56" s="1"/>
  <c r="HK22" i="56" a="1"/>
  <c r="HK22" i="56" s="1"/>
  <c r="HL22" i="56" s="1"/>
  <c r="GN119" i="56"/>
  <c r="IK119" i="56" s="1"/>
  <c r="GO119" i="56"/>
  <c r="GM120" i="56"/>
  <c r="HE119" i="56"/>
  <c r="HF119" i="56" s="1"/>
  <c r="DN96" i="56"/>
  <c r="R96" i="56" s="1"/>
  <c r="HA96" i="56" s="1"/>
  <c r="DN90" i="56"/>
  <c r="R90" i="56" s="1"/>
  <c r="HA90" i="56" s="1"/>
  <c r="DN91" i="56"/>
  <c r="R91" i="56" s="1"/>
  <c r="HA91" i="56" s="1"/>
  <c r="DN92" i="56"/>
  <c r="R92" i="56" s="1"/>
  <c r="HA92" i="56" s="1"/>
  <c r="DN93" i="56"/>
  <c r="R93" i="56" s="1"/>
  <c r="HA93" i="56" s="1"/>
  <c r="DN94" i="56"/>
  <c r="R94" i="56" s="1"/>
  <c r="HA94" i="56" s="1"/>
  <c r="DN95" i="56"/>
  <c r="R95" i="56" s="1"/>
  <c r="HA95" i="56" s="1"/>
  <c r="DN98" i="56"/>
  <c r="R98" i="56" s="1"/>
  <c r="HA98" i="56" s="1"/>
  <c r="DN99" i="56"/>
  <c r="R99" i="56" s="1"/>
  <c r="HA99" i="56" s="1"/>
  <c r="DN100" i="56"/>
  <c r="R100" i="56" s="1"/>
  <c r="HA100" i="56" s="1"/>
  <c r="DN101" i="56"/>
  <c r="R101" i="56" s="1"/>
  <c r="HA101" i="56" s="1"/>
  <c r="DN88" i="56"/>
  <c r="R88" i="56" s="1"/>
  <c r="HA88" i="56" s="1"/>
  <c r="DN89" i="56"/>
  <c r="R89" i="56" s="1"/>
  <c r="HA89" i="56" s="1"/>
  <c r="DN97" i="56"/>
  <c r="R97" i="56" s="1"/>
  <c r="HA97" i="56" s="1"/>
  <c r="V14" i="55"/>
  <c r="GO23" i="56"/>
  <c r="GN23" i="56"/>
  <c r="IK23" i="56" s="1"/>
  <c r="GM24" i="56"/>
  <c r="HE23" i="56"/>
  <c r="HF23" i="56" s="1"/>
  <c r="HT118" i="56"/>
  <c r="GW118" i="56"/>
  <c r="GP118" i="56"/>
  <c r="GT118" i="56"/>
  <c r="GU118" i="56"/>
  <c r="HS118" i="56" s="1"/>
  <c r="GO241" i="56"/>
  <c r="GN241" i="56"/>
  <c r="IK241" i="56" s="1"/>
  <c r="GM242" i="56"/>
  <c r="HE241" i="56"/>
  <c r="HF241" i="56" s="1"/>
  <c r="GN203" i="56"/>
  <c r="IK203" i="56" s="1"/>
  <c r="GO203" i="56"/>
  <c r="GM204" i="56"/>
  <c r="HE203" i="56"/>
  <c r="HF203" i="56" s="1"/>
  <c r="GO49" i="56"/>
  <c r="GN49" i="56"/>
  <c r="IK49" i="56" s="1"/>
  <c r="GM50" i="56"/>
  <c r="DN26" i="56"/>
  <c r="R26" i="56" s="1"/>
  <c r="HA26" i="56" s="1"/>
  <c r="DN27" i="56"/>
  <c r="DN29" i="56"/>
  <c r="R29" i="56" s="1"/>
  <c r="HA29" i="56" s="1"/>
  <c r="DN30" i="56"/>
  <c r="R30" i="56" s="1"/>
  <c r="HA30" i="56" s="1"/>
  <c r="DN28" i="56"/>
  <c r="V11" i="55"/>
  <c r="HT202" i="56"/>
  <c r="GT202" i="56"/>
  <c r="GW202" i="56"/>
  <c r="GU202" i="56"/>
  <c r="HS202" i="56" s="1"/>
  <c r="GP202" i="56"/>
  <c r="ID23" i="56"/>
  <c r="ID24" i="56" s="1"/>
  <c r="ID53" i="56" s="1"/>
  <c r="ID155" i="56" s="1"/>
  <c r="ID234" i="56" s="1"/>
  <c r="ID274" i="56" s="1"/>
  <c r="BM3" i="40" s="1" a="1"/>
  <c r="BM3" i="40" s="1"/>
  <c r="HT22" i="56"/>
  <c r="GU22" i="56"/>
  <c r="HS22" i="56" s="1"/>
  <c r="GT22" i="56"/>
  <c r="GP22" i="56"/>
  <c r="GW22" i="56"/>
  <c r="HT240" i="56"/>
  <c r="GT240" i="56"/>
  <c r="GW240" i="56"/>
  <c r="GP240" i="56"/>
  <c r="GU240" i="56"/>
  <c r="HS240" i="56" s="1"/>
  <c r="DN288" i="56"/>
  <c r="R288" i="56" s="1"/>
  <c r="HA288" i="56" s="1"/>
  <c r="DN304" i="56"/>
  <c r="R304" i="56" s="1"/>
  <c r="DN295" i="56"/>
  <c r="R295" i="56" s="1"/>
  <c r="HA295" i="56" s="1"/>
  <c r="DN312" i="56"/>
  <c r="R312" i="56" s="1"/>
  <c r="DN296" i="56"/>
  <c r="R296" i="56" s="1"/>
  <c r="HA296" i="56" s="1"/>
  <c r="DN297" i="56"/>
  <c r="R297" i="56" s="1"/>
  <c r="HA297" i="56" s="1"/>
  <c r="DN298" i="56"/>
  <c r="R298" i="56" s="1"/>
  <c r="HA298" i="56" s="1"/>
  <c r="DN299" i="56"/>
  <c r="R299" i="56" s="1"/>
  <c r="HA299" i="56" s="1"/>
  <c r="DN283" i="56"/>
  <c r="DN300" i="56"/>
  <c r="R300" i="56" s="1"/>
  <c r="HA300" i="56" s="1"/>
  <c r="DN285" i="56"/>
  <c r="R285" i="56" s="1"/>
  <c r="HA285" i="56" s="1"/>
  <c r="DN302" i="56"/>
  <c r="R302" i="56" s="1"/>
  <c r="DN286" i="56"/>
  <c r="R286" i="56" s="1"/>
  <c r="HA286" i="56" s="1"/>
  <c r="DN303" i="56"/>
  <c r="R303" i="56" s="1"/>
  <c r="DN287" i="56"/>
  <c r="R287" i="56" s="1"/>
  <c r="HA287" i="56" s="1"/>
  <c r="DN305" i="56"/>
  <c r="R305" i="56" s="1"/>
  <c r="DN289" i="56"/>
  <c r="R289" i="56" s="1"/>
  <c r="HA289" i="56" s="1"/>
  <c r="DN306" i="56"/>
  <c r="R306" i="56" s="1"/>
  <c r="DN284" i="56"/>
  <c r="R284" i="56" s="1"/>
  <c r="HA284" i="56" s="1"/>
  <c r="DN290" i="56"/>
  <c r="R290" i="56" s="1"/>
  <c r="HA290" i="56" s="1"/>
  <c r="DN291" i="56"/>
  <c r="R291" i="56" s="1"/>
  <c r="HA291" i="56" s="1"/>
  <c r="DN292" i="56"/>
  <c r="R292" i="56" s="1"/>
  <c r="HA292" i="56" s="1"/>
  <c r="DN301" i="56"/>
  <c r="R301" i="56" s="1"/>
  <c r="DN308" i="56"/>
  <c r="R308" i="56" s="1"/>
  <c r="DN294" i="56"/>
  <c r="R294" i="56" s="1"/>
  <c r="HA294" i="56" s="1"/>
  <c r="DN307" i="56"/>
  <c r="R307" i="56" s="1"/>
  <c r="DN310" i="56"/>
  <c r="R310" i="56" s="1"/>
  <c r="DN311" i="56"/>
  <c r="R311" i="56" s="1"/>
  <c r="DN293" i="56"/>
  <c r="R293" i="56" s="1"/>
  <c r="HA293" i="56" s="1"/>
  <c r="DN309" i="56"/>
  <c r="R309" i="56" s="1"/>
  <c r="V20" i="55"/>
  <c r="HT48" i="56"/>
  <c r="GW48" i="56"/>
  <c r="GT48" i="56"/>
  <c r="GP48" i="56"/>
  <c r="GU48" i="56"/>
  <c r="HS48" i="56" s="1"/>
  <c r="II9" i="56"/>
  <c r="II13" i="56" s="1"/>
  <c r="GI51" i="56"/>
  <c r="GJ51" i="56" s="1"/>
  <c r="GH52" i="56"/>
  <c r="GI52" i="56" s="1"/>
  <c r="GJ52" i="56" s="1"/>
  <c r="GN302" i="56"/>
  <c r="IK302" i="56" s="1"/>
  <c r="GO302" i="56"/>
  <c r="GM303" i="56"/>
  <c r="HE302" i="56"/>
  <c r="HF302" i="56" s="1"/>
  <c r="HA47" i="56"/>
  <c r="HK69" i="56" a="1"/>
  <c r="HK69" i="56" s="1"/>
  <c r="HL69" i="56" s="1"/>
  <c r="HO69" i="56" a="1"/>
  <c r="HO69" i="56" s="1"/>
  <c r="HP69" i="56" s="1"/>
  <c r="HQ69" i="56" a="1"/>
  <c r="HQ69" i="56" s="1"/>
  <c r="HR69" i="56" s="1"/>
  <c r="HG69" i="56" a="1"/>
  <c r="HG69" i="56" s="1"/>
  <c r="HH69" i="56" s="1"/>
  <c r="HM69" i="56" a="1"/>
  <c r="HM69" i="56" s="1"/>
  <c r="HN69" i="56" s="1"/>
  <c r="HI69" i="56" a="1"/>
  <c r="HI69" i="56" s="1"/>
  <c r="HJ69" i="56" s="1"/>
  <c r="DN352" i="56"/>
  <c r="R352" i="56" s="1"/>
  <c r="HA352" i="56" s="1"/>
  <c r="DN346" i="56"/>
  <c r="R346" i="56" s="1"/>
  <c r="HA346" i="56" s="1"/>
  <c r="DN347" i="56"/>
  <c r="R347" i="56" s="1"/>
  <c r="HA347" i="56" s="1"/>
  <c r="DN348" i="56"/>
  <c r="R348" i="56" s="1"/>
  <c r="HA348" i="56" s="1"/>
  <c r="DN349" i="56"/>
  <c r="R349" i="56" s="1"/>
  <c r="HA349" i="56" s="1"/>
  <c r="DN350" i="56"/>
  <c r="R350" i="56" s="1"/>
  <c r="HA350" i="56" s="1"/>
  <c r="DN351" i="56"/>
  <c r="R351" i="56" s="1"/>
  <c r="HA351" i="56" s="1"/>
  <c r="DN341" i="56"/>
  <c r="R341" i="56" s="1"/>
  <c r="HA341" i="56" s="1"/>
  <c r="DN344" i="56"/>
  <c r="R344" i="56" s="1"/>
  <c r="HA344" i="56" s="1"/>
  <c r="DN342" i="56"/>
  <c r="R342" i="56" s="1"/>
  <c r="HA342" i="56" s="1"/>
  <c r="DN343" i="56"/>
  <c r="R343" i="56" s="1"/>
  <c r="HA343" i="56" s="1"/>
  <c r="DN345" i="56"/>
  <c r="R345" i="56" s="1"/>
  <c r="HA345" i="56" s="1"/>
  <c r="V26" i="55"/>
  <c r="DN313" i="56"/>
  <c r="R313" i="56" s="1"/>
  <c r="HA313" i="56" s="1"/>
  <c r="DN314" i="56"/>
  <c r="R314" i="56" s="1"/>
  <c r="HA314" i="56" s="1"/>
  <c r="DN315" i="56"/>
  <c r="R315" i="56" s="1"/>
  <c r="HA315" i="56" s="1"/>
  <c r="DN316" i="56"/>
  <c r="R316" i="56" s="1"/>
  <c r="HA316" i="56" s="1"/>
  <c r="V21" i="55"/>
  <c r="HE25" i="56"/>
  <c r="HF25" i="56" s="1"/>
  <c r="HA5" i="56"/>
  <c r="HA11" i="56"/>
  <c r="HA16" i="56"/>
  <c r="HA4" i="56"/>
  <c r="HA15" i="56"/>
  <c r="HA3" i="56"/>
  <c r="HA14" i="56"/>
  <c r="HA17" i="56"/>
  <c r="DN64" i="56"/>
  <c r="R64" i="56" s="1"/>
  <c r="HA64" i="56" s="1"/>
  <c r="DN80" i="56"/>
  <c r="R80" i="56" s="1"/>
  <c r="DN56" i="56"/>
  <c r="R56" i="56" s="1"/>
  <c r="HA56" i="56" s="1"/>
  <c r="DN73" i="56"/>
  <c r="R73" i="56" s="1"/>
  <c r="DN57" i="56"/>
  <c r="R57" i="56" s="1"/>
  <c r="HA57" i="56" s="1"/>
  <c r="DN74" i="56"/>
  <c r="R74" i="56" s="1"/>
  <c r="DN58" i="56"/>
  <c r="R58" i="56" s="1"/>
  <c r="HA58" i="56" s="1"/>
  <c r="DN75" i="56"/>
  <c r="R75" i="56" s="1"/>
  <c r="DN59" i="56"/>
  <c r="R59" i="56" s="1"/>
  <c r="HA59" i="56" s="1"/>
  <c r="DN76" i="56"/>
  <c r="R76" i="56" s="1"/>
  <c r="DN60" i="56"/>
  <c r="R60" i="56" s="1"/>
  <c r="HA60" i="56" s="1"/>
  <c r="DN77" i="56"/>
  <c r="R77" i="56" s="1"/>
  <c r="DN61" i="56"/>
  <c r="R61" i="56" s="1"/>
  <c r="HA61" i="56" s="1"/>
  <c r="DN78" i="56"/>
  <c r="R78" i="56" s="1"/>
  <c r="DN63" i="56"/>
  <c r="R63" i="56" s="1"/>
  <c r="HA63" i="56" s="1"/>
  <c r="DN81" i="56"/>
  <c r="R81" i="56" s="1"/>
  <c r="DN65" i="56"/>
  <c r="R65" i="56" s="1"/>
  <c r="HA65" i="56" s="1"/>
  <c r="DN82" i="56"/>
  <c r="R82" i="56" s="1"/>
  <c r="DN66" i="56"/>
  <c r="R66" i="56" s="1"/>
  <c r="HA66" i="56" s="1"/>
  <c r="DN83" i="56"/>
  <c r="R83" i="56" s="1"/>
  <c r="DN67" i="56"/>
  <c r="R67" i="56" s="1"/>
  <c r="HA67" i="56" s="1"/>
  <c r="DN84" i="56"/>
  <c r="R84" i="56" s="1"/>
  <c r="DN54" i="56"/>
  <c r="R54" i="56" s="1"/>
  <c r="HA54" i="56" s="1"/>
  <c r="DN55" i="56"/>
  <c r="R55" i="56" s="1"/>
  <c r="HA55" i="56" s="1"/>
  <c r="DN62" i="56"/>
  <c r="R62" i="56" s="1"/>
  <c r="HA62" i="56" s="1"/>
  <c r="DN68" i="56"/>
  <c r="R68" i="56" s="1"/>
  <c r="HA68" i="56" s="1"/>
  <c r="DN71" i="56"/>
  <c r="R71" i="56" s="1"/>
  <c r="DN79" i="56"/>
  <c r="R79" i="56" s="1"/>
  <c r="DN53" i="56"/>
  <c r="R53" i="56" s="1"/>
  <c r="HA53" i="56" s="1"/>
  <c r="DN70" i="56"/>
  <c r="R70" i="56" s="1"/>
  <c r="DN72" i="56"/>
  <c r="R72" i="56" s="1"/>
  <c r="DN85" i="56"/>
  <c r="R85" i="56" s="1"/>
  <c r="DN86" i="56"/>
  <c r="R86" i="56" s="1"/>
  <c r="DN87" i="56"/>
  <c r="R87" i="56" s="1"/>
  <c r="DN69" i="56"/>
  <c r="R69" i="56" s="1"/>
  <c r="V13" i="55"/>
  <c r="HK301" i="56" a="1"/>
  <c r="HK301" i="56" s="1"/>
  <c r="HL301" i="56" s="1"/>
  <c r="HO301" i="56" a="1"/>
  <c r="HO301" i="56" s="1"/>
  <c r="HP301" i="56" s="1"/>
  <c r="HM301" i="56" a="1"/>
  <c r="HM301" i="56" s="1"/>
  <c r="HN301" i="56" s="1"/>
  <c r="HQ301" i="56" a="1"/>
  <c r="HQ301" i="56" s="1"/>
  <c r="HR301" i="56" s="1"/>
  <c r="HG301" i="56" a="1"/>
  <c r="HG301" i="56" s="1"/>
  <c r="HH301" i="56" s="1"/>
  <c r="HI301" i="56" a="1"/>
  <c r="HI301" i="56" s="1"/>
  <c r="HJ301" i="56" s="1"/>
  <c r="HT301" i="56"/>
  <c r="GP301" i="56"/>
  <c r="GW301" i="56"/>
  <c r="GT301" i="56"/>
  <c r="GU301" i="56"/>
  <c r="HS301" i="56" s="1"/>
  <c r="GN70" i="56"/>
  <c r="IK70" i="56" s="1"/>
  <c r="GO70" i="56"/>
  <c r="GM71" i="56"/>
  <c r="HE70" i="56"/>
  <c r="HF70" i="56" s="1"/>
  <c r="DN330" i="56"/>
  <c r="R330" i="56" s="1"/>
  <c r="HA330" i="56" s="1"/>
  <c r="DN331" i="56"/>
  <c r="R331" i="56" s="1"/>
  <c r="HA331" i="56" s="1"/>
  <c r="DN332" i="56"/>
  <c r="R332" i="56" s="1"/>
  <c r="HA332" i="56" s="1"/>
  <c r="DN333" i="56"/>
  <c r="R333" i="56" s="1"/>
  <c r="HA333" i="56" s="1"/>
  <c r="DN334" i="56"/>
  <c r="R334" i="56" s="1"/>
  <c r="HA334" i="56" s="1"/>
  <c r="V24" i="55"/>
  <c r="HA21" i="56"/>
  <c r="II185" i="56"/>
  <c r="II261" i="56"/>
  <c r="II225" i="56"/>
  <c r="II177" i="56"/>
  <c r="II39" i="56"/>
  <c r="II77" i="56"/>
  <c r="II230" i="56"/>
  <c r="II128" i="56"/>
  <c r="II124" i="56"/>
  <c r="II121" i="56"/>
  <c r="II291" i="56"/>
  <c r="II119" i="56"/>
  <c r="II156" i="56"/>
  <c r="II316" i="56"/>
  <c r="II314" i="56"/>
  <c r="II170" i="56"/>
  <c r="II243" i="56"/>
  <c r="II129" i="56"/>
  <c r="II308" i="56"/>
  <c r="II328" i="56"/>
  <c r="II169" i="56"/>
  <c r="II117" i="56"/>
  <c r="II349" i="56"/>
  <c r="II352" i="56"/>
  <c r="II93" i="56"/>
  <c r="II266" i="56"/>
  <c r="II44" i="56"/>
  <c r="II240" i="56"/>
  <c r="II286" i="56"/>
  <c r="II344" i="56"/>
  <c r="II202" i="56"/>
  <c r="II333" i="56"/>
  <c r="II338" i="56"/>
  <c r="II99" i="56"/>
  <c r="II288" i="56"/>
  <c r="II219" i="56"/>
  <c r="II91" i="56"/>
  <c r="II29" i="56"/>
  <c r="II241" i="56"/>
  <c r="II76" i="56"/>
  <c r="II270" i="56"/>
  <c r="II197" i="56"/>
  <c r="II323" i="56"/>
  <c r="II158" i="56"/>
  <c r="II339" i="56"/>
  <c r="II164" i="56"/>
  <c r="II199" i="56"/>
  <c r="II75" i="56"/>
  <c r="II222" i="56"/>
  <c r="II272" i="56"/>
  <c r="II305" i="56"/>
  <c r="II259" i="56"/>
  <c r="II340" i="56"/>
  <c r="II160" i="56"/>
  <c r="II275" i="56"/>
  <c r="II89" i="56"/>
  <c r="II63" i="56"/>
  <c r="II79" i="56"/>
  <c r="II246" i="56"/>
  <c r="II334" i="56"/>
  <c r="II114" i="56"/>
  <c r="II171" i="56"/>
  <c r="II271" i="56"/>
  <c r="II33" i="56"/>
  <c r="II83" i="56"/>
  <c r="II194" i="56"/>
  <c r="II67" i="56"/>
  <c r="II55" i="56"/>
  <c r="II134" i="56"/>
  <c r="II149" i="56"/>
  <c r="II36" i="56"/>
  <c r="II232" i="56"/>
  <c r="II264" i="56"/>
  <c r="II200" i="56"/>
  <c r="II280" i="56"/>
  <c r="II74" i="56"/>
  <c r="II189" i="56"/>
  <c r="II54" i="56"/>
  <c r="II255" i="56"/>
  <c r="II324" i="56"/>
  <c r="II70" i="56"/>
  <c r="II180" i="56"/>
  <c r="II292" i="56"/>
  <c r="II301" i="56"/>
  <c r="II347" i="56"/>
  <c r="II115" i="56"/>
  <c r="II61" i="56"/>
  <c r="II155" i="56"/>
  <c r="II327" i="56"/>
  <c r="II150" i="56"/>
  <c r="II278" i="56"/>
  <c r="II204" i="56"/>
  <c r="II257" i="56"/>
  <c r="II210" i="56"/>
  <c r="II319" i="56"/>
  <c r="II250" i="56"/>
  <c r="II163" i="56"/>
  <c r="II287" i="56"/>
  <c r="II136" i="56"/>
  <c r="II45" i="56"/>
  <c r="II166" i="56"/>
  <c r="II153" i="56"/>
  <c r="II274" i="56"/>
  <c r="II296" i="56"/>
  <c r="II178" i="56"/>
  <c r="II303" i="56"/>
  <c r="II187" i="56"/>
  <c r="II133" i="56"/>
  <c r="II216" i="56"/>
  <c r="II294" i="56"/>
  <c r="II90" i="56"/>
  <c r="II57" i="56"/>
  <c r="II300" i="56"/>
  <c r="II106" i="56"/>
  <c r="II143" i="56"/>
  <c r="II218" i="56"/>
  <c r="II198" i="56"/>
  <c r="II220" i="56"/>
  <c r="II161" i="56"/>
  <c r="II249" i="56"/>
  <c r="II140" i="56"/>
  <c r="II348" i="56"/>
  <c r="II72" i="56"/>
  <c r="II51" i="56"/>
  <c r="II322" i="56"/>
  <c r="II297" i="56"/>
  <c r="II35" i="56"/>
  <c r="II203" i="56"/>
  <c r="II228" i="56"/>
  <c r="II152" i="56"/>
  <c r="II195" i="56"/>
  <c r="II223" i="56"/>
  <c r="II320" i="56"/>
  <c r="II311" i="56"/>
  <c r="II253" i="56"/>
  <c r="II71" i="56"/>
  <c r="II168" i="56"/>
  <c r="II267" i="56"/>
  <c r="II122" i="56"/>
  <c r="II46" i="56"/>
  <c r="II295" i="56"/>
  <c r="II312" i="56"/>
  <c r="II60" i="56"/>
  <c r="II214" i="56"/>
  <c r="II144" i="56"/>
  <c r="II109" i="56"/>
  <c r="II273" i="56"/>
  <c r="II276" i="56"/>
  <c r="II62" i="56"/>
  <c r="II326" i="56"/>
  <c r="II52" i="56"/>
  <c r="II172" i="56"/>
  <c r="II209" i="56"/>
  <c r="II251" i="56"/>
  <c r="II159" i="56"/>
  <c r="II238" i="56"/>
  <c r="II73" i="56"/>
  <c r="II351" i="56"/>
  <c r="II58" i="56"/>
  <c r="II86" i="56"/>
  <c r="II237" i="56"/>
  <c r="II315" i="56"/>
  <c r="II127" i="56"/>
  <c r="II226" i="56"/>
  <c r="II192" i="56"/>
  <c r="II298" i="56"/>
  <c r="II299" i="56"/>
  <c r="II68" i="56"/>
  <c r="II215" i="56"/>
  <c r="II256" i="56"/>
  <c r="II147" i="56"/>
  <c r="II174" i="56"/>
  <c r="II206" i="56"/>
  <c r="II30" i="56"/>
  <c r="II125" i="56"/>
  <c r="II182" i="56"/>
  <c r="II350" i="56"/>
  <c r="II318" i="56"/>
  <c r="II165" i="56"/>
  <c r="II108" i="56"/>
  <c r="II321" i="56"/>
  <c r="II282" i="56"/>
  <c r="II309" i="56"/>
  <c r="II100" i="56"/>
  <c r="II290" i="56"/>
  <c r="II43" i="56"/>
  <c r="II235" i="56"/>
  <c r="II167" i="56"/>
  <c r="II97" i="56"/>
  <c r="II96" i="56"/>
  <c r="II138" i="56"/>
  <c r="II40" i="56"/>
  <c r="II208" i="56"/>
  <c r="II213" i="56"/>
  <c r="II281" i="56"/>
  <c r="II56" i="56"/>
  <c r="II254" i="56"/>
  <c r="II113" i="56"/>
  <c r="II302" i="56"/>
  <c r="II41" i="56"/>
  <c r="II211" i="56"/>
  <c r="II142" i="56"/>
  <c r="II196" i="56"/>
  <c r="II227" i="56"/>
  <c r="II176" i="56"/>
  <c r="II345" i="56"/>
  <c r="II332" i="56"/>
  <c r="II285" i="56"/>
  <c r="II34" i="56"/>
  <c r="II346" i="56"/>
  <c r="II245" i="56"/>
  <c r="II59" i="56"/>
  <c r="II252" i="56"/>
  <c r="II148" i="56"/>
  <c r="II239" i="56"/>
  <c r="II111" i="56"/>
  <c r="II42" i="56"/>
  <c r="II145" i="56"/>
  <c r="II331" i="56"/>
  <c r="II263" i="56"/>
  <c r="II137" i="56"/>
  <c r="II179" i="56"/>
  <c r="II265" i="56"/>
  <c r="II38" i="56"/>
  <c r="II173" i="56"/>
  <c r="II107" i="56"/>
  <c r="II217" i="56"/>
  <c r="II205" i="56"/>
  <c r="II162" i="56"/>
  <c r="II123" i="56"/>
  <c r="II103" i="56"/>
  <c r="II157" i="56"/>
  <c r="II188" i="56"/>
  <c r="II183" i="56"/>
  <c r="II141" i="56"/>
  <c r="II304" i="56"/>
  <c r="II131" i="56"/>
  <c r="II221" i="56"/>
  <c r="II175" i="56"/>
  <c r="II82" i="56"/>
  <c r="II139" i="56"/>
  <c r="II92" i="56"/>
  <c r="II193" i="56"/>
  <c r="II248" i="56"/>
  <c r="II132" i="56"/>
  <c r="II95" i="56"/>
  <c r="II306" i="56"/>
  <c r="II85" i="56"/>
  <c r="II135" i="56"/>
  <c r="II69" i="56"/>
  <c r="II118" i="56"/>
  <c r="II186" i="56"/>
  <c r="II242" i="56"/>
  <c r="II126" i="56"/>
  <c r="II112" i="56"/>
  <c r="II37" i="56"/>
  <c r="II47" i="56"/>
  <c r="II269" i="56"/>
  <c r="II191" i="56"/>
  <c r="II229" i="56"/>
  <c r="II151" i="56"/>
  <c r="II212" i="56"/>
  <c r="II279" i="56"/>
  <c r="II262" i="56"/>
  <c r="II66" i="56"/>
  <c r="II49" i="56"/>
  <c r="II64" i="56"/>
  <c r="II284" i="56"/>
  <c r="II293" i="56"/>
  <c r="II234" i="56"/>
  <c r="II244" i="56"/>
  <c r="II233" i="56"/>
  <c r="II260" i="56"/>
  <c r="II146" i="56"/>
  <c r="II81" i="56"/>
  <c r="II337" i="56"/>
  <c r="II181" i="56"/>
  <c r="II78" i="56"/>
  <c r="II247" i="56"/>
  <c r="II343" i="56"/>
  <c r="II65" i="56"/>
  <c r="II268" i="56"/>
  <c r="II277" i="56"/>
  <c r="II116" i="56"/>
  <c r="II207" i="56"/>
  <c r="II289" i="56"/>
  <c r="II190" i="56"/>
  <c r="II105" i="56"/>
  <c r="II94" i="56"/>
  <c r="II201" i="56"/>
  <c r="II258" i="56"/>
  <c r="II329" i="56"/>
  <c r="II110" i="56"/>
  <c r="II310" i="56"/>
  <c r="II231" i="56"/>
  <c r="II87" i="56"/>
  <c r="II98" i="56"/>
  <c r="II236" i="56"/>
  <c r="II48" i="56"/>
  <c r="II120" i="56"/>
  <c r="II101" i="56"/>
  <c r="II84" i="56"/>
  <c r="II307" i="56"/>
  <c r="HA22" i="56" l="1"/>
  <c r="HA69" i="56"/>
  <c r="HA48" i="56"/>
  <c r="HA301" i="56"/>
  <c r="HA118" i="56"/>
  <c r="IL117" i="56"/>
  <c r="O117" i="56"/>
  <c r="IL8" i="56"/>
  <c r="O8" i="56"/>
  <c r="IL12" i="56"/>
  <c r="O12" i="56"/>
  <c r="IL6" i="56"/>
  <c r="O6" i="56"/>
  <c r="IL13" i="56"/>
  <c r="O13" i="56"/>
  <c r="IL9" i="56"/>
  <c r="O9" i="56"/>
  <c r="IL18" i="56"/>
  <c r="O18" i="56"/>
  <c r="IL68" i="56"/>
  <c r="O68" i="56"/>
  <c r="IL170" i="56"/>
  <c r="O170" i="56"/>
  <c r="IL347" i="56"/>
  <c r="O347" i="56"/>
  <c r="IL130" i="56"/>
  <c r="O130" i="56"/>
  <c r="IL316" i="56"/>
  <c r="O316" i="56"/>
  <c r="IL63" i="56"/>
  <c r="O63" i="56"/>
  <c r="IL17" i="56"/>
  <c r="O17" i="56"/>
  <c r="IL5" i="56"/>
  <c r="O5" i="56"/>
  <c r="IL348" i="56"/>
  <c r="O348" i="56"/>
  <c r="IL294" i="56"/>
  <c r="O294" i="56"/>
  <c r="IL22" i="56"/>
  <c r="O22" i="56"/>
  <c r="GO50" i="56"/>
  <c r="GN50" i="56"/>
  <c r="IK50" i="56" s="1"/>
  <c r="GM51" i="56"/>
  <c r="HO23" i="56" a="1"/>
  <c r="HO23" i="56" s="1"/>
  <c r="HP23" i="56" s="1"/>
  <c r="HM23" i="56" a="1"/>
  <c r="HM23" i="56" s="1"/>
  <c r="HN23" i="56" s="1"/>
  <c r="HK23" i="56" a="1"/>
  <c r="HK23" i="56" s="1"/>
  <c r="HL23" i="56" s="1"/>
  <c r="HQ23" i="56" a="1"/>
  <c r="HQ23" i="56" s="1"/>
  <c r="HR23" i="56" s="1"/>
  <c r="HG23" i="56" a="1"/>
  <c r="HG23" i="56" s="1"/>
  <c r="HH23" i="56" s="1"/>
  <c r="HI23" i="56" a="1"/>
  <c r="HI23" i="56" s="1"/>
  <c r="HJ23" i="56" s="1"/>
  <c r="IL91" i="56"/>
  <c r="O91" i="56"/>
  <c r="IL138" i="56"/>
  <c r="O138" i="56"/>
  <c r="IL192" i="56"/>
  <c r="O192" i="56"/>
  <c r="IL115" i="56"/>
  <c r="O115" i="56"/>
  <c r="IL318" i="56"/>
  <c r="O318" i="56"/>
  <c r="IL38" i="56"/>
  <c r="O38" i="56"/>
  <c r="IL41" i="56"/>
  <c r="O41" i="56"/>
  <c r="IL335" i="56"/>
  <c r="O335" i="56"/>
  <c r="IL163" i="56"/>
  <c r="O163" i="56"/>
  <c r="IL146" i="56"/>
  <c r="O146" i="56"/>
  <c r="IL233" i="56"/>
  <c r="O233" i="56"/>
  <c r="IL236" i="56"/>
  <c r="O236" i="56"/>
  <c r="IL36" i="56"/>
  <c r="O36" i="56"/>
  <c r="IL40" i="56"/>
  <c r="O40" i="56"/>
  <c r="IL53" i="56"/>
  <c r="O53" i="56"/>
  <c r="IL61" i="56"/>
  <c r="O61" i="56"/>
  <c r="IL7" i="56"/>
  <c r="O7" i="56"/>
  <c r="IL346" i="56"/>
  <c r="O346" i="56"/>
  <c r="IL201" i="56"/>
  <c r="O201" i="56"/>
  <c r="IL298" i="56"/>
  <c r="O298" i="56"/>
  <c r="HT49" i="56"/>
  <c r="GW49" i="56"/>
  <c r="GT49" i="56"/>
  <c r="HA49" i="56" s="1"/>
  <c r="GP49" i="56"/>
  <c r="GU49" i="56"/>
  <c r="HS49" i="56" s="1"/>
  <c r="IL96" i="56"/>
  <c r="O96" i="56"/>
  <c r="HO148" i="56" a="1"/>
  <c r="HO148" i="56" s="1"/>
  <c r="HP148" i="56" s="1"/>
  <c r="HI148" i="56" a="1"/>
  <c r="HI148" i="56" s="1"/>
  <c r="HJ148" i="56" s="1"/>
  <c r="HM148" i="56" a="1"/>
  <c r="HM148" i="56" s="1"/>
  <c r="HN148" i="56" s="1"/>
  <c r="HK148" i="56" a="1"/>
  <c r="HK148" i="56" s="1"/>
  <c r="HL148" i="56" s="1"/>
  <c r="HQ148" i="56" a="1"/>
  <c r="HQ148" i="56" s="1"/>
  <c r="HR148" i="56" s="1"/>
  <c r="HG148" i="56" a="1"/>
  <c r="HG148" i="56" s="1"/>
  <c r="HH148" i="56" s="1"/>
  <c r="IL239" i="56"/>
  <c r="O239" i="56"/>
  <c r="IL139" i="56"/>
  <c r="O139" i="56"/>
  <c r="IL200" i="56"/>
  <c r="O200" i="56"/>
  <c r="IL322" i="56"/>
  <c r="O322" i="56"/>
  <c r="IL34" i="56"/>
  <c r="O34" i="56"/>
  <c r="IL39" i="56"/>
  <c r="O39" i="56"/>
  <c r="IL340" i="56"/>
  <c r="O340" i="56"/>
  <c r="IL226" i="56"/>
  <c r="O226" i="56"/>
  <c r="IL230" i="56"/>
  <c r="O230" i="56"/>
  <c r="IL297" i="56"/>
  <c r="O297" i="56"/>
  <c r="HO203" i="56" a="1"/>
  <c r="HO203" i="56" s="1"/>
  <c r="HP203" i="56" s="1"/>
  <c r="HQ203" i="56" a="1"/>
  <c r="HQ203" i="56" s="1"/>
  <c r="HR203" i="56" s="1"/>
  <c r="HM203" i="56" a="1"/>
  <c r="HM203" i="56" s="1"/>
  <c r="HN203" i="56" s="1"/>
  <c r="HK203" i="56" a="1"/>
  <c r="HK203" i="56" s="1"/>
  <c r="HL203" i="56" s="1"/>
  <c r="HI203" i="56" a="1"/>
  <c r="HI203" i="56" s="1"/>
  <c r="HJ203" i="56" s="1"/>
  <c r="HG203" i="56" a="1"/>
  <c r="HG203" i="56" s="1"/>
  <c r="HH203" i="56" s="1"/>
  <c r="HT23" i="56"/>
  <c r="GW23" i="56"/>
  <c r="GU23" i="56"/>
  <c r="HS23" i="56" s="1"/>
  <c r="GT23" i="56"/>
  <c r="HA23" i="56" s="1"/>
  <c r="GP23" i="56"/>
  <c r="HO119" i="56" a="1"/>
  <c r="HO119" i="56" s="1"/>
  <c r="HP119" i="56" s="1"/>
  <c r="HM119" i="56" a="1"/>
  <c r="HM119" i="56" s="1"/>
  <c r="HN119" i="56" s="1"/>
  <c r="HI119" i="56" a="1"/>
  <c r="HI119" i="56" s="1"/>
  <c r="HJ119" i="56" s="1"/>
  <c r="HG119" i="56" a="1"/>
  <c r="HG119" i="56" s="1"/>
  <c r="HH119" i="56" s="1"/>
  <c r="HQ119" i="56" a="1"/>
  <c r="HQ119" i="56" s="1"/>
  <c r="HR119" i="56" s="1"/>
  <c r="HK119" i="56" a="1"/>
  <c r="HK119" i="56" s="1"/>
  <c r="HL119" i="56" s="1"/>
  <c r="GN149" i="56"/>
  <c r="IK149" i="56" s="1"/>
  <c r="GO149" i="56"/>
  <c r="GM150" i="56"/>
  <c r="HE149" i="56"/>
  <c r="HF149" i="56" s="1"/>
  <c r="IL137" i="56"/>
  <c r="O137" i="56"/>
  <c r="IL145" i="56"/>
  <c r="O145" i="56"/>
  <c r="IL111" i="56"/>
  <c r="O111" i="56"/>
  <c r="IL321" i="56"/>
  <c r="O321" i="56"/>
  <c r="IL37" i="56"/>
  <c r="O37" i="56"/>
  <c r="IL339" i="56"/>
  <c r="O339" i="56"/>
  <c r="IL157" i="56"/>
  <c r="O157" i="56"/>
  <c r="IL162" i="56"/>
  <c r="O162" i="56"/>
  <c r="HQ172" i="56" a="1"/>
  <c r="HQ172" i="56" s="1"/>
  <c r="HR172" i="56" s="1"/>
  <c r="HO172" i="56" a="1"/>
  <c r="HO172" i="56" s="1"/>
  <c r="HP172" i="56" s="1"/>
  <c r="HM172" i="56" a="1"/>
  <c r="HM172" i="56" s="1"/>
  <c r="HN172" i="56" s="1"/>
  <c r="HI172" i="56" a="1"/>
  <c r="HI172" i="56" s="1"/>
  <c r="HJ172" i="56" s="1"/>
  <c r="HG172" i="56" a="1"/>
  <c r="HG172" i="56" s="1"/>
  <c r="HH172" i="56" s="1"/>
  <c r="HK172" i="56" a="1"/>
  <c r="HK172" i="56" s="1"/>
  <c r="HL172" i="56" s="1"/>
  <c r="IL225" i="56"/>
  <c r="O225" i="56"/>
  <c r="IL301" i="56"/>
  <c r="O301" i="56"/>
  <c r="IL90" i="56"/>
  <c r="O90" i="56"/>
  <c r="IL113" i="56"/>
  <c r="O113" i="56"/>
  <c r="L20" i="16"/>
  <c r="L23" i="16"/>
  <c r="L7" i="16"/>
  <c r="L13" i="16"/>
  <c r="L6" i="16"/>
  <c r="L19" i="16"/>
  <c r="L12" i="16"/>
  <c r="L17" i="16"/>
  <c r="L8" i="16"/>
  <c r="L18" i="16"/>
  <c r="L5" i="16"/>
  <c r="L4" i="16"/>
  <c r="L22" i="16"/>
  <c r="L21" i="16"/>
  <c r="L10" i="16"/>
  <c r="L14" i="16"/>
  <c r="L16" i="16"/>
  <c r="L15" i="16"/>
  <c r="L11" i="16"/>
  <c r="L9" i="16"/>
  <c r="IL315" i="56"/>
  <c r="O315" i="56"/>
  <c r="GO204" i="56"/>
  <c r="GN204" i="56"/>
  <c r="IK204" i="56" s="1"/>
  <c r="GM205" i="56"/>
  <c r="HE204" i="56"/>
  <c r="HF204" i="56" s="1"/>
  <c r="GN120" i="56"/>
  <c r="IK120" i="56" s="1"/>
  <c r="GO120" i="56"/>
  <c r="GM121" i="56"/>
  <c r="HE120" i="56"/>
  <c r="HF120" i="56" s="1"/>
  <c r="IL143" i="56"/>
  <c r="O143" i="56"/>
  <c r="IL32" i="56"/>
  <c r="O32" i="56"/>
  <c r="IL338" i="56"/>
  <c r="O338" i="56"/>
  <c r="IL156" i="56"/>
  <c r="O156" i="56"/>
  <c r="GO173" i="56"/>
  <c r="GN173" i="56"/>
  <c r="IK173" i="56" s="1"/>
  <c r="GM174" i="56"/>
  <c r="HE173" i="56"/>
  <c r="HF173" i="56" s="1"/>
  <c r="IL235" i="56"/>
  <c r="O235" i="56"/>
  <c r="IL299" i="56"/>
  <c r="O299" i="56"/>
  <c r="GO24" i="56"/>
  <c r="GN24" i="56"/>
  <c r="IK24" i="56" s="1"/>
  <c r="GM25" i="56"/>
  <c r="HE24" i="56"/>
  <c r="HF24" i="56" s="1"/>
  <c r="IL189" i="56"/>
  <c r="O189" i="56"/>
  <c r="IL14" i="56"/>
  <c r="O14" i="56"/>
  <c r="IL292" i="56"/>
  <c r="O292" i="56"/>
  <c r="IL60" i="56"/>
  <c r="O60" i="56"/>
  <c r="IL291" i="56"/>
  <c r="O291" i="56"/>
  <c r="IL325" i="56"/>
  <c r="O325" i="56"/>
  <c r="IL198" i="56"/>
  <c r="O198" i="56"/>
  <c r="IL21" i="56"/>
  <c r="O21" i="56"/>
  <c r="IL314" i="56"/>
  <c r="O314" i="56"/>
  <c r="IL10" i="56"/>
  <c r="O10" i="56"/>
  <c r="HQ25" i="56" a="1"/>
  <c r="HQ25" i="56" s="1"/>
  <c r="HR25" i="56" s="1"/>
  <c r="HM25" i="56" a="1"/>
  <c r="HM25" i="56" s="1"/>
  <c r="HN25" i="56" s="1"/>
  <c r="HK25" i="56" a="1"/>
  <c r="HK25" i="56" s="1"/>
  <c r="HL25" i="56" s="1"/>
  <c r="HG25" i="56" a="1"/>
  <c r="HG25" i="56" s="1"/>
  <c r="HH25" i="56" s="1"/>
  <c r="HI25" i="56" a="1"/>
  <c r="HI25" i="56" s="1"/>
  <c r="HJ25" i="56" s="1"/>
  <c r="HO25" i="56" a="1"/>
  <c r="HO25" i="56" s="1"/>
  <c r="HP25" i="56" s="1"/>
  <c r="IL131" i="56"/>
  <c r="O131" i="56"/>
  <c r="IL323" i="56"/>
  <c r="O323" i="56"/>
  <c r="IL352" i="56"/>
  <c r="O352" i="56"/>
  <c r="IL19" i="56"/>
  <c r="O19" i="56"/>
  <c r="IL296" i="56"/>
  <c r="O296" i="56"/>
  <c r="IL136" i="56"/>
  <c r="O136" i="56"/>
  <c r="IL319" i="56"/>
  <c r="O319" i="56"/>
  <c r="IL3" i="56"/>
  <c r="O3" i="56"/>
  <c r="IL290" i="56"/>
  <c r="O290" i="56"/>
  <c r="HT203" i="56"/>
  <c r="GT203" i="56"/>
  <c r="GU203" i="56"/>
  <c r="HS203" i="56" s="1"/>
  <c r="GW203" i="56"/>
  <c r="GP203" i="56"/>
  <c r="IL326" i="56"/>
  <c r="O326" i="56"/>
  <c r="IL97" i="56"/>
  <c r="O97" i="56"/>
  <c r="HT119" i="56"/>
  <c r="GW119" i="56"/>
  <c r="GP119" i="56"/>
  <c r="GT119" i="56"/>
  <c r="HA119" i="56" s="1"/>
  <c r="GU119" i="56"/>
  <c r="HS119" i="56" s="1"/>
  <c r="HT148" i="56"/>
  <c r="GP148" i="56"/>
  <c r="GT148" i="56"/>
  <c r="GW148" i="56"/>
  <c r="GU148" i="56"/>
  <c r="HS148" i="56" s="1"/>
  <c r="IL140" i="56"/>
  <c r="O140" i="56"/>
  <c r="IL199" i="56"/>
  <c r="O199" i="56"/>
  <c r="IL110" i="56"/>
  <c r="O110" i="56"/>
  <c r="IL69" i="56"/>
  <c r="O69" i="56"/>
  <c r="IL161" i="56"/>
  <c r="O161" i="56"/>
  <c r="A5" i="62" a="1"/>
  <c r="A5" i="62" s="1"/>
  <c r="IL62" i="56"/>
  <c r="O62" i="56"/>
  <c r="IL313" i="56"/>
  <c r="O313" i="56"/>
  <c r="IL48" i="56"/>
  <c r="O48" i="56"/>
  <c r="IL295" i="56"/>
  <c r="O295" i="56"/>
  <c r="IL328" i="56"/>
  <c r="O328" i="56"/>
  <c r="IL191" i="56"/>
  <c r="O191" i="56"/>
  <c r="IL102" i="56"/>
  <c r="O102" i="56"/>
  <c r="IL35" i="56"/>
  <c r="O35" i="56"/>
  <c r="IL165" i="56"/>
  <c r="O165" i="56"/>
  <c r="HT172" i="56"/>
  <c r="GW172" i="56"/>
  <c r="GU172" i="56"/>
  <c r="HS172" i="56" s="1"/>
  <c r="GP172" i="56"/>
  <c r="GT172" i="56"/>
  <c r="IL55" i="56"/>
  <c r="O55" i="56"/>
  <c r="IL88" i="56"/>
  <c r="O88" i="56"/>
  <c r="IL190" i="56"/>
  <c r="O190" i="56"/>
  <c r="IL159" i="56"/>
  <c r="O159" i="56"/>
  <c r="IL142" i="56"/>
  <c r="O142" i="56"/>
  <c r="IL114" i="56"/>
  <c r="O114" i="56"/>
  <c r="IL317" i="56"/>
  <c r="O317" i="56"/>
  <c r="IL337" i="56"/>
  <c r="O337" i="56"/>
  <c r="IL238" i="56"/>
  <c r="O238" i="56"/>
  <c r="IL59" i="56"/>
  <c r="O59" i="56"/>
  <c r="IL15" i="56"/>
  <c r="O15" i="56"/>
  <c r="IL284" i="56"/>
  <c r="O284" i="56"/>
  <c r="IL89" i="56"/>
  <c r="O89" i="56"/>
  <c r="IL141" i="56"/>
  <c r="O141" i="56"/>
  <c r="IL197" i="56"/>
  <c r="O197" i="56"/>
  <c r="IL320" i="56"/>
  <c r="O320" i="56"/>
  <c r="IL336" i="56"/>
  <c r="O336" i="56"/>
  <c r="IL229" i="56"/>
  <c r="O229" i="56"/>
  <c r="IL334" i="56"/>
  <c r="O334" i="56"/>
  <c r="IL4" i="56"/>
  <c r="O4" i="56"/>
  <c r="HQ241" i="56" a="1"/>
  <c r="HQ241" i="56" s="1"/>
  <c r="HR241" i="56" s="1"/>
  <c r="HO241" i="56" a="1"/>
  <c r="HO241" i="56" s="1"/>
  <c r="HP241" i="56" s="1"/>
  <c r="HM241" i="56" a="1"/>
  <c r="HM241" i="56" s="1"/>
  <c r="HN241" i="56" s="1"/>
  <c r="HG241" i="56" a="1"/>
  <c r="HG241" i="56" s="1"/>
  <c r="HH241" i="56" s="1"/>
  <c r="HK241" i="56" a="1"/>
  <c r="HK241" i="56" s="1"/>
  <c r="HL241" i="56" s="1"/>
  <c r="HI241" i="56" a="1"/>
  <c r="HI241" i="56" s="1"/>
  <c r="HJ241" i="56" s="1"/>
  <c r="IL144" i="56"/>
  <c r="O144" i="56"/>
  <c r="IL155" i="56"/>
  <c r="O155" i="56"/>
  <c r="IL327" i="56"/>
  <c r="O327" i="56"/>
  <c r="IL109" i="56"/>
  <c r="O109" i="56"/>
  <c r="IL54" i="56"/>
  <c r="O54" i="56"/>
  <c r="IL289" i="56"/>
  <c r="O289" i="56"/>
  <c r="IL329" i="56"/>
  <c r="O329" i="56"/>
  <c r="IL332" i="56"/>
  <c r="O332" i="56"/>
  <c r="IL343" i="56"/>
  <c r="O343" i="56"/>
  <c r="IL300" i="56"/>
  <c r="O300" i="56"/>
  <c r="IL100" i="56"/>
  <c r="O100" i="56"/>
  <c r="IL135" i="56"/>
  <c r="O135" i="56"/>
  <c r="IL106" i="56"/>
  <c r="O106" i="56"/>
  <c r="IL108" i="56"/>
  <c r="O108" i="56"/>
  <c r="AF33" i="42"/>
  <c r="AF4" i="42"/>
  <c r="AF9" i="42"/>
  <c r="AF5" i="42"/>
  <c r="AF6" i="42"/>
  <c r="AF10" i="42"/>
  <c r="IL169" i="56"/>
  <c r="O169" i="56"/>
  <c r="IL158" i="56"/>
  <c r="O158" i="56"/>
  <c r="IL234" i="56"/>
  <c r="O234" i="56"/>
  <c r="IL345" i="56"/>
  <c r="O345" i="56"/>
  <c r="IL101" i="56"/>
  <c r="O101" i="56"/>
  <c r="HH22" i="56"/>
  <c r="IL57" i="56"/>
  <c r="O57" i="56"/>
  <c r="IL287" i="56"/>
  <c r="O287" i="56"/>
  <c r="HT241" i="56"/>
  <c r="GU241" i="56"/>
  <c r="HS241" i="56" s="1"/>
  <c r="GT241" i="56"/>
  <c r="GW241" i="56"/>
  <c r="GP241" i="56"/>
  <c r="IL99" i="56"/>
  <c r="O99" i="56"/>
  <c r="IL187" i="56"/>
  <c r="O187" i="56"/>
  <c r="IL186" i="56"/>
  <c r="O186" i="56"/>
  <c r="IL195" i="56"/>
  <c r="O195" i="56"/>
  <c r="IL105" i="56"/>
  <c r="O105" i="56"/>
  <c r="IL168" i="56"/>
  <c r="O168" i="56"/>
  <c r="IL232" i="56"/>
  <c r="O232" i="56"/>
  <c r="IL228" i="56"/>
  <c r="O228" i="56"/>
  <c r="IL20" i="56"/>
  <c r="O20" i="56"/>
  <c r="IL333" i="56"/>
  <c r="O333" i="56"/>
  <c r="IL16" i="56"/>
  <c r="O16" i="56"/>
  <c r="HA202" i="56"/>
  <c r="GO242" i="56"/>
  <c r="GN242" i="56"/>
  <c r="IK242" i="56" s="1"/>
  <c r="GM243" i="56"/>
  <c r="HE242" i="56"/>
  <c r="HF242" i="56" s="1"/>
  <c r="IL33" i="56"/>
  <c r="O33" i="56"/>
  <c r="IL67" i="56"/>
  <c r="O67" i="56"/>
  <c r="IL47" i="56"/>
  <c r="O47" i="56"/>
  <c r="IL98" i="56"/>
  <c r="O98" i="56"/>
  <c r="IL134" i="56"/>
  <c r="O134" i="56"/>
  <c r="IL104" i="56"/>
  <c r="O104" i="56"/>
  <c r="IL107" i="56"/>
  <c r="O107" i="56"/>
  <c r="IL167" i="56"/>
  <c r="O167" i="56"/>
  <c r="IL160" i="56"/>
  <c r="O160" i="56"/>
  <c r="HQ70" i="56" a="1"/>
  <c r="HQ70" i="56" s="1"/>
  <c r="HR70" i="56" s="1"/>
  <c r="HO70" i="56" a="1"/>
  <c r="HO70" i="56" s="1"/>
  <c r="HP70" i="56" s="1"/>
  <c r="HG70" i="56" a="1"/>
  <c r="HG70" i="56" s="1"/>
  <c r="HH70" i="56" s="1"/>
  <c r="HI70" i="56" a="1"/>
  <c r="HI70" i="56" s="1"/>
  <c r="HJ70" i="56" s="1"/>
  <c r="HK70" i="56" a="1"/>
  <c r="HK70" i="56" s="1"/>
  <c r="HL70" i="56" s="1"/>
  <c r="HM70" i="56" a="1"/>
  <c r="HM70" i="56" s="1"/>
  <c r="HN70" i="56" s="1"/>
  <c r="IL66" i="56"/>
  <c r="O66" i="56"/>
  <c r="IL56" i="56"/>
  <c r="O56" i="56"/>
  <c r="IL341" i="56"/>
  <c r="O341" i="56"/>
  <c r="GO303" i="56"/>
  <c r="GN303" i="56"/>
  <c r="IK303" i="56" s="1"/>
  <c r="GM304" i="56"/>
  <c r="HE303" i="56"/>
  <c r="HF303" i="56" s="1"/>
  <c r="IL293" i="56"/>
  <c r="O293" i="56"/>
  <c r="IL286" i="56"/>
  <c r="O286" i="56"/>
  <c r="HA240" i="56"/>
  <c r="IL30" i="56"/>
  <c r="O30" i="56"/>
  <c r="IL118" i="56"/>
  <c r="O118" i="56"/>
  <c r="IL95" i="56"/>
  <c r="O95" i="56"/>
  <c r="IL194" i="56"/>
  <c r="O194" i="56"/>
  <c r="IL103" i="56"/>
  <c r="O103" i="56"/>
  <c r="IL46" i="56"/>
  <c r="O46" i="56"/>
  <c r="AF34" i="42"/>
  <c r="GO71" i="56"/>
  <c r="GN71" i="56"/>
  <c r="IK71" i="56" s="1"/>
  <c r="GM72" i="56"/>
  <c r="HE71" i="56"/>
  <c r="HF71" i="56" s="1"/>
  <c r="IL351" i="56"/>
  <c r="O351" i="56"/>
  <c r="HT302" i="56"/>
  <c r="GW302" i="56"/>
  <c r="GT302" i="56"/>
  <c r="HA302" i="56" s="1"/>
  <c r="GP302" i="56"/>
  <c r="GU302" i="56"/>
  <c r="HS302" i="56" s="1"/>
  <c r="IL29" i="56"/>
  <c r="O29" i="56"/>
  <c r="IL94" i="56"/>
  <c r="O94" i="56"/>
  <c r="IL133" i="56"/>
  <c r="O133" i="56"/>
  <c r="IL185" i="56"/>
  <c r="O185" i="56"/>
  <c r="IL112" i="56"/>
  <c r="O112" i="56"/>
  <c r="IL44" i="56"/>
  <c r="O44" i="56"/>
  <c r="IL166" i="56"/>
  <c r="O166" i="56"/>
  <c r="HT70" i="56"/>
  <c r="GU70" i="56"/>
  <c r="HS70" i="56" s="1"/>
  <c r="GW70" i="56"/>
  <c r="GT70" i="56"/>
  <c r="GP70" i="56"/>
  <c r="IL65" i="56"/>
  <c r="O65" i="56"/>
  <c r="IL64" i="56"/>
  <c r="O64" i="56"/>
  <c r="IL350" i="56"/>
  <c r="O350" i="56"/>
  <c r="IL285" i="56"/>
  <c r="O285" i="56"/>
  <c r="IL93" i="56"/>
  <c r="O93" i="56"/>
  <c r="IL188" i="56"/>
  <c r="O188" i="56"/>
  <c r="IL193" i="56"/>
  <c r="O193" i="56"/>
  <c r="IL43" i="56"/>
  <c r="O43" i="56"/>
  <c r="IL237" i="56"/>
  <c r="O237" i="56"/>
  <c r="IL231" i="56"/>
  <c r="O231" i="56"/>
  <c r="IL227" i="56"/>
  <c r="O227" i="56"/>
  <c r="IL58" i="56"/>
  <c r="O58" i="56"/>
  <c r="IL288" i="56"/>
  <c r="O288" i="56"/>
  <c r="IL196" i="56"/>
  <c r="O196" i="56"/>
  <c r="IL331" i="56"/>
  <c r="O331" i="56"/>
  <c r="IL342" i="56"/>
  <c r="O342" i="56"/>
  <c r="IL330" i="56"/>
  <c r="O330" i="56"/>
  <c r="IL344" i="56"/>
  <c r="O344" i="56"/>
  <c r="HQ302" i="56" a="1"/>
  <c r="HQ302" i="56" s="1"/>
  <c r="HR302" i="56" s="1"/>
  <c r="HM302" i="56" a="1"/>
  <c r="HM302" i="56" s="1"/>
  <c r="HN302" i="56" s="1"/>
  <c r="HK302" i="56" a="1"/>
  <c r="HK302" i="56" s="1"/>
  <c r="HL302" i="56" s="1"/>
  <c r="HO302" i="56" a="1"/>
  <c r="HO302" i="56" s="1"/>
  <c r="HP302" i="56" s="1"/>
  <c r="HG302" i="56" a="1"/>
  <c r="HG302" i="56" s="1"/>
  <c r="HH302" i="56" s="1"/>
  <c r="HI302" i="56" a="1"/>
  <c r="HI302" i="56" s="1"/>
  <c r="HJ302" i="56" s="1"/>
  <c r="IL11" i="56"/>
  <c r="O11" i="56"/>
  <c r="IL349" i="56"/>
  <c r="O349" i="56"/>
  <c r="IL26" i="56"/>
  <c r="O26" i="56"/>
  <c r="IL92" i="56"/>
  <c r="O92" i="56"/>
  <c r="HA147" i="56"/>
  <c r="IL132" i="56"/>
  <c r="O132" i="56"/>
  <c r="IL116" i="56"/>
  <c r="O116" i="56"/>
  <c r="IL324" i="56"/>
  <c r="O324" i="56"/>
  <c r="IL45" i="56"/>
  <c r="O45" i="56"/>
  <c r="IL42" i="56"/>
  <c r="O42" i="56"/>
  <c r="IL164" i="56"/>
  <c r="O164" i="56"/>
  <c r="HA171" i="56"/>
  <c r="II14" i="56"/>
  <c r="HA203" i="56" l="1"/>
  <c r="HA148" i="56"/>
  <c r="HA70" i="56"/>
  <c r="HA172" i="56"/>
  <c r="IL172" i="56" s="1"/>
  <c r="GN72" i="56"/>
  <c r="IK72" i="56" s="1"/>
  <c r="GO72" i="56"/>
  <c r="GM73" i="56"/>
  <c r="HE72" i="56"/>
  <c r="HF72" i="56" s="1"/>
  <c r="IL119" i="56"/>
  <c r="O119" i="56"/>
  <c r="AG21" i="42"/>
  <c r="AH21" i="42" s="1"/>
  <c r="M21" i="16"/>
  <c r="HA241" i="56"/>
  <c r="HK173" i="56" a="1"/>
  <c r="HK173" i="56" s="1"/>
  <c r="HL173" i="56" s="1"/>
  <c r="HQ173" i="56" a="1"/>
  <c r="HQ173" i="56" s="1"/>
  <c r="HR173" i="56" s="1"/>
  <c r="HO173" i="56" a="1"/>
  <c r="HO173" i="56" s="1"/>
  <c r="HP173" i="56" s="1"/>
  <c r="HM173" i="56" a="1"/>
  <c r="HM173" i="56" s="1"/>
  <c r="HN173" i="56" s="1"/>
  <c r="HI173" i="56" a="1"/>
  <c r="HI173" i="56" s="1"/>
  <c r="HJ173" i="56" s="1"/>
  <c r="HG173" i="56" a="1"/>
  <c r="HG173" i="56" s="1"/>
  <c r="HH173" i="56" s="1"/>
  <c r="GO243" i="56"/>
  <c r="GN243" i="56"/>
  <c r="IK243" i="56" s="1"/>
  <c r="GM244" i="56"/>
  <c r="HE243" i="56"/>
  <c r="HF243" i="56" s="1"/>
  <c r="M19" i="16"/>
  <c r="AG19" i="42"/>
  <c r="IL23" i="56"/>
  <c r="O23" i="56"/>
  <c r="M16" i="16"/>
  <c r="AG16" i="42"/>
  <c r="HK149" i="56" a="1"/>
  <c r="HK149" i="56" s="1"/>
  <c r="HL149" i="56" s="1"/>
  <c r="HM149" i="56" a="1"/>
  <c r="HM149" i="56" s="1"/>
  <c r="HN149" i="56" s="1"/>
  <c r="HO149" i="56" a="1"/>
  <c r="HO149" i="56" s="1"/>
  <c r="HP149" i="56" s="1"/>
  <c r="HQ149" i="56" a="1"/>
  <c r="HQ149" i="56" s="1"/>
  <c r="HR149" i="56" s="1"/>
  <c r="HI149" i="56" a="1"/>
  <c r="HI149" i="56" s="1"/>
  <c r="HJ149" i="56" s="1"/>
  <c r="HG149" i="56" a="1"/>
  <c r="HG149" i="56" s="1"/>
  <c r="HH149" i="56" s="1"/>
  <c r="HO71" i="56" a="1"/>
  <c r="HO71" i="56" s="1"/>
  <c r="HP71" i="56" s="1"/>
  <c r="HQ71" i="56" a="1"/>
  <c r="HQ71" i="56" s="1"/>
  <c r="HR71" i="56" s="1"/>
  <c r="HM71" i="56" a="1"/>
  <c r="HM71" i="56" s="1"/>
  <c r="HN71" i="56" s="1"/>
  <c r="HI71" i="56" a="1"/>
  <c r="HI71" i="56" s="1"/>
  <c r="HJ71" i="56" s="1"/>
  <c r="HK71" i="56" a="1"/>
  <c r="HK71" i="56" s="1"/>
  <c r="HL71" i="56" s="1"/>
  <c r="HG71" i="56" a="1"/>
  <c r="HG71" i="56" s="1"/>
  <c r="HH71" i="56" s="1"/>
  <c r="M14" i="16"/>
  <c r="AG14" i="42"/>
  <c r="AH14" i="42" s="1"/>
  <c r="GN150" i="56"/>
  <c r="IK150" i="56" s="1"/>
  <c r="GO150" i="56"/>
  <c r="GM151" i="56"/>
  <c r="HE150" i="56"/>
  <c r="HF150" i="56" s="1"/>
  <c r="AG10" i="42"/>
  <c r="M10" i="16"/>
  <c r="HT149" i="56"/>
  <c r="GW149" i="56"/>
  <c r="GU149" i="56"/>
  <c r="HS149" i="56" s="1"/>
  <c r="GT149" i="56"/>
  <c r="HA149" i="56" s="1"/>
  <c r="GP149" i="56"/>
  <c r="IL49" i="56"/>
  <c r="O49" i="56"/>
  <c r="IL70" i="56"/>
  <c r="O70" i="56"/>
  <c r="GO205" i="56"/>
  <c r="GN205" i="56"/>
  <c r="IK205" i="56" s="1"/>
  <c r="GM206" i="56"/>
  <c r="HE205" i="56"/>
  <c r="HF205" i="56" s="1"/>
  <c r="M12" i="16"/>
  <c r="AG12" i="42"/>
  <c r="IL302" i="56"/>
  <c r="O302" i="56"/>
  <c r="M6" i="16"/>
  <c r="AG6" i="42"/>
  <c r="IL148" i="56"/>
  <c r="O148" i="56"/>
  <c r="HQ24" i="56" a="1"/>
  <c r="HQ24" i="56" s="1"/>
  <c r="HR24" i="56" s="1"/>
  <c r="HO24" i="56" a="1"/>
  <c r="HO24" i="56" s="1"/>
  <c r="HP24" i="56" s="1"/>
  <c r="HM24" i="56" a="1"/>
  <c r="HM24" i="56" s="1"/>
  <c r="HN24" i="56" s="1"/>
  <c r="HG24" i="56" a="1"/>
  <c r="HG24" i="56" s="1"/>
  <c r="HH24" i="56" s="1"/>
  <c r="HI24" i="56" a="1"/>
  <c r="HI24" i="56" s="1"/>
  <c r="HJ24" i="56" s="1"/>
  <c r="HK24" i="56" a="1"/>
  <c r="HK24" i="56" s="1"/>
  <c r="HL24" i="56" s="1"/>
  <c r="M15" i="16"/>
  <c r="AG15" i="42"/>
  <c r="GO25" i="56"/>
  <c r="GN25" i="56"/>
  <c r="IK25" i="56" s="1"/>
  <c r="IL240" i="56"/>
  <c r="O240" i="56"/>
  <c r="HT24" i="56"/>
  <c r="GU24" i="56"/>
  <c r="HS24" i="56" s="1"/>
  <c r="GW24" i="56"/>
  <c r="GT24" i="56"/>
  <c r="HA24" i="56" s="1"/>
  <c r="GP24" i="56"/>
  <c r="HO120" i="56" a="1"/>
  <c r="HO120" i="56" s="1"/>
  <c r="HP120" i="56" s="1"/>
  <c r="HG120" i="56" a="1"/>
  <c r="HG120" i="56" s="1"/>
  <c r="HH120" i="56" s="1"/>
  <c r="HK120" i="56" a="1"/>
  <c r="HK120" i="56" s="1"/>
  <c r="HL120" i="56" s="1"/>
  <c r="HM120" i="56" a="1"/>
  <c r="HM120" i="56" s="1"/>
  <c r="HN120" i="56" s="1"/>
  <c r="HI120" i="56" a="1"/>
  <c r="HI120" i="56" s="1"/>
  <c r="HJ120" i="56" s="1"/>
  <c r="HQ120" i="56" a="1"/>
  <c r="HQ120" i="56" s="1"/>
  <c r="HR120" i="56" s="1"/>
  <c r="HT71" i="56"/>
  <c r="GW71" i="56"/>
  <c r="GT71" i="56"/>
  <c r="HA71" i="56" s="1"/>
  <c r="GP71" i="56"/>
  <c r="GU71" i="56"/>
  <c r="HS71" i="56" s="1"/>
  <c r="AG22" i="42"/>
  <c r="M22" i="16"/>
  <c r="M4" i="16"/>
  <c r="AG4" i="42"/>
  <c r="AH4" i="42" s="1"/>
  <c r="IL171" i="56"/>
  <c r="O171" i="56"/>
  <c r="HO303" i="56" a="1"/>
  <c r="HO303" i="56" s="1"/>
  <c r="HP303" i="56" s="1"/>
  <c r="HM303" i="56" a="1"/>
  <c r="HM303" i="56" s="1"/>
  <c r="HN303" i="56" s="1"/>
  <c r="HI303" i="56" a="1"/>
  <c r="HI303" i="56" s="1"/>
  <c r="HJ303" i="56" s="1"/>
  <c r="HQ303" i="56" a="1"/>
  <c r="HQ303" i="56" s="1"/>
  <c r="HR303" i="56" s="1"/>
  <c r="HG303" i="56" a="1"/>
  <c r="HG303" i="56" s="1"/>
  <c r="HH303" i="56" s="1"/>
  <c r="HK303" i="56" a="1"/>
  <c r="HK303" i="56" s="1"/>
  <c r="HL303" i="56" s="1"/>
  <c r="II17" i="56"/>
  <c r="GN174" i="56"/>
  <c r="IK174" i="56" s="1"/>
  <c r="GO174" i="56"/>
  <c r="GM175" i="56"/>
  <c r="HE174" i="56"/>
  <c r="HF174" i="56" s="1"/>
  <c r="M17" i="16"/>
  <c r="AG17" i="42"/>
  <c r="HT303" i="56"/>
  <c r="GT303" i="56"/>
  <c r="GP303" i="56"/>
  <c r="GU303" i="56"/>
  <c r="HS303" i="56" s="1"/>
  <c r="GW303" i="56"/>
  <c r="HM242" i="56" a="1"/>
  <c r="HM242" i="56" s="1"/>
  <c r="HN242" i="56" s="1"/>
  <c r="HK242" i="56" a="1"/>
  <c r="HK242" i="56" s="1"/>
  <c r="HL242" i="56" s="1"/>
  <c r="HQ242" i="56" a="1"/>
  <c r="HQ242" i="56" s="1"/>
  <c r="HR242" i="56" s="1"/>
  <c r="HO242" i="56" a="1"/>
  <c r="HO242" i="56" s="1"/>
  <c r="HP242" i="56" s="1"/>
  <c r="HG242" i="56" a="1"/>
  <c r="HG242" i="56" s="1"/>
  <c r="HH242" i="56" s="1"/>
  <c r="HI242" i="56" a="1"/>
  <c r="HI242" i="56" s="1"/>
  <c r="HJ242" i="56" s="1"/>
  <c r="HT173" i="56"/>
  <c r="GP173" i="56"/>
  <c r="GW173" i="56"/>
  <c r="GT173" i="56"/>
  <c r="HA173" i="56" s="1"/>
  <c r="GU173" i="56"/>
  <c r="HS173" i="56" s="1"/>
  <c r="HT204" i="56"/>
  <c r="GW204" i="56"/>
  <c r="GT204" i="56"/>
  <c r="HA204" i="56" s="1"/>
  <c r="GU204" i="56"/>
  <c r="HS204" i="56" s="1"/>
  <c r="GP204" i="56"/>
  <c r="HT242" i="56"/>
  <c r="GP242" i="56"/>
  <c r="GW242" i="56"/>
  <c r="GU242" i="56"/>
  <c r="HS242" i="56" s="1"/>
  <c r="GT242" i="56"/>
  <c r="AG9" i="42"/>
  <c r="AH9" i="42" s="1"/>
  <c r="M9" i="16"/>
  <c r="AG13" i="42"/>
  <c r="M13" i="16"/>
  <c r="AG23" i="42"/>
  <c r="AH23" i="42" s="1"/>
  <c r="M23" i="16"/>
  <c r="M20" i="16"/>
  <c r="AG20" i="42"/>
  <c r="AH20" i="42" s="1"/>
  <c r="IL147" i="56"/>
  <c r="O147" i="56"/>
  <c r="GO121" i="56"/>
  <c r="GN121" i="56"/>
  <c r="IK121" i="56" s="1"/>
  <c r="GM122" i="56"/>
  <c r="HE121" i="56"/>
  <c r="HF121" i="56" s="1"/>
  <c r="GO51" i="56"/>
  <c r="GN51" i="56"/>
  <c r="IK51" i="56" s="1"/>
  <c r="GM52" i="56"/>
  <c r="HT120" i="56"/>
  <c r="GU120" i="56"/>
  <c r="HS120" i="56" s="1"/>
  <c r="GT120" i="56"/>
  <c r="GW120" i="56"/>
  <c r="GP120" i="56"/>
  <c r="M5" i="16"/>
  <c r="AG5" i="42"/>
  <c r="AH5" i="42" s="1"/>
  <c r="HT50" i="56"/>
  <c r="GP50" i="56"/>
  <c r="GU50" i="56"/>
  <c r="HS50" i="56" s="1"/>
  <c r="GT50" i="56"/>
  <c r="HA50" i="56" s="1"/>
  <c r="GW50" i="56"/>
  <c r="HO204" i="56" a="1"/>
  <c r="HO204" i="56" s="1"/>
  <c r="HP204" i="56" s="1"/>
  <c r="HQ204" i="56" a="1"/>
  <c r="HQ204" i="56" s="1"/>
  <c r="HR204" i="56" s="1"/>
  <c r="HM204" i="56" a="1"/>
  <c r="HM204" i="56" s="1"/>
  <c r="HN204" i="56" s="1"/>
  <c r="HI204" i="56" a="1"/>
  <c r="HI204" i="56" s="1"/>
  <c r="HJ204" i="56" s="1"/>
  <c r="HK204" i="56" a="1"/>
  <c r="HK204" i="56" s="1"/>
  <c r="HL204" i="56" s="1"/>
  <c r="HG204" i="56" a="1"/>
  <c r="HG204" i="56" s="1"/>
  <c r="HH204" i="56" s="1"/>
  <c r="M18" i="16"/>
  <c r="AG18" i="42"/>
  <c r="GO304" i="56"/>
  <c r="GN304" i="56"/>
  <c r="IK304" i="56" s="1"/>
  <c r="GM305" i="56"/>
  <c r="HE304" i="56"/>
  <c r="HF304" i="56" s="1"/>
  <c r="AG8" i="42"/>
  <c r="M8" i="16"/>
  <c r="IL202" i="56"/>
  <c r="O202" i="56"/>
  <c r="A103" i="16"/>
  <c r="A99" i="16"/>
  <c r="A128" i="16"/>
  <c r="A65" i="16"/>
  <c r="A83" i="16"/>
  <c r="A85" i="16"/>
  <c r="A70" i="16"/>
  <c r="A157" i="16"/>
  <c r="A30" i="16"/>
  <c r="A27" i="16"/>
  <c r="A91" i="16"/>
  <c r="A119" i="16"/>
  <c r="A5" i="16"/>
  <c r="A69" i="16"/>
  <c r="A54" i="16"/>
  <c r="A139" i="16"/>
  <c r="A53" i="16"/>
  <c r="A95" i="16"/>
  <c r="A28" i="16"/>
  <c r="A84" i="16"/>
  <c r="A126" i="16"/>
  <c r="A144" i="16"/>
  <c r="A58" i="16"/>
  <c r="A61" i="16"/>
  <c r="A10" i="16"/>
  <c r="A16" i="16"/>
  <c r="A57" i="16"/>
  <c r="A92" i="16"/>
  <c r="A40" i="16"/>
  <c r="A14" i="16"/>
  <c r="A129" i="16"/>
  <c r="A136" i="16"/>
  <c r="A120" i="16"/>
  <c r="A64" i="16"/>
  <c r="A107" i="16"/>
  <c r="A102" i="16"/>
  <c r="A74" i="16"/>
  <c r="A37" i="16"/>
  <c r="A150" i="16"/>
  <c r="A101" i="16"/>
  <c r="A131" i="16"/>
  <c r="A4" i="16"/>
  <c r="A134" i="16"/>
  <c r="A48" i="16"/>
  <c r="A6" i="16"/>
  <c r="A18" i="16"/>
  <c r="A42" i="16"/>
  <c r="A159" i="16"/>
  <c r="A132" i="16"/>
  <c r="A45" i="16"/>
  <c r="A51" i="16"/>
  <c r="A62" i="16"/>
  <c r="A133" i="16"/>
  <c r="A109" i="16"/>
  <c r="A82" i="16"/>
  <c r="A127" i="16"/>
  <c r="A104" i="16"/>
  <c r="A71" i="16"/>
  <c r="A15" i="16"/>
  <c r="A72" i="16"/>
  <c r="A73" i="16"/>
  <c r="A147" i="16"/>
  <c r="A66" i="16"/>
  <c r="A29" i="16"/>
  <c r="A52" i="16"/>
  <c r="A156" i="16"/>
  <c r="A140" i="16"/>
  <c r="A97" i="16"/>
  <c r="A50" i="16"/>
  <c r="A12" i="16"/>
  <c r="A46" i="16"/>
  <c r="A149" i="16"/>
  <c r="A32" i="16"/>
  <c r="A130" i="16"/>
  <c r="A59" i="16"/>
  <c r="A81" i="16"/>
  <c r="A63" i="16"/>
  <c r="A23" i="16"/>
  <c r="A24" i="16"/>
  <c r="A75" i="16"/>
  <c r="A152" i="16"/>
  <c r="A117" i="16"/>
  <c r="A39" i="16"/>
  <c r="A96" i="16"/>
  <c r="A8" i="16"/>
  <c r="A110" i="16"/>
  <c r="A76" i="16"/>
  <c r="A122" i="16"/>
  <c r="A118" i="16"/>
  <c r="A21" i="16"/>
  <c r="A123" i="16"/>
  <c r="A112" i="16"/>
  <c r="A124" i="16"/>
  <c r="A125" i="16"/>
  <c r="A94" i="16"/>
  <c r="A7" i="16"/>
  <c r="A89" i="16"/>
  <c r="A31" i="16"/>
  <c r="A11" i="16"/>
  <c r="A115" i="16"/>
  <c r="A77" i="16"/>
  <c r="A78" i="16"/>
  <c r="A47" i="16"/>
  <c r="A138" i="16"/>
  <c r="A116" i="16"/>
  <c r="A55" i="16"/>
  <c r="A43" i="16"/>
  <c r="A121" i="16"/>
  <c r="A155" i="16"/>
  <c r="A26" i="16"/>
  <c r="A13" i="16"/>
  <c r="A22" i="16"/>
  <c r="A41" i="16"/>
  <c r="A108" i="16"/>
  <c r="A87" i="16"/>
  <c r="A111" i="16"/>
  <c r="A98" i="16"/>
  <c r="A19" i="16"/>
  <c r="A9" i="16"/>
  <c r="A35" i="16"/>
  <c r="A86" i="16"/>
  <c r="A153" i="16"/>
  <c r="A105" i="16"/>
  <c r="A106" i="16"/>
  <c r="A34" i="16"/>
  <c r="A38" i="16"/>
  <c r="A88" i="16"/>
  <c r="A56" i="16"/>
  <c r="A60" i="16"/>
  <c r="A114" i="16"/>
  <c r="A135" i="16"/>
  <c r="A44" i="16"/>
  <c r="A151" i="16"/>
  <c r="A67" i="16"/>
  <c r="A113" i="16"/>
  <c r="A79" i="16"/>
  <c r="A17" i="16"/>
  <c r="A160" i="16"/>
  <c r="A148" i="16"/>
  <c r="A68" i="16"/>
  <c r="A142" i="16"/>
  <c r="A154" i="16"/>
  <c r="A33" i="16"/>
  <c r="A158" i="16"/>
  <c r="A90" i="16"/>
  <c r="A93" i="16"/>
  <c r="A143" i="16"/>
  <c r="A146" i="16"/>
  <c r="A25" i="16"/>
  <c r="A36" i="16"/>
  <c r="A80" i="16"/>
  <c r="A141" i="16"/>
  <c r="A137" i="16"/>
  <c r="A49" i="16"/>
  <c r="A145" i="16"/>
  <c r="A20" i="16"/>
  <c r="A100" i="16"/>
  <c r="IL203" i="56"/>
  <c r="O203" i="56"/>
  <c r="M11" i="16"/>
  <c r="AG11" i="42"/>
  <c r="AG7" i="42"/>
  <c r="M7" i="16"/>
  <c r="O172" i="56" l="1"/>
  <c r="AH8" i="42"/>
  <c r="HA242" i="56"/>
  <c r="O242" i="56" s="1"/>
  <c r="B68" i="16"/>
  <c r="E68" i="16"/>
  <c r="H68" i="16"/>
  <c r="C68" i="16"/>
  <c r="G68" i="16"/>
  <c r="F68" i="16"/>
  <c r="G112" i="16"/>
  <c r="F112" i="16"/>
  <c r="C112" i="16"/>
  <c r="E112" i="16"/>
  <c r="H112" i="16"/>
  <c r="B112" i="16"/>
  <c r="C48" i="16"/>
  <c r="F48" i="16"/>
  <c r="G48" i="16"/>
  <c r="E48" i="16"/>
  <c r="B48" i="16"/>
  <c r="H48" i="16"/>
  <c r="HQ150" i="56" a="1"/>
  <c r="HQ150" i="56" s="1"/>
  <c r="HR150" i="56" s="1"/>
  <c r="HI150" i="56" a="1"/>
  <c r="HI150" i="56" s="1"/>
  <c r="HJ150" i="56" s="1"/>
  <c r="HM150" i="56" a="1"/>
  <c r="HM150" i="56" s="1"/>
  <c r="HN150" i="56" s="1"/>
  <c r="HO150" i="56" a="1"/>
  <c r="HO150" i="56" s="1"/>
  <c r="HP150" i="56" s="1"/>
  <c r="HK150" i="56" a="1"/>
  <c r="HK150" i="56" s="1"/>
  <c r="HL150" i="56" s="1"/>
  <c r="HG150" i="56" a="1"/>
  <c r="HG150" i="56" s="1"/>
  <c r="HH150" i="56" s="1"/>
  <c r="F148" i="16"/>
  <c r="G148" i="16"/>
  <c r="E148" i="16"/>
  <c r="C148" i="16"/>
  <c r="H148" i="16"/>
  <c r="B148" i="16"/>
  <c r="F123" i="16"/>
  <c r="B123" i="16"/>
  <c r="E123" i="16"/>
  <c r="H123" i="16"/>
  <c r="C123" i="16"/>
  <c r="G123" i="16"/>
  <c r="G134" i="16"/>
  <c r="C134" i="16"/>
  <c r="B134" i="16"/>
  <c r="F134" i="16"/>
  <c r="E134" i="16"/>
  <c r="H134" i="16"/>
  <c r="HM304" i="56" a="1"/>
  <c r="HM304" i="56" s="1"/>
  <c r="HN304" i="56" s="1"/>
  <c r="HQ304" i="56" a="1"/>
  <c r="HQ304" i="56" s="1"/>
  <c r="HR304" i="56" s="1"/>
  <c r="HI304" i="56" a="1"/>
  <c r="HI304" i="56" s="1"/>
  <c r="HJ304" i="56" s="1"/>
  <c r="HK304" i="56" a="1"/>
  <c r="HK304" i="56" s="1"/>
  <c r="HL304" i="56" s="1"/>
  <c r="HO304" i="56" a="1"/>
  <c r="HO304" i="56" s="1"/>
  <c r="HP304" i="56" s="1"/>
  <c r="HG304" i="56" a="1"/>
  <c r="HG304" i="56" s="1"/>
  <c r="HH304" i="56" s="1"/>
  <c r="B160" i="16"/>
  <c r="H160" i="16"/>
  <c r="E160" i="16"/>
  <c r="G160" i="16"/>
  <c r="C160" i="16"/>
  <c r="F160" i="16"/>
  <c r="H130" i="16"/>
  <c r="C130" i="16"/>
  <c r="F130" i="16"/>
  <c r="E130" i="16"/>
  <c r="G130" i="16"/>
  <c r="B130" i="16"/>
  <c r="H16" i="16"/>
  <c r="B16" i="16"/>
  <c r="E16" i="16"/>
  <c r="F16" i="16"/>
  <c r="G16" i="16"/>
  <c r="C16" i="16"/>
  <c r="GO305" i="56"/>
  <c r="GN305" i="56"/>
  <c r="IK305" i="56" s="1"/>
  <c r="GM306" i="56"/>
  <c r="HE305" i="56"/>
  <c r="HF305" i="56" s="1"/>
  <c r="HT205" i="56"/>
  <c r="GW205" i="56"/>
  <c r="GU205" i="56"/>
  <c r="HS205" i="56" s="1"/>
  <c r="GT205" i="56"/>
  <c r="HA205" i="56" s="1"/>
  <c r="GP205" i="56"/>
  <c r="E86" i="16"/>
  <c r="G86" i="16"/>
  <c r="C86" i="16"/>
  <c r="B86" i="16"/>
  <c r="F86" i="16"/>
  <c r="H86" i="16"/>
  <c r="C32" i="16"/>
  <c r="E32" i="16"/>
  <c r="H32" i="16"/>
  <c r="G32" i="16"/>
  <c r="B32" i="16"/>
  <c r="F32" i="16"/>
  <c r="E35" i="16"/>
  <c r="B35" i="16"/>
  <c r="H35" i="16"/>
  <c r="C35" i="16"/>
  <c r="G35" i="16"/>
  <c r="F35" i="16"/>
  <c r="H149" i="16"/>
  <c r="G149" i="16"/>
  <c r="B149" i="16"/>
  <c r="E149" i="16"/>
  <c r="F149" i="16"/>
  <c r="C149" i="16"/>
  <c r="F101" i="16"/>
  <c r="H101" i="16"/>
  <c r="C101" i="16"/>
  <c r="B101" i="16"/>
  <c r="G101" i="16"/>
  <c r="E101" i="16"/>
  <c r="H61" i="16"/>
  <c r="G61" i="16"/>
  <c r="E61" i="16"/>
  <c r="C61" i="16"/>
  <c r="B61" i="16"/>
  <c r="F61" i="16"/>
  <c r="HT304" i="56"/>
  <c r="GW304" i="56"/>
  <c r="GT304" i="56"/>
  <c r="HA304" i="56" s="1"/>
  <c r="GP304" i="56"/>
  <c r="GU304" i="56"/>
  <c r="HS304" i="56" s="1"/>
  <c r="B80" i="16"/>
  <c r="G80" i="16"/>
  <c r="F80" i="16"/>
  <c r="H80" i="16"/>
  <c r="C80" i="16"/>
  <c r="E80" i="16"/>
  <c r="AH18" i="42"/>
  <c r="B67" i="16"/>
  <c r="G67" i="16"/>
  <c r="H67" i="16"/>
  <c r="F67" i="16"/>
  <c r="E67" i="16"/>
  <c r="C67" i="16"/>
  <c r="H110" i="16"/>
  <c r="E110" i="16"/>
  <c r="G110" i="16"/>
  <c r="B110" i="16"/>
  <c r="F110" i="16"/>
  <c r="C110" i="16"/>
  <c r="G37" i="16"/>
  <c r="C37" i="16"/>
  <c r="B37" i="16"/>
  <c r="E37" i="16"/>
  <c r="F37" i="16"/>
  <c r="H37" i="16"/>
  <c r="E85" i="16"/>
  <c r="C85" i="16"/>
  <c r="B85" i="16"/>
  <c r="H85" i="16"/>
  <c r="G85" i="16"/>
  <c r="F85" i="16"/>
  <c r="IL173" i="56"/>
  <c r="O173" i="56"/>
  <c r="IL149" i="56"/>
  <c r="O149" i="56"/>
  <c r="HM72" i="56" a="1"/>
  <c r="HM72" i="56" s="1"/>
  <c r="HN72" i="56" s="1"/>
  <c r="HQ72" i="56" a="1"/>
  <c r="HQ72" i="56" s="1"/>
  <c r="HR72" i="56" s="1"/>
  <c r="HO72" i="56" a="1"/>
  <c r="HO72" i="56" s="1"/>
  <c r="HP72" i="56" s="1"/>
  <c r="HK72" i="56" a="1"/>
  <c r="HK72" i="56" s="1"/>
  <c r="HL72" i="56" s="1"/>
  <c r="HI72" i="56" a="1"/>
  <c r="HI72" i="56" s="1"/>
  <c r="HJ72" i="56" s="1"/>
  <c r="HG72" i="56" a="1"/>
  <c r="HG72" i="56" s="1"/>
  <c r="HH72" i="56" s="1"/>
  <c r="G60" i="16"/>
  <c r="F60" i="16"/>
  <c r="C60" i="16"/>
  <c r="B60" i="16"/>
  <c r="H60" i="16"/>
  <c r="E60" i="16"/>
  <c r="B41" i="16"/>
  <c r="C41" i="16"/>
  <c r="E41" i="16"/>
  <c r="H41" i="16"/>
  <c r="F41" i="16"/>
  <c r="G41" i="16"/>
  <c r="B89" i="16"/>
  <c r="H89" i="16"/>
  <c r="G89" i="16"/>
  <c r="F89" i="16"/>
  <c r="E89" i="16"/>
  <c r="C89" i="16"/>
  <c r="H152" i="16"/>
  <c r="G152" i="16"/>
  <c r="F152" i="16"/>
  <c r="B152" i="16"/>
  <c r="C152" i="16"/>
  <c r="E152" i="16"/>
  <c r="E52" i="16"/>
  <c r="F52" i="16"/>
  <c r="B52" i="16"/>
  <c r="H52" i="16"/>
  <c r="G52" i="16"/>
  <c r="C52" i="16"/>
  <c r="E132" i="16"/>
  <c r="B132" i="16"/>
  <c r="H132" i="16"/>
  <c r="G132" i="16"/>
  <c r="C132" i="16"/>
  <c r="F132" i="16"/>
  <c r="H120" i="16"/>
  <c r="E120" i="16"/>
  <c r="C120" i="16"/>
  <c r="B120" i="16"/>
  <c r="F120" i="16"/>
  <c r="G120" i="16"/>
  <c r="G53" i="16"/>
  <c r="E53" i="16"/>
  <c r="B53" i="16"/>
  <c r="H53" i="16"/>
  <c r="F53" i="16"/>
  <c r="C53" i="16"/>
  <c r="E103" i="16"/>
  <c r="B103" i="16"/>
  <c r="G103" i="16"/>
  <c r="F103" i="16"/>
  <c r="C103" i="16"/>
  <c r="H103" i="16"/>
  <c r="HT51" i="56"/>
  <c r="GW51" i="56"/>
  <c r="GU51" i="56"/>
  <c r="HS51" i="56" s="1"/>
  <c r="GT51" i="56"/>
  <c r="HA51" i="56" s="1"/>
  <c r="GP51" i="56"/>
  <c r="II21" i="56"/>
  <c r="GN73" i="56"/>
  <c r="IK73" i="56" s="1"/>
  <c r="GO73" i="56"/>
  <c r="GM74" i="56"/>
  <c r="HE73" i="56"/>
  <c r="HF73" i="56" s="1"/>
  <c r="F158" i="16"/>
  <c r="B158" i="16"/>
  <c r="H158" i="16"/>
  <c r="C158" i="16"/>
  <c r="G158" i="16"/>
  <c r="E158" i="16"/>
  <c r="H56" i="16"/>
  <c r="F56" i="16"/>
  <c r="G56" i="16"/>
  <c r="B56" i="16"/>
  <c r="C56" i="16"/>
  <c r="E56" i="16"/>
  <c r="B22" i="16"/>
  <c r="C22" i="16"/>
  <c r="E22" i="16"/>
  <c r="H22" i="16"/>
  <c r="G22" i="16"/>
  <c r="F22" i="16"/>
  <c r="F7" i="16"/>
  <c r="E7" i="16"/>
  <c r="C7" i="16"/>
  <c r="G7" i="16"/>
  <c r="B7" i="16"/>
  <c r="H7" i="16"/>
  <c r="B75" i="16"/>
  <c r="F75" i="16"/>
  <c r="E75" i="16"/>
  <c r="G75" i="16"/>
  <c r="H75" i="16"/>
  <c r="C75" i="16"/>
  <c r="E29" i="16"/>
  <c r="H29" i="16"/>
  <c r="B29" i="16"/>
  <c r="C29" i="16"/>
  <c r="F29" i="16"/>
  <c r="G29" i="16"/>
  <c r="F159" i="16"/>
  <c r="B159" i="16"/>
  <c r="E159" i="16"/>
  <c r="H159" i="16"/>
  <c r="C159" i="16"/>
  <c r="G159" i="16"/>
  <c r="H136" i="16"/>
  <c r="E136" i="16"/>
  <c r="G136" i="16"/>
  <c r="B136" i="16"/>
  <c r="F136" i="16"/>
  <c r="C136" i="16"/>
  <c r="E139" i="16"/>
  <c r="C139" i="16"/>
  <c r="B139" i="16"/>
  <c r="G139" i="16"/>
  <c r="H139" i="16"/>
  <c r="F139" i="16"/>
  <c r="HQ121" i="56" a="1"/>
  <c r="HQ121" i="56" s="1"/>
  <c r="HR121" i="56" s="1"/>
  <c r="HO121" i="56" a="1"/>
  <c r="HO121" i="56" s="1"/>
  <c r="HP121" i="56" s="1"/>
  <c r="HI121" i="56" a="1"/>
  <c r="HI121" i="56" s="1"/>
  <c r="HJ121" i="56" s="1"/>
  <c r="HM121" i="56" a="1"/>
  <c r="HM121" i="56" s="1"/>
  <c r="HN121" i="56" s="1"/>
  <c r="HG121" i="56" a="1"/>
  <c r="HG121" i="56" s="1"/>
  <c r="HH121" i="56" s="1"/>
  <c r="HK121" i="56" a="1"/>
  <c r="HK121" i="56" s="1"/>
  <c r="HL121" i="56" s="1"/>
  <c r="AH12" i="42"/>
  <c r="HT243" i="56"/>
  <c r="GU243" i="56"/>
  <c r="HS243" i="56" s="1"/>
  <c r="GT243" i="56"/>
  <c r="HA243" i="56" s="1"/>
  <c r="GP243" i="56"/>
  <c r="GW243" i="56"/>
  <c r="HT72" i="56"/>
  <c r="GU72" i="56"/>
  <c r="HS72" i="56" s="1"/>
  <c r="GW72" i="56"/>
  <c r="GP72" i="56"/>
  <c r="GT72" i="56"/>
  <c r="G105" i="16"/>
  <c r="E105" i="16"/>
  <c r="B105" i="16"/>
  <c r="H105" i="16"/>
  <c r="F105" i="16"/>
  <c r="C105" i="16"/>
  <c r="H15" i="16"/>
  <c r="B15" i="16"/>
  <c r="G15" i="16"/>
  <c r="C15" i="16"/>
  <c r="F15" i="16"/>
  <c r="E15" i="16"/>
  <c r="B91" i="16"/>
  <c r="F91" i="16"/>
  <c r="G91" i="16"/>
  <c r="H91" i="16"/>
  <c r="E91" i="16"/>
  <c r="C91" i="16"/>
  <c r="G153" i="16"/>
  <c r="C153" i="16"/>
  <c r="B153" i="16"/>
  <c r="F153" i="16"/>
  <c r="E153" i="16"/>
  <c r="H153" i="16"/>
  <c r="F21" i="16"/>
  <c r="E21" i="16"/>
  <c r="G21" i="16"/>
  <c r="H21" i="16"/>
  <c r="B21" i="16"/>
  <c r="C21" i="16"/>
  <c r="C4" i="16"/>
  <c r="G4" i="16"/>
  <c r="F4" i="16"/>
  <c r="E4" i="16"/>
  <c r="H4" i="16"/>
  <c r="B4" i="16"/>
  <c r="AH16" i="42"/>
  <c r="F17" i="16"/>
  <c r="E17" i="16"/>
  <c r="C17" i="16"/>
  <c r="G17" i="16"/>
  <c r="B17" i="16"/>
  <c r="H17" i="16"/>
  <c r="F118" i="16"/>
  <c r="E118" i="16"/>
  <c r="H118" i="16"/>
  <c r="C118" i="16"/>
  <c r="G118" i="16"/>
  <c r="B118" i="16"/>
  <c r="B131" i="16"/>
  <c r="H131" i="16"/>
  <c r="C131" i="16"/>
  <c r="G131" i="16"/>
  <c r="E131" i="16"/>
  <c r="F131" i="16"/>
  <c r="G10" i="16"/>
  <c r="F10" i="16"/>
  <c r="E10" i="16"/>
  <c r="H10" i="16"/>
  <c r="C10" i="16"/>
  <c r="B10" i="16"/>
  <c r="C30" i="16"/>
  <c r="B30" i="16"/>
  <c r="F30" i="16"/>
  <c r="H30" i="16"/>
  <c r="G30" i="16"/>
  <c r="E30" i="16"/>
  <c r="E79" i="16"/>
  <c r="B79" i="16"/>
  <c r="G79" i="16"/>
  <c r="C79" i="16"/>
  <c r="H79" i="16"/>
  <c r="F79" i="16"/>
  <c r="B122" i="16"/>
  <c r="H122" i="16"/>
  <c r="C122" i="16"/>
  <c r="F122" i="16"/>
  <c r="E122" i="16"/>
  <c r="G122" i="16"/>
  <c r="H127" i="16"/>
  <c r="F127" i="16"/>
  <c r="E127" i="16"/>
  <c r="C127" i="16"/>
  <c r="B127" i="16"/>
  <c r="G127" i="16"/>
  <c r="E157" i="16"/>
  <c r="H157" i="16"/>
  <c r="C157" i="16"/>
  <c r="G157" i="16"/>
  <c r="B157" i="16"/>
  <c r="F157" i="16"/>
  <c r="R28" i="42"/>
  <c r="G113" i="16"/>
  <c r="C113" i="16"/>
  <c r="E113" i="16"/>
  <c r="B113" i="16"/>
  <c r="H113" i="16"/>
  <c r="F113" i="16"/>
  <c r="B9" i="16"/>
  <c r="E9" i="16"/>
  <c r="H9" i="16"/>
  <c r="F9" i="16"/>
  <c r="C9" i="16"/>
  <c r="G9" i="16"/>
  <c r="C76" i="16"/>
  <c r="B76" i="16"/>
  <c r="E76" i="16"/>
  <c r="F76" i="16"/>
  <c r="G76" i="16"/>
  <c r="H76" i="16"/>
  <c r="F82" i="16"/>
  <c r="E82" i="16"/>
  <c r="C82" i="16"/>
  <c r="H82" i="16"/>
  <c r="G82" i="16"/>
  <c r="B82" i="16"/>
  <c r="H58" i="16"/>
  <c r="F58" i="16"/>
  <c r="G58" i="16"/>
  <c r="E58" i="16"/>
  <c r="B58" i="16"/>
  <c r="C58" i="16"/>
  <c r="IL241" i="56"/>
  <c r="O241" i="56"/>
  <c r="H19" i="16"/>
  <c r="G19" i="16"/>
  <c r="C19" i="16"/>
  <c r="E19" i="16"/>
  <c r="F19" i="16"/>
  <c r="B19" i="16"/>
  <c r="H12" i="16"/>
  <c r="B12" i="16"/>
  <c r="F12" i="16"/>
  <c r="C12" i="16"/>
  <c r="E12" i="16"/>
  <c r="G12" i="16"/>
  <c r="H144" i="16"/>
  <c r="G144" i="16"/>
  <c r="E144" i="16"/>
  <c r="C144" i="16"/>
  <c r="F144" i="16"/>
  <c r="B144" i="16"/>
  <c r="HA120" i="56"/>
  <c r="E25" i="16"/>
  <c r="G25" i="16"/>
  <c r="F25" i="16"/>
  <c r="C25" i="16"/>
  <c r="H25" i="16"/>
  <c r="B25" i="16"/>
  <c r="G98" i="16"/>
  <c r="B98" i="16"/>
  <c r="E98" i="16"/>
  <c r="F98" i="16"/>
  <c r="H98" i="16"/>
  <c r="C98" i="16"/>
  <c r="E50" i="16"/>
  <c r="C50" i="16"/>
  <c r="F50" i="16"/>
  <c r="B50" i="16"/>
  <c r="H50" i="16"/>
  <c r="G50" i="16"/>
  <c r="B74" i="16"/>
  <c r="H74" i="16"/>
  <c r="G74" i="16"/>
  <c r="E74" i="16"/>
  <c r="C74" i="16"/>
  <c r="F74" i="16"/>
  <c r="H83" i="16"/>
  <c r="G83" i="16"/>
  <c r="E83" i="16"/>
  <c r="C83" i="16"/>
  <c r="B83" i="16"/>
  <c r="F83" i="16"/>
  <c r="AH13" i="42"/>
  <c r="HO174" i="56" a="1"/>
  <c r="HO174" i="56" s="1"/>
  <c r="HP174" i="56" s="1"/>
  <c r="HM174" i="56" a="1"/>
  <c r="HM174" i="56" s="1"/>
  <c r="HN174" i="56" s="1"/>
  <c r="HQ174" i="56" a="1"/>
  <c r="HQ174" i="56" s="1"/>
  <c r="HR174" i="56" s="1"/>
  <c r="HK174" i="56" a="1"/>
  <c r="HK174" i="56" s="1"/>
  <c r="HL174" i="56" s="1"/>
  <c r="HG174" i="56" a="1"/>
  <c r="HG174" i="56" s="1"/>
  <c r="HH174" i="56" s="1"/>
  <c r="HI174" i="56" a="1"/>
  <c r="HI174" i="56" s="1"/>
  <c r="HJ174" i="56" s="1"/>
  <c r="AH19" i="42"/>
  <c r="G146" i="16"/>
  <c r="H146" i="16"/>
  <c r="C146" i="16"/>
  <c r="F146" i="16"/>
  <c r="B146" i="16"/>
  <c r="E146" i="16"/>
  <c r="H111" i="16"/>
  <c r="G111" i="16"/>
  <c r="C111" i="16"/>
  <c r="F111" i="16"/>
  <c r="B111" i="16"/>
  <c r="E111" i="16"/>
  <c r="F96" i="16"/>
  <c r="B96" i="16"/>
  <c r="H96" i="16"/>
  <c r="C96" i="16"/>
  <c r="G96" i="16"/>
  <c r="E96" i="16"/>
  <c r="E62" i="16"/>
  <c r="B62" i="16"/>
  <c r="G62" i="16"/>
  <c r="F62" i="16"/>
  <c r="C62" i="16"/>
  <c r="H62" i="16"/>
  <c r="GN175" i="56"/>
  <c r="IK175" i="56" s="1"/>
  <c r="GO175" i="56"/>
  <c r="GM176" i="56"/>
  <c r="HE175" i="56"/>
  <c r="HF175" i="56" s="1"/>
  <c r="F143" i="16"/>
  <c r="G143" i="16"/>
  <c r="E143" i="16"/>
  <c r="H143" i="16"/>
  <c r="C143" i="16"/>
  <c r="B143" i="16"/>
  <c r="H11" i="16"/>
  <c r="F11" i="16"/>
  <c r="B11" i="16"/>
  <c r="E11" i="16"/>
  <c r="C11" i="16"/>
  <c r="G11" i="16"/>
  <c r="H51" i="16"/>
  <c r="E51" i="16"/>
  <c r="C51" i="16"/>
  <c r="G51" i="16"/>
  <c r="B51" i="16"/>
  <c r="F51" i="16"/>
  <c r="HT174" i="56"/>
  <c r="GU174" i="56"/>
  <c r="HS174" i="56" s="1"/>
  <c r="GP174" i="56"/>
  <c r="GW174" i="56"/>
  <c r="GT174" i="56"/>
  <c r="AH7" i="42"/>
  <c r="F114" i="16"/>
  <c r="G114" i="16"/>
  <c r="E114" i="16"/>
  <c r="C114" i="16"/>
  <c r="B114" i="16"/>
  <c r="H114" i="16"/>
  <c r="H31" i="16"/>
  <c r="B31" i="16"/>
  <c r="G31" i="16"/>
  <c r="E31" i="16"/>
  <c r="C31" i="16"/>
  <c r="F31" i="16"/>
  <c r="B156" i="16"/>
  <c r="H156" i="16"/>
  <c r="G156" i="16"/>
  <c r="C156" i="16"/>
  <c r="E156" i="16"/>
  <c r="F156" i="16"/>
  <c r="F64" i="16"/>
  <c r="H64" i="16"/>
  <c r="C64" i="16"/>
  <c r="G64" i="16"/>
  <c r="E64" i="16"/>
  <c r="B64" i="16"/>
  <c r="E99" i="16"/>
  <c r="C99" i="16"/>
  <c r="H99" i="16"/>
  <c r="F99" i="16"/>
  <c r="G99" i="16"/>
  <c r="B99" i="16"/>
  <c r="G33" i="16"/>
  <c r="F33" i="16"/>
  <c r="C33" i="16"/>
  <c r="E33" i="16"/>
  <c r="H33" i="16"/>
  <c r="B33" i="16"/>
  <c r="G88" i="16"/>
  <c r="E88" i="16"/>
  <c r="C88" i="16"/>
  <c r="F88" i="16"/>
  <c r="B88" i="16"/>
  <c r="H88" i="16"/>
  <c r="H13" i="16"/>
  <c r="G13" i="16"/>
  <c r="F13" i="16"/>
  <c r="E13" i="16"/>
  <c r="C13" i="16"/>
  <c r="B13" i="16"/>
  <c r="E94" i="16"/>
  <c r="C94" i="16"/>
  <c r="F94" i="16"/>
  <c r="H94" i="16"/>
  <c r="G94" i="16"/>
  <c r="B94" i="16"/>
  <c r="C24" i="16"/>
  <c r="H24" i="16"/>
  <c r="G24" i="16"/>
  <c r="F24" i="16"/>
  <c r="B24" i="16"/>
  <c r="E24" i="16"/>
  <c r="E66" i="16"/>
  <c r="G66" i="16"/>
  <c r="H66" i="16"/>
  <c r="F66" i="16"/>
  <c r="B66" i="16"/>
  <c r="C66" i="16"/>
  <c r="E42" i="16"/>
  <c r="G42" i="16"/>
  <c r="H42" i="16"/>
  <c r="F42" i="16"/>
  <c r="C42" i="16"/>
  <c r="B42" i="16"/>
  <c r="G129" i="16"/>
  <c r="B129" i="16"/>
  <c r="C129" i="16"/>
  <c r="H129" i="16"/>
  <c r="F129" i="16"/>
  <c r="E129" i="16"/>
  <c r="F54" i="16"/>
  <c r="H54" i="16"/>
  <c r="E54" i="16"/>
  <c r="C54" i="16"/>
  <c r="B54" i="16"/>
  <c r="G54" i="16"/>
  <c r="GO122" i="56"/>
  <c r="GN122" i="56"/>
  <c r="IK122" i="56" s="1"/>
  <c r="GM123" i="56"/>
  <c r="HE122" i="56"/>
  <c r="HF122" i="56" s="1"/>
  <c r="HT25" i="56"/>
  <c r="GU25" i="56"/>
  <c r="HS25" i="56" s="1"/>
  <c r="GW25" i="56"/>
  <c r="GT25" i="56"/>
  <c r="HA25" i="56" s="1"/>
  <c r="GP25" i="56"/>
  <c r="G20" i="16"/>
  <c r="B20" i="16"/>
  <c r="F20" i="16"/>
  <c r="E20" i="16"/>
  <c r="C20" i="16"/>
  <c r="H20" i="16"/>
  <c r="B121" i="16"/>
  <c r="H121" i="16"/>
  <c r="E121" i="16"/>
  <c r="C121" i="16"/>
  <c r="G121" i="16"/>
  <c r="F121" i="16"/>
  <c r="E72" i="16"/>
  <c r="H72" i="16"/>
  <c r="C72" i="16"/>
  <c r="F72" i="16"/>
  <c r="B72" i="16"/>
  <c r="G72" i="16"/>
  <c r="F119" i="16"/>
  <c r="E119" i="16"/>
  <c r="G119" i="16"/>
  <c r="C119" i="16"/>
  <c r="H119" i="16"/>
  <c r="B119" i="16"/>
  <c r="G59" i="16"/>
  <c r="F59" i="16"/>
  <c r="B59" i="16"/>
  <c r="H59" i="16"/>
  <c r="C59" i="16"/>
  <c r="E59" i="16"/>
  <c r="IL204" i="56"/>
  <c r="O204" i="56"/>
  <c r="HT150" i="56"/>
  <c r="GU150" i="56"/>
  <c r="HS150" i="56" s="1"/>
  <c r="GT150" i="56"/>
  <c r="GW150" i="56"/>
  <c r="GP150" i="56"/>
  <c r="C137" i="16"/>
  <c r="E137" i="16"/>
  <c r="F137" i="16"/>
  <c r="B137" i="16"/>
  <c r="H137" i="16"/>
  <c r="G137" i="16"/>
  <c r="H116" i="16"/>
  <c r="C116" i="16"/>
  <c r="B116" i="16"/>
  <c r="E116" i="16"/>
  <c r="F116" i="16"/>
  <c r="G116" i="16"/>
  <c r="G104" i="16"/>
  <c r="C104" i="16"/>
  <c r="B104" i="16"/>
  <c r="F104" i="16"/>
  <c r="E104" i="16"/>
  <c r="H104" i="16"/>
  <c r="IL24" i="56"/>
  <c r="O24" i="56"/>
  <c r="G47" i="16"/>
  <c r="B47" i="16"/>
  <c r="H47" i="16"/>
  <c r="F47" i="16"/>
  <c r="E47" i="16"/>
  <c r="C47" i="16"/>
  <c r="F46" i="16"/>
  <c r="E46" i="16"/>
  <c r="C46" i="16"/>
  <c r="H46" i="16"/>
  <c r="B46" i="16"/>
  <c r="G46" i="16"/>
  <c r="F150" i="16"/>
  <c r="B150" i="16"/>
  <c r="E150" i="16"/>
  <c r="C150" i="16"/>
  <c r="G150" i="16"/>
  <c r="H150" i="16"/>
  <c r="H70" i="16"/>
  <c r="G70" i="16"/>
  <c r="B70" i="16"/>
  <c r="E70" i="16"/>
  <c r="F70" i="16"/>
  <c r="C70" i="16"/>
  <c r="AH17" i="42"/>
  <c r="G36" i="16"/>
  <c r="E36" i="16"/>
  <c r="F36" i="16"/>
  <c r="B36" i="16"/>
  <c r="C36" i="16"/>
  <c r="H36" i="16"/>
  <c r="H78" i="16"/>
  <c r="B78" i="16"/>
  <c r="E78" i="16"/>
  <c r="G78" i="16"/>
  <c r="F78" i="16"/>
  <c r="C78" i="16"/>
  <c r="B109" i="16"/>
  <c r="G109" i="16"/>
  <c r="E109" i="16"/>
  <c r="F109" i="16"/>
  <c r="C109" i="16"/>
  <c r="H109" i="16"/>
  <c r="C151" i="16"/>
  <c r="F151" i="16"/>
  <c r="E151" i="16"/>
  <c r="B151" i="16"/>
  <c r="H151" i="16"/>
  <c r="G151" i="16"/>
  <c r="B77" i="16"/>
  <c r="C77" i="16"/>
  <c r="E77" i="16"/>
  <c r="H77" i="16"/>
  <c r="G77" i="16"/>
  <c r="F77" i="16"/>
  <c r="E8" i="16"/>
  <c r="G8" i="16"/>
  <c r="C8" i="16"/>
  <c r="H8" i="16"/>
  <c r="B8" i="16"/>
  <c r="F8" i="16"/>
  <c r="C133" i="16"/>
  <c r="B133" i="16"/>
  <c r="E133" i="16"/>
  <c r="G133" i="16"/>
  <c r="F133" i="16"/>
  <c r="H133" i="16"/>
  <c r="C126" i="16"/>
  <c r="E126" i="16"/>
  <c r="B126" i="16"/>
  <c r="F126" i="16"/>
  <c r="H126" i="16"/>
  <c r="G126" i="16"/>
  <c r="AH22" i="42"/>
  <c r="C44" i="16"/>
  <c r="H44" i="16"/>
  <c r="E44" i="16"/>
  <c r="G44" i="16"/>
  <c r="B44" i="16"/>
  <c r="F44" i="16"/>
  <c r="F115" i="16"/>
  <c r="B115" i="16"/>
  <c r="G115" i="16"/>
  <c r="C115" i="16"/>
  <c r="E115" i="16"/>
  <c r="H115" i="16"/>
  <c r="F97" i="16"/>
  <c r="C97" i="16"/>
  <c r="H97" i="16"/>
  <c r="B97" i="16"/>
  <c r="E97" i="16"/>
  <c r="G97" i="16"/>
  <c r="G102" i="16"/>
  <c r="B102" i="16"/>
  <c r="H102" i="16"/>
  <c r="F102" i="16"/>
  <c r="E102" i="16"/>
  <c r="C102" i="16"/>
  <c r="C84" i="16"/>
  <c r="B84" i="16"/>
  <c r="F84" i="16"/>
  <c r="E84" i="16"/>
  <c r="H84" i="16"/>
  <c r="G84" i="16"/>
  <c r="F65" i="16"/>
  <c r="C65" i="16"/>
  <c r="B65" i="16"/>
  <c r="E65" i="16"/>
  <c r="H65" i="16"/>
  <c r="G65" i="16"/>
  <c r="AH6" i="42"/>
  <c r="R29" i="42" s="1"/>
  <c r="H135" i="16"/>
  <c r="B135" i="16"/>
  <c r="F135" i="16"/>
  <c r="E135" i="16"/>
  <c r="C135" i="16"/>
  <c r="G135" i="16"/>
  <c r="G39" i="16"/>
  <c r="C39" i="16"/>
  <c r="H39" i="16"/>
  <c r="B39" i="16"/>
  <c r="E39" i="16"/>
  <c r="F39" i="16"/>
  <c r="H28" i="16"/>
  <c r="C28" i="16"/>
  <c r="B28" i="16"/>
  <c r="F28" i="16"/>
  <c r="G28" i="16"/>
  <c r="E28" i="16"/>
  <c r="HM243" i="56" a="1"/>
  <c r="HM243" i="56" s="1"/>
  <c r="HN243" i="56" s="1"/>
  <c r="HQ243" i="56" a="1"/>
  <c r="HQ243" i="56" s="1"/>
  <c r="HR243" i="56" s="1"/>
  <c r="HO243" i="56" a="1"/>
  <c r="HO243" i="56" s="1"/>
  <c r="HP243" i="56" s="1"/>
  <c r="HG243" i="56" a="1"/>
  <c r="HG243" i="56" s="1"/>
  <c r="HH243" i="56" s="1"/>
  <c r="HK243" i="56" a="1"/>
  <c r="HK243" i="56" s="1"/>
  <c r="HL243" i="56" s="1"/>
  <c r="HI243" i="56" a="1"/>
  <c r="HI243" i="56" s="1"/>
  <c r="HJ243" i="56" s="1"/>
  <c r="G93" i="16"/>
  <c r="H93" i="16"/>
  <c r="F93" i="16"/>
  <c r="E93" i="16"/>
  <c r="C93" i="16"/>
  <c r="B93" i="16"/>
  <c r="G108" i="16"/>
  <c r="C108" i="16"/>
  <c r="B108" i="16"/>
  <c r="F108" i="16"/>
  <c r="E108" i="16"/>
  <c r="H108" i="16"/>
  <c r="G117" i="16"/>
  <c r="B117" i="16"/>
  <c r="F117" i="16"/>
  <c r="E117" i="16"/>
  <c r="C117" i="16"/>
  <c r="H117" i="16"/>
  <c r="B45" i="16"/>
  <c r="E45" i="16"/>
  <c r="C45" i="16"/>
  <c r="G45" i="16"/>
  <c r="F45" i="16"/>
  <c r="H45" i="16"/>
  <c r="H95" i="16"/>
  <c r="F95" i="16"/>
  <c r="B95" i="16"/>
  <c r="G95" i="16"/>
  <c r="C95" i="16"/>
  <c r="E95" i="16"/>
  <c r="AH11" i="42"/>
  <c r="E154" i="16"/>
  <c r="F154" i="16"/>
  <c r="B154" i="16"/>
  <c r="H154" i="16"/>
  <c r="G154" i="16"/>
  <c r="C154" i="16"/>
  <c r="C125" i="16"/>
  <c r="B125" i="16"/>
  <c r="F125" i="16"/>
  <c r="G125" i="16"/>
  <c r="E125" i="16"/>
  <c r="H125" i="16"/>
  <c r="IL50" i="56"/>
  <c r="O50" i="56"/>
  <c r="AH15" i="42"/>
  <c r="E106" i="16"/>
  <c r="B106" i="16"/>
  <c r="G106" i="16"/>
  <c r="H106" i="16"/>
  <c r="C106" i="16"/>
  <c r="F106" i="16"/>
  <c r="F81" i="16"/>
  <c r="E81" i="16"/>
  <c r="B81" i="16"/>
  <c r="G81" i="16"/>
  <c r="C81" i="16"/>
  <c r="H81" i="16"/>
  <c r="E92" i="16"/>
  <c r="G92" i="16"/>
  <c r="F92" i="16"/>
  <c r="B92" i="16"/>
  <c r="H92" i="16"/>
  <c r="C92" i="16"/>
  <c r="GO206" i="56"/>
  <c r="GN206" i="56"/>
  <c r="IK206" i="56" s="1"/>
  <c r="GM207" i="56"/>
  <c r="HE206" i="56"/>
  <c r="HF206" i="56" s="1"/>
  <c r="F145" i="16"/>
  <c r="E145" i="16"/>
  <c r="B145" i="16"/>
  <c r="G145" i="16"/>
  <c r="C145" i="16"/>
  <c r="H145" i="16"/>
  <c r="E43" i="16"/>
  <c r="C43" i="16"/>
  <c r="H43" i="16"/>
  <c r="G43" i="16"/>
  <c r="B43" i="16"/>
  <c r="F43" i="16"/>
  <c r="E57" i="16"/>
  <c r="C57" i="16"/>
  <c r="F57" i="16"/>
  <c r="G57" i="16"/>
  <c r="H57" i="16"/>
  <c r="B57" i="16"/>
  <c r="GO151" i="56"/>
  <c r="GN151" i="56"/>
  <c r="IK151" i="56" s="1"/>
  <c r="GM152" i="56"/>
  <c r="HE151" i="56"/>
  <c r="HF151" i="56" s="1"/>
  <c r="H49" i="16"/>
  <c r="C49" i="16"/>
  <c r="F49" i="16"/>
  <c r="B49" i="16"/>
  <c r="E49" i="16"/>
  <c r="G49" i="16"/>
  <c r="C55" i="16"/>
  <c r="E55" i="16"/>
  <c r="H55" i="16"/>
  <c r="G55" i="16"/>
  <c r="B55" i="16"/>
  <c r="F55" i="16"/>
  <c r="H71" i="16"/>
  <c r="B71" i="16"/>
  <c r="G71" i="16"/>
  <c r="F71" i="16"/>
  <c r="E71" i="16"/>
  <c r="C71" i="16"/>
  <c r="F27" i="16"/>
  <c r="B27" i="16"/>
  <c r="H27" i="16"/>
  <c r="G27" i="16"/>
  <c r="E27" i="16"/>
  <c r="C27" i="16"/>
  <c r="HA303" i="56"/>
  <c r="E141" i="16"/>
  <c r="H141" i="16"/>
  <c r="C141" i="16"/>
  <c r="B141" i="16"/>
  <c r="G141" i="16"/>
  <c r="F141" i="16"/>
  <c r="F138" i="16"/>
  <c r="G138" i="16"/>
  <c r="H138" i="16"/>
  <c r="E138" i="16"/>
  <c r="B138" i="16"/>
  <c r="C138" i="16"/>
  <c r="H87" i="16"/>
  <c r="G87" i="16"/>
  <c r="E87" i="16"/>
  <c r="C87" i="16"/>
  <c r="F87" i="16"/>
  <c r="B87" i="16"/>
  <c r="G140" i="16"/>
  <c r="E140" i="16"/>
  <c r="B140" i="16"/>
  <c r="H140" i="16"/>
  <c r="F140" i="16"/>
  <c r="C140" i="16"/>
  <c r="B107" i="16"/>
  <c r="G107" i="16"/>
  <c r="H107" i="16"/>
  <c r="E107" i="16"/>
  <c r="C107" i="16"/>
  <c r="F107" i="16"/>
  <c r="G128" i="16"/>
  <c r="F128" i="16"/>
  <c r="C128" i="16"/>
  <c r="H128" i="16"/>
  <c r="E128" i="16"/>
  <c r="B128" i="16"/>
  <c r="GO52" i="56"/>
  <c r="GN52" i="56"/>
  <c r="IK52" i="56" s="1"/>
  <c r="IL71" i="56"/>
  <c r="O71" i="56"/>
  <c r="GO244" i="56"/>
  <c r="GN244" i="56"/>
  <c r="IK244" i="56" s="1"/>
  <c r="GM245" i="56"/>
  <c r="HE244" i="56"/>
  <c r="HF244" i="56" s="1"/>
  <c r="E90" i="16"/>
  <c r="F90" i="16"/>
  <c r="B90" i="16"/>
  <c r="H90" i="16"/>
  <c r="C90" i="16"/>
  <c r="G90" i="16"/>
  <c r="E38" i="16"/>
  <c r="B38" i="16"/>
  <c r="F38" i="16"/>
  <c r="C38" i="16"/>
  <c r="H38" i="16"/>
  <c r="G38" i="16"/>
  <c r="G26" i="16"/>
  <c r="B26" i="16"/>
  <c r="C26" i="16"/>
  <c r="H26" i="16"/>
  <c r="E26" i="16"/>
  <c r="F26" i="16"/>
  <c r="E23" i="16"/>
  <c r="H23" i="16"/>
  <c r="C23" i="16"/>
  <c r="B23" i="16"/>
  <c r="G23" i="16"/>
  <c r="F23" i="16"/>
  <c r="F147" i="16"/>
  <c r="H147" i="16"/>
  <c r="E147" i="16"/>
  <c r="G147" i="16"/>
  <c r="B147" i="16"/>
  <c r="C147" i="16"/>
  <c r="G18" i="16"/>
  <c r="B18" i="16"/>
  <c r="E18" i="16"/>
  <c r="H18" i="16"/>
  <c r="F18" i="16"/>
  <c r="C18" i="16"/>
  <c r="H14" i="16"/>
  <c r="C14" i="16"/>
  <c r="G14" i="16"/>
  <c r="E14" i="16"/>
  <c r="B14" i="16"/>
  <c r="F14" i="16"/>
  <c r="E69" i="16"/>
  <c r="G69" i="16"/>
  <c r="F69" i="16"/>
  <c r="C69" i="16"/>
  <c r="B69" i="16"/>
  <c r="H69" i="16"/>
  <c r="B100" i="16"/>
  <c r="G100" i="16"/>
  <c r="H100" i="16"/>
  <c r="F100" i="16"/>
  <c r="C100" i="16"/>
  <c r="E100" i="16"/>
  <c r="H142" i="16"/>
  <c r="G142" i="16"/>
  <c r="F142" i="16"/>
  <c r="E142" i="16"/>
  <c r="C142" i="16"/>
  <c r="B142" i="16"/>
  <c r="H34" i="16"/>
  <c r="G34" i="16"/>
  <c r="B34" i="16"/>
  <c r="C34" i="16"/>
  <c r="F34" i="16"/>
  <c r="E34" i="16"/>
  <c r="C155" i="16"/>
  <c r="H155" i="16"/>
  <c r="F155" i="16"/>
  <c r="B155" i="16"/>
  <c r="G155" i="16"/>
  <c r="E155" i="16"/>
  <c r="H124" i="16"/>
  <c r="E124" i="16"/>
  <c r="F124" i="16"/>
  <c r="C124" i="16"/>
  <c r="G124" i="16"/>
  <c r="B124" i="16"/>
  <c r="F63" i="16"/>
  <c r="H63" i="16"/>
  <c r="G63" i="16"/>
  <c r="B63" i="16"/>
  <c r="E63" i="16"/>
  <c r="C63" i="16"/>
  <c r="E73" i="16"/>
  <c r="F73" i="16"/>
  <c r="G73" i="16"/>
  <c r="H73" i="16"/>
  <c r="C73" i="16"/>
  <c r="B73" i="16"/>
  <c r="G6" i="16"/>
  <c r="F6" i="16"/>
  <c r="E6" i="16"/>
  <c r="C6" i="16"/>
  <c r="H6" i="16"/>
  <c r="B6" i="16"/>
  <c r="G40" i="16"/>
  <c r="C40" i="16"/>
  <c r="E40" i="16"/>
  <c r="F40" i="16"/>
  <c r="B40" i="16"/>
  <c r="H40" i="16"/>
  <c r="F5" i="16"/>
  <c r="B5" i="16"/>
  <c r="G5" i="16"/>
  <c r="H5" i="16"/>
  <c r="E5" i="16"/>
  <c r="C5" i="16"/>
  <c r="HT121" i="56"/>
  <c r="GU121" i="56"/>
  <c r="HS121" i="56" s="1"/>
  <c r="GW121" i="56"/>
  <c r="GP121" i="56"/>
  <c r="GT121" i="56"/>
  <c r="HK205" i="56" a="1"/>
  <c r="HK205" i="56" s="1"/>
  <c r="HL205" i="56" s="1"/>
  <c r="HQ205" i="56" a="1"/>
  <c r="HQ205" i="56" s="1"/>
  <c r="HR205" i="56" s="1"/>
  <c r="HM205" i="56" a="1"/>
  <c r="HM205" i="56" s="1"/>
  <c r="HN205" i="56" s="1"/>
  <c r="HG205" i="56" a="1"/>
  <c r="HG205" i="56" s="1"/>
  <c r="HH205" i="56" s="1"/>
  <c r="HO205" i="56" a="1"/>
  <c r="HO205" i="56" s="1"/>
  <c r="HP205" i="56" s="1"/>
  <c r="HI205" i="56" a="1"/>
  <c r="HI205" i="56" s="1"/>
  <c r="HJ205" i="56" s="1"/>
  <c r="AH10" i="42"/>
  <c r="HA121" i="56" l="1"/>
  <c r="IL242" i="56"/>
  <c r="HA174" i="56"/>
  <c r="R34" i="42"/>
  <c r="HA72" i="56"/>
  <c r="IL72" i="56" s="1"/>
  <c r="HA150" i="56"/>
  <c r="O150" i="56" s="1"/>
  <c r="R30" i="42"/>
  <c r="R32" i="42"/>
  <c r="IL303" i="56"/>
  <c r="O303" i="56"/>
  <c r="IL205" i="56"/>
  <c r="O205" i="56"/>
  <c r="IL174" i="56"/>
  <c r="O174" i="56"/>
  <c r="IL25" i="56"/>
  <c r="O25" i="56"/>
  <c r="HQ305" i="56" a="1"/>
  <c r="HQ305" i="56" s="1"/>
  <c r="HR305" i="56" s="1"/>
  <c r="HO305" i="56" a="1"/>
  <c r="HO305" i="56" s="1"/>
  <c r="HP305" i="56" s="1"/>
  <c r="HI305" i="56" a="1"/>
  <c r="HI305" i="56" s="1"/>
  <c r="HJ305" i="56" s="1"/>
  <c r="HK305" i="56" a="1"/>
  <c r="HK305" i="56" s="1"/>
  <c r="HL305" i="56" s="1"/>
  <c r="HM305" i="56" a="1"/>
  <c r="HM305" i="56" s="1"/>
  <c r="HN305" i="56" s="1"/>
  <c r="HG305" i="56" a="1"/>
  <c r="HG305" i="56" s="1"/>
  <c r="HH305" i="56" s="1"/>
  <c r="HO151" i="56" a="1"/>
  <c r="HO151" i="56" s="1"/>
  <c r="HP151" i="56" s="1"/>
  <c r="HQ151" i="56" a="1"/>
  <c r="HQ151" i="56" s="1"/>
  <c r="HR151" i="56" s="1"/>
  <c r="HK151" i="56" a="1"/>
  <c r="HK151" i="56" s="1"/>
  <c r="HL151" i="56" s="1"/>
  <c r="HM151" i="56" a="1"/>
  <c r="HM151" i="56" s="1"/>
  <c r="HN151" i="56" s="1"/>
  <c r="HI151" i="56" a="1"/>
  <c r="HI151" i="56" s="1"/>
  <c r="HJ151" i="56" s="1"/>
  <c r="HG151" i="56" a="1"/>
  <c r="HG151" i="56" s="1"/>
  <c r="HH151" i="56" s="1"/>
  <c r="R31" i="42"/>
  <c r="HT52" i="56"/>
  <c r="GU52" i="56"/>
  <c r="HS52" i="56" s="1"/>
  <c r="GT52" i="56"/>
  <c r="HA52" i="56" s="1"/>
  <c r="GW52" i="56"/>
  <c r="GP52" i="56"/>
  <c r="HM122" i="56" a="1"/>
  <c r="HM122" i="56" s="1"/>
  <c r="HN122" i="56" s="1"/>
  <c r="HQ122" i="56" a="1"/>
  <c r="HQ122" i="56" s="1"/>
  <c r="HR122" i="56" s="1"/>
  <c r="HK122" i="56" a="1"/>
  <c r="HK122" i="56" s="1"/>
  <c r="HL122" i="56" s="1"/>
  <c r="HI122" i="56" a="1"/>
  <c r="HI122" i="56" s="1"/>
  <c r="HJ122" i="56" s="1"/>
  <c r="HO122" i="56" a="1"/>
  <c r="HO122" i="56" s="1"/>
  <c r="HP122" i="56" s="1"/>
  <c r="HG122" i="56" a="1"/>
  <c r="HG122" i="56" s="1"/>
  <c r="HH122" i="56" s="1"/>
  <c r="R36" i="42"/>
  <c r="HT305" i="56"/>
  <c r="GW305" i="56"/>
  <c r="GT305" i="56"/>
  <c r="HA305" i="56" s="1"/>
  <c r="GU305" i="56"/>
  <c r="HS305" i="56" s="1"/>
  <c r="GP305" i="56"/>
  <c r="HQ73" i="56" a="1"/>
  <c r="HQ73" i="56" s="1"/>
  <c r="HR73" i="56" s="1"/>
  <c r="HM73" i="56" a="1"/>
  <c r="HM73" i="56" s="1"/>
  <c r="HN73" i="56" s="1"/>
  <c r="HI73" i="56" a="1"/>
  <c r="HI73" i="56" s="1"/>
  <c r="HJ73" i="56" s="1"/>
  <c r="HK73" i="56" a="1"/>
  <c r="HK73" i="56" s="1"/>
  <c r="HL73" i="56" s="1"/>
  <c r="HO73" i="56" a="1"/>
  <c r="HO73" i="56" s="1"/>
  <c r="HP73" i="56" s="1"/>
  <c r="HG73" i="56" a="1"/>
  <c r="HG73" i="56" s="1"/>
  <c r="HH73" i="56" s="1"/>
  <c r="GN74" i="56"/>
  <c r="IK74" i="56" s="1"/>
  <c r="GO74" i="56"/>
  <c r="GM75" i="56"/>
  <c r="HE74" i="56"/>
  <c r="HF74" i="56" s="1"/>
  <c r="C1" i="16"/>
  <c r="R37" i="42"/>
  <c r="GO306" i="56"/>
  <c r="GN306" i="56"/>
  <c r="IK306" i="56" s="1"/>
  <c r="GM307" i="56"/>
  <c r="HE306" i="56"/>
  <c r="HF306" i="56" s="1"/>
  <c r="GO152" i="56"/>
  <c r="GN152" i="56"/>
  <c r="IK152" i="56" s="1"/>
  <c r="GM153" i="56"/>
  <c r="HE152" i="56"/>
  <c r="HF152" i="56" s="1"/>
  <c r="IL304" i="56"/>
  <c r="O304" i="56"/>
  <c r="HO206" i="56" a="1"/>
  <c r="HO206" i="56" s="1"/>
  <c r="HP206" i="56" s="1"/>
  <c r="HK206" i="56" a="1"/>
  <c r="HK206" i="56" s="1"/>
  <c r="HL206" i="56" s="1"/>
  <c r="HM206" i="56" a="1"/>
  <c r="HM206" i="56" s="1"/>
  <c r="HN206" i="56" s="1"/>
  <c r="HI206" i="56" a="1"/>
  <c r="HI206" i="56" s="1"/>
  <c r="HJ206" i="56" s="1"/>
  <c r="HG206" i="56" a="1"/>
  <c r="HG206" i="56" s="1"/>
  <c r="HH206" i="56" s="1"/>
  <c r="HQ206" i="56" a="1"/>
  <c r="HQ206" i="56" s="1"/>
  <c r="HR206" i="56" s="1"/>
  <c r="HT175" i="56"/>
  <c r="GW175" i="56"/>
  <c r="GU175" i="56"/>
  <c r="HS175" i="56" s="1"/>
  <c r="GP175" i="56"/>
  <c r="GT175" i="56"/>
  <c r="IL121" i="56"/>
  <c r="O121" i="56"/>
  <c r="II23" i="56"/>
  <c r="II25" i="56"/>
  <c r="II32" i="56" s="1"/>
  <c r="GO245" i="56"/>
  <c r="GN245" i="56"/>
  <c r="IK245" i="56" s="1"/>
  <c r="GM246" i="56"/>
  <c r="HE245" i="56"/>
  <c r="HF245" i="56" s="1"/>
  <c r="R35" i="42"/>
  <c r="IL51" i="56"/>
  <c r="O51" i="56"/>
  <c r="HT244" i="56"/>
  <c r="GW244" i="56"/>
  <c r="GU244" i="56"/>
  <c r="HS244" i="56" s="1"/>
  <c r="GT244" i="56"/>
  <c r="HA244" i="56" s="1"/>
  <c r="GP244" i="56"/>
  <c r="R33" i="42"/>
  <c r="HT151" i="56"/>
  <c r="GW151" i="56"/>
  <c r="GU151" i="56"/>
  <c r="HS151" i="56" s="1"/>
  <c r="GP151" i="56"/>
  <c r="GT151" i="56"/>
  <c r="GO123" i="56"/>
  <c r="GN123" i="56"/>
  <c r="IK123" i="56" s="1"/>
  <c r="GM124" i="56"/>
  <c r="HE123" i="56"/>
  <c r="HF123" i="56" s="1"/>
  <c r="HO175" i="56" a="1"/>
  <c r="HO175" i="56" s="1"/>
  <c r="HP175" i="56" s="1"/>
  <c r="HQ175" i="56" a="1"/>
  <c r="HQ175" i="56" s="1"/>
  <c r="HR175" i="56" s="1"/>
  <c r="HM175" i="56" a="1"/>
  <c r="HM175" i="56" s="1"/>
  <c r="HN175" i="56" s="1"/>
  <c r="HG175" i="56" a="1"/>
  <c r="HG175" i="56" s="1"/>
  <c r="HH175" i="56" s="1"/>
  <c r="HK175" i="56" a="1"/>
  <c r="HK175" i="56" s="1"/>
  <c r="HL175" i="56" s="1"/>
  <c r="HI175" i="56" a="1"/>
  <c r="HI175" i="56" s="1"/>
  <c r="HJ175" i="56" s="1"/>
  <c r="IL120" i="56"/>
  <c r="O120" i="56"/>
  <c r="GO207" i="56"/>
  <c r="GN207" i="56"/>
  <c r="IK207" i="56" s="1"/>
  <c r="GM208" i="56"/>
  <c r="HE207" i="56"/>
  <c r="HF207" i="56" s="1"/>
  <c r="HT73" i="56"/>
  <c r="GU73" i="56"/>
  <c r="HS73" i="56" s="1"/>
  <c r="GT73" i="56"/>
  <c r="HA73" i="56" s="1"/>
  <c r="GP73" i="56"/>
  <c r="GW73" i="56"/>
  <c r="HT206" i="56"/>
  <c r="GU206" i="56"/>
  <c r="HS206" i="56" s="1"/>
  <c r="GT206" i="56"/>
  <c r="HA206" i="56" s="1"/>
  <c r="GW206" i="56"/>
  <c r="GP206" i="56"/>
  <c r="HQ244" i="56" a="1"/>
  <c r="HQ244" i="56" s="1"/>
  <c r="HR244" i="56" s="1"/>
  <c r="HM244" i="56" a="1"/>
  <c r="HM244" i="56" s="1"/>
  <c r="HN244" i="56" s="1"/>
  <c r="HI244" i="56" a="1"/>
  <c r="HI244" i="56" s="1"/>
  <c r="HJ244" i="56" s="1"/>
  <c r="HG244" i="56" a="1"/>
  <c r="HG244" i="56" s="1"/>
  <c r="HH244" i="56" s="1"/>
  <c r="HK244" i="56" a="1"/>
  <c r="HK244" i="56" s="1"/>
  <c r="HL244" i="56" s="1"/>
  <c r="HO244" i="56" a="1"/>
  <c r="HO244" i="56" s="1"/>
  <c r="HP244" i="56" s="1"/>
  <c r="HT122" i="56"/>
  <c r="GW122" i="56"/>
  <c r="GT122" i="56"/>
  <c r="HA122" i="56" s="1"/>
  <c r="GP122" i="56"/>
  <c r="GU122" i="56"/>
  <c r="HS122" i="56" s="1"/>
  <c r="GO176" i="56"/>
  <c r="GN176" i="56"/>
  <c r="IK176" i="56" s="1"/>
  <c r="GM177" i="56"/>
  <c r="HE176" i="56"/>
  <c r="HF176" i="56" s="1"/>
  <c r="IL243" i="56"/>
  <c r="O243" i="56"/>
  <c r="O72" i="56" l="1"/>
  <c r="IL150" i="56"/>
  <c r="HA175" i="56"/>
  <c r="O175" i="56" s="1"/>
  <c r="II80" i="56"/>
  <c r="HM176" i="56" a="1"/>
  <c r="HM176" i="56" s="1"/>
  <c r="HN176" i="56" s="1"/>
  <c r="HQ176" i="56" a="1"/>
  <c r="HQ176" i="56" s="1"/>
  <c r="HR176" i="56" s="1"/>
  <c r="HI176" i="56" a="1"/>
  <c r="HI176" i="56" s="1"/>
  <c r="HJ176" i="56" s="1"/>
  <c r="HG176" i="56" a="1"/>
  <c r="HG176" i="56" s="1"/>
  <c r="HH176" i="56" s="1"/>
  <c r="HO176" i="56" a="1"/>
  <c r="HO176" i="56" s="1"/>
  <c r="HP176" i="56" s="1"/>
  <c r="HK176" i="56" a="1"/>
  <c r="HK176" i="56" s="1"/>
  <c r="HL176" i="56" s="1"/>
  <c r="HQ152" i="56" a="1"/>
  <c r="HQ152" i="56" s="1"/>
  <c r="HR152" i="56" s="1"/>
  <c r="HM152" i="56" a="1"/>
  <c r="HM152" i="56" s="1"/>
  <c r="HN152" i="56" s="1"/>
  <c r="HK152" i="56" a="1"/>
  <c r="HK152" i="56" s="1"/>
  <c r="HL152" i="56" s="1"/>
  <c r="HO152" i="56" a="1"/>
  <c r="HO152" i="56" s="1"/>
  <c r="HP152" i="56" s="1"/>
  <c r="HG152" i="56" a="1"/>
  <c r="HG152" i="56" s="1"/>
  <c r="HH152" i="56" s="1"/>
  <c r="HI152" i="56" a="1"/>
  <c r="HI152" i="56" s="1"/>
  <c r="HJ152" i="56" s="1"/>
  <c r="GO153" i="56"/>
  <c r="GN153" i="56"/>
  <c r="IK153" i="56" s="1"/>
  <c r="HE153" i="56"/>
  <c r="HF153" i="56" s="1"/>
  <c r="IL52" i="56"/>
  <c r="O52" i="56"/>
  <c r="GO307" i="56"/>
  <c r="GN307" i="56"/>
  <c r="IK307" i="56" s="1"/>
  <c r="GM308" i="56"/>
  <c r="HE307" i="56"/>
  <c r="HF307" i="56" s="1"/>
  <c r="IL305" i="56"/>
  <c r="O305" i="56"/>
  <c r="HK245" i="56" a="1"/>
  <c r="HK245" i="56" s="1"/>
  <c r="HL245" i="56" s="1"/>
  <c r="HM245" i="56" a="1"/>
  <c r="HM245" i="56" s="1"/>
  <c r="HN245" i="56" s="1"/>
  <c r="HQ245" i="56" a="1"/>
  <c r="HQ245" i="56" s="1"/>
  <c r="HR245" i="56" s="1"/>
  <c r="HI245" i="56" a="1"/>
  <c r="HI245" i="56" s="1"/>
  <c r="HJ245" i="56" s="1"/>
  <c r="HG245" i="56" a="1"/>
  <c r="HG245" i="56" s="1"/>
  <c r="HH245" i="56" s="1"/>
  <c r="HO245" i="56" a="1"/>
  <c r="HO245" i="56" s="1"/>
  <c r="HP245" i="56" s="1"/>
  <c r="IL244" i="56"/>
  <c r="O244" i="56"/>
  <c r="IL122" i="56"/>
  <c r="O122" i="56"/>
  <c r="HT123" i="56"/>
  <c r="GW123" i="56"/>
  <c r="GT123" i="56"/>
  <c r="HA123" i="56" s="1"/>
  <c r="GU123" i="56"/>
  <c r="HS123" i="56" s="1"/>
  <c r="GP123" i="56"/>
  <c r="GO177" i="56"/>
  <c r="GN177" i="56"/>
  <c r="IK177" i="56" s="1"/>
  <c r="GM178" i="56"/>
  <c r="HE177" i="56"/>
  <c r="HF177" i="56" s="1"/>
  <c r="II104" i="56"/>
  <c r="II342" i="56" s="1"/>
  <c r="BR3" i="40" s="1" a="1"/>
  <c r="BR3" i="40" s="1"/>
  <c r="HT176" i="56"/>
  <c r="GW176" i="56"/>
  <c r="GT176" i="56"/>
  <c r="GU176" i="56"/>
  <c r="HS176" i="56" s="1"/>
  <c r="GP176" i="56"/>
  <c r="HT152" i="56"/>
  <c r="GU152" i="56"/>
  <c r="HS152" i="56" s="1"/>
  <c r="GT152" i="56"/>
  <c r="HA152" i="56" s="1"/>
  <c r="GP152" i="56"/>
  <c r="GW152" i="56"/>
  <c r="HQ306" i="56" a="1"/>
  <c r="HQ306" i="56" s="1"/>
  <c r="HR306" i="56" s="1"/>
  <c r="HM306" i="56" a="1"/>
  <c r="HM306" i="56" s="1"/>
  <c r="HN306" i="56" s="1"/>
  <c r="HO306" i="56" a="1"/>
  <c r="HO306" i="56" s="1"/>
  <c r="HP306" i="56" s="1"/>
  <c r="HK306" i="56" a="1"/>
  <c r="HK306" i="56" s="1"/>
  <c r="HL306" i="56" s="1"/>
  <c r="HG306" i="56" a="1"/>
  <c r="HG306" i="56" s="1"/>
  <c r="HH306" i="56" s="1"/>
  <c r="HI306" i="56" a="1"/>
  <c r="HI306" i="56" s="1"/>
  <c r="HJ306" i="56" s="1"/>
  <c r="HQ123" i="56" a="1"/>
  <c r="HQ123" i="56" s="1"/>
  <c r="HR123" i="56" s="1"/>
  <c r="HO123" i="56" a="1"/>
  <c r="HO123" i="56" s="1"/>
  <c r="HP123" i="56" s="1"/>
  <c r="HK123" i="56" a="1"/>
  <c r="HK123" i="56" s="1"/>
  <c r="HL123" i="56" s="1"/>
  <c r="HI123" i="56" a="1"/>
  <c r="HI123" i="56" s="1"/>
  <c r="HJ123" i="56" s="1"/>
  <c r="HM123" i="56" a="1"/>
  <c r="HM123" i="56" s="1"/>
  <c r="HN123" i="56" s="1"/>
  <c r="HG123" i="56" a="1"/>
  <c r="HG123" i="56" s="1"/>
  <c r="HH123" i="56" s="1"/>
  <c r="HT306" i="56"/>
  <c r="GP306" i="56"/>
  <c r="GU306" i="56"/>
  <c r="HS306" i="56" s="1"/>
  <c r="GT306" i="56"/>
  <c r="HA306" i="56" s="1"/>
  <c r="GW306" i="56"/>
  <c r="HA151" i="56"/>
  <c r="GN75" i="56"/>
  <c r="IK75" i="56" s="1"/>
  <c r="GO75" i="56"/>
  <c r="GM76" i="56"/>
  <c r="HE75" i="56"/>
  <c r="HF75" i="56" s="1"/>
  <c r="HT207" i="56"/>
  <c r="GW207" i="56"/>
  <c r="GU207" i="56"/>
  <c r="HS207" i="56" s="1"/>
  <c r="GT207" i="56"/>
  <c r="HA207" i="56" s="1"/>
  <c r="GP207" i="56"/>
  <c r="HT74" i="56"/>
  <c r="GT74" i="56"/>
  <c r="HA74" i="56" s="1"/>
  <c r="GU74" i="56"/>
  <c r="HS74" i="56" s="1"/>
  <c r="GW74" i="56"/>
  <c r="GP74" i="56"/>
  <c r="IL206" i="56"/>
  <c r="O206" i="56"/>
  <c r="IL73" i="56"/>
  <c r="O73" i="56"/>
  <c r="GO124" i="56"/>
  <c r="GN124" i="56"/>
  <c r="IK124" i="56" s="1"/>
  <c r="GM125" i="56"/>
  <c r="HE124" i="56"/>
  <c r="HF124" i="56" s="1"/>
  <c r="GN246" i="56"/>
  <c r="IK246" i="56" s="1"/>
  <c r="GO246" i="56"/>
  <c r="GM247" i="56"/>
  <c r="HE246" i="56"/>
  <c r="HF246" i="56" s="1"/>
  <c r="HO207" i="56" a="1"/>
  <c r="HO207" i="56" s="1"/>
  <c r="HP207" i="56" s="1"/>
  <c r="HM207" i="56" a="1"/>
  <c r="HM207" i="56" s="1"/>
  <c r="HN207" i="56" s="1"/>
  <c r="HI207" i="56" a="1"/>
  <c r="HI207" i="56" s="1"/>
  <c r="HJ207" i="56" s="1"/>
  <c r="HK207" i="56" a="1"/>
  <c r="HK207" i="56" s="1"/>
  <c r="HL207" i="56" s="1"/>
  <c r="HQ207" i="56" a="1"/>
  <c r="HQ207" i="56" s="1"/>
  <c r="HR207" i="56" s="1"/>
  <c r="HG207" i="56" a="1"/>
  <c r="HG207" i="56" s="1"/>
  <c r="HH207" i="56" s="1"/>
  <c r="GO208" i="56"/>
  <c r="GN208" i="56"/>
  <c r="IK208" i="56" s="1"/>
  <c r="GM209" i="56"/>
  <c r="HE208" i="56"/>
  <c r="HF208" i="56" s="1"/>
  <c r="GW245" i="56"/>
  <c r="HT245" i="56"/>
  <c r="GP245" i="56"/>
  <c r="GT245" i="56"/>
  <c r="HA245" i="56" s="1"/>
  <c r="GU245" i="56"/>
  <c r="HS245" i="56" s="1"/>
  <c r="HQ74" i="56" a="1"/>
  <c r="HQ74" i="56" s="1"/>
  <c r="HR74" i="56" s="1"/>
  <c r="HM74" i="56" a="1"/>
  <c r="HM74" i="56" s="1"/>
  <c r="HN74" i="56" s="1"/>
  <c r="HK74" i="56" a="1"/>
  <c r="HK74" i="56" s="1"/>
  <c r="HL74" i="56" s="1"/>
  <c r="HO74" i="56" a="1"/>
  <c r="HO74" i="56" s="1"/>
  <c r="HP74" i="56" s="1"/>
  <c r="HG74" i="56" a="1"/>
  <c r="HG74" i="56" s="1"/>
  <c r="HH74" i="56" s="1"/>
  <c r="HI74" i="56" a="1"/>
  <c r="HI74" i="56" s="1"/>
  <c r="HJ74" i="56" s="1"/>
  <c r="IL175" i="56" l="1"/>
  <c r="HA176" i="56"/>
  <c r="L51" i="16"/>
  <c r="L52" i="16"/>
  <c r="L53" i="16"/>
  <c r="L54" i="16"/>
  <c r="L55" i="16"/>
  <c r="L60" i="16"/>
  <c r="L57" i="16"/>
  <c r="L56" i="16"/>
  <c r="L59" i="16"/>
  <c r="L58" i="16"/>
  <c r="HT153" i="56"/>
  <c r="GU153" i="56"/>
  <c r="HS153" i="56" s="1"/>
  <c r="GW153" i="56"/>
  <c r="GT153" i="56"/>
  <c r="HA153" i="56" s="1"/>
  <c r="GP153" i="56"/>
  <c r="HT208" i="56"/>
  <c r="GW208" i="56"/>
  <c r="GU208" i="56"/>
  <c r="HS208" i="56" s="1"/>
  <c r="GP208" i="56"/>
  <c r="GT208" i="56"/>
  <c r="HA208" i="56" s="1"/>
  <c r="IL74" i="56"/>
  <c r="O74" i="56"/>
  <c r="HQ246" i="56" a="1"/>
  <c r="HQ246" i="56" s="1"/>
  <c r="HR246" i="56" s="1"/>
  <c r="HO246" i="56" a="1"/>
  <c r="HO246" i="56" s="1"/>
  <c r="HP246" i="56" s="1"/>
  <c r="HM246" i="56" a="1"/>
  <c r="HM246" i="56" s="1"/>
  <c r="HN246" i="56" s="1"/>
  <c r="HG246" i="56" a="1"/>
  <c r="HG246" i="56" s="1"/>
  <c r="HH246" i="56" s="1"/>
  <c r="HK246" i="56" a="1"/>
  <c r="HK246" i="56" s="1"/>
  <c r="HL246" i="56" s="1"/>
  <c r="HI246" i="56" a="1"/>
  <c r="HI246" i="56" s="1"/>
  <c r="HJ246" i="56" s="1"/>
  <c r="HQ307" i="56" a="1"/>
  <c r="HQ307" i="56" s="1"/>
  <c r="HR307" i="56" s="1"/>
  <c r="HO307" i="56" a="1"/>
  <c r="HO307" i="56" s="1"/>
  <c r="HP307" i="56" s="1"/>
  <c r="HM307" i="56" a="1"/>
  <c r="HM307" i="56" s="1"/>
  <c r="HN307" i="56" s="1"/>
  <c r="HK307" i="56" a="1"/>
  <c r="HK307" i="56" s="1"/>
  <c r="HL307" i="56" s="1"/>
  <c r="HI307" i="56" a="1"/>
  <c r="HI307" i="56" s="1"/>
  <c r="HJ307" i="56" s="1"/>
  <c r="HG307" i="56" a="1"/>
  <c r="HG307" i="56" s="1"/>
  <c r="HH307" i="56" s="1"/>
  <c r="IL207" i="56"/>
  <c r="O207" i="56"/>
  <c r="HT307" i="56"/>
  <c r="GW307" i="56"/>
  <c r="GU307" i="56"/>
  <c r="HS307" i="56" s="1"/>
  <c r="GP307" i="56"/>
  <c r="GT307" i="56"/>
  <c r="HA307" i="56" s="1"/>
  <c r="IL151" i="56"/>
  <c r="O151" i="56"/>
  <c r="HQ177" i="56" a="1"/>
  <c r="HQ177" i="56" s="1"/>
  <c r="HR177" i="56" s="1"/>
  <c r="HI177" i="56" a="1"/>
  <c r="HI177" i="56" s="1"/>
  <c r="HJ177" i="56" s="1"/>
  <c r="HO177" i="56" a="1"/>
  <c r="HO177" i="56" s="1"/>
  <c r="HP177" i="56" s="1"/>
  <c r="HM177" i="56" a="1"/>
  <c r="HM177" i="56" s="1"/>
  <c r="HN177" i="56" s="1"/>
  <c r="HG177" i="56" a="1"/>
  <c r="HG177" i="56" s="1"/>
  <c r="HH177" i="56" s="1"/>
  <c r="HK177" i="56" a="1"/>
  <c r="HK177" i="56" s="1"/>
  <c r="HL177" i="56" s="1"/>
  <c r="GO178" i="56"/>
  <c r="GN178" i="56"/>
  <c r="IK178" i="56" s="1"/>
  <c r="GM179" i="56"/>
  <c r="HE178" i="56"/>
  <c r="HF178" i="56" s="1"/>
  <c r="HT177" i="56"/>
  <c r="GW177" i="56"/>
  <c r="GU177" i="56"/>
  <c r="HS177" i="56" s="1"/>
  <c r="GT177" i="56"/>
  <c r="HA177" i="56" s="1"/>
  <c r="GP177" i="56"/>
  <c r="GN247" i="56"/>
  <c r="IK247" i="56" s="1"/>
  <c r="GO247" i="56"/>
  <c r="GM248" i="56"/>
  <c r="HE247" i="56"/>
  <c r="HF247" i="56" s="1"/>
  <c r="IL245" i="56"/>
  <c r="O245" i="56"/>
  <c r="HQ124" i="56" a="1"/>
  <c r="HQ124" i="56" s="1"/>
  <c r="HR124" i="56" s="1"/>
  <c r="HG124" i="56" a="1"/>
  <c r="HG124" i="56" s="1"/>
  <c r="HH124" i="56" s="1"/>
  <c r="HM124" i="56" a="1"/>
  <c r="HM124" i="56" s="1"/>
  <c r="HN124" i="56" s="1"/>
  <c r="HI124" i="56" a="1"/>
  <c r="HI124" i="56" s="1"/>
  <c r="HJ124" i="56" s="1"/>
  <c r="HK124" i="56" a="1"/>
  <c r="HK124" i="56" s="1"/>
  <c r="HL124" i="56" s="1"/>
  <c r="HO124" i="56" a="1"/>
  <c r="HO124" i="56" s="1"/>
  <c r="HP124" i="56" s="1"/>
  <c r="GO209" i="56"/>
  <c r="GN209" i="56"/>
  <c r="IK209" i="56" s="1"/>
  <c r="GM210" i="56"/>
  <c r="HE209" i="56"/>
  <c r="HF209" i="56" s="1"/>
  <c r="HT124" i="56"/>
  <c r="GU124" i="56"/>
  <c r="HS124" i="56" s="1"/>
  <c r="GT124" i="56"/>
  <c r="HA124" i="56" s="1"/>
  <c r="GW124" i="56"/>
  <c r="GP124" i="56"/>
  <c r="GN76" i="56"/>
  <c r="IK76" i="56" s="1"/>
  <c r="GO76" i="56"/>
  <c r="GM77" i="56"/>
  <c r="HE76" i="56"/>
  <c r="HF76" i="56" s="1"/>
  <c r="IL306" i="56"/>
  <c r="O306" i="56"/>
  <c r="IL152" i="56"/>
  <c r="O152" i="56"/>
  <c r="IL123" i="56"/>
  <c r="O123" i="56"/>
  <c r="GO308" i="56"/>
  <c r="GN308" i="56"/>
  <c r="IK308" i="56" s="1"/>
  <c r="GM309" i="56"/>
  <c r="HE308" i="56"/>
  <c r="HF308" i="56" s="1"/>
  <c r="HT246" i="56"/>
  <c r="GW246" i="56"/>
  <c r="GU246" i="56"/>
  <c r="HS246" i="56" s="1"/>
  <c r="GP246" i="56"/>
  <c r="GT246" i="56"/>
  <c r="GO125" i="56"/>
  <c r="GN125" i="56"/>
  <c r="IK125" i="56" s="1"/>
  <c r="GM126" i="56"/>
  <c r="HE125" i="56"/>
  <c r="HF125" i="56" s="1"/>
  <c r="IL176" i="56"/>
  <c r="O176" i="56"/>
  <c r="HT75" i="56"/>
  <c r="GT75" i="56"/>
  <c r="HA75" i="56" s="1"/>
  <c r="GU75" i="56"/>
  <c r="HS75" i="56" s="1"/>
  <c r="GW75" i="56"/>
  <c r="GP75" i="56"/>
  <c r="HQ208" i="56" a="1"/>
  <c r="HQ208" i="56" s="1"/>
  <c r="HR208" i="56" s="1"/>
  <c r="HK208" i="56" a="1"/>
  <c r="HK208" i="56" s="1"/>
  <c r="HL208" i="56" s="1"/>
  <c r="HM208" i="56" a="1"/>
  <c r="HM208" i="56" s="1"/>
  <c r="HN208" i="56" s="1"/>
  <c r="HO208" i="56" a="1"/>
  <c r="HO208" i="56" s="1"/>
  <c r="HP208" i="56" s="1"/>
  <c r="HI208" i="56" a="1"/>
  <c r="HI208" i="56" s="1"/>
  <c r="HJ208" i="56" s="1"/>
  <c r="HG208" i="56" a="1"/>
  <c r="HG208" i="56" s="1"/>
  <c r="HH208" i="56" s="1"/>
  <c r="HI75" i="56" a="1"/>
  <c r="HI75" i="56" s="1"/>
  <c r="HJ75" i="56" s="1"/>
  <c r="HM75" i="56" a="1"/>
  <c r="HM75" i="56" s="1"/>
  <c r="HN75" i="56" s="1"/>
  <c r="HO75" i="56" a="1"/>
  <c r="HO75" i="56" s="1"/>
  <c r="HP75" i="56" s="1"/>
  <c r="HK75" i="56" a="1"/>
  <c r="HK75" i="56" s="1"/>
  <c r="HL75" i="56" s="1"/>
  <c r="HQ75" i="56" a="1"/>
  <c r="HQ75" i="56" s="1"/>
  <c r="HR75" i="56" s="1"/>
  <c r="HG75" i="56" a="1"/>
  <c r="HG75" i="56" s="1"/>
  <c r="HH75" i="56" s="1"/>
  <c r="HQ153" i="56" a="1"/>
  <c r="HQ153" i="56" s="1"/>
  <c r="HR153" i="56" s="1"/>
  <c r="HO153" i="56" a="1"/>
  <c r="HO153" i="56" s="1"/>
  <c r="HP153" i="56" s="1"/>
  <c r="HM153" i="56" a="1"/>
  <c r="HM153" i="56" s="1"/>
  <c r="HN153" i="56" s="1"/>
  <c r="HG153" i="56" a="1"/>
  <c r="HG153" i="56" s="1"/>
  <c r="HH153" i="56" s="1"/>
  <c r="HK153" i="56" a="1"/>
  <c r="HK153" i="56" s="1"/>
  <c r="HL153" i="56" s="1"/>
  <c r="HI153" i="56" a="1"/>
  <c r="HI153" i="56" s="1"/>
  <c r="HJ153" i="56" s="1"/>
  <c r="HO247" i="56" l="1" a="1"/>
  <c r="HO247" i="56" s="1"/>
  <c r="HP247" i="56" s="1"/>
  <c r="HM247" i="56" a="1"/>
  <c r="HM247" i="56" s="1"/>
  <c r="HN247" i="56" s="1"/>
  <c r="HI247" i="56" a="1"/>
  <c r="HI247" i="56" s="1"/>
  <c r="HJ247" i="56" s="1"/>
  <c r="HQ247" i="56" a="1"/>
  <c r="HQ247" i="56" s="1"/>
  <c r="HR247" i="56" s="1"/>
  <c r="HG247" i="56" a="1"/>
  <c r="HG247" i="56" s="1"/>
  <c r="HH247" i="56" s="1"/>
  <c r="HK247" i="56" a="1"/>
  <c r="HK247" i="56" s="1"/>
  <c r="HL247" i="56" s="1"/>
  <c r="HQ308" i="56" a="1"/>
  <c r="HQ308" i="56" s="1"/>
  <c r="HR308" i="56" s="1"/>
  <c r="HO308" i="56" a="1"/>
  <c r="HO308" i="56" s="1"/>
  <c r="HP308" i="56" s="1"/>
  <c r="HK308" i="56" a="1"/>
  <c r="HK308" i="56" s="1"/>
  <c r="HL308" i="56" s="1"/>
  <c r="HM308" i="56" a="1"/>
  <c r="HM308" i="56" s="1"/>
  <c r="HN308" i="56" s="1"/>
  <c r="HG308" i="56" a="1"/>
  <c r="HG308" i="56" s="1"/>
  <c r="HH308" i="56" s="1"/>
  <c r="HI308" i="56" a="1"/>
  <c r="HI308" i="56" s="1"/>
  <c r="HJ308" i="56" s="1"/>
  <c r="GN309" i="56"/>
  <c r="IK309" i="56" s="1"/>
  <c r="GO309" i="56"/>
  <c r="GM310" i="56"/>
  <c r="HE309" i="56"/>
  <c r="HF309" i="56" s="1"/>
  <c r="HT247" i="56"/>
  <c r="GW247" i="56"/>
  <c r="GU247" i="56"/>
  <c r="HS247" i="56" s="1"/>
  <c r="GP247" i="56"/>
  <c r="GT247" i="56"/>
  <c r="HA247" i="56" s="1"/>
  <c r="HQ209" i="56" a="1"/>
  <c r="HQ209" i="56" s="1"/>
  <c r="HR209" i="56" s="1"/>
  <c r="HK209" i="56" a="1"/>
  <c r="HK209" i="56" s="1"/>
  <c r="HL209" i="56" s="1"/>
  <c r="HM209" i="56" a="1"/>
  <c r="HM209" i="56" s="1"/>
  <c r="HN209" i="56" s="1"/>
  <c r="HO209" i="56" a="1"/>
  <c r="HO209" i="56" s="1"/>
  <c r="HP209" i="56" s="1"/>
  <c r="HI209" i="56" a="1"/>
  <c r="HI209" i="56" s="1"/>
  <c r="HJ209" i="56" s="1"/>
  <c r="HG209" i="56" a="1"/>
  <c r="HG209" i="56" s="1"/>
  <c r="HH209" i="56" s="1"/>
  <c r="IL208" i="56"/>
  <c r="O208" i="56"/>
  <c r="O54" i="16"/>
  <c r="M54" i="16"/>
  <c r="N54" i="16"/>
  <c r="IL153" i="56"/>
  <c r="O153" i="56"/>
  <c r="IL177" i="56"/>
  <c r="O177" i="56"/>
  <c r="M59" i="16"/>
  <c r="N59" i="16"/>
  <c r="O59" i="16"/>
  <c r="M56" i="16"/>
  <c r="O56" i="16"/>
  <c r="N56" i="16"/>
  <c r="M60" i="16"/>
  <c r="O60" i="16"/>
  <c r="N60" i="16"/>
  <c r="GN126" i="56"/>
  <c r="IK126" i="56" s="1"/>
  <c r="GO126" i="56"/>
  <c r="GM127" i="56"/>
  <c r="HE126" i="56"/>
  <c r="HF126" i="56" s="1"/>
  <c r="N55" i="16"/>
  <c r="M55" i="16"/>
  <c r="O55" i="16"/>
  <c r="HT125" i="56"/>
  <c r="GP125" i="56"/>
  <c r="GT125" i="56"/>
  <c r="HA125" i="56" s="1"/>
  <c r="GW125" i="56"/>
  <c r="GU125" i="56"/>
  <c r="HS125" i="56" s="1"/>
  <c r="HQ76" i="56" a="1"/>
  <c r="HQ76" i="56" s="1"/>
  <c r="HR76" i="56" s="1"/>
  <c r="HI76" i="56" a="1"/>
  <c r="HI76" i="56" s="1"/>
  <c r="HJ76" i="56" s="1"/>
  <c r="HK76" i="56" a="1"/>
  <c r="HK76" i="56" s="1"/>
  <c r="HL76" i="56" s="1"/>
  <c r="HG76" i="56" a="1"/>
  <c r="HG76" i="56" s="1"/>
  <c r="HH76" i="56" s="1"/>
  <c r="HO76" i="56" a="1"/>
  <c r="HO76" i="56" s="1"/>
  <c r="HP76" i="56" s="1"/>
  <c r="HM76" i="56" a="1"/>
  <c r="HM76" i="56" s="1"/>
  <c r="HN76" i="56" s="1"/>
  <c r="N53" i="16"/>
  <c r="O53" i="16"/>
  <c r="M53" i="16"/>
  <c r="IL124" i="56"/>
  <c r="O124" i="56"/>
  <c r="GN248" i="56"/>
  <c r="IK248" i="56" s="1"/>
  <c r="GO248" i="56"/>
  <c r="GM249" i="56"/>
  <c r="HE248" i="56"/>
  <c r="HF248" i="56" s="1"/>
  <c r="IL307" i="56"/>
  <c r="O307" i="56"/>
  <c r="HT209" i="56"/>
  <c r="GW209" i="56"/>
  <c r="GP209" i="56"/>
  <c r="GT209" i="56"/>
  <c r="HA209" i="56" s="1"/>
  <c r="GU209" i="56"/>
  <c r="HS209" i="56" s="1"/>
  <c r="HA246" i="56"/>
  <c r="GO77" i="56"/>
  <c r="GN77" i="56"/>
  <c r="IK77" i="56" s="1"/>
  <c r="GM78" i="56"/>
  <c r="HE77" i="56"/>
  <c r="HF77" i="56" s="1"/>
  <c r="HT178" i="56"/>
  <c r="GP178" i="56"/>
  <c r="GU178" i="56"/>
  <c r="HS178" i="56" s="1"/>
  <c r="GT178" i="56"/>
  <c r="HA178" i="56" s="1"/>
  <c r="GW178" i="56"/>
  <c r="O52" i="16"/>
  <c r="N52" i="16"/>
  <c r="M52" i="16"/>
  <c r="IL75" i="56"/>
  <c r="O75" i="56"/>
  <c r="HT308" i="56"/>
  <c r="GU308" i="56"/>
  <c r="HS308" i="56" s="1"/>
  <c r="GT308" i="56"/>
  <c r="HA308" i="56" s="1"/>
  <c r="GW308" i="56"/>
  <c r="GP308" i="56"/>
  <c r="M58" i="16"/>
  <c r="N58" i="16"/>
  <c r="O58" i="16"/>
  <c r="GN210" i="56"/>
  <c r="IK210" i="56" s="1"/>
  <c r="GO210" i="56"/>
  <c r="GM211" i="56"/>
  <c r="HE210" i="56"/>
  <c r="HF210" i="56" s="1"/>
  <c r="O57" i="16"/>
  <c r="N57" i="16"/>
  <c r="M57" i="16"/>
  <c r="HK125" i="56" a="1"/>
  <c r="HK125" i="56" s="1"/>
  <c r="HL125" i="56" s="1"/>
  <c r="HM125" i="56" a="1"/>
  <c r="HM125" i="56" s="1"/>
  <c r="HN125" i="56" s="1"/>
  <c r="HO125" i="56" a="1"/>
  <c r="HO125" i="56" s="1"/>
  <c r="HP125" i="56" s="1"/>
  <c r="HI125" i="56" a="1"/>
  <c r="HI125" i="56" s="1"/>
  <c r="HJ125" i="56" s="1"/>
  <c r="HQ125" i="56" a="1"/>
  <c r="HQ125" i="56" s="1"/>
  <c r="HR125" i="56" s="1"/>
  <c r="HG125" i="56" a="1"/>
  <c r="HG125" i="56" s="1"/>
  <c r="HH125" i="56" s="1"/>
  <c r="HQ178" i="56" a="1"/>
  <c r="HQ178" i="56" s="1"/>
  <c r="HR178" i="56" s="1"/>
  <c r="HM178" i="56" a="1"/>
  <c r="HM178" i="56" s="1"/>
  <c r="HN178" i="56" s="1"/>
  <c r="HO178" i="56" a="1"/>
  <c r="HO178" i="56" s="1"/>
  <c r="HP178" i="56" s="1"/>
  <c r="HK178" i="56" a="1"/>
  <c r="HK178" i="56" s="1"/>
  <c r="HL178" i="56" s="1"/>
  <c r="HI178" i="56" a="1"/>
  <c r="HI178" i="56" s="1"/>
  <c r="HJ178" i="56" s="1"/>
  <c r="HG178" i="56" a="1"/>
  <c r="HG178" i="56" s="1"/>
  <c r="HH178" i="56" s="1"/>
  <c r="GO179" i="56"/>
  <c r="GN179" i="56"/>
  <c r="IK179" i="56" s="1"/>
  <c r="GM180" i="56"/>
  <c r="HE179" i="56"/>
  <c r="HF179" i="56" s="1"/>
  <c r="HT76" i="56"/>
  <c r="GT76" i="56"/>
  <c r="HA76" i="56" s="1"/>
  <c r="GW76" i="56"/>
  <c r="GP76" i="56"/>
  <c r="GU76" i="56"/>
  <c r="HS76" i="56" s="1"/>
  <c r="M51" i="16"/>
  <c r="N51" i="16"/>
  <c r="O51" i="16"/>
  <c r="IL76" i="56" l="1"/>
  <c r="O76" i="56"/>
  <c r="HT210" i="56"/>
  <c r="GP210" i="56"/>
  <c r="GW210" i="56"/>
  <c r="GU210" i="56"/>
  <c r="HS210" i="56" s="1"/>
  <c r="GT210" i="56"/>
  <c r="HA210" i="56" s="1"/>
  <c r="HQ248" i="56" a="1"/>
  <c r="HQ248" i="56" s="1"/>
  <c r="HR248" i="56" s="1"/>
  <c r="HO248" i="56" a="1"/>
  <c r="HO248" i="56" s="1"/>
  <c r="HP248" i="56" s="1"/>
  <c r="HG248" i="56" a="1"/>
  <c r="HG248" i="56" s="1"/>
  <c r="HH248" i="56" s="1"/>
  <c r="HM248" i="56" a="1"/>
  <c r="HM248" i="56" s="1"/>
  <c r="HN248" i="56" s="1"/>
  <c r="HK248" i="56" a="1"/>
  <c r="HK248" i="56" s="1"/>
  <c r="HL248" i="56" s="1"/>
  <c r="HI248" i="56" a="1"/>
  <c r="HI248" i="56" s="1"/>
  <c r="HJ248" i="56" s="1"/>
  <c r="GO249" i="56"/>
  <c r="GN249" i="56"/>
  <c r="IK249" i="56" s="1"/>
  <c r="GM250" i="56"/>
  <c r="HE249" i="56"/>
  <c r="HF249" i="56" s="1"/>
  <c r="HK77" i="56" a="1"/>
  <c r="HK77" i="56" s="1"/>
  <c r="HL77" i="56" s="1"/>
  <c r="HO77" i="56" a="1"/>
  <c r="HO77" i="56" s="1"/>
  <c r="HP77" i="56" s="1"/>
  <c r="HQ77" i="56" a="1"/>
  <c r="HQ77" i="56" s="1"/>
  <c r="HR77" i="56" s="1"/>
  <c r="HM77" i="56" a="1"/>
  <c r="HM77" i="56" s="1"/>
  <c r="HN77" i="56" s="1"/>
  <c r="HI77" i="56" a="1"/>
  <c r="HI77" i="56" s="1"/>
  <c r="HJ77" i="56" s="1"/>
  <c r="HG77" i="56" a="1"/>
  <c r="HG77" i="56" s="1"/>
  <c r="HH77" i="56" s="1"/>
  <c r="GN127" i="56"/>
  <c r="IK127" i="56" s="1"/>
  <c r="GO127" i="56"/>
  <c r="GM128" i="56"/>
  <c r="HE127" i="56"/>
  <c r="HF127" i="56" s="1"/>
  <c r="HK309" i="56" a="1"/>
  <c r="HK309" i="56" s="1"/>
  <c r="HL309" i="56" s="1"/>
  <c r="HQ309" i="56" a="1"/>
  <c r="HQ309" i="56" s="1"/>
  <c r="HR309" i="56" s="1"/>
  <c r="HM309" i="56" a="1"/>
  <c r="HM309" i="56" s="1"/>
  <c r="HN309" i="56" s="1"/>
  <c r="HG309" i="56" a="1"/>
  <c r="HG309" i="56" s="1"/>
  <c r="HH309" i="56" s="1"/>
  <c r="HI309" i="56" a="1"/>
  <c r="HI309" i="56" s="1"/>
  <c r="HJ309" i="56" s="1"/>
  <c r="HO309" i="56" a="1"/>
  <c r="HO309" i="56" s="1"/>
  <c r="HP309" i="56" s="1"/>
  <c r="HT126" i="56"/>
  <c r="GU126" i="56"/>
  <c r="HS126" i="56" s="1"/>
  <c r="GT126" i="56"/>
  <c r="GW126" i="56"/>
  <c r="GP126" i="56"/>
  <c r="GO180" i="56"/>
  <c r="GN180" i="56"/>
  <c r="IK180" i="56" s="1"/>
  <c r="GM181" i="56"/>
  <c r="HE180" i="56"/>
  <c r="HF180" i="56" s="1"/>
  <c r="HQ210" i="56" a="1"/>
  <c r="HQ210" i="56" s="1"/>
  <c r="HR210" i="56" s="1"/>
  <c r="HM210" i="56" a="1"/>
  <c r="HM210" i="56" s="1"/>
  <c r="HN210" i="56" s="1"/>
  <c r="HI210" i="56" a="1"/>
  <c r="HI210" i="56" s="1"/>
  <c r="HJ210" i="56" s="1"/>
  <c r="HK210" i="56" a="1"/>
  <c r="HK210" i="56" s="1"/>
  <c r="HL210" i="56" s="1"/>
  <c r="HO210" i="56" a="1"/>
  <c r="HO210" i="56" s="1"/>
  <c r="HP210" i="56" s="1"/>
  <c r="HG210" i="56" a="1"/>
  <c r="HG210" i="56" s="1"/>
  <c r="HH210" i="56" s="1"/>
  <c r="IL209" i="56"/>
  <c r="O209" i="56"/>
  <c r="HT309" i="56"/>
  <c r="GW309" i="56"/>
  <c r="GT309" i="56"/>
  <c r="HA309" i="56" s="1"/>
  <c r="GP309" i="56"/>
  <c r="GU309" i="56"/>
  <c r="HS309" i="56" s="1"/>
  <c r="IL178" i="56"/>
  <c r="O178" i="56"/>
  <c r="HT248" i="56"/>
  <c r="GU248" i="56"/>
  <c r="HS248" i="56" s="1"/>
  <c r="GT248" i="56"/>
  <c r="HA248" i="56" s="1"/>
  <c r="GP248" i="56"/>
  <c r="GW248" i="56"/>
  <c r="IL247" i="56"/>
  <c r="O247" i="56"/>
  <c r="GO78" i="56"/>
  <c r="GN78" i="56"/>
  <c r="IK78" i="56" s="1"/>
  <c r="GM79" i="56"/>
  <c r="HE78" i="56"/>
  <c r="HF78" i="56" s="1"/>
  <c r="IL246" i="56"/>
  <c r="O246" i="56"/>
  <c r="GN310" i="56"/>
  <c r="IK310" i="56" s="1"/>
  <c r="GO310" i="56"/>
  <c r="GM311" i="56"/>
  <c r="HE310" i="56"/>
  <c r="HF310" i="56" s="1"/>
  <c r="HO179" i="56" a="1"/>
  <c r="HO179" i="56" s="1"/>
  <c r="HP179" i="56" s="1"/>
  <c r="HQ179" i="56" a="1"/>
  <c r="HQ179" i="56" s="1"/>
  <c r="HR179" i="56" s="1"/>
  <c r="HI179" i="56" a="1"/>
  <c r="HI179" i="56" s="1"/>
  <c r="HJ179" i="56" s="1"/>
  <c r="HM179" i="56" a="1"/>
  <c r="HM179" i="56" s="1"/>
  <c r="HN179" i="56" s="1"/>
  <c r="HG179" i="56" a="1"/>
  <c r="HG179" i="56" s="1"/>
  <c r="HH179" i="56" s="1"/>
  <c r="HK179" i="56" a="1"/>
  <c r="HK179" i="56" s="1"/>
  <c r="HL179" i="56" s="1"/>
  <c r="HT179" i="56"/>
  <c r="GW179" i="56"/>
  <c r="GU179" i="56"/>
  <c r="HS179" i="56" s="1"/>
  <c r="GT179" i="56"/>
  <c r="HA179" i="56" s="1"/>
  <c r="GP179" i="56"/>
  <c r="GN211" i="56"/>
  <c r="IK211" i="56" s="1"/>
  <c r="GO211" i="56"/>
  <c r="GM212" i="56"/>
  <c r="HE211" i="56"/>
  <c r="HF211" i="56" s="1"/>
  <c r="IL125" i="56"/>
  <c r="O125" i="56"/>
  <c r="IL308" i="56"/>
  <c r="O308" i="56"/>
  <c r="HT77" i="56"/>
  <c r="GU77" i="56"/>
  <c r="HS77" i="56" s="1"/>
  <c r="GT77" i="56"/>
  <c r="HA77" i="56" s="1"/>
  <c r="GW77" i="56"/>
  <c r="GP77" i="56"/>
  <c r="HQ126" i="56" a="1"/>
  <c r="HQ126" i="56" s="1"/>
  <c r="HR126" i="56" s="1"/>
  <c r="HO126" i="56" a="1"/>
  <c r="HO126" i="56" s="1"/>
  <c r="HP126" i="56" s="1"/>
  <c r="HM126" i="56" a="1"/>
  <c r="HM126" i="56" s="1"/>
  <c r="HN126" i="56" s="1"/>
  <c r="HK126" i="56" a="1"/>
  <c r="HK126" i="56" s="1"/>
  <c r="HL126" i="56" s="1"/>
  <c r="HI126" i="56" a="1"/>
  <c r="HI126" i="56" s="1"/>
  <c r="HJ126" i="56" s="1"/>
  <c r="HG126" i="56" a="1"/>
  <c r="HG126" i="56" s="1"/>
  <c r="HH126" i="56" s="1"/>
  <c r="GN250" i="56" l="1"/>
  <c r="IK250" i="56" s="1"/>
  <c r="GO250" i="56"/>
  <c r="GM251" i="56"/>
  <c r="HE250" i="56"/>
  <c r="HF250" i="56" s="1"/>
  <c r="HQ310" i="56" a="1"/>
  <c r="HQ310" i="56" s="1"/>
  <c r="HR310" i="56" s="1"/>
  <c r="HM310" i="56" a="1"/>
  <c r="HM310" i="56" s="1"/>
  <c r="HN310" i="56" s="1"/>
  <c r="HO310" i="56" a="1"/>
  <c r="HO310" i="56" s="1"/>
  <c r="HP310" i="56" s="1"/>
  <c r="HK310" i="56" a="1"/>
  <c r="HK310" i="56" s="1"/>
  <c r="HL310" i="56" s="1"/>
  <c r="HG310" i="56" a="1"/>
  <c r="HG310" i="56" s="1"/>
  <c r="HH310" i="56" s="1"/>
  <c r="HI310" i="56" a="1"/>
  <c r="HI310" i="56" s="1"/>
  <c r="HJ310" i="56" s="1"/>
  <c r="HT310" i="56"/>
  <c r="GU310" i="56"/>
  <c r="HS310" i="56" s="1"/>
  <c r="GW310" i="56"/>
  <c r="GP310" i="56"/>
  <c r="GT310" i="56"/>
  <c r="HA310" i="56" s="1"/>
  <c r="HT180" i="56"/>
  <c r="GU180" i="56"/>
  <c r="HS180" i="56" s="1"/>
  <c r="GT180" i="56"/>
  <c r="HA180" i="56" s="1"/>
  <c r="GP180" i="56"/>
  <c r="GW180" i="56"/>
  <c r="IL210" i="56"/>
  <c r="O210" i="56"/>
  <c r="IL248" i="56"/>
  <c r="O248" i="56"/>
  <c r="IL309" i="56"/>
  <c r="O309" i="56"/>
  <c r="HA126" i="56"/>
  <c r="GN79" i="56"/>
  <c r="IK79" i="56" s="1"/>
  <c r="GO79" i="56"/>
  <c r="GM80" i="56"/>
  <c r="HE79" i="56"/>
  <c r="HF79" i="56" s="1"/>
  <c r="IL77" i="56"/>
  <c r="O77" i="56"/>
  <c r="HT249" i="56"/>
  <c r="GU249" i="56"/>
  <c r="HS249" i="56" s="1"/>
  <c r="GW249" i="56"/>
  <c r="GP249" i="56"/>
  <c r="GT249" i="56"/>
  <c r="HA249" i="56" s="1"/>
  <c r="HO127" i="56" a="1"/>
  <c r="HO127" i="56" s="1"/>
  <c r="HP127" i="56" s="1"/>
  <c r="HQ127" i="56" a="1"/>
  <c r="HQ127" i="56" s="1"/>
  <c r="HR127" i="56" s="1"/>
  <c r="HM127" i="56" a="1"/>
  <c r="HM127" i="56" s="1"/>
  <c r="HN127" i="56" s="1"/>
  <c r="HI127" i="56" a="1"/>
  <c r="HI127" i="56" s="1"/>
  <c r="HJ127" i="56" s="1"/>
  <c r="HK127" i="56" a="1"/>
  <c r="HK127" i="56" s="1"/>
  <c r="HL127" i="56" s="1"/>
  <c r="HG127" i="56" a="1"/>
  <c r="HG127" i="56" s="1"/>
  <c r="HH127" i="56" s="1"/>
  <c r="HQ180" i="56" a="1"/>
  <c r="HQ180" i="56" s="1"/>
  <c r="HR180" i="56" s="1"/>
  <c r="HO180" i="56" a="1"/>
  <c r="HO180" i="56" s="1"/>
  <c r="HP180" i="56" s="1"/>
  <c r="HK180" i="56" a="1"/>
  <c r="HK180" i="56" s="1"/>
  <c r="HL180" i="56" s="1"/>
  <c r="HI180" i="56" a="1"/>
  <c r="HI180" i="56" s="1"/>
  <c r="HJ180" i="56" s="1"/>
  <c r="HM180" i="56" a="1"/>
  <c r="HM180" i="56" s="1"/>
  <c r="HN180" i="56" s="1"/>
  <c r="HG180" i="56" a="1"/>
  <c r="HG180" i="56" s="1"/>
  <c r="HH180" i="56" s="1"/>
  <c r="GN128" i="56"/>
  <c r="IK128" i="56" s="1"/>
  <c r="GO128" i="56"/>
  <c r="GM129" i="56"/>
  <c r="HE128" i="56"/>
  <c r="HF128" i="56" s="1"/>
  <c r="HQ211" i="56" a="1"/>
  <c r="HQ211" i="56" s="1"/>
  <c r="HR211" i="56" s="1"/>
  <c r="HO211" i="56" a="1"/>
  <c r="HO211" i="56" s="1"/>
  <c r="HP211" i="56" s="1"/>
  <c r="HM211" i="56" a="1"/>
  <c r="HM211" i="56" s="1"/>
  <c r="HN211" i="56" s="1"/>
  <c r="HI211" i="56" a="1"/>
  <c r="HI211" i="56" s="1"/>
  <c r="HJ211" i="56" s="1"/>
  <c r="HG211" i="56" a="1"/>
  <c r="HG211" i="56" s="1"/>
  <c r="HH211" i="56" s="1"/>
  <c r="HK211" i="56" a="1"/>
  <c r="HK211" i="56" s="1"/>
  <c r="HL211" i="56" s="1"/>
  <c r="GN311" i="56"/>
  <c r="IK311" i="56" s="1"/>
  <c r="GO311" i="56"/>
  <c r="GM312" i="56"/>
  <c r="HE311" i="56"/>
  <c r="HF311" i="56" s="1"/>
  <c r="GN181" i="56"/>
  <c r="IK181" i="56" s="1"/>
  <c r="GO181" i="56"/>
  <c r="GM182" i="56"/>
  <c r="HE181" i="56"/>
  <c r="HF181" i="56" s="1"/>
  <c r="HT127" i="56"/>
  <c r="GT127" i="56"/>
  <c r="HA127" i="56" s="1"/>
  <c r="GW127" i="56"/>
  <c r="GP127" i="56"/>
  <c r="GU127" i="56"/>
  <c r="HS127" i="56" s="1"/>
  <c r="GO212" i="56"/>
  <c r="GN212" i="56"/>
  <c r="IK212" i="56" s="1"/>
  <c r="GM213" i="56"/>
  <c r="HE212" i="56"/>
  <c r="HF212" i="56" s="1"/>
  <c r="HT211" i="56"/>
  <c r="GW211" i="56"/>
  <c r="GU211" i="56"/>
  <c r="HS211" i="56" s="1"/>
  <c r="GP211" i="56"/>
  <c r="GT211" i="56"/>
  <c r="IL179" i="56"/>
  <c r="O179" i="56"/>
  <c r="HO78" i="56" a="1"/>
  <c r="HO78" i="56" s="1"/>
  <c r="HP78" i="56" s="1"/>
  <c r="HK78" i="56" a="1"/>
  <c r="HK78" i="56" s="1"/>
  <c r="HL78" i="56" s="1"/>
  <c r="HQ78" i="56" a="1"/>
  <c r="HQ78" i="56" s="1"/>
  <c r="HR78" i="56" s="1"/>
  <c r="HM78" i="56" a="1"/>
  <c r="HM78" i="56" s="1"/>
  <c r="HN78" i="56" s="1"/>
  <c r="HI78" i="56" a="1"/>
  <c r="HI78" i="56" s="1"/>
  <c r="HJ78" i="56" s="1"/>
  <c r="HG78" i="56" a="1"/>
  <c r="HG78" i="56" s="1"/>
  <c r="HH78" i="56" s="1"/>
  <c r="HT78" i="56"/>
  <c r="GU78" i="56"/>
  <c r="HS78" i="56" s="1"/>
  <c r="GT78" i="56"/>
  <c r="HA78" i="56" s="1"/>
  <c r="GW78" i="56"/>
  <c r="GP78" i="56"/>
  <c r="HQ249" i="56" a="1"/>
  <c r="HQ249" i="56" s="1"/>
  <c r="HR249" i="56" s="1"/>
  <c r="HO249" i="56" a="1"/>
  <c r="HO249" i="56" s="1"/>
  <c r="HP249" i="56" s="1"/>
  <c r="HM249" i="56" a="1"/>
  <c r="HM249" i="56" s="1"/>
  <c r="HN249" i="56" s="1"/>
  <c r="HK249" i="56" a="1"/>
  <c r="HK249" i="56" s="1"/>
  <c r="HL249" i="56" s="1"/>
  <c r="HI249" i="56" a="1"/>
  <c r="HI249" i="56" s="1"/>
  <c r="HJ249" i="56" s="1"/>
  <c r="HG249" i="56" a="1"/>
  <c r="HG249" i="56" s="1"/>
  <c r="HH249" i="56" s="1"/>
  <c r="IL310" i="56" l="1"/>
  <c r="O310" i="56"/>
  <c r="HT311" i="56"/>
  <c r="GW311" i="56"/>
  <c r="GU311" i="56"/>
  <c r="HS311" i="56" s="1"/>
  <c r="GT311" i="56"/>
  <c r="HA311" i="56" s="1"/>
  <c r="GP311" i="56"/>
  <c r="HQ212" i="56" a="1"/>
  <c r="HQ212" i="56" s="1"/>
  <c r="HR212" i="56" s="1"/>
  <c r="HO212" i="56" a="1"/>
  <c r="HO212" i="56" s="1"/>
  <c r="HP212" i="56" s="1"/>
  <c r="HI212" i="56" a="1"/>
  <c r="HI212" i="56" s="1"/>
  <c r="HJ212" i="56" s="1"/>
  <c r="HG212" i="56" a="1"/>
  <c r="HG212" i="56" s="1"/>
  <c r="HH212" i="56" s="1"/>
  <c r="HM212" i="56" a="1"/>
  <c r="HM212" i="56" s="1"/>
  <c r="HN212" i="56" s="1"/>
  <c r="HK212" i="56" a="1"/>
  <c r="HK212" i="56" s="1"/>
  <c r="HL212" i="56" s="1"/>
  <c r="IL127" i="56"/>
  <c r="O127" i="56"/>
  <c r="GN129" i="56"/>
  <c r="IK129" i="56" s="1"/>
  <c r="GO129" i="56"/>
  <c r="HK181" i="56" a="1"/>
  <c r="HK181" i="56" s="1"/>
  <c r="HL181" i="56" s="1"/>
  <c r="HQ181" i="56" a="1"/>
  <c r="HQ181" i="56" s="1"/>
  <c r="HR181" i="56" s="1"/>
  <c r="HI181" i="56" a="1"/>
  <c r="HI181" i="56" s="1"/>
  <c r="HJ181" i="56" s="1"/>
  <c r="HM181" i="56" a="1"/>
  <c r="HM181" i="56" s="1"/>
  <c r="HN181" i="56" s="1"/>
  <c r="HG181" i="56" a="1"/>
  <c r="HG181" i="56" s="1"/>
  <c r="HH181" i="56" s="1"/>
  <c r="HO181" i="56" a="1"/>
  <c r="HO181" i="56" s="1"/>
  <c r="HP181" i="56" s="1"/>
  <c r="HT128" i="56"/>
  <c r="GU128" i="56"/>
  <c r="HS128" i="56" s="1"/>
  <c r="GW128" i="56"/>
  <c r="GP128" i="56"/>
  <c r="GT128" i="56"/>
  <c r="HA128" i="56" s="1"/>
  <c r="HM250" i="56" a="1"/>
  <c r="HM250" i="56" s="1"/>
  <c r="HN250" i="56" s="1"/>
  <c r="HQ250" i="56" a="1"/>
  <c r="HQ250" i="56" s="1"/>
  <c r="HR250" i="56" s="1"/>
  <c r="HO250" i="56" a="1"/>
  <c r="HO250" i="56" s="1"/>
  <c r="HP250" i="56" s="1"/>
  <c r="HI250" i="56" a="1"/>
  <c r="HI250" i="56" s="1"/>
  <c r="HJ250" i="56" s="1"/>
  <c r="HK250" i="56" a="1"/>
  <c r="HK250" i="56" s="1"/>
  <c r="HL250" i="56" s="1"/>
  <c r="HG250" i="56" a="1"/>
  <c r="HG250" i="56" s="1"/>
  <c r="HH250" i="56" s="1"/>
  <c r="HO311" i="56" a="1"/>
  <c r="HO311" i="56" s="1"/>
  <c r="HP311" i="56" s="1"/>
  <c r="HQ311" i="56" a="1"/>
  <c r="HQ311" i="56" s="1"/>
  <c r="HR311" i="56" s="1"/>
  <c r="HM311" i="56" a="1"/>
  <c r="HM311" i="56" s="1"/>
  <c r="HN311" i="56" s="1"/>
  <c r="HK311" i="56" a="1"/>
  <c r="HK311" i="56" s="1"/>
  <c r="HL311" i="56" s="1"/>
  <c r="HI311" i="56" a="1"/>
  <c r="HI311" i="56" s="1"/>
  <c r="HJ311" i="56" s="1"/>
  <c r="HG311" i="56" a="1"/>
  <c r="HG311" i="56" s="1"/>
  <c r="HH311" i="56" s="1"/>
  <c r="GO312" i="56"/>
  <c r="GN312" i="56"/>
  <c r="HE312" i="56"/>
  <c r="HF312" i="56" s="1"/>
  <c r="HO79" i="56" a="1"/>
  <c r="HO79" i="56" s="1"/>
  <c r="HP79" i="56" s="1"/>
  <c r="HQ79" i="56" a="1"/>
  <c r="HQ79" i="56" s="1"/>
  <c r="HR79" i="56" s="1"/>
  <c r="HG79" i="56" a="1"/>
  <c r="HG79" i="56" s="1"/>
  <c r="HH79" i="56" s="1"/>
  <c r="HI79" i="56" a="1"/>
  <c r="HI79" i="56" s="1"/>
  <c r="HJ79" i="56" s="1"/>
  <c r="HM79" i="56" a="1"/>
  <c r="HM79" i="56" s="1"/>
  <c r="HN79" i="56" s="1"/>
  <c r="HK79" i="56" a="1"/>
  <c r="HK79" i="56" s="1"/>
  <c r="HL79" i="56" s="1"/>
  <c r="GO80" i="56"/>
  <c r="GN80" i="56"/>
  <c r="IK80" i="56" s="1"/>
  <c r="GM81" i="56"/>
  <c r="HE80" i="56"/>
  <c r="HF80" i="56" s="1"/>
  <c r="IL249" i="56"/>
  <c r="O249" i="56"/>
  <c r="GN182" i="56"/>
  <c r="IK182" i="56" s="1"/>
  <c r="GO182" i="56"/>
  <c r="GM183" i="56"/>
  <c r="HE182" i="56"/>
  <c r="HF182" i="56" s="1"/>
  <c r="GO251" i="56"/>
  <c r="GN251" i="56"/>
  <c r="IK251" i="56" s="1"/>
  <c r="GM252" i="56"/>
  <c r="HE251" i="56"/>
  <c r="HF251" i="56" s="1"/>
  <c r="IL126" i="56"/>
  <c r="O126" i="56"/>
  <c r="HO128" i="56" a="1"/>
  <c r="HO128" i="56" s="1"/>
  <c r="HP128" i="56" s="1"/>
  <c r="HM128" i="56" a="1"/>
  <c r="HM128" i="56" s="1"/>
  <c r="HN128" i="56" s="1"/>
  <c r="HI128" i="56" a="1"/>
  <c r="HI128" i="56" s="1"/>
  <c r="HJ128" i="56" s="1"/>
  <c r="HG128" i="56" a="1"/>
  <c r="HG128" i="56" s="1"/>
  <c r="HH128" i="56" s="1"/>
  <c r="HQ128" i="56" a="1"/>
  <c r="HQ128" i="56" s="1"/>
  <c r="HR128" i="56" s="1"/>
  <c r="HK128" i="56" a="1"/>
  <c r="HK128" i="56" s="1"/>
  <c r="HL128" i="56" s="1"/>
  <c r="IL180" i="56"/>
  <c r="O180" i="56"/>
  <c r="HT250" i="56"/>
  <c r="GW250" i="56"/>
  <c r="GT250" i="56"/>
  <c r="HA250" i="56" s="1"/>
  <c r="GP250" i="56"/>
  <c r="GU250" i="56"/>
  <c r="HS250" i="56" s="1"/>
  <c r="IL78" i="56"/>
  <c r="O78" i="56"/>
  <c r="HT79" i="56"/>
  <c r="GP79" i="56"/>
  <c r="GU79" i="56"/>
  <c r="HS79" i="56" s="1"/>
  <c r="GW79" i="56"/>
  <c r="GT79" i="56"/>
  <c r="HA79" i="56" s="1"/>
  <c r="GO213" i="56"/>
  <c r="GN213" i="56"/>
  <c r="IK213" i="56" s="1"/>
  <c r="GM214" i="56"/>
  <c r="HE213" i="56"/>
  <c r="HF213" i="56" s="1"/>
  <c r="HT212" i="56"/>
  <c r="GW212" i="56"/>
  <c r="GT212" i="56"/>
  <c r="HA212" i="56" s="1"/>
  <c r="GU212" i="56"/>
  <c r="HS212" i="56" s="1"/>
  <c r="GP212" i="56"/>
  <c r="HA211" i="56"/>
  <c r="HT181" i="56"/>
  <c r="GW181" i="56"/>
  <c r="GT181" i="56"/>
  <c r="HA181" i="56" s="1"/>
  <c r="GP181" i="56"/>
  <c r="GU181" i="56"/>
  <c r="HS181" i="56" s="1"/>
  <c r="IL212" i="56" l="1"/>
  <c r="O212" i="56"/>
  <c r="HQ312" i="56" a="1"/>
  <c r="HQ312" i="56" s="1"/>
  <c r="HR312" i="56" s="1"/>
  <c r="HI312" i="56" a="1"/>
  <c r="HI312" i="56" s="1"/>
  <c r="HJ312" i="56" s="1"/>
  <c r="HO312" i="56" a="1"/>
  <c r="HO312" i="56" s="1"/>
  <c r="HP312" i="56" s="1"/>
  <c r="HG312" i="56" a="1"/>
  <c r="HG312" i="56" s="1"/>
  <c r="HM312" i="56" a="1"/>
  <c r="HM312" i="56" s="1"/>
  <c r="HN312" i="56" s="1"/>
  <c r="HK312" i="56" a="1"/>
  <c r="HK312" i="56" s="1"/>
  <c r="HL312" i="56" s="1"/>
  <c r="GN214" i="56"/>
  <c r="IK214" i="56" s="1"/>
  <c r="GO214" i="56"/>
  <c r="GM215" i="56"/>
  <c r="HE214" i="56"/>
  <c r="HF214" i="56" s="1"/>
  <c r="IL211" i="56"/>
  <c r="O211" i="56"/>
  <c r="HQ251" i="56" a="1"/>
  <c r="HQ251" i="56" s="1"/>
  <c r="HR251" i="56" s="1"/>
  <c r="HK251" i="56" a="1"/>
  <c r="HK251" i="56" s="1"/>
  <c r="HL251" i="56" s="1"/>
  <c r="HG251" i="56" a="1"/>
  <c r="HG251" i="56" s="1"/>
  <c r="HH251" i="56" s="1"/>
  <c r="HI251" i="56" a="1"/>
  <c r="HI251" i="56" s="1"/>
  <c r="HJ251" i="56" s="1"/>
  <c r="HO251" i="56" a="1"/>
  <c r="HO251" i="56" s="1"/>
  <c r="HP251" i="56" s="1"/>
  <c r="HM251" i="56" a="1"/>
  <c r="HM251" i="56" s="1"/>
  <c r="HN251" i="56" s="1"/>
  <c r="IL250" i="56"/>
  <c r="O250" i="56"/>
  <c r="HT251" i="56"/>
  <c r="GW251" i="56"/>
  <c r="GT251" i="56"/>
  <c r="HA251" i="56" s="1"/>
  <c r="GU251" i="56"/>
  <c r="HS251" i="56" s="1"/>
  <c r="GP251" i="56"/>
  <c r="HQ182" i="56" a="1"/>
  <c r="HQ182" i="56" s="1"/>
  <c r="HR182" i="56" s="1"/>
  <c r="HM182" i="56" a="1"/>
  <c r="HM182" i="56" s="1"/>
  <c r="HN182" i="56" s="1"/>
  <c r="HK182" i="56" a="1"/>
  <c r="HK182" i="56" s="1"/>
  <c r="HL182" i="56" s="1"/>
  <c r="HI182" i="56" a="1"/>
  <c r="HI182" i="56" s="1"/>
  <c r="HJ182" i="56" s="1"/>
  <c r="HO182" i="56" a="1"/>
  <c r="HO182" i="56" s="1"/>
  <c r="HP182" i="56" s="1"/>
  <c r="HG182" i="56" a="1"/>
  <c r="HG182" i="56" s="1"/>
  <c r="HH182" i="56" s="1"/>
  <c r="HK213" i="56" a="1"/>
  <c r="HK213" i="56" s="1"/>
  <c r="HL213" i="56" s="1"/>
  <c r="HO213" i="56" a="1"/>
  <c r="HO213" i="56" s="1"/>
  <c r="HP213" i="56" s="1"/>
  <c r="HQ213" i="56" a="1"/>
  <c r="HQ213" i="56" s="1"/>
  <c r="HR213" i="56" s="1"/>
  <c r="HM213" i="56" a="1"/>
  <c r="HM213" i="56" s="1"/>
  <c r="HN213" i="56" s="1"/>
  <c r="HI213" i="56" a="1"/>
  <c r="HI213" i="56" s="1"/>
  <c r="HJ213" i="56" s="1"/>
  <c r="HG213" i="56" a="1"/>
  <c r="HG213" i="56" s="1"/>
  <c r="HH213" i="56" s="1"/>
  <c r="HT182" i="56"/>
  <c r="GW182" i="56"/>
  <c r="GU182" i="56"/>
  <c r="HS182" i="56" s="1"/>
  <c r="GP182" i="56"/>
  <c r="GT182" i="56"/>
  <c r="HA182" i="56" s="1"/>
  <c r="IK312" i="56"/>
  <c r="HT312" i="56"/>
  <c r="GU312" i="56"/>
  <c r="GW312" i="56"/>
  <c r="GT312" i="56"/>
  <c r="GP312" i="56"/>
  <c r="HT213" i="56"/>
  <c r="GW213" i="56"/>
  <c r="GU213" i="56"/>
  <c r="HS213" i="56" s="1"/>
  <c r="GP213" i="56"/>
  <c r="GT213" i="56"/>
  <c r="HA213" i="56" s="1"/>
  <c r="IL128" i="56"/>
  <c r="O128" i="56"/>
  <c r="GN183" i="56"/>
  <c r="IK183" i="56" s="1"/>
  <c r="GO183" i="56"/>
  <c r="HE183" i="56"/>
  <c r="HF183" i="56" s="1"/>
  <c r="IL79" i="56"/>
  <c r="O79" i="56"/>
  <c r="HQ80" i="56" a="1"/>
  <c r="HQ80" i="56" s="1"/>
  <c r="HR80" i="56" s="1"/>
  <c r="HI80" i="56" a="1"/>
  <c r="HI80" i="56" s="1"/>
  <c r="HJ80" i="56" s="1"/>
  <c r="HG80" i="56" a="1"/>
  <c r="HG80" i="56" s="1"/>
  <c r="HH80" i="56" s="1"/>
  <c r="HM80" i="56" a="1"/>
  <c r="HM80" i="56" s="1"/>
  <c r="HN80" i="56" s="1"/>
  <c r="HK80" i="56" a="1"/>
  <c r="HK80" i="56" s="1"/>
  <c r="HL80" i="56" s="1"/>
  <c r="HO80" i="56" a="1"/>
  <c r="HO80" i="56" s="1"/>
  <c r="HP80" i="56" s="1"/>
  <c r="IL181" i="56"/>
  <c r="O181" i="56"/>
  <c r="HT80" i="56"/>
  <c r="GW80" i="56"/>
  <c r="GU80" i="56"/>
  <c r="HS80" i="56" s="1"/>
  <c r="GT80" i="56"/>
  <c r="HA80" i="56" s="1"/>
  <c r="GP80" i="56"/>
  <c r="GO252" i="56"/>
  <c r="GN252" i="56"/>
  <c r="IK252" i="56" s="1"/>
  <c r="GM253" i="56"/>
  <c r="HE252" i="56"/>
  <c r="HF252" i="56" s="1"/>
  <c r="IL311" i="56"/>
  <c r="O311" i="56"/>
  <c r="GO81" i="56"/>
  <c r="GN81" i="56"/>
  <c r="IK81" i="56" s="1"/>
  <c r="GM82" i="56"/>
  <c r="HE81" i="56"/>
  <c r="HF81" i="56" s="1"/>
  <c r="HT129" i="56"/>
  <c r="GU129" i="56"/>
  <c r="HS129" i="56" s="1"/>
  <c r="GT129" i="56"/>
  <c r="HA129" i="56" s="1"/>
  <c r="GW129" i="56"/>
  <c r="GP129" i="56"/>
  <c r="HT252" i="56" l="1"/>
  <c r="GU252" i="56"/>
  <c r="HS252" i="56" s="1"/>
  <c r="GT252" i="56"/>
  <c r="HA252" i="56" s="1"/>
  <c r="GW252" i="56"/>
  <c r="GP252" i="56"/>
  <c r="HO183" i="56" a="1"/>
  <c r="HO183" i="56" s="1"/>
  <c r="HP183" i="56" s="1"/>
  <c r="HM183" i="56" a="1"/>
  <c r="HM183" i="56" s="1"/>
  <c r="HN183" i="56" s="1"/>
  <c r="HQ183" i="56" a="1"/>
  <c r="HQ183" i="56" s="1"/>
  <c r="HR183" i="56" s="1"/>
  <c r="HK183" i="56" a="1"/>
  <c r="HK183" i="56" s="1"/>
  <c r="HL183" i="56" s="1"/>
  <c r="HI183" i="56" a="1"/>
  <c r="HI183" i="56" s="1"/>
  <c r="HJ183" i="56" s="1"/>
  <c r="HG183" i="56" a="1"/>
  <c r="HG183" i="56" s="1"/>
  <c r="HH183" i="56" s="1"/>
  <c r="IL182" i="56"/>
  <c r="O182" i="56"/>
  <c r="HO214" i="56" a="1"/>
  <c r="HO214" i="56" s="1"/>
  <c r="HP214" i="56" s="1"/>
  <c r="HQ214" i="56" a="1"/>
  <c r="HQ214" i="56" s="1"/>
  <c r="HR214" i="56" s="1"/>
  <c r="HG214" i="56" a="1"/>
  <c r="HG214" i="56" s="1"/>
  <c r="HH214" i="56" s="1"/>
  <c r="HM214" i="56" a="1"/>
  <c r="HM214" i="56" s="1"/>
  <c r="HN214" i="56" s="1"/>
  <c r="HI214" i="56" a="1"/>
  <c r="HI214" i="56" s="1"/>
  <c r="HJ214" i="56" s="1"/>
  <c r="HK214" i="56" a="1"/>
  <c r="HK214" i="56" s="1"/>
  <c r="HL214" i="56" s="1"/>
  <c r="GO215" i="56"/>
  <c r="GN215" i="56"/>
  <c r="IK215" i="56" s="1"/>
  <c r="GM216" i="56"/>
  <c r="HE215" i="56"/>
  <c r="HF215" i="56" s="1"/>
  <c r="GO253" i="56"/>
  <c r="GN253" i="56"/>
  <c r="IK253" i="56" s="1"/>
  <c r="GM254" i="56"/>
  <c r="HE253" i="56"/>
  <c r="HF253" i="56" s="1"/>
  <c r="HS312" i="56"/>
  <c r="HT183" i="56"/>
  <c r="GW183" i="56"/>
  <c r="GU183" i="56"/>
  <c r="HS183" i="56" s="1"/>
  <c r="GT183" i="56"/>
  <c r="GP183" i="56"/>
  <c r="IL213" i="56"/>
  <c r="O213" i="56"/>
  <c r="IL80" i="56"/>
  <c r="O80" i="56"/>
  <c r="IL251" i="56"/>
  <c r="O251" i="56"/>
  <c r="HQ81" i="56" a="1"/>
  <c r="HQ81" i="56" s="1"/>
  <c r="HR81" i="56" s="1"/>
  <c r="HO81" i="56" a="1"/>
  <c r="HO81" i="56" s="1"/>
  <c r="HP81" i="56" s="1"/>
  <c r="HI81" i="56" a="1"/>
  <c r="HI81" i="56" s="1"/>
  <c r="HJ81" i="56" s="1"/>
  <c r="HM81" i="56" a="1"/>
  <c r="HM81" i="56" s="1"/>
  <c r="HN81" i="56" s="1"/>
  <c r="HK81" i="56" a="1"/>
  <c r="HK81" i="56" s="1"/>
  <c r="HL81" i="56" s="1"/>
  <c r="HG81" i="56" a="1"/>
  <c r="HG81" i="56" s="1"/>
  <c r="HH81" i="56" s="1"/>
  <c r="GN82" i="56"/>
  <c r="GO82" i="56"/>
  <c r="GM83" i="56"/>
  <c r="HE82" i="56"/>
  <c r="HF82" i="56" s="1"/>
  <c r="HH312" i="56"/>
  <c r="HT81" i="56"/>
  <c r="GP81" i="56"/>
  <c r="GW81" i="56"/>
  <c r="GT81" i="56"/>
  <c r="HA81" i="56" s="1"/>
  <c r="GU81" i="56"/>
  <c r="HS81" i="56" s="1"/>
  <c r="HA312" i="56"/>
  <c r="IL129" i="56"/>
  <c r="O129" i="56"/>
  <c r="HT214" i="56"/>
  <c r="GW214" i="56"/>
  <c r="GU214" i="56"/>
  <c r="HS214" i="56" s="1"/>
  <c r="GT214" i="56"/>
  <c r="HA214" i="56" s="1"/>
  <c r="GP214" i="56"/>
  <c r="HO252" i="56" a="1"/>
  <c r="HO252" i="56" s="1"/>
  <c r="HP252" i="56" s="1"/>
  <c r="HM252" i="56" a="1"/>
  <c r="HM252" i="56" s="1"/>
  <c r="HN252" i="56" s="1"/>
  <c r="HQ252" i="56" a="1"/>
  <c r="HQ252" i="56" s="1"/>
  <c r="HR252" i="56" s="1"/>
  <c r="HK252" i="56" a="1"/>
  <c r="HK252" i="56" s="1"/>
  <c r="HL252" i="56" s="1"/>
  <c r="HG252" i="56" a="1"/>
  <c r="HG252" i="56" s="1"/>
  <c r="HH252" i="56" s="1"/>
  <c r="HI252" i="56" a="1"/>
  <c r="HI252" i="56" s="1"/>
  <c r="HJ252" i="56" s="1"/>
  <c r="HK253" i="56" l="1" a="1"/>
  <c r="HK253" i="56" s="1"/>
  <c r="HL253" i="56" s="1"/>
  <c r="HM253" i="56" a="1"/>
  <c r="HM253" i="56" s="1"/>
  <c r="HN253" i="56" s="1"/>
  <c r="HQ253" i="56" a="1"/>
  <c r="HQ253" i="56" s="1"/>
  <c r="HR253" i="56" s="1"/>
  <c r="HG253" i="56" a="1"/>
  <c r="HG253" i="56" s="1"/>
  <c r="HH253" i="56" s="1"/>
  <c r="HO253" i="56" a="1"/>
  <c r="HO253" i="56" s="1"/>
  <c r="HP253" i="56" s="1"/>
  <c r="HI253" i="56" a="1"/>
  <c r="HI253" i="56" s="1"/>
  <c r="HJ253" i="56" s="1"/>
  <c r="IL252" i="56"/>
  <c r="O252" i="56"/>
  <c r="IL214" i="56"/>
  <c r="O214" i="56"/>
  <c r="HT215" i="56"/>
  <c r="GW215" i="56"/>
  <c r="GU215" i="56"/>
  <c r="HS215" i="56" s="1"/>
  <c r="GT215" i="56"/>
  <c r="HA215" i="56" s="1"/>
  <c r="GP215" i="56"/>
  <c r="HQ82" i="56" a="1"/>
  <c r="HQ82" i="56" s="1"/>
  <c r="HR82" i="56" s="1"/>
  <c r="HM82" i="56" a="1"/>
  <c r="HM82" i="56" s="1"/>
  <c r="HN82" i="56" s="1"/>
  <c r="HI82" i="56" a="1"/>
  <c r="HI82" i="56" s="1"/>
  <c r="HJ82" i="56" s="1"/>
  <c r="HK82" i="56" a="1"/>
  <c r="HK82" i="56" s="1"/>
  <c r="HL82" i="56" s="1"/>
  <c r="HO82" i="56" a="1"/>
  <c r="HO82" i="56" s="1"/>
  <c r="HP82" i="56" s="1"/>
  <c r="HG82" i="56" a="1"/>
  <c r="HG82" i="56" s="1"/>
  <c r="HH82" i="56" s="1"/>
  <c r="GN83" i="56"/>
  <c r="IK83" i="56" s="1"/>
  <c r="GO83" i="56"/>
  <c r="GM84" i="56"/>
  <c r="HE83" i="56"/>
  <c r="HF83" i="56" s="1"/>
  <c r="IL312" i="56"/>
  <c r="O312" i="56"/>
  <c r="HT253" i="56"/>
  <c r="GU253" i="56"/>
  <c r="HS253" i="56" s="1"/>
  <c r="GP253" i="56"/>
  <c r="GT253" i="56"/>
  <c r="HA253" i="56" s="1"/>
  <c r="GW253" i="56"/>
  <c r="HA183" i="56"/>
  <c r="IL81" i="56"/>
  <c r="O81" i="56"/>
  <c r="GO254" i="56"/>
  <c r="GN254" i="56"/>
  <c r="IK254" i="56" s="1"/>
  <c r="GM255" i="56"/>
  <c r="HE254" i="56"/>
  <c r="HF254" i="56" s="1"/>
  <c r="HO215" i="56" a="1"/>
  <c r="HO215" i="56" s="1"/>
  <c r="HP215" i="56" s="1"/>
  <c r="HQ215" i="56" a="1"/>
  <c r="HQ215" i="56" s="1"/>
  <c r="HR215" i="56" s="1"/>
  <c r="HK215" i="56" a="1"/>
  <c r="HK215" i="56" s="1"/>
  <c r="HL215" i="56" s="1"/>
  <c r="HM215" i="56" a="1"/>
  <c r="HM215" i="56" s="1"/>
  <c r="HN215" i="56" s="1"/>
  <c r="HG215" i="56" a="1"/>
  <c r="HG215" i="56" s="1"/>
  <c r="HH215" i="56" s="1"/>
  <c r="HI215" i="56" a="1"/>
  <c r="HI215" i="56" s="1"/>
  <c r="HJ215" i="56" s="1"/>
  <c r="GN216" i="56"/>
  <c r="IK216" i="56" s="1"/>
  <c r="GO216" i="56"/>
  <c r="GM217" i="56"/>
  <c r="HE216" i="56"/>
  <c r="HF216" i="56" s="1"/>
  <c r="HT82" i="56"/>
  <c r="GP82" i="56"/>
  <c r="GW82" i="56"/>
  <c r="GT82" i="56"/>
  <c r="GU82" i="56"/>
  <c r="IK82" i="56"/>
  <c r="IL183" i="56" l="1"/>
  <c r="O183" i="56"/>
  <c r="HQ254" i="56" a="1"/>
  <c r="HQ254" i="56" s="1"/>
  <c r="HR254" i="56" s="1"/>
  <c r="HM254" i="56" a="1"/>
  <c r="HM254" i="56" s="1"/>
  <c r="HN254" i="56" s="1"/>
  <c r="HO254" i="56" a="1"/>
  <c r="HO254" i="56" s="1"/>
  <c r="HP254" i="56" s="1"/>
  <c r="HG254" i="56" a="1"/>
  <c r="HG254" i="56" s="1"/>
  <c r="HH254" i="56" s="1"/>
  <c r="HK254" i="56" a="1"/>
  <c r="HK254" i="56" s="1"/>
  <c r="HL254" i="56" s="1"/>
  <c r="HI254" i="56" a="1"/>
  <c r="HI254" i="56" s="1"/>
  <c r="HJ254" i="56" s="1"/>
  <c r="HQ83" i="56" a="1"/>
  <c r="HQ83" i="56" s="1"/>
  <c r="HR83" i="56" s="1"/>
  <c r="HO83" i="56" a="1"/>
  <c r="HO83" i="56" s="1"/>
  <c r="HP83" i="56" s="1"/>
  <c r="HM83" i="56" a="1"/>
  <c r="HM83" i="56" s="1"/>
  <c r="HN83" i="56" s="1"/>
  <c r="HI83" i="56" a="1"/>
  <c r="HI83" i="56" s="1"/>
  <c r="HJ83" i="56" s="1"/>
  <c r="HK83" i="56" a="1"/>
  <c r="HK83" i="56" s="1"/>
  <c r="HL83" i="56" s="1"/>
  <c r="HG83" i="56" a="1"/>
  <c r="HG83" i="56" s="1"/>
  <c r="HH83" i="56" s="1"/>
  <c r="HS82" i="56"/>
  <c r="GN255" i="56"/>
  <c r="IK255" i="56" s="1"/>
  <c r="GO255" i="56"/>
  <c r="GM256" i="56"/>
  <c r="HE255" i="56"/>
  <c r="HF255" i="56" s="1"/>
  <c r="GO84" i="56"/>
  <c r="GN84" i="56"/>
  <c r="GM85" i="56"/>
  <c r="HE84" i="56"/>
  <c r="HF84" i="56" s="1"/>
  <c r="HA82" i="56"/>
  <c r="HT83" i="56"/>
  <c r="GP83" i="56"/>
  <c r="GW83" i="56"/>
  <c r="GT83" i="56"/>
  <c r="HA83" i="56" s="1"/>
  <c r="GU83" i="56"/>
  <c r="HS83" i="56" s="1"/>
  <c r="HM216" i="56" a="1"/>
  <c r="HM216" i="56" s="1"/>
  <c r="HN216" i="56" s="1"/>
  <c r="HI216" i="56" a="1"/>
  <c r="HI216" i="56" s="1"/>
  <c r="HJ216" i="56" s="1"/>
  <c r="HG216" i="56" a="1"/>
  <c r="HG216" i="56" s="1"/>
  <c r="HH216" i="56" s="1"/>
  <c r="HK216" i="56" a="1"/>
  <c r="HK216" i="56" s="1"/>
  <c r="HL216" i="56" s="1"/>
  <c r="HQ216" i="56" a="1"/>
  <c r="HQ216" i="56" s="1"/>
  <c r="HR216" i="56" s="1"/>
  <c r="HO216" i="56" a="1"/>
  <c r="HO216" i="56" s="1"/>
  <c r="HP216" i="56" s="1"/>
  <c r="GO217" i="56"/>
  <c r="GN217" i="56"/>
  <c r="IK217" i="56" s="1"/>
  <c r="GM218" i="56"/>
  <c r="HE217" i="56"/>
  <c r="HF217" i="56" s="1"/>
  <c r="HT216" i="56"/>
  <c r="GU216" i="56"/>
  <c r="HS216" i="56" s="1"/>
  <c r="GT216" i="56"/>
  <c r="HA216" i="56" s="1"/>
  <c r="GP216" i="56"/>
  <c r="GW216" i="56"/>
  <c r="IL253" i="56"/>
  <c r="O253" i="56"/>
  <c r="IL215" i="56"/>
  <c r="O215" i="56"/>
  <c r="HT254" i="56"/>
  <c r="GU254" i="56"/>
  <c r="HS254" i="56" s="1"/>
  <c r="GT254" i="56"/>
  <c r="HA254" i="56" s="1"/>
  <c r="GW254" i="56"/>
  <c r="GP254" i="56"/>
  <c r="HT255" i="56" l="1"/>
  <c r="GT255" i="56"/>
  <c r="HA255" i="56" s="1"/>
  <c r="GW255" i="56"/>
  <c r="GP255" i="56"/>
  <c r="GU255" i="56"/>
  <c r="HS255" i="56" s="1"/>
  <c r="GO218" i="56"/>
  <c r="GN218" i="56"/>
  <c r="IK218" i="56" s="1"/>
  <c r="GM219" i="56"/>
  <c r="HE218" i="56"/>
  <c r="HF218" i="56" s="1"/>
  <c r="IL82" i="56"/>
  <c r="O82" i="56"/>
  <c r="HQ84" i="56" a="1"/>
  <c r="HQ84" i="56" s="1"/>
  <c r="HR84" i="56" s="1"/>
  <c r="HO84" i="56" a="1"/>
  <c r="HO84" i="56" s="1"/>
  <c r="HP84" i="56" s="1"/>
  <c r="HM84" i="56" a="1"/>
  <c r="HM84" i="56" s="1"/>
  <c r="HN84" i="56" s="1"/>
  <c r="HG84" i="56" a="1"/>
  <c r="HG84" i="56" s="1"/>
  <c r="HH84" i="56" s="1"/>
  <c r="HI84" i="56" a="1"/>
  <c r="HI84" i="56" s="1"/>
  <c r="HJ84" i="56" s="1"/>
  <c r="HK84" i="56" a="1"/>
  <c r="HK84" i="56" s="1"/>
  <c r="HL84" i="56" s="1"/>
  <c r="GO85" i="56"/>
  <c r="GN85" i="56"/>
  <c r="IK85" i="56" s="1"/>
  <c r="GM86" i="56"/>
  <c r="HE85" i="56"/>
  <c r="HF85" i="56" s="1"/>
  <c r="HT84" i="56"/>
  <c r="GW84" i="56"/>
  <c r="GT84" i="56"/>
  <c r="GP84" i="56"/>
  <c r="GU84" i="56"/>
  <c r="HS84" i="56" s="1"/>
  <c r="GO256" i="56"/>
  <c r="GN256" i="56"/>
  <c r="IK256" i="56" s="1"/>
  <c r="GM257" i="56"/>
  <c r="HE256" i="56"/>
  <c r="HF256" i="56" s="1"/>
  <c r="IL83" i="56"/>
  <c r="O83" i="56"/>
  <c r="IL254" i="56"/>
  <c r="O254" i="56"/>
  <c r="HQ217" i="56" a="1"/>
  <c r="HQ217" i="56" s="1"/>
  <c r="HR217" i="56" s="1"/>
  <c r="HM217" i="56" a="1"/>
  <c r="HM217" i="56" s="1"/>
  <c r="HN217" i="56" s="1"/>
  <c r="HO217" i="56" a="1"/>
  <c r="HO217" i="56" s="1"/>
  <c r="HP217" i="56" s="1"/>
  <c r="HK217" i="56" a="1"/>
  <c r="HK217" i="56" s="1"/>
  <c r="HL217" i="56" s="1"/>
  <c r="HI217" i="56" a="1"/>
  <c r="HI217" i="56" s="1"/>
  <c r="HJ217" i="56" s="1"/>
  <c r="HG217" i="56" a="1"/>
  <c r="HG217" i="56" s="1"/>
  <c r="HH217" i="56" s="1"/>
  <c r="HT217" i="56"/>
  <c r="GU217" i="56"/>
  <c r="HS217" i="56" s="1"/>
  <c r="GT217" i="56"/>
  <c r="HA217" i="56" s="1"/>
  <c r="GW217" i="56"/>
  <c r="GP217" i="56"/>
  <c r="IK84" i="56"/>
  <c r="HO255" i="56" a="1"/>
  <c r="HO255" i="56" s="1"/>
  <c r="HP255" i="56" s="1"/>
  <c r="HI255" i="56" a="1"/>
  <c r="HI255" i="56" s="1"/>
  <c r="HJ255" i="56" s="1"/>
  <c r="HK255" i="56" a="1"/>
  <c r="HK255" i="56" s="1"/>
  <c r="HL255" i="56" s="1"/>
  <c r="HQ255" i="56" a="1"/>
  <c r="HQ255" i="56" s="1"/>
  <c r="HR255" i="56" s="1"/>
  <c r="HG255" i="56" a="1"/>
  <c r="HG255" i="56" s="1"/>
  <c r="HH255" i="56" s="1"/>
  <c r="HM255" i="56" a="1"/>
  <c r="HM255" i="56" s="1"/>
  <c r="HN255" i="56" s="1"/>
  <c r="IL216" i="56"/>
  <c r="O216" i="56"/>
  <c r="HA84" i="56" l="1"/>
  <c r="HM218" i="56" a="1"/>
  <c r="HM218" i="56" s="1"/>
  <c r="HN218" i="56" s="1"/>
  <c r="HQ218" i="56" a="1"/>
  <c r="HQ218" i="56" s="1"/>
  <c r="HR218" i="56" s="1"/>
  <c r="HK218" i="56" a="1"/>
  <c r="HK218" i="56" s="1"/>
  <c r="HL218" i="56" s="1"/>
  <c r="HI218" i="56" a="1"/>
  <c r="HI218" i="56" s="1"/>
  <c r="HJ218" i="56" s="1"/>
  <c r="HG218" i="56" a="1"/>
  <c r="HG218" i="56" s="1"/>
  <c r="HH218" i="56" s="1"/>
  <c r="HO218" i="56" a="1"/>
  <c r="HO218" i="56" s="1"/>
  <c r="HP218" i="56" s="1"/>
  <c r="HK85" i="56" a="1"/>
  <c r="HK85" i="56" s="1"/>
  <c r="HL85" i="56" s="1"/>
  <c r="HO85" i="56" a="1"/>
  <c r="HO85" i="56" s="1"/>
  <c r="HP85" i="56" s="1"/>
  <c r="HQ85" i="56" a="1"/>
  <c r="HQ85" i="56" s="1"/>
  <c r="HR85" i="56" s="1"/>
  <c r="HM85" i="56" a="1"/>
  <c r="HM85" i="56" s="1"/>
  <c r="HN85" i="56" s="1"/>
  <c r="HI85" i="56" a="1"/>
  <c r="HI85" i="56" s="1"/>
  <c r="HJ85" i="56" s="1"/>
  <c r="HG85" i="56" a="1"/>
  <c r="HG85" i="56" s="1"/>
  <c r="HT85" i="56"/>
  <c r="GW85" i="56"/>
  <c r="GP85" i="56"/>
  <c r="GT85" i="56"/>
  <c r="HA85" i="56" s="1"/>
  <c r="GU85" i="56"/>
  <c r="HS85" i="56" s="1"/>
  <c r="GN219" i="56"/>
  <c r="IK219" i="56" s="1"/>
  <c r="GO219" i="56"/>
  <c r="GM220" i="56"/>
  <c r="HE219" i="56"/>
  <c r="HF219" i="56" s="1"/>
  <c r="IL255" i="56"/>
  <c r="O255" i="56"/>
  <c r="GN86" i="56"/>
  <c r="IK86" i="56" s="1"/>
  <c r="GO86" i="56"/>
  <c r="GM87" i="56"/>
  <c r="HE86" i="56"/>
  <c r="HF86" i="56" s="1"/>
  <c r="HT218" i="56"/>
  <c r="GT218" i="56"/>
  <c r="HA218" i="56" s="1"/>
  <c r="GU218" i="56"/>
  <c r="HS218" i="56" s="1"/>
  <c r="GW218" i="56"/>
  <c r="GP218" i="56"/>
  <c r="HO256" i="56" a="1"/>
  <c r="HO256" i="56" s="1"/>
  <c r="HP256" i="56" s="1"/>
  <c r="HK256" i="56" a="1"/>
  <c r="HK256" i="56" s="1"/>
  <c r="HL256" i="56" s="1"/>
  <c r="HI256" i="56" a="1"/>
  <c r="HI256" i="56" s="1"/>
  <c r="HJ256" i="56" s="1"/>
  <c r="HM256" i="56" a="1"/>
  <c r="HM256" i="56" s="1"/>
  <c r="HN256" i="56" s="1"/>
  <c r="HG256" i="56" a="1"/>
  <c r="HG256" i="56" s="1"/>
  <c r="HH256" i="56" s="1"/>
  <c r="HQ256" i="56" a="1"/>
  <c r="HQ256" i="56" s="1"/>
  <c r="HR256" i="56" s="1"/>
  <c r="GO257" i="56"/>
  <c r="GN257" i="56"/>
  <c r="IK257" i="56" s="1"/>
  <c r="GM258" i="56"/>
  <c r="HE257" i="56"/>
  <c r="HF257" i="56" s="1"/>
  <c r="HT256" i="56"/>
  <c r="GU256" i="56"/>
  <c r="HS256" i="56" s="1"/>
  <c r="GW256" i="56"/>
  <c r="GP256" i="56"/>
  <c r="GT256" i="56"/>
  <c r="HA256" i="56" s="1"/>
  <c r="IL217" i="56"/>
  <c r="O217" i="56"/>
  <c r="IL85" i="56" l="1"/>
  <c r="O85" i="56"/>
  <c r="IL256" i="56"/>
  <c r="O256" i="56"/>
  <c r="IL84" i="56"/>
  <c r="O84" i="56"/>
  <c r="HH85" i="56"/>
  <c r="HQ219" i="56" a="1"/>
  <c r="HQ219" i="56" s="1"/>
  <c r="HR219" i="56" s="1"/>
  <c r="HM219" i="56" a="1"/>
  <c r="HM219" i="56" s="1"/>
  <c r="HN219" i="56" s="1"/>
  <c r="HO219" i="56" a="1"/>
  <c r="HO219" i="56" s="1"/>
  <c r="HP219" i="56" s="1"/>
  <c r="HI219" i="56" a="1"/>
  <c r="HI219" i="56" s="1"/>
  <c r="HJ219" i="56" s="1"/>
  <c r="HK219" i="56" a="1"/>
  <c r="HK219" i="56" s="1"/>
  <c r="HL219" i="56" s="1"/>
  <c r="HG219" i="56" a="1"/>
  <c r="HG219" i="56" s="1"/>
  <c r="HH219" i="56" s="1"/>
  <c r="GO220" i="56"/>
  <c r="GN220" i="56"/>
  <c r="IK220" i="56" s="1"/>
  <c r="GM221" i="56"/>
  <c r="HE220" i="56"/>
  <c r="HF220" i="56" s="1"/>
  <c r="GT219" i="56"/>
  <c r="HA219" i="56" s="1"/>
  <c r="HT219" i="56"/>
  <c r="GW219" i="56"/>
  <c r="GP219" i="56"/>
  <c r="GU219" i="56"/>
  <c r="HS219" i="56" s="1"/>
  <c r="IL218" i="56"/>
  <c r="O218" i="56"/>
  <c r="GO258" i="56"/>
  <c r="GN258" i="56"/>
  <c r="IK258" i="56" s="1"/>
  <c r="GM259" i="56"/>
  <c r="HE258" i="56"/>
  <c r="HF258" i="56" s="1"/>
  <c r="HO86" i="56" a="1"/>
  <c r="HO86" i="56" s="1"/>
  <c r="HP86" i="56" s="1"/>
  <c r="HG86" i="56" a="1"/>
  <c r="HG86" i="56" s="1"/>
  <c r="HH86" i="56" s="1"/>
  <c r="HM86" i="56" a="1"/>
  <c r="HM86" i="56" s="1"/>
  <c r="HN86" i="56" s="1"/>
  <c r="HQ86" i="56" a="1"/>
  <c r="HQ86" i="56" s="1"/>
  <c r="HR86" i="56" s="1"/>
  <c r="HK86" i="56" a="1"/>
  <c r="HK86" i="56" s="1"/>
  <c r="HL86" i="56" s="1"/>
  <c r="HI86" i="56" a="1"/>
  <c r="HI86" i="56" s="1"/>
  <c r="HJ86" i="56" s="1"/>
  <c r="GO87" i="56"/>
  <c r="GN87" i="56"/>
  <c r="HE87" i="56"/>
  <c r="HF87" i="56" s="1"/>
  <c r="HT257" i="56"/>
  <c r="GU257" i="56"/>
  <c r="HS257" i="56" s="1"/>
  <c r="GT257" i="56"/>
  <c r="HA257" i="56" s="1"/>
  <c r="GW257" i="56"/>
  <c r="GP257" i="56"/>
  <c r="HT86" i="56"/>
  <c r="GW86" i="56"/>
  <c r="GU86" i="56"/>
  <c r="GT86" i="56"/>
  <c r="GP86" i="56"/>
  <c r="HQ257" i="56" a="1"/>
  <c r="HQ257" i="56" s="1"/>
  <c r="HR257" i="56" s="1"/>
  <c r="HO257" i="56" a="1"/>
  <c r="HO257" i="56" s="1"/>
  <c r="HP257" i="56" s="1"/>
  <c r="HK257" i="56" a="1"/>
  <c r="HK257" i="56" s="1"/>
  <c r="HL257" i="56" s="1"/>
  <c r="HI257" i="56" a="1"/>
  <c r="HI257" i="56" s="1"/>
  <c r="HJ257" i="56" s="1"/>
  <c r="HM257" i="56" a="1"/>
  <c r="HM257" i="56" s="1"/>
  <c r="HN257" i="56" s="1"/>
  <c r="HG257" i="56" a="1"/>
  <c r="HG257" i="56" s="1"/>
  <c r="HH257" i="56" s="1"/>
  <c r="HT258" i="56" l="1"/>
  <c r="GP258" i="56"/>
  <c r="GT258" i="56"/>
  <c r="HA258" i="56" s="1"/>
  <c r="GW258" i="56"/>
  <c r="GU258" i="56"/>
  <c r="HS258" i="56" s="1"/>
  <c r="HO87" i="56" a="1"/>
  <c r="HO87" i="56" s="1"/>
  <c r="HP87" i="56" s="1"/>
  <c r="HQ87" i="56" a="1"/>
  <c r="HQ87" i="56" s="1"/>
  <c r="HR87" i="56" s="1"/>
  <c r="HM87" i="56" a="1"/>
  <c r="HM87" i="56" s="1"/>
  <c r="HN87" i="56" s="1"/>
  <c r="HK87" i="56" a="1"/>
  <c r="HK87" i="56" s="1"/>
  <c r="HL87" i="56" s="1"/>
  <c r="HG87" i="56" a="1"/>
  <c r="HG87" i="56" s="1"/>
  <c r="HH87" i="56" s="1"/>
  <c r="HI87" i="56" a="1"/>
  <c r="HI87" i="56" s="1"/>
  <c r="HJ87" i="56" s="1"/>
  <c r="IK87" i="56"/>
  <c r="HQ220" i="56" a="1"/>
  <c r="HQ220" i="56" s="1"/>
  <c r="HR220" i="56" s="1"/>
  <c r="HM220" i="56" a="1"/>
  <c r="HM220" i="56" s="1"/>
  <c r="HN220" i="56" s="1"/>
  <c r="HK220" i="56" a="1"/>
  <c r="HK220" i="56" s="1"/>
  <c r="HL220" i="56" s="1"/>
  <c r="HG220" i="56" a="1"/>
  <c r="HG220" i="56" s="1"/>
  <c r="HH220" i="56" s="1"/>
  <c r="HO220" i="56" a="1"/>
  <c r="HO220" i="56" s="1"/>
  <c r="HP220" i="56" s="1"/>
  <c r="HI220" i="56" a="1"/>
  <c r="HI220" i="56" s="1"/>
  <c r="HJ220" i="56" s="1"/>
  <c r="IL257" i="56"/>
  <c r="O257" i="56"/>
  <c r="HT87" i="56"/>
  <c r="GW87" i="56"/>
  <c r="GT87" i="56"/>
  <c r="GP87" i="56"/>
  <c r="GU87" i="56"/>
  <c r="HS87" i="56" s="1"/>
  <c r="HM258" i="56" a="1"/>
  <c r="HM258" i="56" s="1"/>
  <c r="HN258" i="56" s="1"/>
  <c r="HQ258" i="56" a="1"/>
  <c r="HQ258" i="56" s="1"/>
  <c r="HR258" i="56" s="1"/>
  <c r="HI258" i="56" a="1"/>
  <c r="HI258" i="56" s="1"/>
  <c r="HJ258" i="56" s="1"/>
  <c r="HO258" i="56" a="1"/>
  <c r="HO258" i="56" s="1"/>
  <c r="HP258" i="56" s="1"/>
  <c r="HK258" i="56" a="1"/>
  <c r="HK258" i="56" s="1"/>
  <c r="HL258" i="56" s="1"/>
  <c r="HG258" i="56" a="1"/>
  <c r="HG258" i="56" s="1"/>
  <c r="HH258" i="56" s="1"/>
  <c r="GO259" i="56"/>
  <c r="GN259" i="56"/>
  <c r="IK259" i="56" s="1"/>
  <c r="GM260" i="56"/>
  <c r="HE259" i="56"/>
  <c r="HF259" i="56" s="1"/>
  <c r="IL219" i="56"/>
  <c r="O219" i="56"/>
  <c r="GN221" i="56"/>
  <c r="IK221" i="56" s="1"/>
  <c r="GO221" i="56"/>
  <c r="GM222" i="56"/>
  <c r="HE221" i="56"/>
  <c r="HF221" i="56" s="1"/>
  <c r="HA86" i="56"/>
  <c r="HS86" i="56"/>
  <c r="HT220" i="56"/>
  <c r="GU220" i="56"/>
  <c r="HS220" i="56" s="1"/>
  <c r="GW220" i="56"/>
  <c r="GP220" i="56"/>
  <c r="GT220" i="56"/>
  <c r="HA220" i="56" s="1"/>
  <c r="HA87" i="56" l="1"/>
  <c r="HQ259" i="56" a="1"/>
  <c r="HQ259" i="56" s="1"/>
  <c r="HR259" i="56" s="1"/>
  <c r="HM259" i="56" a="1"/>
  <c r="HM259" i="56" s="1"/>
  <c r="HN259" i="56" s="1"/>
  <c r="HK259" i="56" a="1"/>
  <c r="HK259" i="56" s="1"/>
  <c r="HL259" i="56" s="1"/>
  <c r="HO259" i="56" a="1"/>
  <c r="HO259" i="56" s="1"/>
  <c r="HP259" i="56" s="1"/>
  <c r="HI259" i="56" a="1"/>
  <c r="HI259" i="56" s="1"/>
  <c r="HJ259" i="56" s="1"/>
  <c r="HG259" i="56" a="1"/>
  <c r="HG259" i="56" s="1"/>
  <c r="HH259" i="56" s="1"/>
  <c r="GO260" i="56"/>
  <c r="GN260" i="56"/>
  <c r="IK260" i="56" s="1"/>
  <c r="GM261" i="56"/>
  <c r="HE260" i="56"/>
  <c r="HF260" i="56" s="1"/>
  <c r="GO222" i="56"/>
  <c r="GN222" i="56"/>
  <c r="IK222" i="56" s="1"/>
  <c r="GM223" i="56"/>
  <c r="HE222" i="56"/>
  <c r="HF222" i="56" s="1"/>
  <c r="IL220" i="56"/>
  <c r="O220" i="56"/>
  <c r="HT259" i="56"/>
  <c r="GU259" i="56"/>
  <c r="HS259" i="56" s="1"/>
  <c r="GT259" i="56"/>
  <c r="HA259" i="56" s="1"/>
  <c r="GW259" i="56"/>
  <c r="GP259" i="56"/>
  <c r="IL258" i="56"/>
  <c r="O258" i="56"/>
  <c r="IL86" i="56"/>
  <c r="O86" i="56"/>
  <c r="HK221" i="56" a="1"/>
  <c r="HK221" i="56" s="1"/>
  <c r="HL221" i="56" s="1"/>
  <c r="HQ221" i="56" a="1"/>
  <c r="HQ221" i="56" s="1"/>
  <c r="HR221" i="56" s="1"/>
  <c r="HO221" i="56" a="1"/>
  <c r="HO221" i="56" s="1"/>
  <c r="HP221" i="56" s="1"/>
  <c r="HI221" i="56" a="1"/>
  <c r="HI221" i="56" s="1"/>
  <c r="HJ221" i="56" s="1"/>
  <c r="HG221" i="56" a="1"/>
  <c r="HG221" i="56" s="1"/>
  <c r="HH221" i="56" s="1"/>
  <c r="HM221" i="56" a="1"/>
  <c r="HM221" i="56" s="1"/>
  <c r="HN221" i="56" s="1"/>
  <c r="HT221" i="56"/>
  <c r="GW221" i="56"/>
  <c r="GU221" i="56"/>
  <c r="HS221" i="56" s="1"/>
  <c r="GT221" i="56"/>
  <c r="HA221" i="56" s="1"/>
  <c r="GP221" i="56"/>
  <c r="IL221" i="56" l="1"/>
  <c r="O221" i="56"/>
  <c r="IL259" i="56"/>
  <c r="O259" i="56"/>
  <c r="HM260" i="56" a="1"/>
  <c r="HM260" i="56" s="1"/>
  <c r="HN260" i="56" s="1"/>
  <c r="HQ260" i="56" a="1"/>
  <c r="HQ260" i="56" s="1"/>
  <c r="HR260" i="56" s="1"/>
  <c r="HK260" i="56" a="1"/>
  <c r="HK260" i="56" s="1"/>
  <c r="HL260" i="56" s="1"/>
  <c r="HO260" i="56" a="1"/>
  <c r="HO260" i="56" s="1"/>
  <c r="HP260" i="56" s="1"/>
  <c r="HG260" i="56" a="1"/>
  <c r="HG260" i="56" s="1"/>
  <c r="HH260" i="56" s="1"/>
  <c r="HI260" i="56" a="1"/>
  <c r="HI260" i="56" s="1"/>
  <c r="HJ260" i="56" s="1"/>
  <c r="GO261" i="56"/>
  <c r="GN261" i="56"/>
  <c r="IK261" i="56" s="1"/>
  <c r="GM262" i="56"/>
  <c r="HE261" i="56"/>
  <c r="HF261" i="56" s="1"/>
  <c r="HT260" i="56"/>
  <c r="GU260" i="56"/>
  <c r="HS260" i="56" s="1"/>
  <c r="GT260" i="56"/>
  <c r="HA260" i="56" s="1"/>
  <c r="GW260" i="56"/>
  <c r="GP260" i="56"/>
  <c r="HQ222" i="56" a="1"/>
  <c r="HQ222" i="56" s="1"/>
  <c r="HR222" i="56" s="1"/>
  <c r="HO222" i="56" a="1"/>
  <c r="HO222" i="56" s="1"/>
  <c r="HP222" i="56" s="1"/>
  <c r="HI222" i="56" a="1"/>
  <c r="HI222" i="56" s="1"/>
  <c r="HJ222" i="56" s="1"/>
  <c r="HK222" i="56" a="1"/>
  <c r="HK222" i="56" s="1"/>
  <c r="HL222" i="56" s="1"/>
  <c r="HG222" i="56" a="1"/>
  <c r="HG222" i="56" s="1"/>
  <c r="HH222" i="56" s="1"/>
  <c r="HM222" i="56" a="1"/>
  <c r="HM222" i="56" s="1"/>
  <c r="HN222" i="56" s="1"/>
  <c r="GO223" i="56"/>
  <c r="GN223" i="56"/>
  <c r="IK223" i="56" s="1"/>
  <c r="HE223" i="56"/>
  <c r="HF223" i="56" s="1"/>
  <c r="HT222" i="56"/>
  <c r="GT222" i="56"/>
  <c r="HA222" i="56" s="1"/>
  <c r="GW222" i="56"/>
  <c r="GU222" i="56"/>
  <c r="HS222" i="56" s="1"/>
  <c r="GP222" i="56"/>
  <c r="IL87" i="56"/>
  <c r="O87" i="56"/>
  <c r="HO223" i="56" l="1" a="1"/>
  <c r="HO223" i="56" s="1"/>
  <c r="HP223" i="56" s="1"/>
  <c r="HK223" i="56" a="1"/>
  <c r="HK223" i="56" s="1"/>
  <c r="HL223" i="56" s="1"/>
  <c r="HM223" i="56" a="1"/>
  <c r="HM223" i="56" s="1"/>
  <c r="HN223" i="56" s="1"/>
  <c r="HI223" i="56" a="1"/>
  <c r="HI223" i="56" s="1"/>
  <c r="HJ223" i="56" s="1"/>
  <c r="HG223" i="56" a="1"/>
  <c r="HG223" i="56" s="1"/>
  <c r="HH223" i="56" s="1"/>
  <c r="HQ223" i="56" a="1"/>
  <c r="HQ223" i="56" s="1"/>
  <c r="HR223" i="56" s="1"/>
  <c r="HT261" i="56"/>
  <c r="GW261" i="56"/>
  <c r="GU261" i="56"/>
  <c r="HS261" i="56" s="1"/>
  <c r="GT261" i="56"/>
  <c r="HA261" i="56" s="1"/>
  <c r="GP261" i="56"/>
  <c r="HT223" i="56"/>
  <c r="GW223" i="56"/>
  <c r="GU223" i="56"/>
  <c r="HS223" i="56" s="1"/>
  <c r="GT223" i="56"/>
  <c r="HA223" i="56" s="1"/>
  <c r="GP223" i="56"/>
  <c r="IL260" i="56"/>
  <c r="O260" i="56"/>
  <c r="GN262" i="56"/>
  <c r="IK262" i="56" s="1"/>
  <c r="GO262" i="56"/>
  <c r="GM263" i="56"/>
  <c r="HE262" i="56"/>
  <c r="HF262" i="56" s="1"/>
  <c r="IL222" i="56"/>
  <c r="O222" i="56"/>
  <c r="HQ261" i="56" a="1"/>
  <c r="HQ261" i="56" s="1"/>
  <c r="HR261" i="56" s="1"/>
  <c r="HK261" i="56" a="1"/>
  <c r="HK261" i="56" s="1"/>
  <c r="HL261" i="56" s="1"/>
  <c r="HI261" i="56" a="1"/>
  <c r="HI261" i="56" s="1"/>
  <c r="HJ261" i="56" s="1"/>
  <c r="HO261" i="56" a="1"/>
  <c r="HO261" i="56" s="1"/>
  <c r="HP261" i="56" s="1"/>
  <c r="HM261" i="56" a="1"/>
  <c r="HM261" i="56" s="1"/>
  <c r="HN261" i="56" s="1"/>
  <c r="HG261" i="56" a="1"/>
  <c r="HG261" i="56" s="1"/>
  <c r="HH261" i="56" s="1"/>
  <c r="IL223" i="56" l="1"/>
  <c r="O223" i="56"/>
  <c r="IL261" i="56"/>
  <c r="O261" i="56"/>
  <c r="HQ262" i="56" a="1"/>
  <c r="HQ262" i="56" s="1"/>
  <c r="HR262" i="56" s="1"/>
  <c r="HM262" i="56" a="1"/>
  <c r="HM262" i="56" s="1"/>
  <c r="HN262" i="56" s="1"/>
  <c r="HO262" i="56" a="1"/>
  <c r="HO262" i="56" s="1"/>
  <c r="HP262" i="56" s="1"/>
  <c r="HI262" i="56" a="1"/>
  <c r="HI262" i="56" s="1"/>
  <c r="HJ262" i="56" s="1"/>
  <c r="HG262" i="56" a="1"/>
  <c r="HG262" i="56" s="1"/>
  <c r="HH262" i="56" s="1"/>
  <c r="HK262" i="56" a="1"/>
  <c r="HK262" i="56" s="1"/>
  <c r="HL262" i="56" s="1"/>
  <c r="GO263" i="56"/>
  <c r="GN263" i="56"/>
  <c r="IK263" i="56" s="1"/>
  <c r="GM264" i="56"/>
  <c r="HE263" i="56"/>
  <c r="HF263" i="56" s="1"/>
  <c r="HT262" i="56"/>
  <c r="GU262" i="56"/>
  <c r="HS262" i="56" s="1"/>
  <c r="GT262" i="56"/>
  <c r="HA262" i="56" s="1"/>
  <c r="GW262" i="56"/>
  <c r="GP262" i="56"/>
  <c r="GO264" i="56" l="1"/>
  <c r="GN264" i="56"/>
  <c r="IK264" i="56" s="1"/>
  <c r="GM265" i="56"/>
  <c r="HE264" i="56"/>
  <c r="HF264" i="56" s="1"/>
  <c r="HT263" i="56"/>
  <c r="GW263" i="56"/>
  <c r="GP263" i="56"/>
  <c r="GT263" i="56"/>
  <c r="HA263" i="56" s="1"/>
  <c r="GU263" i="56"/>
  <c r="HS263" i="56" s="1"/>
  <c r="IL262" i="56"/>
  <c r="O262" i="56"/>
  <c r="HQ263" i="56" a="1"/>
  <c r="HQ263" i="56" s="1"/>
  <c r="HR263" i="56" s="1"/>
  <c r="HO263" i="56" a="1"/>
  <c r="HO263" i="56" s="1"/>
  <c r="HP263" i="56" s="1"/>
  <c r="HM263" i="56" a="1"/>
  <c r="HM263" i="56" s="1"/>
  <c r="HN263" i="56" s="1"/>
  <c r="HI263" i="56" a="1"/>
  <c r="HI263" i="56" s="1"/>
  <c r="HJ263" i="56" s="1"/>
  <c r="HG263" i="56" a="1"/>
  <c r="HG263" i="56" s="1"/>
  <c r="HH263" i="56" s="1"/>
  <c r="HK263" i="56" a="1"/>
  <c r="HK263" i="56" s="1"/>
  <c r="HL263" i="56" s="1"/>
  <c r="HQ264" i="56" l="1" a="1"/>
  <c r="HQ264" i="56" s="1"/>
  <c r="HR264" i="56" s="1"/>
  <c r="HM264" i="56" a="1"/>
  <c r="HM264" i="56" s="1"/>
  <c r="HN264" i="56" s="1"/>
  <c r="HI264" i="56" a="1"/>
  <c r="HI264" i="56" s="1"/>
  <c r="HJ264" i="56" s="1"/>
  <c r="HG264" i="56" a="1"/>
  <c r="HG264" i="56" s="1"/>
  <c r="HH264" i="56" s="1"/>
  <c r="HO264" i="56" a="1"/>
  <c r="HO264" i="56" s="1"/>
  <c r="HP264" i="56" s="1"/>
  <c r="HK264" i="56" a="1"/>
  <c r="HK264" i="56" s="1"/>
  <c r="HL264" i="56" s="1"/>
  <c r="GN265" i="56"/>
  <c r="IK265" i="56" s="1"/>
  <c r="GO265" i="56"/>
  <c r="GM266" i="56"/>
  <c r="HE265" i="56"/>
  <c r="HF265" i="56" s="1"/>
  <c r="IL263" i="56"/>
  <c r="O263" i="56"/>
  <c r="HT264" i="56"/>
  <c r="GW264" i="56"/>
  <c r="GU264" i="56"/>
  <c r="HS264" i="56" s="1"/>
  <c r="GP264" i="56"/>
  <c r="GT264" i="56"/>
  <c r="HA264" i="56" s="1"/>
  <c r="HQ265" i="56" l="1" a="1"/>
  <c r="HQ265" i="56" s="1"/>
  <c r="HR265" i="56" s="1"/>
  <c r="HG265" i="56" a="1"/>
  <c r="HG265" i="56" s="1"/>
  <c r="HH265" i="56" s="1"/>
  <c r="HM265" i="56" a="1"/>
  <c r="HM265" i="56" s="1"/>
  <c r="HN265" i="56" s="1"/>
  <c r="HK265" i="56" a="1"/>
  <c r="HK265" i="56" s="1"/>
  <c r="HL265" i="56" s="1"/>
  <c r="HI265" i="56" a="1"/>
  <c r="HI265" i="56" s="1"/>
  <c r="HJ265" i="56" s="1"/>
  <c r="HO265" i="56" a="1"/>
  <c r="HO265" i="56" s="1"/>
  <c r="HP265" i="56" s="1"/>
  <c r="GN266" i="56"/>
  <c r="IK266" i="56" s="1"/>
  <c r="GO266" i="56"/>
  <c r="GM267" i="56"/>
  <c r="HE266" i="56"/>
  <c r="HF266" i="56" s="1"/>
  <c r="HT265" i="56"/>
  <c r="GU265" i="56"/>
  <c r="HS265" i="56" s="1"/>
  <c r="GP265" i="56"/>
  <c r="GW265" i="56"/>
  <c r="GT265" i="56"/>
  <c r="HA265" i="56" s="1"/>
  <c r="IL264" i="56"/>
  <c r="O264" i="56"/>
  <c r="HM266" i="56" l="1" a="1"/>
  <c r="HM266" i="56" s="1"/>
  <c r="HN266" i="56" s="1"/>
  <c r="HO266" i="56" a="1"/>
  <c r="HO266" i="56" s="1"/>
  <c r="HP266" i="56" s="1"/>
  <c r="HQ266" i="56" a="1"/>
  <c r="HQ266" i="56" s="1"/>
  <c r="HR266" i="56" s="1"/>
  <c r="HK266" i="56" a="1"/>
  <c r="HK266" i="56" s="1"/>
  <c r="HL266" i="56" s="1"/>
  <c r="HI266" i="56" a="1"/>
  <c r="HI266" i="56" s="1"/>
  <c r="HJ266" i="56" s="1"/>
  <c r="HG266" i="56" a="1"/>
  <c r="HG266" i="56" s="1"/>
  <c r="HH266" i="56" s="1"/>
  <c r="GN267" i="56"/>
  <c r="IK267" i="56" s="1"/>
  <c r="GO267" i="56"/>
  <c r="GM268" i="56"/>
  <c r="HE267" i="56"/>
  <c r="HF267" i="56" s="1"/>
  <c r="HT266" i="56"/>
  <c r="GT266" i="56"/>
  <c r="HA266" i="56" s="1"/>
  <c r="GW266" i="56"/>
  <c r="GP266" i="56"/>
  <c r="GU266" i="56"/>
  <c r="HS266" i="56" s="1"/>
  <c r="IL265" i="56"/>
  <c r="O265" i="56"/>
  <c r="HQ267" i="56" l="1" a="1"/>
  <c r="HQ267" i="56" s="1"/>
  <c r="HR267" i="56" s="1"/>
  <c r="HO267" i="56" a="1"/>
  <c r="HO267" i="56" s="1"/>
  <c r="HP267" i="56" s="1"/>
  <c r="HK267" i="56" a="1"/>
  <c r="HK267" i="56" s="1"/>
  <c r="HL267" i="56" s="1"/>
  <c r="HI267" i="56" a="1"/>
  <c r="HI267" i="56" s="1"/>
  <c r="HJ267" i="56" s="1"/>
  <c r="HM267" i="56" a="1"/>
  <c r="HM267" i="56" s="1"/>
  <c r="HN267" i="56" s="1"/>
  <c r="HG267" i="56" a="1"/>
  <c r="HG267" i="56" s="1"/>
  <c r="HH267" i="56" s="1"/>
  <c r="HT267" i="56"/>
  <c r="GT267" i="56"/>
  <c r="HA267" i="56" s="1"/>
  <c r="GP267" i="56"/>
  <c r="GW267" i="56"/>
  <c r="GU267" i="56"/>
  <c r="HS267" i="56" s="1"/>
  <c r="IL266" i="56"/>
  <c r="O266" i="56"/>
  <c r="GO268" i="56"/>
  <c r="GN268" i="56"/>
  <c r="IK268" i="56" s="1"/>
  <c r="GM269" i="56"/>
  <c r="HE268" i="56"/>
  <c r="HF268" i="56" s="1"/>
  <c r="IL267" i="56" l="1"/>
  <c r="O267" i="56"/>
  <c r="GO269" i="56"/>
  <c r="GN269" i="56"/>
  <c r="IK269" i="56" s="1"/>
  <c r="GM270" i="56"/>
  <c r="HE269" i="56"/>
  <c r="HF269" i="56" s="1"/>
  <c r="HT268" i="56"/>
  <c r="GW268" i="56"/>
  <c r="GT268" i="56"/>
  <c r="HA268" i="56" s="1"/>
  <c r="GP268" i="56"/>
  <c r="GU268" i="56"/>
  <c r="HS268" i="56" s="1"/>
  <c r="HQ268" i="56" a="1"/>
  <c r="HQ268" i="56" s="1"/>
  <c r="HR268" i="56" s="1"/>
  <c r="HK268" i="56" a="1"/>
  <c r="HK268" i="56" s="1"/>
  <c r="HL268" i="56" s="1"/>
  <c r="HI268" i="56" a="1"/>
  <c r="HI268" i="56" s="1"/>
  <c r="HJ268" i="56" s="1"/>
  <c r="HM268" i="56" a="1"/>
  <c r="HM268" i="56" s="1"/>
  <c r="HN268" i="56" s="1"/>
  <c r="HG268" i="56" a="1"/>
  <c r="HG268" i="56" s="1"/>
  <c r="HH268" i="56" s="1"/>
  <c r="HO268" i="56" a="1"/>
  <c r="HO268" i="56" s="1"/>
  <c r="HP268" i="56" s="1"/>
  <c r="HK269" i="56" l="1" a="1"/>
  <c r="HK269" i="56" s="1"/>
  <c r="HL269" i="56" s="1"/>
  <c r="HQ269" i="56" a="1"/>
  <c r="HQ269" i="56" s="1"/>
  <c r="HR269" i="56" s="1"/>
  <c r="HO269" i="56" a="1"/>
  <c r="HO269" i="56" s="1"/>
  <c r="HP269" i="56" s="1"/>
  <c r="HI269" i="56" a="1"/>
  <c r="HI269" i="56" s="1"/>
  <c r="HJ269" i="56" s="1"/>
  <c r="HM269" i="56" a="1"/>
  <c r="HM269" i="56" s="1"/>
  <c r="HN269" i="56" s="1"/>
  <c r="HG269" i="56" a="1"/>
  <c r="HG269" i="56" s="1"/>
  <c r="HH269" i="56" s="1"/>
  <c r="IL268" i="56"/>
  <c r="O268" i="56"/>
  <c r="GO270" i="56"/>
  <c r="GN270" i="56"/>
  <c r="IK270" i="56" s="1"/>
  <c r="GM271" i="56"/>
  <c r="HE270" i="56"/>
  <c r="HF270" i="56" s="1"/>
  <c r="HT269" i="56"/>
  <c r="GW269" i="56"/>
  <c r="GT269" i="56"/>
  <c r="HA269" i="56" s="1"/>
  <c r="GU269" i="56"/>
  <c r="HS269" i="56" s="1"/>
  <c r="GP269" i="56"/>
  <c r="HQ270" i="56" l="1" a="1"/>
  <c r="HQ270" i="56" s="1"/>
  <c r="HR270" i="56" s="1"/>
  <c r="HM270" i="56" a="1"/>
  <c r="HM270" i="56" s="1"/>
  <c r="HN270" i="56" s="1"/>
  <c r="HO270" i="56" a="1"/>
  <c r="HO270" i="56" s="1"/>
  <c r="HP270" i="56" s="1"/>
  <c r="HG270" i="56" a="1"/>
  <c r="HG270" i="56" s="1"/>
  <c r="HH270" i="56" s="1"/>
  <c r="HK270" i="56" a="1"/>
  <c r="HK270" i="56" s="1"/>
  <c r="HL270" i="56" s="1"/>
  <c r="HI270" i="56" a="1"/>
  <c r="HI270" i="56" s="1"/>
  <c r="HJ270" i="56" s="1"/>
  <c r="IL269" i="56"/>
  <c r="O269" i="56"/>
  <c r="GN271" i="56"/>
  <c r="IK271" i="56" s="1"/>
  <c r="GO271" i="56"/>
  <c r="GM272" i="56"/>
  <c r="HE271" i="56"/>
  <c r="HF271" i="56" s="1"/>
  <c r="HT270" i="56"/>
  <c r="GU270" i="56"/>
  <c r="HS270" i="56" s="1"/>
  <c r="GW270" i="56"/>
  <c r="GT270" i="56"/>
  <c r="HA270" i="56" s="1"/>
  <c r="GP270" i="56"/>
  <c r="HO271" i="56" l="1" a="1"/>
  <c r="HO271" i="56" s="1"/>
  <c r="HP271" i="56" s="1"/>
  <c r="HQ271" i="56" a="1"/>
  <c r="HQ271" i="56" s="1"/>
  <c r="HR271" i="56" s="1"/>
  <c r="HK271" i="56" a="1"/>
  <c r="HK271" i="56" s="1"/>
  <c r="HL271" i="56" s="1"/>
  <c r="HI271" i="56" a="1"/>
  <c r="HI271" i="56" s="1"/>
  <c r="HJ271" i="56" s="1"/>
  <c r="HG271" i="56" a="1"/>
  <c r="HG271" i="56" s="1"/>
  <c r="HH271" i="56" s="1"/>
  <c r="HM271" i="56" a="1"/>
  <c r="HM271" i="56" s="1"/>
  <c r="HN271" i="56" s="1"/>
  <c r="HT271" i="56"/>
  <c r="GP271" i="56"/>
  <c r="GW271" i="56"/>
  <c r="GU271" i="56"/>
  <c r="HS271" i="56" s="1"/>
  <c r="GT271" i="56"/>
  <c r="HA271" i="56" s="1"/>
  <c r="IL270" i="56"/>
  <c r="O270" i="56"/>
  <c r="GO272" i="56"/>
  <c r="GN272" i="56"/>
  <c r="IK272" i="56" s="1"/>
  <c r="GM273" i="56"/>
  <c r="HE272" i="56"/>
  <c r="HF272" i="56" s="1"/>
  <c r="IL271" i="56" l="1"/>
  <c r="O271" i="56"/>
  <c r="GN273" i="56"/>
  <c r="IK273" i="56" s="1"/>
  <c r="GO273" i="56"/>
  <c r="GM274" i="56"/>
  <c r="HE273" i="56"/>
  <c r="HF273" i="56" s="1"/>
  <c r="HT272" i="56"/>
  <c r="GU272" i="56"/>
  <c r="HS272" i="56" s="1"/>
  <c r="GW272" i="56"/>
  <c r="GT272" i="56"/>
  <c r="HA272" i="56" s="1"/>
  <c r="GP272" i="56"/>
  <c r="HO272" i="56" a="1"/>
  <c r="HO272" i="56" s="1"/>
  <c r="HP272" i="56" s="1"/>
  <c r="HQ272" i="56" a="1"/>
  <c r="HQ272" i="56" s="1"/>
  <c r="HR272" i="56" s="1"/>
  <c r="HM272" i="56" a="1"/>
  <c r="HM272" i="56" s="1"/>
  <c r="HN272" i="56" s="1"/>
  <c r="HK272" i="56" a="1"/>
  <c r="HK272" i="56" s="1"/>
  <c r="HL272" i="56" s="1"/>
  <c r="HI272" i="56" a="1"/>
  <c r="HI272" i="56" s="1"/>
  <c r="HJ272" i="56" s="1"/>
  <c r="HG272" i="56" a="1"/>
  <c r="HG272" i="56" s="1"/>
  <c r="HH272" i="56" s="1"/>
  <c r="HQ273" i="56" l="1" a="1"/>
  <c r="HQ273" i="56" s="1"/>
  <c r="HR273" i="56" s="1"/>
  <c r="HO273" i="56" a="1"/>
  <c r="HO273" i="56" s="1"/>
  <c r="HP273" i="56" s="1"/>
  <c r="HM273" i="56" a="1"/>
  <c r="HM273" i="56" s="1"/>
  <c r="HN273" i="56" s="1"/>
  <c r="HG273" i="56" a="1"/>
  <c r="HG273" i="56" s="1"/>
  <c r="HH273" i="56" s="1"/>
  <c r="HK273" i="56" a="1"/>
  <c r="HK273" i="56" s="1"/>
  <c r="HL273" i="56" s="1"/>
  <c r="HI273" i="56" a="1"/>
  <c r="HI273" i="56" s="1"/>
  <c r="HJ273" i="56" s="1"/>
  <c r="GN274" i="56"/>
  <c r="IK274" i="56" s="1"/>
  <c r="GO274" i="56"/>
  <c r="GM275" i="56"/>
  <c r="HE274" i="56"/>
  <c r="HF274" i="56" s="1"/>
  <c r="HT273" i="56"/>
  <c r="GW273" i="56"/>
  <c r="GT273" i="56"/>
  <c r="HA273" i="56" s="1"/>
  <c r="GP273" i="56"/>
  <c r="GU273" i="56"/>
  <c r="HS273" i="56" s="1"/>
  <c r="IL272" i="56"/>
  <c r="O272" i="56"/>
  <c r="IL273" i="56" l="1"/>
  <c r="O273" i="56"/>
  <c r="GO275" i="56"/>
  <c r="GN275" i="56"/>
  <c r="IK275" i="56" s="1"/>
  <c r="GM276" i="56"/>
  <c r="HE275" i="56"/>
  <c r="HF275" i="56" s="1"/>
  <c r="HM274" i="56" a="1"/>
  <c r="HM274" i="56" s="1"/>
  <c r="HN274" i="56" s="1"/>
  <c r="HO274" i="56" a="1"/>
  <c r="HO274" i="56" s="1"/>
  <c r="HP274" i="56" s="1"/>
  <c r="HK274" i="56" a="1"/>
  <c r="HK274" i="56" s="1"/>
  <c r="HL274" i="56" s="1"/>
  <c r="HQ274" i="56" a="1"/>
  <c r="HQ274" i="56" s="1"/>
  <c r="HR274" i="56" s="1"/>
  <c r="HI274" i="56" a="1"/>
  <c r="HI274" i="56" s="1"/>
  <c r="HJ274" i="56" s="1"/>
  <c r="HG274" i="56" a="1"/>
  <c r="HG274" i="56" s="1"/>
  <c r="HH274" i="56" s="1"/>
  <c r="HT274" i="56"/>
  <c r="GP274" i="56"/>
  <c r="GU274" i="56"/>
  <c r="HS274" i="56" s="1"/>
  <c r="GW274" i="56"/>
  <c r="GT274" i="56"/>
  <c r="HA274" i="56" s="1"/>
  <c r="HM275" i="56" l="1" a="1"/>
  <c r="HM275" i="56" s="1"/>
  <c r="HN275" i="56" s="1"/>
  <c r="HO275" i="56" a="1"/>
  <c r="HO275" i="56" s="1"/>
  <c r="HP275" i="56" s="1"/>
  <c r="HG275" i="56" a="1"/>
  <c r="HG275" i="56" s="1"/>
  <c r="HH275" i="56" s="1"/>
  <c r="HK275" i="56" a="1"/>
  <c r="HK275" i="56" s="1"/>
  <c r="HL275" i="56" s="1"/>
  <c r="HI275" i="56" a="1"/>
  <c r="HI275" i="56" s="1"/>
  <c r="HJ275" i="56" s="1"/>
  <c r="HQ275" i="56" a="1"/>
  <c r="HQ275" i="56" s="1"/>
  <c r="HR275" i="56" s="1"/>
  <c r="GO276" i="56"/>
  <c r="GN276" i="56"/>
  <c r="IK276" i="56" s="1"/>
  <c r="GM277" i="56"/>
  <c r="HE276" i="56"/>
  <c r="HF276" i="56" s="1"/>
  <c r="HT275" i="56"/>
  <c r="GU275" i="56"/>
  <c r="HS275" i="56" s="1"/>
  <c r="GW275" i="56"/>
  <c r="GT275" i="56"/>
  <c r="HA275" i="56" s="1"/>
  <c r="GP275" i="56"/>
  <c r="IL274" i="56"/>
  <c r="O274" i="56"/>
  <c r="IL275" i="56" l="1"/>
  <c r="O275" i="56"/>
  <c r="HT276" i="56"/>
  <c r="GW276" i="56"/>
  <c r="GT276" i="56"/>
  <c r="HA276" i="56" s="1"/>
  <c r="GP276" i="56"/>
  <c r="GU276" i="56"/>
  <c r="HS276" i="56" s="1"/>
  <c r="HI276" i="56" a="1"/>
  <c r="HI276" i="56" s="1"/>
  <c r="HJ276" i="56" s="1"/>
  <c r="HQ276" i="56" a="1"/>
  <c r="HQ276" i="56" s="1"/>
  <c r="HR276" i="56" s="1"/>
  <c r="HM276" i="56" a="1"/>
  <c r="HM276" i="56" s="1"/>
  <c r="HN276" i="56" s="1"/>
  <c r="HG276" i="56" a="1"/>
  <c r="HG276" i="56" s="1"/>
  <c r="HH276" i="56" s="1"/>
  <c r="HK276" i="56" a="1"/>
  <c r="HK276" i="56" s="1"/>
  <c r="HL276" i="56" s="1"/>
  <c r="HO276" i="56" a="1"/>
  <c r="HO276" i="56" s="1"/>
  <c r="HP276" i="56" s="1"/>
  <c r="GN277" i="56"/>
  <c r="IK277" i="56" s="1"/>
  <c r="GO277" i="56"/>
  <c r="GM278" i="56"/>
  <c r="HE277" i="56"/>
  <c r="HF277" i="56" s="1"/>
  <c r="GN278" i="56" l="1"/>
  <c r="IK278" i="56" s="1"/>
  <c r="GO278" i="56"/>
  <c r="GM279" i="56"/>
  <c r="HE278" i="56"/>
  <c r="HF278" i="56" s="1"/>
  <c r="HT277" i="56"/>
  <c r="GW277" i="56"/>
  <c r="GU277" i="56"/>
  <c r="HS277" i="56" s="1"/>
  <c r="GT277" i="56"/>
  <c r="HA277" i="56" s="1"/>
  <c r="GP277" i="56"/>
  <c r="IL276" i="56"/>
  <c r="O276" i="56"/>
  <c r="HK277" i="56" a="1"/>
  <c r="HK277" i="56" s="1"/>
  <c r="HL277" i="56" s="1"/>
  <c r="HQ277" i="56" a="1"/>
  <c r="HQ277" i="56" s="1"/>
  <c r="HR277" i="56" s="1"/>
  <c r="HM277" i="56" a="1"/>
  <c r="HM277" i="56" s="1"/>
  <c r="HN277" i="56" s="1"/>
  <c r="HI277" i="56" a="1"/>
  <c r="HI277" i="56" s="1"/>
  <c r="HJ277" i="56" s="1"/>
  <c r="HO277" i="56" a="1"/>
  <c r="HO277" i="56" s="1"/>
  <c r="HP277" i="56" s="1"/>
  <c r="HG277" i="56" a="1"/>
  <c r="HG277" i="56" s="1"/>
  <c r="HH277" i="56" s="1"/>
  <c r="HQ278" i="56" l="1" a="1"/>
  <c r="HQ278" i="56" s="1"/>
  <c r="HR278" i="56" s="1"/>
  <c r="HI278" i="56" a="1"/>
  <c r="HI278" i="56" s="1"/>
  <c r="HJ278" i="56" s="1"/>
  <c r="HK278" i="56" a="1"/>
  <c r="HK278" i="56" s="1"/>
  <c r="HL278" i="56" s="1"/>
  <c r="HO278" i="56" a="1"/>
  <c r="HO278" i="56" s="1"/>
  <c r="HP278" i="56" s="1"/>
  <c r="HG278" i="56" a="1"/>
  <c r="HG278" i="56" s="1"/>
  <c r="HH278" i="56" s="1"/>
  <c r="HM278" i="56" a="1"/>
  <c r="HM278" i="56" s="1"/>
  <c r="HN278" i="56" s="1"/>
  <c r="IL277" i="56"/>
  <c r="O277" i="56"/>
  <c r="GO279" i="56"/>
  <c r="GN279" i="56"/>
  <c r="IK279" i="56" s="1"/>
  <c r="GM280" i="56"/>
  <c r="HE279" i="56"/>
  <c r="HF279" i="56" s="1"/>
  <c r="HT278" i="56"/>
  <c r="GU278" i="56"/>
  <c r="HS278" i="56" s="1"/>
  <c r="GW278" i="56"/>
  <c r="GT278" i="56"/>
  <c r="HA278" i="56" s="1"/>
  <c r="GP278" i="56"/>
  <c r="IL278" i="56" l="1"/>
  <c r="O278" i="56"/>
  <c r="GO280" i="56"/>
  <c r="GN280" i="56"/>
  <c r="IK280" i="56" s="1"/>
  <c r="GM281" i="56"/>
  <c r="HE280" i="56"/>
  <c r="HF280" i="56" s="1"/>
  <c r="HT279" i="56"/>
  <c r="GW279" i="56"/>
  <c r="GU279" i="56"/>
  <c r="HS279" i="56" s="1"/>
  <c r="GT279" i="56"/>
  <c r="HA279" i="56" s="1"/>
  <c r="GP279" i="56"/>
  <c r="HO279" i="56" a="1"/>
  <c r="HO279" i="56" s="1"/>
  <c r="HP279" i="56" s="1"/>
  <c r="HQ279" i="56" a="1"/>
  <c r="HQ279" i="56" s="1"/>
  <c r="HR279" i="56" s="1"/>
  <c r="HG279" i="56" a="1"/>
  <c r="HG279" i="56" s="1"/>
  <c r="HH279" i="56" s="1"/>
  <c r="HK279" i="56" a="1"/>
  <c r="HK279" i="56" s="1"/>
  <c r="HL279" i="56" s="1"/>
  <c r="HM279" i="56" a="1"/>
  <c r="HM279" i="56" s="1"/>
  <c r="HN279" i="56" s="1"/>
  <c r="HI279" i="56" a="1"/>
  <c r="HI279" i="56" s="1"/>
  <c r="HJ279" i="56" s="1"/>
  <c r="HQ280" i="56" l="1" a="1"/>
  <c r="HQ280" i="56" s="1"/>
  <c r="HR280" i="56" s="1"/>
  <c r="HO280" i="56" a="1"/>
  <c r="HO280" i="56" s="1"/>
  <c r="HP280" i="56" s="1"/>
  <c r="HM280" i="56" a="1"/>
  <c r="HM280" i="56" s="1"/>
  <c r="HN280" i="56" s="1"/>
  <c r="HK280" i="56" a="1"/>
  <c r="HK280" i="56" s="1"/>
  <c r="HL280" i="56" s="1"/>
  <c r="HI280" i="56" a="1"/>
  <c r="HI280" i="56" s="1"/>
  <c r="HJ280" i="56" s="1"/>
  <c r="HG280" i="56" a="1"/>
  <c r="HG280" i="56" s="1"/>
  <c r="HH280" i="56" s="1"/>
  <c r="HT280" i="56"/>
  <c r="GU280" i="56"/>
  <c r="HS280" i="56" s="1"/>
  <c r="GW280" i="56"/>
  <c r="GT280" i="56"/>
  <c r="HA280" i="56" s="1"/>
  <c r="GP280" i="56"/>
  <c r="IL279" i="56"/>
  <c r="O279" i="56"/>
  <c r="GO281" i="56"/>
  <c r="GN281" i="56"/>
  <c r="IK281" i="56" s="1"/>
  <c r="GM282" i="56"/>
  <c r="HE281" i="56"/>
  <c r="HF281" i="56" s="1"/>
  <c r="GO282" i="56" l="1"/>
  <c r="GN282" i="56"/>
  <c r="HE282" i="56"/>
  <c r="HF282" i="56" s="1"/>
  <c r="AH3" i="40" a="1"/>
  <c r="AH3" i="40" s="1"/>
  <c r="HT281" i="56"/>
  <c r="GU281" i="56"/>
  <c r="HS281" i="56" s="1"/>
  <c r="GP281" i="56"/>
  <c r="GW281" i="56"/>
  <c r="GT281" i="56"/>
  <c r="HA281" i="56" s="1"/>
  <c r="IL280" i="56"/>
  <c r="O280" i="56"/>
  <c r="HQ281" i="56" a="1"/>
  <c r="HQ281" i="56" s="1"/>
  <c r="HR281" i="56" s="1"/>
  <c r="HO281" i="56" a="1"/>
  <c r="HO281" i="56" s="1"/>
  <c r="HP281" i="56" s="1"/>
  <c r="HM281" i="56" a="1"/>
  <c r="HM281" i="56" s="1"/>
  <c r="HN281" i="56" s="1"/>
  <c r="HK281" i="56" a="1"/>
  <c r="HK281" i="56" s="1"/>
  <c r="HL281" i="56" s="1"/>
  <c r="HG281" i="56" a="1"/>
  <c r="HG281" i="56" s="1"/>
  <c r="HH281" i="56" s="1"/>
  <c r="HI281" i="56" a="1"/>
  <c r="HI281" i="56" s="1"/>
  <c r="HJ281" i="56" s="1"/>
  <c r="IL281" i="56" l="1"/>
  <c r="O281" i="56"/>
  <c r="HM282" i="56" a="1"/>
  <c r="HM282" i="56" s="1"/>
  <c r="HN282" i="56" s="1"/>
  <c r="HO282" i="56" a="1"/>
  <c r="HO282" i="56" s="1"/>
  <c r="HP282" i="56" s="1"/>
  <c r="HG282" i="56" a="1"/>
  <c r="HG282" i="56" s="1"/>
  <c r="HI282" i="56" a="1"/>
  <c r="HI282" i="56" s="1"/>
  <c r="HJ282" i="56" s="1"/>
  <c r="HK282" i="56" a="1"/>
  <c r="HK282" i="56" s="1"/>
  <c r="HL282" i="56" s="1"/>
  <c r="HQ282" i="56" a="1"/>
  <c r="HQ282" i="56" s="1"/>
  <c r="HR282" i="56" s="1"/>
  <c r="IK282" i="56"/>
  <c r="BT3" i="40" s="1" a="1"/>
  <c r="BT3" i="40" s="1"/>
  <c r="AI3" i="40" a="1"/>
  <c r="AI3" i="40" s="1"/>
  <c r="HT282" i="56"/>
  <c r="AD3" i="40" s="1" a="1"/>
  <c r="AD3" i="40" s="1"/>
  <c r="GW282" i="56"/>
  <c r="X3" i="40" s="1" a="1"/>
  <c r="X3" i="40" s="1"/>
  <c r="GT282" i="56"/>
  <c r="GU282" i="56"/>
  <c r="GP282" i="56"/>
  <c r="AX3" i="40" s="1" a="1"/>
  <c r="AX3" i="40" s="1"/>
  <c r="O3" i="40" a="1"/>
  <c r="O3" i="40" s="1"/>
  <c r="HS282" i="56" l="1"/>
  <c r="AC3" i="40" s="1" a="1"/>
  <c r="AC3" i="40" s="1"/>
  <c r="M3" i="40" a="1"/>
  <c r="M3" i="40" s="1"/>
  <c r="HA282" i="56"/>
  <c r="G3" i="40" a="1"/>
  <c r="G3" i="40" s="1"/>
  <c r="L48" i="16"/>
  <c r="L46" i="16"/>
  <c r="L39" i="16"/>
  <c r="L41" i="16"/>
  <c r="L44" i="16"/>
  <c r="L43" i="16"/>
  <c r="L45" i="16"/>
  <c r="L42" i="16"/>
  <c r="L47" i="16"/>
  <c r="L40" i="16"/>
  <c r="HH282" i="56"/>
  <c r="A4" i="43" a="1"/>
  <c r="A4" i="43" s="1"/>
  <c r="M40" i="16" l="1"/>
  <c r="AG35" i="42"/>
  <c r="AH35" i="42" s="1"/>
  <c r="M47" i="16"/>
  <c r="AG42" i="42"/>
  <c r="AH42" i="42" s="1"/>
  <c r="M42" i="16"/>
  <c r="AG37" i="42"/>
  <c r="AH37" i="42" s="1"/>
  <c r="M45" i="16"/>
  <c r="AG40" i="42"/>
  <c r="AH40" i="42" s="1"/>
  <c r="M43" i="16"/>
  <c r="AG38" i="42"/>
  <c r="AH38" i="42" s="1"/>
  <c r="M44" i="16"/>
  <c r="AG39" i="42"/>
  <c r="AH39" i="42" s="1"/>
  <c r="M41" i="16"/>
  <c r="AG36" i="42"/>
  <c r="AH36" i="42" s="1"/>
  <c r="AG34" i="42"/>
  <c r="AH34" i="42" s="1"/>
  <c r="M39" i="16"/>
  <c r="AG41" i="42"/>
  <c r="AH41" i="42" s="1"/>
  <c r="M46" i="16"/>
  <c r="AG43" i="42"/>
  <c r="AH43" i="42" s="1"/>
  <c r="M48" i="16"/>
  <c r="IL282" i="56"/>
  <c r="BU3" i="40" s="1" a="1"/>
  <c r="BU3" i="40" s="1"/>
  <c r="O282" i="56"/>
  <c r="AE3" i="40" a="1"/>
  <c r="AE3" i="40" s="1"/>
  <c r="A1" i="56" l="1" a="1"/>
  <c r="A1" i="56" s="1"/>
  <c r="A2" i="62"/>
  <c r="D5" i="62" a="1"/>
  <c r="D5" i="62" s="1"/>
  <c r="AE1" i="40"/>
  <c r="BF15" i="10"/>
  <c r="BF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marat</author>
  </authors>
  <commentList>
    <comment ref="A9" authorId="0" shapeId="0" xr:uid="{E172B0EC-583B-495C-AFCE-D88C06F25FE2}">
      <text>
        <r>
          <rPr>
            <b/>
            <sz val="9"/>
            <color indexed="81"/>
            <rFont val="Tahoma"/>
            <family val="2"/>
            <charset val="204"/>
          </rPr>
          <t>Имя щита (как в «Линии» столбец «Щит»).</t>
        </r>
      </text>
    </comment>
    <comment ref="B9" authorId="0" shapeId="0" xr:uid="{95FB1FAA-91B7-424A-883C-D8D929A8303D}">
      <text>
        <r>
          <rPr>
            <b/>
            <sz val="9"/>
            <color indexed="81"/>
            <rFont val="Tahoma"/>
            <family val="2"/>
            <charset val="204"/>
          </rPr>
          <t>Обычно пусто: определяется сам по линии-фидеру в «Линиях». Вписывайте, только если фидера в книге нет. Для ВРУ / ГРЩ — пусто.</t>
        </r>
      </text>
    </comment>
    <comment ref="C9" authorId="0" shapeId="0" xr:uid="{B50F044A-2812-4C61-908A-30C43B772DB5}">
      <text>
        <r>
          <rPr>
            <b/>
            <sz val="9"/>
            <color indexed="81"/>
            <rFont val="Tahoma"/>
            <family val="2"/>
            <charset val="204"/>
          </rPr>
          <t>Число вводов 1 / 2 / 3.</t>
        </r>
      </text>
    </comment>
    <comment ref="D9" authorId="0" shapeId="0" xr:uid="{744B852A-8153-425A-A249-AC82997C95C6}">
      <text>
        <r>
          <rPr>
            <b/>
            <sz val="9"/>
            <color indexed="81"/>
            <rFont val="Tahoma"/>
            <family val="2"/>
            <charset val="204"/>
          </rPr>
          <t>да / нет</t>
        </r>
      </text>
    </comment>
    <comment ref="E9" authorId="0" shapeId="0" xr:uid="{9A8EA683-1123-40FF-8FA4-BD294FD21A27}">
      <text>
        <r>
          <rPr>
            <b/>
            <sz val="9"/>
            <color indexed="81"/>
            <rFont val="Tahoma"/>
            <family val="2"/>
            <charset val="204"/>
          </rPr>
          <t>Ввод 1 / 2 / 3 — от какого ввода питается ИБП (ЩГП).</t>
        </r>
      </text>
    </comment>
    <comment ref="F9" authorId="0" shapeId="0" xr:uid="{F2A7B946-9B27-4890-93AD-51E6D83D175D}">
      <text>
        <r>
          <rPr>
            <b/>
            <sz val="9"/>
            <color indexed="81"/>
            <rFont val="Tahoma"/>
            <family val="2"/>
            <charset val="204"/>
          </rPr>
          <t>Сколько первых листов схемы A3 занимает вводной узел (вводы, АВР, ИБП, байпас, учёт) — рисуете сами. Пусто — 1 лист (17 мест). Линии щита начинаются со следующего листа.</t>
        </r>
      </text>
    </comment>
    <comment ref="G9" authorId="0" shapeId="0" xr:uid="{BE279EDC-9655-4AD8-9B52-F387A19703BB}">
      <text>
        <r>
          <rPr>
            <b/>
            <sz val="9"/>
            <color indexed="81"/>
            <rFont val="Tahoma"/>
            <family val="2"/>
            <charset val="204"/>
          </rPr>
          <t>Только для ВРУ / ГРЩ: «ТП» — щит питается от своего трансформатора; иначе — от сети (введите Iкз).</t>
        </r>
      </text>
    </comment>
    <comment ref="I9" authorId="0" shapeId="0" xr:uid="{B41CC36B-8CC4-4731-946D-7E951B6824D2}">
      <text>
        <r>
          <rPr>
            <b/>
            <sz val="9"/>
            <color indexed="81"/>
            <rFont val="Tahoma"/>
            <family val="2"/>
            <charset val="204"/>
          </rPr>
          <t>Iкз min (1ф) на вводе — от сетевой организации.</t>
        </r>
      </text>
    </comment>
    <comment ref="J9" authorId="0" shapeId="0" xr:uid="{B465DC5C-5A7D-4F1F-9A0F-86E49D0D9AC1}">
      <text>
        <r>
          <rPr>
            <b/>
            <sz val="9"/>
            <color indexed="81"/>
            <rFont val="Tahoma"/>
            <family val="2"/>
            <charset val="204"/>
          </rPr>
          <t>Iкз max (3ф) на вводе — от сетевой организации.</t>
        </r>
      </text>
    </comment>
    <comment ref="L9" authorId="0" shapeId="0" xr:uid="{4B48F651-7CA4-412C-A3ED-E1C5F3DFDCF3}">
      <text>
        <r>
          <rPr>
            <b/>
            <sz val="9"/>
            <color indexed="81"/>
            <rFont val="Tahoma"/>
            <family val="2"/>
            <charset val="204"/>
          </rPr>
          <t>Д/Yн или Y/Yн</t>
        </r>
      </text>
    </comment>
    <comment ref="Q9" authorId="0" shapeId="0" xr:uid="{B995F631-C74E-4390-B667-B36C7D6525C8}">
      <text>
        <r>
          <rPr>
            <b/>
            <sz val="9"/>
            <color indexed="81"/>
            <rFont val="Tahoma"/>
            <family val="2"/>
            <charset val="204"/>
          </rPr>
          <t>медь / алюминий</t>
        </r>
      </text>
    </comment>
    <comment ref="S9" authorId="0" shapeId="0" xr:uid="{977467BD-4B93-49B1-9CB4-FF8CF724BCA0}">
      <text>
        <r>
          <rPr>
            <b/>
            <sz val="9"/>
            <color indexed="81"/>
            <rFont val="Tahoma"/>
            <family val="2"/>
            <charset val="204"/>
          </rPr>
          <t>B / C / D</t>
        </r>
      </text>
    </comment>
    <comment ref="T9" authorId="0" shapeId="0" xr:uid="{6517B6D3-959B-4E12-8005-28ADEF9F711D}">
      <text>
        <r>
          <rPr>
            <b/>
            <sz val="9"/>
            <color indexed="81"/>
            <rFont val="Tahoma"/>
            <family val="2"/>
            <charset val="204"/>
          </rPr>
          <t>Для щита без вышестоящего в книге: какую категорию даёт питающая линия. Пусто — по своей схеме.</t>
        </r>
      </text>
    </comment>
    <comment ref="U9" authorId="0" shapeId="0" xr:uid="{EB5C627C-FEF7-49D4-A155-E140EFA0405D}">
      <text>
        <r>
          <rPr>
            <b/>
            <sz val="9"/>
            <color indexed="81"/>
            <rFont val="Tahoma"/>
            <family val="2"/>
            <charset val="204"/>
          </rPr>
          <t>Вышестоящий щит: вручную или по линии-фидеру.</t>
        </r>
      </text>
    </comment>
    <comment ref="X9" authorId="0" shapeId="0" xr:uid="{C796EEDE-D0DB-4248-98FD-423481F9882F}">
      <text>
        <r>
          <rPr>
            <b/>
            <sz val="9"/>
            <color indexed="81"/>
            <rFont val="Tahoma"/>
            <family val="2"/>
            <charset val="204"/>
          </rPr>
          <t>Сумма установленной мощности щита и всех нижестоящих (без группы «Нет»).</t>
        </r>
      </text>
    </comment>
    <comment ref="Y9" authorId="0" shapeId="0" xr:uid="{769EA13D-909A-439F-A15E-B580B40C3171}">
      <text>
        <r>
          <rPr>
            <b/>
            <sz val="9"/>
            <color indexed="81"/>
            <rFont val="Tahoma"/>
            <family val="2"/>
            <charset val="204"/>
          </rPr>
          <t>Рр = kп.к·Руст быт·Кс + Ко·Рр сил + Руст пост + Р отоп + 0,7·Р ВНГ (СП 256 п. 7.1.10, Изм. 9).</t>
        </r>
      </text>
    </comment>
    <comment ref="Z9" authorId="0" shapeId="0" xr:uid="{3545ABD8-827B-4F45-B7E8-2730575E2E12}">
      <text>
        <r>
          <rPr>
            <b/>
            <sz val="9"/>
            <color indexed="81"/>
            <rFont val="Tahoma"/>
            <family val="2"/>
            <charset val="204"/>
          </rPr>
          <t>По наиболее нагруженной фазе.</t>
        </r>
      </text>
    </comment>
    <comment ref="AB9" authorId="0" shapeId="0" xr:uid="{0FF1F28A-9F1F-4CF4-9B96-9B025349331E}">
      <text>
        <r>
          <rPr>
            <b/>
            <sz val="9"/>
            <color indexed="81"/>
            <rFont val="Tahoma"/>
            <family val="2"/>
            <charset val="204"/>
          </rPr>
          <t>ΔU от ВРУ до шин щита = ΔU источника + Σ ΔU фидеров на пути.</t>
        </r>
      </text>
    </comment>
    <comment ref="AE9" authorId="0" shapeId="0" xr:uid="{044F4B86-165D-49D8-8DAC-6019F038D5CF}">
      <text>
        <r>
          <rPr>
            <b/>
            <sz val="9"/>
            <color indexed="81"/>
            <rFont val="Tahoma"/>
            <family val="2"/>
            <charset val="204"/>
          </rPr>
          <t>1 ввод — III (или II, если питающая линия I/II: один кабель не даёт I, ПУЭ 1.2.19); 2+ ввода без АВР — II; с АВР — I.</t>
        </r>
      </text>
    </comment>
    <comment ref="AF9" authorId="0" shapeId="0" xr:uid="{473202DF-9C03-4BE4-89FA-879D215BE07E}">
      <text>
        <r>
          <rPr>
            <b/>
            <sz val="9"/>
            <color indexed="81"/>
            <rFont val="Tahoma"/>
            <family val="2"/>
            <charset val="204"/>
          </rPr>
          <t>Цепочка щитов от ГРЩ до этого щита.</t>
        </r>
      </text>
    </comment>
    <comment ref="AS9" authorId="0" shapeId="0" xr:uid="{6FBFF543-C9D2-4187-B2D7-1A73063F88A2}">
      <text>
        <r>
          <rPr>
            <b/>
            <sz val="9"/>
            <color indexed="81"/>
            <rFont val="Tahoma"/>
            <family val="2"/>
            <charset val="204"/>
          </rPr>
          <t>СП 256 табл. 7.2 по сумме Руст быт щита, линейная интерполяция.</t>
        </r>
      </text>
    </comment>
    <comment ref="AT9" authorId="0" shapeId="0" xr:uid="{E3D8168D-58C6-4417-927E-2189C139B4D6}">
      <text>
        <r>
          <rPr>
            <b/>
            <sz val="9"/>
            <color indexed="81"/>
            <rFont val="Tahoma"/>
            <family val="2"/>
            <charset val="204"/>
          </rPr>
          <t>Σ P·Кс силовых линий.</t>
        </r>
      </text>
    </comment>
    <comment ref="AV9" authorId="0" shapeId="0" xr:uid="{C2C51D7E-64F5-4D16-ACDF-2EBFF530E314}">
      <text>
        <r>
          <rPr>
            <b/>
            <sz val="9"/>
            <color indexed="81"/>
            <rFont val="Tahoma"/>
            <family val="2"/>
            <charset val="204"/>
          </rPr>
          <t>Электроотопление, Кс = 1 (СП 256, Изм. 9).</t>
        </r>
      </text>
    </comment>
    <comment ref="AW9" authorId="0" shapeId="0" xr:uid="{5A6B07C2-CE16-416F-B4A1-0716024F4539}">
      <text>
        <r>
          <rPr>
            <b/>
            <sz val="9"/>
            <color indexed="81"/>
            <rFont val="Tahoma"/>
            <family val="2"/>
            <charset val="204"/>
          </rPr>
          <t>Водонагреватели × 0,7 (СП 256, Изм. 9).</t>
        </r>
      </text>
    </comment>
    <comment ref="AY9" authorId="0" shapeId="0" xr:uid="{04D08BA3-1B9D-42B6-9032-441BAFAFF003}">
      <text>
        <r>
          <rPr>
            <b/>
            <sz val="9"/>
            <color indexed="81"/>
            <rFont val="Tahoma"/>
            <family val="2"/>
            <charset val="204"/>
          </rPr>
          <t>СП 256 табл. 7.5 по числу силовых линий щита (доля сантехники 100–85 %; таблица — лист «Объект»). Применяется в режиме «нормы 2026», если Кс линии не задан.</t>
        </r>
      </text>
    </comment>
    <comment ref="AZ9" authorId="0" shapeId="0" xr:uid="{8134D901-1CC0-4E7D-99CA-D89371FECF0D}">
      <text>
        <r>
          <rPr>
            <b/>
            <sz val="9"/>
            <color indexed="81"/>
            <rFont val="Tahoma"/>
            <family val="2"/>
            <charset val="204"/>
          </rPr>
          <t>0,9 — совмещение бытовой и силовой нагрузки (СП 256 формула 6). В режиме «нормы 2026» — только если на щите есть обе.</t>
        </r>
      </text>
    </comment>
    <comment ref="BL9" authorId="0" shapeId="0" xr:uid="{E86A256E-012D-48FD-8EBF-3F950D170A2F}">
      <text>
        <r>
          <rPr>
            <b/>
            <sz val="9"/>
            <color indexed="81"/>
            <rFont val="Tahoma"/>
            <family val="2"/>
            <charset val="204"/>
          </rPr>
          <t>Zшин = Zсети + Σ(петля фидеров + Rпер) на пути (ГОСТ 28249).</t>
        </r>
      </text>
    </comment>
    <comment ref="CB9" authorId="0" shapeId="0" xr:uid="{F7E0E3D9-0452-4BF7-A8B1-E24E6E1FC113}">
      <text>
        <r>
          <rPr>
            <b/>
            <sz val="9"/>
            <color indexed="81"/>
            <rFont val="Tahoma"/>
            <family val="2"/>
            <charset val="204"/>
          </rPr>
          <t>Расклад фаз автоматов без ручной фазы (крупные первыми).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marat</author>
  </authors>
  <commentList>
    <comment ref="A2" authorId="0" shapeId="0" xr:uid="{E6D62C83-9181-435F-A4C7-4C1CEFC7AD04}">
      <text>
        <r>
          <rPr>
            <b/>
            <sz val="9"/>
            <color indexed="81"/>
            <rFont val="Tahoma"/>
            <family val="2"/>
            <charset val="204"/>
          </rPr>
          <t>Имя щита (как на листе «Щиты»). Строки щита — подряд, в порядке мест на схеме. Кнопки щитов над таблицей показывают один щит.</t>
        </r>
      </text>
    </comment>
    <comment ref="B2" authorId="0" shapeId="0" xr:uid="{12FF3198-3A27-434B-8D97-C6E8489BF37E}">
      <text>
        <r>
          <rPr>
            <b/>
            <sz val="9"/>
            <color indexed="81"/>
            <rFont val="Tahoma"/>
            <family val="2"/>
            <charset val="204"/>
          </rPr>
          <t>Код.Этаж.Помещение.Группа (пример: R.1.05.3). Код — лист «Коды». Номер приходит из чертежа (DLN).</t>
        </r>
      </text>
    </comment>
    <comment ref="C2" authorId="0" shapeId="0" xr:uid="{717A3FD3-023F-4795-B912-6317C849B3DC}">
      <text>
        <r>
          <rPr>
            <b/>
            <sz val="9"/>
            <color indexed="81"/>
            <rFont val="Tahoma"/>
            <family val="2"/>
            <charset val="204"/>
          </rPr>
          <t>Серое — по коду и помещению (как собирать — лист «Объект»). Впишите своё — станет синим. Сотрёте — вернётся серое.</t>
        </r>
      </text>
    </comment>
    <comment ref="D2" authorId="0" shapeId="0" xr:uid="{ABE1A3D8-E31F-4317-B3DB-B97DBCFDBC40}">
      <text>
        <r>
          <rPr>
            <b/>
            <sz val="9"/>
            <color indexed="81"/>
            <rFont val="Tahoma"/>
            <family val="2"/>
            <charset val="204"/>
          </rPr>
          <t>Число розеток, светильников… Приходит из DLN. Нужно для мощности (кВт на шт по коду) и для длины опусков.</t>
        </r>
      </text>
    </comment>
    <comment ref="E2" authorId="0" shapeId="0" xr:uid="{75FA23AB-7854-4032-941C-E2D802729ADC}">
      <text>
        <r>
          <rPr>
            <b/>
            <sz val="9"/>
            <color indexed="81"/>
            <rFont val="Tahoma"/>
            <family val="2"/>
            <charset val="204"/>
          </rPr>
          <t>Серое — кВт на шт по коду × кол-во (розетки 0,06 кВт на шт). Фидер — Руст нижнего щита. Известную мощность впишите сами.</t>
        </r>
      </text>
    </comment>
    <comment ref="F2" authorId="0" shapeId="0" xr:uid="{098F39B1-FD49-4F29-AF13-A3F81AA4649A}">
      <text>
        <r>
          <rPr>
            <b/>
            <sz val="9"/>
            <color indexed="81"/>
            <rFont val="Tahoma"/>
            <family val="2"/>
            <charset val="204"/>
          </rPr>
          <t>Пусто — у линии свой автомат. «гр» — линия на автомате строки выше (несколько линий на одном автомате). Строки группы — подряд.</t>
        </r>
      </text>
    </comment>
    <comment ref="G2" authorId="0" shapeId="0" xr:uid="{B2CFF510-9489-49D6-AA64-429ACBF63C7A}">
      <text>
        <r>
          <rPr>
            <b/>
            <sz val="9"/>
            <color indexed="81"/>
            <rFont val="Tahoma"/>
            <family val="2"/>
            <charset val="204"/>
          </rPr>
          <t>Серое — подбор: полюса, характеристика, номинал по току группы и минимуму кода, ток утечки. В строке «гр» — «↑» и автомат группы. Свой автомат: 25, C25 или 2P C25А 30мА — таблица проверит.</t>
        </r>
      </text>
    </comment>
    <comment ref="H2" authorId="0" shapeId="0" xr:uid="{5CD64471-0D59-4FBD-B278-0F9B0BFABB88}">
      <text>
        <r>
          <rPr>
            <b/>
            <sz val="9"/>
            <color indexed="81"/>
            <rFont val="Tahoma"/>
            <family val="2"/>
            <charset val="204"/>
          </rPr>
          <t>Серое — по коду (лист «Коды»). Своё: 10, 30, 100, 300 или «нет». В группе берётся самая строгая уставка. Вид аппарата (дифавтомат / УЗО на группу) — в «Кодах».</t>
        </r>
      </text>
    </comment>
    <comment ref="I2" authorId="0" shapeId="0" xr:uid="{B1EE8B6E-0B36-4424-8C10-28FA400A4D2B}">
      <text>
        <r>
          <rPr>
            <b/>
            <sz val="9"/>
            <color indexed="81"/>
            <rFont val="Tahoma"/>
            <family val="2"/>
            <charset val="204"/>
          </rPr>
          <t>Серое — по пометке в выноске (Relay, DIM, DALI) или по коду. Пусто — без модуля. Раскладка по модулям — следующий этап.</t>
        </r>
      </text>
    </comment>
    <comment ref="J2" authorId="0" shapeId="0" xr:uid="{3E2FBA60-B1DE-4691-93F7-E62D472C32E2}">
      <text>
        <r>
          <rPr>
            <b/>
            <sz val="9"/>
            <color indexed="81"/>
            <rFont val="Tahoma"/>
            <family val="2"/>
            <charset val="204"/>
          </rPr>
          <t>Аппараты после автомата через «;»: БП, КМ, МК, Т. Пример: КМ NCH8-40/40; БП 24V 75W. Серое — по коду.</t>
        </r>
      </text>
    </comment>
    <comment ref="K2" authorId="0" shapeId="0" xr:uid="{80C55E1D-FBA0-4488-BE32-98FE486B4E65}">
      <text>
        <r>
          <rPr>
            <b/>
            <sz val="9"/>
            <color indexed="81"/>
            <rFont val="Tahoma"/>
            <family val="2"/>
            <charset val="204"/>
          </rPr>
          <t>Серое — подбор: наименьшее сечение не меньше минимума кода, при котором Iдоп·К ≥ In автомата (ПУЭ 1.3.10), ΔU от ВРУ в норме (СП 256 п. 8.23) и Iкз в конце отключает автомат за 0,4 с (ПУЭ 1.7.79). Своё — синим, таблица проверит.</t>
        </r>
      </text>
    </comment>
    <comment ref="L2" authorId="0" shapeId="0" xr:uid="{0F28BF7E-52F5-41DB-BCAB-CB6AB1BFF9E0}">
      <text>
        <r>
          <rPr>
            <b/>
            <sz val="9"/>
            <color indexed="81"/>
            <rFont val="Tahoma"/>
            <family val="2"/>
            <charset val="204"/>
          </rPr>
          <t>Серое — длина из чертежа (DLN: ПВХ + ПНД). Своя — синим. Итог с опусками и подъёмом — столбец «Длина, м».</t>
        </r>
      </text>
    </comment>
    <comment ref="M2" authorId="0" shapeId="0" xr:uid="{10CA32F5-39EC-4904-82B5-C32CB3BAAAAA}">
      <text>
        <r>
          <rPr>
            <b/>
            <sz val="9"/>
            <color indexed="81"/>
            <rFont val="Tahoma"/>
            <family val="2"/>
            <charset val="204"/>
          </rPr>
          <t>Серое — автобалансировка: каждому автомату (группе) — наименее загруженная фаза. Линии группы — на фазе своего автомата. Своя: 1, 2, 3 или 1,2,3.</t>
        </r>
      </text>
    </comment>
    <comment ref="N2" authorId="0" shapeId="0" xr:uid="{2FEE9AD3-B3B4-4561-81BE-CBFB98A7DE5D}">
      <text>
        <r>
          <rPr>
            <b/>
            <sz val="9"/>
            <color indexed="81"/>
            <rFont val="Tahoma"/>
            <family val="2"/>
            <charset val="204"/>
          </rPr>
          <t>Серое — следующая XT по порядку. Своя — синим. «нет» — клемма без номера.</t>
        </r>
      </text>
    </comment>
    <comment ref="O2" authorId="0" shapeId="0" xr:uid="{2F835DD0-0F2C-4042-9EBD-E31048212A20}">
      <text>
        <r>
          <rPr>
            <b/>
            <sz val="9"/>
            <color indexed="81"/>
            <rFont val="Tahoma"/>
            <family val="2"/>
            <charset val="204"/>
          </rPr>
          <t>Что не так в строке. Пусто — в норме. Сводка по объекту — лист «Проверка».</t>
        </r>
      </text>
    </comment>
    <comment ref="P2" authorId="0" shapeId="0" xr:uid="{B7565EDD-21D0-451E-9D6A-8669EB93EFD0}">
      <text>
        <r>
          <rPr>
            <b/>
            <sz val="9"/>
            <color indexed="81"/>
            <rFont val="Tahoma"/>
            <family val="2"/>
            <charset val="204"/>
          </rPr>
          <t>1ф: P/(Uф·cos φ); 3ф: P/(√3·Uн·cos φ). Фидер — Iр нижнего щита.</t>
        </r>
      </text>
    </comment>
    <comment ref="Q2" authorId="0" shapeId="0" xr:uid="{EFDD1916-E8C9-4CC1-88F3-C1FF83F13202}">
      <text>
        <r>
          <rPr>
            <b/>
            <sz val="9"/>
            <color indexed="81"/>
            <rFont val="Tahoma"/>
            <family val="2"/>
            <charset val="204"/>
          </rPr>
          <t>Опуск·(2n−1) + длина по плану + подъём на этаж.</t>
        </r>
      </text>
    </comment>
    <comment ref="R2" authorId="0" shapeId="0" xr:uid="{9799C0C5-7F4C-4B0E-883B-19D31C68ADBE}">
      <text>
        <r>
          <rPr>
            <b/>
            <sz val="9"/>
            <color indexed="81"/>
            <rFont val="Tahoma"/>
            <family val="2"/>
            <charset val="204"/>
          </rPr>
          <t>Потери линии + потери до шин щита. Норма — СП 256 п. 8.23: до светильников 3 %, до прочих 4 % (+0,005 %/м сверх 100 м).</t>
        </r>
      </text>
    </comment>
    <comment ref="T2" authorId="0" shapeId="0" xr:uid="{8CCD2D4B-8915-442B-9611-AB448C1EE238}">
      <text>
        <r>
          <rPr>
            <b/>
            <sz val="9"/>
            <color indexed="81"/>
            <rFont val="Tahoma"/>
            <family val="2"/>
            <charset val="204"/>
          </rPr>
          <t>Лист схемы A3 и место на нём. «узел» — вводной узел щита (рисуете сами).</t>
        </r>
      </text>
    </comment>
    <comment ref="U2" authorId="0" shapeId="0" xr:uid="{45683556-6A49-4DE0-A608-B89467BD5326}">
      <text>
        <r>
          <rPr>
            <b/>
            <sz val="9"/>
            <color indexed="81"/>
            <rFont val="Tahoma"/>
            <family val="2"/>
            <charset val="204"/>
          </rPr>
          <t>Обычно пусто: если номер линии = имя щита, фидер определяется сам. Пример, когда нужно: линия ЩСПЗ.1 питает щит ЩСПЗ.</t>
        </r>
      </text>
    </comment>
    <comment ref="V2" authorId="0" shapeId="0" xr:uid="{454792CA-EE4C-45F2-BDC9-ABB40396896B}">
      <text>
        <r>
          <rPr>
            <b/>
            <sz val="9"/>
            <color indexed="81"/>
            <rFont val="Tahoma"/>
            <family val="2"/>
            <charset val="204"/>
          </rPr>
          <t>1 или 3. Серое — по коду (фидер — 3).</t>
        </r>
      </text>
    </comment>
    <comment ref="W2" authorId="0" shapeId="0" xr:uid="{8997CC1A-02BD-4F00-9451-546E2013BA92}">
      <text>
        <r>
          <rPr>
            <b/>
            <sz val="9"/>
            <color indexed="81"/>
            <rFont val="Tahoma"/>
            <family val="2"/>
            <charset val="204"/>
          </rPr>
          <t>230 или 400. Серое — по коду.</t>
        </r>
      </text>
    </comment>
    <comment ref="X2" authorId="0" shapeId="0" xr:uid="{06465E4A-D384-45FC-B920-6520F4F02B9F}">
      <text>
        <r>
          <rPr>
            <b/>
            <sz val="9"/>
            <color indexed="81"/>
            <rFont val="Tahoma"/>
            <family val="2"/>
            <charset val="204"/>
          </rPr>
          <t>Быт — табл. 7.2 по сумме; Сил — Кс линии или табл. 7.5; Пост — 1; Отоп — 1; ВНГ — 0,7 (СП 256, Изм. 9); Нет — не учитывается. Серое — по коду.</t>
        </r>
      </text>
    </comment>
    <comment ref="Y2" authorId="0" shapeId="0" xr:uid="{EAC07873-E0F3-474C-98A3-41B1BBC15CE3}">
      <text>
        <r>
          <rPr>
            <b/>
            <sz val="9"/>
            <color indexed="81"/>
            <rFont val="Tahoma"/>
            <family val="2"/>
            <charset val="204"/>
          </rPr>
          <t>Кс силовой линии (СП 256 табл. 7.5). Пусто — по таблице 7.5 (режим «нормы 2026») или 1.</t>
        </r>
      </text>
    </comment>
    <comment ref="Z2" authorId="0" shapeId="0" xr:uid="{9D4FC5EC-E5C2-4EC4-8CA6-02C6AC90A344}">
      <text>
        <r>
          <rPr>
            <b/>
            <sz val="9"/>
            <color indexed="81"/>
            <rFont val="Tahoma"/>
            <family val="2"/>
            <charset val="204"/>
          </rPr>
          <t>Пусто — 0,95; двигатели — по таблице; силовые в режиме «нормы 2026» — 0,8.</t>
        </r>
      </text>
    </comment>
    <comment ref="AA2" authorId="0" shapeId="0" xr:uid="{16DE691F-7EA2-40D3-9B00-7A474450D4AA}">
      <text>
        <r>
          <rPr>
            <b/>
            <sz val="9"/>
            <color indexed="81"/>
            <rFont val="Tahoma"/>
            <family val="2"/>
            <charset val="204"/>
          </rPr>
          <t>Секция шин щита. Пусто — 1.</t>
        </r>
      </text>
    </comment>
    <comment ref="AB2" authorId="0" shapeId="0" xr:uid="{DE791C46-5606-4BE0-A03E-2FD5E37C7CB0}">
      <text>
        <r>
          <rPr>
            <b/>
            <sz val="9"/>
            <color indexed="81"/>
            <rFont val="Tahoma"/>
            <family val="2"/>
            <charset val="204"/>
          </rPr>
          <t>Пусто — основная шина. Пишется в строке с автоматом. Имя с «ИБП» или «ДГУ» — шина этого источника.</t>
        </r>
      </text>
    </comment>
    <comment ref="AC2" authorId="0" shapeId="0" xr:uid="{D92248BC-2A77-4572-A3D4-8FAB24B7307C}">
      <text>
        <r>
          <rPr>
            <b/>
            <sz val="9"/>
            <color indexed="81"/>
            <rFont val="Tahoma"/>
            <family val="2"/>
            <charset val="204"/>
          </rPr>
          <t>Категория надёжности линии. Пусто — III.</t>
        </r>
      </text>
    </comment>
    <comment ref="AD2" authorId="0" shapeId="0" xr:uid="{8F442C26-5019-4756-8ABB-0590BB7D66DF}">
      <text>
        <r>
          <rPr>
            <b/>
            <sz val="9"/>
            <color indexed="81"/>
            <rFont val="Tahoma"/>
            <family val="2"/>
            <charset val="204"/>
          </rPr>
          <t>Пусто — по коду. Пожарные линии — кабель FRLS, в расчётный максимум не входят.</t>
        </r>
      </text>
    </comment>
    <comment ref="AE2" authorId="0" shapeId="0" xr:uid="{E0D20FCF-4987-4F0F-B43D-4ECF0A6718FE}">
      <text>
        <r>
          <rPr>
            <b/>
            <sz val="9"/>
            <color indexed="81"/>
            <rFont val="Tahoma"/>
            <family val="2"/>
            <charset val="204"/>
          </rPr>
          <t>Строка таблицы нагрузок для пояснительной записки. Пусто — по коду.</t>
        </r>
      </text>
    </comment>
    <comment ref="AF2" authorId="0" shapeId="0" xr:uid="{419AB1BE-6459-4D00-95DC-AADA915AF947}">
      <text>
        <r>
          <rPr>
            <b/>
            <sz val="9"/>
            <color indexed="81"/>
            <rFont val="Tahoma"/>
            <family val="2"/>
            <charset val="204"/>
          </rPr>
          <t>Пусто — как обычно. «вручную» — строка только в таблице, в схеме не рисуется. «рисовать» — нарисовать строку вводного узла.</t>
        </r>
      </text>
    </comment>
    <comment ref="AG2" authorId="0" shapeId="0" xr:uid="{9795424F-7691-47BC-8CCD-12B0F4A2F49F}">
      <text>
        <r>
          <rPr>
            <b/>
            <sz val="9"/>
            <color indexed="81"/>
            <rFont val="Tahoma"/>
            <family val="2"/>
            <charset val="204"/>
          </rPr>
          <t>Модель модуля — в первой строке модуля; следующие строки идут на его каналы. «-» — в строке после модуля (модуль закончился).</t>
        </r>
      </text>
    </comment>
    <comment ref="AH2" authorId="0" shapeId="0" xr:uid="{C04B9473-E668-44E2-BE9D-44AAD0C018C1}">
      <text>
        <r>
          <rPr>
            <b/>
            <sz val="9"/>
            <color indexed="81"/>
            <rFont val="Tahoma"/>
            <family val="2"/>
            <charset val="204"/>
          </rPr>
          <t>Пусто — авто; № вручную; = параллельно; + в тот же кабель; р — резерв; б/к — без клеммы.</t>
        </r>
      </text>
    </comment>
    <comment ref="AI2" authorId="0" shapeId="0" xr:uid="{AE1A842D-4520-4C25-A57D-7CBD4CF76263}">
      <text>
        <r>
          <rPr>
            <b/>
            <sz val="9"/>
            <color indexed="81"/>
            <rFont val="Tahoma"/>
            <family val="2"/>
            <charset val="204"/>
          </rPr>
          <t>Пусто — следующее место после вводного узла. Число — своё место (пропуск = пустая колонка). «-» — строки нет на схеме.</t>
        </r>
      </text>
    </comment>
    <comment ref="AJ2" authorId="0" shapeId="0" xr:uid="{8B13AC8F-8AA2-4968-887F-837CC5173771}">
      <text>
        <r>
          <rPr>
            <b/>
            <sz val="9"/>
            <color indexed="81"/>
            <rFont val="Tahoma"/>
            <family val="2"/>
            <charset val="204"/>
          </rPr>
          <t>Обозначение марки (лист «Коды», таблица «Кабели»): мс, мфр… Серое — по коду; пожарная линия — марка для пожарных (лист «Объект»).</t>
        </r>
      </text>
    </comment>
    <comment ref="AK2" authorId="0" shapeId="0" xr:uid="{E399349F-EF7F-4510-BF37-217B503E025D}">
      <text>
        <r>
          <rPr>
            <b/>
            <sz val="9"/>
            <color indexed="81"/>
            <rFont val="Tahoma"/>
            <family val="2"/>
            <charset val="204"/>
          </rPr>
          <t>Серое — по коду, иначе 1ф — 3, 3ф — 5.</t>
        </r>
      </text>
    </comment>
    <comment ref="AL2" authorId="0" shapeId="0" xr:uid="{2B6FDEFE-1A56-4AD3-8808-649176DA6D09}">
      <text>
        <r>
          <rPr>
            <b/>
            <sz val="9"/>
            <color indexed="81"/>
            <rFont val="Tahoma"/>
            <family val="2"/>
            <charset val="204"/>
          </rPr>
          <t>Поправочный коэффициент прокладки. Пусто — общий (лист «Таблицы_норм»).</t>
        </r>
      </text>
    </comment>
    <comment ref="AM2" authorId="0" shapeId="0" xr:uid="{522BDFDE-6C39-4770-9E65-C5163C5AFD8B}">
      <text>
        <r>
          <rPr>
            <b/>
            <sz val="9"/>
            <color indexed="81"/>
            <rFont val="Tahoma"/>
            <family val="2"/>
            <charset val="204"/>
          </rPr>
          <t>Длина по лотку, м.</t>
        </r>
      </text>
    </comment>
    <comment ref="AN2" authorId="0" shapeId="0" xr:uid="{D0E13369-A987-4879-B00E-D098CEDCED6E}">
      <text>
        <r>
          <rPr>
            <b/>
            <sz val="9"/>
            <color indexed="81"/>
            <rFont val="Tahoma"/>
            <family val="2"/>
            <charset val="204"/>
          </rPr>
          <t>Длина в гофре ПВХ, м. Пусто — из чертежа.</t>
        </r>
      </text>
    </comment>
    <comment ref="AO2" authorId="0" shapeId="0" xr:uid="{839B7870-5F6C-491B-8D15-C02D7B7EBE66}">
      <text>
        <r>
          <rPr>
            <b/>
            <sz val="9"/>
            <color indexed="81"/>
            <rFont val="Tahoma"/>
            <family val="2"/>
            <charset val="204"/>
          </rPr>
          <t>Длина в гофре ПНД, м. Пусто — из чертежа.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<sst xmlns="http://schemas.openxmlformats.org/spreadsheetml/2006/main" count="6532" uniqueCount="2515">
  <si>
    <t>Номер линии</t>
  </si>
  <si>
    <t>Мощность, кВт</t>
  </si>
  <si>
    <t>Кол-во фаз</t>
  </si>
  <si>
    <t>Сечение</t>
  </si>
  <si>
    <t>Щит</t>
  </si>
  <si>
    <t>Ток</t>
  </si>
  <si>
    <t>Наименование</t>
  </si>
  <si>
    <t>Автомат</t>
  </si>
  <si>
    <t>Не исп</t>
  </si>
  <si>
    <t>Кабель</t>
  </si>
  <si>
    <t>Обознач</t>
  </si>
  <si>
    <t>мс</t>
  </si>
  <si>
    <t>ВВГнг(А)-LS</t>
  </si>
  <si>
    <t>мфр</t>
  </si>
  <si>
    <t>Кол-во жил</t>
  </si>
  <si>
    <t>Индуктивное, Ом/км</t>
  </si>
  <si>
    <t>кВт</t>
  </si>
  <si>
    <t>%</t>
  </si>
  <si>
    <t>А</t>
  </si>
  <si>
    <t>Маркировка кабеля</t>
  </si>
  <si>
    <t>Трасса</t>
  </si>
  <si>
    <t>Испытания</t>
  </si>
  <si>
    <t>Начало</t>
  </si>
  <si>
    <t>Конец</t>
  </si>
  <si>
    <t>По проекту</t>
  </si>
  <si>
    <t>Проложено</t>
  </si>
  <si>
    <t>Длина трассы, м</t>
  </si>
  <si>
    <t>Марка</t>
  </si>
  <si>
    <t>Длина, м</t>
  </si>
  <si>
    <t>Дата прокладки</t>
  </si>
  <si>
    <t>R</t>
  </si>
  <si>
    <t>Розеточная группа</t>
  </si>
  <si>
    <t>L</t>
  </si>
  <si>
    <t>Этаж</t>
  </si>
  <si>
    <t>Третий этаж</t>
  </si>
  <si>
    <t>Цокольный этаж</t>
  </si>
  <si>
    <t>0</t>
  </si>
  <si>
    <t>1</t>
  </si>
  <si>
    <t>2</t>
  </si>
  <si>
    <t>3</t>
  </si>
  <si>
    <t>1 - этаж/2 - шлейф</t>
  </si>
  <si>
    <t>Длина линии (по плану)</t>
  </si>
  <si>
    <t>ютп</t>
  </si>
  <si>
    <t>Поз</t>
  </si>
  <si>
    <t>Наименование и техническая характеристика</t>
  </si>
  <si>
    <t>Тип, марка, обозначение документа</t>
  </si>
  <si>
    <t>Код оборудования, изделия, материала</t>
  </si>
  <si>
    <t>Завод изготовитель</t>
  </si>
  <si>
    <t>Кол-во</t>
  </si>
  <si>
    <t>Масса</t>
  </si>
  <si>
    <t>Примечание</t>
  </si>
  <si>
    <t>Ед. измерения</t>
  </si>
  <si>
    <t>Заполнить!!!</t>
  </si>
  <si>
    <t>Помещение</t>
  </si>
  <si>
    <t>Этаж/Шлейф</t>
  </si>
  <si>
    <t>Ввод</t>
  </si>
  <si>
    <t>Вытяжной вентилятор</t>
  </si>
  <si>
    <t>ре</t>
  </si>
  <si>
    <t>ПУГВ</t>
  </si>
  <si>
    <t>Потолок - 1/Пол - 2</t>
  </si>
  <si>
    <t>ПТО</t>
  </si>
  <si>
    <t>Артикул</t>
  </si>
  <si>
    <t>МСК001</t>
  </si>
  <si>
    <t>МСК002</t>
  </si>
  <si>
    <t>МСК003</t>
  </si>
  <si>
    <t>МСК004</t>
  </si>
  <si>
    <t>МСК005</t>
  </si>
  <si>
    <t>МСК006</t>
  </si>
  <si>
    <t>МСК007</t>
  </si>
  <si>
    <t>МСК008</t>
  </si>
  <si>
    <t>МСК009</t>
  </si>
  <si>
    <t>МСК010</t>
  </si>
  <si>
    <t>МСК011</t>
  </si>
  <si>
    <t>МСК012</t>
  </si>
  <si>
    <t>МСК013</t>
  </si>
  <si>
    <t>МСК014</t>
  </si>
  <si>
    <t>МСК015</t>
  </si>
  <si>
    <t>МСК016</t>
  </si>
  <si>
    <t>МСК017</t>
  </si>
  <si>
    <t>МСК018</t>
  </si>
  <si>
    <t>МСК019</t>
  </si>
  <si>
    <t>МСК020</t>
  </si>
  <si>
    <t>МСК021</t>
  </si>
  <si>
    <t>МСК022</t>
  </si>
  <si>
    <t>МСК023</t>
  </si>
  <si>
    <t>МСК024</t>
  </si>
  <si>
    <t>МСК025</t>
  </si>
  <si>
    <t>МСК026</t>
  </si>
  <si>
    <t>МСК027</t>
  </si>
  <si>
    <t>МСК028</t>
  </si>
  <si>
    <t>МСК029</t>
  </si>
  <si>
    <t>МСК030</t>
  </si>
  <si>
    <t>МСК031</t>
  </si>
  <si>
    <t>МСК032</t>
  </si>
  <si>
    <t>МСК033</t>
  </si>
  <si>
    <t>МСК034</t>
  </si>
  <si>
    <t>МСК035</t>
  </si>
  <si>
    <t>МСК036</t>
  </si>
  <si>
    <t>МСК037</t>
  </si>
  <si>
    <t>МСК038</t>
  </si>
  <si>
    <t>МСК041</t>
  </si>
  <si>
    <t>МСК042</t>
  </si>
  <si>
    <t>МСК043</t>
  </si>
  <si>
    <t>МСК044</t>
  </si>
  <si>
    <t>МСК045</t>
  </si>
  <si>
    <t>МСК046</t>
  </si>
  <si>
    <t>МСК047</t>
  </si>
  <si>
    <t>МСК048</t>
  </si>
  <si>
    <t>МСК049</t>
  </si>
  <si>
    <t>МСК050</t>
  </si>
  <si>
    <t>МСК051</t>
  </si>
  <si>
    <t>МСК052</t>
  </si>
  <si>
    <t>МСК053</t>
  </si>
  <si>
    <t>МСК054</t>
  </si>
  <si>
    <t>МСК055</t>
  </si>
  <si>
    <t>МСК056</t>
  </si>
  <si>
    <t>МСК057</t>
  </si>
  <si>
    <t>МСК058</t>
  </si>
  <si>
    <t>МСК059</t>
  </si>
  <si>
    <t>МСК060</t>
  </si>
  <si>
    <t>МСК061</t>
  </si>
  <si>
    <t>МСК062</t>
  </si>
  <si>
    <t>МСК063</t>
  </si>
  <si>
    <t>МСК064</t>
  </si>
  <si>
    <t>МСК065</t>
  </si>
  <si>
    <t>МСК066</t>
  </si>
  <si>
    <t>МСК067</t>
  </si>
  <si>
    <t>МСК068</t>
  </si>
  <si>
    <t>МСК069</t>
  </si>
  <si>
    <t>МСК070</t>
  </si>
  <si>
    <t>МСК071</t>
  </si>
  <si>
    <t>МСК072</t>
  </si>
  <si>
    <t>МСК073</t>
  </si>
  <si>
    <t>МСК074</t>
  </si>
  <si>
    <t>МСК075</t>
  </si>
  <si>
    <t>мб</t>
  </si>
  <si>
    <t>ВБШвнг(А)-LS</t>
  </si>
  <si>
    <t>МСК040</t>
  </si>
  <si>
    <t>КГВВнг(А)-LS</t>
  </si>
  <si>
    <t>кмб</t>
  </si>
  <si>
    <t>кмс</t>
  </si>
  <si>
    <t>КВБбШвнг(А)-LS 14x2.5</t>
  </si>
  <si>
    <t>ППГнг(А)-FRHF</t>
  </si>
  <si>
    <t>мшф</t>
  </si>
  <si>
    <t>ППГнг(А)-HF</t>
  </si>
  <si>
    <t>Тип кабеля</t>
  </si>
  <si>
    <t>Пол/Потолок</t>
  </si>
  <si>
    <t>ВВГнг(А)-FRLS</t>
  </si>
  <si>
    <t>ВБШВнг(А)-LS</t>
  </si>
  <si>
    <t>КВБбШвнг(А)-LS</t>
  </si>
  <si>
    <t>ТП</t>
  </si>
  <si>
    <t>ВРУ</t>
  </si>
  <si>
    <t>Наименование линии</t>
  </si>
  <si>
    <t>В</t>
  </si>
  <si>
    <t>Д</t>
  </si>
  <si>
    <t>КПД</t>
  </si>
  <si>
    <t>Cos(ф) 3ф</t>
  </si>
  <si>
    <t>Cos(ф) 1ф</t>
  </si>
  <si>
    <t>Двигатели</t>
  </si>
  <si>
    <t>Светодиоды</t>
  </si>
  <si>
    <t>Iп/Iн, 1ф</t>
  </si>
  <si>
    <t>Iп/Iн, 3ф</t>
  </si>
  <si>
    <t>Iп, А</t>
  </si>
  <si>
    <t>Iн 220, А</t>
  </si>
  <si>
    <t>Iн 380</t>
  </si>
  <si>
    <t>Iп 380</t>
  </si>
  <si>
    <t>Iн 220</t>
  </si>
  <si>
    <t>Iп 220</t>
  </si>
  <si>
    <t>КРМ</t>
  </si>
  <si>
    <t>Кабель_диаметр</t>
  </si>
  <si>
    <t>кол-во жил</t>
  </si>
  <si>
    <t>наружный диаметр</t>
  </si>
  <si>
    <t>ПуГВ</t>
  </si>
  <si>
    <t>Дн</t>
  </si>
  <si>
    <t>Дв</t>
  </si>
  <si>
    <t>гофра_ПНД</t>
  </si>
  <si>
    <t>гофра_ПВХ</t>
  </si>
  <si>
    <t>(Серая)</t>
  </si>
  <si>
    <t>(Черная)</t>
  </si>
  <si>
    <t>Расшифровка</t>
  </si>
  <si>
    <t>тпв</t>
  </si>
  <si>
    <t>тпн</t>
  </si>
  <si>
    <t>Труба жесткая ПВХ</t>
  </si>
  <si>
    <t>Труба жесткая ПНД</t>
  </si>
  <si>
    <t>гпв</t>
  </si>
  <si>
    <t>Труба гофрированная ПВХ</t>
  </si>
  <si>
    <t>гпн</t>
  </si>
  <si>
    <t>Труба гофрированная ПНД</t>
  </si>
  <si>
    <t>Напряжение</t>
  </si>
  <si>
    <t>Мин.диам. Трубы</t>
  </si>
  <si>
    <t>Лоток</t>
  </si>
  <si>
    <t>КПСнг?</t>
  </si>
  <si>
    <t>DAXX</t>
  </si>
  <si>
    <t>КСПВГ 4х0.35</t>
  </si>
  <si>
    <t>REXANT (акустика)</t>
  </si>
  <si>
    <t>МКЭШ 2х0.35</t>
  </si>
  <si>
    <t>МКЭШ 4х0.35</t>
  </si>
  <si>
    <t>Гофра ПНД</t>
  </si>
  <si>
    <t>Гофра ПВХ</t>
  </si>
  <si>
    <t>ПВХ</t>
  </si>
  <si>
    <t>ПНД</t>
  </si>
  <si>
    <t>не исп</t>
  </si>
  <si>
    <t>АСУ</t>
  </si>
  <si>
    <t>кн</t>
  </si>
  <si>
    <t>SH</t>
  </si>
  <si>
    <t>J-Y(St)Y 2х2х0.8</t>
  </si>
  <si>
    <t>кф</t>
  </si>
  <si>
    <t>КИПЭВ 2х2х0.6</t>
  </si>
  <si>
    <t>кс</t>
  </si>
  <si>
    <t>На ИБП</t>
  </si>
  <si>
    <t>От ИБП</t>
  </si>
  <si>
    <t>Питание на ИБП</t>
  </si>
  <si>
    <t>Питание от ИБП</t>
  </si>
  <si>
    <t>LED</t>
  </si>
  <si>
    <t>Светодиодное освещение</t>
  </si>
  <si>
    <t>R.ШТК</t>
  </si>
  <si>
    <t>Шкаф слаботочных систем</t>
  </si>
  <si>
    <t>R.ЩОПС</t>
  </si>
  <si>
    <t>Щит охранно-пожарной сигнализации</t>
  </si>
  <si>
    <t>Питание системы автоматизации</t>
  </si>
  <si>
    <t>PS-KNX</t>
  </si>
  <si>
    <t>Блок питания шины KNX</t>
  </si>
  <si>
    <t>Шаровый электрокран</t>
  </si>
  <si>
    <t xml:space="preserve">Управление сервоприводом отопления </t>
  </si>
  <si>
    <t>FTP-Cat.6-4х2х0.52</t>
  </si>
  <si>
    <t>КГВВнг(А)-LS (5х1)</t>
  </si>
  <si>
    <t>кмс1</t>
  </si>
  <si>
    <t>DALI</t>
  </si>
  <si>
    <t>Контролер DALI</t>
  </si>
  <si>
    <t>АПС</t>
  </si>
  <si>
    <t>Реле АПС</t>
  </si>
  <si>
    <t>ПВ</t>
  </si>
  <si>
    <t>Приточно-вытяжная установка</t>
  </si>
  <si>
    <t>УВ</t>
  </si>
  <si>
    <t>Увлажнитель</t>
  </si>
  <si>
    <t>ПН</t>
  </si>
  <si>
    <t>Проточный водонагреватель</t>
  </si>
  <si>
    <t>WD</t>
  </si>
  <si>
    <t>Датчик протечки</t>
  </si>
  <si>
    <t>VK</t>
  </si>
  <si>
    <t>КУП</t>
  </si>
  <si>
    <t>Коробка уравнивания потенциалов</t>
  </si>
  <si>
    <t>R.GSM</t>
  </si>
  <si>
    <t>Щит усиления соловой связи</t>
  </si>
  <si>
    <t>Теплый пол</t>
  </si>
  <si>
    <t>Управление сервоприводом теплого пола</t>
  </si>
  <si>
    <t>TE-ТП</t>
  </si>
  <si>
    <t>TE-O</t>
  </si>
  <si>
    <t>ЭK</t>
  </si>
  <si>
    <t>K</t>
  </si>
  <si>
    <t>ПУ</t>
  </si>
  <si>
    <t>Приточная установка</t>
  </si>
  <si>
    <t>PE</t>
  </si>
  <si>
    <t>Вводнораспределительное оборудование ЩР</t>
  </si>
  <si>
    <t>Крыша и основание RAL9005 с направляющими для корпусов CQE N, ШхГ 800х400 мм, комплект RAM block</t>
  </si>
  <si>
    <t>Стойки вертикальные RAL7035 для корпусов CQE N, В=1800 мм, комплект - 4 шт. RAM block</t>
  </si>
  <si>
    <t>Панель задняя для корпусов CQE N, ВхШ 1800х800 мм RAM block</t>
  </si>
  <si>
    <t>Углы цоколя с пластиковыми заглушками для корпусов CQE &amp; CQE N, В=200 мм, RAL9005, комплект - 4 шт. RAM block</t>
  </si>
  <si>
    <t>Панели цоколя для корпусов CQE &amp; CQE N, ШхГ 800 мм, В=200 мм, RAL9005, комплект - 2 шт. RAM block</t>
  </si>
  <si>
    <t>Фиксатор панели цоколя R5NFP, R5NFPB для корпусов CQE &amp; CQE N, комплект - 4 шт. RAM block</t>
  </si>
  <si>
    <t>Комплект</t>
  </si>
  <si>
    <t>Рейка широкая поперечная для корпусов CQE &amp; CQE N, Ш=800 мм, упаковка - 4 шт. RAM block</t>
  </si>
  <si>
    <t>Рейка для фиксации кабеля для корпусов CQE N, Ш=800 мм, упаковка - 2 шт. RAM block</t>
  </si>
  <si>
    <t>Комплект кабелей заземления CQE RAM block</t>
  </si>
  <si>
    <t>П-образный профиль для защиты кромок, для дверей и панелей RAM block</t>
  </si>
  <si>
    <t>Упаковка</t>
  </si>
  <si>
    <t>Метр</t>
  </si>
  <si>
    <t>Рейки широкие вертикальные для корпусов CQE N, В=1800 мм, упаковка - 2 шт. RAM block</t>
  </si>
  <si>
    <t>R5NPDV18</t>
  </si>
  <si>
    <t>R5NKTB84</t>
  </si>
  <si>
    <t>R5NKMN18</t>
  </si>
  <si>
    <t>R5NCRE1880</t>
  </si>
  <si>
    <t>R5NBP02B</t>
  </si>
  <si>
    <t>R5NFPB82</t>
  </si>
  <si>
    <t>R5NKFP02</t>
  </si>
  <si>
    <t>R5NPDF800</t>
  </si>
  <si>
    <t>R5NPAC800</t>
  </si>
  <si>
    <t>R5ES01</t>
  </si>
  <si>
    <t>R5PP01</t>
  </si>
  <si>
    <t>DKC</t>
  </si>
  <si>
    <t>Концевой выключатель с двумя контактами, нормально открытый + нормально закрытый (NO+NC). С поворотным регулируемым рычажным роликом</t>
  </si>
  <si>
    <t>R5MC131</t>
  </si>
  <si>
    <t>шт.</t>
  </si>
  <si>
    <t>Светодиодная лента COB-X480-4mm 24V Day4000 (4 W/m, IP20, CSP, 5m) (Arlight, -) 042031</t>
  </si>
  <si>
    <t>042031</t>
  </si>
  <si>
    <t>arlight</t>
  </si>
  <si>
    <t>Chint</t>
  </si>
  <si>
    <t>EKF</t>
  </si>
  <si>
    <t>256101</t>
  </si>
  <si>
    <t>643001</t>
  </si>
  <si>
    <t>179616</t>
  </si>
  <si>
    <t>179614</t>
  </si>
  <si>
    <t>982114</t>
  </si>
  <si>
    <t>203019</t>
  </si>
  <si>
    <t>256099</t>
  </si>
  <si>
    <t>Arlight</t>
  </si>
  <si>
    <t>028422</t>
  </si>
  <si>
    <t>Модуль защиты контактов MK-5-1</t>
  </si>
  <si>
    <t>EA06.002.001</t>
  </si>
  <si>
    <t>Россия</t>
  </si>
  <si>
    <t>5</t>
  </si>
  <si>
    <t>ZPSU640</t>
  </si>
  <si>
    <t>Zennio</t>
  </si>
  <si>
    <t>Многофункциональный актуатор KNX</t>
  </si>
  <si>
    <t>ZIOMB24V2</t>
  </si>
  <si>
    <t>ZDINDX4</t>
  </si>
  <si>
    <t>Интерфейс KNX-DALI</t>
  </si>
  <si>
    <t>ZDID64X2</t>
  </si>
  <si>
    <t>Модуль входов с 8 аналогово-цифровыми входами</t>
  </si>
  <si>
    <t>ZIO-RQUAD8</t>
  </si>
  <si>
    <t>VPR-4-GY</t>
  </si>
  <si>
    <t>Клемма проходная, зажим push-in, 2 точки подключения, 4 кв.мм, синяя</t>
  </si>
  <si>
    <t>VPR-4-BU</t>
  </si>
  <si>
    <t>Клемма заземления, зажим push-in, 2 точки подключения, 4 кв.мм</t>
  </si>
  <si>
    <t>VPR-4-PE-YG</t>
  </si>
  <si>
    <t>Изолятор торцевой для клеммы VPR-4</t>
  </si>
  <si>
    <t>D-VPR-4</t>
  </si>
  <si>
    <t>VPR-2.5-3L-GY</t>
  </si>
  <si>
    <t>Изолятор торцевой для клеммы VPR-2.5-3L</t>
  </si>
  <si>
    <t>D-VPR-2.5-3L</t>
  </si>
  <si>
    <t>Перемычка вставная, для клемм на 2.5 кв.мм, 10-и полюсная</t>
  </si>
  <si>
    <t>SBF-10-5</t>
  </si>
  <si>
    <t>Торцевой фиксатор на рейку 35мм, ширина 9,5 мм</t>
  </si>
  <si>
    <t>UK-E</t>
  </si>
  <si>
    <t xml:space="preserve">Провод ПуГВ 1,5 кв. мм красный, многопроволочный </t>
  </si>
  <si>
    <t>ПуГВ 1.5</t>
  </si>
  <si>
    <t>РЭК</t>
  </si>
  <si>
    <t>м.</t>
  </si>
  <si>
    <t>Провод ПуГВ 1,5 кв. мм белый, многопроволочный</t>
  </si>
  <si>
    <t xml:space="preserve">Провод ПуГВ 1,5 кв. мм черный, многопроволочный </t>
  </si>
  <si>
    <t xml:space="preserve">Провод ПуГВ 1,5 кв. мм синий, многопроволочный </t>
  </si>
  <si>
    <t xml:space="preserve">Провод ПуГВ 2,5 кв. мм красный, многопроволочный </t>
  </si>
  <si>
    <t>ПуГВ 2.5</t>
  </si>
  <si>
    <t>Провод ПуГВ 2,5 кв. мм белый, многопроволочный</t>
  </si>
  <si>
    <t xml:space="preserve">Провод ПуГВ 2,5 кв. мм черный, многопроволочный </t>
  </si>
  <si>
    <t xml:space="preserve">Провод ПуГВ 2,5 кв. мм синий, многопроволочный </t>
  </si>
  <si>
    <t xml:space="preserve">Провод ПуГВ 4 кв. мм красный, многопроволочный </t>
  </si>
  <si>
    <t>ПуГВ 4</t>
  </si>
  <si>
    <t>Провод ПуГВ 4 кв. мм белый, многопроволочный</t>
  </si>
  <si>
    <t xml:space="preserve">Провод ПуГВ 4 кв. мм черный, многопроволочный </t>
  </si>
  <si>
    <t xml:space="preserve">Провод ПуГВ 4 кв. мм синий, многопроволочный </t>
  </si>
  <si>
    <t>Наконечник НШВИ 1.5-12 (100шт)</t>
  </si>
  <si>
    <t>79441</t>
  </si>
  <si>
    <t>КВТ</t>
  </si>
  <si>
    <t>упак.</t>
  </si>
  <si>
    <t>Наконечник НШВИ(2) 1.5-12 (100шт)</t>
  </si>
  <si>
    <t>Наконечник НШВИ 2.5-12 (100шт)</t>
  </si>
  <si>
    <t>Наконечник НШВИ(2) 2.5-13 (100шт)</t>
  </si>
  <si>
    <t>79469</t>
  </si>
  <si>
    <t>Наконечник НШВИ 4.0–12 (100шт)</t>
  </si>
  <si>
    <t>79447</t>
  </si>
  <si>
    <t>Наконечник НШВИ(2) 4.0-12 (100шт)</t>
  </si>
  <si>
    <t>79470</t>
  </si>
  <si>
    <t>Огнетушитель порошковый самосрабатывающий</t>
  </si>
  <si>
    <t>ОСП-1</t>
  </si>
  <si>
    <t>Термостат модульный с регулируемым диапазоном температуры -10…+80°C, NO-контакт</t>
  </si>
  <si>
    <t>R5MTHNO</t>
  </si>
  <si>
    <t>Вентилятор с фильтром RV 44/46 м3/ч, 230 В, 150x150 мм, IP54</t>
  </si>
  <si>
    <t>R5RV12230</t>
  </si>
  <si>
    <t>Вентиляционная решетка с фильтром RF 150x150 мм, IP54</t>
  </si>
  <si>
    <t>R5RF12</t>
  </si>
  <si>
    <t xml:space="preserve">Расходные материалы (наконечники для кабелей ПуГВ, бирки, термоусадка 4-х цветов (Б,Ч,К,С)стяжки, изолента и т. д.) </t>
  </si>
  <si>
    <t>комп.</t>
  </si>
  <si>
    <t>040231</t>
  </si>
  <si>
    <t>Реле контроля напряжения и тока NJVA1-100 3P+N 100А</t>
  </si>
  <si>
    <t>508572</t>
  </si>
  <si>
    <t>LD</t>
  </si>
  <si>
    <t>816139</t>
  </si>
  <si>
    <t>Шина нулевая в корпусе (4x15)</t>
  </si>
  <si>
    <t>sn0-4x15</t>
  </si>
  <si>
    <t>Шина нулевая в корпусе (4x7)</t>
  </si>
  <si>
    <t>sn0-4x7</t>
  </si>
  <si>
    <t xml:space="preserve">Провод ПуГВ 1,5 кв. мм Ж/З, многопроволочный </t>
  </si>
  <si>
    <t xml:space="preserve">Провод ПуГВ 2,5 кв. мм Ж/З, многопроволочный </t>
  </si>
  <si>
    <t xml:space="preserve">Провод ПуГВ 4 кв. мм Ж/З, многопроволочный </t>
  </si>
  <si>
    <t xml:space="preserve">Провод ПуГВ 16 кв. мм красный, многопроволочный </t>
  </si>
  <si>
    <t>Провод ПуГВ 16 кв. мм белый, многопроволочный</t>
  </si>
  <si>
    <t xml:space="preserve">Провод ПуГВ 16 кв. мм черный, многопроволочный </t>
  </si>
  <si>
    <t xml:space="preserve">Провод ПуГВ 16 кв. мм синий, многопроволочный </t>
  </si>
  <si>
    <t xml:space="preserve">Провод ПуГВ 16 кв. мм Ж/З, многопроволочный </t>
  </si>
  <si>
    <t>ПуГВ 16</t>
  </si>
  <si>
    <t>Наконечник НШВИ 16–12 (100шт)</t>
  </si>
  <si>
    <t>Наконечник НШВИ(2) 16–14 (100шт)</t>
  </si>
  <si>
    <t>203296</t>
  </si>
  <si>
    <t>VPR-6-GY</t>
  </si>
  <si>
    <t>Клемма проходная, зажим push-in, 2 точки подключения, 6 кв.мм, синяя</t>
  </si>
  <si>
    <t>VPR-6-BU</t>
  </si>
  <si>
    <t>Клемма заземления, зажим push-in, 2 точки подключения, 6 кв.мм</t>
  </si>
  <si>
    <t>VPR-6-PE-YG</t>
  </si>
  <si>
    <t>Изолятор торцевой для клеммы VPR-6</t>
  </si>
  <si>
    <t>D-VPR-6</t>
  </si>
  <si>
    <t>VPR-16-GY</t>
  </si>
  <si>
    <t>Клемма проходная, зажим push-in, 2 точки подключения, 16 кв.мм, синяя</t>
  </si>
  <si>
    <t>VPR-16-BU</t>
  </si>
  <si>
    <t>Клемма заземления, зажим push-in, 2 точки подключения, 16 кв.мм</t>
  </si>
  <si>
    <t>VPR-16-PE-YG</t>
  </si>
  <si>
    <t>Изолятор торцевой для клемм VPR-16</t>
  </si>
  <si>
    <t>D-VPR-16</t>
  </si>
  <si>
    <t>VPR-2.5-QUATTRO-GY</t>
  </si>
  <si>
    <t>Дверь стеклянная для корпусов CQE N, ВхШ 1800x800 мм RAM block</t>
  </si>
  <si>
    <t>R5NCPTE1880</t>
  </si>
  <si>
    <t>Профиль: Arlight MIC-M-2000 ANOD, алюминий, накладной, 2 м</t>
  </si>
  <si>
    <t>Рассеиватель: Arlight Экран матовый для PDS, MIC, 2 м</t>
  </si>
  <si>
    <t>044541</t>
  </si>
  <si>
    <t>012037</t>
  </si>
  <si>
    <t>Блок питания ARV-DRP75-24 (24V, 3.15A, 75W)</t>
  </si>
  <si>
    <t>040232</t>
  </si>
  <si>
    <t>Блок питания ARV-DR135-12 (12V, 11.3A, 135W)</t>
  </si>
  <si>
    <t>035699</t>
  </si>
  <si>
    <t>Блок питания ARV-DR15-12 (12V, 1.25A, 15W)</t>
  </si>
  <si>
    <t>034670</t>
  </si>
  <si>
    <t>КМН</t>
  </si>
  <si>
    <t>Электрокамин</t>
  </si>
  <si>
    <t>МЕСТО</t>
  </si>
  <si>
    <t>ШИНА</t>
  </si>
  <si>
    <t>АВТОМАТ</t>
  </si>
  <si>
    <t>АППАРАТЫ (по порядку после автомата)</t>
  </si>
  <si>
    <t>МОДУЛЬ / КАНАЛ</t>
  </si>
  <si>
    <t>КЛЕММА</t>
  </si>
  <si>
    <t>КАБЕЛЬ</t>
  </si>
  <si>
    <t>ОТХОДЯЩАЯ ЛИНИЯ</t>
  </si>
  <si>
    <t>ПРОВЕРКИ</t>
  </si>
  <si>
    <t>СЛУЖЕБНОЕ — сюда можно не смотреть</t>
  </si>
  <si>
    <t>расчётные (скрыты, «+» над столбцами)</t>
  </si>
  <si>
    <t>SX_DATA</t>
  </si>
  <si>
    <t>№
места</t>
  </si>
  <si>
    <t>Лист
схемы</t>
  </si>
  <si>
    <t>Шина
(пусто =
основная)</t>
  </si>
  <si>
    <t>Автомат
«авто» или текст
(1-я строка группы)</t>
  </si>
  <si>
    <t>QF</t>
  </si>
  <si>
    <t>Аппарат 1
(МК-5-1, КМ,
T 24V 100W, БП…)</t>
  </si>
  <si>
    <t>Аппарат 2</t>
  </si>
  <si>
    <t>Аппарат 3</t>
  </si>
  <si>
    <t>Модуль
(модель в начале,
«-» = конец)</t>
  </si>
  <si>
    <t>Модуль</t>
  </si>
  <si>
    <t>Канал
(пусто = авто,
№, + = р б/к)</t>
  </si>
  <si>
    <t>Канал</t>
  </si>
  <si>
    <t>Клемма</t>
  </si>
  <si>
    <t>Линия</t>
  </si>
  <si>
    <t>Р, кВт</t>
  </si>
  <si>
    <t>Ток, А</t>
  </si>
  <si>
    <t>Фаза</t>
  </si>
  <si>
    <t>Режим
(«вручную» —
не рисовать)</t>
  </si>
  <si>
    <t>Ток
группы, А</t>
  </si>
  <si>
    <t>Номинал
по току, А</t>
  </si>
  <si>
    <t>Модель
модуля</t>
  </si>
  <si>
    <t>Цепь одной строкой</t>
  </si>
  <si>
    <t>гр.</t>
  </si>
  <si>
    <t>QF гр.</t>
  </si>
  <si>
    <t>модуль гр.</t>
  </si>
  <si>
    <t>модель гр.</t>
  </si>
  <si>
    <t>QF нач.</t>
  </si>
  <si>
    <t>фаз</t>
  </si>
  <si>
    <t>код</t>
  </si>
  <si>
    <t>30мА лин.</t>
  </si>
  <si>
    <t>в кабель выше</t>
  </si>
  <si>
    <t>по току</t>
  </si>
  <si>
    <t>мин. по кабелям</t>
  </si>
  <si>
    <t>номинал</t>
  </si>
  <si>
    <t>фаз гр.</t>
  </si>
  <si>
    <t>30мА гр.</t>
  </si>
  <si>
    <t>полюса</t>
  </si>
  <si>
    <t>номинал итог</t>
  </si>
  <si>
    <t>префикс</t>
  </si>
  <si>
    <t>модуль нач.</t>
  </si>
  <si>
    <t>посл. канал</t>
  </si>
  <si>
    <t>клемма</t>
  </si>
  <si>
    <t>аппараты гр.</t>
  </si>
  <si>
    <t>БП/тр-р</t>
  </si>
  <si>
    <t>draw</t>
  </si>
  <si>
    <t>bus2</t>
  </si>
  <si>
    <t>rcd</t>
  </si>
  <si>
    <t>chtype</t>
  </si>
  <si>
    <t>dev1</t>
  </si>
  <si>
    <t>dev2</t>
  </si>
  <si>
    <t>dev3</t>
  </si>
  <si>
    <t>sym</t>
  </si>
  <si>
    <t>hasline</t>
  </si>
  <si>
    <t>ZIO-MB24</t>
  </si>
  <si>
    <t>ZIOMB8V3</t>
  </si>
  <si>
    <t>уточнить-Z</t>
  </si>
  <si>
    <t>уточнить-R</t>
  </si>
  <si>
    <t>Модель</t>
  </si>
  <si>
    <t>Каналов</t>
  </si>
  <si>
    <t>УГО</t>
  </si>
  <si>
    <t>SOCKET</t>
  </si>
  <si>
    <t>нет</t>
  </si>
  <si>
    <t>Мин. автомат перед БП / трансформатором, А</t>
  </si>
  <si>
    <t>ZIOMB16V3</t>
  </si>
  <si>
    <t>реле</t>
  </si>
  <si>
    <t>да</t>
  </si>
  <si>
    <t>Автоматов всего</t>
  </si>
  <si>
    <t>ZCL-8HT230</t>
  </si>
  <si>
    <t>клапаны 230В</t>
  </si>
  <si>
    <t>LAMP</t>
  </si>
  <si>
    <t xml:space="preserve">  из них с 30 мА (QFD)</t>
  </si>
  <si>
    <t>Di</t>
  </si>
  <si>
    <t>диммер</t>
  </si>
  <si>
    <t>DA</t>
  </si>
  <si>
    <t>Z</t>
  </si>
  <si>
    <t>MOTOR</t>
  </si>
  <si>
    <t>Модулей всего</t>
  </si>
  <si>
    <t>К</t>
  </si>
  <si>
    <t>HEAT</t>
  </si>
  <si>
    <t>1. Ток группы = сумма токов линий группы (линия в нескольких строках считается один раз).</t>
  </si>
  <si>
    <t>VALVE</t>
  </si>
  <si>
    <t>ЭК</t>
  </si>
  <si>
    <t>TE</t>
  </si>
  <si>
    <t>SERVO</t>
  </si>
  <si>
    <t>ТЕ</t>
  </si>
  <si>
    <t>BOX</t>
  </si>
  <si>
    <t>DWG: гофра ПВХ по плану, м</t>
  </si>
  <si>
    <t>DWG: гофра ПНД по плану, м</t>
  </si>
  <si>
    <t>DWG: хэндлы полилиний</t>
  </si>
  <si>
    <t>DWG: примечание</t>
  </si>
  <si>
    <t>авто</t>
  </si>
  <si>
    <t>Доп информация из выноски</t>
  </si>
  <si>
    <t>Relay</t>
  </si>
  <si>
    <t>Марка кабеля</t>
  </si>
  <si>
    <t>Макс. автомат
по кабелю, А</t>
  </si>
  <si>
    <t>мин. по типу</t>
  </si>
  <si>
    <t>Мин. автомат, А</t>
  </si>
  <si>
    <t>Способ управления</t>
  </si>
  <si>
    <t>Ключ в выноске</t>
  </si>
  <si>
    <t>Цвет номера группы</t>
  </si>
  <si>
    <t>Реле</t>
  </si>
  <si>
    <t>кнопк</t>
  </si>
  <si>
    <t>С кнопки</t>
  </si>
  <si>
    <t>Ключ из AQ ищется в AY. Цвет AS — образец для номера в D.</t>
  </si>
  <si>
    <t>-</t>
  </si>
  <si>
    <t>МК-5-1</t>
  </si>
  <si>
    <t>Кс</t>
  </si>
  <si>
    <t>ЗНАЧКИ УГО ДЛЯ ОДНОЛИНЕЙКИ</t>
  </si>
  <si>
    <t>НАСТРОЙКИ ОДНОЛИНЕЙКИ И СВОДКА (перенесено с листа «Справочник_схемы»)</t>
  </si>
  <si>
    <t>КОЭФФИЦИЕНТ СПРОСА (СП 256.1325800.2016, расчётные нагрузки)</t>
  </si>
  <si>
    <t>ДОПУСТИМЫЙ ДЛИТЕЛЬНЫЙ ТОК, А (ПУЭ табл. 1.3.6, медь, в воздухе)</t>
  </si>
  <si>
    <t>ρ при рабочей t° (ГОСТ Р 50571.5.52 прил. G), Ом·мм²/м</t>
  </si>
  <si>
    <t>Группа Кс</t>
  </si>
  <si>
    <t>УГО (выбирается в AV)</t>
  </si>
  <si>
    <t>Блок AutoCAD (из 02_Однолинейка.dwg)</t>
  </si>
  <si>
    <t>Код программы (не менять)</t>
  </si>
  <si>
    <t>НАСТРОЙКИ (жёлтые — можно менять)</t>
  </si>
  <si>
    <t>МОДУЛИ В ПРОЕКТЕ — СВОБОДНЫЕ КАНАЛЫ</t>
  </si>
  <si>
    <t>Руст быт, кВт</t>
  </si>
  <si>
    <t>Квартиры/дома повышенной комфортности (СП 31-110-2003 табл. 6.2, те же значения в СП 256). Между точками — линейная интерполяция.</t>
  </si>
  <si>
    <t>Сечение, мм²</t>
  </si>
  <si>
    <t>Одножильные</t>
  </si>
  <si>
    <t>Двухжильные (1ф: L+N, PE не нагружен)</t>
  </si>
  <si>
    <t>Трёхжильные (3ф); 4–5 жил ×0,92</t>
  </si>
  <si>
    <t>Нет</t>
  </si>
  <si>
    <t>Розетка</t>
  </si>
  <si>
    <t>Розетка1</t>
  </si>
  <si>
    <t>Мест (столбцов схемы) на лист A3</t>
  </si>
  <si>
    <t>Занято (посл. №)</t>
  </si>
  <si>
    <t>Резерв «р»</t>
  </si>
  <si>
    <t>Свободно</t>
  </si>
  <si>
    <t>до 14 кВт — 0,8 (строка 0 кВт нужна для интерполяции)</t>
  </si>
  <si>
    <t>Рабочее освещение</t>
  </si>
  <si>
    <t>Светильник</t>
  </si>
  <si>
    <t>$RECOVER_230831092053-0</t>
  </si>
  <si>
    <t>Сервопривод</t>
  </si>
  <si>
    <t>Сервопривод-1</t>
  </si>
  <si>
    <t>Наружное и фасадное освещение</t>
  </si>
  <si>
    <t>Розеточная сеть и бытовые приборы</t>
  </si>
  <si>
    <t>Быт</t>
  </si>
  <si>
    <t>Клапан</t>
  </si>
  <si>
    <t>EK.1</t>
  </si>
  <si>
    <t>ИТОГИ ПО ОДНОЛИНЕЙКЕ</t>
  </si>
  <si>
    <t>Привод (двигатель)</t>
  </si>
  <si>
    <t>Привод</t>
  </si>
  <si>
    <t>Электрический тёплый пол</t>
  </si>
  <si>
    <t>Нагреватель</t>
  </si>
  <si>
    <t>(условный значок программы)</t>
  </si>
  <si>
    <t>Электроотопление (конвекторы, камины)</t>
  </si>
  <si>
    <t>Слаботочные системы, автоматизация, KNX</t>
  </si>
  <si>
    <t>Пост</t>
  </si>
  <si>
    <t>Прочее (прямоуг. с подписью)</t>
  </si>
  <si>
    <t>Клемм XT (номеров)</t>
  </si>
  <si>
    <t>Кондиционирование и увлажнение</t>
  </si>
  <si>
    <t>Системы безопасности и связи</t>
  </si>
  <si>
    <t xml:space="preserve">  трёхуровневых блоков</t>
  </si>
  <si>
    <t>70 кВт и более — 0,45</t>
  </si>
  <si>
    <t>Вентиляция</t>
  </si>
  <si>
    <t xml:space="preserve">  доп. проходных</t>
  </si>
  <si>
    <t>Водонагреватели</t>
  </si>
  <si>
    <t>НАСТРОЙКИ</t>
  </si>
  <si>
    <t>Приводы (шторы, ворота, краны)</t>
  </si>
  <si>
    <t>Строк с ошибками (красные в AE)</t>
  </si>
  <si>
    <t>Ко сил.</t>
  </si>
  <si>
    <t>Коэффициент участия силовой нагрузки в максимуме: Рр = Рр.быт + 0,9·Рр.сил (СП 256, расчёт жилого дома)</t>
  </si>
  <si>
    <t>Строк с предупреждениями (жёлтые в AE)</t>
  </si>
  <si>
    <t>ГРУППЫ</t>
  </si>
  <si>
    <t>«Исходные данные»: AZ — группа (пусто = по коду, столбец AZ этой страницы), BA — Кс для «Сил», BB — секция (1/2)</t>
  </si>
  <si>
    <t>Системы противопожарной защиты</t>
  </si>
  <si>
    <t>pe</t>
  </si>
  <si>
    <t>Бытовая нагрузка дома/квартиры: розетки, свет, тёплый пол, кондиционеры, бытовые щиты ЩР. Кс — по таблице выше по СУММЕ Руст быт щита (не перемножать с Кс нижних щитов).</t>
  </si>
  <si>
    <t>Технология пищеприготовления</t>
  </si>
  <si>
    <t>фтп</t>
  </si>
  <si>
    <t>FTP 5e 4x2x0.51</t>
  </si>
  <si>
    <t>КАК ПОДБИРАЕТСЯ АВТОМАТ («авто»)</t>
  </si>
  <si>
    <t>Сил</t>
  </si>
  <si>
    <t>Силовая: вентиляция, насосы, пищеблок, бассейн, хаммам… Кс — свой у каждой линии («Исходные данные» BA; пусто = 1). Вентиляция и насосы — по табл. СП 256 для сантехнического и вентиляционного оборудования (по числу двигателей, резервные не учитывать); пищеблок — по табл. для теплового оборудования.</t>
  </si>
  <si>
    <t>Бассейн, SPA, хаммам</t>
  </si>
  <si>
    <t>эк</t>
  </si>
  <si>
    <t>МКЭШнг(A)-LS</t>
  </si>
  <si>
    <t>Постоянная, Кс = 1 и без Ко: обогрев кровли/воронок, слаботочные шкафы, АСУ, питание KNX, СПЗ.</t>
  </si>
  <si>
    <t>Насосы (водоснабжение, дренаж)</t>
  </si>
  <si>
    <t>5pe</t>
  </si>
  <si>
    <t>5ПуГВ</t>
  </si>
  <si>
    <t>2. Номинал по току — по таблице «Автомат_номиналы» (эта страница, F:G).</t>
  </si>
  <si>
    <t>Не учитывается в Руст и Рр: вводы, резервные линии и двигатели, транзит.</t>
  </si>
  <si>
    <t>Обогрев водостоков и кровли</t>
  </si>
  <si>
    <t>Сечение подбирается как наименьшее, у которого Iдоп·k ≥ In автомата (ГОСТ Р 50571.4.43: Ib ≤ In ≤ Iz); k = 0,92 для 4–5-жильных в 3ф (ПУЭ 1.3.10) × «К прокл.». 240 мм² — только одножильные (в табл. 1.3.6 для многожильных нет).</t>
  </si>
  <si>
    <t>5мс</t>
  </si>
  <si>
    <t xml:space="preserve">5хВВГнг(А)-LS </t>
  </si>
  <si>
    <t>3. Итог = наибольший из: по току, «Мин. автомат» по коду (AX: розетки 16 А, свет 10 А) и ручного автомата из «Исходных данных».</t>
  </si>
  <si>
    <t>5мс2</t>
  </si>
  <si>
    <t>4. «Макс. автомат по кабелю» — по сечению (I:J). Если итог больше — «КАБЕЛЬ НЕ ЗАЩИЩЁН».</t>
  </si>
  <si>
    <t>ФОРМУЛА</t>
  </si>
  <si>
    <t>Распределительные щиты жилой части</t>
  </si>
  <si>
    <t>5. Если после автомата БП/трансформатор — берётся ток и мин. номинал BF5.</t>
  </si>
  <si>
    <t>Рр = Руст.быт · Кс(табл.) + Ко · Σ(Pсил · Кс) + Σ Pпост;   Кс итоговый = Рр / Руст — он идёт в «Нагрузка_щитов» V9 и в «В Акад».</t>
  </si>
  <si>
    <t>Прочее</t>
  </si>
  <si>
    <t>6. Полюса: 3 фазы → 3P (4P с 30 мА), 1 фаза → 1P (2P с 30 мА).</t>
  </si>
  <si>
    <t>Iр — по наиболее нагруженной фазе: Iр = Pф.max · Кс итог / (0,22 · cos φ), но не меньше симметричного Рр / (√3 · 0,38 · cos φ).</t>
  </si>
  <si>
    <t>7. 30 мА: столбец F «Однолинейки» или по коду (AW).</t>
  </si>
  <si>
    <t>Секции: «Весь щит» = аварийный режим (все линии на одном вводе) — по нему выбирать вводные аппараты при АВР/секционном; «Секция 1» и «Секция 2» — нормальный режим.</t>
  </si>
  <si>
    <t>8. Свой текст в «Автомат» (например «2P С20А 30мА») — используется как есть и проверяется.</t>
  </si>
  <si>
    <t>Многоуровневое питание: в ВРУ/ГРЩ линия к бытовому ЩР — группа «Быт» с Руст этого щита; Кс считается заново по сумме, Кс нижних щитов не перемножается.</t>
  </si>
  <si>
    <t>НАСТРОЙКИ СЕТИ</t>
  </si>
  <si>
    <t>Uн, кВ</t>
  </si>
  <si>
    <t>Номинальное линейное напряжение (ГОСТ 29322-2014: 230/400 В). Фазное = Uн/√3. Для 380 В впишите 0,38.</t>
  </si>
  <si>
    <t>К прокл.</t>
  </si>
  <si>
    <t>Общий коэффициент снижения допустимого тока (пучок, многослойно в лотке/коробе — ПУЭ табл. 1.3.12, температура). В воздухе/лотке однорядно — 1.</t>
  </si>
  <si>
    <t>ΔU до шин щита теперь считается на листе «Питание_щита».</t>
  </si>
  <si>
    <t>Свой значок: впишите название в BA и точное имя блока в BB (код оставьте пустым) — блок возьмётся из библиотеки DWG.</t>
  </si>
  <si>
    <t>Свободных каналов всего</t>
  </si>
  <si>
    <t>Доп. коды (нет в списке P — латиница/кириллица и т.п.)</t>
  </si>
  <si>
    <t>КАТАЛОГ ОБОРУДОВАНИЯ. Спецификация собирается отсюда: N — посчитано по однолинейке, O — впишите вручную (корпус, провод, запас). Добавляйте строки вниз.</t>
  </si>
  <si>
    <t>список автоматов</t>
  </si>
  <si>
    <t>список аппаратов</t>
  </si>
  <si>
    <t>список модулей</t>
  </si>
  <si>
    <t>список произв.</t>
  </si>
  <si>
    <t>Категория (раздел)</t>
  </si>
  <si>
    <t>Производитель</t>
  </si>
  <si>
    <t>Модель (как в таблице)</t>
  </si>
  <si>
    <t>Префикс модуля</t>
  </si>
  <si>
    <t>Тип каналов</t>
  </si>
  <si>
    <t>Наименование для спецификации</t>
  </si>
  <si>
    <t>Полюса</t>
  </si>
  <si>
    <t>Номинал, А</t>
  </si>
  <si>
    <t>Ширина, мод. DIN</t>
  </si>
  <si>
    <t>Ед.</t>
  </si>
  <si>
    <t>Вручную / запас (+)</t>
  </si>
  <si>
    <t>ИТОГО в спецификацию</t>
  </si>
  <si>
    <t>Значение</t>
  </si>
  <si>
    <t>обозначение</t>
  </si>
  <si>
    <t>ключ</t>
  </si>
  <si>
    <t>№ авт.</t>
  </si>
  <si>
    <t>№ апп.</t>
  </si>
  <si>
    <t>№ мод.</t>
  </si>
  <si>
    <t>№ произв.</t>
  </si>
  <si>
    <t>(все)</t>
  </si>
  <si>
    <t>ключ сортировки</t>
  </si>
  <si>
    <t>№ в спецификации</t>
  </si>
  <si>
    <t>нет в каталоге</t>
  </si>
  <si>
    <t>№</t>
  </si>
  <si>
    <t>NB1-63 1P C10</t>
  </si>
  <si>
    <t>Автоматический выключатель NB1-63 1P 10А 6кА х-ка C (DB)</t>
  </si>
  <si>
    <t>1P</t>
  </si>
  <si>
    <t>Производитель автоматов</t>
  </si>
  <si>
    <t>NB1-63 1P C16</t>
  </si>
  <si>
    <t>Автоматический выключатель NB1-63 1P 16А 6кА х-ка C (DB)</t>
  </si>
  <si>
    <t>Производитель аппаратов</t>
  </si>
  <si>
    <t>NB1-63 3P C20</t>
  </si>
  <si>
    <t>Автоматический выключатель NB1-63 3P 20А 6кА х-ка C (DB)</t>
  </si>
  <si>
    <t>179702</t>
  </si>
  <si>
    <t>3P</t>
  </si>
  <si>
    <t>Производитель модулей</t>
  </si>
  <si>
    <t>NB1-63 4P C50</t>
  </si>
  <si>
    <t>Автоматический выключатель NB1-63 4P 50А 6кА х-ка C (DB)</t>
  </si>
  <si>
    <t>179750</t>
  </si>
  <si>
    <t>4P</t>
  </si>
  <si>
    <t>Клемма трёхуровневая (модель)</t>
  </si>
  <si>
    <t>NXB-125 3P C80</t>
  </si>
  <si>
    <t>Автоматический выключатель NXB-125 3P C80 10кА х-ка C</t>
  </si>
  <si>
    <t>Клемма проходная доп. (модель)</t>
  </si>
  <si>
    <t>Дифавтомат</t>
  </si>
  <si>
    <t>NB1L 1P+N C16 30мА</t>
  </si>
  <si>
    <t>Дифавтомат (АВДТ) NB1L 1P+N C16 30мА тип A 6кА</t>
  </si>
  <si>
    <t>2P</t>
  </si>
  <si>
    <t>Трёхуровневых на 4–5-жильную линию, если по коду не задано</t>
  </si>
  <si>
    <t>NB1L 1P+N C20 30мА</t>
  </si>
  <si>
    <t>Дифавтомат (АВДТ) NB1L 1P+N C20 30мА тип A 6кА</t>
  </si>
  <si>
    <t>NB1L 1P+N C32 30мА</t>
  </si>
  <si>
    <t>Дифавтомат (АВДТ) NB1L 1P+N C32 30мА тип A 6кА</t>
  </si>
  <si>
    <t>ПОРЯДОК РАЗДЕЛОВ СПЕЦИФИКАЦИИ (можно менять и дописывать)</t>
  </si>
  <si>
    <t>Аппарат</t>
  </si>
  <si>
    <t>Корпус</t>
  </si>
  <si>
    <t>КМ NCH8-63/40</t>
  </si>
  <si>
    <t>Контактор модульный NCH8-63/40 63А 4НО AC220/230В</t>
  </si>
  <si>
    <t>КМ NCH8-40/40</t>
  </si>
  <si>
    <t>Контактор модульный NCH8-40/40 40А 4НО AC220/230В</t>
  </si>
  <si>
    <t>NJVA1-100</t>
  </si>
  <si>
    <t>NZK1-32 2P</t>
  </si>
  <si>
    <t>Модульный переключатель NZK1-32 2P 32А 3 положения</t>
  </si>
  <si>
    <t>БП 24V 480W</t>
  </si>
  <si>
    <t>Блок питания ARV-DRP480-PFC-24 (24V, 20A, 480W)</t>
  </si>
  <si>
    <t>Шины</t>
  </si>
  <si>
    <t>БП 24V 75W</t>
  </si>
  <si>
    <t>БП 12V 135W</t>
  </si>
  <si>
    <t>Провод</t>
  </si>
  <si>
    <t>БП 12V 15W</t>
  </si>
  <si>
    <t>Универсальный источник питания KNX</t>
  </si>
  <si>
    <t>Актуатор клапанов отопления 230В</t>
  </si>
  <si>
    <t>Универсальный 4-канальный диммер 220V</t>
  </si>
  <si>
    <t>ЕСТЬ В ОДНОЛИНЕЙКЕ, НО НЕТ В КАТАЛОГЕ — добавьте строку:</t>
  </si>
  <si>
    <t>IN</t>
  </si>
  <si>
    <t>входы</t>
  </si>
  <si>
    <t>SMART-DALI-104</t>
  </si>
  <si>
    <t>диммер DALI</t>
  </si>
  <si>
    <t>Диммер SMART-DALI-104-62-ADDR-DIM-DT6-DIN White (12-24V, 4x5A)</t>
  </si>
  <si>
    <t>—</t>
  </si>
  <si>
    <t>Модель уточнить</t>
  </si>
  <si>
    <t>датчики</t>
  </si>
  <si>
    <t>Клемма трёхуровневая push-in, 6 точек, 2.5 кв.мм</t>
  </si>
  <si>
    <t>Клемма проходная push-in, 4 точки, 2.5 кв.мм, серая</t>
  </si>
  <si>
    <t>Клемма проходная push-in, 2 точки, 4 кв.мм, серая</t>
  </si>
  <si>
    <t>Клемма проходная push-in, 2 точки, 6 кв.мм, серая</t>
  </si>
  <si>
    <t>Клемма проходная push-in, 2 точки, 16 кв.мм, серая</t>
  </si>
  <si>
    <t>79467</t>
  </si>
  <si>
    <t>79444</t>
  </si>
  <si>
    <t>79452</t>
  </si>
  <si>
    <t>79473</t>
  </si>
  <si>
    <t>Расходные материалы (наконечни</t>
  </si>
  <si>
    <t>Кс (для Сил)</t>
  </si>
  <si>
    <t>Группа Кс (итог)</t>
  </si>
  <si>
    <t>ΔU от ВРУ, %</t>
  </si>
  <si>
    <t>Iкз min в конце линии, А</t>
  </si>
  <si>
    <t>Iкз / In</t>
  </si>
  <si>
    <t>Zпетли в конце, Ом</t>
  </si>
  <si>
    <t>Iкз max в конце, кА</t>
  </si>
  <si>
    <t>Основной ввод в дом №1</t>
  </si>
  <si>
    <t>Ввод.1</t>
  </si>
  <si>
    <t>Основной ввод в дом №2</t>
  </si>
  <si>
    <t>Ввод.2</t>
  </si>
  <si>
    <t>Щит вентиляции ЩОВ-01 Цокольный этаж этаж Пом. №0.001Тб</t>
  </si>
  <si>
    <t>ЩОВ-01</t>
  </si>
  <si>
    <t>Щит вентиляции ЩОВ-001 Подвальный этаж этаж Пом. №00.006Т</t>
  </si>
  <si>
    <t>ЩОВ-001</t>
  </si>
  <si>
    <t>Щит вентиляции ЩОВ-002 Подвальный этаж этаж Пом. №00.003Т</t>
  </si>
  <si>
    <t>ЩОВ-002</t>
  </si>
  <si>
    <t>Щит вентиляции ЩОВ-2 Техэтаж этаж Пом. №3.001Т</t>
  </si>
  <si>
    <t>ЩОВ-2</t>
  </si>
  <si>
    <t>Щит распределительный ЩР-001 Подвальный этаж этаж Пом. №00.004Т</t>
  </si>
  <si>
    <t>ЩР-001</t>
  </si>
  <si>
    <t>Щит распределительный ЩР-01 Цокольный этаж этаж Пом. №0.001Т</t>
  </si>
  <si>
    <t>ЩР-01</t>
  </si>
  <si>
    <t>Щит распределительный ЩР-1 Первый этаж этаж Пом. №1.003Б</t>
  </si>
  <si>
    <t>ЩР-1</t>
  </si>
  <si>
    <t>Щит распределительный ЩР-2 Техэтаж этаж Пом. №3.001Т</t>
  </si>
  <si>
    <t>ЩР-2</t>
  </si>
  <si>
    <t>Щит бассейна ЩС-Б Подвальный этаж этаж Пом. №00.002Тб</t>
  </si>
  <si>
    <t>ЩС-Б</t>
  </si>
  <si>
    <t>Щит дренажных насосов ЩС-ВК.001 Подвальный этаж этаж Пом. 00.002Т</t>
  </si>
  <si>
    <t>ЩС-ВК.001</t>
  </si>
  <si>
    <t>Щит насосов ЩС-ВК.002 Подвальный этаж этаж Пом. №00.002Тб</t>
  </si>
  <si>
    <t>ЩС-ВК.002</t>
  </si>
  <si>
    <t>Щит насосов ЩС-ВК.003 Подвальный этаж этаж Пом. №00.006Т</t>
  </si>
  <si>
    <t>ЩС-ВК.003</t>
  </si>
  <si>
    <t>Щит управления обогрева воронок ЩУОВ Тех. этаж этаж Пом. №3.001</t>
  </si>
  <si>
    <t>ЩУОВ</t>
  </si>
  <si>
    <t>Щит профкухни ЩС-ПК Цокольный этаж этаж Пом. №0.0014Б</t>
  </si>
  <si>
    <t>ЩР-ПК</t>
  </si>
  <si>
    <t>Щит освещения ЩО-2 Тех. этаж этаж Пом. №3.001</t>
  </si>
  <si>
    <t>ЩО-2</t>
  </si>
  <si>
    <t>Щит Хаммам РЩ-1  Подвальный этаж этаж Пом. №00.001Тб</t>
  </si>
  <si>
    <t>РЩ-1</t>
  </si>
  <si>
    <t>Э.4</t>
  </si>
  <si>
    <t>SEC1-21</t>
  </si>
  <si>
    <t>Щит системы противопожарной защиты Цокольный этаж этаж Пом. №001Т Ввод.1</t>
  </si>
  <si>
    <t>ЩСПЗ-ЖД.1</t>
  </si>
  <si>
    <t>Щит системы противопожарной защиты Цокольный этаж этаж Пом. №001Т Ввод.2</t>
  </si>
  <si>
    <t>ЩСПЗ-ЖД.2</t>
  </si>
  <si>
    <t>ЩГП</t>
  </si>
  <si>
    <t>ГРЩ-ЖД</t>
  </si>
  <si>
    <t>Статус строки
(что проверить)</t>
  </si>
  <si>
    <t>тип автомата №</t>
  </si>
  <si>
    <t>аппарат 1 №</t>
  </si>
  <si>
    <t>аппарат 2 №</t>
  </si>
  <si>
    <t>аппарат 3 №</t>
  </si>
  <si>
    <t>кабель клеммы</t>
  </si>
  <si>
    <t>вид клеммы №</t>
  </si>
  <si>
    <t>модуль №</t>
  </si>
  <si>
    <t>модель №</t>
  </si>
  <si>
    <t>уровень</t>
  </si>
  <si>
    <t>№ линии</t>
  </si>
  <si>
    <t>3L клемм</t>
  </si>
  <si>
    <t>доп. проходных</t>
  </si>
  <si>
    <t>УГО (рус)</t>
  </si>
  <si>
    <t>кА</t>
  </si>
  <si>
    <t>кВА</t>
  </si>
  <si>
    <t>Кабелей параллельно</t>
  </si>
  <si>
    <t>Показатель</t>
  </si>
  <si>
    <t>cos φ</t>
  </si>
  <si>
    <t>ΔU питающей линии</t>
  </si>
  <si>
    <t>Iкз min (1ф) на шинах</t>
  </si>
  <si>
    <t>Iкз max (3ф) на шинах</t>
  </si>
  <si>
    <t>Руст, кВт</t>
  </si>
  <si>
    <t>Руст пост, кВт</t>
  </si>
  <si>
    <t>Iр, А</t>
  </si>
  <si>
    <t>≈ 1,5·ρ20</t>
  </si>
  <si>
    <t>Рр сил, кВт</t>
  </si>
  <si>
    <t>Секция</t>
  </si>
  <si>
    <t>Объект:</t>
  </si>
  <si>
    <t>II</t>
  </si>
  <si>
    <t>Режим:</t>
  </si>
  <si>
    <t>tg φ</t>
  </si>
  <si>
    <t>Категория</t>
  </si>
  <si>
    <t>Руст</t>
  </si>
  <si>
    <t>Рр</t>
  </si>
  <si>
    <t>Напряжение сети</t>
  </si>
  <si>
    <t>Система заземления</t>
  </si>
  <si>
    <t>TN-C-S</t>
  </si>
  <si>
    <t>Категория надёжности электроснабжения</t>
  </si>
  <si>
    <t>Установленная мощность Руст, кВт</t>
  </si>
  <si>
    <t>Расчётная мощность Рр, кВт / Sр, кВА / cos φ</t>
  </si>
  <si>
    <t>Расчётный ток Iр, А</t>
  </si>
  <si>
    <t>Компенсация реактивной мощности</t>
  </si>
  <si>
    <t>ПОДСЧЁТ ПО ЛИСТУ «ОДНОЛИНЕЙКА» (считается сам)</t>
  </si>
  <si>
    <t>Трёхуровн.</t>
  </si>
  <si>
    <t>Доп. проходных</t>
  </si>
  <si>
    <t>Автоматы и дифавтоматы (полюса, номинал, 30 мА)</t>
  </si>
  <si>
    <t xml:space="preserve">  всего автоматов</t>
  </si>
  <si>
    <t>Аппараты после автоматов (трансформаторы, БП, МК, КМ)</t>
  </si>
  <si>
    <t>Модули умного дома (по модели)</t>
  </si>
  <si>
    <t>Клеммы XT по кабелю линии (жилы × сечение)</t>
  </si>
  <si>
    <t xml:space="preserve">  всего клемм XT</t>
  </si>
  <si>
    <t>Клемма трёхуровневая (по настройке Каталога)</t>
  </si>
  <si>
    <t>Клемма проходная доп. (по настройке Каталога)</t>
  </si>
  <si>
    <t>Трёхуровневая = L/N/PE одной линии; у 5-жильных ещё 2 проходные на доп. жилы.</t>
  </si>
  <si>
    <t>Линий с необеспеченной категорией (v3.12)</t>
  </si>
  <si>
    <t>Ввод 1</t>
  </si>
  <si>
    <t>Тип шины</t>
  </si>
  <si>
    <t>Категория (итог)</t>
  </si>
  <si>
    <t>Пожарная (итог)</t>
  </si>
  <si>
    <t>Источник для режимов</t>
  </si>
  <si>
    <t>Категория обеспечена</t>
  </si>
  <si>
    <t>Категория: проверка</t>
  </si>
  <si>
    <t>Пожарная</t>
  </si>
  <si>
    <t>Кс быт</t>
  </si>
  <si>
    <t>Рр, кВт</t>
  </si>
  <si>
    <t>Qр, квар</t>
  </si>
  <si>
    <t>Sр, кВА</t>
  </si>
  <si>
    <t>Ввод 2</t>
  </si>
  <si>
    <t>Ввод 3</t>
  </si>
  <si>
    <t>ИБП</t>
  </si>
  <si>
    <t>ДГУ</t>
  </si>
  <si>
    <t>Итого</t>
  </si>
  <si>
    <t>Не обеспечено, линий</t>
  </si>
  <si>
    <t>I особая</t>
  </si>
  <si>
    <t>I</t>
  </si>
  <si>
    <t>III</t>
  </si>
  <si>
    <t>Шина</t>
  </si>
  <si>
    <t>Допустимая загрузка ИБП</t>
  </si>
  <si>
    <t>мин</t>
  </si>
  <si>
    <t>КПД инвертора</t>
  </si>
  <si>
    <t>Группа</t>
  </si>
  <si>
    <t>4</t>
  </si>
  <si>
    <t>6</t>
  </si>
  <si>
    <t>7</t>
  </si>
  <si>
    <t>Схема</t>
  </si>
  <si>
    <t>1 ввод, питающая линия пусто или III</t>
  </si>
  <si>
    <t>2–3 ввода без АВР</t>
  </si>
  <si>
    <t>2–3 ввода с АВР</t>
  </si>
  <si>
    <t>ОБЪЕКТ: настройки</t>
  </si>
  <si>
    <t>Объект</t>
  </si>
  <si>
    <t>название и адрес</t>
  </si>
  <si>
    <t>ρ меди для Iкз min, Ом·мм²/м</t>
  </si>
  <si>
    <t>≈ 1,5·ρ20 (ГОСТ 28249 п. 2.4.2)</t>
  </si>
  <si>
    <t>ρ алюминия для Iкз min, Ом·мм²/м</t>
  </si>
  <si>
    <t>Переходные сопротивления на щит, Ом</t>
  </si>
  <si>
    <t>контакты и аппараты на каждый щит</t>
  </si>
  <si>
    <t>c_min для Iкз min</t>
  </si>
  <si>
    <t>МЭК 60909-0</t>
  </si>
  <si>
    <t>Методика расчёта</t>
  </si>
  <si>
    <t>нормы 2026</t>
  </si>
  <si>
    <t>v3.12 — как старая книга (для сверки); нормы 2026 — СП 256 с Изм. 9 (см. «Методика»)</t>
  </si>
  <si>
    <t>kп.к — региональный коэффициент</t>
  </si>
  <si>
    <t>СП 256 табл. 7.5а (ЦФО 0,81, СЗФО 0,91…); для частного дома по умолчанию 1</t>
  </si>
  <si>
    <t>по коду и № помещения</t>
  </si>
  <si>
    <t>«по коду и № помещения» — «Розеточная группа, пом. 105»; «по экспликации» — название из листа «Экспликация»</t>
  </si>
  <si>
    <t>Писать «пом.» в наименовании</t>
  </si>
  <si>
    <t>да — «…, пом. 105»; нет — «… 105»</t>
  </si>
  <si>
    <t>Марка кабеля для пожарных линий</t>
  </si>
  <si>
    <t>обозначение из «Коды» → «Кабели» (мфр = ВВГнг(А)-FRLS)</t>
  </si>
  <si>
    <t>Число силовых ЭП</t>
  </si>
  <si>
    <t>Кс (СП 256 табл. 7.5)</t>
  </si>
  <si>
    <t>КОДЫ = ТИПОВЫЕ ПОТРЕБИТЕЛИ: код задаёт всё по умолчанию (марка, жилы, мин. сечение, кВт на шт, характеристика, утечка, управление, аппараты). Новая строка — сразу под таблицей.</t>
  </si>
  <si>
    <t>Код</t>
  </si>
  <si>
    <t>Опуск, м</t>
  </si>
  <si>
    <t>Пуск: 1 нет/2 двигатель/3 свет</t>
  </si>
  <si>
    <t>Жил</t>
  </si>
  <si>
    <t>Фаз</t>
  </si>
  <si>
    <t>Вид нагрузки</t>
  </si>
  <si>
    <t>кВт на шт</t>
  </si>
  <si>
    <t>Характеристика (B/C/D)</t>
  </si>
  <si>
    <t>Вид аппарата утечки</t>
  </si>
  <si>
    <t>Управление</t>
  </si>
  <si>
    <t>Аппараты</t>
  </si>
  <si>
    <t>Вводной кабель</t>
  </si>
  <si>
    <t>Осветительная группа</t>
  </si>
  <si>
    <t>Вытяжная установка</t>
  </si>
  <si>
    <t>Привод штор</t>
  </si>
  <si>
    <t>Внутренний блок кондиционирования</t>
  </si>
  <si>
    <t>Выключатель кнопочный/сухой контакт</t>
  </si>
  <si>
    <t>Точка заземления</t>
  </si>
  <si>
    <t>LED-подсветка</t>
  </si>
  <si>
    <t>FR</t>
  </si>
  <si>
    <t>Фасадные розетки</t>
  </si>
  <si>
    <t>FL</t>
  </si>
  <si>
    <t>Фасадное освещение</t>
  </si>
  <si>
    <t>LT</t>
  </si>
  <si>
    <t>Трековое освещение</t>
  </si>
  <si>
    <t>Шина DALI</t>
  </si>
  <si>
    <t>ЭОК</t>
  </si>
  <si>
    <t>Электрообогрев кровли и водостоков</t>
  </si>
  <si>
    <t>V</t>
  </si>
  <si>
    <t>П</t>
  </si>
  <si>
    <t>НБ</t>
  </si>
  <si>
    <t>Наружный блок кондиционирования</t>
  </si>
  <si>
    <t>У</t>
  </si>
  <si>
    <t>КЛ</t>
  </si>
  <si>
    <t>Привод клапана вентиляции</t>
  </si>
  <si>
    <t>FLD</t>
  </si>
  <si>
    <t>Фасадная подсветка</t>
  </si>
  <si>
    <t>Кабель от ВРУ</t>
  </si>
  <si>
    <t>ТЕ-О</t>
  </si>
  <si>
    <t>Сервопривод отопления</t>
  </si>
  <si>
    <t>ТЕ-П</t>
  </si>
  <si>
    <t>Сервопривод тёплого пола</t>
  </si>
  <si>
    <t>Кран с электроприводом</t>
  </si>
  <si>
    <t>ЩС-Х</t>
  </si>
  <si>
    <t>Щит хаммама</t>
  </si>
  <si>
    <t>ЩС-РП</t>
  </si>
  <si>
    <t>Щит русской парной</t>
  </si>
  <si>
    <t>ЩС-ФС</t>
  </si>
  <si>
    <t>Щит финской сауны</t>
  </si>
  <si>
    <t>ЩС-КС</t>
  </si>
  <si>
    <t>Щит криосауны</t>
  </si>
  <si>
    <t>ЩС-КЗ</t>
  </si>
  <si>
    <t>Щит кинотеатра</t>
  </si>
  <si>
    <t>ЩС-К</t>
  </si>
  <si>
    <t>Щит проф.кухни</t>
  </si>
  <si>
    <t>ЩС-П</t>
  </si>
  <si>
    <t>Щит прачечной</t>
  </si>
  <si>
    <t>РМ</t>
  </si>
  <si>
    <t>Контакты реле РМ в щите ЩОПС</t>
  </si>
  <si>
    <t>KNX</t>
  </si>
  <si>
    <t>Шина оборудования KNX</t>
  </si>
  <si>
    <t>EIB</t>
  </si>
  <si>
    <t>Шина датчиков присутствия KNX</t>
  </si>
  <si>
    <t>Н</t>
  </si>
  <si>
    <t>Насос в ИТП</t>
  </si>
  <si>
    <t>СПД</t>
  </si>
  <si>
    <t>Станция повышения давления</t>
  </si>
  <si>
    <t>CR</t>
  </si>
  <si>
    <t>Управляемая розетка</t>
  </si>
  <si>
    <t>ШТК-ЛВС</t>
  </si>
  <si>
    <t>Шкаф телекоммуникационный ЛВС</t>
  </si>
  <si>
    <t>ШТК-СОТ</t>
  </si>
  <si>
    <t>Шкаф телекоммуникационный СОТ</t>
  </si>
  <si>
    <t>ШТК-РУМ</t>
  </si>
  <si>
    <t>Шкаф телекоммуникационный РУМ</t>
  </si>
  <si>
    <t>ЩКД</t>
  </si>
  <si>
    <t>Щит контроля доступа</t>
  </si>
  <si>
    <t>ЩС</t>
  </si>
  <si>
    <t>Щит силовой</t>
  </si>
  <si>
    <t>ЩКД-01</t>
  </si>
  <si>
    <t>Щит контроля доступа первого этажа</t>
  </si>
  <si>
    <t>НВК</t>
  </si>
  <si>
    <t>Насос дренажный</t>
  </si>
  <si>
    <t>Э</t>
  </si>
  <si>
    <t>Управляющий электрощит бассейна</t>
  </si>
  <si>
    <t>РЕ</t>
  </si>
  <si>
    <t>ЩС-ГМ</t>
  </si>
  <si>
    <t>Щит гидромассажной ванны</t>
  </si>
  <si>
    <t>ЩС-ГК</t>
  </si>
  <si>
    <t>Щит горячей купели</t>
  </si>
  <si>
    <t>ЩС-ХК</t>
  </si>
  <si>
    <t>Щит холодной купели</t>
  </si>
  <si>
    <t>Щит бассейна</t>
  </si>
  <si>
    <t>ЩКД.001</t>
  </si>
  <si>
    <t>ЩР</t>
  </si>
  <si>
    <t>Щит распределительный</t>
  </si>
  <si>
    <t>БКН</t>
  </si>
  <si>
    <t>Бойлер косвенного нагрева</t>
  </si>
  <si>
    <t>ЖУ</t>
  </si>
  <si>
    <t>Жироулавливатель</t>
  </si>
  <si>
    <t>ЩБП</t>
  </si>
  <si>
    <t>Щит с блоками питания подсветок</t>
  </si>
  <si>
    <t>ЩПК</t>
  </si>
  <si>
    <t>Щит профессиональной кухни</t>
  </si>
  <si>
    <t>ШТК</t>
  </si>
  <si>
    <t>Шкаф телекоммуникационный</t>
  </si>
  <si>
    <t>На СТБ</t>
  </si>
  <si>
    <t>Кабель на стабилизатор</t>
  </si>
  <si>
    <t>От СТБ</t>
  </si>
  <si>
    <t>Кабель от стабилизатора</t>
  </si>
  <si>
    <t>П2</t>
  </si>
  <si>
    <t>Парогенератор</t>
  </si>
  <si>
    <t>П1/В1</t>
  </si>
  <si>
    <t>Вентустановка</t>
  </si>
  <si>
    <t>П2/В2</t>
  </si>
  <si>
    <t>П3/В3</t>
  </si>
  <si>
    <t>FCP21</t>
  </si>
  <si>
    <t>шкаф пожарной сигнализации</t>
  </si>
  <si>
    <t>ENC211</t>
  </si>
  <si>
    <t>шкаф системы оповещения и управления эвакуацией</t>
  </si>
  <si>
    <t>Вводной кабель №2</t>
  </si>
  <si>
    <t>Вводной кабель №1</t>
  </si>
  <si>
    <t>Код (УГО)</t>
  </si>
  <si>
    <t>Дифзащита, мА (да = 30)</t>
  </si>
  <si>
    <t>3L клемм на линию</t>
  </si>
  <si>
    <t>Название этажа</t>
  </si>
  <si>
    <t>Подъём, м</t>
  </si>
  <si>
    <t>По другим этажам, м</t>
  </si>
  <si>
    <t>Первый этаж</t>
  </si>
  <si>
    <t>Второй этаж</t>
  </si>
  <si>
    <t>00</t>
  </si>
  <si>
    <t>Подвальный этаж</t>
  </si>
  <si>
    <t>Кровля</t>
  </si>
  <si>
    <t>Обозначение</t>
  </si>
  <si>
    <t>Сечение в марке (1 да / 2 нет)</t>
  </si>
  <si>
    <t>5ВВГнг(А)-LS</t>
  </si>
  <si>
    <t>ЭКСПЛИКАЦИЯ (по желанию): этаж и помещение — как в номере линии (R.1.05.3 → этаж 1, помещение 05). Включается на листе «Объект»: «Наименование линии» = «по экспликации».</t>
  </si>
  <si>
    <t>Название</t>
  </si>
  <si>
    <t>Питается от</t>
  </si>
  <si>
    <t>Вводов</t>
  </si>
  <si>
    <t>АВР</t>
  </si>
  <si>
    <t>ИБП от</t>
  </si>
  <si>
    <t>Листов под вводной узел</t>
  </si>
  <si>
    <t>Питание: от (ТП / сеть)</t>
  </si>
  <si>
    <t>ΔU до питающего, %</t>
  </si>
  <si>
    <t>Iкз min от сети, А</t>
  </si>
  <si>
    <t>Iкз max от сети, кА</t>
  </si>
  <si>
    <t>Sтр, кВА</t>
  </si>
  <si>
    <t>Схема тр-ра</t>
  </si>
  <si>
    <t>Питающий кабель: S, мм²</t>
  </si>
  <si>
    <t>Материал</t>
  </si>
  <si>
    <t>In питающего аппарата, А</t>
  </si>
  <si>
    <t>Хар-ка аппарата</t>
  </si>
  <si>
    <t>Кат. питающей линии (ручн.)</t>
  </si>
  <si>
    <t>Питается от (итог)</t>
  </si>
  <si>
    <t>Замечания щита</t>
  </si>
  <si>
    <t>Линия фидера</t>
  </si>
  <si>
    <t>ΔU до шин, %</t>
  </si>
  <si>
    <t>Iкз min на шинах, А</t>
  </si>
  <si>
    <t>Iкз max на шинах, кА</t>
  </si>
  <si>
    <t>Категория шины «Ввод»</t>
  </si>
  <si>
    <t>Путь</t>
  </si>
  <si>
    <t>Корень</t>
  </si>
  <si>
    <t>Уровень</t>
  </si>
  <si>
    <t>_строка фидера</t>
  </si>
  <si>
    <t>_Руст собств</t>
  </si>
  <si>
    <t>_быт собств</t>
  </si>
  <si>
    <t>_сил собств</t>
  </si>
  <si>
    <t>_пост собств</t>
  </si>
  <si>
    <t>_P собств</t>
  </si>
  <si>
    <t>_Pcos собств</t>
  </si>
  <si>
    <t>_отоп собств</t>
  </si>
  <si>
    <t>_внг собств</t>
  </si>
  <si>
    <t>Р отопления, кВт</t>
  </si>
  <si>
    <t>Рр ВНГ, кВт</t>
  </si>
  <si>
    <t>_n силовых</t>
  </si>
  <si>
    <t>Кс силовых (табл. 7.5)</t>
  </si>
  <si>
    <t>Ко</t>
  </si>
  <si>
    <t>Кс итог</t>
  </si>
  <si>
    <t>P L1, кВт</t>
  </si>
  <si>
    <t>P L2, кВт</t>
  </si>
  <si>
    <t>P L3, кВт</t>
  </si>
  <si>
    <t>_ΔU фидера</t>
  </si>
  <si>
    <t>_ΔU пит. линии</t>
  </si>
  <si>
    <t>_ΔU источника</t>
  </si>
  <si>
    <t>_петля пит. кабеля</t>
  </si>
  <si>
    <t>_Zсети</t>
  </si>
  <si>
    <t>_Zисточника</t>
  </si>
  <si>
    <t>_Zфидера</t>
  </si>
  <si>
    <t>Zпетли на шинах, Ом</t>
  </si>
  <si>
    <t>_Zmax сети</t>
  </si>
  <si>
    <t>_Zmax источника</t>
  </si>
  <si>
    <t>_Zmax фидера</t>
  </si>
  <si>
    <t>Zmax на шинах, Ом</t>
  </si>
  <si>
    <t>_ΔU фидера (подбор)</t>
  </si>
  <si>
    <t>ΔU до шин (подбор), %</t>
  </si>
  <si>
    <t>_Zфидера (подбор)</t>
  </si>
  <si>
    <t>Zпетли на шинах (подбор), Ом</t>
  </si>
  <si>
    <t>_ранг собств</t>
  </si>
  <si>
    <t>Высшая категория нагрузки</t>
  </si>
  <si>
    <t>Категория фидера</t>
  </si>
  <si>
    <t>Iпуск max, А</t>
  </si>
  <si>
    <t>Источник фидера</t>
  </si>
  <si>
    <t>Пожарный фидер</t>
  </si>
  <si>
    <t>_фазы авто</t>
  </si>
  <si>
    <t>ЩО-001</t>
  </si>
  <si>
    <t>ЩСПЗ-ЖД</t>
  </si>
  <si>
    <t>ШИНЫ: тип шины вручную. Без строки здесь — по имени (ИБП / ДГУ) или по секции линии (Ввод 1 / 2 / 3).</t>
  </si>
  <si>
    <t>Тип</t>
  </si>
  <si>
    <t>Кол-во потребителей, шт</t>
  </si>
  <si>
    <t>Утечка, мА</t>
  </si>
  <si>
    <t>Длина линии (по плану), м</t>
  </si>
  <si>
    <t>Замечания</t>
  </si>
  <si>
    <t>Лист / место</t>
  </si>
  <si>
    <t>Питает щит</t>
  </si>
  <si>
    <t>cos φ (ручн.)</t>
  </si>
  <si>
    <t>Секция (1/2/3)</t>
  </si>
  <si>
    <t>Категория (I особая / I / II / III)</t>
  </si>
  <si>
    <t>Пожарная (да / нет)</t>
  </si>
  <si>
    <t>Режим</t>
  </si>
  <si>
    <t>№ места</t>
  </si>
  <si>
    <t>К прокл. линии</t>
  </si>
  <si>
    <t>_n</t>
  </si>
  <si>
    <t>_часть1</t>
  </si>
  <si>
    <t>_часть2</t>
  </si>
  <si>
    <t>_фидер</t>
  </si>
  <si>
    <t>_авто наименование</t>
  </si>
  <si>
    <t>Наименование (итог)</t>
  </si>
  <si>
    <t>_№ щита</t>
  </si>
  <si>
    <t>_мест узла</t>
  </si>
  <si>
    <t>_№ места (итог)</t>
  </si>
  <si>
    <t>_зона</t>
  </si>
  <si>
    <t>_кВт на шт</t>
  </si>
  <si>
    <t>_ввод щита</t>
  </si>
  <si>
    <t>_авто Р</t>
  </si>
  <si>
    <t>_Р (ввод итог)</t>
  </si>
  <si>
    <t>_Р линии, кВт</t>
  </si>
  <si>
    <t>_авто U</t>
  </si>
  <si>
    <t>U, В</t>
  </si>
  <si>
    <t>_авто фаз</t>
  </si>
  <si>
    <t>_авто марка</t>
  </si>
  <si>
    <t>Марка (итог)</t>
  </si>
  <si>
    <t>_авто жил</t>
  </si>
  <si>
    <t>_мин. сечение кода</t>
  </si>
  <si>
    <t>_тип пуска</t>
  </si>
  <si>
    <t>_гр (на автомате выше)</t>
  </si>
  <si>
    <t>_свой автомат</t>
  </si>
  <si>
    <t>_ток ниже в группе</t>
  </si>
  <si>
    <t>_Р ниже в группе</t>
  </si>
  <si>
    <t>_фаз ниже в группе</t>
  </si>
  <si>
    <t>_мин. номинал ниже</t>
  </si>
  <si>
    <t>_мА ниже в группе</t>
  </si>
  <si>
    <t>_дифзащита по коду, мА</t>
  </si>
  <si>
    <t>_авто утечка</t>
  </si>
  <si>
    <t>_вид аппарата утечки</t>
  </si>
  <si>
    <t>_мА линии</t>
  </si>
  <si>
    <t>_мА группы</t>
  </si>
  <si>
    <t>_мин. по типу</t>
  </si>
  <si>
    <t>_авто аппараты</t>
  </si>
  <si>
    <t>_аппараты (итог)</t>
  </si>
  <si>
    <t>Аппарат 1</t>
  </si>
  <si>
    <t>_БП после автомата</t>
  </si>
  <si>
    <t>_авто управление</t>
  </si>
  <si>
    <t>_управление (итог)</t>
  </si>
  <si>
    <t>_авто номинал</t>
  </si>
  <si>
    <t>_фаз группы</t>
  </si>
  <si>
    <t>_полюса</t>
  </si>
  <si>
    <t>_характеристика</t>
  </si>
  <si>
    <t>_авто автомат</t>
  </si>
  <si>
    <t>_автомат (итог ввода)</t>
  </si>
  <si>
    <t>Автомат (схема)</t>
  </si>
  <si>
    <t>_номинал итог</t>
  </si>
  <si>
    <t>_группа от</t>
  </si>
  <si>
    <t>_In гр.</t>
  </si>
  <si>
    <t>_автомат гр.</t>
  </si>
  <si>
    <t>_мА гр. (строки)</t>
  </si>
  <si>
    <t>_дифзащита гр. (строки)</t>
  </si>
  <si>
    <t>_БП в группе</t>
  </si>
  <si>
    <t>_ток группы</t>
  </si>
  <si>
    <t>_k жил</t>
  </si>
  <si>
    <t>_К прокл</t>
  </si>
  <si>
    <t>_столбец Iдоп</t>
  </si>
  <si>
    <t>_сечение в марке</t>
  </si>
  <si>
    <t>_ΔU до шин</t>
  </si>
  <si>
    <t>_Zпетли шин</t>
  </si>
  <si>
    <t>_ΔU до шин (подбор)</t>
  </si>
  <si>
    <t>_Zпетли шин (подбор)</t>
  </si>
  <si>
    <t>_авто длина по плану</t>
  </si>
  <si>
    <t>_Lплан</t>
  </si>
  <si>
    <t>_b</t>
  </si>
  <si>
    <t>_sin</t>
  </si>
  <si>
    <t>Допустимо ΔU, %</t>
  </si>
  <si>
    <t>_авто сечение</t>
  </si>
  <si>
    <t>_сечение по току</t>
  </si>
  <si>
    <t>_ΔU по току, %</t>
  </si>
  <si>
    <t>_Zкабеля по току</t>
  </si>
  <si>
    <t>_ρ</t>
  </si>
  <si>
    <t>_x</t>
  </si>
  <si>
    <t>_гофра ПВХ</t>
  </si>
  <si>
    <t>_гофра ПНД</t>
  </si>
  <si>
    <t>_ΔU, В</t>
  </si>
  <si>
    <t>ΔU, %</t>
  </si>
  <si>
    <t>_кабель</t>
  </si>
  <si>
    <t>_кабель с сечением</t>
  </si>
  <si>
    <t>_кабель полный</t>
  </si>
  <si>
    <t>_Zкабеля</t>
  </si>
  <si>
    <t>_Zmax кабеля</t>
  </si>
  <si>
    <t>_авто группа Кс</t>
  </si>
  <si>
    <t>_Руст (без Нет)</t>
  </si>
  <si>
    <t>_Руст быт</t>
  </si>
  <si>
    <t>_Рр сил</t>
  </si>
  <si>
    <t>_Руст пост</t>
  </si>
  <si>
    <t>_Р отопления</t>
  </si>
  <si>
    <t>_Рр ВНГ</t>
  </si>
  <si>
    <t>_P для cos</t>
  </si>
  <si>
    <t>_P·cos</t>
  </si>
  <si>
    <t>_Р группы</t>
  </si>
  <si>
    <t>_фаза вручную</t>
  </si>
  <si>
    <t>_авто фаза</t>
  </si>
  <si>
    <t>_фаза итог</t>
  </si>
  <si>
    <t>_фаза группы</t>
  </si>
  <si>
    <t>_Iпуск двиг.</t>
  </si>
  <si>
    <t>_Iпуск LED</t>
  </si>
  <si>
    <t>Iпуск, А</t>
  </si>
  <si>
    <t>_шина группы</t>
  </si>
  <si>
    <t>Шина (итог)</t>
  </si>
  <si>
    <t>_секция №</t>
  </si>
  <si>
    <t>_ранг категории</t>
  </si>
  <si>
    <t>_ранг для фидера</t>
  </si>
  <si>
    <t>_путь щита</t>
  </si>
  <si>
    <t>Вид нагрузки (итог)</t>
  </si>
  <si>
    <t>Лист схемы</t>
  </si>
  <si>
    <t>Кабель (строкой)</t>
  </si>
  <si>
    <t>_Р схемы</t>
  </si>
  <si>
    <t>_Ток схемы</t>
  </si>
  <si>
    <t>_фаз</t>
  </si>
  <si>
    <t>_в кабель выше</t>
  </si>
  <si>
    <t>_draw</t>
  </si>
  <si>
    <t>_гр.</t>
  </si>
  <si>
    <t>_гр. (перенос)</t>
  </si>
  <si>
    <t>_макс. автомат по кабелю</t>
  </si>
  <si>
    <t>_QF нач.</t>
  </si>
  <si>
    <t>_QF гр.</t>
  </si>
  <si>
    <t>_аппараты гр.</t>
  </si>
  <si>
    <t>_БП/тр-р</t>
  </si>
  <si>
    <t>_префикс</t>
  </si>
  <si>
    <t>_модуль нач.</t>
  </si>
  <si>
    <t>_модуль гр.</t>
  </si>
  <si>
    <t>_модель гр.</t>
  </si>
  <si>
    <t>Канал (итог)</t>
  </si>
  <si>
    <t>_посл. канал</t>
  </si>
  <si>
    <t>_клемма</t>
  </si>
  <si>
    <t>_авто клемма</t>
  </si>
  <si>
    <t>Клемма (итог)</t>
  </si>
  <si>
    <t>_Модуль (схема)</t>
  </si>
  <si>
    <t>Проверка автомата</t>
  </si>
  <si>
    <t>Проверка канала</t>
  </si>
  <si>
    <t>_кратность</t>
  </si>
  <si>
    <t>Отключение ≤ 0,4 с</t>
  </si>
  <si>
    <t>_статус</t>
  </si>
  <si>
    <t>Icu автомата, кА</t>
  </si>
  <si>
    <t>Проверка Icu</t>
  </si>
  <si>
    <t>_целость</t>
  </si>
  <si>
    <t>_цепь для бирок</t>
  </si>
  <si>
    <t>_цепь с кабелем</t>
  </si>
  <si>
    <t>_бирка 1</t>
  </si>
  <si>
    <t>_бирка 1 линия</t>
  </si>
  <si>
    <t>_бирка 2</t>
  </si>
  <si>
    <t>_бирка 2 линия</t>
  </si>
  <si>
    <t>_бирка 3</t>
  </si>
  <si>
    <t>_бирка 3 линия</t>
  </si>
  <si>
    <t>_бирка 4</t>
  </si>
  <si>
    <t>_бирка 4 линия</t>
  </si>
  <si>
    <t>_бирка 5</t>
  </si>
  <si>
    <t>_бирка 5 линия</t>
  </si>
  <si>
    <t>_бирка 6</t>
  </si>
  <si>
    <t>_бирка 6 линия</t>
  </si>
  <si>
    <t>_модель (схема)</t>
  </si>
  <si>
    <t>_цепь</t>
  </si>
  <si>
    <t>_bus2</t>
  </si>
  <si>
    <t>_rcd</t>
  </si>
  <si>
    <t>_chtype</t>
  </si>
  <si>
    <t>_dev1</t>
  </si>
  <si>
    <t>_dev2</t>
  </si>
  <si>
    <t>_dev3</t>
  </si>
  <si>
    <t>_УГО (рус)</t>
  </si>
  <si>
    <t>_sym</t>
  </si>
  <si>
    <t>_hasline</t>
  </si>
  <si>
    <t>_тип автомата №</t>
  </si>
  <si>
    <t>_аппарат 1 №</t>
  </si>
  <si>
    <t>_аппарат 2 №</t>
  </si>
  <si>
    <t>_аппарат 3 №</t>
  </si>
  <si>
    <t>_кабель клеммы</t>
  </si>
  <si>
    <t>_вид клеммы №</t>
  </si>
  <si>
    <t>_модуль №</t>
  </si>
  <si>
    <t>_модель №</t>
  </si>
  <si>
    <t>_уровень</t>
  </si>
  <si>
    <t>_№ линии</t>
  </si>
  <si>
    <t>_3L клемм</t>
  </si>
  <si>
    <t>_доп. проходных</t>
  </si>
  <si>
    <t>_автомат для схемы</t>
  </si>
  <si>
    <t>_мА для схемы</t>
  </si>
  <si>
    <t>_дифзащита гр. (0/1)</t>
  </si>
  <si>
    <t>_видна</t>
  </si>
  <si>
    <t>вручную</t>
  </si>
  <si>
    <t>ЩО-01</t>
  </si>
  <si>
    <t>L.00.001T.1</t>
  </si>
  <si>
    <t>L.00.001Б.2</t>
  </si>
  <si>
    <t>L.00.001Б.3</t>
  </si>
  <si>
    <t>L.00.001Т.1</t>
  </si>
  <si>
    <t>L.00.002Б.1</t>
  </si>
  <si>
    <t>L.00.002Т.1</t>
  </si>
  <si>
    <t>L.00.003Б.1</t>
  </si>
  <si>
    <t>L.00.003Tб.1</t>
  </si>
  <si>
    <t>L.00.004Б.1</t>
  </si>
  <si>
    <t>L.00.004Т.1</t>
  </si>
  <si>
    <t>L.00.005Б.1</t>
  </si>
  <si>
    <t>L.00.005Т.1</t>
  </si>
  <si>
    <t>L.00.006Б.1</t>
  </si>
  <si>
    <t>L.00.006Т.1</t>
  </si>
  <si>
    <t>L.00.007Б.1</t>
  </si>
  <si>
    <t>L.00.007Т.1</t>
  </si>
  <si>
    <t>L.00.008T.1</t>
  </si>
  <si>
    <t>L.00.009Б.1</t>
  </si>
  <si>
    <t>L.00.008Б.1</t>
  </si>
  <si>
    <t>L.00.010Б.1</t>
  </si>
  <si>
    <t>L.00.003T.1</t>
  </si>
  <si>
    <t>В.3</t>
  </si>
  <si>
    <t>В.9</t>
  </si>
  <si>
    <t>В.11</t>
  </si>
  <si>
    <t>В.12</t>
  </si>
  <si>
    <t>В.13</t>
  </si>
  <si>
    <t>В.17</t>
  </si>
  <si>
    <t>В.18</t>
  </si>
  <si>
    <t>П.1</t>
  </si>
  <si>
    <t>П.2</t>
  </si>
  <si>
    <t>П.4</t>
  </si>
  <si>
    <t>ПВ.2</t>
  </si>
  <si>
    <t>ПВ.3</t>
  </si>
  <si>
    <t>ПВ.4</t>
  </si>
  <si>
    <t>К.1.017А.1</t>
  </si>
  <si>
    <t>К.1.021А.1</t>
  </si>
  <si>
    <t>K.1</t>
  </si>
  <si>
    <t>K.2</t>
  </si>
  <si>
    <t>K.3</t>
  </si>
  <si>
    <t>K.4</t>
  </si>
  <si>
    <t>K.5</t>
  </si>
  <si>
    <t>K.6</t>
  </si>
  <si>
    <t>K.7</t>
  </si>
  <si>
    <t>K.8</t>
  </si>
  <si>
    <t>K.9</t>
  </si>
  <si>
    <t>K.10</t>
  </si>
  <si>
    <t>K.11</t>
  </si>
  <si>
    <t>ККБ-1</t>
  </si>
  <si>
    <t>ККБ-2</t>
  </si>
  <si>
    <t>НБ-1</t>
  </si>
  <si>
    <t>ККБ-3</t>
  </si>
  <si>
    <t>ККБ-4</t>
  </si>
  <si>
    <t>НБ-2</t>
  </si>
  <si>
    <t>НБ-3</t>
  </si>
  <si>
    <t>НБ-4</t>
  </si>
  <si>
    <t>В.7</t>
  </si>
  <si>
    <t>ПВ.1</t>
  </si>
  <si>
    <t>ПВ.К</t>
  </si>
  <si>
    <t>ПВ.10</t>
  </si>
  <si>
    <t>K.0.002A</t>
  </si>
  <si>
    <t>K.0.006A</t>
  </si>
  <si>
    <t>K.00.001A</t>
  </si>
  <si>
    <t>K.00.004A</t>
  </si>
  <si>
    <t>K.00.004T.1</t>
  </si>
  <si>
    <t>K.00.004T.2</t>
  </si>
  <si>
    <t>K.00.007A</t>
  </si>
  <si>
    <t>K.00.007T.1</t>
  </si>
  <si>
    <t>K.00.007T.2</t>
  </si>
  <si>
    <t>П.6</t>
  </si>
  <si>
    <t>ПВ.6</t>
  </si>
  <si>
    <t>ПВ.9</t>
  </si>
  <si>
    <t>В.2</t>
  </si>
  <si>
    <t>В.10</t>
  </si>
  <si>
    <t>В.24</t>
  </si>
  <si>
    <t>В.25</t>
  </si>
  <si>
    <t>K.0.001T.1</t>
  </si>
  <si>
    <t>K.0.001T.2</t>
  </si>
  <si>
    <t>K.0.002T.1</t>
  </si>
  <si>
    <t>K.0.002T.2</t>
  </si>
  <si>
    <t>K.0.004A-K.0.005A</t>
  </si>
  <si>
    <t>K.0.005Б.1</t>
  </si>
  <si>
    <t>K.0.005Б.2</t>
  </si>
  <si>
    <t>K.0.008A</t>
  </si>
  <si>
    <t>K.0.012Б</t>
  </si>
  <si>
    <t>K.1.002AБ.1</t>
  </si>
  <si>
    <t>K.1.002AБ.2</t>
  </si>
  <si>
    <t>K.1.006A</t>
  </si>
  <si>
    <t>K.1.002Б</t>
  </si>
  <si>
    <t>K.1.007A</t>
  </si>
  <si>
    <t>K.1.010A</t>
  </si>
  <si>
    <t>K.1.011A</t>
  </si>
  <si>
    <t>K.1.014A</t>
  </si>
  <si>
    <t>K.1.015A</t>
  </si>
  <si>
    <t>K.0.009А.1</t>
  </si>
  <si>
    <t>K.1.001A.1</t>
  </si>
  <si>
    <t>K.1.001A.2</t>
  </si>
  <si>
    <t>K.1.003A</t>
  </si>
  <si>
    <t>K.1.005A</t>
  </si>
  <si>
    <t>K.2.004A</t>
  </si>
  <si>
    <t>K.2.005A</t>
  </si>
  <si>
    <t>K.2.008A</t>
  </si>
  <si>
    <t>K.2.009A</t>
  </si>
  <si>
    <t>K.2.014A</t>
  </si>
  <si>
    <t>K.2.016A</t>
  </si>
  <si>
    <t>K.2.019A</t>
  </si>
  <si>
    <t>K.3.002Б</t>
  </si>
  <si>
    <t>K.3.004T.1</t>
  </si>
  <si>
    <t>K.3.004T.2</t>
  </si>
  <si>
    <t>В.1</t>
  </si>
  <si>
    <t>В.22</t>
  </si>
  <si>
    <t>В.23</t>
  </si>
  <si>
    <t>В.8</t>
  </si>
  <si>
    <t>П.3</t>
  </si>
  <si>
    <t>П.5</t>
  </si>
  <si>
    <t>ПВ.5</t>
  </si>
  <si>
    <t>ПВ.7</t>
  </si>
  <si>
    <t>ПВ.8</t>
  </si>
  <si>
    <t>R.00.001Б.1</t>
  </si>
  <si>
    <t>R.00.003Т.1</t>
  </si>
  <si>
    <t>R.00.004Т.1</t>
  </si>
  <si>
    <t>R.00.001Тб.1</t>
  </si>
  <si>
    <t>R.00.001Б.2</t>
  </si>
  <si>
    <t>R.00.005Т.1</t>
  </si>
  <si>
    <t>R.00.002Т.1</t>
  </si>
  <si>
    <t>R.00.001А.1</t>
  </si>
  <si>
    <t>R.00.005А.1</t>
  </si>
  <si>
    <t>R.00.004А.1</t>
  </si>
  <si>
    <t>R.00.001А.2</t>
  </si>
  <si>
    <t>R.00.002.1А.1</t>
  </si>
  <si>
    <t>R.00.006T.1</t>
  </si>
  <si>
    <t>R.00.007Т.1</t>
  </si>
  <si>
    <t>R.00.008T.1</t>
  </si>
  <si>
    <t>R.00.002Tб.1</t>
  </si>
  <si>
    <t>R.00.007Б.1</t>
  </si>
  <si>
    <t>R.00.004Б.1</t>
  </si>
  <si>
    <t>R.00.005Б.1</t>
  </si>
  <si>
    <t>R.00.009Б.1</t>
  </si>
  <si>
    <t>R.00.006Б.1</t>
  </si>
  <si>
    <t>R.00.007А.1</t>
  </si>
  <si>
    <t>R.00.008А.1</t>
  </si>
  <si>
    <t>R.00.002Б.1</t>
  </si>
  <si>
    <t>ШТК-0</t>
  </si>
  <si>
    <t>ШТК-ЛВС.00</t>
  </si>
  <si>
    <t>ШТК-СОТ.00</t>
  </si>
  <si>
    <t>ЩКД-6</t>
  </si>
  <si>
    <t>ЩКД-001</t>
  </si>
  <si>
    <t>R.0.002A.1</t>
  </si>
  <si>
    <t>R.0.002A.2</t>
  </si>
  <si>
    <t>R.0.002A.3</t>
  </si>
  <si>
    <t>R.0.002T.1</t>
  </si>
  <si>
    <t>R.0.002Б.1</t>
  </si>
  <si>
    <t>R.0.002Б.2</t>
  </si>
  <si>
    <t>R.0.003A.1</t>
  </si>
  <si>
    <t>R.0.003A.3</t>
  </si>
  <si>
    <t>R.0.003Б.1</t>
  </si>
  <si>
    <t>R.0.004Б.1</t>
  </si>
  <si>
    <t>R.0.004Б.2</t>
  </si>
  <si>
    <t>R.0.004Б.3</t>
  </si>
  <si>
    <t>R.0.006A.1</t>
  </si>
  <si>
    <t>R.0.007A.1</t>
  </si>
  <si>
    <t>R.0.008A.1</t>
  </si>
  <si>
    <t>R.0.008A.2</t>
  </si>
  <si>
    <t>R.0.009A.1</t>
  </si>
  <si>
    <t>R.0.009A.2</t>
  </si>
  <si>
    <t>R.0.010A.1</t>
  </si>
  <si>
    <t>R.0.011.1A</t>
  </si>
  <si>
    <t>R.0.011Б.1</t>
  </si>
  <si>
    <t>R.0.012A.1</t>
  </si>
  <si>
    <t>R.0.013A.1</t>
  </si>
  <si>
    <t>R.0.013Б.1</t>
  </si>
  <si>
    <t>R.0.013Б.2</t>
  </si>
  <si>
    <t>R.0.013Б.3</t>
  </si>
  <si>
    <t>R.0.013Б.4</t>
  </si>
  <si>
    <t>R.0.015A.1</t>
  </si>
  <si>
    <t>R.0.017A.1</t>
  </si>
  <si>
    <t>R.0.018A.1</t>
  </si>
  <si>
    <t>R.0.018Б.1</t>
  </si>
  <si>
    <t>R.0.021A.1</t>
  </si>
  <si>
    <t>R.0.022.1</t>
  </si>
  <si>
    <t>R.0.012A.2</t>
  </si>
  <si>
    <t>R.0.020A.1</t>
  </si>
  <si>
    <t>ШТК-1</t>
  </si>
  <si>
    <t>ШТК-СОТ.0</t>
  </si>
  <si>
    <t>ШТК-ЛВС.0</t>
  </si>
  <si>
    <t>ЩДК-01</t>
  </si>
  <si>
    <t>R.1.001A.1</t>
  </si>
  <si>
    <t>R.1.001Aб.1</t>
  </si>
  <si>
    <t>R.1.001Г.1</t>
  </si>
  <si>
    <t>R.1.002A.1</t>
  </si>
  <si>
    <t>R.1.002Aб.1</t>
  </si>
  <si>
    <t>R.1.002Б.1</t>
  </si>
  <si>
    <t>R.1.002Б.2</t>
  </si>
  <si>
    <t>R.1.002Б.3</t>
  </si>
  <si>
    <t>R.1.002Б.4</t>
  </si>
  <si>
    <t>R.1.002Б.5</t>
  </si>
  <si>
    <t>R.1.002Б.6</t>
  </si>
  <si>
    <t>R.1.002Б.7</t>
  </si>
  <si>
    <t>R.1.002Б.8</t>
  </si>
  <si>
    <t>R.1.002Г.1</t>
  </si>
  <si>
    <t>R.1.003A.1</t>
  </si>
  <si>
    <t>R.1.003A.2</t>
  </si>
  <si>
    <t>R.1.003A.3</t>
  </si>
  <si>
    <t>R.1.003A2</t>
  </si>
  <si>
    <t>R.1.003Aб.1</t>
  </si>
  <si>
    <t>R.1.003Б.1</t>
  </si>
  <si>
    <t>R.1.003Б.2</t>
  </si>
  <si>
    <t>R.1.003Г.1</t>
  </si>
  <si>
    <t>R.1.004Aб.1</t>
  </si>
  <si>
    <t>R.1.005A.1</t>
  </si>
  <si>
    <t>R.1.006A.1</t>
  </si>
  <si>
    <t>R.1.006Aб.1</t>
  </si>
  <si>
    <t>R.1.006Aб.2</t>
  </si>
  <si>
    <t>R.1.007A.1</t>
  </si>
  <si>
    <t>R.1.008A.1</t>
  </si>
  <si>
    <t>R.1.009A.1</t>
  </si>
  <si>
    <t>R.1.010A.1</t>
  </si>
  <si>
    <t>R.1.011A.1</t>
  </si>
  <si>
    <t>R.1.012.1A.1</t>
  </si>
  <si>
    <t>R.1.013A.1</t>
  </si>
  <si>
    <t>R.1.014A.1</t>
  </si>
  <si>
    <t>R.1.015A.1</t>
  </si>
  <si>
    <t>R.1.016A.1</t>
  </si>
  <si>
    <t>R.1.017A.1</t>
  </si>
  <si>
    <t>R.1.017A.2</t>
  </si>
  <si>
    <t>R.1.018A.1</t>
  </si>
  <si>
    <t>R.1.019A.1</t>
  </si>
  <si>
    <t>R.1.020A.2</t>
  </si>
  <si>
    <t>R.1.021A.1</t>
  </si>
  <si>
    <t>R.1.021A.10</t>
  </si>
  <si>
    <t>R.1.021A.11</t>
  </si>
  <si>
    <t>R.1.021A.2</t>
  </si>
  <si>
    <t>R.1.021A.3</t>
  </si>
  <si>
    <t>R.1.021A.4</t>
  </si>
  <si>
    <t>R.1.021A.6</t>
  </si>
  <si>
    <t>R.1.021A.7</t>
  </si>
  <si>
    <t>R.1.021A.8</t>
  </si>
  <si>
    <t>R.1.021A.9</t>
  </si>
  <si>
    <t>R.1.002Б.9</t>
  </si>
  <si>
    <t>R.1.002Б.10</t>
  </si>
  <si>
    <t>R.1.021A.5</t>
  </si>
  <si>
    <t>R.1.020A.1</t>
  </si>
  <si>
    <t>R.1.022A.1</t>
  </si>
  <si>
    <t>ЩКД.1</t>
  </si>
  <si>
    <t>R.2.002А.1</t>
  </si>
  <si>
    <t>R.2.003А.1</t>
  </si>
  <si>
    <t>R.2.005А.1</t>
  </si>
  <si>
    <t>R.2.005А.2</t>
  </si>
  <si>
    <t>R.2.006А.1</t>
  </si>
  <si>
    <t>R.2.009А.1</t>
  </si>
  <si>
    <t>R.2.009А.2</t>
  </si>
  <si>
    <t>R.2.010А.1</t>
  </si>
  <si>
    <t>R.2.002Г.1</t>
  </si>
  <si>
    <t>R.2.013А.1</t>
  </si>
  <si>
    <t>R.2.014А.1</t>
  </si>
  <si>
    <t>R.2.014А.2</t>
  </si>
  <si>
    <t>R.2.015А.1</t>
  </si>
  <si>
    <t>R.2.016А.1</t>
  </si>
  <si>
    <t>R.2.017А.1</t>
  </si>
  <si>
    <t>R.2.019А.1</t>
  </si>
  <si>
    <t>R.2.019А.2</t>
  </si>
  <si>
    <t>R.2.020А.1</t>
  </si>
  <si>
    <t>R.2.022Б.1</t>
  </si>
  <si>
    <t>R.2.001.1</t>
  </si>
  <si>
    <t>R.2.003Г.1</t>
  </si>
  <si>
    <t>R.2.005А.3</t>
  </si>
  <si>
    <t>R.2.009А.3</t>
  </si>
  <si>
    <t>R.2.020А.2</t>
  </si>
  <si>
    <t>R.3.001T.1</t>
  </si>
  <si>
    <t>R.3.001Б.1</t>
  </si>
  <si>
    <t>ШТК-2</t>
  </si>
  <si>
    <t>ШТК-ЛВС.3</t>
  </si>
  <si>
    <t>ШКД.3</t>
  </si>
  <si>
    <t>Э.1</t>
  </si>
  <si>
    <t>Э.2</t>
  </si>
  <si>
    <t>Э.3</t>
  </si>
  <si>
    <t>НВК.00.003Т.2</t>
  </si>
  <si>
    <t>НВК.00.003Т.1</t>
  </si>
  <si>
    <t>НВК.00.005Т.4</t>
  </si>
  <si>
    <t>НВК.00.005Т.3</t>
  </si>
  <si>
    <t>НВК.00.005Т.1</t>
  </si>
  <si>
    <t>НВК.00.005Т.2</t>
  </si>
  <si>
    <t>НВК.00.002Т.1</t>
  </si>
  <si>
    <t>НВК.00.002Тб.3</t>
  </si>
  <si>
    <t>НВК.00.002Тб.4</t>
  </si>
  <si>
    <t>НВК.00.002Тб.2</t>
  </si>
  <si>
    <t>НВК.00.002Тб.1</t>
  </si>
  <si>
    <t>НВК.00.006Т.2</t>
  </si>
  <si>
    <t>НВК.00.006Т.1</t>
  </si>
  <si>
    <t>ЖУ.1</t>
  </si>
  <si>
    <t>R.00.002Б.3</t>
  </si>
  <si>
    <t>FCP1-2</t>
  </si>
  <si>
    <t>ENC1-11</t>
  </si>
  <si>
    <t>FCP1-1</t>
  </si>
  <si>
    <t>FCP13</t>
  </si>
  <si>
    <t>DW.1</t>
  </si>
  <si>
    <t>DT.1</t>
  </si>
  <si>
    <t>OV.2.002Г.1</t>
  </si>
  <si>
    <t>OV.2.003Г.1</t>
  </si>
  <si>
    <t>OV.2.1.1</t>
  </si>
  <si>
    <t>OV.2.1.2</t>
  </si>
  <si>
    <t>OV.2.1.3</t>
  </si>
  <si>
    <t>OV.4.1.1</t>
  </si>
  <si>
    <t>OV.4.1.2</t>
  </si>
  <si>
    <t>OV.4.1.3</t>
  </si>
  <si>
    <t>OV.4.1.4</t>
  </si>
  <si>
    <t>Флоатинг. Цокольный этаж этаж Пом. №023A</t>
  </si>
  <si>
    <t>Щит охранной сигнализации Подвальный этаж этаж Пом. №007Т</t>
  </si>
  <si>
    <t>Щит освещения ЩО-2 Подвальный этаж этаж Пом. №3.001</t>
  </si>
  <si>
    <t>Щит освещения ЩО-2 Цокольный этаж этаж Пом. №001Т</t>
  </si>
  <si>
    <t>Вытяжная установка Пом №006T</t>
  </si>
  <si>
    <t>Вытяжная установка Подвальный этаж Пом №006T</t>
  </si>
  <si>
    <t>Приточная установка Пом №006Т</t>
  </si>
  <si>
    <t>Приточно-вытяжная установка Подвальный этаж Пом. №006Т</t>
  </si>
  <si>
    <t>Внутренний блок кондиционера Подвальный этаж Пом. №006Т</t>
  </si>
  <si>
    <t>Внешний блок кондиционирования Пом. Венткиосок</t>
  </si>
  <si>
    <t>Вытяжная установка Шлейф Подвальный этаж Пом. №003Т</t>
  </si>
  <si>
    <t>Приточно-вытяжная установка Подвальный этаж Пом. №003Т</t>
  </si>
  <si>
    <t>Приточно-вытяжная установка Подвальный этаж Пом. №005Т</t>
  </si>
  <si>
    <t>Внутренний блок кондиционирования Подвальный этаж Пом. №005Т</t>
  </si>
  <si>
    <t>Внутренний блок кондиционирования Подвальный этаж Пом. №002Б</t>
  </si>
  <si>
    <t>Внутренний блок кондиционирования Подвальный этаж Пом. №004Т</t>
  </si>
  <si>
    <t>Внутренний блок кондиционирования Подвальный этаж Пом. №007Т</t>
  </si>
  <si>
    <t>Приточная установка Цокольный этаж Пом №001Тб</t>
  </si>
  <si>
    <t>Приточно-вытяжная установка цокольный этаж Пом №001Тб</t>
  </si>
  <si>
    <t>Вытяжная установка Пом. №003Б</t>
  </si>
  <si>
    <t>Вытяжная установка Пом. №019Б</t>
  </si>
  <si>
    <t>Внутренний блок кондиционирования подвальный этаж Пом. №0001Тб</t>
  </si>
  <si>
    <t>Внутренний блок кондиционирования подвальный этаж Пом. №01Тб</t>
  </si>
  <si>
    <t>Внутренний блок кондиционирования цокольный этаж Пом. №001Т</t>
  </si>
  <si>
    <t>Внутренний блок кондиционирования цокольный этаж Пом. №002Т</t>
  </si>
  <si>
    <t>Внутренний блок кондиционирования цокольный этаж Пом. №013.1Б</t>
  </si>
  <si>
    <t>Внутренний блок кондиционирования цокольный этаж Пом. №005Б</t>
  </si>
  <si>
    <t>Внутренний блок кондиционирования цокольный этаж Пом. №014Б</t>
  </si>
  <si>
    <t>Внутренний блок кондиционирования цокольный этаж Пом. №012Б</t>
  </si>
  <si>
    <t>Внутренний блок кондиционирования подвальный этаж Пом. №001Т</t>
  </si>
  <si>
    <t>Внутренний блок кондиционирования первый этаж Пом. №002Б</t>
  </si>
  <si>
    <t>Внутренний блок кондиционирования первый этаж Пом. №003Б</t>
  </si>
  <si>
    <t>Внутренний блок кондиционирования цокольный этаж Пом. №0.002Т</t>
  </si>
  <si>
    <t>Внутренний блок кондиционирования Технический этаж Пом. №001Т</t>
  </si>
  <si>
    <t>Внутренний блок кондиционирования Технический этаж Пом. №002Т</t>
  </si>
  <si>
    <t>Внутренний блок кондиционирования Технический этаж Пом. №001Б</t>
  </si>
  <si>
    <t>Внутренний блок кондиционирования Технический этаж Пом. №003Т</t>
  </si>
  <si>
    <t>Внутренний блок кондиционирования Технический этаж Пом. №004Т</t>
  </si>
  <si>
    <t>Вытяжная установка Технический этаж Пом. №001Т</t>
  </si>
  <si>
    <t>Приточная установка Технический этаж Пом. №001Т</t>
  </si>
  <si>
    <t>Приточно-вытяжная установка Технический этаж Пом. №001Т</t>
  </si>
  <si>
    <t>Шкаф телекоммуникационный ШТК-0 Подвальный этаж Пом. №007Т</t>
  </si>
  <si>
    <t>Шкаф телекоммуникационный ШТК-ЛВС.00  Подвальный этаж Пом. №007Т</t>
  </si>
  <si>
    <t>Шкаф телекоммуникационный ШТК-СОТ.00  Подвальный этаж Пом. №007Т</t>
  </si>
  <si>
    <t>Щит контроля доступа ШДК-06. Пом. Венткиосок</t>
  </si>
  <si>
    <t>Щит контроля доступа ШДК-001 Подвальный этаж Пом. №004Т</t>
  </si>
  <si>
    <t>Розеточная группа Цокольный этаж Пом. №004Б Сушильная машина</t>
  </si>
  <si>
    <t>Розеточная группа Цокольный этаж Пом. №004Б Стиральная машина</t>
  </si>
  <si>
    <t>Розеточная группа Цокольный этаж Пом. №008A Душ виши</t>
  </si>
  <si>
    <t>Розеточная группа Цокольный этаж Пом. №013Б Полотенцесушитель</t>
  </si>
  <si>
    <t>Розеточная группа Цокольный этаж Пом. №013Б Сушильная машина</t>
  </si>
  <si>
    <t>Шкаф телекоммуникационный ШТК-2 Цокольный этаж Пом. №002Т</t>
  </si>
  <si>
    <t>Шкаф телекоммуникационный ШТК-СОТ.0 Цокольный этаж Пом. №002Т</t>
  </si>
  <si>
    <t>Шкаф телекоммуникационный ШТК-ЛВС.0 Цокольный этаж Пом. №002Т</t>
  </si>
  <si>
    <t>Щит контроля доступа ШДК-01 Цокольный этаж Пом. №001Т</t>
  </si>
  <si>
    <t>Розеточная группа Первый этаж Пом. №001Aб, 002Аб</t>
  </si>
  <si>
    <t>Розеточная группа Первый этаж Пом. №002A, 023А</t>
  </si>
  <si>
    <t>Розеточная группа Первый этаж Пом. №002Б Ледогенератор</t>
  </si>
  <si>
    <t>Розеточная группа Первый этаж Пом. №002Б Фартук</t>
  </si>
  <si>
    <t>Розеточная группа Первый этаж Пом. №002Б ПММ</t>
  </si>
  <si>
    <t>Розеточная группа Первый этаж Пом. №002Б Стаканомоечная машина</t>
  </si>
  <si>
    <t>Розеточная группа Первый этаж Пом. №019A Полотенцесушитель</t>
  </si>
  <si>
    <t>Розеточная группа Первый этаж Пом. №021A Кофемашина</t>
  </si>
  <si>
    <t>Розеточная группа Первый этаж Пом. №021A ПММ</t>
  </si>
  <si>
    <t>Розеточная группа Первый этаж Пом. №021A Духовой шкаф</t>
  </si>
  <si>
    <t>Розеточная группа Первый этаж Пом. №021A Микроволновая печь</t>
  </si>
  <si>
    <t>Розеточная группа Первый этаж Пом. №021A Холодильник, морозильная камера</t>
  </si>
  <si>
    <t>Розеточная группа Первый этаж Пом. №021A Вывод для вытяжки</t>
  </si>
  <si>
    <t>Розеточная группа Первый этаж Пом. №021A Вывод на варочную панель</t>
  </si>
  <si>
    <t>Розеточная группа Первый этаж Пом. №021A Подогреватель пищи и посуды</t>
  </si>
  <si>
    <t>Розеточная группа Первый этаж Пом. №002Б Холодильник</t>
  </si>
  <si>
    <t>Розеточная группа Первый этаж Пом. №020A Холодильник, морозильная камера</t>
  </si>
  <si>
    <t>Щит контроля доступа ЩКД-1 Первый этаж Пом. №002Б</t>
  </si>
  <si>
    <t>Розеточная группа Второй этаж Пом. №013А, 012А</t>
  </si>
  <si>
    <t>Шкаф телекоммуникационный ШТК-2  Тех. Этаж Пом №004T</t>
  </si>
  <si>
    <t>Щит контроля доступа ЩКД-2  Тех. Этаж Пом №001T</t>
  </si>
  <si>
    <t>Управляющий электрощит бассейна Подвальный этаж Пом. 002Тб</t>
  </si>
  <si>
    <t>Горячая купель Подвальный этаж Пом. 002Тб</t>
  </si>
  <si>
    <t>Холодная купель Подвальный этаж Пом. 002Тб</t>
  </si>
  <si>
    <t>циркуляционный насос Подвальный этаж Пом. №002Т</t>
  </si>
  <si>
    <t>Жироулавливатель Подвальный этаж Пом. №006Т</t>
  </si>
  <si>
    <t>Сололифт Подвальный этаж Пом. №002Б</t>
  </si>
  <si>
    <t>шкаф пожарной сигнализации  Подвальный этаж Пом. №007Т</t>
  </si>
  <si>
    <t>шкаф системы оповещения и управления эвакуацией Цокольный этаж Пом. №002Т</t>
  </si>
  <si>
    <t>шкаф пожарной сигнализации Цокольный этаж Пом. №002Т</t>
  </si>
  <si>
    <t>шкаф пожарной сигнализации Тех. этаж Пом. №004Т</t>
  </si>
  <si>
    <t>Обогревл ливнестоков Кровля бассейна</t>
  </si>
  <si>
    <t>Обогревл ливнестоков Второй этаж</t>
  </si>
  <si>
    <t>Обогревл ливнестоков Кровля</t>
  </si>
  <si>
    <t>ИБП (для щитов с шиной ИБП)</t>
  </si>
  <si>
    <t>cos φ на выходе ИБП</t>
  </si>
  <si>
    <t>Автономия, мин</t>
  </si>
  <si>
    <t>Напряжение АКБ, В</t>
  </si>
  <si>
    <t>Коэффициент разряда / старения АКБ</t>
  </si>
  <si>
    <t>Заряд АКБ, доля мощности</t>
  </si>
  <si>
    <t>cos φ на входе ИБП</t>
  </si>
  <si>
    <t>Ряд типоразмеров ИБП, кВА</t>
  </si>
  <si>
    <t>РЕЖИМЫ: нагрузка выбранного щита (вместе со всеми нижестоящими) по вводам в разных режимах</t>
  </si>
  <si>
    <t>Как читать: столбцы — источники (Ввод 1/2/3, ИБП, ДГУ), блоки — режимы. На «Нормальный» и «Аварийный» проверяются вводы, аппараты и кабели (берётся больший). Пожарные — отдельно, в максимум не входят. Блок 7 — кВт по категориям для ТУ.</t>
  </si>
  <si>
    <t>Щит:</t>
  </si>
  <si>
    <t>в составе</t>
  </si>
  <si>
    <t>нижний щит</t>
  </si>
  <si>
    <t>источник</t>
  </si>
  <si>
    <t>пожарная</t>
  </si>
  <si>
    <t>категория</t>
  </si>
  <si>
    <t>Вход ИБП, кВт / квар:</t>
  </si>
  <si>
    <t>1. НОРМАЛЬНЫЙ РЕЖИМ (секционный выключатель отключён, пожарные не входят; ИБП — нагрузка на выходе, справочно)</t>
  </si>
  <si>
    <t>Итого (вводы)</t>
  </si>
  <si>
    <t>Кс (Рр / Руст)</t>
  </si>
  <si>
    <t>2. АВАРИЙНЫЙ: потерян Ввод 1 (его нагрузка и вход ИБП — на Ввод 2)</t>
  </si>
  <si>
    <t>3. АВАРИЙНЫЙ: потерян Ввод 2 (его нагрузка и вход ИБП — на Ввод 1)</t>
  </si>
  <si>
    <t>4. ПОТЕРЯНЫ ВСЕ ВВОДЫ: работают только ИБП и ДГУ</t>
  </si>
  <si>
    <t>5. ПОЖАР: пожарные нагрузки (в расчётный максимум не входят, СП 256 п. 7.1.9; Кс пожарных = 1)</t>
  </si>
  <si>
    <t>6. НОРМАЛЬНЫЙ + ПОЖАРНЫЕ (проверка вводов при пожаре)</t>
  </si>
  <si>
    <t>7. ПО КАТЕГОРИЯМ НАДЁЖНОСТИ (для ТУ и пояснительной записки; ИБП — нагрузка на выходе)</t>
  </si>
  <si>
    <t>Линий</t>
  </si>
  <si>
    <t>Пожарные: Руст, кВт</t>
  </si>
  <si>
    <t>Пожарные: Рр, кВт</t>
  </si>
  <si>
    <t>Кс быт применяется к каждому набору линий отдельно (табл. 7.2 по сумме Руст быт набора), поэтому сумма строк может отличаться от «Итого».</t>
  </si>
  <si>
    <t>8. ИБП ВЫБРАННОГО ЩИТА (нагрузка шин ИБП, без пожарных)</t>
  </si>
  <si>
    <t>P на выходе, кВт</t>
  </si>
  <si>
    <t>Требуемая S по загрузке, кВА</t>
  </si>
  <si>
    <t>Типоразмер ИБП, кВА</t>
  </si>
  <si>
    <t>Загрузка принятого ИБП</t>
  </si>
  <si>
    <t>Ёмкость АКБ, А·ч</t>
  </si>
  <si>
    <t>Вход ИБП, кВт (на ввод)</t>
  </si>
  <si>
    <t>ТАБЛИЦА НАГРУЗОК ДЛЯ ПОЯСНИТЕЛЬНОЙ ЗАПИСКИ</t>
  </si>
  <si>
    <t>(название и адрес объекта)</t>
  </si>
  <si>
    <t>Щит (ВРУ):</t>
  </si>
  <si>
    <t>Весь щит</t>
  </si>
  <si>
    <t>ОСНОВНЫЕ ПОКАЗАТЕЛИ</t>
  </si>
  <si>
    <t>ΔU от ВРУ до шин щита, %</t>
  </si>
  <si>
    <t>Iкз min (1ф) / Iкз max (3ф) на шинах</t>
  </si>
  <si>
    <t>Наименование электроприёмника (вид нагрузки)</t>
  </si>
  <si>
    <t>Итого (сумма строк)</t>
  </si>
  <si>
    <t>Расчётная нагрузка щита: Рр = kп.к·Руст быт·Кс + Ко·Рр сил + Руст пост + Р отоп + 0,7·Р ВНГ (СП 256)</t>
  </si>
  <si>
    <t>Как считается: строка = вид нагрузки (столбец «Вид нагрузки» в «Линиях», пусто — по коду). Кс бытовой нагрузки — по таблице СП 256 по сумме Руст быт ВСЕГО щита, поэтому строки складываются в «Итого». Строка «Расчётная нагрузка» учитывает Ко = 0,9 и kп.к. Пожарные нагрузки не входят (СП 256 п. 7.1.9). Для записки: выберите щит и режим, скопируйте A14:J… и вставьте как значения.</t>
  </si>
  <si>
    <t>КАБЕЛЬНЫЙ ЖУРНАЛ. Для AutoCAD — макрос «Выгрузить журнал» (лёгкий файл для Data Link).</t>
  </si>
  <si>
    <t>Количество кабелей и сечение</t>
  </si>
  <si>
    <t>Запас длины:</t>
  </si>
  <si>
    <t>Кабель (марка, сечение)</t>
  </si>
  <si>
    <t>С запасом, м</t>
  </si>
  <si>
    <t>Спецификация для щита (все — весь объект):</t>
  </si>
  <si>
    <t>все</t>
  </si>
  <si>
    <t>По однолинейке (авто; щит — «Спецификация» D1)</t>
  </si>
  <si>
    <t>ИТОГИ ПО ЩИТАМ (данные под однолинейку)</t>
  </si>
  <si>
    <t xml:space="preserve">  в т. ч. бытовая</t>
  </si>
  <si>
    <t>Кс быт (табл. 7.2)</t>
  </si>
  <si>
    <t>Рр силовой (Σ P·Кс)</t>
  </si>
  <si>
    <t>Руст постоянной</t>
  </si>
  <si>
    <t>Р отопления (Кс 1)</t>
  </si>
  <si>
    <t>Рр ВНГ (×0,7)</t>
  </si>
  <si>
    <t>Кс итог = Рр / Руст</t>
  </si>
  <si>
    <t>Qр = Рр·tg φ</t>
  </si>
  <si>
    <t>квар</t>
  </si>
  <si>
    <t>Sр</t>
  </si>
  <si>
    <t>Iр (по наиб. нагруженной фазе)</t>
  </si>
  <si>
    <t>P L1 / L2 / L3</t>
  </si>
  <si>
    <t>L1р / L2р / L3р (P·Кс итог)</t>
  </si>
  <si>
    <t>Перекос фаз (max−min)/max</t>
  </si>
  <si>
    <t>Наибольший пусковой ток</t>
  </si>
  <si>
    <t>ΔU от ВРУ до шин</t>
  </si>
  <si>
    <t>Iкз min, А</t>
  </si>
  <si>
    <t>Iкз max, кА</t>
  </si>
  <si>
    <t>Карточка слева — для таблицы под однолинейкой выбранного щита (скопируйте B4:D27 как значения). Справа — все щиты объекта.</t>
  </si>
  <si>
    <t>БИРКИ: строка на каждый провод — от автомата до устройства, от устройства до клеммы, от клеммы — кабель к потребителю</t>
  </si>
  <si>
    <t>Откуда</t>
  </si>
  <si>
    <t>Куда</t>
  </si>
  <si>
    <t>Дифзащита, мА</t>
  </si>
  <si>
    <t>ПРОВЕРКА ОБЪЕКТА</t>
  </si>
  <si>
    <t>Перейти</t>
  </si>
  <si>
    <t>Столбец</t>
  </si>
  <si>
    <t>Формула (R1C1)</t>
  </si>
  <si>
    <t>Вид</t>
  </si>
  <si>
    <t>Серое из</t>
  </si>
  <si>
    <t>=Линии[@[_авто наименование]]</t>
  </si>
  <si>
    <t>a</t>
  </si>
  <si>
    <t>=Линии[@[_авто Р]]</t>
  </si>
  <si>
    <t>=Линии[@[_авто автомат]]</t>
  </si>
  <si>
    <t>=Линии[@[_авто утечка]]</t>
  </si>
  <si>
    <t>=Линии[@[_авто управление]]</t>
  </si>
  <si>
    <t>=Линии[@[_авто аппараты]]</t>
  </si>
  <si>
    <t>=Линии[@[_авто сечение]]</t>
  </si>
  <si>
    <t>=Линии[@[_авто длина по плану]]</t>
  </si>
  <si>
    <t>=Линии[@[_авто фаза]]</t>
  </si>
  <si>
    <t>=Линии[@[_авто клемма]]</t>
  </si>
  <si>
    <t>=TEXTJOIN("; ",TRUE,RC[197],RC[194],IF(RC[161]="НЕ ОБЕСПЕЧЕНА","категория "&amp;RC[151]&amp;" не обеспечена (есть "&amp;RC[158]&amp;")",""),IF(LEFT(RC[196],3)="Icu",RC[196],""),IF(AND(RC[-13]&lt;&gt;"",RC[113]="не подобрано"),"сечение не подобрано: проверьте длину и автомат или впишите сечение",""))</t>
  </si>
  <si>
    <t>c</t>
  </si>
  <si>
    <t>=IF(RC[-14]="","",IF(RC[39]&lt;&gt;"",IFERROR(XLOOKUP(RC[39],Щиты[Щит],Щиты[Iр, А]),""),IF(RC[47]=1,IFERROR(XLOOKUP(RC[-15],Щиты[Щит],Щиты[Iр, А]),""),IFERROR(IFS(RC[54]=1,RC[50]/((Uн_лин/SQRT(3))*RC[61]),RC[54]=3,RC[50]/(SQRT(3)*Uн_лин*RC[61])),""))))</t>
  </si>
  <si>
    <t>=IF(RC[-15]="","",IFERROR(IF(VLOOKUP(RC[33],Потребители_обозначение,4,FALSE)=1,VLOOKUP(RC[33],Потребители_обозначение,3,FALSE)*(RC[-13]*2-1)+RC[106]+VLOOKUP(RC[35],Этаж_обозначение,3,FALSE)+VLOOKUP(RC[35],Этаж_обозначение,4,FALSE),VLOOKUP(RC[33],Потребители_обозначение,3,FALSE)*(RC[-13]*2-1)+RC[106]),RC[106]))</t>
  </si>
  <si>
    <t>=IF(ISNUMBER(RC[119]),RC[119]+RC[100],"")</t>
  </si>
  <si>
    <t>=IF(OR(RC[-17]="",RC[119]=""),"",IF(RC[109]="не подобрано",RC[119]&amp;" — сечение не подобрано",RC[120]))</t>
  </si>
  <si>
    <t>=IF(RC[40]="","",IF(RC[41]="вводной узел","узел ","")&amp;"л."&amp;(INT((RC[40]-1)/Столбцов_на_лист)+1)&amp;" / "&amp;(MOD(RC[40]-1,Столбцов_на_лист)+1))</t>
  </si>
  <si>
    <t>=Линии[@[_авто фаз]]</t>
  </si>
  <si>
    <t>xa</t>
  </si>
  <si>
    <t>=Линии[@[_авто U]]</t>
  </si>
  <si>
    <t>=Линии[@[_авто группа Кс]]</t>
  </si>
  <si>
    <t>=Линии[@[_авто марка]]</t>
  </si>
  <si>
    <t>=Линии[@[_авто жил]]</t>
  </si>
  <si>
    <t>=ROW()-ROW(Линии[#Headers])</t>
  </si>
  <si>
    <t>h</t>
  </si>
  <si>
    <t>=IF(RC[-48]="","",IFERROR(LEFT(RC[-48],SEARCH(".",RC[-48])-1),RC[-48]))</t>
  </si>
  <si>
    <t>=IFERROR(RIGHT(RC[-49],LEN(RC[-49])-SEARCH(".",RC[-49])),"")</t>
  </si>
  <si>
    <t>=IFERROR(LEFT(RC[-1],SEARCH(".",RC[-1])-1),RC[-1])</t>
  </si>
  <si>
    <t>=IFERROR(RIGHT(RC[-2],LEN(RC[-2])-SEARCH(".",RC[-2])),"")</t>
  </si>
  <si>
    <t>=IF(RC[-34]&lt;&gt;"",RC[-34],IF(AND(RC[-53]&lt;&gt;"",RC[-53]&lt;&gt;RC[-54],ISNUMBER(XMATCH(RC[-53],Щиты[Щит]))),RC[-53],""))</t>
  </si>
  <si>
    <t>=IF(RC[-54]="","",IF(RC[-1]&lt;&gt;"","Щит "&amp;RC[-1],LET(nm,IFERROR(XLOOKUP(RC[-6],Коды_код,Коды_имя)&amp;"",""),md,IFERROR(N(XLOOKUP(RC[-6],Коды_код,Коды_режим)),1),ex,IF(Имя_режим="по экспликации",IFERROR(XLOOKUP(RC[-4]&amp;"|"&amp;RC[-2],Экспликация[Этаж]&amp;"|"&amp;Экспликация[Помещение],Экспликация[Название])&amp;"",""),""),rm,IF(RC[-2]="","",IF(ex&lt;&gt;"",". "&amp;ex&amp;IF(Имя_пом="нет"," ("&amp;RC[-2]&amp;")"," (пом. "&amp;RC[-2]&amp;")"),IF(Имя_пом="нет"," ",", пом. ")&amp;RC[-2])),IF(nm="","",IF(md=2,nm&amp;" шлейф "&amp;RC[-4],nm&amp;rm)))))</t>
  </si>
  <si>
    <t>=IF(TRIM(RC[-54]&amp;"")="",RC[-1],RC[-54])</t>
  </si>
  <si>
    <t>=IFERROR(XMATCH(RC[-57],Щиты[Щит]),0)</t>
  </si>
  <si>
    <t>=LET(k,IFERROR(XLOOKUP(RC[-58],Щиты[Щит],Щиты[Листов под вводной узел]),""),IF(k="",1,N(k))*Столбцов_на_лист)</t>
  </si>
  <si>
    <t>=IF(RC[-25]="-","",IF(ISNUMBER(RC[-25]),RC[-25],LET(prev,IF(OR(RC[-11]=1,RC[-59]&lt;&gt;R[-1]C[-59]),0,N(IF(RC[-11]=1,"",R[-1]C))),nx,prev+1,IF(AND(RC[-28]&lt;&gt;"вручную",nx&lt;=RC[-1]),RC[-1]+1,nx))))</t>
  </si>
  <si>
    <t>=IF(RC[-1]="","",IF(RC[-1]&lt;=RC[-2],"вводной узел","линии"))</t>
  </si>
  <si>
    <t>=IFERROR(N(XLOOKUP(RC[-12],Коды_код,Коды_квт)),0)</t>
  </si>
  <si>
    <t>=IF(AND(RC[-61]&lt;&gt;"",RC[-13]="Ввод"),1,0)</t>
  </si>
  <si>
    <t>=IF(RC[-62]="","",IF(RC[-9]&lt;&gt;"",IFERROR(XLOOKUP(RC[-9],Щиты[Щит],Щиты[Руст, кВт]),0),IF(RC[-1]=1,IFERROR(XLOOKUP(RC[-63],Щиты[Щит],Щиты[Руст, кВт]),0),IF(RC[-2]&gt;0,ROUND(RC[-2]*MAX(1,N(RC[-60])),3),""))))</t>
  </si>
  <si>
    <t>=IF(TRIM(RC[-60]&amp;"")="",RC[-1],RC[-60])</t>
  </si>
  <si>
    <t>=IF(RC[-64]="","",IF(RC[-11]&lt;&gt;"",IFERROR(XLOOKUP(RC[-11],Щиты[Щит],Щиты[Руст, кВт]),0),N(RC[-1])))</t>
  </si>
  <si>
    <t>=IF(RC[-65]="","",IFERROR(IF(VLOOKUP(RC[-17],Потребители_обозначение,8,FALSE)=0,"",VLOOKUP(RC[-17],Потребители_обозначение,8,FALSE)),""))</t>
  </si>
  <si>
    <t>=IF(TRIM(RC[-45]&amp;"")="",RC[-1],RC[-45])</t>
  </si>
  <si>
    <t>=IF(RC[-67]="","",IF(RC[-14]&lt;&gt;"",3,IFERROR(IF(N(VLOOKUP(RC[-19],Потребители_обозначение,9,FALSE))=0,1,VLOOKUP(RC[-19],Потребители_обозначение,9,FALSE)),1)))</t>
  </si>
  <si>
    <t>=IF(RC[-68]="","",IF(TRIM(RC[-48]&amp;"")="",RC[-1],N(RC[-48])))</t>
  </si>
  <si>
    <t>=IF(RC[-69]="","",LET(bc,IFERROR(IF(VLOOKUP(RC[-21],Потребители_обозначение,6,FALSE)=0,"",VLOOKUP(RC[-21],Потребители_обозначение,6,FALSE)&amp;""),""),IF(AND(RC[96]="да",OR(bc="",bc="мс")),Марка_пож,IF(AND(bc="",RC[-16]&lt;&gt;""),"мс",bc))))</t>
  </si>
  <si>
    <t>=IF(TRIM(RC[-36]&amp;"")="",RC[-1],RC[-36])</t>
  </si>
  <si>
    <t>=IF(RC[-71]="","",LET(cc,IFERROR(N(VLOOKUP(RC[-23],Потребители_обозначение,7,FALSE)),0),IF(cc&gt;0,cc,IF(RC[-1]="","",IF(N(RC[-3])=3,5,3)))))</t>
  </si>
  <si>
    <t>=IF(TRIM(RC[-37]&amp;"")="",RC[-1],RC[-37])</t>
  </si>
  <si>
    <t>=IFERROR(N(VLOOKUP(RC[-25],Потребители_обозначение,10,FALSE)),0)</t>
  </si>
  <si>
    <t>=IFERROR(VLOOKUP(RC[-26],Потребители_обозначение,5,FALSE),0)</t>
  </si>
  <si>
    <t>=IF(RC[-75]="","",IF(RC[-22]&lt;&gt;"",IFERROR(XLOOKUP(RC[-22],Щиты[Щит],Щиты[cos φ]),0.95),IF(RC[-14]=1,IFERROR(XLOOKUP(RC[-76],Щиты[Щит],Щиты[cos φ]),0.95),IF(ISNUMBER(RC[-51]),RC[-51],IFERROR(IF(RC[-1]=2,IFS(RC[-7]=3,VLOOKUP(RC[-11],Справочная_двигатели,8,FALSE),RC[-7]=1,VLOOKUP(RC[-11],Справочная_двигатели,10,TRUE)),IF(AND(Методика="нормы 2026",RC[70]="Сил"),0.8,0.95)),0.95)))))</t>
  </si>
  <si>
    <t>=IF(OR(TRIM(RC[-72]&amp;"")="гр",TRIM(RC[-72]&amp;"")="=",TRIM(RC[-72]&amp;"")="^",TRIM(RC[-72]&amp;"")="↑"),1,0)</t>
  </si>
  <si>
    <t>=IF(AND(RC[-77]&lt;&gt;"",RC[-1]=0),1,0)</t>
  </si>
  <si>
    <t>=IF(AND(R[1]C[-79]=RC[-79],R[1]C[-48]&lt;&gt;"вручную",OR(R[1]C[-78]="",R[1]C[-2]=1)),IF(R[1]C[-78]="",0,N(R[1]C[-64]))+N(R[1]C),0)</t>
  </si>
  <si>
    <t>=IF(AND(R[1]C[-80]=RC[-80],R[1]C[-49]&lt;&gt;"вручную",OR(R[1]C[-79]="",R[1]C[-3]=1)),IF(R[1]C[-79]="",0,N(R[1]C[-15]))+N(R[1]C),0)</t>
  </si>
  <si>
    <t>=IF(AND(R[1]C[-81]=RC[-81],R[1]C[-50]&lt;&gt;"вручную",OR(R[1]C[-80]="",R[1]C[-4]=1)),MAX(IF(R[1]C[-80]="",0,N(R[1]C[-12])),N(R[1]C)),0)</t>
  </si>
  <si>
    <t>=IF(AND(R[1]C[-82]=RC[-82],R[1]C[-51]&lt;&gt;"вручную",OR(R[1]C[-81]="",R[1]C[-5]=1)),MAX(IF(R[1]C[-81]="",0,N(R[1]C[7])),N(R[1]C)),0)</t>
  </si>
  <si>
    <t>=IF(AND(R[1]C[-83]=RC[-83],R[1]C[-52]&lt;&gt;"вручную",OR(R[1]C[-82]="",R[1]C[-6]=1)),LET(a_,IF(R[1]C[-82]="",0,N(R[1]C[4])),b_,N(R[1]C),IF(a_=0,b_,IF(b_=0,a_,MIN(a_,b_)))),0)</t>
  </si>
  <si>
    <t>=IF(RC[-35]="",0,LET(v,IFERROR(VLOOKUP(RC[-83],УГО_спр,3,FALSE),IFERROR(VLOOKUP(RC[-35],УГО_спр,3,FALSE),IFERROR(VLOOKUP(LEFT(RC[-35],2),УГО_спр,3,FALSE),""))),IF(v="да",30,IF(ISNUMBER(v),v,0))))</t>
  </si>
  <si>
    <t>=IF(RC[-84]="","",IF(N(RC[-1])&gt;0,RC[-1],""))</t>
  </si>
  <si>
    <t>=LET(k,IFERROR(XLOOKUP(RC[-37],Коды_код,Коды_утечка)&amp;"",""),IF(k="","дифавтомат",k))</t>
  </si>
  <si>
    <t>=IF(RC[-86]="",0,LET(v,IF(TRIM(RC[-80]&amp;"")="",RC[-2],RC[-80]),nm,IF(v&amp;""="нет",0,IF(v&amp;""="да",30,IFERROR(--v,0))),IF(RC[-1]="УЗО на группу",0,nm)))</t>
  </si>
  <si>
    <t>=IF(RC[-10]=0,"",LET(a_,N(RC[-1]),b_,IF(RC[-57]="вручную",0,N(RC[-5])),IF(a_=0,b_,IF(b_=0,a_,MIN(a_,b_)))))</t>
  </si>
  <si>
    <t>=IF(RC[-88]="",0,IFERROR(--VLOOKUP(RC[-88],УГО_спр,4,FALSE),IFERROR(--VLOOKUP(RC[-40],УГО_спр,4,FALSE),IFERROR(--VLOOKUP(LEFT(RC[-40],2),УГО_спр,4,FALSE),0))))</t>
  </si>
  <si>
    <t>=IF(RC[-89]="","",IFERROR(XLOOKUP(RC[-41],Коды_код,Коды_апп)&amp;"",""))</t>
  </si>
  <si>
    <t>=IF(TRIM(RC[-82]&amp;"")="",RC[-1],RC[-82])</t>
  </si>
  <si>
    <t>=IF(TRIM(RC[-1]&amp;"")="","",IFERROR(TRIM(INDEX(TEXTSPLIT(RC[-1]&amp;";;;",";"),1)),""))</t>
  </si>
  <si>
    <t>=IF(TRIM(RC[-2]&amp;"")="","",IFERROR(TRIM(INDEX(TEXTSPLIT(RC[-2]&amp;";;;",";"),2)),""))</t>
  </si>
  <si>
    <t>=IF(TRIM(RC[-3]&amp;"")="","",IFERROR(TRIM(INDEX(TEXTSPLIT(RC[-3]&amp;";;;",";"),3)),""))</t>
  </si>
  <si>
    <t>=IF(RC[-4]="",0,IF(OR(LEFT(RC[-3],2)="T ",LEFT(RC[-3],2)="Т ",ISNUMBER(SEARCH("БП",RC[-4])),ISNUMBER(SEARCH("; T ",RC[-4])),ISNUMBER(SEARCH("; Т ",RC[-4]))),1,0))</t>
  </si>
  <si>
    <t>=IF(RC[-95]="","",LET(t,LOWER(RC[-49]&amp;""),IF(ISNUMBER(SEARCH("dim",t)),"DIM",IF(ISNUMBER(SEARCH("dali",t)),"DALI",IF(OR(ISNUMBER(SEARCH("relay",t)),ISNUMBER(SEARCH("реле",t))),"Relay",IF(ISNUMBER(SEARCH("кнопк",t)),"",IFERROR(XLOOKUP(RC[-47],Коды_код,Коды_упр)&amp;"","")))))))</t>
  </si>
  <si>
    <t>=IF(TRIM(RC[-89]&amp;"")="",RC[-1],RC[-89])</t>
  </si>
  <si>
    <t>=IF(RC[-97]="","",LET(ig,N(RC[-83])+IF(RC[-67]="вручную",0,N(RC[-19])),n0,IFERROR(VLOOKUP(ig,Автомат_номиналы,2,TRUE),0),mn,MAX(RC[-9],IF(RC[-67]="вручную",0,N(RC[-16]))),MAX(n0,mn,IF(RC[-3]=1,Мин_автомат_БП,0))))</t>
  </si>
  <si>
    <t>=IF(RC[-98]="","",MAX(N(RC[-30]),IF(RC[-68]="вручную",0,N(RC[-18]))))</t>
  </si>
  <si>
    <t>=IF(RC[-99]="","",IF(N(RC[-1])&gt;=3,IF(N(RC[-12])&gt;0,"4P","3P"),IF(N(RC[-12])&gt;0,"2P","1P")))</t>
  </si>
  <si>
    <t>=LET(cc,UPPER(TRIM(IFERROR(XLOOKUP(RC[-52],Коды_код,Коды_хар)&amp;"",""))),IF(OR(cc="B",cc="В"),"B",IF(cc="D","D","С")))</t>
  </si>
  <si>
    <t>=IF(RC[-101]="","",IF(RC[-24]=0,IF(AND(AND(NOT(OR(RC[-54]=1,RC[-102]&lt;&gt;R[-1]C[-102])),RC[-71]&lt;&gt;"вручную",IF(RC[-54]=1,"",R[-1]C[4])="ok"),IF(RC[-54]=1,"",R[-1]C[6])&lt;&gt;""),"↑ "&amp;IF(RC[-54]=1,"",R[-1]C[6]),""),IF(N(RC[-4])=0,"",RC[-2]&amp;" "&amp;RC[-1]&amp;RC[-4]&amp;"А"&amp;IF(N(RC[-14])&gt;0," "&amp;RC[-14]&amp;"мА",""))))</t>
  </si>
  <si>
    <t>=IF(TRIM(RC[-97]&amp;"")="",RC[-1],RC[-97])</t>
  </si>
  <si>
    <t>=IF(RC[-26]=0,"",LET(v,TRIM(RC[-1]&amp;""),IF(v="","",IF(ISNUMBER(--v),RC[-4]&amp;" "&amp;RC[-3]&amp;(--v)&amp;"А"&amp;IF(N(RC[-16])&gt;0," "&amp;RC[-16]&amp;"мА",""),IF(ISNUMBER(SEARCH("P",UPPER(v))),v,RC[-4]&amp;" "&amp;v)))))</t>
  </si>
  <si>
    <t>=IF(RC[-1]="","",LET(t,SUBSTITUTE(SUBSTITUTE(SUBSTITUTE(UPPER(RC[-1]),"С","C"),"А","A"),"В","B"),tk,TEXTSPLIT(t," "),f,FILTER(tk,ISNUMBER(--MID(tk,2,1))*ISNUMBER(SEARCH(LEFT(tk,1)&amp;"#","B#C#D#"))*(LEN(tk)&gt;1),""),x,INDEX(f,1),IFERROR(--SUBSTITUTE(MID(x,2,9),"A",""),IFERROR(--SUBSTITUTE(INDEX(FILTER(tk,ISNUMBER(--SUBSTITUTE(tk,"A","")),""),1),"A",""),""))))</t>
  </si>
  <si>
    <t>=IF(RC[-28]=1,IF(RC[-75]="вручную","узел","ok"),IF(OR(OR(RC[-58]=1,RC[-106]&lt;&gt;R[-1]C[-106]),RC[-75]="вручную"),"",IF(RC[-58]=1,"",R[-1]C)))</t>
  </si>
  <si>
    <t>=IF(RC[-29]=1,RC[-2],IF(AND(NOT(OR(RC[-59]=1,RC[-107]&lt;&gt;R[-1]C[-107])),RC[-76]&lt;&gt;"вручную",IF(RC[-59]=1,"",R[-1]C[-1])="ok"),IF(RC[-59]=1,"",R[-1]C),""))</t>
  </si>
  <si>
    <t>=IF(RC[-30]=1,RC[-4],IF(AND(NOT(OR(RC[-60]=1,RC[-108]&lt;&gt;R[-1]C[-108])),RC[-77]&lt;&gt;"вручную",IF(RC[-60]=1,"",R[-1]C[-2])="ok"),IF(RC[-60]=1,"",R[-1]C),""))</t>
  </si>
  <si>
    <t>=IF(RC[-31]=1,RC[-21],IF(AND(NOT(OR(RC[-61]=1,RC[-109]&lt;&gt;R[-1]C[-109])),RC[-78]&lt;&gt;"вручную",IF(RC[-61]=1,"",R[-1]C[-3])="ok"),IF(RC[-61]=1,"",R[-1]C),""))</t>
  </si>
  <si>
    <t>=IF(N(RC[-1])&gt;0,1,0)</t>
  </si>
  <si>
    <t>=IF(RC[-33]=1,RC[-16],IF(AND(NOT(OR(RC[-63]=1,RC[-111]&lt;&gt;R[-1]C[-111])),RC[-80]&lt;&gt;"вручную",IF(RC[-63]=1,"",R[-1]C[-5])="ok"),N(IF(RC[-63]=1,"",R[-1]C)),0))</t>
  </si>
  <si>
    <t>=IF(RC[-34]=1,N(RC[-97])+IF(RC[-81]="вручную",0,N(RC[-33])),"")</t>
  </si>
  <si>
    <t>=IF(N(RC[-40])=1,1,IF(RC[-44]=1,1,IF(N(RC[-40])&gt;=4,0.92,1)))</t>
  </si>
  <si>
    <t>=IF(ISNUMBER(RC[-77]),RC[-77],К_прокл)</t>
  </si>
  <si>
    <t>=IF(N(RC[-42])=1,1,IF(RC[-46]=1,2,3))</t>
  </si>
  <si>
    <t>=IFERROR(N(VLOOKUP(RC[-45],Кабель_обозначение,3,FALSE)),1)</t>
  </si>
  <si>
    <t>=IFERROR(N(XLOOKUP(RC[-117],Щиты[Щит],Щиты[ΔU до шин, %])),0)</t>
  </si>
  <si>
    <t>=IFERROR(XLOOKUP(RC[-118],Щиты[Щит],Щиты[Zпетли на шинах, Ом]),"")</t>
  </si>
  <si>
    <t>=IFERROR(N(XLOOKUP(RC[-119],Щиты[Щит],Щиты[ΔU до шин (подбор), %])),0)</t>
  </si>
  <si>
    <t>=IFERROR(XLOOKUP(RC[-120],Щиты[Щит],Щиты[Zпетли на шинах (подбор), Ом]),"")</t>
  </si>
  <si>
    <t>=IF(COUNT(RC[-78],RC[-77])=0,"",ROUNDUP(SUM(RC[-78],RC[-77]),0))</t>
  </si>
  <si>
    <t>=IF(TRIM(RC[-111]&amp;"")="",RC[-1],RC[-111])</t>
  </si>
  <si>
    <t>=IF(RC[-54]=1,2,IF(RC[-54]=3,1,""))</t>
  </si>
  <si>
    <t>=IFERROR(ROUND(SIN(ACOS(RC[-48])),2),"")</t>
  </si>
  <si>
    <t>=IF(RC[-124]="","",IF(IFERROR(VLOOKUP(RC[-76],УГО_спр,2,FALSE),"")="Светильник",3,4)+IF(Методика="нормы 2026",MIN(0.5,MAX(0,N(RC[-109])-100)*0.005),0))</t>
  </si>
  <si>
    <t>=IF(OR(RC[-125]="",RC[-55]="",RC[-10]&lt;&gt;1),"",LET(sz,Iдоп_S,t_,CHOOSE(RC[-11],Iдоп_1ж,Iдоп_2ж,Iдоп_3ж)*RC[-13]*RC[-12],inn,N(RC[-19]),smin,MAX(1.5,RC[-52]),L_,N(RC[-110]),rho,XLOOKUP(sz,INDEX(Кабель_сопротивление,0,1),INDEX(Кабель_сопротивление,0,3),""),xx,XLOOKUP(sz,INDEX(Кабель_сопротивление,0,1),INDEX(Кабель_сопротивление,0,2),""),du_,IFERROR(N(RC[-3])*(rho*L_/sz*N(RC[-50])+xx*L_*N(RC[-2])/1000)*N(RC[-111])/((Uн_лин/SQRT(3))*1000)*100,999),kz,IF(OR(RC[-16]=1,NOT(ISNUMBER(RC[-6])),L_=0,inn=0),1,IFERROR(--(c_min*(Uн_лин*1000/SQRT(3))/(RC[-6]+2*ρкз_Cu*L_/sz)&gt;=RC[80]*inn),0)),ok,IFERROR((sz&gt;=smin)*(t_&gt;=inn)*IF(L_&gt;0,(du_+RC[-7]&lt;=RC[-1]+0.00001),1)*kz,0),r_,FILTER(sz,ok,"не подобрано"),INDEX(r_,1)))</t>
  </si>
  <si>
    <t>=IF(RC[-126]="","",IF(TRIM(RC[-117]&amp;"")="",RC[-1],RC[-117]))</t>
  </si>
  <si>
    <t>=IF(OR(RC[-127]="",RC[-57]="",RC[-12]&lt;&gt;1),"",LET(sz,Iдоп_S,t_,CHOOSE(RC[-13],Iдоп_1ж,Iдоп_2ж,Iдоп_3ж)*RC[-15]*RC[-14],ok,IFERROR((sz&gt;=MAX(1.5,RC[-54]))*(t_&gt;=N(RC[-21])),0),r_,FILTER(sz,ok,""),INDEX(r_,1)))</t>
  </si>
  <si>
    <t>=IFERROR(ROUNDUP(N(RC[-6])*(XLOOKUP(RC[-1],INDEX(Кабель_сопротивление,0,1),INDEX(Кабель_сопротивление,0,3))*N(RC[-113])/RC[-1]*N(RC[-53])+XLOOKUP(RC[-1],INDEX(Кабель_сопротивление,0,1),INDEX(Кабель_сопротивление,0,2))*N(RC[-113])*N(RC[-5])/1000)*N(RC[-114])/((Uн_лин/SQRT(3))*1000)*100,2),"")</t>
  </si>
  <si>
    <t>=IFERROR(2*ρкз_Cu*N(RC[-114])/RC[-2],"")</t>
  </si>
  <si>
    <t>=IFERROR(VLOOKUP(RC[-4],Кабель_сопротивление,3,FALSE),"")</t>
  </si>
  <si>
    <t>=IFERROR(VLOOKUP(RC[-5],Кабель_сопротивление,2,FALSE),"")</t>
  </si>
  <si>
    <t>=IF(RC[-94]&lt;&gt;"",RC[-94],IF(OR(RC[-11]="",RC[-92]=""),"",IF(RC[-92]=1,MAX(0,RC[-117]-ROUNDUP(N(RC[-89]),0)-4),ROUNDUP(N(RC[-90]),0))))</t>
  </si>
  <si>
    <t>=IF(RC[-94]&lt;&gt;"",RC[-94],IF(OR(RC[-12]="",RC[-93]=""),"",IF(RC[-93]=2,MAX(0,RC[-118]-ROUNDUP(N(RC[-91]),0)-4),ROUNDUP(N(RC[-90]),0))))</t>
  </si>
  <si>
    <t>=IFERROR(RC[-12]*(RC[-4]*RC[-119]/RC[-8]*RC[-59]+RC[-3]*RC[-119]*RC[-11]/1000)*RC[-120],"")</t>
  </si>
  <si>
    <t>=IFERROR(ROUNDUP(RC[-1]/((Uн_лин/SQRT(3))*1000)*100,2),"")</t>
  </si>
  <si>
    <t>=IFERROR(VLOOKUP(RC[-66],Кабель_обозначение,2,FALSE),"")</t>
  </si>
  <si>
    <t>=IFERROR(IF(RC[-22]=1,IF(ISNUMBER(RC[-11]),RC[-1]&amp;" ("&amp;RC[-65]&amp;"х"&amp;RC[-11]&amp;")",RC[-1]),RC[-1]),"")</t>
  </si>
  <si>
    <t>=IF(OR(RC[-138]="",RC[-2]="",AND(RC[-75]&lt;&gt;"",NOT(ISNUMBER(RC[-75])))),"",IF(N(RC[-12])=0,RC[-2],RC[-1]&amp;CHAR(10)&amp;"L="&amp;RC[-123]&amp;"-"&amp;RC[-3]&amp;"%"))</t>
  </si>
  <si>
    <t>=IFERROR(2*ρкз_Cu*RC[-124]/RC[-13],"")</t>
  </si>
  <si>
    <t>=IFERROR(0.0175*N(RC[-125])/RC[-14],"")</t>
  </si>
  <si>
    <t>=IFERROR(IF(OR(RC[-141]="",NOT(ISNUMBER(RC[-15])),N(RC[-126])=0),"",XLOOKUP(RC[-142],Щиты[Щит],Щиты[Zпетли на шинах, Ом])+RC[-2]),"")</t>
  </si>
  <si>
    <t>=IF(ISNUMBER(RC[-1]),c_min*(Uн_лин*1000/SQRT(3))/RC[-1],"")</t>
  </si>
  <si>
    <t>=IFERROR(IF(OR(RC[-143]="",NOT(ISNUMBER(RC[-17]))),"",1.05*(Uн_лин*1000/SQRT(3))/(XLOOKUP(RC[-144],Щиты[Щит],Щиты[Zmax на шинах, Ом])+RC[-3])/1000),"")</t>
  </si>
  <si>
    <t>=IF(RC[-144]="","",IF(ISNUMBER(RC[-121]),"Сил",IF(IFERROR(XLOOKUP(RC[-96],Коды_код,Коды_группа)&amp;"","")="","Быт",XLOOKUP(RC[-96],Коды_код,Коды_группа)&amp;"")))</t>
  </si>
  <si>
    <t>=IF(RC[-145]="","",IF(RC[-92]&lt;&gt;"","Щит",IF(TRIM(RC[-123]&amp;"")="",RC[-1],RC[-123])))</t>
  </si>
  <si>
    <t>=IF(RC[-1]="Щит","щит",IF(RC[-1]="","",IF(RC[-1]="Быт",IFERROR(XLOOKUP(RC[-147],Щиты[Щит],Щиты[Кс быт]),1),IF(RC[-1]="Сил",IF(ISNUMBER(RC[-123]),RC[-123],IF(Методика="нормы 2026",IFERROR(XLOOKUP(RC[-147],Щиты[Щит],Щиты[Кс силовых (табл. 7.5)]),1),1)),IF(OR(RC[-1]="Пост",RC[-1]="Отоп"),1,IF(RC[-1]="ВНГ",0.7,0))))))</t>
  </si>
  <si>
    <t>=IF(RC[-2]="","",IFERROR(MIN(3,MAX(1,INT(--RC[-122]))),1))</t>
  </si>
  <si>
    <t>=IF(OR(RC[-3]="",RC[-3]="Нет",RC[-3]="Щит"),0,N(RC[-84]))</t>
  </si>
  <si>
    <t>=IF(RC[-4]="Быт",N(RC[-85]),0)</t>
  </si>
  <si>
    <t>=IF(RC[-5]="Сил",N(RC[-86])*N(RC[-4]),0)</t>
  </si>
  <si>
    <t>=IF(RC[-6]="Пост",N(RC[-87]),0)</t>
  </si>
  <si>
    <t>=IF(RC[-7]="Отоп",N(RC[-88]),0)</t>
  </si>
  <si>
    <t>=IF(RC[-8]="ВНГ",N(RC[-89])*0.7,0)</t>
  </si>
  <si>
    <t>=IF(OR(RC[-154]="",RC[-9]="Щит",RC[-9]="Нет"),0,N(RC[-90]))</t>
  </si>
  <si>
    <t>=IF(OR(RC[-155]="",RC[-10]="Щит",RC[-10]="Нет"),0,N(RC[-91])*N(RC[-80]))</t>
  </si>
  <si>
    <t>=IF(RC[-79]=1,N(RC[-92])+IF(RC[-126]="вручную",0,N(RC[-77])),0)</t>
  </si>
  <si>
    <t>=IF(RC[-157]="","",IF(ISFORMULA(RC[-146]),"",LET(v,UPPER(SUBSTITUTE(TRIM(RC[-146]&amp;"")," ","")),IF(v="","",IF(OR(v="1,2,3",v="L1,L2,L3",v="123",v="3Ф"),"L1,L2,L3",IF(OR(v="1",v="2",v="3"),"L"&amp;v,IF(OR(v="L1",v="L2",v="L3"),v,"")))))))</t>
  </si>
  <si>
    <t>=IF(RC[-158]="","",IF(RC[-81]=0,IF(RC[-111]=1,"",R[-1]C[2]),IF(OR(N(RC[-60])&gt;=3,N(RC[-90])&gt;=3),"L1,L2,L3",IFERROR(TEXTBEFORE(TEXTAFTER(XLOOKUP(RC[-159],Щиты[Щит],Щиты[_фазы авто]),";"&amp;RC[-111]&amp;":"),";"),"L1"))))</t>
  </si>
  <si>
    <t>=IF(RC[-159]="","",LET(v,UPPER(SUBSTITUTE(TRIM(RC[-148]&amp;"")," ","")),IF(v="",RC[-1],IF(OR(v="1,2,3",v="L1,L2,L3",v="123",v="3Ф"),"L1,L2,L3",IF(OR(v="1",v="2",v="3"),"L"&amp;v,IF(OR(v="L1",v="L2",v="L3"),v,IF(v="УПР","",v)))))))</t>
  </si>
  <si>
    <t>=IF(RC[-83]=1,RC[-1],IF(AND(NOT(OR(RC[-113]=1,RC[-161]&lt;&gt;R[-1]C[-161])),RC[-130]&lt;&gt;"вручную",IF(RC[-113]=1,"",R[-1]C[-55])="ok"),IF(RC[-113]=1,"",R[-1]C),""))</t>
  </si>
  <si>
    <t>=IFERROR(IF(RC[-87]=2,IFS(RC[-93]=3,VLOOKUP(RC[-97],Справочная_двигатели,3,FALSE),RC[-93]=1,VLOOKUP(RC[-97],Справочная_двигатели,5,TRUE)),0),0)</t>
  </si>
  <si>
    <t>=IFERROR(IF(RC[-88]=3,VLOOKUP(RC[-98],Справочная_ЛЭД,2,TRUE),0),0)</t>
  </si>
  <si>
    <t>=IF(RC[-163]="","",IF(RC[-2]=0,RC[-1],RC[-2]))</t>
  </si>
  <si>
    <t>=IF(RC[-164]="","",IFERROR(INDEX({"I особая","I","II","III"},MATCH(TRIM(RC[-137]&amp;""),{"I особая","I","II","III"},0)),"III"))</t>
  </si>
  <si>
    <t>=IF(RC[-165]="","",IF(TRIM(RC[-137]&amp;"")&lt;&gt;"",IF(LOWER(TRIM(RC[-137]&amp;""))="да","да","нет"),IF(IFERROR(XLOOKUP(RC[-117],Коды_код,Коды_пожарная),"")="да","да","нет")))</t>
  </si>
  <si>
    <t>=IF(RC[-140]&lt;&gt;"",RC[-140],IF(RC[-89]=1,"",IF(RC[22]="","",IF(RC[-119]=1,"",R[-1]C))))</t>
  </si>
  <si>
    <t>=IF(RC[-167]="","",IF(RC[-1]="","основная",RC[-1]))</t>
  </si>
  <si>
    <t>=IFERROR(MIN(3,MAX(1,INT(--RC[-143]))),1)</t>
  </si>
  <si>
    <t>=IF(RC[-169]="","",LET(t,IFERROR(XLOOKUP(1,(Шины[Шина]=RC[-2])*(((Шины[Щит]=RC[-170])+(Шины[Щит]=""))&gt;0),Шины[Тип]),"")&amp;"",IF(t&lt;&gt;"",t,IF(ISNUMBER(SEARCH("ИБП",RC[-2])),"ИБП",IF(ISNUMBER(SEARCH("ДГУ",RC[-2])),"ДГУ","Ввод "&amp;RC[-1])))))</t>
  </si>
  <si>
    <t>=IF(RC[-170]="","",IF(OR(RC[-1]="ИБП",RC[-1]="ДГУ"),RC[-1],IF(LEFT(RC[-1],5)="Ввод ",RC[-1],"Ввод "&amp;RC[-2])))</t>
  </si>
  <si>
    <t>=IF(RC[-171]="","",IF(OR(RC[-2]="ИБП",RC[-2]="ДГУ"),"I особая",IF(RC[-2]="Одиночная","III",XLOOKUP(RC[-172],Щиты[Щит],Щиты[Категория шины «Ввод»],"III"))))</t>
  </si>
  <si>
    <t>=IF(RC[-172]="",0,IFERROR(MATCH(RC[-8],{"III","II","I","I особая"},0),1))</t>
  </si>
  <si>
    <t>=IF(OR(RC[-4]="ИБП",RC[-4]="ДГУ"),MIN(RC[-1],3),RC[-1])</t>
  </si>
  <si>
    <t>=IF(RC[-174]="","",IF(RC[-2]&gt;IFERROR(MATCH(RC[-3],{"III","II","I","I особая"},0),1),"НЕ ОБЕСПЕЧЕНА","ОК"))</t>
  </si>
  <si>
    <t>=IF(RC[-176]="","",XLOOKUP(RC[-176],Щиты[Щит],Щиты[Путь],""))</t>
  </si>
  <si>
    <t>=IF(RC[-176]="","",IF(RC[-147]&lt;&gt;"",RC[-147],IF(IFERROR(XLOOKUP(RC[-128],Коды_код,Коды_вид)&amp;"","")="","Прочее",XLOOKUP(RC[-128],Коды_код,Коды_вид)&amp;"")))</t>
  </si>
  <si>
    <t>=IF(RC[-119]="","",INT((RC[-119]-1)/Столбцов_на_лист)+1)</t>
  </si>
  <si>
    <t>=IF(RC[-178]="","",SUBSTITUTE(RC[-40],CHAR(10)," "))</t>
  </si>
  <si>
    <t>=IF(RC[-179]="","",IFERROR(--RC[-115],""))</t>
  </si>
  <si>
    <t>=IF(RC[-180]="","",IFERROR(ROUNDUP(RC[-166],2),""))</t>
  </si>
  <si>
    <t>=IF(RC[-181]="","",IFERROR(--RC[-113],1))</t>
  </si>
  <si>
    <t>=IF(OR(RC[-150]="+",AND(RC[-182]&lt;&gt;"",RC[-182]=IF(RC[-135]=1,"",R[-1]C[-182]))),1,0)</t>
  </si>
  <si>
    <t>=IF(OR(RC[-125]="",RC[-153]="вручную",AND(RC[-124]="вводной узел",RC[-153]&lt;&gt;"рисовать")),0,1)</t>
  </si>
  <si>
    <t>=IF(RC[-126]="","",IF(AND(RC[-107]=1,RC[-1]=1),COUNTIFS(R3C[-185]:RC[-185],RC[-185],R3C[-107]:RC[-107],1,R3C[-1]:RC[-1],1),IF(OR(OR(RC[-137]=1,RC[-185]&lt;&gt;R[-1]C[-185]),RC[-154]="вручную",RC[-1]=0),"",IF(RC[-137]=1,"",R[-1]C[1]))))</t>
  </si>
  <si>
    <t>=IF(RC[-127]="",IF(OR(RC[-138]=1,RC[-186]&lt;&gt;R[-1]C[-186]),"",IF(RC[-138]=1,"",R[-1]C)),RC[-1])</t>
  </si>
  <si>
    <t>=IF(RC[-186]="","",IFERROR(LOOKUP(INDEX(CHOOSE(RC[-72],Iдоп_1ж,Iдоп_2ж,Iдоп_3ж),MATCH(RC[-60],Iдоп_S,0))*RC[-74]*RC[-73],{6,10,16,20,25,32,40,50,63,80,100,125,160,200,250,315,400,500,630}),""))</t>
  </si>
  <si>
    <t>=IF(AND(RC[-110]=1,RC[-4]=1,RC[-3]&lt;&gt;""),IF(N(RC[-100])&gt;0,"QFD","QF")&amp;RC[-3],"")</t>
  </si>
  <si>
    <t>=IF(RC[-1]&lt;&gt;"",RC[-1],IF(OR(OR(RC[-141]=1,RC[-189]&lt;&gt;R[-1]C[-189]),RC[-158]="вручную"),"",IF(RC[-141]=1,"",R[-1]C)))</t>
  </si>
  <si>
    <t>=IF(RC[-2]&lt;&gt;"",TEXTJOIN(" → ",TRUE,RC[-98],RC[-97],RC[-96]),IF(RC[-1]="","",IF(RC[-142]=1,"",R[-1]C)))</t>
  </si>
  <si>
    <t>=IF(RC[-1]="",0,IF(OR(LEFT(RC[-1],2)="T ",LEFT(RC[-1],2)="Т ",ISNUMBER(SEARCH("→ T ",RC[-1])),ISNUMBER(SEARCH("→ Т ",RC[-1])),ISNUMBER(SEARCH("БП",RC[-1]))),1,0))</t>
  </si>
  <si>
    <t>=IF(OR(RC[-160]="",RC[-160]="-"),"",IFERROR(VLOOKUP(RC[-160],Модули_спр,2,FALSE),"R"))</t>
  </si>
  <si>
    <t>=IF(RC[-1]="","",RC[-1]&amp;"."&amp;COUNTIFS(R3C[-193]:RC[-193],RC[-193],R3C[-1]:RC[-1],RC[-1]))</t>
  </si>
  <si>
    <t>=IF(RC[-162]="-","",IF(RC[-1]&lt;&gt;"",RC[-1],IF(OR(RC[-146]=1,RC[-194]&lt;&gt;R[-1]C[-194]),"",IF(RC[-146]=1,"",R[-1]C))))</t>
  </si>
  <si>
    <t>=IF(RC[-1]="","",IF(AND(RC[-163]&lt;&gt;"",RC[-163]&lt;&gt;"-"),RC[-163],IF(RC[-147]=1,"",R[-1]C)))</t>
  </si>
  <si>
    <t>=IF(RC[-163]="=",IF(RC[-148]=1,"",R[-1]C[1]),IF(ISNUMBER(RC[-163]),RC[-163],IF(RC[-2]="","",IF(OR(RC[-195]&lt;&gt;"",RC[-163]="+",RC[-163]="р"),IF(OR(RC[-3]&lt;&gt;"",IF(RC[-148]=1,"",R[-1]C[1])=""),1,IF(RC[-148]=1,"",R[-1]C[1])+1),""))))</t>
  </si>
  <si>
    <t>=IF(RC[-1]&lt;&gt;"",RC[-1],IF(OR(OR(RC[-149]=1,RC[-197]&lt;&gt;R[-1]C[-197]),RC[-165]="-",RC[-4]&lt;&gt;""),"",IF(RC[-149]=1,"",R[-1]C)))</t>
  </si>
  <si>
    <t>=IF(OR(RC[-165]="б/к",RC[-167]="вручную"),0,IF(OR(ISNUMBER(SEARCH("L=",RC[-59])),RC[-165]="+",RC[-165]="="),1,0))</t>
  </si>
  <si>
    <t>=IF(RC[-1]=1,"XT"&amp;COUNTIFS(R3C[-199]:RC[-199],RC[-199],R3C[-1]:RC[-1],1),"")</t>
  </si>
  <si>
    <t>=LET(v,TRIM(RC[-187]&amp;""),IF(v="нет","",IF(v="",RC[-1],v)))</t>
  </si>
  <si>
    <t>=IF(OR(RC[-200]&lt;&gt;"",RC[-5]&lt;&gt;"",RC[-3]=1),RC[-12],"")</t>
  </si>
  <si>
    <t>=IF(OR(RC[-6]&lt;&gt;"",AND(RC[-170]&lt;&gt;"",RC[-170]&lt;&gt;"-")),RC[-8],"")</t>
  </si>
  <si>
    <t>=IF(RC[-202]="","",IF(AND(RC[-125]=1,RC[-99]&lt;&gt;"",RC[-98]=""),"номинал автомата не распознан",IF(RC[-96]="",IF(RC[-126]=1,"«гр»: нет автомата выше",""),IF(AND(RC[-125]=1,N(RC[-91])&gt;N(RC[-96])),"ПЕРЕГРУЗ",IF(AND(N(RC[-92])=0,ISNUMBER(RC[-16]),N(RC[-16])&lt;N(RC[-96])),"КАБЕЛЬ НЕ ЗАЩИЩЁН","ok")))))</t>
  </si>
  <si>
    <t>=IF(OR(RC[-8]="",RC[-10]=""),"",IF(RC[-8]&gt;IFERROR(VLOOKUP(RC[-9],Модули_спр,3,FALSE),99),"ЛИШНИЙ КАНАЛ",IF(AND(RC[-171]&lt;&gt;"=",COUNTIFS([_модуль гр.],RC[-10],[Канал (итог)],RC[-8],[Канал],"&lt;&gt;=",[Щит],RC[-204])&gt;1),"ДУБЛЬ КАНАЛА","")))</t>
  </si>
  <si>
    <t>=IFERROR(IF(ISNUMBER(RC[-62]),RC[-62]/N(RC[-98]),""),"")</t>
  </si>
  <si>
    <t>=IF(OR(ISNUMBER(SEARCH(" B"," "&amp;RC[-98])),ISNUMBER(SEARCH(" В"," "&amp;RC[-98]))),5,IF(ISNUMBER(SEARCH(" D"," "&amp;RC[-98])),20,10))</t>
  </si>
  <si>
    <t>=IF(NOT(ISNUMBER(RC[-2])),"",IF(RC[-2]&gt;=RC[-1],"ok",IF(N(RC[-97])=1,"ok (дифзащита "&amp;RC[-98]&amp;" мА)","мало: Iкз &lt; "&amp;RC[-1]&amp;"·In")))</t>
  </si>
  <si>
    <t>=IF(AND(RC[-207]="",RC[-7]=""),"",TEXTJOIN("; ",TRUE,IF(AND(RC[-207]&lt;&gt;"",RC[-48]=""),"нет фазы",""),IF(AND(RC[-207]&lt;&gt;"",N(RC[-28])=0,RC[-62]&lt;&gt;"Нет"),"нет мощности",""),IF(AND(RC[-8]&lt;&gt;"",COUNTIFS([Щит],RC[-208],[Клемма (итог)],RC[-8])&gt;1),"дубль клеммы "&amp;RC[-8],""),IF(AND(RC[-5]&lt;&gt;"",RC[-5]&lt;&gt;"ok"),RC[-5],""),IF(RC[-4]&lt;&gt;"",RC[-4],""),IF(AND(N(RC[-135])&gt;=4,N(RC[-139])=1),RC[-135]&amp;" жил на 1 фазе",""),IF(AND(RC[-159]="R",RC[-130]=1,OR(N(RC[-120])=0,N(RC[-120])&gt;30)),"розетка без дифзащиты до 30 мА",""),IFERROR(IF(AND(ISNUMBER(RC[-191]),RC[-191]&gt;RC[-83]),"потери "&amp;FIXED(RC[-191],1)&amp;" % &gt; "&amp;RC[-83]&amp;" %",""),""),IFERROR(IF(LEFT(RC[-1],4)="мало","Iкз мало — отключение &gt; 0,4 с",""),""),IF(AND(RC[-207]&lt;&gt;"",RC[-149]=""),"не на схеме",""),IF(AND(RC[-130]=0,RC[-207]&lt;&gt;"",RC[-48]&lt;&gt;"",IF(RC[-160]=1,"",R[-1]C[-47])&lt;&gt;"",RC[-48]&lt;&gt;IF(RC[-160]=1,"",R[-1]C[-47])),"фаза не как у автомата группы ("&amp;IF(RC[-160]=1,"",R[-1]C[-47])&amp;")","")))</t>
  </si>
  <si>
    <t>=IF(OR(RC[-131]=0,RC[-105]=""),"",LET(t,IFERROR(XLOOKUP(RC[-105],Каталог!R4C21:R500C21,Каталог!R4C7:R500C7),""),k,SEARCH("кА",t),IFERROR(--TRIM(RIGHT(SUBSTITUTE(MID(t,MAX(1,k-4),k-MAX(1,k-4))," ",REPT(" ",9)),5)),"")))</t>
  </si>
  <si>
    <t>=IF(OR(RC[-1]="",RC[-132]=0),"",IF(XLOOKUP(RC[-210],Щиты[Щит],Щиты[Iкз max на шинах, кА],"")="","",IF(RC[-1]&lt;XLOOKUP(RC[-210],Щиты[Щит],Щиты[Iкз max на шинах, кА]),"Icu "&amp;RC[-1]&amp;" кА &lt; Iкз max","ok")))</t>
  </si>
  <si>
    <t>=IF(OR(AND(RC[-163]&gt;1,N(R[-1]C[-163])&lt;&gt;RC[-163]-1),AND(R[1]C[-163]&lt;&gt;"",N(R[1]C[-163])&lt;&gt;RC[-163]+1)),"строки сдвинуты (вставка или удаление) — нажмите «Починить формулы»","")</t>
  </si>
  <si>
    <t>=IF(OR(RC[-181]="вручную",RC[-153]="",AND(RC[-211]="",RC[-12]="")),"",TEXTJOIN("|",TRUE,RC[-23],SUBSTITUTE(RC[-22]," → ","|"),IF(RC[-18]&lt;&gt;"",RC[-18]&amp;IF(RC[-16]&lt;&gt;""," к."&amp;RC[-16],""),""),RC[-12]))</t>
  </si>
  <si>
    <t>=IF(RC[-1]="","",RC[-1]&amp;IF(RC[-212]&lt;&gt;"","|кабель "&amp;RC[-75]&amp;" → "&amp;RC[-157],""))</t>
  </si>
  <si>
    <t>=IF(RC[-1]="","",LET(nd,TEXTSPLIT(RC[-1],"|"),IF(COLUMNS(nd)&gt;1,RC[-214]&amp;"¦"&amp;INDEX(nd,1)&amp;"¦"&amp;INDEX(nd,2),"")))</t>
  </si>
  <si>
    <t>=IF(RC[-1]="","",RC[-214]&amp;"¦"&amp;RC[-159])</t>
  </si>
  <si>
    <t>=IF(RC[-3]="","",LET(nd,TEXTSPLIT(RC[-3],"|"),IF(COLUMNS(nd)&gt;2,RC[-216]&amp;"¦"&amp;INDEX(nd,2)&amp;"¦"&amp;INDEX(nd,3),"")))</t>
  </si>
  <si>
    <t>=IF(RC[-1]="","",RC[-216]&amp;"¦"&amp;RC[-161])</t>
  </si>
  <si>
    <t>=IF(RC[-5]="","",LET(nd,TEXTSPLIT(RC[-5],"|"),IF(COLUMNS(nd)&gt;3,RC[-218]&amp;"¦"&amp;INDEX(nd,3)&amp;"¦"&amp;INDEX(nd,4),"")))</t>
  </si>
  <si>
    <t>=IF(RC[-1]="","",RC[-218]&amp;"¦"&amp;RC[-163])</t>
  </si>
  <si>
    <t>=IF(RC[-7]="","",LET(nd,TEXTSPLIT(RC[-7],"|"),IF(COLUMNS(nd)&gt;4,RC[-220]&amp;"¦"&amp;INDEX(nd,4)&amp;"¦"&amp;INDEX(nd,5),"")))</t>
  </si>
  <si>
    <t>=IF(RC[-1]="","",RC[-220]&amp;"¦"&amp;RC[-165])</t>
  </si>
  <si>
    <t>=IF(RC[-9]="","",LET(nd,TEXTSPLIT(RC[-9],"|"),IF(COLUMNS(nd)&gt;5,RC[-222]&amp;"¦"&amp;INDEX(nd,5)&amp;"¦"&amp;INDEX(nd,6),"")))</t>
  </si>
  <si>
    <t>=IF(RC[-1]="","",RC[-222]&amp;"¦"&amp;RC[-167])</t>
  </si>
  <si>
    <t>=IF(RC[-11]="","",LET(nd,TEXTSPLIT(RC[-11],"|"),IF(COLUMNS(nd)&gt;6,RC[-224]&amp;"¦"&amp;INDEX(nd,6)&amp;"¦"&amp;INDEX(nd,7),"")))</t>
  </si>
  <si>
    <t>=IF(RC[-1]="","",RC[-224]&amp;"¦"&amp;RC[-169])</t>
  </si>
  <si>
    <t>=IF(RC[-24]="","",RC[-31])</t>
  </si>
  <si>
    <t>=IF(AND(RC[-226]="",RC[-31]="",RC[-27]=""),"",TEXTJOIN(" → ",TRUE,RC[-38],RC[-37],IF(RC[-33]&lt;&gt;"",RC[-33]&amp;IF(RC[-31]&lt;&gt;""," к."&amp;RC[-31],""),IF(RC[-31]&lt;&gt;"","к."&amp;RC[-31],"")),RC[-27],IF(RC[-44]=1,"(в кабель выше)","")))</t>
  </si>
  <si>
    <t>=IF(RC[-201]="",0,1)</t>
  </si>
  <si>
    <t>=IF(RC[-41]="",0,IF(LEFT(RC[-41],3)="QFD",1,0))</t>
  </si>
  <si>
    <t>=IF(RC[-197]="=","=",IF(RC[-197]="+","+",IF(RC[-197]="р","R","")))</t>
  </si>
  <si>
    <t>=IF(RC[-139]="","",IF(OR(LEFT(RC[-139],1)="T",LEFT(RC[-139],1)="Т"),"T",IF(LEFT(UPPER(RC[-139]),2)="БП","PS",IF(OR(LEFT(UPPER(RC[-139]),2)="МК",LEFT(UPPER(RC[-139]),2)="MK"),"MK",IF(OR(LEFT(UPPER(RC[-139]),2)="КМ",LEFT(UPPER(RC[-139]),2)="KM"),"KM","X")))))</t>
  </si>
  <si>
    <t>=IF(RC[-233]="","",IFERROR(VLOOKUP(RC[-233],УГО_спр,2,FALSE),IFERROR(VLOOKUP(RC[-185],УГО_спр,2,FALSE),IFERROR(VLOOKUP(LEFT(RC[-185],2),УГО_спр,2,FALSE),""))))</t>
  </si>
  <si>
    <t>=IF(RC[-234]="","",IF(OR(RC[-1]="",RC[-1]=0),"BOX",IFERROR(IF(VLOOKUP(RC[-1],УГО_блоки,3,FALSE)&amp;""&lt;&gt;"",VLOOKUP(RC[-1],УГО_блоки,3,FALSE),VLOOKUP(RC[-1],УГО_блоки,2,FALSE)),RC[-1])))</t>
  </si>
  <si>
    <t>=IF(RC[-235]="",0,1)</t>
  </si>
  <si>
    <t>=IF(RC[-133]="","",IF(COUNTIF(R3C[-133]:RC[-133],RC[-133])=1,MAX(R2C:R[-1]C)+1,""))</t>
  </si>
  <si>
    <t>=IF(RC[-146]="","",IF(COUNTIF(R3C[-146]:RC[-146],RC[-146])+COUNTIF(R2C[-145]:R[-1]C[-145],RC[-146])+COUNTIF(R2C[-144]:R[-1]C[-144],RC[-146])=1,MAX(R2C:R[-1]C[2])+1,""))</t>
  </si>
  <si>
    <t>=IF(RC[-146]="","",IF(COUNTIF(R3C[-147]:RC[-147],RC[-146])+COUNTIF(R3C[-146]:RC[-146],RC[-146])+COUNTIF(R2C[-145]:R[-1]C[-145],RC[-146])=1,MAX(R2C[-1]:R[-1]C[1],RC[-1])+1,""))</t>
  </si>
  <si>
    <t>=IF(RC[-146]="","",IF(COUNTIF(R3C[-148]:RC[-148],RC[-146])+COUNTIF(R3C[-147]:RC[-147],RC[-146])+COUNTIF(R3C[-146]:RC[-146],RC[-146])=1,MAX(R2C[-2]:R[-1]C,RC[-2],RC[-1])+1,""))</t>
  </si>
  <si>
    <t>=IF(RC[-43]=1,IFERROR(MID(RC[-62],FIND(" (",RC[-62])+2,FIND(")",RC[-62],FIND(" (",RC[-62]))-FIND(" (",RC[-62])-2),"?"),"")</t>
  </si>
  <si>
    <t>=IF(RC[-1]="","",IF(COUNTIF(R3C[-1]:RC[-1],RC[-1])=1,MAX(R2C:R[-1]C)+1,""))</t>
  </si>
  <si>
    <t>=IF(RC[-50]="","",COUNTIF(R3C[-50]:RC[-50],"?*"))</t>
  </si>
  <si>
    <t>=IF(OR(RC[-51]="",RC[-49]=""),"",IF(COUNTIFS(R3C[-51]:RC[-51],"?*",R3C[-49]:RC[-49],RC[-49])=1,MAX(R2C:R[-1]C)+1,""))</t>
  </si>
  <si>
    <t>=IF(RC[-37]="",0,IF(OR(ISNUMBER(SEARCH("дубль",RC[-37])),ISNUMBER(SEARCH("ПЕРЕГРУЗ",RC[-37])),ISNUMBER(SEARCH("ЗАЩИЩ",RC[-37])),ISNUMBER(SEARCH("КАНАЛ",RC[-37])),ISNUMBER(SEARCH("без диф",RC[-37]))),2,1))</t>
  </si>
  <si>
    <t>=IF(RC[-245]="","",COUNTIF(R3C[-245]:RC[-245],"?*"))</t>
  </si>
  <si>
    <t>=IF(RC[-49]&lt;&gt;1,0,LET(k,MAX(IFERROR(--VLOOKUP(RC[-246],УГО_спр,5,FALSE),0),IFERROR(--VLOOKUP(RC[-198],УГО_спр,5,FALSE),0),IFERROR(--VLOOKUP(LEFT(RC[-198],2),УГО_спр,5,FALSE),0)),IF(k&gt;0,k,IF(IFERROR(--LEFT(SUBSTITUTE(RC[-6],"x","х"),FIND("х",SUBSTITUTE(RC[-6],"x","х"))-1),3)&gt;3,Каталог!R9C19,1))))</t>
  </si>
  <si>
    <t>=IF(RC[-50]&lt;&gt;1,0,MAX(0,IFERROR(--LEFT(SUBSTITUTE(RC[-7],"x","х"),FIND("х",SUBSTITUTE(RC[-7],"x","х"))-1),3)-3*RC[-1]))</t>
  </si>
  <si>
    <t>=IF(RC[-171]=1,"авто","")</t>
  </si>
  <si>
    <t>=IF(RC[-172]=1,IF(N(RC[-162])&gt;0,RC[-162],""),"")</t>
  </si>
  <si>
    <t>=IF(RC[-173]=1,IF(N(RC[-163])&gt;0,1,0),"")</t>
  </si>
  <si>
    <t>=SUBTOTAL(103,RC[-252])</t>
  </si>
  <si>
    <t>ГАЙД ПО ОДНОЛИНЕЙКЕ v5 (бета, этап 1)</t>
  </si>
  <si>
    <t>Одна книга — один объект: все щиты, все линии, все расчёты. После DLN строка почти готова: таблица сама подбирает наименование, мощность, автомат, сечение, фазу и клемму. Вы проверяете и правите только то, что нужно.</t>
  </si>
  <si>
    <t>ОСТОРОЖНО: Включите макросы (кнопка «Включить содержимое» при открытии). Без макросов книга считает правильно, но серые значения не возвращаются после стирания, а после вставки строк нужно нажать «Починить формулы».</t>
  </si>
  <si>
    <t>1. ГЛАВНОЕ ПРАВИЛО: СЕРОЕ И СИНЕЕ</t>
  </si>
  <si>
    <t>Что видите</t>
  </si>
  <si>
    <t>Что это значит</t>
  </si>
  <si>
    <t>Серый курсив</t>
  </si>
  <si>
    <t>Значение выбрала таблица (по коду, по расчёту, по чертежу). Его можно не трогать.</t>
  </si>
  <si>
    <t>Синий жирный</t>
  </si>
  <si>
    <t>Значение вписали вы. Таблица его не меняет и проверяет.</t>
  </si>
  <si>
    <t>Стёрли синее</t>
  </si>
  <si>
    <t>Вернулось серое (выбор таблицы).</t>
  </si>
  <si>
    <t>Жёлтая шапка</t>
  </si>
  <si>
    <t>Столбец для ввода. Курсив в шапке — в столбце есть серые значения.</t>
  </si>
  <si>
    <t>Серая шапка</t>
  </si>
  <si>
    <t>Результат. Вводить не нужно.</t>
  </si>
  <si>
    <t>Красная ячейка «Замечания»</t>
  </si>
  <si>
    <t>В строке есть ошибка. Текст говорит, что исправить.</t>
  </si>
  <si>
    <t>2. ПОРЯДОК РАБОТЫ</t>
  </si>
  <si>
    <t>Лист «Объект»: название, методика, как собирать наименования (по номеру помещения или по экспликации).</t>
  </si>
  <si>
    <t>Объект!C3</t>
  </si>
  <si>
    <t>Лист «Щиты»: строка на щит. Вводов, АВР, ИБП, «Листов под вводной узел» (обычно 1). Для ВРУ — данные сети.</t>
  </si>
  <si>
    <t>Щиты!A10</t>
  </si>
  <si>
    <t>AutoCAD, DLN: номера линий, длины, число потребителей, пометки выносок (Relay, DIM, DALI) приходят в «Линии».</t>
  </si>
  <si>
    <t>Лист «Линии»: проверьте серое. Впишите то, что знаете точно (мощность оборудования, свой автомат). Отметьте группы: «гр».</t>
  </si>
  <si>
    <t>Линии!B3</t>
  </si>
  <si>
    <t>Столбец «Замечания» и лист «Проверка»: исправьте ошибки.</t>
  </si>
  <si>
    <t>Проверка!A1</t>
  </si>
  <si>
    <t>SXDRAW рисует схему по скрытому листу «Однолинейка». Вводной узел (первый лист схемы) рисуете сами.</t>
  </si>
  <si>
    <t>Спецификация, кабельный журнал, бирки — листы с синими ярлыками.</t>
  </si>
  <si>
    <t>3. ЛИСТ «ЛИНИИ»: СТОЛБЦЫ</t>
  </si>
  <si>
    <t>Что делает таблица / что вводите вы</t>
  </si>
  <si>
    <t>Имя щита. Строки щита — подряд, в порядке мест на схеме.</t>
  </si>
  <si>
    <t>Код.Этаж.Помещение.Группа (R.1.05.3). Приходит из DLN.</t>
  </si>
  <si>
    <t>Серое: название кода + помещение. Своё — впишите.</t>
  </si>
  <si>
    <t>Кол-во потребителей</t>
  </si>
  <si>
    <t>Из DLN. Нужно для мощности и опусков.</t>
  </si>
  <si>
    <t>Серое: кВт на шт по коду × кол-во (розетки 0,06 кВт). Фидер — Руст нижнего щита.</t>
  </si>
  <si>
    <t>Пусто — свой автомат. «гр» — линия на автомате строки выше.</t>
  </si>
  <si>
    <t>Серое: полюса, характеристика, номинал, ток утечки. В строке «гр» — «↑» и автомат группы. Свой: 25, C25 или 2P C25А 30мА.</t>
  </si>
  <si>
    <t>Серое: по коду. Своё: 10, 30, 100, 300, «нет».</t>
  </si>
  <si>
    <t>Серое: по пометке выноски (Relay, DIM, DALI) или коду.</t>
  </si>
  <si>
    <t>Аппараты после автомата через «;» (КМ, БП, МК, Т).</t>
  </si>
  <si>
    <t>Серое: подбор (см. раздел 6). Своё — впишите, таблица проверит.</t>
  </si>
  <si>
    <t>Серое: из чертежа (DLN). Итог с опусками — «Длина, м».</t>
  </si>
  <si>
    <t>Серое: автобалансировка по автоматам. Своя: 1, 2, 3 или 1,2,3.</t>
  </si>
  <si>
    <t>Серое: следующая XT. «нет» — без номера.</t>
  </si>
  <si>
    <t>Замечания, Iр, Длина, ΔU, Кабель, Лист / место</t>
  </si>
  <si>
    <t>Результаты строки.</t>
  </si>
  <si>
    <t>4. КНОПКИ ЩИТОВ И КАРТОЧКА</t>
  </si>
  <si>
    <t>Над таблицей — кнопки щитов. Нажмите кнопку — видны только строки этого щита. Слева вверху — карточка щита: откуда питается, Руст, Рр, Iр, cos φ, ΔU до шин, сколько листов схемы, сколько замечаний. Чтобы снова видеть все щиты — нажмите значок «очистить фильтр» на кнопках.</t>
  </si>
  <si>
    <t>5. «ЕЩЁ»: РЕДКИЕ СТОЛБЦЫ</t>
  </si>
  <si>
    <t>Редкие вводы свёрнуты. Кнопка «+» — над столбцом «Лист / место». Там: «Питает щит», фазы, напряжение, группа Кс, Кс, cos φ, секция, шина, категория, пожарная, вид нагрузки, режим строки, модуль, канал, № места, марка, жилы, К прокладки, лоток и гофра, примечание, столбцы DLN.</t>
  </si>
  <si>
    <t>6. КАК ТАБЛИЦА ПОДБИРАЕТ</t>
  </si>
  <si>
    <t>Номинал — наименьший из ряда, не меньше тока группы (Iр ≤ 0,9·In) и минимума кода (свет 10 А, розетки 16 А); перед БП — не меньше 10 А. Полюса: 1ф — 1P, 3ф — 3P, с утечкой — 2P / 4P (дифавтомат). Характеристика — по коду (C).</t>
  </si>
  <si>
    <t>Наименьшее сечение, не меньше минимума кода, при котором: Iдоп·К ≥ In автомата (ПУЭ 1.3.10); потери от ВРУ не больше 3 % до светильников и 4 % до прочих (СП 256 п. 8.23); Iкз в конце линии отключает автомат за 0,4 с (ПУЭ 1.7.79).</t>
  </si>
  <si>
    <t>Автоматы щита по порядку: каждому — фаза с наименьшей нагрузкой. Линии группы — на фазе своего автомата. Ручная фаза не меняется. Перед выдачей можно вписать фазы вручную, чтобы они не менялись при правках.</t>
  </si>
  <si>
    <t>Название кода + «, пом. 105» (или «по экспликации» — название помещения).</t>
  </si>
  <si>
    <t>ПРИМЕЧАНИЕ: Подробно — лист «Методика».</t>
  </si>
  <si>
    <t>7. ВСТАВКА И УДАЛЕНИЕ СТРОК</t>
  </si>
  <si>
    <t>Строки вставляйте внутри таблицы (правая кнопка → Вставить → Строки таблицы выше). Макрос сам чинит формулы. Если в «Замечаниях» видно «строки сдвинуты» — нажмите кнопку «Починить формулы» над таблицей.</t>
  </si>
  <si>
    <t>ВНИМАНИЕ: Не сортируйте таблицу кнопками Excel: порядок строк — это порядок мест на схеме.</t>
  </si>
  <si>
    <t>8. ЧТО ЕЩЁ БУДЕТ (СЛЕДУЮЩИЕ ЭТАПЫ)</t>
  </si>
  <si>
    <t>Этап 2: раскладка по модулям (Relay, DIM, DALI, шторы, клапаны), кнопка «Упорядочить щит», лист «Щит» с лентой схемы, УЗО на группу. Этап 3: «Зафиксировать выдачу» и лист «Изменения», выгрузка для AutoCAD (журнал и таблицы под схему). Этап 4: SXDRAW со второго листа, DLN для v5. Этап 5: гофра по диаметрам, сводка ПТО, наклейки на щит.</t>
  </si>
  <si>
    <t>Методика расчёта однолинейки и проверка по нормам РФ</t>
  </si>
  <si>
    <t>Версия книги: v3.12 → v4. Дата проверки: 03.10.2026, дополнено 04.10.2026.</t>
  </si>
  <si>
    <t>Пояснительная записка (ПЗ) — текстовая часть проекта; в книге v4 сокращение «ПЗ» не используется.</t>
  </si>
  <si>
    <t>Документ описывает каждый расчёт книги: формулу, исходные данные, место в книге, норму и вердикт. Он же — техническое задание на v4: раздел «В v4» у каждого расчёта говорит, что исправить.</t>
  </si>
  <si>
    <t>Как читать вердикт у каждого расчёта:</t>
  </si>
  <si>
    <t>•  ✅ соответствует — книга считает так, как требует норма. Ничего делать не нужно.</t>
  </si>
  <si>
    <t>•  ⚠️ упрощение / уточнить — расчёт допустим, но упрощён (например, не учтено сопротивление дуги) или зависит от решения инженера (например, какой Кс принять). Что именно упрощено — в столбце «Суть», что сделано или надо сделать — в столбце «В v4». Результат пользоваться можно, но прочитайте пояснение.</t>
  </si>
  <si>
    <t>•  ❌ расхождение — книга v3.12 могла дать результат не по норме. В v4 это исправлено или вынесено в проверку (лист «Проверка»).</t>
  </si>
  <si>
    <t>Нормы и редакции, по которым проверено:</t>
  </si>
  <si>
    <t>Документ</t>
  </si>
  <si>
    <t>Редакция</t>
  </si>
  <si>
    <t>Что из него берём</t>
  </si>
  <si>
    <t>ПУЭ, 7-е изд.</t>
  </si>
  <si>
    <t>гл. 1.2, 1.3, 1.7</t>
  </si>
  <si>
    <t>категории, допустимые токи, автоматическое отключение</t>
  </si>
  <si>
    <t>СП 256.1325800.2016</t>
  </si>
  <si>
    <t>ред. 01.03.2022 (изм. 1–5) + Изменение № 6 (2023) + Изменение № 9 (введено 26.01.2026)</t>
  </si>
  <si>
    <t>расчётные нагрузки, потери напряжения, КРМ, схемы</t>
  </si>
  <si>
    <t>ГОСТ Р 50571.4.43-2012</t>
  </si>
  <si>
    <t>защита от сверхтока: Iр ≤ In ≤ Iдоп, термическая стойкость</t>
  </si>
  <si>
    <t>ГОСТ Р 50571.5.52-2011</t>
  </si>
  <si>
    <t>потери напряжения (прил. G), способы прокладки, поправочные коэффициенты</t>
  </si>
  <si>
    <t>ГОСТ 31996-2012</t>
  </si>
  <si>
    <t>допустимые токи кабелей с ПВХ-изоляцией (ВВГнг и т. п.)</t>
  </si>
  <si>
    <t>ГОСТ 28249-93</t>
  </si>
  <si>
    <t>токи КЗ в установках до 1 кВ</t>
  </si>
  <si>
    <t>ГОСТ IEC 60898-1</t>
  </si>
  <si>
    <t>зоны мгновенного расцепления B / C / D</t>
  </si>
  <si>
    <t>СП 6.13130.2021</t>
  </si>
  <si>
    <t>электроснабжение систем противопожарной защиты</t>
  </si>
  <si>
    <t>ВНИМАНИЕ: формулировки Изменения № 9 к СП 256 проверены по пересказу официального текста. Перед внедрением в v4 сверьте табл. 7.2 и подраздел 7.5 с официальной публикацией.</t>
  </si>
  <si>
    <t>---</t>
  </si>
  <si>
    <t>1. Сводка проверки</t>
  </si>
  <si>
    <t>Расчёт</t>
  </si>
  <si>
    <t>Вердикт</t>
  </si>
  <si>
    <t>Суть</t>
  </si>
  <si>
    <t>В v4</t>
  </si>
  <si>
    <t>Ток линии</t>
  </si>
  <si>
    <t>✅</t>
  </si>
  <si>
    <t>I = P / (U·cos φ)</t>
  </si>
  <si>
    <t>без изменений</t>
  </si>
  <si>
    <t>cos φ линии</t>
  </si>
  <si>
    <t>⚠️</t>
  </si>
  <si>
    <t>по умолчанию 0,95 для всех, кроме кодов «двигатель»</t>
  </si>
  <si>
    <t>cos φ по типу нагрузки (СП 256 п. 7.1.12: насосы и вентиляция 0,8)</t>
  </si>
  <si>
    <t>Автомат линии по току</t>
  </si>
  <si>
    <t>ближайший стандартный с Iр ≤ 0,9·In (запас 10 %)</t>
  </si>
  <si>
    <t>без изменений, запас вынести в настройку</t>
  </si>
  <si>
    <t>Сечение кабеля</t>
  </si>
  <si>
    <t>ПУЭ табл. 1.3.7 (подписано «1.3.6»), один общий К прокладки</t>
  </si>
  <si>
    <t>ГОСТ 31996 / паспорт производителя, способ прокладки и коэффициенты по ГОСТ Р 50571.5.52</t>
  </si>
  <si>
    <t>Согласование автомат ↔ кабель</t>
  </si>
  <si>
    <t>In ≤ Iдоп·k, проверка «кабель не защищён»</t>
  </si>
  <si>
    <t>Длина линии</t>
  </si>
  <si>
    <t>✅ (проектный приём)</t>
  </si>
  <si>
    <t>план + опуски + подъём на этаж</t>
  </si>
  <si>
    <t>Потери напряжения</t>
  </si>
  <si>
    <t>формула ГОСТ Р 50571.5.52 прил. G, пределы 3 % / 4 % СП 256 п. 8.23</t>
  </si>
  <si>
    <t>добавить +0,005 %/м после 100 м и проверку 7,5 % от ТП</t>
  </si>
  <si>
    <t>Iкз min, отключение 0,4 с</t>
  </si>
  <si>
    <t>без сопротивления дуги, PE = фазе, только медь</t>
  </si>
  <si>
    <t>дуга по ГОСТ 28249, сечение PE, алюминий</t>
  </si>
  <si>
    <t>Iкз max, отключающая способность</t>
  </si>
  <si>
    <t>❌</t>
  </si>
  <si>
    <t>Iкз max считается, но с Icu аппарата не сравнивается</t>
  </si>
  <si>
    <t>автоматическая проверка Icu ≥ Iкз max</t>
  </si>
  <si>
    <t>Кс бытовой нагрузки</t>
  </si>
  <si>
    <t>⚠️ / ❌</t>
  </si>
  <si>
    <t>табл. 7.2 верна, но отопление и тёплые полы снижаются Кс (по Изм. 9 — отдельно, Кс 1 и 0,7)</t>
  </si>
  <si>
    <t>группы «Отопление» и «ВНГ / тёплый пол»</t>
  </si>
  <si>
    <t>Кс силовой нагрузки</t>
  </si>
  <si>
    <t>вводится вручную (в объекте ЖД везде 0,5)</t>
  </si>
  <si>
    <t>автоматически по табл. 7.5 по числу электроприёмников</t>
  </si>
  <si>
    <t>Ко = 0,9</t>
  </si>
  <si>
    <t>применяется к любому щиту, в т. ч. чисто силовому</t>
  </si>
  <si>
    <t>только там, где сходятся квартиры и силовая нагрузка (ВРУ дома)</t>
  </si>
  <si>
    <t>kп.к (региональный)</t>
  </si>
  <si>
    <t>отсутствует (СП 256 формула 6, табл. 7.5а: ЦФО 0,81)</t>
  </si>
  <si>
    <t>настройка объекта + решение о применимости</t>
  </si>
  <si>
    <t>Пожарные нагрузки</t>
  </si>
  <si>
    <t>не входят в расчётный максимум (СП 256 п. 7.1.9)</t>
  </si>
  <si>
    <t>исправить ссылку (в книге — СП 31-110)</t>
  </si>
  <si>
    <t>cos φ и Iр щита</t>
  </si>
  <si>
    <t>cos φ щита — средневзвешенный по P, а не через Q</t>
  </si>
  <si>
    <t>Q = Σ P·tg φ, cos φ = P / S</t>
  </si>
  <si>
    <t>СП 256 п. 7.3.1–7.3.2: не требуется при ≤ 50 квар на ввод</t>
  </si>
  <si>
    <t>Категории надёжности</t>
  </si>
  <si>
    <t>ПУЭ 1.2.17–1.2.21, СП 256 табл. 6.1, п. 6.13, 8.10</t>
  </si>
  <si>
    <t>Питающая линия щита</t>
  </si>
  <si>
    <t>uк трансформатора 5,5 % константой, Y/Yн — «×3»</t>
  </si>
  <si>
    <t>uк и Zт(1) из паспорта трансформатора</t>
  </si>
  <si>
    <t>Лист «ТКЗ»</t>
  </si>
  <si>
    <t>старый расчёт (220 / Z, без коэффициентов), в основной не входит</t>
  </si>
  <si>
    <t>удалить, всё считает «Питание_щита»</t>
  </si>
  <si>
    <t>Запас кабеля 20 % в журнале</t>
  </si>
  <si>
    <t>не норма, проектный приём</t>
  </si>
  <si>
    <t>настройка объекта</t>
  </si>
  <si>
    <t>2. Исходные данные линии и значения «по коду»</t>
  </si>
  <si>
    <t>Одна линия = одна строка «Исходных данных». Номер линии имеет вид Код.Помещение.№ (пример: K.1.002A.1).</t>
  </si>
  <si>
    <t>Код (часть до первой точки) ищется в «Справочной» P4:P51. Из строки кода берутся значения по умолчанию:</t>
  </si>
  <si>
    <t>Что</t>
  </si>
  <si>
    <t>Столбец кода в «Справочной»</t>
  </si>
  <si>
    <t>Куда идёт</t>
  </si>
  <si>
    <t>Q</t>
  </si>
  <si>
    <t>«Исходные данные» B</t>
  </si>
  <si>
    <t>длина линии</t>
  </si>
  <si>
    <t>Этаж / шлейф</t>
  </si>
  <si>
    <t>S</t>
  </si>
  <si>
    <t>способ подписи и подъём на этаж</t>
  </si>
  <si>
    <t>Тип пускового тока: 1 — нет, 2 — двигатель, 3 — светодиоды</t>
  </si>
  <si>
    <t>T</t>
  </si>
  <si>
    <t>cos φ и Iпуск</t>
  </si>
  <si>
    <t>Марка кабеля, жилы, напряжение, фазы, сечение</t>
  </si>
  <si>
    <t>U, V, W, X, Y</t>
  </si>
  <si>
    <t>N, O, F, H, Q</t>
  </si>
  <si>
    <t>Вид нагрузки (строка таблицы для пояснительной записки)</t>
  </si>
  <si>
    <t>«Исходные данные» BE</t>
  </si>
  <si>
    <t>AZ</t>
  </si>
  <si>
    <t>«Исходные данные» BC</t>
  </si>
  <si>
    <t>BD</t>
  </si>
  <si>
    <t>«Исходные данные» BQ</t>
  </si>
  <si>
    <t>УГО, 30 мА, мин. автомат, клемм 3L</t>
  </si>
  <si>
    <t>AV, AW, AX, AY</t>
  </si>
  <si>
    <t>«Однолинейка»</t>
  </si>
  <si>
    <t>Ручной ввод в «Исходных данных» всегда важнее значения по коду.</t>
  </si>
  <si>
    <t>3. Ток линии</t>
  </si>
  <si>
    <t>Формула ('Исходные данные'!T):</t>
  </si>
  <si>
    <t>•  однофазная линия: I = P / (Uф · cos φ), где Uф = Uн / √3 = 0,4 / 1,732 = 0,231 кВ;</t>
  </si>
  <si>
    <t>•  трёхфазная линия: I = P / (√3 · Uн · cos φ), Uн = 0,4 кВ.</t>
  </si>
  <si>
    <t>P — кВт, U — кВ, I — А. Uн берётся из «Справочной» BQ29.</t>
  </si>
  <si>
    <t>Для линии, которая питает нижестоящий щит, ток берётся из файла этого щита («Нижестоящие_щиты» J).</t>
  </si>
  <si>
    <t>Норма: закон Ома для активной мощности, без особых требований. Вердикт: ✅.</t>
  </si>
  <si>
    <t>cos φ линии ('Исходные данные'!P)</t>
  </si>
  <si>
    <t>•  код с типом «двигатель» (T = 2): cos φ по мощности из «Справочная_потребители» B:K (3ф — столбец I, 1ф — столбец K);</t>
  </si>
  <si>
    <t>•  все остальные: 0,95;</t>
  </si>
  <si>
    <t>•  фидер нижестоящего щита: cos φ из его файла.</t>
  </si>
  <si>
    <t>Норма: СП 256 п. 7.1.12 даёт коэффициенты мощности питающих линий: квартиры с электроплитами 0,98 (с кондиционерами 0,93), с газовыми плитами 0,96 (0,92), хозяйственные насосы, вентиляционные установки и другие сантехнические устройства — 0,8.</t>
  </si>
  <si>
    <t>Вердикт: ⚠️. Вентиляция, ККБ и насосы с кодом не «двигатель» получают 0,95. Ток таких линий занижен до 16 % (0,95 / 0,8 = 1,19).</t>
  </si>
  <si>
    <t>В v4: cos φ по типу нагрузки из справочника кодов; значение 0,8 для вентиляции и насосов по умолчанию.</t>
  </si>
  <si>
    <t>4. Аппарат защиты</t>
  </si>
  <si>
    <t>4.1 Номинал по току линии ('Исходные данные'!U)</t>
  </si>
  <si>
    <t>In = наименьший номинал ряда, для которого Iр ≤ 0,9 · In.</t>
  </si>
  <si>
    <t>Таблица «Справочная» F4:G23: пороги тока = 0,9 × предыдущего номинала (6 А до 5,4 А; 10 А до 9 А; 16 А до 14,4 А …).</t>
  </si>
  <si>
    <t>Если введён автомат вручную (R), берётся он.</t>
  </si>
  <si>
    <t>Норма: ГОСТ Р 50571.4.43, п. 433.1: Iр ≤ In ≤ Iдоп. Запас 10 % нормой не требуется, это проектный запас.</t>
  </si>
  <si>
    <t>Вердикт: ✅ (в запас).</t>
  </si>
  <si>
    <t>4.2 Групповой автомат (Однолинейка!Z:AU)</t>
  </si>
  <si>
    <t>Если на один автомат подключено несколько линий (группа), номинал считается так:</t>
  </si>
  <si>
    <t>1. Ток группы Z = сумма токов линий группы (линии «в тот же кабель» не суммируются).</t>
  </si>
  <si>
    <t>2. Номинал по току AA — по той же таблице с запасом 10 %.</t>
  </si>
  <si>
    <t>3. Минимальный номинал по типу BB = больший из: автомат вручную («Исходные данные» R) и минимальный автомат кода («Справочная» AX).</t>
  </si>
  <si>
    <t>4. Номинал AO = max(AA, max BB по группе).</t>
  </si>
  <si>
    <t>5. Если в группе есть блок питания или трансформатор — не меньше «Справочная» BF5.</t>
  </si>
  <si>
    <t>6. Итог AU берётся из текста автомата (H), например «1P С16А» → 16.</t>
  </si>
  <si>
    <t>Проверки (Однолинейка!W):</t>
  </si>
  <si>
    <t>•  «ПЕРЕГРУЗ», если ток группы &gt; In;</t>
  </si>
  <si>
    <t>•  «КАБЕЛЬ НЕ ЗАЩИЩЁН», если In &gt; наименьшего «максимального автомата по кабелю» среди линий группы (AB, AP). Проверка не делается за БП / трансформатором.</t>
  </si>
  <si>
    <t>Вердикт: ✅. Требование Iр ≤ In ≤ Iдоп (ГОСТ Р 50571.4.43, п. 433.1) выполнено. Условие I2 ≤ 1,45·Iдоп для модульных автоматов по ГОСТ IEC 60898-1 выполняется автоматически (I2 = 1,45·In).</t>
  </si>
  <si>
    <t>ПРИМЕЧАНИЕ: сечение линии подбирается по её собственному автомату (4.1), а не по групповому. Если групповой автомат больше, сработает проверка «КАБЕЛЬ НЕ ЗАЩИЩЁН». Это правильно, но в v4 сечение лучше подбирать сразу по групповому автомату.</t>
  </si>
  <si>
    <t>4.3 Полюса и 30 мА (Однолинейка!AR:AT)</t>
  </si>
  <si>
    <t>•  30 мА: текст автомата содержит «мА», или F = «да», или хотя бы у одной линии группы код требует 30 мА («Справочная» AW); F = «нет» отменяет.</t>
  </si>
  <si>
    <t>•  Полюса: 3ф — 3P (с 30 мА 4P), 1ф — 1P (с 30 мА 2P).</t>
  </si>
  <si>
    <t>•  Предупреждение «розетка без 30 мА» для кода R.</t>
  </si>
  <si>
    <t>Норма: ПУЭ 7.1.79 и СП 256 (применение ВДТ для розеточных сетей). Вердикт: ✅.</t>
  </si>
  <si>
    <t>5. Сечение кабеля ('Исходные данные'!V)</t>
  </si>
  <si>
    <t>Алгоритм:</t>
  </si>
  <si>
    <t>1. Требуемый допустимый ток: Iтреб = In / (k_жил · К_прокл).</t>
  </si>
  <si>
    <t>•  k_жил = 0,92 для 3ф кабеля с 4–5 жилами, иначе 1;</t>
  </si>
  <si>
    <t>•  К_прокл — из «Исходные данные» BH, иначе общий («Справочная» BQ30, сейчас 1).</t>
  </si>
  <si>
    <t>2. Столбец таблицы: одножильные (O = 1), двухжильные (1ф, нагружены L и N), трёхжильные (3ф).</t>
  </si>
  <si>
    <t>3. Берётся наименьшее сечение с Iдоп ≥ Iтреб. Больше 240 мм² — «Не исп».</t>
  </si>
  <si>
    <t>4. Сечение вручную (Q) важнее расчёта.</t>
  </si>
  <si>
    <t>Таблица («Справочная» BX:CA) — медь, прокладка в воздухе. Значения совпадают с ПУЭ табл. 1.3.7 (кабели с медными жилами в ПВХ / резиновой оболочке): 1,5 мм² — 23 / 19 / 19 А; 2,5 — 30 / 27 / 25 А; 25 — 140 / 115 / 95 А и т. д. В книге таблица подписана «ПУЭ табл. 1.3.6» — это ошибка подписи. Коэффициент 0,92 для четырёхжильных кабелей — ПУЭ п. 1.3.10.</t>
  </si>
  <si>
    <t>Норма: ГОСТ Р 50571.4.43 (In ≤ Iдоп); допустимые токи кабелей с ПВХ-изоляцией по ГОСТ 31996-2012 или по документации изготовителя; поправки на способ прокладки, группу и температуру — ГОСТ Р 50571.5.52.</t>
  </si>
  <si>
    <t>Вердикт: ⚠️.</t>
  </si>
  <si>
    <t>•  Таблица ПУЭ 1.3.7 исторически для резиновой изоляции. Для ВВГнг и ППГнг первичны данные изготовителя, затем ГОСТ 31996-2012, затем ГОСТ Р 50571.5.52.</t>
  </si>
  <si>
    <t>•  Поправочные коэффициенты на совместную прокладку (группу) и температуру не учитываются: только один общий К прокладки на линию. При пучке кабелей в лотке результат может быть завышен.</t>
  </si>
  <si>
    <t>•  Алюминиевые жилы не поддерживаются.</t>
  </si>
  <si>
    <t>В v4: таблица допустимых токов по ГОСТ 31996 (медь и алюминий, воздух и земля); способ прокладки на линию; коэффициент группы и температуры по ГОСТ Р 50571.5.52; подпись источника в заголовке.</t>
  </si>
  <si>
    <t>6. Длина линии ('Исходные данные'!M)</t>
  </si>
  <si>
    <t>L = Опуск · (2·n − 1) + Lплан + Подъём_этажа + По_другим_этажам</t>
  </si>
  <si>
    <t>•  Опуск — «Справочная» R по коду (м), n — число потребителей G: к каждому потребителю кабель опускается и поднимается, кроме последнего;</t>
  </si>
  <si>
    <t>•  Lплан — «Исходные данные» I (заполняет DLN.lsp из чертежа);</t>
  </si>
  <si>
    <t>•  подъём — «Справочная» AF:AG по этажу (только для кодов «этаж»).</t>
  </si>
  <si>
    <t>Разбивка по способу прокладки: лоток J, гофра ПВХ K, гофра ПНД L (K, L — из чертежа минус 4 м на опуски).</t>
  </si>
  <si>
    <t>Норма: не нормируется, проектный приём. Вердикт: ✅.</t>
  </si>
  <si>
    <t>7. Потери напряжения ('Исходные данные'!AA:AB, BG)</t>
  </si>
  <si>
    <t>Формула (ГОСТ Р 50571.5.52, прил. G):</t>
  </si>
  <si>
    <t>ΔU = b · (ρ · L / S · cos φ + x · L · sin φ / 1000) · I, В</t>
  </si>
  <si>
    <t>•  b = 2 для однофазной линии (фаза + нейтраль), 1 для трёхфазной;</t>
  </si>
  <si>
    <t>•  ρ = 0,0225 Ом·мм²/м — медь при рабочей температуре (1,25·ρ20), «Справочная» D;</t>
  </si>
  <si>
    <t>•  x — индуктивное сопротивление, Ом/км, по сечению («Справочная» C, 0,13…0,059);</t>
  </si>
  <si>
    <t>•  L — м, S — мм², I — А.</t>
  </si>
  <si>
    <t>ΔU% = ΔU / Uф · 100 (Uф = 231 В). Для трёхфазной линии это равно отношению линейных величин.</t>
  </si>
  <si>
    <t>Итог от ВРУ (BG) = ΔU линии + ΔU от ВРУ до шин щита («Питание_щита» стр. 33).</t>
  </si>
  <si>
    <t>Пределы (BF): светильники — 3 %, прочие — 4 %.</t>
  </si>
  <si>
    <t>Норма: СП 256 п. 8.23: потери от ВРУ здания до наиболее удалённых светильников не более 3 %, до прочих потребителей не более 4 %. При длине более 100 м допускается +0,005 % на каждый метр сверх 100, но не более +0,5 %. Суммарно от шин 0,4 кВ ТП до наиболее удалённого светильника — не более 7,5 %. (ГОСТ Р 50571.5.52 табл. G.52.1 даёт 3 % / 5 % — СП 256 строже, книга берёт СП 256.)</t>
  </si>
  <si>
    <t>Вердикт: ✅ формула и пределы. Не реализованы: надбавка за длину &gt; 100 м (в запас) и проверка 7,5 % от ТП.</t>
  </si>
  <si>
    <t>В v4: надбавка 0,005 %/м; ΔU внешней сети (от ТП до ВРУ) как исходное данное объекта и проверка 7,5 %.</t>
  </si>
  <si>
    <t>8. Токи КЗ и автоматическое отключение</t>
  </si>
  <si>
    <t>8.1 Сопротивление петли на шинах щита (Питание_щита!C34)</t>
  </si>
  <si>
    <t>•  если щит связан с вышестоящим: Zшин = Zшин вышестоящего (по связи) + Rпер;</t>
  </si>
  <si>
    <t>•  если щит — ВРУ от ТП: Zт = uк · Uн² / Sт (uк = 5,5 %, для Y/Yн ×3) + петля питающего кабеля + Rпер;</t>
  </si>
  <si>
    <t>•  если известен Iкз min от сетевой организации: Z = c_min · Uф / Iкз min.</t>
  </si>
  <si>
    <t>Петля питающего кабеля: 2 · ρкз · L / (S · n), ρкз(Cu) = 0,0263, ρкз(Al) = 0,042 Ом·мм²/м (≈1,5·ρ20).</t>
  </si>
  <si>
    <t>Rпер = 0,015 Ом на каждый щит («Питание_щита» C53).</t>
  </si>
  <si>
    <t>8.2 Iкз min в конце линии ('Исходные данные'!BL, BI)</t>
  </si>
  <si>
    <t>Zпетли = Zшин + 2 · ρкз(Cu) · L / S</t>
  </si>
  <si>
    <t>Iкз min = c_min · Uф / Zпетли, c_min = 0,95.</t>
  </si>
  <si>
    <t>8.3 Проверка отключения ('Исходные данные'!BJ, BK)</t>
  </si>
  <si>
    <t>Iкз min / In ≥ 5 (характеристика B), ≥ 10 (C), ≥ 20 (D) → «ok». Иначе «ok (УЗО 30 мА)», если у группы есть 30 мА, или «мало».</t>
  </si>
  <si>
    <t>Нормы:</t>
  </si>
  <si>
    <t>•  ПУЭ п. 1.7.79, табл. 1.7.1: время автоматического отключения в системе TN при Uф = 220 В — не более 0,4 с для групповых цепей; для распределительных цепей — не более 5 с;</t>
  </si>
  <si>
    <t>•  ГОСТ IEC 60898-1: зона мгновенного расцепления B — 3…5·In, C — 5…10·In, D — 10…20·In. Книга берёт верхнюю границу (в запас);</t>
  </si>
  <si>
    <t>•  ГОСТ 28249-93: п. 2.4.2 — нагрев проводников при КЗ, коэффициент 1,5 допускается при приближённых расчётах (совпадает с ρкз); п. 1.5 — рекомендуется учитывать сопротивление дуги и нагрев; п. 2.6 — переходные сопротивления контактов: 0,1 мОм на кабельное соединение, 1,0 мОм на коммутационный аппарат.</t>
  </si>
  <si>
    <t>•  Сопротивление дуги не учитывается: расчётный Iкз min получается выше реального. Это не в запас.</t>
  </si>
  <si>
    <t>•  Rпер 15 мОм на щит взят из справочной практики, а не из ГОСТ 28249. Частично компенсирует отсутствие дуги.</t>
  </si>
  <si>
    <t>•  Сечение PE принимается равным сечению фазы. Для кабелей с уменьшенным PE (например, 4×95+1×50) петля занижена.</t>
  </si>
  <si>
    <t>•  Индуктивное сопротивление линий не учитывается (существенно только от 50–70 мм²).</t>
  </si>
  <si>
    <t>•  В линиях только медь.</t>
  </si>
  <si>
    <t>•  c_min = 0,95 взят из МЭК 60909-0 (коэффициент напряжения для минимального тока КЗ в сетях до 1 кВ), в ГОСТ 28249 такого коэффициента нет. Допустимо.</t>
  </si>
  <si>
    <t>В v4: сопротивление дуги по ГОСТ 28249; сечение PE отдельно; материал жил; x линии от 35 мм².</t>
  </si>
  <si>
    <t>8.4 Iкз max и отключающая способность ('Исходные данные'!BM, Питание_щита!C36)</t>
  </si>
  <si>
    <t>Iкз max = 1,05 · Uф / (Zшин(3ф) + ρ20 · L / S), ρ20 = 0,0175.</t>
  </si>
  <si>
    <t>Норма: ГОСТ Р 50571.4.43 и СП 256 (в линиях I категории аппараты проверяются по режиму КЗ, ГОСТ IEC 60898-2 п. 8.8): отключающая способность аппарата ≥ Iкз max в месте установки.</t>
  </si>
  <si>
    <t>Вердикт: ❌. Iкз max считается, но с отключающей способностью (Icu, например 6 кА) не сравнивается. Сравнение оставлено инженеру (подсказка на «Питание_щита» стр. 36).</t>
  </si>
  <si>
    <t>В v4: Icu аппарата в «Каталоге»; автоматическая проверка Icu ≥ Iкз max на шинах.</t>
  </si>
  <si>
    <t>8.5 Данные для ТКЗ в объекте ЖД</t>
  </si>
  <si>
    <t>ВНИМАНИЕ: в объекте ЖД ТКЗ не считаются ни в одном щите. В ГРЩ‑ЖД на «Питание_щита» не введены Iкз от сетевой организации или данные трансформатора. Поэтому Zшин пусты, и столбцы BI:BM (Iкз, отключение 0,4 с) у всех нижних щитов пустые. Запросите у сетевой организации Iкз min / max на вводе и введите их в ГРЩ, раздел 2.</t>
  </si>
  <si>
    <t>9. Расчётная нагрузка щита (Нагрузка_щитов!AE:AH)</t>
  </si>
  <si>
    <t>9.1 Группы нагрузки</t>
  </si>
  <si>
    <t>Что относится</t>
  </si>
  <si>
    <t>Как считается</t>
  </si>
  <si>
    <t>розетки, свет, кондиционеры, тёплый пол, бытовые щиты</t>
  </si>
  <si>
    <t>Кс по табл. СП 256 по сумме Руст быт щита</t>
  </si>
  <si>
    <t>вентиляция, насосы, пищеблок, бассейн, хаммам</t>
  </si>
  <si>
    <t>Кс своей линии («Исходные данные» BA; пусто = 1), затем × Ко</t>
  </si>
  <si>
    <t>обогрев кровли, слаботочные шкафы, АСУ, СПЗ</t>
  </si>
  <si>
    <t>Кс = 1, без Ко</t>
  </si>
  <si>
    <t>вводы, резерв, транзит</t>
  </si>
  <si>
    <t>не учитывается</t>
  </si>
  <si>
    <t>фидер нижестоящего щита</t>
  </si>
  <si>
    <t>составляющие берутся из файла щита</t>
  </si>
  <si>
    <t>9.2 Формула</t>
  </si>
  <si>
    <t>Рр = Руст.быт · Кс.быт + Ко · Σ(Pсил · Кс) + Руст.пост, Ко = 0,9 («Справочная» BQ14).</t>
  </si>
  <si>
    <t>Кс быт — линейная интерполяция по таблице «Справочная» BP4:BQ11:</t>
  </si>
  <si>
    <t>≤14</t>
  </si>
  <si>
    <t>0,8</t>
  </si>
  <si>
    <t>0,65</t>
  </si>
  <si>
    <t>0,6</t>
  </si>
  <si>
    <t>0,55</t>
  </si>
  <si>
    <t>Считается для всего щита (аварийный режим) и по секциям 1 и 2. «Кс итоговый» = Рр / Руст.</t>
  </si>
  <si>
    <t>•  СП 256 табл. 7.2 (Кс для квартир повышенной комфортности по заявленной мощности) — значения совпадают ✅;</t>
  </si>
  <si>
    <t>•  СП 256 табл. 7.1, прим. 4 и 11: квартиры повышенной комфортности — по заданию или по заявленной мощности с Кс (табл. 7.2) и Ко (табл. 7.3); одноквартирный дом 55–300 м² — по удельным нагрузкам табл. 7.1;</t>
  </si>
  <si>
    <t>•  СП 256 п. 7.1.10, формула (6): Рр.ж.д = kп.к · Ркв + 0,9 · Рс; kп.к — табл. 7.5а (ЦФО 0,81, СЗФО 0,91 …);</t>
  </si>
  <si>
    <t>•  СП 256 п. 7.1.8, табл. 7.5: Кс для сантехнического оборудования и холодильных машин по числу электроприёмников (доля 100–85 %: 2 — 1,0; 3 — 0,9; 5 — 0,8; 8 — 0,75; 10 — 0,7; 15–20 — 0,65; 30 — 0,6; 50–100 — 0,55; 200 — 0,5; резервные не учитываются);</t>
  </si>
  <si>
    <t>•  Изменение № 9 к СП 256 (с 26.01.2026): к нагрузке квартир (домов) повышенной комфортности электроотопление прибавляется отдельно с Кс = 1, электроводонагреватели (и, по пересказу, тёплые полы) — с коэффициентом 0,7. Новый подраздел 7.5 — расчёт для ОИЖС (формула 17, табл. 7.19: 1 дом — 12 кВт с газовой плитой, 16,2 кВт с электроплитой + отопление, ВНГ, обогрев кровли отдельными слагаемыми).</t>
  </si>
  <si>
    <t>Вердикт:</t>
  </si>
  <si>
    <t>•  Кс быт по табл. 7.2 — ✅;</t>
  </si>
  <si>
    <t>•  отопление и тёплые полы в группе «Быт» снижаются табличным Кс — ❌ по Изм. 9 (должны идти отдельно с 1 и 0,7);</t>
  </si>
  <si>
    <t>•  Кс силовой нагрузки вводится вручную — ⚠️ (в объекте ЖД у всех линий ЩОВ‑001 стоит 0,5; по табл. 7.5 для 34 электроприёмников ≈ 0,59);</t>
  </si>
  <si>
    <t>•  Ко = 0,9 применяется на любом щите — ⚠️: по формуле (6) это коэффициент совмещения квартирной и силовой нагрузки на вводе дома. На чисто силовом щите (ЩОВ) он занижает Рр на 10 %;</t>
  </si>
  <si>
    <t>•  kп.к отсутствует — ⚠️ (нужно решение: применим ли он к дому повышенной комфортности; для многоквартирных домов обязателен).</t>
  </si>
  <si>
    <t>В v4:</t>
  </si>
  <si>
    <t>•  выбор метода на объект: «квартира / дом повышенной комфортности (табл. 7.2 + 7.3)», «ОИЖС (п. 7.5)», «многоквартирный дом (табл. 7.1 + kп.к)», «общественное здание»;</t>
  </si>
  <si>
    <t>•  группы «Отопление» (Кс 1) и «ВНГ / тёплый пол» (0,7);</t>
  </si>
  <si>
    <t>•  Кс сантехники и вентиляции — автоматически по табл. 7.5 по числу работающих электроприёмников и доле;</t>
  </si>
  <si>
    <t>•  Ко только на щите, где есть и бытовая, и силовая нагрузка (флажок «ВРУ дома»).</t>
  </si>
  <si>
    <t>9.3 Ток щита, cos φ, фазы</t>
  </si>
  <si>
    <t>•  Фаза линии назначается по кругу L1 → L2 → L3 для однофазных линий, трёхфазные — на все фазы («Разбивка_по_щитам» S:T). Вручную — «Нагрузка_щитов» E.</t>
  </si>
  <si>
    <t>•  Мощность фазы = Σ однофазных этой фазы + Σ трёхфазных / 3.</t>
  </si>
  <si>
    <t>•  Iр = max( Pфазы.max · Кс.итог / (Uф · cos φ) ; Рр / (√3 · Uн · cos φ) ) — по наиболее нагруженной фазе.</t>
  </si>
  <si>
    <t>•  cos φ щита = Σ(P · cos φ) / ΣP.</t>
  </si>
  <si>
    <t>Вердикт: ⚠️. Ток по наиболее нагруженной фазе — правильный инженерный приём. cos φ щита правильнее считать через реактивную мощность: Q = Σ P·tg φ, cos φ = P / √(P² + Q²). При смеси 0,95 и 0,8 ошибка — 1–2 %.</t>
  </si>
  <si>
    <t>9.4 Пожарные нагрузки</t>
  </si>
  <si>
    <t>Пожарные линии (BO = «да» или код с признаком «пожарная») идут отдельным режимом «Пожар» и в расчётный максимум не входят.</t>
  </si>
  <si>
    <t>Норма: СП 256 п. 7.1.9: мощность электроприёмников противопожарных устройств и резервных двигателей при расчёте нагрузок питающих линий и вводов не учитывается, кроме случаев, когда она определяет выбор аппаратов и сечений; для линий одновременно работающих противопожарных устройств Кс = 1.</t>
  </si>
  <si>
    <t>Вердикт: ✅. В книге ссылка на «СП 31-110-2003 п. 6.9» — заменить на СП 256 п. 7.1.9.</t>
  </si>
  <si>
    <t>10. Питающая линия и шины щита (Питание_щита, раздел 3)</t>
  </si>
  <si>
    <t>Строка</t>
  </si>
  <si>
    <t>Величина</t>
  </si>
  <si>
    <t>Формула</t>
  </si>
  <si>
    <t>Норма</t>
  </si>
  <si>
    <t>29–31</t>
  </si>
  <si>
    <t>Рр, Iр, cos φ щита</t>
  </si>
  <si>
    <t>из «Нагрузка_щитов»</t>
  </si>
  <si>
    <t>см. разд. 9</t>
  </si>
  <si>
    <t>(ρ·L/(S·n)·cos φ + 0,08·L/n·sin φ /1000)·Iр / Uф·100, ρ = 0,0225 (Cu) / 0,036 (Al)</t>
  </si>
  <si>
    <t>ГОСТ Р 50571.5.52 прил. G (x = 0,08 мОм/м)</t>
  </si>
  <si>
    <t>ΔU вышестоящего + ΔU питающей; для ВРУ = 0</t>
  </si>
  <si>
    <t>СП 256 п. 8.23</t>
  </si>
  <si>
    <t>34–36</t>
  </si>
  <si>
    <t>Zпетли, Iкз min, Iкз max на шинах</t>
  </si>
  <si>
    <t>см. разд. 8</t>
  </si>
  <si>
    <t>ГОСТ 28249</t>
  </si>
  <si>
    <t>Iдоп питающего кабеля</t>
  </si>
  <si>
    <t>ПУЭ 1.3.7 × 0,92 (4–5 жил) × n × К прокл; для Al — «ПУЭ 1.3.7» вручную</t>
  </si>
  <si>
    <t>ГОСТ 31996</t>
  </si>
  <si>
    <t>Iр ≤ In ≤ Iдоп</t>
  </si>
  <si>
    <t>ГОСТ Р 50571.4.43 п. 433.1</t>
  </si>
  <si>
    <t>Отключение КЗ на шинах</t>
  </si>
  <si>
    <t>Iкз min ≥ 5 / 10 / 20 · In</t>
  </si>
  <si>
    <t>ПУЭ 1.7.79 (распред. цепи ≤ 5 с)</t>
  </si>
  <si>
    <t>Термическая стойкость кабеля</t>
  </si>
  <si>
    <t>t = (k·S / Iкз max)², k = 115 (Cu, ПВХ) / 76 (Al); если t &lt; 0,1 с — проверить по I²t аппарата</t>
  </si>
  <si>
    <t>ГОСТ Р 50571.4.43 п. 434.5.2</t>
  </si>
  <si>
    <t>Селективность</t>
  </si>
  <si>
    <t>In ≥ 1,6 · max In отходящих</t>
  </si>
  <si>
    <t>ориентир; подтверждать картами селективности изготовителя</t>
  </si>
  <si>
    <t>Трансформатор: Zт = uк · Uн² / Sт, uк = 5,5 % константой; для Y/Yн сопротивление петли ×3.</t>
  </si>
  <si>
    <t>Вердикт: ⚠️. ГОСТ 28249 требует сопротивления нулевой последовательности по данным изготовителя. Множитель 3 — грубая оценка.</t>
  </si>
  <si>
    <t>В v4: uк, Sт и схема из паспорта; Zт(1) / 3 по таблице изготовителя.</t>
  </si>
  <si>
    <t>11. Категории надёжности, режимы, ИБП</t>
  </si>
  <si>
    <t>Обеспечиваемая категория шины:</t>
  </si>
  <si>
    <t>1 ввод, питающая линия I особая / I / II</t>
  </si>
  <si>
    <t>шина ИБП или ДГУ</t>
  </si>
  <si>
    <t>•  ПУЭ 1.2.17–1.2.21: категория определяется последствиями перерыва питания; I — два независимых взаимно резервирующих источника, перерыв только на время автоматического восстановления (1.2.19); II — допускается перерыв на время ручного переключения (1.2.20);</t>
  </si>
  <si>
    <t>•  СП 256 табл. 6.1 — категории электроприёмников жилых и общественных зданий; п. 6.13 и 8.10 — АВР на вводе или самостоятельный щит с АВР у электроприёмников I категории;</t>
  </si>
  <si>
    <t>•  СП 6.13130.2021 — системы противопожарной защиты по I категории.</t>
  </si>
  <si>
    <t>Вердикт: ✅. Ограничение «один кабель — не выше II» соответствует ПУЭ 1.2.19 и СП 256 п. 8.10.</t>
  </si>
  <si>
    <t>Режимы («Режимы»): нормальный (СВ отключён), аварийный (потеря ввода 1 или 2), максимум аварийного, потеряны все вводы (только ИБП и ДГУ), пожар (вне максимума), нормальный + пожарные. Рр каждого набора линий считается по формуле разд. 9.2 заново (Кс быт — по сумме своего набора).</t>
  </si>
  <si>
    <t>Вердикт: ✅ (методика СП 256 п. 7.1.9 и разд. 9.2).</t>
  </si>
  <si>
    <t>ИБП («ИБП»):</t>
  </si>
  <si>
    <t>•  требуемая S = P / cos φ вых / допустимая загрузка (0,75);</t>
  </si>
  <si>
    <t>•  ёмкость АКБ, А·ч = P · 1000 · t / 60 / (U · КПД · k), k = 0,8 (разряд и старение);</t>
  </si>
  <si>
    <t>•  вход ИБП: P вх = P / КПД · (1 + заряд АКБ 10 %).</t>
  </si>
  <si>
    <t>Норма: не нормируется; время автономии для систем противопожарной защиты — по СП 6.13130 и СП 484.1311500. Вердикт: ⚠️ (инженерная методика, автономию задаёт проектировщик по нормам на конкретную систему).</t>
  </si>
  <si>
    <t>12. Таблица нагрузок для пояснительной записки и компенсация</t>
  </si>
  <si>
    <t>«Расчёт_нагрузок»: строки по видам нагрузки («Справочная» BT:BV, в v4 — столбец «Вид нагрузки»), для каждой — Руст, Кс = Рр / Руст, cos φ (средневзвешенный или из «Справочной» BU), tg φ, Рр, Qр = Рр·tg φ, Sр, Iр = Sр / (√3·Uн). Итог щита — с Ко = 0,9.</t>
  </si>
  <si>
    <t>Компенсация: Qку = Рр · (tg φ − 0,35); если &lt; 50 квар — «не требуется».</t>
  </si>
  <si>
    <t>Норма: СП 256 п. 7.3.1: для жилых и общественных зданий КРМ, как правило, не требуется; п. 7.3.2: для тепловых пунктов, насосных и т. п. — не требуется, если мощность КУ на рабочем вводе ≤ 50 квар (≈ 250 кВт нагрузки). Целевой tg φ = 0,35 — из приказа Минэнерго № 380 (предельные значения для потребителей), в СП 256 не задан.</t>
  </si>
  <si>
    <t>Вердикт: ✅.</t>
  </si>
  <si>
    <t>13. Кабельный журнал и спецификация</t>
  </si>
  <si>
    <t>•  Длина кабеля в журнале = длина трассы × (1 + запас 20 %) («Кабельный_журнал» D3). Запас — проектный приём, не норма. ⚠️ Вынести в настройку объекта.</t>
  </si>
  <si>
    <t>•  Спецификация считает автоматы, аппараты, модули, клеммы по «Однолинейке» (Каталог N) + ручной запас (O). Расчётом не является.</t>
  </si>
  <si>
    <t>14. Лист «ТКЗ»</t>
  </si>
  <si>
    <t>Старый ручной расчёт по участкам: Iкз = 220 / Zпетли, без c_min, без нагрева, свой справочник автоматов. В основной расчёт не входит (v1.04: «для тестирования»).</t>
  </si>
  <si>
    <t>Вердикт: ❌ (дублирует и противоречит «Питание_щита»). В v4: удалить.</t>
  </si>
  <si>
    <t>15. Пример: линия ККБ‑1 щита ЩОВ‑001 (объект ЖД)</t>
  </si>
  <si>
    <t>Исходные данные: P = 28 кВт, 3ф, 400 В, кабель ВВГнг(А)-LS 5×25 (сечение задано вручную), L = 34 м, автомат вручную 63 А, cos φ = 0,95, группа «Сил», Кс = 0,5.</t>
  </si>
  <si>
    <t>Шаг</t>
  </si>
  <si>
    <t>Результат</t>
  </si>
  <si>
    <t>В книге</t>
  </si>
  <si>
    <t>28 / (1,732 · 0,4 · 0,95)</t>
  </si>
  <si>
    <t>42,54 А</t>
  </si>
  <si>
    <t>T = 42,54 ✅</t>
  </si>
  <si>
    <t>Номинал по току</t>
  </si>
  <si>
    <t>42,54 &gt; 36 и ≤ 45 → 50 А (Iр ≤ 0,9·In)</t>
  </si>
  <si>
    <t>50 А</t>
  </si>
  <si>
    <t>«Однолинейка» AA = 50 ✅</t>
  </si>
  <si>
    <t>Номинал итог</t>
  </si>
  <si>
    <t>max(50; ручной 63)</t>
  </si>
  <si>
    <t>63 А</t>
  </si>
  <si>
    <t>AU = 63 ✅</t>
  </si>
  <si>
    <t>Iдоп кабеля</t>
  </si>
  <si>
    <t>ПУЭ 1.3.7, 3-жил., 25 мм² = 95 А × 0,92</t>
  </si>
  <si>
    <t>87,4 А ≥ 63 А</t>
  </si>
  <si>
    <t>«Однолинейка» AB = 80 (ближайший номинал ≤ 87,4) ✅</t>
  </si>
  <si>
    <t>ΔU</t>
  </si>
  <si>
    <t>1 · (0,0225·34/25·0,95 + 0,0662·34·0,31/1000) · 42,54 = 1,27 В</t>
  </si>
  <si>
    <t>0,55 %</t>
  </si>
  <si>
    <t>AB = 0,55 ✅</t>
  </si>
  <si>
    <t>ΔU от ВРУ</t>
  </si>
  <si>
    <t>0,55 + 0,5 (до шин ЩОВ‑001)</t>
  </si>
  <si>
    <t>1,05 % ≤ 4 %</t>
  </si>
  <si>
    <t>BG = 1,05 ✅</t>
  </si>
  <si>
    <t>Iкз, 0,4 с</t>
  </si>
  <si>
    <t>нет данных сети в ГРЩ</t>
  </si>
  <si>
    <t>пусто ⚠️ (разд. 8.5)</t>
  </si>
  <si>
    <t>Что даст проверка по нормам для этой линии:</t>
  </si>
  <si>
    <t>•  cos φ ККБ по СП 256 п. 7.1.12 — 0,8 → I = 28 / (1,732·0,4·0,8) = 50,5 А. Номинал по току с запасом 10 % → 63 А (совпадает с ручным), Iдоп 87,4 А — сечение достаточно.</t>
  </si>
  <si>
    <t>Щит ЩОВ‑001 целиком: Руст = 211,22 кВт (вся нагрузка «Сил»), Σ P·Кс = 105,61 кВт, Рр = 0,9 · 105,61 = 95,05 кВт, Iр = 146,4 А (по наиболее нагруженной фазе 71,36 кВт).</t>
  </si>
  <si>
    <t>По нормам: Кс по табл. 7.5 для 34 электроприёмников ≈ 0,59 (вместо 0,5), без Ко (щит чисто силовой), cos φ 0,8 → Рр ≈ 211,22 · 0,59 ≈ 125 кВт (+31 %), Iр ≈ 125 / (1,732·0,4·0,8) ≈ 225 А (+54 %).</t>
  </si>
  <si>
    <t>ВНИМАНИЕ: это оценка для иллюстрации. Точный Кс зависит от числа одновременно работающих электроприёмников без резервных (табл. 7.5, прим. 3) и доли сантехнической нагрузки. Решение — за инженером. Питающая линия ЩОВ‑001 защищена аппаратом 400 А, поэтому вывод по аппарату не меняется, но расчётная нагрузка объекта для ТУ вырастет.</t>
  </si>
  <si>
    <t>16. Что решить инженеру до v4</t>
  </si>
  <si>
    <t>1. Метод расчёта бытовой нагрузки объекта ЖД: дом повышенной комфортности (табл. 7.2) или ОИЖС (п. 7.5, Изм. 9).</t>
  </si>
  <si>
    <t>2. kп.к: применять ли региональный коэффициент к отдельному дому.</t>
  </si>
  <si>
    <t>3. Таблица допустимых токов: ГОСТ 31996 или данные конкретного изготовителя кабеля.</t>
  </si>
  <si>
    <t>4. cos φ вентиляции и насосов: 0,8 по СП 256 или паспортные значения.</t>
  </si>
  <si>
    <t>5. Кс силовой нагрузки: автоматически по табл. 7.5 или вручную по заданию технологов.</t>
  </si>
  <si>
    <t>6. Данные сети для ТКЗ: запросить у сетевой организации Iкз min / max на вводе ГРЩ.</t>
  </si>
  <si>
    <t>17. Что реализовано в v4</t>
  </si>
  <si>
    <t>Книга v4 — один файл на объект. Методика выбирается на листе «Объект» (C8): «v3.12» — формулы как в старой книге (для сверки), «нормы 2026» — с исправлениями ниже. Расчёт в обоих режимах одинаков, кроме перечисленного.</t>
  </si>
  <si>
    <t>v3.12</t>
  </si>
  <si>
    <t>нормы 2026 (v4)</t>
  </si>
  <si>
    <t>cos φ силовых линий без ручного значения</t>
  </si>
  <si>
    <t>0,95</t>
  </si>
  <si>
    <t>0,8 (СП 256 п. 7.1.12)</t>
  </si>
  <si>
    <t>Кс силовых линий без ручного значения</t>
  </si>
  <si>
    <t>по табл. 7.5 СП 256 по числу силовых линий щита (таблица на листе «Объект»)</t>
  </si>
  <si>
    <t>на любом щите</t>
  </si>
  <si>
    <t>только если на щите есть и бытовая, и силовая нагрузка (формула 6)</t>
  </si>
  <si>
    <t>Электроотопление</t>
  </si>
  <si>
    <t>в группе «Быт» (снижается Кс)</t>
  </si>
  <si>
    <t>группа «Отоп», Кс = 1, отдельным слагаемым (Изм. 9)</t>
  </si>
  <si>
    <t>Водонагреватели (тёплые полы)</t>
  </si>
  <si>
    <t>в группе «Быт»</t>
  </si>
  <si>
    <t>группа «ВНГ», × 0,7 отдельным слагаемым (Изм. 9)</t>
  </si>
  <si>
    <t>kп.к</t>
  </si>
  <si>
    <t>настройка объекта (C9), по умолчанию 1</t>
  </si>
  <si>
    <t>Допустимая ΔU</t>
  </si>
  <si>
    <t>3 % / 4 %</t>
  </si>
  <si>
    <t>3 % / 4 % + 0,005 %/м после 100 м, не более +0,5 % (СП 256 п. 8.23)</t>
  </si>
  <si>
    <t>Отключающая способность</t>
  </si>
  <si>
    <t>не проверялась</t>
  </si>
  <si>
    <t>Icu автомата (из «Каталога») ≥ Iкз max на шинах — замечание в «Проверке»</t>
  </si>
  <si>
    <t>Сборка нагрузки по щитам. Для каждого щита вычисляется путь от ВРУ (лист «Щиты», столбец «Путь»). Нагрузка щита = составляющие всех линий щита и нижестоящих щитов (Руст быт, Σ P·Кс силовых, Руст пост, Р отоп, 0,7·Р ВНГ, Σ P·cos φ); Кс быт и Ко применяются к сумме. ΔU до шин и Zпетли нижнего щита = ΔU / петля источника + Σ по фидерам на пути (+ Rпер на каждый щит).</t>
  </si>
  <si>
    <t>Режимы (лист «Нагрузки»): линии нижних щитов относятся к источнику своего фидера в выбранном щите; линия на шине ИБП/ДГУ нижнего щита в текущей версии относится к источнику фидера (подстановка входа ИБП нижнего щита — в следующей версии). Пожарная линия-фидер делает пожарной всю нагрузку нижнего щита.</t>
  </si>
  <si>
    <t>Сверка v4 с v3.12 на объекте ЖД (режим «v3.12»): автоматы 348/349, сечения 346/350, cos φ 350/350, длины 331/350, 12 щитов из 17 — полностью. Остальные расхождения — исправления v3.12: ошибка шаблона в формуле фаз (строки 29–127 листа «Нагрузка_щитов» брали фазу соседней строки), подключение ЩГП и ЩО‑001, учёт линии вне схемы, объединение справочников кодов.</t>
  </si>
  <si>
    <t>Источники</t>
  </si>
  <si>
    <t>•  СП 256.1325800.2016, ред. 01.03.2022 — полный текст (КонсультантПлюс, опубликован на сайте ГУ МЧС): https://22.mchs.gov.ru/uploads/resource/2023-03-02/8cd1efa9150e03022668bf3a9b3922e2.docx</t>
  </si>
  <si>
    <t>•  Изменение № 9 к СП 256.1325800.2016 (приказ Минстроя от 25.12.2025 № 846/пр): https://meganorm.ru/mega_doc/norm_update_01032026/prikaz/0/izmenenie_N_9_k_sp_256_1325800_2016_elektroustanovki_zhilykh.html</t>
  </si>
  <si>
    <t>•  Изменение № 6 к СП 256.1325800.2016: https://meganorm.ru/mega_doc/norm/prikaz/13/izmenenie_N_6_k_sp_256_1325800_2016_elektroustanovki_zhilykh.html</t>
  </si>
  <si>
    <t>•  ГОСТ 28249-93: https://dnaop.com/html/65618/doc-%D0%93%D0%9E%D0%A1%D0%A2_28249-93</t>
  </si>
  <si>
    <t>•  ГОСТ Р 50571.5.52-2011, прил. G: https://www.normacs.info/answers/5995, https://meganorm.ru/Data2/1/4293792/4293792410.htm</t>
  </si>
  <si>
    <t>•  Выбор допустимых токов кабелей (изготовитель → ГОСТ 31996 → ГОСТ Р 50571.5.52), ответ эксперта NormaCS: https://www.normacs.info/answers/6099</t>
  </si>
  <si>
    <t>•  ПУЭ 7-е изд. (табл. 1.3.7, п. 1.3.10, п. 1.7.79, п. 1.2.17–1.2.21), ГОСТ Р 50571.4.43-2012, ГОСТ IEC 60898-1 — по тексту норм, номера пунктов сверить при выпуске v4.</t>
  </si>
  <si>
    <t>КАК НАСТРАИВАТЬ ЛИСТ «ОБЪЕКТ»</t>
  </si>
  <si>
    <t>Лист задаёт настройки ВСЕГО объекта. Обычно меняют только C3 (название), C8 (методика), C9 (kп.к) и C10–C12 (наименования, марка для пожарных линий).</t>
  </si>
  <si>
    <t>C10 Наименование линии: «по коду и № помещения» — «Розеточная группа, пом. 105»; «по экспликации» — название помещения из листа «Экспликация». C11 — писать ли «пом.». C12 — марка кабеля для пожарных линий (обозначение из «Коды» → «Кабели»).</t>
  </si>
  <si>
    <t>C3 Объект — название и адрес. Идёт в таблицу для пояснительной записки.</t>
  </si>
  <si>
    <t>C4–C7 Ток КЗ: ρ меди/алюминия при нагреве, переходные сопротивления на каждый щит, c_min. Влияют на Iкз min в конце линий и проверку отключения ≤ 0,4 с. Значения по ГОСТ 28249 — не меняйте без причины.</t>
  </si>
  <si>
    <t>C8 Методика: «нормы 2026» — расчёт по СП 256 с Изм. 9 (cos φ силовых 0,8, Кс силовых по табл. 7.5, Ко только при бытовой + силовой нагрузке, отопление и ВНГ отдельно). «v3.12» — как старая книга, только для сверки.</t>
  </si>
  <si>
    <t>C9 kп.к — региональный коэффициент к бытовой нагрузке (СП 256 табл. 7.5а). Частный дом — 1. Многоквартирный дом — значение региона (ЦФО 0,81).</t>
  </si>
  <si>
    <t>F2:G14 Кс силовых по числу электроприёмников (СП 256 табл. 7.5, доля сантехники 100–85 %). Применяется к силовым линиям без ручного Кс в режиме «нормы 2026».</t>
  </si>
  <si>
    <t>B15:C22 ИБП — допустимая загрузка, cos φ, автономия, напряжение АКБ, КПД, разряд, заряд. Влияют на подбор ИБП и на нагрузку входа ИБП на вводе (лист «Режимы»).</t>
  </si>
  <si>
    <t>Где ещё настройки: Uн, общий К прокладки, таблица Кс быт, мест на лист схемы — лист «Таблицы_норм» (BF4, BQ29, BQ30, BP4:BQ11).</t>
  </si>
  <si>
    <t>КАК ЗАПОЛНЯТЬ ЛИСТ «ЩИТЫ»</t>
  </si>
  <si>
    <t>ЩИТЫ: одна строка — один щит объекта. Жёлтые столбцы — ввод, серые — результат. Свёрнутые столбцы (кнопка «+» над таблицей) — подробности расчёта.</t>
  </si>
  <si>
    <t>Для КАЖДОГО щита: Щит (имя, как в «Линиях»), Вводов (1/2/3), АВР (да/нет), ИБП от (Ввод 1/2/3), Листов под вводной узел (обычно 1: первый лист схемы — вводы, АВР, ИБП, учёт — рисуете сами).</t>
  </si>
  <si>
    <t>«Питается от» обычно НЕ заполняйте: книга сама находит линию-фидер в «Линиях» (номер линии = имя щита, или столбец «Питает щит»).</t>
  </si>
  <si>
    <t>Только для ВРУ / ГРЩ (щит без вышестоящего): данные сети — Iкз min и Iкз max от сетевой организации, или «ТП» и мощность трансформатора; питающий кабель и аппарат. Без них ток КЗ не считается ни в одном щите.</t>
  </si>
  <si>
    <t>Результат: Руст, Рр, Iр, cos φ — щит вместе со всеми нижестоящими; ΔU до шин и Iкз — от ВРУ по фидерам; «Категория шины «Ввод»» — какую категорию даёт схема; «Замечания щита» — что исправить.</t>
  </si>
  <si>
    <t>КАК ЗАПОЛНЯТЬ ЛИСТ «ШИНЫ»</t>
  </si>
  <si>
    <t>ШИНЫ: нужен, только если тип шины НЕ определяется сам. Обычно лист пустой.</t>
  </si>
  <si>
    <t>Как определяется сам: в «Линиях» в столбце «Шина» (в строке с автоматом) пишется имя шины. Имя содержит «ИБП» → шина ИБП (категория I особая); «ДГУ» → шина ДГУ; иначе — основная шина секции линии (Ввод 1/2/3 по столбцу «Секция»).</t>
  </si>
  <si>
    <t>Когда заполнять: имя шины не говорит о её типе. Пример: шина «ЩГП» питается от ИБП → строка: Шина = ЩГП, Щит = ЩР-1 (или пусто — для всех щитов), Тип = ИБП. Пример: «Шина вентиляции» без резерва → Тип = Одиночная (категория III).</t>
  </si>
  <si>
    <t>Типы: Ввод 1 / Ввод 2 / Ввод 3 — источник по секции; ИБП, ДГУ — отдельный источник (I особая); Одиночная — без резерва (III). Тип влияет на категорию линий и на режимы (лист «Режимы»).</t>
  </si>
  <si>
    <t>ТАБЛИЦЫ НОРМ: допустимые токи кабелей (BX:CA), сопротивления (B:D), номиналы автоматов (F:G), Кс быт (BP:BQ), настройки сети (BQ29:BQ31), мест на лист схемы (BF4), УГО → блоки AutoCAD (BA:BC). Коды потребителей, УГО, этажи, кабели — на листе «Коды».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</si>
</sst>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theme="1"/>
      <name val="GOST 2.304 type A"/>
      <family val="2"/>
      <charset val="204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1"/>
      <color theme="1"/>
      <name val="GOST 2.304 type A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7F7F7F"/>
      <name val="Calibri"/>
      <family val="2"/>
      <charset val="204"/>
      <scheme val="minor"/>
    </font>
    <font>
      <sz val="11"/>
      <color theme="1"/>
      <name val="Calibri"/>
      <scheme val="minor"/>
    </font>
    <font>
      <b/>
      <sz val="11"/>
      <color rgb="FFFFFF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9"/>
      <color rgb="FF0000FF"/>
      <name val="Calibri"/>
      <family val="2"/>
      <scheme val="minor"/>
    </font>
    <font>
      <i/>
      <sz val="9"/>
      <color rgb="FF666666"/>
      <name val="Calibri"/>
      <family val="2"/>
      <scheme val="minor"/>
    </font>
    <font>
      <sz val="8"/>
      <color rgb="FF808080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1"/>
      <color rgb="FF808080"/>
      <name val="Calibri"/>
      <family val="2"/>
      <scheme val="minor"/>
    </font>
    <font>
      <b/>
      <sz val="12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6"/>
      <color rgb="FF00206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i/>
      <sz val="10"/>
      <color theme="1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EB9C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DE7F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E6E6E6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7F7F7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2" fillId="0" borderId="0"/>
    <xf numFmtId="0" fontId="6" fillId="5" borderId="0" applyNumberFormat="0" applyBorder="0" applyAlignment="0" applyProtection="0"/>
    <xf numFmtId="0" fontId="5" fillId="0" borderId="0"/>
    <xf numFmtId="0" fontId="1" fillId="0" borderId="0"/>
    <xf numFmtId="0" fontId="24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2" xfId="0" applyBorder="1" applyAlignment="1">
      <alignment horizontal="center" vertical="center" wrapText="1"/>
    </xf>
    <xf numFmtId="0" fontId="0" fillId="2" borderId="3" xfId="0" applyFill="1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" xfId="0" applyBorder="1"/>
    <xf numFmtId="2" fontId="0" fillId="0" borderId="0" xfId="0" applyNumberFormat="1"/>
    <xf numFmtId="1" fontId="0" fillId="0" borderId="0" xfId="0" applyNumberFormat="1"/>
    <xf numFmtId="0" fontId="0" fillId="0" borderId="4" xfId="0" applyBorder="1"/>
    <xf numFmtId="2" fontId="0" fillId="0" borderId="1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2" borderId="4" xfId="0" applyFill="1" applyBorder="1"/>
    <xf numFmtId="0" fontId="0" fillId="2" borderId="4" xfId="0" applyFill="1" applyBorder="1" applyAlignment="1">
      <alignment wrapText="1"/>
    </xf>
    <xf numFmtId="0" fontId="0" fillId="4" borderId="3" xfId="0" applyFill="1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3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 vertical="center" wrapText="1"/>
    </xf>
    <xf numFmtId="49" fontId="8" fillId="0" borderId="4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49" fontId="4" fillId="0" borderId="4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0" fontId="0" fillId="0" borderId="3" xfId="0" applyFill="1" applyBorder="1"/>
    <xf numFmtId="0" fontId="12" fillId="8" borderId="10" xfId="0" applyNumberFormat="1" applyFont="1" applyFill="1" applyBorder="1" applyAlignment="1">
      <alignment horizontal="center" vertical="center"/>
    </xf>
    <xf numFmtId="0" fontId="10" fillId="7" borderId="1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9" fillId="0" borderId="10" xfId="0" applyNumberFormat="1" applyFont="1" applyFill="1" applyBorder="1" applyAlignment="1">
      <alignment vertical="center"/>
    </xf>
    <xf numFmtId="0" fontId="9" fillId="6" borderId="10" xfId="0" applyNumberFormat="1" applyFont="1" applyFill="1" applyBorder="1" applyAlignment="1">
      <alignment vertical="center"/>
    </xf>
    <xf numFmtId="0" fontId="9" fillId="9" borderId="11" xfId="0" applyNumberFormat="1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>
      <alignment horizontal="center" vertical="center" wrapText="1"/>
    </xf>
    <xf numFmtId="0" fontId="11" fillId="9" borderId="11" xfId="0" applyNumberFormat="1" applyFont="1" applyFill="1" applyBorder="1" applyAlignment="1">
      <alignment horizontal="center" vertical="center"/>
    </xf>
    <xf numFmtId="0" fontId="9" fillId="9" borderId="10" xfId="0" applyNumberFormat="1" applyFont="1" applyFill="1" applyBorder="1" applyAlignment="1">
      <alignment horizontal="center" vertical="center"/>
    </xf>
    <xf numFmtId="0" fontId="10" fillId="9" borderId="10" xfId="0" applyNumberFormat="1" applyFont="1" applyFill="1" applyBorder="1" applyAlignment="1">
      <alignment horizontal="center" vertical="center" wrapText="1"/>
    </xf>
    <xf numFmtId="0" fontId="10" fillId="6" borderId="11" xfId="0" applyNumberFormat="1" applyFont="1" applyFill="1" applyBorder="1" applyAlignment="1">
      <alignment horizontal="center" vertical="center" wrapText="1"/>
    </xf>
    <xf numFmtId="0" fontId="11" fillId="10" borderId="11" xfId="0" applyNumberFormat="1" applyFont="1" applyFill="1" applyBorder="1" applyAlignment="1">
      <alignment horizontal="center" vertical="center"/>
    </xf>
    <xf numFmtId="0" fontId="10" fillId="6" borderId="10" xfId="0" applyNumberFormat="1" applyFont="1" applyFill="1" applyBorder="1" applyAlignment="1">
      <alignment horizontal="center" vertical="center" wrapText="1"/>
    </xf>
    <xf numFmtId="0" fontId="10" fillId="11" borderId="10" xfId="0" applyNumberFormat="1" applyFont="1" applyFill="1" applyBorder="1" applyAlignment="1">
      <alignment horizontal="center" vertical="center"/>
    </xf>
    <xf numFmtId="0" fontId="10" fillId="11" borderId="10" xfId="0" applyNumberFormat="1" applyFont="1" applyFill="1" applyBorder="1" applyAlignment="1">
      <alignment horizontal="center" vertical="center" wrapText="1"/>
    </xf>
    <xf numFmtId="0" fontId="9" fillId="13" borderId="10" xfId="0" applyNumberFormat="1" applyFont="1" applyFill="1" applyBorder="1" applyAlignment="1">
      <alignment horizontal="center" vertical="center"/>
    </xf>
    <xf numFmtId="0" fontId="10" fillId="13" borderId="10" xfId="0" applyNumberFormat="1" applyFont="1" applyFill="1" applyBorder="1" applyAlignment="1">
      <alignment horizontal="center" vertical="center" wrapText="1"/>
    </xf>
    <xf numFmtId="0" fontId="10" fillId="14" borderId="11" xfId="0" applyNumberFormat="1" applyFont="1" applyFill="1" applyBorder="1" applyAlignment="1">
      <alignment horizontal="center" vertical="center" wrapText="1"/>
    </xf>
    <xf numFmtId="0" fontId="11" fillId="14" borderId="11" xfId="0" applyNumberFormat="1" applyFont="1" applyFill="1" applyBorder="1" applyAlignment="1">
      <alignment horizontal="center" vertical="center"/>
    </xf>
    <xf numFmtId="0" fontId="9" fillId="9" borderId="11" xfId="0" applyNumberFormat="1" applyFont="1" applyFill="1" applyBorder="1" applyAlignment="1">
      <alignment vertical="center"/>
    </xf>
    <xf numFmtId="0" fontId="10" fillId="9" borderId="11" xfId="0" applyNumberFormat="1" applyFont="1" applyFill="1" applyBorder="1" applyAlignment="1">
      <alignment horizontal="center" vertical="center"/>
    </xf>
    <xf numFmtId="0" fontId="9" fillId="9" borderId="10" xfId="0" applyNumberFormat="1" applyFont="1" applyFill="1" applyBorder="1" applyAlignment="1">
      <alignment vertical="center"/>
    </xf>
    <xf numFmtId="2" fontId="9" fillId="9" borderId="10" xfId="0" applyNumberFormat="1" applyFont="1" applyFill="1" applyBorder="1" applyAlignment="1">
      <alignment horizontal="center" vertical="center"/>
    </xf>
    <xf numFmtId="0" fontId="9" fillId="0" borderId="11" xfId="0" applyNumberFormat="1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2" fontId="9" fillId="15" borderId="10" xfId="0" applyNumberFormat="1" applyFont="1" applyFill="1" applyBorder="1" applyAlignment="1">
      <alignment horizontal="center" vertical="center"/>
    </xf>
    <xf numFmtId="0" fontId="10" fillId="15" borderId="10" xfId="0" applyNumberFormat="1" applyFont="1" applyFill="1" applyBorder="1" applyAlignment="1">
      <alignment horizontal="center" vertical="center" wrapText="1"/>
    </xf>
    <xf numFmtId="0" fontId="9" fillId="15" borderId="10" xfId="0" applyNumberFormat="1" applyFont="1" applyFill="1" applyBorder="1" applyAlignment="1">
      <alignment horizontal="center" vertical="center"/>
    </xf>
    <xf numFmtId="0" fontId="9" fillId="15" borderId="10" xfId="0" applyNumberFormat="1" applyFont="1" applyFill="1" applyBorder="1" applyAlignment="1">
      <alignment vertical="center"/>
    </xf>
    <xf numFmtId="0" fontId="13" fillId="2" borderId="0" xfId="0" applyFont="1" applyFill="1" applyBorder="1" applyAlignment="1">
      <alignment horizontal="center" wrapText="1"/>
    </xf>
    <xf numFmtId="0" fontId="0" fillId="2" borderId="9" xfId="0" applyFill="1" applyBorder="1"/>
    <xf numFmtId="0" fontId="0" fillId="2" borderId="9" xfId="0" applyFill="1" applyBorder="1" applyAlignment="1">
      <alignment wrapText="1"/>
    </xf>
    <xf numFmtId="0" fontId="11" fillId="15" borderId="11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center" wrapText="1"/>
    </xf>
    <xf numFmtId="0" fontId="15" fillId="18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16" fillId="18" borderId="0" xfId="0" applyFont="1" applyFill="1" applyAlignment="1">
      <alignment horizontal="center" wrapText="1"/>
    </xf>
    <xf numFmtId="0" fontId="14" fillId="17" borderId="0" xfId="0" applyFont="1" applyFill="1" applyAlignment="1">
      <alignment horizontal="center"/>
    </xf>
    <xf numFmtId="0" fontId="9" fillId="6" borderId="10" xfId="0" applyNumberFormat="1" applyFont="1" applyFill="1" applyBorder="1" applyAlignment="1" applyProtection="1">
      <alignment vertical="center"/>
      <protection locked="0"/>
    </xf>
    <xf numFmtId="0" fontId="9" fillId="6" borderId="11" xfId="0" applyNumberFormat="1" applyFont="1" applyFill="1" applyBorder="1" applyAlignment="1" applyProtection="1">
      <alignment horizontal="center" vertical="center"/>
      <protection locked="0"/>
    </xf>
    <xf numFmtId="0" fontId="9" fillId="6" borderId="10" xfId="0" applyNumberFormat="1" applyFont="1" applyFill="1" applyBorder="1" applyAlignment="1" applyProtection="1">
      <alignment horizontal="center" vertical="center"/>
      <protection locked="0"/>
    </xf>
    <xf numFmtId="0" fontId="9" fillId="14" borderId="11" xfId="0" applyNumberFormat="1" applyFont="1" applyFill="1" applyBorder="1" applyAlignment="1" applyProtection="1">
      <alignment horizontal="center" vertical="center"/>
      <protection locked="0"/>
    </xf>
    <xf numFmtId="0" fontId="11" fillId="11" borderId="0" xfId="0" applyFont="1" applyFill="1" applyAlignment="1">
      <alignment horizontal="center" wrapText="1"/>
    </xf>
    <xf numFmtId="0" fontId="0" fillId="22" borderId="0" xfId="0" applyFill="1" applyAlignment="1" applyProtection="1">
      <alignment horizontal="center"/>
      <protection locked="0"/>
    </xf>
    <xf numFmtId="0" fontId="18" fillId="0" borderId="0" xfId="0" applyFont="1"/>
    <xf numFmtId="0" fontId="0" fillId="0" borderId="0" xfId="0"/>
    <xf numFmtId="0" fontId="7" fillId="0" borderId="0" xfId="0" applyFont="1" applyAlignment="1">
      <alignment vertical="top"/>
    </xf>
    <xf numFmtId="0" fontId="23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0" fontId="7" fillId="23" borderId="0" xfId="0" applyFont="1" applyFill="1" applyAlignment="1">
      <alignment vertical="top"/>
    </xf>
    <xf numFmtId="0" fontId="21" fillId="23" borderId="0" xfId="0" applyFont="1" applyFill="1" applyAlignment="1">
      <alignment vertical="top"/>
    </xf>
    <xf numFmtId="0" fontId="19" fillId="21" borderId="12" xfId="0" applyFont="1" applyFill="1" applyBorder="1" applyAlignment="1">
      <alignment vertical="top" wrapText="1"/>
    </xf>
    <xf numFmtId="0" fontId="19" fillId="21" borderId="12" xfId="0" applyFont="1" applyFill="1" applyBorder="1" applyAlignment="1">
      <alignment vertical="top"/>
    </xf>
    <xf numFmtId="0" fontId="7" fillId="0" borderId="12" xfId="0" applyFont="1" applyBorder="1" applyAlignment="1">
      <alignment vertical="top" wrapText="1"/>
    </xf>
    <xf numFmtId="0" fontId="7" fillId="0" borderId="12" xfId="0" applyFont="1" applyBorder="1" applyAlignment="1">
      <alignment vertical="top"/>
    </xf>
    <xf numFmtId="0" fontId="19" fillId="0" borderId="0" xfId="0" quotePrefix="1" applyFont="1" applyAlignment="1">
      <alignment vertical="top"/>
    </xf>
    <xf numFmtId="0" fontId="25" fillId="0" borderId="0" xfId="5" applyFont="1" applyAlignment="1">
      <alignment vertical="top"/>
    </xf>
    <xf numFmtId="0" fontId="7" fillId="0" borderId="0" xfId="0" applyFont="1" applyAlignment="1">
      <alignment vertical="top" wrapText="1"/>
    </xf>
    <xf numFmtId="0" fontId="19" fillId="24" borderId="0" xfId="0" applyFont="1" applyFill="1" applyAlignment="1">
      <alignment vertical="top" wrapText="1"/>
    </xf>
    <xf numFmtId="0" fontId="7" fillId="25" borderId="0" xfId="0" applyFont="1" applyFill="1" applyAlignment="1">
      <alignment vertical="top" wrapText="1"/>
    </xf>
    <xf numFmtId="0" fontId="26" fillId="9" borderId="0" xfId="0" applyFont="1" applyFill="1" applyAlignment="1">
      <alignment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4" fillId="17" borderId="0" xfId="0" applyFont="1" applyFill="1" applyAlignment="1">
      <alignment horizontal="center"/>
    </xf>
    <xf numFmtId="0" fontId="17" fillId="0" borderId="0" xfId="0" applyFont="1" applyFill="1" applyAlignment="1">
      <alignment horizontal="left" wrapText="1"/>
    </xf>
    <xf numFmtId="0" fontId="11" fillId="9" borderId="11" xfId="0" applyNumberFormat="1" applyFont="1" applyFill="1" applyBorder="1" applyAlignment="1">
      <alignment horizontal="center" vertical="center"/>
    </xf>
    <xf numFmtId="0" fontId="11" fillId="9" borderId="10" xfId="0" applyNumberFormat="1" applyFont="1" applyFill="1" applyBorder="1" applyAlignment="1">
      <alignment horizontal="center" vertical="center"/>
    </xf>
    <xf numFmtId="0" fontId="11" fillId="15" borderId="11" xfId="0" applyNumberFormat="1" applyFont="1" applyFill="1" applyBorder="1" applyAlignment="1">
      <alignment horizontal="center" vertical="center"/>
    </xf>
    <xf numFmtId="0" fontId="11" fillId="15" borderId="10" xfId="0" applyNumberFormat="1" applyFont="1" applyFill="1" applyBorder="1" applyAlignment="1">
      <alignment horizontal="center" vertical="center"/>
    </xf>
    <xf numFmtId="0" fontId="11" fillId="11" borderId="11" xfId="0" applyNumberFormat="1" applyFont="1" applyFill="1" applyBorder="1" applyAlignment="1">
      <alignment horizontal="center" vertical="center"/>
    </xf>
    <xf numFmtId="0" fontId="11" fillId="11" borderId="10" xfId="0" applyNumberFormat="1" applyFont="1" applyFill="1" applyBorder="1" applyAlignment="1">
      <alignment horizontal="center" vertical="center"/>
    </xf>
    <xf numFmtId="0" fontId="11" fillId="12" borderId="11" xfId="0" applyNumberFormat="1" applyFont="1" applyFill="1" applyBorder="1" applyAlignment="1">
      <alignment horizontal="center" vertical="center"/>
    </xf>
    <xf numFmtId="0" fontId="11" fillId="12" borderId="10" xfId="0" applyNumberFormat="1" applyFont="1" applyFill="1" applyBorder="1" applyAlignment="1">
      <alignment horizontal="center" vertical="center"/>
    </xf>
    <xf numFmtId="0" fontId="11" fillId="13" borderId="11" xfId="0" applyNumberFormat="1" applyFont="1" applyFill="1" applyBorder="1" applyAlignment="1">
      <alignment horizontal="center" vertical="center"/>
    </xf>
    <xf numFmtId="0" fontId="11" fillId="13" borderId="10" xfId="0" applyNumberFormat="1" applyFont="1" applyFill="1" applyBorder="1" applyAlignment="1">
      <alignment horizontal="center" vertical="center"/>
    </xf>
    <xf numFmtId="0" fontId="27" fillId="0" borderId="0" xfId="0" applyFont="1"/>
    <xf numFmtId="0" fontId="0" fillId="22" borderId="0" xfId="0" applyFill="1"/>
    <xf numFmtId="0" fontId="0" fillId="0" borderId="0" xfId="0" quotePrefix="1"/>
    <xf numFmtId="0" fontId="0" fillId="22" borderId="0" xfId="0" applyFill="1" applyAlignment="1">
      <alignment wrapText="1"/>
    </xf>
    <xf numFmtId="0" fontId="29" fillId="22" borderId="0" xfId="0" applyFont="1" applyFill="1" applyAlignment="1">
      <alignment wrapText="1"/>
    </xf>
    <xf numFmtId="0" fontId="0" fillId="26" borderId="0" xfId="0" applyFill="1" applyAlignment="1">
      <alignment wrapText="1"/>
    </xf>
    <xf numFmtId="0" fontId="0" fillId="9" borderId="0" xfId="0" applyFill="1" applyAlignment="1">
      <alignment wrapText="1"/>
    </xf>
    <xf numFmtId="0" fontId="20" fillId="0" borderId="0" xfId="0" applyFont="1"/>
    <xf numFmtId="0" fontId="11" fillId="21" borderId="0" xfId="0" applyFont="1" applyFill="1"/>
    <xf numFmtId="0" fontId="11" fillId="21" borderId="0" xfId="0" applyFont="1" applyFill="1" applyAlignment="1">
      <alignment horizontal="right"/>
    </xf>
    <xf numFmtId="0" fontId="11" fillId="21" borderId="0" xfId="0" applyFont="1" applyFill="1" applyAlignment="1">
      <alignment wrapText="1"/>
    </xf>
    <xf numFmtId="0" fontId="11" fillId="0" borderId="0" xfId="0" applyFont="1" applyAlignment="1">
      <alignment wrapText="1"/>
    </xf>
    <xf numFmtId="2" fontId="11" fillId="0" borderId="0" xfId="0" applyNumberFormat="1" applyFont="1"/>
    <xf numFmtId="1" fontId="11" fillId="0" borderId="0" xfId="0" applyNumberFormat="1" applyFont="1"/>
    <xf numFmtId="0" fontId="11" fillId="21" borderId="12" xfId="0" applyFont="1" applyFill="1" applyBorder="1" applyAlignment="1">
      <alignment horizontal="center" vertical="center" wrapText="1"/>
    </xf>
    <xf numFmtId="0" fontId="11" fillId="21" borderId="12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right"/>
    </xf>
    <xf numFmtId="0" fontId="11" fillId="22" borderId="0" xfId="0" applyFont="1" applyFill="1"/>
    <xf numFmtId="0" fontId="30" fillId="0" borderId="0" xfId="0" applyFont="1"/>
    <xf numFmtId="0" fontId="0" fillId="0" borderId="12" xfId="0" applyBorder="1"/>
    <xf numFmtId="2" fontId="0" fillId="0" borderId="12" xfId="0" applyNumberFormat="1" applyBorder="1" applyAlignment="1">
      <alignment horizontal="right"/>
    </xf>
    <xf numFmtId="0" fontId="31" fillId="9" borderId="0" xfId="0" applyFont="1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7" fillId="9" borderId="0" xfId="0" applyFont="1" applyFill="1" applyAlignment="1">
      <alignment vertical="top" wrapText="1"/>
    </xf>
    <xf numFmtId="0" fontId="32" fillId="0" borderId="0" xfId="0" applyFont="1" applyAlignment="1">
      <alignment vertical="top" wrapText="1"/>
    </xf>
    <xf numFmtId="0" fontId="21" fillId="23" borderId="0" xfId="0" applyFont="1" applyFill="1" applyAlignment="1">
      <alignment vertical="top"/>
    </xf>
    <xf numFmtId="0" fontId="22" fillId="0" borderId="0" xfId="0" applyFont="1" applyAlignment="1">
      <alignment vertical="top" wrapText="1"/>
    </xf>
    <xf numFmtId="0" fontId="33" fillId="23" borderId="0" xfId="0" applyFont="1" applyFill="1"/>
    <xf numFmtId="0" fontId="0" fillId="23" borderId="0" xfId="0" applyFill="1"/>
    <xf numFmtId="0" fontId="0" fillId="0" borderId="0" xfId="0" applyAlignment="1">
      <alignment vertical="top" wrapText="1"/>
    </xf>
    <xf numFmtId="0" fontId="34" fillId="0" borderId="0" xfId="0" applyFont="1"/>
  </cellXfs>
  <cellStyles count="6">
    <cellStyle name="Гиперссылка" xfId="5" builtinId="8"/>
    <cellStyle name="Нейтральный 2" xfId="2" xr:uid="{35B9662B-4EF6-455F-A153-998AF8988465}"/>
    <cellStyle name="Обычный" xfId="0" builtinId="0"/>
    <cellStyle name="Обычный 2" xfId="3" xr:uid="{E2F4D3BA-771E-461C-AB7D-7903C0A10092}"/>
    <cellStyle name="Обычный 3" xfId="1" xr:uid="{2CCFBF6A-55A0-40CD-AD47-3F0AAF8CDCFB}"/>
    <cellStyle name="Обычный 3 2" xfId="4" xr:uid="{BF7B6DDC-276E-4454-9BAA-41291326E95A}"/>
  </cellStyles>
  <dxfs count="127">
    <dxf>
      <font>
        <b/>
        <color rgb="FF9C0006"/>
      </font>
      <fill>
        <patternFill>
          <bgColor rgb="FFFFC7CE"/>
        </patternFill>
      </fill>
    </dxf>
    <dxf>
      <border>
        <top style="thin">
          <color rgb="FF000000"/>
        </top>
      </border>
    </dxf>
    <dxf>
      <fill>
        <patternFill>
          <bgColor rgb="FFF2F2F2"/>
        </patternFill>
      </fill>
    </dxf>
    <dxf>
      <fill>
        <patternFill>
          <bgColor rgb="FFDDEBF7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006100"/>
      </font>
    </dxf>
    <dxf>
      <font>
        <b/>
        <color rgb="FF9C0006"/>
      </font>
      <fill>
        <patternFill>
          <bgColor rgb="FFFFC7CE"/>
        </patternFill>
      </fill>
    </dxf>
    <dxf>
      <fill>
        <patternFill>
          <bgColor rgb="FFEAF2FB"/>
        </patternFill>
      </fill>
    </dxf>
    <dxf>
      <font>
        <b/>
      </font>
      <border>
        <top style="medium">
          <color rgb="FF2F5597"/>
        </top>
      </border>
    </dxf>
    <dxf>
      <font>
        <i/>
        <color rgb="FF808080"/>
      </font>
    </dxf>
    <dxf>
      <font>
        <color rgb="FF006100"/>
      </font>
      <fill>
        <patternFill>
          <bgColor rgb="FFC6EFCE"/>
        </patternFill>
      </fill>
    </dxf>
    <dxf>
      <font>
        <color rgb="FF7F60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7F60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ill>
        <patternFill>
          <bgColor rgb="FFFFCCCC"/>
        </patternFill>
      </fill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border>
        <top style="dashed">
          <color rgb="FF808080"/>
        </top>
      </border>
    </dxf>
    <dxf>
      <border>
        <top style="thin">
          <color rgb="FF000000"/>
        </top>
      </border>
    </dxf>
    <dxf>
      <fill>
        <patternFill>
          <bgColor rgb="FFF2F2F2"/>
        </patternFill>
      </fill>
    </dxf>
    <dxf>
      <fill>
        <patternFill>
          <bgColor rgb="FFDDEBF7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601980</xdr:colOff>
          <xdr:row>0</xdr:row>
          <xdr:rowOff>45720</xdr:rowOff>
        </xdr:from>
        <xdr:to>
          <xdr:col>4</xdr:col>
          <xdr:colOff>769620</xdr:colOff>
          <xdr:row>1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C9B2382-4351-BFDE-974E-F0A16C88B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Починить формулы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937260</xdr:colOff>
      <xdr:row>8</xdr:row>
      <xdr:rowOff>99060</xdr:rowOff>
    </xdr:from>
    <xdr:to>
      <xdr:col>19</xdr:col>
      <xdr:colOff>13344</xdr:colOff>
      <xdr:row>22</xdr:row>
      <xdr:rowOff>5715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Щит">
              <a:extLst>
                <a:ext uri="{FF2B5EF4-FFF2-40B4-BE49-F238E27FC236}">
                  <a16:creationId xmlns:a16="http://schemas.microsoft.com/office/drawing/2014/main" id="{82B01700-72D6-21F1-2C6C-6011654708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Щит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0800" y="2438400"/>
              <a:ext cx="11153784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106680</xdr:colOff>
          <xdr:row>0</xdr:row>
          <xdr:rowOff>45720</xdr:rowOff>
        </xdr:from>
        <xdr:to>
          <xdr:col>254</xdr:col>
          <xdr:colOff>152400</xdr:colOff>
          <xdr:row>0</xdr:row>
          <xdr:rowOff>327660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3F357AB4-BFB6-E6F8-2781-4B2C4E47B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Починить формулы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Щит" xr10:uid="{E1736B5E-20E0-4CD2-B113-FEC3B40619C6}" sourceName="Щит">
  <extLst>
    <x:ext xmlns:x15="http://schemas.microsoft.com/office/spreadsheetml/2010/11/main" uri="{2F2917AC-EB37-4324-AD4E-5DD8C200BD13}">
      <x15:tableSlicerCache tableId="8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Щит" xr10:uid="{4A04C0A8-D7A2-4259-87BD-318AB9984E9E}" cache="Срез_Щит" caption="Щит" columnCount="12" showCaption="0" style="SlicerStyleLight6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1C7D6E-B55B-4133-A967-4C09C49EEA1F}" name="Щиты" displayName="Щиты" ref="A9:CB26" totalsRowShown="0">
  <autoFilter ref="A9:CB26" xr:uid="{4C1C7D6E-B55B-4133-A967-4C09C49EEA1F}"/>
  <tableColumns count="80">
    <tableColumn id="1" xr3:uid="{FF9F72BA-6918-4E31-8427-EEB3046712DC}" name="Щит"/>
    <tableColumn id="2" xr3:uid="{FFA57A37-DE5A-4DE3-AA33-4E3F9BAA10F4}" name="Питается от"/>
    <tableColumn id="3" xr3:uid="{FFC9008A-4056-478E-94D7-8288D3F1ACE0}" name="Вводов"/>
    <tableColumn id="4" xr3:uid="{4C184D60-C3E7-4FBA-8826-3B1DB44BB245}" name="АВР"/>
    <tableColumn id="5" xr3:uid="{68C0ECD8-8509-4134-AEFD-9160DF3C91A9}" name="ИБП от"/>
    <tableColumn id="6" xr3:uid="{7800830A-4CFA-440E-A236-51CFF6321E7F}" name="Листов под вводной узел"/>
    <tableColumn id="7" xr3:uid="{0B7E202A-9386-49B9-863E-1DABEBBE2E6D}" name="Питание: от (ТП / сеть)"/>
    <tableColumn id="8" xr3:uid="{8A7104F8-2CB8-4E78-951A-F089F3B0B3B5}" name="ΔU до питающего, %"/>
    <tableColumn id="9" xr3:uid="{96B661A0-7E92-4DBA-942B-6D832C6441A8}" name="Iкз min от сети, А"/>
    <tableColumn id="10" xr3:uid="{6874559F-EEA7-44F8-B49C-9C93574717D5}" name="Iкз max от сети, кА"/>
    <tableColumn id="11" xr3:uid="{312C92E7-C559-4CB0-BACB-D91F985CECD5}" name="Sтр, кВА"/>
    <tableColumn id="12" xr3:uid="{C053FB01-96D6-4A8A-A460-669E1E7F7D6A}" name="Схема тр-ра"/>
    <tableColumn id="13" xr3:uid="{20AE023E-4701-488D-B767-3377D91C5715}" name="Питающий кабель: S, мм²"/>
    <tableColumn id="14" xr3:uid="{F579A9FD-5BAB-4949-8A80-417B066F29FD}" name="Жил"/>
    <tableColumn id="15" xr3:uid="{342E85E6-CADF-4BF9-9E1C-64A0DEDF2F1E}" name="Кабелей параллельно"/>
    <tableColumn id="16" xr3:uid="{F4E4A5BE-A0E3-4658-B84F-4007D0352E14}" name="Длина, м"/>
    <tableColumn id="17" xr3:uid="{2D99E43C-0ABC-4DD4-8AE1-70B23B41E01F}" name="Материал"/>
    <tableColumn id="18" xr3:uid="{A8F16F25-A9A6-44FF-A7D4-89BC0159AD73}" name="In питающего аппарата, А"/>
    <tableColumn id="19" xr3:uid="{A4B70F03-353E-491D-861A-7AE3E8A9E682}" name="Хар-ка аппарата"/>
    <tableColumn id="20" xr3:uid="{9030EF6F-4954-424B-920D-463451B6C88B}" name="Кат. питающей линии (ручн.)"/>
    <tableColumn id="21" xr3:uid="{64758066-83C0-4E1A-9B27-18B65B97B6F5}" name="Питается от (итог)">
      <calculatedColumnFormula array="1">IF(Щиты[[#This Row],[Питается от]]&lt;&gt;"",Щиты[[#This Row],[Питается от]],IFERROR(INDEX(Линии[Щит],Щиты[[#This Row],[_строка фидера]]),""))</calculatedColumnFormula>
    </tableColumn>
    <tableColumn id="22" xr3:uid="{734ED04B-B1B8-4278-9713-F82BC750469A}" name="Замечания щита">
      <calculatedColumnFormula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calculatedColumnFormula>
    </tableColumn>
    <tableColumn id="23" xr3:uid="{F8013389-7497-4C18-83F4-C7F3861DF042}" name="Линия фидера">
      <calculatedColumnFormula array="1">IF(Щиты[[#This Row],[_строка фидера]]="","",INDEX(Линии[Номер линии],Щиты[[#This Row],[_строка фидера]]))</calculatedColumnFormula>
    </tableColumn>
    <tableColumn id="24" xr3:uid="{7F1C38A4-48A1-4072-B82C-B71CB1B427E1}" name="Руст, кВт" dataDxfId="122">
      <calculatedColumnFormula>SUMIFS(Щиты[_Руст собств],Щиты[Путь],"*|"&amp;Щиты[[#This Row],[Щит]]&amp;"|*")</calculatedColumnFormula>
    </tableColumn>
    <tableColumn id="25" xr3:uid="{B7D06D5C-D12F-4374-A668-A6D46B750E59}" name="Рр, кВт" dataDxfId="121">
      <calculatedColumnFormula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calculatedColumnFormula>
    </tableColumn>
    <tableColumn id="26" xr3:uid="{DD0107E0-17E2-4F51-9739-00E161C564BA}" name="Iр, А" dataDxfId="120">
      <calculatedColumnFormula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calculatedColumnFormula>
    </tableColumn>
    <tableColumn id="27" xr3:uid="{B2312C36-23C3-4279-A7D0-04142761CF2D}" name="cos φ" dataDxfId="119">
      <calculatedColumnFormula>IFERROR(SUMIFS(Щиты[_Pcos собств],Щиты[Путь],"*|"&amp;Щиты[[#This Row],[Щит]]&amp;"|*")/SUMIFS(Щиты[_P собств],Щиты[Путь],"*|"&amp;Щиты[[#This Row],[Щит]]&amp;"|*"),0.95)</calculatedColumnFormula>
    </tableColumn>
    <tableColumn id="28" xr3:uid="{844FA0CA-210A-43F8-AAF9-5BE94CA951C4}" name="ΔU до шин, %" dataDxfId="118">
      <calculatedColumnFormula array="1">SUMPRODUCT(--ISNUMBER(SEARCH("|"&amp;Щиты[Щит]&amp;"|",Щиты[[#This Row],[Путь]])),IFERROR(--Щиты[_ΔU фидера],0)+IFERROR(--Щиты[_ΔU источника],0))</calculatedColumnFormula>
    </tableColumn>
    <tableColumn id="29" xr3:uid="{96CA0B9C-B4AE-42B5-97C2-12D521BC3D42}" name="Iкз min на шинах, А" dataDxfId="117">
      <calculatedColumnFormula>IF(ISNUMBER(Щиты[[#This Row],[Zпетли на шинах, Ом]]),c_min*(Uн_лин*1000/SQRT(3))/Щиты[[#This Row],[Zпетли на шинах, Ом]],"")</calculatedColumnFormula>
    </tableColumn>
    <tableColumn id="30" xr3:uid="{56F1A2A4-90B8-45D9-A276-D784A941A70C}" name="Iкз max на шинах, кА" dataDxfId="116">
      <calculatedColumnFormula>IF(ISNUMBER(Щиты[[#This Row],[Zmax на шинах, Ом]]),1.05*(Uн_лин*1000/SQRT(3))/Щиты[[#This Row],[Zmax на шинах, Ом]]/1000,"")</calculatedColumnFormula>
    </tableColumn>
    <tableColumn id="31" xr3:uid="{885D9F5B-2D1A-44E6-8AF0-0EBF5E65A5FA}" name="Категория шины «Ввод»">
      <calculatedColumnFormula array="1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calculatedColumnFormula>
    </tableColumn>
    <tableColumn id="32" xr3:uid="{BDD4E07A-E84D-404A-80B6-FC412CE4275D}" name="Путь">
      <calculatedColumnFormula array="1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calculatedColumnFormula>
    </tableColumn>
    <tableColumn id="33" xr3:uid="{DF1630EC-9282-4616-A208-3E8B51A9F62F}" name="Корень" dataDxfId="115">
      <calculatedColumnFormula>_xlfn.TEXTBEFORE(MID(Щиты[[#This Row],[Путь]],2,999),"|")</calculatedColumnFormula>
    </tableColumn>
    <tableColumn id="34" xr3:uid="{289E7D75-E332-41E6-9703-2288AFE02BEE}" name="Уровень">
      <calculatedColumnFormula>LEN(Щиты[[#This Row],[Путь]])-LEN(SUBSTITUTE(Щиты[[#This Row],[Путь]],"|",""))-2</calculatedColumnFormula>
    </tableColumn>
    <tableColumn id="35" xr3:uid="{3000A1A7-9712-42CF-9C37-C726AD6B4303}" name="_строка фидера">
      <calculatedColumnFormula>IFERROR(_xlfn.XMATCH(Щиты[[#This Row],[Щит]],Линии[_фидер]),"")</calculatedColumnFormula>
    </tableColumn>
    <tableColumn id="36" xr3:uid="{79F70816-BE4E-4B90-917B-6C420BCEA6F7}" name="_Руст собств">
      <calculatedColumnFormula>SUMIFS(Линии[_Руст (без Нет)],Линии[Щит],Щиты[[#This Row],[Щит]])</calculatedColumnFormula>
    </tableColumn>
    <tableColumn id="37" xr3:uid="{1242CD72-62DD-466D-A274-C9FB67B62198}" name="_быт собств">
      <calculatedColumnFormula>SUMIFS(Линии[_Руст быт],Линии[Щит],Щиты[[#This Row],[Щит]])</calculatedColumnFormula>
    </tableColumn>
    <tableColumn id="38" xr3:uid="{A88CA737-EBF7-428E-A9C2-3A8FE94576C0}" name="_сил собств">
      <calculatedColumnFormula>SUMIFS(Линии[_Рр сил],Линии[Щит],Щиты[[#This Row],[Щит]])</calculatedColumnFormula>
    </tableColumn>
    <tableColumn id="39" xr3:uid="{3B35B957-2364-45CA-81BB-2F31F9B9A12B}" name="_пост собств">
      <calculatedColumnFormula>SUMIFS(Линии[_Руст пост],Линии[Щит],Щиты[[#This Row],[Щит]])</calculatedColumnFormula>
    </tableColumn>
    <tableColumn id="40" xr3:uid="{D9C4BB7F-3AA4-4E3C-B00A-FCE5E92CDB03}" name="_P собств">
      <calculatedColumnFormula>SUMIFS(Линии[_P для cos],Линии[Щит],Щиты[[#This Row],[Щит]])</calculatedColumnFormula>
    </tableColumn>
    <tableColumn id="41" xr3:uid="{C2CA5365-17D6-4B7A-B754-5B08B5351552}" name="_Pcos собств">
      <calculatedColumnFormula>SUMIFS(Линии[_P·cos],Линии[Щит],Щиты[[#This Row],[Щит]])</calculatedColumnFormula>
    </tableColumn>
    <tableColumn id="42" xr3:uid="{2E4AAC73-7EFD-497B-A07E-69DA0E9A87B0}" name="_отоп собств">
      <calculatedColumnFormula>SUMIFS(Линии[_Р отопления],Линии[Щит],Щиты[[#This Row],[Щит]])</calculatedColumnFormula>
    </tableColumn>
    <tableColumn id="43" xr3:uid="{9E31F394-539C-4A7F-AA4C-857428E7CC2D}" name="_внг собств">
      <calculatedColumnFormula>SUMIFS(Линии[_Рр ВНГ],Линии[Щит],Щиты[[#This Row],[Щит]])</calculatedColumnFormula>
    </tableColumn>
    <tableColumn id="44" xr3:uid="{06BF4AF2-8E46-41D6-98E6-5A1B51A40203}" name="Руст быт, кВт" dataDxfId="114">
      <calculatedColumnFormula>SUMIFS(Щиты[_быт собств],Щиты[Путь],"*|"&amp;Щиты[[#This Row],[Щит]]&amp;"|*")</calculatedColumnFormula>
    </tableColumn>
    <tableColumn id="45" xr3:uid="{30320318-10E4-4E99-B854-1791AE7ADB51}" name="Кс быт" dataDxfId="113">
      <calculatedColumnFormula array="1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calculatedColumnFormula>
    </tableColumn>
    <tableColumn id="46" xr3:uid="{DD30E91A-BC21-414E-A681-5139A9ED2BAB}" name="Рр сил, кВт" dataDxfId="112">
      <calculatedColumnFormula>SUMIFS(Щиты[_сил собств],Щиты[Путь],"*|"&amp;Щиты[[#This Row],[Щит]]&amp;"|*")</calculatedColumnFormula>
    </tableColumn>
    <tableColumn id="47" xr3:uid="{3D0906D9-D478-42EC-9599-231614153829}" name="Руст пост, кВт" dataDxfId="111">
      <calculatedColumnFormula>SUMIFS(Щиты[_пост собств],Щиты[Путь],"*|"&amp;Щиты[[#This Row],[Щит]]&amp;"|*")</calculatedColumnFormula>
    </tableColumn>
    <tableColumn id="48" xr3:uid="{B8B6DDAF-B8FE-4CB2-9936-5C440918EB3F}" name="Р отопления, кВт" dataDxfId="110">
      <calculatedColumnFormula>SUMIFS(Щиты[_отоп собств],Щиты[Путь],"*|"&amp;Щиты[[#This Row],[Щит]]&amp;"|*")</calculatedColumnFormula>
    </tableColumn>
    <tableColumn id="49" xr3:uid="{F87881C4-2822-4814-9BC7-C8E13B7AD874}" name="Рр ВНГ, кВт" dataDxfId="109">
      <calculatedColumnFormula>SUMIFS(Щиты[_внг собств],Щиты[Путь],"*|"&amp;Щиты[[#This Row],[Щит]]&amp;"|*")</calculatedColumnFormula>
    </tableColumn>
    <tableColumn id="50" xr3:uid="{5B5F578D-3E03-4543-B9A0-BDF82CDAB40B}" name="_n силовых">
      <calculatedColumnFormula>COUNTIFS(Линии[Щит],Щиты[[#This Row],[Щит]],Линии[Группа Кс (итог)],"Сил")</calculatedColumnFormula>
    </tableColumn>
    <tableColumn id="51" xr3:uid="{62E02915-B450-4B61-AEEF-664AB9C88856}" name="Кс силовых (табл. 7.5)" dataDxfId="108">
      <calculatedColumnFormula array="1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calculatedColumnFormula>
    </tableColumn>
    <tableColumn id="52" xr3:uid="{F1FE9462-DFE4-4BC0-AD4F-ADA8C278BA35}" name="Ко" dataDxfId="107">
      <calculatedColumnFormula>IF(Методика="нормы 2026",IF(AND(Щиты[[#This Row],[Руст быт, кВт]]&gt;0,Щиты[[#This Row],[Рр сил, кВт]]&gt;0),Ко_сил,1),Ко_сил)</calculatedColumnFormula>
    </tableColumn>
    <tableColumn id="53" xr3:uid="{81BAF8CA-C95F-4BE8-BA1C-2E0EBF4AC38A}" name="Кс итог" dataDxfId="106">
      <calculatedColumnFormula>IF(Щиты[[#This Row],[Руст, кВт]]=0,0,Щиты[[#This Row],[Рр, кВт]]/Щиты[[#This Row],[Руст, кВт]])</calculatedColumnFormula>
    </tableColumn>
    <tableColumn id="54" xr3:uid="{16132ED4-EDBF-4C78-B576-1EA905261675}" name="P L1, кВт" dataDxfId="105">
      <calculatedColumnFormula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calculatedColumnFormula>
    </tableColumn>
    <tableColumn id="55" xr3:uid="{0500ACE6-24DF-4A29-A6FA-B232F379C23F}" name="P L2, кВт" dataDxfId="104">
      <calculatedColumnFormula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calculatedColumnFormula>
    </tableColumn>
    <tableColumn id="56" xr3:uid="{F3F60331-B04A-4990-8365-3A02CDF039A9}" name="P L3, кВт" dataDxfId="103">
      <calculatedColumnFormula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calculatedColumnFormula>
    </tableColumn>
    <tableColumn id="57" xr3:uid="{2C70044F-DDE3-43A1-96F5-A3EC0B65B2CE}" name="_ΔU фидера">
      <calculatedColumnFormula array="1">IF(Щиты[[#This Row],[_строка фидера]]="","",INDEX(Линии[ΔU, %],Щиты[[#This Row],[_строка фидера]]))</calculatedColumnFormula>
    </tableColumn>
    <tableColumn id="58" xr3:uid="{6F89D8B1-473F-40AB-8E32-0F9740645B94}" name="_ΔU пит. линии">
      <calculatedColumnFormula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calculatedColumnFormula>
    </tableColumn>
    <tableColumn id="59" xr3:uid="{C296DB6D-8245-417E-BE2C-C5837B4007E2}" name="_ΔU источника">
      <calculatedColumnFormula>IF(Щиты[[#This Row],[Питается от (итог)]]&lt;&gt;"",0,IF(LEFT(UPPER(TRIM(Щиты[[#This Row],[Питание: от (ТП / сеть)]])),2)="ТП",0,N(Щиты[[#This Row],[ΔU до питающего, %]])+Щиты[[#This Row],[_ΔU пит. линии]]))</calculatedColumnFormula>
    </tableColumn>
    <tableColumn id="60" xr3:uid="{1021DB42-09C6-4D1B-A6EB-6F9D9C81E4EF}" name="_петля пит. кабеля">
      <calculatedColumnFormula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calculatedColumnFormula>
    </tableColumn>
    <tableColumn id="61" xr3:uid="{95D642C7-FE77-477F-B6A3-EE4ED92CDCEE}" name="_Zсети">
      <calculatedColumnFormula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calculatedColumnFormula>
    </tableColumn>
    <tableColumn id="62" xr3:uid="{7B1C9E4F-95A8-4017-9151-0455D8EAB37B}" name="_Zисточника">
      <calculatedColumnFormula>IF(Щиты[[#This Row],[_Zсети]]="","",Щиты[[#This Row],[_Zсети]]+Щиты[[#This Row],[_петля пит. кабеля]])</calculatedColumnFormula>
    </tableColumn>
    <tableColumn id="63" xr3:uid="{DC81F208-D080-4096-966A-DAA30A8B8879}" name="_Zфидера">
      <calculatedColumnFormula array="1">IF(Щиты[[#This Row],[_строка фидера]]="","",INDEX(Линии[_Zкабеля],Щиты[[#This Row],[_строка фидера]]))</calculatedColumnFormula>
    </tableColumn>
    <tableColumn id="64" xr3:uid="{260B9DE9-F272-464D-9729-5DF78B71FBB0}" name="Zпетли на шинах, Ом" dataDxfId="102">
      <calculatedColumnFormula array="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calculatedColumnFormula>
    </tableColumn>
    <tableColumn id="65" xr3:uid="{41BB36C3-857F-4EEB-90A3-34D5CC486754}" name="_Zmax сети">
      <calculatedColumnFormula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calculatedColumnFormula>
    </tableColumn>
    <tableColumn id="66" xr3:uid="{702892BF-B845-4D50-8D66-3DF28A205AC6}" name="_Zmax источника">
      <calculatedColumnFormula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calculatedColumnFormula>
    </tableColumn>
    <tableColumn id="67" xr3:uid="{36DC2C77-1A34-45DF-AE5A-614221EC408B}" name="_Zmax фидера">
      <calculatedColumnFormula array="1">IF(Щиты[[#This Row],[_строка фидера]]="","",INDEX(Линии[_Zmax кабеля],Щиты[[#This Row],[_строка фидера]]))</calculatedColumnFormula>
    </tableColumn>
    <tableColumn id="68" xr3:uid="{C5DB76F5-7D3B-4284-BAB4-5345E2D59580}" name="Zmax на шинах, Ом" dataDxfId="101">
      <calculatedColumnFormula array="1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calculatedColumnFormula>
    </tableColumn>
    <tableColumn id="69" xr3:uid="{2B420CD3-9FAC-4513-9972-826510196C5C}" name="_ΔU фидера (подбор)">
      <calculatedColumnFormula array="1">IF(Щиты[[#This Row],[_строка фидера]]="","",INDEX(Линии[_ΔU по току, %],Щиты[[#This Row],[_строка фидера]]))</calculatedColumnFormula>
    </tableColumn>
    <tableColumn id="70" xr3:uid="{66892E91-B2AF-4FAD-BB72-FD32887BED74}" name="ΔU до шин (подбор), %" dataDxfId="100">
      <calculatedColumnFormula array="1">SUMPRODUCT(--ISNUMBER(SEARCH("|"&amp;Щиты[Щит]&amp;"|",Щиты[[#This Row],[Путь]])),IFERROR(--Щиты[_ΔU фидера (подбор)],0)+IFERROR(--Щиты[_ΔU источника],0))</calculatedColumnFormula>
    </tableColumn>
    <tableColumn id="71" xr3:uid="{417761C1-D93B-40A3-AC83-395C385648DF}" name="_Zфидера (подбор)">
      <calculatedColumnFormula array="1">IF(Щиты[[#This Row],[_строка фидера]]="","",INDEX(Линии[_Zкабеля по току],Щиты[[#This Row],[_строка фидера]]))</calculatedColumnFormula>
    </tableColumn>
    <tableColumn id="72" xr3:uid="{A661239C-FE0B-4645-A6E9-5DA06E295B08}" name="Zпетли на шинах (подбор), Ом" dataDxfId="99">
      <calculatedColumnFormula array="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calculatedColumnFormula>
    </tableColumn>
    <tableColumn id="73" xr3:uid="{DA165951-E136-46D4-8BB1-4AF4470FAE87}" name="_ранг собств">
      <calculatedColumnFormula>_xlfn.MAXIFS(Линии[_ранг для фидера],Линии[Щит],Щиты[[#This Row],[Щит]])</calculatedColumnFormula>
    </tableColumn>
    <tableColumn id="74" xr3:uid="{B6B1EBA2-FEF8-432A-A09F-88C763FCC6AF}" name="Высшая категория нагрузки">
      <calculatedColumnFormula array="1">IFERROR(INDEX({"III","II","I","I особая"},MAX(1,_xlfn.MAXIFS(Щиты[_ранг собств],Щиты[Путь],"*|"&amp;Щиты[[#This Row],[Щит]]&amp;"|*"))),"III")</calculatedColumnFormula>
    </tableColumn>
    <tableColumn id="75" xr3:uid="{AA5A8986-E46E-4209-AB6F-A0F9FFC1E9C2}" name="Категория фидера">
      <calculatedColumnFormula array="1">IF(Щиты[[#This Row],[_строка фидера]]="","",INDEX(Линии[Категория (итог)],Щиты[[#This Row],[_строка фидера]]))</calculatedColumnFormula>
    </tableColumn>
    <tableColumn id="76" xr3:uid="{7DD12E75-41F8-473A-BD96-BA1DAB631749}" name="Iпуск max, А" dataDxfId="98">
      <calculatedColumnFormula>_xlfn.MAXIFS(Линии[Iпуск, А],Линии[Щит],Щиты[[#This Row],[Щит]])</calculatedColumnFormula>
    </tableColumn>
    <tableColumn id="77" xr3:uid="{37341831-D90B-44D2-8A32-B247AFDCFE95}" name="Источник фидера">
      <calculatedColumnFormula array="1">IF(Щиты[[#This Row],[_строка фидера]]="","",INDEX(Линии[Источник для режимов],Щиты[[#This Row],[_строка фидера]]))</calculatedColumnFormula>
    </tableColumn>
    <tableColumn id="78" xr3:uid="{FC599E56-FAD8-49BF-ABD5-544D748851B3}" name="Пожарный фидер">
      <calculatedColumnFormula array="1">IF(Щиты[[#This Row],[_строка фидера]]="","",INDEX(Линии[Пожарная (итог)],Щиты[[#This Row],[_строка фидера]]))</calculatedColumnFormula>
    </tableColumn>
    <tableColumn id="79" xr3:uid="{460B86DC-9D17-4866-B4FC-9D5C65989CCA}" name="Не обеспечено, линий">
      <calculatedColumnFormula>COUNTIFS(Линии[Щит],Щиты[[#This Row],[Щит]],Линии[Категория: проверка],"НЕ ОБЕСПЕЧЕНА")</calculatedColumnFormula>
    </tableColumn>
    <tableColumn id="80" xr3:uid="{595DB5CF-812F-4F33-B084-8EEFBE28E6AD}" name="_фазы авто">
      <calculatedColumnFormula array="1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EF7B09-13DD-4E71-A5CC-C717FCA270F7}" name="Линии" displayName="Линии" ref="A2:IS352" totalsRowShown="0">
  <autoFilter ref="A2:IS352" xr:uid="{4AEF7B09-13DD-4E71-A5CC-C717FCA270F7}"/>
  <tableColumns count="253">
    <tableColumn id="1" xr3:uid="{B77FB955-AD05-4CDC-99C7-80451CD0C223}" name="Щит"/>
    <tableColumn id="2" xr3:uid="{3826A36B-B928-4916-86CA-7D90FD02D891}" name="Номер линии"/>
    <tableColumn id="3" xr3:uid="{73CFF3D4-7FE5-4437-94CF-6C4AB63418E5}" name="Наименование">
      <calculatedColumnFormula>Линии[[#This Row],[_авто наименование]]</calculatedColumnFormula>
    </tableColumn>
    <tableColumn id="4" xr3:uid="{C9998724-93F5-45D7-AE96-F6F14B7AF29B}" name="Кол-во потребителей, шт"/>
    <tableColumn id="5" xr3:uid="{5824FB42-61D0-4CA1-8980-ED7443BCD74E}" name="Р, кВт">
      <calculatedColumnFormula>Линии[[#This Row],[_авто Р]]</calculatedColumnFormula>
    </tableColumn>
    <tableColumn id="6" xr3:uid="{48DB5AB9-235F-4EC6-8D0F-D73B209C2A72}" name="Группа"/>
    <tableColumn id="7" xr3:uid="{2FBEDD63-BBDE-4239-8A05-B58CF153233C}" name="Автомат">
      <calculatedColumnFormula>Линии[[#This Row],[_авто автомат]]</calculatedColumnFormula>
    </tableColumn>
    <tableColumn id="8" xr3:uid="{C84EF734-1347-423E-BE6F-E16BB3FAF461}" name="Утечка, мА">
      <calculatedColumnFormula>Линии[[#This Row],[_авто утечка]]</calculatedColumnFormula>
    </tableColumn>
    <tableColumn id="9" xr3:uid="{1D996618-F705-4C73-9842-92CAF0FB3344}" name="Управление">
      <calculatedColumnFormula>Линии[[#This Row],[_авто управление]]</calculatedColumnFormula>
    </tableColumn>
    <tableColumn id="10" xr3:uid="{255D5E1A-EFA9-49E0-B007-680E49C9F79B}" name="Аппараты">
      <calculatedColumnFormula>Линии[[#This Row],[_авто аппараты]]</calculatedColumnFormula>
    </tableColumn>
    <tableColumn id="11" xr3:uid="{C61AC13B-675D-499F-A4C7-53DA7D3D5D27}" name="Сечение, мм²">
      <calculatedColumnFormula>Линии[[#This Row],[_авто сечение]]</calculatedColumnFormula>
    </tableColumn>
    <tableColumn id="12" xr3:uid="{8D40F1D5-F1BD-4DA3-80D2-AAAE31041165}" name="Длина линии (по плану), м">
      <calculatedColumnFormula>Линии[[#This Row],[_авто длина по плану]]</calculatedColumnFormula>
    </tableColumn>
    <tableColumn id="13" xr3:uid="{A200A5DE-D193-4C9A-B507-AB3DC3FB8522}" name="Фаза">
      <calculatedColumnFormula>Линии[[#This Row],[_авто фаза]]</calculatedColumnFormula>
    </tableColumn>
    <tableColumn id="14" xr3:uid="{BFBB6938-B7FB-4345-A1E1-EB3E2692AEB8}" name="Клемма">
      <calculatedColumnFormula>Линии[[#This Row],[_авто клемма]]</calculatedColumnFormula>
    </tableColumn>
    <tableColumn id="15" xr3:uid="{C051F083-8DFD-45DE-B147-ADDBF36748EB}" name="Замечания">
      <calculatedColumnFormula>_xlfn.TEXTJOIN("; ",TRUE,HD3,HA3,IF(FT3="НЕ ОБЕСПЕЧЕНА","категория "&amp;FJ3&amp;" не обеспечена (есть "&amp;FQ3&amp;")",""),IF(LEFT(HC3,3)="Icu",HC3,""),IF(AND(B3&lt;&gt;"",DX3="не подобрано"),"сечение не подобрано: проверьте длину и автомат или впишите сечение",""))</calculatedColumnFormula>
    </tableColumn>
    <tableColumn id="16" xr3:uid="{04D63CAD-9BCD-4260-91DF-704AC3747658}" name="Iр, А" dataDxfId="81">
      <calculatedColumnFormula array="1">IF(B3="","",IF(BC3&lt;&gt;"",IFERROR(_xlfn.XLOOKUP(BC3,Щиты[Щит],Щиты[Iр, А]),""),IF(BK3=1,IFERROR(_xlfn.XLOOKUP(A3,Щиты[Щит],Щиты[Iр, А]),""),IFERROR(_xlfn.IFS(BR3=1,BN3/((Uн_лин/SQRT(3))*BY3),BR3=3,BN3/(SQRT(3)*Uн_лин*BY3)),""))))</calculatedColumnFormula>
    </tableColumn>
    <tableColumn id="17" xr3:uid="{8B53B20D-C13B-4381-8AAD-1BBEECF7BEBB}" name="Длина, м" dataDxfId="79">
      <calculatedColumnFormula>IF(B3="","",IFERROR(IF(VLOOKUP(AX3,Потребители_обозначение,4,FALSE)=1,VLOOKUP(AX3,Потребители_обозначение,3,FALSE)*(D3*2-1)+DS3+VLOOKUP(AZ3,Этаж_обозначение,3,FALSE)+VLOOKUP(AZ3,Этаж_обозначение,4,FALSE),VLOOKUP(AX3,Потребители_обозначение,3,FALSE)*(D3*2-1)+DS3),DS3))</calculatedColumnFormula>
    </tableColumn>
    <tableColumn id="18" xr3:uid="{D5CD6294-AE1C-4782-BFA2-1FFF3C457711}" name="ΔU от ВРУ, %" dataDxfId="80">
      <calculatedColumnFormula>IF(ISNUMBER(EG3),EG3+DN3,"")</calculatedColumnFormula>
    </tableColumn>
    <tableColumn id="19" xr3:uid="{0D4546D2-3571-4923-92F0-6CD9080CAEEB}" name="Кабель">
      <calculatedColumnFormula>IF(OR(B3="",EH3=""),"",IF(DX3="не подобрано",EH3&amp;" — сечение не подобрано",EI3))</calculatedColumnFormula>
    </tableColumn>
    <tableColumn id="20" xr3:uid="{60D205A0-9A37-4906-9F19-843D777AD573}" name="Лист / место">
      <calculatedColumnFormula>IF(BH3="","",IF(BI3="вводной узел","узел ","")&amp;"л."&amp;(INT((BH3-1)/Столбцов_на_лист)+1)&amp;" / "&amp;(MOD(BH3-1,Столбцов_на_лист)+1))</calculatedColumnFormula>
    </tableColumn>
    <tableColumn id="21" xr3:uid="{ED578E26-C850-468F-851E-B53CC75556C7}" name="Питает щит"/>
    <tableColumn id="22" xr3:uid="{83475FF2-633F-4ECC-88B2-1C113650F7AE}" name="Кол-во фаз">
      <calculatedColumnFormula>Линии[[#This Row],[_авто фаз]]</calculatedColumnFormula>
    </tableColumn>
    <tableColumn id="23" xr3:uid="{C772DE5F-8B19-4FE4-813D-D647003D55B8}" name="Напряжение">
      <calculatedColumnFormula>Линии[[#This Row],[_авто U]]</calculatedColumnFormula>
    </tableColumn>
    <tableColumn id="24" xr3:uid="{5C10CA60-853F-4819-B426-6982A4949F81}" name="Группа Кс">
      <calculatedColumnFormula>Линии[[#This Row],[_авто группа Кс]]</calculatedColumnFormula>
    </tableColumn>
    <tableColumn id="25" xr3:uid="{77376083-E468-4822-9F67-497110761CA8}" name="Кс (для Сил)"/>
    <tableColumn id="26" xr3:uid="{DEF5A353-707D-4FC3-81E3-8BB039D37849}" name="cos φ (ручн.)"/>
    <tableColumn id="27" xr3:uid="{851F83B3-29A3-46B6-8256-B0C88125DECA}" name="Секция (1/2/3)"/>
    <tableColumn id="28" xr3:uid="{F6EAC04F-9E3C-47E8-8B5D-E4E7520DC77B}" name="Шина"/>
    <tableColumn id="29" xr3:uid="{16051EBA-FE03-456D-AE58-8561762E7E7D}" name="Категория (I особая / I / II / III)"/>
    <tableColumn id="30" xr3:uid="{54F58A00-B3F3-4DA3-89FC-90A4D6D88E61}" name="Пожарная (да / нет)"/>
    <tableColumn id="31" xr3:uid="{D5002A30-C6B1-4F86-978E-676E93ED58AB}" name="Вид нагрузки"/>
    <tableColumn id="32" xr3:uid="{16915398-3425-4B8D-99D1-E83206E28371}" name="Режим"/>
    <tableColumn id="33" xr3:uid="{2AF41533-2BB5-4DAA-B891-C8A6FCCC8546}" name="Модуль"/>
    <tableColumn id="34" xr3:uid="{4F4CE2DB-45DF-4F68-B068-F9B34401DB9F}" name="Канал"/>
    <tableColumn id="35" xr3:uid="{E203E892-265A-4D49-94A1-C7F0A86FEEB7}" name="№ места"/>
    <tableColumn id="36" xr3:uid="{ACDDAEF5-FFF1-45A0-8DE0-4AE356695E65}" name="Марка кабеля">
      <calculatedColumnFormula>Линии[[#This Row],[_авто марка]]</calculatedColumnFormula>
    </tableColumn>
    <tableColumn id="37" xr3:uid="{F05DAEC1-DED6-4E84-AE17-2155BA8F0CA2}" name="Кол-во жил">
      <calculatedColumnFormula>Линии[[#This Row],[_авто жил]]</calculatedColumnFormula>
    </tableColumn>
    <tableColumn id="38" xr3:uid="{A3885847-127E-4893-BD0F-F00A62D2B826}" name="К прокл. линии"/>
    <tableColumn id="39" xr3:uid="{870CC421-14F2-47C1-B9D7-127E9A401F1C}" name="Лоток"/>
    <tableColumn id="40" xr3:uid="{93EE1EA2-6AB6-443A-9663-F442024B00F5}" name="Гофра ПВХ"/>
    <tableColumn id="41" xr3:uid="{9377FCAC-45A8-44E1-89FA-C3035D29B64C}" name="Гофра ПНД"/>
    <tableColumn id="42" xr3:uid="{56DDD436-839F-4906-8147-981638F7EB63}" name="Потолок - 1/Пол - 2"/>
    <tableColumn id="43" xr3:uid="{ED602310-CDEA-4CA5-808F-237B655304A0}" name="Примечание"/>
    <tableColumn id="44" xr3:uid="{C93DFD91-7275-4A68-AB06-B31962CA143E}" name="DWG: гофра ПВХ по плану, м"/>
    <tableColumn id="45" xr3:uid="{E7B20D2F-5C98-482B-8411-BA4317C83011}" name="DWG: гофра ПНД по плану, м"/>
    <tableColumn id="46" xr3:uid="{76E0D16E-FAF4-4720-9E58-123F9991E377}" name="DWG: хэндлы полилиний"/>
    <tableColumn id="47" xr3:uid="{0F1ECD25-EAA1-49F0-BC15-259861503FCD}" name="DWG: примечание"/>
    <tableColumn id="48" xr3:uid="{9705E40C-FE3A-4C7B-ACFE-7EA1C9DB5FD4}" name="Доп информация из выноски"/>
    <tableColumn id="49" xr3:uid="{2ACC5651-40ED-4B58-B22F-1D9FFF6806BF}" name="_n">
      <calculatedColumnFormula array="1">ROW()-ROW(Линии[#Headers])</calculatedColumnFormula>
    </tableColumn>
    <tableColumn id="50" xr3:uid="{7DC88B35-6934-4B90-84D1-37C4E4DE6A98}" name="Код" dataDxfId="97">
      <calculatedColumnFormula>IF(B3="","",IFERROR(LEFT(B3,SEARCH(".",B3)-1),B3))</calculatedColumnFormula>
    </tableColumn>
    <tableColumn id="51" xr3:uid="{22FDED3D-6E19-4969-9171-64397AF89EF7}" name="_часть1">
      <calculatedColumnFormula>IFERROR(RIGHT(B3,LEN(B3)-SEARCH(".",B3)),"")</calculatedColumnFormula>
    </tableColumn>
    <tableColumn id="52" xr3:uid="{3327BB39-AB56-4473-96B2-6668243BE37C}" name="Этаж/Шлейф">
      <calculatedColumnFormula>IFERROR(LEFT(AY3,SEARCH(".",AY3)-1),AY3)</calculatedColumnFormula>
    </tableColumn>
    <tableColumn id="53" xr3:uid="{B93DF3AC-39FD-4908-B649-1723CFF5D854}" name="_часть2">
      <calculatedColumnFormula>IFERROR(RIGHT(AY3,LEN(AY3)-SEARCH(".",AY3)),"")</calculatedColumnFormula>
    </tableColumn>
    <tableColumn id="54" xr3:uid="{AE6765FF-A956-4C30-BA7B-88A7762B431B}" name="Помещение">
      <calculatedColumnFormula>IFERROR(LEFT(BA3,SEARCH(".",BA3)-1),BA3)</calculatedColumnFormula>
    </tableColumn>
    <tableColumn id="55" xr3:uid="{2A3FB70B-54CF-4F38-A08E-DA42D55CF97E}" name="_фидер">
      <calculatedColumnFormula>IF(U3&lt;&gt;"",U3,IF(AND(B3&lt;&gt;"",B3&lt;&gt;A3,ISNUMBER(_xlfn.XMATCH(B3,Щиты[Щит]))),B3,""))</calculatedColumnFormula>
    </tableColumn>
    <tableColumn id="56" xr3:uid="{C485C0A3-35AA-4CE3-B9D9-A81032479FD4}" name="_авто наименование">
      <calculatedColumnFormula array="1">IF(B3="","",IF(BC3&lt;&gt;"","Щит "&amp;BC3,_xlfn.LET(_xlpm.nm,IFERROR(_xlfn.XLOOKUP(AX3,Коды_код,Коды_имя)&amp;"",""),_xlpm.md,IFERROR(N(_xlfn.XLOOKUP(AX3,Коды_код,Коды_режим)),1),_xlpm.ex,IF(Имя_режим="по экспликации",IFERROR(_xlfn.XLOOKUP(AZ3&amp;"|"&amp;BB3,Экспликация[Этаж]&amp;"|"&amp;Экспликация[Помещение],Экспликация[Название])&amp;"",""),""),_xlpm.rm,IF(BB3="","",IF(_xlpm.ex&lt;&gt;"",". "&amp;_xlpm.ex&amp;IF(Имя_пом="нет"," ("&amp;BB3&amp;")"," (пом. "&amp;BB3&amp;")"),IF(Имя_пом="нет"," ",", пом. ")&amp;BB3)),IF(_xlpm.nm="","",IF(_xlpm.md=2,_xlpm.nm&amp;" шлейф "&amp;AZ3,_xlpm.nm&amp;_xlpm.rm)))))</calculatedColumnFormula>
    </tableColumn>
    <tableColumn id="57" xr3:uid="{7A4C4AAF-446B-4AE6-A300-8D9980812518}" name="Наименование (итог)">
      <calculatedColumnFormula>IF(TRIM(C3&amp;"")="",BD3,C3)</calculatedColumnFormula>
    </tableColumn>
    <tableColumn id="58" xr3:uid="{BEACA56C-E690-4133-BDBB-7324EA1F11E5}" name="_№ щита">
      <calculatedColumnFormula>IFERROR(_xlfn.XMATCH(A3,Щиты[Щит]),0)</calculatedColumnFormula>
    </tableColumn>
    <tableColumn id="59" xr3:uid="{3E8F2556-CF5C-4628-A616-2ECEC9712D8C}" name="_мест узла">
      <calculatedColumnFormula>_xlfn.LET(_xlpm.k,IFERROR(_xlfn.XLOOKUP(A3,Щиты[Щит],Щиты[Листов под вводной узел]),""),IF(_xlpm.k="",1,N(_xlpm.k))*Столбцов_на_лист)</calculatedColumnFormula>
    </tableColumn>
    <tableColumn id="60" xr3:uid="{31B475EC-C898-4F91-B3B4-2C41117F7C62}" name="_№ места (итог)">
      <calculatedColumnFormula>IF(AI3="-","",IF(ISNUMBER(AI3),AI3,_xlfn.LET(_xlpm.prev,IF(OR(AW3=1,A3&lt;&gt;A2),0,N(IF(AW3=1,"",BH2))),_xlpm.nx,_xlpm.prev+1,IF(AND(AF3&lt;&gt;"вручную",_xlpm.nx&lt;=BG3),BG3+1,_xlpm.nx))))</calculatedColumnFormula>
    </tableColumn>
    <tableColumn id="61" xr3:uid="{1A342786-B20A-4302-9F61-30DFC618B89A}" name="_зона">
      <calculatedColumnFormula>IF(BH3="","",IF(BH3&lt;=BG3,"вводной узел","линии"))</calculatedColumnFormula>
    </tableColumn>
    <tableColumn id="62" xr3:uid="{97179CF4-ABED-4825-BD82-76095FD2FD6E}" name="_кВт на шт" dataDxfId="96">
      <calculatedColumnFormula>IFERROR(N(_xlfn.XLOOKUP(AX3,Коды_код,Коды_квт)),0)</calculatedColumnFormula>
    </tableColumn>
    <tableColumn id="63" xr3:uid="{BCA6A016-6001-410A-BB56-F9DD478C8246}" name="_ввод щита">
      <calculatedColumnFormula>IF(AND(B3&lt;&gt;"",AX3="Ввод"),1,0)</calculatedColumnFormula>
    </tableColumn>
    <tableColumn id="64" xr3:uid="{939778CD-4DE8-47E8-B183-0082EBB69767}" name="_авто Р">
      <calculatedColumnFormula>IF(B3="","",IF(BC3&lt;&gt;"",IFERROR(_xlfn.XLOOKUP(BC3,Щиты[Щит],Щиты[Руст, кВт]),0),IF(BK3=1,IFERROR(_xlfn.XLOOKUP(A3,Щиты[Щит],Щиты[Руст, кВт]),0),IF(BJ3&gt;0,ROUND(BJ3*MAX(1,N(D3)),3),""))))</calculatedColumnFormula>
    </tableColumn>
    <tableColumn id="65" xr3:uid="{679102F6-3703-4713-95E6-FFEF9F337A5A}" name="_Р (ввод итог)">
      <calculatedColumnFormula>IF(TRIM(E3&amp;"")="",BL3,E3)</calculatedColumnFormula>
    </tableColumn>
    <tableColumn id="66" xr3:uid="{E5500396-9E46-4E7B-BA3E-CCE7D38BF8F9}" name="_Р линии, кВт" dataDxfId="95">
      <calculatedColumnFormula>IF(B3="","",IF(BC3&lt;&gt;"",IFERROR(_xlfn.XLOOKUP(BC3,Щиты[Щит],Щиты[Руст, кВт]),0),N(BM3)))</calculatedColumnFormula>
    </tableColumn>
    <tableColumn id="67" xr3:uid="{848DC1CA-0D94-4A9C-8CED-088AB09974AC}" name="_авто U">
      <calculatedColumnFormula>IF(B3="","",IFERROR(IF(VLOOKUP(AX3,Потребители_обозначение,8,FALSE)=0,"",VLOOKUP(AX3,Потребители_обозначение,8,FALSE)),""))</calculatedColumnFormula>
    </tableColumn>
    <tableColumn id="68" xr3:uid="{CD8C6D84-65E6-4767-B599-D982311008BE}" name="U, В">
      <calculatedColumnFormula>IF(TRIM(W3&amp;"")="",BO3,W3)</calculatedColumnFormula>
    </tableColumn>
    <tableColumn id="69" xr3:uid="{4C83D9B4-B996-4EC9-A1D5-A60BE8599453}" name="_авто фаз">
      <calculatedColumnFormula>IF(B3="","",IF(BC3&lt;&gt;"",3,IFERROR(IF(N(VLOOKUP(AX3,Потребители_обозначение,9,FALSE))=0,1,VLOOKUP(AX3,Потребители_обозначение,9,FALSE)),1)))</calculatedColumnFormula>
    </tableColumn>
    <tableColumn id="70" xr3:uid="{41245C34-72C7-4918-A37D-3780413F732D}" name="Фаз">
      <calculatedColumnFormula>IF(B3="","",IF(TRIM(V3&amp;"")="",BQ3,N(V3)))</calculatedColumnFormula>
    </tableColumn>
    <tableColumn id="71" xr3:uid="{37D442EE-BF08-482A-BE5F-6DEDA8DB6AA1}" name="_авто марка">
      <calculatedColumnFormula>IF(B3="","",_xlfn.LET(_xlpm.bc,IFERROR(IF(VLOOKUP(AX3,Потребители_обозначение,6,FALSE)=0,"",VLOOKUP(AX3,Потребители_обозначение,6,FALSE)&amp;""),""),IF(AND(FK3="да",OR(_xlpm.bc="",_xlpm.bc="мс")),Марка_пож,IF(AND(_xlpm.bc="",BC3&lt;&gt;""),"мс",_xlpm.bc))))</calculatedColumnFormula>
    </tableColumn>
    <tableColumn id="72" xr3:uid="{8516F147-7B7E-4D0A-927F-E8C7E483CC6A}" name="Марка (итог)">
      <calculatedColumnFormula>IF(TRIM(AJ3&amp;"")="",BS3,AJ3)</calculatedColumnFormula>
    </tableColumn>
    <tableColumn id="73" xr3:uid="{7198245C-ABC2-4103-B768-42B7C7BA7CDD}" name="_авто жил">
      <calculatedColumnFormula>IF(B3="","",_xlfn.LET(_xlpm.cc,IFERROR(N(VLOOKUP(AX3,Потребители_обозначение,7,FALSE)),0),IF(_xlpm.cc&gt;0,_xlpm.cc,IF(BT3="","",IF(N(BR3)=3,5,3)))))</calculatedColumnFormula>
    </tableColumn>
    <tableColumn id="74" xr3:uid="{1A01822A-A2CA-44E4-8138-B92A3DB12D9F}" name="Жил">
      <calculatedColumnFormula>IF(TRIM(AK3&amp;"")="",BU3,AK3)</calculatedColumnFormula>
    </tableColumn>
    <tableColumn id="75" xr3:uid="{17B6F730-DFC4-4CDC-87D5-E476011404AF}" name="_мин. сечение кода">
      <calculatedColumnFormula>IFERROR(N(VLOOKUP(AX3,Потребители_обозначение,10,FALSE)),0)</calculatedColumnFormula>
    </tableColumn>
    <tableColumn id="76" xr3:uid="{1FC1D633-DCBB-4905-AE4D-DAB3AD1D9374}" name="_тип пуска">
      <calculatedColumnFormula>IFERROR(VLOOKUP(AX3,Потребители_обозначение,5,FALSE),0)</calculatedColumnFormula>
    </tableColumn>
    <tableColumn id="77" xr3:uid="{80D3D200-7899-4A10-9090-69C8FCDD7714}" name="cos φ" dataDxfId="94">
      <calculatedColumnFormula array="1">IF(B3="","",IF(BC3&lt;&gt;"",IFERROR(_xlfn.XLOOKUP(BC3,Щиты[Щит],Щиты[cos φ]),0.95),IF(BK3=1,IFERROR(_xlfn.XLOOKUP(A3,Щиты[Щит],Щиты[cos φ]),0.95),IF(ISNUMBER(Z3),Z3,IFERROR(IF(BX3=2,_xlfn.IFS(BR3=3,VLOOKUP(BN3,Справочная_двигатели,8,FALSE),BR3=1,VLOOKUP(BN3,Справочная_двигатели,10,TRUE)),IF(AND(Методика="нормы 2026",EQ3="Сил"),0.8,0.95)),0.95)))))</calculatedColumnFormula>
    </tableColumn>
    <tableColumn id="78" xr3:uid="{6730E388-C508-4B95-A41B-8CB17579DDD8}" name="_гр (на автомате выше)">
      <calculatedColumnFormula>IF(OR(TRIM(F3&amp;"")="гр",TRIM(F3&amp;"")="=",TRIM(F3&amp;"")="^",TRIM(F3&amp;"")="↑"),1,0)</calculatedColumnFormula>
    </tableColumn>
    <tableColumn id="79" xr3:uid="{2B7852A7-0919-4B37-A5E9-D14531EB63CD}" name="_свой автомат">
      <calculatedColumnFormula>IF(AND(B3&lt;&gt;"",BZ3=0),1,0)</calculatedColumnFormula>
    </tableColumn>
    <tableColumn id="80" xr3:uid="{1E34C67A-BAEF-4019-AD55-7AC37BBB0EF2}" name="_ток ниже в группе">
      <calculatedColumnFormula>IF(AND(A4=A3,AF4&lt;&gt;"вручную",OR(B4="",BZ4=1)),IF(B4="",0,N(P4))+N(CB4),0)</calculatedColumnFormula>
    </tableColumn>
    <tableColumn id="81" xr3:uid="{93DCBA95-BE43-46A8-A684-46DEC74229F3}" name="_Р ниже в группе">
      <calculatedColumnFormula>IF(AND(A4=A3,AF4&lt;&gt;"вручную",OR(B4="",BZ4=1)),IF(B4="",0,N(BN4))+N(CC4),0)</calculatedColumnFormula>
    </tableColumn>
    <tableColumn id="82" xr3:uid="{2B84AEC2-8F24-4F77-85E5-97CE9790BDB9}" name="_фаз ниже в группе">
      <calculatedColumnFormula>IF(AND(A4=A3,AF4&lt;&gt;"вручную",OR(B4="",BZ4=1)),MAX(IF(B4="",0,N(BR4)),N(CD4)),0)</calculatedColumnFormula>
    </tableColumn>
    <tableColumn id="83" xr3:uid="{D8300232-CA36-41BC-8C25-A5D2D3AF3575}" name="_мин. номинал ниже">
      <calculatedColumnFormula>IF(AND(A4=A3,AF4&lt;&gt;"вручную",OR(B4="",BZ4=1)),MAX(IF(B4="",0,N(CL4)),N(CE4)),0)</calculatedColumnFormula>
    </tableColumn>
    <tableColumn id="84" xr3:uid="{8D4C95AB-2376-467E-8F75-096D1B2E0126}" name="_мА ниже в группе">
      <calculatedColumnFormula>IF(AND(A4=A3,AF4&lt;&gt;"вручную",OR(B4="",BZ4=1)),_xlfn.LET(_xlpm.a_,IF(B4="",0,N(CJ4)),_xlpm.b_,N(CF4),IF(_xlpm.a_=0,_xlpm.b_,IF(_xlpm.b_=0,_xlpm.a_,MIN(_xlpm.a_,_xlpm.b_)))),0)</calculatedColumnFormula>
    </tableColumn>
    <tableColumn id="85" xr3:uid="{FEC3B48D-B058-4E20-9410-380734A23144}" name="_дифзащита по коду, мА">
      <calculatedColumnFormula>IF(AX3="",0,_xlfn.LET(_xlpm.v,IFERROR(VLOOKUP(B3,УГО_спр,3,FALSE),IFERROR(VLOOKUP(AX3,УГО_спр,3,FALSE),IFERROR(VLOOKUP(LEFT(AX3,2),УГО_спр,3,FALSE),""))),IF(_xlpm.v="да",30,IF(ISNUMBER(_xlpm.v),_xlpm.v,0))))</calculatedColumnFormula>
    </tableColumn>
    <tableColumn id="86" xr3:uid="{22FF08EC-74BF-48C3-8F75-4405B662F83D}" name="_авто утечка">
      <calculatedColumnFormula>IF(B3="","",IF(N(CG3)&gt;0,CG3,""))</calculatedColumnFormula>
    </tableColumn>
    <tableColumn id="87" xr3:uid="{55C787F3-F539-4844-A2E7-68817E53A17F}" name="_вид аппарата утечки">
      <calculatedColumnFormula>_xlfn.LET(_xlpm.k,IFERROR(_xlfn.XLOOKUP(AX3,Коды_код,Коды_утечка)&amp;"",""),IF(_xlpm.k="","дифавтомат",_xlpm.k))</calculatedColumnFormula>
    </tableColumn>
    <tableColumn id="88" xr3:uid="{EAADC35E-00AC-4177-A7CD-88F4F9FD853A}" name="_мА линии">
      <calculatedColumnFormula>IF(B3="",0,_xlfn.LET(_xlpm.v,IF(TRIM(H3&amp;"")="",CH3,H3),_xlpm.nm,IF(_xlpm.v&amp;""="нет",0,IF(_xlpm.v&amp;""="да",30,IFERROR(--_xlpm.v,0))),IF(CI3="УЗО на группу",0,_xlpm.nm)))</calculatedColumnFormula>
    </tableColumn>
    <tableColumn id="89" xr3:uid="{B0D6EF5E-1E31-4491-8A3E-50212D80CD17}" name="_мА группы">
      <calculatedColumnFormula>IF(CA3=0,"",_xlfn.LET(_xlpm.a_,N(CJ3),_xlpm.b_,IF(AF3="вручную",0,N(CF3)),IF(_xlpm.a_=0,_xlpm.b_,IF(_xlpm.b_=0,_xlpm.a_,MIN(_xlpm.a_,_xlpm.b_)))))</calculatedColumnFormula>
    </tableColumn>
    <tableColumn id="90" xr3:uid="{32BF8DA3-3DD5-442E-9989-EFDF78107EC2}" name="_мин. по типу">
      <calculatedColumnFormula>IF(B3="",0,IFERROR(--VLOOKUP(B3,УГО_спр,4,FALSE),IFERROR(--VLOOKUP(AX3,УГО_спр,4,FALSE),IFERROR(--VLOOKUP(LEFT(AX3,2),УГО_спр,4,FALSE),0))))</calculatedColumnFormula>
    </tableColumn>
    <tableColumn id="91" xr3:uid="{4FE48416-4CE8-444F-A828-D44525CC6B14}" name="_авто аппараты">
      <calculatedColumnFormula>IF(B3="","",IFERROR(_xlfn.XLOOKUP(AX3,Коды_код,Коды_апп)&amp;"",""))</calculatedColumnFormula>
    </tableColumn>
    <tableColumn id="92" xr3:uid="{C0009F7B-40DD-421C-9891-DAE867CC44A7}" name="_аппараты (итог)">
      <calculatedColumnFormula>IF(TRIM(J3&amp;"")="",CM3,J3)</calculatedColumnFormula>
    </tableColumn>
    <tableColumn id="93" xr3:uid="{4EF24C65-2B32-4F6F-A0A4-4C1A54ACA037}" name="Аппарат 1">
      <calculatedColumnFormula array="1">IF(TRIM(CN3&amp;"")="","",IFERROR(TRIM(INDEX(_xlfn.TEXTSPLIT(CN3&amp;";;;",";"),1)),""))</calculatedColumnFormula>
    </tableColumn>
    <tableColumn id="94" xr3:uid="{ADB7047D-02EA-4521-A0C9-DA79D43B1C9F}" name="Аппарат 2">
      <calculatedColumnFormula array="1">IF(TRIM(CN3&amp;"")="","",IFERROR(TRIM(INDEX(_xlfn.TEXTSPLIT(CN3&amp;";;;",";"),2)),""))</calculatedColumnFormula>
    </tableColumn>
    <tableColumn id="95" xr3:uid="{FFB646B7-FDF9-4176-BDC3-2B4154EC88BD}" name="Аппарат 3">
      <calculatedColumnFormula array="1">IF(TRIM(CN3&amp;"")="","",IFERROR(TRIM(INDEX(_xlfn.TEXTSPLIT(CN3&amp;";;;",";"),3)),""))</calculatedColumnFormula>
    </tableColumn>
    <tableColumn id="96" xr3:uid="{5F02DE55-D7C5-47D2-B9F6-FF525ABB2C9A}" name="_БП после автомата">
      <calculatedColumnFormula>IF(CN3="",0,IF(OR(LEFT(CO3,2)="T ",LEFT(CO3,2)="Т ",ISNUMBER(SEARCH("БП",CN3)),ISNUMBER(SEARCH("; T ",CN3)),ISNUMBER(SEARCH("; Т ",CN3))),1,0))</calculatedColumnFormula>
    </tableColumn>
    <tableColumn id="97" xr3:uid="{E2E036C5-D15E-4B47-907E-49C9B04284ED}" name="_авто управление">
      <calculatedColumnFormula>IF(B3="","",_xlfn.LET(_xlpm.t,LOWER(AV3&amp;""),IF(ISNUMBER(SEARCH("dim",_xlpm.t)),"DIM",IF(ISNUMBER(SEARCH("dali",_xlpm.t)),"DALI",IF(OR(ISNUMBER(SEARCH("relay",_xlpm.t)),ISNUMBER(SEARCH("реле",_xlpm.t))),"Relay",IF(ISNUMBER(SEARCH("кнопк",_xlpm.t)),"",IFERROR(_xlfn.XLOOKUP(AX3,Коды_код,Коды_упр)&amp;"","")))))))</calculatedColumnFormula>
    </tableColumn>
    <tableColumn id="98" xr3:uid="{1A01A194-F1F2-4427-8E20-8A55B2791E1F}" name="_управление (итог)">
      <calculatedColumnFormula>IF(TRIM(I3&amp;"")="",CS3,I3)</calculatedColumnFormula>
    </tableColumn>
    <tableColumn id="99" xr3:uid="{33B0D715-5ED8-4020-A9C8-A712411AFA39}" name="_авто номинал">
      <calculatedColumnFormula>IF(B3="","",_xlfn.LET(_xlpm.ig,N(P3)+IF(AF3="вручную",0,N(CB3)),_xlpm.n0,IFERROR(VLOOKUP(_xlpm.ig,Автомат_номиналы,2,TRUE),0),_xlpm.mn,MAX(CL3,IF(AF3="вручную",0,N(CE3))),MAX(_xlpm.n0,_xlpm.mn,IF(CR3=1,Мин_автомат_БП,0))))</calculatedColumnFormula>
    </tableColumn>
    <tableColumn id="100" xr3:uid="{64D0670E-4D6C-4F2B-8544-1E34197A7C09}" name="_фаз группы">
      <calculatedColumnFormula>IF(B3="","",MAX(N(BR3),IF(AF3="вручную",0,N(CD3))))</calculatedColumnFormula>
    </tableColumn>
    <tableColumn id="101" xr3:uid="{AAAA557C-BA1F-4806-81B1-9B9865013840}" name="_полюса">
      <calculatedColumnFormula>IF(B3="","",IF(N(CV3)&gt;=3,IF(N(CK3)&gt;0,"4P","3P"),IF(N(CK3)&gt;0,"2P","1P")))</calculatedColumnFormula>
    </tableColumn>
    <tableColumn id="102" xr3:uid="{58971833-1E18-4989-9BCE-D00F347A095C}" name="_характеристика">
      <calculatedColumnFormula>_xlfn.LET(_xlpm.cc,UPPER(TRIM(IFERROR(_xlfn.XLOOKUP(AX3,Коды_код,Коды_хар)&amp;"",""))),IF(OR(_xlpm.cc="B",_xlpm.cc="В"),"B",IF(_xlpm.cc="D","D","С")))</calculatedColumnFormula>
    </tableColumn>
    <tableColumn id="103" xr3:uid="{B99527B2-E0F2-48E8-98C7-1F5E9F92F25E}" name="_авто автомат">
      <calculatedColumnFormula>IF(B3="","",IF(CA3=0,IF(AND(AND(NOT(OR(AW3=1,A3&lt;&gt;A2)),AF3&lt;&gt;"вручную",IF(AW3=1,"",DC2)="ok"),IF(AW3=1,"",DE2)&lt;&gt;""),"↑ "&amp;IF(AW3=1,"",DE2),""),IF(N(CU3)=0,"",CW3&amp;" "&amp;CX3&amp;CU3&amp;"А"&amp;IF(N(CK3)&gt;0," "&amp;CK3&amp;"мА",""))))</calculatedColumnFormula>
    </tableColumn>
    <tableColumn id="104" xr3:uid="{C54AFC58-3015-4673-9778-C9895F96A951}" name="_автомат (итог ввода)">
      <calculatedColumnFormula>IF(TRIM(G3&amp;"")="",CY3,G3)</calculatedColumnFormula>
    </tableColumn>
    <tableColumn id="105" xr3:uid="{0C8F2B80-0BE5-417E-8525-3649179A9848}" name="Автомат (схема)">
      <calculatedColumnFormula>IF(CA3=0,"",_xlfn.LET(_xlpm.v,TRIM(CZ3&amp;""),IF(_xlpm.v="","",IF(ISNUMBER(--_xlpm.v),CW3&amp;" "&amp;CX3&amp;(--_xlpm.v)&amp;"А"&amp;IF(N(CK3)&gt;0," "&amp;CK3&amp;"мА",""),IF(ISNUMBER(SEARCH("P",UPPER(_xlpm.v))),_xlpm.v,CW3&amp;" "&amp;_xlpm.v)))))</calculatedColumnFormula>
    </tableColumn>
    <tableColumn id="106" xr3:uid="{1B517303-FDBA-463F-86FB-5D6B0D28AC14}" name="_номинал итог">
      <calculatedColumnFormula array="1">IF(DA3="","",_xlfn.LET(_xlpm.t,SUBSTITUTE(SUBSTITUTE(SUBSTITUTE(UPPER(DA3),"С","C"),"А","A"),"В","B"),_xlpm.tk,_xlfn.TEXTSPLIT(_xlpm.t,"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calculatedColumnFormula>
    </tableColumn>
    <tableColumn id="107" xr3:uid="{378A0213-C14C-43BE-8DFC-151AB46F1601}" name="_группа от">
      <calculatedColumnFormula>IF(CA3=1,IF(AF3="вручную","узел","ok"),IF(OR(OR(AW3=1,A3&lt;&gt;A2),AF3="вручную"),"",IF(AW3=1,"",DC2)))</calculatedColumnFormula>
    </tableColumn>
    <tableColumn id="108" xr3:uid="{5FDAD462-E461-4187-91D9-EADEAF3EFF0E}" name="_In гр.">
      <calculatedColumnFormula>IF(CA3=1,DB3,IF(AND(NOT(OR(AW3=1,A3&lt;&gt;A2)),AF3&lt;&gt;"вручную",IF(AW3=1,"",DC2)="ok"),IF(AW3=1,"",DD2),""))</calculatedColumnFormula>
    </tableColumn>
    <tableColumn id="109" xr3:uid="{3B5A0BB1-DA13-4C0D-AF93-0E6A0A2A7298}" name="_автомат гр.">
      <calculatedColumnFormula>IF(CA3=1,DA3,IF(AND(NOT(OR(AW3=1,A3&lt;&gt;A2)),AF3&lt;&gt;"вручную",IF(AW3=1,"",DC2)="ok"),IF(AW3=1,"",DE2),""))</calculatedColumnFormula>
    </tableColumn>
    <tableColumn id="110" xr3:uid="{2F79DB6C-BDB4-4CC2-B794-FB1C81E3A252}" name="_мА гр. (строки)">
      <calculatedColumnFormula>IF(CA3=1,CK3,IF(AND(NOT(OR(AW3=1,A3&lt;&gt;A2)),AF3&lt;&gt;"вручную",IF(AW3=1,"",DC2)="ok"),IF(AW3=1,"",DF2),""))</calculatedColumnFormula>
    </tableColumn>
    <tableColumn id="111" xr3:uid="{FA465ABA-2114-406D-AAE7-4100C222AEEF}" name="_дифзащита гр. (строки)">
      <calculatedColumnFormula>IF(N(DF3)&gt;0,1,0)</calculatedColumnFormula>
    </tableColumn>
    <tableColumn id="112" xr3:uid="{EFEE519A-1FE3-47DA-9D62-E7075CE522BA}" name="_БП в группе">
      <calculatedColumnFormula>IF(CA3=1,CR3,IF(AND(NOT(OR(AW3=1,A3&lt;&gt;A2)),AF3&lt;&gt;"вручную",IF(AW3=1,"",DC2)="ok"),N(IF(AW3=1,"",DH2)),0))</calculatedColumnFormula>
    </tableColumn>
    <tableColumn id="113" xr3:uid="{565CDDEA-4A5F-458A-83B3-DEC9360C1E52}" name="_ток группы">
      <calculatedColumnFormula>IF(CA3=1,N(P3)+IF(AF3="вручную",0,N(CB3)),"")</calculatedColumnFormula>
    </tableColumn>
    <tableColumn id="114" xr3:uid="{EC6939F5-E980-421A-9159-760977460F15}" name="_k жил">
      <calculatedColumnFormula>IF(N(BV3)=1,1,IF(BR3=1,1,IF(N(BV3)&gt;=4,0.92,1)))</calculatedColumnFormula>
    </tableColumn>
    <tableColumn id="115" xr3:uid="{695CE807-5E80-4691-BE33-3E44013E6688}" name="_К прокл">
      <calculatedColumnFormula>IF(ISNUMBER(AL3),AL3,К_прокл)</calculatedColumnFormula>
    </tableColumn>
    <tableColumn id="116" xr3:uid="{34534119-6DC0-4ACF-A331-DBBFF7B7F9E1}" name="_столбец Iдоп">
      <calculatedColumnFormula>IF(N(BV3)=1,1,IF(BR3=1,2,3))</calculatedColumnFormula>
    </tableColumn>
    <tableColumn id="117" xr3:uid="{E87394F3-18E0-4543-BBAD-5684E216B930}" name="_сечение в марке">
      <calculatedColumnFormula>IFERROR(N(VLOOKUP(BT3,Кабель_обозначение,3,FALSE)),1)</calculatedColumnFormula>
    </tableColumn>
    <tableColumn id="118" xr3:uid="{925AD54C-69C6-4B4A-BDDA-662DB450A995}" name="_ΔU до шин">
      <calculatedColumnFormula>IFERROR(N(_xlfn.XLOOKUP(A3,Щиты[Щит],Щиты[ΔU до шин, %])),0)</calculatedColumnFormula>
    </tableColumn>
    <tableColumn id="119" xr3:uid="{B282FB13-8EFA-446D-A002-1D245449382F}" name="_Zпетли шин">
      <calculatedColumnFormula>IFERROR(_xlfn.XLOOKUP(A3,Щиты[Щит],Щиты[Zпетли на шинах, Ом]),"")</calculatedColumnFormula>
    </tableColumn>
    <tableColumn id="120" xr3:uid="{60067ADB-D1DE-4066-9650-6824BBDFE398}" name="_ΔU до шин (подбор)">
      <calculatedColumnFormula>IFERROR(N(_xlfn.XLOOKUP(A3,Щиты[Щит],Щиты[ΔU до шин (подбор), %])),0)</calculatedColumnFormula>
    </tableColumn>
    <tableColumn id="121" xr3:uid="{CAE37CB3-0570-487A-BCE6-9B6327594FD3}" name="_Zпетли шин (подбор)">
      <calculatedColumnFormula>IFERROR(_xlfn.XLOOKUP(A3,Щиты[Щит],Щиты[Zпетли на шинах (подбор), Ом]),"")</calculatedColumnFormula>
    </tableColumn>
    <tableColumn id="122" xr3:uid="{858FE7A1-370C-4557-A443-EE2E06657BE1}" name="_авто длина по плану">
      <calculatedColumnFormula>IF(COUNT(AR3,AS3)=0,"",ROUNDUP(SUM(AR3,AS3),0))</calculatedColumnFormula>
    </tableColumn>
    <tableColumn id="123" xr3:uid="{362B6302-C28F-490B-8EFE-B2950B23C033}" name="_Lплан">
      <calculatedColumnFormula>IF(TRIM(L3&amp;"")="",DR3,L3)</calculatedColumnFormula>
    </tableColumn>
    <tableColumn id="124" xr3:uid="{17E4E340-75EF-4C52-BB2B-A41C3C38E94B}" name="_b">
      <calculatedColumnFormula>IF(BR3=1,2,IF(BR3=3,1,""))</calculatedColumnFormula>
    </tableColumn>
    <tableColumn id="125" xr3:uid="{DE4B4F37-C11E-4EAE-B68E-8A3D9309FCDB}" name="_sin">
      <calculatedColumnFormula>IFERROR(ROUND(SIN(ACOS(BY3)),2),"")</calculatedColumnFormula>
    </tableColumn>
    <tableColumn id="126" xr3:uid="{E69EC6D2-C3BD-4ACD-BB6C-D192A93389AD}" name="Допустимо ΔU, %" dataDxfId="93">
      <calculatedColumnFormula>IF(B3="","",IF(IFERROR(VLOOKUP(AX3,УГО_спр,2,FALSE),"")="Светильник",3,4)+IF(Методика="нормы 2026",MIN(0.5,MAX(0,N(Q3)-100)*0.005),0))</calculatedColumnFormula>
    </tableColumn>
    <tableColumn id="127" xr3:uid="{A2C15092-8141-4673-8303-FF0EA57B22EF}" name="_авто сечение">
      <calculatedColumnFormula array="1">IF(OR(B3="",BT3="",DM3&lt;&gt;1),"",_xlfn.LET(_xlpm.sz,Iдоп_S,_xlpm.t_,CHOOSE(DL3,Iдоп_1ж,Iдоп_2ж,Iдоп_3ж)*DJ3*DK3,_xlpm.inn,N(DD3),_xlpm.smin,MAX(1.5,BW3),_xlpm.L_,N(Q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3)*(_xlpm.rho*_xlpm.L_/_xlpm.sz*N(BY3)+_xlpm.xx*_xlpm.L_*N(DU3)/1000)*N(P3)/((Uн_лин/SQRT(3))*1000)*100,999),_xlpm.kz,IF(OR(DG3=1,NOT(ISNUMBER(DQ3)),_xlpm.L_=0,_xlpm.inn=0),1,IFERROR(--(c_min*(Uн_лин*1000/SQRT(3))/(DQ3+2*ρкз_Cu*_xlpm.L_/_xlpm.sz)&gt;=GY3*_xlpm.inn),0)),_xlpm.ok,IFERROR((_xlpm.sz&gt;=_xlpm.smin)*(_xlpm.t_&gt;=_xlpm.inn)*IF(_xlpm.L_&gt;0,(_xlpm.du_+DP3&lt;=DV3+0.00001),1)*_xlpm.kz,0),_xlpm.r_,_xlfn._xlws.FILTER(_xlpm.sz,_xlpm.ok,"не подобрано"),INDEX(_xlpm.r_,1)))</calculatedColumnFormula>
    </tableColumn>
    <tableColumn id="128" xr3:uid="{8167122C-209D-4AEE-A633-1421C3FDFA77}" name="Сечение">
      <calculatedColumnFormula>IF(B3="","",IF(TRIM(K3&amp;"")="",DW3,K3))</calculatedColumnFormula>
    </tableColumn>
    <tableColumn id="129" xr3:uid="{60D7C24A-4638-4D94-A5A5-8499477D4CF4}" name="_сечение по току">
      <calculatedColumnFormula array="1">IF(OR(B3="",BT3="",DM3&lt;&gt;1),"",_xlfn.LET(_xlpm.sz,Iдоп_S,_xlpm.t_,CHOOSE(DL3,Iдоп_1ж,Iдоп_2ж,Iдоп_3ж)*DJ3*DK3,_xlpm.ok,IFERROR((_xlpm.sz&gt;=MAX(1.5,BW3))*(_xlpm.t_&gt;=N(DD3)),0),_xlpm.r_,_xlfn._xlws.FILTER(_xlpm.sz,_xlpm.ok,""),INDEX(_xlpm.r_,1)))</calculatedColumnFormula>
    </tableColumn>
    <tableColumn id="130" xr3:uid="{ECCC320A-7494-4D11-82FF-9F5B92F435E9}" name="_ΔU по току, %" dataDxfId="92">
      <calculatedColumnFormula array="1">IFERROR(ROUNDUP(N(DT3)*(_xlfn.XLOOKUP(DY3,INDEX(Кабель_сопротивление,0,1),INDEX(Кабель_сопротивление,0,3))*N(Q3)/DY3*N(BY3)+_xlfn.XLOOKUP(DY3,INDEX(Кабель_сопротивление,0,1),INDEX(Кабель_сопротивление,0,2))*N(Q3)*N(DU3)/1000)*N(P3)/((Uн_лин/SQRT(3))*1000)*100,2),"")</calculatedColumnFormula>
    </tableColumn>
    <tableColumn id="131" xr3:uid="{08D63260-F601-43E9-9E3F-C011BBAD9F02}" name="_Zкабеля по току">
      <calculatedColumnFormula>IFERROR(2*ρкз_Cu*N(Q3)/DY3,"")</calculatedColumnFormula>
    </tableColumn>
    <tableColumn id="132" xr3:uid="{64DF7051-65D4-493C-872D-68849048D472}" name="_ρ">
      <calculatedColumnFormula>IFERROR(VLOOKUP(DX3,Кабель_сопротивление,3,FALSE),"")</calculatedColumnFormula>
    </tableColumn>
    <tableColumn id="133" xr3:uid="{70156C41-53B6-49D5-BB32-715BF162FFC6}" name="_x">
      <calculatedColumnFormula>IFERROR(VLOOKUP(DX3,Кабель_сопротивление,2,FALSE),"")</calculatedColumnFormula>
    </tableColumn>
    <tableColumn id="134" xr3:uid="{9D3AF8C1-410F-45E2-BC80-A804FDCAA945}" name="_гофра ПВХ">
      <calculatedColumnFormula>IF(AN3&lt;&gt;"",AN3,IF(OR(DS3="",AP3=""),"",IF(AP3=1,MAX(0,Q3-ROUNDUP(N(AS3),0)-4),ROUNDUP(N(AR3),0))))</calculatedColumnFormula>
    </tableColumn>
    <tableColumn id="135" xr3:uid="{A18CBF0D-720D-405E-8F7C-DD5F464DCB69}" name="_гофра ПНД">
      <calculatedColumnFormula>IF(AO3&lt;&gt;"",AO3,IF(OR(DS3="",AP3=""),"",IF(AP3=2,MAX(0,Q3-ROUNDUP(N(AR3),0)-4),ROUNDUP(N(AS3),0))))</calculatedColumnFormula>
    </tableColumn>
    <tableColumn id="136" xr3:uid="{1D4161EF-2E55-49CF-8F39-F76BAFE991ED}" name="_ΔU, В">
      <calculatedColumnFormula>IFERROR(DT3*(EB3*Q3/DX3*BY3+EC3*Q3*DU3/1000)*P3,"")</calculatedColumnFormula>
    </tableColumn>
    <tableColumn id="137" xr3:uid="{DC3AE0B0-4770-48FB-ACBB-FC3ED38A9EB5}" name="ΔU, %" dataDxfId="91">
      <calculatedColumnFormula>IFERROR(ROUNDUP(EF3/((Uн_лин/SQRT(3))*1000)*100,2),"")</calculatedColumnFormula>
    </tableColumn>
    <tableColumn id="138" xr3:uid="{6C721927-8279-4707-8E50-4F44DA089CBA}" name="_кабель">
      <calculatedColumnFormula>IFERROR(VLOOKUP(BT3,Кабель_обозначение,2,FALSE),"")</calculatedColumnFormula>
    </tableColumn>
    <tableColumn id="139" xr3:uid="{42E8C788-5D13-49E1-BE5B-CEBF9B39A4E1}" name="_кабель с сечением">
      <calculatedColumnFormula>IFERROR(IF(DM3=1,IF(ISNUMBER(DX3),EH3&amp;" ("&amp;BV3&amp;"х"&amp;DX3&amp;")",EH3),EH3),"")</calculatedColumnFormula>
    </tableColumn>
    <tableColumn id="140" xr3:uid="{A9770651-EAD9-4D93-AB5B-FDCD00CFE0E3}" name="_кабель полный">
      <calculatedColumnFormula>IF(OR(B3="",EH3="",AND(BM3&lt;&gt;"",NOT(ISNUMBER(BM3)))),"",IF(N(DX3)=0,EH3,EI3&amp;CHAR(10)&amp;"L="&amp;Q3&amp;"-"&amp;EG3&amp;"%"))</calculatedColumnFormula>
    </tableColumn>
    <tableColumn id="141" xr3:uid="{6A83314A-ED5F-4678-AC9D-FDF27EEA1BC8}" name="_Zкабеля">
      <calculatedColumnFormula>IFERROR(2*ρкз_Cu*Q3/DX3,"")</calculatedColumnFormula>
    </tableColumn>
    <tableColumn id="142" xr3:uid="{8C7163D9-9BDD-4806-BF06-D31F8155E5BB}" name="_Zmax кабеля">
      <calculatedColumnFormula>IFERROR(0.0175*N(Q3)/DX3,"")</calculatedColumnFormula>
    </tableColumn>
    <tableColumn id="143" xr3:uid="{40FE9913-1FC6-4352-BE71-91C57B34C061}" name="Zпетли в конце, Ом" dataDxfId="90">
      <calculatedColumnFormula>IFERROR(IF(OR(B3="",NOT(ISNUMBER(DX3)),N(Q3)=0),"",_xlfn.XLOOKUP(A3,Щиты[Щит],Щиты[Zпетли на шинах, Ом])+EK3),"")</calculatedColumnFormula>
    </tableColumn>
    <tableColumn id="144" xr3:uid="{9B0D0144-6A70-46A9-9F9A-D03D215E984F}" name="Iкз min в конце линии, А" dataDxfId="89">
      <calculatedColumnFormula>IF(ISNUMBER(EM3),c_min*(Uн_лин*1000/SQRT(3))/EM3,"")</calculatedColumnFormula>
    </tableColumn>
    <tableColumn id="145" xr3:uid="{A8C93406-3A7A-413E-8DB5-DCFA6A4A0F3B}" name="Iкз max в конце, кА" dataDxfId="88">
      <calculatedColumnFormula>IFERROR(IF(OR(B3="",NOT(ISNUMBER(DX3))),"",1.05*(Uн_лин*1000/SQRT(3))/(_xlfn.XLOOKUP(A3,Щиты[Щит],Щиты[Zmax на шинах, Ом])+EL3)/1000),"")</calculatedColumnFormula>
    </tableColumn>
    <tableColumn id="146" xr3:uid="{390675A1-25E6-4C34-A6C1-A1E805174A1B}" name="_авто группа Кс" dataDxfId="87">
      <calculatedColumnFormula>IF(B3="","",IF(ISNUMBER(Y3),"Сил",IF(IFERROR(_xlfn.XLOOKUP(AX3,Коды_код,Коды_группа)&amp;"","")="","Быт",_xlfn.XLOOKUP(AX3,Коды_код,Коды_группа)&amp;"")))</calculatedColumnFormula>
    </tableColumn>
    <tableColumn id="147" xr3:uid="{29DFD8E3-A815-411C-A3FA-CF9BA749CFE2}" name="Группа Кс (итог)" dataDxfId="86">
      <calculatedColumnFormula>IF(B3="","",IF(BC3&lt;&gt;"","Щит",IF(TRIM(X3&amp;"")="",EP3,X3)))</calculatedColumnFormula>
    </tableColumn>
    <tableColumn id="148" xr3:uid="{270531F5-B9B2-454F-BCC4-685B8BC794A3}" name="Кс" dataDxfId="85">
      <calculatedColumnFormula>IF(EQ3="Щит","щит",IF(EQ3="","",IF(EQ3="Быт",IFERROR(_xlfn.XLOOKUP(A3,Щиты[Щит],Щиты[Кс быт]),1),IF(EQ3="Сил",IF(ISNUMBER(Y3),Y3,IF(Методика="нормы 2026",IFERROR(_xlfn.XLOOKUP(A3,Щиты[Щит],Щиты[Кс силовых (табл. 7.5)]),1),1)),IF(OR(EQ3="Пост",EQ3="Отоп"),1,IF(EQ3="ВНГ",0.7,0))))))</calculatedColumnFormula>
    </tableColumn>
    <tableColumn id="149" xr3:uid="{953613BC-2192-4FF1-AE72-53698637CC67}" name="Секция">
      <calculatedColumnFormula>IF(EQ3="","",IFERROR(MIN(3,MAX(1,INT(--AA3))),1))</calculatedColumnFormula>
    </tableColumn>
    <tableColumn id="150" xr3:uid="{6ACA687C-0FAD-4635-A9A9-755B4F367430}" name="_Руст (без Нет)">
      <calculatedColumnFormula>IF(OR(EQ3="",EQ3="Нет",EQ3="Щит"),0,N(BN3))</calculatedColumnFormula>
    </tableColumn>
    <tableColumn id="151" xr3:uid="{3514FA5A-9EE3-4969-8C3D-15C33C8994AE}" name="_Руст быт">
      <calculatedColumnFormula>IF(EQ3="Быт",N(BN3),0)</calculatedColumnFormula>
    </tableColumn>
    <tableColumn id="152" xr3:uid="{5CFB9889-3200-4FF2-8F90-D6D4B5282416}" name="_Рр сил">
      <calculatedColumnFormula>IF(EQ3="Сил",N(BN3)*N(ER3),0)</calculatedColumnFormula>
    </tableColumn>
    <tableColumn id="153" xr3:uid="{94A0F2A2-DC2C-42F9-ADE7-9DAE47087BFD}" name="_Руст пост">
      <calculatedColumnFormula>IF(EQ3="Пост",N(BN3),0)</calculatedColumnFormula>
    </tableColumn>
    <tableColumn id="154" xr3:uid="{B9D320AE-C0CF-49DD-AB22-70CD78991B05}" name="_Р отопления">
      <calculatedColumnFormula>IF(EQ3="Отоп",N(BN3),0)</calculatedColumnFormula>
    </tableColumn>
    <tableColumn id="155" xr3:uid="{7A4A8DEC-1487-40C2-A1BD-690E837CC91C}" name="_Рр ВНГ">
      <calculatedColumnFormula>IF(EQ3="ВНГ",N(BN3)*0.7,0)</calculatedColumnFormula>
    </tableColumn>
    <tableColumn id="156" xr3:uid="{6A4D0DB5-7D14-4AE8-86AD-768602234180}" name="_P для cos">
      <calculatedColumnFormula>IF(OR(B3="",EQ3="Щит",EQ3="Нет"),0,N(BN3))</calculatedColumnFormula>
    </tableColumn>
    <tableColumn id="157" xr3:uid="{56C7F1AE-411B-4E05-9683-A696B4213E19}" name="_P·cos">
      <calculatedColumnFormula>IF(OR(B3="",EQ3="Щит",EQ3="Нет"),0,N(BN3)*N(BY3))</calculatedColumnFormula>
    </tableColumn>
    <tableColumn id="158" xr3:uid="{D475240C-B3D0-4073-8E06-8B5BE5129DAF}" name="_Р группы">
      <calculatedColumnFormula>IF(CA3=1,N(BN3)+IF(AF3="вручную",0,N(CC3)),0)</calculatedColumnFormula>
    </tableColumn>
    <tableColumn id="159" xr3:uid="{948A1F70-8A9C-4338-8704-95B5C42E6DFE}" name="_фаза вручную">
      <calculatedColumnFormula>IF(B3="","",IF(_xlfn.ISFORMULA(M3),"",_xlfn.LET(_xlpm.v,UPPER(SUBSTITUTE(TRIM(M3&amp;"")," ","")),IF(_xlpm.v="","",IF(OR(_xlpm.v="1,2,3",_xlpm.v="L1,L2,L3",_xlpm.v="123",_xlpm.v="3Ф"),"L1,L2,L3",IF(OR(_xlpm.v="1",_xlpm.v="2",_xlpm.v="3"),"L"&amp;_xlpm.v,IF(OR(_xlpm.v="L1",_xlpm.v="L2",_xlpm.v="L3"),_xlpm.v,"")))))))</calculatedColumnFormula>
    </tableColumn>
    <tableColumn id="160" xr3:uid="{2D5D754D-1077-4F0B-89E4-A75D5D47AF56}" name="_авто фаза">
      <calculatedColumnFormula>IF(B3="","",IF(CA3=0,IF(AW3=1,"",FF2),IF(OR(N(CV3)&gt;=3,N(BR3)&gt;=3),"L1,L2,L3",IFERROR(_xlfn.TEXTBEFORE(_xlfn.TEXTAFTER(_xlfn.XLOOKUP(A3,Щиты[Щит],Щиты[_фазы авто]),";"&amp;AW3&amp;":"),";"),"L1"))))</calculatedColumnFormula>
    </tableColumn>
    <tableColumn id="161" xr3:uid="{A6C1E861-9C4D-4AEB-B60E-9AFF0FBA4E74}" name="_фаза итог">
      <calculatedColumnFormula>IF(B3="","",_xlfn.LET(_xlpm.v,UPPER(SUBSTITUTE(TRIM(M3&amp;"")," ","")),IF(_xlpm.v="",FD3,IF(OR(_xlpm.v="1,2,3",_xlpm.v="L1,L2,L3",_xlpm.v="123",_xlpm.v="3Ф"),"L1,L2,L3",IF(OR(_xlpm.v="1",_xlpm.v="2",_xlpm.v="3"),"L"&amp;_xlpm.v,IF(OR(_xlpm.v="L1",_xlpm.v="L2",_xlpm.v="L3"),_xlpm.v,IF(_xlpm.v="УПР","",_xlpm.v)))))))</calculatedColumnFormula>
    </tableColumn>
    <tableColumn id="162" xr3:uid="{EC5CB20F-2E21-475A-932C-29C8DAA7BAA2}" name="_фаза группы">
      <calculatedColumnFormula>IF(CA3=1,FE3,IF(AND(NOT(OR(AW3=1,A3&lt;&gt;A2)),AF3&lt;&gt;"вручную",IF(AW3=1,"",DC2)="ok"),IF(AW3=1,"",FF2),""))</calculatedColumnFormula>
    </tableColumn>
    <tableColumn id="163" xr3:uid="{4EE29A6E-4A37-4235-BF7A-E6714BA22EFC}" name="_Iпуск двиг.">
      <calculatedColumnFormula array="1">IFERROR(IF(BX3=2,_xlfn.IFS(BR3=3,VLOOKUP(BN3,Справочная_двигатели,3,FALSE),BR3=1,VLOOKUP(BN3,Справочная_двигатели,5,TRUE)),0),0)</calculatedColumnFormula>
    </tableColumn>
    <tableColumn id="164" xr3:uid="{CC56DC64-5E26-4FF2-A7FF-39A51C4432BC}" name="_Iпуск LED">
      <calculatedColumnFormula>IFERROR(IF(BX3=3,VLOOKUP(BN3,Справочная_ЛЭД,2,TRUE),0),0)</calculatedColumnFormula>
    </tableColumn>
    <tableColumn id="165" xr3:uid="{20E8617D-9974-430A-8C83-B7B01198864A}" name="Iпуск, А" dataDxfId="84">
      <calculatedColumnFormula>IF(B3="","",IF(FG3=0,FH3,FG3))</calculatedColumnFormula>
    </tableColumn>
    <tableColumn id="166" xr3:uid="{CA675F88-BF6C-46D2-9F7F-43E23DE2E808}" name="Категория (итог)">
      <calculatedColumnFormula array="1">IF(B3="","",IFERROR(INDEX({"I особая","I","II","III"},MATCH(TRIM(AC3&amp;""),{"I особая","I","II","III"},0)),"III"))</calculatedColumnFormula>
    </tableColumn>
    <tableColumn id="167" xr3:uid="{950E3100-8F7C-4C0E-B256-21EB88C4960A}" name="Пожарная (итог)">
      <calculatedColumnFormula>IF(B3="","",IF(TRIM(AD3&amp;"")&lt;&gt;"",IF(LOWER(TRIM(AD3&amp;""))="да","да","нет"),IF(IFERROR(_xlfn.XLOOKUP(AX3,Коды_код,Коды_пожарная),"")="да","да","нет")))</calculatedColumnFormula>
    </tableColumn>
    <tableColumn id="168" xr3:uid="{4A342288-47D4-42D7-801B-042053716802}" name="_шина группы">
      <calculatedColumnFormula>IF(AB3&lt;&gt;"",AB3,IF(CA3=1,"",IF(GH3="","",IF(AW3=1,"",FL2))))</calculatedColumnFormula>
    </tableColumn>
    <tableColumn id="169" xr3:uid="{73A1D584-8511-4D64-A498-0C99C885D756}" name="Шина (итог)">
      <calculatedColumnFormula>IF(B3="","",IF(FL3="","основная",FL3))</calculatedColumnFormula>
    </tableColumn>
    <tableColumn id="170" xr3:uid="{F60D6D55-DA0A-4E9F-AE6B-72296EF7E2AB}" name="_секция №">
      <calculatedColumnFormula>IFERROR(MIN(3,MAX(1,INT(--AA3))),1)</calculatedColumnFormula>
    </tableColumn>
    <tableColumn id="171" xr3:uid="{873C9D4B-BF92-4DF5-8EB0-F6799BA2C4C6}" name="Тип шины">
      <calculatedColumnFormula array="1">IF(B3="","",_xlfn.LET(_xlpm.t,IFERROR(_xlfn.XLOOKUP(1,(Шины[Шина]=FM3)*(((Шины[Щит]=A3)+(Шины[Щит]=""))&gt;0),Шины[Тип]),"")&amp;"",IF(_xlpm.t&lt;&gt;"",_xlpm.t,IF(ISNUMBER(SEARCH("ИБП",FM3)),"ИБП",IF(ISNUMBER(SEARCH("ДГУ",FM3)),"ДГУ","Ввод "&amp;FN3)))))</calculatedColumnFormula>
    </tableColumn>
    <tableColumn id="172" xr3:uid="{955A0768-838D-4C8E-B3C2-18CA4BB8D895}" name="Источник для режимов">
      <calculatedColumnFormula>IF(B3="","",IF(OR(FO3="ИБП",FO3="ДГУ"),FO3,IF(LEFT(FO3,5)="Ввод ",FO3,"Ввод "&amp;FN3)))</calculatedColumnFormula>
    </tableColumn>
    <tableColumn id="173" xr3:uid="{B8D401EE-EFA2-4034-9E3C-85065C169FEA}" name="Категория обеспечена">
      <calculatedColumnFormula>IF(B3="","",IF(OR(FO3="ИБП",FO3="ДГУ"),"I особая",IF(FO3="Одиночная","III",_xlfn.XLOOKUP(A3,Щиты[Щит],Щиты[Категория шины «Ввод»],"III"))))</calculatedColumnFormula>
    </tableColumn>
    <tableColumn id="174" xr3:uid="{093BFF88-EF14-4DEB-8BB7-90A73CF61C7C}" name="_ранг категории">
      <calculatedColumnFormula>IF(B3="",0,IFERROR(MATCH(FJ3,{"III","II","I","I особая"},0),1))</calculatedColumnFormula>
    </tableColumn>
    <tableColumn id="175" xr3:uid="{1B47CC15-A545-4765-AEAE-C88831A5591F}" name="_ранг для фидера">
      <calculatedColumnFormula>IF(OR(FO3="ИБП",FO3="ДГУ"),MIN(FR3,3),FR3)</calculatedColumnFormula>
    </tableColumn>
    <tableColumn id="176" xr3:uid="{EA96B42F-7D22-455E-8E20-08B96DCDF568}" name="Категория: проверка">
      <calculatedColumnFormula>IF(B3="","",IF(FR3&gt;IFERROR(MATCH(FQ3,{"III","II","I","I особая"},0),1),"НЕ ОБЕСПЕЧЕНА","ОК"))</calculatedColumnFormula>
    </tableColumn>
    <tableColumn id="177" xr3:uid="{6A869A1D-E9B6-4DD3-9FAF-0D53545BF65D}" name="_путь щита">
      <calculatedColumnFormula>IF(A3="","",_xlfn.XLOOKUP(A3,Щиты[Щит],Щиты[Путь],""))</calculatedColumnFormula>
    </tableColumn>
    <tableColumn id="178" xr3:uid="{7FB53B76-FA87-401E-99D2-28396BF26BB2}" name="Вид нагрузки (итог)">
      <calculatedColumnFormula>IF(B3="","",IF(AE3&lt;&gt;"",AE3,IF(IFERROR(_xlfn.XLOOKUP(AX3,Коды_код,Коды_вид)&amp;"","")="","Прочее",_xlfn.XLOOKUP(AX3,Коды_код,Коды_вид)&amp;"")))</calculatedColumnFormula>
    </tableColumn>
    <tableColumn id="179" xr3:uid="{057BFE60-4DC3-4A7E-9108-D5B5E5D05229}" name="Лист схемы">
      <calculatedColumnFormula>IF(BH3="","",INT((BH3-1)/Столбцов_на_лист)+1)</calculatedColumnFormula>
    </tableColumn>
    <tableColumn id="180" xr3:uid="{33E09914-8499-4B7C-9AC4-E53BD2575363}" name="Кабель (строкой)">
      <calculatedColumnFormula>IF(B3="","",SUBSTITUTE(EJ3,CHAR(10)," "))</calculatedColumnFormula>
    </tableColumn>
    <tableColumn id="181" xr3:uid="{130CD768-4D55-4F28-89AD-2185F79B3EE3}" name="_Р схемы">
      <calculatedColumnFormula>IF(B3="","",IFERROR(--BN3,""))</calculatedColumnFormula>
    </tableColumn>
    <tableColumn id="182" xr3:uid="{956E66AE-A35A-4FAA-BA85-0987580A18CE}" name="_Ток схемы">
      <calculatedColumnFormula>IF(B3="","",IFERROR(ROUNDUP(P3,2),""))</calculatedColumnFormula>
    </tableColumn>
    <tableColumn id="183" xr3:uid="{443D61FD-4E70-4C19-A91C-C87E1750CB15}" name="_фаз">
      <calculatedColumnFormula>IF(B3="","",IFERROR(--BR3,1))</calculatedColumnFormula>
    </tableColumn>
    <tableColumn id="184" xr3:uid="{735BF804-5BD3-44FB-B292-6EAC67479F4C}" name="_в кабель выше">
      <calculatedColumnFormula>IF(OR(AH3="+",AND(B3&lt;&gt;"",B3=IF(AW3=1,"",B2))),1,0)</calculatedColumnFormula>
    </tableColumn>
    <tableColumn id="185" xr3:uid="{0815E33C-7D4F-4F66-946C-AB1B6F084417}" name="_draw">
      <calculatedColumnFormula>IF(OR(BH3="",AF3="вручную",AND(BI3="вводной узел",AF3&lt;&gt;"рисовать")),0,1)</calculatedColumnFormula>
    </tableColumn>
    <tableColumn id="186" xr3:uid="{5E686A47-D2D6-410B-A4DD-5A0D68AD17E2}" name="_гр.">
      <calculatedColumnFormula>IF(BH3="","",IF(AND(CA3=1,GC3=1),COUNTIFS(A$3:A3,A3,CA$3:CA3,1,GC$3:GC3,1),IF(OR(OR(AW3=1,A3&lt;&gt;A2),AF3="вручную",GC3=0),"",IF(AW3=1,"",GE2))))</calculatedColumnFormula>
    </tableColumn>
    <tableColumn id="187" xr3:uid="{F8CC700A-537A-416B-AA39-D95270B70638}" name="_гр. (перенос)">
      <calculatedColumnFormula>IF(BH3="",IF(OR(AW3=1,A3&lt;&gt;A2),"",IF(AW3=1,"",GE2)),GD3)</calculatedColumnFormula>
    </tableColumn>
    <tableColumn id="188" xr3:uid="{AB87A49A-86B5-4796-B161-88774ECDE61F}" name="_макс. автомат по кабелю">
      <calculatedColumnFormula>IF(B3="","",IFERROR(LOOKUP(INDEX(CHOOSE(DL3,Iдоп_1ж,Iдоп_2ж,Iдоп_3ж),MATCH(DX3,Iдоп_S,0))*DJ3*DK3,{6,10,16,20,25,32,40,50,63,80,100,125,160,200,250,315,400,500,630}),""))</calculatedColumnFormula>
    </tableColumn>
    <tableColumn id="189" xr3:uid="{7D628D36-7BEB-4BF3-9937-68496713C4F6}" name="_QF нач.">
      <calculatedColumnFormula>IF(AND(CA3=1,GC3=1,GD3&lt;&gt;""),IF(N(CK3)&gt;0,"QFD","QF")&amp;GD3,"")</calculatedColumnFormula>
    </tableColumn>
    <tableColumn id="190" xr3:uid="{12212861-5E6E-451A-8495-1A457DAF1EBA}" name="_QF гр.">
      <calculatedColumnFormula>IF(GG3&lt;&gt;"",GG3,IF(OR(OR(AW3=1,A3&lt;&gt;A2),AF3="вручную"),"",IF(AW3=1,"",GH2)))</calculatedColumnFormula>
    </tableColumn>
    <tableColumn id="191" xr3:uid="{379F3CF6-5898-4FD9-8C01-388E3CB9D2E3}" name="_аппараты гр.">
      <calculatedColumnFormula>IF(GG3&lt;&gt;"",_xlfn.TEXTJOIN(" → ",TRUE,CO3,CP3,CQ3),IF(GH3="","",IF(AW3=1,"",GI2)))</calculatedColumnFormula>
    </tableColumn>
    <tableColumn id="192" xr3:uid="{1135F3E0-58EF-43FB-B099-D67E4FE09E75}" name="_БП/тр-р">
      <calculatedColumnFormula>IF(GI3="",0,IF(OR(LEFT(GI3,2)="T ",LEFT(GI3,2)="Т ",ISNUMBER(SEARCH("→ T ",GI3)),ISNUMBER(SEARCH("→ Т ",GI3)),ISNUMBER(SEARCH("БП",GI3))),1,0))</calculatedColumnFormula>
    </tableColumn>
    <tableColumn id="193" xr3:uid="{EB432E95-E550-4683-BC15-5BB8E6F97722}" name="_префикс">
      <calculatedColumnFormula>IF(OR(AG3="",AG3="-"),"",IFERROR(VLOOKUP(AG3,Модули_спр,2,FALSE),"R"))</calculatedColumnFormula>
    </tableColumn>
    <tableColumn id="194" xr3:uid="{B871B244-C768-475A-A499-FC92BAA5CC8A}" name="_модуль нач.">
      <calculatedColumnFormula>IF(GK3="","",GK3&amp;"."&amp;COUNTIFS(A$3:A3,A3,GK$3:GK3,GK3))</calculatedColumnFormula>
    </tableColumn>
    <tableColumn id="195" xr3:uid="{CC8D087F-3610-422D-BE84-EEF65DF1152A}" name="_модуль гр.">
      <calculatedColumnFormula>IF(AG3="-","",IF(GL3&lt;&gt;"",GL3,IF(OR(AW3=1,A3&lt;&gt;A2),"",IF(AW3=1,"",GM2))))</calculatedColumnFormula>
    </tableColumn>
    <tableColumn id="196" xr3:uid="{0D08A712-788F-412D-85BA-DC83E5254977}" name="_модель гр.">
      <calculatedColumnFormula>IF(GM3="","",IF(AND(AG3&lt;&gt;"",AG3&lt;&gt;"-"),AG3,IF(AW3=1,"",GN2)))</calculatedColumnFormula>
    </tableColumn>
    <tableColumn id="197" xr3:uid="{EE0642E3-ADF4-4F4A-A07B-B8A52F13C7B4}" name="Канал (итог)">
      <calculatedColumnFormula>IF(AH3="=",IF(AW3=1,"",GP2),IF(ISNUMBER(AH3),AH3,IF(GM3="","",IF(OR(B3&lt;&gt;"",AH3="+",AH3="р"),IF(OR(GL3&lt;&gt;"",IF(AW3=1,"",GP2)=""),1,IF(AW3=1,"",GP2)+1),""))))</calculatedColumnFormula>
    </tableColumn>
    <tableColumn id="198" xr3:uid="{4571DA2D-F53F-40E2-9E2F-B2A1BCFD05A7}" name="_посл. канал">
      <calculatedColumnFormula>IF(GO3&lt;&gt;"",GO3,IF(OR(OR(AW3=1,A3&lt;&gt;A2),AG3="-",GL3&lt;&gt;""),"",IF(AW3=1,"",GP2)))</calculatedColumnFormula>
    </tableColumn>
    <tableColumn id="199" xr3:uid="{E4701F22-FC36-4803-A5DD-66481FE65C18}" name="_клемма">
      <calculatedColumnFormula>IF(OR(AH3="б/к",AF3="вручную"),0,IF(OR(ISNUMBER(SEARCH("L=",EJ3)),AH3="+",AH3="="),1,0))</calculatedColumnFormula>
    </tableColumn>
    <tableColumn id="200" xr3:uid="{E98E8844-4A37-416A-86B2-247BDA740071}" name="_авто клемма">
      <calculatedColumnFormula>IF(GQ3=1,"XT"&amp;COUNTIFS(A$3:A3,A3,GQ$3:GQ3,1),"")</calculatedColumnFormula>
    </tableColumn>
    <tableColumn id="201" xr3:uid="{59292B32-1676-48EE-B833-F83BAA006EB0}" name="Клемма (итог)">
      <calculatedColumnFormula>_xlfn.LET(_xlpm.v,TRIM(N3&amp;""),IF(_xlpm.v="нет","",IF(_xlpm.v="",GR3,_xlpm.v)))</calculatedColumnFormula>
    </tableColumn>
    <tableColumn id="202" xr3:uid="{E8CF96AD-98E8-484E-A2FD-E94F62EBE915}" name="QF">
      <calculatedColumnFormula>IF(OR(B3&lt;&gt;"",GO3&lt;&gt;"",GQ3=1),GH3,"")</calculatedColumnFormula>
    </tableColumn>
    <tableColumn id="203" xr3:uid="{D2B25B85-5901-4AA0-899B-79248AA08475}" name="_Модуль (схема)">
      <calculatedColumnFormula>IF(OR(GO3&lt;&gt;"",AND(AG3&lt;&gt;"",AG3&lt;&gt;"-")),GM3,"")</calculatedColumnFormula>
    </tableColumn>
    <tableColumn id="204" xr3:uid="{4CDAA427-AFCD-41F1-9A6F-1FBE44A6CC5D}" name="Проверка автомата">
      <calculatedColumnFormula>IF(B3="","",IF(AND(CA3=1,DA3&lt;&gt;"",DB3=""),"номинал автомата не распознан",IF(DD3="",IF(BZ3=1,"«гр»: нет автомата выше",""),IF(AND(CA3=1,N(DI3)&gt;N(DD3)),"ПЕРЕГРУЗ",IF(AND(N(DH3)=0,ISNUMBER(GF3),N(GF3)&lt;N(DD3)),"КАБЕЛЬ НЕ ЗАЩИЩЁН","ok")))))</calculatedColumnFormula>
    </tableColumn>
    <tableColumn id="205" xr3:uid="{A0A76ED3-439E-4887-B67C-AE53C3DE4464}" name="Проверка канала">
      <calculatedColumnFormula>IF(OR(GO3="",GM3=""),"",IF(GO3&gt;IFERROR(VLOOKUP(GN3,Модули_спр,3,FALSE),99),"ЛИШНИЙ КАНАЛ",IF(AND(AH3&lt;&gt;"=",COUNTIFS(Линии[_модуль гр.],GM3,Линии[Канал (итог)],GO3,Линии[Канал],"&lt;&gt;=",Линии[Щит],A3)&gt;1),"ДУБЛЬ КАНАЛА","")))</calculatedColumnFormula>
    </tableColumn>
    <tableColumn id="206" xr3:uid="{17FF5126-DE99-41BC-A275-95A493074E0A}" name="Iкз / In" dataDxfId="83">
      <calculatedColumnFormula>IFERROR(IF(ISNUMBER(EN3),EN3/N(DD3),""),"")</calculatedColumnFormula>
    </tableColumn>
    <tableColumn id="207" xr3:uid="{F6107102-A8F9-4302-B8AC-7DBAEB4FD82C}" name="_кратность">
      <calculatedColumnFormula>IF(OR(ISNUMBER(SEARCH(" B"," "&amp;DE3)),ISNUMBER(SEARCH(" В"," "&amp;DE3))),5,IF(ISNUMBER(SEARCH(" D"," "&amp;DE3)),20,10))</calculatedColumnFormula>
    </tableColumn>
    <tableColumn id="208" xr3:uid="{172D94E0-DA5A-496F-BDD8-C4A0061E06DD}" name="Отключение ≤ 0,4 с">
      <calculatedColumnFormula>IF(NOT(ISNUMBER(GX3)),"",IF(GX3&gt;=GY3,"ok",IF(N(DG3)=1,"ok (дифзащита "&amp;DF3&amp;" мА)","мало: Iкз &lt; "&amp;GY3&amp;"·In")))</calculatedColumnFormula>
    </tableColumn>
    <tableColumn id="209" xr3:uid="{89AE5A3A-32A2-4362-8E30-91BBFEB95C1B}" name="_статус">
      <calculatedColumnFormula>IF(AND(B3="",GT3=""),"",_xlfn.TEXTJOIN("; ",TRUE,IF(AND(B3&lt;&gt;"",FE3=""),"нет фазы",""),IF(AND(B3&lt;&gt;"",N(FY3)=0,EQ3&lt;&gt;"Нет"),"нет мощности",""),IF(AND(GS3&lt;&gt;"",COUNTIFS(Линии[Щит],A3,Линии[Клемма (итог)],GS3)&gt;1),"дубль клеммы "&amp;GS3,""),IF(AND(GV3&lt;&gt;"",GV3&lt;&gt;"ok"),GV3,""),IF(GW3&lt;&gt;"",GW3,""),IF(AND(N(BV3)&gt;=4,N(BR3)=1),BV3&amp;" жил на 1 фазе",""),IF(AND(AX3="R",CA3=1,OR(N(CK3)=0,N(CK3)&gt;30)),"розетка без дифзащиты до 30 мА",""),IFERROR(IF(AND(ISNUMBER(R3),R3&gt;DV3),"потери "&amp;FIXED(R3,1)&amp;" % &gt; "&amp;DV3&amp;" %",""),""),IFERROR(IF(LEFT(GZ3,4)="мало","Iкз мало — отключение &gt; 0,4 с",""),""),IF(AND(B3&lt;&gt;"",BH3=""),"не на схеме",""),IF(AND(CA3=0,B3&lt;&gt;"",FE3&lt;&gt;"",IF(AW3=1,"",FF2)&lt;&gt;"",FE3&lt;&gt;IF(AW3=1,"",FF2)),"фаза не как у автомата группы ("&amp;IF(AW3=1,"",FF2)&amp;")","")))</calculatedColumnFormula>
    </tableColumn>
    <tableColumn id="210" xr3:uid="{EB2D057C-B787-469B-B2A5-461A3FA95D4F}" name="Icu автомата, кА" dataDxfId="82">
      <calculatedColumnFormula>IF(OR(CA3=0,DA3=""),"",_xlfn.LET(_xlpm.t,IFERROR(_xlfn.XLOOKUP(DA3,Каталог!$U$4:$U$500,Каталог!$G$4:$G$500),""),_xlpm.k,SEARCH("кА",_xlpm.t),IFERROR(--TRIM(RIGHT(SUBSTITUTE(MID(_xlpm.t,MAX(1,_xlpm.k-4),_xlpm.k-MAX(1,_xlpm.k-4))," ",REPT(" ",9)),5)),"")))</calculatedColumnFormula>
    </tableColumn>
    <tableColumn id="211" xr3:uid="{49A94154-40B2-42CB-B418-8D5DB244C1B2}" name="Проверка Icu">
      <calculatedColumnFormula>IF(OR(HB3="",CA3=0),"",IF(_xlfn.XLOOKUP(A3,Щиты[Щит],Щиты[Iкз max на шинах, кА],"")="","",IF(HB3&lt;_xlfn.XLOOKUP(A3,Щиты[Щит],Щиты[Iкз max на шинах, кА]),"Icu "&amp;HB3&amp;" кА &lt; Iкз max","ok")))</calculatedColumnFormula>
    </tableColumn>
    <tableColumn id="212" xr3:uid="{DDF29944-E7BC-4011-9EA1-3501C7E91E49}" name="_целость">
      <calculatedColumnFormula>IF(OR(AND(AW3&gt;1,N(AW2)&lt;&gt;AW3-1),AND(AW4&lt;&gt;"",N(AW4)&lt;&gt;AW3+1)),"строки сдвинуты (вставка или удаление) — нажмите «Починить формулы»","")</calculatedColumnFormula>
    </tableColumn>
    <tableColumn id="213" xr3:uid="{48C12044-542E-4D4B-B6A6-BDBEF3CC3D9E}" name="_цепь для бирок">
      <calculatedColumnFormula>IF(OR(AF3="вручную",BH3="",AND(B3="",GS3="")),"",_xlfn.TEXTJOIN("|",TRUE,GH3,SUBSTITUTE(GI3," → ","|"),IF(GM3&lt;&gt;"",GM3&amp;IF(GO3&lt;&gt;""," к."&amp;GO3,""),""),GS3))</calculatedColumnFormula>
    </tableColumn>
    <tableColumn id="214" xr3:uid="{6EFA31C9-B095-4940-932C-9391385A9F0A}" name="_цепь с кабелем">
      <calculatedColumnFormula>IF(HE3="","",HE3&amp;IF(B3&lt;&gt;"","|кабель "&amp;EI3&amp;" → "&amp;BE3,""))</calculatedColumnFormula>
    </tableColumn>
    <tableColumn id="215" xr3:uid="{4DC3F743-E2D7-4F82-B518-2067008B646C}" name="_бирка 1">
      <calculatedColumnFormula array="1">IF(HF3="","",_xlfn.LET(_xlpm.nd,_xlfn.TEXTSPLIT(HF3,"|"),IF(COLUMNS(_xlpm.nd)&gt;1,A3&amp;"¦"&amp;INDEX(_xlpm.nd,1)&amp;"¦"&amp;INDEX(_xlpm.nd,2),"")))</calculatedColumnFormula>
    </tableColumn>
    <tableColumn id="216" xr3:uid="{C891A9E5-7510-4930-9937-21509E1AB383}" name="_бирка 1 линия">
      <calculatedColumnFormula>IF(HG3="","",B3&amp;"¦"&amp;BE3)</calculatedColumnFormula>
    </tableColumn>
    <tableColumn id="217" xr3:uid="{6E514D97-9D9E-43A3-88A8-EBAF861F6807}" name="_бирка 2">
      <calculatedColumnFormula array="1">IF(HF3="","",_xlfn.LET(_xlpm.nd,_xlfn.TEXTSPLIT(HF3,"|"),IF(COLUMNS(_xlpm.nd)&gt;2,A3&amp;"¦"&amp;INDEX(_xlpm.nd,2)&amp;"¦"&amp;INDEX(_xlpm.nd,3),"")))</calculatedColumnFormula>
    </tableColumn>
    <tableColumn id="218" xr3:uid="{B9496091-9F5D-4E76-AC25-DCCE141CF37F}" name="_бирка 2 линия">
      <calculatedColumnFormula>IF(HI3="","",B3&amp;"¦"&amp;BE3)</calculatedColumnFormula>
    </tableColumn>
    <tableColumn id="219" xr3:uid="{024181E7-70FF-4B19-899B-BBAE9917926B}" name="_бирка 3">
      <calculatedColumnFormula array="1">IF(HF3="","",_xlfn.LET(_xlpm.nd,_xlfn.TEXTSPLIT(HF3,"|"),IF(COLUMNS(_xlpm.nd)&gt;3,A3&amp;"¦"&amp;INDEX(_xlpm.nd,3)&amp;"¦"&amp;INDEX(_xlpm.nd,4),"")))</calculatedColumnFormula>
    </tableColumn>
    <tableColumn id="220" xr3:uid="{9C06C736-E53B-453E-845C-027C367FDBA9}" name="_бирка 3 линия">
      <calculatedColumnFormula>IF(HK3="","",B3&amp;"¦"&amp;BE3)</calculatedColumnFormula>
    </tableColumn>
    <tableColumn id="221" xr3:uid="{5C3603FB-4F34-498F-A37D-810881D2299F}" name="_бирка 4">
      <calculatedColumnFormula array="1">IF(HF3="","",_xlfn.LET(_xlpm.nd,_xlfn.TEXTSPLIT(HF3,"|"),IF(COLUMNS(_xlpm.nd)&gt;4,A3&amp;"¦"&amp;INDEX(_xlpm.nd,4)&amp;"¦"&amp;INDEX(_xlpm.nd,5),"")))</calculatedColumnFormula>
    </tableColumn>
    <tableColumn id="222" xr3:uid="{B56B0A28-B369-43F8-851E-DEAAEEE2B8BA}" name="_бирка 4 линия">
      <calculatedColumnFormula>IF(HM3="","",B3&amp;"¦"&amp;BE3)</calculatedColumnFormula>
    </tableColumn>
    <tableColumn id="223" xr3:uid="{A2012045-C031-49B8-BDED-0CC39BAC70B7}" name="_бирка 5">
      <calculatedColumnFormula array="1">IF(HF3="","",_xlfn.LET(_xlpm.nd,_xlfn.TEXTSPLIT(HF3,"|"),IF(COLUMNS(_xlpm.nd)&gt;5,A3&amp;"¦"&amp;INDEX(_xlpm.nd,5)&amp;"¦"&amp;INDEX(_xlpm.nd,6),"")))</calculatedColumnFormula>
    </tableColumn>
    <tableColumn id="224" xr3:uid="{69219954-080D-4BC3-BB01-575192EA1E50}" name="_бирка 5 линия">
      <calculatedColumnFormula>IF(HO3="","",B3&amp;"¦"&amp;BE3)</calculatedColumnFormula>
    </tableColumn>
    <tableColumn id="225" xr3:uid="{A0C680B5-38A0-4507-B310-4DAF46295382}" name="_бирка 6">
      <calculatedColumnFormula array="1">IF(HF3="","",_xlfn.LET(_xlpm.nd,_xlfn.TEXTSPLIT(HF3,"|"),IF(COLUMNS(_xlpm.nd)&gt;6,A3&amp;"¦"&amp;INDEX(_xlpm.nd,6)&amp;"¦"&amp;INDEX(_xlpm.nd,7),"")))</calculatedColumnFormula>
    </tableColumn>
    <tableColumn id="226" xr3:uid="{60EFCA22-FC18-4370-AF2C-098CA1B1927B}" name="_бирка 6 линия">
      <calculatedColumnFormula>IF(HQ3="","",B3&amp;"¦"&amp;BE3)</calculatedColumnFormula>
    </tableColumn>
    <tableColumn id="227" xr3:uid="{6DE78FCC-D764-4BC6-B34A-57B7178F7AC0}" name="_модель (схема)">
      <calculatedColumnFormula>IF(GU3="","",GN3)</calculatedColumnFormula>
    </tableColumn>
    <tableColumn id="228" xr3:uid="{34326B33-EA05-46E7-8723-CB50632EA527}" name="_цепь">
      <calculatedColumnFormula>IF(AND(B3="",GO3="",GS3=""),"",_xlfn.TEXTJOIN(" → ",TRUE,GH3,GI3,IF(GM3&lt;&gt;"",GM3&amp;IF(GO3&lt;&gt;""," к."&amp;GO3,""),IF(GO3&lt;&gt;"","к."&amp;GO3,"")),GS3,IF(GB3=1,"(в кабель выше)","")))</calculatedColumnFormula>
    </tableColumn>
    <tableColumn id="229" xr3:uid="{CA5FE45D-0577-42FE-9E1B-F7B5A09D3031}" name="_bus2">
      <calculatedColumnFormula>IF(AB3="",0,1)</calculatedColumnFormula>
    </tableColumn>
    <tableColumn id="230" xr3:uid="{6E48A657-E34A-4B1B-B403-1CF97CE8BB53}" name="_rcd">
      <calculatedColumnFormula>IF(GG3="",0,IF(LEFT(GG3,3)="QFD",1,0))</calculatedColumnFormula>
    </tableColumn>
    <tableColumn id="231" xr3:uid="{64173948-858A-42C0-A2CC-2E0F669FCB0D}" name="_chtype">
      <calculatedColumnFormula>IF(AH3="=","=",IF(AH3="+","+",IF(AH3="р","R","")))</calculatedColumnFormula>
    </tableColumn>
    <tableColumn id="232" xr3:uid="{D4065CAE-4B43-47D3-ABD7-C158B5788880}" name="_dev1">
      <calculatedColumnFormula>IF(CO3="","",IF(OR(LEFT(CO3,1)="T",LEFT(CO3,1)="Т"),"T",IF(LEFT(UPPER(CO3),2)="БП","PS",IF(OR(LEFT(UPPER(CO3),2)="МК",LEFT(UPPER(CO3),2)="MK"),"MK",IF(OR(LEFT(UPPER(CO3),2)="КМ",LEFT(UPPER(CO3),2)="KM"),"KM","X")))))</calculatedColumnFormula>
    </tableColumn>
    <tableColumn id="233" xr3:uid="{7F2B89A5-3815-4039-AE44-41D69BE8DC71}" name="_dev2">
      <calculatedColumnFormula>IF(CP3="","",IF(OR(LEFT(CP3,1)="T",LEFT(CP3,1)="Т"),"T",IF(LEFT(UPPER(CP3),2)="БП","PS",IF(OR(LEFT(UPPER(CP3),2)="МК",LEFT(UPPER(CP3),2)="MK"),"MK",IF(OR(LEFT(UPPER(CP3),2)="КМ",LEFT(UPPER(CP3),2)="KM"),"KM","X")))))</calculatedColumnFormula>
    </tableColumn>
    <tableColumn id="234" xr3:uid="{16E78E01-37A8-4511-9FDE-F48A108647A3}" name="_dev3">
      <calculatedColumnFormula>IF(CQ3="","",IF(OR(LEFT(CQ3,1)="T",LEFT(CQ3,1)="Т"),"T",IF(LEFT(UPPER(CQ3),2)="БП","PS",IF(OR(LEFT(UPPER(CQ3),2)="МК",LEFT(UPPER(CQ3),2)="MK"),"MK",IF(OR(LEFT(UPPER(CQ3),2)="КМ",LEFT(UPPER(CQ3),2)="KM"),"KM","X")))))</calculatedColumnFormula>
    </tableColumn>
    <tableColumn id="235" xr3:uid="{55C0A8D7-51DA-490F-923C-D893E18B4E6E}" name="_УГО (рус)">
      <calculatedColumnFormula>IF(B3="","",IFERROR(VLOOKUP(B3,УГО_спр,2,FALSE),IFERROR(VLOOKUP(AX3,УГО_спр,2,FALSE),IFERROR(VLOOKUP(LEFT(AX3,2),УГО_спр,2,FALSE),""))))</calculatedColumnFormula>
    </tableColumn>
    <tableColumn id="236" xr3:uid="{508B8D01-B370-4C5B-9807-1105F4C1976E}" name="_sym">
      <calculatedColumnFormula>IF(B3="","",IF(OR(IA3="",IA3=0),"BOX",IFERROR(IF(VLOOKUP(IA3,УГО_блоки,3,FALSE)&amp;""&lt;&gt;"",VLOOKUP(IA3,УГО_блоки,3,FALSE),VLOOKUP(IA3,УГО_блоки,2,FALSE)),IA3)))</calculatedColumnFormula>
    </tableColumn>
    <tableColumn id="237" xr3:uid="{BBF612F0-FCBD-496B-8860-163D7798958C}" name="_hasline">
      <calculatedColumnFormula>IF(B3="",0,1)</calculatedColumnFormula>
    </tableColumn>
    <tableColumn id="238" xr3:uid="{BEDC7F83-1A9C-495C-A304-5AE9A652C5C0}" name="_тип автомата №">
      <calculatedColumnFormula>IF(DA3="","",IF(COUNTIF(DA$3:DA3,DA3)=1,MAX(ID$2:ID2)+1,""))</calculatedColumnFormula>
    </tableColumn>
    <tableColumn id="239" xr3:uid="{95B0A5E8-3B94-40FD-A682-C4D29DA99075}" name="_аппарат 1 №">
      <calculatedColumnFormula>IF(CO3="","",IF(COUNTIF(CO$3:CO3,CO3)+COUNTIF(CP$2:CP2,CO3)+COUNTIF(CQ$2:CQ2,CO3)=1,MAX(IE$2:IG2)+1,""))</calculatedColumnFormula>
    </tableColumn>
    <tableColumn id="240" xr3:uid="{E7EEC2F1-DFE1-41DF-8815-66B12233F904}" name="_аппарат 2 №">
      <calculatedColumnFormula>IF(CP3="","",IF(COUNTIF(CO$3:CO3,CP3)+COUNTIF(CP$3:CP3,CP3)+COUNTIF(CQ$2:CQ2,CP3)=1,MAX(IE$2:IG2,IE3)+1,""))</calculatedColumnFormula>
    </tableColumn>
    <tableColumn id="241" xr3:uid="{CD7A562B-F7A9-456F-920E-A585FA2B81E8}" name="_аппарат 3 №">
      <calculatedColumnFormula>IF(CQ3="","",IF(COUNTIF(CO$3:CO3,CQ3)+COUNTIF(CP$3:CP3,CQ3)+COUNTIF(CQ$3:CQ3,CQ3)=1,MAX(IE$2:IG2,IE3,IF3)+1,""))</calculatedColumnFormula>
    </tableColumn>
    <tableColumn id="242" xr3:uid="{8401972E-F150-4FED-85E9-04FA99CA5A6B}" name="_кабель клеммы">
      <calculatedColumnFormula>IF(GQ3=1,IFERROR(MID(FX3,FIND(" (",FX3)+2,FIND(")",FX3,FIND(" (",FX3))-FIND(" (",FX3)-2),"?"),"")</calculatedColumnFormula>
    </tableColumn>
    <tableColumn id="243" xr3:uid="{EB5D7CB9-64A4-4554-ADBD-7BC5E72534AB}" name="_вид клеммы №">
      <calculatedColumnFormula>IF(IH3="","",IF(COUNTIF(IH$3:IH3,IH3)=1,MAX(II$2:II2)+1,""))</calculatedColumnFormula>
    </tableColumn>
    <tableColumn id="244" xr3:uid="{78281CA9-C05C-4334-BAFA-DD5CD33C5A3E}" name="_модуль №">
      <calculatedColumnFormula>IF(GL3="","",COUNTIF(GL$3:GL3,"?*"))</calculatedColumnFormula>
    </tableColumn>
    <tableColumn id="245" xr3:uid="{5FDB72A2-865C-40E4-B9ED-441E4B305008}" name="_модель №">
      <calculatedColumnFormula>IF(OR(GL3="",GN3=""),"",IF(COUNTIFS(GL$3:GL3,"?*",GN$3:GN3,GN3)=1,MAX(IK$2:IK2)+1,""))</calculatedColumnFormula>
    </tableColumn>
    <tableColumn id="246" xr3:uid="{673BA319-97F2-4197-BD57-70B7F7C1F0DA}" name="_уровень">
      <calculatedColumnFormula>IF(HA3="",0,IF(OR(ISNUMBER(SEARCH("дубль",HA3)),ISNUMBER(SEARCH("ПЕРЕГРУЗ",HA3)),ISNUMBER(SEARCH("ЗАЩИЩ",HA3)),ISNUMBER(SEARCH("КАНАЛ",HA3)),ISNUMBER(SEARCH("без диф",HA3))),2,1))</calculatedColumnFormula>
    </tableColumn>
    <tableColumn id="247" xr3:uid="{C77E75AD-E29D-4F97-A6A3-5E5429EA8A7D}" name="_№ линии">
      <calculatedColumnFormula>IF(B3="","",COUNTIF(B$3:B3,"?*"))</calculatedColumnFormula>
    </tableColumn>
    <tableColumn id="248" xr3:uid="{0C41CFD3-CAE8-4C5C-A43D-1C0F1B099454}" name="_3L клемм">
      <calculatedColumnFormula>IF(GQ3&lt;&gt;1,0,_xlfn.LET(_xlpm.k,MAX(IFERROR(--VLOOKUP(B3,УГО_спр,5,FALSE),0),IFERROR(--VLOOKUP(AX3,УГО_спр,5,FALSE),0),IFERROR(--VLOOKUP(LEFT(AX3,2),УГО_спр,5,FALSE),0)),IF(_xlpm.k&gt;0,_xlpm.k,IF(IFERROR(--LEFT(SUBSTITUTE(IH3,"x","х"),FIND("х",SUBSTITUTE(IH3,"x","х"))-1),3)&gt;3,Каталог!$S$9,1))))</calculatedColumnFormula>
    </tableColumn>
    <tableColumn id="249" xr3:uid="{BC9762F5-C235-4DB7-B9C6-525BE9BE6317}" name="_доп. проходных">
      <calculatedColumnFormula>IF(GQ3&lt;&gt;1,0,MAX(0,IFERROR(--LEFT(SUBSTITUTE(IH3,"x","х"),FIND("х",SUBSTITUTE(IH3,"x","х"))-1),3)-3*IN3))</calculatedColumnFormula>
    </tableColumn>
    <tableColumn id="250" xr3:uid="{48331551-2535-4271-9A24-588C9FC53B1A}" name="_автомат для схемы">
      <calculatedColumnFormula>IF(CA3=1,"авто","")</calculatedColumnFormula>
    </tableColumn>
    <tableColumn id="251" xr3:uid="{EDA5FC3D-46FD-4148-BF34-75395F35201F}" name="_мА для схемы">
      <calculatedColumnFormula>IF(CA3=1,IF(N(CK3)&gt;0,CK3,""),"")</calculatedColumnFormula>
    </tableColumn>
    <tableColumn id="252" xr3:uid="{5476E5BB-5031-473C-8891-056364D886BD}" name="_дифзащита гр. (0/1)">
      <calculatedColumnFormula>IF(CA3=1,IF(N(CK3)&gt;0,1,0),"")</calculatedColumnFormula>
    </tableColumn>
    <tableColumn id="253" xr3:uid="{7DBC4FA3-45A8-49B3-B5DD-0689B1CC7E48}" name="_видна">
      <calculatedColumnFormula>SUBTOTAL(103,A3)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8E3ACB-C370-4D94-8198-312D4F87C4EC}" name="Коды" displayName="Коды" ref="A3:R92" totalsRowShown="0" headerRowDxfId="126">
  <autoFilter ref="A3:R92" xr:uid="{228E3ACB-C370-4D94-8198-312D4F87C4EC}"/>
  <tableColumns count="18">
    <tableColumn id="1" xr3:uid="{49E95E12-C459-417D-8F94-ADB64A33B61A}" name="Код"/>
    <tableColumn id="2" xr3:uid="{DB7B3115-A944-45D4-B4A2-E2175C56F4F1}" name="Наименование"/>
    <tableColumn id="3" xr3:uid="{F8F626DE-24C0-4ECD-9266-1D2819192877}" name="Опуск, м"/>
    <tableColumn id="4" xr3:uid="{2D1D195D-18D1-4784-9AB2-E4699FD51642}" name="1 - этаж/2 - шлейф"/>
    <tableColumn id="5" xr3:uid="{7F7F3754-AA7E-4389-AF92-F7D6A48F849C}" name="Пуск: 1 нет/2 двигатель/3 свет"/>
    <tableColumn id="6" xr3:uid="{1F1447DB-D95E-4532-8232-3C5CCF31CB22}" name="Марка кабеля"/>
    <tableColumn id="7" xr3:uid="{53820781-D0EB-464B-BFDC-3044933A0105}" name="Жил"/>
    <tableColumn id="8" xr3:uid="{4A6E7200-DE69-48C2-AA7C-6F900912BE0C}" name="Напряжение"/>
    <tableColumn id="9" xr3:uid="{2FE39719-8070-43A5-82CF-D2525351F41D}" name="Фаз"/>
    <tableColumn id="10" xr3:uid="{2B513A1D-CB01-43A9-AA8F-BF616A9BBC7D}" name="Сечение"/>
    <tableColumn id="11" xr3:uid="{7F024FD1-CCAC-458D-8810-89707CE370FD}" name="Вид нагрузки"/>
    <tableColumn id="12" xr3:uid="{B1B39695-4393-409D-9F9F-44741D25E4CC}" name="Группа Кс"/>
    <tableColumn id="13" xr3:uid="{78EA9367-6EAB-4CEE-991F-353C3E2745F5}" name="Пожарная"/>
    <tableColumn id="14" xr3:uid="{31E19EF3-B175-4F97-8CCE-CD9B8BBB5651}" name="кВт на шт"/>
    <tableColumn id="15" xr3:uid="{90C1CCD4-A813-4A22-8BEF-6E5069DE1C76}" name="Характеристика (B/C/D)"/>
    <tableColumn id="16" xr3:uid="{EC512765-7A65-46DF-9C91-62DB5C234E54}" name="Вид аппарата утечки"/>
    <tableColumn id="17" xr3:uid="{DEBB8BB3-85F2-461B-8253-05AA7D81B437}" name="Управление"/>
    <tableColumn id="18" xr3:uid="{D9AD7993-7474-4E9E-85FF-3A889CC5BF96}" name="Аппараты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E74C27-3CC6-4992-8492-FF190176038C}" name="УГО" displayName="УГО" ref="U3:Y95" totalsRowShown="0" headerRowDxfId="125">
  <autoFilter ref="U3:Y95" xr:uid="{A0E74C27-3CC6-4992-8492-FF190176038C}"/>
  <tableColumns count="5">
    <tableColumn id="1" xr3:uid="{041BE5B2-612D-403D-9171-0BD64EE9AB7C}" name="Код (УГО)"/>
    <tableColumn id="2" xr3:uid="{B2037C4F-43BB-47ED-8B74-DF55A46D8CD2}" name="УГО"/>
    <tableColumn id="3" xr3:uid="{A70FB413-D21D-4DBF-A8CB-DD29248F3B6E}" name="Дифзащита, мА (да = 30)"/>
    <tableColumn id="4" xr3:uid="{31A514EF-EBA1-4E31-9033-5F33DC83405F}" name="Мин. автомат, А"/>
    <tableColumn id="5" xr3:uid="{8D0DC3CF-DC6B-433A-A911-3C326319B38E}" name="3L клемм на линию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CBC2BA-83D9-4DC7-9112-A5D3E5EDD607}" name="Этажи" displayName="Этажи" ref="AA3:AD9" totalsRowShown="0" headerRowDxfId="124">
  <autoFilter ref="AA3:AD9" xr:uid="{E8CBC2BA-83D9-4DC7-9112-A5D3E5EDD607}"/>
  <tableColumns count="4">
    <tableColumn id="1" xr3:uid="{BA4F8AB3-9CFA-4175-A267-E6E6C6CC469E}" name="Этаж"/>
    <tableColumn id="2" xr3:uid="{76D188EC-AA96-4A7E-84AE-6D09074C15B3}" name="Название этажа"/>
    <tableColumn id="3" xr3:uid="{D173577B-3DA6-4720-BB36-DAAB7BE94535}" name="Подъём, м"/>
    <tableColumn id="4" xr3:uid="{BA2F6D22-0230-494B-957C-55D9D6565ED5}" name="По другим этажам, м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860477-F1D5-45B5-A552-B45AB210CDC2}" name="Кабели" displayName="Кабели" ref="AF3:AH21" totalsRowShown="0" headerRowDxfId="123">
  <autoFilter ref="AF3:AH21" xr:uid="{06860477-F1D5-45B5-A552-B45AB210CDC2}"/>
  <tableColumns count="3">
    <tableColumn id="1" xr3:uid="{4C8B5D57-D32E-42F2-BE94-2B9AB340A21F}" name="Обозначение"/>
    <tableColumn id="2" xr3:uid="{22B865C3-37DF-4DC3-A0AE-33C73BAA5513}" name="Кабель"/>
    <tableColumn id="3" xr3:uid="{ECBC4CAF-176E-46D6-A062-056578882D4D}" name="Сечение в марке (1 да / 2 нет)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24C5C5-6F33-4761-A722-5A3908AB4E84}" name="Экспликация" displayName="Экспликация" ref="A2:C3" totalsRowShown="0">
  <autoFilter ref="A2:C3" xr:uid="{EB24C5C5-6F33-4761-A722-5A3908AB4E84}"/>
  <tableColumns count="3">
    <tableColumn id="1" xr3:uid="{9AE93203-3281-4B99-8CD3-04AF71FE24FD}" name="Этаж"/>
    <tableColumn id="2" xr3:uid="{EA0045B3-4341-4A75-9A1E-2893FFE56F50}" name="Помещение"/>
    <tableColumn id="3" xr3:uid="{BCBC85F8-ABA9-4D7C-A32B-B4A10161FA2C}" name="Название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9FC9F8-27BD-47B1-A765-2B0ED03C2916}" name="Шины" displayName="Шины" ref="A8:C9" totalsRowShown="0">
  <autoFilter ref="A8:C9" xr:uid="{5B9FC9F8-27BD-47B1-A765-2B0ED03C2916}"/>
  <tableColumns count="3">
    <tableColumn id="1" xr3:uid="{9DD251F9-D4AE-447D-9761-330B23199408}" name="Шина"/>
    <tableColumn id="2" xr3:uid="{BA6BE9E3-36F9-4A4C-BAEA-8B431E4C0D2D}" name="Щит"/>
    <tableColumn id="3" xr3:uid="{8F8F3EBA-AB72-4D3F-BCD9-6A6279293E78}" name="Тип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43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C8D8BBB-A61B-4833-8A81-CF3C57B8DBE8}">
  <we:reference id="wa200010215" version="1.0.0.0" store="ru-RU" storeType="OMEX"/>
  <we:alternateReferences>
    <we:reference id="WA200010215" version="1.0.0.0" store="WA200010215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7647E81-A4C7-4E54-8491-8428F71A8707}">
  <we:reference id="wa200011214" version="1.0.0.1" store="ru-RU" storeType="OMEX"/>
  <we:alternateReferences>
    <we:reference id="wa200011214" version="1.0.0.1" store="WA200011214" storeType="OMEX"/>
  </we:alternateReferences>
  <we:properties>
    <we:property name="grokConversationBinding" value="{&quot;responseId&quot;:&quot;1ff32469-886e-495e-8399-4d0ef0c9e676&quot;,&quot;title&quot;:&quot;Relay vs Dali управление&quot;,&quot;transport&quot;:&quot;gateway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microsoft.com/office/2007/relationships/slicer" Target="../slicers/slicer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445ED-0C16-4098-AB97-BACDA14A310D}">
  <sheetPr codeName="Лист1">
    <tabColor rgb="FF00B050"/>
    <pageSetUpPr fitToPage="1"/>
  </sheetPr>
  <dimension ref="A1:D59"/>
  <sheetViews>
    <sheetView showGridLines="0" workbookViewId="0"/>
  </sheetViews>
  <sheetFormatPr defaultRowHeight="13.2" x14ac:dyDescent="0.3"/>
  <cols>
    <col min="1" max="1" width="8.77734375" style="82" customWidth="1"/>
    <col min="2" max="2" width="34.77734375" style="82" customWidth="1"/>
    <col min="3" max="3" width="80.77734375" style="82" customWidth="1"/>
    <col min="4" max="4" width="24.77734375" style="82" customWidth="1"/>
    <col min="5" max="16384" width="8.88671875" style="82"/>
  </cols>
  <sheetData>
    <row r="1" spans="1:4" ht="24" customHeight="1" x14ac:dyDescent="0.3">
      <c r="A1" s="83" t="s">
        <v>2012</v>
      </c>
    </row>
    <row r="2" spans="1:4" ht="13.5" customHeight="1" x14ac:dyDescent="0.3">
      <c r="A2" s="93" t="s">
        <v>2013</v>
      </c>
      <c r="B2" s="93"/>
      <c r="C2" s="93"/>
      <c r="D2" s="93"/>
    </row>
    <row r="3" spans="1:4" ht="13.5" customHeight="1" x14ac:dyDescent="0.3">
      <c r="A3" s="94" t="s">
        <v>2014</v>
      </c>
      <c r="B3" s="94"/>
      <c r="C3" s="94"/>
      <c r="D3" s="94"/>
    </row>
    <row r="5" spans="1:4" ht="15.6" x14ac:dyDescent="0.3">
      <c r="A5" s="86" t="s">
        <v>2015</v>
      </c>
      <c r="B5" s="85"/>
      <c r="C5" s="85"/>
      <c r="D5" s="85"/>
    </row>
    <row r="6" spans="1:4" x14ac:dyDescent="0.3">
      <c r="B6" s="87" t="s">
        <v>2016</v>
      </c>
      <c r="C6" s="87" t="s">
        <v>2017</v>
      </c>
      <c r="D6" s="88"/>
    </row>
    <row r="7" spans="1:4" ht="27" customHeight="1" x14ac:dyDescent="0.3">
      <c r="B7" s="89" t="s">
        <v>2018</v>
      </c>
      <c r="C7" s="89" t="s">
        <v>2019</v>
      </c>
      <c r="D7" s="90"/>
    </row>
    <row r="8" spans="1:4" ht="13.5" customHeight="1" x14ac:dyDescent="0.3">
      <c r="B8" s="89" t="s">
        <v>2020</v>
      </c>
      <c r="C8" s="89" t="s">
        <v>2021</v>
      </c>
      <c r="D8" s="90"/>
    </row>
    <row r="9" spans="1:4" ht="13.5" customHeight="1" x14ac:dyDescent="0.3">
      <c r="B9" s="89" t="s">
        <v>2022</v>
      </c>
      <c r="C9" s="89" t="s">
        <v>2023</v>
      </c>
      <c r="D9" s="90"/>
    </row>
    <row r="10" spans="1:4" ht="13.5" customHeight="1" x14ac:dyDescent="0.3">
      <c r="B10" s="89" t="s">
        <v>2024</v>
      </c>
      <c r="C10" s="89" t="s">
        <v>2025</v>
      </c>
      <c r="D10" s="90"/>
    </row>
    <row r="11" spans="1:4" ht="13.5" customHeight="1" x14ac:dyDescent="0.3">
      <c r="B11" s="89" t="s">
        <v>2026</v>
      </c>
      <c r="C11" s="89" t="s">
        <v>2027</v>
      </c>
      <c r="D11" s="90"/>
    </row>
    <row r="12" spans="1:4" ht="13.5" customHeight="1" x14ac:dyDescent="0.3">
      <c r="B12" s="89" t="s">
        <v>2028</v>
      </c>
      <c r="C12" s="89" t="s">
        <v>2029</v>
      </c>
      <c r="D12" s="90"/>
    </row>
    <row r="14" spans="1:4" ht="15.6" x14ac:dyDescent="0.3">
      <c r="A14" s="86" t="s">
        <v>2030</v>
      </c>
      <c r="B14" s="85"/>
      <c r="C14" s="85"/>
      <c r="D14" s="85"/>
    </row>
    <row r="15" spans="1:4" ht="13.5" customHeight="1" x14ac:dyDescent="0.3">
      <c r="A15" s="91" t="s">
        <v>37</v>
      </c>
      <c r="B15" s="93" t="s">
        <v>2031</v>
      </c>
      <c r="C15" s="93"/>
      <c r="D15" s="92" t="s">
        <v>2032</v>
      </c>
    </row>
    <row r="16" spans="1:4" ht="27" customHeight="1" x14ac:dyDescent="0.3">
      <c r="A16" s="91" t="s">
        <v>38</v>
      </c>
      <c r="B16" s="93" t="s">
        <v>2033</v>
      </c>
      <c r="C16" s="93"/>
      <c r="D16" s="92" t="s">
        <v>2034</v>
      </c>
    </row>
    <row r="17" spans="1:4" ht="27" customHeight="1" x14ac:dyDescent="0.3">
      <c r="A17" s="91" t="s">
        <v>39</v>
      </c>
      <c r="B17" s="93" t="s">
        <v>2035</v>
      </c>
      <c r="C17" s="93"/>
    </row>
    <row r="18" spans="1:4" ht="27" customHeight="1" x14ac:dyDescent="0.3">
      <c r="A18" s="91" t="s">
        <v>868</v>
      </c>
      <c r="B18" s="93" t="s">
        <v>2036</v>
      </c>
      <c r="C18" s="93"/>
      <c r="D18" s="92" t="s">
        <v>2037</v>
      </c>
    </row>
    <row r="19" spans="1:4" ht="13.5" customHeight="1" x14ac:dyDescent="0.3">
      <c r="A19" s="91" t="s">
        <v>300</v>
      </c>
      <c r="B19" s="93" t="s">
        <v>2038</v>
      </c>
      <c r="C19" s="93"/>
      <c r="D19" s="92" t="s">
        <v>2039</v>
      </c>
    </row>
    <row r="20" spans="1:4" ht="13.5" customHeight="1" x14ac:dyDescent="0.3">
      <c r="A20" s="91" t="s">
        <v>869</v>
      </c>
      <c r="B20" s="93" t="s">
        <v>2040</v>
      </c>
      <c r="C20" s="93"/>
    </row>
    <row r="21" spans="1:4" ht="13.5" customHeight="1" x14ac:dyDescent="0.3">
      <c r="A21" s="91" t="s">
        <v>870</v>
      </c>
      <c r="B21" s="93" t="s">
        <v>2041</v>
      </c>
      <c r="C21" s="93"/>
    </row>
    <row r="23" spans="1:4" ht="15.6" x14ac:dyDescent="0.3">
      <c r="A23" s="86" t="s">
        <v>2042</v>
      </c>
      <c r="B23" s="85"/>
      <c r="C23" s="85"/>
      <c r="D23" s="85"/>
    </row>
    <row r="24" spans="1:4" x14ac:dyDescent="0.3">
      <c r="B24" s="87" t="s">
        <v>1781</v>
      </c>
      <c r="C24" s="87" t="s">
        <v>2043</v>
      </c>
      <c r="D24" s="88"/>
    </row>
    <row r="25" spans="1:4" ht="13.5" customHeight="1" x14ac:dyDescent="0.3">
      <c r="B25" s="89" t="s">
        <v>4</v>
      </c>
      <c r="C25" s="89" t="s">
        <v>2044</v>
      </c>
      <c r="D25" s="90"/>
    </row>
    <row r="26" spans="1:4" ht="13.5" customHeight="1" x14ac:dyDescent="0.3">
      <c r="B26" s="89" t="s">
        <v>0</v>
      </c>
      <c r="C26" s="89" t="s">
        <v>2045</v>
      </c>
      <c r="D26" s="90"/>
    </row>
    <row r="27" spans="1:4" ht="13.5" customHeight="1" x14ac:dyDescent="0.3">
      <c r="B27" s="89" t="s">
        <v>6</v>
      </c>
      <c r="C27" s="89" t="s">
        <v>2046</v>
      </c>
      <c r="D27" s="90"/>
    </row>
    <row r="28" spans="1:4" ht="13.5" customHeight="1" x14ac:dyDescent="0.3">
      <c r="B28" s="89" t="s">
        <v>2047</v>
      </c>
      <c r="C28" s="89" t="s">
        <v>2048</v>
      </c>
      <c r="D28" s="90"/>
    </row>
    <row r="29" spans="1:4" ht="13.5" customHeight="1" x14ac:dyDescent="0.3">
      <c r="B29" s="89" t="s">
        <v>439</v>
      </c>
      <c r="C29" s="89" t="s">
        <v>2049</v>
      </c>
      <c r="D29" s="90"/>
    </row>
    <row r="30" spans="1:4" ht="13.5" customHeight="1" x14ac:dyDescent="0.3">
      <c r="B30" s="89" t="s">
        <v>867</v>
      </c>
      <c r="C30" s="89" t="s">
        <v>2050</v>
      </c>
      <c r="D30" s="90"/>
    </row>
    <row r="31" spans="1:4" ht="27" customHeight="1" x14ac:dyDescent="0.3">
      <c r="B31" s="89" t="s">
        <v>7</v>
      </c>
      <c r="C31" s="89" t="s">
        <v>2051</v>
      </c>
      <c r="D31" s="90"/>
    </row>
    <row r="32" spans="1:4" ht="13.5" customHeight="1" x14ac:dyDescent="0.3">
      <c r="B32" s="89" t="s">
        <v>1109</v>
      </c>
      <c r="C32" s="89" t="s">
        <v>2052</v>
      </c>
      <c r="D32" s="90"/>
    </row>
    <row r="33" spans="1:4" ht="13.5" customHeight="1" x14ac:dyDescent="0.3">
      <c r="B33" s="89" t="s">
        <v>908</v>
      </c>
      <c r="C33" s="89" t="s">
        <v>2053</v>
      </c>
      <c r="D33" s="90"/>
    </row>
    <row r="34" spans="1:4" ht="13.5" customHeight="1" x14ac:dyDescent="0.3">
      <c r="B34" s="89" t="s">
        <v>909</v>
      </c>
      <c r="C34" s="89" t="s">
        <v>2054</v>
      </c>
      <c r="D34" s="90"/>
    </row>
    <row r="35" spans="1:4" ht="13.5" customHeight="1" x14ac:dyDescent="0.3">
      <c r="B35" s="89" t="s">
        <v>545</v>
      </c>
      <c r="C35" s="89" t="s">
        <v>2055</v>
      </c>
      <c r="D35" s="90"/>
    </row>
    <row r="36" spans="1:4" ht="13.5" customHeight="1" x14ac:dyDescent="0.3">
      <c r="B36" s="89" t="s">
        <v>41</v>
      </c>
      <c r="C36" s="89" t="s">
        <v>2056</v>
      </c>
      <c r="D36" s="90"/>
    </row>
    <row r="37" spans="1:4" ht="13.5" customHeight="1" x14ac:dyDescent="0.3">
      <c r="B37" s="89" t="s">
        <v>441</v>
      </c>
      <c r="C37" s="89" t="s">
        <v>2057</v>
      </c>
      <c r="D37" s="90"/>
    </row>
    <row r="38" spans="1:4" ht="13.5" customHeight="1" x14ac:dyDescent="0.3">
      <c r="B38" s="89" t="s">
        <v>437</v>
      </c>
      <c r="C38" s="89" t="s">
        <v>2058</v>
      </c>
      <c r="D38" s="90"/>
    </row>
    <row r="39" spans="1:4" ht="27" customHeight="1" x14ac:dyDescent="0.3">
      <c r="B39" s="89" t="s">
        <v>2059</v>
      </c>
      <c r="C39" s="89" t="s">
        <v>2060</v>
      </c>
      <c r="D39" s="90"/>
    </row>
    <row r="41" spans="1:4" ht="15.6" x14ac:dyDescent="0.3">
      <c r="A41" s="86" t="s">
        <v>2061</v>
      </c>
      <c r="B41" s="85"/>
      <c r="C41" s="85"/>
      <c r="D41" s="85"/>
    </row>
    <row r="42" spans="1:4" ht="13.5" customHeight="1" x14ac:dyDescent="0.3">
      <c r="A42" s="93" t="s">
        <v>2062</v>
      </c>
      <c r="B42" s="93"/>
      <c r="C42" s="93"/>
      <c r="D42" s="93"/>
    </row>
    <row r="44" spans="1:4" ht="15.6" x14ac:dyDescent="0.3">
      <c r="A44" s="86" t="s">
        <v>2063</v>
      </c>
      <c r="B44" s="85"/>
      <c r="C44" s="85"/>
      <c r="D44" s="85"/>
    </row>
    <row r="45" spans="1:4" ht="13.5" customHeight="1" x14ac:dyDescent="0.3">
      <c r="A45" s="93" t="s">
        <v>2064</v>
      </c>
      <c r="B45" s="93"/>
      <c r="C45" s="93"/>
      <c r="D45" s="93"/>
    </row>
    <row r="47" spans="1:4" ht="15.6" x14ac:dyDescent="0.3">
      <c r="A47" s="86" t="s">
        <v>2065</v>
      </c>
      <c r="B47" s="85"/>
      <c r="C47" s="85"/>
      <c r="D47" s="85"/>
    </row>
    <row r="48" spans="1:4" ht="40.5" customHeight="1" x14ac:dyDescent="0.3">
      <c r="B48" s="89" t="s">
        <v>7</v>
      </c>
      <c r="C48" s="89" t="s">
        <v>2066</v>
      </c>
      <c r="D48" s="90"/>
    </row>
    <row r="49" spans="1:4" ht="40.5" customHeight="1" x14ac:dyDescent="0.3">
      <c r="B49" s="89" t="s">
        <v>3</v>
      </c>
      <c r="C49" s="89" t="s">
        <v>2067</v>
      </c>
      <c r="D49" s="90"/>
    </row>
    <row r="50" spans="1:4" ht="40.5" customHeight="1" x14ac:dyDescent="0.3">
      <c r="B50" s="89" t="s">
        <v>441</v>
      </c>
      <c r="C50" s="89" t="s">
        <v>2068</v>
      </c>
      <c r="D50" s="90"/>
    </row>
    <row r="51" spans="1:4" ht="13.5" customHeight="1" x14ac:dyDescent="0.3">
      <c r="B51" s="89" t="s">
        <v>6</v>
      </c>
      <c r="C51" s="89" t="s">
        <v>2069</v>
      </c>
      <c r="D51" s="90"/>
    </row>
    <row r="52" spans="1:4" ht="13.5" customHeight="1" x14ac:dyDescent="0.3">
      <c r="A52" s="96" t="s">
        <v>2070</v>
      </c>
      <c r="B52" s="96"/>
      <c r="C52" s="96"/>
      <c r="D52" s="96"/>
    </row>
    <row r="54" spans="1:4" ht="15.6" x14ac:dyDescent="0.3">
      <c r="A54" s="86" t="s">
        <v>2071</v>
      </c>
      <c r="B54" s="85"/>
      <c r="C54" s="85"/>
      <c r="D54" s="85"/>
    </row>
    <row r="55" spans="1:4" ht="13.5" customHeight="1" x14ac:dyDescent="0.3">
      <c r="A55" s="93" t="s">
        <v>2072</v>
      </c>
      <c r="B55" s="93"/>
      <c r="C55" s="93"/>
      <c r="D55" s="93"/>
    </row>
    <row r="56" spans="1:4" ht="13.5" customHeight="1" x14ac:dyDescent="0.3">
      <c r="A56" s="95" t="s">
        <v>2073</v>
      </c>
      <c r="B56" s="95"/>
      <c r="C56" s="95"/>
      <c r="D56" s="95"/>
    </row>
    <row r="58" spans="1:4" ht="15.6" x14ac:dyDescent="0.3">
      <c r="A58" s="86" t="s">
        <v>2074</v>
      </c>
      <c r="B58" s="85"/>
      <c r="C58" s="85"/>
      <c r="D58" s="85"/>
    </row>
    <row r="59" spans="1:4" ht="13.5" customHeight="1" x14ac:dyDescent="0.3">
      <c r="A59" s="93" t="s">
        <v>2075</v>
      </c>
      <c r="B59" s="93"/>
      <c r="C59" s="93"/>
      <c r="D59" s="93"/>
    </row>
  </sheetData>
  <mergeCells count="15">
    <mergeCell ref="A55:D55"/>
    <mergeCell ref="A56:D56"/>
    <mergeCell ref="A59:D59"/>
    <mergeCell ref="B19:C19"/>
    <mergeCell ref="B20:C20"/>
    <mergeCell ref="B21:C21"/>
    <mergeCell ref="A42:D42"/>
    <mergeCell ref="A45:D45"/>
    <mergeCell ref="A52:D52"/>
    <mergeCell ref="A2:D2"/>
    <mergeCell ref="A3:D3"/>
    <mergeCell ref="B15:C15"/>
    <mergeCell ref="B16:C16"/>
    <mergeCell ref="B17:C17"/>
    <mergeCell ref="B18:C18"/>
  </mergeCells>
  <hyperlinks>
    <hyperlink ref="D15" location="Объект!C3" display="Объект!C3" xr:uid="{E1ED86F9-F86F-4F70-8A03-F76D5DF4E171}"/>
    <hyperlink ref="D16" location="Щиты!A10" display="Щиты!A10" xr:uid="{FE98EE59-CF75-4EA6-B217-3C02F8ABA4C2}"/>
    <hyperlink ref="D18" location="Линии!B3" display="Линии!B3" xr:uid="{58AFA2AF-D268-4572-B6FE-F2F4D8C2ECA0}"/>
    <hyperlink ref="D19" location="Проверка!A1" display="Проверка!A1" xr:uid="{5EC96DEB-C00E-4DEE-8C41-2380026D6B58}"/>
  </hyperlinks>
  <pageMargins left="0.7" right="0.7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A49-3D31-4C2E-A166-8940A53687C4}">
  <sheetPr codeName="Лист2">
    <tabColor rgb="FFFF0000"/>
  </sheetPr>
  <dimension ref="A1:H65"/>
  <sheetViews>
    <sheetView workbookViewId="0"/>
  </sheetViews>
  <sheetFormatPr defaultRowHeight="14.4" x14ac:dyDescent="0.3"/>
  <cols>
    <col min="1" max="1" width="12.77734375" customWidth="1"/>
    <col min="2" max="2" width="70.77734375" style="4" customWidth="1"/>
    <col min="4" max="4" width="12.77734375" customWidth="1"/>
    <col min="5" max="5" width="16.77734375" customWidth="1"/>
    <col min="6" max="6" width="40.77734375" customWidth="1"/>
    <col min="7" max="7" width="70.77734375" style="4" customWidth="1"/>
    <col min="8" max="8" width="8.77734375" customWidth="1"/>
  </cols>
  <sheetData>
    <row r="1" spans="1:8" ht="18" x14ac:dyDescent="0.35">
      <c r="A1" s="112" t="s">
        <v>1779</v>
      </c>
    </row>
    <row r="2" spans="1:8" x14ac:dyDescent="0.3">
      <c r="A2" t="str">
        <f>"Замечаний: щиты — "&amp;COUNTIF(Щиты[Замечания щита],"?*")&amp;", линии — "&amp;COUNTIF(Линии[Замечания],"?*")&amp;". Методика: "&amp;Методика</f>
        <v>Замечаний: щиты — 3, линии — 61. Методика: нормы 2026</v>
      </c>
    </row>
    <row r="4" spans="1:8" x14ac:dyDescent="0.3">
      <c r="A4" s="120" t="s">
        <v>4</v>
      </c>
      <c r="B4" s="122" t="s">
        <v>1054</v>
      </c>
      <c r="D4" s="120" t="s">
        <v>4</v>
      </c>
      <c r="E4" s="120" t="s">
        <v>0</v>
      </c>
      <c r="F4" s="120" t="s">
        <v>6</v>
      </c>
      <c r="G4" s="122" t="s">
        <v>1111</v>
      </c>
      <c r="H4" s="120" t="s">
        <v>1780</v>
      </c>
    </row>
    <row r="5" spans="1:8" x14ac:dyDescent="0.3">
      <c r="A5" t="str" cm="1">
        <f t="array" ref="A5:B7">_xlfn._xlws.FILTER(_xlfn.HSTACK(Щиты[Щит],Щиты[Замечания щита]),Щиты[Замечания щита]&lt;&gt;"","замечаний нет")</f>
        <v>ГРЩ-ЖД</v>
      </c>
      <c r="B5" s="4" t="str">
        <v>нет данных сети для ТКЗ: введите Iкз от сетевой организации или трансформатор</v>
      </c>
      <c r="D5" t="str" cm="1">
        <f t="array" ref="D5:H65">_xlfn._xlws.FILTER(_xlfn.HSTACK(Линии[Щит],Линии[Номер линии],Линии[Наименование (итог)],Линии[Замечания],HYPERLINK("#'Линии'!B"&amp;(Линии[_n]+2),"→")),Линии[Замечания]&lt;&gt;"","замечаний нет")</f>
        <v>ГРЩ-ЖД</v>
      </c>
      <c r="E5" t="str">
        <v>ЩСПЗ-ЖД.2</v>
      </c>
      <c r="F5" t="str">
        <v>Щит системы противопожарной защиты Цокольный этаж этаж Пом. №001Т Ввод.2</v>
      </c>
      <c r="G5" s="4" t="str">
        <v>нет мощности</v>
      </c>
      <c r="H5" t="str">
        <v>→</v>
      </c>
    </row>
    <row r="6" spans="1:8" x14ac:dyDescent="0.3">
      <c r="A6" t="str">
        <v>ЩГП</v>
      </c>
      <c r="B6" s="4" t="str">
        <v>фидер III ниже нагрузки I</v>
      </c>
      <c r="D6" t="str">
        <v>ГРЩ-ЖД</v>
      </c>
      <c r="E6" t="str">
        <v>ЩО-2</v>
      </c>
      <c r="F6" t="str">
        <v>Щит освещения ЩО-2 Тех. этаж этаж Пом. №3.001</v>
      </c>
      <c r="G6" s="4" t="str">
        <v>нет мощности</v>
      </c>
      <c r="H6" t="str">
        <v>→</v>
      </c>
    </row>
    <row r="7" spans="1:8" x14ac:dyDescent="0.3">
      <c r="A7" t="str">
        <v>ЩС-ВК.001</v>
      </c>
      <c r="B7" s="4" t="str">
        <v>не обеспечена категория у 7 линий</v>
      </c>
      <c r="D7" t="str">
        <v>ГРЩ-ЖД</v>
      </c>
      <c r="E7" t="str">
        <v>РЩ-1</v>
      </c>
      <c r="F7" t="str">
        <v>Щит Хаммам РЩ-1  Подвальный этаж этаж Пом. №00.001Тб</v>
      </c>
      <c r="G7" s="4" t="str">
        <v>ПЕРЕГРУЗ</v>
      </c>
      <c r="H7" t="str">
        <v>→</v>
      </c>
    </row>
    <row r="8" spans="1:8" x14ac:dyDescent="0.3">
      <c r="D8" t="str">
        <v>ГРЩ-ЖД</v>
      </c>
      <c r="E8" t="str">
        <v>Э.4</v>
      </c>
      <c r="F8" t="str">
        <v>Флоатинг. Цокольный этаж этаж Пом. №023A</v>
      </c>
      <c r="G8" s="4" t="str">
        <v>ПЕРЕГРУЗ; потери 4,5 % &gt; 4 %</v>
      </c>
      <c r="H8" t="str">
        <v>→</v>
      </c>
    </row>
    <row r="9" spans="1:8" x14ac:dyDescent="0.3">
      <c r="D9" t="str">
        <v>ГРЩ-ЖД</v>
      </c>
      <c r="E9" t="str">
        <v>ЩГП</v>
      </c>
      <c r="F9" t="str">
        <v>Щит ЩГП</v>
      </c>
      <c r="G9" s="4" t="str">
        <v>не на схеме</v>
      </c>
      <c r="H9" t="str">
        <v>→</v>
      </c>
    </row>
    <row r="10" spans="1:8" x14ac:dyDescent="0.3">
      <c r="D10" t="str">
        <v>ЩГП</v>
      </c>
      <c r="E10" t="str">
        <v>ЩО-01</v>
      </c>
      <c r="F10" t="str">
        <v>Щит освещения ЩО-2 Цокольный этаж этаж Пом. №001Т</v>
      </c>
      <c r="G10" s="4" t="str">
        <v>нет мощности</v>
      </c>
      <c r="H10" t="str">
        <v>→</v>
      </c>
    </row>
    <row r="11" spans="1:8" x14ac:dyDescent="0.3">
      <c r="D11" t="str">
        <v>ЩО-001</v>
      </c>
      <c r="E11" t="str">
        <v>L.00.001T.1</v>
      </c>
      <c r="F11" t="str">
        <v>Осветительная группа, пом. 001T</v>
      </c>
      <c r="G11" s="4" t="str">
        <v>не на схеме</v>
      </c>
      <c r="H11" t="str">
        <v>→</v>
      </c>
    </row>
    <row r="12" spans="1:8" x14ac:dyDescent="0.3">
      <c r="D12" t="str">
        <v>ЩО-001</v>
      </c>
      <c r="E12" t="str">
        <v>L.00.001Б.2</v>
      </c>
      <c r="F12" t="str">
        <v>Осветительная группа, пом. 001Б</v>
      </c>
      <c r="G12" s="4" t="str">
        <v>не на схеме</v>
      </c>
      <c r="H12" t="str">
        <v>→</v>
      </c>
    </row>
    <row r="13" spans="1:8" x14ac:dyDescent="0.3">
      <c r="D13" t="str">
        <v>ЩО-001</v>
      </c>
      <c r="E13" t="str">
        <v>L.00.001Б.3</v>
      </c>
      <c r="F13" t="str">
        <v>Осветительная группа, пом. 001Б</v>
      </c>
      <c r="G13" s="4" t="str">
        <v>не на схеме</v>
      </c>
      <c r="H13" t="str">
        <v>→</v>
      </c>
    </row>
    <row r="14" spans="1:8" x14ac:dyDescent="0.3">
      <c r="D14" t="str">
        <v>ЩО-001</v>
      </c>
      <c r="E14" t="str">
        <v>L.00.001Т.1</v>
      </c>
      <c r="F14" t="str">
        <v>Осветительная группа, пом. 001Т</v>
      </c>
      <c r="G14" s="4" t="str">
        <v>не на схеме</v>
      </c>
      <c r="H14" t="str">
        <v>→</v>
      </c>
    </row>
    <row r="15" spans="1:8" x14ac:dyDescent="0.3">
      <c r="D15" t="str">
        <v>ЩО-001</v>
      </c>
      <c r="E15" t="str">
        <v>L.00.002Б.1</v>
      </c>
      <c r="F15" t="str">
        <v>Осветительная группа, пом. 002Б</v>
      </c>
      <c r="G15" s="4" t="str">
        <v>не на схеме</v>
      </c>
      <c r="H15" t="str">
        <v>→</v>
      </c>
    </row>
    <row r="16" spans="1:8" x14ac:dyDescent="0.3">
      <c r="D16" t="str">
        <v>ЩО-001</v>
      </c>
      <c r="E16" t="str">
        <v>L.00.002Т.1</v>
      </c>
      <c r="F16" t="str">
        <v>Осветительная группа, пом. 002Т</v>
      </c>
      <c r="G16" s="4" t="str">
        <v>не на схеме</v>
      </c>
      <c r="H16" t="str">
        <v>→</v>
      </c>
    </row>
    <row r="17" spans="4:8" x14ac:dyDescent="0.3">
      <c r="D17" t="str">
        <v>ЩО-001</v>
      </c>
      <c r="E17" t="str">
        <v>L.00.003Б.1</v>
      </c>
      <c r="F17" t="str">
        <v>Осветительная группа, пом. 003Б</v>
      </c>
      <c r="G17" s="4" t="str">
        <v>не на схеме</v>
      </c>
      <c r="H17" t="str">
        <v>→</v>
      </c>
    </row>
    <row r="18" spans="4:8" x14ac:dyDescent="0.3">
      <c r="D18" t="str">
        <v>ЩО-001</v>
      </c>
      <c r="E18" t="str">
        <v>L.00.003Tб.1</v>
      </c>
      <c r="F18" t="str">
        <v>Осветительная группа, пом. 003Tб</v>
      </c>
      <c r="G18" s="4" t="str">
        <v>не на схеме</v>
      </c>
      <c r="H18" t="str">
        <v>→</v>
      </c>
    </row>
    <row r="19" spans="4:8" x14ac:dyDescent="0.3">
      <c r="D19" t="str">
        <v>ЩО-001</v>
      </c>
      <c r="E19" t="str">
        <v>L.00.004Б.1</v>
      </c>
      <c r="F19" t="str">
        <v>Осветительная группа, пом. 004Б</v>
      </c>
      <c r="G19" s="4" t="str">
        <v>не на схеме</v>
      </c>
      <c r="H19" t="str">
        <v>→</v>
      </c>
    </row>
    <row r="20" spans="4:8" x14ac:dyDescent="0.3">
      <c r="D20" t="str">
        <v>ЩО-001</v>
      </c>
      <c r="E20" t="str">
        <v>L.00.004Т.1</v>
      </c>
      <c r="F20" t="str">
        <v>Осветительная группа, пом. 004Т</v>
      </c>
      <c r="G20" s="4" t="str">
        <v>не на схеме</v>
      </c>
      <c r="H20" t="str">
        <v>→</v>
      </c>
    </row>
    <row r="21" spans="4:8" x14ac:dyDescent="0.3">
      <c r="D21" t="str">
        <v>ЩО-001</v>
      </c>
      <c r="E21" t="str">
        <v>L.00.005Б.1</v>
      </c>
      <c r="F21" t="str">
        <v>Осветительная группа, пом. 005Б</v>
      </c>
      <c r="G21" s="4" t="str">
        <v>не на схеме</v>
      </c>
      <c r="H21" t="str">
        <v>→</v>
      </c>
    </row>
    <row r="22" spans="4:8" x14ac:dyDescent="0.3">
      <c r="D22" t="str">
        <v>ЩО-001</v>
      </c>
      <c r="E22" t="str">
        <v>L.00.005Т.1</v>
      </c>
      <c r="F22" t="str">
        <v>Осветительная группа, пом. 005Т</v>
      </c>
      <c r="G22" s="4" t="str">
        <v>не на схеме</v>
      </c>
      <c r="H22" t="str">
        <v>→</v>
      </c>
    </row>
    <row r="23" spans="4:8" x14ac:dyDescent="0.3">
      <c r="D23" t="str">
        <v>ЩО-001</v>
      </c>
      <c r="E23" t="str">
        <v>L.00.006Б.1</v>
      </c>
      <c r="F23" t="str">
        <v>Осветительная группа, пом. 006Б</v>
      </c>
      <c r="G23" s="4" t="str">
        <v>не на схеме</v>
      </c>
      <c r="H23" t="str">
        <v>→</v>
      </c>
    </row>
    <row r="24" spans="4:8" x14ac:dyDescent="0.3">
      <c r="D24" t="str">
        <v>ЩО-001</v>
      </c>
      <c r="E24" t="str">
        <v>L.00.006Т.1</v>
      </c>
      <c r="F24" t="str">
        <v>Осветительная группа, пом. 006Т</v>
      </c>
      <c r="G24" s="4" t="str">
        <v>не на схеме</v>
      </c>
      <c r="H24" t="str">
        <v>→</v>
      </c>
    </row>
    <row r="25" spans="4:8" x14ac:dyDescent="0.3">
      <c r="D25" t="str">
        <v>ЩО-001</v>
      </c>
      <c r="E25" t="str">
        <v>L.00.007Б.1</v>
      </c>
      <c r="F25" t="str">
        <v>Осветительная группа, пом. 007Б</v>
      </c>
      <c r="G25" s="4" t="str">
        <v>не на схеме</v>
      </c>
      <c r="H25" t="str">
        <v>→</v>
      </c>
    </row>
    <row r="26" spans="4:8" x14ac:dyDescent="0.3">
      <c r="D26" t="str">
        <v>ЩО-001</v>
      </c>
      <c r="E26" t="str">
        <v>L.00.007Т.1</v>
      </c>
      <c r="F26" t="str">
        <v>Осветительная группа, пом. 007Т</v>
      </c>
      <c r="G26" s="4" t="str">
        <v>не на схеме</v>
      </c>
      <c r="H26" t="str">
        <v>→</v>
      </c>
    </row>
    <row r="27" spans="4:8" x14ac:dyDescent="0.3">
      <c r="D27" t="str">
        <v>ЩО-001</v>
      </c>
      <c r="E27" t="str">
        <v>L.00.008T.1</v>
      </c>
      <c r="F27" t="str">
        <v>Осветительная группа, пом. 008T</v>
      </c>
      <c r="G27" s="4" t="str">
        <v>не на схеме</v>
      </c>
      <c r="H27" t="str">
        <v>→</v>
      </c>
    </row>
    <row r="28" spans="4:8" x14ac:dyDescent="0.3">
      <c r="D28" t="str">
        <v>ЩО-001</v>
      </c>
      <c r="E28" t="str">
        <v>L.00.009Б.1</v>
      </c>
      <c r="F28" t="str">
        <v>Осветительная группа, пом. 009Б</v>
      </c>
      <c r="G28" s="4" t="str">
        <v>не на схеме</v>
      </c>
      <c r="H28" t="str">
        <v>→</v>
      </c>
    </row>
    <row r="29" spans="4:8" x14ac:dyDescent="0.3">
      <c r="D29" t="str">
        <v>ЩО-001</v>
      </c>
      <c r="E29" t="str">
        <v>L.00.008Б.1</v>
      </c>
      <c r="F29" t="str">
        <v>Осветительная группа, пом. 008Б</v>
      </c>
      <c r="G29" s="4" t="str">
        <v>нет мощности; не на схеме</v>
      </c>
      <c r="H29" t="str">
        <v>→</v>
      </c>
    </row>
    <row r="30" spans="4:8" x14ac:dyDescent="0.3">
      <c r="D30" t="str">
        <v>ЩО-001</v>
      </c>
      <c r="E30" t="str">
        <v>L.00.010Б.1</v>
      </c>
      <c r="F30" t="str">
        <v>Осветительная группа, пом. 010Б</v>
      </c>
      <c r="G30" s="4" t="str">
        <v>нет мощности; не на схеме</v>
      </c>
      <c r="H30" t="str">
        <v>→</v>
      </c>
    </row>
    <row r="31" spans="4:8" x14ac:dyDescent="0.3">
      <c r="D31" t="str">
        <v>ЩО-001</v>
      </c>
      <c r="E31" t="str">
        <v>L.00.003T.1</v>
      </c>
      <c r="F31" t="str">
        <v>Осветительная группа, пом. 003T</v>
      </c>
      <c r="G31" s="4" t="str">
        <v>не на схеме</v>
      </c>
      <c r="H31" t="str">
        <v>→</v>
      </c>
    </row>
    <row r="32" spans="4:8" x14ac:dyDescent="0.3">
      <c r="D32" t="str">
        <v>ЩОВ-001</v>
      </c>
      <c r="E32" t="str">
        <v>Ввод.1</v>
      </c>
      <c r="F32" t="str">
        <v>Ввод</v>
      </c>
      <c r="G32" s="4" t="str">
        <v>КАБЕЛЬ НЕ ЗАЩИЩЁН</v>
      </c>
      <c r="H32" t="str">
        <v>→</v>
      </c>
    </row>
    <row r="33" spans="4:8" x14ac:dyDescent="0.3">
      <c r="D33" t="str">
        <v>ЩОВ-002</v>
      </c>
      <c r="E33" t="str">
        <v>ПВ.10</v>
      </c>
      <c r="F33" t="str">
        <v>Приточно-вытяжная установка Подвальный этаж Пом. №005Т</v>
      </c>
      <c r="G33" s="4" t="str">
        <v>ПЕРЕГРУЗ</v>
      </c>
      <c r="H33" t="str">
        <v>→</v>
      </c>
    </row>
    <row r="34" spans="4:8" x14ac:dyDescent="0.3">
      <c r="D34" t="str">
        <v>ЩОВ-01</v>
      </c>
      <c r="E34" t="str">
        <v>K.0.009А.1</v>
      </c>
      <c r="F34" t="str">
        <v>Внутренний блок кондиционирования цокольный этаж Пом. №0.002Т</v>
      </c>
      <c r="G34" s="4" t="str">
        <v>не на схеме</v>
      </c>
      <c r="H34" t="str">
        <v>→</v>
      </c>
    </row>
    <row r="35" spans="4:8" x14ac:dyDescent="0.3">
      <c r="D35" t="str">
        <v>ЩР-001</v>
      </c>
      <c r="E35" t="str">
        <v>R.00.001Б.1</v>
      </c>
      <c r="F35" t="str">
        <v>Розеточная группа, пом. 001Б</v>
      </c>
      <c r="G35" s="4" t="str">
        <v>потери 4,4 % &gt; 4,13 %</v>
      </c>
      <c r="H35" t="str">
        <v>→</v>
      </c>
    </row>
    <row r="36" spans="4:8" x14ac:dyDescent="0.3">
      <c r="D36" t="str">
        <v>ЩР-001</v>
      </c>
      <c r="E36" t="str">
        <v>ШТК-ЛВС.00</v>
      </c>
      <c r="F36" t="str">
        <v>Шкаф телекоммуникационный ШТК-ЛВС.00  Подвальный этаж Пом. №007Т</v>
      </c>
      <c r="G36" s="4" t="str">
        <v>потери 5,1 % &gt; 4 %</v>
      </c>
      <c r="H36" t="str">
        <v>→</v>
      </c>
    </row>
    <row r="37" spans="4:8" x14ac:dyDescent="0.3">
      <c r="D37" t="str">
        <v>ЩР-001</v>
      </c>
      <c r="E37" t="str">
        <v>ШТК-СОТ.00</v>
      </c>
      <c r="F37" t="str">
        <v>Шкаф телекоммуникационный ШТК-СОТ.00  Подвальный этаж Пом. №007Т</v>
      </c>
      <c r="G37" s="4" t="str">
        <v>потери 4,2 % &gt; 4 %</v>
      </c>
      <c r="H37" t="str">
        <v>→</v>
      </c>
    </row>
    <row r="38" spans="4:8" x14ac:dyDescent="0.3">
      <c r="D38" t="str">
        <v>ЩР-01</v>
      </c>
      <c r="E38" t="str">
        <v>R.0.008A.2</v>
      </c>
      <c r="F38" t="str">
        <v>Розеточная группа Цокольный этаж Пом. №008A Душ виши</v>
      </c>
      <c r="G38" s="4" t="str">
        <v>потери 5,2 % &gt; 4 %</v>
      </c>
      <c r="H38" t="str">
        <v>→</v>
      </c>
    </row>
    <row r="39" spans="4:8" x14ac:dyDescent="0.3">
      <c r="D39" t="str">
        <v>ЩР-01</v>
      </c>
      <c r="E39" t="str">
        <v>R.0.013Б.4</v>
      </c>
      <c r="F39" t="str">
        <v>Розеточная группа Цокольный этаж Пом. №013Б Сушильная машина</v>
      </c>
      <c r="G39" s="4" t="str">
        <v>потери 4,8 % &gt; 4 %</v>
      </c>
      <c r="H39" t="str">
        <v>→</v>
      </c>
    </row>
    <row r="40" spans="4:8" x14ac:dyDescent="0.3">
      <c r="D40" t="str">
        <v>ЩР-1</v>
      </c>
      <c r="E40" t="str">
        <v>R.1.021A.10</v>
      </c>
      <c r="F40" t="str">
        <v>Розеточная группа Первый этаж Пом. №021A ПММ</v>
      </c>
      <c r="G40" s="4" t="str">
        <v>потери 4,0 % &gt; 4 %</v>
      </c>
      <c r="H40" t="str">
        <v>→</v>
      </c>
    </row>
    <row r="41" spans="4:8" x14ac:dyDescent="0.3">
      <c r="D41" t="str">
        <v>ЩР-1</v>
      </c>
      <c r="E41" t="str">
        <v>R.1.021A.2</v>
      </c>
      <c r="F41" t="str">
        <v>Розеточная группа Первый этаж Пом. №021A Духовой шкаф</v>
      </c>
      <c r="G41" s="4" t="str">
        <v>потери 4,3 % &gt; 4 %</v>
      </c>
      <c r="H41" t="str">
        <v>→</v>
      </c>
    </row>
    <row r="42" spans="4:8" x14ac:dyDescent="0.3">
      <c r="D42" t="str">
        <v>ЩР-1</v>
      </c>
      <c r="E42" t="str">
        <v>R.1.020A.1</v>
      </c>
      <c r="F42" t="str">
        <v>Розеточная группа Первый этаж Пом. №020A Холодильник, морозильная камера</v>
      </c>
      <c r="G42" s="4" t="str">
        <v>нет мощности</v>
      </c>
      <c r="H42" t="str">
        <v>→</v>
      </c>
    </row>
    <row r="43" spans="4:8" x14ac:dyDescent="0.3">
      <c r="D43" t="str">
        <v>ЩР-2</v>
      </c>
      <c r="E43" t="str">
        <v>ШТК-ЛВС.3</v>
      </c>
      <c r="F43" t="str">
        <v>Шкаф телекоммуникационный ШТК-2  Тех. Этаж Пом №004T</v>
      </c>
      <c r="G43" s="4" t="str">
        <v>потери 5,4 % &gt; 4 %</v>
      </c>
      <c r="H43" t="str">
        <v>→</v>
      </c>
    </row>
    <row r="44" spans="4:8" x14ac:dyDescent="0.3">
      <c r="D44" t="str">
        <v>ЩС-Б</v>
      </c>
      <c r="E44" t="str">
        <v>Э.1</v>
      </c>
      <c r="F44" t="str">
        <v>Управляющий электрощит бассейна Подвальный этаж Пом. 002Тб</v>
      </c>
      <c r="G44" s="4" t="str">
        <v>ПЕРЕГРУЗ</v>
      </c>
      <c r="H44" t="str">
        <v>→</v>
      </c>
    </row>
    <row r="45" spans="4:8" x14ac:dyDescent="0.3">
      <c r="D45" t="str">
        <v>ЩС-ВК.001</v>
      </c>
      <c r="E45" t="str">
        <v>Ввод.1</v>
      </c>
      <c r="F45" t="str">
        <v>Вводной кабель шлейф 1</v>
      </c>
      <c r="G45" s="4" t="str">
        <v>потери 4,2 % &gt; 4 %</v>
      </c>
      <c r="H45" t="str">
        <v>→</v>
      </c>
    </row>
    <row r="46" spans="4:8" x14ac:dyDescent="0.3">
      <c r="D46" t="str">
        <v>ЩС-ВК.001</v>
      </c>
      <c r="E46" t="str">
        <v>НВК.00.003Т.2</v>
      </c>
      <c r="F46" t="str">
        <v>Насос дренажный, пом. 003Т</v>
      </c>
      <c r="G46" s="4" t="str">
        <v>категория I не обеспечена (есть II)</v>
      </c>
      <c r="H46" t="str">
        <v>→</v>
      </c>
    </row>
    <row r="47" spans="4:8" x14ac:dyDescent="0.3">
      <c r="D47" t="str">
        <v>ЩС-ВК.001</v>
      </c>
      <c r="E47" t="str">
        <v>НВК.00.003Т.1</v>
      </c>
      <c r="F47" t="str">
        <v>Насос дренажный, пом. 003Т</v>
      </c>
      <c r="G47" s="4" t="str">
        <v>категория I не обеспечена (есть II)</v>
      </c>
      <c r="H47" t="str">
        <v>→</v>
      </c>
    </row>
    <row r="48" spans="4:8" x14ac:dyDescent="0.3">
      <c r="D48" t="str">
        <v>ЩС-ВК.001</v>
      </c>
      <c r="E48" t="str">
        <v>НВК.00.005Т.4</v>
      </c>
      <c r="F48" t="str">
        <v>Насос дренажный, пом. 005Т</v>
      </c>
      <c r="G48" s="4" t="str">
        <v>категория I не обеспечена (есть II)</v>
      </c>
      <c r="H48" t="str">
        <v>→</v>
      </c>
    </row>
    <row r="49" spans="4:8" x14ac:dyDescent="0.3">
      <c r="D49" t="str">
        <v>ЩС-ВК.001</v>
      </c>
      <c r="E49" t="str">
        <v>НВК.00.005Т.3</v>
      </c>
      <c r="F49" t="str">
        <v>Насос дренажный, пом. 005Т</v>
      </c>
      <c r="G49" s="4" t="str">
        <v>категория I не обеспечена (есть II)</v>
      </c>
      <c r="H49" t="str">
        <v>→</v>
      </c>
    </row>
    <row r="50" spans="4:8" x14ac:dyDescent="0.3">
      <c r="D50" t="str">
        <v>ЩС-ВК.001</v>
      </c>
      <c r="E50" t="str">
        <v>НВК.00.005Т.1</v>
      </c>
      <c r="F50" t="str">
        <v>Насос дренажный, пом. 005Т</v>
      </c>
      <c r="G50" s="4" t="str">
        <v>категория I не обеспечена (есть II)</v>
      </c>
      <c r="H50" t="str">
        <v>→</v>
      </c>
    </row>
    <row r="51" spans="4:8" x14ac:dyDescent="0.3">
      <c r="D51" t="str">
        <v>ЩС-ВК.001</v>
      </c>
      <c r="E51" t="str">
        <v>НВК.00.005Т.2</v>
      </c>
      <c r="F51" t="str">
        <v>Насос дренажный, пом. 005Т</v>
      </c>
      <c r="G51" s="4" t="str">
        <v>категория I не обеспечена (есть II)</v>
      </c>
      <c r="H51" t="str">
        <v>→</v>
      </c>
    </row>
    <row r="52" spans="4:8" x14ac:dyDescent="0.3">
      <c r="D52" t="str">
        <v>ЩС-ВК.001</v>
      </c>
      <c r="E52" t="str">
        <v>НВК.00.002Т.1</v>
      </c>
      <c r="F52" t="str">
        <v>циркуляционный насос Подвальный этаж Пом. №002Т</v>
      </c>
      <c r="G52" s="4" t="str">
        <v>категория I не обеспечена (есть II)</v>
      </c>
      <c r="H52" t="str">
        <v>→</v>
      </c>
    </row>
    <row r="53" spans="4:8" x14ac:dyDescent="0.3">
      <c r="D53" t="str">
        <v>ЩС-ВК.003</v>
      </c>
      <c r="E53" t="str">
        <v>Ввод.1</v>
      </c>
      <c r="F53" t="str">
        <v>Вводной кабель шлейф 1</v>
      </c>
      <c r="G53" s="4" t="str">
        <v>потери 5,2 % &gt; 4 %</v>
      </c>
      <c r="H53" t="str">
        <v>→</v>
      </c>
    </row>
    <row r="54" spans="4:8" x14ac:dyDescent="0.3">
      <c r="D54" t="str">
        <v>ЩС-ВК.003</v>
      </c>
      <c r="E54" t="str">
        <v>ЖУ.1</v>
      </c>
      <c r="F54" t="str">
        <v>Жироулавливатель Подвальный этаж Пом. №006Т</v>
      </c>
      <c r="G54" s="4" t="str">
        <v>потери 4,5 % &gt; 4 %</v>
      </c>
      <c r="H54" t="str">
        <v>→</v>
      </c>
    </row>
    <row r="55" spans="4:8" x14ac:dyDescent="0.3">
      <c r="D55" t="str">
        <v>ЩС-ВК.003</v>
      </c>
      <c r="E55" t="str">
        <v>R.00.002Б.3</v>
      </c>
      <c r="F55" t="str">
        <v>Сололифт Подвальный этаж Пом. №002Б</v>
      </c>
      <c r="G55" s="4" t="str">
        <v>потери 4,1 % &gt; 4 %</v>
      </c>
      <c r="H55" t="str">
        <v>→</v>
      </c>
    </row>
    <row r="56" spans="4:8" x14ac:dyDescent="0.3">
      <c r="D56" t="str">
        <v>ЩУОВ</v>
      </c>
      <c r="E56" t="str">
        <v>Ввод.1</v>
      </c>
      <c r="F56" t="str">
        <v>Вводной кабель шлейф 1</v>
      </c>
      <c r="G56" s="4" t="str">
        <v>потери 4,9 % &gt; 4 %</v>
      </c>
      <c r="H56" t="str">
        <v>→</v>
      </c>
    </row>
    <row r="57" spans="4:8" x14ac:dyDescent="0.3">
      <c r="D57" t="str">
        <v>ЩУОВ</v>
      </c>
      <c r="E57" t="str">
        <v>DW.1</v>
      </c>
      <c r="F57" t="str">
        <v/>
      </c>
      <c r="G57" s="4" t="str">
        <v>нет мощности</v>
      </c>
      <c r="H57" t="str">
        <v>→</v>
      </c>
    </row>
    <row r="58" spans="4:8" x14ac:dyDescent="0.3">
      <c r="D58" t="str">
        <v>ЩУОВ</v>
      </c>
      <c r="E58" t="str">
        <v>DT.1</v>
      </c>
      <c r="F58" t="str">
        <v/>
      </c>
      <c r="G58" s="4" t="str">
        <v>нет мощности</v>
      </c>
      <c r="H58" t="str">
        <v>→</v>
      </c>
    </row>
    <row r="59" spans="4:8" x14ac:dyDescent="0.3">
      <c r="D59" t="str">
        <v>ЩУОВ</v>
      </c>
      <c r="E59" t="str">
        <v>OV.2.002Г.1</v>
      </c>
      <c r="F59" t="str">
        <v/>
      </c>
      <c r="G59" s="4" t="str">
        <v>потери 7,3 % &gt; 4 %</v>
      </c>
      <c r="H59" t="str">
        <v>→</v>
      </c>
    </row>
    <row r="60" spans="4:8" x14ac:dyDescent="0.3">
      <c r="D60" t="str">
        <v>ЩУОВ</v>
      </c>
      <c r="E60" t="str">
        <v>OV.2.1.1</v>
      </c>
      <c r="F60" t="str">
        <v>Обогревл ливнестоков Кровля бассейна</v>
      </c>
      <c r="G60" s="4" t="str">
        <v>потери 6,0 % &gt; 4 %</v>
      </c>
      <c r="H60" t="str">
        <v>→</v>
      </c>
    </row>
    <row r="61" spans="4:8" x14ac:dyDescent="0.3">
      <c r="D61" t="str">
        <v>ЩУОВ</v>
      </c>
      <c r="E61" t="str">
        <v>OV.2.1.2</v>
      </c>
      <c r="F61" t="str">
        <v>Обогревл ливнестоков Второй этаж</v>
      </c>
      <c r="G61" s="4" t="str">
        <v>потери 6,1 % &gt; 4 %</v>
      </c>
      <c r="H61" t="str">
        <v>→</v>
      </c>
    </row>
    <row r="62" spans="4:8" x14ac:dyDescent="0.3">
      <c r="D62" t="str">
        <v>ЩУОВ</v>
      </c>
      <c r="E62" t="str">
        <v>OV.4.1.1</v>
      </c>
      <c r="F62" t="str">
        <v>Обогревл ливнестоков Кровля</v>
      </c>
      <c r="G62" s="4" t="str">
        <v>потери 5,1 % &gt; 4 %</v>
      </c>
      <c r="H62" t="str">
        <v>→</v>
      </c>
    </row>
    <row r="63" spans="4:8" x14ac:dyDescent="0.3">
      <c r="D63" t="str">
        <v>ЩУОВ</v>
      </c>
      <c r="E63" t="str">
        <v>OV.4.1.2</v>
      </c>
      <c r="F63" t="str">
        <v>Обогревл ливнестоков Кровля</v>
      </c>
      <c r="G63" s="4" t="str">
        <v>потери 5,6 % &gt; 4 %</v>
      </c>
      <c r="H63" t="str">
        <v>→</v>
      </c>
    </row>
    <row r="64" spans="4:8" x14ac:dyDescent="0.3">
      <c r="D64" t="str">
        <v>ЩУОВ</v>
      </c>
      <c r="E64" t="str">
        <v>OV.4.1.3</v>
      </c>
      <c r="F64" t="str">
        <v>Обогревл ливнестоков Кровля</v>
      </c>
      <c r="G64" s="4" t="str">
        <v>потери 5,9 % &gt; 4 %</v>
      </c>
      <c r="H64" t="str">
        <v>→</v>
      </c>
    </row>
    <row r="65" spans="4:8" x14ac:dyDescent="0.3">
      <c r="D65" t="str">
        <v>ЩУОВ</v>
      </c>
      <c r="E65" t="str">
        <v>OV.4.1.4</v>
      </c>
      <c r="F65" t="str">
        <v>Обогревл ливнестоков Кровля</v>
      </c>
      <c r="G65" s="4" t="str">
        <v>потери 7,3 % &gt; 4 %</v>
      </c>
      <c r="H65" t="str">
        <v>→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X_RepairFormulas">
                <anchor>
                  <from>
                    <xdr:col>2</xdr:col>
                    <xdr:colOff>601980</xdr:colOff>
                    <xdr:row>0</xdr:row>
                    <xdr:rowOff>45720</xdr:rowOff>
                  </from>
                  <to>
                    <xdr:col>4</xdr:col>
                    <xdr:colOff>769620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545EA-2E4B-4156-AD00-4774EA1ABE67}">
  <sheetPr codeName="Лист3">
    <tabColor rgb="FFFFF2CC"/>
  </sheetPr>
  <dimension ref="B1:N37"/>
  <sheetViews>
    <sheetView workbookViewId="0"/>
  </sheetViews>
  <sheetFormatPr defaultRowHeight="14.4" x14ac:dyDescent="0.3"/>
  <cols>
    <col min="2" max="2" width="42.77734375" customWidth="1"/>
    <col min="3" max="3" width="22.77734375" customWidth="1"/>
    <col min="4" max="4" width="60.77734375" customWidth="1"/>
    <col min="6" max="6" width="16.77734375" customWidth="1"/>
    <col min="7" max="7" width="20.77734375" customWidth="1"/>
  </cols>
  <sheetData>
    <row r="1" spans="2:7" ht="18" x14ac:dyDescent="0.35">
      <c r="B1" s="112" t="s">
        <v>875</v>
      </c>
    </row>
    <row r="2" spans="2:7" x14ac:dyDescent="0.3">
      <c r="F2" s="36" t="s">
        <v>896</v>
      </c>
      <c r="G2" s="36" t="s">
        <v>897</v>
      </c>
    </row>
    <row r="3" spans="2:7" x14ac:dyDescent="0.3">
      <c r="B3" t="s">
        <v>876</v>
      </c>
      <c r="C3" s="113"/>
      <c r="D3" t="s">
        <v>877</v>
      </c>
      <c r="F3" s="113">
        <v>1</v>
      </c>
      <c r="G3" s="113">
        <v>1</v>
      </c>
    </row>
    <row r="4" spans="2:7" x14ac:dyDescent="0.3">
      <c r="B4" t="s">
        <v>878</v>
      </c>
      <c r="C4" s="113">
        <v>2.63E-2</v>
      </c>
      <c r="D4" t="s">
        <v>879</v>
      </c>
      <c r="F4" s="113">
        <v>2</v>
      </c>
      <c r="G4" s="113">
        <v>1</v>
      </c>
    </row>
    <row r="5" spans="2:7" x14ac:dyDescent="0.3">
      <c r="B5" t="s">
        <v>880</v>
      </c>
      <c r="C5" s="113">
        <v>4.2000000000000003E-2</v>
      </c>
      <c r="D5" t="s">
        <v>811</v>
      </c>
      <c r="F5" s="113">
        <v>3</v>
      </c>
      <c r="G5" s="113">
        <v>0.9</v>
      </c>
    </row>
    <row r="6" spans="2:7" x14ac:dyDescent="0.3">
      <c r="B6" t="s">
        <v>881</v>
      </c>
      <c r="C6" s="113">
        <v>1.4999999999999999E-2</v>
      </c>
      <c r="D6" t="s">
        <v>882</v>
      </c>
      <c r="F6" s="113">
        <v>5</v>
      </c>
      <c r="G6" s="113">
        <v>0.8</v>
      </c>
    </row>
    <row r="7" spans="2:7" x14ac:dyDescent="0.3">
      <c r="B7" t="s">
        <v>883</v>
      </c>
      <c r="C7" s="113">
        <v>0.95</v>
      </c>
      <c r="D7" t="s">
        <v>884</v>
      </c>
      <c r="F7" s="113">
        <v>8</v>
      </c>
      <c r="G7" s="113">
        <v>0.75</v>
      </c>
    </row>
    <row r="8" spans="2:7" x14ac:dyDescent="0.3">
      <c r="B8" t="s">
        <v>885</v>
      </c>
      <c r="C8" s="113" t="s">
        <v>886</v>
      </c>
      <c r="D8" t="s">
        <v>887</v>
      </c>
      <c r="F8" s="113">
        <v>10</v>
      </c>
      <c r="G8" s="113">
        <v>0.7</v>
      </c>
    </row>
    <row r="9" spans="2:7" x14ac:dyDescent="0.3">
      <c r="B9" t="s">
        <v>888</v>
      </c>
      <c r="C9" s="113">
        <v>1</v>
      </c>
      <c r="D9" t="s">
        <v>889</v>
      </c>
      <c r="F9" s="113">
        <v>15</v>
      </c>
      <c r="G9" s="113">
        <v>0.65</v>
      </c>
    </row>
    <row r="10" spans="2:7" x14ac:dyDescent="0.3">
      <c r="B10" t="s">
        <v>152</v>
      </c>
      <c r="C10" s="113" t="s">
        <v>890</v>
      </c>
      <c r="D10" t="s">
        <v>891</v>
      </c>
      <c r="F10" s="113">
        <v>20</v>
      </c>
      <c r="G10" s="113">
        <v>0.65</v>
      </c>
    </row>
    <row r="11" spans="2:7" x14ac:dyDescent="0.3">
      <c r="B11" t="s">
        <v>892</v>
      </c>
      <c r="C11" s="113" t="s">
        <v>490</v>
      </c>
      <c r="D11" t="s">
        <v>893</v>
      </c>
      <c r="F11" s="113">
        <v>30</v>
      </c>
      <c r="G11" s="113">
        <v>0.6</v>
      </c>
    </row>
    <row r="12" spans="2:7" x14ac:dyDescent="0.3">
      <c r="B12" t="s">
        <v>894</v>
      </c>
      <c r="C12" s="113" t="s">
        <v>13</v>
      </c>
      <c r="D12" t="s">
        <v>895</v>
      </c>
      <c r="F12" s="113">
        <v>50</v>
      </c>
      <c r="G12" s="113">
        <v>0.55000000000000004</v>
      </c>
    </row>
    <row r="13" spans="2:7" x14ac:dyDescent="0.3">
      <c r="F13" s="113">
        <v>100</v>
      </c>
      <c r="G13" s="113">
        <v>0.55000000000000004</v>
      </c>
    </row>
    <row r="14" spans="2:7" x14ac:dyDescent="0.3">
      <c r="B14" s="36" t="s">
        <v>1699</v>
      </c>
      <c r="F14" s="113">
        <v>200</v>
      </c>
      <c r="G14" s="113">
        <v>0.5</v>
      </c>
    </row>
    <row r="15" spans="2:7" x14ac:dyDescent="0.3">
      <c r="B15" t="s">
        <v>864</v>
      </c>
      <c r="C15" s="113">
        <v>0.75</v>
      </c>
    </row>
    <row r="16" spans="2:7" x14ac:dyDescent="0.3">
      <c r="B16" t="s">
        <v>1700</v>
      </c>
      <c r="C16" s="113">
        <v>0.9</v>
      </c>
    </row>
    <row r="17" spans="2:14" x14ac:dyDescent="0.3">
      <c r="B17" t="s">
        <v>1701</v>
      </c>
      <c r="C17" s="113">
        <v>15</v>
      </c>
      <c r="D17" t="s">
        <v>865</v>
      </c>
    </row>
    <row r="18" spans="2:14" x14ac:dyDescent="0.3">
      <c r="B18" t="s">
        <v>1702</v>
      </c>
      <c r="C18" s="113">
        <v>240</v>
      </c>
      <c r="D18" t="s">
        <v>153</v>
      </c>
    </row>
    <row r="19" spans="2:14" x14ac:dyDescent="0.3">
      <c r="B19" t="s">
        <v>866</v>
      </c>
      <c r="C19" s="113">
        <v>0.95</v>
      </c>
    </row>
    <row r="20" spans="2:14" x14ac:dyDescent="0.3">
      <c r="B20" t="s">
        <v>1703</v>
      </c>
      <c r="C20" s="113">
        <v>0.8</v>
      </c>
    </row>
    <row r="21" spans="2:14" x14ac:dyDescent="0.3">
      <c r="B21" t="s">
        <v>1704</v>
      </c>
      <c r="C21" s="113">
        <v>0.1</v>
      </c>
    </row>
    <row r="22" spans="2:14" x14ac:dyDescent="0.3">
      <c r="B22" t="s">
        <v>1705</v>
      </c>
      <c r="C22" s="113">
        <v>0.95</v>
      </c>
    </row>
    <row r="24" spans="2:14" x14ac:dyDescent="0.3">
      <c r="B24" t="s">
        <v>1706</v>
      </c>
      <c r="C24" s="113">
        <v>6</v>
      </c>
      <c r="D24" s="113">
        <v>10</v>
      </c>
      <c r="E24" s="113">
        <v>15</v>
      </c>
      <c r="F24" s="113">
        <v>20</v>
      </c>
      <c r="G24" s="113">
        <v>30</v>
      </c>
      <c r="H24" s="113">
        <v>40</v>
      </c>
      <c r="I24" s="113">
        <v>60</v>
      </c>
      <c r="J24" s="113">
        <v>80</v>
      </c>
      <c r="K24" s="113">
        <v>100</v>
      </c>
      <c r="L24" s="113">
        <v>120</v>
      </c>
      <c r="M24" s="113">
        <v>160</v>
      </c>
      <c r="N24" s="113">
        <v>200</v>
      </c>
    </row>
    <row r="28" spans="2:14" ht="15.6" x14ac:dyDescent="0.3">
      <c r="B28" s="139" t="s">
        <v>2493</v>
      </c>
      <c r="C28" s="140"/>
      <c r="D28" s="140"/>
    </row>
    <row r="29" spans="2:14" ht="15" customHeight="1" x14ac:dyDescent="0.3">
      <c r="B29" s="141" t="s">
        <v>2494</v>
      </c>
      <c r="C29" s="141"/>
      <c r="D29" s="141"/>
    </row>
    <row r="30" spans="2:14" ht="30" customHeight="1" x14ac:dyDescent="0.3">
      <c r="B30" s="141" t="s">
        <v>2495</v>
      </c>
      <c r="C30" s="141"/>
      <c r="D30" s="141"/>
    </row>
    <row r="31" spans="2:14" ht="15" customHeight="1" x14ac:dyDescent="0.3">
      <c r="B31" s="141" t="s">
        <v>2496</v>
      </c>
      <c r="C31" s="141"/>
      <c r="D31" s="141"/>
    </row>
    <row r="32" spans="2:14" ht="30" customHeight="1" x14ac:dyDescent="0.3">
      <c r="B32" s="141" t="s">
        <v>2497</v>
      </c>
      <c r="C32" s="141"/>
      <c r="D32" s="141"/>
    </row>
    <row r="33" spans="2:4" ht="30" customHeight="1" x14ac:dyDescent="0.3">
      <c r="B33" s="141" t="s">
        <v>2498</v>
      </c>
      <c r="C33" s="141"/>
      <c r="D33" s="141"/>
    </row>
    <row r="34" spans="2:4" ht="15" customHeight="1" x14ac:dyDescent="0.3">
      <c r="B34" s="141" t="s">
        <v>2499</v>
      </c>
      <c r="C34" s="141"/>
      <c r="D34" s="141"/>
    </row>
    <row r="35" spans="2:4" ht="30" customHeight="1" x14ac:dyDescent="0.3">
      <c r="B35" s="141" t="s">
        <v>2500</v>
      </c>
      <c r="C35" s="141"/>
      <c r="D35" s="141"/>
    </row>
    <row r="36" spans="2:4" ht="30" customHeight="1" x14ac:dyDescent="0.3">
      <c r="B36" s="141" t="s">
        <v>2501</v>
      </c>
      <c r="C36" s="141"/>
      <c r="D36" s="141"/>
    </row>
    <row r="37" spans="2:4" ht="15" customHeight="1" x14ac:dyDescent="0.3">
      <c r="B37" s="141" t="s">
        <v>2502</v>
      </c>
      <c r="C37" s="141"/>
      <c r="D37" s="141"/>
    </row>
  </sheetData>
  <mergeCells count="9">
    <mergeCell ref="B35:D35"/>
    <mergeCell ref="B36:D36"/>
    <mergeCell ref="B37:D37"/>
    <mergeCell ref="B29:D29"/>
    <mergeCell ref="B30:D30"/>
    <mergeCell ref="B31:D31"/>
    <mergeCell ref="B32:D32"/>
    <mergeCell ref="B33:D33"/>
    <mergeCell ref="B34:D34"/>
  </mergeCells>
  <dataValidations count="3">
    <dataValidation type="list" allowBlank="1" showInputMessage="1" sqref="C8" xr:uid="{A17F3502-B38D-40EB-B05D-A0774DC1C518}">
      <formula1>"v3.12,нормы 2026"</formula1>
    </dataValidation>
    <dataValidation type="list" allowBlank="1" showInputMessage="1" sqref="C10" xr:uid="{32D5D924-8747-485F-810B-C089224BBFC4}">
      <formula1>"по коду и № помещения,по экспликации"</formula1>
    </dataValidation>
    <dataValidation type="list" allowBlank="1" showInputMessage="1" sqref="C11" xr:uid="{10F4C8A3-93D1-40EE-878E-6EBC2B3BFE91}">
      <formula1>"да,нет"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5E699-5526-42BA-976B-13A16DA70AB4}">
  <sheetPr codeName="Лист4">
    <tabColor rgb="FFFFF2CC"/>
  </sheetPr>
  <dimension ref="A1:CC26"/>
  <sheetViews>
    <sheetView workbookViewId="0"/>
  </sheetViews>
  <sheetFormatPr defaultColWidth="11.77734375" defaultRowHeight="14.4" outlineLevelCol="1" x14ac:dyDescent="0.3"/>
  <cols>
    <col min="32" max="80" width="0" hidden="1" customWidth="1" outlineLevel="1"/>
    <col min="81" max="81" width="11.77734375" collapsed="1"/>
  </cols>
  <sheetData>
    <row r="1" spans="1:80" s="81" customFormat="1" ht="15.6" x14ac:dyDescent="0.3">
      <c r="B1" s="139" t="s">
        <v>2503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</row>
    <row r="2" spans="1:80" s="81" customFormat="1" ht="15" customHeight="1" x14ac:dyDescent="0.3">
      <c r="B2" s="141" t="s">
        <v>2504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</row>
    <row r="3" spans="1:80" s="81" customFormat="1" ht="30" customHeight="1" x14ac:dyDescent="0.3">
      <c r="B3" s="141" t="s">
        <v>2505</v>
      </c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1:80" s="81" customFormat="1" ht="15" customHeight="1" x14ac:dyDescent="0.3">
      <c r="B4" s="141" t="s">
        <v>2506</v>
      </c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</row>
    <row r="5" spans="1:80" s="81" customFormat="1" ht="30" customHeight="1" x14ac:dyDescent="0.3">
      <c r="B5" s="141" t="s">
        <v>2507</v>
      </c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</row>
    <row r="6" spans="1:80" s="81" customFormat="1" ht="30" customHeight="1" x14ac:dyDescent="0.3">
      <c r="B6" s="141" t="s">
        <v>2508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</row>
    <row r="7" spans="1:80" s="81" customFormat="1" x14ac:dyDescent="0.3"/>
    <row r="9" spans="1:80" ht="60" customHeight="1" x14ac:dyDescent="0.3">
      <c r="A9" s="115" t="s">
        <v>4</v>
      </c>
      <c r="B9" s="115" t="s">
        <v>1037</v>
      </c>
      <c r="C9" s="115" t="s">
        <v>1038</v>
      </c>
      <c r="D9" s="115" t="s">
        <v>1039</v>
      </c>
      <c r="E9" s="115" t="s">
        <v>1040</v>
      </c>
      <c r="F9" s="115" t="s">
        <v>1041</v>
      </c>
      <c r="G9" s="115" t="s">
        <v>1042</v>
      </c>
      <c r="H9" s="115" t="s">
        <v>1043</v>
      </c>
      <c r="I9" s="115" t="s">
        <v>1044</v>
      </c>
      <c r="J9" s="115" t="s">
        <v>1045</v>
      </c>
      <c r="K9" s="115" t="s">
        <v>1046</v>
      </c>
      <c r="L9" s="115" t="s">
        <v>1047</v>
      </c>
      <c r="M9" s="115" t="s">
        <v>1048</v>
      </c>
      <c r="N9" s="115" t="s">
        <v>902</v>
      </c>
      <c r="O9" s="115" t="s">
        <v>802</v>
      </c>
      <c r="P9" s="115" t="s">
        <v>28</v>
      </c>
      <c r="Q9" s="115" t="s">
        <v>1049</v>
      </c>
      <c r="R9" s="115" t="s">
        <v>1050</v>
      </c>
      <c r="S9" s="115" t="s">
        <v>1051</v>
      </c>
      <c r="T9" s="115" t="s">
        <v>1052</v>
      </c>
      <c r="U9" s="118" t="s">
        <v>1053</v>
      </c>
      <c r="V9" s="118" t="s">
        <v>1054</v>
      </c>
      <c r="W9" s="118" t="s">
        <v>1055</v>
      </c>
      <c r="X9" s="118" t="s">
        <v>808</v>
      </c>
      <c r="Y9" s="118" t="s">
        <v>851</v>
      </c>
      <c r="Z9" s="118" t="s">
        <v>810</v>
      </c>
      <c r="AA9" s="118" t="s">
        <v>804</v>
      </c>
      <c r="AB9" s="118" t="s">
        <v>1056</v>
      </c>
      <c r="AC9" s="118" t="s">
        <v>1057</v>
      </c>
      <c r="AD9" s="118" t="s">
        <v>1058</v>
      </c>
      <c r="AE9" s="118" t="s">
        <v>1059</v>
      </c>
      <c r="AF9" s="118" t="s">
        <v>1060</v>
      </c>
      <c r="AG9" s="118" t="s">
        <v>1061</v>
      </c>
      <c r="AH9" s="118" t="s">
        <v>1062</v>
      </c>
      <c r="AI9" s="118" t="s">
        <v>1063</v>
      </c>
      <c r="AJ9" s="118" t="s">
        <v>1064</v>
      </c>
      <c r="AK9" s="118" t="s">
        <v>1065</v>
      </c>
      <c r="AL9" s="118" t="s">
        <v>1066</v>
      </c>
      <c r="AM9" s="118" t="s">
        <v>1067</v>
      </c>
      <c r="AN9" s="118" t="s">
        <v>1068</v>
      </c>
      <c r="AO9" s="118" t="s">
        <v>1069</v>
      </c>
      <c r="AP9" s="118" t="s">
        <v>1070</v>
      </c>
      <c r="AQ9" s="118" t="s">
        <v>1071</v>
      </c>
      <c r="AR9" s="118" t="s">
        <v>543</v>
      </c>
      <c r="AS9" s="118" t="s">
        <v>850</v>
      </c>
      <c r="AT9" s="118" t="s">
        <v>812</v>
      </c>
      <c r="AU9" s="118" t="s">
        <v>809</v>
      </c>
      <c r="AV9" s="118" t="s">
        <v>1072</v>
      </c>
      <c r="AW9" s="118" t="s">
        <v>1073</v>
      </c>
      <c r="AX9" s="118" t="s">
        <v>1074</v>
      </c>
      <c r="AY9" s="118" t="s">
        <v>1075</v>
      </c>
      <c r="AZ9" s="118" t="s">
        <v>1076</v>
      </c>
      <c r="BA9" s="118" t="s">
        <v>1077</v>
      </c>
      <c r="BB9" s="118" t="s">
        <v>1078</v>
      </c>
      <c r="BC9" s="118" t="s">
        <v>1079</v>
      </c>
      <c r="BD9" s="118" t="s">
        <v>1080</v>
      </c>
      <c r="BE9" s="118" t="s">
        <v>1081</v>
      </c>
      <c r="BF9" s="118" t="s">
        <v>1082</v>
      </c>
      <c r="BG9" s="118" t="s">
        <v>1083</v>
      </c>
      <c r="BH9" s="118" t="s">
        <v>1084</v>
      </c>
      <c r="BI9" s="118" t="s">
        <v>1085</v>
      </c>
      <c r="BJ9" s="118" t="s">
        <v>1086</v>
      </c>
      <c r="BK9" s="118" t="s">
        <v>1087</v>
      </c>
      <c r="BL9" s="118" t="s">
        <v>1088</v>
      </c>
      <c r="BM9" s="118" t="s">
        <v>1089</v>
      </c>
      <c r="BN9" s="118" t="s">
        <v>1090</v>
      </c>
      <c r="BO9" s="118" t="s">
        <v>1091</v>
      </c>
      <c r="BP9" s="118" t="s">
        <v>1092</v>
      </c>
      <c r="BQ9" s="118" t="s">
        <v>1093</v>
      </c>
      <c r="BR9" s="118" t="s">
        <v>1094</v>
      </c>
      <c r="BS9" s="118" t="s">
        <v>1095</v>
      </c>
      <c r="BT9" s="118" t="s">
        <v>1096</v>
      </c>
      <c r="BU9" s="118" t="s">
        <v>1097</v>
      </c>
      <c r="BV9" s="118" t="s">
        <v>1098</v>
      </c>
      <c r="BW9" s="118" t="s">
        <v>1099</v>
      </c>
      <c r="BX9" s="118" t="s">
        <v>1100</v>
      </c>
      <c r="BY9" s="118" t="s">
        <v>1101</v>
      </c>
      <c r="BZ9" s="118" t="s">
        <v>1102</v>
      </c>
      <c r="CA9" s="118" t="s">
        <v>859</v>
      </c>
      <c r="CB9" s="118" t="s">
        <v>1103</v>
      </c>
    </row>
    <row r="10" spans="1:80" x14ac:dyDescent="0.3">
      <c r="A10" t="s">
        <v>785</v>
      </c>
      <c r="C10">
        <v>2</v>
      </c>
      <c r="D10" t="s">
        <v>490</v>
      </c>
      <c r="E10" t="s">
        <v>842</v>
      </c>
      <c r="F10">
        <v>1</v>
      </c>
      <c r="U10" t="str" cm="1">
        <f t="array" ref="U10">IF(Щиты[[#This Row],[Питается от]]&lt;&gt;"",Щиты[[#This Row],[Питается от]],IFERROR(INDEX(Линии[Щит],Щиты[[#This Row],[_строка фидера]]),""))</f>
        <v/>
      </c>
      <c r="V10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>нет данных сети для ТКЗ: введите Iкз от сетевой организации или трансформатор</v>
      </c>
      <c r="W10" t="str" cm="1">
        <f t="array" ref="W10">IF(Щиты[[#This Row],[_строка фидера]]="","",INDEX(Линии[Номер линии],Щиты[[#This Row],[_строка фидера]]))</f>
        <v/>
      </c>
      <c r="X10" s="6">
        <f>SUMIFS(Щиты[_Руст собств],Щиты[Путь],"*|"&amp;Щиты[[#This Row],[Щит]]&amp;"|*")</f>
        <v>526.28100000000018</v>
      </c>
      <c r="Y10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276.45185120000008</v>
      </c>
      <c r="Z10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482.46261025528872</v>
      </c>
      <c r="AA10" s="6">
        <f>IFERROR(SUMIFS(Щиты[_Pcos собств],Щиты[Путь],"*|"&amp;Щиты[[#This Row],[Щит]]&amp;"|*")/SUMIFS(Щиты[_P собств],Щиты[Путь],"*|"&amp;Щиты[[#This Row],[Щит]]&amp;"|*"),0.95)</f>
        <v>0.82887953393719294</v>
      </c>
      <c r="AB10" s="6" cm="1">
        <f t="array" ref="AB10">SUMPRODUCT(--ISNUMBER(SEARCH("|"&amp;Щиты[Щит]&amp;"|",Щиты[[#This Row],[Путь]])),IFERROR(--Щиты[_ΔU фидера],0)+IFERROR(--Щиты[_ΔU источника],0))</f>
        <v>0</v>
      </c>
      <c r="AC10" s="6" t="str">
        <f>IF(ISNUMBER(Щиты[[#This Row],[Zпетли на шинах, Ом]]),c_min*(Uн_лин*1000/SQRT(3))/Щиты[[#This Row],[Zпетли на шинах, Ом]],"")</f>
        <v/>
      </c>
      <c r="AD10" s="6" t="str">
        <f>IF(ISNUMBER(Щиты[[#This Row],[Zmax на шинах, Ом]]),1.05*(Uн_лин*1000/SQRT(3))/Щиты[[#This Row],[Zmax на шинах, Ом]]/1000,"")</f>
        <v/>
      </c>
      <c r="AE10" t="str" cm="1">
        <f t="array" ref="AE10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</v>
      </c>
      <c r="AF10" t="str" cm="1">
        <f t="array" ref="AF10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</v>
      </c>
      <c r="AG10" s="6" t="str">
        <f>_xlfn.TEXTBEFORE(MID(Щиты[[#This Row],[Путь]],2,999),"|")</f>
        <v>ГРЩ-ЖД</v>
      </c>
      <c r="AH10">
        <f>LEN(Щиты[[#This Row],[Путь]])-LEN(SUBSTITUTE(Щиты[[#This Row],[Путь]],"|",""))-2</f>
        <v>0</v>
      </c>
      <c r="AI10" t="str">
        <f>IFERROR(_xlfn.XMATCH(Щиты[[#This Row],[Щит]],Линии[_фидер]),"")</f>
        <v/>
      </c>
      <c r="AJ10">
        <f>SUMIFS(Линии[_Руст (без Нет)],Линии[Щит],Щиты[[#This Row],[Щит]])</f>
        <v>147.25</v>
      </c>
      <c r="AK10">
        <f>SUMIFS(Линии[_Руст быт],Линии[Щит],Щиты[[#This Row],[Щит]])</f>
        <v>0</v>
      </c>
      <c r="AL10">
        <f>SUMIFS(Линии[_Рр сил],Линии[Щит],Щиты[[#This Row],[Щит]])</f>
        <v>89.965000000000003</v>
      </c>
      <c r="AM10">
        <f>SUMIFS(Линии[_Руст пост],Линии[Щит],Щиты[[#This Row],[Щит]])</f>
        <v>0.3</v>
      </c>
      <c r="AN10">
        <f>SUMIFS(Линии[_P для cos],Линии[Щит],Щиты[[#This Row],[Щит]])</f>
        <v>147.25</v>
      </c>
      <c r="AO10">
        <f>SUMIFS(Линии[_P·cos],Линии[Щит],Щиты[[#This Row],[Щит]])</f>
        <v>117.84500000000001</v>
      </c>
      <c r="AP10">
        <f>SUMIFS(Линии[_Р отопления],Линии[Щит],Щиты[[#This Row],[Щит]])</f>
        <v>0</v>
      </c>
      <c r="AQ10">
        <f>SUMIFS(Линии[_Рр ВНГ],Линии[Щит],Щиты[[#This Row],[Щит]])</f>
        <v>0</v>
      </c>
      <c r="AR10" s="6">
        <f>SUMIFS(Щиты[_быт собств],Щиты[Путь],"*|"&amp;Щиты[[#This Row],[Щит]]&amp;"|*")</f>
        <v>61.360000000000014</v>
      </c>
      <c r="AS10" s="6" cm="1">
        <f t="array" ref="AS10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0.47591999999999995</v>
      </c>
      <c r="AT10" s="6">
        <f>SUMIFS(Щиты[_сил собств],Щиты[Путь],"*|"&amp;Щиты[[#This Row],[Щит]]&amp;"|*")</f>
        <v>230.31600000000003</v>
      </c>
      <c r="AU10" s="6">
        <f>SUMIFS(Щиты[_пост собств],Щиты[Путь],"*|"&amp;Щиты[[#This Row],[Щит]]&amp;"|*")</f>
        <v>39.965000000000003</v>
      </c>
      <c r="AV10" s="6">
        <f>SUMIFS(Щиты[_отоп собств],Щиты[Путь],"*|"&amp;Щиты[[#This Row],[Щит]]&amp;"|*")</f>
        <v>0</v>
      </c>
      <c r="AW10" s="6">
        <f>SUMIFS(Щиты[_внг собств],Щиты[Путь],"*|"&amp;Щиты[[#This Row],[Щит]]&amp;"|*")</f>
        <v>0</v>
      </c>
      <c r="AX10">
        <f>COUNTIFS(Линии[Щит],Щиты[[#This Row],[Щит]],Линии[Группа Кс (итог)],"Сил")</f>
        <v>3</v>
      </c>
      <c r="AY10" s="6" cm="1">
        <f t="array" ref="AY10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0.9</v>
      </c>
      <c r="AZ10" s="6">
        <f>IF(Методика="нормы 2026",IF(AND(Щиты[[#This Row],[Руст быт, кВт]]&gt;0,Щиты[[#This Row],[Рр сил, кВт]]&gt;0),Ко_сил,1),Ко_сил)</f>
        <v>0.9</v>
      </c>
      <c r="BA10" s="6">
        <f>IF(Щиты[[#This Row],[Руст, кВт]]=0,0,Щиты[[#This Row],[Рр, кВт]]/Щиты[[#This Row],[Руст, кВт]])</f>
        <v>0.52529323916310866</v>
      </c>
      <c r="BB1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174.91366666666667</v>
      </c>
      <c r="BC1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175.55366666666666</v>
      </c>
      <c r="BD1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175.81366666666665</v>
      </c>
      <c r="BE10" t="str" cm="1">
        <f t="array" ref="BE10">IF(Щиты[[#This Row],[_строка фидера]]="","",INDEX(Линии[ΔU, %],Щиты[[#This Row],[_строка фидера]]))</f>
        <v/>
      </c>
      <c r="BF10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0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0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0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0" t="str">
        <f>IF(Щиты[[#This Row],[_Zсети]]="","",Щиты[[#This Row],[_Zсети]]+Щиты[[#This Row],[_петля пит. кабеля]])</f>
        <v/>
      </c>
      <c r="BK10" t="str" cm="1">
        <f t="array" ref="BK10">IF(Щиты[[#This Row],[_строка фидера]]="","",INDEX(Линии[_Zкабеля],Щиты[[#This Row],[_строка фидера]]))</f>
        <v/>
      </c>
      <c r="BL10" s="6" t="str" cm="1">
        <f t="array" ref="BL1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0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0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0" t="str" cm="1">
        <f t="array" ref="BO10">IF(Щиты[[#This Row],[_строка фидера]]="","",INDEX(Линии[_Zmax кабеля],Щиты[[#This Row],[_строка фидера]]))</f>
        <v/>
      </c>
      <c r="BP10" s="6" t="str" cm="1">
        <f t="array" ref="BP10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0" t="str" cm="1">
        <f t="array" ref="BQ10">IF(Щиты[[#This Row],[_строка фидера]]="","",INDEX(Линии[_ΔU по току, %],Щиты[[#This Row],[_строка фидера]]))</f>
        <v/>
      </c>
      <c r="BR10" s="6" cm="1">
        <f t="array" ref="BR10">SUMPRODUCT(--ISNUMBER(SEARCH("|"&amp;Щиты[Щит]&amp;"|",Щиты[[#This Row],[Путь]])),IFERROR(--Щиты[_ΔU фидера (подбор)],0)+IFERROR(--Щиты[_ΔU источника],0))</f>
        <v>0</v>
      </c>
      <c r="BS10" t="str" cm="1">
        <f t="array" ref="BS10">IF(Щиты[[#This Row],[_строка фидера]]="","",INDEX(Линии[_Zкабеля по току],Щиты[[#This Row],[_строка фидера]]))</f>
        <v/>
      </c>
      <c r="BT10" s="6" t="str" cm="1">
        <f t="array" ref="BT1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0">
        <f>_xlfn.MAXIFS(Линии[_ранг для фидера],Линии[Щит],Щиты[[#This Row],[Щит]])</f>
        <v>3</v>
      </c>
      <c r="BV10" t="str" cm="1">
        <f t="array" ref="BV10">IFERROR(INDEX({"III","II","I","I особая"},MAX(1,_xlfn.MAXIFS(Щиты[_ранг собств],Щиты[Путь],"*|"&amp;Щиты[[#This Row],[Щит]]&amp;"|*"))),"III")</f>
        <v>I</v>
      </c>
      <c r="BW10" t="str" cm="1">
        <f t="array" ref="BW10">IF(Щиты[[#This Row],[_строка фидера]]="","",INDEX(Линии[Категория (итог)],Щиты[[#This Row],[_строка фидера]]))</f>
        <v/>
      </c>
      <c r="BX10" s="6">
        <f>_xlfn.MAXIFS(Линии[Iпуск, А],Линии[Щит],Щиты[[#This Row],[Щит]])</f>
        <v>0</v>
      </c>
      <c r="BY10" t="str" cm="1">
        <f t="array" ref="BY10">IF(Щиты[[#This Row],[_строка фидера]]="","",INDEX(Линии[Источник для режимов],Щиты[[#This Row],[_строка фидера]]))</f>
        <v/>
      </c>
      <c r="BZ10" t="str" cm="1">
        <f t="array" ref="BZ10">IF(Щиты[[#This Row],[_строка фидера]]="","",INDEX(Линии[Пожарная (итог)],Щиты[[#This Row],[_строка фидера]]))</f>
        <v/>
      </c>
      <c r="CA10">
        <f>COUNTIFS(Линии[Щит],Щиты[[#This Row],[Щит]],Линии[Категория: проверка],"НЕ ОБЕСПЕЧЕНА")</f>
        <v>0</v>
      </c>
      <c r="CB10" t="str" cm="1">
        <f t="array" ref="CB10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;21:L1;17:L2;15:L3;16:L3;3:L2;22:L1;4:L1;</v>
      </c>
    </row>
    <row r="11" spans="1:80" x14ac:dyDescent="0.3">
      <c r="A11" t="s">
        <v>784</v>
      </c>
      <c r="C11">
        <v>1</v>
      </c>
      <c r="D11" t="s">
        <v>486</v>
      </c>
      <c r="E11" t="s">
        <v>842</v>
      </c>
      <c r="F11">
        <v>1</v>
      </c>
      <c r="U11" t="str" cm="1">
        <f t="array" ref="U11">IF(Щиты[[#This Row],[Питается от]]&lt;&gt;"",Щиты[[#This Row],[Питается от]],IFERROR(INDEX(Линии[Щит],Щиты[[#This Row],[_строка фидера]]),""))</f>
        <v>ГРЩ-ЖД</v>
      </c>
      <c r="V11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>фидер III ниже нагрузки I</v>
      </c>
      <c r="W11" t="str" cm="1">
        <f t="array" ref="W11">IF(Щиты[[#This Row],[_строка фидера]]="","",INDEX(Линии[Номер линии],Щиты[[#This Row],[_строка фидера]]))</f>
        <v>ЩГП</v>
      </c>
      <c r="X11" s="6">
        <f>SUMIFS(Щиты[_Руст собств],Щиты[Путь],"*|"&amp;Щиты[[#This Row],[Щит]]&amp;"|*")</f>
        <v>1.9000000000000006</v>
      </c>
      <c r="Y11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1.5200000000000005</v>
      </c>
      <c r="Z11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2.3094010767585051</v>
      </c>
      <c r="AA11" s="6">
        <f>IFERROR(SUMIFS(Щиты[_Pcos собств],Щиты[Путь],"*|"&amp;Щиты[[#This Row],[Щит]]&amp;"|*")/SUMIFS(Щиты[_P собств],Щиты[Путь],"*|"&amp;Щиты[[#This Row],[Щит]]&amp;"|*"),0.95)</f>
        <v>0.94999999999999951</v>
      </c>
      <c r="AB11" s="6" cm="1">
        <f t="array" ref="AB11">SUMPRODUCT(--ISNUMBER(SEARCH("|"&amp;Щиты[Щит]&amp;"|",Щиты[[#This Row],[Путь]])),IFERROR(--Щиты[_ΔU фидера],0)+IFERROR(--Щиты[_ΔU источника],0))</f>
        <v>0</v>
      </c>
      <c r="AC11" s="6" t="str">
        <f>IF(ISNUMBER(Щиты[[#This Row],[Zпетли на шинах, Ом]]),c_min*(Uн_лин*1000/SQRT(3))/Щиты[[#This Row],[Zпетли на шинах, Ом]],"")</f>
        <v/>
      </c>
      <c r="AD11" s="6" t="str">
        <f>IF(ISNUMBER(Щиты[[#This Row],[Zmax на шинах, Ом]]),1.05*(Uн_лин*1000/SQRT(3))/Щиты[[#This Row],[Zmax на шинах, Ом]]/1000,"")</f>
        <v/>
      </c>
      <c r="AE11" t="str" cm="1">
        <f t="array" ref="AE11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1" t="str" cm="1">
        <f t="array" ref="AF11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|ГРЩ-ЖД|ЩГП|</v>
      </c>
      <c r="AG11" s="6" t="str">
        <f>_xlfn.TEXTBEFORE(MID(Щиты[[#This Row],[Путь]],2,999),"|")</f>
        <v>ГРЩ-ЖД</v>
      </c>
      <c r="AH11">
        <f>LEN(Щиты[[#This Row],[Путь]])-LEN(SUBSTITUTE(Щиты[[#This Row],[Путь]],"|",""))-2</f>
        <v>1</v>
      </c>
      <c r="AI11">
        <f>IFERROR(_xlfn.XMATCH(Щиты[[#This Row],[Щит]],Линии[_фидер]),"")</f>
        <v>23</v>
      </c>
      <c r="AJ11">
        <f>SUMIFS(Линии[_Руст (без Нет)],Линии[Щит],Щиты[[#This Row],[Щит]])</f>
        <v>0</v>
      </c>
      <c r="AK11">
        <f>SUMIFS(Линии[_Руст быт],Линии[Щит],Щиты[[#This Row],[Щит]])</f>
        <v>0</v>
      </c>
      <c r="AL11">
        <f>SUMIFS(Линии[_Рр сил],Линии[Щит],Щиты[[#This Row],[Щит]])</f>
        <v>0</v>
      </c>
      <c r="AM11">
        <f>SUMIFS(Линии[_Руст пост],Линии[Щит],Щиты[[#This Row],[Щит]])</f>
        <v>0</v>
      </c>
      <c r="AN11">
        <f>SUMIFS(Линии[_P для cos],Линии[Щит],Щиты[[#This Row],[Щит]])</f>
        <v>0</v>
      </c>
      <c r="AO11">
        <f>SUMIFS(Линии[_P·cos],Линии[Щит],Щиты[[#This Row],[Щит]])</f>
        <v>0</v>
      </c>
      <c r="AP11">
        <f>SUMIFS(Линии[_Р отопления],Линии[Щит],Щиты[[#This Row],[Щит]])</f>
        <v>0</v>
      </c>
      <c r="AQ11">
        <f>SUMIFS(Линии[_Рр ВНГ],Линии[Щит],Щиты[[#This Row],[Щит]])</f>
        <v>0</v>
      </c>
      <c r="AR11" s="6">
        <f>SUMIFS(Щиты[_быт собств],Щиты[Путь],"*|"&amp;Щиты[[#This Row],[Щит]]&amp;"|*")</f>
        <v>1.9000000000000006</v>
      </c>
      <c r="AS11" s="6" cm="1">
        <f t="array" ref="AS11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11" s="6">
        <f>SUMIFS(Щиты[_сил собств],Щиты[Путь],"*|"&amp;Щиты[[#This Row],[Щит]]&amp;"|*")</f>
        <v>0</v>
      </c>
      <c r="AU11" s="6">
        <f>SUMIFS(Щиты[_пост собств],Щиты[Путь],"*|"&amp;Щиты[[#This Row],[Щит]]&amp;"|*")</f>
        <v>0</v>
      </c>
      <c r="AV11" s="6">
        <f>SUMIFS(Щиты[_отоп собств],Щиты[Путь],"*|"&amp;Щиты[[#This Row],[Щит]]&amp;"|*")</f>
        <v>0</v>
      </c>
      <c r="AW11" s="6">
        <f>SUMIFS(Щиты[_внг собств],Щиты[Путь],"*|"&amp;Щиты[[#This Row],[Щит]]&amp;"|*")</f>
        <v>0</v>
      </c>
      <c r="AX11">
        <f>COUNTIFS(Линии[Щит],Щиты[[#This Row],[Щит]],Линии[Группа Кс (итог)],"Сил")</f>
        <v>0</v>
      </c>
      <c r="AY11" s="6" cm="1">
        <f t="array" ref="AY11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11" s="6">
        <f>IF(Методика="нормы 2026",IF(AND(Щиты[[#This Row],[Руст быт, кВт]]&gt;0,Щиты[[#This Row],[Рр сил, кВт]]&gt;0),Ко_сил,1),Ко_сил)</f>
        <v>1</v>
      </c>
      <c r="BA11" s="6">
        <f>IF(Щиты[[#This Row],[Руст, кВт]]=0,0,Щиты[[#This Row],[Рр, кВт]]/Щиты[[#This Row],[Руст, кВт]])</f>
        <v>0.8</v>
      </c>
      <c r="BB1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0.63333333333333353</v>
      </c>
      <c r="BC1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0.63333333333333353</v>
      </c>
      <c r="BD1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0.63333333333333353</v>
      </c>
      <c r="BE11" t="str" cm="1">
        <f t="array" ref="BE11">IF(Щиты[[#This Row],[_строка фидера]]="","",INDEX(Линии[ΔU, %],Щиты[[#This Row],[_строка фидера]]))</f>
        <v/>
      </c>
      <c r="BF11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1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1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1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1" t="str">
        <f>IF(Щиты[[#This Row],[_Zсети]]="","",Щиты[[#This Row],[_Zсети]]+Щиты[[#This Row],[_петля пит. кабеля]])</f>
        <v/>
      </c>
      <c r="BK11" t="str" cm="1">
        <f t="array" ref="BK11">IF(Щиты[[#This Row],[_строка фидера]]="","",INDEX(Линии[_Zкабеля],Щиты[[#This Row],[_строка фидера]]))</f>
        <v/>
      </c>
      <c r="BL11" s="6" t="str" cm="1">
        <f t="array" ref="BL1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1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1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1" cm="1">
        <f t="array" ref="BO11">IF(Щиты[[#This Row],[_строка фидера]]="","",INDEX(Линии[_Zmax кабеля],Щиты[[#This Row],[_строка фидера]]))</f>
        <v>0</v>
      </c>
      <c r="BP11" s="6" t="str" cm="1">
        <f t="array" ref="BP11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1" cm="1">
        <f t="array" ref="BQ11">IF(Щиты[[#This Row],[_строка фидера]]="","",INDEX(Линии[_ΔU по току, %],Щиты[[#This Row],[_строка фидера]]))</f>
        <v>0</v>
      </c>
      <c r="BR11" s="6" cm="1">
        <f t="array" ref="BR11">SUMPRODUCT(--ISNUMBER(SEARCH("|"&amp;Щиты[Щит]&amp;"|",Щиты[[#This Row],[Путь]])),IFERROR(--Щиты[_ΔU фидера (подбор)],0)+IFERROR(--Щиты[_ΔU источника],0))</f>
        <v>0</v>
      </c>
      <c r="BS11" cm="1">
        <f t="array" ref="BS11">IF(Щиты[[#This Row],[_строка фидера]]="","",INDEX(Линии[_Zкабеля по току],Щиты[[#This Row],[_строка фидера]]))</f>
        <v>0</v>
      </c>
      <c r="BT11" s="6" t="str" cm="1">
        <f t="array" ref="BT1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1">
        <f>_xlfn.MAXIFS(Линии[_ранг для фидера],Линии[Щит],Щиты[[#This Row],[Щит]])</f>
        <v>3</v>
      </c>
      <c r="BV11" t="str" cm="1">
        <f t="array" ref="BV11">IFERROR(INDEX({"III","II","I","I особая"},MAX(1,_xlfn.MAXIFS(Щиты[_ранг собств],Щиты[Путь],"*|"&amp;Щиты[[#This Row],[Щит]]&amp;"|*"))),"III")</f>
        <v>I</v>
      </c>
      <c r="BW11" t="str" cm="1">
        <f t="array" ref="BW11">IF(Щиты[[#This Row],[_строка фидера]]="","",INDEX(Линии[Категория (итог)],Щиты[[#This Row],[_строка фидера]]))</f>
        <v>III</v>
      </c>
      <c r="BX11" s="6">
        <f>_xlfn.MAXIFS(Линии[Iпуск, А],Линии[Щит],Щиты[[#This Row],[Щит]])</f>
        <v>0</v>
      </c>
      <c r="BY11" t="str" cm="1">
        <f t="array" ref="BY11">IF(Щиты[[#This Row],[_строка фидера]]="","",INDEX(Линии[Источник для режимов],Щиты[[#This Row],[_строка фидера]]))</f>
        <v>Ввод 1</v>
      </c>
      <c r="BZ11" t="str" cm="1">
        <f t="array" ref="BZ11">IF(Щиты[[#This Row],[_строка фидера]]="","",INDEX(Линии[Пожарная (итог)],Щиты[[#This Row],[_строка фидера]]))</f>
        <v>нет</v>
      </c>
      <c r="CA11">
        <f>COUNTIFS(Линии[Щит],Щиты[[#This Row],[Щит]],Линии[Категория: проверка],"НЕ ОБЕСПЕЧЕНА")</f>
        <v>0</v>
      </c>
      <c r="CB11" t="str" cm="1">
        <f t="array" ref="CB11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;25:L1;26:L1;</v>
      </c>
    </row>
    <row r="12" spans="1:80" x14ac:dyDescent="0.3">
      <c r="A12" t="s">
        <v>1104</v>
      </c>
      <c r="C12">
        <v>1</v>
      </c>
      <c r="D12" t="s">
        <v>486</v>
      </c>
      <c r="E12" t="s">
        <v>842</v>
      </c>
      <c r="F12">
        <v>1</v>
      </c>
      <c r="U12" t="str" cm="1">
        <f t="array" ref="U12">IF(Щиты[[#This Row],[Питается от]]&lt;&gt;"",Щиты[[#This Row],[Питается от]],IFERROR(INDEX(Линии[Щит],Щиты[[#This Row],[_строка фидера]]),""))</f>
        <v>ЩГП</v>
      </c>
      <c r="V12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2" t="str" cm="1">
        <f t="array" ref="W12">IF(Щиты[[#This Row],[_строка фидера]]="","",INDEX(Линии[Номер линии],Щиты[[#This Row],[_строка фидера]]))</f>
        <v>ЩО-001</v>
      </c>
      <c r="X12" s="6">
        <f>SUMIFS(Щиты[_Руст собств],Щиты[Путь],"*|"&amp;Щиты[[#This Row],[Щит]]&amp;"|*")</f>
        <v>1.9000000000000006</v>
      </c>
      <c r="Y12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1.5200000000000005</v>
      </c>
      <c r="Z12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2.5524959269436094</v>
      </c>
      <c r="AA12" s="6">
        <f>IFERROR(SUMIFS(Щиты[_Pcos собств],Щиты[Путь],"*|"&amp;Щиты[[#This Row],[Щит]]&amp;"|*")/SUMIFS(Щиты[_P собств],Щиты[Путь],"*|"&amp;Щиты[[#This Row],[Щит]]&amp;"|*"),0.95)</f>
        <v>0.94999999999999951</v>
      </c>
      <c r="AB12" s="6" cm="1">
        <f t="array" ref="AB12">SUMPRODUCT(--ISNUMBER(SEARCH("|"&amp;Щиты[Щит]&amp;"|",Щиты[[#This Row],[Путь]])),IFERROR(--Щиты[_ΔU фидера],0)+IFERROR(--Щиты[_ΔU источника],0))</f>
        <v>0.17</v>
      </c>
      <c r="AC12" s="6" t="str">
        <f>IF(ISNUMBER(Щиты[[#This Row],[Zпетли на шинах, Ом]]),c_min*(Uн_лин*1000/SQRT(3))/Щиты[[#This Row],[Zпетли на шинах, Ом]],"")</f>
        <v/>
      </c>
      <c r="AD12" s="6" t="str">
        <f>IF(ISNUMBER(Щиты[[#This Row],[Zmax на шинах, Ом]]),1.05*(Uн_лин*1000/SQRT(3))/Щиты[[#This Row],[Zmax на шинах, Ом]]/1000,"")</f>
        <v/>
      </c>
      <c r="AE12" t="str" cm="1">
        <f t="array" ref="AE12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2" t="str" cm="1">
        <f t="array" ref="AF12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|ГРЩ-ЖД|ЩГП|ЩО-001|</v>
      </c>
      <c r="AG12" s="6" t="str">
        <f>_xlfn.TEXTBEFORE(MID(Щиты[[#This Row],[Путь]],2,999),"|")</f>
        <v>ГРЩ-ЖД</v>
      </c>
      <c r="AH12">
        <f>LEN(Щиты[[#This Row],[Путь]])-LEN(SUBSTITUTE(Щиты[[#This Row],[Путь]],"|",""))-2</f>
        <v>2</v>
      </c>
      <c r="AI12">
        <f>IFERROR(_xlfn.XMATCH(Щиты[[#This Row],[Щит]],Линии[_фидер]),"")</f>
        <v>27</v>
      </c>
      <c r="AJ12">
        <f>SUMIFS(Линии[_Руст (без Нет)],Линии[Щит],Щиты[[#This Row],[Щит]])</f>
        <v>1.9000000000000006</v>
      </c>
      <c r="AK12">
        <f>SUMIFS(Линии[_Руст быт],Линии[Щит],Щиты[[#This Row],[Щит]])</f>
        <v>1.9000000000000006</v>
      </c>
      <c r="AL12">
        <f>SUMIFS(Линии[_Рр сил],Линии[Щит],Щиты[[#This Row],[Щит]])</f>
        <v>0</v>
      </c>
      <c r="AM12">
        <f>SUMIFS(Линии[_Руст пост],Линии[Щит],Щиты[[#This Row],[Щит]])</f>
        <v>0</v>
      </c>
      <c r="AN12">
        <f>SUMIFS(Линии[_P для cos],Линии[Щит],Щиты[[#This Row],[Щит]])</f>
        <v>1.9000000000000006</v>
      </c>
      <c r="AO12">
        <f>SUMIFS(Линии[_P·cos],Линии[Щит],Щиты[[#This Row],[Щит]])</f>
        <v>1.8049999999999997</v>
      </c>
      <c r="AP12">
        <f>SUMIFS(Линии[_Р отопления],Линии[Щит],Щиты[[#This Row],[Щит]])</f>
        <v>0</v>
      </c>
      <c r="AQ12">
        <f>SUMIFS(Линии[_Рр ВНГ],Линии[Щит],Щиты[[#This Row],[Щит]])</f>
        <v>0</v>
      </c>
      <c r="AR12" s="6">
        <f>SUMIFS(Щиты[_быт собств],Щиты[Путь],"*|"&amp;Щиты[[#This Row],[Щит]]&amp;"|*")</f>
        <v>1.9000000000000006</v>
      </c>
      <c r="AS12" s="6" cm="1">
        <f t="array" ref="AS12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12" s="6">
        <f>SUMIFS(Щиты[_сил собств],Щиты[Путь],"*|"&amp;Щиты[[#This Row],[Щит]]&amp;"|*")</f>
        <v>0</v>
      </c>
      <c r="AU12" s="6">
        <f>SUMIFS(Щиты[_пост собств],Щиты[Путь],"*|"&amp;Щиты[[#This Row],[Щит]]&amp;"|*")</f>
        <v>0</v>
      </c>
      <c r="AV12" s="6">
        <f>SUMIFS(Щиты[_отоп собств],Щиты[Путь],"*|"&amp;Щиты[[#This Row],[Щит]]&amp;"|*")</f>
        <v>0</v>
      </c>
      <c r="AW12" s="6">
        <f>SUMIFS(Щиты[_внг собств],Щиты[Путь],"*|"&amp;Щиты[[#This Row],[Щит]]&amp;"|*")</f>
        <v>0</v>
      </c>
      <c r="AX12">
        <f>COUNTIFS(Линии[Щит],Щиты[[#This Row],[Щит]],Линии[Группа Кс (итог)],"Сил")</f>
        <v>0</v>
      </c>
      <c r="AY12" s="6" cm="1">
        <f t="array" ref="AY12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12" s="6">
        <f>IF(Методика="нормы 2026",IF(AND(Щиты[[#This Row],[Руст быт, кВт]]&gt;0,Щиты[[#This Row],[Рр сил, кВт]]&gt;0),Ко_сил,1),Ко_сил)</f>
        <v>1</v>
      </c>
      <c r="BA12" s="6">
        <f>IF(Щиты[[#This Row],[Руст, кВт]]=0,0,Щиты[[#This Row],[Рр, кВт]]/Щиты[[#This Row],[Руст, кВт]])</f>
        <v>0.8</v>
      </c>
      <c r="BB1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0.7</v>
      </c>
      <c r="BC1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0.6</v>
      </c>
      <c r="BD1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0.6</v>
      </c>
      <c r="BE12" cm="1">
        <f t="array" ref="BE12">IF(Щиты[[#This Row],[_строка фидера]]="","",INDEX(Линии[ΔU, %],Щиты[[#This Row],[_строка фидера]]))</f>
        <v>0.17</v>
      </c>
      <c r="BF12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2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2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2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2" t="str">
        <f>IF(Щиты[[#This Row],[_Zсети]]="","",Щиты[[#This Row],[_Zсети]]+Щиты[[#This Row],[_петля пит. кабеля]])</f>
        <v/>
      </c>
      <c r="BK12" cm="1">
        <f t="array" ref="BK12">IF(Щиты[[#This Row],[_строка фидера]]="","",INDEX(Линии[_Zкабеля],Щиты[[#This Row],[_строка фидера]]))</f>
        <v>0.35943333333333333</v>
      </c>
      <c r="BL12" s="6" t="str" cm="1">
        <f t="array" ref="BL12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2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2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2" cm="1">
        <f t="array" ref="BO12">IF(Щиты[[#This Row],[_строка фидера]]="","",INDEX(Линии[_Zmax кабеля],Щиты[[#This Row],[_строка фидера]]))</f>
        <v>0.11958333333333333</v>
      </c>
      <c r="BP12" s="6" t="str" cm="1">
        <f t="array" ref="BP12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2" cm="1">
        <f t="array" ref="BQ12">IF(Щиты[[#This Row],[_строка фидера]]="","",INDEX(Линии[_ΔU по току, %],Щиты[[#This Row],[_строка фидера]]))</f>
        <v>0.65</v>
      </c>
      <c r="BR12" s="6" cm="1">
        <f t="array" ref="BR12">SUMPRODUCT(--ISNUMBER(SEARCH("|"&amp;Щиты[Щит]&amp;"|",Щиты[[#This Row],[Путь]])),IFERROR(--Щиты[_ΔU фидера (подбор)],0)+IFERROR(--Щиты[_ΔU источника],0))</f>
        <v>0.65</v>
      </c>
      <c r="BS12" cm="1">
        <f t="array" ref="BS12">IF(Щиты[[#This Row],[_строка фидера]]="","",INDEX(Линии[_Zкабеля по току],Щиты[[#This Row],[_строка фидера]]))</f>
        <v>1.4377333333333333</v>
      </c>
      <c r="BT12" s="6" t="str" cm="1">
        <f t="array" ref="BT12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2">
        <f>_xlfn.MAXIFS(Линии[_ранг для фидера],Линии[Щит],Щиты[[#This Row],[Щит]])</f>
        <v>1</v>
      </c>
      <c r="BV12" t="str" cm="1">
        <f t="array" ref="BV12">IFERROR(INDEX({"III","II","I","I особая"},MAX(1,_xlfn.MAXIFS(Щиты[_ранг собств],Щиты[Путь],"*|"&amp;Щиты[[#This Row],[Щит]]&amp;"|*"))),"III")</f>
        <v>III</v>
      </c>
      <c r="BW12" t="str" cm="1">
        <f t="array" ref="BW12">IF(Щиты[[#This Row],[_строка фидера]]="","",INDEX(Линии[Категория (итог)],Щиты[[#This Row],[_строка фидера]]))</f>
        <v>I</v>
      </c>
      <c r="BX12" s="6">
        <f>_xlfn.MAXIFS(Линии[Iпуск, А],Линии[Щит],Щиты[[#This Row],[Щит]])</f>
        <v>50</v>
      </c>
      <c r="BY12" t="str" cm="1">
        <f t="array" ref="BY12">IF(Щиты[[#This Row],[_строка фидера]]="","",INDEX(Линии[Источник для режимов],Щиты[[#This Row],[_строка фидера]]))</f>
        <v>ИБП</v>
      </c>
      <c r="BZ12" t="str" cm="1">
        <f t="array" ref="BZ12">IF(Щиты[[#This Row],[_строка фидера]]="","",INDEX(Линии[Пожарная (итог)],Щиты[[#This Row],[_строка фидера]]))</f>
        <v>нет</v>
      </c>
      <c r="CA12">
        <f>COUNTIFS(Линии[Щит],Щиты[[#This Row],[Щит]],Линии[Категория: проверка],"НЕ ОБЕСПЕЧЕНА")</f>
        <v>0</v>
      </c>
      <c r="CB12" t="str" cm="1">
        <f t="array" ref="CB12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;30:L1;31:L2;32:L3;33:L1;34:L2;35:L3;36:L1;37:L2;38:L3;39:L1;40:L2;41:L3;42:L1;43:L2;44:L3;45:L1;46:L2;47:L3;50:L1;48:L2;49:L2;</v>
      </c>
    </row>
    <row r="13" spans="1:80" x14ac:dyDescent="0.3">
      <c r="A13" t="s">
        <v>749</v>
      </c>
      <c r="C13">
        <v>1</v>
      </c>
      <c r="D13" t="s">
        <v>486</v>
      </c>
      <c r="E13" t="s">
        <v>842</v>
      </c>
      <c r="F13">
        <v>1</v>
      </c>
      <c r="U13" t="str" cm="1">
        <f t="array" ref="U13">IF(Щиты[[#This Row],[Питается от]]&lt;&gt;"",Щиты[[#This Row],[Питается от]],IFERROR(INDEX(Линии[Щит],Щиты[[#This Row],[_строка фидера]]),""))</f>
        <v>ГРЩ-ЖД</v>
      </c>
      <c r="V13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3" t="str" cm="1">
        <f t="array" ref="W13">IF(Щиты[[#This Row],[_строка фидера]]="","",INDEX(Линии[Номер линии],Щиты[[#This Row],[_строка фидера]]))</f>
        <v>ЩОВ-001</v>
      </c>
      <c r="X13" s="6">
        <f>SUMIFS(Щиты[_Руст собств],Щиты[Путь],"*|"&amp;Щиты[[#This Row],[Щит]]&amp;"|*")</f>
        <v>211.22</v>
      </c>
      <c r="Y13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105.61</v>
      </c>
      <c r="Z13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190.59775761622515</v>
      </c>
      <c r="AA13" s="6">
        <f>IFERROR(SUMIFS(Щиты[_Pcos собств],Щиты[Путь],"*|"&amp;Щиты[[#This Row],[Щит]]&amp;"|*")/SUMIFS(Щиты[_P собств],Щиты[Путь],"*|"&amp;Щиты[[#This Row],[Щит]]&amp;"|*"),0.95)</f>
        <v>0.8</v>
      </c>
      <c r="AB13" s="6" cm="1">
        <f t="array" ref="AB13">SUMPRODUCT(--ISNUMBER(SEARCH("|"&amp;Щиты[Щит]&amp;"|",Щиты[[#This Row],[Путь]])),IFERROR(--Щиты[_ΔU фидера],0)+IFERROR(--Щиты[_ΔU источника],0))</f>
        <v>0.64</v>
      </c>
      <c r="AC13" s="6" t="str">
        <f>IF(ISNUMBER(Щиты[[#This Row],[Zпетли на шинах, Ом]]),c_min*(Uн_лин*1000/SQRT(3))/Щиты[[#This Row],[Zпетли на шинах, Ом]],"")</f>
        <v/>
      </c>
      <c r="AD13" s="6" t="str">
        <f>IF(ISNUMBER(Щиты[[#This Row],[Zmax на шинах, Ом]]),1.05*(Uн_лин*1000/SQRT(3))/Щиты[[#This Row],[Zmax на шинах, Ом]]/1000,"")</f>
        <v/>
      </c>
      <c r="AE13" t="str" cm="1">
        <f t="array" ref="AE13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3" t="str" cm="1">
        <f t="array" ref="AF13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|ГРЩ-ЖД|ЩОВ-001|</v>
      </c>
      <c r="AG13" s="6" t="str">
        <f>_xlfn.TEXTBEFORE(MID(Щиты[[#This Row],[Путь]],2,999),"|")</f>
        <v>ГРЩ-ЖД</v>
      </c>
      <c r="AH13">
        <f>LEN(Щиты[[#This Row],[Путь]])-LEN(SUBSTITUTE(Щиты[[#This Row],[Путь]],"|",""))-2</f>
        <v>1</v>
      </c>
      <c r="AI13">
        <f>IFERROR(_xlfn.XMATCH(Щиты[[#This Row],[Щит]],Линии[_фидер]),"")</f>
        <v>6</v>
      </c>
      <c r="AJ13">
        <f>SUMIFS(Линии[_Руст (без Нет)],Линии[Щит],Щиты[[#This Row],[Щит]])</f>
        <v>211.22</v>
      </c>
      <c r="AK13">
        <f>SUMIFS(Линии[_Руст быт],Линии[Щит],Щиты[[#This Row],[Щит]])</f>
        <v>0</v>
      </c>
      <c r="AL13">
        <f>SUMIFS(Линии[_Рр сил],Линии[Щит],Щиты[[#This Row],[Щит]])</f>
        <v>105.61</v>
      </c>
      <c r="AM13">
        <f>SUMIFS(Линии[_Руст пост],Линии[Щит],Щиты[[#This Row],[Щит]])</f>
        <v>0</v>
      </c>
      <c r="AN13">
        <f>SUMIFS(Линии[_P для cos],Линии[Щит],Щиты[[#This Row],[Щит]])</f>
        <v>211.22</v>
      </c>
      <c r="AO13">
        <f>SUMIFS(Линии[_P·cos],Линии[Щит],Щиты[[#This Row],[Щит]])</f>
        <v>168.976</v>
      </c>
      <c r="AP13">
        <f>SUMIFS(Линии[_Р отопления],Линии[Щит],Щиты[[#This Row],[Щит]])</f>
        <v>0</v>
      </c>
      <c r="AQ13">
        <f>SUMIFS(Линии[_Рр ВНГ],Линии[Щит],Щиты[[#This Row],[Щит]])</f>
        <v>0</v>
      </c>
      <c r="AR13" s="6">
        <f>SUMIFS(Щиты[_быт собств],Щиты[Путь],"*|"&amp;Щиты[[#This Row],[Щит]]&amp;"|*")</f>
        <v>0</v>
      </c>
      <c r="AS13" s="6" cm="1">
        <f t="array" ref="AS13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13" s="6">
        <f>SUMIFS(Щиты[_сил собств],Щиты[Путь],"*|"&amp;Щиты[[#This Row],[Щит]]&amp;"|*")</f>
        <v>105.61</v>
      </c>
      <c r="AU13" s="6">
        <f>SUMIFS(Щиты[_пост собств],Щиты[Путь],"*|"&amp;Щиты[[#This Row],[Щит]]&amp;"|*")</f>
        <v>0</v>
      </c>
      <c r="AV13" s="6">
        <f>SUMIFS(Щиты[_отоп собств],Щиты[Путь],"*|"&amp;Щиты[[#This Row],[Щит]]&amp;"|*")</f>
        <v>0</v>
      </c>
      <c r="AW13" s="6">
        <f>SUMIFS(Щиты[_внг собств],Щиты[Путь],"*|"&amp;Щиты[[#This Row],[Щит]]&amp;"|*")</f>
        <v>0</v>
      </c>
      <c r="AX13">
        <f>COUNTIFS(Линии[Щит],Щиты[[#This Row],[Щит]],Линии[Группа Кс (итог)],"Сил")</f>
        <v>34</v>
      </c>
      <c r="AY13" s="6" cm="1">
        <f t="array" ref="AY13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0.59</v>
      </c>
      <c r="AZ13" s="6">
        <f>IF(Методика="нормы 2026",IF(AND(Щиты[[#This Row],[Руст быт, кВт]]&gt;0,Щиты[[#This Row],[Рр сил, кВт]]&gt;0),Ко_сил,1),Ко_сил)</f>
        <v>1</v>
      </c>
      <c r="BA13" s="6">
        <f>IF(Щиты[[#This Row],[Руст, кВт]]=0,0,Щиты[[#This Row],[Рр, кВт]]/Щиты[[#This Row],[Руст, кВт]])</f>
        <v>0.5</v>
      </c>
      <c r="BB1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70.416666666666657</v>
      </c>
      <c r="BC1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70.376666666666665</v>
      </c>
      <c r="BD1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70.426666666666662</v>
      </c>
      <c r="BE13" cm="1">
        <f t="array" ref="BE13">IF(Щиты[[#This Row],[_строка фидера]]="","",INDEX(Линии[ΔU, %],Щиты[[#This Row],[_строка фидера]]))</f>
        <v>0.64</v>
      </c>
      <c r="BF13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3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3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3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3" t="str">
        <f>IF(Щиты[[#This Row],[_Zсети]]="","",Щиты[[#This Row],[_Zсети]]+Щиты[[#This Row],[_петля пит. кабеля]])</f>
        <v/>
      </c>
      <c r="BK13" cm="1">
        <f t="array" ref="BK13">IF(Щиты[[#This Row],[_строка фидера]]="","",INDEX(Линии[_Zкабеля],Щиты[[#This Row],[_строка фидера]]))</f>
        <v>1.6490810810810812E-2</v>
      </c>
      <c r="BL13" s="6" t="str" cm="1">
        <f t="array" ref="BL13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3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3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3" cm="1">
        <f t="array" ref="BO13">IF(Щиты[[#This Row],[_строка фидера]]="","",INDEX(Линии[_Zmax кабеля],Щиты[[#This Row],[_строка фидера]]))</f>
        <v>5.486486486486487E-3</v>
      </c>
      <c r="BP13" s="6" t="str" cm="1">
        <f t="array" ref="BP13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3" cm="1">
        <f t="array" ref="BQ13">IF(Щиты[[#This Row],[_строка фидера]]="","",INDEX(Линии[_ΔU по току, %],Щиты[[#This Row],[_строка фидера]]))</f>
        <v>0.75</v>
      </c>
      <c r="BR13" s="6" cm="1">
        <f t="array" ref="BR13">SUMPRODUCT(--ISNUMBER(SEARCH("|"&amp;Щиты[Щит]&amp;"|",Щиты[[#This Row],[Путь]])),IFERROR(--Щиты[_ΔU фидера (подбор)],0)+IFERROR(--Щиты[_ΔU источника],0))</f>
        <v>0.75</v>
      </c>
      <c r="BS13" cm="1">
        <f t="array" ref="BS13">IF(Щиты[[#This Row],[_строка фидера]]="","",INDEX(Линии[_Zкабеля по току],Щиты[[#This Row],[_строка фидера]]))</f>
        <v>2.0338666666666668E-2</v>
      </c>
      <c r="BT13" s="6" t="str" cm="1">
        <f t="array" ref="BT13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3">
        <f>_xlfn.MAXIFS(Линии[_ранг для фидера],Линии[Щит],Щиты[[#This Row],[Щит]])</f>
        <v>2</v>
      </c>
      <c r="BV13" t="str" cm="1">
        <f t="array" ref="BV13">IFERROR(INDEX({"III","II","I","I особая"},MAX(1,_xlfn.MAXIFS(Щиты[_ранг собств],Щиты[Путь],"*|"&amp;Щиты[[#This Row],[Щит]]&amp;"|*"))),"III")</f>
        <v>II</v>
      </c>
      <c r="BW13" t="str" cm="1">
        <f t="array" ref="BW13">IF(Щиты[[#This Row],[_строка фидера]]="","",INDEX(Линии[Категория (итог)],Щиты[[#This Row],[_строка фидера]]))</f>
        <v>II</v>
      </c>
      <c r="BX13" s="6">
        <f>_xlfn.MAXIFS(Линии[Iпуск, А],Линии[Щит],Щиты[[#This Row],[Щит]])</f>
        <v>0</v>
      </c>
      <c r="BY13" t="str" cm="1">
        <f t="array" ref="BY13">IF(Щиты[[#This Row],[_строка фидера]]="","",INDEX(Линии[Источник для режимов],Щиты[[#This Row],[_строка фидера]]))</f>
        <v>Ввод 2</v>
      </c>
      <c r="BZ13" t="str" cm="1">
        <f t="array" ref="BZ13">IF(Щиты[[#This Row],[_строка фидера]]="","",INDEX(Линии[Пожарная (итог)],Щиты[[#This Row],[_строка фидера]]))</f>
        <v>нет</v>
      </c>
      <c r="CA13">
        <f>COUNTIFS(Линии[Щит],Щиты[[#This Row],[Щит]],Линии[Категория: проверка],"НЕ ОБЕСПЕЧЕНА")</f>
        <v>0</v>
      </c>
      <c r="CB13" t="str" cm="1">
        <f t="array" ref="CB13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;62:L1;67:L2;68:L3;69:L2;70:L3;71:L1;72:L2;73:L3;74:L1;75:L2;76:L3;77:L1;64:L2;61:L3;63:L1;65:L1;66:L1;59:L3;60:L2;52:L1;53:L2;54:L1;55:L3;56:L2;57:L1;58:L3;</v>
      </c>
    </row>
    <row r="14" spans="1:80" x14ac:dyDescent="0.3">
      <c r="A14" t="s">
        <v>751</v>
      </c>
      <c r="C14">
        <v>1</v>
      </c>
      <c r="D14" t="s">
        <v>486</v>
      </c>
      <c r="E14" t="s">
        <v>842</v>
      </c>
      <c r="F14">
        <v>2</v>
      </c>
      <c r="U14" t="str" cm="1">
        <f t="array" ref="U14">IF(Щиты[[#This Row],[Питается от]]&lt;&gt;"",Щиты[[#This Row],[Питается от]],IFERROR(INDEX(Линии[Щит],Щиты[[#This Row],[_строка фидера]]),""))</f>
        <v>ГРЩ-ЖД</v>
      </c>
      <c r="V14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4" t="str" cm="1">
        <f t="array" ref="W14">IF(Щиты[[#This Row],[_строка фидера]]="","",INDEX(Линии[Номер линии],Щиты[[#This Row],[_строка фидера]]))</f>
        <v>ЩОВ-002</v>
      </c>
      <c r="X14" s="6">
        <f>SUMIFS(Щиты[_Руст собств],Щиты[Путь],"*|"&amp;Щиты[[#This Row],[Щит]]&amp;"|*")</f>
        <v>6.99</v>
      </c>
      <c r="Y14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3.4950000000000001</v>
      </c>
      <c r="Z14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8.1189881604791125</v>
      </c>
      <c r="AA14" s="6">
        <f>IFERROR(SUMIFS(Щиты[_Pcos собств],Щиты[Путь],"*|"&amp;Щиты[[#This Row],[Щит]]&amp;"|*")/SUMIFS(Щиты[_P собств],Щиты[Путь],"*|"&amp;Щиты[[#This Row],[Щит]]&amp;"|*"),0.95)</f>
        <v>0.79999999999999982</v>
      </c>
      <c r="AB14" s="6" cm="1">
        <f t="array" ref="AB14">SUMPRODUCT(--ISNUMBER(SEARCH("|"&amp;Щиты[Щит]&amp;"|",Щиты[[#This Row],[Путь]])),IFERROR(--Щиты[_ΔU фидера],0)+IFERROR(--Щиты[_ΔU источника],0))</f>
        <v>0.74</v>
      </c>
      <c r="AC14" s="6" t="str">
        <f>IF(ISNUMBER(Щиты[[#This Row],[Zпетли на шинах, Ом]]),c_min*(Uн_лин*1000/SQRT(3))/Щиты[[#This Row],[Zпетли на шинах, Ом]],"")</f>
        <v/>
      </c>
      <c r="AD14" s="6" t="str">
        <f>IF(ISNUMBER(Щиты[[#This Row],[Zmax на шинах, Ом]]),1.05*(Uн_лин*1000/SQRT(3))/Щиты[[#This Row],[Zmax на шинах, Ом]]/1000,"")</f>
        <v/>
      </c>
      <c r="AE14" t="str" cm="1">
        <f t="array" ref="AE14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4" t="str" cm="1">
        <f t="array" ref="AF14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|ГРЩ-ЖД|ЩОВ-002|</v>
      </c>
      <c r="AG14" s="6" t="str">
        <f>_xlfn.TEXTBEFORE(MID(Щиты[[#This Row],[Путь]],2,999),"|")</f>
        <v>ГРЩ-ЖД</v>
      </c>
      <c r="AH14">
        <f>LEN(Щиты[[#This Row],[Путь]])-LEN(SUBSTITUTE(Щиты[[#This Row],[Путь]],"|",""))-2</f>
        <v>1</v>
      </c>
      <c r="AI14">
        <f>IFERROR(_xlfn.XMATCH(Щиты[[#This Row],[Щит]],Линии[_фидер]),"")</f>
        <v>7</v>
      </c>
      <c r="AJ14">
        <f>SUMIFS(Линии[_Руст (без Нет)],Линии[Щит],Щиты[[#This Row],[Щит]])</f>
        <v>6.99</v>
      </c>
      <c r="AK14">
        <f>SUMIFS(Линии[_Руст быт],Линии[Щит],Щиты[[#This Row],[Щит]])</f>
        <v>0</v>
      </c>
      <c r="AL14">
        <f>SUMIFS(Линии[_Рр сил],Линии[Щит],Щиты[[#This Row],[Щит]])</f>
        <v>3.4950000000000001</v>
      </c>
      <c r="AM14">
        <f>SUMIFS(Линии[_Руст пост],Линии[Щит],Щиты[[#This Row],[Щит]])</f>
        <v>0</v>
      </c>
      <c r="AN14">
        <f>SUMIFS(Линии[_P для cos],Линии[Щит],Щиты[[#This Row],[Щит]])</f>
        <v>6.99</v>
      </c>
      <c r="AO14">
        <f>SUMIFS(Линии[_P·cos],Линии[Щит],Щиты[[#This Row],[Щит]])</f>
        <v>5.5919999999999987</v>
      </c>
      <c r="AP14">
        <f>SUMIFS(Линии[_Р отопления],Линии[Щит],Щиты[[#This Row],[Щит]])</f>
        <v>0</v>
      </c>
      <c r="AQ14">
        <f>SUMIFS(Линии[_Рр ВНГ],Линии[Щит],Щиты[[#This Row],[Щит]])</f>
        <v>0</v>
      </c>
      <c r="AR14" s="6">
        <f>SUMIFS(Щиты[_быт собств],Щиты[Путь],"*|"&amp;Щиты[[#This Row],[Щит]]&amp;"|*")</f>
        <v>0</v>
      </c>
      <c r="AS14" s="6" cm="1">
        <f t="array" ref="AS14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14" s="6">
        <f>SUMIFS(Щиты[_сил собств],Щиты[Путь],"*|"&amp;Щиты[[#This Row],[Щит]]&amp;"|*")</f>
        <v>3.4950000000000001</v>
      </c>
      <c r="AU14" s="6">
        <f>SUMIFS(Щиты[_пост собств],Щиты[Путь],"*|"&amp;Щиты[[#This Row],[Щит]]&amp;"|*")</f>
        <v>0</v>
      </c>
      <c r="AV14" s="6">
        <f>SUMIFS(Щиты[_отоп собств],Щиты[Путь],"*|"&amp;Щиты[[#This Row],[Щит]]&amp;"|*")</f>
        <v>0</v>
      </c>
      <c r="AW14" s="6">
        <f>SUMIFS(Щиты[_внг собств],Щиты[Путь],"*|"&amp;Щиты[[#This Row],[Щит]]&amp;"|*")</f>
        <v>0</v>
      </c>
      <c r="AX14">
        <f>COUNTIFS(Линии[Щит],Щиты[[#This Row],[Щит]],Линии[Группа Кс (итог)],"Сил")</f>
        <v>13</v>
      </c>
      <c r="AY14" s="6" cm="1">
        <f t="array" ref="AY14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0.67</v>
      </c>
      <c r="AZ14" s="6">
        <f>IF(Методика="нормы 2026",IF(AND(Щиты[[#This Row],[Руст быт, кВт]]&gt;0,Щиты[[#This Row],[Рр сил, кВт]]&gt;0),Ко_сил,1),Ко_сил)</f>
        <v>1</v>
      </c>
      <c r="BA14" s="6">
        <f>IF(Щиты[[#This Row],[Руст, кВт]]=0,0,Щиты[[#This Row],[Рр, кВт]]/Щиты[[#This Row],[Руст, кВт]])</f>
        <v>0.5</v>
      </c>
      <c r="BB1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1.8900000000000006</v>
      </c>
      <c r="BC1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2.1</v>
      </c>
      <c r="BD1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</v>
      </c>
      <c r="BE14" cm="1">
        <f t="array" ref="BE14">IF(Щиты[[#This Row],[_строка фидера]]="","",INDEX(Линии[ΔU, %],Щиты[[#This Row],[_строка фидера]]))</f>
        <v>0.74</v>
      </c>
      <c r="BF14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4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4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4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4" t="str">
        <f>IF(Щиты[[#This Row],[_Zсети]]="","",Щиты[[#This Row],[_Zсети]]+Щиты[[#This Row],[_петля пит. кабеля]])</f>
        <v/>
      </c>
      <c r="BK14" cm="1">
        <f t="array" ref="BK14">IF(Щиты[[#This Row],[_строка фидера]]="","",INDEX(Линии[_Zкабеля],Щиты[[#This Row],[_строка фидера]]))</f>
        <v>0.60489999999999999</v>
      </c>
      <c r="BL14" s="6" t="str" cm="1">
        <f t="array" ref="BL1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4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4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4" cm="1">
        <f t="array" ref="BO14">IF(Щиты[[#This Row],[_строка фидера]]="","",INDEX(Линии[_Zmax кабеля],Щиты[[#This Row],[_строка фидера]]))</f>
        <v>0.20125000000000001</v>
      </c>
      <c r="BP14" s="6" t="str" cm="1">
        <f t="array" ref="BP14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4" cm="1">
        <f t="array" ref="BQ14">IF(Щиты[[#This Row],[_строка фидера]]="","",INDEX(Линии[_ΔU по току, %],Щиты[[#This Row],[_строка фидера]]))</f>
        <v>1.96</v>
      </c>
      <c r="BR14" s="6" cm="1">
        <f t="array" ref="BR14">SUMPRODUCT(--ISNUMBER(SEARCH("|"&amp;Щиты[Щит]&amp;"|",Щиты[[#This Row],[Путь]])),IFERROR(--Щиты[_ΔU фидера (подбор)],0)+IFERROR(--Щиты[_ΔU источника],0))</f>
        <v>1.96</v>
      </c>
      <c r="BS14" cm="1">
        <f t="array" ref="BS14">IF(Щиты[[#This Row],[_строка фидера]]="","",INDEX(Линии[_Zкабеля по току],Щиты[[#This Row],[_строка фидера]]))</f>
        <v>1.6130666666666666</v>
      </c>
      <c r="BT14" s="6" t="str" cm="1">
        <f t="array" ref="BT1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4">
        <f>_xlfn.MAXIFS(Линии[_ранг для фидера],Линии[Щит],Щиты[[#This Row],[Щит]])</f>
        <v>2</v>
      </c>
      <c r="BV14" t="str" cm="1">
        <f t="array" ref="BV14">IFERROR(INDEX({"III","II","I","I особая"},MAX(1,_xlfn.MAXIFS(Щиты[_ранг собств],Щиты[Путь],"*|"&amp;Щиты[[#This Row],[Щит]]&amp;"|*"))),"III")</f>
        <v>II</v>
      </c>
      <c r="BW14" t="str" cm="1">
        <f t="array" ref="BW14">IF(Щиты[[#This Row],[_строка фидера]]="","",INDEX(Линии[Категория (итог)],Щиты[[#This Row],[_строка фидера]]))</f>
        <v>II</v>
      </c>
      <c r="BX14" s="6">
        <f>_xlfn.MAXIFS(Линии[Iпуск, А],Линии[Щит],Щиты[[#This Row],[Щит]])</f>
        <v>0</v>
      </c>
      <c r="BY14" t="str" cm="1">
        <f t="array" ref="BY14">IF(Щиты[[#This Row],[_строка фидера]]="","",INDEX(Линии[Источник для режимов],Щиты[[#This Row],[_строка фидера]]))</f>
        <v>Ввод 1</v>
      </c>
      <c r="BZ14" t="str" cm="1">
        <f t="array" ref="BZ14">IF(Щиты[[#This Row],[_строка фидера]]="","",INDEX(Линии[Пожарная (итог)],Щиты[[#This Row],[_строка фидера]]))</f>
        <v>нет</v>
      </c>
      <c r="CA14">
        <f>COUNTIFS(Линии[Щит],Щиты[[#This Row],[Щит]],Линии[Категория: проверка],"НЕ ОБЕСПЕЧЕНА")</f>
        <v>0</v>
      </c>
      <c r="CB14" t="str" cm="1">
        <f t="array" ref="CB14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;90:L3;</v>
      </c>
    </row>
    <row r="15" spans="1:80" x14ac:dyDescent="0.3">
      <c r="A15" t="s">
        <v>747</v>
      </c>
      <c r="C15">
        <v>1</v>
      </c>
      <c r="D15" t="s">
        <v>486</v>
      </c>
      <c r="E15" t="s">
        <v>842</v>
      </c>
      <c r="F15">
        <v>1</v>
      </c>
      <c r="U15" t="str" cm="1">
        <f t="array" ref="U15">IF(Щиты[[#This Row],[Питается от]]&lt;&gt;"",Щиты[[#This Row],[Питается от]],IFERROR(INDEX(Линии[Щит],Щиты[[#This Row],[_строка фидера]]),""))</f>
        <v>ГРЩ-ЖД</v>
      </c>
      <c r="V15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5" t="str" cm="1">
        <f t="array" ref="W15">IF(Щиты[[#This Row],[_строка фидера]]="","",INDEX(Линии[Номер линии],Щиты[[#This Row],[_строка фидера]]))</f>
        <v>ЩОВ-01</v>
      </c>
      <c r="X15" s="6">
        <f>SUMIFS(Щиты[_Руст собств],Щиты[Путь],"*|"&amp;Щиты[[#This Row],[Щит]]&amp;"|*")</f>
        <v>13.172999999999996</v>
      </c>
      <c r="Y15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6.5864999999999982</v>
      </c>
      <c r="Z15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11.927695717539414</v>
      </c>
      <c r="AA15" s="6">
        <f>IFERROR(SUMIFS(Щиты[_Pcos собств],Щиты[Путь],"*|"&amp;Щиты[[#This Row],[Щит]]&amp;"|*")/SUMIFS(Щиты[_P собств],Щиты[Путь],"*|"&amp;Щиты[[#This Row],[Щит]]&amp;"|*"),0.95)</f>
        <v>0.80000000000000071</v>
      </c>
      <c r="AB15" s="6" cm="1">
        <f t="array" ref="AB15">SUMPRODUCT(--ISNUMBER(SEARCH("|"&amp;Щиты[Щит]&amp;"|",Щиты[[#This Row],[Путь]])),IFERROR(--Щиты[_ΔU фидера],0)+IFERROR(--Щиты[_ΔU источника],0))</f>
        <v>0.24000000000000002</v>
      </c>
      <c r="AC15" s="6" t="str">
        <f>IF(ISNUMBER(Щиты[[#This Row],[Zпетли на шинах, Ом]]),c_min*(Uн_лин*1000/SQRT(3))/Щиты[[#This Row],[Zпетли на шинах, Ом]],"")</f>
        <v/>
      </c>
      <c r="AD15" s="6" t="str">
        <f>IF(ISNUMBER(Щиты[[#This Row],[Zmax на шинах, Ом]]),1.05*(Uн_лин*1000/SQRT(3))/Щиты[[#This Row],[Zmax на шинах, Ом]]/1000,"")</f>
        <v/>
      </c>
      <c r="AE15" t="str" cm="1">
        <f t="array" ref="AE15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5" t="str" cm="1">
        <f t="array" ref="AF15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|ГРЩ-ЖД|ЩОВ-01|</v>
      </c>
      <c r="AG15" s="6" t="str">
        <f>_xlfn.TEXTBEFORE(MID(Щиты[[#This Row],[Путь]],2,999),"|")</f>
        <v>ГРЩ-ЖД</v>
      </c>
      <c r="AH15">
        <f>LEN(Щиты[[#This Row],[Путь]])-LEN(SUBSTITUTE(Щиты[[#This Row],[Путь]],"|",""))-2</f>
        <v>1</v>
      </c>
      <c r="AI15">
        <f>IFERROR(_xlfn.XMATCH(Щиты[[#This Row],[Щит]],Линии[_фидер]),"")</f>
        <v>5</v>
      </c>
      <c r="AJ15">
        <f>SUMIFS(Линии[_Руст (без Нет)],Линии[Щит],Щиты[[#This Row],[Щит]])</f>
        <v>13.172999999999996</v>
      </c>
      <c r="AK15">
        <f>SUMIFS(Линии[_Руст быт],Линии[Щит],Щиты[[#This Row],[Щит]])</f>
        <v>0</v>
      </c>
      <c r="AL15">
        <f>SUMIFS(Линии[_Рр сил],Линии[Щит],Щиты[[#This Row],[Щит]])</f>
        <v>6.5864999999999982</v>
      </c>
      <c r="AM15">
        <f>SUMIFS(Линии[_Руст пост],Линии[Щит],Щиты[[#This Row],[Щит]])</f>
        <v>0</v>
      </c>
      <c r="AN15">
        <f>SUMIFS(Линии[_P для cos],Линии[Щит],Щиты[[#This Row],[Щит]])</f>
        <v>13.172999999999996</v>
      </c>
      <c r="AO15">
        <f>SUMIFS(Линии[_P·cos],Линии[Щит],Щиты[[#This Row],[Щит]])</f>
        <v>10.538400000000006</v>
      </c>
      <c r="AP15">
        <f>SUMIFS(Линии[_Р отопления],Линии[Щит],Щиты[[#This Row],[Щит]])</f>
        <v>0</v>
      </c>
      <c r="AQ15">
        <f>SUMIFS(Линии[_Рр ВНГ],Линии[Щит],Щиты[[#This Row],[Щит]])</f>
        <v>0</v>
      </c>
      <c r="AR15" s="6">
        <f>SUMIFS(Щиты[_быт собств],Щиты[Путь],"*|"&amp;Щиты[[#This Row],[Щит]]&amp;"|*")</f>
        <v>0</v>
      </c>
      <c r="AS15" s="6" cm="1">
        <f t="array" ref="AS15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15" s="6">
        <f>SUMIFS(Щиты[_сил собств],Щиты[Путь],"*|"&amp;Щиты[[#This Row],[Щит]]&amp;"|*")</f>
        <v>6.5864999999999982</v>
      </c>
      <c r="AU15" s="6">
        <f>SUMIFS(Щиты[_пост собств],Щиты[Путь],"*|"&amp;Щиты[[#This Row],[Щит]]&amp;"|*")</f>
        <v>0</v>
      </c>
      <c r="AV15" s="6">
        <f>SUMIFS(Щиты[_отоп собств],Щиты[Путь],"*|"&amp;Щиты[[#This Row],[Щит]]&amp;"|*")</f>
        <v>0</v>
      </c>
      <c r="AW15" s="6">
        <f>SUMIFS(Щиты[_внг собств],Щиты[Путь],"*|"&amp;Щиты[[#This Row],[Щит]]&amp;"|*")</f>
        <v>0</v>
      </c>
      <c r="AX15">
        <f>COUNTIFS(Линии[Щит],Щиты[[#This Row],[Щит]],Линии[Группа Кс (итог)],"Сил")</f>
        <v>27</v>
      </c>
      <c r="AY15" s="6" cm="1">
        <f t="array" ref="AY15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0.61499999999999999</v>
      </c>
      <c r="AZ15" s="6">
        <f>IF(Методика="нормы 2026",IF(AND(Щиты[[#This Row],[Руст быт, кВт]]&gt;0,Щиты[[#This Row],[Рр сил, кВт]]&gt;0),Ко_сил,1),Ко_сил)</f>
        <v>1</v>
      </c>
      <c r="BA15" s="6">
        <f>IF(Щиты[[#This Row],[Руст, кВт]]=0,0,Щиты[[#This Row],[Рр, кВт]]/Щиты[[#This Row],[Руст, кВт]])</f>
        <v>0.5</v>
      </c>
      <c r="BB1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4.4073333333333338</v>
      </c>
      <c r="BC1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4.3883333333333336</v>
      </c>
      <c r="BD1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4.3773333333333335</v>
      </c>
      <c r="BE15" cm="1">
        <f t="array" ref="BE15">IF(Щиты[[#This Row],[_строка фидера]]="","",INDEX(Линии[ΔU, %],Щиты[[#This Row],[_строка фидера]]))</f>
        <v>0.24000000000000002</v>
      </c>
      <c r="BF15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5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5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5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5" t="str">
        <f>IF(Щиты[[#This Row],[_Zсети]]="","",Щиты[[#This Row],[_Zсети]]+Щиты[[#This Row],[_петля пит. кабеля]])</f>
        <v/>
      </c>
      <c r="BK15" cm="1">
        <f t="array" ref="BK15">IF(Щиты[[#This Row],[_строка фидера]]="","",INDEX(Линии[_Zкабеля],Щиты[[#This Row],[_строка фидера]]))</f>
        <v>0.13150000000000001</v>
      </c>
      <c r="BL15" s="6" t="str" cm="1">
        <f t="array" ref="BL1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5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5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5" cm="1">
        <f t="array" ref="BO15">IF(Щиты[[#This Row],[_строка фидера]]="","",INDEX(Линии[_Zmax кабеля],Щиты[[#This Row],[_строка фидера]]))</f>
        <v>4.3750000000000004E-2</v>
      </c>
      <c r="BP15" s="6" t="str" cm="1">
        <f t="array" ref="BP15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5" cm="1">
        <f t="array" ref="BQ15">IF(Щиты[[#This Row],[_строка фидера]]="","",INDEX(Линии[_ΔU по току, %],Щиты[[#This Row],[_строка фидера]]))</f>
        <v>0.36</v>
      </c>
      <c r="BR15" s="6" cm="1">
        <f t="array" ref="BR15">SUMPRODUCT(--ISNUMBER(SEARCH("|"&amp;Щиты[Щит]&amp;"|",Щиты[[#This Row],[Путь]])),IFERROR(--Щиты[_ΔU фидера (подбор)],0)+IFERROR(--Щиты[_ΔU источника],0))</f>
        <v>0.36</v>
      </c>
      <c r="BS15" cm="1">
        <f t="array" ref="BS15">IF(Щиты[[#This Row],[_строка фидера]]="","",INDEX(Линии[_Zкабеля по току],Щиты[[#This Row],[_строка фидера]]))</f>
        <v>0.19725000000000001</v>
      </c>
      <c r="BT15" s="6" t="str" cm="1">
        <f t="array" ref="BT1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5">
        <f>_xlfn.MAXIFS(Линии[_ранг для фидера],Линии[Щит],Щиты[[#This Row],[Щит]])</f>
        <v>2</v>
      </c>
      <c r="BV15" t="str" cm="1">
        <f t="array" ref="BV15">IFERROR(INDEX({"III","II","I","I особая"},MAX(1,_xlfn.MAXIFS(Щиты[_ранг собств],Щиты[Путь],"*|"&amp;Щиты[[#This Row],[Щит]]&amp;"|*"))),"III")</f>
        <v>II</v>
      </c>
      <c r="BW15" t="str" cm="1">
        <f t="array" ref="BW15">IF(Щиты[[#This Row],[_строка фидера]]="","",INDEX(Линии[Категория (итог)],Щиты[[#This Row],[_строка фидера]]))</f>
        <v>II</v>
      </c>
      <c r="BX15" s="6">
        <f>_xlfn.MAXIFS(Линии[Iпуск, А],Линии[Щит],Щиты[[#This Row],[Щит]])</f>
        <v>0</v>
      </c>
      <c r="BY15" t="str" cm="1">
        <f t="array" ref="BY15">IF(Щиты[[#This Row],[_строка фидера]]="","",INDEX(Линии[Источник для режимов],Щиты[[#This Row],[_строка фидера]]))</f>
        <v>Ввод 1</v>
      </c>
      <c r="BZ15" t="str" cm="1">
        <f t="array" ref="BZ15">IF(Щиты[[#This Row],[_строка фидера]]="","",INDEX(Линии[Пожарная (итог)],Щиты[[#This Row],[_строка фидера]]))</f>
        <v>нет</v>
      </c>
      <c r="CA15">
        <f>COUNTIFS(Линии[Щит],Щиты[[#This Row],[Щит]],Линии[Категория: проверка],"НЕ ОБЕСПЕЧЕНА")</f>
        <v>0</v>
      </c>
      <c r="CB15" t="str" cm="1">
        <f t="array" ref="CB15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;118:L1;119:L3;121:L1;126:L3;125:L1;101:L3;104:L2;105:L2;106:L3;107:L1;120:L2;122:L3;123:L1;124:L2;112:L3;113:L1;114:L2;110:L3;111:L1;115:L3;117:L2;127:L1;108:L3;109:L2;116:L1;</v>
      </c>
    </row>
    <row r="16" spans="1:80" x14ac:dyDescent="0.3">
      <c r="A16" t="s">
        <v>753</v>
      </c>
      <c r="C16">
        <v>1</v>
      </c>
      <c r="D16" t="s">
        <v>486</v>
      </c>
      <c r="E16" t="s">
        <v>842</v>
      </c>
      <c r="F16">
        <v>1</v>
      </c>
      <c r="U16" t="str" cm="1">
        <f t="array" ref="U16">IF(Щиты[[#This Row],[Питается от]]&lt;&gt;"",Щиты[[#This Row],[Питается от]],IFERROR(INDEX(Линии[Щит],Щиты[[#This Row],[_строка фидера]]),""))</f>
        <v>ГРЩ-ЖД</v>
      </c>
      <c r="V16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6" t="str" cm="1">
        <f t="array" ref="W16">IF(Щиты[[#This Row],[_строка фидера]]="","",INDEX(Линии[Номер линии],Щиты[[#This Row],[_строка фидера]]))</f>
        <v>ЩОВ-2</v>
      </c>
      <c r="X16" s="6">
        <f>SUMIFS(Щиты[_Руст собств],Щиты[Путь],"*|"&amp;Щиты[[#This Row],[Щит]]&amp;"|*")</f>
        <v>11.093000000000002</v>
      </c>
      <c r="Y16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5.5465000000000009</v>
      </c>
      <c r="Z16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10.284051669940206</v>
      </c>
      <c r="AA16" s="6">
        <f>IFERROR(SUMIFS(Щиты[_Pcos собств],Щиты[Путь],"*|"&amp;Щиты[[#This Row],[Щит]]&amp;"|*")/SUMIFS(Щиты[_P собств],Щиты[Путь],"*|"&amp;Щиты[[#This Row],[Щит]]&amp;"|*"),0.95)</f>
        <v>0.8</v>
      </c>
      <c r="AB16" s="6" cm="1">
        <f t="array" ref="AB16">SUMPRODUCT(--ISNUMBER(SEARCH("|"&amp;Щиты[Щит]&amp;"|",Щиты[[#This Row],[Путь]])),IFERROR(--Щиты[_ΔU фидера],0)+IFERROR(--Щиты[_ΔU источника],0))</f>
        <v>1.1399999999999999</v>
      </c>
      <c r="AC16" s="6" t="str">
        <f>IF(ISNUMBER(Щиты[[#This Row],[Zпетли на шинах, Ом]]),c_min*(Uн_лин*1000/SQRT(3))/Щиты[[#This Row],[Zпетли на шинах, Ом]],"")</f>
        <v/>
      </c>
      <c r="AD16" s="6" t="str">
        <f>IF(ISNUMBER(Щиты[[#This Row],[Zmax на шинах, Ом]]),1.05*(Uн_лин*1000/SQRT(3))/Щиты[[#This Row],[Zmax на шинах, Ом]]/1000,"")</f>
        <v/>
      </c>
      <c r="AE16" t="str" cm="1">
        <f t="array" ref="AE16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6" t="str" cm="1">
        <f t="array" ref="AF16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|ГРЩ-ЖД|ЩОВ-2|</v>
      </c>
      <c r="AG16" s="6" t="str">
        <f>_xlfn.TEXTBEFORE(MID(Щиты[[#This Row],[Путь]],2,999),"|")</f>
        <v>ГРЩ-ЖД</v>
      </c>
      <c r="AH16">
        <f>LEN(Щиты[[#This Row],[Путь]])-LEN(SUBSTITUTE(Щиты[[#This Row],[Путь]],"|",""))-2</f>
        <v>1</v>
      </c>
      <c r="AI16">
        <f>IFERROR(_xlfn.XMATCH(Щиты[[#This Row],[Щит]],Линии[_фидер]),"")</f>
        <v>8</v>
      </c>
      <c r="AJ16">
        <f>SUMIFS(Линии[_Руст (без Нет)],Линии[Щит],Щиты[[#This Row],[Щит]])</f>
        <v>11.093000000000002</v>
      </c>
      <c r="AK16">
        <f>SUMIFS(Линии[_Руст быт],Линии[Щит],Щиты[[#This Row],[Щит]])</f>
        <v>0</v>
      </c>
      <c r="AL16">
        <f>SUMIFS(Линии[_Рр сил],Линии[Щит],Щиты[[#This Row],[Щит]])</f>
        <v>5.5465000000000009</v>
      </c>
      <c r="AM16">
        <f>SUMIFS(Линии[_Руст пост],Линии[Щит],Щиты[[#This Row],[Щит]])</f>
        <v>0</v>
      </c>
      <c r="AN16">
        <f>SUMIFS(Линии[_P для cos],Линии[Щит],Щиты[[#This Row],[Щит]])</f>
        <v>11.093000000000002</v>
      </c>
      <c r="AO16">
        <f>SUMIFS(Линии[_P·cos],Линии[Щит],Щиты[[#This Row],[Щит]])</f>
        <v>8.8744000000000014</v>
      </c>
      <c r="AP16">
        <f>SUMIFS(Линии[_Р отопления],Линии[Щит],Щиты[[#This Row],[Щит]])</f>
        <v>0</v>
      </c>
      <c r="AQ16">
        <f>SUMIFS(Линии[_Рр ВНГ],Линии[Щит],Щиты[[#This Row],[Щит]])</f>
        <v>0</v>
      </c>
      <c r="AR16" s="6">
        <f>SUMIFS(Щиты[_быт собств],Щиты[Путь],"*|"&amp;Щиты[[#This Row],[Щит]]&amp;"|*")</f>
        <v>0</v>
      </c>
      <c r="AS16" s="6" cm="1">
        <f t="array" ref="AS16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16" s="6">
        <f>SUMIFS(Щиты[_сил собств],Щиты[Путь],"*|"&amp;Щиты[[#This Row],[Щит]]&amp;"|*")</f>
        <v>5.5465000000000009</v>
      </c>
      <c r="AU16" s="6">
        <f>SUMIFS(Щиты[_пост собств],Щиты[Путь],"*|"&amp;Щиты[[#This Row],[Щит]]&amp;"|*")</f>
        <v>0</v>
      </c>
      <c r="AV16" s="6">
        <f>SUMIFS(Щиты[_отоп собств],Щиты[Путь],"*|"&amp;Щиты[[#This Row],[Щит]]&amp;"|*")</f>
        <v>0</v>
      </c>
      <c r="AW16" s="6">
        <f>SUMIFS(Щиты[_внг собств],Щиты[Путь],"*|"&amp;Щиты[[#This Row],[Щит]]&amp;"|*")</f>
        <v>0</v>
      </c>
      <c r="AX16">
        <f>COUNTIFS(Линии[Щит],Щиты[[#This Row],[Щит]],Линии[Группа Кс (итог)],"Сил")</f>
        <v>23</v>
      </c>
      <c r="AY16" s="6" cm="1">
        <f t="array" ref="AY16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0.63500000000000001</v>
      </c>
      <c r="AZ16" s="6">
        <f>IF(Методика="нормы 2026",IF(AND(Щиты[[#This Row],[Руст быт, кВт]]&gt;0,Щиты[[#This Row],[Рр сил, кВт]]&gt;0),Ко_сил,1),Ко_сил)</f>
        <v>1</v>
      </c>
      <c r="BA16" s="6">
        <f>IF(Щиты[[#This Row],[Руст, кВт]]=0,0,Щиты[[#This Row],[Рр, кВт]]/Щиты[[#This Row],[Руст, кВт]])</f>
        <v>0.5</v>
      </c>
      <c r="BB1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3.6630000000000003</v>
      </c>
      <c r="BC1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3.63</v>
      </c>
      <c r="BD1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3.8</v>
      </c>
      <c r="BE16" cm="1">
        <f t="array" ref="BE16">IF(Щиты[[#This Row],[_строка фидера]]="","",INDEX(Линии[ΔU, %],Щиты[[#This Row],[_строка фидера]]))</f>
        <v>1.1399999999999999</v>
      </c>
      <c r="BF16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6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6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6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6" t="str">
        <f>IF(Щиты[[#This Row],[_Zсети]]="","",Щиты[[#This Row],[_Zсети]]+Щиты[[#This Row],[_петля пит. кабеля]])</f>
        <v/>
      </c>
      <c r="BK16" cm="1">
        <f t="array" ref="BK16">IF(Щиты[[#This Row],[_строка фидера]]="","",INDEX(Линии[_Zкабеля],Щиты[[#This Row],[_строка фидера]]))</f>
        <v>0.73640000000000005</v>
      </c>
      <c r="BL16" s="6" t="str" cm="1">
        <f t="array" ref="BL1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6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6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6" cm="1">
        <f t="array" ref="BO16">IF(Щиты[[#This Row],[_строка фидера]]="","",INDEX(Линии[_Zmax кабеля],Щиты[[#This Row],[_строка фидера]]))</f>
        <v>0.24500000000000002</v>
      </c>
      <c r="BP16" s="6" t="str" cm="1">
        <f t="array" ref="BP16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6" cm="1">
        <f t="array" ref="BQ16">IF(Щиты[[#This Row],[_строка фидера]]="","",INDEX(Линии[_ΔU по току, %],Щиты[[#This Row],[_строка фидера]]))</f>
        <v>1.82</v>
      </c>
      <c r="BR16" s="6" cm="1">
        <f t="array" ref="BR16">SUMPRODUCT(--ISNUMBER(SEARCH("|"&amp;Щиты[Щит]&amp;"|",Щиты[[#This Row],[Путь]])),IFERROR(--Щиты[_ΔU фидера (подбор)],0)+IFERROR(--Щиты[_ΔU источника],0))</f>
        <v>1.82</v>
      </c>
      <c r="BS16" cm="1">
        <f t="array" ref="BS16">IF(Щиты[[#This Row],[_строка фидера]]="","",INDEX(Линии[_Zкабеля по току],Щиты[[#This Row],[_строка фидера]]))</f>
        <v>1.1782400000000002</v>
      </c>
      <c r="BT16" s="6" t="str" cm="1">
        <f t="array" ref="BT1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6">
        <f>_xlfn.MAXIFS(Линии[_ранг для фидера],Линии[Щит],Щиты[[#This Row],[Щит]])</f>
        <v>2</v>
      </c>
      <c r="BV16" t="str" cm="1">
        <f t="array" ref="BV16">IFERROR(INDEX({"III","II","I","I особая"},MAX(1,_xlfn.MAXIFS(Щиты[_ранг собств],Щиты[Путь],"*|"&amp;Щиты[[#This Row],[Щит]]&amp;"|*"))),"III")</f>
        <v>II</v>
      </c>
      <c r="BW16" t="str" cm="1">
        <f t="array" ref="BW16">IF(Щиты[[#This Row],[_строка фидера]]="","",INDEX(Линии[Категория (итог)],Щиты[[#This Row],[_строка фидера]]))</f>
        <v>II</v>
      </c>
      <c r="BX16" s="6">
        <f>_xlfn.MAXIFS(Линии[Iпуск, А],Линии[Щит],Щиты[[#This Row],[Щит]])</f>
        <v>0</v>
      </c>
      <c r="BY16" t="str" cm="1">
        <f t="array" ref="BY16">IF(Щиты[[#This Row],[_строка фидера]]="","",INDEX(Линии[Источник для режимов],Щиты[[#This Row],[_строка фидера]]))</f>
        <v>Ввод 1</v>
      </c>
      <c r="BZ16" t="str" cm="1">
        <f t="array" ref="BZ16">IF(Щиты[[#This Row],[_строка фидера]]="","",INDEX(Линии[Пожарная (итог)],Щиты[[#This Row],[_строка фидера]]))</f>
        <v>нет</v>
      </c>
      <c r="CA16">
        <f>COUNTIFS(Линии[Щит],Щиты[[#This Row],[Щит]],Линии[Категория: проверка],"НЕ ОБЕСПЕЧЕНА")</f>
        <v>0</v>
      </c>
      <c r="CB16" t="str" cm="1">
        <f t="array" ref="CB16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;149:L3;151:L2;150:L1;130:L1;131:L2;143:L1;144:L2;146:L1;148:L2;137:L1;134:L2;147:L2;135:L1;138:L1;141:L2;140:L2;</v>
      </c>
    </row>
    <row r="17" spans="1:80" x14ac:dyDescent="0.3">
      <c r="A17" t="s">
        <v>755</v>
      </c>
      <c r="C17">
        <v>1</v>
      </c>
      <c r="D17" t="s">
        <v>486</v>
      </c>
      <c r="E17" t="s">
        <v>842</v>
      </c>
      <c r="F17">
        <v>1</v>
      </c>
      <c r="U17" t="str" cm="1">
        <f t="array" ref="U17">IF(Щиты[[#This Row],[Питается от]]&lt;&gt;"",Щиты[[#This Row],[Питается от]],IFERROR(INDEX(Линии[Щит],Щиты[[#This Row],[_строка фидера]]),""))</f>
        <v>ГРЩ-ЖД</v>
      </c>
      <c r="V17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7" t="str" cm="1">
        <f t="array" ref="W17">IF(Щиты[[#This Row],[_строка фидера]]="","",INDEX(Линии[Номер линии],Щиты[[#This Row],[_строка фидера]]))</f>
        <v>ЩР-001</v>
      </c>
      <c r="X17" s="6">
        <f>SUMIFS(Щиты[_Руст собств],Щиты[Путь],"*|"&amp;Щиты[[#This Row],[Щит]]&amp;"|*")</f>
        <v>11.860000000000001</v>
      </c>
      <c r="Y17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10.708000000000002</v>
      </c>
      <c r="Z17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16.378863980838116</v>
      </c>
      <c r="AA17" s="6">
        <f>IFERROR(SUMIFS(Щиты[_Pcos собств],Щиты[Путь],"*|"&amp;Щиты[[#This Row],[Щит]]&amp;"|*")/SUMIFS(Щиты[_P собств],Щиты[Путь],"*|"&amp;Щиты[[#This Row],[Щит]]&amp;"|*"),0.95)</f>
        <v>0.94999999999999984</v>
      </c>
      <c r="AB17" s="6" cm="1">
        <f t="array" ref="AB17">SUMPRODUCT(--ISNUMBER(SEARCH("|"&amp;Щиты[Щит]&amp;"|",Щиты[[#This Row],[Путь]])),IFERROR(--Щиты[_ΔU фидера],0)+IFERROR(--Щиты[_ΔU источника],0))</f>
        <v>1.57</v>
      </c>
      <c r="AC17" s="6" t="str">
        <f>IF(ISNUMBER(Щиты[[#This Row],[Zпетли на шинах, Ом]]),c_min*(Uн_лин*1000/SQRT(3))/Щиты[[#This Row],[Zпетли на шинах, Ом]],"")</f>
        <v/>
      </c>
      <c r="AD17" s="6" t="str">
        <f>IF(ISNUMBER(Щиты[[#This Row],[Zmax на шинах, Ом]]),1.05*(Uн_лин*1000/SQRT(3))/Щиты[[#This Row],[Zmax на шинах, Ом]]/1000,"")</f>
        <v/>
      </c>
      <c r="AE17" t="str" cm="1">
        <f t="array" ref="AE17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7" t="str" cm="1">
        <f t="array" ref="AF17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|ГРЩ-ЖД|ЩР-001|</v>
      </c>
      <c r="AG17" s="6" t="str">
        <f>_xlfn.TEXTBEFORE(MID(Щиты[[#This Row],[Путь]],2,999),"|")</f>
        <v>ГРЩ-ЖД</v>
      </c>
      <c r="AH17">
        <f>LEN(Щиты[[#This Row],[Путь]])-LEN(SUBSTITUTE(Щиты[[#This Row],[Путь]],"|",""))-2</f>
        <v>1</v>
      </c>
      <c r="AI17">
        <f>IFERROR(_xlfn.XMATCH(Щиты[[#This Row],[Щит]],Линии[_фидер]),"")</f>
        <v>10</v>
      </c>
      <c r="AJ17">
        <f>SUMIFS(Линии[_Руст (без Нет)],Линии[Щит],Щиты[[#This Row],[Щит]])</f>
        <v>11.860000000000001</v>
      </c>
      <c r="AK17">
        <f>SUMIFS(Линии[_Руст быт],Линии[Щит],Щиты[[#This Row],[Щит]])</f>
        <v>5.7600000000000007</v>
      </c>
      <c r="AL17">
        <f>SUMIFS(Линии[_Рр сил],Линии[Щит],Щиты[[#This Row],[Щит]])</f>
        <v>0</v>
      </c>
      <c r="AM17">
        <f>SUMIFS(Линии[_Руст пост],Линии[Щит],Щиты[[#This Row],[Щит]])</f>
        <v>6.1000000000000005</v>
      </c>
      <c r="AN17">
        <f>SUMIFS(Линии[_P для cos],Линии[Щит],Щиты[[#This Row],[Щит]])</f>
        <v>11.860000000000001</v>
      </c>
      <c r="AO17">
        <f>SUMIFS(Линии[_P·cos],Линии[Щит],Щиты[[#This Row],[Щит]])</f>
        <v>11.266999999999999</v>
      </c>
      <c r="AP17">
        <f>SUMIFS(Линии[_Р отопления],Линии[Щит],Щиты[[#This Row],[Щит]])</f>
        <v>0</v>
      </c>
      <c r="AQ17">
        <f>SUMIFS(Линии[_Рр ВНГ],Линии[Щит],Щиты[[#This Row],[Щит]])</f>
        <v>0</v>
      </c>
      <c r="AR17" s="6">
        <f>SUMIFS(Щиты[_быт собств],Щиты[Путь],"*|"&amp;Щиты[[#This Row],[Щит]]&amp;"|*")</f>
        <v>5.7600000000000007</v>
      </c>
      <c r="AS17" s="6" cm="1">
        <f t="array" ref="AS17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17" s="6">
        <f>SUMIFS(Щиты[_сил собств],Щиты[Путь],"*|"&amp;Щиты[[#This Row],[Щит]]&amp;"|*")</f>
        <v>0</v>
      </c>
      <c r="AU17" s="6">
        <f>SUMIFS(Щиты[_пост собств],Щиты[Путь],"*|"&amp;Щиты[[#This Row],[Щит]]&amp;"|*")</f>
        <v>6.1000000000000005</v>
      </c>
      <c r="AV17" s="6">
        <f>SUMIFS(Щиты[_отоп собств],Щиты[Путь],"*|"&amp;Щиты[[#This Row],[Щит]]&amp;"|*")</f>
        <v>0</v>
      </c>
      <c r="AW17" s="6">
        <f>SUMIFS(Щиты[_внг собств],Щиты[Путь],"*|"&amp;Щиты[[#This Row],[Щит]]&amp;"|*")</f>
        <v>0</v>
      </c>
      <c r="AX17">
        <f>COUNTIFS(Линии[Щит],Щиты[[#This Row],[Щит]],Линии[Группа Кс (итог)],"Сил")</f>
        <v>0</v>
      </c>
      <c r="AY17" s="6" cm="1">
        <f t="array" ref="AY17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17" s="6">
        <f>IF(Методика="нормы 2026",IF(AND(Щиты[[#This Row],[Руст быт, кВт]]&gt;0,Щиты[[#This Row],[Рр сил, кВт]]&gt;0),Ко_сил,1),Ко_сил)</f>
        <v>1</v>
      </c>
      <c r="BA17" s="6">
        <f>IF(Щиты[[#This Row],[Руст, кВт]]=0,0,Щиты[[#This Row],[Рр, кВт]]/Щиты[[#This Row],[Руст, кВт]])</f>
        <v>0.90286677908937618</v>
      </c>
      <c r="BB1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3.9600000000000004</v>
      </c>
      <c r="BC1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3.92</v>
      </c>
      <c r="BD1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3.98</v>
      </c>
      <c r="BE17" cm="1">
        <f t="array" ref="BE17">IF(Щиты[[#This Row],[_строка фидера]]="","",INDEX(Линии[ΔU, %],Щиты[[#This Row],[_строка фидера]]))</f>
        <v>1.57</v>
      </c>
      <c r="BF17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7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7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7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7" t="str">
        <f>IF(Щиты[[#This Row],[_Zсети]]="","",Щиты[[#This Row],[_Zсети]]+Щиты[[#This Row],[_петля пит. кабеля]])</f>
        <v/>
      </c>
      <c r="BK17" cm="1">
        <f t="array" ref="BK17">IF(Щиты[[#This Row],[_строка фидера]]="","",INDEX(Линии[_Zкабеля],Щиты[[#This Row],[_строка фидера]]))</f>
        <v>0.53915000000000002</v>
      </c>
      <c r="BL17" s="6" t="str" cm="1">
        <f t="array" ref="BL17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7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7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7" cm="1">
        <f t="array" ref="BO17">IF(Щиты[[#This Row],[_строка фидера]]="","",INDEX(Линии[_Zmax кабеля],Щиты[[#This Row],[_строка фидера]]))</f>
        <v>0.17937500000000001</v>
      </c>
      <c r="BP17" s="6" t="str" cm="1">
        <f t="array" ref="BP17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7" cm="1">
        <f t="array" ref="BQ17">IF(Щиты[[#This Row],[_строка фидера]]="","",INDEX(Линии[_ΔU по току, %],Щиты[[#This Row],[_строка фидера]]))</f>
        <v>2.5</v>
      </c>
      <c r="BR17" s="6" cm="1">
        <f t="array" ref="BR17">SUMPRODUCT(--ISNUMBER(SEARCH("|"&amp;Щиты[Щит]&amp;"|",Щиты[[#This Row],[Путь]])),IFERROR(--Щиты[_ΔU фидера (подбор)],0)+IFERROR(--Щиты[_ΔU источника],0))</f>
        <v>2.5</v>
      </c>
      <c r="BS17" cm="1">
        <f t="array" ref="BS17">IF(Щиты[[#This Row],[_строка фидера]]="","",INDEX(Линии[_Zкабеля по току],Щиты[[#This Row],[_строка фидера]]))</f>
        <v>0.86264000000000007</v>
      </c>
      <c r="BT17" s="6" t="str" cm="1">
        <f t="array" ref="BT17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7">
        <f>_xlfn.MAXIFS(Линии[_ранг для фидера],Линии[Щит],Щиты[[#This Row],[Щит]])</f>
        <v>2</v>
      </c>
      <c r="BV17" t="str" cm="1">
        <f t="array" ref="BV17">IFERROR(INDEX({"III","II","I","I особая"},MAX(1,_xlfn.MAXIFS(Щиты[_ранг собств],Щиты[Путь],"*|"&amp;Щиты[[#This Row],[Щит]]&amp;"|*"))),"III")</f>
        <v>II</v>
      </c>
      <c r="BW17" t="str" cm="1">
        <f t="array" ref="BW17">IF(Щиты[[#This Row],[_строка фидера]]="","",INDEX(Линии[Категория (итог)],Щиты[[#This Row],[_строка фидера]]))</f>
        <v>II</v>
      </c>
      <c r="BX17" s="6">
        <f>_xlfn.MAXIFS(Линии[Iпуск, А],Линии[Щит],Щиты[[#This Row],[Щит]])</f>
        <v>0</v>
      </c>
      <c r="BY17" t="str" cm="1">
        <f t="array" ref="BY17">IF(Щиты[[#This Row],[_строка фидера]]="","",INDEX(Линии[Источник для режимов],Щиты[[#This Row],[_строка фидера]]))</f>
        <v>Ввод 1</v>
      </c>
      <c r="BZ17" t="str" cm="1">
        <f t="array" ref="BZ17">IF(Щиты[[#This Row],[_строка фидера]]="","",INDEX(Линии[Пожарная (итог)],Щиты[[#This Row],[_строка фидера]]))</f>
        <v>нет</v>
      </c>
      <c r="CA17">
        <f>COUNTIFS(Линии[Щит],Щиты[[#This Row],[Щит]],Линии[Категория: проверка],"НЕ ОБЕСПЕЧЕНА")</f>
        <v>0</v>
      </c>
      <c r="CB17" t="str" cm="1">
        <f t="array" ref="CB17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18" spans="1:80" x14ac:dyDescent="0.3">
      <c r="A18" t="s">
        <v>757</v>
      </c>
      <c r="C18">
        <v>1</v>
      </c>
      <c r="D18" t="s">
        <v>486</v>
      </c>
      <c r="E18" t="s">
        <v>842</v>
      </c>
      <c r="F18">
        <v>1</v>
      </c>
      <c r="U18" t="str" cm="1">
        <f t="array" ref="U18">IF(Щиты[[#This Row],[Питается от]]&lt;&gt;"",Щиты[[#This Row],[Питается от]],IFERROR(INDEX(Линии[Щит],Щиты[[#This Row],[_строка фидера]]),""))</f>
        <v>ГРЩ-ЖД</v>
      </c>
      <c r="V18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8" t="str" cm="1">
        <f t="array" ref="W18">IF(Щиты[[#This Row],[_строка фидера]]="","",INDEX(Линии[Номер линии],Щиты[[#This Row],[_строка фидера]]))</f>
        <v>ЩР-01</v>
      </c>
      <c r="X18" s="6">
        <f>SUMIFS(Щиты[_Руст собств],Щиты[Путь],"*|"&amp;Щиты[[#This Row],[Щит]]&amp;"|*")</f>
        <v>24.405000000000005</v>
      </c>
      <c r="Y18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21.560840000000002</v>
      </c>
      <c r="Z18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32.798575666043085</v>
      </c>
      <c r="AA18" s="6">
        <f>IFERROR(SUMIFS(Щиты[_Pcos собств],Щиты[Путь],"*|"&amp;Щиты[[#This Row],[Щит]]&amp;"|*")/SUMIFS(Щиты[_P собств],Щиты[Путь],"*|"&amp;Щиты[[#This Row],[Щит]]&amp;"|*"),0.95)</f>
        <v>0.95000000000000018</v>
      </c>
      <c r="AB18" s="6" cm="1">
        <f t="array" ref="AB18">SUMPRODUCT(--ISNUMBER(SEARCH("|"&amp;Щиты[Щит]&amp;"|",Щиты[[#This Row],[Путь]])),IFERROR(--Щиты[_ΔU фидера],0)+IFERROR(--Щиты[_ΔU источника],0))</f>
        <v>0.43</v>
      </c>
      <c r="AC18" s="6" t="str">
        <f>IF(ISNUMBER(Щиты[[#This Row],[Zпетли на шинах, Ом]]),c_min*(Uн_лин*1000/SQRT(3))/Щиты[[#This Row],[Zпетли на шинах, Ом]],"")</f>
        <v/>
      </c>
      <c r="AD18" s="6" t="str">
        <f>IF(ISNUMBER(Щиты[[#This Row],[Zmax на шинах, Ом]]),1.05*(Uн_лин*1000/SQRT(3))/Щиты[[#This Row],[Zmax на шинах, Ом]]/1000,"")</f>
        <v/>
      </c>
      <c r="AE18" t="str" cm="1">
        <f t="array" ref="AE18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8" t="str" cm="1">
        <f t="array" ref="AF18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|ГРЩ-ЖД|ЩР-01|</v>
      </c>
      <c r="AG18" s="6" t="str">
        <f>_xlfn.TEXTBEFORE(MID(Щиты[[#This Row],[Путь]],2,999),"|")</f>
        <v>ГРЩ-ЖД</v>
      </c>
      <c r="AH18">
        <f>LEN(Щиты[[#This Row],[Путь]])-LEN(SUBSTITUTE(Щиты[[#This Row],[Путь]],"|",""))-2</f>
        <v>1</v>
      </c>
      <c r="AI18">
        <f>IFERROR(_xlfn.XMATCH(Щиты[[#This Row],[Щит]],Линии[_фидер]),"")</f>
        <v>11</v>
      </c>
      <c r="AJ18">
        <f>SUMIFS(Линии[_Руст (без Нет)],Линии[Щит],Щиты[[#This Row],[Щит]])</f>
        <v>24.405000000000005</v>
      </c>
      <c r="AK18">
        <f>SUMIFS(Линии[_Руст быт],Линии[Щит],Щиты[[#This Row],[Щит]])</f>
        <v>14.080000000000004</v>
      </c>
      <c r="AL18">
        <f>SUMIFS(Линии[_Рр сил],Линии[Щит],Щиты[[#This Row],[Щит]])</f>
        <v>0</v>
      </c>
      <c r="AM18">
        <f>SUMIFS(Линии[_Руст пост],Линии[Щит],Щиты[[#This Row],[Щит]])</f>
        <v>10.325000000000001</v>
      </c>
      <c r="AN18">
        <f>SUMIFS(Линии[_P для cos],Линии[Щит],Щиты[[#This Row],[Щит]])</f>
        <v>24.405000000000005</v>
      </c>
      <c r="AO18">
        <f>SUMIFS(Линии[_P·cos],Линии[Щит],Щиты[[#This Row],[Щит]])</f>
        <v>23.184750000000008</v>
      </c>
      <c r="AP18">
        <f>SUMIFS(Линии[_Р отопления],Линии[Щит],Щиты[[#This Row],[Щит]])</f>
        <v>0</v>
      </c>
      <c r="AQ18">
        <f>SUMIFS(Линии[_Рр ВНГ],Линии[Щит],Щиты[[#This Row],[Щит]])</f>
        <v>0</v>
      </c>
      <c r="AR18" s="6">
        <f>SUMIFS(Щиты[_быт собств],Щиты[Путь],"*|"&amp;Щиты[[#This Row],[Щит]]&amp;"|*")</f>
        <v>14.080000000000004</v>
      </c>
      <c r="AS18" s="6" cm="1">
        <f t="array" ref="AS18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0.79799999999999993</v>
      </c>
      <c r="AT18" s="6">
        <f>SUMIFS(Щиты[_сил собств],Щиты[Путь],"*|"&amp;Щиты[[#This Row],[Щит]]&amp;"|*")</f>
        <v>0</v>
      </c>
      <c r="AU18" s="6">
        <f>SUMIFS(Щиты[_пост собств],Щиты[Путь],"*|"&amp;Щиты[[#This Row],[Щит]]&amp;"|*")</f>
        <v>10.325000000000001</v>
      </c>
      <c r="AV18" s="6">
        <f>SUMIFS(Щиты[_отоп собств],Щиты[Путь],"*|"&amp;Щиты[[#This Row],[Щит]]&amp;"|*")</f>
        <v>0</v>
      </c>
      <c r="AW18" s="6">
        <f>SUMIFS(Щиты[_внг собств],Щиты[Путь],"*|"&amp;Щиты[[#This Row],[Щит]]&amp;"|*")</f>
        <v>0</v>
      </c>
      <c r="AX18">
        <f>COUNTIFS(Линии[Щит],Щиты[[#This Row],[Щит]],Линии[Группа Кс (итог)],"Сил")</f>
        <v>0</v>
      </c>
      <c r="AY18" s="6" cm="1">
        <f t="array" ref="AY18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18" s="6">
        <f>IF(Методика="нормы 2026",IF(AND(Щиты[[#This Row],[Руст быт, кВт]]&gt;0,Щиты[[#This Row],[Рр сил, кВт]]&gt;0),Ко_сил,1),Ко_сил)</f>
        <v>1</v>
      </c>
      <c r="BA18" s="6">
        <f>IF(Щиты[[#This Row],[Руст, кВт]]=0,0,Щиты[[#This Row],[Рр, кВт]]/Щиты[[#This Row],[Руст, кВт]])</f>
        <v>0.88345994673222694</v>
      </c>
      <c r="BB1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8.1450000000000014</v>
      </c>
      <c r="BC1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8.120000000000001</v>
      </c>
      <c r="BD1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8.14</v>
      </c>
      <c r="BE18" cm="1">
        <f t="array" ref="BE18">IF(Щиты[[#This Row],[_строка фидера]]="","",INDEX(Линии[ΔU, %],Щиты[[#This Row],[_строка фидера]]))</f>
        <v>0.43</v>
      </c>
      <c r="BF18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8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8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8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8" t="str">
        <f>IF(Щиты[[#This Row],[_Zсети]]="","",Щиты[[#This Row],[_Zсети]]+Щиты[[#This Row],[_петля пит. кабеля]])</f>
        <v/>
      </c>
      <c r="BK18" cm="1">
        <f t="array" ref="BK18">IF(Щиты[[#This Row],[_строка фидера]]="","",INDEX(Линии[_Zкабеля],Щиты[[#This Row],[_строка фидера]]))</f>
        <v>7.3640000000000011E-2</v>
      </c>
      <c r="BL18" s="6" t="str" cm="1">
        <f t="array" ref="BL18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8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8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8" cm="1">
        <f t="array" ref="BO18">IF(Щиты[[#This Row],[_строка фидера]]="","",INDEX(Линии[_Zmax кабеля],Щиты[[#This Row],[_строка фидера]]))</f>
        <v>2.4500000000000001E-2</v>
      </c>
      <c r="BP18" s="6" t="str" cm="1">
        <f t="array" ref="BP18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8" cm="1">
        <f t="array" ref="BQ18">IF(Щиты[[#This Row],[_строка фидера]]="","",INDEX(Линии[_ΔU по току, %],Щиты[[#This Row],[_строка фидера]]))</f>
        <v>0.43</v>
      </c>
      <c r="BR18" s="6" cm="1">
        <f t="array" ref="BR18">SUMPRODUCT(--ISNUMBER(SEARCH("|"&amp;Щиты[Щит]&amp;"|",Щиты[[#This Row],[Путь]])),IFERROR(--Щиты[_ΔU фидера (подбор)],0)+IFERROR(--Щиты[_ΔU источника],0))</f>
        <v>0.43</v>
      </c>
      <c r="BS18" cm="1">
        <f t="array" ref="BS18">IF(Щиты[[#This Row],[_строка фидера]]="","",INDEX(Линии[_Zкабеля по току],Щиты[[#This Row],[_строка фидера]]))</f>
        <v>7.3640000000000011E-2</v>
      </c>
      <c r="BT18" s="6" t="str" cm="1">
        <f t="array" ref="BT18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8">
        <f>_xlfn.MAXIFS(Линии[_ранг для фидера],Линии[Щит],Щиты[[#This Row],[Щит]])</f>
        <v>2</v>
      </c>
      <c r="BV18" t="str" cm="1">
        <f t="array" ref="BV18">IFERROR(INDEX({"III","II","I","I особая"},MAX(1,_xlfn.MAXIFS(Щиты[_ранг собств],Щиты[Путь],"*|"&amp;Щиты[[#This Row],[Щит]]&amp;"|*"))),"III")</f>
        <v>II</v>
      </c>
      <c r="BW18" t="str" cm="1">
        <f t="array" ref="BW18">IF(Щиты[[#This Row],[_строка фидера]]="","",INDEX(Линии[Категория (итог)],Щиты[[#This Row],[_строка фидера]]))</f>
        <v>II</v>
      </c>
      <c r="BX18" s="6">
        <f>_xlfn.MAXIFS(Линии[Iпуск, А],Линии[Щит],Щиты[[#This Row],[Щит]])</f>
        <v>0</v>
      </c>
      <c r="BY18" t="str" cm="1">
        <f t="array" ref="BY18">IF(Щиты[[#This Row],[_строка фидера]]="","",INDEX(Линии[Источник для режимов],Щиты[[#This Row],[_строка фидера]]))</f>
        <v>Ввод 1</v>
      </c>
      <c r="BZ18" t="str" cm="1">
        <f t="array" ref="BZ18">IF(Щиты[[#This Row],[_строка фидера]]="","",INDEX(Линии[Пожарная (итог)],Щиты[[#This Row],[_строка фидера]]))</f>
        <v>нет</v>
      </c>
      <c r="CA18">
        <f>COUNTIFS(Линии[Щит],Щиты[[#This Row],[Щит]],Линии[Категория: проверка],"НЕ ОБЕСПЕЧЕНА")</f>
        <v>0</v>
      </c>
      <c r="CB18" t="str" cm="1">
        <f t="array" ref="CB18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19" spans="1:80" x14ac:dyDescent="0.3">
      <c r="A19" t="s">
        <v>759</v>
      </c>
      <c r="C19">
        <v>1</v>
      </c>
      <c r="D19" t="s">
        <v>486</v>
      </c>
      <c r="E19" t="s">
        <v>842</v>
      </c>
      <c r="F19">
        <v>1</v>
      </c>
      <c r="U19" t="str" cm="1">
        <f t="array" ref="U19">IF(Щиты[[#This Row],[Питается от]]&lt;&gt;"",Щиты[[#This Row],[Питается от]],IFERROR(INDEX(Линии[Щит],Щиты[[#This Row],[_строка фидера]]),""))</f>
        <v>ГРЩ-ЖД</v>
      </c>
      <c r="V19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19" t="str" cm="1">
        <f t="array" ref="W19">IF(Щиты[[#This Row],[_строка фидера]]="","",INDEX(Линии[Номер линии],Щиты[[#This Row],[_строка фидера]]))</f>
        <v>ЩР-1</v>
      </c>
      <c r="X19" s="6">
        <f>SUMIFS(Щиты[_Руст собств],Щиты[Путь],"*|"&amp;Щиты[[#This Row],[Щит]]&amp;"|*")</f>
        <v>34.840000000000003</v>
      </c>
      <c r="Y19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20.358822000000004</v>
      </c>
      <c r="Z19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30.958664828377682</v>
      </c>
      <c r="AA19" s="6">
        <f>IFERROR(SUMIFS(Щиты[_Pcos собств],Щиты[Путь],"*|"&amp;Щиты[[#This Row],[Щит]]&amp;"|*")/SUMIFS(Щиты[_P собств],Щиты[Путь],"*|"&amp;Щиты[[#This Row],[Щит]]&amp;"|*"),0.95)</f>
        <v>0.94999999999999984</v>
      </c>
      <c r="AB19" s="6" cm="1">
        <f t="array" ref="AB19">SUMPRODUCT(--ISNUMBER(SEARCH("|"&amp;Щиты[Щит]&amp;"|",Щиты[[#This Row],[Путь]])),IFERROR(--Щиты[_ΔU фидера],0)+IFERROR(--Щиты[_ΔU источника],0))</f>
        <v>1.19</v>
      </c>
      <c r="AC19" s="6" t="str">
        <f>IF(ISNUMBER(Щиты[[#This Row],[Zпетли на шинах, Ом]]),c_min*(Uн_лин*1000/SQRT(3))/Щиты[[#This Row],[Zпетли на шинах, Ом]],"")</f>
        <v/>
      </c>
      <c r="AD19" s="6" t="str">
        <f>IF(ISNUMBER(Щиты[[#This Row],[Zmax на шинах, Ом]]),1.05*(Uн_лин*1000/SQRT(3))/Щиты[[#This Row],[Zmax на шинах, Ом]]/1000,"")</f>
        <v/>
      </c>
      <c r="AE19" t="str" cm="1">
        <f t="array" ref="AE19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19" t="str" cm="1">
        <f t="array" ref="AF19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|ГРЩ-ЖД|ЩР-1|</v>
      </c>
      <c r="AG19" s="6" t="str">
        <f>_xlfn.TEXTBEFORE(MID(Щиты[[#This Row],[Путь]],2,999),"|")</f>
        <v>ГРЩ-ЖД</v>
      </c>
      <c r="AH19">
        <f>LEN(Щиты[[#This Row],[Путь]])-LEN(SUBSTITUTE(Щиты[[#This Row],[Путь]],"|",""))-2</f>
        <v>1</v>
      </c>
      <c r="AI19">
        <f>IFERROR(_xlfn.XMATCH(Щиты[[#This Row],[Щит]],Линии[_фидер]),"")</f>
        <v>12</v>
      </c>
      <c r="AJ19">
        <f>SUMIFS(Линии[_Руст (без Нет)],Линии[Щит],Щиты[[#This Row],[Щит]])</f>
        <v>34.840000000000003</v>
      </c>
      <c r="AK19">
        <f>SUMIFS(Линии[_Руст быт],Линии[Щит],Щиты[[#This Row],[Щит]])</f>
        <v>34.340000000000003</v>
      </c>
      <c r="AL19">
        <f>SUMIFS(Линии[_Рр сил],Линии[Щит],Щиты[[#This Row],[Щит]])</f>
        <v>0</v>
      </c>
      <c r="AM19">
        <f>SUMIFS(Линии[_Руст пост],Линии[Щит],Щиты[[#This Row],[Щит]])</f>
        <v>0.5</v>
      </c>
      <c r="AN19">
        <f>SUMIFS(Линии[_P для cos],Линии[Щит],Щиты[[#This Row],[Щит]])</f>
        <v>34.840000000000003</v>
      </c>
      <c r="AO19">
        <f>SUMIFS(Линии[_P·cos],Линии[Щит],Щиты[[#This Row],[Щит]])</f>
        <v>33.097999999999999</v>
      </c>
      <c r="AP19">
        <f>SUMIFS(Линии[_Р отопления],Линии[Щит],Щиты[[#This Row],[Щит]])</f>
        <v>0</v>
      </c>
      <c r="AQ19">
        <f>SUMIFS(Линии[_Рр ВНГ],Линии[Щит],Щиты[[#This Row],[Щит]])</f>
        <v>0</v>
      </c>
      <c r="AR19" s="6">
        <f>SUMIFS(Щиты[_быт собств],Щиты[Путь],"*|"&amp;Щиты[[#This Row],[Щит]]&amp;"|*")</f>
        <v>34.340000000000003</v>
      </c>
      <c r="AS19" s="6" cm="1">
        <f t="array" ref="AS19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0.57830000000000004</v>
      </c>
      <c r="AT19" s="6">
        <f>SUMIFS(Щиты[_сил собств],Щиты[Путь],"*|"&amp;Щиты[[#This Row],[Щит]]&amp;"|*")</f>
        <v>0</v>
      </c>
      <c r="AU19" s="6">
        <f>SUMIFS(Щиты[_пост собств],Щиты[Путь],"*|"&amp;Щиты[[#This Row],[Щит]]&amp;"|*")</f>
        <v>0.5</v>
      </c>
      <c r="AV19" s="6">
        <f>SUMIFS(Щиты[_отоп собств],Щиты[Путь],"*|"&amp;Щиты[[#This Row],[Щит]]&amp;"|*")</f>
        <v>0</v>
      </c>
      <c r="AW19" s="6">
        <f>SUMIFS(Щиты[_внг собств],Щиты[Путь],"*|"&amp;Щиты[[#This Row],[Щит]]&amp;"|*")</f>
        <v>0</v>
      </c>
      <c r="AX19">
        <f>COUNTIFS(Линии[Щит],Щиты[[#This Row],[Щит]],Линии[Группа Кс (итог)],"Сил")</f>
        <v>0</v>
      </c>
      <c r="AY19" s="6" cm="1">
        <f t="array" ref="AY19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19" s="6">
        <f>IF(Методика="нормы 2026",IF(AND(Щиты[[#This Row],[Руст быт, кВт]]&gt;0,Щиты[[#This Row],[Рр сил, кВт]]&gt;0),Ко_сил,1),Ко_сил)</f>
        <v>1</v>
      </c>
      <c r="BA19" s="6">
        <f>IF(Щиты[[#This Row],[Руст, кВт]]=0,0,Щиты[[#This Row],[Рр, кВт]]/Щиты[[#This Row],[Руст, кВт]])</f>
        <v>0.58435195177956378</v>
      </c>
      <c r="BB1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11.613333333333332</v>
      </c>
      <c r="BC1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11.623333333333333</v>
      </c>
      <c r="BD1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11.603333333333332</v>
      </c>
      <c r="BE19" cm="1">
        <f t="array" ref="BE19">IF(Щиты[[#This Row],[_строка фидера]]="","",INDEX(Линии[ΔU, %],Щиты[[#This Row],[_строка фидера]]))</f>
        <v>1.19</v>
      </c>
      <c r="BF19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19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19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19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19" t="str">
        <f>IF(Щиты[[#This Row],[_Zсети]]="","",Щиты[[#This Row],[_Zсети]]+Щиты[[#This Row],[_петля пит. кабеля]])</f>
        <v/>
      </c>
      <c r="BK19" cm="1">
        <f t="array" ref="BK19">IF(Щиты[[#This Row],[_строка фидера]]="","",INDEX(Линии[_Zкабеля],Щиты[[#This Row],[_строка фидера]]))</f>
        <v>0.2136875</v>
      </c>
      <c r="BL19" s="6" t="str" cm="1">
        <f t="array" ref="BL19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19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19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19" cm="1">
        <f t="array" ref="BO19">IF(Щиты[[#This Row],[_строка фидера]]="","",INDEX(Линии[_Zmax кабеля],Щиты[[#This Row],[_строка фидера]]))</f>
        <v>7.1093750000000011E-2</v>
      </c>
      <c r="BP19" s="6" t="str" cm="1">
        <f t="array" ref="BP19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19" cm="1">
        <f t="array" ref="BQ19">IF(Щиты[[#This Row],[_строка фидера]]="","",INDEX(Линии[_ΔU по току, %],Щиты[[#This Row],[_строка фидера]]))</f>
        <v>1.19</v>
      </c>
      <c r="BR19" s="6" cm="1">
        <f t="array" ref="BR19">SUMPRODUCT(--ISNUMBER(SEARCH("|"&amp;Щиты[Щит]&amp;"|",Щиты[[#This Row],[Путь]])),IFERROR(--Щиты[_ΔU фидера (подбор)],0)+IFERROR(--Щиты[_ΔU источника],0))</f>
        <v>1.19</v>
      </c>
      <c r="BS19" cm="1">
        <f t="array" ref="BS19">IF(Щиты[[#This Row],[_строка фидера]]="","",INDEX(Линии[_Zкабеля по току],Щиты[[#This Row],[_строка фидера]]))</f>
        <v>0.2136875</v>
      </c>
      <c r="BT19" s="6" t="str" cm="1">
        <f t="array" ref="BT19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19">
        <f>_xlfn.MAXIFS(Линии[_ранг для фидера],Линии[Щит],Щиты[[#This Row],[Щит]])</f>
        <v>2</v>
      </c>
      <c r="BV19" t="str" cm="1">
        <f t="array" ref="BV19">IFERROR(INDEX({"III","II","I","I особая"},MAX(1,_xlfn.MAXIFS(Щиты[_ранг собств],Щиты[Путь],"*|"&amp;Щиты[[#This Row],[Щит]]&amp;"|*"))),"III")</f>
        <v>II</v>
      </c>
      <c r="BW19" t="str" cm="1">
        <f t="array" ref="BW19">IF(Щиты[[#This Row],[_строка фидера]]="","",INDEX(Линии[Категория (итог)],Щиты[[#This Row],[_строка фидера]]))</f>
        <v>II</v>
      </c>
      <c r="BX19" s="6">
        <f>_xlfn.MAXIFS(Линии[Iпуск, А],Линии[Щит],Щиты[[#This Row],[Щит]])</f>
        <v>0</v>
      </c>
      <c r="BY19" t="str" cm="1">
        <f t="array" ref="BY19">IF(Щиты[[#This Row],[_строка фидера]]="","",INDEX(Линии[Источник для режимов],Щиты[[#This Row],[_строка фидера]]))</f>
        <v>Ввод 2</v>
      </c>
      <c r="BZ19" t="str" cm="1">
        <f t="array" ref="BZ19">IF(Щиты[[#This Row],[_строка фидера]]="","",INDEX(Линии[Пожарная (итог)],Щиты[[#This Row],[_строка фидера]]))</f>
        <v>нет</v>
      </c>
      <c r="CA19">
        <f>COUNTIFS(Линии[Щит],Щиты[[#This Row],[Щит]],Линии[Категория: проверка],"НЕ ОБЕСПЕЧЕНА")</f>
        <v>0</v>
      </c>
      <c r="CB19" t="str" cm="1">
        <f t="array" ref="CB19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232:L1;268:L2;266:L3;269:L1;265:L2;274:L1;270:L2;280:L3;254:L1;230:L3;237:L2;239:L1;238:L3;249:L2;235:L1;236:L3;241:L2;242:L1;245:L3;248:L2;253:L1;258:L3;260:L2;261:L1;228:L3;275:L2;227:L1;229:L3;231:L2;252:L1;267:L3;273:L2;277:L1;279:L3;224:L2;225:L1;243:L2;251:L3;257:L1;262:L2;264:L3;276:L1;271:L2;234:L3;244:L2;246:L3;255:L1;263:L2;278:L3;</v>
      </c>
    </row>
    <row r="20" spans="1:80" x14ac:dyDescent="0.3">
      <c r="A20" t="s">
        <v>761</v>
      </c>
      <c r="C20">
        <v>1</v>
      </c>
      <c r="D20" t="s">
        <v>486</v>
      </c>
      <c r="E20" t="s">
        <v>842</v>
      </c>
      <c r="F20">
        <v>1</v>
      </c>
      <c r="U20" t="str" cm="1">
        <f t="array" ref="U20">IF(Щиты[[#This Row],[Питается от]]&lt;&gt;"",Щиты[[#This Row],[Питается от]],IFERROR(INDEX(Линии[Щит],Щиты[[#This Row],[_строка фидера]]),""))</f>
        <v>ГРЩ-ЖД</v>
      </c>
      <c r="V20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20" t="str" cm="1">
        <f t="array" ref="W20">IF(Щиты[[#This Row],[_строка фидера]]="","",INDEX(Линии[Номер линии],Щиты[[#This Row],[_строка фидера]]))</f>
        <v>ЩР-2</v>
      </c>
      <c r="X20" s="6">
        <f>SUMIFS(Щиты[_Руст собств],Щиты[Путь],"*|"&amp;Щиты[[#This Row],[Щит]]&amp;"|*")</f>
        <v>9.98</v>
      </c>
      <c r="Y20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8.9239999999999995</v>
      </c>
      <c r="Z20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13.694473137501861</v>
      </c>
      <c r="AA20" s="6">
        <f>IFERROR(SUMIFS(Щиты[_Pcos собств],Щиты[Путь],"*|"&amp;Щиты[[#This Row],[Щит]]&amp;"|*")/SUMIFS(Щиты[_P собств],Щиты[Путь],"*|"&amp;Щиты[[#This Row],[Щит]]&amp;"|*"),0.95)</f>
        <v>0.95</v>
      </c>
      <c r="AB20" s="6" cm="1">
        <f t="array" ref="AB20">SUMPRODUCT(--ISNUMBER(SEARCH("|"&amp;Щиты[Щит]&amp;"|",Щиты[[#This Row],[Путь]])),IFERROR(--Щиты[_ΔU фидера],0)+IFERROR(--Щиты[_ΔU источника],0))</f>
        <v>1.79</v>
      </c>
      <c r="AC20" s="6" t="str">
        <f>IF(ISNUMBER(Щиты[[#This Row],[Zпетли на шинах, Ом]]),c_min*(Uн_лин*1000/SQRT(3))/Щиты[[#This Row],[Zпетли на шинах, Ом]],"")</f>
        <v/>
      </c>
      <c r="AD20" s="6" t="str">
        <f>IF(ISNUMBER(Щиты[[#This Row],[Zmax на шинах, Ом]]),1.05*(Uн_лин*1000/SQRT(3))/Щиты[[#This Row],[Zmax на шинах, Ом]]/1000,"")</f>
        <v/>
      </c>
      <c r="AE20" t="str" cm="1">
        <f t="array" ref="AE20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20" t="str" cm="1">
        <f t="array" ref="AF20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|ГРЩ-ЖД|ЩР-2|</v>
      </c>
      <c r="AG20" s="6" t="str">
        <f>_xlfn.TEXTBEFORE(MID(Щиты[[#This Row],[Путь]],2,999),"|")</f>
        <v>ГРЩ-ЖД</v>
      </c>
      <c r="AH20">
        <f>LEN(Щиты[[#This Row],[Путь]])-LEN(SUBSTITUTE(Щиты[[#This Row],[Путь]],"|",""))-2</f>
        <v>1</v>
      </c>
      <c r="AI20">
        <f>IFERROR(_xlfn.XMATCH(Щиты[[#This Row],[Щит]],Линии[_фидер]),"")</f>
        <v>13</v>
      </c>
      <c r="AJ20">
        <f>SUMIFS(Линии[_Руст (без Нет)],Линии[Щит],Щиты[[#This Row],[Щит]])</f>
        <v>9.98</v>
      </c>
      <c r="AK20">
        <f>SUMIFS(Линии[_Руст быт],Линии[Щит],Щиты[[#This Row],[Щит]])</f>
        <v>5.2799999999999994</v>
      </c>
      <c r="AL20">
        <f>SUMIFS(Линии[_Рр сил],Линии[Щит],Щиты[[#This Row],[Щит]])</f>
        <v>0</v>
      </c>
      <c r="AM20">
        <f>SUMIFS(Линии[_Руст пост],Линии[Щит],Щиты[[#This Row],[Щит]])</f>
        <v>4.7</v>
      </c>
      <c r="AN20">
        <f>SUMIFS(Линии[_P для cos],Линии[Щит],Щиты[[#This Row],[Щит]])</f>
        <v>9.98</v>
      </c>
      <c r="AO20">
        <f>SUMIFS(Линии[_P·cos],Линии[Щит],Щиты[[#This Row],[Щит]])</f>
        <v>9.4809999999999999</v>
      </c>
      <c r="AP20">
        <f>SUMIFS(Линии[_Р отопления],Линии[Щит],Щиты[[#This Row],[Щит]])</f>
        <v>0</v>
      </c>
      <c r="AQ20">
        <f>SUMIFS(Линии[_Рр ВНГ],Линии[Щит],Щиты[[#This Row],[Щит]])</f>
        <v>0</v>
      </c>
      <c r="AR20" s="6">
        <f>SUMIFS(Щиты[_быт собств],Щиты[Путь],"*|"&amp;Щиты[[#This Row],[Щит]]&amp;"|*")</f>
        <v>5.2799999999999994</v>
      </c>
      <c r="AS20" s="6" cm="1">
        <f t="array" ref="AS20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20" s="6">
        <f>SUMIFS(Щиты[_сил собств],Щиты[Путь],"*|"&amp;Щиты[[#This Row],[Щит]]&amp;"|*")</f>
        <v>0</v>
      </c>
      <c r="AU20" s="6">
        <f>SUMIFS(Щиты[_пост собств],Щиты[Путь],"*|"&amp;Щиты[[#This Row],[Щит]]&amp;"|*")</f>
        <v>4.7</v>
      </c>
      <c r="AV20" s="6">
        <f>SUMIFS(Щиты[_отоп собств],Щиты[Путь],"*|"&amp;Щиты[[#This Row],[Щит]]&amp;"|*")</f>
        <v>0</v>
      </c>
      <c r="AW20" s="6">
        <f>SUMIFS(Щиты[_внг собств],Щиты[Путь],"*|"&amp;Щиты[[#This Row],[Щит]]&amp;"|*")</f>
        <v>0</v>
      </c>
      <c r="AX20">
        <f>COUNTIFS(Линии[Щит],Щиты[[#This Row],[Щит]],Линии[Группа Кс (итог)],"Сил")</f>
        <v>0</v>
      </c>
      <c r="AY20" s="6" cm="1">
        <f t="array" ref="AY20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20" s="6">
        <f>IF(Методика="нормы 2026",IF(AND(Щиты[[#This Row],[Руст быт, кВт]]&gt;0,Щиты[[#This Row],[Рр сил, кВт]]&gt;0),Ко_сил,1),Ко_сил)</f>
        <v>1</v>
      </c>
      <c r="BA20" s="6">
        <f>IF(Щиты[[#This Row],[Руст, кВт]]=0,0,Щиты[[#This Row],[Рр, кВт]]/Щиты[[#This Row],[Руст, кВт]])</f>
        <v>0.89418837675350693</v>
      </c>
      <c r="BB2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3.3600000000000003</v>
      </c>
      <c r="BC2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3.3</v>
      </c>
      <c r="BD2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3.3200000000000003</v>
      </c>
      <c r="BE20" cm="1">
        <f t="array" ref="BE20">IF(Щиты[[#This Row],[_строка фидера]]="","",INDEX(Линии[ΔU, %],Щиты[[#This Row],[_строка фидера]]))</f>
        <v>1.79</v>
      </c>
      <c r="BF20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20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20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20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20" t="str">
        <f>IF(Щиты[[#This Row],[_Zсети]]="","",Щиты[[#This Row],[_Zсети]]+Щиты[[#This Row],[_петля пит. кабеля]])</f>
        <v/>
      </c>
      <c r="BK20" cm="1">
        <f t="array" ref="BK20">IF(Щиты[[#This Row],[_строка фидера]]="","",INDEX(Линии[_Zкабеля],Щиты[[#This Row],[_строка фидера]]))</f>
        <v>0.73640000000000005</v>
      </c>
      <c r="BL20" s="6" t="str" cm="1">
        <f t="array" ref="BL2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20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20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20" cm="1">
        <f t="array" ref="BO20">IF(Щиты[[#This Row],[_строка фидера]]="","",INDEX(Линии[_Zmax кабеля],Щиты[[#This Row],[_строка фидера]]))</f>
        <v>0.24500000000000002</v>
      </c>
      <c r="BP20" s="6" t="str" cm="1">
        <f t="array" ref="BP20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20" cm="1">
        <f t="array" ref="BQ20">IF(Щиты[[#This Row],[_строка фидера]]="","",INDEX(Линии[_ΔU по току, %],Щиты[[#This Row],[_строка фидера]]))</f>
        <v>4.75</v>
      </c>
      <c r="BR20" s="6" cm="1">
        <f t="array" ref="BR20">SUMPRODUCT(--ISNUMBER(SEARCH("|"&amp;Щиты[Щит]&amp;"|",Щиты[[#This Row],[Путь]])),IFERROR(--Щиты[_ΔU фидера (подбор)],0)+IFERROR(--Щиты[_ΔU источника],0))</f>
        <v>4.75</v>
      </c>
      <c r="BS20" cm="1">
        <f t="array" ref="BS20">IF(Щиты[[#This Row],[_строка фидера]]="","",INDEX(Линии[_Zкабеля по току],Щиты[[#This Row],[_строка фидера]]))</f>
        <v>1.9637333333333336</v>
      </c>
      <c r="BT20" s="6" t="str" cm="1">
        <f t="array" ref="BT2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20">
        <f>_xlfn.MAXIFS(Линии[_ранг для фидера],Линии[Щит],Щиты[[#This Row],[Щит]])</f>
        <v>2</v>
      </c>
      <c r="BV20" t="str" cm="1">
        <f t="array" ref="BV20">IFERROR(INDEX({"III","II","I","I особая"},MAX(1,_xlfn.MAXIFS(Щиты[_ранг собств],Щиты[Путь],"*|"&amp;Щиты[[#This Row],[Щит]]&amp;"|*"))),"III")</f>
        <v>II</v>
      </c>
      <c r="BW20" t="str" cm="1">
        <f t="array" ref="BW20">IF(Щиты[[#This Row],[_строка фидера]]="","",INDEX(Линии[Категория (итог)],Щиты[[#This Row],[_строка фидера]]))</f>
        <v>II</v>
      </c>
      <c r="BX20" s="6">
        <f>_xlfn.MAXIFS(Линии[Iпуск, А],Линии[Щит],Щиты[[#This Row],[Щит]])</f>
        <v>0</v>
      </c>
      <c r="BY20" t="str" cm="1">
        <f t="array" ref="BY20">IF(Щиты[[#This Row],[_строка фидера]]="","",INDEX(Линии[Источник для режимов],Щиты[[#This Row],[_строка фидера]]))</f>
        <v>Ввод 1</v>
      </c>
      <c r="BZ20" t="str" cm="1">
        <f t="array" ref="BZ20">IF(Щиты[[#This Row],[_строка фидера]]="","",INDEX(Линии[Пожарная (итог)],Щиты[[#This Row],[_строка фидера]]))</f>
        <v>нет</v>
      </c>
      <c r="CA20">
        <f>COUNTIFS(Линии[Щит],Щиты[[#This Row],[Щит]],Линии[Категория: проверка],"НЕ ОБЕСПЕЧЕНА")</f>
        <v>0</v>
      </c>
      <c r="CB20" t="str" cm="1">
        <f t="array" ref="CB20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1" spans="1:80" x14ac:dyDescent="0.3">
      <c r="A21" t="s">
        <v>763</v>
      </c>
      <c r="C21">
        <v>1</v>
      </c>
      <c r="D21" t="s">
        <v>486</v>
      </c>
      <c r="E21" t="s">
        <v>842</v>
      </c>
      <c r="F21">
        <v>1</v>
      </c>
      <c r="U21" t="str" cm="1">
        <f t="array" ref="U21">IF(Щиты[[#This Row],[Питается от]]&lt;&gt;"",Щиты[[#This Row],[Питается от]],IFERROR(INDEX(Линии[Щит],Щиты[[#This Row],[_строка фидера]]),""))</f>
        <v>ГРЩ-ЖД</v>
      </c>
      <c r="V21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21" t="str" cm="1">
        <f t="array" ref="W21">IF(Щиты[[#This Row],[_строка фидера]]="","",INDEX(Линии[Номер линии],Щиты[[#This Row],[_строка фидера]]))</f>
        <v>ЩС-Б</v>
      </c>
      <c r="X21" s="6">
        <f>SUMIFS(Щиты[_Руст собств],Щиты[Путь],"*|"&amp;Щиты[[#This Row],[Щит]]&amp;"|*")</f>
        <v>24.990000000000002</v>
      </c>
      <c r="Y21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12.495000000000001</v>
      </c>
      <c r="Z21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22.54372379226367</v>
      </c>
      <c r="AA21" s="6">
        <f>IFERROR(SUMIFS(Щиты[_Pcos собств],Щиты[Путь],"*|"&amp;Щиты[[#This Row],[Щит]]&amp;"|*")/SUMIFS(Щиты[_P собств],Щиты[Путь],"*|"&amp;Щиты[[#This Row],[Щит]]&amp;"|*"),0.95)</f>
        <v>0.79999999999999993</v>
      </c>
      <c r="AB21" s="6" cm="1">
        <f t="array" ref="AB21">SUMPRODUCT(--ISNUMBER(SEARCH("|"&amp;Щиты[Щит]&amp;"|",Щиты[[#This Row],[Путь]])),IFERROR(--Щиты[_ΔU фидера],0)+IFERROR(--Щиты[_ΔU источника],0))</f>
        <v>0.96</v>
      </c>
      <c r="AC21" s="6" t="str">
        <f>IF(ISNUMBER(Щиты[[#This Row],[Zпетли на шинах, Ом]]),c_min*(Uн_лин*1000/SQRT(3))/Щиты[[#This Row],[Zпетли на шинах, Ом]],"")</f>
        <v/>
      </c>
      <c r="AD21" s="6" t="str">
        <f>IF(ISNUMBER(Щиты[[#This Row],[Zmax на шинах, Ом]]),1.05*(Uн_лин*1000/SQRT(3))/Щиты[[#This Row],[Zmax на шинах, Ом]]/1000,"")</f>
        <v/>
      </c>
      <c r="AE21" t="str" cm="1">
        <f t="array" ref="AE21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21" t="str" cm="1">
        <f t="array" ref="AF21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|ГРЩ-ЖД|ЩС-Б|</v>
      </c>
      <c r="AG21" s="6" t="str">
        <f>_xlfn.TEXTBEFORE(MID(Щиты[[#This Row],[Путь]],2,999),"|")</f>
        <v>ГРЩ-ЖД</v>
      </c>
      <c r="AH21">
        <f>LEN(Щиты[[#This Row],[Путь]])-LEN(SUBSTITUTE(Щиты[[#This Row],[Путь]],"|",""))-2</f>
        <v>1</v>
      </c>
      <c r="AI21">
        <f>IFERROR(_xlfn.XMATCH(Щиты[[#This Row],[Щит]],Линии[_фидер]),"")</f>
        <v>14</v>
      </c>
      <c r="AJ21">
        <f>SUMIFS(Линии[_Руст (без Нет)],Линии[Щит],Щиты[[#This Row],[Щит]])</f>
        <v>24.990000000000002</v>
      </c>
      <c r="AK21">
        <f>SUMIFS(Линии[_Руст быт],Линии[Щит],Щиты[[#This Row],[Щит]])</f>
        <v>0</v>
      </c>
      <c r="AL21">
        <f>SUMIFS(Линии[_Рр сил],Линии[Щит],Щиты[[#This Row],[Щит]])</f>
        <v>12.495000000000001</v>
      </c>
      <c r="AM21">
        <f>SUMIFS(Линии[_Руст пост],Линии[Щит],Щиты[[#This Row],[Щит]])</f>
        <v>0</v>
      </c>
      <c r="AN21">
        <f>SUMIFS(Линии[_P для cos],Линии[Щит],Щиты[[#This Row],[Щит]])</f>
        <v>24.990000000000002</v>
      </c>
      <c r="AO21">
        <f>SUMIFS(Линии[_P·cos],Линии[Щит],Щиты[[#This Row],[Щит]])</f>
        <v>19.992000000000001</v>
      </c>
      <c r="AP21">
        <f>SUMIFS(Линии[_Р отопления],Линии[Щит],Щиты[[#This Row],[Щит]])</f>
        <v>0</v>
      </c>
      <c r="AQ21">
        <f>SUMIFS(Линии[_Рр ВНГ],Линии[Щит],Щиты[[#This Row],[Щит]])</f>
        <v>0</v>
      </c>
      <c r="AR21" s="6">
        <f>SUMIFS(Щиты[_быт собств],Щиты[Путь],"*|"&amp;Щиты[[#This Row],[Щит]]&amp;"|*")</f>
        <v>0</v>
      </c>
      <c r="AS21" s="6" cm="1">
        <f t="array" ref="AS21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21" s="6">
        <f>SUMIFS(Щиты[_сил собств],Щиты[Путь],"*|"&amp;Щиты[[#This Row],[Щит]]&amp;"|*")</f>
        <v>12.495000000000001</v>
      </c>
      <c r="AU21" s="6">
        <f>SUMIFS(Щиты[_пост собств],Щиты[Путь],"*|"&amp;Щиты[[#This Row],[Щит]]&amp;"|*")</f>
        <v>0</v>
      </c>
      <c r="AV21" s="6">
        <f>SUMIFS(Щиты[_отоп собств],Щиты[Путь],"*|"&amp;Щиты[[#This Row],[Щит]]&amp;"|*")</f>
        <v>0</v>
      </c>
      <c r="AW21" s="6">
        <f>SUMIFS(Щиты[_внг собств],Щиты[Путь],"*|"&amp;Щиты[[#This Row],[Щит]]&amp;"|*")</f>
        <v>0</v>
      </c>
      <c r="AX21">
        <f>COUNTIFS(Линии[Щит],Щиты[[#This Row],[Щит]],Линии[Группа Кс (итог)],"Сил")</f>
        <v>3</v>
      </c>
      <c r="AY21" s="6" cm="1">
        <f t="array" ref="AY21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0.9</v>
      </c>
      <c r="AZ21" s="6">
        <f>IF(Методика="нормы 2026",IF(AND(Щиты[[#This Row],[Руст быт, кВт]]&gt;0,Щиты[[#This Row],[Рр сил, кВт]]&gt;0),Ко_сил,1),Ко_сил)</f>
        <v>1</v>
      </c>
      <c r="BA21" s="6">
        <f>IF(Щиты[[#This Row],[Руст, кВт]]=0,0,Щиты[[#This Row],[Рр, кВт]]/Щиты[[#This Row],[Руст, кВт]])</f>
        <v>0.5</v>
      </c>
      <c r="BB2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8.33</v>
      </c>
      <c r="BC2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8.33</v>
      </c>
      <c r="BD2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8.33</v>
      </c>
      <c r="BE21" cm="1">
        <f t="array" ref="BE21">IF(Щиты[[#This Row],[_строка фидера]]="","",INDEX(Линии[ΔU, %],Щиты[[#This Row],[_строка фидера]]))</f>
        <v>0.96</v>
      </c>
      <c r="BF21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21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21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21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21" t="str">
        <f>IF(Щиты[[#This Row],[_Zсети]]="","",Щиты[[#This Row],[_Zсети]]+Щиты[[#This Row],[_петля пит. кабеля]])</f>
        <v/>
      </c>
      <c r="BK21" cm="1">
        <f t="array" ref="BK21">IF(Щиты[[#This Row],[_строка фидера]]="","",INDEX(Линии[_Zкабеля],Щиты[[#This Row],[_строка фидера]]))</f>
        <v>0.27877999999999997</v>
      </c>
      <c r="BL21" s="6" t="str" cm="1">
        <f t="array" ref="BL2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21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21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21" cm="1">
        <f t="array" ref="BO21">IF(Щиты[[#This Row],[_строка фидера]]="","",INDEX(Линии[_Zmax кабеля],Щиты[[#This Row],[_строка фидера]]))</f>
        <v>9.2750000000000013E-2</v>
      </c>
      <c r="BP21" s="6" t="str" cm="1">
        <f t="array" ref="BP21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21" cm="1">
        <f t="array" ref="BQ21">IF(Щиты[[#This Row],[_строка фидера]]="","",INDEX(Линии[_ΔU по току, %],Щиты[[#This Row],[_строка фидера]]))</f>
        <v>0.96</v>
      </c>
      <c r="BR21" s="6" cm="1">
        <f t="array" ref="BR21">SUMPRODUCT(--ISNUMBER(SEARCH("|"&amp;Щиты[Щит]&amp;"|",Щиты[[#This Row],[Путь]])),IFERROR(--Щиты[_ΔU фидера (подбор)],0)+IFERROR(--Щиты[_ΔU источника],0))</f>
        <v>0.96</v>
      </c>
      <c r="BS21" cm="1">
        <f t="array" ref="BS21">IF(Щиты[[#This Row],[_строка фидера]]="","",INDEX(Линии[_Zкабеля по току],Щиты[[#This Row],[_строка фидера]]))</f>
        <v>0.27877999999999997</v>
      </c>
      <c r="BT21" s="6" t="str" cm="1">
        <f t="array" ref="BT2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21">
        <f>_xlfn.MAXIFS(Линии[_ранг для фидера],Линии[Щит],Щиты[[#This Row],[Щит]])</f>
        <v>1</v>
      </c>
      <c r="BV21" t="str" cm="1">
        <f t="array" ref="BV21">IFERROR(INDEX({"III","II","I","I особая"},MAX(1,_xlfn.MAXIFS(Щиты[_ранг собств],Щиты[Путь],"*|"&amp;Щиты[[#This Row],[Щит]]&amp;"|*"))),"III")</f>
        <v>III</v>
      </c>
      <c r="BW21" t="str" cm="1">
        <f t="array" ref="BW21">IF(Щиты[[#This Row],[_строка фидера]]="","",INDEX(Линии[Категория (итог)],Щиты[[#This Row],[_строка фидера]]))</f>
        <v>III</v>
      </c>
      <c r="BX21" s="6">
        <f>_xlfn.MAXIFS(Линии[Iпуск, А],Линии[Щит],Щиты[[#This Row],[Щит]])</f>
        <v>0</v>
      </c>
      <c r="BY21" t="str" cm="1">
        <f t="array" ref="BY21">IF(Щиты[[#This Row],[_строка фидера]]="","",INDEX(Линии[Источник для режимов],Щиты[[#This Row],[_строка фидера]]))</f>
        <v>Ввод 1</v>
      </c>
      <c r="BZ21" t="str" cm="1">
        <f t="array" ref="BZ21">IF(Щиты[[#This Row],[_строка фидера]]="","",INDEX(Линии[Пожарная (итог)],Щиты[[#This Row],[_строка фидера]]))</f>
        <v>нет</v>
      </c>
      <c r="CA21">
        <f>COUNTIFS(Линии[Щит],Щиты[[#This Row],[Щит]],Линии[Категория: проверка],"НЕ ОБЕСПЕЧЕНА")</f>
        <v>0</v>
      </c>
      <c r="CB21" t="str" cm="1">
        <f t="array" ref="CB21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2" spans="1:80" x14ac:dyDescent="0.3">
      <c r="A22" t="s">
        <v>765</v>
      </c>
      <c r="C22">
        <v>1</v>
      </c>
      <c r="D22" t="s">
        <v>486</v>
      </c>
      <c r="E22" t="s">
        <v>842</v>
      </c>
      <c r="F22">
        <v>1</v>
      </c>
      <c r="U22" t="str" cm="1">
        <f t="array" ref="U22">IF(Щиты[[#This Row],[Питается от]]&lt;&gt;"",Щиты[[#This Row],[Питается от]],IFERROR(INDEX(Линии[Щит],Щиты[[#This Row],[_строка фидера]]),""))</f>
        <v>ГРЩ-ЖД</v>
      </c>
      <c r="V22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>не обеспечена категория у 7 линий</v>
      </c>
      <c r="W22" t="str" cm="1">
        <f t="array" ref="W22">IF(Щиты[[#This Row],[_строка фидера]]="","",INDEX(Линии[Номер линии],Щиты[[#This Row],[_строка фидера]]))</f>
        <v>ЩС-ВК.001</v>
      </c>
      <c r="X22" s="6">
        <f>SUMIFS(Щиты[_Руст собств],Щиты[Путь],"*|"&amp;Щиты[[#This Row],[Щит]]&amp;"|*")</f>
        <v>3.8000000000000003</v>
      </c>
      <c r="Y22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1.9000000000000001</v>
      </c>
      <c r="Z22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10.28405166994021</v>
      </c>
      <c r="AA22" s="6">
        <f>IFERROR(SUMIFS(Щиты[_Pcos собств],Щиты[Путь],"*|"&amp;Щиты[[#This Row],[Щит]]&amp;"|*")/SUMIFS(Щиты[_P собств],Щиты[Путь],"*|"&amp;Щиты[[#This Row],[Щит]]&amp;"|*"),0.95)</f>
        <v>0.79999999999999993</v>
      </c>
      <c r="AB22" s="6" cm="1">
        <f t="array" ref="AB22">SUMPRODUCT(--ISNUMBER(SEARCH("|"&amp;Щиты[Щит]&amp;"|",Щиты[[#This Row],[Путь]])),IFERROR(--Щиты[_ΔU фидера],0)+IFERROR(--Щиты[_ΔU источника],0))</f>
        <v>2.1199999999999997</v>
      </c>
      <c r="AC22" s="6" t="str">
        <f>IF(ISNUMBER(Щиты[[#This Row],[Zпетли на шинах, Ом]]),c_min*(Uн_лин*1000/SQRT(3))/Щиты[[#This Row],[Zпетли на шинах, Ом]],"")</f>
        <v/>
      </c>
      <c r="AD22" s="6" t="str">
        <f>IF(ISNUMBER(Щиты[[#This Row],[Zmax на шинах, Ом]]),1.05*(Uн_лин*1000/SQRT(3))/Щиты[[#This Row],[Zmax на шинах, Ом]]/1000,"")</f>
        <v/>
      </c>
      <c r="AE22" t="str" cm="1">
        <f t="array" ref="AE22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22" t="str" cm="1">
        <f t="array" ref="AF22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|ГРЩ-ЖД|ЩС-ВК.001|</v>
      </c>
      <c r="AG22" s="6" t="str">
        <f>_xlfn.TEXTBEFORE(MID(Щиты[[#This Row],[Путь]],2,999),"|")</f>
        <v>ГРЩ-ЖД</v>
      </c>
      <c r="AH22">
        <f>LEN(Щиты[[#This Row],[Путь]])-LEN(SUBSTITUTE(Щиты[[#This Row],[Путь]],"|",""))-2</f>
        <v>1</v>
      </c>
      <c r="AI22">
        <f>IFERROR(_xlfn.XMATCH(Щиты[[#This Row],[Щит]],Линии[_фидер]),"")</f>
        <v>15</v>
      </c>
      <c r="AJ22">
        <f>SUMIFS(Линии[_Руст (без Нет)],Линии[Щит],Щиты[[#This Row],[Щит]])</f>
        <v>3.8000000000000003</v>
      </c>
      <c r="AK22">
        <f>SUMIFS(Линии[_Руст быт],Линии[Щит],Щиты[[#This Row],[Щит]])</f>
        <v>0</v>
      </c>
      <c r="AL22">
        <f>SUMIFS(Линии[_Рр сил],Линии[Щит],Щиты[[#This Row],[Щит]])</f>
        <v>1.9000000000000001</v>
      </c>
      <c r="AM22">
        <f>SUMIFS(Линии[_Руст пост],Линии[Щит],Щиты[[#This Row],[Щит]])</f>
        <v>0</v>
      </c>
      <c r="AN22">
        <f>SUMIFS(Линии[_P для cos],Линии[Щит],Щиты[[#This Row],[Щит]])</f>
        <v>3.8000000000000003</v>
      </c>
      <c r="AO22">
        <f>SUMIFS(Линии[_P·cos],Линии[Щит],Щиты[[#This Row],[Щит]])</f>
        <v>3.04</v>
      </c>
      <c r="AP22">
        <f>SUMIFS(Линии[_Р отопления],Линии[Щит],Щиты[[#This Row],[Щит]])</f>
        <v>0</v>
      </c>
      <c r="AQ22">
        <f>SUMIFS(Линии[_Рр ВНГ],Линии[Щит],Щиты[[#This Row],[Щит]])</f>
        <v>0</v>
      </c>
      <c r="AR22" s="6">
        <f>SUMIFS(Щиты[_быт собств],Щиты[Путь],"*|"&amp;Щиты[[#This Row],[Щит]]&amp;"|*")</f>
        <v>0</v>
      </c>
      <c r="AS22" s="6" cm="1">
        <f t="array" ref="AS22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22" s="6">
        <f>SUMIFS(Щиты[_сил собств],Щиты[Путь],"*|"&amp;Щиты[[#This Row],[Щит]]&amp;"|*")</f>
        <v>1.9000000000000001</v>
      </c>
      <c r="AU22" s="6">
        <f>SUMIFS(Щиты[_пост собств],Щиты[Путь],"*|"&amp;Щиты[[#This Row],[Щит]]&amp;"|*")</f>
        <v>0</v>
      </c>
      <c r="AV22" s="6">
        <f>SUMIFS(Щиты[_отоп собств],Щиты[Путь],"*|"&amp;Щиты[[#This Row],[Щит]]&amp;"|*")</f>
        <v>0</v>
      </c>
      <c r="AW22" s="6">
        <f>SUMIFS(Щиты[_внг собств],Щиты[Путь],"*|"&amp;Щиты[[#This Row],[Щит]]&amp;"|*")</f>
        <v>0</v>
      </c>
      <c r="AX22">
        <f>COUNTIFS(Линии[Щит],Щиты[[#This Row],[Щит]],Линии[Группа Кс (итог)],"Сил")</f>
        <v>7</v>
      </c>
      <c r="AY22" s="6" cm="1">
        <f t="array" ref="AY22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0.76666666666666672</v>
      </c>
      <c r="AZ22" s="6">
        <f>IF(Методика="нормы 2026",IF(AND(Щиты[[#This Row],[Руст быт, кВт]]&gt;0,Щиты[[#This Row],[Рр сил, кВт]]&gt;0),Ко_сил,1),Ко_сил)</f>
        <v>1</v>
      </c>
      <c r="BA22" s="6">
        <f>IF(Щиты[[#This Row],[Руст, кВт]]=0,0,Щиты[[#This Row],[Рр, кВт]]/Щиты[[#This Row],[Руст, кВт]])</f>
        <v>0.5</v>
      </c>
      <c r="BB2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3.8000000000000003</v>
      </c>
      <c r="BC2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</v>
      </c>
      <c r="BD2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</v>
      </c>
      <c r="BE22" cm="1">
        <f t="array" ref="BE22">IF(Щиты[[#This Row],[_строка фидера]]="","",INDEX(Линии[ΔU, %],Щиты[[#This Row],[_строка фидера]]))</f>
        <v>2.1199999999999997</v>
      </c>
      <c r="BF22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22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22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22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22" t="str">
        <f>IF(Щиты[[#This Row],[_Zсети]]="","",Щиты[[#This Row],[_Zсети]]+Щиты[[#This Row],[_петля пит. кабеля]])</f>
        <v/>
      </c>
      <c r="BK22" cm="1">
        <f t="array" ref="BK22">IF(Щиты[[#This Row],[_строка фидера]]="","",INDEX(Линии[_Zкабеля],Щиты[[#This Row],[_строка фидера]]))</f>
        <v>0.68379999999999996</v>
      </c>
      <c r="BL22" s="6" t="str" cm="1">
        <f t="array" ref="BL22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22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22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22" cm="1">
        <f t="array" ref="BO22">IF(Щиты[[#This Row],[_строка фидера]]="","",INDEX(Линии[_Zmax кабеля],Щиты[[#This Row],[_строка фидера]]))</f>
        <v>0.22750000000000004</v>
      </c>
      <c r="BP22" s="6" t="str" cm="1">
        <f t="array" ref="BP22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22" cm="1">
        <f t="array" ref="BQ22">IF(Щиты[[#This Row],[_строка фидера]]="","",INDEX(Линии[_ΔU по току, %],Щиты[[#This Row],[_строка фидера]]))</f>
        <v>3.3699999999999997</v>
      </c>
      <c r="BR22" s="6" cm="1">
        <f t="array" ref="BR22">SUMPRODUCT(--ISNUMBER(SEARCH("|"&amp;Щиты[Щит]&amp;"|",Щиты[[#This Row],[Путь]])),IFERROR(--Щиты[_ΔU фидера (подбор)],0)+IFERROR(--Щиты[_ΔU источника],0))</f>
        <v>3.3699999999999997</v>
      </c>
      <c r="BS22" cm="1">
        <f t="array" ref="BS22">IF(Щиты[[#This Row],[_строка фидера]]="","",INDEX(Линии[_Zкабеля по току],Щиты[[#This Row],[_строка фидера]]))</f>
        <v>1.0940799999999999</v>
      </c>
      <c r="BT22" s="6" t="str" cm="1">
        <f t="array" ref="BT22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22">
        <f>_xlfn.MAXIFS(Линии[_ранг для фидера],Линии[Щит],Щиты[[#This Row],[Щит]])</f>
        <v>3</v>
      </c>
      <c r="BV22" t="str" cm="1">
        <f t="array" ref="BV22">IFERROR(INDEX({"III","II","I","I особая"},MAX(1,_xlfn.MAXIFS(Щиты[_ранг собств],Щиты[Путь],"*|"&amp;Щиты[[#This Row],[Щит]]&amp;"|*"))),"III")</f>
        <v>I</v>
      </c>
      <c r="BW22" t="str" cm="1">
        <f t="array" ref="BW22">IF(Щиты[[#This Row],[_строка фидера]]="","",INDEX(Линии[Категория (итог)],Щиты[[#This Row],[_строка фидера]]))</f>
        <v>I</v>
      </c>
      <c r="BX22" s="6">
        <f>_xlfn.MAXIFS(Линии[Iпуск, А],Линии[Щит],Щиты[[#This Row],[Щит]])</f>
        <v>0</v>
      </c>
      <c r="BY22" t="str" cm="1">
        <f t="array" ref="BY22">IF(Щиты[[#This Row],[_строка фидера]]="","",INDEX(Линии[Источник для режимов],Щиты[[#This Row],[_строка фидера]]))</f>
        <v>Ввод 2</v>
      </c>
      <c r="BZ22" t="str" cm="1">
        <f t="array" ref="BZ22">IF(Щиты[[#This Row],[_строка фидера]]="","",INDEX(Линии[Пожарная (итог)],Щиты[[#This Row],[_строка фидера]]))</f>
        <v>нет</v>
      </c>
      <c r="CA22">
        <f>COUNTIFS(Линии[Щит],Щиты[[#This Row],[Щит]],Линии[Категория: проверка],"НЕ ОБЕСПЕЧЕНА")</f>
        <v>7</v>
      </c>
      <c r="CB22" t="str" cm="1">
        <f t="array" ref="CB22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;315:L2;</v>
      </c>
    </row>
    <row r="23" spans="1:80" x14ac:dyDescent="0.3">
      <c r="A23" t="s">
        <v>767</v>
      </c>
      <c r="C23">
        <v>1</v>
      </c>
      <c r="D23" t="s">
        <v>486</v>
      </c>
      <c r="E23" t="s">
        <v>842</v>
      </c>
      <c r="F23">
        <v>1</v>
      </c>
      <c r="U23" t="str" cm="1">
        <f t="array" ref="U23">IF(Щиты[[#This Row],[Питается от]]&lt;&gt;"",Щиты[[#This Row],[Питается от]],IFERROR(INDEX(Линии[Щит],Щиты[[#This Row],[_строка фидера]]),""))</f>
        <v>ГРЩ-ЖД</v>
      </c>
      <c r="V23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23" t="str" cm="1">
        <f t="array" ref="W23">IF(Щиты[[#This Row],[_строка фидера]]="","",INDEX(Линии[Номер линии],Щиты[[#This Row],[_строка фидера]]))</f>
        <v>ЩС-ВК.002</v>
      </c>
      <c r="X23" s="6">
        <f>SUMIFS(Щиты[_Руст собств],Щиты[Путь],"*|"&amp;Щиты[[#This Row],[Щит]]&amp;"|*")</f>
        <v>2.4</v>
      </c>
      <c r="Y23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1.68</v>
      </c>
      <c r="Z23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9.0932667397366043</v>
      </c>
      <c r="AA23" s="6">
        <f>IFERROR(SUMIFS(Щиты[_Pcos собств],Щиты[Путь],"*|"&amp;Щиты[[#This Row],[Щит]]&amp;"|*")/SUMIFS(Щиты[_P собств],Щиты[Путь],"*|"&amp;Щиты[[#This Row],[Щит]]&amp;"|*"),0.95)</f>
        <v>0.8</v>
      </c>
      <c r="AB23" s="6" cm="1">
        <f t="array" ref="AB23">SUMPRODUCT(--ISNUMBER(SEARCH("|"&amp;Щиты[Щит]&amp;"|",Щиты[[#This Row],[Путь]])),IFERROR(--Щиты[_ΔU фидера],0)+IFERROR(--Щиты[_ΔU источника],0))</f>
        <v>1.84</v>
      </c>
      <c r="AC23" s="6" t="str">
        <f>IF(ISNUMBER(Щиты[[#This Row],[Zпетли на шинах, Ом]]),c_min*(Uн_лин*1000/SQRT(3))/Щиты[[#This Row],[Zпетли на шинах, Ом]],"")</f>
        <v/>
      </c>
      <c r="AD23" s="6" t="str">
        <f>IF(ISNUMBER(Щиты[[#This Row],[Zmax на шинах, Ом]]),1.05*(Uн_лин*1000/SQRT(3))/Щиты[[#This Row],[Zmax на шинах, Ом]]/1000,"")</f>
        <v/>
      </c>
      <c r="AE23" t="str" cm="1">
        <f t="array" ref="AE23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23" t="str" cm="1">
        <f t="array" ref="AF23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|ГРЩ-ЖД|ЩС-ВК.002|</v>
      </c>
      <c r="AG23" s="6" t="str">
        <f>_xlfn.TEXTBEFORE(MID(Щиты[[#This Row],[Путь]],2,999),"|")</f>
        <v>ГРЩ-ЖД</v>
      </c>
      <c r="AH23">
        <f>LEN(Щиты[[#This Row],[Путь]])-LEN(SUBSTITUTE(Щиты[[#This Row],[Путь]],"|",""))-2</f>
        <v>1</v>
      </c>
      <c r="AI23">
        <f>IFERROR(_xlfn.XMATCH(Щиты[[#This Row],[Щит]],Линии[_фидер]),"")</f>
        <v>16</v>
      </c>
      <c r="AJ23">
        <f>SUMIFS(Линии[_Руст (без Нет)],Линии[Щит],Щиты[[#This Row],[Щит]])</f>
        <v>2.4</v>
      </c>
      <c r="AK23">
        <f>SUMIFS(Линии[_Руст быт],Линии[Щит],Щиты[[#This Row],[Щит]])</f>
        <v>0</v>
      </c>
      <c r="AL23">
        <f>SUMIFS(Линии[_Рр сил],Линии[Щит],Щиты[[#This Row],[Щит]])</f>
        <v>1.68</v>
      </c>
      <c r="AM23">
        <f>SUMIFS(Линии[_Руст пост],Линии[Щит],Щиты[[#This Row],[Щит]])</f>
        <v>0</v>
      </c>
      <c r="AN23">
        <f>SUMIFS(Линии[_P для cos],Линии[Щит],Щиты[[#This Row],[Щит]])</f>
        <v>2.4</v>
      </c>
      <c r="AO23">
        <f>SUMIFS(Линии[_P·cos],Линии[Щит],Щиты[[#This Row],[Щит]])</f>
        <v>1.92</v>
      </c>
      <c r="AP23">
        <f>SUMIFS(Линии[_Р отопления],Линии[Щит],Щиты[[#This Row],[Щит]])</f>
        <v>0</v>
      </c>
      <c r="AQ23">
        <f>SUMIFS(Линии[_Рр ВНГ],Линии[Щит],Щиты[[#This Row],[Щит]])</f>
        <v>0</v>
      </c>
      <c r="AR23" s="6">
        <f>SUMIFS(Щиты[_быт собств],Щиты[Путь],"*|"&amp;Щиты[[#This Row],[Щит]]&amp;"|*")</f>
        <v>0</v>
      </c>
      <c r="AS23" s="6" cm="1">
        <f t="array" ref="AS23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23" s="6">
        <f>SUMIFS(Щиты[_сил собств],Щиты[Путь],"*|"&amp;Щиты[[#This Row],[Щит]]&amp;"|*")</f>
        <v>1.68</v>
      </c>
      <c r="AU23" s="6">
        <f>SUMIFS(Щиты[_пост собств],Щиты[Путь],"*|"&amp;Щиты[[#This Row],[Щит]]&amp;"|*")</f>
        <v>0</v>
      </c>
      <c r="AV23" s="6">
        <f>SUMIFS(Щиты[_отоп собств],Щиты[Путь],"*|"&amp;Щиты[[#This Row],[Щит]]&amp;"|*")</f>
        <v>0</v>
      </c>
      <c r="AW23" s="6">
        <f>SUMIFS(Щиты[_внг собств],Щиты[Путь],"*|"&amp;Щиты[[#This Row],[Щит]]&amp;"|*")</f>
        <v>0</v>
      </c>
      <c r="AX23">
        <f>COUNTIFS(Линии[Щит],Щиты[[#This Row],[Щит]],Линии[Группа Кс (итог)],"Сил")</f>
        <v>4</v>
      </c>
      <c r="AY23" s="6" cm="1">
        <f t="array" ref="AY23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0.85000000000000009</v>
      </c>
      <c r="AZ23" s="6">
        <f>IF(Методика="нормы 2026",IF(AND(Щиты[[#This Row],[Руст быт, кВт]]&gt;0,Щиты[[#This Row],[Рр сил, кВт]]&gt;0),Ко_сил,1),Ко_сил)</f>
        <v>1</v>
      </c>
      <c r="BA23" s="6">
        <f>IF(Щиты[[#This Row],[Руст, кВт]]=0,0,Щиты[[#This Row],[Рр, кВт]]/Щиты[[#This Row],[Руст, кВт]])</f>
        <v>0.7</v>
      </c>
      <c r="BB2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2.4</v>
      </c>
      <c r="BC2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</v>
      </c>
      <c r="BD2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</v>
      </c>
      <c r="BE23" cm="1">
        <f t="array" ref="BE23">IF(Щиты[[#This Row],[_строка фидера]]="","",INDEX(Линии[ΔU, %],Щиты[[#This Row],[_строка фидера]]))</f>
        <v>1.84</v>
      </c>
      <c r="BF23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23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23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23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23" t="str">
        <f>IF(Щиты[[#This Row],[_Zсети]]="","",Щиты[[#This Row],[_Zсети]]+Щиты[[#This Row],[_петля пит. кабеля]])</f>
        <v/>
      </c>
      <c r="BK23" cm="1">
        <f t="array" ref="BK23">IF(Щиты[[#This Row],[_строка фидера]]="","",INDEX(Линии[_Zкабеля],Щиты[[#This Row],[_строка фидера]]))</f>
        <v>0.67064999999999997</v>
      </c>
      <c r="BL23" s="6" t="str" cm="1">
        <f t="array" ref="BL23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23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23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23" cm="1">
        <f t="array" ref="BO23">IF(Щиты[[#This Row],[_строка фидера]]="","",INDEX(Линии[_Zmax кабеля],Щиты[[#This Row],[_строка фидера]]))</f>
        <v>0.22312500000000002</v>
      </c>
      <c r="BP23" s="6" t="str" cm="1">
        <f t="array" ref="BP23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23" cm="1">
        <f t="array" ref="BQ23">IF(Щиты[[#This Row],[_строка фидера]]="","",INDEX(Линии[_ΔU по току, %],Щиты[[#This Row],[_строка фидера]]))</f>
        <v>4.8499999999999996</v>
      </c>
      <c r="BR23" s="6" cm="1">
        <f t="array" ref="BR23">SUMPRODUCT(--ISNUMBER(SEARCH("|"&amp;Щиты[Щит]&amp;"|",Щиты[[#This Row],[Путь]])),IFERROR(--Щиты[_ΔU фидера (подбор)],0)+IFERROR(--Щиты[_ΔU источника],0))</f>
        <v>4.8499999999999996</v>
      </c>
      <c r="BS23" cm="1">
        <f t="array" ref="BS23">IF(Щиты[[#This Row],[_строка фидера]]="","",INDEX(Линии[_Zкабеля по току],Щиты[[#This Row],[_строка фидера]]))</f>
        <v>1.7884</v>
      </c>
      <c r="BT23" s="6" t="str" cm="1">
        <f t="array" ref="BT23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23">
        <f>_xlfn.MAXIFS(Линии[_ранг для фидера],Линии[Щит],Щиты[[#This Row],[Щит]])</f>
        <v>2</v>
      </c>
      <c r="BV23" t="str" cm="1">
        <f t="array" ref="BV23">IFERROR(INDEX({"III","II","I","I особая"},MAX(1,_xlfn.MAXIFS(Щиты[_ранг собств],Щиты[Путь],"*|"&amp;Щиты[[#This Row],[Щит]]&amp;"|*"))),"III")</f>
        <v>II</v>
      </c>
      <c r="BW23" t="str" cm="1">
        <f t="array" ref="BW23">IF(Щиты[[#This Row],[_строка фидера]]="","",INDEX(Линии[Категория (итог)],Щиты[[#This Row],[_строка фидера]]))</f>
        <v>II</v>
      </c>
      <c r="BX23" s="6">
        <f>_xlfn.MAXIFS(Линии[Iпуск, А],Линии[Щит],Щиты[[#This Row],[Щит]])</f>
        <v>0</v>
      </c>
      <c r="BY23" t="str" cm="1">
        <f t="array" ref="BY23">IF(Щиты[[#This Row],[_строка фидера]]="","",INDEX(Линии[Источник для режимов],Щиты[[#This Row],[_строка фидера]]))</f>
        <v>Ввод 2</v>
      </c>
      <c r="BZ23" t="str" cm="1">
        <f t="array" ref="BZ23">IF(Щиты[[#This Row],[_строка фидера]]="","",INDEX(Линии[Пожарная (итог)],Щиты[[#This Row],[_строка фидера]]))</f>
        <v>нет</v>
      </c>
      <c r="CA23">
        <f>COUNTIFS(Линии[Щит],Щиты[[#This Row],[Щит]],Линии[Категория: проверка],"НЕ ОБЕСПЕЧЕНА")</f>
        <v>0</v>
      </c>
      <c r="CB23" t="str" cm="1">
        <f t="array" ref="CB23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;323:L2;</v>
      </c>
    </row>
    <row r="24" spans="1:80" x14ac:dyDescent="0.3">
      <c r="A24" t="s">
        <v>769</v>
      </c>
      <c r="C24">
        <v>1</v>
      </c>
      <c r="D24" t="s">
        <v>486</v>
      </c>
      <c r="E24" t="s">
        <v>842</v>
      </c>
      <c r="F24">
        <v>1</v>
      </c>
      <c r="U24" t="str" cm="1">
        <f t="array" ref="U24">IF(Щиты[[#This Row],[Питается от]]&lt;&gt;"",Щиты[[#This Row],[Питается от]],IFERROR(INDEX(Линии[Щит],Щиты[[#This Row],[_строка фидера]]),""))</f>
        <v>ГРЩ-ЖД</v>
      </c>
      <c r="V24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24" t="str" cm="1">
        <f t="array" ref="W24">IF(Щиты[[#This Row],[_строка фидера]]="","",INDEX(Линии[Номер линии],Щиты[[#This Row],[_строка фидера]]))</f>
        <v>ЩС-ВК.003</v>
      </c>
      <c r="X24" s="6">
        <f>SUMIFS(Щиты[_Руст собств],Щиты[Путь],"*|"&amp;Щиты[[#This Row],[Щит]]&amp;"|*")</f>
        <v>4.34</v>
      </c>
      <c r="Y24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3.0379999999999998</v>
      </c>
      <c r="Z24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16.443657354357025</v>
      </c>
      <c r="AA24" s="6">
        <f>IFERROR(SUMIFS(Щиты[_Pcos собств],Щиты[Путь],"*|"&amp;Щиты[[#This Row],[Щит]]&amp;"|*")/SUMIFS(Щиты[_P собств],Щиты[Путь],"*|"&amp;Щиты[[#This Row],[Щит]]&amp;"|*"),0.95)</f>
        <v>0.8</v>
      </c>
      <c r="AB24" s="6" cm="1">
        <f t="array" ref="AB24">SUMPRODUCT(--ISNUMBER(SEARCH("|"&amp;Щиты[Щит]&amp;"|",Щиты[[#This Row],[Путь]])),IFERROR(--Щиты[_ΔU фидера],0)+IFERROR(--Щиты[_ΔU источника],0))</f>
        <v>3.44</v>
      </c>
      <c r="AC24" s="6" t="str">
        <f>IF(ISNUMBER(Щиты[[#This Row],[Zпетли на шинах, Ом]]),c_min*(Uн_лин*1000/SQRT(3))/Щиты[[#This Row],[Zпетли на шинах, Ом]],"")</f>
        <v/>
      </c>
      <c r="AD24" s="6" t="str">
        <f>IF(ISNUMBER(Щиты[[#This Row],[Zmax на шинах, Ом]]),1.05*(Uн_лин*1000/SQRT(3))/Щиты[[#This Row],[Zmax на шинах, Ом]]/1000,"")</f>
        <v/>
      </c>
      <c r="AE24" t="str" cm="1">
        <f t="array" ref="AE24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24" t="str" cm="1">
        <f t="array" ref="AF24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|ГРЩ-ЖД|ЩС-ВК.003|</v>
      </c>
      <c r="AG24" s="6" t="str">
        <f>_xlfn.TEXTBEFORE(MID(Щиты[[#This Row],[Путь]],2,999),"|")</f>
        <v>ГРЩ-ЖД</v>
      </c>
      <c r="AH24">
        <f>LEN(Щиты[[#This Row],[Путь]])-LEN(SUBSTITUTE(Щиты[[#This Row],[Путь]],"|",""))-2</f>
        <v>1</v>
      </c>
      <c r="AI24">
        <f>IFERROR(_xlfn.XMATCH(Щиты[[#This Row],[Щит]],Линии[_фидер]),"")</f>
        <v>17</v>
      </c>
      <c r="AJ24">
        <f>SUMIFS(Линии[_Руст (без Нет)],Линии[Щит],Щиты[[#This Row],[Щит]])</f>
        <v>4.34</v>
      </c>
      <c r="AK24">
        <f>SUMIFS(Линии[_Руст быт],Линии[Щит],Щиты[[#This Row],[Щит]])</f>
        <v>0</v>
      </c>
      <c r="AL24">
        <f>SUMIFS(Линии[_Рр сил],Линии[Щит],Щиты[[#This Row],[Щит]])</f>
        <v>3.0379999999999998</v>
      </c>
      <c r="AM24">
        <f>SUMIFS(Линии[_Руст пост],Линии[Щит],Щиты[[#This Row],[Щит]])</f>
        <v>0</v>
      </c>
      <c r="AN24">
        <f>SUMIFS(Линии[_P для cos],Линии[Щит],Щиты[[#This Row],[Щит]])</f>
        <v>4.34</v>
      </c>
      <c r="AO24">
        <f>SUMIFS(Линии[_P·cos],Линии[Щит],Щиты[[#This Row],[Щит]])</f>
        <v>3.472</v>
      </c>
      <c r="AP24">
        <f>SUMIFS(Линии[_Р отопления],Линии[Щит],Щиты[[#This Row],[Щит]])</f>
        <v>0</v>
      </c>
      <c r="AQ24">
        <f>SUMIFS(Линии[_Рр ВНГ],Линии[Щит],Щиты[[#This Row],[Щит]])</f>
        <v>0</v>
      </c>
      <c r="AR24" s="6">
        <f>SUMIFS(Щиты[_быт собств],Щиты[Путь],"*|"&amp;Щиты[[#This Row],[Щит]]&amp;"|*")</f>
        <v>0</v>
      </c>
      <c r="AS24" s="6" cm="1">
        <f t="array" ref="AS24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24" s="6">
        <f>SUMIFS(Щиты[_сил собств],Щиты[Путь],"*|"&amp;Щиты[[#This Row],[Щит]]&amp;"|*")</f>
        <v>3.0379999999999998</v>
      </c>
      <c r="AU24" s="6">
        <f>SUMIFS(Щиты[_пост собств],Щиты[Путь],"*|"&amp;Щиты[[#This Row],[Щит]]&amp;"|*")</f>
        <v>0</v>
      </c>
      <c r="AV24" s="6">
        <f>SUMIFS(Щиты[_отоп собств],Щиты[Путь],"*|"&amp;Щиты[[#This Row],[Щит]]&amp;"|*")</f>
        <v>0</v>
      </c>
      <c r="AW24" s="6">
        <f>SUMIFS(Щиты[_внг собств],Щиты[Путь],"*|"&amp;Щиты[[#This Row],[Щит]]&amp;"|*")</f>
        <v>0</v>
      </c>
      <c r="AX24">
        <f>COUNTIFS(Линии[Щит],Щиты[[#This Row],[Щит]],Линии[Группа Кс (итог)],"Сил")</f>
        <v>4</v>
      </c>
      <c r="AY24" s="6" cm="1">
        <f t="array" ref="AY24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0.85000000000000009</v>
      </c>
      <c r="AZ24" s="6">
        <f>IF(Методика="нормы 2026",IF(AND(Щиты[[#This Row],[Руст быт, кВт]]&gt;0,Щиты[[#This Row],[Рр сил, кВт]]&gt;0),Ко_сил,1),Ко_сил)</f>
        <v>1</v>
      </c>
      <c r="BA24" s="6">
        <f>IF(Щиты[[#This Row],[Руст, кВт]]=0,0,Щиты[[#This Row],[Рр, кВт]]/Щиты[[#This Row],[Руст, кВт]])</f>
        <v>0.7</v>
      </c>
      <c r="BB2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</v>
      </c>
      <c r="BC2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</v>
      </c>
      <c r="BD2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4.34</v>
      </c>
      <c r="BE24" cm="1">
        <f t="array" ref="BE24">IF(Щиты[[#This Row],[_строка фидера]]="","",INDEX(Линии[ΔU, %],Щиты[[#This Row],[_строка фидера]]))</f>
        <v>3.44</v>
      </c>
      <c r="BF24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24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24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24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24" t="str">
        <f>IF(Щиты[[#This Row],[_Zсети]]="","",Щиты[[#This Row],[_Zсети]]+Щиты[[#This Row],[_петля пит. кабеля]])</f>
        <v/>
      </c>
      <c r="BK24" cm="1">
        <f t="array" ref="BK24">IF(Щиты[[#This Row],[_строка фидера]]="","",INDEX(Линии[_Zкабеля],Щиты[[#This Row],[_строка фидера]]))</f>
        <v>0.69694999999999996</v>
      </c>
      <c r="BL24" s="6" t="str" cm="1">
        <f t="array" ref="BL2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24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24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24" cm="1">
        <f t="array" ref="BO24">IF(Щиты[[#This Row],[_строка фидера]]="","",INDEX(Линии[_Zmax кабеля],Щиты[[#This Row],[_строка фидера]]))</f>
        <v>0.23187500000000003</v>
      </c>
      <c r="BP24" s="6" t="str" cm="1">
        <f t="array" ref="BP24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24" cm="1">
        <f t="array" ref="BQ24">IF(Щиты[[#This Row],[_строка фидера]]="","",INDEX(Линии[_ΔU по току, %],Щиты[[#This Row],[_строка фидера]]))</f>
        <v>5.4799999999999995</v>
      </c>
      <c r="BR24" s="6" cm="1">
        <f t="array" ref="BR24">SUMPRODUCT(--ISNUMBER(SEARCH("|"&amp;Щиты[Щит]&amp;"|",Щиты[[#This Row],[Путь]])),IFERROR(--Щиты[_ΔU фидера (подбор)],0)+IFERROR(--Щиты[_ΔU источника],0))</f>
        <v>5.4799999999999995</v>
      </c>
      <c r="BS24" cm="1">
        <f t="array" ref="BS24">IF(Щиты[[#This Row],[_строка фидера]]="","",INDEX(Линии[_Zкабеля по току],Щиты[[#This Row],[_строка фидера]]))</f>
        <v>1.1151199999999999</v>
      </c>
      <c r="BT24" s="6" t="str" cm="1">
        <f t="array" ref="BT2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24">
        <f>_xlfn.MAXIFS(Линии[_ранг для фидера],Линии[Щит],Щиты[[#This Row],[Щит]])</f>
        <v>2</v>
      </c>
      <c r="BV24" t="str" cm="1">
        <f t="array" ref="BV24">IFERROR(INDEX({"III","II","I","I особая"},MAX(1,_xlfn.MAXIFS(Щиты[_ранг собств],Щиты[Путь],"*|"&amp;Щиты[[#This Row],[Щит]]&amp;"|*"))),"III")</f>
        <v>II</v>
      </c>
      <c r="BW24" t="str" cm="1">
        <f t="array" ref="BW24">IF(Щиты[[#This Row],[_строка фидера]]="","",INDEX(Линии[Категория (итог)],Щиты[[#This Row],[_строка фидера]]))</f>
        <v>II</v>
      </c>
      <c r="BX24" s="6">
        <f>_xlfn.MAXIFS(Линии[Iпуск, А],Линии[Щит],Щиты[[#This Row],[Щит]])</f>
        <v>0</v>
      </c>
      <c r="BY24" t="str" cm="1">
        <f t="array" ref="BY24">IF(Щиты[[#This Row],[_строка фидера]]="","",INDEX(Линии[Источник для режимов],Щиты[[#This Row],[_строка фидера]]))</f>
        <v>Ввод 2</v>
      </c>
      <c r="BZ24" t="str" cm="1">
        <f t="array" ref="BZ24">IF(Щиты[[#This Row],[_строка фидера]]="","",INDEX(Линии[Пожарная (итог)],Щиты[[#This Row],[_строка фидера]]))</f>
        <v>нет</v>
      </c>
      <c r="CA24">
        <f>COUNTIFS(Линии[Щит],Щиты[[#This Row],[Щит]],Линии[Категория: проверка],"НЕ ОБЕСПЕЧЕНА")</f>
        <v>0</v>
      </c>
      <c r="CB24" t="str" cm="1">
        <f t="array" ref="CB24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5" spans="1:80" x14ac:dyDescent="0.3">
      <c r="A25" t="s">
        <v>1105</v>
      </c>
      <c r="C25">
        <v>2</v>
      </c>
      <c r="D25" t="s">
        <v>490</v>
      </c>
      <c r="E25" t="s">
        <v>842</v>
      </c>
      <c r="F25">
        <v>1</v>
      </c>
      <c r="U25" t="str" cm="1">
        <f t="array" ref="U25">IF(Щиты[[#This Row],[Питается от]]&lt;&gt;"",Щиты[[#This Row],[Питается от]],IFERROR(INDEX(Линии[Щит],Щиты[[#This Row],[_строка фидера]]),""))</f>
        <v>ГРЩ-ЖД</v>
      </c>
      <c r="V25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25" t="str" cm="1">
        <f t="array" ref="W25">IF(Щиты[[#This Row],[_строка фидера]]="","",INDEX(Линии[Номер линии],Щиты[[#This Row],[_строка фидера]]))</f>
        <v>ЩСПЗ-ЖД.1</v>
      </c>
      <c r="X25" s="6">
        <f>SUMIFS(Щиты[_Руст собств],Щиты[Путь],"*|"&amp;Щиты[[#This Row],[Щит]]&amp;"|*")</f>
        <v>1.6</v>
      </c>
      <c r="Y25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1.6</v>
      </c>
      <c r="Z25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3.646422752776584</v>
      </c>
      <c r="AA25" s="6">
        <f>IFERROR(SUMIFS(Щиты[_Pcos собств],Щиты[Путь],"*|"&amp;Щиты[[#This Row],[Щит]]&amp;"|*")/SUMIFS(Щиты[_P собств],Щиты[Путь],"*|"&amp;Щиты[[#This Row],[Щит]]&amp;"|*"),0.95)</f>
        <v>0.95</v>
      </c>
      <c r="AB25" s="6" cm="1">
        <f t="array" ref="AB25">SUMPRODUCT(--ISNUMBER(SEARCH("|"&amp;Щиты[Щит]&amp;"|",Щиты[[#This Row],[Путь]])),IFERROR(--Щиты[_ΔU фидера],0)+IFERROR(--Щиты[_ΔU источника],0))</f>
        <v>0.41000000000000003</v>
      </c>
      <c r="AC25" s="6" t="str">
        <f>IF(ISNUMBER(Щиты[[#This Row],[Zпетли на шинах, Ом]]),c_min*(Uн_лин*1000/SQRT(3))/Щиты[[#This Row],[Zпетли на шинах, Ом]],"")</f>
        <v/>
      </c>
      <c r="AD25" s="6" t="str">
        <f>IF(ISNUMBER(Щиты[[#This Row],[Zmax на шинах, Ом]]),1.05*(Uн_лин*1000/SQRT(3))/Щиты[[#This Row],[Zmax на шинах, Ом]]/1000,"")</f>
        <v/>
      </c>
      <c r="AE25" t="str" cm="1">
        <f t="array" ref="AE25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</v>
      </c>
      <c r="AF25" t="str" cm="1">
        <f t="array" ref="AF25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|ГРЩ-ЖД|ЩСПЗ-ЖД|</v>
      </c>
      <c r="AG25" s="6" t="str">
        <f>_xlfn.TEXTBEFORE(MID(Щиты[[#This Row],[Путь]],2,999),"|")</f>
        <v>ГРЩ-ЖД</v>
      </c>
      <c r="AH25">
        <f>LEN(Щиты[[#This Row],[Путь]])-LEN(SUBSTITUTE(Щиты[[#This Row],[Путь]],"|",""))-2</f>
        <v>1</v>
      </c>
      <c r="AI25">
        <f>IFERROR(_xlfn.XMATCH(Щиты[[#This Row],[Щит]],Линии[_фидер]),"")</f>
        <v>3</v>
      </c>
      <c r="AJ25">
        <f>SUMIFS(Линии[_Руст (без Нет)],Линии[Щит],Щиты[[#This Row],[Щит]])</f>
        <v>1.6</v>
      </c>
      <c r="AK25">
        <f>SUMIFS(Линии[_Руст быт],Линии[Щит],Щиты[[#This Row],[Щит]])</f>
        <v>0</v>
      </c>
      <c r="AL25">
        <f>SUMIFS(Линии[_Рр сил],Линии[Щит],Щиты[[#This Row],[Щит]])</f>
        <v>0</v>
      </c>
      <c r="AM25">
        <f>SUMIFS(Линии[_Руст пост],Линии[Щит],Щиты[[#This Row],[Щит]])</f>
        <v>1.6</v>
      </c>
      <c r="AN25">
        <f>SUMIFS(Линии[_P для cos],Линии[Щит],Щиты[[#This Row],[Щит]])</f>
        <v>1.6</v>
      </c>
      <c r="AO25">
        <f>SUMIFS(Линии[_P·cos],Линии[Щит],Щиты[[#This Row],[Щит]])</f>
        <v>1.52</v>
      </c>
      <c r="AP25">
        <f>SUMIFS(Линии[_Р отопления],Линии[Щит],Щиты[[#This Row],[Щит]])</f>
        <v>0</v>
      </c>
      <c r="AQ25">
        <f>SUMIFS(Линии[_Рр ВНГ],Линии[Щит],Щиты[[#This Row],[Щит]])</f>
        <v>0</v>
      </c>
      <c r="AR25" s="6">
        <f>SUMIFS(Щиты[_быт собств],Щиты[Путь],"*|"&amp;Щиты[[#This Row],[Щит]]&amp;"|*")</f>
        <v>0</v>
      </c>
      <c r="AS25" s="6" cm="1">
        <f t="array" ref="AS25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25" s="6">
        <f>SUMIFS(Щиты[_сил собств],Щиты[Путь],"*|"&amp;Щиты[[#This Row],[Щит]]&amp;"|*")</f>
        <v>0</v>
      </c>
      <c r="AU25" s="6">
        <f>SUMIFS(Щиты[_пост собств],Щиты[Путь],"*|"&amp;Щиты[[#This Row],[Щит]]&amp;"|*")</f>
        <v>1.6</v>
      </c>
      <c r="AV25" s="6">
        <f>SUMIFS(Щиты[_отоп собств],Щиты[Путь],"*|"&amp;Щиты[[#This Row],[Щит]]&amp;"|*")</f>
        <v>0</v>
      </c>
      <c r="AW25" s="6">
        <f>SUMIFS(Щиты[_внг собств],Щиты[Путь],"*|"&amp;Щиты[[#This Row],[Щит]]&amp;"|*")</f>
        <v>0</v>
      </c>
      <c r="AX25">
        <f>COUNTIFS(Линии[Щит],Щиты[[#This Row],[Щит]],Линии[Группа Кс (итог)],"Сил")</f>
        <v>0</v>
      </c>
      <c r="AY25" s="6" cm="1">
        <f t="array" ref="AY25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25" s="6">
        <f>IF(Методика="нормы 2026",IF(AND(Щиты[[#This Row],[Руст быт, кВт]]&gt;0,Щиты[[#This Row],[Рр сил, кВт]]&gt;0),Ко_сил,1),Ко_сил)</f>
        <v>1</v>
      </c>
      <c r="BA25" s="6">
        <f>IF(Щиты[[#This Row],[Руст, кВт]]=0,0,Щиты[[#This Row],[Рр, кВт]]/Щиты[[#This Row],[Руст, кВт]])</f>
        <v>1</v>
      </c>
      <c r="BB2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0.8</v>
      </c>
      <c r="BC2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0.4</v>
      </c>
      <c r="BD2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0.4</v>
      </c>
      <c r="BE25" cm="1">
        <f t="array" ref="BE25">IF(Щиты[[#This Row],[_строка фидера]]="","",INDEX(Линии[ΔU, %],Щиты[[#This Row],[_строка фидера]]))</f>
        <v>0.41000000000000003</v>
      </c>
      <c r="BF25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25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25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25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25" t="str">
        <f>IF(Щиты[[#This Row],[_Zсети]]="","",Щиты[[#This Row],[_Zсети]]+Щиты[[#This Row],[_петля пит. кабеля]])</f>
        <v/>
      </c>
      <c r="BK25" cm="1">
        <f t="array" ref="BK25">IF(Щиты[[#This Row],[_строка фидера]]="","",INDEX(Линии[_Zкабеля],Щиты[[#This Row],[_строка фидера]]))</f>
        <v>0.31559999999999999</v>
      </c>
      <c r="BL25" s="6" t="str" cm="1">
        <f t="array" ref="BL2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25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25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25" cm="1">
        <f t="array" ref="BO25">IF(Щиты[[#This Row],[_строка фидера]]="","",INDEX(Линии[_Zmax кабеля],Щиты[[#This Row],[_строка фидера]]))</f>
        <v>0.10500000000000001</v>
      </c>
      <c r="BP25" s="6" t="str" cm="1">
        <f t="array" ref="BP25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25" cm="1">
        <f t="array" ref="BQ25">IF(Щиты[[#This Row],[_строка фидера]]="","",INDEX(Линии[_ΔU по току, %],Щиты[[#This Row],[_строка фидера]]))</f>
        <v>0.68</v>
      </c>
      <c r="BR25" s="6" cm="1">
        <f t="array" ref="BR25">SUMPRODUCT(--ISNUMBER(SEARCH("|"&amp;Щиты[Щит]&amp;"|",Щиты[[#This Row],[Путь]])),IFERROR(--Щиты[_ΔU фидера (подбор)],0)+IFERROR(--Щиты[_ΔU источника],0))</f>
        <v>0.68</v>
      </c>
      <c r="BS25" cm="1">
        <f t="array" ref="BS25">IF(Щиты[[#This Row],[_строка фидера]]="","",INDEX(Линии[_Zкабеля по току],Щиты[[#This Row],[_строка фидера]]))</f>
        <v>0.52600000000000002</v>
      </c>
      <c r="BT25" s="6" t="str" cm="1">
        <f t="array" ref="BT2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25">
        <f>_xlfn.MAXIFS(Линии[_ранг для фидера],Линии[Щит],Щиты[[#This Row],[Щит]])</f>
        <v>3</v>
      </c>
      <c r="BV25" t="str" cm="1">
        <f t="array" ref="BV25">IFERROR(INDEX({"III","II","I","I особая"},MAX(1,_xlfn.MAXIFS(Щиты[_ранг собств],Щиты[Путь],"*|"&amp;Щиты[[#This Row],[Щит]]&amp;"|*"))),"III")</f>
        <v>I</v>
      </c>
      <c r="BW25" t="str" cm="1">
        <f t="array" ref="BW25">IF(Щиты[[#This Row],[_строка фидера]]="","",INDEX(Линии[Категория (итог)],Щиты[[#This Row],[_строка фидера]]))</f>
        <v>I</v>
      </c>
      <c r="BX25" s="6">
        <f>_xlfn.MAXIFS(Линии[Iпуск, А],Линии[Щит],Щиты[[#This Row],[Щит]])</f>
        <v>0</v>
      </c>
      <c r="BY25" t="str" cm="1">
        <f t="array" ref="BY25">IF(Щиты[[#This Row],[_строка фидера]]="","",INDEX(Линии[Источник для режимов],Щиты[[#This Row],[_строка фидера]]))</f>
        <v>Ввод 1</v>
      </c>
      <c r="BZ25" t="str" cm="1">
        <f t="array" ref="BZ25">IF(Щиты[[#This Row],[_строка фидера]]="","",INDEX(Линии[Пожарная (итог)],Щиты[[#This Row],[_строка фидера]]))</f>
        <v>да</v>
      </c>
      <c r="CA25">
        <f>COUNTIFS(Линии[Щит],Щиты[[#This Row],[Щит]],Линии[Категория: проверка],"НЕ ОБЕСПЕЧЕНА")</f>
        <v>0</v>
      </c>
      <c r="CB25" t="str" cm="1">
        <f t="array" ref="CB25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;335:L1;336:L2;337:L3;338:L1;</v>
      </c>
    </row>
    <row r="26" spans="1:80" x14ac:dyDescent="0.3">
      <c r="A26" t="s">
        <v>771</v>
      </c>
      <c r="C26">
        <v>1</v>
      </c>
      <c r="D26" t="s">
        <v>486</v>
      </c>
      <c r="E26" t="s">
        <v>842</v>
      </c>
      <c r="F26">
        <v>1</v>
      </c>
      <c r="U26" t="str" cm="1">
        <f t="array" ref="U26">IF(Щиты[[#This Row],[Питается от]]&lt;&gt;"",Щиты[[#This Row],[Питается от]],IFERROR(INDEX(Линии[Щит],Щиты[[#This Row],[_строка фидера]]),""))</f>
        <v>ГРЩ-ЖД</v>
      </c>
      <c r="V26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Row],[Категория фидера]]&lt;&gt;"",IFERROR(MATCH(Щиты[[#This Row],[Категория фидера]],{"III","II","I","I особая"},0),1)&lt;IFERROR(MATCH(Щиты[[#This Row],[Высшая категория нагрузки]],{"III","II","I","I особая"},0),1)),"фидер "&amp;Щиты[[#This Row],[Категория фидера]]&amp;" ниже нагрузки "&amp;Щиты[[#This Row],[Высшая категория нагрузки]],""),IF(Щиты[[#This Row],[Не обеспечено, линий]]&gt;0,"не обеспечена категория у "&amp;Щиты[[#This Row],[Не обеспечено, линий]]&amp;" линий",""),IF(AND(Щиты[[#This Row],[Питается от]]&lt;&gt;"",Щиты[[#This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W26" t="str" cm="1">
        <f t="array" ref="W26">IF(Щиты[[#This Row],[_строка фидера]]="","",INDEX(Линии[Номер линии],Щиты[[#This Row],[_строка фидера]]))</f>
        <v>ЩУОВ</v>
      </c>
      <c r="X26" s="6">
        <f>SUMIFS(Щиты[_Руст собств],Щиты[Путь],"*|"&amp;Щиты[[#This Row],[Щит]]&amp;"|*")</f>
        <v>16.439999999999998</v>
      </c>
      <c r="Y26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16.439999999999998</v>
      </c>
      <c r="Z26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30.766691976552419</v>
      </c>
      <c r="AA26" s="6">
        <f>IFERROR(SUMIFS(Щиты[_Pcos собств],Щиты[Путь],"*|"&amp;Щиты[[#This Row],[Щит]]&amp;"|*")/SUMIFS(Щиты[_P собств],Щиты[Путь],"*|"&amp;Щиты[[#This Row],[Щит]]&amp;"|*"),0.95)</f>
        <v>0.95000000000000007</v>
      </c>
      <c r="AB26" s="6" cm="1">
        <f t="array" ref="AB26">SUMPRODUCT(--ISNUMBER(SEARCH("|"&amp;Щиты[Щит]&amp;"|",Щиты[[#This Row],[Путь]])),IFERROR(--Щиты[_ΔU фидера],0)+IFERROR(--Щиты[_ΔU источника],0))</f>
        <v>2.4899999999999998</v>
      </c>
      <c r="AC26" s="6" t="str">
        <f>IF(ISNUMBER(Щиты[[#This Row],[Zпетли на шинах, Ом]]),c_min*(Uн_лин*1000/SQRT(3))/Щиты[[#This Row],[Zпетли на шинах, Ом]],"")</f>
        <v/>
      </c>
      <c r="AD26" s="6" t="str">
        <f>IF(ISNUMBER(Щиты[[#This Row],[Zmax на шинах, Ом]]),1.05*(Uн_лин*1000/SQRT(3))/Щиты[[#This Row],[Zmax на шинах, Ом]]/1000,"")</f>
        <v/>
      </c>
      <c r="AE26" t="str" cm="1">
        <f t="array" ref="AE26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F26" t="str" cm="1">
        <f t="array" ref="AF26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|ГРЩ-ЖД|ЩУОВ|</v>
      </c>
      <c r="AG26" s="6" t="str">
        <f>_xlfn.TEXTBEFORE(MID(Щиты[[#This Row],[Путь]],2,999),"|")</f>
        <v>ГРЩ-ЖД</v>
      </c>
      <c r="AH26">
        <f>LEN(Щиты[[#This Row],[Путь]])-LEN(SUBSTITUTE(Щиты[[#This Row],[Путь]],"|",""))-2</f>
        <v>1</v>
      </c>
      <c r="AI26">
        <f>IFERROR(_xlfn.XMATCH(Щиты[[#This Row],[Щит]],Линии[_фидер]),"")</f>
        <v>18</v>
      </c>
      <c r="AJ26">
        <f>SUMIFS(Линии[_Руст (без Нет)],Линии[Щит],Щиты[[#This Row],[Щит]])</f>
        <v>16.439999999999998</v>
      </c>
      <c r="AK26">
        <f>SUMIFS(Линии[_Руст быт],Линии[Щит],Щиты[[#This Row],[Щит]])</f>
        <v>0</v>
      </c>
      <c r="AL26">
        <f>SUMIFS(Линии[_Рр сил],Линии[Щит],Щиты[[#This Row],[Щит]])</f>
        <v>0</v>
      </c>
      <c r="AM26">
        <f>SUMIFS(Линии[_Руст пост],Линии[Щит],Щиты[[#This Row],[Щит]])</f>
        <v>16.439999999999998</v>
      </c>
      <c r="AN26">
        <f>SUMIFS(Линии[_P для cos],Линии[Щит],Щиты[[#This Row],[Щит]])</f>
        <v>16.439999999999998</v>
      </c>
      <c r="AO26">
        <f>SUMIFS(Линии[_P·cos],Линии[Щит],Щиты[[#This Row],[Щит]])</f>
        <v>15.617999999999999</v>
      </c>
      <c r="AP26">
        <f>SUMIFS(Линии[_Р отопления],Линии[Щит],Щиты[[#This Row],[Щит]])</f>
        <v>0</v>
      </c>
      <c r="AQ26">
        <f>SUMIFS(Линии[_Рр ВНГ],Линии[Щит],Щиты[[#This Row],[Щит]])</f>
        <v>0</v>
      </c>
      <c r="AR26" s="6">
        <f>SUMIFS(Щиты[_быт собств],Щиты[Путь],"*|"&amp;Щиты[[#This Row],[Щит]]&amp;"|*")</f>
        <v>0</v>
      </c>
      <c r="AS26" s="6" cm="1">
        <f t="array" ref="AS26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T26" s="6">
        <f>SUMIFS(Щиты[_сил собств],Щиты[Путь],"*|"&amp;Щиты[[#This Row],[Щит]]&amp;"|*")</f>
        <v>0</v>
      </c>
      <c r="AU26" s="6">
        <f>SUMIFS(Щиты[_пост собств],Щиты[Путь],"*|"&amp;Щиты[[#This Row],[Щит]]&amp;"|*")</f>
        <v>16.439999999999998</v>
      </c>
      <c r="AV26" s="6">
        <f>SUMIFS(Щиты[_отоп собств],Щиты[Путь],"*|"&amp;Щиты[[#This Row],[Щит]]&amp;"|*")</f>
        <v>0</v>
      </c>
      <c r="AW26" s="6">
        <f>SUMIFS(Щиты[_внг собств],Щиты[Путь],"*|"&amp;Щиты[[#This Row],[Щит]]&amp;"|*")</f>
        <v>0</v>
      </c>
      <c r="AX26">
        <f>COUNTIFS(Линии[Щит],Щиты[[#This Row],[Щит]],Линии[Группа Кс (итог)],"Сил")</f>
        <v>0</v>
      </c>
      <c r="AY26" s="6" cm="1">
        <f t="array" ref="AY26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AZ26" s="6">
        <f>IF(Методика="нормы 2026",IF(AND(Щиты[[#This Row],[Руст быт, кВт]]&gt;0,Щиты[[#This Row],[Рр сил, кВт]]&gt;0),Ко_сил,1),Ко_сил)</f>
        <v>1</v>
      </c>
      <c r="BA26" s="6">
        <f>IF(Щиты[[#This Row],[Руст, кВт]]=0,0,Щиты[[#This Row],[Рр, кВт]]/Щиты[[#This Row],[Руст, кВт]])</f>
        <v>1</v>
      </c>
      <c r="BB2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6.75</v>
      </c>
      <c r="BC2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5.07</v>
      </c>
      <c r="BD2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4.62</v>
      </c>
      <c r="BE26" cm="1">
        <f t="array" ref="BE26">IF(Щиты[[#This Row],[_строка фидера]]="","",INDEX(Линии[ΔU, %],Щиты[[#This Row],[_строка фидера]]))</f>
        <v>2.4899999999999998</v>
      </c>
      <c r="BF26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G26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H26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I26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J26" t="str">
        <f>IF(Щиты[[#This Row],[_Zсети]]="","",Щиты[[#This Row],[_Zсети]]+Щиты[[#This Row],[_петля пит. кабеля]])</f>
        <v/>
      </c>
      <c r="BK26" cm="1">
        <f t="array" ref="BK26">IF(Щиты[[#This Row],[_строка фидера]]="","",INDEX(Линии[_Zкабеля],Щиты[[#This Row],[_строка фидера]]))</f>
        <v>0.45586666666666664</v>
      </c>
      <c r="BL26" s="6" t="str" cm="1">
        <f t="array" ref="BL2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M26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N26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O26" cm="1">
        <f t="array" ref="BO26">IF(Щиты[[#This Row],[_строка фидера]]="","",INDEX(Линии[_Zmax кабеля],Щиты[[#This Row],[_строка фидера]]))</f>
        <v>0.1516666666666667</v>
      </c>
      <c r="BP26" s="6" t="str" cm="1">
        <f t="array" ref="BP26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Q26" cm="1">
        <f t="array" ref="BQ26">IF(Щиты[[#This Row],[_строка фидера]]="","",INDEX(Линии[_ΔU по току, %],Щиты[[#This Row],[_строка фидера]]))</f>
        <v>3.73</v>
      </c>
      <c r="BR26" s="6" cm="1">
        <f t="array" ref="BR26">SUMPRODUCT(--ISNUMBER(SEARCH("|"&amp;Щиты[Щит]&amp;"|",Щиты[[#This Row],[Путь]])),IFERROR(--Щиты[_ΔU фидера (подбор)],0)+IFERROR(--Щиты[_ΔU источника],0))</f>
        <v>3.73</v>
      </c>
      <c r="BS26" cm="1">
        <f t="array" ref="BS26">IF(Щиты[[#This Row],[_строка фидера]]="","",INDEX(Линии[_Zкабеля по току],Щиты[[#This Row],[_строка фидера]]))</f>
        <v>0.68379999999999996</v>
      </c>
      <c r="BT26" s="6" t="str" cm="1">
        <f t="array" ref="BT2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U26">
        <f>_xlfn.MAXIFS(Линии[_ранг для фидера],Линии[Щит],Щиты[[#This Row],[Щит]])</f>
        <v>2</v>
      </c>
      <c r="BV26" t="str" cm="1">
        <f t="array" ref="BV26">IFERROR(INDEX({"III","II","I","I особая"},MAX(1,_xlfn.MAXIFS(Щиты[_ранг собств],Щиты[Путь],"*|"&amp;Щиты[[#This Row],[Щит]]&amp;"|*"))),"III")</f>
        <v>II</v>
      </c>
      <c r="BW26" t="str" cm="1">
        <f t="array" ref="BW26">IF(Щиты[[#This Row],[_строка фидера]]="","",INDEX(Линии[Категория (итог)],Щиты[[#This Row],[_строка фидера]]))</f>
        <v>II</v>
      </c>
      <c r="BX26" s="6">
        <f>_xlfn.MAXIFS(Линии[Iпуск, А],Линии[Щит],Щиты[[#This Row],[Щит]])</f>
        <v>0</v>
      </c>
      <c r="BY26" t="str" cm="1">
        <f t="array" ref="BY26">IF(Щиты[[#This Row],[_строка фидера]]="","",INDEX(Линии[Источник для режимов],Щиты[[#This Row],[_строка фидера]]))</f>
        <v>Ввод 1</v>
      </c>
      <c r="BZ26" t="str" cm="1">
        <f t="array" ref="BZ26">IF(Щиты[[#This Row],[_строка фидера]]="","",INDEX(Линии[Пожарная (итог)],Щиты[[#This Row],[_строка фидера]]))</f>
        <v>нет</v>
      </c>
      <c r="CA26">
        <f>COUNTIFS(Линии[Щит],Щиты[[#This Row],[Щит]],Линии[Категория: проверка],"НЕ ОБЕСПЕЧЕНА")</f>
        <v>0</v>
      </c>
      <c r="CB26" t="str" cm="1">
        <f t="array" ref="CB26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;350:L2;349:L2;</v>
      </c>
    </row>
  </sheetData>
  <mergeCells count="5">
    <mergeCell ref="B2:M2"/>
    <mergeCell ref="B3:M3"/>
    <mergeCell ref="B4:M4"/>
    <mergeCell ref="B5:M5"/>
    <mergeCell ref="B6:M6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94997-3C45-42FC-B3FD-F181E10CA724}">
  <sheetPr codeName="Лист5">
    <tabColor rgb="FFFFF2CC"/>
    <outlinePr summaryRight="0"/>
  </sheetPr>
  <dimension ref="A1:IS352"/>
  <sheetViews>
    <sheetView tabSelected="1" workbookViewId="0">
      <pane xSplit="3" ySplit="2" topLeftCell="D3" activePane="bottomRight" state="frozenSplit"/>
      <selection pane="bottomLeft" activeCell="A3" sqref="A3"/>
      <selection pane="topRight" activeCell="D1" sqref="D1"/>
      <selection pane="bottomRight" activeCell="D3" sqref="D3"/>
    </sheetView>
  </sheetViews>
  <sheetFormatPr defaultColWidth="10.77734375" defaultRowHeight="14.4" outlineLevelCol="1" x14ac:dyDescent="0.3"/>
  <cols>
    <col min="1" max="1" width="9.77734375" customWidth="1"/>
    <col min="2" max="2" width="13.77734375" customWidth="1"/>
    <col min="3" max="3" width="30.77734375" customWidth="1"/>
    <col min="4" max="5" width="8.77734375" customWidth="1"/>
    <col min="6" max="6" width="7.77734375" customWidth="1"/>
    <col min="7" max="7" width="16.77734375" customWidth="1"/>
    <col min="8" max="8" width="8.77734375" customWidth="1"/>
    <col min="10" max="10" width="14.77734375" customWidth="1"/>
    <col min="11" max="11" width="8.77734375" customWidth="1"/>
    <col min="12" max="13" width="9.77734375" customWidth="1"/>
    <col min="14" max="14" width="8.77734375" customWidth="1"/>
    <col min="15" max="15" width="38.77734375" customWidth="1"/>
    <col min="16" max="18" width="8.77734375" customWidth="1"/>
    <col min="19" max="19" width="22.77734375" customWidth="1"/>
    <col min="20" max="20" width="10.77734375" collapsed="1"/>
    <col min="21" max="48" width="0" hidden="1" customWidth="1" outlineLevel="1"/>
    <col min="49" max="253" width="0" hidden="1" customWidth="1"/>
  </cols>
  <sheetData>
    <row r="1" spans="1:253" ht="49.95" customHeight="1" x14ac:dyDescent="0.3">
      <c r="A1" s="133" t="str" cm="1">
        <f t="array" ref="A1">_xlfn.LET(_xlpm.v,_xlfn._xlws.FILTER(Линии[Щит],(Линии[_видна]=1)*(Линии[Щит]&lt;&gt;""),""),_xlpm.u,_xlfn.UNIQUE(_xlpm.v),IF(OR(ROWS(_xlpm.u)&lt;&gt;1,INDEX(_xlpm.u,1)=""),"Объект: щитов "&amp;ROWS(Щиты[Щит])&amp;", линий "&amp;SUM(--(Линии[Номер линии]&lt;&gt;""))&amp;", замечаний "&amp;COUNTIF(Линии[Замечания],"?*")&amp;CHAR(10)&amp;"Кнопка щита справа — показать один щит и его итоги",_xlfn.LET(_xlpm.щ,INDEX(_xlpm.u,1),_xlpm.X,_xlfn.LAMBDA(_xlpm.h,_xlfn.XLOOKUP(_xlpm.щ,Щиты[Щит],_xlpm.h,"")),_xlpm.щ&amp;IF(_xlpm.X(Щиты[Питается от (итог)])&lt;&gt;"","  ← от "&amp;_xlpm.X(Щиты[Питается от (итог)]),"")&amp;"   ·   листов схемы: "&amp;_xlfn.MAXIFS(Линии[Лист схемы],Линии[Щит],_xlpm.щ)&amp;"   ·   замечаний: "&amp;COUNTIFS(Линии[Щит],_xlpm.щ,Линии[Замечания],"?*")&amp;CHAR(10)&amp;"Руст "&amp;FIXED(_xlpm.X(Щиты[Руст, кВт]),1)&amp;" · Рр "&amp;FIXED(_xlpm.X(Щиты[Рр, кВт]),1)&amp;" кВт · Iр "&amp;FIXED(_xlpm.X(Щиты[Iр, А]),1)&amp;" А · cos φ "&amp;FIXED(_xlpm.X(Щиты[cos φ]),2)&amp;" · ΔU до шин "&amp;IFERROR(FIXED(_xlpm.X(Щиты[ΔU до шин, %]),2),"—")&amp;" %")))</f>
        <v>Объект: щитов 17, линий 350, замечаний 61
Кнопка щита справа — показать один щит и его итоги</v>
      </c>
      <c r="B1" s="134"/>
      <c r="C1" s="134"/>
    </row>
    <row r="2" spans="1:253" ht="48" customHeight="1" x14ac:dyDescent="0.3">
      <c r="A2" s="115" t="s">
        <v>4</v>
      </c>
      <c r="B2" s="115" t="s">
        <v>0</v>
      </c>
      <c r="C2" s="116" t="s">
        <v>6</v>
      </c>
      <c r="D2" s="115" t="s">
        <v>1108</v>
      </c>
      <c r="E2" s="116" t="s">
        <v>439</v>
      </c>
      <c r="F2" s="115" t="s">
        <v>867</v>
      </c>
      <c r="G2" s="116" t="s">
        <v>7</v>
      </c>
      <c r="H2" s="116" t="s">
        <v>1109</v>
      </c>
      <c r="I2" s="116" t="s">
        <v>908</v>
      </c>
      <c r="J2" s="116" t="s">
        <v>909</v>
      </c>
      <c r="K2" s="116" t="s">
        <v>545</v>
      </c>
      <c r="L2" s="116" t="s">
        <v>1110</v>
      </c>
      <c r="M2" s="116" t="s">
        <v>441</v>
      </c>
      <c r="N2" s="116" t="s">
        <v>437</v>
      </c>
      <c r="O2" s="117" t="s">
        <v>1111</v>
      </c>
      <c r="P2" s="117" t="s">
        <v>810</v>
      </c>
      <c r="Q2" s="117" t="s">
        <v>28</v>
      </c>
      <c r="R2" s="117" t="s">
        <v>737</v>
      </c>
      <c r="S2" s="117" t="s">
        <v>9</v>
      </c>
      <c r="T2" s="117" t="s">
        <v>1112</v>
      </c>
      <c r="U2" s="115" t="s">
        <v>1113</v>
      </c>
      <c r="V2" s="116" t="s">
        <v>2</v>
      </c>
      <c r="W2" s="116" t="s">
        <v>188</v>
      </c>
      <c r="X2" s="116" t="s">
        <v>537</v>
      </c>
      <c r="Y2" s="115" t="s">
        <v>735</v>
      </c>
      <c r="Z2" s="115" t="s">
        <v>1114</v>
      </c>
      <c r="AA2" s="115" t="s">
        <v>1115</v>
      </c>
      <c r="AB2" s="115" t="s">
        <v>863</v>
      </c>
      <c r="AC2" s="115" t="s">
        <v>1116</v>
      </c>
      <c r="AD2" s="115" t="s">
        <v>1117</v>
      </c>
      <c r="AE2" s="115" t="s">
        <v>904</v>
      </c>
      <c r="AF2" s="115" t="s">
        <v>1118</v>
      </c>
      <c r="AG2" s="115" t="s">
        <v>434</v>
      </c>
      <c r="AH2" s="115" t="s">
        <v>436</v>
      </c>
      <c r="AI2" s="115" t="s">
        <v>1119</v>
      </c>
      <c r="AJ2" s="116" t="s">
        <v>518</v>
      </c>
      <c r="AK2" s="116" t="s">
        <v>14</v>
      </c>
      <c r="AL2" s="115" t="s">
        <v>1120</v>
      </c>
      <c r="AM2" s="115" t="s">
        <v>190</v>
      </c>
      <c r="AN2" s="115" t="s">
        <v>198</v>
      </c>
      <c r="AO2" s="115" t="s">
        <v>197</v>
      </c>
      <c r="AP2" s="115" t="s">
        <v>59</v>
      </c>
      <c r="AQ2" s="115" t="s">
        <v>50</v>
      </c>
      <c r="AR2" s="115" t="s">
        <v>511</v>
      </c>
      <c r="AS2" s="115" t="s">
        <v>512</v>
      </c>
      <c r="AT2" s="115" t="s">
        <v>513</v>
      </c>
      <c r="AU2" s="115" t="s">
        <v>514</v>
      </c>
      <c r="AV2" s="115" t="s">
        <v>516</v>
      </c>
      <c r="AW2" s="117" t="s">
        <v>1121</v>
      </c>
      <c r="AX2" s="117" t="s">
        <v>899</v>
      </c>
      <c r="AY2" s="117" t="s">
        <v>1122</v>
      </c>
      <c r="AZ2" s="117" t="s">
        <v>54</v>
      </c>
      <c r="BA2" s="117" t="s">
        <v>1123</v>
      </c>
      <c r="BB2" s="117" t="s">
        <v>53</v>
      </c>
      <c r="BC2" s="117" t="s">
        <v>1124</v>
      </c>
      <c r="BD2" s="117" t="s">
        <v>1125</v>
      </c>
      <c r="BE2" s="117" t="s">
        <v>1126</v>
      </c>
      <c r="BF2" s="117" t="s">
        <v>1127</v>
      </c>
      <c r="BG2" s="117" t="s">
        <v>1128</v>
      </c>
      <c r="BH2" s="117" t="s">
        <v>1129</v>
      </c>
      <c r="BI2" s="117" t="s">
        <v>1130</v>
      </c>
      <c r="BJ2" s="117" t="s">
        <v>1131</v>
      </c>
      <c r="BK2" s="117" t="s">
        <v>1132</v>
      </c>
      <c r="BL2" s="117" t="s">
        <v>1133</v>
      </c>
      <c r="BM2" s="117" t="s">
        <v>1134</v>
      </c>
      <c r="BN2" s="117" t="s">
        <v>1135</v>
      </c>
      <c r="BO2" s="117" t="s">
        <v>1136</v>
      </c>
      <c r="BP2" s="117" t="s">
        <v>1137</v>
      </c>
      <c r="BQ2" s="117" t="s">
        <v>1138</v>
      </c>
      <c r="BR2" s="117" t="s">
        <v>903</v>
      </c>
      <c r="BS2" s="117" t="s">
        <v>1139</v>
      </c>
      <c r="BT2" s="117" t="s">
        <v>1140</v>
      </c>
      <c r="BU2" s="117" t="s">
        <v>1141</v>
      </c>
      <c r="BV2" s="117" t="s">
        <v>902</v>
      </c>
      <c r="BW2" s="117" t="s">
        <v>1142</v>
      </c>
      <c r="BX2" s="117" t="s">
        <v>1143</v>
      </c>
      <c r="BY2" s="117" t="s">
        <v>804</v>
      </c>
      <c r="BZ2" s="117" t="s">
        <v>1144</v>
      </c>
      <c r="CA2" s="117" t="s">
        <v>1145</v>
      </c>
      <c r="CB2" s="117" t="s">
        <v>1146</v>
      </c>
      <c r="CC2" s="117" t="s">
        <v>1147</v>
      </c>
      <c r="CD2" s="117" t="s">
        <v>1148</v>
      </c>
      <c r="CE2" s="117" t="s">
        <v>1149</v>
      </c>
      <c r="CF2" s="117" t="s">
        <v>1150</v>
      </c>
      <c r="CG2" s="117" t="s">
        <v>1151</v>
      </c>
      <c r="CH2" s="117" t="s">
        <v>1152</v>
      </c>
      <c r="CI2" s="117" t="s">
        <v>1153</v>
      </c>
      <c r="CJ2" s="117" t="s">
        <v>1154</v>
      </c>
      <c r="CK2" s="117" t="s">
        <v>1155</v>
      </c>
      <c r="CL2" s="117" t="s">
        <v>1156</v>
      </c>
      <c r="CM2" s="117" t="s">
        <v>1157</v>
      </c>
      <c r="CN2" s="117" t="s">
        <v>1158</v>
      </c>
      <c r="CO2" s="117" t="s">
        <v>1159</v>
      </c>
      <c r="CP2" s="117" t="s">
        <v>431</v>
      </c>
      <c r="CQ2" s="117" t="s">
        <v>432</v>
      </c>
      <c r="CR2" s="117" t="s">
        <v>1160</v>
      </c>
      <c r="CS2" s="117" t="s">
        <v>1161</v>
      </c>
      <c r="CT2" s="117" t="s">
        <v>1162</v>
      </c>
      <c r="CU2" s="117" t="s">
        <v>1163</v>
      </c>
      <c r="CV2" s="117" t="s">
        <v>1164</v>
      </c>
      <c r="CW2" s="117" t="s">
        <v>1165</v>
      </c>
      <c r="CX2" s="117" t="s">
        <v>1166</v>
      </c>
      <c r="CY2" s="117" t="s">
        <v>1167</v>
      </c>
      <c r="CZ2" s="117" t="s">
        <v>1168</v>
      </c>
      <c r="DA2" s="117" t="s">
        <v>1169</v>
      </c>
      <c r="DB2" s="117" t="s">
        <v>1170</v>
      </c>
      <c r="DC2" s="117" t="s">
        <v>1171</v>
      </c>
      <c r="DD2" s="117" t="s">
        <v>1172</v>
      </c>
      <c r="DE2" s="117" t="s">
        <v>1173</v>
      </c>
      <c r="DF2" s="117" t="s">
        <v>1174</v>
      </c>
      <c r="DG2" s="117" t="s">
        <v>1175</v>
      </c>
      <c r="DH2" s="117" t="s">
        <v>1176</v>
      </c>
      <c r="DI2" s="117" t="s">
        <v>1177</v>
      </c>
      <c r="DJ2" s="117" t="s">
        <v>1178</v>
      </c>
      <c r="DK2" s="117" t="s">
        <v>1179</v>
      </c>
      <c r="DL2" s="117" t="s">
        <v>1180</v>
      </c>
      <c r="DM2" s="117" t="s">
        <v>1181</v>
      </c>
      <c r="DN2" s="117" t="s">
        <v>1182</v>
      </c>
      <c r="DO2" s="117" t="s">
        <v>1183</v>
      </c>
      <c r="DP2" s="117" t="s">
        <v>1184</v>
      </c>
      <c r="DQ2" s="117" t="s">
        <v>1185</v>
      </c>
      <c r="DR2" s="117" t="s">
        <v>1186</v>
      </c>
      <c r="DS2" s="117" t="s">
        <v>1187</v>
      </c>
      <c r="DT2" s="117" t="s">
        <v>1188</v>
      </c>
      <c r="DU2" s="117" t="s">
        <v>1189</v>
      </c>
      <c r="DV2" s="117" t="s">
        <v>1190</v>
      </c>
      <c r="DW2" s="117" t="s">
        <v>1191</v>
      </c>
      <c r="DX2" s="117" t="s">
        <v>3</v>
      </c>
      <c r="DY2" s="117" t="s">
        <v>1192</v>
      </c>
      <c r="DZ2" s="117" t="s">
        <v>1193</v>
      </c>
      <c r="EA2" s="117" t="s">
        <v>1194</v>
      </c>
      <c r="EB2" s="117" t="s">
        <v>1195</v>
      </c>
      <c r="EC2" s="117" t="s">
        <v>1196</v>
      </c>
      <c r="ED2" s="117" t="s">
        <v>1197</v>
      </c>
      <c r="EE2" s="117" t="s">
        <v>1198</v>
      </c>
      <c r="EF2" s="117" t="s">
        <v>1199</v>
      </c>
      <c r="EG2" s="117" t="s">
        <v>1200</v>
      </c>
      <c r="EH2" s="117" t="s">
        <v>1201</v>
      </c>
      <c r="EI2" s="117" t="s">
        <v>1202</v>
      </c>
      <c r="EJ2" s="117" t="s">
        <v>1203</v>
      </c>
      <c r="EK2" s="117" t="s">
        <v>1204</v>
      </c>
      <c r="EL2" s="117" t="s">
        <v>1205</v>
      </c>
      <c r="EM2" s="117" t="s">
        <v>740</v>
      </c>
      <c r="EN2" s="117" t="s">
        <v>738</v>
      </c>
      <c r="EO2" s="117" t="s">
        <v>741</v>
      </c>
      <c r="EP2" s="117" t="s">
        <v>1206</v>
      </c>
      <c r="EQ2" s="117" t="s">
        <v>736</v>
      </c>
      <c r="ER2" s="117" t="s">
        <v>531</v>
      </c>
      <c r="ES2" s="117" t="s">
        <v>813</v>
      </c>
      <c r="ET2" s="117" t="s">
        <v>1207</v>
      </c>
      <c r="EU2" s="117" t="s">
        <v>1208</v>
      </c>
      <c r="EV2" s="117" t="s">
        <v>1209</v>
      </c>
      <c r="EW2" s="117" t="s">
        <v>1210</v>
      </c>
      <c r="EX2" s="117" t="s">
        <v>1211</v>
      </c>
      <c r="EY2" s="117" t="s">
        <v>1212</v>
      </c>
      <c r="EZ2" s="117" t="s">
        <v>1213</v>
      </c>
      <c r="FA2" s="117" t="s">
        <v>1214</v>
      </c>
      <c r="FB2" s="117" t="s">
        <v>1215</v>
      </c>
      <c r="FC2" s="117" t="s">
        <v>1216</v>
      </c>
      <c r="FD2" s="117" t="s">
        <v>1217</v>
      </c>
      <c r="FE2" s="117" t="s">
        <v>1218</v>
      </c>
      <c r="FF2" s="117" t="s">
        <v>1219</v>
      </c>
      <c r="FG2" s="117" t="s">
        <v>1220</v>
      </c>
      <c r="FH2" s="117" t="s">
        <v>1221</v>
      </c>
      <c r="FI2" s="117" t="s">
        <v>1222</v>
      </c>
      <c r="FJ2" s="117" t="s">
        <v>844</v>
      </c>
      <c r="FK2" s="117" t="s">
        <v>845</v>
      </c>
      <c r="FL2" s="117" t="s">
        <v>1223</v>
      </c>
      <c r="FM2" s="117" t="s">
        <v>1224</v>
      </c>
      <c r="FN2" s="117" t="s">
        <v>1225</v>
      </c>
      <c r="FO2" s="117" t="s">
        <v>843</v>
      </c>
      <c r="FP2" s="117" t="s">
        <v>846</v>
      </c>
      <c r="FQ2" s="117" t="s">
        <v>847</v>
      </c>
      <c r="FR2" s="117" t="s">
        <v>1226</v>
      </c>
      <c r="FS2" s="117" t="s">
        <v>1227</v>
      </c>
      <c r="FT2" s="117" t="s">
        <v>848</v>
      </c>
      <c r="FU2" s="117" t="s">
        <v>1228</v>
      </c>
      <c r="FV2" s="117" t="s">
        <v>1229</v>
      </c>
      <c r="FW2" s="117" t="s">
        <v>1230</v>
      </c>
      <c r="FX2" s="117" t="s">
        <v>1231</v>
      </c>
      <c r="FY2" s="117" t="s">
        <v>1232</v>
      </c>
      <c r="FZ2" s="117" t="s">
        <v>1233</v>
      </c>
      <c r="GA2" s="117" t="s">
        <v>1234</v>
      </c>
      <c r="GB2" s="117" t="s">
        <v>1235</v>
      </c>
      <c r="GC2" s="117" t="s">
        <v>1236</v>
      </c>
      <c r="GD2" s="117" t="s">
        <v>1237</v>
      </c>
      <c r="GE2" s="117" t="s">
        <v>1238</v>
      </c>
      <c r="GF2" s="117" t="s">
        <v>1239</v>
      </c>
      <c r="GG2" s="117" t="s">
        <v>1240</v>
      </c>
      <c r="GH2" s="117" t="s">
        <v>1241</v>
      </c>
      <c r="GI2" s="117" t="s">
        <v>1242</v>
      </c>
      <c r="GJ2" s="117" t="s">
        <v>1243</v>
      </c>
      <c r="GK2" s="117" t="s">
        <v>1244</v>
      </c>
      <c r="GL2" s="117" t="s">
        <v>1245</v>
      </c>
      <c r="GM2" s="117" t="s">
        <v>1246</v>
      </c>
      <c r="GN2" s="117" t="s">
        <v>1247</v>
      </c>
      <c r="GO2" s="117" t="s">
        <v>1248</v>
      </c>
      <c r="GP2" s="117" t="s">
        <v>1249</v>
      </c>
      <c r="GQ2" s="117" t="s">
        <v>1250</v>
      </c>
      <c r="GR2" s="117" t="s">
        <v>1251</v>
      </c>
      <c r="GS2" s="117" t="s">
        <v>1252</v>
      </c>
      <c r="GT2" s="117" t="s">
        <v>429</v>
      </c>
      <c r="GU2" s="117" t="s">
        <v>1253</v>
      </c>
      <c r="GV2" s="117" t="s">
        <v>1254</v>
      </c>
      <c r="GW2" s="117" t="s">
        <v>1255</v>
      </c>
      <c r="GX2" s="117" t="s">
        <v>739</v>
      </c>
      <c r="GY2" s="117" t="s">
        <v>1256</v>
      </c>
      <c r="GZ2" s="117" t="s">
        <v>1257</v>
      </c>
      <c r="HA2" s="117" t="s">
        <v>1258</v>
      </c>
      <c r="HB2" s="117" t="s">
        <v>1259</v>
      </c>
      <c r="HC2" s="117" t="s">
        <v>1260</v>
      </c>
      <c r="HD2" s="117" t="s">
        <v>1261</v>
      </c>
      <c r="HE2" s="117" t="s">
        <v>1262</v>
      </c>
      <c r="HF2" s="117" t="s">
        <v>1263</v>
      </c>
      <c r="HG2" s="117" t="s">
        <v>1264</v>
      </c>
      <c r="HH2" s="117" t="s">
        <v>1265</v>
      </c>
      <c r="HI2" s="117" t="s">
        <v>1266</v>
      </c>
      <c r="HJ2" s="117" t="s">
        <v>1267</v>
      </c>
      <c r="HK2" s="117" t="s">
        <v>1268</v>
      </c>
      <c r="HL2" s="117" t="s">
        <v>1269</v>
      </c>
      <c r="HM2" s="117" t="s">
        <v>1270</v>
      </c>
      <c r="HN2" s="117" t="s">
        <v>1271</v>
      </c>
      <c r="HO2" s="117" t="s">
        <v>1272</v>
      </c>
      <c r="HP2" s="117" t="s">
        <v>1273</v>
      </c>
      <c r="HQ2" s="117" t="s">
        <v>1274</v>
      </c>
      <c r="HR2" s="117" t="s">
        <v>1275</v>
      </c>
      <c r="HS2" s="117" t="s">
        <v>1276</v>
      </c>
      <c r="HT2" s="117" t="s">
        <v>1277</v>
      </c>
      <c r="HU2" s="117" t="s">
        <v>1278</v>
      </c>
      <c r="HV2" s="117" t="s">
        <v>1279</v>
      </c>
      <c r="HW2" s="117" t="s">
        <v>1280</v>
      </c>
      <c r="HX2" s="117" t="s">
        <v>1281</v>
      </c>
      <c r="HY2" s="117" t="s">
        <v>1282</v>
      </c>
      <c r="HZ2" s="117" t="s">
        <v>1283</v>
      </c>
      <c r="IA2" s="117" t="s">
        <v>1284</v>
      </c>
      <c r="IB2" s="117" t="s">
        <v>1285</v>
      </c>
      <c r="IC2" s="117" t="s">
        <v>1286</v>
      </c>
      <c r="ID2" s="117" t="s">
        <v>1287</v>
      </c>
      <c r="IE2" s="117" t="s">
        <v>1288</v>
      </c>
      <c r="IF2" s="117" t="s">
        <v>1289</v>
      </c>
      <c r="IG2" s="117" t="s">
        <v>1290</v>
      </c>
      <c r="IH2" s="117" t="s">
        <v>1291</v>
      </c>
      <c r="II2" s="117" t="s">
        <v>1292</v>
      </c>
      <c r="IJ2" s="117" t="s">
        <v>1293</v>
      </c>
      <c r="IK2" s="117" t="s">
        <v>1294</v>
      </c>
      <c r="IL2" s="117" t="s">
        <v>1295</v>
      </c>
      <c r="IM2" s="117" t="s">
        <v>1296</v>
      </c>
      <c r="IN2" s="117" t="s">
        <v>1297</v>
      </c>
      <c r="IO2" s="117" t="s">
        <v>1298</v>
      </c>
      <c r="IP2" s="117" t="s">
        <v>1299</v>
      </c>
      <c r="IQ2" s="117" t="s">
        <v>1300</v>
      </c>
      <c r="IR2" s="117" t="s">
        <v>1301</v>
      </c>
      <c r="IS2" s="117" t="s">
        <v>1302</v>
      </c>
    </row>
    <row r="3" spans="1:253" x14ac:dyDescent="0.3">
      <c r="A3" t="s">
        <v>785</v>
      </c>
      <c r="B3" t="s">
        <v>743</v>
      </c>
      <c r="C3" t="s">
        <v>742</v>
      </c>
      <c r="D3">
        <v>1</v>
      </c>
      <c r="E3">
        <f>Линии[[#This Row],[_авто Р]]</f>
        <v>526.28100000000018</v>
      </c>
      <c r="G3" t="str">
        <f>Линии[[#This Row],[_авто автомат]]</f>
        <v>3P С630А</v>
      </c>
      <c r="H3" t="str">
        <f>Линии[[#This Row],[_авто утечка]]</f>
        <v/>
      </c>
      <c r="I3" t="str">
        <f>Линии[[#This Row],[_авто управление]]</f>
        <v/>
      </c>
      <c r="J3" t="str">
        <f>Линии[[#This Row],[_авто аппараты]]</f>
        <v/>
      </c>
      <c r="K3" t="str">
        <f>Линии[[#This Row],[_авто сечение]]</f>
        <v/>
      </c>
      <c r="L3" t="str">
        <f>Линии[[#This Row],[_авто длина по плану]]</f>
        <v/>
      </c>
      <c r="M3" t="str">
        <f>Линии[[#This Row],[_авто фаза]]</f>
        <v>L1,L2,L3</v>
      </c>
      <c r="N3" t="str">
        <f>Линии[[#This Row],[_авто клемма]]</f>
        <v/>
      </c>
      <c r="O3" t="str">
        <f t="shared" ref="O3:O66" si="0">_xlfn.TEXTJOIN("; ",TRUE,HD3,HA3,IF(FT3="НЕ ОБЕСПЕЧЕНА","категория "&amp;FJ3&amp;" не обеспечена (есть "&amp;FQ3&amp;")",""),IF(LEFT(HC3,3)="Icu",HC3,""),IF(AND(B3&lt;&gt;"",DX3="не подобрано"),"сечение не подобрано: проверьте длину и автомат или впишите сечение",""))</f>
        <v/>
      </c>
      <c r="P3" s="6" cm="1">
        <f t="array" ref="P3">IF(B3="","",IF(BC3&lt;&gt;"",IFERROR(_xlfn.XLOOKUP(BC3,Щиты[Щит],Щиты[Iр, А]),""),IF(BK3=1,IFERROR(_xlfn.XLOOKUP(A3,Щиты[Щит],Щиты[Iр, А]),""),IFERROR(_xlfn.IFS(BR3=1,BN3/((Uн_лин/SQRT(3))*BY3),BR3=3,BN3/(SQRT(3)*Uн_лин*BY3)),""))))</f>
        <v>482.46261025528872</v>
      </c>
      <c r="Q3" s="7" t="str">
        <f>IF(B3="","",IFERROR(IF(VLOOKUP(AX3,Потребители_обозначение,4,FALSE)=1,VLOOKUP(AX3,Потребители_обозначение,3,FALSE)*(D3*2-1)+DS3+VLOOKUP(AZ3,Этаж_обозначение,3,FALSE)+VLOOKUP(AZ3,Этаж_обозначение,4,FALSE),VLOOKUP(AX3,Потребители_обозначение,3,FALSE)*(D3*2-1)+DS3),DS3))</f>
        <v/>
      </c>
      <c r="R3" s="6" t="str">
        <f t="shared" ref="R3:R66" si="1">IF(ISNUMBER(EG3),EG3+DN3,"")</f>
        <v/>
      </c>
      <c r="S3" t="str">
        <f t="shared" ref="S3:S66" si="2">IF(OR(B3="",EH3=""),"",IF(DX3="не подобрано",EH3&amp;" — сечение не подобрано",EI3))</f>
        <v/>
      </c>
      <c r="T3" t="str">
        <f>IF(BH3="","",IF(BI3="вводной узел","узел ","")&amp;"л."&amp;(INT((BH3-1)/Столбцов_на_лист)+1)&amp;" / "&amp;(MOD(BH3-1,Столбцов_на_лист)+1))</f>
        <v>л.2 / 1</v>
      </c>
      <c r="V3">
        <v>3</v>
      </c>
      <c r="W3">
        <v>400</v>
      </c>
      <c r="X3" t="s">
        <v>549</v>
      </c>
      <c r="AI3">
        <v>18</v>
      </c>
      <c r="AJ3" t="str">
        <f>Линии[[#This Row],[_авто марка]]</f>
        <v/>
      </c>
      <c r="AK3" t="str">
        <f>Линии[[#This Row],[_авто жил]]</f>
        <v/>
      </c>
      <c r="AW3" cm="1">
        <f t="array" ref="AW3">ROW()-ROW(Линии[#Headers])</f>
        <v>1</v>
      </c>
      <c r="AX3" s="6" t="str">
        <f t="shared" ref="AX3:AX66" si="3">IF(B3="","",IFERROR(LEFT(B3,SEARCH(".",B3)-1),B3))</f>
        <v>Ввод</v>
      </c>
      <c r="AY3" t="str">
        <f t="shared" ref="AY3:AY66" si="4">IFERROR(RIGHT(B3,LEN(B3)-SEARCH(".",B3)),"")</f>
        <v>1</v>
      </c>
      <c r="AZ3" t="str">
        <f t="shared" ref="AZ3:AZ66" si="5">IFERROR(LEFT(AY3,SEARCH(".",AY3)-1),AY3)</f>
        <v>1</v>
      </c>
      <c r="BA3" t="str">
        <f t="shared" ref="BA3:BA66" si="6">IFERROR(RIGHT(AY3,LEN(AY3)-SEARCH(".",AY3)),"")</f>
        <v/>
      </c>
      <c r="BB3" t="str">
        <f t="shared" ref="BB3:BB66" si="7">IFERROR(LEFT(BA3,SEARCH(".",BA3)-1),BA3)</f>
        <v/>
      </c>
      <c r="BC3" t="str">
        <f>IF(U3&lt;&gt;"",U3,IF(AND(B3&lt;&gt;"",B3&lt;&gt;A3,ISNUMBER(_xlfn.XMATCH(B3,Щиты[Щит]))),B3,""))</f>
        <v/>
      </c>
      <c r="BD3" t="str" cm="1">
        <f t="array" ref="BD3">IF(B3="","",IF(BC3&lt;&gt;"","Щит "&amp;BC3,_xlfn.LET(_xlpm.nm,IFERROR(_xlfn.XLOOKUP(AX3,Коды_код,Коды_имя)&amp;"",""),_xlpm.md,IFERROR(N(_xlfn.XLOOKUP(AX3,Коды_код,Коды_режим)),1),_xlpm.ex,IF(Имя_режим="по экспликации",IFERROR(_xlfn.XLOOKUP(AZ3&amp;"|"&amp;BB3,Экспликация[Этаж]&amp;"|"&amp;Экспликация[Помещение],Экспликация[Название])&amp;"",""),""),_xlpm.rm,IF(BB3="","",IF(_xlpm.ex&lt;&gt;"",". "&amp;_xlpm.ex&amp;IF(Имя_пом="нет"," ("&amp;BB3&amp;")"," (пом. "&amp;BB3&amp;")"),IF(Имя_пом="нет"," ",", пом. ")&amp;BB3)),IF(_xlpm.nm="","",IF(_xlpm.md=2,_xlpm.nm&amp;" шлейф "&amp;AZ3,_xlpm.nm&amp;_xlpm.rm)))))</f>
        <v>Вводной кабель шлейф 1</v>
      </c>
      <c r="BE3" t="str">
        <f t="shared" ref="BE3:BE66" si="8">IF(TRIM(C3&amp;"")="",BD3,C3)</f>
        <v>Основной ввод в дом №1</v>
      </c>
      <c r="BF3">
        <f>IFERROR(_xlfn.XMATCH(A3,Щиты[Щит]),0)</f>
        <v>1</v>
      </c>
      <c r="BG3">
        <f>_xlfn.LET(_xlpm.k,IFERROR(_xlfn.XLOOKUP(A3,Щиты[Щит],Щиты[Листов под вводной узел]),""),IF(_xlpm.k="",1,N(_xlpm.k))*Столбцов_на_лист)</f>
        <v>17</v>
      </c>
      <c r="BH3">
        <f t="shared" ref="BH3:BH66" si="9">IF(AI3="-","",IF(ISNUMBER(AI3),AI3,_xlfn.LET(_xlpm.prev,IF(OR(AW3=1,A3&lt;&gt;A2),0,N(IF(AW3=1,"",BH2))),_xlpm.nx,_xlpm.prev+1,IF(AND(AF3&lt;&gt;"вручную",_xlpm.nx&lt;=BG3),BG3+1,_xlpm.nx))))</f>
        <v>18</v>
      </c>
      <c r="BI3" t="str">
        <f t="shared" ref="BI3:BI66" si="10">IF(BH3="","",IF(BH3&lt;=BG3,"вводной узел","линии"))</f>
        <v>линии</v>
      </c>
      <c r="BJ3" s="6">
        <f>IFERROR(N(_xlfn.XLOOKUP(AX3,Коды_код,Коды_квт)),0)</f>
        <v>0</v>
      </c>
      <c r="BK3">
        <f t="shared" ref="BK3:BK66" si="11">IF(AND(B3&lt;&gt;"",AX3="Ввод"),1,0)</f>
        <v>1</v>
      </c>
      <c r="BL3">
        <f>IF(B3="","",IF(BC3&lt;&gt;"",IFERROR(_xlfn.XLOOKUP(BC3,Щиты[Щит],Щиты[Руст, кВт]),0),IF(BK3=1,IFERROR(_xlfn.XLOOKUP(A3,Щиты[Щит],Щиты[Руст, кВт]),0),IF(BJ3&gt;0,ROUND(BJ3*MAX(1,N(D3)),3),""))))</f>
        <v>526.28100000000018</v>
      </c>
      <c r="BM3">
        <f t="shared" ref="BM3:BM66" si="12">IF(TRIM(E3&amp;"")="",BL3,E3)</f>
        <v>526.28100000000018</v>
      </c>
      <c r="BN3" s="6">
        <f>IF(B3="","",IF(BC3&lt;&gt;"",IFERROR(_xlfn.XLOOKUP(BC3,Щиты[Щит],Щиты[Руст, кВт]),0),N(BM3)))</f>
        <v>526.28100000000018</v>
      </c>
      <c r="BO3" t="str">
        <f>IF(B3="","",IFERROR(IF(VLOOKUP(AX3,Потребители_обозначение,8,FALSE)=0,"",VLOOKUP(AX3,Потребители_обозначение,8,FALSE)),""))</f>
        <v/>
      </c>
      <c r="BP3">
        <f t="shared" ref="BP3:BP66" si="13">IF(TRIM(W3&amp;"")="",BO3,W3)</f>
        <v>400</v>
      </c>
      <c r="BQ3">
        <f>IF(B3="","",IF(BC3&lt;&gt;"",3,IFERROR(IF(N(VLOOKUP(AX3,Потребители_обозначение,9,FALSE))=0,1,VLOOKUP(AX3,Потребители_обозначение,9,FALSE)),1)))</f>
        <v>1</v>
      </c>
      <c r="BR3">
        <f t="shared" ref="BR3:BR66" si="14">IF(B3="","",IF(TRIM(V3&amp;"")="",BQ3,N(V3)))</f>
        <v>3</v>
      </c>
      <c r="BS3" t="str">
        <f>IF(B3="","",_xlfn.LET(_xlpm.bc,IFERROR(IF(VLOOKUP(AX3,Потребители_обозначение,6,FALSE)=0,"",VLOOKUP(AX3,Потребители_обозначение,6,FALSE)&amp;""),""),IF(AND(FK3="да",OR(_xlpm.bc="",_xlpm.bc="мс")),Марка_пож,IF(AND(_xlpm.bc="",BC3&lt;&gt;""),"мс",_xlpm.bc))))</f>
        <v/>
      </c>
      <c r="BT3" t="str">
        <f t="shared" ref="BT3:BT66" si="15">IF(TRIM(AJ3&amp;"")="",BS3,AJ3)</f>
        <v/>
      </c>
      <c r="BU3" t="str">
        <f>IF(B3="","",_xlfn.LET(_xlpm.cc,IFERROR(N(VLOOKUP(AX3,Потребители_обозначение,7,FALSE)),0),IF(_xlpm.cc&gt;0,_xlpm.cc,IF(BT3="","",IF(N(BR3)=3,5,3)))))</f>
        <v/>
      </c>
      <c r="BV3" t="str">
        <f t="shared" ref="BV3:BV66" si="16">IF(TRIM(AK3&amp;"")="",BU3,AK3)</f>
        <v/>
      </c>
      <c r="BW3">
        <f>IFERROR(N(VLOOKUP(AX3,Потребители_обозначение,10,FALSE)),0)</f>
        <v>0</v>
      </c>
      <c r="BX3">
        <f>IFERROR(VLOOKUP(AX3,Потребители_обозначение,5,FALSE),0)</f>
        <v>1</v>
      </c>
      <c r="BY3" s="6" cm="1">
        <f t="array" ref="BY3">IF(B3="","",IF(BC3&lt;&gt;"",IFERROR(_xlfn.XLOOKUP(BC3,Щиты[Щит],Щиты[cos φ]),0.95),IF(BK3=1,IFERROR(_xlfn.XLOOKUP(A3,Щиты[Щит],Щиты[cos φ]),0.95),IF(ISNUMBER(Z3),Z3,IFERROR(IF(BX3=2,_xlfn.IFS(BR3=3,VLOOKUP(BN3,Справочная_двигатели,8,FALSE),BR3=1,VLOOKUP(BN3,Справочная_двигатели,10,TRUE)),IF(AND(Методика="нормы 2026",EQ3="Сил"),0.8,0.95)),0.95)))))</f>
        <v>0.82887953393719294</v>
      </c>
      <c r="BZ3">
        <f t="shared" ref="BZ3:BZ66" si="17">IF(OR(TRIM(F3&amp;"")="гр",TRIM(F3&amp;"")="=",TRIM(F3&amp;"")="^",TRIM(F3&amp;"")="↑"),1,0)</f>
        <v>0</v>
      </c>
      <c r="CA3">
        <f t="shared" ref="CA3:CA66" si="18">IF(AND(B3&lt;&gt;"",BZ3=0),1,0)</f>
        <v>1</v>
      </c>
      <c r="CB3">
        <f t="shared" ref="CB3:CB66" si="19">IF(AND(A4=A3,AF4&lt;&gt;"вручную",OR(B4="",BZ4=1)),IF(B4="",0,N(P4))+N(CB4),0)</f>
        <v>0</v>
      </c>
      <c r="CC3">
        <f t="shared" ref="CC3:CC66" si="20">IF(AND(A4=A3,AF4&lt;&gt;"вручную",OR(B4="",BZ4=1)),IF(B4="",0,N(BN4))+N(CC4),0)</f>
        <v>0</v>
      </c>
      <c r="CD3">
        <f t="shared" ref="CD3:CD66" si="21">IF(AND(A4=A3,AF4&lt;&gt;"вручную",OR(B4="",BZ4=1)),MAX(IF(B4="",0,N(BR4)),N(CD4)),0)</f>
        <v>0</v>
      </c>
      <c r="CE3">
        <f t="shared" ref="CE3:CE66" si="22">IF(AND(A4=A3,AF4&lt;&gt;"вручную",OR(B4="",BZ4=1)),MAX(IF(B4="",0,N(CL4)),N(CE4)),0)</f>
        <v>0</v>
      </c>
      <c r="CF3">
        <f t="shared" ref="CF3:CF66" si="23">IF(AND(A4=A3,AF4&lt;&gt;"вручную",OR(B4="",BZ4=1)),_xlfn.LET(_xlpm.a_,IF(B4="",0,N(CJ4)),_xlpm.b_,N(CF4),IF(_xlpm.a_=0,_xlpm.b_,IF(_xlpm.b_=0,_xlpm.a_,MIN(_xlpm.a_,_xlpm.b_)))),0)</f>
        <v>0</v>
      </c>
      <c r="CG3">
        <f>IF(AX3="",0,_xlfn.LET(_xlpm.v,IFERROR(VLOOKUP(B3,УГО_спр,3,FALSE),IFERROR(VLOOKUP(AX3,УГО_спр,3,FALSE),IFERROR(VLOOKUP(LEFT(AX3,2),УГО_спр,3,FALSE),""))),IF(_xlpm.v="да",30,IF(ISNUMBER(_xlpm.v),_xlpm.v,0))))</f>
        <v>0</v>
      </c>
      <c r="CH3" t="str">
        <f t="shared" ref="CH3:CH66" si="24">IF(B3="","",IF(N(CG3)&gt;0,CG3,""))</f>
        <v/>
      </c>
      <c r="CI3" t="str">
        <f>_xlfn.LET(_xlpm.k,IFERROR(_xlfn.XLOOKUP(AX3,Коды_код,Коды_утечка)&amp;"",""),IF(_xlpm.k="","дифавтомат",_xlpm.k))</f>
        <v>дифавтомат</v>
      </c>
      <c r="CJ3">
        <f t="shared" ref="CJ3:CJ66" si="25">IF(B3="",0,_xlfn.LET(_xlpm.v,IF(TRIM(H3&amp;"")="",CH3,H3),_xlpm.nm,IF(_xlpm.v&amp;""="нет",0,IF(_xlpm.v&amp;""="да",30,IFERROR(--_xlpm.v,0))),IF(CI3="УЗО на группу",0,_xlpm.nm)))</f>
        <v>0</v>
      </c>
      <c r="CK3">
        <f t="shared" ref="CK3:CK66" si="26">IF(CA3=0,"",_xlfn.LET(_xlpm.a_,N(CJ3),_xlpm.b_,IF(AF3="вручную",0,N(CF3)),IF(_xlpm.a_=0,_xlpm.b_,IF(_xlpm.b_=0,_xlpm.a_,MIN(_xlpm.a_,_xlpm.b_)))))</f>
        <v>0</v>
      </c>
      <c r="CL3">
        <f>IF(B3="",0,IFERROR(--VLOOKUP(B3,УГО_спр,4,FALSE),IFERROR(--VLOOKUP(AX3,УГО_спр,4,FALSE),IFERROR(--VLOOKUP(LEFT(AX3,2),УГО_спр,4,FALSE),0))))</f>
        <v>0</v>
      </c>
      <c r="CM3" t="str">
        <f>IF(B3="","",IFERROR(_xlfn.XLOOKUP(AX3,Коды_код,Коды_апп)&amp;"",""))</f>
        <v/>
      </c>
      <c r="CN3" t="str">
        <f t="shared" ref="CN3:CN66" si="27">IF(TRIM(J3&amp;"")="",CM3,J3)</f>
        <v/>
      </c>
      <c r="CO3" t="str" cm="1">
        <f t="array" ref="CO3">IF(TRIM(CN3&amp;"")="","",IFERROR(TRIM(INDEX(_xlfn.TEXTSPLIT(CN3&amp;";;;",";"),1)),""))</f>
        <v/>
      </c>
      <c r="CP3" t="str" cm="1">
        <f t="array" ref="CP3">IF(TRIM(CN3&amp;"")="","",IFERROR(TRIM(INDEX(_xlfn.TEXTSPLIT(CN3&amp;";;;",";"),2)),""))</f>
        <v/>
      </c>
      <c r="CQ3" t="str" cm="1">
        <f t="array" ref="CQ3">IF(TRIM(CN3&amp;"")="","",IFERROR(TRIM(INDEX(_xlfn.TEXTSPLIT(CN3&amp;";;;",";"),3)),""))</f>
        <v/>
      </c>
      <c r="CR3">
        <f t="shared" ref="CR3:CR66" si="28">IF(CN3="",0,IF(OR(LEFT(CO3,2)="T ",LEFT(CO3,2)="Т ",ISNUMBER(SEARCH("БП",CN3)),ISNUMBER(SEARCH("; T ",CN3)),ISNUMBER(SEARCH("; Т ",CN3))),1,0))</f>
        <v>0</v>
      </c>
      <c r="CS3" t="str">
        <f>IF(B3="","",_xlfn.LET(_xlpm.t,LOWER(AV3&amp;""),IF(ISNUMBER(SEARCH("dim",_xlpm.t)),"DIM",IF(ISNUMBER(SEARCH("dali",_xlpm.t)),"DALI",IF(OR(ISNUMBER(SEARCH("relay",_xlpm.t)),ISNUMBER(SEARCH("реле",_xlpm.t))),"Relay",IF(ISNUMBER(SEARCH("кнопк",_xlpm.t)),"",IFERROR(_xlfn.XLOOKUP(AX3,Коды_код,Коды_упр)&amp;"","")))))))</f>
        <v/>
      </c>
      <c r="CT3" t="str">
        <f t="shared" ref="CT3:CT66" si="29">IF(TRIM(I3&amp;"")="",CS3,I3)</f>
        <v/>
      </c>
      <c r="CU3">
        <f>IF(B3="","",_xlfn.LET(_xlpm.ig,N(P3)+IF(AF3="вручную",0,N(CB3)),_xlpm.n0,IFERROR(VLOOKUP(_xlpm.ig,Автомат_номиналы,2,TRUE),0),_xlpm.mn,MAX(CL3,IF(AF3="вручную",0,N(CE3))),MAX(_xlpm.n0,_xlpm.mn,IF(CR3=1,Мин_автомат_БП,0))))</f>
        <v>630</v>
      </c>
      <c r="CV3">
        <f t="shared" ref="CV3:CV66" si="30">IF(B3="","",MAX(N(BR3),IF(AF3="вручную",0,N(CD3))))</f>
        <v>3</v>
      </c>
      <c r="CW3" t="str">
        <f t="shared" ref="CW3:CW66" si="31">IF(B3="","",IF(N(CV3)&gt;=3,IF(N(CK3)&gt;0,"4P","3P"),IF(N(CK3)&gt;0,"2P","1P")))</f>
        <v>3P</v>
      </c>
      <c r="CX3" t="str">
        <f>_xlfn.LET(_xlpm.cc,UPPER(TRIM(IFERROR(_xlfn.XLOOKUP(AX3,Коды_код,Коды_хар)&amp;"",""))),IF(OR(_xlpm.cc="B",_xlpm.cc="В"),"B",IF(_xlpm.cc="D","D","С")))</f>
        <v>С</v>
      </c>
      <c r="CY3" t="str">
        <f t="shared" ref="CY3:CY66" si="32">IF(B3="","",IF(CA3=0,IF(AND(AND(NOT(OR(AW3=1,A3&lt;&gt;A2)),AF3&lt;&gt;"вручную",IF(AW3=1,"",DC2)="ok"),IF(AW3=1,"",DE2)&lt;&gt;""),"↑ "&amp;IF(AW3=1,"",DE2),""),IF(N(CU3)=0,"",CW3&amp;" "&amp;CX3&amp;CU3&amp;"А"&amp;IF(N(CK3)&gt;0," "&amp;CK3&amp;"мА",""))))</f>
        <v>3P С630А</v>
      </c>
      <c r="CZ3" t="str">
        <f t="shared" ref="CZ3:CZ66" si="33">IF(TRIM(G3&amp;"")="",CY3,G3)</f>
        <v>3P С630А</v>
      </c>
      <c r="DA3" t="str">
        <f t="shared" ref="DA3:DA66" si="34">IF(CA3=0,"",_xlfn.LET(_xlpm.v,TRIM(CZ3&amp;""),IF(_xlpm.v="","",IF(ISNUMBER(--_xlpm.v),CW3&amp;" "&amp;CX3&amp;(--_xlpm.v)&amp;"А"&amp;IF(N(CK3)&gt;0," "&amp;CK3&amp;"мА",""),IF(ISNUMBER(SEARCH("P",UPPER(_xlpm.v))),_xlpm.v,CW3&amp;" "&amp;_xlpm.v)))))</f>
        <v>3P С630А</v>
      </c>
      <c r="DB3" cm="1">
        <f t="array" ref="DB3">IF(DA3="","",_xlfn.LET(_xlpm.t,SUBSTITUTE(SUBSTITUTE(SUBSTITUTE(UPPER(DA3),"С","C"),"А","A"),"В","B"),_xlpm.tk,_xlfn.TEXTSPLIT(_xlpm.t,"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630</v>
      </c>
      <c r="DC3" t="str">
        <f t="shared" ref="DC3:DC66" si="35">IF(CA3=1,IF(AF3="вручную","узел","ok"),IF(OR(OR(AW3=1,A3&lt;&gt;A2),AF3="вручную"),"",IF(AW3=1,"",DC2)))</f>
        <v>ok</v>
      </c>
      <c r="DD3">
        <f t="shared" ref="DD3:DD66" si="36">IF(CA3=1,DB3,IF(AND(NOT(OR(AW3=1,A3&lt;&gt;A2)),AF3&lt;&gt;"вручную",IF(AW3=1,"",DC2)="ok"),IF(AW3=1,"",DD2),""))</f>
        <v>630</v>
      </c>
      <c r="DE3" t="str">
        <f t="shared" ref="DE3:DE66" si="37">IF(CA3=1,DA3,IF(AND(NOT(OR(AW3=1,A3&lt;&gt;A2)),AF3&lt;&gt;"вручную",IF(AW3=1,"",DC2)="ok"),IF(AW3=1,"",DE2),""))</f>
        <v>3P С630А</v>
      </c>
      <c r="DF3">
        <f t="shared" ref="DF3:DF66" si="38">IF(CA3=1,CK3,IF(AND(NOT(OR(AW3=1,A3&lt;&gt;A2)),AF3&lt;&gt;"вручную",IF(AW3=1,"",DC2)="ok"),IF(AW3=1,"",DF2),""))</f>
        <v>0</v>
      </c>
      <c r="DG3">
        <f t="shared" ref="DG3:DG66" si="39">IF(N(DF3)&gt;0,1,0)</f>
        <v>0</v>
      </c>
      <c r="DH3">
        <f t="shared" ref="DH3:DH66" si="40">IF(CA3=1,CR3,IF(AND(NOT(OR(AW3=1,A3&lt;&gt;A2)),AF3&lt;&gt;"вручную",IF(AW3=1,"",DC2)="ok"),N(IF(AW3=1,"",DH2)),0))</f>
        <v>0</v>
      </c>
      <c r="DI3">
        <f t="shared" ref="DI3:DI66" si="41">IF(CA3=1,N(P3)+IF(AF3="вручную",0,N(CB3)),"")</f>
        <v>482.46261025528872</v>
      </c>
      <c r="DJ3">
        <f t="shared" ref="DJ3:DJ66" si="42">IF(N(BV3)=1,1,IF(BR3=1,1,IF(N(BV3)&gt;=4,0.92,1)))</f>
        <v>1</v>
      </c>
      <c r="DK3">
        <f>IF(ISNUMBER(AL3),AL3,К_прокл)</f>
        <v>1</v>
      </c>
      <c r="DL3">
        <f t="shared" ref="DL3:DL66" si="43">IF(N(BV3)=1,1,IF(BR3=1,2,3))</f>
        <v>3</v>
      </c>
      <c r="DM3">
        <f>IFERROR(N(VLOOKUP(BT3,Кабель_обозначение,3,FALSE)),1)</f>
        <v>1</v>
      </c>
      <c r="DN3">
        <f>IFERROR(N(_xlfn.XLOOKUP(A3,Щиты[Щит],Щиты[ΔU до шин, %])),0)</f>
        <v>0</v>
      </c>
      <c r="DO3" t="str">
        <f>IFERROR(_xlfn.XLOOKUP(A3,Щиты[Щит],Щиты[Zпетли на шинах, Ом]),"")</f>
        <v/>
      </c>
      <c r="DP3">
        <f>IFERROR(N(_xlfn.XLOOKUP(A3,Щиты[Щит],Щиты[ΔU до шин (подбор), %])),0)</f>
        <v>0</v>
      </c>
      <c r="DQ3" t="str">
        <f>IFERROR(_xlfn.XLOOKUP(A3,Щиты[Щит],Щиты[Zпетли на шинах (подбор), Ом]),"")</f>
        <v/>
      </c>
      <c r="DR3" t="str">
        <f t="shared" ref="DR3:DR66" si="44">IF(COUNT(AR3,AS3)=0,"",ROUNDUP(SUM(AR3,AS3),0))</f>
        <v/>
      </c>
      <c r="DS3" t="str">
        <f t="shared" ref="DS3:DS66" si="45">IF(TRIM(L3&amp;"")="",DR3,L3)</f>
        <v/>
      </c>
      <c r="DT3">
        <f t="shared" ref="DT3:DT66" si="46">IF(BR3=1,2,IF(BR3=3,1,""))</f>
        <v>1</v>
      </c>
      <c r="DU3">
        <f t="shared" ref="DU3:DU66" si="47">IFERROR(ROUND(SIN(ACOS(BY3)),2),"")</f>
        <v>0.56000000000000005</v>
      </c>
      <c r="DV3" s="6">
        <f>IF(B3="","",IF(IFERROR(VLOOKUP(AX3,УГО_спр,2,FALSE),"")="Светильник",3,4)+IF(Методика="нормы 2026",MIN(0.5,MAX(0,N(Q3)-100)*0.005),0))</f>
        <v>4</v>
      </c>
      <c r="DW3" t="str" cm="1">
        <f t="array" ref="DW3">IF(OR(B3="",BT3="",DM3&lt;&gt;1),"",_xlfn.LET(_xlpm.sz,Iдоп_S,_xlpm.t_,CHOOSE(DL3,Iдоп_1ж,Iдоп_2ж,Iдоп_3ж)*DJ3*DK3,_xlpm.inn,N(DD3),_xlpm.smin,MAX(1.5,BW3),_xlpm.L_,N(Q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3)*(_xlpm.rho*_xlpm.L_/_xlpm.sz*N(BY3)+_xlpm.xx*_xlpm.L_*N(DU3)/1000)*N(P3)/((Uн_лин/SQRT(3))*1000)*100,999),_xlpm.kz,IF(OR(DG3=1,NOT(ISNUMBER(DQ3)),_xlpm.L_=0,_xlpm.inn=0),1,IFERROR(--(c_min*(Uн_лин*1000/SQRT(3))/(DQ3+2*ρкз_Cu*_xlpm.L_/_xlpm.sz)&gt;=GY3*_xlpm.inn),0)),_xlpm.ok,IFERROR((_xlpm.sz&gt;=_xlpm.smin)*(_xlpm.t_&gt;=_xlpm.inn)*IF(_xlpm.L_&gt;0,(_xlpm.du_+DP3&lt;=DV3+0.00001),1)*_xlpm.kz,0),_xlpm.r_,_xlfn._xlws.FILTER(_xlpm.sz,_xlpm.ok,"не подобрано"),INDEX(_xlpm.r_,1)))</f>
        <v/>
      </c>
      <c r="DX3" t="str">
        <f t="shared" ref="DX3:DX66" si="48">IF(B3="","",IF(TRIM(K3&amp;"")="",DW3,K3))</f>
        <v/>
      </c>
      <c r="DY3" t="str" cm="1">
        <f t="array" ref="DY3">IF(OR(B3="",BT3="",DM3&lt;&gt;1),"",_xlfn.LET(_xlpm.sz,Iдоп_S,_xlpm.t_,CHOOSE(DL3,Iдоп_1ж,Iдоп_2ж,Iдоп_3ж)*DJ3*DK3,_xlpm.ok,IFERROR((_xlpm.sz&gt;=MAX(1.5,BW3))*(_xlpm.t_&gt;=N(DD3)),0),_xlpm.r_,_xlfn._xlws.FILTER(_xlpm.sz,_xlpm.ok,""),INDEX(_xlpm.r_,1)))</f>
        <v/>
      </c>
      <c r="DZ3" s="6" t="str" cm="1">
        <f t="array" ref="DZ3">IFERROR(ROUNDUP(N(DT3)*(_xlfn.XLOOKUP(DY3,INDEX(Кабель_сопротивление,0,1),INDEX(Кабель_сопротивление,0,3))*N(Q3)/DY3*N(BY3)+_xlfn.XLOOKUP(DY3,INDEX(Кабель_сопротивление,0,1),INDEX(Кабель_сопротивление,0,2))*N(Q3)*N(DU3)/1000)*N(P3)/((Uн_лин/SQRT(3))*1000)*100,2),"")</f>
        <v/>
      </c>
      <c r="EA3" t="str">
        <f>IFERROR(2*ρкз_Cu*N(Q3)/DY3,"")</f>
        <v/>
      </c>
      <c r="EB3" t="str">
        <f>IFERROR(VLOOKUP(DX3,Кабель_сопротивление,3,FALSE),"")</f>
        <v/>
      </c>
      <c r="EC3" t="str">
        <f>IFERROR(VLOOKUP(DX3,Кабель_сопротивление,2,FALSE),"")</f>
        <v/>
      </c>
      <c r="ED3" t="str">
        <f t="shared" ref="ED3:ED66" si="49">IF(AN3&lt;&gt;"",AN3,IF(OR(DS3="",AP3=""),"",IF(AP3=1,MAX(0,Q3-ROUNDUP(N(AS3),0)-4),ROUNDUP(N(AR3),0))))</f>
        <v/>
      </c>
      <c r="EE3" t="str">
        <f t="shared" ref="EE3:EE66" si="50">IF(AO3&lt;&gt;"",AO3,IF(OR(DS3="",AP3=""),"",IF(AP3=2,MAX(0,Q3-ROUNDUP(N(AR3),0)-4),ROUNDUP(N(AS3),0))))</f>
        <v/>
      </c>
      <c r="EF3" t="str">
        <f t="shared" ref="EF3:EF66" si="51">IFERROR(DT3*(EB3*Q3/DX3*BY3+EC3*Q3*DU3/1000)*P3,"")</f>
        <v/>
      </c>
      <c r="EG3" s="6" t="str">
        <f>IFERROR(ROUNDUP(EF3/((Uн_лин/SQRT(3))*1000)*100,2),"")</f>
        <v/>
      </c>
      <c r="EH3" t="str">
        <f>IFERROR(VLOOKUP(BT3,Кабель_обозначение,2,FALSE),"")</f>
        <v/>
      </c>
      <c r="EI3" t="str">
        <f t="shared" ref="EI3:EI66" si="52">IFERROR(IF(DM3=1,IF(ISNUMBER(DX3),EH3&amp;" ("&amp;BV3&amp;"х"&amp;DX3&amp;")",EH3),EH3),"")</f>
        <v/>
      </c>
      <c r="EJ3" t="str">
        <f t="shared" ref="EJ3:EJ66" si="53">IF(OR(B3="",EH3="",AND(BM3&lt;&gt;"",NOT(ISNUMBER(BM3)))),"",IF(N(DX3)=0,EH3,EI3&amp;CHAR(10)&amp;"L="&amp;Q3&amp;"-"&amp;EG3&amp;"%"))</f>
        <v/>
      </c>
      <c r="EK3" t="str">
        <f>IFERROR(2*ρкз_Cu*Q3/DX3,"")</f>
        <v/>
      </c>
      <c r="EL3" t="str">
        <f t="shared" ref="EL3:EL66" si="54">IFERROR(0.0175*N(Q3)/DX3,"")</f>
        <v/>
      </c>
      <c r="EM3" s="6" t="str">
        <f>IFERROR(IF(OR(B3="",NOT(ISNUMBER(DX3)),N(Q3)=0),"",_xlfn.XLOOKUP(A3,Щиты[Щит],Щиты[Zпетли на шинах, Ом])+EK3),"")</f>
        <v/>
      </c>
      <c r="EN3" s="6" t="str">
        <f>IF(ISNUMBER(EM3),c_min*(Uн_лин*1000/SQRT(3))/EM3,"")</f>
        <v/>
      </c>
      <c r="EO3" s="6" t="str">
        <f>IFERROR(IF(OR(B3="",NOT(ISNUMBER(DX3))),"",1.05*(Uн_лин*1000/SQRT(3))/(_xlfn.XLOOKUP(A3,Щиты[Щит],Щиты[Zmax на шинах, Ом])+EL3)/1000),"")</f>
        <v/>
      </c>
      <c r="EP3" s="6" t="str">
        <f>IF(B3="","",IF(ISNUMBER(Y3),"Сил",IF(IFERROR(_xlfn.XLOOKUP(AX3,Коды_код,Коды_группа)&amp;"","")="","Быт",_xlfn.XLOOKUP(AX3,Коды_код,Коды_группа)&amp;"")))</f>
        <v>Быт</v>
      </c>
      <c r="EQ3" s="6" t="str">
        <f t="shared" ref="EQ3:EQ66" si="55">IF(B3="","",IF(BC3&lt;&gt;"","Щит",IF(TRIM(X3&amp;"")="",EP3,X3)))</f>
        <v>Нет</v>
      </c>
      <c r="ER3" s="6">
        <f>IF(EQ3="Щит","щит",IF(EQ3="","",IF(EQ3="Быт",IFERROR(_xlfn.XLOOKUP(A3,Щиты[Щит],Щиты[Кс быт]),1),IF(EQ3="Сил",IF(ISNUMBER(Y3),Y3,IF(Методика="нормы 2026",IFERROR(_xlfn.XLOOKUP(A3,Щиты[Щит],Щиты[Кс силовых (табл. 7.5)]),1),1)),IF(OR(EQ3="Пост",EQ3="Отоп"),1,IF(EQ3="ВНГ",0.7,0))))))</f>
        <v>0</v>
      </c>
      <c r="ES3">
        <f t="shared" ref="ES3:ES66" si="56">IF(EQ3="","",IFERROR(MIN(3,MAX(1,INT(--AA3))),1))</f>
        <v>1</v>
      </c>
      <c r="ET3">
        <f t="shared" ref="ET3:ET66" si="57">IF(OR(EQ3="",EQ3="Нет",EQ3="Щит"),0,N(BN3))</f>
        <v>0</v>
      </c>
      <c r="EU3">
        <f t="shared" ref="EU3:EU66" si="58">IF(EQ3="Быт",N(BN3),0)</f>
        <v>0</v>
      </c>
      <c r="EV3">
        <f t="shared" ref="EV3:EV66" si="59">IF(EQ3="Сил",N(BN3)*N(ER3),0)</f>
        <v>0</v>
      </c>
      <c r="EW3">
        <f t="shared" ref="EW3:EW66" si="60">IF(EQ3="Пост",N(BN3),0)</f>
        <v>0</v>
      </c>
      <c r="EX3">
        <f t="shared" ref="EX3:EX66" si="61">IF(EQ3="Отоп",N(BN3),0)</f>
        <v>0</v>
      </c>
      <c r="EY3">
        <f t="shared" ref="EY3:EY66" si="62">IF(EQ3="ВНГ",N(BN3)*0.7,0)</f>
        <v>0</v>
      </c>
      <c r="EZ3">
        <f t="shared" ref="EZ3:EZ66" si="63">IF(OR(B3="",EQ3="Щит",EQ3="Нет"),0,N(BN3))</f>
        <v>0</v>
      </c>
      <c r="FA3">
        <f t="shared" ref="FA3:FA66" si="64">IF(OR(B3="",EQ3="Щит",EQ3="Нет"),0,N(BN3)*N(BY3))</f>
        <v>0</v>
      </c>
      <c r="FB3">
        <f t="shared" ref="FB3:FB66" si="65">IF(CA3=1,N(BN3)+IF(AF3="вручную",0,N(CC3)),0)</f>
        <v>526.28100000000018</v>
      </c>
      <c r="FC3" t="str">
        <f t="shared" ref="FC3:FC66" si="66">IF(B3="","",IF(_xlfn.ISFORMULA(M3),"",_xlfn.LET(_xlpm.v,UPPER(SUBSTITUTE(TRIM(M3&amp;"")," ","")),IF(_xlpm.v="","",IF(OR(_xlpm.v="1,2,3",_xlpm.v="L1,L2,L3",_xlpm.v="123",_xlpm.v="3Ф"),"L1,L2,L3",IF(OR(_xlpm.v="1",_xlpm.v="2",_xlpm.v="3"),"L"&amp;_xlpm.v,IF(OR(_xlpm.v="L1",_xlpm.v="L2",_xlpm.v="L3"),_xlpm.v,"")))))))</f>
        <v/>
      </c>
      <c r="FD3" t="str">
        <f>IF(B3="","",IF(CA3=0,IF(AW3=1,"",FF2),IF(OR(N(CV3)&gt;=3,N(BR3)&gt;=3),"L1,L2,L3",IFERROR(_xlfn.TEXTBEFORE(_xlfn.TEXTAFTER(_xlfn.XLOOKUP(A3,Щиты[Щит],Щиты[_фазы авто]),";"&amp;AW3&amp;":"),";"),"L1"))))</f>
        <v>L1,L2,L3</v>
      </c>
      <c r="FE3" t="str">
        <f t="shared" ref="FE3:FE66" si="67">IF(B3="","",_xlfn.LET(_xlpm.v,UPPER(SUBSTITUTE(TRIM(M3&amp;"")," ","")),IF(_xlpm.v="",FD3,IF(OR(_xlpm.v="1,2,3",_xlpm.v="L1,L2,L3",_xlpm.v="123",_xlpm.v="3Ф"),"L1,L2,L3",IF(OR(_xlpm.v="1",_xlpm.v="2",_xlpm.v="3"),"L"&amp;_xlpm.v,IF(OR(_xlpm.v="L1",_xlpm.v="L2",_xlpm.v="L3"),_xlpm.v,IF(_xlpm.v="УПР","",_xlpm.v)))))))</f>
        <v>L1,L2,L3</v>
      </c>
      <c r="FF3" t="str">
        <f t="shared" ref="FF3:FF66" si="68">IF(CA3=1,FE3,IF(AND(NOT(OR(AW3=1,A3&lt;&gt;A2)),AF3&lt;&gt;"вручную",IF(AW3=1,"",DC2)="ok"),IF(AW3=1,"",FF2),""))</f>
        <v>L1,L2,L3</v>
      </c>
      <c r="FG3" cm="1">
        <f t="array" ref="FG3">IFERROR(IF(BX3=2,_xlfn.IFS(BR3=3,VLOOKUP(BN3,Справочная_двигатели,3,FALSE),BR3=1,VLOOKUP(BN3,Справочная_двигатели,5,TRUE)),0),0)</f>
        <v>0</v>
      </c>
      <c r="FH3">
        <f>IFERROR(IF(BX3=3,VLOOKUP(BN3,Справочная_ЛЭД,2,TRUE),0),0)</f>
        <v>0</v>
      </c>
      <c r="FI3" s="6">
        <f t="shared" ref="FI3:FI66" si="69">IF(B3="","",IF(FG3=0,FH3,FG3))</f>
        <v>0</v>
      </c>
      <c r="FJ3" t="str" cm="1">
        <f t="array" ref="FJ3">IF(B3="","",IFERROR(INDEX({"I особая","I","II","III"},MATCH(TRIM(AC3&amp;""),{"I особая","I","II","III"},0)),"III"))</f>
        <v>III</v>
      </c>
      <c r="FK3" t="str">
        <f>IF(B3="","",IF(TRIM(AD3&amp;"")&lt;&gt;"",IF(LOWER(TRIM(AD3&amp;""))="да","да","нет"),IF(IFERROR(_xlfn.XLOOKUP(AX3,Коды_код,Коды_пожарная),"")="да","да","нет")))</f>
        <v>нет</v>
      </c>
      <c r="FL3" t="str">
        <f t="shared" ref="FL3:FL66" si="70">IF(AB3&lt;&gt;"",AB3,IF(CA3=1,"",IF(GH3="","",IF(AW3=1,"",FL2))))</f>
        <v/>
      </c>
      <c r="FM3" t="str">
        <f t="shared" ref="FM3:FM66" si="71">IF(B3="","",IF(FL3="","основная",FL3))</f>
        <v>основная</v>
      </c>
      <c r="FN3">
        <f t="shared" ref="FN3:FN66" si="72">IFERROR(MIN(3,MAX(1,INT(--AA3))),1)</f>
        <v>1</v>
      </c>
      <c r="FO3" t="str" cm="1">
        <f t="array" ref="FO3">IF(B3="","",_xlfn.LET(_xlpm.t,IFERROR(_xlfn.XLOOKUP(1,(Шины[Шина]=FM3)*(((Шины[Щит]=A3)+(Шины[Щит]=""))&gt;0),Шины[Тип]),"")&amp;"",IF(_xlpm.t&lt;&gt;"",_xlpm.t,IF(ISNUMBER(SEARCH("ИБП",FM3)),"ИБП",IF(ISNUMBER(SEARCH("ДГУ",FM3)),"ДГУ","Ввод "&amp;FN3)))))</f>
        <v>Ввод 1</v>
      </c>
      <c r="FP3" t="str">
        <f t="shared" ref="FP3:FP66" si="73">IF(B3="","",IF(OR(FO3="ИБП",FO3="ДГУ"),FO3,IF(LEFT(FO3,5)="Ввод ",FO3,"Ввод "&amp;FN3)))</f>
        <v>Ввод 1</v>
      </c>
      <c r="FQ3" t="str">
        <f>IF(B3="","",IF(OR(FO3="ИБП",FO3="ДГУ"),"I особая",IF(FO3="Одиночная","III",_xlfn.XLOOKUP(A3,Щиты[Щит],Щиты[Категория шины «Ввод»],"III"))))</f>
        <v>I</v>
      </c>
      <c r="FR3">
        <f>IF(B3="",0,IFERROR(MATCH(FJ3,{"III","II","I","I особая"},0),1))</f>
        <v>1</v>
      </c>
      <c r="FS3">
        <f t="shared" ref="FS3:FS66" si="74">IF(OR(FO3="ИБП",FO3="ДГУ"),MIN(FR3,3),FR3)</f>
        <v>1</v>
      </c>
      <c r="FT3" t="str">
        <f>IF(B3="","",IF(FR3&gt;IFERROR(MATCH(FQ3,{"III","II","I","I особая"},0),1),"НЕ ОБЕСПЕЧЕНА","ОК"))</f>
        <v>ОК</v>
      </c>
      <c r="FU3" t="str">
        <f>IF(A3="","",_xlfn.XLOOKUP(A3,Щиты[Щит],Щиты[Путь],""))</f>
        <v>|ГРЩ-ЖД|</v>
      </c>
      <c r="FV3" t="str">
        <f>IF(B3="","",IF(AE3&lt;&gt;"",AE3,IF(IFERROR(_xlfn.XLOOKUP(AX3,Коды_код,Коды_вид)&amp;"","")="","Прочее",_xlfn.XLOOKUP(AX3,Коды_код,Коды_вид)&amp;"")))</f>
        <v>Прочее</v>
      </c>
      <c r="FW3">
        <f>IF(BH3="","",INT((BH3-1)/Столбцов_на_лист)+1)</f>
        <v>2</v>
      </c>
      <c r="FX3" t="str">
        <f t="shared" ref="FX3:FX66" si="75">IF(B3="","",SUBSTITUTE(EJ3,CHAR(10)," "))</f>
        <v/>
      </c>
      <c r="FY3">
        <f t="shared" ref="FY3:FY66" si="76">IF(B3="","",IFERROR(--BN3,""))</f>
        <v>526.28100000000018</v>
      </c>
      <c r="FZ3">
        <f t="shared" ref="FZ3:FZ66" si="77">IF(B3="","",IFERROR(ROUNDUP(P3,2),""))</f>
        <v>482.46999999999997</v>
      </c>
      <c r="GA3">
        <f t="shared" ref="GA3:GA66" si="78">IF(B3="","",IFERROR(--BR3,1))</f>
        <v>3</v>
      </c>
      <c r="GB3">
        <f t="shared" ref="GB3:GB66" si="79">IF(OR(AH3="+",AND(B3&lt;&gt;"",B3=IF(AW3=1,"",B2))),1,0)</f>
        <v>0</v>
      </c>
      <c r="GC3">
        <f t="shared" ref="GC3:GC66" si="80">IF(OR(BH3="",AF3="вручную",AND(BI3="вводной узел",AF3&lt;&gt;"рисовать")),0,1)</f>
        <v>1</v>
      </c>
      <c r="GD3">
        <f>IF(BH3="","",IF(AND(CA3=1,GC3=1),COUNTIFS(A$3:A3,A3,CA$3:CA3,1,GC$3:GC3,1),IF(OR(OR(AW3=1,A3&lt;&gt;A2),AF3="вручную",GC3=0),"",IF(AW3=1,"",GE2))))</f>
        <v>1</v>
      </c>
      <c r="GE3">
        <f t="shared" ref="GE3:GE66" si="81">IF(BH3="",IF(OR(AW3=1,A3&lt;&gt;A2),"",IF(AW3=1,"",GE2)),GD3)</f>
        <v>1</v>
      </c>
      <c r="GF3" t="str">
        <f>IF(B3="","",IFERROR(LOOKUP(INDEX(CHOOSE(DL3,Iдоп_1ж,Iдоп_2ж,Iдоп_3ж),MATCH(DX3,Iдоп_S,0))*DJ3*DK3,{6,10,16,20,25,32,40,50,63,80,100,125,160,200,250,315,400,500,630}),""))</f>
        <v/>
      </c>
      <c r="GG3" t="str">
        <f t="shared" ref="GG3:GG66" si="82">IF(AND(CA3=1,GC3=1,GD3&lt;&gt;""),IF(N(CK3)&gt;0,"QFD","QF")&amp;GD3,"")</f>
        <v>QF1</v>
      </c>
      <c r="GH3" t="str">
        <f t="shared" ref="GH3:GH66" si="83">IF(GG3&lt;&gt;"",GG3,IF(OR(OR(AW3=1,A3&lt;&gt;A2),AF3="вручную"),"",IF(AW3=1,"",GH2)))</f>
        <v>QF1</v>
      </c>
      <c r="GI3" t="str">
        <f t="shared" ref="GI3:GI66" si="84">IF(GG3&lt;&gt;"",_xlfn.TEXTJOIN(" → ",TRUE,CO3,CP3,CQ3),IF(GH3="","",IF(AW3=1,"",GI2)))</f>
        <v/>
      </c>
      <c r="GJ3">
        <f t="shared" ref="GJ3:GJ66" si="85">IF(GI3="",0,IF(OR(LEFT(GI3,2)="T ",LEFT(GI3,2)="Т ",ISNUMBER(SEARCH("→ T ",GI3)),ISNUMBER(SEARCH("→ Т ",GI3)),ISNUMBER(SEARCH("БП",GI3))),1,0))</f>
        <v>0</v>
      </c>
      <c r="GK3" t="str">
        <f>IF(OR(AG3="",AG3="-"),"",IFERROR(VLOOKUP(AG3,Модули_спр,2,FALSE),"R"))</f>
        <v/>
      </c>
      <c r="GL3" t="str">
        <f>IF(GK3="","",GK3&amp;"."&amp;COUNTIFS(A$3:A3,A3,GK$3:GK3,GK3))</f>
        <v/>
      </c>
      <c r="GM3" t="str">
        <f t="shared" ref="GM3:GM66" si="86">IF(AG3="-","",IF(GL3&lt;&gt;"",GL3,IF(OR(AW3=1,A3&lt;&gt;A2),"",IF(AW3=1,"",GM2))))</f>
        <v/>
      </c>
      <c r="GN3" t="str">
        <f t="shared" ref="GN3:GN66" si="87">IF(GM3="","",IF(AND(AG3&lt;&gt;"",AG3&lt;&gt;"-"),AG3,IF(AW3=1,"",GN2)))</f>
        <v/>
      </c>
      <c r="GO3" t="str">
        <f t="shared" ref="GO3:GO66" si="88">IF(AH3="=",IF(AW3=1,"",GP2),IF(ISNUMBER(AH3),AH3,IF(GM3="","",IF(OR(B3&lt;&gt;"",AH3="+",AH3="р"),IF(OR(GL3&lt;&gt;"",IF(AW3=1,"",GP2)=""),1,IF(AW3=1,"",GP2)+1),""))))</f>
        <v/>
      </c>
      <c r="GP3" t="str">
        <f t="shared" ref="GP3:GP66" si="89">IF(GO3&lt;&gt;"",GO3,IF(OR(OR(AW3=1,A3&lt;&gt;A2),AG3="-",GL3&lt;&gt;""),"",IF(AW3=1,"",GP2)))</f>
        <v/>
      </c>
      <c r="GQ3">
        <f t="shared" ref="GQ3:GQ66" si="90">IF(OR(AH3="б/к",AF3="вручную"),0,IF(OR(ISNUMBER(SEARCH("L=",EJ3)),AH3="+",AH3="="),1,0))</f>
        <v>0</v>
      </c>
      <c r="GR3" t="str">
        <f>IF(GQ3=1,"XT"&amp;COUNTIFS(A$3:A3,A3,GQ$3:GQ3,1),"")</f>
        <v/>
      </c>
      <c r="GS3" t="str">
        <f t="shared" ref="GS3:GS66" si="91">_xlfn.LET(_xlpm.v,TRIM(N3&amp;""),IF(_xlpm.v="нет","",IF(_xlpm.v="",GR3,_xlpm.v)))</f>
        <v/>
      </c>
      <c r="GT3" t="str">
        <f t="shared" ref="GT3:GT66" si="92">IF(OR(B3&lt;&gt;"",GO3&lt;&gt;"",GQ3=1),GH3,"")</f>
        <v>QF1</v>
      </c>
      <c r="GU3" t="str">
        <f t="shared" ref="GU3:GU66" si="93">IF(OR(GO3&lt;&gt;"",AND(AG3&lt;&gt;"",AG3&lt;&gt;"-")),GM3,"")</f>
        <v/>
      </c>
      <c r="GV3" t="str">
        <f t="shared" ref="GV3:GV66" si="94">IF(B3="","",IF(AND(CA3=1,DA3&lt;&gt;"",DB3=""),"номинал автомата не распознан",IF(DD3="",IF(BZ3=1,"«гр»: нет автомата выше",""),IF(AND(CA3=1,N(DI3)&gt;N(DD3)),"ПЕРЕГРУЗ",IF(AND(N(DH3)=0,ISNUMBER(GF3),N(GF3)&lt;N(DD3)),"КАБЕЛЬ НЕ ЗАЩИЩЁН","ok")))))</f>
        <v>ok</v>
      </c>
      <c r="GW3" t="str">
        <f>IF(OR(GO3="",GM3=""),"",IF(GO3&gt;IFERROR(VLOOKUP(GN3,Модули_спр,3,FALSE),99),"ЛИШНИЙ КАНАЛ",IF(AND(AH3&lt;&gt;"=",COUNTIFS(Линии[_модуль гр.],GM3,Линии[Канал (итог)],GO3,Линии[Канал],"&lt;&gt;=",Линии[Щит],A3)&gt;1),"ДУБЛЬ КАНАЛА","")))</f>
        <v/>
      </c>
      <c r="GX3" s="6" t="str">
        <f t="shared" ref="GX3:GX66" si="95">IFERROR(IF(ISNUMBER(EN3),EN3/N(DD3),""),"")</f>
        <v/>
      </c>
      <c r="GY3">
        <f t="shared" ref="GY3:GY66" si="96">IF(OR(ISNUMBER(SEARCH(" B"," "&amp;DE3)),ISNUMBER(SEARCH(" В"," "&amp;DE3))),5,IF(ISNUMBER(SEARCH(" D"," "&amp;DE3)),20,10))</f>
        <v>10</v>
      </c>
      <c r="GZ3" t="str">
        <f t="shared" ref="GZ3:GZ66" si="97">IF(NOT(ISNUMBER(GX3)),"",IF(GX3&gt;=GY3,"ok",IF(N(DG3)=1,"ok (дифзащита "&amp;DF3&amp;" мА)","мало: Iкз &lt; "&amp;GY3&amp;"·In")))</f>
        <v/>
      </c>
      <c r="HA3" t="str">
        <f>IF(AND(B3="",GT3=""),"",_xlfn.TEXTJOIN("; ",TRUE,IF(AND(B3&lt;&gt;"",FE3=""),"нет фазы",""),IF(AND(B3&lt;&gt;"",N(FY3)=0,EQ3&lt;&gt;"Нет"),"нет мощности",""),IF(AND(GS3&lt;&gt;"",COUNTIFS(Линии[Щит],A3,Линии[Клемма (итог)],GS3)&gt;1),"дубль клеммы "&amp;GS3,""),IF(AND(GV3&lt;&gt;"",GV3&lt;&gt;"ok"),GV3,""),IF(GW3&lt;&gt;"",GW3,""),IF(AND(N(BV3)&gt;=4,N(BR3)=1),BV3&amp;" жил на 1 фазе",""),IF(AND(AX3="R",CA3=1,OR(N(CK3)=0,N(CK3)&gt;30)),"розетка без дифзащиты до 30 мА",""),IFERROR(IF(AND(ISNUMBER(R3),R3&gt;DV3),"потери "&amp;FIXED(R3,1)&amp;" % &gt; "&amp;DV3&amp;" %",""),""),IFERROR(IF(LEFT(GZ3,4)="мало","Iкз мало — отключение &gt; 0,4 с",""),""),IF(AND(B3&lt;&gt;"",BH3=""),"не на схеме",""),IF(AND(CA3=0,B3&lt;&gt;"",FE3&lt;&gt;"",IF(AW3=1,"",FF2)&lt;&gt;"",FE3&lt;&gt;IF(AW3=1,"",FF2)),"фаза не как у автомата группы ("&amp;IF(AW3=1,"",FF2)&amp;")","")))</f>
        <v/>
      </c>
      <c r="HB3" s="6" t="str">
        <f>IF(OR(CA3=0,DA3=""),"",_xlfn.LET(_xlpm.t,IFERROR(_xlfn.XLOOKUP(DA3,Каталог!$U$4:$U$500,Каталог!$G$4:$G$500),""),_xlpm.k,SEARCH("кА",_xlpm.t),IFERROR(--TRIM(RIGHT(SUBSTITUTE(MID(_xlpm.t,MAX(1,_xlpm.k-4),_xlpm.k-MAX(1,_xlpm.k-4))," ",REPT(" ",9)),5)),"")))</f>
        <v/>
      </c>
      <c r="HC3" t="str">
        <f>IF(OR(HB3="",CA3=0),"",IF(_xlfn.XLOOKUP(A3,Щиты[Щит],Щиты[Iкз max на шинах, кА],"")="","",IF(HB3&lt;_xlfn.XLOOKUP(A3,Щиты[Щит],Щиты[Iкз max на шинах, кА]),"Icu "&amp;HB3&amp;" кА &lt; Iкз max","ok")))</f>
        <v/>
      </c>
      <c r="HD3" t="str">
        <f t="shared" ref="HD3:HD66" si="98">IF(OR(AND(AW3&gt;1,N(AW2)&lt;&gt;AW3-1),AND(AW4&lt;&gt;"",N(AW4)&lt;&gt;AW3+1)),"строки сдвинуты (вставка или удаление) — нажмите «Починить формулы»","")</f>
        <v/>
      </c>
      <c r="HE3" t="str">
        <f t="shared" ref="HE3:HE66" si="99">IF(OR(AF3="вручную",BH3="",AND(B3="",GS3="")),"",_xlfn.TEXTJOIN("|",TRUE,GH3,SUBSTITUTE(GI3," → ","|"),IF(GM3&lt;&gt;"",GM3&amp;IF(GO3&lt;&gt;""," к."&amp;GO3,""),""),GS3))</f>
        <v>QF1</v>
      </c>
      <c r="HF3" t="str">
        <f t="shared" ref="HF3:HF66" si="100">IF(HE3="","",HE3&amp;IF(B3&lt;&gt;"","|кабель "&amp;EI3&amp;" → "&amp;BE3,""))</f>
        <v>QF1|кабель  → Основной ввод в дом №1</v>
      </c>
      <c r="HG3" t="str" cm="1">
        <f t="array" ref="HG3">IF(HF3="","",_xlfn.LET(_xlpm.nd,_xlfn.TEXTSPLIT(HF3,"|"),IF(COLUMNS(_xlpm.nd)&gt;1,A3&amp;"¦"&amp;INDEX(_xlpm.nd,1)&amp;"¦"&amp;INDEX(_xlpm.nd,2),"")))</f>
        <v>ГРЩ-ЖД¦QF1¦кабель  → Основной ввод в дом №1</v>
      </c>
      <c r="HH3" t="str">
        <f t="shared" ref="HH3:HH66" si="101">IF(HG3="","",B3&amp;"¦"&amp;BE3)</f>
        <v>Ввод.1¦Основной ввод в дом №1</v>
      </c>
      <c r="HI3" t="str" cm="1">
        <f t="array" ref="HI3">IF(HF3="","",_xlfn.LET(_xlpm.nd,_xlfn.TEXTSPLIT(HF3,"|"),IF(COLUMNS(_xlpm.nd)&gt;2,A3&amp;"¦"&amp;INDEX(_xlpm.nd,2)&amp;"¦"&amp;INDEX(_xlpm.nd,3),"")))</f>
        <v/>
      </c>
      <c r="HJ3" t="str">
        <f t="shared" ref="HJ3:HJ66" si="102">IF(HI3="","",B3&amp;"¦"&amp;BE3)</f>
        <v/>
      </c>
      <c r="HK3" t="str" cm="1">
        <f t="array" ref="HK3">IF(HF3="","",_xlfn.LET(_xlpm.nd,_xlfn.TEXTSPLIT(HF3,"|"),IF(COLUMNS(_xlpm.nd)&gt;3,A3&amp;"¦"&amp;INDEX(_xlpm.nd,3)&amp;"¦"&amp;INDEX(_xlpm.nd,4),"")))</f>
        <v/>
      </c>
      <c r="HL3" t="str">
        <f t="shared" ref="HL3:HL66" si="103">IF(HK3="","",B3&amp;"¦"&amp;BE3)</f>
        <v/>
      </c>
      <c r="HM3" t="str" cm="1">
        <f t="array" ref="HM3">IF(HF3="","",_xlfn.LET(_xlpm.nd,_xlfn.TEXTSPLIT(HF3,"|"),IF(COLUMNS(_xlpm.nd)&gt;4,A3&amp;"¦"&amp;INDEX(_xlpm.nd,4)&amp;"¦"&amp;INDEX(_xlpm.nd,5),"")))</f>
        <v/>
      </c>
      <c r="HN3" t="str">
        <f t="shared" ref="HN3:HN66" si="104">IF(HM3="","",B3&amp;"¦"&amp;BE3)</f>
        <v/>
      </c>
      <c r="HO3" t="str" cm="1">
        <f t="array" ref="HO3">IF(HF3="","",_xlfn.LET(_xlpm.nd,_xlfn.TEXTSPLIT(HF3,"|"),IF(COLUMNS(_xlpm.nd)&gt;5,A3&amp;"¦"&amp;INDEX(_xlpm.nd,5)&amp;"¦"&amp;INDEX(_xlpm.nd,6),"")))</f>
        <v/>
      </c>
      <c r="HP3" t="str">
        <f t="shared" ref="HP3:HP66" si="105">IF(HO3="","",B3&amp;"¦"&amp;BE3)</f>
        <v/>
      </c>
      <c r="HQ3" t="str" cm="1">
        <f t="array" ref="HQ3">IF(HF3="","",_xlfn.LET(_xlpm.nd,_xlfn.TEXTSPLIT(HF3,"|"),IF(COLUMNS(_xlpm.nd)&gt;6,A3&amp;"¦"&amp;INDEX(_xlpm.nd,6)&amp;"¦"&amp;INDEX(_xlpm.nd,7),"")))</f>
        <v/>
      </c>
      <c r="HR3" t="str">
        <f t="shared" ref="HR3:HR66" si="106">IF(HQ3="","",B3&amp;"¦"&amp;BE3)</f>
        <v/>
      </c>
      <c r="HS3" t="str">
        <f t="shared" ref="HS3:HS66" si="107">IF(GU3="","",GN3)</f>
        <v/>
      </c>
      <c r="HT3" t="str">
        <f t="shared" ref="HT3:HT66" si="108">IF(AND(B3="",GO3="",GS3=""),"",_xlfn.TEXTJOIN(" → ",TRUE,GH3,GI3,IF(GM3&lt;&gt;"",GM3&amp;IF(GO3&lt;&gt;""," к."&amp;GO3,""),IF(GO3&lt;&gt;"","к."&amp;GO3,"")),GS3,IF(GB3=1,"(в кабель выше)","")))</f>
        <v>QF1</v>
      </c>
      <c r="HU3">
        <f t="shared" ref="HU3:HU66" si="109">IF(AB3="",0,1)</f>
        <v>0</v>
      </c>
      <c r="HV3">
        <f t="shared" ref="HV3:HV66" si="110">IF(GG3="",0,IF(LEFT(GG3,3)="QFD",1,0))</f>
        <v>0</v>
      </c>
      <c r="HW3" t="str">
        <f t="shared" ref="HW3:HW66" si="111">IF(AH3="=","=",IF(AH3="+","+",IF(AH3="р","R","")))</f>
        <v/>
      </c>
      <c r="HX3" t="str">
        <f t="shared" ref="HX3:HX66" si="112">IF(CO3="","",IF(OR(LEFT(CO3,1)="T",LEFT(CO3,1)="Т"),"T",IF(LEFT(UPPER(CO3),2)="БП","PS",IF(OR(LEFT(UPPER(CO3),2)="МК",LEFT(UPPER(CO3),2)="MK"),"MK",IF(OR(LEFT(UPPER(CO3),2)="КМ",LEFT(UPPER(CO3),2)="KM"),"KM","X")))))</f>
        <v/>
      </c>
      <c r="HY3" t="str">
        <f t="shared" ref="HY3:HY66" si="113">IF(CP3="","",IF(OR(LEFT(CP3,1)="T",LEFT(CP3,1)="Т"),"T",IF(LEFT(UPPER(CP3),2)="БП","PS",IF(OR(LEFT(UPPER(CP3),2)="МК",LEFT(UPPER(CP3),2)="MK"),"MK",IF(OR(LEFT(UPPER(CP3),2)="КМ",LEFT(UPPER(CP3),2)="KM"),"KM","X")))))</f>
        <v/>
      </c>
      <c r="HZ3" t="str">
        <f t="shared" ref="HZ3:HZ66" si="114">IF(CQ3="","",IF(OR(LEFT(CQ3,1)="T",LEFT(CQ3,1)="Т"),"T",IF(LEFT(UPPER(CQ3),2)="БП","PS",IF(OR(LEFT(UPPER(CQ3),2)="МК",LEFT(UPPER(CQ3),2)="MK"),"MK",IF(OR(LEFT(UPPER(CQ3),2)="КМ",LEFT(UPPER(CQ3),2)="KM"),"KM","X")))))</f>
        <v/>
      </c>
      <c r="IA3">
        <f>IF(B3="","",IFERROR(VLOOKUP(B3,УГО_спр,2,FALSE),IFERROR(VLOOKUP(AX3,УГО_спр,2,FALSE),IFERROR(VLOOKUP(LEFT(AX3,2),УГО_спр,2,FALSE),""))))</f>
        <v>0</v>
      </c>
      <c r="IB3" t="str">
        <f>IF(B3="","",IF(OR(IA3="",IA3=0),"BOX",IFERROR(IF(VLOOKUP(IA3,УГО_блоки,3,FALSE)&amp;""&lt;&gt;"",VLOOKUP(IA3,УГО_блоки,3,FALSE),VLOOKUP(IA3,УГО_блоки,2,FALSE)),IA3)))</f>
        <v>BOX</v>
      </c>
      <c r="IC3">
        <f t="shared" ref="IC3:IC66" si="115">IF(B3="",0,1)</f>
        <v>1</v>
      </c>
      <c r="ID3">
        <f>IF(DA3="","",IF(COUNTIF(DA$3:DA3,DA3)=1,MAX(ID$2:ID2)+1,""))</f>
        <v>1</v>
      </c>
      <c r="IE3" t="str">
        <f>IF(CO3="","",IF(COUNTIF(CO$3:CO3,CO3)+COUNTIF(CP$2:CP2,CO3)+COUNTIF(CQ$2:CQ2,CO3)=1,MAX(IE$2:IG2)+1,""))</f>
        <v/>
      </c>
      <c r="IF3" t="str">
        <f>IF(CP3="","",IF(COUNTIF(CO$3:CO3,CP3)+COUNTIF(CP$3:CP3,CP3)+COUNTIF(CQ$2:CQ2,CP3)=1,MAX(IE$2:IG2,IE3)+1,""))</f>
        <v/>
      </c>
      <c r="IG3" t="str">
        <f>IF(CQ3="","",IF(COUNTIF(CO$3:CO3,CQ3)+COUNTIF(CP$3:CP3,CQ3)+COUNTIF(CQ$3:CQ3,CQ3)=1,MAX(IE$2:IG2,IE3,IF3)+1,""))</f>
        <v/>
      </c>
      <c r="IH3" t="str">
        <f t="shared" ref="IH3:IH66" si="116">IF(GQ3=1,IFERROR(MID(FX3,FIND(" (",FX3)+2,FIND(")",FX3,FIND(" (",FX3))-FIND(" (",FX3)-2),"?"),"")</f>
        <v/>
      </c>
      <c r="II3" t="str">
        <f>IF(IH3="","",IF(COUNTIF(IH$3:IH3,IH3)=1,MAX(II$2:II2)+1,""))</f>
        <v/>
      </c>
      <c r="IJ3" t="str">
        <f>IF(GL3="","",COUNTIF(GL$3:GL3,"?*"))</f>
        <v/>
      </c>
      <c r="IK3" t="str">
        <f>IF(OR(GL3="",GN3=""),"",IF(COUNTIFS(GL$3:GL3,"?*",GN$3:GN3,GN3)=1,MAX(IK$2:IK2)+1,""))</f>
        <v/>
      </c>
      <c r="IL3">
        <f t="shared" ref="IL3:IL66" si="117">IF(HA3="",0,IF(OR(ISNUMBER(SEARCH("дубль",HA3)),ISNUMBER(SEARCH("ПЕРЕГРУЗ",HA3)),ISNUMBER(SEARCH("ЗАЩИЩ",HA3)),ISNUMBER(SEARCH("КАНАЛ",HA3)),ISNUMBER(SEARCH("без диф",HA3))),2,1))</f>
        <v>0</v>
      </c>
      <c r="IM3">
        <f>IF(B3="","",COUNTIF(B$3:B3,"?*"))</f>
        <v>1</v>
      </c>
      <c r="IN3">
        <f>IF(GQ3&lt;&gt;1,0,_xlfn.LET(_xlpm.k,MAX(IFERROR(--VLOOKUP(B3,УГО_спр,5,FALSE),0),IFERROR(--VLOOKUP(AX3,УГО_спр,5,FALSE),0),IFERROR(--VLOOKUP(LEFT(AX3,2),УГО_спр,5,FALSE),0)),IF(_xlpm.k&gt;0,_xlpm.k,IF(IFERROR(--LEFT(SUBSTITUTE(IH3,"x","х"),FIND("х",SUBSTITUTE(IH3,"x","х"))-1),3)&gt;3,Каталог!$S$9,1))))</f>
        <v>0</v>
      </c>
      <c r="IO3">
        <f t="shared" ref="IO3:IO66" si="118">IF(GQ3&lt;&gt;1,0,MAX(0,IFERROR(--LEFT(SUBSTITUTE(IH3,"x","х"),FIND("х",SUBSTITUTE(IH3,"x","х"))-1),3)-3*IN3))</f>
        <v>0</v>
      </c>
      <c r="IP3" t="str">
        <f t="shared" ref="IP3:IP66" si="119">IF(CA3=1,"авто","")</f>
        <v>авто</v>
      </c>
      <c r="IQ3" t="str">
        <f t="shared" ref="IQ3:IQ66" si="120">IF(CA3=1,IF(N(CK3)&gt;0,CK3,""),"")</f>
        <v/>
      </c>
      <c r="IR3">
        <f t="shared" ref="IR3:IR66" si="121">IF(CA3=1,IF(N(CK3)&gt;0,1,0),"")</f>
        <v>0</v>
      </c>
      <c r="IS3">
        <f t="shared" ref="IS3:IS66" si="122">SUBTOTAL(103,A3)</f>
        <v>1</v>
      </c>
    </row>
    <row r="4" spans="1:253" x14ac:dyDescent="0.3">
      <c r="A4" t="s">
        <v>785</v>
      </c>
      <c r="B4" t="s">
        <v>745</v>
      </c>
      <c r="C4" t="s">
        <v>744</v>
      </c>
      <c r="D4">
        <v>1</v>
      </c>
      <c r="E4">
        <f>Линии[[#This Row],[_авто Р]]</f>
        <v>526.28100000000018</v>
      </c>
      <c r="G4" t="str">
        <f>Линии[[#This Row],[_авто автомат]]</f>
        <v>3P С630А</v>
      </c>
      <c r="H4" t="str">
        <f>Линии[[#This Row],[_авто утечка]]</f>
        <v/>
      </c>
      <c r="I4" t="str">
        <f>Линии[[#This Row],[_авто управление]]</f>
        <v/>
      </c>
      <c r="J4" t="str">
        <f>Линии[[#This Row],[_авто аппараты]]</f>
        <v/>
      </c>
      <c r="K4" t="str">
        <f>Линии[[#This Row],[_авто сечение]]</f>
        <v/>
      </c>
      <c r="L4" t="str">
        <f>Линии[[#This Row],[_авто длина по плану]]</f>
        <v/>
      </c>
      <c r="M4" t="str">
        <f>Линии[[#This Row],[_авто фаза]]</f>
        <v>L1,L2,L3</v>
      </c>
      <c r="N4" t="str">
        <f>Линии[[#This Row],[_авто клемма]]</f>
        <v/>
      </c>
      <c r="O4" t="str">
        <f t="shared" si="0"/>
        <v/>
      </c>
      <c r="P4" s="6" cm="1">
        <f t="array" ref="P4">IF(B4="","",IF(BC4&lt;&gt;"",IFERROR(_xlfn.XLOOKUP(BC4,Щиты[Щит],Щиты[Iр, А]),""),IF(BK4=1,IFERROR(_xlfn.XLOOKUP(A4,Щиты[Щит],Щиты[Iр, А]),""),IFERROR(_xlfn.IFS(BR4=1,BN4/((Uн_лин/SQRT(3))*BY4),BR4=3,BN4/(SQRT(3)*Uн_лин*BY4)),""))))</f>
        <v>482.46261025528872</v>
      </c>
      <c r="Q4" s="7" t="str">
        <f>IF(B4="","",IFERROR(IF(VLOOKUP(AX4,Потребители_обозначение,4,FALSE)=1,VLOOKUP(AX4,Потребители_обозначение,3,FALSE)*(D4*2-1)+DS4+VLOOKUP(AZ4,Этаж_обозначение,3,FALSE)+VLOOKUP(AZ4,Этаж_обозначение,4,FALSE),VLOOKUP(AX4,Потребители_обозначение,3,FALSE)*(D4*2-1)+DS4),DS4))</f>
        <v/>
      </c>
      <c r="R4" s="6" t="str">
        <f t="shared" si="1"/>
        <v/>
      </c>
      <c r="S4" t="str">
        <f t="shared" si="2"/>
        <v/>
      </c>
      <c r="T4" t="str">
        <f>IF(BH4="","",IF(BI4="вводной узел","узел ","")&amp;"л."&amp;(INT((BH4-1)/Столбцов_на_лист)+1)&amp;" / "&amp;(MOD(BH4-1,Столбцов_на_лист)+1))</f>
        <v>л.2 / 3</v>
      </c>
      <c r="V4">
        <v>3</v>
      </c>
      <c r="W4">
        <v>400</v>
      </c>
      <c r="X4" t="s">
        <v>549</v>
      </c>
      <c r="AI4">
        <v>20</v>
      </c>
      <c r="AJ4" t="str">
        <f>Линии[[#This Row],[_авто марка]]</f>
        <v/>
      </c>
      <c r="AK4" t="str">
        <f>Линии[[#This Row],[_авто жил]]</f>
        <v/>
      </c>
      <c r="AW4" cm="1">
        <f t="array" ref="AW4">ROW()-ROW(Линии[#Headers])</f>
        <v>2</v>
      </c>
      <c r="AX4" s="6" t="str">
        <f t="shared" si="3"/>
        <v>Ввод</v>
      </c>
      <c r="AY4" t="str">
        <f t="shared" si="4"/>
        <v>2</v>
      </c>
      <c r="AZ4" t="str">
        <f t="shared" si="5"/>
        <v>2</v>
      </c>
      <c r="BA4" t="str">
        <f t="shared" si="6"/>
        <v/>
      </c>
      <c r="BB4" t="str">
        <f t="shared" si="7"/>
        <v/>
      </c>
      <c r="BC4" t="str">
        <f>IF(U4&lt;&gt;"",U4,IF(AND(B4&lt;&gt;"",B4&lt;&gt;A4,ISNUMBER(_xlfn.XMATCH(B4,Щиты[Щит]))),B4,""))</f>
        <v/>
      </c>
      <c r="BD4" t="str" cm="1">
        <f t="array" ref="BD4">IF(B4="","",IF(BC4&lt;&gt;"","Щит "&amp;BC4,_xlfn.LET(_xlpm.nm,IFERROR(_xlfn.XLOOKUP(AX4,Коды_код,Коды_имя)&amp;"",""),_xlpm.md,IFERROR(N(_xlfn.XLOOKUP(AX4,Коды_код,Коды_режим)),1),_xlpm.ex,IF(Имя_режим="по экспликации",IFERROR(_xlfn.XLOOKUP(AZ4&amp;"|"&amp;BB4,Экспликация[Этаж]&amp;"|"&amp;Экспликация[Помещение],Экспликация[Название])&amp;"",""),""),_xlpm.rm,IF(BB4="","",IF(_xlpm.ex&lt;&gt;"",". "&amp;_xlpm.ex&amp;IF(Имя_пом="нет"," ("&amp;BB4&amp;")"," (пом. "&amp;BB4&amp;")"),IF(Имя_пом="нет"," ",", пом. ")&amp;BB4)),IF(_xlpm.nm="","",IF(_xlpm.md=2,_xlpm.nm&amp;" шлейф "&amp;AZ4,_xlpm.nm&amp;_xlpm.rm)))))</f>
        <v>Вводной кабель шлейф 2</v>
      </c>
      <c r="BE4" t="str">
        <f t="shared" si="8"/>
        <v>Основной ввод в дом №2</v>
      </c>
      <c r="BF4">
        <f>IFERROR(_xlfn.XMATCH(A4,Щиты[Щит]),0)</f>
        <v>1</v>
      </c>
      <c r="BG4">
        <f>_xlfn.LET(_xlpm.k,IFERROR(_xlfn.XLOOKUP(A4,Щиты[Щит],Щиты[Листов под вводной узел]),""),IF(_xlpm.k="",1,N(_xlpm.k))*Столбцов_на_лист)</f>
        <v>17</v>
      </c>
      <c r="BH4">
        <f t="shared" si="9"/>
        <v>20</v>
      </c>
      <c r="BI4" t="str">
        <f t="shared" si="10"/>
        <v>линии</v>
      </c>
      <c r="BJ4" s="6">
        <f>IFERROR(N(_xlfn.XLOOKUP(AX4,Коды_код,Коды_квт)),0)</f>
        <v>0</v>
      </c>
      <c r="BK4">
        <f t="shared" si="11"/>
        <v>1</v>
      </c>
      <c r="BL4">
        <f>IF(B4="","",IF(BC4&lt;&gt;"",IFERROR(_xlfn.XLOOKUP(BC4,Щиты[Щит],Щиты[Руст, кВт]),0),IF(BK4=1,IFERROR(_xlfn.XLOOKUP(A4,Щиты[Щит],Щиты[Руст, кВт]),0),IF(BJ4&gt;0,ROUND(BJ4*MAX(1,N(D4)),3),""))))</f>
        <v>526.28100000000018</v>
      </c>
      <c r="BM4">
        <f t="shared" si="12"/>
        <v>526.28100000000018</v>
      </c>
      <c r="BN4" s="6">
        <f>IF(B4="","",IF(BC4&lt;&gt;"",IFERROR(_xlfn.XLOOKUP(BC4,Щиты[Щит],Щиты[Руст, кВт]),0),N(BM4)))</f>
        <v>526.28100000000018</v>
      </c>
      <c r="BO4" t="str">
        <f>IF(B4="","",IFERROR(IF(VLOOKUP(AX4,Потребители_обозначение,8,FALSE)=0,"",VLOOKUP(AX4,Потребители_обозначение,8,FALSE)),""))</f>
        <v/>
      </c>
      <c r="BP4">
        <f t="shared" si="13"/>
        <v>400</v>
      </c>
      <c r="BQ4">
        <f>IF(B4="","",IF(BC4&lt;&gt;"",3,IFERROR(IF(N(VLOOKUP(AX4,Потребители_обозначение,9,FALSE))=0,1,VLOOKUP(AX4,Потребители_обозначение,9,FALSE)),1)))</f>
        <v>1</v>
      </c>
      <c r="BR4">
        <f t="shared" si="14"/>
        <v>3</v>
      </c>
      <c r="BS4" t="str">
        <f>IF(B4="","",_xlfn.LET(_xlpm.bc,IFERROR(IF(VLOOKUP(AX4,Потребители_обозначение,6,FALSE)=0,"",VLOOKUP(AX4,Потребители_обозначение,6,FALSE)&amp;""),""),IF(AND(FK4="да",OR(_xlpm.bc="",_xlpm.bc="мс")),Марка_пож,IF(AND(_xlpm.bc="",BC4&lt;&gt;""),"мс",_xlpm.bc))))</f>
        <v/>
      </c>
      <c r="BT4" t="str">
        <f t="shared" si="15"/>
        <v/>
      </c>
      <c r="BU4" t="str">
        <f>IF(B4="","",_xlfn.LET(_xlpm.cc,IFERROR(N(VLOOKUP(AX4,Потребители_обозначение,7,FALSE)),0),IF(_xlpm.cc&gt;0,_xlpm.cc,IF(BT4="","",IF(N(BR4)=3,5,3)))))</f>
        <v/>
      </c>
      <c r="BV4" t="str">
        <f t="shared" si="16"/>
        <v/>
      </c>
      <c r="BW4">
        <f>IFERROR(N(VLOOKUP(AX4,Потребители_обозначение,10,FALSE)),0)</f>
        <v>0</v>
      </c>
      <c r="BX4">
        <f>IFERROR(VLOOKUP(AX4,Потребители_обозначение,5,FALSE),0)</f>
        <v>1</v>
      </c>
      <c r="BY4" s="6" cm="1">
        <f t="array" ref="BY4">IF(B4="","",IF(BC4&lt;&gt;"",IFERROR(_xlfn.XLOOKUP(BC4,Щиты[Щит],Щиты[cos φ]),0.95),IF(BK4=1,IFERROR(_xlfn.XLOOKUP(A4,Щиты[Щит],Щиты[cos φ]),0.95),IF(ISNUMBER(Z4),Z4,IFERROR(IF(BX4=2,_xlfn.IFS(BR4=3,VLOOKUP(BN4,Справочная_двигатели,8,FALSE),BR4=1,VLOOKUP(BN4,Справочная_двигатели,10,TRUE)),IF(AND(Методика="нормы 2026",EQ4="Сил"),0.8,0.95)),0.95)))))</f>
        <v>0.82887953393719294</v>
      </c>
      <c r="BZ4">
        <f t="shared" si="17"/>
        <v>0</v>
      </c>
      <c r="CA4">
        <f t="shared" si="18"/>
        <v>1</v>
      </c>
      <c r="CB4">
        <f t="shared" si="19"/>
        <v>0</v>
      </c>
      <c r="CC4">
        <f t="shared" si="20"/>
        <v>0</v>
      </c>
      <c r="CD4">
        <f t="shared" si="21"/>
        <v>0</v>
      </c>
      <c r="CE4">
        <f t="shared" si="22"/>
        <v>0</v>
      </c>
      <c r="CF4">
        <f t="shared" si="23"/>
        <v>0</v>
      </c>
      <c r="CG4">
        <f>IF(AX4="",0,_xlfn.LET(_xlpm.v,IFERROR(VLOOKUP(B4,УГО_спр,3,FALSE),IFERROR(VLOOKUP(AX4,УГО_спр,3,FALSE),IFERROR(VLOOKUP(LEFT(AX4,2),УГО_спр,3,FALSE),""))),IF(_xlpm.v="да",30,IF(ISNUMBER(_xlpm.v),_xlpm.v,0))))</f>
        <v>0</v>
      </c>
      <c r="CH4" t="str">
        <f t="shared" si="24"/>
        <v/>
      </c>
      <c r="CI4" t="str">
        <f>_xlfn.LET(_xlpm.k,IFERROR(_xlfn.XLOOKUP(AX4,Коды_код,Коды_утечка)&amp;"",""),IF(_xlpm.k="","дифавтомат",_xlpm.k))</f>
        <v>дифавтомат</v>
      </c>
      <c r="CJ4">
        <f t="shared" si="25"/>
        <v>0</v>
      </c>
      <c r="CK4">
        <f t="shared" si="26"/>
        <v>0</v>
      </c>
      <c r="CL4">
        <f>IF(B4="",0,IFERROR(--VLOOKUP(B4,УГО_спр,4,FALSE),IFERROR(--VLOOKUP(AX4,УГО_спр,4,FALSE),IFERROR(--VLOOKUP(LEFT(AX4,2),УГО_спр,4,FALSE),0))))</f>
        <v>0</v>
      </c>
      <c r="CM4" t="str">
        <f>IF(B4="","",IFERROR(_xlfn.XLOOKUP(AX4,Коды_код,Коды_апп)&amp;"",""))</f>
        <v/>
      </c>
      <c r="CN4" t="str">
        <f t="shared" si="27"/>
        <v/>
      </c>
      <c r="CO4" t="str" cm="1">
        <f t="array" ref="CO4">IF(TRIM(CN4&amp;"")="","",IFERROR(TRIM(INDEX(_xlfn.TEXTSPLIT(CN4&amp;";;;",";"),1)),""))</f>
        <v/>
      </c>
      <c r="CP4" t="str" cm="1">
        <f t="array" ref="CP4">IF(TRIM(CN4&amp;"")="","",IFERROR(TRIM(INDEX(_xlfn.TEXTSPLIT(CN4&amp;";;;",";"),2)),""))</f>
        <v/>
      </c>
      <c r="CQ4" t="str" cm="1">
        <f t="array" ref="CQ4">IF(TRIM(CN4&amp;"")="","",IFERROR(TRIM(INDEX(_xlfn.TEXTSPLIT(CN4&amp;";;;",";"),3)),""))</f>
        <v/>
      </c>
      <c r="CR4">
        <f t="shared" si="28"/>
        <v>0</v>
      </c>
      <c r="CS4" t="str">
        <f>IF(B4="","",_xlfn.LET(_xlpm.t,LOWER(AV4&amp;""),IF(ISNUMBER(SEARCH("dim",_xlpm.t)),"DIM",IF(ISNUMBER(SEARCH("dali",_xlpm.t)),"DALI",IF(OR(ISNUMBER(SEARCH("relay",_xlpm.t)),ISNUMBER(SEARCH("реле",_xlpm.t))),"Relay",IF(ISNUMBER(SEARCH("кнопк",_xlpm.t)),"",IFERROR(_xlfn.XLOOKUP(AX4,Коды_код,Коды_упр)&amp;"","")))))))</f>
        <v/>
      </c>
      <c r="CT4" t="str">
        <f t="shared" si="29"/>
        <v/>
      </c>
      <c r="CU4">
        <f>IF(B4="","",_xlfn.LET(_xlpm.ig,N(P4)+IF(AF4="вручную",0,N(CB4)),_xlpm.n0,IFERROR(VLOOKUP(_xlpm.ig,Автомат_номиналы,2,TRUE),0),_xlpm.mn,MAX(CL4,IF(AF4="вручную",0,N(CE4))),MAX(_xlpm.n0,_xlpm.mn,IF(CR4=1,Мин_автомат_БП,0))))</f>
        <v>630</v>
      </c>
      <c r="CV4">
        <f t="shared" si="30"/>
        <v>3</v>
      </c>
      <c r="CW4" t="str">
        <f t="shared" si="31"/>
        <v>3P</v>
      </c>
      <c r="CX4" t="str">
        <f>_xlfn.LET(_xlpm.cc,UPPER(TRIM(IFERROR(_xlfn.XLOOKUP(AX4,Коды_код,Коды_хар)&amp;"",""))),IF(OR(_xlpm.cc="B",_xlpm.cc="В"),"B",IF(_xlpm.cc="D","D","С")))</f>
        <v>С</v>
      </c>
      <c r="CY4" t="str">
        <f t="shared" si="32"/>
        <v>3P С630А</v>
      </c>
      <c r="CZ4" t="str">
        <f t="shared" si="33"/>
        <v>3P С630А</v>
      </c>
      <c r="DA4" t="str">
        <f t="shared" si="34"/>
        <v>3P С630А</v>
      </c>
      <c r="DB4" cm="1">
        <f t="array" ref="DB4">IF(DA4="","",_xlfn.LET(_xlpm.t,SUBSTITUTE(SUBSTITUTE(SUBSTITUTE(UPPER(DA4),"С","C"),"А","A"),"В","B"),_xlpm.tk,_xlfn.TEXTSPLIT(_xlpm.t,"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630</v>
      </c>
      <c r="DC4" t="str">
        <f t="shared" si="35"/>
        <v>ok</v>
      </c>
      <c r="DD4">
        <f t="shared" si="36"/>
        <v>630</v>
      </c>
      <c r="DE4" t="str">
        <f t="shared" si="37"/>
        <v>3P С630А</v>
      </c>
      <c r="DF4">
        <f t="shared" si="38"/>
        <v>0</v>
      </c>
      <c r="DG4">
        <f t="shared" si="39"/>
        <v>0</v>
      </c>
      <c r="DH4">
        <f t="shared" si="40"/>
        <v>0</v>
      </c>
      <c r="DI4">
        <f t="shared" si="41"/>
        <v>482.46261025528872</v>
      </c>
      <c r="DJ4">
        <f t="shared" si="42"/>
        <v>1</v>
      </c>
      <c r="DK4">
        <f>IF(ISNUMBER(AL4),AL4,К_прокл)</f>
        <v>1</v>
      </c>
      <c r="DL4">
        <f t="shared" si="43"/>
        <v>3</v>
      </c>
      <c r="DM4">
        <f>IFERROR(N(VLOOKUP(BT4,Кабель_обозначение,3,FALSE)),1)</f>
        <v>1</v>
      </c>
      <c r="DN4">
        <f>IFERROR(N(_xlfn.XLOOKUP(A4,Щиты[Щит],Щиты[ΔU до шин, %])),0)</f>
        <v>0</v>
      </c>
      <c r="DO4" t="str">
        <f>IFERROR(_xlfn.XLOOKUP(A4,Щиты[Щит],Щиты[Zпетли на шинах, Ом]),"")</f>
        <v/>
      </c>
      <c r="DP4">
        <f>IFERROR(N(_xlfn.XLOOKUP(A4,Щиты[Щит],Щиты[ΔU до шин (подбор), %])),0)</f>
        <v>0</v>
      </c>
      <c r="DQ4" t="str">
        <f>IFERROR(_xlfn.XLOOKUP(A4,Щиты[Щит],Щиты[Zпетли на шинах (подбор), Ом]),"")</f>
        <v/>
      </c>
      <c r="DR4" t="str">
        <f t="shared" si="44"/>
        <v/>
      </c>
      <c r="DS4" t="str">
        <f t="shared" si="45"/>
        <v/>
      </c>
      <c r="DT4">
        <f t="shared" si="46"/>
        <v>1</v>
      </c>
      <c r="DU4">
        <f t="shared" si="47"/>
        <v>0.56000000000000005</v>
      </c>
      <c r="DV4" s="6">
        <f>IF(B4="","",IF(IFERROR(VLOOKUP(AX4,УГО_спр,2,FALSE),"")="Светильник",3,4)+IF(Методика="нормы 2026",MIN(0.5,MAX(0,N(Q4)-100)*0.005),0))</f>
        <v>4</v>
      </c>
      <c r="DW4" t="str" cm="1">
        <f t="array" ref="DW4">IF(OR(B4="",BT4="",DM4&lt;&gt;1),"",_xlfn.LET(_xlpm.sz,Iдоп_S,_xlpm.t_,CHOOSE(DL4,Iдоп_1ж,Iдоп_2ж,Iдоп_3ж)*DJ4*DK4,_xlpm.inn,N(DD4),_xlpm.smin,MAX(1.5,BW4),_xlpm.L_,N(Q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4)*(_xlpm.rho*_xlpm.L_/_xlpm.sz*N(BY4)+_xlpm.xx*_xlpm.L_*N(DU4)/1000)*N(P4)/((Uн_лин/SQRT(3))*1000)*100,999),_xlpm.kz,IF(OR(DG4=1,NOT(ISNUMBER(DQ4)),_xlpm.L_=0,_xlpm.inn=0),1,IFERROR(--(c_min*(Uн_лин*1000/SQRT(3))/(DQ4+2*ρкз_Cu*_xlpm.L_/_xlpm.sz)&gt;=GY4*_xlpm.inn),0)),_xlpm.ok,IFERROR((_xlpm.sz&gt;=_xlpm.smin)*(_xlpm.t_&gt;=_xlpm.inn)*IF(_xlpm.L_&gt;0,(_xlpm.du_+DP4&lt;=DV4+0.00001),1)*_xlpm.kz,0),_xlpm.r_,_xlfn._xlws.FILTER(_xlpm.sz,_xlpm.ok,"не подобрано"),INDEX(_xlpm.r_,1)))</f>
        <v/>
      </c>
      <c r="DX4" t="str">
        <f t="shared" si="48"/>
        <v/>
      </c>
      <c r="DY4" t="str" cm="1">
        <f t="array" ref="DY4">IF(OR(B4="",BT4="",DM4&lt;&gt;1),"",_xlfn.LET(_xlpm.sz,Iдоп_S,_xlpm.t_,CHOOSE(DL4,Iдоп_1ж,Iдоп_2ж,Iдоп_3ж)*DJ4*DK4,_xlpm.ok,IFERROR((_xlpm.sz&gt;=MAX(1.5,BW4))*(_xlpm.t_&gt;=N(DD4)),0),_xlpm.r_,_xlfn._xlws.FILTER(_xlpm.sz,_xlpm.ok,""),INDEX(_xlpm.r_,1)))</f>
        <v/>
      </c>
      <c r="DZ4" s="6" t="str" cm="1">
        <f t="array" ref="DZ4">IFERROR(ROUNDUP(N(DT4)*(_xlfn.XLOOKUP(DY4,INDEX(Кабель_сопротивление,0,1),INDEX(Кабель_сопротивление,0,3))*N(Q4)/DY4*N(BY4)+_xlfn.XLOOKUP(DY4,INDEX(Кабель_сопротивление,0,1),INDEX(Кабель_сопротивление,0,2))*N(Q4)*N(DU4)/1000)*N(P4)/((Uн_лин/SQRT(3))*1000)*100,2),"")</f>
        <v/>
      </c>
      <c r="EA4" t="str">
        <f>IFERROR(2*ρкз_Cu*N(Q4)/DY4,"")</f>
        <v/>
      </c>
      <c r="EB4" t="str">
        <f>IFERROR(VLOOKUP(DX4,Кабель_сопротивление,3,FALSE),"")</f>
        <v/>
      </c>
      <c r="EC4" t="str">
        <f>IFERROR(VLOOKUP(DX4,Кабель_сопротивление,2,FALSE),"")</f>
        <v/>
      </c>
      <c r="ED4" t="str">
        <f t="shared" si="49"/>
        <v/>
      </c>
      <c r="EE4" t="str">
        <f t="shared" si="50"/>
        <v/>
      </c>
      <c r="EF4" t="str">
        <f t="shared" si="51"/>
        <v/>
      </c>
      <c r="EG4" s="6" t="str">
        <f>IFERROR(ROUNDUP(EF4/((Uн_лин/SQRT(3))*1000)*100,2),"")</f>
        <v/>
      </c>
      <c r="EH4" t="str">
        <f>IFERROR(VLOOKUP(BT4,Кабель_обозначение,2,FALSE),"")</f>
        <v/>
      </c>
      <c r="EI4" t="str">
        <f t="shared" si="52"/>
        <v/>
      </c>
      <c r="EJ4" t="str">
        <f t="shared" si="53"/>
        <v/>
      </c>
      <c r="EK4" t="str">
        <f>IFERROR(2*ρкз_Cu*Q4/DX4,"")</f>
        <v/>
      </c>
      <c r="EL4" t="str">
        <f t="shared" si="54"/>
        <v/>
      </c>
      <c r="EM4" s="6" t="str">
        <f>IFERROR(IF(OR(B4="",NOT(ISNUMBER(DX4)),N(Q4)=0),"",_xlfn.XLOOKUP(A4,Щиты[Щит],Щиты[Zпетли на шинах, Ом])+EK4),"")</f>
        <v/>
      </c>
      <c r="EN4" s="6" t="str">
        <f>IF(ISNUMBER(EM4),c_min*(Uн_лин*1000/SQRT(3))/EM4,"")</f>
        <v/>
      </c>
      <c r="EO4" s="6" t="str">
        <f>IFERROR(IF(OR(B4="",NOT(ISNUMBER(DX4))),"",1.05*(Uн_лин*1000/SQRT(3))/(_xlfn.XLOOKUP(A4,Щиты[Щит],Щиты[Zmax на шинах, Ом])+EL4)/1000),"")</f>
        <v/>
      </c>
      <c r="EP4" s="6" t="str">
        <f>IF(B4="","",IF(ISNUMBER(Y4),"Сил",IF(IFERROR(_xlfn.XLOOKUP(AX4,Коды_код,Коды_группа)&amp;"","")="","Быт",_xlfn.XLOOKUP(AX4,Коды_код,Коды_группа)&amp;"")))</f>
        <v>Быт</v>
      </c>
      <c r="EQ4" s="6" t="str">
        <f t="shared" si="55"/>
        <v>Нет</v>
      </c>
      <c r="ER4" s="6">
        <f>IF(EQ4="Щит","щит",IF(EQ4="","",IF(EQ4="Быт",IFERROR(_xlfn.XLOOKUP(A4,Щиты[Щит],Щиты[Кс быт]),1),IF(EQ4="Сил",IF(ISNUMBER(Y4),Y4,IF(Методика="нормы 2026",IFERROR(_xlfn.XLOOKUP(A4,Щиты[Щит],Щиты[Кс силовых (табл. 7.5)]),1),1)),IF(OR(EQ4="Пост",EQ4="Отоп"),1,IF(EQ4="ВНГ",0.7,0))))))</f>
        <v>0</v>
      </c>
      <c r="ES4">
        <f t="shared" si="56"/>
        <v>1</v>
      </c>
      <c r="ET4">
        <f t="shared" si="57"/>
        <v>0</v>
      </c>
      <c r="EU4">
        <f t="shared" si="58"/>
        <v>0</v>
      </c>
      <c r="EV4">
        <f t="shared" si="59"/>
        <v>0</v>
      </c>
      <c r="EW4">
        <f t="shared" si="60"/>
        <v>0</v>
      </c>
      <c r="EX4">
        <f t="shared" si="61"/>
        <v>0</v>
      </c>
      <c r="EY4">
        <f t="shared" si="62"/>
        <v>0</v>
      </c>
      <c r="EZ4">
        <f t="shared" si="63"/>
        <v>0</v>
      </c>
      <c r="FA4">
        <f t="shared" si="64"/>
        <v>0</v>
      </c>
      <c r="FB4">
        <f t="shared" si="65"/>
        <v>526.28100000000018</v>
      </c>
      <c r="FC4" t="str">
        <f t="shared" si="66"/>
        <v/>
      </c>
      <c r="FD4" t="str">
        <f>IF(B4="","",IF(CA4=0,IF(AW4=1,"",FF3),IF(OR(N(CV4)&gt;=3,N(BR4)&gt;=3),"L1,L2,L3",IFERROR(_xlfn.TEXTBEFORE(_xlfn.TEXTAFTER(_xlfn.XLOOKUP(A4,Щиты[Щит],Щиты[_фазы авто]),";"&amp;AW4&amp;":"),";"),"L1"))))</f>
        <v>L1,L2,L3</v>
      </c>
      <c r="FE4" t="str">
        <f t="shared" si="67"/>
        <v>L1,L2,L3</v>
      </c>
      <c r="FF4" t="str">
        <f t="shared" si="68"/>
        <v>L1,L2,L3</v>
      </c>
      <c r="FG4" cm="1">
        <f t="array" ref="FG4">IFERROR(IF(BX4=2,_xlfn.IFS(BR4=3,VLOOKUP(BN4,Справочная_двигатели,3,FALSE),BR4=1,VLOOKUP(BN4,Справочная_двигатели,5,TRUE)),0),0)</f>
        <v>0</v>
      </c>
      <c r="FH4">
        <f>IFERROR(IF(BX4=3,VLOOKUP(BN4,Справочная_ЛЭД,2,TRUE),0),0)</f>
        <v>0</v>
      </c>
      <c r="FI4" s="6">
        <f t="shared" si="69"/>
        <v>0</v>
      </c>
      <c r="FJ4" t="str" cm="1">
        <f t="array" ref="FJ4">IF(B4="","",IFERROR(INDEX({"I особая","I","II","III"},MATCH(TRIM(AC4&amp;""),{"I особая","I","II","III"},0)),"III"))</f>
        <v>III</v>
      </c>
      <c r="FK4" t="str">
        <f>IF(B4="","",IF(TRIM(AD4&amp;"")&lt;&gt;"",IF(LOWER(TRIM(AD4&amp;""))="да","да","нет"),IF(IFERROR(_xlfn.XLOOKUP(AX4,Коды_код,Коды_пожарная),"")="да","да","нет")))</f>
        <v>нет</v>
      </c>
      <c r="FL4" t="str">
        <f t="shared" si="70"/>
        <v/>
      </c>
      <c r="FM4" t="str">
        <f t="shared" si="71"/>
        <v>основная</v>
      </c>
      <c r="FN4">
        <f t="shared" si="72"/>
        <v>1</v>
      </c>
      <c r="FO4" t="str" cm="1">
        <f t="array" ref="FO4">IF(B4="","",_xlfn.LET(_xlpm.t,IFERROR(_xlfn.XLOOKUP(1,(Шины[Шина]=FM4)*(((Шины[Щит]=A4)+(Шины[Щит]=""))&gt;0),Шины[Тип]),"")&amp;"",IF(_xlpm.t&lt;&gt;"",_xlpm.t,IF(ISNUMBER(SEARCH("ИБП",FM4)),"ИБП",IF(ISNUMBER(SEARCH("ДГУ",FM4)),"ДГУ","Ввод "&amp;FN4)))))</f>
        <v>Ввод 1</v>
      </c>
      <c r="FP4" t="str">
        <f t="shared" si="73"/>
        <v>Ввод 1</v>
      </c>
      <c r="FQ4" t="str">
        <f>IF(B4="","",IF(OR(FO4="ИБП",FO4="ДГУ"),"I особая",IF(FO4="Одиночная","III",_xlfn.XLOOKUP(A4,Щиты[Щит],Щиты[Категория шины «Ввод»],"III"))))</f>
        <v>I</v>
      </c>
      <c r="FR4">
        <f>IF(B4="",0,IFERROR(MATCH(FJ4,{"III","II","I","I особая"},0),1))</f>
        <v>1</v>
      </c>
      <c r="FS4">
        <f t="shared" si="74"/>
        <v>1</v>
      </c>
      <c r="FT4" t="str">
        <f>IF(B4="","",IF(FR4&gt;IFERROR(MATCH(FQ4,{"III","II","I","I особая"},0),1),"НЕ ОБЕСПЕЧЕНА","ОК"))</f>
        <v>ОК</v>
      </c>
      <c r="FU4" t="str">
        <f>IF(A4="","",_xlfn.XLOOKUP(A4,Щиты[Щит],Щиты[Путь],""))</f>
        <v>|ГРЩ-ЖД|</v>
      </c>
      <c r="FV4" t="str">
        <f>IF(B4="","",IF(AE4&lt;&gt;"",AE4,IF(IFERROR(_xlfn.XLOOKUP(AX4,Коды_код,Коды_вид)&amp;"","")="","Прочее",_xlfn.XLOOKUP(AX4,Коды_код,Коды_вид)&amp;"")))</f>
        <v>Прочее</v>
      </c>
      <c r="FW4">
        <f>IF(BH4="","",INT((BH4-1)/Столбцов_на_лист)+1)</f>
        <v>2</v>
      </c>
      <c r="FX4" t="str">
        <f t="shared" si="75"/>
        <v/>
      </c>
      <c r="FY4">
        <f t="shared" si="76"/>
        <v>526.28100000000018</v>
      </c>
      <c r="FZ4">
        <f t="shared" si="77"/>
        <v>482.46999999999997</v>
      </c>
      <c r="GA4">
        <f t="shared" si="78"/>
        <v>3</v>
      </c>
      <c r="GB4">
        <f t="shared" si="79"/>
        <v>0</v>
      </c>
      <c r="GC4">
        <f t="shared" si="80"/>
        <v>1</v>
      </c>
      <c r="GD4">
        <f>IF(BH4="","",IF(AND(CA4=1,GC4=1),COUNTIFS(A$3:A4,A4,CA$3:CA4,1,GC$3:GC4,1),IF(OR(OR(AW4=1,A4&lt;&gt;A3),AF4="вручную",GC4=0),"",IF(AW4=1,"",GE3))))</f>
        <v>2</v>
      </c>
      <c r="GE4">
        <f t="shared" si="81"/>
        <v>2</v>
      </c>
      <c r="GF4" t="str">
        <f>IF(B4="","",IFERROR(LOOKUP(INDEX(CHOOSE(DL4,Iдоп_1ж,Iдоп_2ж,Iдоп_3ж),MATCH(DX4,Iдоп_S,0))*DJ4*DK4,{6,10,16,20,25,32,40,50,63,80,100,125,160,200,250,315,400,500,630}),""))</f>
        <v/>
      </c>
      <c r="GG4" t="str">
        <f t="shared" si="82"/>
        <v>QF2</v>
      </c>
      <c r="GH4" t="str">
        <f t="shared" si="83"/>
        <v>QF2</v>
      </c>
      <c r="GI4" t="str">
        <f t="shared" si="84"/>
        <v/>
      </c>
      <c r="GJ4">
        <f t="shared" si="85"/>
        <v>0</v>
      </c>
      <c r="GK4" t="str">
        <f>IF(OR(AG4="",AG4="-"),"",IFERROR(VLOOKUP(AG4,Модули_спр,2,FALSE),"R"))</f>
        <v/>
      </c>
      <c r="GL4" t="str">
        <f>IF(GK4="","",GK4&amp;"."&amp;COUNTIFS(A$3:A4,A4,GK$3:GK4,GK4))</f>
        <v/>
      </c>
      <c r="GM4" t="str">
        <f t="shared" si="86"/>
        <v/>
      </c>
      <c r="GN4" t="str">
        <f t="shared" si="87"/>
        <v/>
      </c>
      <c r="GO4" t="str">
        <f t="shared" si="88"/>
        <v/>
      </c>
      <c r="GP4" t="str">
        <f t="shared" si="89"/>
        <v/>
      </c>
      <c r="GQ4">
        <f t="shared" si="90"/>
        <v>0</v>
      </c>
      <c r="GR4" t="str">
        <f>IF(GQ4=1,"XT"&amp;COUNTIFS(A$3:A4,A4,GQ$3:GQ4,1),"")</f>
        <v/>
      </c>
      <c r="GS4" t="str">
        <f t="shared" si="91"/>
        <v/>
      </c>
      <c r="GT4" t="str">
        <f t="shared" si="92"/>
        <v>QF2</v>
      </c>
      <c r="GU4" t="str">
        <f t="shared" si="93"/>
        <v/>
      </c>
      <c r="GV4" t="str">
        <f t="shared" si="94"/>
        <v>ok</v>
      </c>
      <c r="GW4" t="str">
        <f>IF(OR(GO4="",GM4=""),"",IF(GO4&gt;IFERROR(VLOOKUP(GN4,Модули_спр,3,FALSE),99),"ЛИШНИЙ КАНАЛ",IF(AND(AH4&lt;&gt;"=",COUNTIFS(Линии[_модуль гр.],GM4,Линии[Канал (итог)],GO4,Линии[Канал],"&lt;&gt;=",Линии[Щит],A4)&gt;1),"ДУБЛЬ КАНАЛА","")))</f>
        <v/>
      </c>
      <c r="GX4" s="6" t="str">
        <f t="shared" si="95"/>
        <v/>
      </c>
      <c r="GY4">
        <f t="shared" si="96"/>
        <v>10</v>
      </c>
      <c r="GZ4" t="str">
        <f t="shared" si="97"/>
        <v/>
      </c>
      <c r="HA4" t="str">
        <f>IF(AND(B4="",GT4=""),"",_xlfn.TEXTJOIN("; ",TRUE,IF(AND(B4&lt;&gt;"",FE4=""),"нет фазы",""),IF(AND(B4&lt;&gt;"",N(FY4)=0,EQ4&lt;&gt;"Нет"),"нет мощности",""),IF(AND(GS4&lt;&gt;"",COUNTIFS(Линии[Щит],A4,Линии[Клемма (итог)],GS4)&gt;1),"дубль клеммы "&amp;GS4,""),IF(AND(GV4&lt;&gt;"",GV4&lt;&gt;"ok"),GV4,""),IF(GW4&lt;&gt;"",GW4,""),IF(AND(N(BV4)&gt;=4,N(BR4)=1),BV4&amp;" жил на 1 фазе",""),IF(AND(AX4="R",CA4=1,OR(N(CK4)=0,N(CK4)&gt;30)),"розетка без дифзащиты до 30 мА",""),IFERROR(IF(AND(ISNUMBER(R4),R4&gt;DV4),"потери "&amp;FIXED(R4,1)&amp;" % &gt; "&amp;DV4&amp;" %",""),""),IFERROR(IF(LEFT(GZ4,4)="мало","Iкз мало — отключение &gt; 0,4 с",""),""),IF(AND(B4&lt;&gt;"",BH4=""),"не на схеме",""),IF(AND(CA4=0,B4&lt;&gt;"",FE4&lt;&gt;"",IF(AW4=1,"",FF3)&lt;&gt;"",FE4&lt;&gt;IF(AW4=1,"",FF3)),"фаза не как у автомата группы ("&amp;IF(AW4=1,"",FF3)&amp;")","")))</f>
        <v/>
      </c>
      <c r="HB4" s="6" t="str">
        <f>IF(OR(CA4=0,DA4=""),"",_xlfn.LET(_xlpm.t,IFERROR(_xlfn.XLOOKUP(DA4,Каталог!$U$4:$U$500,Каталог!$G$4:$G$500),""),_xlpm.k,SEARCH("кА",_xlpm.t),IFERROR(--TRIM(RIGHT(SUBSTITUTE(MID(_xlpm.t,MAX(1,_xlpm.k-4),_xlpm.k-MAX(1,_xlpm.k-4))," ",REPT(" ",9)),5)),"")))</f>
        <v/>
      </c>
      <c r="HC4" t="str">
        <f>IF(OR(HB4="",CA4=0),"",IF(_xlfn.XLOOKUP(A4,Щиты[Щит],Щиты[Iкз max на шинах, кА],"")="","",IF(HB4&lt;_xlfn.XLOOKUP(A4,Щиты[Щит],Щиты[Iкз max на шинах, кА]),"Icu "&amp;HB4&amp;" кА &lt; Iкз max","ok")))</f>
        <v/>
      </c>
      <c r="HD4" t="str">
        <f t="shared" si="98"/>
        <v/>
      </c>
      <c r="HE4" t="str">
        <f t="shared" si="99"/>
        <v>QF2</v>
      </c>
      <c r="HF4" t="str">
        <f t="shared" si="100"/>
        <v>QF2|кабель  → Основной ввод в дом №2</v>
      </c>
      <c r="HG4" t="str" cm="1">
        <f t="array" ref="HG4">IF(HF4="","",_xlfn.LET(_xlpm.nd,_xlfn.TEXTSPLIT(HF4,"|"),IF(COLUMNS(_xlpm.nd)&gt;1,A4&amp;"¦"&amp;INDEX(_xlpm.nd,1)&amp;"¦"&amp;INDEX(_xlpm.nd,2),"")))</f>
        <v>ГРЩ-ЖД¦QF2¦кабель  → Основной ввод в дом №2</v>
      </c>
      <c r="HH4" t="str">
        <f t="shared" si="101"/>
        <v>Ввод.2¦Основной ввод в дом №2</v>
      </c>
      <c r="HI4" t="str" cm="1">
        <f t="array" ref="HI4">IF(HF4="","",_xlfn.LET(_xlpm.nd,_xlfn.TEXTSPLIT(HF4,"|"),IF(COLUMNS(_xlpm.nd)&gt;2,A4&amp;"¦"&amp;INDEX(_xlpm.nd,2)&amp;"¦"&amp;INDEX(_xlpm.nd,3),"")))</f>
        <v/>
      </c>
      <c r="HJ4" t="str">
        <f t="shared" si="102"/>
        <v/>
      </c>
      <c r="HK4" t="str" cm="1">
        <f t="array" ref="HK4">IF(HF4="","",_xlfn.LET(_xlpm.nd,_xlfn.TEXTSPLIT(HF4,"|"),IF(COLUMNS(_xlpm.nd)&gt;3,A4&amp;"¦"&amp;INDEX(_xlpm.nd,3)&amp;"¦"&amp;INDEX(_xlpm.nd,4),"")))</f>
        <v/>
      </c>
      <c r="HL4" t="str">
        <f t="shared" si="103"/>
        <v/>
      </c>
      <c r="HM4" t="str" cm="1">
        <f t="array" ref="HM4">IF(HF4="","",_xlfn.LET(_xlpm.nd,_xlfn.TEXTSPLIT(HF4,"|"),IF(COLUMNS(_xlpm.nd)&gt;4,A4&amp;"¦"&amp;INDEX(_xlpm.nd,4)&amp;"¦"&amp;INDEX(_xlpm.nd,5),"")))</f>
        <v/>
      </c>
      <c r="HN4" t="str">
        <f t="shared" si="104"/>
        <v/>
      </c>
      <c r="HO4" t="str" cm="1">
        <f t="array" ref="HO4">IF(HF4="","",_xlfn.LET(_xlpm.nd,_xlfn.TEXTSPLIT(HF4,"|"),IF(COLUMNS(_xlpm.nd)&gt;5,A4&amp;"¦"&amp;INDEX(_xlpm.nd,5)&amp;"¦"&amp;INDEX(_xlpm.nd,6),"")))</f>
        <v/>
      </c>
      <c r="HP4" t="str">
        <f t="shared" si="105"/>
        <v/>
      </c>
      <c r="HQ4" t="str" cm="1">
        <f t="array" ref="HQ4">IF(HF4="","",_xlfn.LET(_xlpm.nd,_xlfn.TEXTSPLIT(HF4,"|"),IF(COLUMNS(_xlpm.nd)&gt;6,A4&amp;"¦"&amp;INDEX(_xlpm.nd,6)&amp;"¦"&amp;INDEX(_xlpm.nd,7),"")))</f>
        <v/>
      </c>
      <c r="HR4" t="str">
        <f t="shared" si="106"/>
        <v/>
      </c>
      <c r="HS4" t="str">
        <f t="shared" si="107"/>
        <v/>
      </c>
      <c r="HT4" t="str">
        <f t="shared" si="108"/>
        <v>QF2</v>
      </c>
      <c r="HU4">
        <f t="shared" si="109"/>
        <v>0</v>
      </c>
      <c r="HV4">
        <f t="shared" si="110"/>
        <v>0</v>
      </c>
      <c r="HW4" t="str">
        <f t="shared" si="111"/>
        <v/>
      </c>
      <c r="HX4" t="str">
        <f t="shared" si="112"/>
        <v/>
      </c>
      <c r="HY4" t="str">
        <f t="shared" si="113"/>
        <v/>
      </c>
      <c r="HZ4" t="str">
        <f t="shared" si="114"/>
        <v/>
      </c>
      <c r="IA4">
        <f>IF(B4="","",IFERROR(VLOOKUP(B4,УГО_спр,2,FALSE),IFERROR(VLOOKUP(AX4,УГО_спр,2,FALSE),IFERROR(VLOOKUP(LEFT(AX4,2),УГО_спр,2,FALSE),""))))</f>
        <v>0</v>
      </c>
      <c r="IB4" t="str">
        <f>IF(B4="","",IF(OR(IA4="",IA4=0),"BOX",IFERROR(IF(VLOOKUP(IA4,УГО_блоки,3,FALSE)&amp;""&lt;&gt;"",VLOOKUP(IA4,УГО_блоки,3,FALSE),VLOOKUP(IA4,УГО_блоки,2,FALSE)),IA4)))</f>
        <v>BOX</v>
      </c>
      <c r="IC4">
        <f t="shared" si="115"/>
        <v>1</v>
      </c>
      <c r="ID4" t="str">
        <f>IF(DA4="","",IF(COUNTIF(DA$3:DA4,DA4)=1,MAX(ID$2:ID3)+1,""))</f>
        <v/>
      </c>
      <c r="IE4" t="str">
        <f>IF(CO4="","",IF(COUNTIF(CO$3:CO4,CO4)+COUNTIF(CP$2:CP3,CO4)+COUNTIF(CQ$2:CQ3,CO4)=1,MAX(IE$2:IG3)+1,""))</f>
        <v/>
      </c>
      <c r="IF4" t="str">
        <f>IF(CP4="","",IF(COUNTIF(CO$3:CO4,CP4)+COUNTIF(CP$3:CP4,CP4)+COUNTIF(CQ$2:CQ3,CP4)=1,MAX(IE$2:IG3,IE4)+1,""))</f>
        <v/>
      </c>
      <c r="IG4" t="str">
        <f>IF(CQ4="","",IF(COUNTIF(CO$3:CO4,CQ4)+COUNTIF(CP$3:CP4,CQ4)+COUNTIF(CQ$3:CQ4,CQ4)=1,MAX(IE$2:IG3,IE4,IF4)+1,""))</f>
        <v/>
      </c>
      <c r="IH4" t="str">
        <f t="shared" si="116"/>
        <v/>
      </c>
      <c r="II4" t="str">
        <f>IF(IH4="","",IF(COUNTIF(IH$3:IH4,IH4)=1,MAX(II$2:II3)+1,""))</f>
        <v/>
      </c>
      <c r="IJ4" t="str">
        <f>IF(GL4="","",COUNTIF(GL$3:GL4,"?*"))</f>
        <v/>
      </c>
      <c r="IK4" t="str">
        <f>IF(OR(GL4="",GN4=""),"",IF(COUNTIFS(GL$3:GL4,"?*",GN$3:GN4,GN4)=1,MAX(IK$2:IK3)+1,""))</f>
        <v/>
      </c>
      <c r="IL4">
        <f t="shared" si="117"/>
        <v>0</v>
      </c>
      <c r="IM4">
        <f>IF(B4="","",COUNTIF(B$3:B4,"?*"))</f>
        <v>2</v>
      </c>
      <c r="IN4">
        <f>IF(GQ4&lt;&gt;1,0,_xlfn.LET(_xlpm.k,MAX(IFERROR(--VLOOKUP(B4,УГО_спр,5,FALSE),0),IFERROR(--VLOOKUP(AX4,УГО_спр,5,FALSE),0),IFERROR(--VLOOKUP(LEFT(AX4,2),УГО_спр,5,FALSE),0)),IF(_xlpm.k&gt;0,_xlpm.k,IF(IFERROR(--LEFT(SUBSTITUTE(IH4,"x","х"),FIND("х",SUBSTITUTE(IH4,"x","х"))-1),3)&gt;3,Каталог!$S$9,1))))</f>
        <v>0</v>
      </c>
      <c r="IO4">
        <f t="shared" si="118"/>
        <v>0</v>
      </c>
      <c r="IP4" t="str">
        <f t="shared" si="119"/>
        <v>авто</v>
      </c>
      <c r="IQ4" t="str">
        <f t="shared" si="120"/>
        <v/>
      </c>
      <c r="IR4">
        <f t="shared" si="121"/>
        <v>0</v>
      </c>
      <c r="IS4">
        <f t="shared" si="122"/>
        <v>1</v>
      </c>
    </row>
    <row r="5" spans="1:253" x14ac:dyDescent="0.3">
      <c r="A5" t="s">
        <v>785</v>
      </c>
      <c r="B5" t="s">
        <v>781</v>
      </c>
      <c r="C5" t="s">
        <v>780</v>
      </c>
      <c r="D5">
        <v>1</v>
      </c>
      <c r="E5">
        <v>1.6</v>
      </c>
      <c r="G5">
        <v>10</v>
      </c>
      <c r="H5" t="str">
        <f>Линии[[#This Row],[_авто утечка]]</f>
        <v/>
      </c>
      <c r="I5" t="str">
        <f>Линии[[#This Row],[_авто управление]]</f>
        <v/>
      </c>
      <c r="J5" t="str">
        <f>Линии[[#This Row],[_авто аппараты]]</f>
        <v/>
      </c>
      <c r="K5">
        <v>2.5</v>
      </c>
      <c r="L5">
        <v>15</v>
      </c>
      <c r="M5" t="str">
        <f>Линии[[#This Row],[_авто фаза]]</f>
        <v>L2</v>
      </c>
      <c r="N5" t="str">
        <f>Линии[[#This Row],[_авто клемма]]</f>
        <v>XT1</v>
      </c>
      <c r="O5" t="str">
        <f t="shared" si="0"/>
        <v/>
      </c>
      <c r="P5" s="6" cm="1">
        <f t="array" ref="P5">IF(B5="","",IF(BC5&lt;&gt;"",IFERROR(_xlfn.XLOOKUP(BC5,Щиты[Щит],Щиты[Iр, А]),""),IF(BK5=1,IFERROR(_xlfn.XLOOKUP(A5,Щиты[Щит],Щиты[Iр, А]),""),IFERROR(_xlfn.IFS(BR5=1,BN5/((Uн_лин/SQRT(3))*BY5),BR5=3,BN5/(SQRT(3)*Uн_лин*BY5)),""))))</f>
        <v>3.646422752776584</v>
      </c>
      <c r="Q5" s="7">
        <f>IF(B5="","",IFERROR(IF(VLOOKUP(AX5,Потребители_обозначение,4,FALSE)=1,VLOOKUP(AX5,Потребители_обозначение,3,FALSE)*(D5*2-1)+DS5+VLOOKUP(AZ5,Этаж_обозначение,3,FALSE)+VLOOKUP(AZ5,Этаж_обозначение,4,FALSE),VLOOKUP(AX5,Потребители_обозначение,3,FALSE)*(D5*2-1)+DS5),DS5))</f>
        <v>15</v>
      </c>
      <c r="R5" s="6">
        <f t="shared" si="1"/>
        <v>0.41000000000000003</v>
      </c>
      <c r="S5" t="str">
        <f t="shared" si="2"/>
        <v>ВВГнг(А)-FRLS (3х2,5)</v>
      </c>
      <c r="T5" t="str">
        <f>IF(BH5="","",IF(BI5="вводной узел","узел ","")&amp;"л."&amp;(INT((BH5-1)/Столбцов_на_лист)+1)&amp;" / "&amp;(MOD(BH5-1,Столбцов_на_лист)+1))</f>
        <v>л.2 / 6</v>
      </c>
      <c r="U5" t="s">
        <v>1105</v>
      </c>
      <c r="V5">
        <v>1</v>
      </c>
      <c r="W5">
        <v>230</v>
      </c>
      <c r="X5" t="s">
        <v>575</v>
      </c>
      <c r="AC5" t="s">
        <v>861</v>
      </c>
      <c r="AD5" t="s">
        <v>490</v>
      </c>
      <c r="AE5" t="s">
        <v>593</v>
      </c>
      <c r="AI5">
        <v>23</v>
      </c>
      <c r="AJ5" t="s">
        <v>13</v>
      </c>
      <c r="AK5">
        <v>3</v>
      </c>
      <c r="AN5">
        <v>15</v>
      </c>
      <c r="AW5" cm="1">
        <f t="array" ref="AW5">ROW()-ROW(Линии[#Headers])</f>
        <v>3</v>
      </c>
      <c r="AX5" s="6" t="str">
        <f t="shared" si="3"/>
        <v>ЩСПЗ-ЖД</v>
      </c>
      <c r="AY5" t="str">
        <f t="shared" si="4"/>
        <v>1</v>
      </c>
      <c r="AZ5" t="str">
        <f t="shared" si="5"/>
        <v>1</v>
      </c>
      <c r="BA5" t="str">
        <f t="shared" si="6"/>
        <v/>
      </c>
      <c r="BB5" t="str">
        <f t="shared" si="7"/>
        <v/>
      </c>
      <c r="BC5" t="str">
        <f>IF(U5&lt;&gt;"",U5,IF(AND(B5&lt;&gt;"",B5&lt;&gt;A5,ISNUMBER(_xlfn.XMATCH(B5,Щиты[Щит]))),B5,""))</f>
        <v>ЩСПЗ-ЖД</v>
      </c>
      <c r="BD5" t="str" cm="1">
        <f t="array" ref="BD5">IF(B5="","",IF(BC5&lt;&gt;"","Щит "&amp;BC5,_xlfn.LET(_xlpm.nm,IFERROR(_xlfn.XLOOKUP(AX5,Коды_код,Коды_имя)&amp;"",""),_xlpm.md,IFERROR(N(_xlfn.XLOOKUP(AX5,Коды_код,Коды_режим)),1),_xlpm.ex,IF(Имя_режим="по экспликации",IFERROR(_xlfn.XLOOKUP(AZ5&amp;"|"&amp;BB5,Экспликация[Этаж]&amp;"|"&amp;Экспликация[Помещение],Экспликация[Название])&amp;"",""),""),_xlpm.rm,IF(BB5="","",IF(_xlpm.ex&lt;&gt;"",". "&amp;_xlpm.ex&amp;IF(Имя_пом="нет"," ("&amp;BB5&amp;")"," (пом. "&amp;BB5&amp;")"),IF(Имя_пом="нет"," ",", пом. ")&amp;BB5)),IF(_xlpm.nm="","",IF(_xlpm.md=2,_xlpm.nm&amp;" шлейф "&amp;AZ5,_xlpm.nm&amp;_xlpm.rm)))))</f>
        <v>Щит ЩСПЗ-ЖД</v>
      </c>
      <c r="BE5" t="str">
        <f t="shared" si="8"/>
        <v>Щит системы противопожарной защиты Цокольный этаж этаж Пом. №001Т Ввод.1</v>
      </c>
      <c r="BF5">
        <f>IFERROR(_xlfn.XMATCH(A5,Щиты[Щит]),0)</f>
        <v>1</v>
      </c>
      <c r="BG5">
        <f>_xlfn.LET(_xlpm.k,IFERROR(_xlfn.XLOOKUP(A5,Щиты[Щит],Щиты[Листов под вводной узел]),""),IF(_xlpm.k="",1,N(_xlpm.k))*Столбцов_на_лист)</f>
        <v>17</v>
      </c>
      <c r="BH5">
        <f t="shared" si="9"/>
        <v>23</v>
      </c>
      <c r="BI5" t="str">
        <f t="shared" si="10"/>
        <v>линии</v>
      </c>
      <c r="BJ5" s="6">
        <f>IFERROR(N(_xlfn.XLOOKUP(AX5,Коды_код,Коды_квт)),0)</f>
        <v>0</v>
      </c>
      <c r="BK5">
        <f t="shared" si="11"/>
        <v>0</v>
      </c>
      <c r="BL5">
        <f>IF(B5="","",IF(BC5&lt;&gt;"",IFERROR(_xlfn.XLOOKUP(BC5,Щиты[Щит],Щиты[Руст, кВт]),0),IF(BK5=1,IFERROR(_xlfn.XLOOKUP(A5,Щиты[Щит],Щиты[Руст, кВт]),0),IF(BJ5&gt;0,ROUND(BJ5*MAX(1,N(D5)),3),""))))</f>
        <v>1.6</v>
      </c>
      <c r="BM5">
        <f t="shared" si="12"/>
        <v>1.6</v>
      </c>
      <c r="BN5" s="6">
        <f>IF(B5="","",IF(BC5&lt;&gt;"",IFERROR(_xlfn.XLOOKUP(BC5,Щиты[Щит],Щиты[Руст, кВт]),0),N(BM5)))</f>
        <v>1.6</v>
      </c>
      <c r="BO5" t="str">
        <f>IF(B5="","",IFERROR(IF(VLOOKUP(AX5,Потребители_обозначение,8,FALSE)=0,"",VLOOKUP(AX5,Потребители_обозначение,8,FALSE)),""))</f>
        <v/>
      </c>
      <c r="BP5">
        <f t="shared" si="13"/>
        <v>230</v>
      </c>
      <c r="BQ5">
        <f>IF(B5="","",IF(BC5&lt;&gt;"",3,IFERROR(IF(N(VLOOKUP(AX5,Потребители_обозначение,9,FALSE))=0,1,VLOOKUP(AX5,Потребители_обозначение,9,FALSE)),1)))</f>
        <v>3</v>
      </c>
      <c r="BR5">
        <f t="shared" si="14"/>
        <v>1</v>
      </c>
      <c r="BS5" t="str">
        <f>IF(B5="","",_xlfn.LET(_xlpm.bc,IFERROR(IF(VLOOKUP(AX5,Потребители_обозначение,6,FALSE)=0,"",VLOOKUP(AX5,Потребители_обозначение,6,FALSE)&amp;""),""),IF(AND(FK5="да",OR(_xlpm.bc="",_xlpm.bc="мс")),Марка_пож,IF(AND(_xlpm.bc="",BC5&lt;&gt;""),"мс",_xlpm.bc))))</f>
        <v>мфр</v>
      </c>
      <c r="BT5" t="str">
        <f t="shared" si="15"/>
        <v>мфр</v>
      </c>
      <c r="BU5">
        <f>IF(B5="","",_xlfn.LET(_xlpm.cc,IFERROR(N(VLOOKUP(AX5,Потребители_обозначение,7,FALSE)),0),IF(_xlpm.cc&gt;0,_xlpm.cc,IF(BT5="","",IF(N(BR5)=3,5,3)))))</f>
        <v>3</v>
      </c>
      <c r="BV5">
        <f t="shared" si="16"/>
        <v>3</v>
      </c>
      <c r="BW5">
        <f>IFERROR(N(VLOOKUP(AX5,Потребители_обозначение,10,FALSE)),0)</f>
        <v>0</v>
      </c>
      <c r="BX5">
        <f>IFERROR(VLOOKUP(AX5,Потребители_обозначение,5,FALSE),0)</f>
        <v>0</v>
      </c>
      <c r="BY5" s="6" cm="1">
        <f t="array" ref="BY5">IF(B5="","",IF(BC5&lt;&gt;"",IFERROR(_xlfn.XLOOKUP(BC5,Щиты[Щит],Щиты[cos φ]),0.95),IF(BK5=1,IFERROR(_xlfn.XLOOKUP(A5,Щиты[Щит],Щиты[cos φ]),0.95),IF(ISNUMBER(Z5),Z5,IFERROR(IF(BX5=2,_xlfn.IFS(BR5=3,VLOOKUP(BN5,Справочная_двигатели,8,FALSE),BR5=1,VLOOKUP(BN5,Справочная_двигатели,10,TRUE)),IF(AND(Методика="нормы 2026",EQ5="Сил"),0.8,0.95)),0.95)))))</f>
        <v>0.95</v>
      </c>
      <c r="BZ5">
        <f t="shared" si="17"/>
        <v>0</v>
      </c>
      <c r="CA5">
        <f t="shared" si="18"/>
        <v>1</v>
      </c>
      <c r="CB5">
        <f t="shared" si="19"/>
        <v>0</v>
      </c>
      <c r="CC5">
        <f t="shared" si="20"/>
        <v>0</v>
      </c>
      <c r="CD5">
        <f t="shared" si="21"/>
        <v>0</v>
      </c>
      <c r="CE5">
        <f t="shared" si="22"/>
        <v>0</v>
      </c>
      <c r="CF5">
        <f t="shared" si="23"/>
        <v>0</v>
      </c>
      <c r="CG5">
        <f>IF(AX5="",0,_xlfn.LET(_xlpm.v,IFERROR(VLOOKUP(B5,УГО_спр,3,FALSE),IFERROR(VLOOKUP(AX5,УГО_спр,3,FALSE),IFERROR(VLOOKUP(LEFT(AX5,2),УГО_спр,3,FALSE),""))),IF(_xlpm.v="да",30,IF(ISNUMBER(_xlpm.v),_xlpm.v,0))))</f>
        <v>0</v>
      </c>
      <c r="CH5" t="str">
        <f t="shared" si="24"/>
        <v/>
      </c>
      <c r="CI5" t="str">
        <f>_xlfn.LET(_xlpm.k,IFERROR(_xlfn.XLOOKUP(AX5,Коды_код,Коды_утечка)&amp;"",""),IF(_xlpm.k="","дифавтомат",_xlpm.k))</f>
        <v>дифавтомат</v>
      </c>
      <c r="CJ5">
        <f t="shared" si="25"/>
        <v>0</v>
      </c>
      <c r="CK5">
        <f t="shared" si="26"/>
        <v>0</v>
      </c>
      <c r="CL5">
        <f>IF(B5="",0,IFERROR(--VLOOKUP(B5,УГО_спр,4,FALSE),IFERROR(--VLOOKUP(AX5,УГО_спр,4,FALSE),IFERROR(--VLOOKUP(LEFT(AX5,2),УГО_спр,4,FALSE),0))))</f>
        <v>0</v>
      </c>
      <c r="CM5" t="str">
        <f>IF(B5="","",IFERROR(_xlfn.XLOOKUP(AX5,Коды_код,Коды_апп)&amp;"",""))</f>
        <v/>
      </c>
      <c r="CN5" t="str">
        <f t="shared" si="27"/>
        <v/>
      </c>
      <c r="CO5" t="str" cm="1">
        <f t="array" ref="CO5">IF(TRIM(CN5&amp;"")="","",IFERROR(TRIM(INDEX(_xlfn.TEXTSPLIT(CN5&amp;";;;",";"),1)),""))</f>
        <v/>
      </c>
      <c r="CP5" t="str" cm="1">
        <f t="array" ref="CP5">IF(TRIM(CN5&amp;"")="","",IFERROR(TRIM(INDEX(_xlfn.TEXTSPLIT(CN5&amp;";;;",";"),2)),""))</f>
        <v/>
      </c>
      <c r="CQ5" t="str" cm="1">
        <f t="array" ref="CQ5">IF(TRIM(CN5&amp;"")="","",IFERROR(TRIM(INDEX(_xlfn.TEXTSPLIT(CN5&amp;";;;",";"),3)),""))</f>
        <v/>
      </c>
      <c r="CR5">
        <f t="shared" si="28"/>
        <v>0</v>
      </c>
      <c r="CS5" t="str">
        <f>IF(B5="","",_xlfn.LET(_xlpm.t,LOWER(AV5&amp;""),IF(ISNUMBER(SEARCH("dim",_xlpm.t)),"DIM",IF(ISNUMBER(SEARCH("dali",_xlpm.t)),"DALI",IF(OR(ISNUMBER(SEARCH("relay",_xlpm.t)),ISNUMBER(SEARCH("реле",_xlpm.t))),"Relay",IF(ISNUMBER(SEARCH("кнопк",_xlpm.t)),"",IFERROR(_xlfn.XLOOKUP(AX5,Коды_код,Коды_упр)&amp;"","")))))))</f>
        <v/>
      </c>
      <c r="CT5" t="str">
        <f t="shared" si="29"/>
        <v/>
      </c>
      <c r="CU5">
        <f>IF(B5="","",_xlfn.LET(_xlpm.ig,N(P5)+IF(AF5="вручную",0,N(CB5)),_xlpm.n0,IFERROR(VLOOKUP(_xlpm.ig,Автомат_номиналы,2,TRUE),0),_xlpm.mn,MAX(CL5,IF(AF5="вручную",0,N(CE5))),MAX(_xlpm.n0,_xlpm.mn,IF(CR5=1,Мин_автомат_БП,0))))</f>
        <v>6</v>
      </c>
      <c r="CV5">
        <f t="shared" si="30"/>
        <v>1</v>
      </c>
      <c r="CW5" t="str">
        <f t="shared" si="31"/>
        <v>1P</v>
      </c>
      <c r="CX5" t="str">
        <f>_xlfn.LET(_xlpm.cc,UPPER(TRIM(IFERROR(_xlfn.XLOOKUP(AX5,Коды_код,Коды_хар)&amp;"",""))),IF(OR(_xlpm.cc="B",_xlpm.cc="В"),"B",IF(_xlpm.cc="D","D","С")))</f>
        <v>С</v>
      </c>
      <c r="CY5" t="str">
        <f t="shared" si="32"/>
        <v>1P С6А</v>
      </c>
      <c r="CZ5">
        <f t="shared" si="33"/>
        <v>10</v>
      </c>
      <c r="DA5" t="str">
        <f t="shared" si="34"/>
        <v>1P С10А</v>
      </c>
      <c r="DB5" cm="1">
        <f t="array" ref="DB5">IF(DA5="","",_xlfn.LET(_xlpm.t,SUBSTITUTE(SUBSTITUTE(SUBSTITUTE(UPPER(DA5),"С","C"),"А","A"),"В","B"),_xlpm.tk,_xlfn.TEXTSPLIT(_xlpm.t,"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" t="str">
        <f t="shared" si="35"/>
        <v>ok</v>
      </c>
      <c r="DD5">
        <f t="shared" si="36"/>
        <v>10</v>
      </c>
      <c r="DE5" t="str">
        <f t="shared" si="37"/>
        <v>1P С10А</v>
      </c>
      <c r="DF5">
        <f t="shared" si="38"/>
        <v>0</v>
      </c>
      <c r="DG5">
        <f t="shared" si="39"/>
        <v>0</v>
      </c>
      <c r="DH5">
        <f t="shared" si="40"/>
        <v>0</v>
      </c>
      <c r="DI5">
        <f t="shared" si="41"/>
        <v>3.646422752776584</v>
      </c>
      <c r="DJ5">
        <f t="shared" si="42"/>
        <v>1</v>
      </c>
      <c r="DK5">
        <f>IF(ISNUMBER(AL5),AL5,К_прокл)</f>
        <v>1</v>
      </c>
      <c r="DL5">
        <f t="shared" si="43"/>
        <v>2</v>
      </c>
      <c r="DM5">
        <f>IFERROR(N(VLOOKUP(BT5,Кабель_обозначение,3,FALSE)),1)</f>
        <v>1</v>
      </c>
      <c r="DN5">
        <f>IFERROR(N(_xlfn.XLOOKUP(A5,Щиты[Щит],Щиты[ΔU до шин, %])),0)</f>
        <v>0</v>
      </c>
      <c r="DO5" t="str">
        <f>IFERROR(_xlfn.XLOOKUP(A5,Щиты[Щит],Щиты[Zпетли на шинах, Ом]),"")</f>
        <v/>
      </c>
      <c r="DP5">
        <f>IFERROR(N(_xlfn.XLOOKUP(A5,Щиты[Щит],Щиты[ΔU до шин (подбор), %])),0)</f>
        <v>0</v>
      </c>
      <c r="DQ5" t="str">
        <f>IFERROR(_xlfn.XLOOKUP(A5,Щиты[Щит],Щиты[Zпетли на шинах (подбор), Ом]),"")</f>
        <v/>
      </c>
      <c r="DR5" t="str">
        <f t="shared" si="44"/>
        <v/>
      </c>
      <c r="DS5">
        <f t="shared" si="45"/>
        <v>15</v>
      </c>
      <c r="DT5">
        <f t="shared" si="46"/>
        <v>2</v>
      </c>
      <c r="DU5">
        <f t="shared" si="47"/>
        <v>0.31</v>
      </c>
      <c r="DV5" s="6">
        <f>IF(B5="","",IF(IFERROR(VLOOKUP(AX5,УГО_спр,2,FALSE),"")="Светильник",3,4)+IF(Методика="нормы 2026",MIN(0.5,MAX(0,N(Q5)-100)*0.005),0))</f>
        <v>4</v>
      </c>
      <c r="DW5" cm="1">
        <f t="array" ref="DW5">IF(OR(B5="",BT5="",DM5&lt;&gt;1),"",_xlfn.LET(_xlpm.sz,Iдоп_S,_xlpm.t_,CHOOSE(DL5,Iдоп_1ж,Iдоп_2ж,Iдоп_3ж)*DJ5*DK5,_xlpm.inn,N(DD5),_xlpm.smin,MAX(1.5,BW5),_xlpm.L_,N(Q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5)*(_xlpm.rho*_xlpm.L_/_xlpm.sz*N(BY5)+_xlpm.xx*_xlpm.L_*N(DU5)/1000)*N(P5)/((Uн_лин/SQRT(3))*1000)*100,999),_xlpm.kz,IF(OR(DG5=1,NOT(ISNUMBER(DQ5)),_xlpm.L_=0,_xlpm.inn=0),1,IFERROR(--(c_min*(Uн_лин*1000/SQRT(3))/(DQ5+2*ρкз_Cu*_xlpm.L_/_xlpm.sz)&gt;=GY5*_xlpm.inn),0)),_xlpm.ok,IFERROR((_xlpm.sz&gt;=_xlpm.smin)*(_xlpm.t_&gt;=_xlpm.inn)*IF(_xlpm.L_&gt;0,(_xlpm.du_+DP5&lt;=DV5+0.00001),1)*_xlpm.kz,0),_xlpm.r_,_xlfn._xlws.FILTER(_xlpm.sz,_xlpm.ok,"не подобрано"),INDEX(_xlpm.r_,1)))</f>
        <v>1.5</v>
      </c>
      <c r="DX5">
        <f t="shared" si="48"/>
        <v>2.5</v>
      </c>
      <c r="DY5" cm="1">
        <f t="array" ref="DY5">IF(OR(B5="",BT5="",DM5&lt;&gt;1),"",_xlfn.LET(_xlpm.sz,Iдоп_S,_xlpm.t_,CHOOSE(DL5,Iдоп_1ж,Iдоп_2ж,Iдоп_3ж)*DJ5*DK5,_xlpm.ok,IFERROR((_xlpm.sz&gt;=MAX(1.5,BW5))*(_xlpm.t_&gt;=N(DD5)),0),_xlpm.r_,_xlfn._xlws.FILTER(_xlpm.sz,_xlpm.ok,""),INDEX(_xlpm.r_,1)))</f>
        <v>1.5</v>
      </c>
      <c r="DZ5" s="6" cm="1">
        <f t="array" ref="DZ5">IFERROR(ROUNDUP(N(DT5)*(_xlfn.XLOOKUP(DY5,INDEX(Кабель_сопротивление,0,1),INDEX(Кабель_сопротивление,0,3))*N(Q5)/DY5*N(BY5)+_xlfn.XLOOKUP(DY5,INDEX(Кабель_сопротивление,0,1),INDEX(Кабель_сопротивление,0,2))*N(Q5)*N(DU5)/1000)*N(P5)/((Uн_лин/SQRT(3))*1000)*100,2),"")</f>
        <v>0.68</v>
      </c>
      <c r="EA5">
        <f>IFERROR(2*ρкз_Cu*N(Q5)/DY5,"")</f>
        <v>0.52600000000000002</v>
      </c>
      <c r="EB5">
        <f>IFERROR(VLOOKUP(DX5,Кабель_сопротивление,3,FALSE),"")</f>
        <v>2.2499999999999999E-2</v>
      </c>
      <c r="EC5">
        <f>IFERROR(VLOOKUP(DX5,Кабель_сопротивление,2,FALSE),"")</f>
        <v>0.1</v>
      </c>
      <c r="ED5">
        <f t="shared" si="49"/>
        <v>15</v>
      </c>
      <c r="EE5" t="str">
        <f t="shared" si="50"/>
        <v/>
      </c>
      <c r="EF5">
        <f t="shared" si="51"/>
        <v>0.93869860924727577</v>
      </c>
      <c r="EG5" s="6">
        <f>IFERROR(ROUNDUP(EF5/((Uн_лин/SQRT(3))*1000)*100,2),"")</f>
        <v>0.41000000000000003</v>
      </c>
      <c r="EH5" t="str">
        <f>IFERROR(VLOOKUP(BT5,Кабель_обозначение,2,FALSE),"")</f>
        <v>ВВГнг(А)-FRLS</v>
      </c>
      <c r="EI5" t="str">
        <f t="shared" si="52"/>
        <v>ВВГнг(А)-FRLS (3х2,5)</v>
      </c>
      <c r="EJ5" t="str">
        <f t="shared" si="53"/>
        <v>ВВГнг(А)-FRLS (3х2,5)
L=15-0,41%</v>
      </c>
      <c r="EK5">
        <f>IFERROR(2*ρкз_Cu*Q5/DX5,"")</f>
        <v>0.31559999999999999</v>
      </c>
      <c r="EL5">
        <f t="shared" si="54"/>
        <v>0.10500000000000001</v>
      </c>
      <c r="EM5" s="6" t="str">
        <f>IFERROR(IF(OR(B5="",NOT(ISNUMBER(DX5)),N(Q5)=0),"",_xlfn.XLOOKUP(A5,Щиты[Щит],Щиты[Zпетли на шинах, Ом])+EK5),"")</f>
        <v/>
      </c>
      <c r="EN5" s="6" t="str">
        <f>IF(ISNUMBER(EM5),c_min*(Uн_лин*1000/SQRT(3))/EM5,"")</f>
        <v/>
      </c>
      <c r="EO5" s="6" t="str">
        <f>IFERROR(IF(OR(B5="",NOT(ISNUMBER(DX5))),"",1.05*(Uн_лин*1000/SQRT(3))/(_xlfn.XLOOKUP(A5,Щиты[Щит],Щиты[Zmax на шинах, Ом])+EL5)/1000),"")</f>
        <v/>
      </c>
      <c r="EP5" s="6" t="str">
        <f>IF(B5="","",IF(ISNUMBER(Y5),"Сил",IF(IFERROR(_xlfn.XLOOKUP(AX5,Коды_код,Коды_группа)&amp;"","")="","Быт",_xlfn.XLOOKUP(AX5,Коды_код,Коды_группа)&amp;"")))</f>
        <v>Быт</v>
      </c>
      <c r="EQ5" s="6" t="str">
        <f t="shared" si="55"/>
        <v>Щит</v>
      </c>
      <c r="ER5" s="6" t="str">
        <f>IF(EQ5="Щит","щит",IF(EQ5="","",IF(EQ5="Быт",IFERROR(_xlfn.XLOOKUP(A5,Щиты[Щит],Щиты[Кс быт]),1),IF(EQ5="Сил",IF(ISNUMBER(Y5),Y5,IF(Методика="нормы 2026",IFERROR(_xlfn.XLOOKUP(A5,Щиты[Щит],Щиты[Кс силовых (табл. 7.5)]),1),1)),IF(OR(EQ5="Пост",EQ5="Отоп"),1,IF(EQ5="ВНГ",0.7,0))))))</f>
        <v>щит</v>
      </c>
      <c r="ES5">
        <f t="shared" si="56"/>
        <v>1</v>
      </c>
      <c r="ET5">
        <f t="shared" si="57"/>
        <v>0</v>
      </c>
      <c r="EU5">
        <f t="shared" si="58"/>
        <v>0</v>
      </c>
      <c r="EV5">
        <f t="shared" si="59"/>
        <v>0</v>
      </c>
      <c r="EW5">
        <f t="shared" si="60"/>
        <v>0</v>
      </c>
      <c r="EX5">
        <f t="shared" si="61"/>
        <v>0</v>
      </c>
      <c r="EY5">
        <f t="shared" si="62"/>
        <v>0</v>
      </c>
      <c r="EZ5">
        <f t="shared" si="63"/>
        <v>0</v>
      </c>
      <c r="FA5">
        <f t="shared" si="64"/>
        <v>0</v>
      </c>
      <c r="FB5">
        <f t="shared" si="65"/>
        <v>1.6</v>
      </c>
      <c r="FC5" t="str">
        <f t="shared" si="66"/>
        <v/>
      </c>
      <c r="FD5" t="str">
        <f>IF(B5="","",IF(CA5=0,IF(AW5=1,"",FF4),IF(OR(N(CV5)&gt;=3,N(BR5)&gt;=3),"L1,L2,L3",IFERROR(_xlfn.TEXTBEFORE(_xlfn.TEXTAFTER(_xlfn.XLOOKUP(A5,Щиты[Щит],Щиты[_фазы авто]),";"&amp;AW5&amp;":"),";"),"L1"))))</f>
        <v>L2</v>
      </c>
      <c r="FE5" t="str">
        <f t="shared" si="67"/>
        <v>L2</v>
      </c>
      <c r="FF5" t="str">
        <f t="shared" si="68"/>
        <v>L2</v>
      </c>
      <c r="FG5" cm="1">
        <f t="array" ref="FG5">IFERROR(IF(BX5=2,_xlfn.IFS(BR5=3,VLOOKUP(BN5,Справочная_двигатели,3,FALSE),BR5=1,VLOOKUP(BN5,Справочная_двигатели,5,TRUE)),0),0)</f>
        <v>0</v>
      </c>
      <c r="FH5">
        <f>IFERROR(IF(BX5=3,VLOOKUP(BN5,Справочная_ЛЭД,2,TRUE),0),0)</f>
        <v>0</v>
      </c>
      <c r="FI5" s="6">
        <f t="shared" si="69"/>
        <v>0</v>
      </c>
      <c r="FJ5" t="str" cm="1">
        <f t="array" ref="FJ5">IF(B5="","",IFERROR(INDEX({"I особая","I","II","III"},MATCH(TRIM(AC5&amp;""),{"I особая","I","II","III"},0)),"III"))</f>
        <v>I</v>
      </c>
      <c r="FK5" t="str">
        <f>IF(B5="","",IF(TRIM(AD5&amp;"")&lt;&gt;"",IF(LOWER(TRIM(AD5&amp;""))="да","да","нет"),IF(IFERROR(_xlfn.XLOOKUP(AX5,Коды_код,Коды_пожарная),"")="да","да","нет")))</f>
        <v>да</v>
      </c>
      <c r="FL5" t="str">
        <f t="shared" si="70"/>
        <v/>
      </c>
      <c r="FM5" t="str">
        <f t="shared" si="71"/>
        <v>основная</v>
      </c>
      <c r="FN5">
        <f t="shared" si="72"/>
        <v>1</v>
      </c>
      <c r="FO5" t="str" cm="1">
        <f t="array" ref="FO5">IF(B5="","",_xlfn.LET(_xlpm.t,IFERROR(_xlfn.XLOOKUP(1,(Шины[Шина]=FM5)*(((Шины[Щит]=A5)+(Шины[Щит]=""))&gt;0),Шины[Тип]),"")&amp;"",IF(_xlpm.t&lt;&gt;"",_xlpm.t,IF(ISNUMBER(SEARCH("ИБП",FM5)),"ИБП",IF(ISNUMBER(SEARCH("ДГУ",FM5)),"ДГУ","Ввод "&amp;FN5)))))</f>
        <v>Ввод 1</v>
      </c>
      <c r="FP5" t="str">
        <f t="shared" si="73"/>
        <v>Ввод 1</v>
      </c>
      <c r="FQ5" t="str">
        <f>IF(B5="","",IF(OR(FO5="ИБП",FO5="ДГУ"),"I особая",IF(FO5="Одиночная","III",_xlfn.XLOOKUP(A5,Щиты[Щит],Щиты[Категория шины «Ввод»],"III"))))</f>
        <v>I</v>
      </c>
      <c r="FR5">
        <f>IF(B5="",0,IFERROR(MATCH(FJ5,{"III","II","I","I особая"},0),1))</f>
        <v>3</v>
      </c>
      <c r="FS5">
        <f t="shared" si="74"/>
        <v>3</v>
      </c>
      <c r="FT5" t="str">
        <f>IF(B5="","",IF(FR5&gt;IFERROR(MATCH(FQ5,{"III","II","I","I особая"},0),1),"НЕ ОБЕСПЕЧЕНА","ОК"))</f>
        <v>ОК</v>
      </c>
      <c r="FU5" t="str">
        <f>IF(A5="","",_xlfn.XLOOKUP(A5,Щиты[Щит],Щиты[Путь],""))</f>
        <v>|ГРЩ-ЖД|</v>
      </c>
      <c r="FV5" t="str">
        <f>IF(B5="","",IF(AE5&lt;&gt;"",AE5,IF(IFERROR(_xlfn.XLOOKUP(AX5,Коды_код,Коды_вид)&amp;"","")="","Прочее",_xlfn.XLOOKUP(AX5,Коды_код,Коды_вид)&amp;"")))</f>
        <v>Системы противопожарной защиты</v>
      </c>
      <c r="FW5">
        <f>IF(BH5="","",INT((BH5-1)/Столбцов_на_лист)+1)</f>
        <v>2</v>
      </c>
      <c r="FX5" t="str">
        <f t="shared" si="75"/>
        <v>ВВГнг(А)-FRLS (3х2,5) L=15-0,41%</v>
      </c>
      <c r="FY5">
        <f t="shared" si="76"/>
        <v>1.6</v>
      </c>
      <c r="FZ5">
        <f t="shared" si="77"/>
        <v>3.65</v>
      </c>
      <c r="GA5">
        <f t="shared" si="78"/>
        <v>1</v>
      </c>
      <c r="GB5">
        <f t="shared" si="79"/>
        <v>0</v>
      </c>
      <c r="GC5">
        <f t="shared" si="80"/>
        <v>1</v>
      </c>
      <c r="GD5">
        <f>IF(BH5="","",IF(AND(CA5=1,GC5=1),COUNTIFS(A$3:A5,A5,CA$3:CA5,1,GC$3:GC5,1),IF(OR(OR(AW5=1,A5&lt;&gt;A4),AF5="вручную",GC5=0),"",IF(AW5=1,"",GE4))))</f>
        <v>3</v>
      </c>
      <c r="GE5">
        <f t="shared" si="81"/>
        <v>3</v>
      </c>
      <c r="GF5">
        <f>IF(B5="","",IFERROR(LOOKUP(INDEX(CHOOSE(DL5,Iдоп_1ж,Iдоп_2ж,Iдоп_3ж),MATCH(DX5,Iдоп_S,0))*DJ5*DK5,{6,10,16,20,25,32,40,50,63,80,100,125,160,200,250,315,400,500,630}),""))</f>
        <v>25</v>
      </c>
      <c r="GG5" t="str">
        <f t="shared" si="82"/>
        <v>QF3</v>
      </c>
      <c r="GH5" t="str">
        <f t="shared" si="83"/>
        <v>QF3</v>
      </c>
      <c r="GI5" t="str">
        <f t="shared" si="84"/>
        <v/>
      </c>
      <c r="GJ5">
        <f t="shared" si="85"/>
        <v>0</v>
      </c>
      <c r="GK5" t="str">
        <f>IF(OR(AG5="",AG5="-"),"",IFERROR(VLOOKUP(AG5,Модули_спр,2,FALSE),"R"))</f>
        <v/>
      </c>
      <c r="GL5" t="str">
        <f>IF(GK5="","",GK5&amp;"."&amp;COUNTIFS(A$3:A5,A5,GK$3:GK5,GK5))</f>
        <v/>
      </c>
      <c r="GM5" t="str">
        <f t="shared" si="86"/>
        <v/>
      </c>
      <c r="GN5" t="str">
        <f t="shared" si="87"/>
        <v/>
      </c>
      <c r="GO5" t="str">
        <f t="shared" si="88"/>
        <v/>
      </c>
      <c r="GP5" t="str">
        <f t="shared" si="89"/>
        <v/>
      </c>
      <c r="GQ5">
        <f t="shared" si="90"/>
        <v>1</v>
      </c>
      <c r="GR5" t="str">
        <f>IF(GQ5=1,"XT"&amp;COUNTIFS(A$3:A5,A5,GQ$3:GQ5,1),"")</f>
        <v>XT1</v>
      </c>
      <c r="GS5" t="str">
        <f t="shared" si="91"/>
        <v>XT1</v>
      </c>
      <c r="GT5" t="str">
        <f t="shared" si="92"/>
        <v>QF3</v>
      </c>
      <c r="GU5" t="str">
        <f t="shared" si="93"/>
        <v/>
      </c>
      <c r="GV5" t="str">
        <f t="shared" si="94"/>
        <v>ok</v>
      </c>
      <c r="GW5" t="str">
        <f>IF(OR(GO5="",GM5=""),"",IF(GO5&gt;IFERROR(VLOOKUP(GN5,Модули_спр,3,FALSE),99),"ЛИШНИЙ КАНАЛ",IF(AND(AH5&lt;&gt;"=",COUNTIFS(Линии[_модуль гр.],GM5,Линии[Канал (итог)],GO5,Линии[Канал],"&lt;&gt;=",Линии[Щит],A5)&gt;1),"ДУБЛЬ КАНАЛА","")))</f>
        <v/>
      </c>
      <c r="GX5" s="6" t="str">
        <f t="shared" si="95"/>
        <v/>
      </c>
      <c r="GY5">
        <f t="shared" si="96"/>
        <v>10</v>
      </c>
      <c r="GZ5" t="str">
        <f t="shared" si="97"/>
        <v/>
      </c>
      <c r="HA5" t="str">
        <f>IF(AND(B5="",GT5=""),"",_xlfn.TEXTJOIN("; ",TRUE,IF(AND(B5&lt;&gt;"",FE5=""),"нет фазы",""),IF(AND(B5&lt;&gt;"",N(FY5)=0,EQ5&lt;&gt;"Нет"),"нет мощности",""),IF(AND(GS5&lt;&gt;"",COUNTIFS(Линии[Щит],A5,Линии[Клемма (итог)],GS5)&gt;1),"дубль клеммы "&amp;GS5,""),IF(AND(GV5&lt;&gt;"",GV5&lt;&gt;"ok"),GV5,""),IF(GW5&lt;&gt;"",GW5,""),IF(AND(N(BV5)&gt;=4,N(BR5)=1),BV5&amp;" жил на 1 фазе",""),IF(AND(AX5="R",CA5=1,OR(N(CK5)=0,N(CK5)&gt;30)),"розетка без дифзащиты до 30 мА",""),IFERROR(IF(AND(ISNUMBER(R5),R5&gt;DV5),"потери "&amp;FIXED(R5,1)&amp;" % &gt; "&amp;DV5&amp;" %",""),""),IFERROR(IF(LEFT(GZ5,4)="мало","Iкз мало — отключение &gt; 0,4 с",""),""),IF(AND(B5&lt;&gt;"",BH5=""),"не на схеме",""),IF(AND(CA5=0,B5&lt;&gt;"",FE5&lt;&gt;"",IF(AW5=1,"",FF4)&lt;&gt;"",FE5&lt;&gt;IF(AW5=1,"",FF4)),"фаза не как у автомата группы ("&amp;IF(AW5=1,"",FF4)&amp;")","")))</f>
        <v/>
      </c>
      <c r="HB5" s="6">
        <f>IF(OR(CA5=0,DA5=""),"",_xlfn.LET(_xlpm.t,IFERROR(_xlfn.XLOOKUP(DA5,Каталог!$U$4:$U$500,Каталог!$G$4:$G$500),""),_xlpm.k,SEARCH("кА",_xlpm.t),IFERROR(--TRIM(RIGHT(SUBSTITUTE(MID(_xlpm.t,MAX(1,_xlpm.k-4),_xlpm.k-MAX(1,_xlpm.k-4))," ",REPT(" ",9)),5)),"")))</f>
        <v>6</v>
      </c>
      <c r="HC5" t="str">
        <f>IF(OR(HB5="",CA5=0),"",IF(_xlfn.XLOOKUP(A5,Щиты[Щит],Щиты[Iкз max на шинах, кА],"")="","",IF(HB5&lt;_xlfn.XLOOKUP(A5,Щиты[Щит],Щиты[Iкз max на шинах, кА]),"Icu "&amp;HB5&amp;" кА &lt; Iкз max","ok")))</f>
        <v/>
      </c>
      <c r="HD5" t="str">
        <f t="shared" si="98"/>
        <v/>
      </c>
      <c r="HE5" t="str">
        <f t="shared" si="99"/>
        <v>QF3|XT1</v>
      </c>
      <c r="HF5" t="str">
        <f t="shared" si="100"/>
        <v>QF3|XT1|кабель ВВГнг(А)-FRLS (3х2,5) → Щит системы противопожарной защиты Цокольный этаж этаж Пом. №001Т Ввод.1</v>
      </c>
      <c r="HG5" t="str" cm="1">
        <f t="array" ref="HG5">IF(HF5="","",_xlfn.LET(_xlpm.nd,_xlfn.TEXTSPLIT(HF5,"|"),IF(COLUMNS(_xlpm.nd)&gt;1,A5&amp;"¦"&amp;INDEX(_xlpm.nd,1)&amp;"¦"&amp;INDEX(_xlpm.nd,2),"")))</f>
        <v>ГРЩ-ЖД¦QF3¦XT1</v>
      </c>
      <c r="HH5" t="str">
        <f t="shared" si="101"/>
        <v>ЩСПЗ-ЖД.1¦Щит системы противопожарной защиты Цокольный этаж этаж Пом. №001Т Ввод.1</v>
      </c>
      <c r="HI5" t="str" cm="1">
        <f t="array" ref="HI5">IF(HF5="","",_xlfn.LET(_xlpm.nd,_xlfn.TEXTSPLIT(HF5,"|"),IF(COLUMNS(_xlpm.nd)&gt;2,A5&amp;"¦"&amp;INDEX(_xlpm.nd,2)&amp;"¦"&amp;INDEX(_xlpm.nd,3),"")))</f>
        <v>ГРЩ-ЖД¦XT1¦кабель ВВГнг(А)-FRLS (3х2,5) → Щит системы противопожарной защиты Цокольный этаж этаж Пом. №001Т Ввод.1</v>
      </c>
      <c r="HJ5" t="str">
        <f t="shared" si="102"/>
        <v>ЩСПЗ-ЖД.1¦Щит системы противопожарной защиты Цокольный этаж этаж Пом. №001Т Ввод.1</v>
      </c>
      <c r="HK5" t="str" cm="1">
        <f t="array" ref="HK5">IF(HF5="","",_xlfn.LET(_xlpm.nd,_xlfn.TEXTSPLIT(HF5,"|"),IF(COLUMNS(_xlpm.nd)&gt;3,A5&amp;"¦"&amp;INDEX(_xlpm.nd,3)&amp;"¦"&amp;INDEX(_xlpm.nd,4),"")))</f>
        <v/>
      </c>
      <c r="HL5" t="str">
        <f t="shared" si="103"/>
        <v/>
      </c>
      <c r="HM5" t="str" cm="1">
        <f t="array" ref="HM5">IF(HF5="","",_xlfn.LET(_xlpm.nd,_xlfn.TEXTSPLIT(HF5,"|"),IF(COLUMNS(_xlpm.nd)&gt;4,A5&amp;"¦"&amp;INDEX(_xlpm.nd,4)&amp;"¦"&amp;INDEX(_xlpm.nd,5),"")))</f>
        <v/>
      </c>
      <c r="HN5" t="str">
        <f t="shared" si="104"/>
        <v/>
      </c>
      <c r="HO5" t="str" cm="1">
        <f t="array" ref="HO5">IF(HF5="","",_xlfn.LET(_xlpm.nd,_xlfn.TEXTSPLIT(HF5,"|"),IF(COLUMNS(_xlpm.nd)&gt;5,A5&amp;"¦"&amp;INDEX(_xlpm.nd,5)&amp;"¦"&amp;INDEX(_xlpm.nd,6),"")))</f>
        <v/>
      </c>
      <c r="HP5" t="str">
        <f t="shared" si="105"/>
        <v/>
      </c>
      <c r="HQ5" t="str" cm="1">
        <f t="array" ref="HQ5">IF(HF5="","",_xlfn.LET(_xlpm.nd,_xlfn.TEXTSPLIT(HF5,"|"),IF(COLUMNS(_xlpm.nd)&gt;6,A5&amp;"¦"&amp;INDEX(_xlpm.nd,6)&amp;"¦"&amp;INDEX(_xlpm.nd,7),"")))</f>
        <v/>
      </c>
      <c r="HR5" t="str">
        <f t="shared" si="106"/>
        <v/>
      </c>
      <c r="HS5" t="str">
        <f t="shared" si="107"/>
        <v/>
      </c>
      <c r="HT5" t="str">
        <f t="shared" si="108"/>
        <v>QF3 → XT1</v>
      </c>
      <c r="HU5">
        <f t="shared" si="109"/>
        <v>0</v>
      </c>
      <c r="HV5">
        <f t="shared" si="110"/>
        <v>0</v>
      </c>
      <c r="HW5" t="str">
        <f t="shared" si="111"/>
        <v/>
      </c>
      <c r="HX5" t="str">
        <f t="shared" si="112"/>
        <v/>
      </c>
      <c r="HY5" t="str">
        <f t="shared" si="113"/>
        <v/>
      </c>
      <c r="HZ5" t="str">
        <f t="shared" si="114"/>
        <v/>
      </c>
      <c r="IA5">
        <f>IF(B5="","",IFERROR(VLOOKUP(B5,УГО_спр,2,FALSE),IFERROR(VLOOKUP(AX5,УГО_спр,2,FALSE),IFERROR(VLOOKUP(LEFT(AX5,2),УГО_спр,2,FALSE),""))))</f>
        <v>0</v>
      </c>
      <c r="IB5" t="str">
        <f>IF(B5="","",IF(OR(IA5="",IA5=0),"BOX",IFERROR(IF(VLOOKUP(IA5,УГО_блоки,3,FALSE)&amp;""&lt;&gt;"",VLOOKUP(IA5,УГО_блоки,3,FALSE),VLOOKUP(IA5,УГО_блоки,2,FALSE)),IA5)))</f>
        <v>BOX</v>
      </c>
      <c r="IC5">
        <f t="shared" si="115"/>
        <v>1</v>
      </c>
      <c r="ID5">
        <f>IF(DA5="","",IF(COUNTIF(DA$3:DA5,DA5)=1,MAX(ID$2:ID4)+1,""))</f>
        <v>2</v>
      </c>
      <c r="IE5" t="str">
        <f>IF(CO5="","",IF(COUNTIF(CO$3:CO5,CO5)+COUNTIF(CP$2:CP4,CO5)+COUNTIF(CQ$2:CQ4,CO5)=1,MAX(IE$2:IG4)+1,""))</f>
        <v/>
      </c>
      <c r="IF5" t="str">
        <f>IF(CP5="","",IF(COUNTIF(CO$3:CO5,CP5)+COUNTIF(CP$3:CP5,CP5)+COUNTIF(CQ$2:CQ4,CP5)=1,MAX(IE$2:IG4,IE5)+1,""))</f>
        <v/>
      </c>
      <c r="IG5" t="str">
        <f>IF(CQ5="","",IF(COUNTIF(CO$3:CO5,CQ5)+COUNTIF(CP$3:CP5,CQ5)+COUNTIF(CQ$3:CQ5,CQ5)=1,MAX(IE$2:IG4,IE5,IF5)+1,""))</f>
        <v/>
      </c>
      <c r="IH5" t="str">
        <f t="shared" si="116"/>
        <v>3х2,5</v>
      </c>
      <c r="II5">
        <f>IF(IH5="","",IF(COUNTIF(IH$3:IH5,IH5)=1,MAX(II$2:II4)+1,""))</f>
        <v>1</v>
      </c>
      <c r="IJ5" t="str">
        <f>IF(GL5="","",COUNTIF(GL$3:GL5,"?*"))</f>
        <v/>
      </c>
      <c r="IK5" t="str">
        <f>IF(OR(GL5="",GN5=""),"",IF(COUNTIFS(GL$3:GL5,"?*",GN$3:GN5,GN5)=1,MAX(IK$2:IK4)+1,""))</f>
        <v/>
      </c>
      <c r="IL5">
        <f t="shared" si="117"/>
        <v>0</v>
      </c>
      <c r="IM5">
        <f>IF(B5="","",COUNTIF(B$3:B5,"?*"))</f>
        <v>3</v>
      </c>
      <c r="IN5">
        <f>IF(GQ5&lt;&gt;1,0,_xlfn.LET(_xlpm.k,MAX(IFERROR(--VLOOKUP(B5,УГО_спр,5,FALSE),0),IFERROR(--VLOOKUP(AX5,УГО_спр,5,FALSE),0),IFERROR(--VLOOKUP(LEFT(AX5,2),УГО_спр,5,FALSE),0)),IF(_xlpm.k&gt;0,_xlpm.k,IF(IFERROR(--LEFT(SUBSTITUTE(IH5,"x","х"),FIND("х",SUBSTITUTE(IH5,"x","х"))-1),3)&gt;3,Каталог!$S$9,1))))</f>
        <v>1</v>
      </c>
      <c r="IO5">
        <f t="shared" si="118"/>
        <v>0</v>
      </c>
      <c r="IP5" t="str">
        <f t="shared" si="119"/>
        <v>авто</v>
      </c>
      <c r="IQ5" t="str">
        <f t="shared" si="120"/>
        <v/>
      </c>
      <c r="IR5">
        <f t="shared" si="121"/>
        <v>0</v>
      </c>
      <c r="IS5">
        <f t="shared" si="122"/>
        <v>1</v>
      </c>
    </row>
    <row r="6" spans="1:253" x14ac:dyDescent="0.3">
      <c r="A6" t="s">
        <v>785</v>
      </c>
      <c r="B6" t="s">
        <v>783</v>
      </c>
      <c r="C6" t="s">
        <v>782</v>
      </c>
      <c r="D6">
        <v>1</v>
      </c>
      <c r="E6">
        <v>0</v>
      </c>
      <c r="G6">
        <v>10</v>
      </c>
      <c r="H6" t="str">
        <f>Линии[[#This Row],[_авто утечка]]</f>
        <v/>
      </c>
      <c r="I6" t="str">
        <f>Линии[[#This Row],[_авто управление]]</f>
        <v/>
      </c>
      <c r="J6" t="str">
        <f>Линии[[#This Row],[_авто аппараты]]</f>
        <v/>
      </c>
      <c r="K6">
        <v>2.5</v>
      </c>
      <c r="L6">
        <v>15</v>
      </c>
      <c r="M6" t="str">
        <f>Линии[[#This Row],[_авто фаза]]</f>
        <v>L1</v>
      </c>
      <c r="N6" t="str">
        <f>Линии[[#This Row],[_авто клемма]]</f>
        <v>XT2</v>
      </c>
      <c r="O6" t="str">
        <f t="shared" si="0"/>
        <v>нет мощности</v>
      </c>
      <c r="P6" s="6" cm="1">
        <f t="array" ref="P6">IF(B6="","",IF(BC6&lt;&gt;"",IFERROR(_xlfn.XLOOKUP(BC6,Щиты[Щит],Щиты[Iр, А]),""),IF(BK6=1,IFERROR(_xlfn.XLOOKUP(A6,Щиты[Щит],Щиты[Iр, А]),""),IFERROR(_xlfn.IFS(BR6=1,BN6/((Uн_лин/SQRT(3))*BY6),BR6=3,BN6/(SQRT(3)*Uн_лин*BY6)),""))))</f>
        <v>0</v>
      </c>
      <c r="Q6" s="7">
        <f>IF(B6="","",IFERROR(IF(VLOOKUP(AX6,Потребители_обозначение,4,FALSE)=1,VLOOKUP(AX6,Потребители_обозначение,3,FALSE)*(D6*2-1)+DS6+VLOOKUP(AZ6,Этаж_обозначение,3,FALSE)+VLOOKUP(AZ6,Этаж_обозначение,4,FALSE),VLOOKUP(AX6,Потребители_обозначение,3,FALSE)*(D6*2-1)+DS6),DS6))</f>
        <v>15</v>
      </c>
      <c r="R6" s="6">
        <f t="shared" si="1"/>
        <v>0</v>
      </c>
      <c r="S6" t="str">
        <f t="shared" si="2"/>
        <v>ВВГнг(А)-FRLS (3х2,5)</v>
      </c>
      <c r="T6" t="str">
        <f>IF(BH6="","",IF(BI6="вводной узел","узел ","")&amp;"л."&amp;(INT((BH6-1)/Столбцов_на_лист)+1)&amp;" / "&amp;(MOD(BH6-1,Столбцов_на_лист)+1))</f>
        <v>л.2 / 7</v>
      </c>
      <c r="V6">
        <v>1</v>
      </c>
      <c r="W6">
        <v>230</v>
      </c>
      <c r="X6" t="s">
        <v>575</v>
      </c>
      <c r="AA6">
        <v>2</v>
      </c>
      <c r="AC6" t="s">
        <v>861</v>
      </c>
      <c r="AD6" t="s">
        <v>490</v>
      </c>
      <c r="AE6" t="s">
        <v>593</v>
      </c>
      <c r="AI6">
        <v>24</v>
      </c>
      <c r="AJ6" t="s">
        <v>13</v>
      </c>
      <c r="AK6">
        <v>3</v>
      </c>
      <c r="AN6">
        <v>15</v>
      </c>
      <c r="AW6" cm="1">
        <f t="array" ref="AW6">ROW()-ROW(Линии[#Headers])</f>
        <v>4</v>
      </c>
      <c r="AX6" s="6" t="str">
        <f t="shared" si="3"/>
        <v>ЩСПЗ-ЖД</v>
      </c>
      <c r="AY6" t="str">
        <f t="shared" si="4"/>
        <v>2</v>
      </c>
      <c r="AZ6" t="str">
        <f t="shared" si="5"/>
        <v>2</v>
      </c>
      <c r="BA6" t="str">
        <f t="shared" si="6"/>
        <v/>
      </c>
      <c r="BB6" t="str">
        <f t="shared" si="7"/>
        <v/>
      </c>
      <c r="BC6" t="str">
        <f>IF(U6&lt;&gt;"",U6,IF(AND(B6&lt;&gt;"",B6&lt;&gt;A6,ISNUMBER(_xlfn.XMATCH(B6,Щиты[Щит]))),B6,""))</f>
        <v/>
      </c>
      <c r="BD6" t="str" cm="1">
        <f t="array" ref="BD6">IF(B6="","",IF(BC6&lt;&gt;"","Щит "&amp;BC6,_xlfn.LET(_xlpm.nm,IFERROR(_xlfn.XLOOKUP(AX6,Коды_код,Коды_имя)&amp;"",""),_xlpm.md,IFERROR(N(_xlfn.XLOOKUP(AX6,Коды_код,Коды_режим)),1),_xlpm.ex,IF(Имя_режим="по экспликации",IFERROR(_xlfn.XLOOKUP(AZ6&amp;"|"&amp;BB6,Экспликация[Этаж]&amp;"|"&amp;Экспликация[Помещение],Экспликация[Название])&amp;"",""),""),_xlpm.rm,IF(BB6="","",IF(_xlpm.ex&lt;&gt;"",". "&amp;_xlpm.ex&amp;IF(Имя_пом="нет"," ("&amp;BB6&amp;")"," (пом. "&amp;BB6&amp;")"),IF(Имя_пом="нет"," ",", пом. ")&amp;BB6)),IF(_xlpm.nm="","",IF(_xlpm.md=2,_xlpm.nm&amp;" шлейф "&amp;AZ6,_xlpm.nm&amp;_xlpm.rm)))))</f>
        <v/>
      </c>
      <c r="BE6" t="str">
        <f t="shared" si="8"/>
        <v>Щит системы противопожарной защиты Цокольный этаж этаж Пом. №001Т Ввод.2</v>
      </c>
      <c r="BF6">
        <f>IFERROR(_xlfn.XMATCH(A6,Щиты[Щит]),0)</f>
        <v>1</v>
      </c>
      <c r="BG6">
        <f>_xlfn.LET(_xlpm.k,IFERROR(_xlfn.XLOOKUP(A6,Щиты[Щит],Щиты[Листов под вводной узел]),""),IF(_xlpm.k="",1,N(_xlpm.k))*Столбцов_на_лист)</f>
        <v>17</v>
      </c>
      <c r="BH6">
        <f t="shared" si="9"/>
        <v>24</v>
      </c>
      <c r="BI6" t="str">
        <f t="shared" si="10"/>
        <v>линии</v>
      </c>
      <c r="BJ6" s="6">
        <f>IFERROR(N(_xlfn.XLOOKUP(AX6,Коды_код,Коды_квт)),0)</f>
        <v>0</v>
      </c>
      <c r="BK6">
        <f t="shared" si="11"/>
        <v>0</v>
      </c>
      <c r="BL6" t="str">
        <f>IF(B6="","",IF(BC6&lt;&gt;"",IFERROR(_xlfn.XLOOKUP(BC6,Щиты[Щит],Щиты[Руст, кВт]),0),IF(BK6=1,IFERROR(_xlfn.XLOOKUP(A6,Щиты[Щит],Щиты[Руст, кВт]),0),IF(BJ6&gt;0,ROUND(BJ6*MAX(1,N(D6)),3),""))))</f>
        <v/>
      </c>
      <c r="BM6">
        <f t="shared" si="12"/>
        <v>0</v>
      </c>
      <c r="BN6" s="6">
        <f>IF(B6="","",IF(BC6&lt;&gt;"",IFERROR(_xlfn.XLOOKUP(BC6,Щиты[Щит],Щиты[Руст, кВт]),0),N(BM6)))</f>
        <v>0</v>
      </c>
      <c r="BO6" t="str">
        <f>IF(B6="","",IFERROR(IF(VLOOKUP(AX6,Потребители_обозначение,8,FALSE)=0,"",VLOOKUP(AX6,Потребители_обозначение,8,FALSE)),""))</f>
        <v/>
      </c>
      <c r="BP6">
        <f t="shared" si="13"/>
        <v>230</v>
      </c>
      <c r="BQ6">
        <f>IF(B6="","",IF(BC6&lt;&gt;"",3,IFERROR(IF(N(VLOOKUP(AX6,Потребители_обозначение,9,FALSE))=0,1,VLOOKUP(AX6,Потребители_обозначение,9,FALSE)),1)))</f>
        <v>1</v>
      </c>
      <c r="BR6">
        <f t="shared" si="14"/>
        <v>1</v>
      </c>
      <c r="BS6" t="str">
        <f>IF(B6="","",_xlfn.LET(_xlpm.bc,IFERROR(IF(VLOOKUP(AX6,Потребители_обозначение,6,FALSE)=0,"",VLOOKUP(AX6,Потребители_обозначение,6,FALSE)&amp;""),""),IF(AND(FK6="да",OR(_xlpm.bc="",_xlpm.bc="мс")),Марка_пож,IF(AND(_xlpm.bc="",BC6&lt;&gt;""),"мс",_xlpm.bc))))</f>
        <v>мфр</v>
      </c>
      <c r="BT6" t="str">
        <f t="shared" si="15"/>
        <v>мфр</v>
      </c>
      <c r="BU6">
        <f>IF(B6="","",_xlfn.LET(_xlpm.cc,IFERROR(N(VLOOKUP(AX6,Потребители_обозначение,7,FALSE)),0),IF(_xlpm.cc&gt;0,_xlpm.cc,IF(BT6="","",IF(N(BR6)=3,5,3)))))</f>
        <v>3</v>
      </c>
      <c r="BV6">
        <f t="shared" si="16"/>
        <v>3</v>
      </c>
      <c r="BW6">
        <f>IFERROR(N(VLOOKUP(AX6,Потребители_обозначение,10,FALSE)),0)</f>
        <v>0</v>
      </c>
      <c r="BX6">
        <f>IFERROR(VLOOKUP(AX6,Потребители_обозначение,5,FALSE),0)</f>
        <v>0</v>
      </c>
      <c r="BY6" s="6" cm="1">
        <f t="array" ref="BY6">IF(B6="","",IF(BC6&lt;&gt;"",IFERROR(_xlfn.XLOOKUP(BC6,Щиты[Щит],Щиты[cos φ]),0.95),IF(BK6=1,IFERROR(_xlfn.XLOOKUP(A6,Щиты[Щит],Щиты[cos φ]),0.95),IF(ISNUMBER(Z6),Z6,IFERROR(IF(BX6=2,_xlfn.IFS(BR6=3,VLOOKUP(BN6,Справочная_двигатели,8,FALSE),BR6=1,VLOOKUP(BN6,Справочная_двигатели,10,TRUE)),IF(AND(Методика="нормы 2026",EQ6="Сил"),0.8,0.95)),0.95)))))</f>
        <v>0.95</v>
      </c>
      <c r="BZ6">
        <f t="shared" si="17"/>
        <v>0</v>
      </c>
      <c r="CA6">
        <f t="shared" si="18"/>
        <v>1</v>
      </c>
      <c r="CB6">
        <f t="shared" si="19"/>
        <v>0</v>
      </c>
      <c r="CC6">
        <f t="shared" si="20"/>
        <v>0</v>
      </c>
      <c r="CD6">
        <f t="shared" si="21"/>
        <v>0</v>
      </c>
      <c r="CE6">
        <f t="shared" si="22"/>
        <v>0</v>
      </c>
      <c r="CF6">
        <f t="shared" si="23"/>
        <v>0</v>
      </c>
      <c r="CG6">
        <f>IF(AX6="",0,_xlfn.LET(_xlpm.v,IFERROR(VLOOKUP(B6,УГО_спр,3,FALSE),IFERROR(VLOOKUP(AX6,УГО_спр,3,FALSE),IFERROR(VLOOKUP(LEFT(AX6,2),УГО_спр,3,FALSE),""))),IF(_xlpm.v="да",30,IF(ISNUMBER(_xlpm.v),_xlpm.v,0))))</f>
        <v>0</v>
      </c>
      <c r="CH6" t="str">
        <f t="shared" si="24"/>
        <v/>
      </c>
      <c r="CI6" t="str">
        <f>_xlfn.LET(_xlpm.k,IFERROR(_xlfn.XLOOKUP(AX6,Коды_код,Коды_утечка)&amp;"",""),IF(_xlpm.k="","дифавтомат",_xlpm.k))</f>
        <v>дифавтомат</v>
      </c>
      <c r="CJ6">
        <f t="shared" si="25"/>
        <v>0</v>
      </c>
      <c r="CK6">
        <f t="shared" si="26"/>
        <v>0</v>
      </c>
      <c r="CL6">
        <f>IF(B6="",0,IFERROR(--VLOOKUP(B6,УГО_спр,4,FALSE),IFERROR(--VLOOKUP(AX6,УГО_спр,4,FALSE),IFERROR(--VLOOKUP(LEFT(AX6,2),УГО_спр,4,FALSE),0))))</f>
        <v>0</v>
      </c>
      <c r="CM6" t="str">
        <f>IF(B6="","",IFERROR(_xlfn.XLOOKUP(AX6,Коды_код,Коды_апп)&amp;"",""))</f>
        <v/>
      </c>
      <c r="CN6" t="str">
        <f t="shared" si="27"/>
        <v/>
      </c>
      <c r="CO6" t="str" cm="1">
        <f t="array" ref="CO6">IF(TRIM(CN6&amp;"")="","",IFERROR(TRIM(INDEX(_xlfn.TEXTSPLIT(CN6&amp;";;;",";"),1)),""))</f>
        <v/>
      </c>
      <c r="CP6" t="str" cm="1">
        <f t="array" ref="CP6">IF(TRIM(CN6&amp;"")="","",IFERROR(TRIM(INDEX(_xlfn.TEXTSPLIT(CN6&amp;";;;",";"),2)),""))</f>
        <v/>
      </c>
      <c r="CQ6" t="str" cm="1">
        <f t="array" ref="CQ6">IF(TRIM(CN6&amp;"")="","",IFERROR(TRIM(INDEX(_xlfn.TEXTSPLIT(CN6&amp;";;;",";"),3)),""))</f>
        <v/>
      </c>
      <c r="CR6">
        <f t="shared" si="28"/>
        <v>0</v>
      </c>
      <c r="CS6" t="str">
        <f>IF(B6="","",_xlfn.LET(_xlpm.t,LOWER(AV6&amp;""),IF(ISNUMBER(SEARCH("dim",_xlpm.t)),"DIM",IF(ISNUMBER(SEARCH("dali",_xlpm.t)),"DALI",IF(OR(ISNUMBER(SEARCH("relay",_xlpm.t)),ISNUMBER(SEARCH("реле",_xlpm.t))),"Relay",IF(ISNUMBER(SEARCH("кнопк",_xlpm.t)),"",IFERROR(_xlfn.XLOOKUP(AX6,Коды_код,Коды_упр)&amp;"","")))))))</f>
        <v/>
      </c>
      <c r="CT6" t="str">
        <f t="shared" si="29"/>
        <v/>
      </c>
      <c r="CU6">
        <f>IF(B6="","",_xlfn.LET(_xlpm.ig,N(P6)+IF(AF6="вручную",0,N(CB6)),_xlpm.n0,IFERROR(VLOOKUP(_xlpm.ig,Автомат_номиналы,2,TRUE),0),_xlpm.mn,MAX(CL6,IF(AF6="вручную",0,N(CE6))),MAX(_xlpm.n0,_xlpm.mn,IF(CR6=1,Мин_автомат_БП,0))))</f>
        <v>6</v>
      </c>
      <c r="CV6">
        <f t="shared" si="30"/>
        <v>1</v>
      </c>
      <c r="CW6" t="str">
        <f t="shared" si="31"/>
        <v>1P</v>
      </c>
      <c r="CX6" t="str">
        <f>_xlfn.LET(_xlpm.cc,UPPER(TRIM(IFERROR(_xlfn.XLOOKUP(AX6,Коды_код,Коды_хар)&amp;"",""))),IF(OR(_xlpm.cc="B",_xlpm.cc="В"),"B",IF(_xlpm.cc="D","D","С")))</f>
        <v>С</v>
      </c>
      <c r="CY6" t="str">
        <f t="shared" si="32"/>
        <v>1P С6А</v>
      </c>
      <c r="CZ6">
        <f t="shared" si="33"/>
        <v>10</v>
      </c>
      <c r="DA6" t="str">
        <f t="shared" si="34"/>
        <v>1P С10А</v>
      </c>
      <c r="DB6" cm="1">
        <f t="array" ref="DB6">IF(DA6="","",_xlfn.LET(_xlpm.t,SUBSTITUTE(SUBSTITUTE(SUBSTITUTE(UPPER(DA6),"С","C"),"А","A"),"В","B"),_xlpm.tk,_xlfn.TEXTSPLIT(_xlpm.t,"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" t="str">
        <f t="shared" si="35"/>
        <v>ok</v>
      </c>
      <c r="DD6">
        <f t="shared" si="36"/>
        <v>10</v>
      </c>
      <c r="DE6" t="str">
        <f t="shared" si="37"/>
        <v>1P С10А</v>
      </c>
      <c r="DF6">
        <f t="shared" si="38"/>
        <v>0</v>
      </c>
      <c r="DG6">
        <f t="shared" si="39"/>
        <v>0</v>
      </c>
      <c r="DH6">
        <f t="shared" si="40"/>
        <v>0</v>
      </c>
      <c r="DI6">
        <f t="shared" si="41"/>
        <v>0</v>
      </c>
      <c r="DJ6">
        <f t="shared" si="42"/>
        <v>1</v>
      </c>
      <c r="DK6">
        <f>IF(ISNUMBER(AL6),AL6,К_прокл)</f>
        <v>1</v>
      </c>
      <c r="DL6">
        <f t="shared" si="43"/>
        <v>2</v>
      </c>
      <c r="DM6">
        <f>IFERROR(N(VLOOKUP(BT6,Кабель_обозначение,3,FALSE)),1)</f>
        <v>1</v>
      </c>
      <c r="DN6">
        <f>IFERROR(N(_xlfn.XLOOKUP(A6,Щиты[Щит],Щиты[ΔU до шин, %])),0)</f>
        <v>0</v>
      </c>
      <c r="DO6" t="str">
        <f>IFERROR(_xlfn.XLOOKUP(A6,Щиты[Щит],Щиты[Zпетли на шинах, Ом]),"")</f>
        <v/>
      </c>
      <c r="DP6">
        <f>IFERROR(N(_xlfn.XLOOKUP(A6,Щиты[Щит],Щиты[ΔU до шин (подбор), %])),0)</f>
        <v>0</v>
      </c>
      <c r="DQ6" t="str">
        <f>IFERROR(_xlfn.XLOOKUP(A6,Щиты[Щит],Щиты[Zпетли на шинах (подбор), Ом]),"")</f>
        <v/>
      </c>
      <c r="DR6" t="str">
        <f t="shared" si="44"/>
        <v/>
      </c>
      <c r="DS6">
        <f t="shared" si="45"/>
        <v>15</v>
      </c>
      <c r="DT6">
        <f t="shared" si="46"/>
        <v>2</v>
      </c>
      <c r="DU6">
        <f t="shared" si="47"/>
        <v>0.31</v>
      </c>
      <c r="DV6" s="6">
        <f>IF(B6="","",IF(IFERROR(VLOOKUP(AX6,УГО_спр,2,FALSE),"")="Светильник",3,4)+IF(Методика="нормы 2026",MIN(0.5,MAX(0,N(Q6)-100)*0.005),0))</f>
        <v>4</v>
      </c>
      <c r="DW6" cm="1">
        <f t="array" ref="DW6">IF(OR(B6="",BT6="",DM6&lt;&gt;1),"",_xlfn.LET(_xlpm.sz,Iдоп_S,_xlpm.t_,CHOOSE(DL6,Iдоп_1ж,Iдоп_2ж,Iдоп_3ж)*DJ6*DK6,_xlpm.inn,N(DD6),_xlpm.smin,MAX(1.5,BW6),_xlpm.L_,N(Q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6)*(_xlpm.rho*_xlpm.L_/_xlpm.sz*N(BY6)+_xlpm.xx*_xlpm.L_*N(DU6)/1000)*N(P6)/((Uн_лин/SQRT(3))*1000)*100,999),_xlpm.kz,IF(OR(DG6=1,NOT(ISNUMBER(DQ6)),_xlpm.L_=0,_xlpm.inn=0),1,IFERROR(--(c_min*(Uн_лин*1000/SQRT(3))/(DQ6+2*ρкз_Cu*_xlpm.L_/_xlpm.sz)&gt;=GY6*_xlpm.inn),0)),_xlpm.ok,IFERROR((_xlpm.sz&gt;=_xlpm.smin)*(_xlpm.t_&gt;=_xlpm.inn)*IF(_xlpm.L_&gt;0,(_xlpm.du_+DP6&lt;=DV6+0.00001),1)*_xlpm.kz,0),_xlpm.r_,_xlfn._xlws.FILTER(_xlpm.sz,_xlpm.ok,"не подобрано"),INDEX(_xlpm.r_,1)))</f>
        <v>1.5</v>
      </c>
      <c r="DX6">
        <f t="shared" si="48"/>
        <v>2.5</v>
      </c>
      <c r="DY6" cm="1">
        <f t="array" ref="DY6">IF(OR(B6="",BT6="",DM6&lt;&gt;1),"",_xlfn.LET(_xlpm.sz,Iдоп_S,_xlpm.t_,CHOOSE(DL6,Iдоп_1ж,Iдоп_2ж,Iдоп_3ж)*DJ6*DK6,_xlpm.ok,IFERROR((_xlpm.sz&gt;=MAX(1.5,BW6))*(_xlpm.t_&gt;=N(DD6)),0),_xlpm.r_,_xlfn._xlws.FILTER(_xlpm.sz,_xlpm.ok,""),INDEX(_xlpm.r_,1)))</f>
        <v>1.5</v>
      </c>
      <c r="DZ6" s="6" cm="1">
        <f t="array" ref="DZ6">IFERROR(ROUNDUP(N(DT6)*(_xlfn.XLOOKUP(DY6,INDEX(Кабель_сопротивление,0,1),INDEX(Кабель_сопротивление,0,3))*N(Q6)/DY6*N(BY6)+_xlfn.XLOOKUP(DY6,INDEX(Кабель_сопротивление,0,1),INDEX(Кабель_сопротивление,0,2))*N(Q6)*N(DU6)/1000)*N(P6)/((Uн_лин/SQRT(3))*1000)*100,2),"")</f>
        <v>0</v>
      </c>
      <c r="EA6">
        <f>IFERROR(2*ρкз_Cu*N(Q6)/DY6,"")</f>
        <v>0.52600000000000002</v>
      </c>
      <c r="EB6">
        <f>IFERROR(VLOOKUP(DX6,Кабель_сопротивление,3,FALSE),"")</f>
        <v>2.2499999999999999E-2</v>
      </c>
      <c r="EC6">
        <f>IFERROR(VLOOKUP(DX6,Кабель_сопротивление,2,FALSE),"")</f>
        <v>0.1</v>
      </c>
      <c r="ED6">
        <f t="shared" si="49"/>
        <v>15</v>
      </c>
      <c r="EE6" t="str">
        <f t="shared" si="50"/>
        <v/>
      </c>
      <c r="EF6">
        <f t="shared" si="51"/>
        <v>0</v>
      </c>
      <c r="EG6" s="6">
        <f>IFERROR(ROUNDUP(EF6/((Uн_лин/SQRT(3))*1000)*100,2),"")</f>
        <v>0</v>
      </c>
      <c r="EH6" t="str">
        <f>IFERROR(VLOOKUP(BT6,Кабель_обозначение,2,FALSE),"")</f>
        <v>ВВГнг(А)-FRLS</v>
      </c>
      <c r="EI6" t="str">
        <f t="shared" si="52"/>
        <v>ВВГнг(А)-FRLS (3х2,5)</v>
      </c>
      <c r="EJ6" t="str">
        <f t="shared" si="53"/>
        <v>ВВГнг(А)-FRLS (3х2,5)
L=15-0%</v>
      </c>
      <c r="EK6">
        <f>IFERROR(2*ρкз_Cu*Q6/DX6,"")</f>
        <v>0.31559999999999999</v>
      </c>
      <c r="EL6">
        <f t="shared" si="54"/>
        <v>0.10500000000000001</v>
      </c>
      <c r="EM6" s="6" t="str">
        <f>IFERROR(IF(OR(B6="",NOT(ISNUMBER(DX6)),N(Q6)=0),"",_xlfn.XLOOKUP(A6,Щиты[Щит],Щиты[Zпетли на шинах, Ом])+EK6),"")</f>
        <v/>
      </c>
      <c r="EN6" s="6" t="str">
        <f>IF(ISNUMBER(EM6),c_min*(Uн_лин*1000/SQRT(3))/EM6,"")</f>
        <v/>
      </c>
      <c r="EO6" s="6" t="str">
        <f>IFERROR(IF(OR(B6="",NOT(ISNUMBER(DX6))),"",1.05*(Uн_лин*1000/SQRT(3))/(_xlfn.XLOOKUP(A6,Щиты[Щит],Щиты[Zmax на шинах, Ом])+EL6)/1000),"")</f>
        <v/>
      </c>
      <c r="EP6" s="6" t="str">
        <f>IF(B6="","",IF(ISNUMBER(Y6),"Сил",IF(IFERROR(_xlfn.XLOOKUP(AX6,Коды_код,Коды_группа)&amp;"","")="","Быт",_xlfn.XLOOKUP(AX6,Коды_код,Коды_группа)&amp;"")))</f>
        <v>Быт</v>
      </c>
      <c r="EQ6" s="6" t="str">
        <f t="shared" si="55"/>
        <v>Пост</v>
      </c>
      <c r="ER6" s="6">
        <f>IF(EQ6="Щит","щит",IF(EQ6="","",IF(EQ6="Быт",IFERROR(_xlfn.XLOOKUP(A6,Щиты[Щит],Щиты[Кс быт]),1),IF(EQ6="Сил",IF(ISNUMBER(Y6),Y6,IF(Методика="нормы 2026",IFERROR(_xlfn.XLOOKUP(A6,Щиты[Щит],Щиты[Кс силовых (табл. 7.5)]),1),1)),IF(OR(EQ6="Пост",EQ6="Отоп"),1,IF(EQ6="ВНГ",0.7,0))))))</f>
        <v>1</v>
      </c>
      <c r="ES6">
        <f t="shared" si="56"/>
        <v>2</v>
      </c>
      <c r="ET6">
        <f t="shared" si="57"/>
        <v>0</v>
      </c>
      <c r="EU6">
        <f t="shared" si="58"/>
        <v>0</v>
      </c>
      <c r="EV6">
        <f t="shared" si="59"/>
        <v>0</v>
      </c>
      <c r="EW6">
        <f t="shared" si="60"/>
        <v>0</v>
      </c>
      <c r="EX6">
        <f t="shared" si="61"/>
        <v>0</v>
      </c>
      <c r="EY6">
        <f t="shared" si="62"/>
        <v>0</v>
      </c>
      <c r="EZ6">
        <f t="shared" si="63"/>
        <v>0</v>
      </c>
      <c r="FA6">
        <f t="shared" si="64"/>
        <v>0</v>
      </c>
      <c r="FB6">
        <f t="shared" si="65"/>
        <v>0</v>
      </c>
      <c r="FC6" t="str">
        <f t="shared" si="66"/>
        <v/>
      </c>
      <c r="FD6" t="str">
        <f>IF(B6="","",IF(CA6=0,IF(AW6=1,"",FF5),IF(OR(N(CV6)&gt;=3,N(BR6)&gt;=3),"L1,L2,L3",IFERROR(_xlfn.TEXTBEFORE(_xlfn.TEXTAFTER(_xlfn.XLOOKUP(A6,Щиты[Щит],Щиты[_фазы авто]),";"&amp;AW6&amp;":"),";"),"L1"))))</f>
        <v>L1</v>
      </c>
      <c r="FE6" t="str">
        <f t="shared" si="67"/>
        <v>L1</v>
      </c>
      <c r="FF6" t="str">
        <f t="shared" si="68"/>
        <v>L1</v>
      </c>
      <c r="FG6" cm="1">
        <f t="array" ref="FG6">IFERROR(IF(BX6=2,_xlfn.IFS(BR6=3,VLOOKUP(BN6,Справочная_двигатели,3,FALSE),BR6=1,VLOOKUP(BN6,Справочная_двигатели,5,TRUE)),0),0)</f>
        <v>0</v>
      </c>
      <c r="FH6">
        <f>IFERROR(IF(BX6=3,VLOOKUP(BN6,Справочная_ЛЭД,2,TRUE),0),0)</f>
        <v>0</v>
      </c>
      <c r="FI6" s="6">
        <f t="shared" si="69"/>
        <v>0</v>
      </c>
      <c r="FJ6" t="str" cm="1">
        <f t="array" ref="FJ6">IF(B6="","",IFERROR(INDEX({"I особая","I","II","III"},MATCH(TRIM(AC6&amp;""),{"I особая","I","II","III"},0)),"III"))</f>
        <v>I</v>
      </c>
      <c r="FK6" t="str">
        <f>IF(B6="","",IF(TRIM(AD6&amp;"")&lt;&gt;"",IF(LOWER(TRIM(AD6&amp;""))="да","да","нет"),IF(IFERROR(_xlfn.XLOOKUP(AX6,Коды_код,Коды_пожарная),"")="да","да","нет")))</f>
        <v>да</v>
      </c>
      <c r="FL6" t="str">
        <f t="shared" si="70"/>
        <v/>
      </c>
      <c r="FM6" t="str">
        <f t="shared" si="71"/>
        <v>основная</v>
      </c>
      <c r="FN6">
        <f t="shared" si="72"/>
        <v>2</v>
      </c>
      <c r="FO6" t="str" cm="1">
        <f t="array" ref="FO6">IF(B6="","",_xlfn.LET(_xlpm.t,IFERROR(_xlfn.XLOOKUP(1,(Шины[Шина]=FM6)*(((Шины[Щит]=A6)+(Шины[Щит]=""))&gt;0),Шины[Тип]),"")&amp;"",IF(_xlpm.t&lt;&gt;"",_xlpm.t,IF(ISNUMBER(SEARCH("ИБП",FM6)),"ИБП",IF(ISNUMBER(SEARCH("ДГУ",FM6)),"ДГУ","Ввод "&amp;FN6)))))</f>
        <v>Ввод 2</v>
      </c>
      <c r="FP6" t="str">
        <f t="shared" si="73"/>
        <v>Ввод 2</v>
      </c>
      <c r="FQ6" t="str">
        <f>IF(B6="","",IF(OR(FO6="ИБП",FO6="ДГУ"),"I особая",IF(FO6="Одиночная","III",_xlfn.XLOOKUP(A6,Щиты[Щит],Щиты[Категория шины «Ввод»],"III"))))</f>
        <v>I</v>
      </c>
      <c r="FR6">
        <f>IF(B6="",0,IFERROR(MATCH(FJ6,{"III","II","I","I особая"},0),1))</f>
        <v>3</v>
      </c>
      <c r="FS6">
        <f t="shared" si="74"/>
        <v>3</v>
      </c>
      <c r="FT6" t="str">
        <f>IF(B6="","",IF(FR6&gt;IFERROR(MATCH(FQ6,{"III","II","I","I особая"},0),1),"НЕ ОБЕСПЕЧЕНА","ОК"))</f>
        <v>ОК</v>
      </c>
      <c r="FU6" t="str">
        <f>IF(A6="","",_xlfn.XLOOKUP(A6,Щиты[Щит],Щиты[Путь],""))</f>
        <v>|ГРЩ-ЖД|</v>
      </c>
      <c r="FV6" t="str">
        <f>IF(B6="","",IF(AE6&lt;&gt;"",AE6,IF(IFERROR(_xlfn.XLOOKUP(AX6,Коды_код,Коды_вид)&amp;"","")="","Прочее",_xlfn.XLOOKUP(AX6,Коды_код,Коды_вид)&amp;"")))</f>
        <v>Системы противопожарной защиты</v>
      </c>
      <c r="FW6">
        <f>IF(BH6="","",INT((BH6-1)/Столбцов_на_лист)+1)</f>
        <v>2</v>
      </c>
      <c r="FX6" t="str">
        <f t="shared" si="75"/>
        <v>ВВГнг(А)-FRLS (3х2,5) L=15-0%</v>
      </c>
      <c r="FY6">
        <f t="shared" si="76"/>
        <v>0</v>
      </c>
      <c r="FZ6">
        <f t="shared" si="77"/>
        <v>0</v>
      </c>
      <c r="GA6">
        <f t="shared" si="78"/>
        <v>1</v>
      </c>
      <c r="GB6">
        <f t="shared" si="79"/>
        <v>0</v>
      </c>
      <c r="GC6">
        <f t="shared" si="80"/>
        <v>1</v>
      </c>
      <c r="GD6">
        <f>IF(BH6="","",IF(AND(CA6=1,GC6=1),COUNTIFS(A$3:A6,A6,CA$3:CA6,1,GC$3:GC6,1),IF(OR(OR(AW6=1,A6&lt;&gt;A5),AF6="вручную",GC6=0),"",IF(AW6=1,"",GE5))))</f>
        <v>4</v>
      </c>
      <c r="GE6">
        <f t="shared" si="81"/>
        <v>4</v>
      </c>
      <c r="GF6">
        <f>IF(B6="","",IFERROR(LOOKUP(INDEX(CHOOSE(DL6,Iдоп_1ж,Iдоп_2ж,Iдоп_3ж),MATCH(DX6,Iдоп_S,0))*DJ6*DK6,{6,10,16,20,25,32,40,50,63,80,100,125,160,200,250,315,400,500,630}),""))</f>
        <v>25</v>
      </c>
      <c r="GG6" t="str">
        <f t="shared" si="82"/>
        <v>QF4</v>
      </c>
      <c r="GH6" t="str">
        <f t="shared" si="83"/>
        <v>QF4</v>
      </c>
      <c r="GI6" t="str">
        <f t="shared" si="84"/>
        <v/>
      </c>
      <c r="GJ6">
        <f t="shared" si="85"/>
        <v>0</v>
      </c>
      <c r="GK6" t="str">
        <f>IF(OR(AG6="",AG6="-"),"",IFERROR(VLOOKUP(AG6,Модули_спр,2,FALSE),"R"))</f>
        <v/>
      </c>
      <c r="GL6" t="str">
        <f>IF(GK6="","",GK6&amp;"."&amp;COUNTIFS(A$3:A6,A6,GK$3:GK6,GK6))</f>
        <v/>
      </c>
      <c r="GM6" t="str">
        <f t="shared" si="86"/>
        <v/>
      </c>
      <c r="GN6" t="str">
        <f t="shared" si="87"/>
        <v/>
      </c>
      <c r="GO6" t="str">
        <f t="shared" si="88"/>
        <v/>
      </c>
      <c r="GP6" t="str">
        <f t="shared" si="89"/>
        <v/>
      </c>
      <c r="GQ6">
        <f t="shared" si="90"/>
        <v>1</v>
      </c>
      <c r="GR6" t="str">
        <f>IF(GQ6=1,"XT"&amp;COUNTIFS(A$3:A6,A6,GQ$3:GQ6,1),"")</f>
        <v>XT2</v>
      </c>
      <c r="GS6" t="str">
        <f t="shared" si="91"/>
        <v>XT2</v>
      </c>
      <c r="GT6" t="str">
        <f t="shared" si="92"/>
        <v>QF4</v>
      </c>
      <c r="GU6" t="str">
        <f t="shared" si="93"/>
        <v/>
      </c>
      <c r="GV6" t="str">
        <f t="shared" si="94"/>
        <v>ok</v>
      </c>
      <c r="GW6" t="str">
        <f>IF(OR(GO6="",GM6=""),"",IF(GO6&gt;IFERROR(VLOOKUP(GN6,Модули_спр,3,FALSE),99),"ЛИШНИЙ КАНАЛ",IF(AND(AH6&lt;&gt;"=",COUNTIFS(Линии[_модуль гр.],GM6,Линии[Канал (итог)],GO6,Линии[Канал],"&lt;&gt;=",Линии[Щит],A6)&gt;1),"ДУБЛЬ КАНАЛА","")))</f>
        <v/>
      </c>
      <c r="GX6" s="6" t="str">
        <f t="shared" si="95"/>
        <v/>
      </c>
      <c r="GY6">
        <f t="shared" si="96"/>
        <v>10</v>
      </c>
      <c r="GZ6" t="str">
        <f t="shared" si="97"/>
        <v/>
      </c>
      <c r="HA6" t="str">
        <f>IF(AND(B6="",GT6=""),"",_xlfn.TEXTJOIN("; ",TRUE,IF(AND(B6&lt;&gt;"",FE6=""),"нет фазы",""),IF(AND(B6&lt;&gt;"",N(FY6)=0,EQ6&lt;&gt;"Нет"),"нет мощности",""),IF(AND(GS6&lt;&gt;"",COUNTIFS(Линии[Щит],A6,Линии[Клемма (итог)],GS6)&gt;1),"дубль клеммы "&amp;GS6,""),IF(AND(GV6&lt;&gt;"",GV6&lt;&gt;"ok"),GV6,""),IF(GW6&lt;&gt;"",GW6,""),IF(AND(N(BV6)&gt;=4,N(BR6)=1),BV6&amp;" жил на 1 фазе",""),IF(AND(AX6="R",CA6=1,OR(N(CK6)=0,N(CK6)&gt;30)),"розетка без дифзащиты до 30 мА",""),IFERROR(IF(AND(ISNUMBER(R6),R6&gt;DV6),"потери "&amp;FIXED(R6,1)&amp;" % &gt; "&amp;DV6&amp;" %",""),""),IFERROR(IF(LEFT(GZ6,4)="мало","Iкз мало — отключение &gt; 0,4 с",""),""),IF(AND(B6&lt;&gt;"",BH6=""),"не на схеме",""),IF(AND(CA6=0,B6&lt;&gt;"",FE6&lt;&gt;"",IF(AW6=1,"",FF5)&lt;&gt;"",FE6&lt;&gt;IF(AW6=1,"",FF5)),"фаза не как у автомата группы ("&amp;IF(AW6=1,"",FF5)&amp;")","")))</f>
        <v>нет мощности</v>
      </c>
      <c r="HB6" s="6">
        <f>IF(OR(CA6=0,DA6=""),"",_xlfn.LET(_xlpm.t,IFERROR(_xlfn.XLOOKUP(DA6,Каталог!$U$4:$U$500,Каталог!$G$4:$G$500),""),_xlpm.k,SEARCH("кА",_xlpm.t),IFERROR(--TRIM(RIGHT(SUBSTITUTE(MID(_xlpm.t,MAX(1,_xlpm.k-4),_xlpm.k-MAX(1,_xlpm.k-4))," ",REPT(" ",9)),5)),"")))</f>
        <v>6</v>
      </c>
      <c r="HC6" t="str">
        <f>IF(OR(HB6="",CA6=0),"",IF(_xlfn.XLOOKUP(A6,Щиты[Щит],Щиты[Iкз max на шинах, кА],"")="","",IF(HB6&lt;_xlfn.XLOOKUP(A6,Щиты[Щит],Щиты[Iкз max на шинах, кА]),"Icu "&amp;HB6&amp;" кА &lt; Iкз max","ok")))</f>
        <v/>
      </c>
      <c r="HD6" t="str">
        <f t="shared" si="98"/>
        <v/>
      </c>
      <c r="HE6" t="str">
        <f t="shared" si="99"/>
        <v>QF4|XT2</v>
      </c>
      <c r="HF6" t="str">
        <f t="shared" si="100"/>
        <v>QF4|XT2|кабель ВВГнг(А)-FRLS (3х2,5) → Щит системы противопожарной защиты Цокольный этаж этаж Пом. №001Т Ввод.2</v>
      </c>
      <c r="HG6" t="str" cm="1">
        <f t="array" ref="HG6">IF(HF6="","",_xlfn.LET(_xlpm.nd,_xlfn.TEXTSPLIT(HF6,"|"),IF(COLUMNS(_xlpm.nd)&gt;1,A6&amp;"¦"&amp;INDEX(_xlpm.nd,1)&amp;"¦"&amp;INDEX(_xlpm.nd,2),"")))</f>
        <v>ГРЩ-ЖД¦QF4¦XT2</v>
      </c>
      <c r="HH6" t="str">
        <f t="shared" si="101"/>
        <v>ЩСПЗ-ЖД.2¦Щит системы противопожарной защиты Цокольный этаж этаж Пом. №001Т Ввод.2</v>
      </c>
      <c r="HI6" t="str" cm="1">
        <f t="array" ref="HI6">IF(HF6="","",_xlfn.LET(_xlpm.nd,_xlfn.TEXTSPLIT(HF6,"|"),IF(COLUMNS(_xlpm.nd)&gt;2,A6&amp;"¦"&amp;INDEX(_xlpm.nd,2)&amp;"¦"&amp;INDEX(_xlpm.nd,3),"")))</f>
        <v>ГРЩ-ЖД¦XT2¦кабель ВВГнг(А)-FRLS (3х2,5) → Щит системы противопожарной защиты Цокольный этаж этаж Пом. №001Т Ввод.2</v>
      </c>
      <c r="HJ6" t="str">
        <f t="shared" si="102"/>
        <v>ЩСПЗ-ЖД.2¦Щит системы противопожарной защиты Цокольный этаж этаж Пом. №001Т Ввод.2</v>
      </c>
      <c r="HK6" t="str" cm="1">
        <f t="array" ref="HK6">IF(HF6="","",_xlfn.LET(_xlpm.nd,_xlfn.TEXTSPLIT(HF6,"|"),IF(COLUMNS(_xlpm.nd)&gt;3,A6&amp;"¦"&amp;INDEX(_xlpm.nd,3)&amp;"¦"&amp;INDEX(_xlpm.nd,4),"")))</f>
        <v/>
      </c>
      <c r="HL6" t="str">
        <f t="shared" si="103"/>
        <v/>
      </c>
      <c r="HM6" t="str" cm="1">
        <f t="array" ref="HM6">IF(HF6="","",_xlfn.LET(_xlpm.nd,_xlfn.TEXTSPLIT(HF6,"|"),IF(COLUMNS(_xlpm.nd)&gt;4,A6&amp;"¦"&amp;INDEX(_xlpm.nd,4)&amp;"¦"&amp;INDEX(_xlpm.nd,5),"")))</f>
        <v/>
      </c>
      <c r="HN6" t="str">
        <f t="shared" si="104"/>
        <v/>
      </c>
      <c r="HO6" t="str" cm="1">
        <f t="array" ref="HO6">IF(HF6="","",_xlfn.LET(_xlpm.nd,_xlfn.TEXTSPLIT(HF6,"|"),IF(COLUMNS(_xlpm.nd)&gt;5,A6&amp;"¦"&amp;INDEX(_xlpm.nd,5)&amp;"¦"&amp;INDEX(_xlpm.nd,6),"")))</f>
        <v/>
      </c>
      <c r="HP6" t="str">
        <f t="shared" si="105"/>
        <v/>
      </c>
      <c r="HQ6" t="str" cm="1">
        <f t="array" ref="HQ6">IF(HF6="","",_xlfn.LET(_xlpm.nd,_xlfn.TEXTSPLIT(HF6,"|"),IF(COLUMNS(_xlpm.nd)&gt;6,A6&amp;"¦"&amp;INDEX(_xlpm.nd,6)&amp;"¦"&amp;INDEX(_xlpm.nd,7),"")))</f>
        <v/>
      </c>
      <c r="HR6" t="str">
        <f t="shared" si="106"/>
        <v/>
      </c>
      <c r="HS6" t="str">
        <f t="shared" si="107"/>
        <v/>
      </c>
      <c r="HT6" t="str">
        <f t="shared" si="108"/>
        <v>QF4 → XT2</v>
      </c>
      <c r="HU6">
        <f t="shared" si="109"/>
        <v>0</v>
      </c>
      <c r="HV6">
        <f t="shared" si="110"/>
        <v>0</v>
      </c>
      <c r="HW6" t="str">
        <f t="shared" si="111"/>
        <v/>
      </c>
      <c r="HX6" t="str">
        <f t="shared" si="112"/>
        <v/>
      </c>
      <c r="HY6" t="str">
        <f t="shared" si="113"/>
        <v/>
      </c>
      <c r="HZ6" t="str">
        <f t="shared" si="114"/>
        <v/>
      </c>
      <c r="IA6">
        <f>IF(B6="","",IFERROR(VLOOKUP(B6,УГО_спр,2,FALSE),IFERROR(VLOOKUP(AX6,УГО_спр,2,FALSE),IFERROR(VLOOKUP(LEFT(AX6,2),УГО_спр,2,FALSE),""))))</f>
        <v>0</v>
      </c>
      <c r="IB6" t="str">
        <f>IF(B6="","",IF(OR(IA6="",IA6=0),"BOX",IFERROR(IF(VLOOKUP(IA6,УГО_блоки,3,FALSE)&amp;""&lt;&gt;"",VLOOKUP(IA6,УГО_блоки,3,FALSE),VLOOKUP(IA6,УГО_блоки,2,FALSE)),IA6)))</f>
        <v>BOX</v>
      </c>
      <c r="IC6">
        <f t="shared" si="115"/>
        <v>1</v>
      </c>
      <c r="ID6" t="str">
        <f>IF(DA6="","",IF(COUNTIF(DA$3:DA6,DA6)=1,MAX(ID$2:ID5)+1,""))</f>
        <v/>
      </c>
      <c r="IE6" t="str">
        <f>IF(CO6="","",IF(COUNTIF(CO$3:CO6,CO6)+COUNTIF(CP$2:CP5,CO6)+COUNTIF(CQ$2:CQ5,CO6)=1,MAX(IE$2:IG5)+1,""))</f>
        <v/>
      </c>
      <c r="IF6" t="str">
        <f>IF(CP6="","",IF(COUNTIF(CO$3:CO6,CP6)+COUNTIF(CP$3:CP6,CP6)+COUNTIF(CQ$2:CQ5,CP6)=1,MAX(IE$2:IG5,IE6)+1,""))</f>
        <v/>
      </c>
      <c r="IG6" t="str">
        <f>IF(CQ6="","",IF(COUNTIF(CO$3:CO6,CQ6)+COUNTIF(CP$3:CP6,CQ6)+COUNTIF(CQ$3:CQ6,CQ6)=1,MAX(IE$2:IG5,IE6,IF6)+1,""))</f>
        <v/>
      </c>
      <c r="IH6" t="str">
        <f t="shared" si="116"/>
        <v>3х2,5</v>
      </c>
      <c r="II6" t="str">
        <f>IF(IH6="","",IF(COUNTIF(IH$3:IH6,IH6)=1,MAX(II$2:II5)+1,""))</f>
        <v/>
      </c>
      <c r="IJ6" t="str">
        <f>IF(GL6="","",COUNTIF(GL$3:GL6,"?*"))</f>
        <v/>
      </c>
      <c r="IK6" t="str">
        <f>IF(OR(GL6="",GN6=""),"",IF(COUNTIFS(GL$3:GL6,"?*",GN$3:GN6,GN6)=1,MAX(IK$2:IK5)+1,""))</f>
        <v/>
      </c>
      <c r="IL6">
        <f t="shared" si="117"/>
        <v>1</v>
      </c>
      <c r="IM6">
        <f>IF(B6="","",COUNTIF(B$3:B6,"?*"))</f>
        <v>4</v>
      </c>
      <c r="IN6">
        <f>IF(GQ6&lt;&gt;1,0,_xlfn.LET(_xlpm.k,MAX(IFERROR(--VLOOKUP(B6,УГО_спр,5,FALSE),0),IFERROR(--VLOOKUP(AX6,УГО_спр,5,FALSE),0),IFERROR(--VLOOKUP(LEFT(AX6,2),УГО_спр,5,FALSE),0)),IF(_xlpm.k&gt;0,_xlpm.k,IF(IFERROR(--LEFT(SUBSTITUTE(IH6,"x","х"),FIND("х",SUBSTITUTE(IH6,"x","х"))-1),3)&gt;3,Каталог!$S$9,1))))</f>
        <v>1</v>
      </c>
      <c r="IO6">
        <f t="shared" si="118"/>
        <v>0</v>
      </c>
      <c r="IP6" t="str">
        <f t="shared" si="119"/>
        <v>авто</v>
      </c>
      <c r="IQ6" t="str">
        <f t="shared" si="120"/>
        <v/>
      </c>
      <c r="IR6">
        <f t="shared" si="121"/>
        <v>0</v>
      </c>
      <c r="IS6">
        <f t="shared" si="122"/>
        <v>1</v>
      </c>
    </row>
    <row r="7" spans="1:253" x14ac:dyDescent="0.3">
      <c r="A7" t="s">
        <v>785</v>
      </c>
      <c r="B7" t="s">
        <v>747</v>
      </c>
      <c r="C7" t="s">
        <v>746</v>
      </c>
      <c r="D7">
        <v>1</v>
      </c>
      <c r="E7">
        <v>13.06</v>
      </c>
      <c r="G7">
        <v>25</v>
      </c>
      <c r="H7" t="str">
        <f>Линии[[#This Row],[_авто утечка]]</f>
        <v/>
      </c>
      <c r="I7" t="str">
        <f>Линии[[#This Row],[_авто управление]]</f>
        <v/>
      </c>
      <c r="J7" t="str">
        <f>Линии[[#This Row],[_авто аппараты]]</f>
        <v/>
      </c>
      <c r="K7">
        <v>6</v>
      </c>
      <c r="L7">
        <v>15</v>
      </c>
      <c r="M7" t="str">
        <f>Линии[[#This Row],[_авто фаза]]</f>
        <v>L1,L2,L3</v>
      </c>
      <c r="N7" t="s">
        <v>486</v>
      </c>
      <c r="O7" t="str">
        <f t="shared" si="0"/>
        <v/>
      </c>
      <c r="P7" s="6" cm="1">
        <f t="array" ref="P7">IF(B7="","",IF(BC7&lt;&gt;"",IFERROR(_xlfn.XLOOKUP(BC7,Щиты[Щит],Щиты[Iр, А]),""),IF(BK7=1,IFERROR(_xlfn.XLOOKUP(A7,Щиты[Щит],Щиты[Iр, А]),""),IFERROR(_xlfn.IFS(BR7=1,BN7/((Uн_лин/SQRT(3))*BY7),BR7=3,BN7/(SQRT(3)*Uн_лин*BY7)),""))))</f>
        <v>11.927695717539414</v>
      </c>
      <c r="Q7" s="7">
        <f>IF(B7="","",IFERROR(IF(VLOOKUP(AX7,Потребители_обозначение,4,FALSE)=1,VLOOKUP(AX7,Потребители_обозначение,3,FALSE)*(D7*2-1)+DS7+VLOOKUP(AZ7,Этаж_обозначение,3,FALSE)+VLOOKUP(AZ7,Этаж_обозначение,4,FALSE),VLOOKUP(AX7,Потребители_обозначение,3,FALSE)*(D7*2-1)+DS7),DS7))</f>
        <v>15</v>
      </c>
      <c r="R7" s="6">
        <f t="shared" si="1"/>
        <v>0.24000000000000002</v>
      </c>
      <c r="S7" t="str">
        <f t="shared" si="2"/>
        <v>ВВГнг(А)-LS (5х6)</v>
      </c>
      <c r="T7" t="str">
        <f>IF(BH7="","",IF(BI7="вводной узел","узел ","")&amp;"л."&amp;(INT((BH7-1)/Столбцов_на_лист)+1)&amp;" / "&amp;(MOD(BH7-1,Столбцов_на_лист)+1))</f>
        <v>л.3 / 1</v>
      </c>
      <c r="V7">
        <v>3</v>
      </c>
      <c r="W7">
        <v>400</v>
      </c>
      <c r="X7" t="s">
        <v>600</v>
      </c>
      <c r="Y7">
        <v>0.5</v>
      </c>
      <c r="AA7">
        <v>1</v>
      </c>
      <c r="AC7" t="s">
        <v>815</v>
      </c>
      <c r="AE7" t="s">
        <v>582</v>
      </c>
      <c r="AI7">
        <v>35</v>
      </c>
      <c r="AJ7" t="s">
        <v>11</v>
      </c>
      <c r="AK7">
        <v>5</v>
      </c>
      <c r="AM7">
        <v>0</v>
      </c>
      <c r="AN7">
        <v>15</v>
      </c>
      <c r="AO7">
        <v>0</v>
      </c>
      <c r="AW7" cm="1">
        <f t="array" ref="AW7">ROW()-ROW(Линии[#Headers])</f>
        <v>5</v>
      </c>
      <c r="AX7" s="6" t="str">
        <f t="shared" si="3"/>
        <v>ЩОВ-01</v>
      </c>
      <c r="AY7" t="str">
        <f t="shared" si="4"/>
        <v/>
      </c>
      <c r="AZ7" t="str">
        <f t="shared" si="5"/>
        <v/>
      </c>
      <c r="BA7" t="str">
        <f t="shared" si="6"/>
        <v/>
      </c>
      <c r="BB7" t="str">
        <f t="shared" si="7"/>
        <v/>
      </c>
      <c r="BC7" t="str">
        <f>IF(U7&lt;&gt;"",U7,IF(AND(B7&lt;&gt;"",B7&lt;&gt;A7,ISNUMBER(_xlfn.XMATCH(B7,Щиты[Щит]))),B7,""))</f>
        <v>ЩОВ-01</v>
      </c>
      <c r="BD7" t="str" cm="1">
        <f t="array" ref="BD7">IF(B7="","",IF(BC7&lt;&gt;"","Щит "&amp;BC7,_xlfn.LET(_xlpm.nm,IFERROR(_xlfn.XLOOKUP(AX7,Коды_код,Коды_имя)&amp;"",""),_xlpm.md,IFERROR(N(_xlfn.XLOOKUP(AX7,Коды_код,Коды_режим)),1),_xlpm.ex,IF(Имя_режим="по экспликации",IFERROR(_xlfn.XLOOKUP(AZ7&amp;"|"&amp;BB7,Экспликация[Этаж]&amp;"|"&amp;Экспликация[Помещение],Экспликация[Название])&amp;"",""),""),_xlpm.rm,IF(BB7="","",IF(_xlpm.ex&lt;&gt;"",". "&amp;_xlpm.ex&amp;IF(Имя_пом="нет"," ("&amp;BB7&amp;")"," (пом. "&amp;BB7&amp;")"),IF(Имя_пом="нет"," ",", пом. ")&amp;BB7)),IF(_xlpm.nm="","",IF(_xlpm.md=2,_xlpm.nm&amp;" шлейф "&amp;AZ7,_xlpm.nm&amp;_xlpm.rm)))))</f>
        <v>Щит ЩОВ-01</v>
      </c>
      <c r="BE7" t="str">
        <f t="shared" si="8"/>
        <v>Щит вентиляции ЩОВ-01 Цокольный этаж этаж Пом. №0.001Тб</v>
      </c>
      <c r="BF7">
        <f>IFERROR(_xlfn.XMATCH(A7,Щиты[Щит]),0)</f>
        <v>1</v>
      </c>
      <c r="BG7">
        <f>_xlfn.LET(_xlpm.k,IFERROR(_xlfn.XLOOKUP(A7,Щиты[Щит],Щиты[Листов под вводной узел]),""),IF(_xlpm.k="",1,N(_xlpm.k))*Столбцов_на_лист)</f>
        <v>17</v>
      </c>
      <c r="BH7">
        <f t="shared" si="9"/>
        <v>35</v>
      </c>
      <c r="BI7" t="str">
        <f t="shared" si="10"/>
        <v>линии</v>
      </c>
      <c r="BJ7" s="6">
        <f>IFERROR(N(_xlfn.XLOOKUP(AX7,Коды_код,Коды_квт)),0)</f>
        <v>0</v>
      </c>
      <c r="BK7">
        <f t="shared" si="11"/>
        <v>0</v>
      </c>
      <c r="BL7">
        <f>IF(B7="","",IF(BC7&lt;&gt;"",IFERROR(_xlfn.XLOOKUP(BC7,Щиты[Щит],Щиты[Руст, кВт]),0),IF(BK7=1,IFERROR(_xlfn.XLOOKUP(A7,Щиты[Щит],Щиты[Руст, кВт]),0),IF(BJ7&gt;0,ROUND(BJ7*MAX(1,N(D7)),3),""))))</f>
        <v>13.172999999999996</v>
      </c>
      <c r="BM7">
        <f t="shared" si="12"/>
        <v>13.06</v>
      </c>
      <c r="BN7" s="6">
        <f>IF(B7="","",IF(BC7&lt;&gt;"",IFERROR(_xlfn.XLOOKUP(BC7,Щиты[Щит],Щиты[Руст, кВт]),0),N(BM7)))</f>
        <v>13.172999999999996</v>
      </c>
      <c r="BO7" t="str">
        <f>IF(B7="","",IFERROR(IF(VLOOKUP(AX7,Потребители_обозначение,8,FALSE)=0,"",VLOOKUP(AX7,Потребители_обозначение,8,FALSE)),""))</f>
        <v/>
      </c>
      <c r="BP7">
        <f t="shared" si="13"/>
        <v>400</v>
      </c>
      <c r="BQ7">
        <f>IF(B7="","",IF(BC7&lt;&gt;"",3,IFERROR(IF(N(VLOOKUP(AX7,Потребители_обозначение,9,FALSE))=0,1,VLOOKUP(AX7,Потребители_обозначение,9,FALSE)),1)))</f>
        <v>3</v>
      </c>
      <c r="BR7">
        <f t="shared" si="14"/>
        <v>3</v>
      </c>
      <c r="BS7" t="str">
        <f>IF(B7="","",_xlfn.LET(_xlpm.bc,IFERROR(IF(VLOOKUP(AX7,Потребители_обозначение,6,FALSE)=0,"",VLOOKUP(AX7,Потребители_обозначение,6,FALSE)&amp;""),""),IF(AND(FK7="да",OR(_xlpm.bc="",_xlpm.bc="мс")),Марка_пож,IF(AND(_xlpm.bc="",BC7&lt;&gt;""),"мс",_xlpm.bc))))</f>
        <v>мс</v>
      </c>
      <c r="BT7" t="str">
        <f t="shared" si="15"/>
        <v>мс</v>
      </c>
      <c r="BU7">
        <f>IF(B7="","",_xlfn.LET(_xlpm.cc,IFERROR(N(VLOOKUP(AX7,Потребители_обозначение,7,FALSE)),0),IF(_xlpm.cc&gt;0,_xlpm.cc,IF(BT7="","",IF(N(BR7)=3,5,3)))))</f>
        <v>5</v>
      </c>
      <c r="BV7">
        <f t="shared" si="16"/>
        <v>5</v>
      </c>
      <c r="BW7">
        <f>IFERROR(N(VLOOKUP(AX7,Потребители_обозначение,10,FALSE)),0)</f>
        <v>0</v>
      </c>
      <c r="BX7">
        <f>IFERROR(VLOOKUP(AX7,Потребители_обозначение,5,FALSE),0)</f>
        <v>0</v>
      </c>
      <c r="BY7" s="6" cm="1">
        <f t="array" ref="BY7">IF(B7="","",IF(BC7&lt;&gt;"",IFERROR(_xlfn.XLOOKUP(BC7,Щиты[Щит],Щиты[cos φ]),0.95),IF(BK7=1,IFERROR(_xlfn.XLOOKUP(A7,Щиты[Щит],Щиты[cos φ]),0.95),IF(ISNUMBER(Z7),Z7,IFERROR(IF(BX7=2,_xlfn.IFS(BR7=3,VLOOKUP(BN7,Справочная_двигатели,8,FALSE),BR7=1,VLOOKUP(BN7,Справочная_двигатели,10,TRUE)),IF(AND(Методика="нормы 2026",EQ7="Сил"),0.8,0.95)),0.95)))))</f>
        <v>0.80000000000000071</v>
      </c>
      <c r="BZ7">
        <f t="shared" si="17"/>
        <v>0</v>
      </c>
      <c r="CA7">
        <f t="shared" si="18"/>
        <v>1</v>
      </c>
      <c r="CB7">
        <f t="shared" si="19"/>
        <v>0</v>
      </c>
      <c r="CC7">
        <f t="shared" si="20"/>
        <v>0</v>
      </c>
      <c r="CD7">
        <f t="shared" si="21"/>
        <v>0</v>
      </c>
      <c r="CE7">
        <f t="shared" si="22"/>
        <v>0</v>
      </c>
      <c r="CF7">
        <f t="shared" si="23"/>
        <v>0</v>
      </c>
      <c r="CG7">
        <f>IF(AX7="",0,_xlfn.LET(_xlpm.v,IFERROR(VLOOKUP(B7,УГО_спр,3,FALSE),IFERROR(VLOOKUP(AX7,УГО_спр,3,FALSE),IFERROR(VLOOKUP(LEFT(AX7,2),УГО_спр,3,FALSE),""))),IF(_xlpm.v="да",30,IF(ISNUMBER(_xlpm.v),_xlpm.v,0))))</f>
        <v>0</v>
      </c>
      <c r="CH7" t="str">
        <f t="shared" si="24"/>
        <v/>
      </c>
      <c r="CI7" t="str">
        <f>_xlfn.LET(_xlpm.k,IFERROR(_xlfn.XLOOKUP(AX7,Коды_код,Коды_утечка)&amp;"",""),IF(_xlpm.k="","дифавтомат",_xlpm.k))</f>
        <v>дифавтомат</v>
      </c>
      <c r="CJ7">
        <f t="shared" si="25"/>
        <v>0</v>
      </c>
      <c r="CK7">
        <f t="shared" si="26"/>
        <v>0</v>
      </c>
      <c r="CL7">
        <f>IF(B7="",0,IFERROR(--VLOOKUP(B7,УГО_спр,4,FALSE),IFERROR(--VLOOKUP(AX7,УГО_спр,4,FALSE),IFERROR(--VLOOKUP(LEFT(AX7,2),УГО_спр,4,FALSE),0))))</f>
        <v>0</v>
      </c>
      <c r="CM7" t="str">
        <f>IF(B7="","",IFERROR(_xlfn.XLOOKUP(AX7,Коды_код,Коды_апп)&amp;"",""))</f>
        <v/>
      </c>
      <c r="CN7" t="str">
        <f t="shared" si="27"/>
        <v/>
      </c>
      <c r="CO7" t="str" cm="1">
        <f t="array" ref="CO7">IF(TRIM(CN7&amp;"")="","",IFERROR(TRIM(INDEX(_xlfn.TEXTSPLIT(CN7&amp;";;;",";"),1)),""))</f>
        <v/>
      </c>
      <c r="CP7" t="str" cm="1">
        <f t="array" ref="CP7">IF(TRIM(CN7&amp;"")="","",IFERROR(TRIM(INDEX(_xlfn.TEXTSPLIT(CN7&amp;";;;",";"),2)),""))</f>
        <v/>
      </c>
      <c r="CQ7" t="str" cm="1">
        <f t="array" ref="CQ7">IF(TRIM(CN7&amp;"")="","",IFERROR(TRIM(INDEX(_xlfn.TEXTSPLIT(CN7&amp;";;;",";"),3)),""))</f>
        <v/>
      </c>
      <c r="CR7">
        <f t="shared" si="28"/>
        <v>0</v>
      </c>
      <c r="CS7" t="str">
        <f>IF(B7="","",_xlfn.LET(_xlpm.t,LOWER(AV7&amp;""),IF(ISNUMBER(SEARCH("dim",_xlpm.t)),"DIM",IF(ISNUMBER(SEARCH("dali",_xlpm.t)),"DALI",IF(OR(ISNUMBER(SEARCH("relay",_xlpm.t)),ISNUMBER(SEARCH("реле",_xlpm.t))),"Relay",IF(ISNUMBER(SEARCH("кнопк",_xlpm.t)),"",IFERROR(_xlfn.XLOOKUP(AX7,Коды_код,Коды_упр)&amp;"","")))))))</f>
        <v/>
      </c>
      <c r="CT7" t="str">
        <f t="shared" si="29"/>
        <v/>
      </c>
      <c r="CU7">
        <f>IF(B7="","",_xlfn.LET(_xlpm.ig,N(P7)+IF(AF7="вручную",0,N(CB7)),_xlpm.n0,IFERROR(VLOOKUP(_xlpm.ig,Автомат_номиналы,2,TRUE),0),_xlpm.mn,MAX(CL7,IF(AF7="вручную",0,N(CE7))),MAX(_xlpm.n0,_xlpm.mn,IF(CR7=1,Мин_автомат_БП,0))))</f>
        <v>16</v>
      </c>
      <c r="CV7">
        <f t="shared" si="30"/>
        <v>3</v>
      </c>
      <c r="CW7" t="str">
        <f t="shared" si="31"/>
        <v>3P</v>
      </c>
      <c r="CX7" t="str">
        <f>_xlfn.LET(_xlpm.cc,UPPER(TRIM(IFERROR(_xlfn.XLOOKUP(AX7,Коды_код,Коды_хар)&amp;"",""))),IF(OR(_xlpm.cc="B",_xlpm.cc="В"),"B",IF(_xlpm.cc="D","D","С")))</f>
        <v>С</v>
      </c>
      <c r="CY7" t="str">
        <f t="shared" si="32"/>
        <v>3P С16А</v>
      </c>
      <c r="CZ7">
        <f t="shared" si="33"/>
        <v>25</v>
      </c>
      <c r="DA7" t="str">
        <f t="shared" si="34"/>
        <v>3P С25А</v>
      </c>
      <c r="DB7" cm="1">
        <f t="array" ref="DB7">IF(DA7="","",_xlfn.LET(_xlpm.t,SUBSTITUTE(SUBSTITUTE(SUBSTITUTE(UPPER(DA7),"С","C"),"А","A"),"В","B"),_xlpm.tk,_xlfn.TEXTSPLIT(_xlpm.t,"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7" t="str">
        <f t="shared" si="35"/>
        <v>ok</v>
      </c>
      <c r="DD7">
        <f t="shared" si="36"/>
        <v>25</v>
      </c>
      <c r="DE7" t="str">
        <f t="shared" si="37"/>
        <v>3P С25А</v>
      </c>
      <c r="DF7">
        <f t="shared" si="38"/>
        <v>0</v>
      </c>
      <c r="DG7">
        <f t="shared" si="39"/>
        <v>0</v>
      </c>
      <c r="DH7">
        <f t="shared" si="40"/>
        <v>0</v>
      </c>
      <c r="DI7">
        <f t="shared" si="41"/>
        <v>11.927695717539414</v>
      </c>
      <c r="DJ7">
        <f t="shared" si="42"/>
        <v>0.92</v>
      </c>
      <c r="DK7">
        <f>IF(ISNUMBER(AL7),AL7,К_прокл)</f>
        <v>1</v>
      </c>
      <c r="DL7">
        <f t="shared" si="43"/>
        <v>3</v>
      </c>
      <c r="DM7">
        <f>IFERROR(N(VLOOKUP(BT7,Кабель_обозначение,3,FALSE)),1)</f>
        <v>1</v>
      </c>
      <c r="DN7">
        <f>IFERROR(N(_xlfn.XLOOKUP(A7,Щиты[Щит],Щиты[ΔU до шин, %])),0)</f>
        <v>0</v>
      </c>
      <c r="DO7" t="str">
        <f>IFERROR(_xlfn.XLOOKUP(A7,Щиты[Щит],Щиты[Zпетли на шинах, Ом]),"")</f>
        <v/>
      </c>
      <c r="DP7">
        <f>IFERROR(N(_xlfn.XLOOKUP(A7,Щиты[Щит],Щиты[ΔU до шин (подбор), %])),0)</f>
        <v>0</v>
      </c>
      <c r="DQ7" t="str">
        <f>IFERROR(_xlfn.XLOOKUP(A7,Щиты[Щит],Щиты[Zпетли на шинах (подбор), Ом]),"")</f>
        <v/>
      </c>
      <c r="DR7" t="str">
        <f t="shared" si="44"/>
        <v/>
      </c>
      <c r="DS7">
        <f t="shared" si="45"/>
        <v>15</v>
      </c>
      <c r="DT7">
        <f t="shared" si="46"/>
        <v>1</v>
      </c>
      <c r="DU7">
        <f t="shared" si="47"/>
        <v>0.6</v>
      </c>
      <c r="DV7" s="6">
        <f>IF(B7="","",IF(IFERROR(VLOOKUP(AX7,УГО_спр,2,FALSE),"")="Светильник",3,4)+IF(Методика="нормы 2026",MIN(0.5,MAX(0,N(Q7)-100)*0.005),0))</f>
        <v>4</v>
      </c>
      <c r="DW7" cm="1">
        <f t="array" ref="DW7">IF(OR(B7="",BT7="",DM7&lt;&gt;1),"",_xlfn.LET(_xlpm.sz,Iдоп_S,_xlpm.t_,CHOOSE(DL7,Iдоп_1ж,Iдоп_2ж,Iдоп_3ж)*DJ7*DK7,_xlpm.inn,N(DD7),_xlpm.smin,MAX(1.5,BW7),_xlpm.L_,N(Q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7)*(_xlpm.rho*_xlpm.L_/_xlpm.sz*N(BY7)+_xlpm.xx*_xlpm.L_*N(DU7)/1000)*N(P7)/((Uн_лин/SQRT(3))*1000)*100,999),_xlpm.kz,IF(OR(DG7=1,NOT(ISNUMBER(DQ7)),_xlpm.L_=0,_xlpm.inn=0),1,IFERROR(--(c_min*(Uн_лин*1000/SQRT(3))/(DQ7+2*ρкз_Cu*_xlpm.L_/_xlpm.sz)&gt;=GY7*_xlpm.inn),0)),_xlpm.ok,IFERROR((_xlpm.sz&gt;=_xlpm.smin)*(_xlpm.t_&gt;=_xlpm.inn)*IF(_xlpm.L_&gt;0,(_xlpm.du_+DP7&lt;=DV7+0.00001),1)*_xlpm.kz,0),_xlpm.r_,_xlfn._xlws.FILTER(_xlpm.sz,_xlpm.ok,"не подобрано"),INDEX(_xlpm.r_,1)))</f>
        <v>4</v>
      </c>
      <c r="DX7">
        <f t="shared" si="48"/>
        <v>6</v>
      </c>
      <c r="DY7" cm="1">
        <f t="array" ref="DY7">IF(OR(B7="",BT7="",DM7&lt;&gt;1),"",_xlfn.LET(_xlpm.sz,Iдоп_S,_xlpm.t_,CHOOSE(DL7,Iдоп_1ж,Iдоп_2ж,Iдоп_3ж)*DJ7*DK7,_xlpm.ok,IFERROR((_xlpm.sz&gt;=MAX(1.5,BW7))*(_xlpm.t_&gt;=N(DD7)),0),_xlpm.r_,_xlfn._xlws.FILTER(_xlpm.sz,_xlpm.ok,""),INDEX(_xlpm.r_,1)))</f>
        <v>4</v>
      </c>
      <c r="DZ7" s="6" cm="1">
        <f t="array" ref="DZ7">IFERROR(ROUNDUP(N(DT7)*(_xlfn.XLOOKUP(DY7,INDEX(Кабель_сопротивление,0,1),INDEX(Кабель_сопротивление,0,3))*N(Q7)/DY7*N(BY7)+_xlfn.XLOOKUP(DY7,INDEX(Кабель_сопротивление,0,1),INDEX(Кабель_сопротивление,0,2))*N(Q7)*N(DU7)/1000)*N(P7)/((Uн_лин/SQRT(3))*1000)*100,2),"")</f>
        <v>0.36</v>
      </c>
      <c r="EA7">
        <f>IFERROR(2*ρкз_Cu*N(Q7)/DY7,"")</f>
        <v>0.19725000000000001</v>
      </c>
      <c r="EB7">
        <f>IFERROR(VLOOKUP(DX7,Кабель_сопротивление,3,FALSE),"")</f>
        <v>2.2499999999999999E-2</v>
      </c>
      <c r="EC7">
        <f>IFERROR(VLOOKUP(DX7,Кабель_сопротивление,2,FALSE),"")</f>
        <v>0.09</v>
      </c>
      <c r="ED7">
        <f t="shared" si="49"/>
        <v>15</v>
      </c>
      <c r="EE7">
        <f t="shared" si="50"/>
        <v>0</v>
      </c>
      <c r="EF7">
        <f t="shared" si="51"/>
        <v>0.54640774082048094</v>
      </c>
      <c r="EG7" s="6">
        <f>IFERROR(ROUNDUP(EF7/((Uн_лин/SQRT(3))*1000)*100,2),"")</f>
        <v>0.24000000000000002</v>
      </c>
      <c r="EH7" t="str">
        <f>IFERROR(VLOOKUP(BT7,Кабель_обозначение,2,FALSE),"")</f>
        <v>ВВГнг(А)-LS</v>
      </c>
      <c r="EI7" t="str">
        <f t="shared" si="52"/>
        <v>ВВГнг(А)-LS (5х6)</v>
      </c>
      <c r="EJ7" t="str">
        <f t="shared" si="53"/>
        <v>ВВГнг(А)-LS (5х6)
L=15-0,24%</v>
      </c>
      <c r="EK7">
        <f>IFERROR(2*ρкз_Cu*Q7/DX7,"")</f>
        <v>0.13150000000000001</v>
      </c>
      <c r="EL7">
        <f t="shared" si="54"/>
        <v>4.3750000000000004E-2</v>
      </c>
      <c r="EM7" s="6" t="str">
        <f>IFERROR(IF(OR(B7="",NOT(ISNUMBER(DX7)),N(Q7)=0),"",_xlfn.XLOOKUP(A7,Щиты[Щит],Щиты[Zпетли на шинах, Ом])+EK7),"")</f>
        <v/>
      </c>
      <c r="EN7" s="6" t="str">
        <f>IF(ISNUMBER(EM7),c_min*(Uн_лин*1000/SQRT(3))/EM7,"")</f>
        <v/>
      </c>
      <c r="EO7" s="6" t="str">
        <f>IFERROR(IF(OR(B7="",NOT(ISNUMBER(DX7))),"",1.05*(Uн_лин*1000/SQRT(3))/(_xlfn.XLOOKUP(A7,Щиты[Щит],Щиты[Zmax на шинах, Ом])+EL7)/1000),"")</f>
        <v/>
      </c>
      <c r="EP7" s="6" t="str">
        <f>IF(B7="","",IF(ISNUMBER(Y7),"Сил",IF(IFERROR(_xlfn.XLOOKUP(AX7,Коды_код,Коды_группа)&amp;"","")="","Быт",_xlfn.XLOOKUP(AX7,Коды_код,Коды_группа)&amp;"")))</f>
        <v>Сил</v>
      </c>
      <c r="EQ7" s="6" t="str">
        <f t="shared" si="55"/>
        <v>Щит</v>
      </c>
      <c r="ER7" s="6" t="str">
        <f>IF(EQ7="Щит","щит",IF(EQ7="","",IF(EQ7="Быт",IFERROR(_xlfn.XLOOKUP(A7,Щиты[Щит],Щиты[Кс быт]),1),IF(EQ7="Сил",IF(ISNUMBER(Y7),Y7,IF(Методика="нормы 2026",IFERROR(_xlfn.XLOOKUP(A7,Щиты[Щит],Щиты[Кс силовых (табл. 7.5)]),1),1)),IF(OR(EQ7="Пост",EQ7="Отоп"),1,IF(EQ7="ВНГ",0.7,0))))))</f>
        <v>щит</v>
      </c>
      <c r="ES7">
        <f t="shared" si="56"/>
        <v>1</v>
      </c>
      <c r="ET7">
        <f t="shared" si="57"/>
        <v>0</v>
      </c>
      <c r="EU7">
        <f t="shared" si="58"/>
        <v>0</v>
      </c>
      <c r="EV7">
        <f t="shared" si="59"/>
        <v>0</v>
      </c>
      <c r="EW7">
        <f t="shared" si="60"/>
        <v>0</v>
      </c>
      <c r="EX7">
        <f t="shared" si="61"/>
        <v>0</v>
      </c>
      <c r="EY7">
        <f t="shared" si="62"/>
        <v>0</v>
      </c>
      <c r="EZ7">
        <f t="shared" si="63"/>
        <v>0</v>
      </c>
      <c r="FA7">
        <f t="shared" si="64"/>
        <v>0</v>
      </c>
      <c r="FB7">
        <f t="shared" si="65"/>
        <v>13.172999999999996</v>
      </c>
      <c r="FC7" t="str">
        <f t="shared" si="66"/>
        <v/>
      </c>
      <c r="FD7" t="str">
        <f>IF(B7="","",IF(CA7=0,IF(AW7=1,"",FF6),IF(OR(N(CV7)&gt;=3,N(BR7)&gt;=3),"L1,L2,L3",IFERROR(_xlfn.TEXTBEFORE(_xlfn.TEXTAFTER(_xlfn.XLOOKUP(A7,Щиты[Щит],Щиты[_фазы авто]),";"&amp;AW7&amp;":"),";"),"L1"))))</f>
        <v>L1,L2,L3</v>
      </c>
      <c r="FE7" t="str">
        <f t="shared" si="67"/>
        <v>L1,L2,L3</v>
      </c>
      <c r="FF7" t="str">
        <f t="shared" si="68"/>
        <v>L1,L2,L3</v>
      </c>
      <c r="FG7" cm="1">
        <f t="array" ref="FG7">IFERROR(IF(BX7=2,_xlfn.IFS(BR7=3,VLOOKUP(BN7,Справочная_двигатели,3,FALSE),BR7=1,VLOOKUP(BN7,Справочная_двигатели,5,TRUE)),0),0)</f>
        <v>0</v>
      </c>
      <c r="FH7">
        <f>IFERROR(IF(BX7=3,VLOOKUP(BN7,Справочная_ЛЭД,2,TRUE),0),0)</f>
        <v>0</v>
      </c>
      <c r="FI7" s="6">
        <f t="shared" si="69"/>
        <v>0</v>
      </c>
      <c r="FJ7" t="str" cm="1">
        <f t="array" ref="FJ7">IF(B7="","",IFERROR(INDEX({"I особая","I","II","III"},MATCH(TRIM(AC7&amp;""),{"I особая","I","II","III"},0)),"III"))</f>
        <v>II</v>
      </c>
      <c r="FK7" t="str">
        <f>IF(B7="","",IF(TRIM(AD7&amp;"")&lt;&gt;"",IF(LOWER(TRIM(AD7&amp;""))="да","да","нет"),IF(IFERROR(_xlfn.XLOOKUP(AX7,Коды_код,Коды_пожарная),"")="да","да","нет")))</f>
        <v>нет</v>
      </c>
      <c r="FL7" t="str">
        <f t="shared" si="70"/>
        <v/>
      </c>
      <c r="FM7" t="str">
        <f t="shared" si="71"/>
        <v>основная</v>
      </c>
      <c r="FN7">
        <f t="shared" si="72"/>
        <v>1</v>
      </c>
      <c r="FO7" t="str" cm="1">
        <f t="array" ref="FO7">IF(B7="","",_xlfn.LET(_xlpm.t,IFERROR(_xlfn.XLOOKUP(1,(Шины[Шина]=FM7)*(((Шины[Щит]=A7)+(Шины[Щит]=""))&gt;0),Шины[Тип]),"")&amp;"",IF(_xlpm.t&lt;&gt;"",_xlpm.t,IF(ISNUMBER(SEARCH("ИБП",FM7)),"ИБП",IF(ISNUMBER(SEARCH("ДГУ",FM7)),"ДГУ","Ввод "&amp;FN7)))))</f>
        <v>Ввод 1</v>
      </c>
      <c r="FP7" t="str">
        <f t="shared" si="73"/>
        <v>Ввод 1</v>
      </c>
      <c r="FQ7" t="str">
        <f>IF(B7="","",IF(OR(FO7="ИБП",FO7="ДГУ"),"I особая",IF(FO7="Одиночная","III",_xlfn.XLOOKUP(A7,Щиты[Щит],Щиты[Категория шины «Ввод»],"III"))))</f>
        <v>I</v>
      </c>
      <c r="FR7">
        <f>IF(B7="",0,IFERROR(MATCH(FJ7,{"III","II","I","I особая"},0),1))</f>
        <v>2</v>
      </c>
      <c r="FS7">
        <f t="shared" si="74"/>
        <v>2</v>
      </c>
      <c r="FT7" t="str">
        <f>IF(B7="","",IF(FR7&gt;IFERROR(MATCH(FQ7,{"III","II","I","I особая"},0),1),"НЕ ОБЕСПЕЧЕНА","ОК"))</f>
        <v>ОК</v>
      </c>
      <c r="FU7" t="str">
        <f>IF(A7="","",_xlfn.XLOOKUP(A7,Щиты[Щит],Щиты[Путь],""))</f>
        <v>|ГРЩ-ЖД|</v>
      </c>
      <c r="FV7" t="str">
        <f>IF(B7="","",IF(AE7&lt;&gt;"",AE7,IF(IFERROR(_xlfn.XLOOKUP(AX7,Коды_код,Коды_вид)&amp;"","")="","Прочее",_xlfn.XLOOKUP(AX7,Коды_код,Коды_вид)&amp;"")))</f>
        <v>Вентиляция</v>
      </c>
      <c r="FW7">
        <f>IF(BH7="","",INT((BH7-1)/Столбцов_на_лист)+1)</f>
        <v>3</v>
      </c>
      <c r="FX7" t="str">
        <f t="shared" si="75"/>
        <v>ВВГнг(А)-LS (5х6) L=15-0,24%</v>
      </c>
      <c r="FY7">
        <f t="shared" si="76"/>
        <v>13.172999999999996</v>
      </c>
      <c r="FZ7">
        <f t="shared" si="77"/>
        <v>11.93</v>
      </c>
      <c r="GA7">
        <f t="shared" si="78"/>
        <v>3</v>
      </c>
      <c r="GB7">
        <f t="shared" si="79"/>
        <v>0</v>
      </c>
      <c r="GC7">
        <f t="shared" si="80"/>
        <v>1</v>
      </c>
      <c r="GD7">
        <f>IF(BH7="","",IF(AND(CA7=1,GC7=1),COUNTIFS(A$3:A7,A7,CA$3:CA7,1,GC$3:GC7,1),IF(OR(OR(AW7=1,A7&lt;&gt;A6),AF7="вручную",GC7=0),"",IF(AW7=1,"",GE6))))</f>
        <v>5</v>
      </c>
      <c r="GE7">
        <f t="shared" si="81"/>
        <v>5</v>
      </c>
      <c r="GF7">
        <f>IF(B7="","",IFERROR(LOOKUP(INDEX(CHOOSE(DL7,Iдоп_1ж,Iдоп_2ж,Iдоп_3ж),MATCH(DX7,Iдоп_S,0))*DJ7*DK7,{6,10,16,20,25,32,40,50,63,80,100,125,160,200,250,315,400,500,630}),""))</f>
        <v>32</v>
      </c>
      <c r="GG7" t="str">
        <f t="shared" si="82"/>
        <v>QF5</v>
      </c>
      <c r="GH7" t="str">
        <f t="shared" si="83"/>
        <v>QF5</v>
      </c>
      <c r="GI7" t="str">
        <f t="shared" si="84"/>
        <v/>
      </c>
      <c r="GJ7">
        <f t="shared" si="85"/>
        <v>0</v>
      </c>
      <c r="GK7" t="str">
        <f>IF(OR(AG7="",AG7="-"),"",IFERROR(VLOOKUP(AG7,Модули_спр,2,FALSE),"R"))</f>
        <v/>
      </c>
      <c r="GL7" t="str">
        <f>IF(GK7="","",GK7&amp;"."&amp;COUNTIFS(A$3:A7,A7,GK$3:GK7,GK7))</f>
        <v/>
      </c>
      <c r="GM7" t="str">
        <f t="shared" si="86"/>
        <v/>
      </c>
      <c r="GN7" t="str">
        <f t="shared" si="87"/>
        <v/>
      </c>
      <c r="GO7" t="str">
        <f t="shared" si="88"/>
        <v/>
      </c>
      <c r="GP7" t="str">
        <f t="shared" si="89"/>
        <v/>
      </c>
      <c r="GQ7">
        <f t="shared" si="90"/>
        <v>1</v>
      </c>
      <c r="GR7" t="str">
        <f>IF(GQ7=1,"XT"&amp;COUNTIFS(A$3:A7,A7,GQ$3:GQ7,1),"")</f>
        <v>XT3</v>
      </c>
      <c r="GS7" t="str">
        <f t="shared" si="91"/>
        <v/>
      </c>
      <c r="GT7" t="str">
        <f t="shared" si="92"/>
        <v>QF5</v>
      </c>
      <c r="GU7" t="str">
        <f t="shared" si="93"/>
        <v/>
      </c>
      <c r="GV7" t="str">
        <f t="shared" si="94"/>
        <v>ok</v>
      </c>
      <c r="GW7" t="str">
        <f>IF(OR(GO7="",GM7=""),"",IF(GO7&gt;IFERROR(VLOOKUP(GN7,Модули_спр,3,FALSE),99),"ЛИШНИЙ КАНАЛ",IF(AND(AH7&lt;&gt;"=",COUNTIFS(Линии[_модуль гр.],GM7,Линии[Канал (итог)],GO7,Линии[Канал],"&lt;&gt;=",Линии[Щит],A7)&gt;1),"ДУБЛЬ КАНАЛА","")))</f>
        <v/>
      </c>
      <c r="GX7" s="6" t="str">
        <f t="shared" si="95"/>
        <v/>
      </c>
      <c r="GY7">
        <f t="shared" si="96"/>
        <v>10</v>
      </c>
      <c r="GZ7" t="str">
        <f t="shared" si="97"/>
        <v/>
      </c>
      <c r="HA7" t="str">
        <f>IF(AND(B7="",GT7=""),"",_xlfn.TEXTJOIN("; ",TRUE,IF(AND(B7&lt;&gt;"",FE7=""),"нет фазы",""),IF(AND(B7&lt;&gt;"",N(FY7)=0,EQ7&lt;&gt;"Нет"),"нет мощности",""),IF(AND(GS7&lt;&gt;"",COUNTIFS(Линии[Щит],A7,Линии[Клемма (итог)],GS7)&gt;1),"дубль клеммы "&amp;GS7,""),IF(AND(GV7&lt;&gt;"",GV7&lt;&gt;"ok"),GV7,""),IF(GW7&lt;&gt;"",GW7,""),IF(AND(N(BV7)&gt;=4,N(BR7)=1),BV7&amp;" жил на 1 фазе",""),IF(AND(AX7="R",CA7=1,OR(N(CK7)=0,N(CK7)&gt;30)),"розетка без дифзащиты до 30 мА",""),IFERROR(IF(AND(ISNUMBER(R7),R7&gt;DV7),"потери "&amp;FIXED(R7,1)&amp;" % &gt; "&amp;DV7&amp;" %",""),""),IFERROR(IF(LEFT(GZ7,4)="мало","Iкз мало — отключение &gt; 0,4 с",""),""),IF(AND(B7&lt;&gt;"",BH7=""),"не на схеме",""),IF(AND(CA7=0,B7&lt;&gt;"",FE7&lt;&gt;"",IF(AW7=1,"",FF6)&lt;&gt;"",FE7&lt;&gt;IF(AW7=1,"",FF6)),"фаза не как у автомата группы ("&amp;IF(AW7=1,"",FF6)&amp;")","")))</f>
        <v/>
      </c>
      <c r="HB7" s="6" t="str">
        <f>IF(OR(CA7=0,DA7=""),"",_xlfn.LET(_xlpm.t,IFERROR(_xlfn.XLOOKUP(DA7,Каталог!$U$4:$U$500,Каталог!$G$4:$G$500),""),_xlpm.k,SEARCH("кА",_xlpm.t),IFERROR(--TRIM(RIGHT(SUBSTITUTE(MID(_xlpm.t,MAX(1,_xlpm.k-4),_xlpm.k-MAX(1,_xlpm.k-4))," ",REPT(" ",9)),5)),"")))</f>
        <v/>
      </c>
      <c r="HC7" t="str">
        <f>IF(OR(HB7="",CA7=0),"",IF(_xlfn.XLOOKUP(A7,Щиты[Щит],Щиты[Iкз max на шинах, кА],"")="","",IF(HB7&lt;_xlfn.XLOOKUP(A7,Щиты[Щит],Щиты[Iкз max на шинах, кА]),"Icu "&amp;HB7&amp;" кА &lt; Iкз max","ok")))</f>
        <v/>
      </c>
      <c r="HD7" t="str">
        <f t="shared" si="98"/>
        <v/>
      </c>
      <c r="HE7" t="str">
        <f t="shared" si="99"/>
        <v>QF5</v>
      </c>
      <c r="HF7" t="str">
        <f t="shared" si="100"/>
        <v>QF5|кабель ВВГнг(А)-LS (5х6) → Щит вентиляции ЩОВ-01 Цокольный этаж этаж Пом. №0.001Тб</v>
      </c>
      <c r="HG7" t="str" cm="1">
        <f t="array" ref="HG7">IF(HF7="","",_xlfn.LET(_xlpm.nd,_xlfn.TEXTSPLIT(HF7,"|"),IF(COLUMNS(_xlpm.nd)&gt;1,A7&amp;"¦"&amp;INDEX(_xlpm.nd,1)&amp;"¦"&amp;INDEX(_xlpm.nd,2),"")))</f>
        <v>ГРЩ-ЖД¦QF5¦кабель ВВГнг(А)-LS (5х6) → Щит вентиляции ЩОВ-01 Цокольный этаж этаж Пом. №0.001Тб</v>
      </c>
      <c r="HH7" t="str">
        <f t="shared" si="101"/>
        <v>ЩОВ-01¦Щит вентиляции ЩОВ-01 Цокольный этаж этаж Пом. №0.001Тб</v>
      </c>
      <c r="HI7" t="str" cm="1">
        <f t="array" ref="HI7">IF(HF7="","",_xlfn.LET(_xlpm.nd,_xlfn.TEXTSPLIT(HF7,"|"),IF(COLUMNS(_xlpm.nd)&gt;2,A7&amp;"¦"&amp;INDEX(_xlpm.nd,2)&amp;"¦"&amp;INDEX(_xlpm.nd,3),"")))</f>
        <v/>
      </c>
      <c r="HJ7" t="str">
        <f t="shared" si="102"/>
        <v/>
      </c>
      <c r="HK7" t="str" cm="1">
        <f t="array" ref="HK7">IF(HF7="","",_xlfn.LET(_xlpm.nd,_xlfn.TEXTSPLIT(HF7,"|"),IF(COLUMNS(_xlpm.nd)&gt;3,A7&amp;"¦"&amp;INDEX(_xlpm.nd,3)&amp;"¦"&amp;INDEX(_xlpm.nd,4),"")))</f>
        <v/>
      </c>
      <c r="HL7" t="str">
        <f t="shared" si="103"/>
        <v/>
      </c>
      <c r="HM7" t="str" cm="1">
        <f t="array" ref="HM7">IF(HF7="","",_xlfn.LET(_xlpm.nd,_xlfn.TEXTSPLIT(HF7,"|"),IF(COLUMNS(_xlpm.nd)&gt;4,A7&amp;"¦"&amp;INDEX(_xlpm.nd,4)&amp;"¦"&amp;INDEX(_xlpm.nd,5),"")))</f>
        <v/>
      </c>
      <c r="HN7" t="str">
        <f t="shared" si="104"/>
        <v/>
      </c>
      <c r="HO7" t="str" cm="1">
        <f t="array" ref="HO7">IF(HF7="","",_xlfn.LET(_xlpm.nd,_xlfn.TEXTSPLIT(HF7,"|"),IF(COLUMNS(_xlpm.nd)&gt;5,A7&amp;"¦"&amp;INDEX(_xlpm.nd,5)&amp;"¦"&amp;INDEX(_xlpm.nd,6),"")))</f>
        <v/>
      </c>
      <c r="HP7" t="str">
        <f t="shared" si="105"/>
        <v/>
      </c>
      <c r="HQ7" t="str" cm="1">
        <f t="array" ref="HQ7">IF(HF7="","",_xlfn.LET(_xlpm.nd,_xlfn.TEXTSPLIT(HF7,"|"),IF(COLUMNS(_xlpm.nd)&gt;6,A7&amp;"¦"&amp;INDEX(_xlpm.nd,6)&amp;"¦"&amp;INDEX(_xlpm.nd,7),"")))</f>
        <v/>
      </c>
      <c r="HR7" t="str">
        <f t="shared" si="106"/>
        <v/>
      </c>
      <c r="HS7" t="str">
        <f t="shared" si="107"/>
        <v/>
      </c>
      <c r="HT7" t="str">
        <f t="shared" si="108"/>
        <v>QF5</v>
      </c>
      <c r="HU7">
        <f t="shared" si="109"/>
        <v>0</v>
      </c>
      <c r="HV7">
        <f t="shared" si="110"/>
        <v>0</v>
      </c>
      <c r="HW7" t="str">
        <f t="shared" si="111"/>
        <v/>
      </c>
      <c r="HX7" t="str">
        <f t="shared" si="112"/>
        <v/>
      </c>
      <c r="HY7" t="str">
        <f t="shared" si="113"/>
        <v/>
      </c>
      <c r="HZ7" t="str">
        <f t="shared" si="114"/>
        <v/>
      </c>
      <c r="IA7" t="str">
        <f>IF(B7="","",IFERROR(VLOOKUP(B7,УГО_спр,2,FALSE),IFERROR(VLOOKUP(AX7,УГО_спр,2,FALSE),IFERROR(VLOOKUP(LEFT(AX7,2),УГО_спр,2,FALSE),""))))</f>
        <v/>
      </c>
      <c r="IB7" t="str">
        <f>IF(B7="","",IF(OR(IA7="",IA7=0),"BOX",IFERROR(IF(VLOOKUP(IA7,УГО_блоки,3,FALSE)&amp;""&lt;&gt;"",VLOOKUP(IA7,УГО_блоки,3,FALSE),VLOOKUP(IA7,УГО_блоки,2,FALSE)),IA7)))</f>
        <v>BOX</v>
      </c>
      <c r="IC7">
        <f t="shared" si="115"/>
        <v>1</v>
      </c>
      <c r="ID7">
        <f>IF(DA7="","",IF(COUNTIF(DA$3:DA7,DA7)=1,MAX(ID$2:ID6)+1,""))</f>
        <v>3</v>
      </c>
      <c r="IE7" t="str">
        <f>IF(CO7="","",IF(COUNTIF(CO$3:CO7,CO7)+COUNTIF(CP$2:CP6,CO7)+COUNTIF(CQ$2:CQ6,CO7)=1,MAX(IE$2:IG6)+1,""))</f>
        <v/>
      </c>
      <c r="IF7" t="str">
        <f>IF(CP7="","",IF(COUNTIF(CO$3:CO7,CP7)+COUNTIF(CP$3:CP7,CP7)+COUNTIF(CQ$2:CQ6,CP7)=1,MAX(IE$2:IG6,IE7)+1,""))</f>
        <v/>
      </c>
      <c r="IG7" t="str">
        <f>IF(CQ7="","",IF(COUNTIF(CO$3:CO7,CQ7)+COUNTIF(CP$3:CP7,CQ7)+COUNTIF(CQ$3:CQ7,CQ7)=1,MAX(IE$2:IG6,IE7,IF7)+1,""))</f>
        <v/>
      </c>
      <c r="IH7" t="str">
        <f t="shared" si="116"/>
        <v>5х6</v>
      </c>
      <c r="II7">
        <f>IF(IH7="","",IF(COUNTIF(IH$3:IH7,IH7)=1,MAX(II$2:II6)+1,""))</f>
        <v>2</v>
      </c>
      <c r="IJ7" t="str">
        <f>IF(GL7="","",COUNTIF(GL$3:GL7,"?*"))</f>
        <v/>
      </c>
      <c r="IK7" t="str">
        <f>IF(OR(GL7="",GN7=""),"",IF(COUNTIFS(GL$3:GL7,"?*",GN$3:GN7,GN7)=1,MAX(IK$2:IK6)+1,""))</f>
        <v/>
      </c>
      <c r="IL7">
        <f t="shared" si="117"/>
        <v>0</v>
      </c>
      <c r="IM7">
        <f>IF(B7="","",COUNTIF(B$3:B7,"?*"))</f>
        <v>5</v>
      </c>
      <c r="IN7">
        <f>IF(GQ7&lt;&gt;1,0,_xlfn.LET(_xlpm.k,MAX(IFERROR(--VLOOKUP(B7,УГО_спр,5,FALSE),0),IFERROR(--VLOOKUP(AX7,УГО_спр,5,FALSE),0),IFERROR(--VLOOKUP(LEFT(AX7,2),УГО_спр,5,FALSE),0)),IF(_xlpm.k&gt;0,_xlpm.k,IF(IFERROR(--LEFT(SUBSTITUTE(IH7,"x","х"),FIND("х",SUBSTITUTE(IH7,"x","х"))-1),3)&gt;3,Каталог!$S$9,1))))</f>
        <v>1</v>
      </c>
      <c r="IO7">
        <f t="shared" si="118"/>
        <v>2</v>
      </c>
      <c r="IP7" t="str">
        <f t="shared" si="119"/>
        <v>авто</v>
      </c>
      <c r="IQ7" t="str">
        <f t="shared" si="120"/>
        <v/>
      </c>
      <c r="IR7">
        <f t="shared" si="121"/>
        <v>0</v>
      </c>
      <c r="IS7">
        <f t="shared" si="122"/>
        <v>1</v>
      </c>
    </row>
    <row r="8" spans="1:253" x14ac:dyDescent="0.3">
      <c r="A8" t="s">
        <v>785</v>
      </c>
      <c r="B8" t="s">
        <v>749</v>
      </c>
      <c r="C8" t="s">
        <v>748</v>
      </c>
      <c r="D8">
        <v>1</v>
      </c>
      <c r="E8">
        <v>211.22</v>
      </c>
      <c r="G8">
        <v>400</v>
      </c>
      <c r="H8" t="str">
        <f>Линии[[#This Row],[_авто утечка]]</f>
        <v/>
      </c>
      <c r="I8" t="str">
        <f>Линии[[#This Row],[_авто управление]]</f>
        <v/>
      </c>
      <c r="J8" t="str">
        <f>Линии[[#This Row],[_авто аппараты]]</f>
        <v/>
      </c>
      <c r="K8">
        <v>185</v>
      </c>
      <c r="L8">
        <v>58</v>
      </c>
      <c r="M8" t="str">
        <f>Линии[[#This Row],[_авто фаза]]</f>
        <v>L1,L2,L3</v>
      </c>
      <c r="N8" t="str">
        <f>Линии[[#This Row],[_авто клемма]]</f>
        <v>XT4</v>
      </c>
      <c r="O8" t="str">
        <f t="shared" si="0"/>
        <v/>
      </c>
      <c r="P8" s="6" cm="1">
        <f t="array" ref="P8">IF(B8="","",IF(BC8&lt;&gt;"",IFERROR(_xlfn.XLOOKUP(BC8,Щиты[Щит],Щиты[Iр, А]),""),IF(BK8=1,IFERROR(_xlfn.XLOOKUP(A8,Щиты[Щит],Щиты[Iр, А]),""),IFERROR(_xlfn.IFS(BR8=1,BN8/((Uн_лин/SQRT(3))*BY8),BR8=3,BN8/(SQRT(3)*Uн_лин*BY8)),""))))</f>
        <v>190.59775761622515</v>
      </c>
      <c r="Q8" s="7">
        <f>IF(B8="","",IFERROR(IF(VLOOKUP(AX8,Потребители_обозначение,4,FALSE)=1,VLOOKUP(AX8,Потребители_обозначение,3,FALSE)*(D8*2-1)+DS8+VLOOKUP(AZ8,Этаж_обозначение,3,FALSE)+VLOOKUP(AZ8,Этаж_обозначение,4,FALSE),VLOOKUP(AX8,Потребители_обозначение,3,FALSE)*(D8*2-1)+DS8),DS8))</f>
        <v>58</v>
      </c>
      <c r="R8" s="6">
        <f t="shared" si="1"/>
        <v>0.64</v>
      </c>
      <c r="S8" t="str">
        <f t="shared" si="2"/>
        <v>5хВВГнг(А)-LS  (1х185)</v>
      </c>
      <c r="T8" t="str">
        <f>IF(BH8="","",IF(BI8="вводной узел","узел ","")&amp;"л."&amp;(INT((BH8-1)/Столбцов_на_лист)+1)&amp;" / "&amp;(MOD(BH8-1,Столбцов_на_лист)+1))</f>
        <v>л.3 / 2</v>
      </c>
      <c r="V8">
        <v>3</v>
      </c>
      <c r="W8">
        <v>400</v>
      </c>
      <c r="X8" t="s">
        <v>600</v>
      </c>
      <c r="Y8">
        <v>0.5</v>
      </c>
      <c r="AA8">
        <v>2</v>
      </c>
      <c r="AC8" t="s">
        <v>815</v>
      </c>
      <c r="AE8" t="s">
        <v>582</v>
      </c>
      <c r="AI8">
        <v>36</v>
      </c>
      <c r="AJ8" t="s">
        <v>616</v>
      </c>
      <c r="AK8">
        <v>1</v>
      </c>
      <c r="AM8">
        <v>39</v>
      </c>
      <c r="AN8">
        <v>11</v>
      </c>
      <c r="AO8">
        <v>0</v>
      </c>
      <c r="AW8" cm="1">
        <f t="array" ref="AW8">ROW()-ROW(Линии[#Headers])</f>
        <v>6</v>
      </c>
      <c r="AX8" s="6" t="str">
        <f t="shared" si="3"/>
        <v>ЩОВ-001</v>
      </c>
      <c r="AY8" t="str">
        <f t="shared" si="4"/>
        <v/>
      </c>
      <c r="AZ8" t="str">
        <f t="shared" si="5"/>
        <v/>
      </c>
      <c r="BA8" t="str">
        <f t="shared" si="6"/>
        <v/>
      </c>
      <c r="BB8" t="str">
        <f t="shared" si="7"/>
        <v/>
      </c>
      <c r="BC8" t="str">
        <f>IF(U8&lt;&gt;"",U8,IF(AND(B8&lt;&gt;"",B8&lt;&gt;A8,ISNUMBER(_xlfn.XMATCH(B8,Щиты[Щит]))),B8,""))</f>
        <v>ЩОВ-001</v>
      </c>
      <c r="BD8" t="str" cm="1">
        <f t="array" ref="BD8">IF(B8="","",IF(BC8&lt;&gt;"","Щит "&amp;BC8,_xlfn.LET(_xlpm.nm,IFERROR(_xlfn.XLOOKUP(AX8,Коды_код,Коды_имя)&amp;"",""),_xlpm.md,IFERROR(N(_xlfn.XLOOKUP(AX8,Коды_код,Коды_режим)),1),_xlpm.ex,IF(Имя_режим="по экспликации",IFERROR(_xlfn.XLOOKUP(AZ8&amp;"|"&amp;BB8,Экспликация[Этаж]&amp;"|"&amp;Экспликация[Помещение],Экспликация[Название])&amp;"",""),""),_xlpm.rm,IF(BB8="","",IF(_xlpm.ex&lt;&gt;"",". "&amp;_xlpm.ex&amp;IF(Имя_пом="нет"," ("&amp;BB8&amp;")"," (пом. "&amp;BB8&amp;")"),IF(Имя_пом="нет"," ",", пом. ")&amp;BB8)),IF(_xlpm.nm="","",IF(_xlpm.md=2,_xlpm.nm&amp;" шлейф "&amp;AZ8,_xlpm.nm&amp;_xlpm.rm)))))</f>
        <v>Щит ЩОВ-001</v>
      </c>
      <c r="BE8" t="str">
        <f t="shared" si="8"/>
        <v>Щит вентиляции ЩОВ-001 Подвальный этаж этаж Пом. №00.006Т</v>
      </c>
      <c r="BF8">
        <f>IFERROR(_xlfn.XMATCH(A8,Щиты[Щит]),0)</f>
        <v>1</v>
      </c>
      <c r="BG8">
        <f>_xlfn.LET(_xlpm.k,IFERROR(_xlfn.XLOOKUP(A8,Щиты[Щит],Щиты[Листов под вводной узел]),""),IF(_xlpm.k="",1,N(_xlpm.k))*Столбцов_на_лист)</f>
        <v>17</v>
      </c>
      <c r="BH8">
        <f t="shared" si="9"/>
        <v>36</v>
      </c>
      <c r="BI8" t="str">
        <f t="shared" si="10"/>
        <v>линии</v>
      </c>
      <c r="BJ8" s="6">
        <f>IFERROR(N(_xlfn.XLOOKUP(AX8,Коды_код,Коды_квт)),0)</f>
        <v>0</v>
      </c>
      <c r="BK8">
        <f t="shared" si="11"/>
        <v>0</v>
      </c>
      <c r="BL8">
        <f>IF(B8="","",IF(BC8&lt;&gt;"",IFERROR(_xlfn.XLOOKUP(BC8,Щиты[Щит],Щиты[Руст, кВт]),0),IF(BK8=1,IFERROR(_xlfn.XLOOKUP(A8,Щиты[Щит],Щиты[Руст, кВт]),0),IF(BJ8&gt;0,ROUND(BJ8*MAX(1,N(D8)),3),""))))</f>
        <v>211.22</v>
      </c>
      <c r="BM8">
        <f t="shared" si="12"/>
        <v>211.22</v>
      </c>
      <c r="BN8" s="6">
        <f>IF(B8="","",IF(BC8&lt;&gt;"",IFERROR(_xlfn.XLOOKUP(BC8,Щиты[Щит],Щиты[Руст, кВт]),0),N(BM8)))</f>
        <v>211.22</v>
      </c>
      <c r="BO8" t="str">
        <f>IF(B8="","",IFERROR(IF(VLOOKUP(AX8,Потребители_обозначение,8,FALSE)=0,"",VLOOKUP(AX8,Потребители_обозначение,8,FALSE)),""))</f>
        <v/>
      </c>
      <c r="BP8">
        <f t="shared" si="13"/>
        <v>400</v>
      </c>
      <c r="BQ8">
        <f>IF(B8="","",IF(BC8&lt;&gt;"",3,IFERROR(IF(N(VLOOKUP(AX8,Потребители_обозначение,9,FALSE))=0,1,VLOOKUP(AX8,Потребители_обозначение,9,FALSE)),1)))</f>
        <v>3</v>
      </c>
      <c r="BR8">
        <f t="shared" si="14"/>
        <v>3</v>
      </c>
      <c r="BS8" t="str">
        <f>IF(B8="","",_xlfn.LET(_xlpm.bc,IFERROR(IF(VLOOKUP(AX8,Потребители_обозначение,6,FALSE)=0,"",VLOOKUP(AX8,Потребители_обозначение,6,FALSE)&amp;""),""),IF(AND(FK8="да",OR(_xlpm.bc="",_xlpm.bc="мс")),Марка_пож,IF(AND(_xlpm.bc="",BC8&lt;&gt;""),"мс",_xlpm.bc))))</f>
        <v>мс</v>
      </c>
      <c r="BT8" t="str">
        <f t="shared" si="15"/>
        <v>5мс2</v>
      </c>
      <c r="BU8">
        <f>IF(B8="","",_xlfn.LET(_xlpm.cc,IFERROR(N(VLOOKUP(AX8,Потребители_обозначение,7,FALSE)),0),IF(_xlpm.cc&gt;0,_xlpm.cc,IF(BT8="","",IF(N(BR8)=3,5,3)))))</f>
        <v>5</v>
      </c>
      <c r="BV8">
        <f t="shared" si="16"/>
        <v>1</v>
      </c>
      <c r="BW8">
        <f>IFERROR(N(VLOOKUP(AX8,Потребители_обозначение,10,FALSE)),0)</f>
        <v>0</v>
      </c>
      <c r="BX8">
        <f>IFERROR(VLOOKUP(AX8,Потребители_обозначение,5,FALSE),0)</f>
        <v>0</v>
      </c>
      <c r="BY8" s="6" cm="1">
        <f t="array" ref="BY8">IF(B8="","",IF(BC8&lt;&gt;"",IFERROR(_xlfn.XLOOKUP(BC8,Щиты[Щит],Щиты[cos φ]),0.95),IF(BK8=1,IFERROR(_xlfn.XLOOKUP(A8,Щиты[Щит],Щиты[cos φ]),0.95),IF(ISNUMBER(Z8),Z8,IFERROR(IF(BX8=2,_xlfn.IFS(BR8=3,VLOOKUP(BN8,Справочная_двигатели,8,FALSE),BR8=1,VLOOKUP(BN8,Справочная_двигатели,10,TRUE)),IF(AND(Методика="нормы 2026",EQ8="Сил"),0.8,0.95)),0.95)))))</f>
        <v>0.8</v>
      </c>
      <c r="BZ8">
        <f t="shared" si="17"/>
        <v>0</v>
      </c>
      <c r="CA8">
        <f t="shared" si="18"/>
        <v>1</v>
      </c>
      <c r="CB8">
        <f t="shared" si="19"/>
        <v>0</v>
      </c>
      <c r="CC8">
        <f t="shared" si="20"/>
        <v>0</v>
      </c>
      <c r="CD8">
        <f t="shared" si="21"/>
        <v>0</v>
      </c>
      <c r="CE8">
        <f t="shared" si="22"/>
        <v>0</v>
      </c>
      <c r="CF8">
        <f t="shared" si="23"/>
        <v>0</v>
      </c>
      <c r="CG8">
        <f>IF(AX8="",0,_xlfn.LET(_xlpm.v,IFERROR(VLOOKUP(B8,УГО_спр,3,FALSE),IFERROR(VLOOKUP(AX8,УГО_спр,3,FALSE),IFERROR(VLOOKUP(LEFT(AX8,2),УГО_спр,3,FALSE),""))),IF(_xlpm.v="да",30,IF(ISNUMBER(_xlpm.v),_xlpm.v,0))))</f>
        <v>0</v>
      </c>
      <c r="CH8" t="str">
        <f t="shared" si="24"/>
        <v/>
      </c>
      <c r="CI8" t="str">
        <f>_xlfn.LET(_xlpm.k,IFERROR(_xlfn.XLOOKUP(AX8,Коды_код,Коды_утечка)&amp;"",""),IF(_xlpm.k="","дифавтомат",_xlpm.k))</f>
        <v>дифавтомат</v>
      </c>
      <c r="CJ8">
        <f t="shared" si="25"/>
        <v>0</v>
      </c>
      <c r="CK8">
        <f t="shared" si="26"/>
        <v>0</v>
      </c>
      <c r="CL8">
        <f>IF(B8="",0,IFERROR(--VLOOKUP(B8,УГО_спр,4,FALSE),IFERROR(--VLOOKUP(AX8,УГО_спр,4,FALSE),IFERROR(--VLOOKUP(LEFT(AX8,2),УГО_спр,4,FALSE),0))))</f>
        <v>0</v>
      </c>
      <c r="CM8" t="str">
        <f>IF(B8="","",IFERROR(_xlfn.XLOOKUP(AX8,Коды_код,Коды_апп)&amp;"",""))</f>
        <v/>
      </c>
      <c r="CN8" t="str">
        <f t="shared" si="27"/>
        <v/>
      </c>
      <c r="CO8" t="str" cm="1">
        <f t="array" ref="CO8">IF(TRIM(CN8&amp;"")="","",IFERROR(TRIM(INDEX(_xlfn.TEXTSPLIT(CN8&amp;";;;",";"),1)),""))</f>
        <v/>
      </c>
      <c r="CP8" t="str" cm="1">
        <f t="array" ref="CP8">IF(TRIM(CN8&amp;"")="","",IFERROR(TRIM(INDEX(_xlfn.TEXTSPLIT(CN8&amp;";;;",";"),2)),""))</f>
        <v/>
      </c>
      <c r="CQ8" t="str" cm="1">
        <f t="array" ref="CQ8">IF(TRIM(CN8&amp;"")="","",IFERROR(TRIM(INDEX(_xlfn.TEXTSPLIT(CN8&amp;";;;",";"),3)),""))</f>
        <v/>
      </c>
      <c r="CR8">
        <f t="shared" si="28"/>
        <v>0</v>
      </c>
      <c r="CS8" t="str">
        <f>IF(B8="","",_xlfn.LET(_xlpm.t,LOWER(AV8&amp;""),IF(ISNUMBER(SEARCH("dim",_xlpm.t)),"DIM",IF(ISNUMBER(SEARCH("dali",_xlpm.t)),"DALI",IF(OR(ISNUMBER(SEARCH("relay",_xlpm.t)),ISNUMBER(SEARCH("реле",_xlpm.t))),"Relay",IF(ISNUMBER(SEARCH("кнопк",_xlpm.t)),"",IFERROR(_xlfn.XLOOKUP(AX8,Коды_код,Коды_упр)&amp;"","")))))))</f>
        <v/>
      </c>
      <c r="CT8" t="str">
        <f t="shared" si="29"/>
        <v/>
      </c>
      <c r="CU8">
        <f>IF(B8="","",_xlfn.LET(_xlpm.ig,N(P8)+IF(AF8="вручную",0,N(CB8)),_xlpm.n0,IFERROR(VLOOKUP(_xlpm.ig,Автомат_номиналы,2,TRUE),0),_xlpm.mn,MAX(CL8,IF(AF8="вручную",0,N(CE8))),MAX(_xlpm.n0,_xlpm.mn,IF(CR8=1,Мин_автомат_БП,0))))</f>
        <v>250</v>
      </c>
      <c r="CV8">
        <f t="shared" si="30"/>
        <v>3</v>
      </c>
      <c r="CW8" t="str">
        <f t="shared" si="31"/>
        <v>3P</v>
      </c>
      <c r="CX8" t="str">
        <f>_xlfn.LET(_xlpm.cc,UPPER(TRIM(IFERROR(_xlfn.XLOOKUP(AX8,Коды_код,Коды_хар)&amp;"",""))),IF(OR(_xlpm.cc="B",_xlpm.cc="В"),"B",IF(_xlpm.cc="D","D","С")))</f>
        <v>С</v>
      </c>
      <c r="CY8" t="str">
        <f t="shared" si="32"/>
        <v>3P С250А</v>
      </c>
      <c r="CZ8">
        <f t="shared" si="33"/>
        <v>400</v>
      </c>
      <c r="DA8" t="str">
        <f t="shared" si="34"/>
        <v>3P С400А</v>
      </c>
      <c r="DB8" cm="1">
        <f t="array" ref="DB8">IF(DA8="","",_xlfn.LET(_xlpm.t,SUBSTITUTE(SUBSTITUTE(SUBSTITUTE(UPPER(DA8),"С","C"),"А","A"),"В","B"),_xlpm.tk,_xlfn.TEXTSPLIT(_xlpm.t,"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400</v>
      </c>
      <c r="DC8" t="str">
        <f t="shared" si="35"/>
        <v>ok</v>
      </c>
      <c r="DD8">
        <f t="shared" si="36"/>
        <v>400</v>
      </c>
      <c r="DE8" t="str">
        <f t="shared" si="37"/>
        <v>3P С400А</v>
      </c>
      <c r="DF8">
        <f t="shared" si="38"/>
        <v>0</v>
      </c>
      <c r="DG8">
        <f t="shared" si="39"/>
        <v>0</v>
      </c>
      <c r="DH8">
        <f t="shared" si="40"/>
        <v>0</v>
      </c>
      <c r="DI8">
        <f t="shared" si="41"/>
        <v>190.59775761622515</v>
      </c>
      <c r="DJ8">
        <f t="shared" si="42"/>
        <v>1</v>
      </c>
      <c r="DK8">
        <f>IF(ISNUMBER(AL8),AL8,К_прокл)</f>
        <v>1</v>
      </c>
      <c r="DL8">
        <f t="shared" si="43"/>
        <v>1</v>
      </c>
      <c r="DM8">
        <f>IFERROR(N(VLOOKUP(BT8,Кабель_обозначение,3,FALSE)),1)</f>
        <v>1</v>
      </c>
      <c r="DN8">
        <f>IFERROR(N(_xlfn.XLOOKUP(A8,Щиты[Щит],Щиты[ΔU до шин, %])),0)</f>
        <v>0</v>
      </c>
      <c r="DO8" t="str">
        <f>IFERROR(_xlfn.XLOOKUP(A8,Щиты[Щит],Щиты[Zпетли на шинах, Ом]),"")</f>
        <v/>
      </c>
      <c r="DP8">
        <f>IFERROR(N(_xlfn.XLOOKUP(A8,Щиты[Щит],Щиты[ΔU до шин (подбор), %])),0)</f>
        <v>0</v>
      </c>
      <c r="DQ8" t="str">
        <f>IFERROR(_xlfn.XLOOKUP(A8,Щиты[Щит],Щиты[Zпетли на шинах (подбор), Ом]),"")</f>
        <v/>
      </c>
      <c r="DR8" t="str">
        <f t="shared" si="44"/>
        <v/>
      </c>
      <c r="DS8">
        <f t="shared" si="45"/>
        <v>58</v>
      </c>
      <c r="DT8">
        <f t="shared" si="46"/>
        <v>1</v>
      </c>
      <c r="DU8">
        <f t="shared" si="47"/>
        <v>0.6</v>
      </c>
      <c r="DV8" s="6">
        <f>IF(B8="","",IF(IFERROR(VLOOKUP(AX8,УГО_спр,2,FALSE),"")="Светильник",3,4)+IF(Методика="нормы 2026",MIN(0.5,MAX(0,N(Q8)-100)*0.005),0))</f>
        <v>4</v>
      </c>
      <c r="DW8" cm="1">
        <f t="array" ref="DW8">IF(OR(B8="",BT8="",DM8&lt;&gt;1),"",_xlfn.LET(_xlpm.sz,Iдоп_S,_xlpm.t_,CHOOSE(DL8,Iдоп_1ж,Iдоп_2ж,Iдоп_3ж)*DJ8*DK8,_xlpm.inn,N(DD8),_xlpm.smin,MAX(1.5,BW8),_xlpm.L_,N(Q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8)*(_xlpm.rho*_xlpm.L_/_xlpm.sz*N(BY8)+_xlpm.xx*_xlpm.L_*N(DU8)/1000)*N(P8)/((Uн_лин/SQRT(3))*1000)*100,999),_xlpm.kz,IF(OR(DG8=1,NOT(ISNUMBER(DQ8)),_xlpm.L_=0,_xlpm.inn=0),1,IFERROR(--(c_min*(Uн_лин*1000/SQRT(3))/(DQ8+2*ρкз_Cu*_xlpm.L_/_xlpm.sz)&gt;=GY8*_xlpm.inn),0)),_xlpm.ok,IFERROR((_xlpm.sz&gt;=_xlpm.smin)*(_xlpm.t_&gt;=_xlpm.inn)*IF(_xlpm.L_&gt;0,(_xlpm.du_+DP8&lt;=DV8+0.00001),1)*_xlpm.kz,0),_xlpm.r_,_xlfn._xlws.FILTER(_xlpm.sz,_xlpm.ok,"не подобрано"),INDEX(_xlpm.r_,1)))</f>
        <v>150</v>
      </c>
      <c r="DX8">
        <f t="shared" si="48"/>
        <v>185</v>
      </c>
      <c r="DY8" cm="1">
        <f t="array" ref="DY8">IF(OR(B8="",BT8="",DM8&lt;&gt;1),"",_xlfn.LET(_xlpm.sz,Iдоп_S,_xlpm.t_,CHOOSE(DL8,Iдоп_1ж,Iдоп_2ж,Iдоп_3ж)*DJ8*DK8,_xlpm.ok,IFERROR((_xlpm.sz&gt;=MAX(1.5,BW8))*(_xlpm.t_&gt;=N(DD8)),0),_xlpm.r_,_xlfn._xlws.FILTER(_xlpm.sz,_xlpm.ok,""),INDEX(_xlpm.r_,1)))</f>
        <v>150</v>
      </c>
      <c r="DZ8" s="6" cm="1">
        <f t="array" ref="DZ8">IFERROR(ROUNDUP(N(DT8)*(_xlfn.XLOOKUP(DY8,INDEX(Кабель_сопротивление,0,1),INDEX(Кабель_сопротивление,0,3))*N(Q8)/DY8*N(BY8)+_xlfn.XLOOKUP(DY8,INDEX(Кабель_сопротивление,0,1),INDEX(Кабель_сопротивление,0,2))*N(Q8)*N(DU8)/1000)*N(P8)/((Uн_лин/SQRT(3))*1000)*100,2),"")</f>
        <v>0.75</v>
      </c>
      <c r="EA8">
        <f>IFERROR(2*ρкз_Cu*N(Q8)/DY8,"")</f>
        <v>2.0338666666666668E-2</v>
      </c>
      <c r="EB8">
        <f>IFERROR(VLOOKUP(DX8,Кабель_сопротивление,3,FALSE),"")</f>
        <v>2.2499999999999999E-2</v>
      </c>
      <c r="EC8">
        <f>IFERROR(VLOOKUP(DX8,Кабель_сопротивление,2,FALSE),"")</f>
        <v>5.96E-2</v>
      </c>
      <c r="ED8">
        <f t="shared" si="49"/>
        <v>11</v>
      </c>
      <c r="EE8">
        <f t="shared" si="50"/>
        <v>0</v>
      </c>
      <c r="EF8">
        <f t="shared" si="51"/>
        <v>1.4709045049617362</v>
      </c>
      <c r="EG8" s="6">
        <f>IFERROR(ROUNDUP(EF8/((Uн_лин/SQRT(3))*1000)*100,2),"")</f>
        <v>0.64</v>
      </c>
      <c r="EH8" t="str">
        <f>IFERROR(VLOOKUP(BT8,Кабель_обозначение,2,FALSE),"")</f>
        <v xml:space="preserve">5хВВГнг(А)-LS </v>
      </c>
      <c r="EI8" t="str">
        <f t="shared" si="52"/>
        <v>5хВВГнг(А)-LS  (1х185)</v>
      </c>
      <c r="EJ8" t="str">
        <f t="shared" si="53"/>
        <v>5хВВГнг(А)-LS  (1х185)
L=58-0,64%</v>
      </c>
      <c r="EK8">
        <f>IFERROR(2*ρкз_Cu*Q8/DX8,"")</f>
        <v>1.6490810810810812E-2</v>
      </c>
      <c r="EL8">
        <f t="shared" si="54"/>
        <v>5.486486486486487E-3</v>
      </c>
      <c r="EM8" s="6" t="str">
        <f>IFERROR(IF(OR(B8="",NOT(ISNUMBER(DX8)),N(Q8)=0),"",_xlfn.XLOOKUP(A8,Щиты[Щит],Щиты[Zпетли на шинах, Ом])+EK8),"")</f>
        <v/>
      </c>
      <c r="EN8" s="6" t="str">
        <f>IF(ISNUMBER(EM8),c_min*(Uн_лин*1000/SQRT(3))/EM8,"")</f>
        <v/>
      </c>
      <c r="EO8" s="6" t="str">
        <f>IFERROR(IF(OR(B8="",NOT(ISNUMBER(DX8))),"",1.05*(Uн_лин*1000/SQRT(3))/(_xlfn.XLOOKUP(A8,Щиты[Щит],Щиты[Zmax на шинах, Ом])+EL8)/1000),"")</f>
        <v/>
      </c>
      <c r="EP8" s="6" t="str">
        <f>IF(B8="","",IF(ISNUMBER(Y8),"Сил",IF(IFERROR(_xlfn.XLOOKUP(AX8,Коды_код,Коды_группа)&amp;"","")="","Быт",_xlfn.XLOOKUP(AX8,Коды_код,Коды_группа)&amp;"")))</f>
        <v>Сил</v>
      </c>
      <c r="EQ8" s="6" t="str">
        <f t="shared" si="55"/>
        <v>Щит</v>
      </c>
      <c r="ER8" s="6" t="str">
        <f>IF(EQ8="Щит","щит",IF(EQ8="","",IF(EQ8="Быт",IFERROR(_xlfn.XLOOKUP(A8,Щиты[Щит],Щиты[Кс быт]),1),IF(EQ8="Сил",IF(ISNUMBER(Y8),Y8,IF(Методика="нормы 2026",IFERROR(_xlfn.XLOOKUP(A8,Щиты[Щит],Щиты[Кс силовых (табл. 7.5)]),1),1)),IF(OR(EQ8="Пост",EQ8="Отоп"),1,IF(EQ8="ВНГ",0.7,0))))))</f>
        <v>щит</v>
      </c>
      <c r="ES8">
        <f t="shared" si="56"/>
        <v>2</v>
      </c>
      <c r="ET8">
        <f t="shared" si="57"/>
        <v>0</v>
      </c>
      <c r="EU8">
        <f t="shared" si="58"/>
        <v>0</v>
      </c>
      <c r="EV8">
        <f t="shared" si="59"/>
        <v>0</v>
      </c>
      <c r="EW8">
        <f t="shared" si="60"/>
        <v>0</v>
      </c>
      <c r="EX8">
        <f t="shared" si="61"/>
        <v>0</v>
      </c>
      <c r="EY8">
        <f t="shared" si="62"/>
        <v>0</v>
      </c>
      <c r="EZ8">
        <f t="shared" si="63"/>
        <v>0</v>
      </c>
      <c r="FA8">
        <f t="shared" si="64"/>
        <v>0</v>
      </c>
      <c r="FB8">
        <f t="shared" si="65"/>
        <v>211.22</v>
      </c>
      <c r="FC8" t="str">
        <f t="shared" si="66"/>
        <v/>
      </c>
      <c r="FD8" t="str">
        <f>IF(B8="","",IF(CA8=0,IF(AW8=1,"",FF7),IF(OR(N(CV8)&gt;=3,N(BR8)&gt;=3),"L1,L2,L3",IFERROR(_xlfn.TEXTBEFORE(_xlfn.TEXTAFTER(_xlfn.XLOOKUP(A8,Щиты[Щит],Щиты[_фазы авто]),";"&amp;AW8&amp;":"),";"),"L1"))))</f>
        <v>L1,L2,L3</v>
      </c>
      <c r="FE8" t="str">
        <f t="shared" si="67"/>
        <v>L1,L2,L3</v>
      </c>
      <c r="FF8" t="str">
        <f t="shared" si="68"/>
        <v>L1,L2,L3</v>
      </c>
      <c r="FG8" cm="1">
        <f t="array" ref="FG8">IFERROR(IF(BX8=2,_xlfn.IFS(BR8=3,VLOOKUP(BN8,Справочная_двигатели,3,FALSE),BR8=1,VLOOKUP(BN8,Справочная_двигатели,5,TRUE)),0),0)</f>
        <v>0</v>
      </c>
      <c r="FH8">
        <f>IFERROR(IF(BX8=3,VLOOKUP(BN8,Справочная_ЛЭД,2,TRUE),0),0)</f>
        <v>0</v>
      </c>
      <c r="FI8" s="6">
        <f t="shared" si="69"/>
        <v>0</v>
      </c>
      <c r="FJ8" t="str" cm="1">
        <f t="array" ref="FJ8">IF(B8="","",IFERROR(INDEX({"I особая","I","II","III"},MATCH(TRIM(AC8&amp;""),{"I особая","I","II","III"},0)),"III"))</f>
        <v>II</v>
      </c>
      <c r="FK8" t="str">
        <f>IF(B8="","",IF(TRIM(AD8&amp;"")&lt;&gt;"",IF(LOWER(TRIM(AD8&amp;""))="да","да","нет"),IF(IFERROR(_xlfn.XLOOKUP(AX8,Коды_код,Коды_пожарная),"")="да","да","нет")))</f>
        <v>нет</v>
      </c>
      <c r="FL8" t="str">
        <f t="shared" si="70"/>
        <v/>
      </c>
      <c r="FM8" t="str">
        <f t="shared" si="71"/>
        <v>основная</v>
      </c>
      <c r="FN8">
        <f t="shared" si="72"/>
        <v>2</v>
      </c>
      <c r="FO8" t="str" cm="1">
        <f t="array" ref="FO8">IF(B8="","",_xlfn.LET(_xlpm.t,IFERROR(_xlfn.XLOOKUP(1,(Шины[Шина]=FM8)*(((Шины[Щит]=A8)+(Шины[Щит]=""))&gt;0),Шины[Тип]),"")&amp;"",IF(_xlpm.t&lt;&gt;"",_xlpm.t,IF(ISNUMBER(SEARCH("ИБП",FM8)),"ИБП",IF(ISNUMBER(SEARCH("ДГУ",FM8)),"ДГУ","Ввод "&amp;FN8)))))</f>
        <v>Ввод 2</v>
      </c>
      <c r="FP8" t="str">
        <f t="shared" si="73"/>
        <v>Ввод 2</v>
      </c>
      <c r="FQ8" t="str">
        <f>IF(B8="","",IF(OR(FO8="ИБП",FO8="ДГУ"),"I особая",IF(FO8="Одиночная","III",_xlfn.XLOOKUP(A8,Щиты[Щит],Щиты[Категория шины «Ввод»],"III"))))</f>
        <v>I</v>
      </c>
      <c r="FR8">
        <f>IF(B8="",0,IFERROR(MATCH(FJ8,{"III","II","I","I особая"},0),1))</f>
        <v>2</v>
      </c>
      <c r="FS8">
        <f t="shared" si="74"/>
        <v>2</v>
      </c>
      <c r="FT8" t="str">
        <f>IF(B8="","",IF(FR8&gt;IFERROR(MATCH(FQ8,{"III","II","I","I особая"},0),1),"НЕ ОБЕСПЕЧЕНА","ОК"))</f>
        <v>ОК</v>
      </c>
      <c r="FU8" t="str">
        <f>IF(A8="","",_xlfn.XLOOKUP(A8,Щиты[Щит],Щиты[Путь],""))</f>
        <v>|ГРЩ-ЖД|</v>
      </c>
      <c r="FV8" t="str">
        <f>IF(B8="","",IF(AE8&lt;&gt;"",AE8,IF(IFERROR(_xlfn.XLOOKUP(AX8,Коды_код,Коды_вид)&amp;"","")="","Прочее",_xlfn.XLOOKUP(AX8,Коды_код,Коды_вид)&amp;"")))</f>
        <v>Вентиляция</v>
      </c>
      <c r="FW8">
        <f>IF(BH8="","",INT((BH8-1)/Столбцов_на_лист)+1)</f>
        <v>3</v>
      </c>
      <c r="FX8" t="str">
        <f t="shared" si="75"/>
        <v>5хВВГнг(А)-LS  (1х185) L=58-0,64%</v>
      </c>
      <c r="FY8">
        <f t="shared" si="76"/>
        <v>211.22</v>
      </c>
      <c r="FZ8">
        <f t="shared" si="77"/>
        <v>190.6</v>
      </c>
      <c r="GA8">
        <f t="shared" si="78"/>
        <v>3</v>
      </c>
      <c r="GB8">
        <f t="shared" si="79"/>
        <v>0</v>
      </c>
      <c r="GC8">
        <f t="shared" si="80"/>
        <v>1</v>
      </c>
      <c r="GD8">
        <f>IF(BH8="","",IF(AND(CA8=1,GC8=1),COUNTIFS(A$3:A8,A8,CA$3:CA8,1,GC$3:GC8,1),IF(OR(OR(AW8=1,A8&lt;&gt;A7),AF8="вручную",GC8=0),"",IF(AW8=1,"",GE7))))</f>
        <v>6</v>
      </c>
      <c r="GE8">
        <f t="shared" si="81"/>
        <v>6</v>
      </c>
      <c r="GF8">
        <f>IF(B8="","",IFERROR(LOOKUP(INDEX(CHOOSE(DL8,Iдоп_1ж,Iдоп_2ж,Iдоп_3ж),MATCH(DX8,Iдоп_S,0))*DJ8*DK8,{6,10,16,20,25,32,40,50,63,80,100,125,160,200,250,315,400,500,630}),""))</f>
        <v>500</v>
      </c>
      <c r="GG8" t="str">
        <f t="shared" si="82"/>
        <v>QF6</v>
      </c>
      <c r="GH8" t="str">
        <f t="shared" si="83"/>
        <v>QF6</v>
      </c>
      <c r="GI8" t="str">
        <f t="shared" si="84"/>
        <v/>
      </c>
      <c r="GJ8">
        <f t="shared" si="85"/>
        <v>0</v>
      </c>
      <c r="GK8" t="str">
        <f>IF(OR(AG8="",AG8="-"),"",IFERROR(VLOOKUP(AG8,Модули_спр,2,FALSE),"R"))</f>
        <v/>
      </c>
      <c r="GL8" t="str">
        <f>IF(GK8="","",GK8&amp;"."&amp;COUNTIFS(A$3:A8,A8,GK$3:GK8,GK8))</f>
        <v/>
      </c>
      <c r="GM8" t="str">
        <f t="shared" si="86"/>
        <v/>
      </c>
      <c r="GN8" t="str">
        <f t="shared" si="87"/>
        <v/>
      </c>
      <c r="GO8" t="str">
        <f t="shared" si="88"/>
        <v/>
      </c>
      <c r="GP8" t="str">
        <f t="shared" si="89"/>
        <v/>
      </c>
      <c r="GQ8">
        <f t="shared" si="90"/>
        <v>1</v>
      </c>
      <c r="GR8" t="str">
        <f>IF(GQ8=1,"XT"&amp;COUNTIFS(A$3:A8,A8,GQ$3:GQ8,1),"")</f>
        <v>XT4</v>
      </c>
      <c r="GS8" t="str">
        <f t="shared" si="91"/>
        <v>XT4</v>
      </c>
      <c r="GT8" t="str">
        <f t="shared" si="92"/>
        <v>QF6</v>
      </c>
      <c r="GU8" t="str">
        <f t="shared" si="93"/>
        <v/>
      </c>
      <c r="GV8" t="str">
        <f t="shared" si="94"/>
        <v>ok</v>
      </c>
      <c r="GW8" t="str">
        <f>IF(OR(GO8="",GM8=""),"",IF(GO8&gt;IFERROR(VLOOKUP(GN8,Модули_спр,3,FALSE),99),"ЛИШНИЙ КАНАЛ",IF(AND(AH8&lt;&gt;"=",COUNTIFS(Линии[_модуль гр.],GM8,Линии[Канал (итог)],GO8,Линии[Канал],"&lt;&gt;=",Линии[Щит],A8)&gt;1),"ДУБЛЬ КАНАЛА","")))</f>
        <v/>
      </c>
      <c r="GX8" s="6" t="str">
        <f t="shared" si="95"/>
        <v/>
      </c>
      <c r="GY8">
        <f t="shared" si="96"/>
        <v>10</v>
      </c>
      <c r="GZ8" t="str">
        <f t="shared" si="97"/>
        <v/>
      </c>
      <c r="HA8" t="str">
        <f>IF(AND(B8="",GT8=""),"",_xlfn.TEXTJOIN("; ",TRUE,IF(AND(B8&lt;&gt;"",FE8=""),"нет фазы",""),IF(AND(B8&lt;&gt;"",N(FY8)=0,EQ8&lt;&gt;"Нет"),"нет мощности",""),IF(AND(GS8&lt;&gt;"",COUNTIFS(Линии[Щит],A8,Линии[Клемма (итог)],GS8)&gt;1),"дубль клеммы "&amp;GS8,""),IF(AND(GV8&lt;&gt;"",GV8&lt;&gt;"ok"),GV8,""),IF(GW8&lt;&gt;"",GW8,""),IF(AND(N(BV8)&gt;=4,N(BR8)=1),BV8&amp;" жил на 1 фазе",""),IF(AND(AX8="R",CA8=1,OR(N(CK8)=0,N(CK8)&gt;30)),"розетка без дифзащиты до 30 мА",""),IFERROR(IF(AND(ISNUMBER(R8),R8&gt;DV8),"потери "&amp;FIXED(R8,1)&amp;" % &gt; "&amp;DV8&amp;" %",""),""),IFERROR(IF(LEFT(GZ8,4)="мало","Iкз мало — отключение &gt; 0,4 с",""),""),IF(AND(B8&lt;&gt;"",BH8=""),"не на схеме",""),IF(AND(CA8=0,B8&lt;&gt;"",FE8&lt;&gt;"",IF(AW8=1,"",FF7)&lt;&gt;"",FE8&lt;&gt;IF(AW8=1,"",FF7)),"фаза не как у автомата группы ("&amp;IF(AW8=1,"",FF7)&amp;")","")))</f>
        <v/>
      </c>
      <c r="HB8" s="6" t="str">
        <f>IF(OR(CA8=0,DA8=""),"",_xlfn.LET(_xlpm.t,IFERROR(_xlfn.XLOOKUP(DA8,Каталог!$U$4:$U$500,Каталог!$G$4:$G$500),""),_xlpm.k,SEARCH("кА",_xlpm.t),IFERROR(--TRIM(RIGHT(SUBSTITUTE(MID(_xlpm.t,MAX(1,_xlpm.k-4),_xlpm.k-MAX(1,_xlpm.k-4))," ",REPT(" ",9)),5)),"")))</f>
        <v/>
      </c>
      <c r="HC8" t="str">
        <f>IF(OR(HB8="",CA8=0),"",IF(_xlfn.XLOOKUP(A8,Щиты[Щит],Щиты[Iкз max на шинах, кА],"")="","",IF(HB8&lt;_xlfn.XLOOKUP(A8,Щиты[Щит],Щиты[Iкз max на шинах, кА]),"Icu "&amp;HB8&amp;" кА &lt; Iкз max","ok")))</f>
        <v/>
      </c>
      <c r="HD8" t="str">
        <f t="shared" si="98"/>
        <v/>
      </c>
      <c r="HE8" t="str">
        <f t="shared" si="99"/>
        <v>QF6|XT4</v>
      </c>
      <c r="HF8" t="str">
        <f t="shared" si="100"/>
        <v>QF6|XT4|кабель 5хВВГнг(А)-LS  (1х185) → Щит вентиляции ЩОВ-001 Подвальный этаж этаж Пом. №00.006Т</v>
      </c>
      <c r="HG8" t="str" cm="1">
        <f t="array" ref="HG8">IF(HF8="","",_xlfn.LET(_xlpm.nd,_xlfn.TEXTSPLIT(HF8,"|"),IF(COLUMNS(_xlpm.nd)&gt;1,A8&amp;"¦"&amp;INDEX(_xlpm.nd,1)&amp;"¦"&amp;INDEX(_xlpm.nd,2),"")))</f>
        <v>ГРЩ-ЖД¦QF6¦XT4</v>
      </c>
      <c r="HH8" t="str">
        <f t="shared" si="101"/>
        <v>ЩОВ-001¦Щит вентиляции ЩОВ-001 Подвальный этаж этаж Пом. №00.006Т</v>
      </c>
      <c r="HI8" t="str" cm="1">
        <f t="array" ref="HI8">IF(HF8="","",_xlfn.LET(_xlpm.nd,_xlfn.TEXTSPLIT(HF8,"|"),IF(COLUMNS(_xlpm.nd)&gt;2,A8&amp;"¦"&amp;INDEX(_xlpm.nd,2)&amp;"¦"&amp;INDEX(_xlpm.nd,3),"")))</f>
        <v>ГРЩ-ЖД¦XT4¦кабель 5хВВГнг(А)-LS  (1х185) → Щит вентиляции ЩОВ-001 Подвальный этаж этаж Пом. №00.006Т</v>
      </c>
      <c r="HJ8" t="str">
        <f t="shared" si="102"/>
        <v>ЩОВ-001¦Щит вентиляции ЩОВ-001 Подвальный этаж этаж Пом. №00.006Т</v>
      </c>
      <c r="HK8" t="str" cm="1">
        <f t="array" ref="HK8">IF(HF8="","",_xlfn.LET(_xlpm.nd,_xlfn.TEXTSPLIT(HF8,"|"),IF(COLUMNS(_xlpm.nd)&gt;3,A8&amp;"¦"&amp;INDEX(_xlpm.nd,3)&amp;"¦"&amp;INDEX(_xlpm.nd,4),"")))</f>
        <v/>
      </c>
      <c r="HL8" t="str">
        <f t="shared" si="103"/>
        <v/>
      </c>
      <c r="HM8" t="str" cm="1">
        <f t="array" ref="HM8">IF(HF8="","",_xlfn.LET(_xlpm.nd,_xlfn.TEXTSPLIT(HF8,"|"),IF(COLUMNS(_xlpm.nd)&gt;4,A8&amp;"¦"&amp;INDEX(_xlpm.nd,4)&amp;"¦"&amp;INDEX(_xlpm.nd,5),"")))</f>
        <v/>
      </c>
      <c r="HN8" t="str">
        <f t="shared" si="104"/>
        <v/>
      </c>
      <c r="HO8" t="str" cm="1">
        <f t="array" ref="HO8">IF(HF8="","",_xlfn.LET(_xlpm.nd,_xlfn.TEXTSPLIT(HF8,"|"),IF(COLUMNS(_xlpm.nd)&gt;5,A8&amp;"¦"&amp;INDEX(_xlpm.nd,5)&amp;"¦"&amp;INDEX(_xlpm.nd,6),"")))</f>
        <v/>
      </c>
      <c r="HP8" t="str">
        <f t="shared" si="105"/>
        <v/>
      </c>
      <c r="HQ8" t="str" cm="1">
        <f t="array" ref="HQ8">IF(HF8="","",_xlfn.LET(_xlpm.nd,_xlfn.TEXTSPLIT(HF8,"|"),IF(COLUMNS(_xlpm.nd)&gt;6,A8&amp;"¦"&amp;INDEX(_xlpm.nd,6)&amp;"¦"&amp;INDEX(_xlpm.nd,7),"")))</f>
        <v/>
      </c>
      <c r="HR8" t="str">
        <f t="shared" si="106"/>
        <v/>
      </c>
      <c r="HS8" t="str">
        <f t="shared" si="107"/>
        <v/>
      </c>
      <c r="HT8" t="str">
        <f t="shared" si="108"/>
        <v>QF6 → XT4</v>
      </c>
      <c r="HU8">
        <f t="shared" si="109"/>
        <v>0</v>
      </c>
      <c r="HV8">
        <f t="shared" si="110"/>
        <v>0</v>
      </c>
      <c r="HW8" t="str">
        <f t="shared" si="111"/>
        <v/>
      </c>
      <c r="HX8" t="str">
        <f t="shared" si="112"/>
        <v/>
      </c>
      <c r="HY8" t="str">
        <f t="shared" si="113"/>
        <v/>
      </c>
      <c r="HZ8" t="str">
        <f t="shared" si="114"/>
        <v/>
      </c>
      <c r="IA8" t="str">
        <f>IF(B8="","",IFERROR(VLOOKUP(B8,УГО_спр,2,FALSE),IFERROR(VLOOKUP(AX8,УГО_спр,2,FALSE),IFERROR(VLOOKUP(LEFT(AX8,2),УГО_спр,2,FALSE),""))))</f>
        <v/>
      </c>
      <c r="IB8" t="str">
        <f>IF(B8="","",IF(OR(IA8="",IA8=0),"BOX",IFERROR(IF(VLOOKUP(IA8,УГО_блоки,3,FALSE)&amp;""&lt;&gt;"",VLOOKUP(IA8,УГО_блоки,3,FALSE),VLOOKUP(IA8,УГО_блоки,2,FALSE)),IA8)))</f>
        <v>BOX</v>
      </c>
      <c r="IC8">
        <f t="shared" si="115"/>
        <v>1</v>
      </c>
      <c r="ID8">
        <f>IF(DA8="","",IF(COUNTIF(DA$3:DA8,DA8)=1,MAX(ID$2:ID7)+1,""))</f>
        <v>4</v>
      </c>
      <c r="IE8" t="str">
        <f>IF(CO8="","",IF(COUNTIF(CO$3:CO8,CO8)+COUNTIF(CP$2:CP7,CO8)+COUNTIF(CQ$2:CQ7,CO8)=1,MAX(IE$2:IG7)+1,""))</f>
        <v/>
      </c>
      <c r="IF8" t="str">
        <f>IF(CP8="","",IF(COUNTIF(CO$3:CO8,CP8)+COUNTIF(CP$3:CP8,CP8)+COUNTIF(CQ$2:CQ7,CP8)=1,MAX(IE$2:IG7,IE8)+1,""))</f>
        <v/>
      </c>
      <c r="IG8" t="str">
        <f>IF(CQ8="","",IF(COUNTIF(CO$3:CO8,CQ8)+COUNTIF(CP$3:CP8,CQ8)+COUNTIF(CQ$3:CQ8,CQ8)=1,MAX(IE$2:IG7,IE8,IF8)+1,""))</f>
        <v/>
      </c>
      <c r="IH8" t="str">
        <f t="shared" si="116"/>
        <v>1х185</v>
      </c>
      <c r="II8">
        <f>IF(IH8="","",IF(COUNTIF(IH$3:IH8,IH8)=1,MAX(II$2:II7)+1,""))</f>
        <v>3</v>
      </c>
      <c r="IJ8" t="str">
        <f>IF(GL8="","",COUNTIF(GL$3:GL8,"?*"))</f>
        <v/>
      </c>
      <c r="IK8" t="str">
        <f>IF(OR(GL8="",GN8=""),"",IF(COUNTIFS(GL$3:GL8,"?*",GN$3:GN8,GN8)=1,MAX(IK$2:IK7)+1,""))</f>
        <v/>
      </c>
      <c r="IL8">
        <f t="shared" si="117"/>
        <v>0</v>
      </c>
      <c r="IM8">
        <f>IF(B8="","",COUNTIF(B$3:B8,"?*"))</f>
        <v>6</v>
      </c>
      <c r="IN8">
        <f>IF(GQ8&lt;&gt;1,0,_xlfn.LET(_xlpm.k,MAX(IFERROR(--VLOOKUP(B8,УГО_спр,5,FALSE),0),IFERROR(--VLOOKUP(AX8,УГО_спр,5,FALSE),0),IFERROR(--VLOOKUP(LEFT(AX8,2),УГО_спр,5,FALSE),0)),IF(_xlpm.k&gt;0,_xlpm.k,IF(IFERROR(--LEFT(SUBSTITUTE(IH8,"x","х"),FIND("х",SUBSTITUTE(IH8,"x","х"))-1),3)&gt;3,Каталог!$S$9,1))))</f>
        <v>1</v>
      </c>
      <c r="IO8">
        <f t="shared" si="118"/>
        <v>0</v>
      </c>
      <c r="IP8" t="str">
        <f t="shared" si="119"/>
        <v>авто</v>
      </c>
      <c r="IQ8" t="str">
        <f t="shared" si="120"/>
        <v/>
      </c>
      <c r="IR8">
        <f t="shared" si="121"/>
        <v>0</v>
      </c>
      <c r="IS8">
        <f t="shared" si="122"/>
        <v>1</v>
      </c>
    </row>
    <row r="9" spans="1:253" x14ac:dyDescent="0.3">
      <c r="A9" t="s">
        <v>785</v>
      </c>
      <c r="B9" t="s">
        <v>751</v>
      </c>
      <c r="C9" t="s">
        <v>750</v>
      </c>
      <c r="D9">
        <v>1</v>
      </c>
      <c r="E9">
        <v>6.99</v>
      </c>
      <c r="G9">
        <v>16</v>
      </c>
      <c r="H9" t="str">
        <f>Линии[[#This Row],[_авто утечка]]</f>
        <v/>
      </c>
      <c r="I9" t="str">
        <f>Линии[[#This Row],[_авто управление]]</f>
        <v/>
      </c>
      <c r="J9" t="str">
        <f>Линии[[#This Row],[_авто аппараты]]</f>
        <v/>
      </c>
      <c r="K9">
        <v>4</v>
      </c>
      <c r="L9">
        <v>46</v>
      </c>
      <c r="M9" t="str">
        <f>Линии[[#This Row],[_авто фаза]]</f>
        <v>L1,L2,L3</v>
      </c>
      <c r="N9" t="s">
        <v>486</v>
      </c>
      <c r="O9" t="str">
        <f t="shared" si="0"/>
        <v/>
      </c>
      <c r="P9" s="6" cm="1">
        <f t="array" ref="P9">IF(B9="","",IF(BC9&lt;&gt;"",IFERROR(_xlfn.XLOOKUP(BC9,Щиты[Щит],Щиты[Iр, А]),""),IF(BK9=1,IFERROR(_xlfn.XLOOKUP(A9,Щиты[Щит],Щиты[Iр, А]),""),IFERROR(_xlfn.IFS(BR9=1,BN9/((Uн_лин/SQRT(3))*BY9),BR9=3,BN9/(SQRT(3)*Uн_лин*BY9)),""))))</f>
        <v>8.1189881604791125</v>
      </c>
      <c r="Q9" s="7">
        <f>IF(B9="","",IFERROR(IF(VLOOKUP(AX9,Потребители_обозначение,4,FALSE)=1,VLOOKUP(AX9,Потребители_обозначение,3,FALSE)*(D9*2-1)+DS9+VLOOKUP(AZ9,Этаж_обозначение,3,FALSE)+VLOOKUP(AZ9,Этаж_обозначение,4,FALSE),VLOOKUP(AX9,Потребители_обозначение,3,FALSE)*(D9*2-1)+DS9),DS9))</f>
        <v>46</v>
      </c>
      <c r="R9" s="6">
        <f t="shared" si="1"/>
        <v>0.74</v>
      </c>
      <c r="S9" t="str">
        <f t="shared" si="2"/>
        <v>ВВГнг(А)-LS (5х4)</v>
      </c>
      <c r="T9" t="str">
        <f>IF(BH9="","",IF(BI9="вводной узел","узел ","")&amp;"л."&amp;(INT((BH9-1)/Столбцов_на_лист)+1)&amp;" / "&amp;(MOD(BH9-1,Столбцов_на_лист)+1))</f>
        <v>л.3 / 3</v>
      </c>
      <c r="V9">
        <v>3</v>
      </c>
      <c r="W9">
        <v>400</v>
      </c>
      <c r="X9" t="s">
        <v>600</v>
      </c>
      <c r="Y9">
        <v>0.5</v>
      </c>
      <c r="AA9">
        <v>1</v>
      </c>
      <c r="AC9" t="s">
        <v>815</v>
      </c>
      <c r="AE9" t="s">
        <v>582</v>
      </c>
      <c r="AI9">
        <v>37</v>
      </c>
      <c r="AJ9" t="s">
        <v>11</v>
      </c>
      <c r="AK9">
        <v>5</v>
      </c>
      <c r="AM9">
        <v>29</v>
      </c>
      <c r="AN9">
        <v>12</v>
      </c>
      <c r="AO9">
        <v>0</v>
      </c>
      <c r="AW9" cm="1">
        <f t="array" ref="AW9">ROW()-ROW(Линии[#Headers])</f>
        <v>7</v>
      </c>
      <c r="AX9" s="6" t="str">
        <f t="shared" si="3"/>
        <v>ЩОВ-002</v>
      </c>
      <c r="AY9" t="str">
        <f t="shared" si="4"/>
        <v/>
      </c>
      <c r="AZ9" t="str">
        <f t="shared" si="5"/>
        <v/>
      </c>
      <c r="BA9" t="str">
        <f t="shared" si="6"/>
        <v/>
      </c>
      <c r="BB9" t="str">
        <f t="shared" si="7"/>
        <v/>
      </c>
      <c r="BC9" t="str">
        <f>IF(U9&lt;&gt;"",U9,IF(AND(B9&lt;&gt;"",B9&lt;&gt;A9,ISNUMBER(_xlfn.XMATCH(B9,Щиты[Щит]))),B9,""))</f>
        <v>ЩОВ-002</v>
      </c>
      <c r="BD9" t="str" cm="1">
        <f t="array" ref="BD9">IF(B9="","",IF(BC9&lt;&gt;"","Щит "&amp;BC9,_xlfn.LET(_xlpm.nm,IFERROR(_xlfn.XLOOKUP(AX9,Коды_код,Коды_имя)&amp;"",""),_xlpm.md,IFERROR(N(_xlfn.XLOOKUP(AX9,Коды_код,Коды_режим)),1),_xlpm.ex,IF(Имя_режим="по экспликации",IFERROR(_xlfn.XLOOKUP(AZ9&amp;"|"&amp;BB9,Экспликация[Этаж]&amp;"|"&amp;Экспликация[Помещение],Экспликация[Название])&amp;"",""),""),_xlpm.rm,IF(BB9="","",IF(_xlpm.ex&lt;&gt;"",". "&amp;_xlpm.ex&amp;IF(Имя_пом="нет"," ("&amp;BB9&amp;")"," (пом. "&amp;BB9&amp;")"),IF(Имя_пом="нет"," ",", пом. ")&amp;BB9)),IF(_xlpm.nm="","",IF(_xlpm.md=2,_xlpm.nm&amp;" шлейф "&amp;AZ9,_xlpm.nm&amp;_xlpm.rm)))))</f>
        <v>Щит ЩОВ-002</v>
      </c>
      <c r="BE9" t="str">
        <f t="shared" si="8"/>
        <v>Щит вентиляции ЩОВ-002 Подвальный этаж этаж Пом. №00.003Т</v>
      </c>
      <c r="BF9">
        <f>IFERROR(_xlfn.XMATCH(A9,Щиты[Щит]),0)</f>
        <v>1</v>
      </c>
      <c r="BG9">
        <f>_xlfn.LET(_xlpm.k,IFERROR(_xlfn.XLOOKUP(A9,Щиты[Щит],Щиты[Листов под вводной узел]),""),IF(_xlpm.k="",1,N(_xlpm.k))*Столбцов_на_лист)</f>
        <v>17</v>
      </c>
      <c r="BH9">
        <f t="shared" si="9"/>
        <v>37</v>
      </c>
      <c r="BI9" t="str">
        <f t="shared" si="10"/>
        <v>линии</v>
      </c>
      <c r="BJ9" s="6">
        <f>IFERROR(N(_xlfn.XLOOKUP(AX9,Коды_код,Коды_квт)),0)</f>
        <v>0</v>
      </c>
      <c r="BK9">
        <f t="shared" si="11"/>
        <v>0</v>
      </c>
      <c r="BL9">
        <f>IF(B9="","",IF(BC9&lt;&gt;"",IFERROR(_xlfn.XLOOKUP(BC9,Щиты[Щит],Щиты[Руст, кВт]),0),IF(BK9=1,IFERROR(_xlfn.XLOOKUP(A9,Щиты[Щит],Щиты[Руст, кВт]),0),IF(BJ9&gt;0,ROUND(BJ9*MAX(1,N(D9)),3),""))))</f>
        <v>6.99</v>
      </c>
      <c r="BM9">
        <f t="shared" si="12"/>
        <v>6.99</v>
      </c>
      <c r="BN9" s="6">
        <f>IF(B9="","",IF(BC9&lt;&gt;"",IFERROR(_xlfn.XLOOKUP(BC9,Щиты[Щит],Щиты[Руст, кВт]),0),N(BM9)))</f>
        <v>6.99</v>
      </c>
      <c r="BO9" t="str">
        <f>IF(B9="","",IFERROR(IF(VLOOKUP(AX9,Потребители_обозначение,8,FALSE)=0,"",VLOOKUP(AX9,Потребители_обозначение,8,FALSE)),""))</f>
        <v/>
      </c>
      <c r="BP9">
        <f t="shared" si="13"/>
        <v>400</v>
      </c>
      <c r="BQ9">
        <f>IF(B9="","",IF(BC9&lt;&gt;"",3,IFERROR(IF(N(VLOOKUP(AX9,Потребители_обозначение,9,FALSE))=0,1,VLOOKUP(AX9,Потребители_обозначение,9,FALSE)),1)))</f>
        <v>3</v>
      </c>
      <c r="BR9">
        <f t="shared" si="14"/>
        <v>3</v>
      </c>
      <c r="BS9" t="str">
        <f>IF(B9="","",_xlfn.LET(_xlpm.bc,IFERROR(IF(VLOOKUP(AX9,Потребители_обозначение,6,FALSE)=0,"",VLOOKUP(AX9,Потребители_обозначение,6,FALSE)&amp;""),""),IF(AND(FK9="да",OR(_xlpm.bc="",_xlpm.bc="мс")),Марка_пож,IF(AND(_xlpm.bc="",BC9&lt;&gt;""),"мс",_xlpm.bc))))</f>
        <v>мс</v>
      </c>
      <c r="BT9" t="str">
        <f t="shared" si="15"/>
        <v>мс</v>
      </c>
      <c r="BU9">
        <f>IF(B9="","",_xlfn.LET(_xlpm.cc,IFERROR(N(VLOOKUP(AX9,Потребители_обозначение,7,FALSE)),0),IF(_xlpm.cc&gt;0,_xlpm.cc,IF(BT9="","",IF(N(BR9)=3,5,3)))))</f>
        <v>5</v>
      </c>
      <c r="BV9">
        <f t="shared" si="16"/>
        <v>5</v>
      </c>
      <c r="BW9">
        <f>IFERROR(N(VLOOKUP(AX9,Потребители_обозначение,10,FALSE)),0)</f>
        <v>0</v>
      </c>
      <c r="BX9">
        <f>IFERROR(VLOOKUP(AX9,Потребители_обозначение,5,FALSE),0)</f>
        <v>0</v>
      </c>
      <c r="BY9" s="6" cm="1">
        <f t="array" ref="BY9">IF(B9="","",IF(BC9&lt;&gt;"",IFERROR(_xlfn.XLOOKUP(BC9,Щиты[Щит],Щиты[cos φ]),0.95),IF(BK9=1,IFERROR(_xlfn.XLOOKUP(A9,Щиты[Щит],Щиты[cos φ]),0.95),IF(ISNUMBER(Z9),Z9,IFERROR(IF(BX9=2,_xlfn.IFS(BR9=3,VLOOKUP(BN9,Справочная_двигатели,8,FALSE),BR9=1,VLOOKUP(BN9,Справочная_двигатели,10,TRUE)),IF(AND(Методика="нормы 2026",EQ9="Сил"),0.8,0.95)),0.95)))))</f>
        <v>0.79999999999999982</v>
      </c>
      <c r="BZ9">
        <f t="shared" si="17"/>
        <v>0</v>
      </c>
      <c r="CA9">
        <f t="shared" si="18"/>
        <v>1</v>
      </c>
      <c r="CB9">
        <f t="shared" si="19"/>
        <v>0</v>
      </c>
      <c r="CC9">
        <f t="shared" si="20"/>
        <v>0</v>
      </c>
      <c r="CD9">
        <f t="shared" si="21"/>
        <v>0</v>
      </c>
      <c r="CE9">
        <f t="shared" si="22"/>
        <v>0</v>
      </c>
      <c r="CF9">
        <f t="shared" si="23"/>
        <v>0</v>
      </c>
      <c r="CG9">
        <f>IF(AX9="",0,_xlfn.LET(_xlpm.v,IFERROR(VLOOKUP(B9,УГО_спр,3,FALSE),IFERROR(VLOOKUP(AX9,УГО_спр,3,FALSE),IFERROR(VLOOKUP(LEFT(AX9,2),УГО_спр,3,FALSE),""))),IF(_xlpm.v="да",30,IF(ISNUMBER(_xlpm.v),_xlpm.v,0))))</f>
        <v>0</v>
      </c>
      <c r="CH9" t="str">
        <f t="shared" si="24"/>
        <v/>
      </c>
      <c r="CI9" t="str">
        <f>_xlfn.LET(_xlpm.k,IFERROR(_xlfn.XLOOKUP(AX9,Коды_код,Коды_утечка)&amp;"",""),IF(_xlpm.k="","дифавтомат",_xlpm.k))</f>
        <v>дифавтомат</v>
      </c>
      <c r="CJ9">
        <f t="shared" si="25"/>
        <v>0</v>
      </c>
      <c r="CK9">
        <f t="shared" si="26"/>
        <v>0</v>
      </c>
      <c r="CL9">
        <f>IF(B9="",0,IFERROR(--VLOOKUP(B9,УГО_спр,4,FALSE),IFERROR(--VLOOKUP(AX9,УГО_спр,4,FALSE),IFERROR(--VLOOKUP(LEFT(AX9,2),УГО_спр,4,FALSE),0))))</f>
        <v>0</v>
      </c>
      <c r="CM9" t="str">
        <f>IF(B9="","",IFERROR(_xlfn.XLOOKUP(AX9,Коды_код,Коды_апп)&amp;"",""))</f>
        <v/>
      </c>
      <c r="CN9" t="str">
        <f t="shared" si="27"/>
        <v/>
      </c>
      <c r="CO9" t="str" cm="1">
        <f t="array" ref="CO9">IF(TRIM(CN9&amp;"")="","",IFERROR(TRIM(INDEX(_xlfn.TEXTSPLIT(CN9&amp;";;;",";"),1)),""))</f>
        <v/>
      </c>
      <c r="CP9" t="str" cm="1">
        <f t="array" ref="CP9">IF(TRIM(CN9&amp;"")="","",IFERROR(TRIM(INDEX(_xlfn.TEXTSPLIT(CN9&amp;";;;",";"),2)),""))</f>
        <v/>
      </c>
      <c r="CQ9" t="str" cm="1">
        <f t="array" ref="CQ9">IF(TRIM(CN9&amp;"")="","",IFERROR(TRIM(INDEX(_xlfn.TEXTSPLIT(CN9&amp;";;;",";"),3)),""))</f>
        <v/>
      </c>
      <c r="CR9">
        <f t="shared" si="28"/>
        <v>0</v>
      </c>
      <c r="CS9" t="str">
        <f>IF(B9="","",_xlfn.LET(_xlpm.t,LOWER(AV9&amp;""),IF(ISNUMBER(SEARCH("dim",_xlpm.t)),"DIM",IF(ISNUMBER(SEARCH("dali",_xlpm.t)),"DALI",IF(OR(ISNUMBER(SEARCH("relay",_xlpm.t)),ISNUMBER(SEARCH("реле",_xlpm.t))),"Relay",IF(ISNUMBER(SEARCH("кнопк",_xlpm.t)),"",IFERROR(_xlfn.XLOOKUP(AX9,Коды_код,Коды_упр)&amp;"","")))))))</f>
        <v/>
      </c>
      <c r="CT9" t="str">
        <f t="shared" si="29"/>
        <v/>
      </c>
      <c r="CU9">
        <f>IF(B9="","",_xlfn.LET(_xlpm.ig,N(P9)+IF(AF9="вручную",0,N(CB9)),_xlpm.n0,IFERROR(VLOOKUP(_xlpm.ig,Автомат_номиналы,2,TRUE),0),_xlpm.mn,MAX(CL9,IF(AF9="вручную",0,N(CE9))),MAX(_xlpm.n0,_xlpm.mn,IF(CR9=1,Мин_автомат_БП,0))))</f>
        <v>10</v>
      </c>
      <c r="CV9">
        <f t="shared" si="30"/>
        <v>3</v>
      </c>
      <c r="CW9" t="str">
        <f t="shared" si="31"/>
        <v>3P</v>
      </c>
      <c r="CX9" t="str">
        <f>_xlfn.LET(_xlpm.cc,UPPER(TRIM(IFERROR(_xlfn.XLOOKUP(AX9,Коды_код,Коды_хар)&amp;"",""))),IF(OR(_xlpm.cc="B",_xlpm.cc="В"),"B",IF(_xlpm.cc="D","D","С")))</f>
        <v>С</v>
      </c>
      <c r="CY9" t="str">
        <f t="shared" si="32"/>
        <v>3P С10А</v>
      </c>
      <c r="CZ9">
        <f t="shared" si="33"/>
        <v>16</v>
      </c>
      <c r="DA9" t="str">
        <f t="shared" si="34"/>
        <v>3P С16А</v>
      </c>
      <c r="DB9" cm="1">
        <f t="array" ref="DB9">IF(DA9="","",_xlfn.LET(_xlpm.t,SUBSTITUTE(SUBSTITUTE(SUBSTITUTE(UPPER(DA9),"С","C"),"А","A"),"В","B"),_xlpm.tk,_xlfn.TEXTSPLIT(_xlpm.t,"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9" t="str">
        <f t="shared" si="35"/>
        <v>ok</v>
      </c>
      <c r="DD9">
        <f t="shared" si="36"/>
        <v>16</v>
      </c>
      <c r="DE9" t="str">
        <f t="shared" si="37"/>
        <v>3P С16А</v>
      </c>
      <c r="DF9">
        <f t="shared" si="38"/>
        <v>0</v>
      </c>
      <c r="DG9">
        <f t="shared" si="39"/>
        <v>0</v>
      </c>
      <c r="DH9">
        <f t="shared" si="40"/>
        <v>0</v>
      </c>
      <c r="DI9">
        <f t="shared" si="41"/>
        <v>8.1189881604791125</v>
      </c>
      <c r="DJ9">
        <f t="shared" si="42"/>
        <v>0.92</v>
      </c>
      <c r="DK9">
        <f>IF(ISNUMBER(AL9),AL9,К_прокл)</f>
        <v>1</v>
      </c>
      <c r="DL9">
        <f t="shared" si="43"/>
        <v>3</v>
      </c>
      <c r="DM9">
        <f>IFERROR(N(VLOOKUP(BT9,Кабель_обозначение,3,FALSE)),1)</f>
        <v>1</v>
      </c>
      <c r="DN9">
        <f>IFERROR(N(_xlfn.XLOOKUP(A9,Щиты[Щит],Щиты[ΔU до шин, %])),0)</f>
        <v>0</v>
      </c>
      <c r="DO9" t="str">
        <f>IFERROR(_xlfn.XLOOKUP(A9,Щиты[Щит],Щиты[Zпетли на шинах, Ом]),"")</f>
        <v/>
      </c>
      <c r="DP9">
        <f>IFERROR(N(_xlfn.XLOOKUP(A9,Щиты[Щит],Щиты[ΔU до шин (подбор), %])),0)</f>
        <v>0</v>
      </c>
      <c r="DQ9" t="str">
        <f>IFERROR(_xlfn.XLOOKUP(A9,Щиты[Щит],Щиты[Zпетли на шинах (подбор), Ом]),"")</f>
        <v/>
      </c>
      <c r="DR9" t="str">
        <f t="shared" si="44"/>
        <v/>
      </c>
      <c r="DS9">
        <f t="shared" si="45"/>
        <v>46</v>
      </c>
      <c r="DT9">
        <f t="shared" si="46"/>
        <v>1</v>
      </c>
      <c r="DU9">
        <f t="shared" si="47"/>
        <v>0.6</v>
      </c>
      <c r="DV9" s="6">
        <f>IF(B9="","",IF(IFERROR(VLOOKUP(AX9,УГО_спр,2,FALSE),"")="Светильник",3,4)+IF(Методика="нормы 2026",MIN(0.5,MAX(0,N(Q9)-100)*0.005),0))</f>
        <v>4</v>
      </c>
      <c r="DW9" cm="1">
        <f t="array" ref="DW9">IF(OR(B9="",BT9="",DM9&lt;&gt;1),"",_xlfn.LET(_xlpm.sz,Iдоп_S,_xlpm.t_,CHOOSE(DL9,Iдоп_1ж,Iдоп_2ж,Iдоп_3ж)*DJ9*DK9,_xlpm.inn,N(DD9),_xlpm.smin,MAX(1.5,BW9),_xlpm.L_,N(Q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9)*(_xlpm.rho*_xlpm.L_/_xlpm.sz*N(BY9)+_xlpm.xx*_xlpm.L_*N(DU9)/1000)*N(P9)/((Uн_лин/SQRT(3))*1000)*100,999),_xlpm.kz,IF(OR(DG9=1,NOT(ISNUMBER(DQ9)),_xlpm.L_=0,_xlpm.inn=0),1,IFERROR(--(c_min*(Uн_лин*1000/SQRT(3))/(DQ9+2*ρкз_Cu*_xlpm.L_/_xlpm.sz)&gt;=GY9*_xlpm.inn),0)),_xlpm.ok,IFERROR((_xlpm.sz&gt;=_xlpm.smin)*(_xlpm.t_&gt;=_xlpm.inn)*IF(_xlpm.L_&gt;0,(_xlpm.du_+DP9&lt;=DV9+0.00001),1)*_xlpm.kz,0),_xlpm.r_,_xlfn._xlws.FILTER(_xlpm.sz,_xlpm.ok,"не подобрано"),INDEX(_xlpm.r_,1)))</f>
        <v>1.5</v>
      </c>
      <c r="DX9">
        <f t="shared" si="48"/>
        <v>4</v>
      </c>
      <c r="DY9" cm="1">
        <f t="array" ref="DY9">IF(OR(B9="",BT9="",DM9&lt;&gt;1),"",_xlfn.LET(_xlpm.sz,Iдоп_S,_xlpm.t_,CHOOSE(DL9,Iдоп_1ж,Iдоп_2ж,Iдоп_3ж)*DJ9*DK9,_xlpm.ok,IFERROR((_xlpm.sz&gt;=MAX(1.5,BW9))*(_xlpm.t_&gt;=N(DD9)),0),_xlpm.r_,_xlfn._xlws.FILTER(_xlpm.sz,_xlpm.ok,""),INDEX(_xlpm.r_,1)))</f>
        <v>1.5</v>
      </c>
      <c r="DZ9" s="6" cm="1">
        <f t="array" ref="DZ9">IFERROR(ROUNDUP(N(DT9)*(_xlfn.XLOOKUP(DY9,INDEX(Кабель_сопротивление,0,1),INDEX(Кабель_сопротивление,0,3))*N(Q9)/DY9*N(BY9)+_xlfn.XLOOKUP(DY9,INDEX(Кабель_сопротивление,0,1),INDEX(Кабель_сопротивление,0,2))*N(Q9)*N(DU9)/1000)*N(P9)/((Uн_лин/SQRT(3))*1000)*100,2),"")</f>
        <v>1.96</v>
      </c>
      <c r="EA9">
        <f>IFERROR(2*ρкз_Cu*N(Q9)/DY9,"")</f>
        <v>1.6130666666666666</v>
      </c>
      <c r="EB9">
        <f>IFERROR(VLOOKUP(DX9,Кабель_сопротивление,3,FALSE),"")</f>
        <v>2.2499999999999999E-2</v>
      </c>
      <c r="EC9">
        <f>IFERROR(VLOOKUP(DX9,Кабель_сопротивление,2,FALSE),"")</f>
        <v>9.5000000000000001E-2</v>
      </c>
      <c r="ED9">
        <f t="shared" si="49"/>
        <v>12</v>
      </c>
      <c r="EE9">
        <f t="shared" si="50"/>
        <v>0</v>
      </c>
      <c r="EF9">
        <f t="shared" si="51"/>
        <v>1.7019185361759521</v>
      </c>
      <c r="EG9" s="6">
        <f>IFERROR(ROUNDUP(EF9/((Uн_лин/SQRT(3))*1000)*100,2),"")</f>
        <v>0.74</v>
      </c>
      <c r="EH9" t="str">
        <f>IFERROR(VLOOKUP(BT9,Кабель_обозначение,2,FALSE),"")</f>
        <v>ВВГнг(А)-LS</v>
      </c>
      <c r="EI9" t="str">
        <f t="shared" si="52"/>
        <v>ВВГнг(А)-LS (5х4)</v>
      </c>
      <c r="EJ9" t="str">
        <f t="shared" si="53"/>
        <v>ВВГнг(А)-LS (5х4)
L=46-0,74%</v>
      </c>
      <c r="EK9">
        <f>IFERROR(2*ρкз_Cu*Q9/DX9,"")</f>
        <v>0.60489999999999999</v>
      </c>
      <c r="EL9">
        <f t="shared" si="54"/>
        <v>0.20125000000000001</v>
      </c>
      <c r="EM9" s="6" t="str">
        <f>IFERROR(IF(OR(B9="",NOT(ISNUMBER(DX9)),N(Q9)=0),"",_xlfn.XLOOKUP(A9,Щиты[Щит],Щиты[Zпетли на шинах, Ом])+EK9),"")</f>
        <v/>
      </c>
      <c r="EN9" s="6" t="str">
        <f>IF(ISNUMBER(EM9),c_min*(Uн_лин*1000/SQRT(3))/EM9,"")</f>
        <v/>
      </c>
      <c r="EO9" s="6" t="str">
        <f>IFERROR(IF(OR(B9="",NOT(ISNUMBER(DX9))),"",1.05*(Uн_лин*1000/SQRT(3))/(_xlfn.XLOOKUP(A9,Щиты[Щит],Щиты[Zmax на шинах, Ом])+EL9)/1000),"")</f>
        <v/>
      </c>
      <c r="EP9" s="6" t="str">
        <f>IF(B9="","",IF(ISNUMBER(Y9),"Сил",IF(IFERROR(_xlfn.XLOOKUP(AX9,Коды_код,Коды_группа)&amp;"","")="","Быт",_xlfn.XLOOKUP(AX9,Коды_код,Коды_группа)&amp;"")))</f>
        <v>Сил</v>
      </c>
      <c r="EQ9" s="6" t="str">
        <f t="shared" si="55"/>
        <v>Щит</v>
      </c>
      <c r="ER9" s="6" t="str">
        <f>IF(EQ9="Щит","щит",IF(EQ9="","",IF(EQ9="Быт",IFERROR(_xlfn.XLOOKUP(A9,Щиты[Щит],Щиты[Кс быт]),1),IF(EQ9="Сил",IF(ISNUMBER(Y9),Y9,IF(Методика="нормы 2026",IFERROR(_xlfn.XLOOKUP(A9,Щиты[Щит],Щиты[Кс силовых (табл. 7.5)]),1),1)),IF(OR(EQ9="Пост",EQ9="Отоп"),1,IF(EQ9="ВНГ",0.7,0))))))</f>
        <v>щит</v>
      </c>
      <c r="ES9">
        <f t="shared" si="56"/>
        <v>1</v>
      </c>
      <c r="ET9">
        <f t="shared" si="57"/>
        <v>0</v>
      </c>
      <c r="EU9">
        <f t="shared" si="58"/>
        <v>0</v>
      </c>
      <c r="EV9">
        <f t="shared" si="59"/>
        <v>0</v>
      </c>
      <c r="EW9">
        <f t="shared" si="60"/>
        <v>0</v>
      </c>
      <c r="EX9">
        <f t="shared" si="61"/>
        <v>0</v>
      </c>
      <c r="EY9">
        <f t="shared" si="62"/>
        <v>0</v>
      </c>
      <c r="EZ9">
        <f t="shared" si="63"/>
        <v>0</v>
      </c>
      <c r="FA9">
        <f t="shared" si="64"/>
        <v>0</v>
      </c>
      <c r="FB9">
        <f t="shared" si="65"/>
        <v>6.99</v>
      </c>
      <c r="FC9" t="str">
        <f t="shared" si="66"/>
        <v/>
      </c>
      <c r="FD9" t="str">
        <f>IF(B9="","",IF(CA9=0,IF(AW9=1,"",FF8),IF(OR(N(CV9)&gt;=3,N(BR9)&gt;=3),"L1,L2,L3",IFERROR(_xlfn.TEXTBEFORE(_xlfn.TEXTAFTER(_xlfn.XLOOKUP(A9,Щиты[Щит],Щиты[_фазы авто]),";"&amp;AW9&amp;":"),";"),"L1"))))</f>
        <v>L1,L2,L3</v>
      </c>
      <c r="FE9" t="str">
        <f t="shared" si="67"/>
        <v>L1,L2,L3</v>
      </c>
      <c r="FF9" t="str">
        <f t="shared" si="68"/>
        <v>L1,L2,L3</v>
      </c>
      <c r="FG9" cm="1">
        <f t="array" ref="FG9">IFERROR(IF(BX9=2,_xlfn.IFS(BR9=3,VLOOKUP(BN9,Справочная_двигатели,3,FALSE),BR9=1,VLOOKUP(BN9,Справочная_двигатели,5,TRUE)),0),0)</f>
        <v>0</v>
      </c>
      <c r="FH9">
        <f>IFERROR(IF(BX9=3,VLOOKUP(BN9,Справочная_ЛЭД,2,TRUE),0),0)</f>
        <v>0</v>
      </c>
      <c r="FI9" s="6">
        <f t="shared" si="69"/>
        <v>0</v>
      </c>
      <c r="FJ9" t="str" cm="1">
        <f t="array" ref="FJ9">IF(B9="","",IFERROR(INDEX({"I особая","I","II","III"},MATCH(TRIM(AC9&amp;""),{"I особая","I","II","III"},0)),"III"))</f>
        <v>II</v>
      </c>
      <c r="FK9" t="str">
        <f>IF(B9="","",IF(TRIM(AD9&amp;"")&lt;&gt;"",IF(LOWER(TRIM(AD9&amp;""))="да","да","нет"),IF(IFERROR(_xlfn.XLOOKUP(AX9,Коды_код,Коды_пожарная),"")="да","да","нет")))</f>
        <v>нет</v>
      </c>
      <c r="FL9" t="str">
        <f t="shared" si="70"/>
        <v/>
      </c>
      <c r="FM9" t="str">
        <f t="shared" si="71"/>
        <v>основная</v>
      </c>
      <c r="FN9">
        <f t="shared" si="72"/>
        <v>1</v>
      </c>
      <c r="FO9" t="str" cm="1">
        <f t="array" ref="FO9">IF(B9="","",_xlfn.LET(_xlpm.t,IFERROR(_xlfn.XLOOKUP(1,(Шины[Шина]=FM9)*(((Шины[Щит]=A9)+(Шины[Щит]=""))&gt;0),Шины[Тип]),"")&amp;"",IF(_xlpm.t&lt;&gt;"",_xlpm.t,IF(ISNUMBER(SEARCH("ИБП",FM9)),"ИБП",IF(ISNUMBER(SEARCH("ДГУ",FM9)),"ДГУ","Ввод "&amp;FN9)))))</f>
        <v>Ввод 1</v>
      </c>
      <c r="FP9" t="str">
        <f t="shared" si="73"/>
        <v>Ввод 1</v>
      </c>
      <c r="FQ9" t="str">
        <f>IF(B9="","",IF(OR(FO9="ИБП",FO9="ДГУ"),"I особая",IF(FO9="Одиночная","III",_xlfn.XLOOKUP(A9,Щиты[Щит],Щиты[Категория шины «Ввод»],"III"))))</f>
        <v>I</v>
      </c>
      <c r="FR9">
        <f>IF(B9="",0,IFERROR(MATCH(FJ9,{"III","II","I","I особая"},0),1))</f>
        <v>2</v>
      </c>
      <c r="FS9">
        <f t="shared" si="74"/>
        <v>2</v>
      </c>
      <c r="FT9" t="str">
        <f>IF(B9="","",IF(FR9&gt;IFERROR(MATCH(FQ9,{"III","II","I","I особая"},0),1),"НЕ ОБЕСПЕЧЕНА","ОК"))</f>
        <v>ОК</v>
      </c>
      <c r="FU9" t="str">
        <f>IF(A9="","",_xlfn.XLOOKUP(A9,Щиты[Щит],Щиты[Путь],""))</f>
        <v>|ГРЩ-ЖД|</v>
      </c>
      <c r="FV9" t="str">
        <f>IF(B9="","",IF(AE9&lt;&gt;"",AE9,IF(IFERROR(_xlfn.XLOOKUP(AX9,Коды_код,Коды_вид)&amp;"","")="","Прочее",_xlfn.XLOOKUP(AX9,Коды_код,Коды_вид)&amp;"")))</f>
        <v>Вентиляция</v>
      </c>
      <c r="FW9">
        <f>IF(BH9="","",INT((BH9-1)/Столбцов_на_лист)+1)</f>
        <v>3</v>
      </c>
      <c r="FX9" t="str">
        <f t="shared" si="75"/>
        <v>ВВГнг(А)-LS (5х4) L=46-0,74%</v>
      </c>
      <c r="FY9">
        <f t="shared" si="76"/>
        <v>6.99</v>
      </c>
      <c r="FZ9">
        <f t="shared" si="77"/>
        <v>8.1199999999999992</v>
      </c>
      <c r="GA9">
        <f t="shared" si="78"/>
        <v>3</v>
      </c>
      <c r="GB9">
        <f t="shared" si="79"/>
        <v>0</v>
      </c>
      <c r="GC9">
        <f t="shared" si="80"/>
        <v>1</v>
      </c>
      <c r="GD9">
        <f>IF(BH9="","",IF(AND(CA9=1,GC9=1),COUNTIFS(A$3:A9,A9,CA$3:CA9,1,GC$3:GC9,1),IF(OR(OR(AW9=1,A9&lt;&gt;A8),AF9="вручную",GC9=0),"",IF(AW9=1,"",GE8))))</f>
        <v>7</v>
      </c>
      <c r="GE9">
        <f t="shared" si="81"/>
        <v>7</v>
      </c>
      <c r="GF9">
        <f>IF(B9="","",IFERROR(LOOKUP(INDEX(CHOOSE(DL9,Iдоп_1ж,Iдоп_2ж,Iдоп_3ж),MATCH(DX9,Iдоп_S,0))*DJ9*DK9,{6,10,16,20,25,32,40,50,63,80,100,125,160,200,250,315,400,500,630}),""))</f>
        <v>32</v>
      </c>
      <c r="GG9" t="str">
        <f t="shared" si="82"/>
        <v>QF7</v>
      </c>
      <c r="GH9" t="str">
        <f t="shared" si="83"/>
        <v>QF7</v>
      </c>
      <c r="GI9" t="str">
        <f t="shared" si="84"/>
        <v/>
      </c>
      <c r="GJ9">
        <f t="shared" si="85"/>
        <v>0</v>
      </c>
      <c r="GK9" t="str">
        <f>IF(OR(AG9="",AG9="-"),"",IFERROR(VLOOKUP(AG9,Модули_спр,2,FALSE),"R"))</f>
        <v/>
      </c>
      <c r="GL9" t="str">
        <f>IF(GK9="","",GK9&amp;"."&amp;COUNTIFS(A$3:A9,A9,GK$3:GK9,GK9))</f>
        <v/>
      </c>
      <c r="GM9" t="str">
        <f t="shared" si="86"/>
        <v/>
      </c>
      <c r="GN9" t="str">
        <f t="shared" si="87"/>
        <v/>
      </c>
      <c r="GO9" t="str">
        <f t="shared" si="88"/>
        <v/>
      </c>
      <c r="GP9" t="str">
        <f t="shared" si="89"/>
        <v/>
      </c>
      <c r="GQ9">
        <f t="shared" si="90"/>
        <v>1</v>
      </c>
      <c r="GR9" t="str">
        <f>IF(GQ9=1,"XT"&amp;COUNTIFS(A$3:A9,A9,GQ$3:GQ9,1),"")</f>
        <v>XT5</v>
      </c>
      <c r="GS9" t="str">
        <f t="shared" si="91"/>
        <v/>
      </c>
      <c r="GT9" t="str">
        <f t="shared" si="92"/>
        <v>QF7</v>
      </c>
      <c r="GU9" t="str">
        <f t="shared" si="93"/>
        <v/>
      </c>
      <c r="GV9" t="str">
        <f t="shared" si="94"/>
        <v>ok</v>
      </c>
      <c r="GW9" t="str">
        <f>IF(OR(GO9="",GM9=""),"",IF(GO9&gt;IFERROR(VLOOKUP(GN9,Модули_спр,3,FALSE),99),"ЛИШНИЙ КАНАЛ",IF(AND(AH9&lt;&gt;"=",COUNTIFS(Линии[_модуль гр.],GM9,Линии[Канал (итог)],GO9,Линии[Канал],"&lt;&gt;=",Линии[Щит],A9)&gt;1),"ДУБЛЬ КАНАЛА","")))</f>
        <v/>
      </c>
      <c r="GX9" s="6" t="str">
        <f t="shared" si="95"/>
        <v/>
      </c>
      <c r="GY9">
        <f t="shared" si="96"/>
        <v>10</v>
      </c>
      <c r="GZ9" t="str">
        <f t="shared" si="97"/>
        <v/>
      </c>
      <c r="HA9" t="str">
        <f>IF(AND(B9="",GT9=""),"",_xlfn.TEXTJOIN("; ",TRUE,IF(AND(B9&lt;&gt;"",FE9=""),"нет фазы",""),IF(AND(B9&lt;&gt;"",N(FY9)=0,EQ9&lt;&gt;"Нет"),"нет мощности",""),IF(AND(GS9&lt;&gt;"",COUNTIFS(Линии[Щит],A9,Линии[Клемма (итог)],GS9)&gt;1),"дубль клеммы "&amp;GS9,""),IF(AND(GV9&lt;&gt;"",GV9&lt;&gt;"ok"),GV9,""),IF(GW9&lt;&gt;"",GW9,""),IF(AND(N(BV9)&gt;=4,N(BR9)=1),BV9&amp;" жил на 1 фазе",""),IF(AND(AX9="R",CA9=1,OR(N(CK9)=0,N(CK9)&gt;30)),"розетка без дифзащиты до 30 мА",""),IFERROR(IF(AND(ISNUMBER(R9),R9&gt;DV9),"потери "&amp;FIXED(R9,1)&amp;" % &gt; "&amp;DV9&amp;" %",""),""),IFERROR(IF(LEFT(GZ9,4)="мало","Iкз мало — отключение &gt; 0,4 с",""),""),IF(AND(B9&lt;&gt;"",BH9=""),"не на схеме",""),IF(AND(CA9=0,B9&lt;&gt;"",FE9&lt;&gt;"",IF(AW9=1,"",FF8)&lt;&gt;"",FE9&lt;&gt;IF(AW9=1,"",FF8)),"фаза не как у автомата группы ("&amp;IF(AW9=1,"",FF8)&amp;")","")))</f>
        <v/>
      </c>
      <c r="HB9" s="6" t="str">
        <f>IF(OR(CA9=0,DA9=""),"",_xlfn.LET(_xlpm.t,IFERROR(_xlfn.XLOOKUP(DA9,Каталог!$U$4:$U$500,Каталог!$G$4:$G$500),""),_xlpm.k,SEARCH("кА",_xlpm.t),IFERROR(--TRIM(RIGHT(SUBSTITUTE(MID(_xlpm.t,MAX(1,_xlpm.k-4),_xlpm.k-MAX(1,_xlpm.k-4))," ",REPT(" ",9)),5)),"")))</f>
        <v/>
      </c>
      <c r="HC9" t="str">
        <f>IF(OR(HB9="",CA9=0),"",IF(_xlfn.XLOOKUP(A9,Щиты[Щит],Щиты[Iкз max на шинах, кА],"")="","",IF(HB9&lt;_xlfn.XLOOKUP(A9,Щиты[Щит],Щиты[Iкз max на шинах, кА]),"Icu "&amp;HB9&amp;" кА &lt; Iкз max","ok")))</f>
        <v/>
      </c>
      <c r="HD9" t="str">
        <f t="shared" si="98"/>
        <v/>
      </c>
      <c r="HE9" t="str">
        <f t="shared" si="99"/>
        <v>QF7</v>
      </c>
      <c r="HF9" t="str">
        <f t="shared" si="100"/>
        <v>QF7|кабель ВВГнг(А)-LS (5х4) → Щит вентиляции ЩОВ-002 Подвальный этаж этаж Пом. №00.003Т</v>
      </c>
      <c r="HG9" t="str" cm="1">
        <f t="array" ref="HG9">IF(HF9="","",_xlfn.LET(_xlpm.nd,_xlfn.TEXTSPLIT(HF9,"|"),IF(COLUMNS(_xlpm.nd)&gt;1,A9&amp;"¦"&amp;INDEX(_xlpm.nd,1)&amp;"¦"&amp;INDEX(_xlpm.nd,2),"")))</f>
        <v>ГРЩ-ЖД¦QF7¦кабель ВВГнг(А)-LS (5х4) → Щит вентиляции ЩОВ-002 Подвальный этаж этаж Пом. №00.003Т</v>
      </c>
      <c r="HH9" t="str">
        <f t="shared" si="101"/>
        <v>ЩОВ-002¦Щит вентиляции ЩОВ-002 Подвальный этаж этаж Пом. №00.003Т</v>
      </c>
      <c r="HI9" t="str" cm="1">
        <f t="array" ref="HI9">IF(HF9="","",_xlfn.LET(_xlpm.nd,_xlfn.TEXTSPLIT(HF9,"|"),IF(COLUMNS(_xlpm.nd)&gt;2,A9&amp;"¦"&amp;INDEX(_xlpm.nd,2)&amp;"¦"&amp;INDEX(_xlpm.nd,3),"")))</f>
        <v/>
      </c>
      <c r="HJ9" t="str">
        <f t="shared" si="102"/>
        <v/>
      </c>
      <c r="HK9" t="str" cm="1">
        <f t="array" ref="HK9">IF(HF9="","",_xlfn.LET(_xlpm.nd,_xlfn.TEXTSPLIT(HF9,"|"),IF(COLUMNS(_xlpm.nd)&gt;3,A9&amp;"¦"&amp;INDEX(_xlpm.nd,3)&amp;"¦"&amp;INDEX(_xlpm.nd,4),"")))</f>
        <v/>
      </c>
      <c r="HL9" t="str">
        <f t="shared" si="103"/>
        <v/>
      </c>
      <c r="HM9" t="str" cm="1">
        <f t="array" ref="HM9">IF(HF9="","",_xlfn.LET(_xlpm.nd,_xlfn.TEXTSPLIT(HF9,"|"),IF(COLUMNS(_xlpm.nd)&gt;4,A9&amp;"¦"&amp;INDEX(_xlpm.nd,4)&amp;"¦"&amp;INDEX(_xlpm.nd,5),"")))</f>
        <v/>
      </c>
      <c r="HN9" t="str">
        <f t="shared" si="104"/>
        <v/>
      </c>
      <c r="HO9" t="str" cm="1">
        <f t="array" ref="HO9">IF(HF9="","",_xlfn.LET(_xlpm.nd,_xlfn.TEXTSPLIT(HF9,"|"),IF(COLUMNS(_xlpm.nd)&gt;5,A9&amp;"¦"&amp;INDEX(_xlpm.nd,5)&amp;"¦"&amp;INDEX(_xlpm.nd,6),"")))</f>
        <v/>
      </c>
      <c r="HP9" t="str">
        <f t="shared" si="105"/>
        <v/>
      </c>
      <c r="HQ9" t="str" cm="1">
        <f t="array" ref="HQ9">IF(HF9="","",_xlfn.LET(_xlpm.nd,_xlfn.TEXTSPLIT(HF9,"|"),IF(COLUMNS(_xlpm.nd)&gt;6,A9&amp;"¦"&amp;INDEX(_xlpm.nd,6)&amp;"¦"&amp;INDEX(_xlpm.nd,7),"")))</f>
        <v/>
      </c>
      <c r="HR9" t="str">
        <f t="shared" si="106"/>
        <v/>
      </c>
      <c r="HS9" t="str">
        <f t="shared" si="107"/>
        <v/>
      </c>
      <c r="HT9" t="str">
        <f t="shared" si="108"/>
        <v>QF7</v>
      </c>
      <c r="HU9">
        <f t="shared" si="109"/>
        <v>0</v>
      </c>
      <c r="HV9">
        <f t="shared" si="110"/>
        <v>0</v>
      </c>
      <c r="HW9" t="str">
        <f t="shared" si="111"/>
        <v/>
      </c>
      <c r="HX9" t="str">
        <f t="shared" si="112"/>
        <v/>
      </c>
      <c r="HY9" t="str">
        <f t="shared" si="113"/>
        <v/>
      </c>
      <c r="HZ9" t="str">
        <f t="shared" si="114"/>
        <v/>
      </c>
      <c r="IA9" t="str">
        <f>IF(B9="","",IFERROR(VLOOKUP(B9,УГО_спр,2,FALSE),IFERROR(VLOOKUP(AX9,УГО_спр,2,FALSE),IFERROR(VLOOKUP(LEFT(AX9,2),УГО_спр,2,FALSE),""))))</f>
        <v/>
      </c>
      <c r="IB9" t="str">
        <f>IF(B9="","",IF(OR(IA9="",IA9=0),"BOX",IFERROR(IF(VLOOKUP(IA9,УГО_блоки,3,FALSE)&amp;""&lt;&gt;"",VLOOKUP(IA9,УГО_блоки,3,FALSE),VLOOKUP(IA9,УГО_блоки,2,FALSE)),IA9)))</f>
        <v>BOX</v>
      </c>
      <c r="IC9">
        <f t="shared" si="115"/>
        <v>1</v>
      </c>
      <c r="ID9">
        <f>IF(DA9="","",IF(COUNTIF(DA$3:DA9,DA9)=1,MAX(ID$2:ID8)+1,""))</f>
        <v>5</v>
      </c>
      <c r="IE9" t="str">
        <f>IF(CO9="","",IF(COUNTIF(CO$3:CO9,CO9)+COUNTIF(CP$2:CP8,CO9)+COUNTIF(CQ$2:CQ8,CO9)=1,MAX(IE$2:IG8)+1,""))</f>
        <v/>
      </c>
      <c r="IF9" t="str">
        <f>IF(CP9="","",IF(COUNTIF(CO$3:CO9,CP9)+COUNTIF(CP$3:CP9,CP9)+COUNTIF(CQ$2:CQ8,CP9)=1,MAX(IE$2:IG8,IE9)+1,""))</f>
        <v/>
      </c>
      <c r="IG9" t="str">
        <f>IF(CQ9="","",IF(COUNTIF(CO$3:CO9,CQ9)+COUNTIF(CP$3:CP9,CQ9)+COUNTIF(CQ$3:CQ9,CQ9)=1,MAX(IE$2:IG8,IE9,IF9)+1,""))</f>
        <v/>
      </c>
      <c r="IH9" t="str">
        <f t="shared" si="116"/>
        <v>5х4</v>
      </c>
      <c r="II9">
        <f>IF(IH9="","",IF(COUNTIF(IH$3:IH9,IH9)=1,MAX(II$2:II8)+1,""))</f>
        <v>4</v>
      </c>
      <c r="IJ9" t="str">
        <f>IF(GL9="","",COUNTIF(GL$3:GL9,"?*"))</f>
        <v/>
      </c>
      <c r="IK9" t="str">
        <f>IF(OR(GL9="",GN9=""),"",IF(COUNTIFS(GL$3:GL9,"?*",GN$3:GN9,GN9)=1,MAX(IK$2:IK8)+1,""))</f>
        <v/>
      </c>
      <c r="IL9">
        <f t="shared" si="117"/>
        <v>0</v>
      </c>
      <c r="IM9">
        <f>IF(B9="","",COUNTIF(B$3:B9,"?*"))</f>
        <v>7</v>
      </c>
      <c r="IN9">
        <f>IF(GQ9&lt;&gt;1,0,_xlfn.LET(_xlpm.k,MAX(IFERROR(--VLOOKUP(B9,УГО_спр,5,FALSE),0),IFERROR(--VLOOKUP(AX9,УГО_спр,5,FALSE),0),IFERROR(--VLOOKUP(LEFT(AX9,2),УГО_спр,5,FALSE),0)),IF(_xlpm.k&gt;0,_xlpm.k,IF(IFERROR(--LEFT(SUBSTITUTE(IH9,"x","х"),FIND("х",SUBSTITUTE(IH9,"x","х"))-1),3)&gt;3,Каталог!$S$9,1))))</f>
        <v>1</v>
      </c>
      <c r="IO9">
        <f t="shared" si="118"/>
        <v>2</v>
      </c>
      <c r="IP9" t="str">
        <f t="shared" si="119"/>
        <v>авто</v>
      </c>
      <c r="IQ9" t="str">
        <f t="shared" si="120"/>
        <v/>
      </c>
      <c r="IR9">
        <f t="shared" si="121"/>
        <v>0</v>
      </c>
      <c r="IS9">
        <f t="shared" si="122"/>
        <v>1</v>
      </c>
    </row>
    <row r="10" spans="1:253" x14ac:dyDescent="0.3">
      <c r="A10" t="s">
        <v>785</v>
      </c>
      <c r="B10" t="s">
        <v>753</v>
      </c>
      <c r="C10" t="s">
        <v>752</v>
      </c>
      <c r="D10">
        <v>1</v>
      </c>
      <c r="E10">
        <v>11.09</v>
      </c>
      <c r="G10">
        <v>20</v>
      </c>
      <c r="H10" t="str">
        <f>Линии[[#This Row],[_авто утечка]]</f>
        <v/>
      </c>
      <c r="I10" t="str">
        <f>Линии[[#This Row],[_авто управление]]</f>
        <v/>
      </c>
      <c r="J10" t="str">
        <f>Линии[[#This Row],[_авто аппараты]]</f>
        <v/>
      </c>
      <c r="K10">
        <v>4</v>
      </c>
      <c r="L10">
        <v>56</v>
      </c>
      <c r="M10" t="str">
        <f>Линии[[#This Row],[_авто фаза]]</f>
        <v>L1,L2,L3</v>
      </c>
      <c r="N10" t="s">
        <v>486</v>
      </c>
      <c r="O10" t="str">
        <f t="shared" si="0"/>
        <v/>
      </c>
      <c r="P10" s="6" cm="1">
        <f t="array" ref="P10">IF(B10="","",IF(BC10&lt;&gt;"",IFERROR(_xlfn.XLOOKUP(BC10,Щиты[Щит],Щиты[Iр, А]),""),IF(BK10=1,IFERROR(_xlfn.XLOOKUP(A10,Щиты[Щит],Щиты[Iр, А]),""),IFERROR(_xlfn.IFS(BR10=1,BN10/((Uн_лин/SQRT(3))*BY10),BR10=3,BN10/(SQRT(3)*Uн_лин*BY10)),""))))</f>
        <v>10.284051669940206</v>
      </c>
      <c r="Q10" s="7">
        <f>IF(B10="","",IFERROR(IF(VLOOKUP(AX10,Потребители_обозначение,4,FALSE)=1,VLOOKUP(AX10,Потребители_обозначение,3,FALSE)*(D10*2-1)+DS10+VLOOKUP(AZ10,Этаж_обозначение,3,FALSE)+VLOOKUP(AZ10,Этаж_обозначение,4,FALSE),VLOOKUP(AX10,Потребители_обозначение,3,FALSE)*(D10*2-1)+DS10),DS10))</f>
        <v>56</v>
      </c>
      <c r="R10" s="6">
        <f t="shared" si="1"/>
        <v>1.1399999999999999</v>
      </c>
      <c r="S10" t="str">
        <f t="shared" si="2"/>
        <v>ВВГнг(А)-LS (5х4)</v>
      </c>
      <c r="T10" t="str">
        <f>IF(BH10="","",IF(BI10="вводной узел","узел ","")&amp;"л."&amp;(INT((BH10-1)/Столбцов_на_лист)+1)&amp;" / "&amp;(MOD(BH10-1,Столбцов_на_лист)+1))</f>
        <v>л.3 / 4</v>
      </c>
      <c r="V10">
        <v>3</v>
      </c>
      <c r="W10">
        <v>400</v>
      </c>
      <c r="X10" t="s">
        <v>600</v>
      </c>
      <c r="Y10">
        <v>0.5</v>
      </c>
      <c r="AA10">
        <v>1</v>
      </c>
      <c r="AC10" t="s">
        <v>815</v>
      </c>
      <c r="AE10" t="s">
        <v>582</v>
      </c>
      <c r="AI10">
        <v>38</v>
      </c>
      <c r="AJ10" t="s">
        <v>11</v>
      </c>
      <c r="AK10">
        <v>5</v>
      </c>
      <c r="AM10">
        <v>40</v>
      </c>
      <c r="AN10">
        <v>11</v>
      </c>
      <c r="AO10">
        <v>0</v>
      </c>
      <c r="AW10" cm="1">
        <f t="array" ref="AW10">ROW()-ROW(Линии[#Headers])</f>
        <v>8</v>
      </c>
      <c r="AX10" s="6" t="str">
        <f t="shared" si="3"/>
        <v>ЩОВ-2</v>
      </c>
      <c r="AY10" t="str">
        <f t="shared" si="4"/>
        <v/>
      </c>
      <c r="AZ10" t="str">
        <f t="shared" si="5"/>
        <v/>
      </c>
      <c r="BA10" t="str">
        <f t="shared" si="6"/>
        <v/>
      </c>
      <c r="BB10" t="str">
        <f t="shared" si="7"/>
        <v/>
      </c>
      <c r="BC10" t="str">
        <f>IF(U10&lt;&gt;"",U10,IF(AND(B10&lt;&gt;"",B10&lt;&gt;A10,ISNUMBER(_xlfn.XMATCH(B10,Щиты[Щит]))),B10,""))</f>
        <v>ЩОВ-2</v>
      </c>
      <c r="BD10" t="str" cm="1">
        <f t="array" ref="BD10">IF(B10="","",IF(BC10&lt;&gt;"","Щит "&amp;BC10,_xlfn.LET(_xlpm.nm,IFERROR(_xlfn.XLOOKUP(AX10,Коды_код,Коды_имя)&amp;"",""),_xlpm.md,IFERROR(N(_xlfn.XLOOKUP(AX10,Коды_код,Коды_режим)),1),_xlpm.ex,IF(Имя_режим="по экспликации",IFERROR(_xlfn.XLOOKUP(AZ10&amp;"|"&amp;BB10,Экспликация[Этаж]&amp;"|"&amp;Экспликация[Помещение],Экспликация[Название])&amp;"",""),""),_xlpm.rm,IF(BB10="","",IF(_xlpm.ex&lt;&gt;"",". "&amp;_xlpm.ex&amp;IF(Имя_пом="нет"," ("&amp;BB10&amp;")"," (пом. "&amp;BB10&amp;")"),IF(Имя_пом="нет"," ",", пом. ")&amp;BB10)),IF(_xlpm.nm="","",IF(_xlpm.md=2,_xlpm.nm&amp;" шлейф "&amp;AZ10,_xlpm.nm&amp;_xlpm.rm)))))</f>
        <v>Щит ЩОВ-2</v>
      </c>
      <c r="BE10" t="str">
        <f t="shared" si="8"/>
        <v>Щит вентиляции ЩОВ-2 Техэтаж этаж Пом. №3.001Т</v>
      </c>
      <c r="BF10">
        <f>IFERROR(_xlfn.XMATCH(A10,Щиты[Щит]),0)</f>
        <v>1</v>
      </c>
      <c r="BG10">
        <f>_xlfn.LET(_xlpm.k,IFERROR(_xlfn.XLOOKUP(A10,Щиты[Щит],Щиты[Листов под вводной узел]),""),IF(_xlpm.k="",1,N(_xlpm.k))*Столбцов_на_лист)</f>
        <v>17</v>
      </c>
      <c r="BH10">
        <f t="shared" si="9"/>
        <v>38</v>
      </c>
      <c r="BI10" t="str">
        <f t="shared" si="10"/>
        <v>линии</v>
      </c>
      <c r="BJ10" s="6">
        <f>IFERROR(N(_xlfn.XLOOKUP(AX10,Коды_код,Коды_квт)),0)</f>
        <v>0</v>
      </c>
      <c r="BK10">
        <f t="shared" si="11"/>
        <v>0</v>
      </c>
      <c r="BL10">
        <f>IF(B10="","",IF(BC10&lt;&gt;"",IFERROR(_xlfn.XLOOKUP(BC10,Щиты[Щит],Щиты[Руст, кВт]),0),IF(BK10=1,IFERROR(_xlfn.XLOOKUP(A10,Щиты[Щит],Щиты[Руст, кВт]),0),IF(BJ10&gt;0,ROUND(BJ10*MAX(1,N(D10)),3),""))))</f>
        <v>11.093000000000002</v>
      </c>
      <c r="BM10">
        <f t="shared" si="12"/>
        <v>11.09</v>
      </c>
      <c r="BN10" s="6">
        <f>IF(B10="","",IF(BC10&lt;&gt;"",IFERROR(_xlfn.XLOOKUP(BC10,Щиты[Щит],Щиты[Руст, кВт]),0),N(BM10)))</f>
        <v>11.093000000000002</v>
      </c>
      <c r="BO10" t="str">
        <f>IF(B10="","",IFERROR(IF(VLOOKUP(AX10,Потребители_обозначение,8,FALSE)=0,"",VLOOKUP(AX10,Потребители_обозначение,8,FALSE)),""))</f>
        <v/>
      </c>
      <c r="BP10">
        <f t="shared" si="13"/>
        <v>400</v>
      </c>
      <c r="BQ10">
        <f>IF(B10="","",IF(BC10&lt;&gt;"",3,IFERROR(IF(N(VLOOKUP(AX10,Потребители_обозначение,9,FALSE))=0,1,VLOOKUP(AX10,Потребители_обозначение,9,FALSE)),1)))</f>
        <v>3</v>
      </c>
      <c r="BR10">
        <f t="shared" si="14"/>
        <v>3</v>
      </c>
      <c r="BS10" t="str">
        <f>IF(B10="","",_xlfn.LET(_xlpm.bc,IFERROR(IF(VLOOKUP(AX10,Потребители_обозначение,6,FALSE)=0,"",VLOOKUP(AX10,Потребители_обозначение,6,FALSE)&amp;""),""),IF(AND(FK10="да",OR(_xlpm.bc="",_xlpm.bc="мс")),Марка_пож,IF(AND(_xlpm.bc="",BC10&lt;&gt;""),"мс",_xlpm.bc))))</f>
        <v>мс</v>
      </c>
      <c r="BT10" t="str">
        <f t="shared" si="15"/>
        <v>мс</v>
      </c>
      <c r="BU10">
        <f>IF(B10="","",_xlfn.LET(_xlpm.cc,IFERROR(N(VLOOKUP(AX10,Потребители_обозначение,7,FALSE)),0),IF(_xlpm.cc&gt;0,_xlpm.cc,IF(BT10="","",IF(N(BR10)=3,5,3)))))</f>
        <v>5</v>
      </c>
      <c r="BV10">
        <f t="shared" si="16"/>
        <v>5</v>
      </c>
      <c r="BW10">
        <f>IFERROR(N(VLOOKUP(AX10,Потребители_обозначение,10,FALSE)),0)</f>
        <v>0</v>
      </c>
      <c r="BX10">
        <f>IFERROR(VLOOKUP(AX10,Потребители_обозначение,5,FALSE),0)</f>
        <v>0</v>
      </c>
      <c r="BY10" s="6" cm="1">
        <f t="array" ref="BY10">IF(B10="","",IF(BC10&lt;&gt;"",IFERROR(_xlfn.XLOOKUP(BC10,Щиты[Щит],Щиты[cos φ]),0.95),IF(BK10=1,IFERROR(_xlfn.XLOOKUP(A10,Щиты[Щит],Щиты[cos φ]),0.95),IF(ISNUMBER(Z10),Z10,IFERROR(IF(BX10=2,_xlfn.IFS(BR10=3,VLOOKUP(BN10,Справочная_двигатели,8,FALSE),BR10=1,VLOOKUP(BN10,Справочная_двигатели,10,TRUE)),IF(AND(Методика="нормы 2026",EQ10="Сил"),0.8,0.95)),0.95)))))</f>
        <v>0.8</v>
      </c>
      <c r="BZ10">
        <f t="shared" si="17"/>
        <v>0</v>
      </c>
      <c r="CA10">
        <f t="shared" si="18"/>
        <v>1</v>
      </c>
      <c r="CB10">
        <f t="shared" si="19"/>
        <v>0</v>
      </c>
      <c r="CC10">
        <f t="shared" si="20"/>
        <v>0</v>
      </c>
      <c r="CD10">
        <f t="shared" si="21"/>
        <v>0</v>
      </c>
      <c r="CE10">
        <f t="shared" si="22"/>
        <v>0</v>
      </c>
      <c r="CF10">
        <f t="shared" si="23"/>
        <v>0</v>
      </c>
      <c r="CG10">
        <f>IF(AX10="",0,_xlfn.LET(_xlpm.v,IFERROR(VLOOKUP(B10,УГО_спр,3,FALSE),IFERROR(VLOOKUP(AX10,УГО_спр,3,FALSE),IFERROR(VLOOKUP(LEFT(AX10,2),УГО_спр,3,FALSE),""))),IF(_xlpm.v="да",30,IF(ISNUMBER(_xlpm.v),_xlpm.v,0))))</f>
        <v>0</v>
      </c>
      <c r="CH10" t="str">
        <f t="shared" si="24"/>
        <v/>
      </c>
      <c r="CI10" t="str">
        <f>_xlfn.LET(_xlpm.k,IFERROR(_xlfn.XLOOKUP(AX10,Коды_код,Коды_утечка)&amp;"",""),IF(_xlpm.k="","дифавтомат",_xlpm.k))</f>
        <v>дифавтомат</v>
      </c>
      <c r="CJ10">
        <f t="shared" si="25"/>
        <v>0</v>
      </c>
      <c r="CK10">
        <f t="shared" si="26"/>
        <v>0</v>
      </c>
      <c r="CL10">
        <f>IF(B10="",0,IFERROR(--VLOOKUP(B10,УГО_спр,4,FALSE),IFERROR(--VLOOKUP(AX10,УГО_спр,4,FALSE),IFERROR(--VLOOKUP(LEFT(AX10,2),УГО_спр,4,FALSE),0))))</f>
        <v>0</v>
      </c>
      <c r="CM10" t="str">
        <f>IF(B10="","",IFERROR(_xlfn.XLOOKUP(AX10,Коды_код,Коды_апп)&amp;"",""))</f>
        <v/>
      </c>
      <c r="CN10" t="str">
        <f t="shared" si="27"/>
        <v/>
      </c>
      <c r="CO10" t="str" cm="1">
        <f t="array" ref="CO10">IF(TRIM(CN10&amp;"")="","",IFERROR(TRIM(INDEX(_xlfn.TEXTSPLIT(CN10&amp;";;;",";"),1)),""))</f>
        <v/>
      </c>
      <c r="CP10" t="str" cm="1">
        <f t="array" ref="CP10">IF(TRIM(CN10&amp;"")="","",IFERROR(TRIM(INDEX(_xlfn.TEXTSPLIT(CN10&amp;";;;",";"),2)),""))</f>
        <v/>
      </c>
      <c r="CQ10" t="str" cm="1">
        <f t="array" ref="CQ10">IF(TRIM(CN10&amp;"")="","",IFERROR(TRIM(INDEX(_xlfn.TEXTSPLIT(CN10&amp;";;;",";"),3)),""))</f>
        <v/>
      </c>
      <c r="CR10">
        <f t="shared" si="28"/>
        <v>0</v>
      </c>
      <c r="CS10" t="str">
        <f>IF(B10="","",_xlfn.LET(_xlpm.t,LOWER(AV10&amp;""),IF(ISNUMBER(SEARCH("dim",_xlpm.t)),"DIM",IF(ISNUMBER(SEARCH("dali",_xlpm.t)),"DALI",IF(OR(ISNUMBER(SEARCH("relay",_xlpm.t)),ISNUMBER(SEARCH("реле",_xlpm.t))),"Relay",IF(ISNUMBER(SEARCH("кнопк",_xlpm.t)),"",IFERROR(_xlfn.XLOOKUP(AX10,Коды_код,Коды_упр)&amp;"","")))))))</f>
        <v/>
      </c>
      <c r="CT10" t="str">
        <f t="shared" si="29"/>
        <v/>
      </c>
      <c r="CU10">
        <f>IF(B10="","",_xlfn.LET(_xlpm.ig,N(P10)+IF(AF10="вручную",0,N(CB10)),_xlpm.n0,IFERROR(VLOOKUP(_xlpm.ig,Автомат_номиналы,2,TRUE),0),_xlpm.mn,MAX(CL10,IF(AF10="вручную",0,N(CE10))),MAX(_xlpm.n0,_xlpm.mn,IF(CR10=1,Мин_автомат_БП,0))))</f>
        <v>16</v>
      </c>
      <c r="CV10">
        <f t="shared" si="30"/>
        <v>3</v>
      </c>
      <c r="CW10" t="str">
        <f t="shared" si="31"/>
        <v>3P</v>
      </c>
      <c r="CX10" t="str">
        <f>_xlfn.LET(_xlpm.cc,UPPER(TRIM(IFERROR(_xlfn.XLOOKUP(AX10,Коды_код,Коды_хар)&amp;"",""))),IF(OR(_xlpm.cc="B",_xlpm.cc="В"),"B",IF(_xlpm.cc="D","D","С")))</f>
        <v>С</v>
      </c>
      <c r="CY10" t="str">
        <f t="shared" si="32"/>
        <v>3P С16А</v>
      </c>
      <c r="CZ10">
        <f t="shared" si="33"/>
        <v>20</v>
      </c>
      <c r="DA10" t="str">
        <f t="shared" si="34"/>
        <v>3P С20А</v>
      </c>
      <c r="DB10" cm="1">
        <f t="array" ref="DB10">IF(DA10="","",_xlfn.LET(_xlpm.t,SUBSTITUTE(SUBSTITUTE(SUBSTITUTE(UPPER(DA10),"С","C"),"А","A"),"В","B"),_xlpm.tk,_xlfn.TEXTSPLIT(_xlpm.t,"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0" t="str">
        <f t="shared" si="35"/>
        <v>ok</v>
      </c>
      <c r="DD10">
        <f t="shared" si="36"/>
        <v>20</v>
      </c>
      <c r="DE10" t="str">
        <f t="shared" si="37"/>
        <v>3P С20А</v>
      </c>
      <c r="DF10">
        <f t="shared" si="38"/>
        <v>0</v>
      </c>
      <c r="DG10">
        <f t="shared" si="39"/>
        <v>0</v>
      </c>
      <c r="DH10">
        <f t="shared" si="40"/>
        <v>0</v>
      </c>
      <c r="DI10">
        <f t="shared" si="41"/>
        <v>10.284051669940206</v>
      </c>
      <c r="DJ10">
        <f t="shared" si="42"/>
        <v>0.92</v>
      </c>
      <c r="DK10">
        <f>IF(ISNUMBER(AL10),AL10,К_прокл)</f>
        <v>1</v>
      </c>
      <c r="DL10">
        <f t="shared" si="43"/>
        <v>3</v>
      </c>
      <c r="DM10">
        <f>IFERROR(N(VLOOKUP(BT10,Кабель_обозначение,3,FALSE)),1)</f>
        <v>1</v>
      </c>
      <c r="DN10">
        <f>IFERROR(N(_xlfn.XLOOKUP(A10,Щиты[Щит],Щиты[ΔU до шин, %])),0)</f>
        <v>0</v>
      </c>
      <c r="DO10" t="str">
        <f>IFERROR(_xlfn.XLOOKUP(A10,Щиты[Щит],Щиты[Zпетли на шинах, Ом]),"")</f>
        <v/>
      </c>
      <c r="DP10">
        <f>IFERROR(N(_xlfn.XLOOKUP(A10,Щиты[Щит],Щиты[ΔU до шин (подбор), %])),0)</f>
        <v>0</v>
      </c>
      <c r="DQ10" t="str">
        <f>IFERROR(_xlfn.XLOOKUP(A10,Щиты[Щит],Щиты[Zпетли на шинах (подбор), Ом]),"")</f>
        <v/>
      </c>
      <c r="DR10" t="str">
        <f t="shared" si="44"/>
        <v/>
      </c>
      <c r="DS10">
        <f t="shared" si="45"/>
        <v>56</v>
      </c>
      <c r="DT10">
        <f t="shared" si="46"/>
        <v>1</v>
      </c>
      <c r="DU10">
        <f t="shared" si="47"/>
        <v>0.6</v>
      </c>
      <c r="DV10" s="6">
        <f>IF(B10="","",IF(IFERROR(VLOOKUP(AX10,УГО_спр,2,FALSE),"")="Светильник",3,4)+IF(Методика="нормы 2026",MIN(0.5,MAX(0,N(Q10)-100)*0.005),0))</f>
        <v>4</v>
      </c>
      <c r="DW10" cm="1">
        <f t="array" ref="DW10">IF(OR(B10="",BT10="",DM10&lt;&gt;1),"",_xlfn.LET(_xlpm.sz,Iдоп_S,_xlpm.t_,CHOOSE(DL10,Iдоп_1ж,Iдоп_2ж,Iдоп_3ж)*DJ10*DK10,_xlpm.inn,N(DD10),_xlpm.smin,MAX(1.5,BW10),_xlpm.L_,N(Q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10)*(_xlpm.rho*_xlpm.L_/_xlpm.sz*N(BY10)+_xlpm.xx*_xlpm.L_*N(DU10)/1000)*N(P10)/((Uн_лин/SQRT(3))*1000)*100,999),_xlpm.kz,IF(OR(DG10=1,NOT(ISNUMBER(DQ10)),_xlpm.L_=0,_xlpm.inn=0),1,IFERROR(--(c_min*(Uн_лин*1000/SQRT(3))/(DQ10+2*ρкз_Cu*_xlpm.L_/_xlpm.sz)&gt;=GY10*_xlpm.inn),0)),_xlpm.ok,IFERROR((_xlpm.sz&gt;=_xlpm.smin)*(_xlpm.t_&gt;=_xlpm.inn)*IF(_xlpm.L_&gt;0,(_xlpm.du_+DP10&lt;=DV10+0.00001),1)*_xlpm.kz,0),_xlpm.r_,_xlfn._xlws.FILTER(_xlpm.sz,_xlpm.ok,"не подобрано"),INDEX(_xlpm.r_,1)))</f>
        <v>2.5</v>
      </c>
      <c r="DX10">
        <f t="shared" si="48"/>
        <v>4</v>
      </c>
      <c r="DY10" cm="1">
        <f t="array" ref="DY10">IF(OR(B10="",BT10="",DM10&lt;&gt;1),"",_xlfn.LET(_xlpm.sz,Iдоп_S,_xlpm.t_,CHOOSE(DL10,Iдоп_1ж,Iдоп_2ж,Iдоп_3ж)*DJ10*DK10,_xlpm.ok,IFERROR((_xlpm.sz&gt;=MAX(1.5,BW10))*(_xlpm.t_&gt;=N(DD10)),0),_xlpm.r_,_xlfn._xlws.FILTER(_xlpm.sz,_xlpm.ok,""),INDEX(_xlpm.r_,1)))</f>
        <v>2.5</v>
      </c>
      <c r="DZ10" s="6" cm="1">
        <f t="array" ref="DZ10">IFERROR(ROUNDUP(N(DT10)*(_xlfn.XLOOKUP(DY10,INDEX(Кабель_сопротивление,0,1),INDEX(Кабель_сопротивление,0,3))*N(Q10)/DY10*N(BY10)+_xlfn.XLOOKUP(DY10,INDEX(Кабель_сопротивление,0,1),INDEX(Кабель_сопротивление,0,2))*N(Q10)*N(DU10)/1000)*N(P10)/((Uн_лин/SQRT(3))*1000)*100,2),"")</f>
        <v>1.82</v>
      </c>
      <c r="EA10">
        <f>IFERROR(2*ρкз_Cu*N(Q10)/DY10,"")</f>
        <v>1.1782400000000002</v>
      </c>
      <c r="EB10">
        <f>IFERROR(VLOOKUP(DX10,Кабель_сопротивление,3,FALSE),"")</f>
        <v>2.2499999999999999E-2</v>
      </c>
      <c r="EC10">
        <f>IFERROR(VLOOKUP(DX10,Кабель_сопротивление,2,FALSE),"")</f>
        <v>9.5000000000000001E-2</v>
      </c>
      <c r="ED10">
        <f t="shared" si="49"/>
        <v>11</v>
      </c>
      <c r="EE10">
        <f t="shared" si="50"/>
        <v>0</v>
      </c>
      <c r="EF10">
        <f t="shared" si="51"/>
        <v>2.6244077137553807</v>
      </c>
      <c r="EG10" s="6">
        <f>IFERROR(ROUNDUP(EF10/((Uн_лин/SQRT(3))*1000)*100,2),"")</f>
        <v>1.1399999999999999</v>
      </c>
      <c r="EH10" t="str">
        <f>IFERROR(VLOOKUP(BT10,Кабель_обозначение,2,FALSE),"")</f>
        <v>ВВГнг(А)-LS</v>
      </c>
      <c r="EI10" t="str">
        <f t="shared" si="52"/>
        <v>ВВГнг(А)-LS (5х4)</v>
      </c>
      <c r="EJ10" t="str">
        <f t="shared" si="53"/>
        <v>ВВГнг(А)-LS (5х4)
L=56-1,14%</v>
      </c>
      <c r="EK10">
        <f>IFERROR(2*ρкз_Cu*Q10/DX10,"")</f>
        <v>0.73640000000000005</v>
      </c>
      <c r="EL10">
        <f t="shared" si="54"/>
        <v>0.24500000000000002</v>
      </c>
      <c r="EM10" s="6" t="str">
        <f>IFERROR(IF(OR(B10="",NOT(ISNUMBER(DX10)),N(Q10)=0),"",_xlfn.XLOOKUP(A10,Щиты[Щит],Щиты[Zпетли на шинах, Ом])+EK10),"")</f>
        <v/>
      </c>
      <c r="EN10" s="6" t="str">
        <f>IF(ISNUMBER(EM10),c_min*(Uн_лин*1000/SQRT(3))/EM10,"")</f>
        <v/>
      </c>
      <c r="EO10" s="6" t="str">
        <f>IFERROR(IF(OR(B10="",NOT(ISNUMBER(DX10))),"",1.05*(Uн_лин*1000/SQRT(3))/(_xlfn.XLOOKUP(A10,Щиты[Щит],Щиты[Zmax на шинах, Ом])+EL10)/1000),"")</f>
        <v/>
      </c>
      <c r="EP10" s="6" t="str">
        <f>IF(B10="","",IF(ISNUMBER(Y10),"Сил",IF(IFERROR(_xlfn.XLOOKUP(AX10,Коды_код,Коды_группа)&amp;"","")="","Быт",_xlfn.XLOOKUP(AX10,Коды_код,Коды_группа)&amp;"")))</f>
        <v>Сил</v>
      </c>
      <c r="EQ10" s="6" t="str">
        <f t="shared" si="55"/>
        <v>Щит</v>
      </c>
      <c r="ER10" s="6" t="str">
        <f>IF(EQ10="Щит","щит",IF(EQ10="","",IF(EQ10="Быт",IFERROR(_xlfn.XLOOKUP(A10,Щиты[Щит],Щиты[Кс быт]),1),IF(EQ10="Сил",IF(ISNUMBER(Y10),Y10,IF(Методика="нормы 2026",IFERROR(_xlfn.XLOOKUP(A10,Щиты[Щит],Щиты[Кс силовых (табл. 7.5)]),1),1)),IF(OR(EQ10="Пост",EQ10="Отоп"),1,IF(EQ10="ВНГ",0.7,0))))))</f>
        <v>щит</v>
      </c>
      <c r="ES10">
        <f t="shared" si="56"/>
        <v>1</v>
      </c>
      <c r="ET10">
        <f t="shared" si="57"/>
        <v>0</v>
      </c>
      <c r="EU10">
        <f t="shared" si="58"/>
        <v>0</v>
      </c>
      <c r="EV10">
        <f t="shared" si="59"/>
        <v>0</v>
      </c>
      <c r="EW10">
        <f t="shared" si="60"/>
        <v>0</v>
      </c>
      <c r="EX10">
        <f t="shared" si="61"/>
        <v>0</v>
      </c>
      <c r="EY10">
        <f t="shared" si="62"/>
        <v>0</v>
      </c>
      <c r="EZ10">
        <f t="shared" si="63"/>
        <v>0</v>
      </c>
      <c r="FA10">
        <f t="shared" si="64"/>
        <v>0</v>
      </c>
      <c r="FB10">
        <f t="shared" si="65"/>
        <v>11.093000000000002</v>
      </c>
      <c r="FC10" t="str">
        <f t="shared" si="66"/>
        <v/>
      </c>
      <c r="FD10" t="str">
        <f>IF(B10="","",IF(CA10=0,IF(AW10=1,"",FF9),IF(OR(N(CV10)&gt;=3,N(BR10)&gt;=3),"L1,L2,L3",IFERROR(_xlfn.TEXTBEFORE(_xlfn.TEXTAFTER(_xlfn.XLOOKUP(A10,Щиты[Щит],Щиты[_фазы авто]),";"&amp;AW10&amp;":"),";"),"L1"))))</f>
        <v>L1,L2,L3</v>
      </c>
      <c r="FE10" t="str">
        <f t="shared" si="67"/>
        <v>L1,L2,L3</v>
      </c>
      <c r="FF10" t="str">
        <f t="shared" si="68"/>
        <v>L1,L2,L3</v>
      </c>
      <c r="FG10" cm="1">
        <f t="array" ref="FG10">IFERROR(IF(BX10=2,_xlfn.IFS(BR10=3,VLOOKUP(BN10,Справочная_двигатели,3,FALSE),BR10=1,VLOOKUP(BN10,Справочная_двигатели,5,TRUE)),0),0)</f>
        <v>0</v>
      </c>
      <c r="FH10">
        <f>IFERROR(IF(BX10=3,VLOOKUP(BN10,Справочная_ЛЭД,2,TRUE),0),0)</f>
        <v>0</v>
      </c>
      <c r="FI10" s="6">
        <f t="shared" si="69"/>
        <v>0</v>
      </c>
      <c r="FJ10" t="str" cm="1">
        <f t="array" ref="FJ10">IF(B10="","",IFERROR(INDEX({"I особая","I","II","III"},MATCH(TRIM(AC10&amp;""),{"I особая","I","II","III"},0)),"III"))</f>
        <v>II</v>
      </c>
      <c r="FK10" t="str">
        <f>IF(B10="","",IF(TRIM(AD10&amp;"")&lt;&gt;"",IF(LOWER(TRIM(AD10&amp;""))="да","да","нет"),IF(IFERROR(_xlfn.XLOOKUP(AX10,Коды_код,Коды_пожарная),"")="да","да","нет")))</f>
        <v>нет</v>
      </c>
      <c r="FL10" t="str">
        <f t="shared" si="70"/>
        <v/>
      </c>
      <c r="FM10" t="str">
        <f t="shared" si="71"/>
        <v>основная</v>
      </c>
      <c r="FN10">
        <f t="shared" si="72"/>
        <v>1</v>
      </c>
      <c r="FO10" t="str" cm="1">
        <f t="array" ref="FO10">IF(B10="","",_xlfn.LET(_xlpm.t,IFERROR(_xlfn.XLOOKUP(1,(Шины[Шина]=FM10)*(((Шины[Щит]=A10)+(Шины[Щит]=""))&gt;0),Шины[Тип]),"")&amp;"",IF(_xlpm.t&lt;&gt;"",_xlpm.t,IF(ISNUMBER(SEARCH("ИБП",FM10)),"ИБП",IF(ISNUMBER(SEARCH("ДГУ",FM10)),"ДГУ","Ввод "&amp;FN10)))))</f>
        <v>Ввод 1</v>
      </c>
      <c r="FP10" t="str">
        <f t="shared" si="73"/>
        <v>Ввод 1</v>
      </c>
      <c r="FQ10" t="str">
        <f>IF(B10="","",IF(OR(FO10="ИБП",FO10="ДГУ"),"I особая",IF(FO10="Одиночная","III",_xlfn.XLOOKUP(A10,Щиты[Щит],Щиты[Категория шины «Ввод»],"III"))))</f>
        <v>I</v>
      </c>
      <c r="FR10">
        <f>IF(B10="",0,IFERROR(MATCH(FJ10,{"III","II","I","I особая"},0),1))</f>
        <v>2</v>
      </c>
      <c r="FS10">
        <f t="shared" si="74"/>
        <v>2</v>
      </c>
      <c r="FT10" t="str">
        <f>IF(B10="","",IF(FR10&gt;IFERROR(MATCH(FQ10,{"III","II","I","I особая"},0),1),"НЕ ОБЕСПЕЧЕНА","ОК"))</f>
        <v>ОК</v>
      </c>
      <c r="FU10" t="str">
        <f>IF(A10="","",_xlfn.XLOOKUP(A10,Щиты[Щит],Щиты[Путь],""))</f>
        <v>|ГРЩ-ЖД|</v>
      </c>
      <c r="FV10" t="str">
        <f>IF(B10="","",IF(AE10&lt;&gt;"",AE10,IF(IFERROR(_xlfn.XLOOKUP(AX10,Коды_код,Коды_вид)&amp;"","")="","Прочее",_xlfn.XLOOKUP(AX10,Коды_код,Коды_вид)&amp;"")))</f>
        <v>Вентиляция</v>
      </c>
      <c r="FW10">
        <f>IF(BH10="","",INT((BH10-1)/Столбцов_на_лист)+1)</f>
        <v>3</v>
      </c>
      <c r="FX10" t="str">
        <f t="shared" si="75"/>
        <v>ВВГнг(А)-LS (5х4) L=56-1,14%</v>
      </c>
      <c r="FY10">
        <f t="shared" si="76"/>
        <v>11.093000000000002</v>
      </c>
      <c r="FZ10">
        <f t="shared" si="77"/>
        <v>10.29</v>
      </c>
      <c r="GA10">
        <f t="shared" si="78"/>
        <v>3</v>
      </c>
      <c r="GB10">
        <f t="shared" si="79"/>
        <v>0</v>
      </c>
      <c r="GC10">
        <f t="shared" si="80"/>
        <v>1</v>
      </c>
      <c r="GD10">
        <f>IF(BH10="","",IF(AND(CA10=1,GC10=1),COUNTIFS(A$3:A10,A10,CA$3:CA10,1,GC$3:GC10,1),IF(OR(OR(AW10=1,A10&lt;&gt;A9),AF10="вручную",GC10=0),"",IF(AW10=1,"",GE9))))</f>
        <v>8</v>
      </c>
      <c r="GE10">
        <f t="shared" si="81"/>
        <v>8</v>
      </c>
      <c r="GF10">
        <f>IF(B10="","",IFERROR(LOOKUP(INDEX(CHOOSE(DL10,Iдоп_1ж,Iдоп_2ж,Iдоп_3ж),MATCH(DX10,Iдоп_S,0))*DJ10*DK10,{6,10,16,20,25,32,40,50,63,80,100,125,160,200,250,315,400,500,630}),""))</f>
        <v>32</v>
      </c>
      <c r="GG10" t="str">
        <f t="shared" si="82"/>
        <v>QF8</v>
      </c>
      <c r="GH10" t="str">
        <f t="shared" si="83"/>
        <v>QF8</v>
      </c>
      <c r="GI10" t="str">
        <f t="shared" si="84"/>
        <v/>
      </c>
      <c r="GJ10">
        <f t="shared" si="85"/>
        <v>0</v>
      </c>
      <c r="GK10" t="str">
        <f>IF(OR(AG10="",AG10="-"),"",IFERROR(VLOOKUP(AG10,Модули_спр,2,FALSE),"R"))</f>
        <v/>
      </c>
      <c r="GL10" t="str">
        <f>IF(GK10="","",GK10&amp;"."&amp;COUNTIFS(A$3:A10,A10,GK$3:GK10,GK10))</f>
        <v/>
      </c>
      <c r="GM10" t="str">
        <f t="shared" si="86"/>
        <v/>
      </c>
      <c r="GN10" t="str">
        <f t="shared" si="87"/>
        <v/>
      </c>
      <c r="GO10" t="str">
        <f t="shared" si="88"/>
        <v/>
      </c>
      <c r="GP10" t="str">
        <f t="shared" si="89"/>
        <v/>
      </c>
      <c r="GQ10">
        <f t="shared" si="90"/>
        <v>1</v>
      </c>
      <c r="GR10" t="str">
        <f>IF(GQ10=1,"XT"&amp;COUNTIFS(A$3:A10,A10,GQ$3:GQ10,1),"")</f>
        <v>XT6</v>
      </c>
      <c r="GS10" t="str">
        <f t="shared" si="91"/>
        <v/>
      </c>
      <c r="GT10" t="str">
        <f t="shared" si="92"/>
        <v>QF8</v>
      </c>
      <c r="GU10" t="str">
        <f t="shared" si="93"/>
        <v/>
      </c>
      <c r="GV10" t="str">
        <f t="shared" si="94"/>
        <v>ok</v>
      </c>
      <c r="GW10" t="str">
        <f>IF(OR(GO10="",GM10=""),"",IF(GO10&gt;IFERROR(VLOOKUP(GN10,Модули_спр,3,FALSE),99),"ЛИШНИЙ КАНАЛ",IF(AND(AH10&lt;&gt;"=",COUNTIFS(Линии[_модуль гр.],GM10,Линии[Канал (итог)],GO10,Линии[Канал],"&lt;&gt;=",Линии[Щит],A10)&gt;1),"ДУБЛЬ КАНАЛА","")))</f>
        <v/>
      </c>
      <c r="GX10" s="6" t="str">
        <f t="shared" si="95"/>
        <v/>
      </c>
      <c r="GY10">
        <f t="shared" si="96"/>
        <v>10</v>
      </c>
      <c r="GZ10" t="str">
        <f t="shared" si="97"/>
        <v/>
      </c>
      <c r="HA10" t="str">
        <f>IF(AND(B10="",GT10=""),"",_xlfn.TEXTJOIN("; ",TRUE,IF(AND(B10&lt;&gt;"",FE10=""),"нет фазы",""),IF(AND(B10&lt;&gt;"",N(FY10)=0,EQ10&lt;&gt;"Нет"),"нет мощности",""),IF(AND(GS10&lt;&gt;"",COUNTIFS(Линии[Щит],A10,Линии[Клемма (итог)],GS10)&gt;1),"дубль клеммы "&amp;GS10,""),IF(AND(GV10&lt;&gt;"",GV10&lt;&gt;"ok"),GV10,""),IF(GW10&lt;&gt;"",GW10,""),IF(AND(N(BV10)&gt;=4,N(BR10)=1),BV10&amp;" жил на 1 фазе",""),IF(AND(AX10="R",CA10=1,OR(N(CK10)=0,N(CK10)&gt;30)),"розетка без дифзащиты до 30 мА",""),IFERROR(IF(AND(ISNUMBER(R10),R10&gt;DV10),"потери "&amp;FIXED(R10,1)&amp;" % &gt; "&amp;DV10&amp;" %",""),""),IFERROR(IF(LEFT(GZ10,4)="мало","Iкз мало — отключение &gt; 0,4 с",""),""),IF(AND(B10&lt;&gt;"",BH10=""),"не на схеме",""),IF(AND(CA10=0,B10&lt;&gt;"",FE10&lt;&gt;"",IF(AW10=1,"",FF9)&lt;&gt;"",FE10&lt;&gt;IF(AW10=1,"",FF9)),"фаза не как у автомата группы ("&amp;IF(AW10=1,"",FF9)&amp;")","")))</f>
        <v/>
      </c>
      <c r="HB10" s="6">
        <f>IF(OR(CA10=0,DA10=""),"",_xlfn.LET(_xlpm.t,IFERROR(_xlfn.XLOOKUP(DA10,Каталог!$U$4:$U$500,Каталог!$G$4:$G$500),""),_xlpm.k,SEARCH("кА",_xlpm.t),IFERROR(--TRIM(RIGHT(SUBSTITUTE(MID(_xlpm.t,MAX(1,_xlpm.k-4),_xlpm.k-MAX(1,_xlpm.k-4))," ",REPT(" ",9)),5)),"")))</f>
        <v>6</v>
      </c>
      <c r="HC10" t="str">
        <f>IF(OR(HB10="",CA10=0),"",IF(_xlfn.XLOOKUP(A10,Щиты[Щит],Щиты[Iкз max на шинах, кА],"")="","",IF(HB10&lt;_xlfn.XLOOKUP(A10,Щиты[Щит],Щиты[Iкз max на шинах, кА]),"Icu "&amp;HB10&amp;" кА &lt; Iкз max","ok")))</f>
        <v/>
      </c>
      <c r="HD10" t="str">
        <f t="shared" si="98"/>
        <v/>
      </c>
      <c r="HE10" t="str">
        <f t="shared" si="99"/>
        <v>QF8</v>
      </c>
      <c r="HF10" t="str">
        <f t="shared" si="100"/>
        <v>QF8|кабель ВВГнг(А)-LS (5х4) → Щит вентиляции ЩОВ-2 Техэтаж этаж Пом. №3.001Т</v>
      </c>
      <c r="HG10" t="str" cm="1">
        <f t="array" ref="HG10">IF(HF10="","",_xlfn.LET(_xlpm.nd,_xlfn.TEXTSPLIT(HF10,"|"),IF(COLUMNS(_xlpm.nd)&gt;1,A10&amp;"¦"&amp;INDEX(_xlpm.nd,1)&amp;"¦"&amp;INDEX(_xlpm.nd,2),"")))</f>
        <v>ГРЩ-ЖД¦QF8¦кабель ВВГнг(А)-LS (5х4) → Щит вентиляции ЩОВ-2 Техэтаж этаж Пом. №3.001Т</v>
      </c>
      <c r="HH10" t="str">
        <f t="shared" si="101"/>
        <v>ЩОВ-2¦Щит вентиляции ЩОВ-2 Техэтаж этаж Пом. №3.001Т</v>
      </c>
      <c r="HI10" t="str" cm="1">
        <f t="array" ref="HI10">IF(HF10="","",_xlfn.LET(_xlpm.nd,_xlfn.TEXTSPLIT(HF10,"|"),IF(COLUMNS(_xlpm.nd)&gt;2,A10&amp;"¦"&amp;INDEX(_xlpm.nd,2)&amp;"¦"&amp;INDEX(_xlpm.nd,3),"")))</f>
        <v/>
      </c>
      <c r="HJ10" t="str">
        <f t="shared" si="102"/>
        <v/>
      </c>
      <c r="HK10" t="str" cm="1">
        <f t="array" ref="HK10">IF(HF10="","",_xlfn.LET(_xlpm.nd,_xlfn.TEXTSPLIT(HF10,"|"),IF(COLUMNS(_xlpm.nd)&gt;3,A10&amp;"¦"&amp;INDEX(_xlpm.nd,3)&amp;"¦"&amp;INDEX(_xlpm.nd,4),"")))</f>
        <v/>
      </c>
      <c r="HL10" t="str">
        <f t="shared" si="103"/>
        <v/>
      </c>
      <c r="HM10" t="str" cm="1">
        <f t="array" ref="HM10">IF(HF10="","",_xlfn.LET(_xlpm.nd,_xlfn.TEXTSPLIT(HF10,"|"),IF(COLUMNS(_xlpm.nd)&gt;4,A10&amp;"¦"&amp;INDEX(_xlpm.nd,4)&amp;"¦"&amp;INDEX(_xlpm.nd,5),"")))</f>
        <v/>
      </c>
      <c r="HN10" t="str">
        <f t="shared" si="104"/>
        <v/>
      </c>
      <c r="HO10" t="str" cm="1">
        <f t="array" ref="HO10">IF(HF10="","",_xlfn.LET(_xlpm.nd,_xlfn.TEXTSPLIT(HF10,"|"),IF(COLUMNS(_xlpm.nd)&gt;5,A10&amp;"¦"&amp;INDEX(_xlpm.nd,5)&amp;"¦"&amp;INDEX(_xlpm.nd,6),"")))</f>
        <v/>
      </c>
      <c r="HP10" t="str">
        <f t="shared" si="105"/>
        <v/>
      </c>
      <c r="HQ10" t="str" cm="1">
        <f t="array" ref="HQ10">IF(HF10="","",_xlfn.LET(_xlpm.nd,_xlfn.TEXTSPLIT(HF10,"|"),IF(COLUMNS(_xlpm.nd)&gt;6,A10&amp;"¦"&amp;INDEX(_xlpm.nd,6)&amp;"¦"&amp;INDEX(_xlpm.nd,7),"")))</f>
        <v/>
      </c>
      <c r="HR10" t="str">
        <f t="shared" si="106"/>
        <v/>
      </c>
      <c r="HS10" t="str">
        <f t="shared" si="107"/>
        <v/>
      </c>
      <c r="HT10" t="str">
        <f t="shared" si="108"/>
        <v>QF8</v>
      </c>
      <c r="HU10">
        <f t="shared" si="109"/>
        <v>0</v>
      </c>
      <c r="HV10">
        <f t="shared" si="110"/>
        <v>0</v>
      </c>
      <c r="HW10" t="str">
        <f t="shared" si="111"/>
        <v/>
      </c>
      <c r="HX10" t="str">
        <f t="shared" si="112"/>
        <v/>
      </c>
      <c r="HY10" t="str">
        <f t="shared" si="113"/>
        <v/>
      </c>
      <c r="HZ10" t="str">
        <f t="shared" si="114"/>
        <v/>
      </c>
      <c r="IA10" t="str">
        <f>IF(B10="","",IFERROR(VLOOKUP(B10,УГО_спр,2,FALSE),IFERROR(VLOOKUP(AX10,УГО_спр,2,FALSE),IFERROR(VLOOKUP(LEFT(AX10,2),УГО_спр,2,FALSE),""))))</f>
        <v/>
      </c>
      <c r="IB10" t="str">
        <f>IF(B10="","",IF(OR(IA10="",IA10=0),"BOX",IFERROR(IF(VLOOKUP(IA10,УГО_блоки,3,FALSE)&amp;""&lt;&gt;"",VLOOKUP(IA10,УГО_блоки,3,FALSE),VLOOKUP(IA10,УГО_блоки,2,FALSE)),IA10)))</f>
        <v>BOX</v>
      </c>
      <c r="IC10">
        <f t="shared" si="115"/>
        <v>1</v>
      </c>
      <c r="ID10">
        <f>IF(DA10="","",IF(COUNTIF(DA$3:DA10,DA10)=1,MAX(ID$2:ID9)+1,""))</f>
        <v>6</v>
      </c>
      <c r="IE10" t="str">
        <f>IF(CO10="","",IF(COUNTIF(CO$3:CO10,CO10)+COUNTIF(CP$2:CP9,CO10)+COUNTIF(CQ$2:CQ9,CO10)=1,MAX(IE$2:IG9)+1,""))</f>
        <v/>
      </c>
      <c r="IF10" t="str">
        <f>IF(CP10="","",IF(COUNTIF(CO$3:CO10,CP10)+COUNTIF(CP$3:CP10,CP10)+COUNTIF(CQ$2:CQ9,CP10)=1,MAX(IE$2:IG9,IE10)+1,""))</f>
        <v/>
      </c>
      <c r="IG10" t="str">
        <f>IF(CQ10="","",IF(COUNTIF(CO$3:CO10,CQ10)+COUNTIF(CP$3:CP10,CQ10)+COUNTIF(CQ$3:CQ10,CQ10)=1,MAX(IE$2:IG9,IE10,IF10)+1,""))</f>
        <v/>
      </c>
      <c r="IH10" t="str">
        <f t="shared" si="116"/>
        <v>5х4</v>
      </c>
      <c r="II10" t="str">
        <f>IF(IH10="","",IF(COUNTIF(IH$3:IH10,IH10)=1,MAX(II$2:II9)+1,""))</f>
        <v/>
      </c>
      <c r="IJ10" t="str">
        <f>IF(GL10="","",COUNTIF(GL$3:GL10,"?*"))</f>
        <v/>
      </c>
      <c r="IK10" t="str">
        <f>IF(OR(GL10="",GN10=""),"",IF(COUNTIFS(GL$3:GL10,"?*",GN$3:GN10,GN10)=1,MAX(IK$2:IK9)+1,""))</f>
        <v/>
      </c>
      <c r="IL10">
        <f t="shared" si="117"/>
        <v>0</v>
      </c>
      <c r="IM10">
        <f>IF(B10="","",COUNTIF(B$3:B10,"?*"))</f>
        <v>8</v>
      </c>
      <c r="IN10">
        <f>IF(GQ10&lt;&gt;1,0,_xlfn.LET(_xlpm.k,MAX(IFERROR(--VLOOKUP(B10,УГО_спр,5,FALSE),0),IFERROR(--VLOOKUP(AX10,УГО_спр,5,FALSE),0),IFERROR(--VLOOKUP(LEFT(AX10,2),УГО_спр,5,FALSE),0)),IF(_xlpm.k&gt;0,_xlpm.k,IF(IFERROR(--LEFT(SUBSTITUTE(IH10,"x","х"),FIND("х",SUBSTITUTE(IH10,"x","х"))-1),3)&gt;3,Каталог!$S$9,1))))</f>
        <v>1</v>
      </c>
      <c r="IO10">
        <f t="shared" si="118"/>
        <v>2</v>
      </c>
      <c r="IP10" t="str">
        <f t="shared" si="119"/>
        <v>авто</v>
      </c>
      <c r="IQ10" t="str">
        <f t="shared" si="120"/>
        <v/>
      </c>
      <c r="IR10">
        <f t="shared" si="121"/>
        <v>0</v>
      </c>
      <c r="IS10">
        <f t="shared" si="122"/>
        <v>1</v>
      </c>
    </row>
    <row r="11" spans="1:253" x14ac:dyDescent="0.3">
      <c r="A11" t="s">
        <v>785</v>
      </c>
      <c r="B11" t="s">
        <v>775</v>
      </c>
      <c r="C11" t="s">
        <v>774</v>
      </c>
      <c r="D11">
        <v>1</v>
      </c>
      <c r="E11" t="str">
        <f>Линии[[#This Row],[_авто Р]]</f>
        <v/>
      </c>
      <c r="G11" t="str">
        <f>Линии[[#This Row],[_авто автомат]]</f>
        <v>3P С6А</v>
      </c>
      <c r="H11" t="str">
        <f>Линии[[#This Row],[_авто утечка]]</f>
        <v/>
      </c>
      <c r="I11" t="str">
        <f>Линии[[#This Row],[_авто управление]]</f>
        <v/>
      </c>
      <c r="J11" t="str">
        <f>Линии[[#This Row],[_авто аппараты]]</f>
        <v/>
      </c>
      <c r="K11" t="str">
        <f>Линии[[#This Row],[_авто сечение]]</f>
        <v/>
      </c>
      <c r="L11">
        <v>52</v>
      </c>
      <c r="M11" t="str">
        <f>Линии[[#This Row],[_авто фаза]]</f>
        <v>L1,L2,L3</v>
      </c>
      <c r="N11" t="s">
        <v>486</v>
      </c>
      <c r="O11" t="str">
        <f t="shared" si="0"/>
        <v>нет мощности</v>
      </c>
      <c r="P11" s="6" cm="1">
        <f t="array" ref="P11">IF(B11="","",IF(BC11&lt;&gt;"",IFERROR(_xlfn.XLOOKUP(BC11,Щиты[Щит],Щиты[Iр, А]),""),IF(BK11=1,IFERROR(_xlfn.XLOOKUP(A11,Щиты[Щит],Щиты[Iр, А]),""),IFERROR(_xlfn.IFS(BR11=1,BN11/((Uн_лин/SQRT(3))*BY11),BR11=3,BN11/(SQRT(3)*Uн_лин*BY11)),""))))</f>
        <v>0</v>
      </c>
      <c r="Q11" s="7">
        <f>IF(B11="","",IFERROR(IF(VLOOKUP(AX11,Потребители_обозначение,4,FALSE)=1,VLOOKUP(AX11,Потребители_обозначение,3,FALSE)*(D11*2-1)+DS11+VLOOKUP(AZ11,Этаж_обозначение,3,FALSE)+VLOOKUP(AZ11,Этаж_обозначение,4,FALSE),VLOOKUP(AX11,Потребители_обозначение,3,FALSE)*(D11*2-1)+DS11),DS11))</f>
        <v>52</v>
      </c>
      <c r="R11" s="6" t="str">
        <f t="shared" si="1"/>
        <v/>
      </c>
      <c r="S11" t="str">
        <f t="shared" si="2"/>
        <v/>
      </c>
      <c r="T11" t="str">
        <f>IF(BH11="","",IF(BI11="вводной узел","узел ","")&amp;"л."&amp;(INT((BH11-1)/Столбцов_на_лист)+1)&amp;" / "&amp;(MOD(BH11-1,Столбцов_на_лист)+1))</f>
        <v>л.3 / 5</v>
      </c>
      <c r="V11">
        <v>3</v>
      </c>
      <c r="W11">
        <v>400</v>
      </c>
      <c r="X11" t="s">
        <v>564</v>
      </c>
      <c r="AA11">
        <v>2</v>
      </c>
      <c r="AC11" t="s">
        <v>815</v>
      </c>
      <c r="AE11" t="s">
        <v>619</v>
      </c>
      <c r="AI11">
        <v>39</v>
      </c>
      <c r="AJ11" t="str">
        <f>Линии[[#This Row],[_авто марка]]</f>
        <v/>
      </c>
      <c r="AK11" t="str">
        <f>Линии[[#This Row],[_авто жил]]</f>
        <v/>
      </c>
      <c r="AM11">
        <v>39</v>
      </c>
      <c r="AN11">
        <v>8</v>
      </c>
      <c r="AO11">
        <v>0</v>
      </c>
      <c r="AW11" cm="1">
        <f t="array" ref="AW11">ROW()-ROW(Линии[#Headers])</f>
        <v>9</v>
      </c>
      <c r="AX11" s="6" t="str">
        <f t="shared" si="3"/>
        <v>ЩО-2</v>
      </c>
      <c r="AY11" t="str">
        <f t="shared" si="4"/>
        <v/>
      </c>
      <c r="AZ11" t="str">
        <f t="shared" si="5"/>
        <v/>
      </c>
      <c r="BA11" t="str">
        <f t="shared" si="6"/>
        <v/>
      </c>
      <c r="BB11" t="str">
        <f t="shared" si="7"/>
        <v/>
      </c>
      <c r="BC11" t="str">
        <f>IF(U11&lt;&gt;"",U11,IF(AND(B11&lt;&gt;"",B11&lt;&gt;A11,ISNUMBER(_xlfn.XMATCH(B11,Щиты[Щит]))),B11,""))</f>
        <v/>
      </c>
      <c r="BD11" t="str" cm="1">
        <f t="array" ref="BD11">IF(B11="","",IF(BC11&lt;&gt;"","Щит "&amp;BC11,_xlfn.LET(_xlpm.nm,IFERROR(_xlfn.XLOOKUP(AX11,Коды_код,Коды_имя)&amp;"",""),_xlpm.md,IFERROR(N(_xlfn.XLOOKUP(AX11,Коды_код,Коды_режим)),1),_xlpm.ex,IF(Имя_режим="по экспликации",IFERROR(_xlfn.XLOOKUP(AZ11&amp;"|"&amp;BB11,Экспликация[Этаж]&amp;"|"&amp;Экспликация[Помещение],Экспликация[Название])&amp;"",""),""),_xlpm.rm,IF(BB11="","",IF(_xlpm.ex&lt;&gt;"",". "&amp;_xlpm.ex&amp;IF(Имя_пом="нет"," ("&amp;BB11&amp;")"," (пом. "&amp;BB11&amp;")"),IF(Имя_пом="нет"," ",", пом. ")&amp;BB11)),IF(_xlpm.nm="","",IF(_xlpm.md=2,_xlpm.nm&amp;" шлейф "&amp;AZ11,_xlpm.nm&amp;_xlpm.rm)))))</f>
        <v/>
      </c>
      <c r="BE11" t="str">
        <f t="shared" si="8"/>
        <v>Щит освещения ЩО-2 Тех. этаж этаж Пом. №3.001</v>
      </c>
      <c r="BF11">
        <f>IFERROR(_xlfn.XMATCH(A11,Щиты[Щит]),0)</f>
        <v>1</v>
      </c>
      <c r="BG11">
        <f>_xlfn.LET(_xlpm.k,IFERROR(_xlfn.XLOOKUP(A11,Щиты[Щит],Щиты[Листов под вводной узел]),""),IF(_xlpm.k="",1,N(_xlpm.k))*Столбцов_на_лист)</f>
        <v>17</v>
      </c>
      <c r="BH11">
        <f t="shared" si="9"/>
        <v>39</v>
      </c>
      <c r="BI11" t="str">
        <f t="shared" si="10"/>
        <v>линии</v>
      </c>
      <c r="BJ11" s="6">
        <f>IFERROR(N(_xlfn.XLOOKUP(AX11,Коды_код,Коды_квт)),0)</f>
        <v>0</v>
      </c>
      <c r="BK11">
        <f t="shared" si="11"/>
        <v>0</v>
      </c>
      <c r="BL11" t="str">
        <f>IF(B11="","",IF(BC11&lt;&gt;"",IFERROR(_xlfn.XLOOKUP(BC11,Щиты[Щит],Щиты[Руст, кВт]),0),IF(BK11=1,IFERROR(_xlfn.XLOOKUP(A11,Щиты[Щит],Щиты[Руст, кВт]),0),IF(BJ11&gt;0,ROUND(BJ11*MAX(1,N(D11)),3),""))))</f>
        <v/>
      </c>
      <c r="BM11" t="str">
        <f t="shared" si="12"/>
        <v/>
      </c>
      <c r="BN11" s="6">
        <f>IF(B11="","",IF(BC11&lt;&gt;"",IFERROR(_xlfn.XLOOKUP(BC11,Щиты[Щит],Щиты[Руст, кВт]),0),N(BM11)))</f>
        <v>0</v>
      </c>
      <c r="BO11" t="str">
        <f>IF(B11="","",IFERROR(IF(VLOOKUP(AX11,Потребители_обозначение,8,FALSE)=0,"",VLOOKUP(AX11,Потребители_обозначение,8,FALSE)),""))</f>
        <v/>
      </c>
      <c r="BP11">
        <f t="shared" si="13"/>
        <v>400</v>
      </c>
      <c r="BQ11">
        <f>IF(B11="","",IF(BC11&lt;&gt;"",3,IFERROR(IF(N(VLOOKUP(AX11,Потребители_обозначение,9,FALSE))=0,1,VLOOKUP(AX11,Потребители_обозначение,9,FALSE)),1)))</f>
        <v>1</v>
      </c>
      <c r="BR11">
        <f t="shared" si="14"/>
        <v>3</v>
      </c>
      <c r="BS11" t="str">
        <f>IF(B11="","",_xlfn.LET(_xlpm.bc,IFERROR(IF(VLOOKUP(AX11,Потребители_обозначение,6,FALSE)=0,"",VLOOKUP(AX11,Потребители_обозначение,6,FALSE)&amp;""),""),IF(AND(FK11="да",OR(_xlpm.bc="",_xlpm.bc="мс")),Марка_пож,IF(AND(_xlpm.bc="",BC11&lt;&gt;""),"мс",_xlpm.bc))))</f>
        <v/>
      </c>
      <c r="BT11" t="str">
        <f t="shared" si="15"/>
        <v/>
      </c>
      <c r="BU11" t="str">
        <f>IF(B11="","",_xlfn.LET(_xlpm.cc,IFERROR(N(VLOOKUP(AX11,Потребители_обозначение,7,FALSE)),0),IF(_xlpm.cc&gt;0,_xlpm.cc,IF(BT11="","",IF(N(BR11)=3,5,3)))))</f>
        <v/>
      </c>
      <c r="BV11" t="str">
        <f t="shared" si="16"/>
        <v/>
      </c>
      <c r="BW11">
        <f>IFERROR(N(VLOOKUP(AX11,Потребители_обозначение,10,FALSE)),0)</f>
        <v>0</v>
      </c>
      <c r="BX11">
        <f>IFERROR(VLOOKUP(AX11,Потребители_обозначение,5,FALSE),0)</f>
        <v>0</v>
      </c>
      <c r="BY11" s="6" cm="1">
        <f t="array" ref="BY11">IF(B11="","",IF(BC11&lt;&gt;"",IFERROR(_xlfn.XLOOKUP(BC11,Щиты[Щит],Щиты[cos φ]),0.95),IF(BK11=1,IFERROR(_xlfn.XLOOKUP(A11,Щиты[Щит],Щиты[cos φ]),0.95),IF(ISNUMBER(Z11),Z11,IFERROR(IF(BX11=2,_xlfn.IFS(BR11=3,VLOOKUP(BN11,Справочная_двигатели,8,FALSE),BR11=1,VLOOKUP(BN11,Справочная_двигатели,10,TRUE)),IF(AND(Методика="нормы 2026",EQ11="Сил"),0.8,0.95)),0.95)))))</f>
        <v>0.95</v>
      </c>
      <c r="BZ11">
        <f t="shared" si="17"/>
        <v>0</v>
      </c>
      <c r="CA11">
        <f t="shared" si="18"/>
        <v>1</v>
      </c>
      <c r="CB11">
        <f t="shared" si="19"/>
        <v>0</v>
      </c>
      <c r="CC11">
        <f t="shared" si="20"/>
        <v>0</v>
      </c>
      <c r="CD11">
        <f t="shared" si="21"/>
        <v>0</v>
      </c>
      <c r="CE11">
        <f t="shared" si="22"/>
        <v>0</v>
      </c>
      <c r="CF11">
        <f t="shared" si="23"/>
        <v>0</v>
      </c>
      <c r="CG11">
        <f>IF(AX11="",0,_xlfn.LET(_xlpm.v,IFERROR(VLOOKUP(B11,УГО_спр,3,FALSE),IFERROR(VLOOKUP(AX11,УГО_спр,3,FALSE),IFERROR(VLOOKUP(LEFT(AX11,2),УГО_спр,3,FALSE),""))),IF(_xlpm.v="да",30,IF(ISNUMBER(_xlpm.v),_xlpm.v,0))))</f>
        <v>0</v>
      </c>
      <c r="CH11" t="str">
        <f t="shared" si="24"/>
        <v/>
      </c>
      <c r="CI11" t="str">
        <f>_xlfn.LET(_xlpm.k,IFERROR(_xlfn.XLOOKUP(AX11,Коды_код,Коды_утечка)&amp;"",""),IF(_xlpm.k="","дифавтомат",_xlpm.k))</f>
        <v>дифавтомат</v>
      </c>
      <c r="CJ11">
        <f t="shared" si="25"/>
        <v>0</v>
      </c>
      <c r="CK11">
        <f t="shared" si="26"/>
        <v>0</v>
      </c>
      <c r="CL11">
        <f>IF(B11="",0,IFERROR(--VLOOKUP(B11,УГО_спр,4,FALSE),IFERROR(--VLOOKUP(AX11,УГО_спр,4,FALSE),IFERROR(--VLOOKUP(LEFT(AX11,2),УГО_спр,4,FALSE),0))))</f>
        <v>0</v>
      </c>
      <c r="CM11" t="str">
        <f>IF(B11="","",IFERROR(_xlfn.XLOOKUP(AX11,Коды_код,Коды_апп)&amp;"",""))</f>
        <v/>
      </c>
      <c r="CN11" t="str">
        <f t="shared" si="27"/>
        <v/>
      </c>
      <c r="CO11" t="str" cm="1">
        <f t="array" ref="CO11">IF(TRIM(CN11&amp;"")="","",IFERROR(TRIM(INDEX(_xlfn.TEXTSPLIT(CN11&amp;";;;",";"),1)),""))</f>
        <v/>
      </c>
      <c r="CP11" t="str" cm="1">
        <f t="array" ref="CP11">IF(TRIM(CN11&amp;"")="","",IFERROR(TRIM(INDEX(_xlfn.TEXTSPLIT(CN11&amp;";;;",";"),2)),""))</f>
        <v/>
      </c>
      <c r="CQ11" t="str" cm="1">
        <f t="array" ref="CQ11">IF(TRIM(CN11&amp;"")="","",IFERROR(TRIM(INDEX(_xlfn.TEXTSPLIT(CN11&amp;";;;",";"),3)),""))</f>
        <v/>
      </c>
      <c r="CR11">
        <f t="shared" si="28"/>
        <v>0</v>
      </c>
      <c r="CS11" t="str">
        <f>IF(B11="","",_xlfn.LET(_xlpm.t,LOWER(AV11&amp;""),IF(ISNUMBER(SEARCH("dim",_xlpm.t)),"DIM",IF(ISNUMBER(SEARCH("dali",_xlpm.t)),"DALI",IF(OR(ISNUMBER(SEARCH("relay",_xlpm.t)),ISNUMBER(SEARCH("реле",_xlpm.t))),"Relay",IF(ISNUMBER(SEARCH("кнопк",_xlpm.t)),"",IFERROR(_xlfn.XLOOKUP(AX11,Коды_код,Коды_упр)&amp;"","")))))))</f>
        <v/>
      </c>
      <c r="CT11" t="str">
        <f t="shared" si="29"/>
        <v/>
      </c>
      <c r="CU11">
        <f>IF(B11="","",_xlfn.LET(_xlpm.ig,N(P11)+IF(AF11="вручную",0,N(CB11)),_xlpm.n0,IFERROR(VLOOKUP(_xlpm.ig,Автомат_номиналы,2,TRUE),0),_xlpm.mn,MAX(CL11,IF(AF11="вручную",0,N(CE11))),MAX(_xlpm.n0,_xlpm.mn,IF(CR11=1,Мин_автомат_БП,0))))</f>
        <v>6</v>
      </c>
      <c r="CV11">
        <f t="shared" si="30"/>
        <v>3</v>
      </c>
      <c r="CW11" t="str">
        <f t="shared" si="31"/>
        <v>3P</v>
      </c>
      <c r="CX11" t="str">
        <f>_xlfn.LET(_xlpm.cc,UPPER(TRIM(IFERROR(_xlfn.XLOOKUP(AX11,Коды_код,Коды_хар)&amp;"",""))),IF(OR(_xlpm.cc="B",_xlpm.cc="В"),"B",IF(_xlpm.cc="D","D","С")))</f>
        <v>С</v>
      </c>
      <c r="CY11" t="str">
        <f t="shared" si="32"/>
        <v>3P С6А</v>
      </c>
      <c r="CZ11" t="str">
        <f t="shared" si="33"/>
        <v>3P С6А</v>
      </c>
      <c r="DA11" t="str">
        <f t="shared" si="34"/>
        <v>3P С6А</v>
      </c>
      <c r="DB11" cm="1">
        <f t="array" ref="DB11">IF(DA11="","",_xlfn.LET(_xlpm.t,SUBSTITUTE(SUBSTITUTE(SUBSTITUTE(UPPER(DA11),"С","C"),"А","A"),"В","B"),_xlpm.tk,_xlfn.TEXTSPLIT(_xlpm.t,"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1" t="str">
        <f t="shared" si="35"/>
        <v>ok</v>
      </c>
      <c r="DD11">
        <f t="shared" si="36"/>
        <v>6</v>
      </c>
      <c r="DE11" t="str">
        <f t="shared" si="37"/>
        <v>3P С6А</v>
      </c>
      <c r="DF11">
        <f t="shared" si="38"/>
        <v>0</v>
      </c>
      <c r="DG11">
        <f t="shared" si="39"/>
        <v>0</v>
      </c>
      <c r="DH11">
        <f t="shared" si="40"/>
        <v>0</v>
      </c>
      <c r="DI11">
        <f t="shared" si="41"/>
        <v>0</v>
      </c>
      <c r="DJ11">
        <f t="shared" si="42"/>
        <v>1</v>
      </c>
      <c r="DK11">
        <f>IF(ISNUMBER(AL11),AL11,К_прокл)</f>
        <v>1</v>
      </c>
      <c r="DL11">
        <f t="shared" si="43"/>
        <v>3</v>
      </c>
      <c r="DM11">
        <f>IFERROR(N(VLOOKUP(BT11,Кабель_обозначение,3,FALSE)),1)</f>
        <v>1</v>
      </c>
      <c r="DN11">
        <f>IFERROR(N(_xlfn.XLOOKUP(A11,Щиты[Щит],Щиты[ΔU до шин, %])),0)</f>
        <v>0</v>
      </c>
      <c r="DO11" t="str">
        <f>IFERROR(_xlfn.XLOOKUP(A11,Щиты[Щит],Щиты[Zпетли на шинах, Ом]),"")</f>
        <v/>
      </c>
      <c r="DP11">
        <f>IFERROR(N(_xlfn.XLOOKUP(A11,Щиты[Щит],Щиты[ΔU до шин (подбор), %])),0)</f>
        <v>0</v>
      </c>
      <c r="DQ11" t="str">
        <f>IFERROR(_xlfn.XLOOKUP(A11,Щиты[Щит],Щиты[Zпетли на шинах (подбор), Ом]),"")</f>
        <v/>
      </c>
      <c r="DR11" t="str">
        <f t="shared" si="44"/>
        <v/>
      </c>
      <c r="DS11">
        <f t="shared" si="45"/>
        <v>52</v>
      </c>
      <c r="DT11">
        <f t="shared" si="46"/>
        <v>1</v>
      </c>
      <c r="DU11">
        <f t="shared" si="47"/>
        <v>0.31</v>
      </c>
      <c r="DV11" s="6">
        <f>IF(B11="","",IF(IFERROR(VLOOKUP(AX11,УГО_спр,2,FALSE),"")="Светильник",3,4)+IF(Методика="нормы 2026",MIN(0.5,MAX(0,N(Q11)-100)*0.005),0))</f>
        <v>4</v>
      </c>
      <c r="DW11" t="str" cm="1">
        <f t="array" ref="DW11">IF(OR(B11="",BT11="",DM11&lt;&gt;1),"",_xlfn.LET(_xlpm.sz,Iдоп_S,_xlpm.t_,CHOOSE(DL11,Iдоп_1ж,Iдоп_2ж,Iдоп_3ж)*DJ11*DK11,_xlpm.inn,N(DD11),_xlpm.smin,MAX(1.5,BW11),_xlpm.L_,N(Q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11)*(_xlpm.rho*_xlpm.L_/_xlpm.sz*N(BY11)+_xlpm.xx*_xlpm.L_*N(DU11)/1000)*N(P11)/((Uн_лин/SQRT(3))*1000)*100,999),_xlpm.kz,IF(OR(DG11=1,NOT(ISNUMBER(DQ11)),_xlpm.L_=0,_xlpm.inn=0),1,IFERROR(--(c_min*(Uн_лин*1000/SQRT(3))/(DQ11+2*ρкз_Cu*_xlpm.L_/_xlpm.sz)&gt;=GY11*_xlpm.inn),0)),_xlpm.ok,IFERROR((_xlpm.sz&gt;=_xlpm.smin)*(_xlpm.t_&gt;=_xlpm.inn)*IF(_xlpm.L_&gt;0,(_xlpm.du_+DP11&lt;=DV11+0.00001),1)*_xlpm.kz,0),_xlpm.r_,_xlfn._xlws.FILTER(_xlpm.sz,_xlpm.ok,"не подобрано"),INDEX(_xlpm.r_,1)))</f>
        <v/>
      </c>
      <c r="DX11" t="str">
        <f t="shared" si="48"/>
        <v/>
      </c>
      <c r="DY11" t="str" cm="1">
        <f t="array" ref="DY11">IF(OR(B11="",BT11="",DM11&lt;&gt;1),"",_xlfn.LET(_xlpm.sz,Iдоп_S,_xlpm.t_,CHOOSE(DL11,Iдоп_1ж,Iдоп_2ж,Iдоп_3ж)*DJ11*DK11,_xlpm.ok,IFERROR((_xlpm.sz&gt;=MAX(1.5,BW11))*(_xlpm.t_&gt;=N(DD11)),0),_xlpm.r_,_xlfn._xlws.FILTER(_xlpm.sz,_xlpm.ok,""),INDEX(_xlpm.r_,1)))</f>
        <v/>
      </c>
      <c r="DZ11" s="6" t="str" cm="1">
        <f t="array" ref="DZ11">IFERROR(ROUNDUP(N(DT11)*(_xlfn.XLOOKUP(DY11,INDEX(Кабель_сопротивление,0,1),INDEX(Кабель_сопротивление,0,3))*N(Q11)/DY11*N(BY11)+_xlfn.XLOOKUP(DY11,INDEX(Кабель_сопротивление,0,1),INDEX(Кабель_сопротивление,0,2))*N(Q11)*N(DU11)/1000)*N(P11)/((Uн_лин/SQRT(3))*1000)*100,2),"")</f>
        <v/>
      </c>
      <c r="EA11" t="str">
        <f>IFERROR(2*ρкз_Cu*N(Q11)/DY11,"")</f>
        <v/>
      </c>
      <c r="EB11" t="str">
        <f>IFERROR(VLOOKUP(DX11,Кабель_сопротивление,3,FALSE),"")</f>
        <v/>
      </c>
      <c r="EC11" t="str">
        <f>IFERROR(VLOOKUP(DX11,Кабель_сопротивление,2,FALSE),"")</f>
        <v/>
      </c>
      <c r="ED11">
        <f t="shared" si="49"/>
        <v>8</v>
      </c>
      <c r="EE11">
        <f t="shared" si="50"/>
        <v>0</v>
      </c>
      <c r="EF11" t="str">
        <f t="shared" si="51"/>
        <v/>
      </c>
      <c r="EG11" s="6" t="str">
        <f>IFERROR(ROUNDUP(EF11/((Uн_лин/SQRT(3))*1000)*100,2),"")</f>
        <v/>
      </c>
      <c r="EH11" t="str">
        <f>IFERROR(VLOOKUP(BT11,Кабель_обозначение,2,FALSE),"")</f>
        <v/>
      </c>
      <c r="EI11" t="str">
        <f t="shared" si="52"/>
        <v/>
      </c>
      <c r="EJ11" t="str">
        <f t="shared" si="53"/>
        <v/>
      </c>
      <c r="EK11" t="str">
        <f>IFERROR(2*ρкз_Cu*Q11/DX11,"")</f>
        <v/>
      </c>
      <c r="EL11" t="str">
        <f t="shared" si="54"/>
        <v/>
      </c>
      <c r="EM11" s="6" t="str">
        <f>IFERROR(IF(OR(B11="",NOT(ISNUMBER(DX11)),N(Q11)=0),"",_xlfn.XLOOKUP(A11,Щиты[Щит],Щиты[Zпетли на шинах, Ом])+EK11),"")</f>
        <v/>
      </c>
      <c r="EN11" s="6" t="str">
        <f>IF(ISNUMBER(EM11),c_min*(Uн_лин*1000/SQRT(3))/EM11,"")</f>
        <v/>
      </c>
      <c r="EO11" s="6" t="str">
        <f>IFERROR(IF(OR(B11="",NOT(ISNUMBER(DX11))),"",1.05*(Uн_лин*1000/SQRT(3))/(_xlfn.XLOOKUP(A11,Щиты[Щит],Щиты[Zmax на шинах, Ом])+EL11)/1000),"")</f>
        <v/>
      </c>
      <c r="EP11" s="6" t="str">
        <f>IF(B11="","",IF(ISNUMBER(Y11),"Сил",IF(IFERROR(_xlfn.XLOOKUP(AX11,Коды_код,Коды_группа)&amp;"","")="","Быт",_xlfn.XLOOKUP(AX11,Коды_код,Коды_группа)&amp;"")))</f>
        <v>Быт</v>
      </c>
      <c r="EQ11" s="6" t="str">
        <f t="shared" si="55"/>
        <v>Быт</v>
      </c>
      <c r="ER11" s="6">
        <f>IF(EQ11="Щит","щит",IF(EQ11="","",IF(EQ11="Быт",IFERROR(_xlfn.XLOOKUP(A11,Щиты[Щит],Щиты[Кс быт]),1),IF(EQ11="Сил",IF(ISNUMBER(Y11),Y11,IF(Методика="нормы 2026",IFERROR(_xlfn.XLOOKUP(A11,Щиты[Щит],Щиты[Кс силовых (табл. 7.5)]),1),1)),IF(OR(EQ11="Пост",EQ11="Отоп"),1,IF(EQ11="ВНГ",0.7,0))))))</f>
        <v>0.47591999999999995</v>
      </c>
      <c r="ES11">
        <f t="shared" si="56"/>
        <v>2</v>
      </c>
      <c r="ET11">
        <f t="shared" si="57"/>
        <v>0</v>
      </c>
      <c r="EU11">
        <f t="shared" si="58"/>
        <v>0</v>
      </c>
      <c r="EV11">
        <f t="shared" si="59"/>
        <v>0</v>
      </c>
      <c r="EW11">
        <f t="shared" si="60"/>
        <v>0</v>
      </c>
      <c r="EX11">
        <f t="shared" si="61"/>
        <v>0</v>
      </c>
      <c r="EY11">
        <f t="shared" si="62"/>
        <v>0</v>
      </c>
      <c r="EZ11">
        <f t="shared" si="63"/>
        <v>0</v>
      </c>
      <c r="FA11">
        <f t="shared" si="64"/>
        <v>0</v>
      </c>
      <c r="FB11">
        <f t="shared" si="65"/>
        <v>0</v>
      </c>
      <c r="FC11" t="str">
        <f t="shared" si="66"/>
        <v/>
      </c>
      <c r="FD11" t="str">
        <f>IF(B11="","",IF(CA11=0,IF(AW11=1,"",FF10),IF(OR(N(CV11)&gt;=3,N(BR11)&gt;=3),"L1,L2,L3",IFERROR(_xlfn.TEXTBEFORE(_xlfn.TEXTAFTER(_xlfn.XLOOKUP(A11,Щиты[Щит],Щиты[_фазы авто]),";"&amp;AW11&amp;":"),";"),"L1"))))</f>
        <v>L1,L2,L3</v>
      </c>
      <c r="FE11" t="str">
        <f t="shared" si="67"/>
        <v>L1,L2,L3</v>
      </c>
      <c r="FF11" t="str">
        <f t="shared" si="68"/>
        <v>L1,L2,L3</v>
      </c>
      <c r="FG11" cm="1">
        <f t="array" ref="FG11">IFERROR(IF(BX11=2,_xlfn.IFS(BR11=3,VLOOKUP(BN11,Справочная_двигатели,3,FALSE),BR11=1,VLOOKUP(BN11,Справочная_двигатели,5,TRUE)),0),0)</f>
        <v>0</v>
      </c>
      <c r="FH11">
        <f>IFERROR(IF(BX11=3,VLOOKUP(BN11,Справочная_ЛЭД,2,TRUE),0),0)</f>
        <v>0</v>
      </c>
      <c r="FI11" s="6">
        <f t="shared" si="69"/>
        <v>0</v>
      </c>
      <c r="FJ11" t="str" cm="1">
        <f t="array" ref="FJ11">IF(B11="","",IFERROR(INDEX({"I особая","I","II","III"},MATCH(TRIM(AC11&amp;""),{"I особая","I","II","III"},0)),"III"))</f>
        <v>II</v>
      </c>
      <c r="FK11" t="str">
        <f>IF(B11="","",IF(TRIM(AD11&amp;"")&lt;&gt;"",IF(LOWER(TRIM(AD11&amp;""))="да","да","нет"),IF(IFERROR(_xlfn.XLOOKUP(AX11,Коды_код,Коды_пожарная),"")="да","да","нет")))</f>
        <v>нет</v>
      </c>
      <c r="FL11" t="str">
        <f t="shared" si="70"/>
        <v/>
      </c>
      <c r="FM11" t="str">
        <f t="shared" si="71"/>
        <v>основная</v>
      </c>
      <c r="FN11">
        <f t="shared" si="72"/>
        <v>2</v>
      </c>
      <c r="FO11" t="str" cm="1">
        <f t="array" ref="FO11">IF(B11="","",_xlfn.LET(_xlpm.t,IFERROR(_xlfn.XLOOKUP(1,(Шины[Шина]=FM11)*(((Шины[Щит]=A11)+(Шины[Щит]=""))&gt;0),Шины[Тип]),"")&amp;"",IF(_xlpm.t&lt;&gt;"",_xlpm.t,IF(ISNUMBER(SEARCH("ИБП",FM11)),"ИБП",IF(ISNUMBER(SEARCH("ДГУ",FM11)),"ДГУ","Ввод "&amp;FN11)))))</f>
        <v>Ввод 2</v>
      </c>
      <c r="FP11" t="str">
        <f t="shared" si="73"/>
        <v>Ввод 2</v>
      </c>
      <c r="FQ11" t="str">
        <f>IF(B11="","",IF(OR(FO11="ИБП",FO11="ДГУ"),"I особая",IF(FO11="Одиночная","III",_xlfn.XLOOKUP(A11,Щиты[Щит],Щиты[Категория шины «Ввод»],"III"))))</f>
        <v>I</v>
      </c>
      <c r="FR11">
        <f>IF(B11="",0,IFERROR(MATCH(FJ11,{"III","II","I","I особая"},0),1))</f>
        <v>2</v>
      </c>
      <c r="FS11">
        <f t="shared" si="74"/>
        <v>2</v>
      </c>
      <c r="FT11" t="str">
        <f>IF(B11="","",IF(FR11&gt;IFERROR(MATCH(FQ11,{"III","II","I","I особая"},0),1),"НЕ ОБЕСПЕЧЕНА","ОК"))</f>
        <v>ОК</v>
      </c>
      <c r="FU11" t="str">
        <f>IF(A11="","",_xlfn.XLOOKUP(A11,Щиты[Щит],Щиты[Путь],""))</f>
        <v>|ГРЩ-ЖД|</v>
      </c>
      <c r="FV11" t="str">
        <f>IF(B11="","",IF(AE11&lt;&gt;"",AE11,IF(IFERROR(_xlfn.XLOOKUP(AX11,Коды_код,Коды_вид)&amp;"","")="","Прочее",_xlfn.XLOOKUP(AX11,Коды_код,Коды_вид)&amp;"")))</f>
        <v>Распределительные щиты жилой части</v>
      </c>
      <c r="FW11">
        <f>IF(BH11="","",INT((BH11-1)/Столбцов_на_лист)+1)</f>
        <v>3</v>
      </c>
      <c r="FX11" t="str">
        <f t="shared" si="75"/>
        <v/>
      </c>
      <c r="FY11">
        <f t="shared" si="76"/>
        <v>0</v>
      </c>
      <c r="FZ11">
        <f t="shared" si="77"/>
        <v>0</v>
      </c>
      <c r="GA11">
        <f t="shared" si="78"/>
        <v>3</v>
      </c>
      <c r="GB11">
        <f t="shared" si="79"/>
        <v>0</v>
      </c>
      <c r="GC11">
        <f t="shared" si="80"/>
        <v>1</v>
      </c>
      <c r="GD11">
        <f>IF(BH11="","",IF(AND(CA11=1,GC11=1),COUNTIFS(A$3:A11,A11,CA$3:CA11,1,GC$3:GC11,1),IF(OR(OR(AW11=1,A11&lt;&gt;A10),AF11="вручную",GC11=0),"",IF(AW11=1,"",GE10))))</f>
        <v>9</v>
      </c>
      <c r="GE11">
        <f t="shared" si="81"/>
        <v>9</v>
      </c>
      <c r="GF11" t="str">
        <f>IF(B11="","",IFERROR(LOOKUP(INDEX(CHOOSE(DL11,Iдоп_1ж,Iдоп_2ж,Iдоп_3ж),MATCH(DX11,Iдоп_S,0))*DJ11*DK11,{6,10,16,20,25,32,40,50,63,80,100,125,160,200,250,315,400,500,630}),""))</f>
        <v/>
      </c>
      <c r="GG11" t="str">
        <f t="shared" si="82"/>
        <v>QF9</v>
      </c>
      <c r="GH11" t="str">
        <f t="shared" si="83"/>
        <v>QF9</v>
      </c>
      <c r="GI11" t="str">
        <f t="shared" si="84"/>
        <v/>
      </c>
      <c r="GJ11">
        <f t="shared" si="85"/>
        <v>0</v>
      </c>
      <c r="GK11" t="str">
        <f>IF(OR(AG11="",AG11="-"),"",IFERROR(VLOOKUP(AG11,Модули_спр,2,FALSE),"R"))</f>
        <v/>
      </c>
      <c r="GL11" t="str">
        <f>IF(GK11="","",GK11&amp;"."&amp;COUNTIFS(A$3:A11,A11,GK$3:GK11,GK11))</f>
        <v/>
      </c>
      <c r="GM11" t="str">
        <f t="shared" si="86"/>
        <v/>
      </c>
      <c r="GN11" t="str">
        <f t="shared" si="87"/>
        <v/>
      </c>
      <c r="GO11" t="str">
        <f t="shared" si="88"/>
        <v/>
      </c>
      <c r="GP11" t="str">
        <f t="shared" si="89"/>
        <v/>
      </c>
      <c r="GQ11">
        <f t="shared" si="90"/>
        <v>0</v>
      </c>
      <c r="GR11" t="str">
        <f>IF(GQ11=1,"XT"&amp;COUNTIFS(A$3:A11,A11,GQ$3:GQ11,1),"")</f>
        <v/>
      </c>
      <c r="GS11" t="str">
        <f t="shared" si="91"/>
        <v/>
      </c>
      <c r="GT11" t="str">
        <f t="shared" si="92"/>
        <v>QF9</v>
      </c>
      <c r="GU11" t="str">
        <f t="shared" si="93"/>
        <v/>
      </c>
      <c r="GV11" t="str">
        <f t="shared" si="94"/>
        <v>ok</v>
      </c>
      <c r="GW11" t="str">
        <f>IF(OR(GO11="",GM11=""),"",IF(GO11&gt;IFERROR(VLOOKUP(GN11,Модули_спр,3,FALSE),99),"ЛИШНИЙ КАНАЛ",IF(AND(AH11&lt;&gt;"=",COUNTIFS(Линии[_модуль гр.],GM11,Линии[Канал (итог)],GO11,Линии[Канал],"&lt;&gt;=",Линии[Щит],A11)&gt;1),"ДУБЛЬ КАНАЛА","")))</f>
        <v/>
      </c>
      <c r="GX11" s="6" t="str">
        <f t="shared" si="95"/>
        <v/>
      </c>
      <c r="GY11">
        <f t="shared" si="96"/>
        <v>10</v>
      </c>
      <c r="GZ11" t="str">
        <f t="shared" si="97"/>
        <v/>
      </c>
      <c r="HA11" t="str">
        <f>IF(AND(B11="",GT11=""),"",_xlfn.TEXTJOIN("; ",TRUE,IF(AND(B11&lt;&gt;"",FE11=""),"нет фазы",""),IF(AND(B11&lt;&gt;"",N(FY11)=0,EQ11&lt;&gt;"Нет"),"нет мощности",""),IF(AND(GS11&lt;&gt;"",COUNTIFS(Линии[Щит],A11,Линии[Клемма (итог)],GS11)&gt;1),"дубль клеммы "&amp;GS11,""),IF(AND(GV11&lt;&gt;"",GV11&lt;&gt;"ok"),GV11,""),IF(GW11&lt;&gt;"",GW11,""),IF(AND(N(BV11)&gt;=4,N(BR11)=1),BV11&amp;" жил на 1 фазе",""),IF(AND(AX11="R",CA11=1,OR(N(CK11)=0,N(CK11)&gt;30)),"розетка без дифзащиты до 30 мА",""),IFERROR(IF(AND(ISNUMBER(R11),R11&gt;DV11),"потери "&amp;FIXED(R11,1)&amp;" % &gt; "&amp;DV11&amp;" %",""),""),IFERROR(IF(LEFT(GZ11,4)="мало","Iкз мало — отключение &gt; 0,4 с",""),""),IF(AND(B11&lt;&gt;"",BH11=""),"не на схеме",""),IF(AND(CA11=0,B11&lt;&gt;"",FE11&lt;&gt;"",IF(AW11=1,"",FF10)&lt;&gt;"",FE11&lt;&gt;IF(AW11=1,"",FF10)),"фаза не как у автомата группы ("&amp;IF(AW11=1,"",FF10)&amp;")","")))</f>
        <v>нет мощности</v>
      </c>
      <c r="HB11" s="6" t="str">
        <f>IF(OR(CA11=0,DA11=""),"",_xlfn.LET(_xlpm.t,IFERROR(_xlfn.XLOOKUP(DA11,Каталог!$U$4:$U$500,Каталог!$G$4:$G$500),""),_xlpm.k,SEARCH("кА",_xlpm.t),IFERROR(--TRIM(RIGHT(SUBSTITUTE(MID(_xlpm.t,MAX(1,_xlpm.k-4),_xlpm.k-MAX(1,_xlpm.k-4))," ",REPT(" ",9)),5)),"")))</f>
        <v/>
      </c>
      <c r="HC11" t="str">
        <f>IF(OR(HB11="",CA11=0),"",IF(_xlfn.XLOOKUP(A11,Щиты[Щит],Щиты[Iкз max на шинах, кА],"")="","",IF(HB11&lt;_xlfn.XLOOKUP(A11,Щиты[Щит],Щиты[Iкз max на шинах, кА]),"Icu "&amp;HB11&amp;" кА &lt; Iкз max","ok")))</f>
        <v/>
      </c>
      <c r="HD11" t="str">
        <f t="shared" si="98"/>
        <v/>
      </c>
      <c r="HE11" t="str">
        <f t="shared" si="99"/>
        <v>QF9</v>
      </c>
      <c r="HF11" t="str">
        <f t="shared" si="100"/>
        <v>QF9|кабель  → Щит освещения ЩО-2 Тех. этаж этаж Пом. №3.001</v>
      </c>
      <c r="HG11" t="str" cm="1">
        <f t="array" ref="HG11">IF(HF11="","",_xlfn.LET(_xlpm.nd,_xlfn.TEXTSPLIT(HF11,"|"),IF(COLUMNS(_xlpm.nd)&gt;1,A11&amp;"¦"&amp;INDEX(_xlpm.nd,1)&amp;"¦"&amp;INDEX(_xlpm.nd,2),"")))</f>
        <v>ГРЩ-ЖД¦QF9¦кабель  → Щит освещения ЩО-2 Тех. этаж этаж Пом. №3.001</v>
      </c>
      <c r="HH11" t="str">
        <f t="shared" si="101"/>
        <v>ЩО-2¦Щит освещения ЩО-2 Тех. этаж этаж Пом. №3.001</v>
      </c>
      <c r="HI11" t="str" cm="1">
        <f t="array" ref="HI11">IF(HF11="","",_xlfn.LET(_xlpm.nd,_xlfn.TEXTSPLIT(HF11,"|"),IF(COLUMNS(_xlpm.nd)&gt;2,A11&amp;"¦"&amp;INDEX(_xlpm.nd,2)&amp;"¦"&amp;INDEX(_xlpm.nd,3),"")))</f>
        <v/>
      </c>
      <c r="HJ11" t="str">
        <f t="shared" si="102"/>
        <v/>
      </c>
      <c r="HK11" t="str" cm="1">
        <f t="array" ref="HK11">IF(HF11="","",_xlfn.LET(_xlpm.nd,_xlfn.TEXTSPLIT(HF11,"|"),IF(COLUMNS(_xlpm.nd)&gt;3,A11&amp;"¦"&amp;INDEX(_xlpm.nd,3)&amp;"¦"&amp;INDEX(_xlpm.nd,4),"")))</f>
        <v/>
      </c>
      <c r="HL11" t="str">
        <f t="shared" si="103"/>
        <v/>
      </c>
      <c r="HM11" t="str" cm="1">
        <f t="array" ref="HM11">IF(HF11="","",_xlfn.LET(_xlpm.nd,_xlfn.TEXTSPLIT(HF11,"|"),IF(COLUMNS(_xlpm.nd)&gt;4,A11&amp;"¦"&amp;INDEX(_xlpm.nd,4)&amp;"¦"&amp;INDEX(_xlpm.nd,5),"")))</f>
        <v/>
      </c>
      <c r="HN11" t="str">
        <f t="shared" si="104"/>
        <v/>
      </c>
      <c r="HO11" t="str" cm="1">
        <f t="array" ref="HO11">IF(HF11="","",_xlfn.LET(_xlpm.nd,_xlfn.TEXTSPLIT(HF11,"|"),IF(COLUMNS(_xlpm.nd)&gt;5,A11&amp;"¦"&amp;INDEX(_xlpm.nd,5)&amp;"¦"&amp;INDEX(_xlpm.nd,6),"")))</f>
        <v/>
      </c>
      <c r="HP11" t="str">
        <f t="shared" si="105"/>
        <v/>
      </c>
      <c r="HQ11" t="str" cm="1">
        <f t="array" ref="HQ11">IF(HF11="","",_xlfn.LET(_xlpm.nd,_xlfn.TEXTSPLIT(HF11,"|"),IF(COLUMNS(_xlpm.nd)&gt;6,A11&amp;"¦"&amp;INDEX(_xlpm.nd,6)&amp;"¦"&amp;INDEX(_xlpm.nd,7),"")))</f>
        <v/>
      </c>
      <c r="HR11" t="str">
        <f t="shared" si="106"/>
        <v/>
      </c>
      <c r="HS11" t="str">
        <f t="shared" si="107"/>
        <v/>
      </c>
      <c r="HT11" t="str">
        <f t="shared" si="108"/>
        <v>QF9</v>
      </c>
      <c r="HU11">
        <f t="shared" si="109"/>
        <v>0</v>
      </c>
      <c r="HV11">
        <f t="shared" si="110"/>
        <v>0</v>
      </c>
      <c r="HW11" t="str">
        <f t="shared" si="111"/>
        <v/>
      </c>
      <c r="HX11" t="str">
        <f t="shared" si="112"/>
        <v/>
      </c>
      <c r="HY11" t="str">
        <f t="shared" si="113"/>
        <v/>
      </c>
      <c r="HZ11" t="str">
        <f t="shared" si="114"/>
        <v/>
      </c>
      <c r="IA11" t="str">
        <f>IF(B11="","",IFERROR(VLOOKUP(B11,УГО_спр,2,FALSE),IFERROR(VLOOKUP(AX11,УГО_спр,2,FALSE),IFERROR(VLOOKUP(LEFT(AX11,2),УГО_спр,2,FALSE),""))))</f>
        <v/>
      </c>
      <c r="IB11" t="str">
        <f>IF(B11="","",IF(OR(IA11="",IA11=0),"BOX",IFERROR(IF(VLOOKUP(IA11,УГО_блоки,3,FALSE)&amp;""&lt;&gt;"",VLOOKUP(IA11,УГО_блоки,3,FALSE),VLOOKUP(IA11,УГО_блоки,2,FALSE)),IA11)))</f>
        <v>BOX</v>
      </c>
      <c r="IC11">
        <f t="shared" si="115"/>
        <v>1</v>
      </c>
      <c r="ID11">
        <f>IF(DA11="","",IF(COUNTIF(DA$3:DA11,DA11)=1,MAX(ID$2:ID10)+1,""))</f>
        <v>7</v>
      </c>
      <c r="IE11" t="str">
        <f>IF(CO11="","",IF(COUNTIF(CO$3:CO11,CO11)+COUNTIF(CP$2:CP10,CO11)+COUNTIF(CQ$2:CQ10,CO11)=1,MAX(IE$2:IG10)+1,""))</f>
        <v/>
      </c>
      <c r="IF11" t="str">
        <f>IF(CP11="","",IF(COUNTIF(CO$3:CO11,CP11)+COUNTIF(CP$3:CP11,CP11)+COUNTIF(CQ$2:CQ10,CP11)=1,MAX(IE$2:IG10,IE11)+1,""))</f>
        <v/>
      </c>
      <c r="IG11" t="str">
        <f>IF(CQ11="","",IF(COUNTIF(CO$3:CO11,CQ11)+COUNTIF(CP$3:CP11,CQ11)+COUNTIF(CQ$3:CQ11,CQ11)=1,MAX(IE$2:IG10,IE11,IF11)+1,""))</f>
        <v/>
      </c>
      <c r="IH11" t="str">
        <f t="shared" si="116"/>
        <v/>
      </c>
      <c r="II11" t="str">
        <f>IF(IH11="","",IF(COUNTIF(IH$3:IH11,IH11)=1,MAX(II$2:II10)+1,""))</f>
        <v/>
      </c>
      <c r="IJ11" t="str">
        <f>IF(GL11="","",COUNTIF(GL$3:GL11,"?*"))</f>
        <v/>
      </c>
      <c r="IK11" t="str">
        <f>IF(OR(GL11="",GN11=""),"",IF(COUNTIFS(GL$3:GL11,"?*",GN$3:GN11,GN11)=1,MAX(IK$2:IK10)+1,""))</f>
        <v/>
      </c>
      <c r="IL11">
        <f t="shared" si="117"/>
        <v>1</v>
      </c>
      <c r="IM11">
        <f>IF(B11="","",COUNTIF(B$3:B11,"?*"))</f>
        <v>9</v>
      </c>
      <c r="IN11">
        <f>IF(GQ11&lt;&gt;1,0,_xlfn.LET(_xlpm.k,MAX(IFERROR(--VLOOKUP(B11,УГО_спр,5,FALSE),0),IFERROR(--VLOOKUP(AX11,УГО_спр,5,FALSE),0),IFERROR(--VLOOKUP(LEFT(AX11,2),УГО_спр,5,FALSE),0)),IF(_xlpm.k&gt;0,_xlpm.k,IF(IFERROR(--LEFT(SUBSTITUTE(IH11,"x","х"),FIND("х",SUBSTITUTE(IH11,"x","х"))-1),3)&gt;3,Каталог!$S$9,1))))</f>
        <v>0</v>
      </c>
      <c r="IO11">
        <f t="shared" si="118"/>
        <v>0</v>
      </c>
      <c r="IP11" t="str">
        <f t="shared" si="119"/>
        <v>авто</v>
      </c>
      <c r="IQ11" t="str">
        <f t="shared" si="120"/>
        <v/>
      </c>
      <c r="IR11">
        <f t="shared" si="121"/>
        <v>0</v>
      </c>
      <c r="IS11">
        <f t="shared" si="122"/>
        <v>1</v>
      </c>
    </row>
    <row r="12" spans="1:253" x14ac:dyDescent="0.3">
      <c r="A12" t="s">
        <v>785</v>
      </c>
      <c r="B12" t="s">
        <v>755</v>
      </c>
      <c r="C12" t="s">
        <v>754</v>
      </c>
      <c r="D12">
        <v>1</v>
      </c>
      <c r="E12">
        <v>11.86</v>
      </c>
      <c r="G12">
        <v>20</v>
      </c>
      <c r="H12" t="str">
        <f>Линии[[#This Row],[_авто утечка]]</f>
        <v/>
      </c>
      <c r="I12" t="str">
        <f>Линии[[#This Row],[_авто управление]]</f>
        <v/>
      </c>
      <c r="J12" t="str">
        <f>Линии[[#This Row],[_авто аппараты]]</f>
        <v/>
      </c>
      <c r="K12">
        <v>4</v>
      </c>
      <c r="L12">
        <v>41</v>
      </c>
      <c r="M12" t="str">
        <f>Линии[[#This Row],[_авто фаза]]</f>
        <v>L1,L2,L3</v>
      </c>
      <c r="N12" t="s">
        <v>486</v>
      </c>
      <c r="O12" t="str">
        <f t="shared" si="0"/>
        <v/>
      </c>
      <c r="P12" s="6" cm="1">
        <f t="array" ref="P12">IF(B12="","",IF(BC12&lt;&gt;"",IFERROR(_xlfn.XLOOKUP(BC12,Щиты[Щит],Щиты[Iр, А]),""),IF(BK12=1,IFERROR(_xlfn.XLOOKUP(A12,Щиты[Щит],Щиты[Iр, А]),""),IFERROR(_xlfn.IFS(BR12=1,BN12/((Uн_лин/SQRT(3))*BY12),BR12=3,BN12/(SQRT(3)*Uн_лин*BY12)),""))))</f>
        <v>16.378863980838116</v>
      </c>
      <c r="Q12" s="7">
        <f>IF(B12="","",IFERROR(IF(VLOOKUP(AX12,Потребители_обозначение,4,FALSE)=1,VLOOKUP(AX12,Потребители_обозначение,3,FALSE)*(D12*2-1)+DS12+VLOOKUP(AZ12,Этаж_обозначение,3,FALSE)+VLOOKUP(AZ12,Этаж_обозначение,4,FALSE),VLOOKUP(AX12,Потребители_обозначение,3,FALSE)*(D12*2-1)+DS12),DS12))</f>
        <v>41</v>
      </c>
      <c r="R12" s="6">
        <f t="shared" si="1"/>
        <v>1.57</v>
      </c>
      <c r="S12" t="str">
        <f t="shared" si="2"/>
        <v>ВВГнг(А)-LS (5х4)</v>
      </c>
      <c r="T12" t="str">
        <f>IF(BH12="","",IF(BI12="вводной узел","узел ","")&amp;"л."&amp;(INT((BH12-1)/Столбцов_на_лист)+1)&amp;" / "&amp;(MOD(BH12-1,Столбцов_на_лист)+1))</f>
        <v>л.3 / 6</v>
      </c>
      <c r="V12">
        <v>3</v>
      </c>
      <c r="W12">
        <v>400</v>
      </c>
      <c r="X12" t="s">
        <v>564</v>
      </c>
      <c r="AA12">
        <v>1</v>
      </c>
      <c r="AC12" t="s">
        <v>815</v>
      </c>
      <c r="AE12" t="s">
        <v>619</v>
      </c>
      <c r="AI12">
        <v>40</v>
      </c>
      <c r="AJ12" t="s">
        <v>11</v>
      </c>
      <c r="AK12">
        <v>5</v>
      </c>
      <c r="AM12">
        <v>25</v>
      </c>
      <c r="AN12">
        <v>11</v>
      </c>
      <c r="AO12">
        <v>0</v>
      </c>
      <c r="AW12" cm="1">
        <f t="array" ref="AW12">ROW()-ROW(Линии[#Headers])</f>
        <v>10</v>
      </c>
      <c r="AX12" s="6" t="str">
        <f t="shared" si="3"/>
        <v>ЩР-001</v>
      </c>
      <c r="AY12" t="str">
        <f t="shared" si="4"/>
        <v/>
      </c>
      <c r="AZ12" t="str">
        <f t="shared" si="5"/>
        <v/>
      </c>
      <c r="BA12" t="str">
        <f t="shared" si="6"/>
        <v/>
      </c>
      <c r="BB12" t="str">
        <f t="shared" si="7"/>
        <v/>
      </c>
      <c r="BC12" t="str">
        <f>IF(U12&lt;&gt;"",U12,IF(AND(B12&lt;&gt;"",B12&lt;&gt;A12,ISNUMBER(_xlfn.XMATCH(B12,Щиты[Щит]))),B12,""))</f>
        <v>ЩР-001</v>
      </c>
      <c r="BD12" t="str" cm="1">
        <f t="array" ref="BD12">IF(B12="","",IF(BC12&lt;&gt;"","Щит "&amp;BC12,_xlfn.LET(_xlpm.nm,IFERROR(_xlfn.XLOOKUP(AX12,Коды_код,Коды_имя)&amp;"",""),_xlpm.md,IFERROR(N(_xlfn.XLOOKUP(AX12,Коды_код,Коды_режим)),1),_xlpm.ex,IF(Имя_режим="по экспликации",IFERROR(_xlfn.XLOOKUP(AZ12&amp;"|"&amp;BB12,Экспликация[Этаж]&amp;"|"&amp;Экспликация[Помещение],Экспликация[Название])&amp;"",""),""),_xlpm.rm,IF(BB12="","",IF(_xlpm.ex&lt;&gt;"",". "&amp;_xlpm.ex&amp;IF(Имя_пом="нет"," ("&amp;BB12&amp;")"," (пом. "&amp;BB12&amp;")"),IF(Имя_пом="нет"," ",", пом. ")&amp;BB12)),IF(_xlpm.nm="","",IF(_xlpm.md=2,_xlpm.nm&amp;" шлейф "&amp;AZ12,_xlpm.nm&amp;_xlpm.rm)))))</f>
        <v>Щит ЩР-001</v>
      </c>
      <c r="BE12" t="str">
        <f t="shared" si="8"/>
        <v>Щит распределительный ЩР-001 Подвальный этаж этаж Пом. №00.004Т</v>
      </c>
      <c r="BF12">
        <f>IFERROR(_xlfn.XMATCH(A12,Щиты[Щит]),0)</f>
        <v>1</v>
      </c>
      <c r="BG12">
        <f>_xlfn.LET(_xlpm.k,IFERROR(_xlfn.XLOOKUP(A12,Щиты[Щит],Щиты[Листов под вводной узел]),""),IF(_xlpm.k="",1,N(_xlpm.k))*Столбцов_на_лист)</f>
        <v>17</v>
      </c>
      <c r="BH12">
        <f t="shared" si="9"/>
        <v>40</v>
      </c>
      <c r="BI12" t="str">
        <f t="shared" si="10"/>
        <v>линии</v>
      </c>
      <c r="BJ12" s="6">
        <f>IFERROR(N(_xlfn.XLOOKUP(AX12,Коды_код,Коды_квт)),0)</f>
        <v>0</v>
      </c>
      <c r="BK12">
        <f t="shared" si="11"/>
        <v>0</v>
      </c>
      <c r="BL12">
        <f>IF(B12="","",IF(BC12&lt;&gt;"",IFERROR(_xlfn.XLOOKUP(BC12,Щиты[Щит],Щиты[Руст, кВт]),0),IF(BK12=1,IFERROR(_xlfn.XLOOKUP(A12,Щиты[Щит],Щиты[Руст, кВт]),0),IF(BJ12&gt;0,ROUND(BJ12*MAX(1,N(D12)),3),""))))</f>
        <v>11.860000000000001</v>
      </c>
      <c r="BM12">
        <f t="shared" si="12"/>
        <v>11.86</v>
      </c>
      <c r="BN12" s="6">
        <f>IF(B12="","",IF(BC12&lt;&gt;"",IFERROR(_xlfn.XLOOKUP(BC12,Щиты[Щит],Щиты[Руст, кВт]),0),N(BM12)))</f>
        <v>11.860000000000001</v>
      </c>
      <c r="BO12" t="str">
        <f>IF(B12="","",IFERROR(IF(VLOOKUP(AX12,Потребители_обозначение,8,FALSE)=0,"",VLOOKUP(AX12,Потребители_обозначение,8,FALSE)),""))</f>
        <v/>
      </c>
      <c r="BP12">
        <f t="shared" si="13"/>
        <v>400</v>
      </c>
      <c r="BQ12">
        <f>IF(B12="","",IF(BC12&lt;&gt;"",3,IFERROR(IF(N(VLOOKUP(AX12,Потребители_обозначение,9,FALSE))=0,1,VLOOKUP(AX12,Потребители_обозначение,9,FALSE)),1)))</f>
        <v>3</v>
      </c>
      <c r="BR12">
        <f t="shared" si="14"/>
        <v>3</v>
      </c>
      <c r="BS12" t="str">
        <f>IF(B12="","",_xlfn.LET(_xlpm.bc,IFERROR(IF(VLOOKUP(AX12,Потребители_обозначение,6,FALSE)=0,"",VLOOKUP(AX12,Потребители_обозначение,6,FALSE)&amp;""),""),IF(AND(FK12="да",OR(_xlpm.bc="",_xlpm.bc="мс")),Марка_пож,IF(AND(_xlpm.bc="",BC12&lt;&gt;""),"мс",_xlpm.bc))))</f>
        <v>мс</v>
      </c>
      <c r="BT12" t="str">
        <f t="shared" si="15"/>
        <v>мс</v>
      </c>
      <c r="BU12">
        <f>IF(B12="","",_xlfn.LET(_xlpm.cc,IFERROR(N(VLOOKUP(AX12,Потребители_обозначение,7,FALSE)),0),IF(_xlpm.cc&gt;0,_xlpm.cc,IF(BT12="","",IF(N(BR12)=3,5,3)))))</f>
        <v>5</v>
      </c>
      <c r="BV12">
        <f t="shared" si="16"/>
        <v>5</v>
      </c>
      <c r="BW12">
        <f>IFERROR(N(VLOOKUP(AX12,Потребители_обозначение,10,FALSE)),0)</f>
        <v>0</v>
      </c>
      <c r="BX12">
        <f>IFERROR(VLOOKUP(AX12,Потребители_обозначение,5,FALSE),0)</f>
        <v>0</v>
      </c>
      <c r="BY12" s="6" cm="1">
        <f t="array" ref="BY12">IF(B12="","",IF(BC12&lt;&gt;"",IFERROR(_xlfn.XLOOKUP(BC12,Щиты[Щит],Щиты[cos φ]),0.95),IF(BK12=1,IFERROR(_xlfn.XLOOKUP(A12,Щиты[Щит],Щиты[cos φ]),0.95),IF(ISNUMBER(Z12),Z12,IFERROR(IF(BX12=2,_xlfn.IFS(BR12=3,VLOOKUP(BN12,Справочная_двигатели,8,FALSE),BR12=1,VLOOKUP(BN12,Справочная_двигатели,10,TRUE)),IF(AND(Методика="нормы 2026",EQ12="Сил"),0.8,0.95)),0.95)))))</f>
        <v>0.94999999999999984</v>
      </c>
      <c r="BZ12">
        <f t="shared" si="17"/>
        <v>0</v>
      </c>
      <c r="CA12">
        <f t="shared" si="18"/>
        <v>1</v>
      </c>
      <c r="CB12">
        <f t="shared" si="19"/>
        <v>0</v>
      </c>
      <c r="CC12">
        <f t="shared" si="20"/>
        <v>0</v>
      </c>
      <c r="CD12">
        <f t="shared" si="21"/>
        <v>0</v>
      </c>
      <c r="CE12">
        <f t="shared" si="22"/>
        <v>0</v>
      </c>
      <c r="CF12">
        <f t="shared" si="23"/>
        <v>0</v>
      </c>
      <c r="CG12">
        <f>IF(AX12="",0,_xlfn.LET(_xlpm.v,IFERROR(VLOOKUP(B12,УГО_спр,3,FALSE),IFERROR(VLOOKUP(AX12,УГО_спр,3,FALSE),IFERROR(VLOOKUP(LEFT(AX12,2),УГО_спр,3,FALSE),""))),IF(_xlpm.v="да",30,IF(ISNUMBER(_xlpm.v),_xlpm.v,0))))</f>
        <v>0</v>
      </c>
      <c r="CH12" t="str">
        <f t="shared" si="24"/>
        <v/>
      </c>
      <c r="CI12" t="str">
        <f>_xlfn.LET(_xlpm.k,IFERROR(_xlfn.XLOOKUP(AX12,Коды_код,Коды_утечка)&amp;"",""),IF(_xlpm.k="","дифавтомат",_xlpm.k))</f>
        <v>дифавтомат</v>
      </c>
      <c r="CJ12">
        <f t="shared" si="25"/>
        <v>0</v>
      </c>
      <c r="CK12">
        <f t="shared" si="26"/>
        <v>0</v>
      </c>
      <c r="CL12">
        <f>IF(B12="",0,IFERROR(--VLOOKUP(B12,УГО_спр,4,FALSE),IFERROR(--VLOOKUP(AX12,УГО_спр,4,FALSE),IFERROR(--VLOOKUP(LEFT(AX12,2),УГО_спр,4,FALSE),0))))</f>
        <v>0</v>
      </c>
      <c r="CM12" t="str">
        <f>IF(B12="","",IFERROR(_xlfn.XLOOKUP(AX12,Коды_код,Коды_апп)&amp;"",""))</f>
        <v/>
      </c>
      <c r="CN12" t="str">
        <f t="shared" si="27"/>
        <v/>
      </c>
      <c r="CO12" t="str" cm="1">
        <f t="array" ref="CO12">IF(TRIM(CN12&amp;"")="","",IFERROR(TRIM(INDEX(_xlfn.TEXTSPLIT(CN12&amp;";;;",";"),1)),""))</f>
        <v/>
      </c>
      <c r="CP12" t="str" cm="1">
        <f t="array" ref="CP12">IF(TRIM(CN12&amp;"")="","",IFERROR(TRIM(INDEX(_xlfn.TEXTSPLIT(CN12&amp;";;;",";"),2)),""))</f>
        <v/>
      </c>
      <c r="CQ12" t="str" cm="1">
        <f t="array" ref="CQ12">IF(TRIM(CN12&amp;"")="","",IFERROR(TRIM(INDEX(_xlfn.TEXTSPLIT(CN12&amp;";;;",";"),3)),""))</f>
        <v/>
      </c>
      <c r="CR12">
        <f t="shared" si="28"/>
        <v>0</v>
      </c>
      <c r="CS12" t="str">
        <f>IF(B12="","",_xlfn.LET(_xlpm.t,LOWER(AV12&amp;""),IF(ISNUMBER(SEARCH("dim",_xlpm.t)),"DIM",IF(ISNUMBER(SEARCH("dali",_xlpm.t)),"DALI",IF(OR(ISNUMBER(SEARCH("relay",_xlpm.t)),ISNUMBER(SEARCH("реле",_xlpm.t))),"Relay",IF(ISNUMBER(SEARCH("кнопк",_xlpm.t)),"",IFERROR(_xlfn.XLOOKUP(AX12,Коды_код,Коды_упр)&amp;"","")))))))</f>
        <v/>
      </c>
      <c r="CT12" t="str">
        <f t="shared" si="29"/>
        <v/>
      </c>
      <c r="CU12">
        <f>IF(B12="","",_xlfn.LET(_xlpm.ig,N(P12)+IF(AF12="вручную",0,N(CB12)),_xlpm.n0,IFERROR(VLOOKUP(_xlpm.ig,Автомат_номиналы,2,TRUE),0),_xlpm.mn,MAX(CL12,IF(AF12="вручную",0,N(CE12))),MAX(_xlpm.n0,_xlpm.mn,IF(CR12=1,Мин_автомат_БП,0))))</f>
        <v>20</v>
      </c>
      <c r="CV12">
        <f t="shared" si="30"/>
        <v>3</v>
      </c>
      <c r="CW12" t="str">
        <f t="shared" si="31"/>
        <v>3P</v>
      </c>
      <c r="CX12" t="str">
        <f>_xlfn.LET(_xlpm.cc,UPPER(TRIM(IFERROR(_xlfn.XLOOKUP(AX12,Коды_код,Коды_хар)&amp;"",""))),IF(OR(_xlpm.cc="B",_xlpm.cc="В"),"B",IF(_xlpm.cc="D","D","С")))</f>
        <v>С</v>
      </c>
      <c r="CY12" t="str">
        <f t="shared" si="32"/>
        <v>3P С20А</v>
      </c>
      <c r="CZ12">
        <f t="shared" si="33"/>
        <v>20</v>
      </c>
      <c r="DA12" t="str">
        <f t="shared" si="34"/>
        <v>3P С20А</v>
      </c>
      <c r="DB12" cm="1">
        <f t="array" ref="DB12">IF(DA12="","",_xlfn.LET(_xlpm.t,SUBSTITUTE(SUBSTITUTE(SUBSTITUTE(UPPER(DA12),"С","C"),"А","A"),"В","B"),_xlpm.tk,_xlfn.TEXTSPLIT(_xlpm.t,"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2" t="str">
        <f t="shared" si="35"/>
        <v>ok</v>
      </c>
      <c r="DD12">
        <f t="shared" si="36"/>
        <v>20</v>
      </c>
      <c r="DE12" t="str">
        <f t="shared" si="37"/>
        <v>3P С20А</v>
      </c>
      <c r="DF12">
        <f t="shared" si="38"/>
        <v>0</v>
      </c>
      <c r="DG12">
        <f t="shared" si="39"/>
        <v>0</v>
      </c>
      <c r="DH12">
        <f t="shared" si="40"/>
        <v>0</v>
      </c>
      <c r="DI12">
        <f t="shared" si="41"/>
        <v>16.378863980838116</v>
      </c>
      <c r="DJ12">
        <f t="shared" si="42"/>
        <v>0.92</v>
      </c>
      <c r="DK12">
        <f>IF(ISNUMBER(AL12),AL12,К_прокл)</f>
        <v>1</v>
      </c>
      <c r="DL12">
        <f t="shared" si="43"/>
        <v>3</v>
      </c>
      <c r="DM12">
        <f>IFERROR(N(VLOOKUP(BT12,Кабель_обозначение,3,FALSE)),1)</f>
        <v>1</v>
      </c>
      <c r="DN12">
        <f>IFERROR(N(_xlfn.XLOOKUP(A12,Щиты[Щит],Щиты[ΔU до шин, %])),0)</f>
        <v>0</v>
      </c>
      <c r="DO12" t="str">
        <f>IFERROR(_xlfn.XLOOKUP(A12,Щиты[Щит],Щиты[Zпетли на шинах, Ом]),"")</f>
        <v/>
      </c>
      <c r="DP12">
        <f>IFERROR(N(_xlfn.XLOOKUP(A12,Щиты[Щит],Щиты[ΔU до шин (подбор), %])),0)</f>
        <v>0</v>
      </c>
      <c r="DQ12" t="str">
        <f>IFERROR(_xlfn.XLOOKUP(A12,Щиты[Щит],Щиты[Zпетли на шинах (подбор), Ом]),"")</f>
        <v/>
      </c>
      <c r="DR12" t="str">
        <f t="shared" si="44"/>
        <v/>
      </c>
      <c r="DS12">
        <f t="shared" si="45"/>
        <v>41</v>
      </c>
      <c r="DT12">
        <f t="shared" si="46"/>
        <v>1</v>
      </c>
      <c r="DU12">
        <f t="shared" si="47"/>
        <v>0.31</v>
      </c>
      <c r="DV12" s="6">
        <f>IF(B12="","",IF(IFERROR(VLOOKUP(AX12,УГО_спр,2,FALSE),"")="Светильник",3,4)+IF(Методика="нормы 2026",MIN(0.5,MAX(0,N(Q12)-100)*0.005),0))</f>
        <v>4</v>
      </c>
      <c r="DW12" cm="1">
        <f t="array" ref="DW12">IF(OR(B12="",BT12="",DM12&lt;&gt;1),"",_xlfn.LET(_xlpm.sz,Iдоп_S,_xlpm.t_,CHOOSE(DL12,Iдоп_1ж,Iдоп_2ж,Iдоп_3ж)*DJ12*DK12,_xlpm.inn,N(DD12),_xlpm.smin,MAX(1.5,BW12),_xlpm.L_,N(Q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12)*(_xlpm.rho*_xlpm.L_/_xlpm.sz*N(BY12)+_xlpm.xx*_xlpm.L_*N(DU12)/1000)*N(P12)/((Uн_лин/SQRT(3))*1000)*100,999),_xlpm.kz,IF(OR(DG12=1,NOT(ISNUMBER(DQ12)),_xlpm.L_=0,_xlpm.inn=0),1,IFERROR(--(c_min*(Uн_лин*1000/SQRT(3))/(DQ12+2*ρкз_Cu*_xlpm.L_/_xlpm.sz)&gt;=GY12*_xlpm.inn),0)),_xlpm.ok,IFERROR((_xlpm.sz&gt;=_xlpm.smin)*(_xlpm.t_&gt;=_xlpm.inn)*IF(_xlpm.L_&gt;0,(_xlpm.du_+DP12&lt;=DV12+0.00001),1)*_xlpm.kz,0),_xlpm.r_,_xlfn._xlws.FILTER(_xlpm.sz,_xlpm.ok,"не подобрано"),INDEX(_xlpm.r_,1)))</f>
        <v>2.5</v>
      </c>
      <c r="DX12">
        <f t="shared" si="48"/>
        <v>4</v>
      </c>
      <c r="DY12" cm="1">
        <f t="array" ref="DY12">IF(OR(B12="",BT12="",DM12&lt;&gt;1),"",_xlfn.LET(_xlpm.sz,Iдоп_S,_xlpm.t_,CHOOSE(DL12,Iдоп_1ж,Iдоп_2ж,Iдоп_3ж)*DJ12*DK12,_xlpm.ok,IFERROR((_xlpm.sz&gt;=MAX(1.5,BW12))*(_xlpm.t_&gt;=N(DD12)),0),_xlpm.r_,_xlfn._xlws.FILTER(_xlpm.sz,_xlpm.ok,""),INDEX(_xlpm.r_,1)))</f>
        <v>2.5</v>
      </c>
      <c r="DZ12" s="6" cm="1">
        <f t="array" ref="DZ12">IFERROR(ROUNDUP(N(DT12)*(_xlfn.XLOOKUP(DY12,INDEX(Кабель_сопротивление,0,1),INDEX(Кабель_сопротивление,0,3))*N(Q12)/DY12*N(BY12)+_xlfn.XLOOKUP(DY12,INDEX(Кабель_сопротивление,0,1),INDEX(Кабель_сопротивление,0,2))*N(Q12)*N(DU12)/1000)*N(P12)/((Uн_лин/SQRT(3))*1000)*100,2),"")</f>
        <v>2.5</v>
      </c>
      <c r="EA12">
        <f>IFERROR(2*ρкз_Cu*N(Q12)/DY12,"")</f>
        <v>0.86264000000000007</v>
      </c>
      <c r="EB12">
        <f>IFERROR(VLOOKUP(DX12,Кабель_сопротивление,3,FALSE),"")</f>
        <v>2.2499999999999999E-2</v>
      </c>
      <c r="EC12">
        <f>IFERROR(VLOOKUP(DX12,Кабель_сопротивление,2,FALSE),"")</f>
        <v>9.5000000000000001E-2</v>
      </c>
      <c r="ED12">
        <f t="shared" si="49"/>
        <v>11</v>
      </c>
      <c r="EE12">
        <f t="shared" si="50"/>
        <v>0</v>
      </c>
      <c r="EF12">
        <f t="shared" si="51"/>
        <v>3.608283389615413</v>
      </c>
      <c r="EG12" s="6">
        <f>IFERROR(ROUNDUP(EF12/((Uн_лин/SQRT(3))*1000)*100,2),"")</f>
        <v>1.57</v>
      </c>
      <c r="EH12" t="str">
        <f>IFERROR(VLOOKUP(BT12,Кабель_обозначение,2,FALSE),"")</f>
        <v>ВВГнг(А)-LS</v>
      </c>
      <c r="EI12" t="str">
        <f t="shared" si="52"/>
        <v>ВВГнг(А)-LS (5х4)</v>
      </c>
      <c r="EJ12" t="str">
        <f t="shared" si="53"/>
        <v>ВВГнг(А)-LS (5х4)
L=41-1,57%</v>
      </c>
      <c r="EK12">
        <f>IFERROR(2*ρкз_Cu*Q12/DX12,"")</f>
        <v>0.53915000000000002</v>
      </c>
      <c r="EL12">
        <f t="shared" si="54"/>
        <v>0.17937500000000001</v>
      </c>
      <c r="EM12" s="6" t="str">
        <f>IFERROR(IF(OR(B12="",NOT(ISNUMBER(DX12)),N(Q12)=0),"",_xlfn.XLOOKUP(A12,Щиты[Щит],Щиты[Zпетли на шинах, Ом])+EK12),"")</f>
        <v/>
      </c>
      <c r="EN12" s="6" t="str">
        <f>IF(ISNUMBER(EM12),c_min*(Uн_лин*1000/SQRT(3))/EM12,"")</f>
        <v/>
      </c>
      <c r="EO12" s="6" t="str">
        <f>IFERROR(IF(OR(B12="",NOT(ISNUMBER(DX12))),"",1.05*(Uн_лин*1000/SQRT(3))/(_xlfn.XLOOKUP(A12,Щиты[Щит],Щиты[Zmax на шинах, Ом])+EL12)/1000),"")</f>
        <v/>
      </c>
      <c r="EP12" s="6" t="str">
        <f>IF(B12="","",IF(ISNUMBER(Y12),"Сил",IF(IFERROR(_xlfn.XLOOKUP(AX12,Коды_код,Коды_группа)&amp;"","")="","Быт",_xlfn.XLOOKUP(AX12,Коды_код,Коды_группа)&amp;"")))</f>
        <v>Быт</v>
      </c>
      <c r="EQ12" s="6" t="str">
        <f t="shared" si="55"/>
        <v>Щит</v>
      </c>
      <c r="ER12" s="6" t="str">
        <f>IF(EQ12="Щит","щит",IF(EQ12="","",IF(EQ12="Быт",IFERROR(_xlfn.XLOOKUP(A12,Щиты[Щит],Щиты[Кс быт]),1),IF(EQ12="Сил",IF(ISNUMBER(Y12),Y12,IF(Методика="нормы 2026",IFERROR(_xlfn.XLOOKUP(A12,Щиты[Щит],Щиты[Кс силовых (табл. 7.5)]),1),1)),IF(OR(EQ12="Пост",EQ12="Отоп"),1,IF(EQ12="ВНГ",0.7,0))))))</f>
        <v>щит</v>
      </c>
      <c r="ES12">
        <f t="shared" si="56"/>
        <v>1</v>
      </c>
      <c r="ET12">
        <f t="shared" si="57"/>
        <v>0</v>
      </c>
      <c r="EU12">
        <f t="shared" si="58"/>
        <v>0</v>
      </c>
      <c r="EV12">
        <f t="shared" si="59"/>
        <v>0</v>
      </c>
      <c r="EW12">
        <f t="shared" si="60"/>
        <v>0</v>
      </c>
      <c r="EX12">
        <f t="shared" si="61"/>
        <v>0</v>
      </c>
      <c r="EY12">
        <f t="shared" si="62"/>
        <v>0</v>
      </c>
      <c r="EZ12">
        <f t="shared" si="63"/>
        <v>0</v>
      </c>
      <c r="FA12">
        <f t="shared" si="64"/>
        <v>0</v>
      </c>
      <c r="FB12">
        <f t="shared" si="65"/>
        <v>11.860000000000001</v>
      </c>
      <c r="FC12" t="str">
        <f t="shared" si="66"/>
        <v/>
      </c>
      <c r="FD12" t="str">
        <f>IF(B12="","",IF(CA12=0,IF(AW12=1,"",FF11),IF(OR(N(CV12)&gt;=3,N(BR12)&gt;=3),"L1,L2,L3",IFERROR(_xlfn.TEXTBEFORE(_xlfn.TEXTAFTER(_xlfn.XLOOKUP(A12,Щиты[Щит],Щиты[_фазы авто]),";"&amp;AW12&amp;":"),";"),"L1"))))</f>
        <v>L1,L2,L3</v>
      </c>
      <c r="FE12" t="str">
        <f t="shared" si="67"/>
        <v>L1,L2,L3</v>
      </c>
      <c r="FF12" t="str">
        <f t="shared" si="68"/>
        <v>L1,L2,L3</v>
      </c>
      <c r="FG12" cm="1">
        <f t="array" ref="FG12">IFERROR(IF(BX12=2,_xlfn.IFS(BR12=3,VLOOKUP(BN12,Справочная_двигатели,3,FALSE),BR12=1,VLOOKUP(BN12,Справочная_двигатели,5,TRUE)),0),0)</f>
        <v>0</v>
      </c>
      <c r="FH12">
        <f>IFERROR(IF(BX12=3,VLOOKUP(BN12,Справочная_ЛЭД,2,TRUE),0),0)</f>
        <v>0</v>
      </c>
      <c r="FI12" s="6">
        <f t="shared" si="69"/>
        <v>0</v>
      </c>
      <c r="FJ12" t="str" cm="1">
        <f t="array" ref="FJ12">IF(B12="","",IFERROR(INDEX({"I особая","I","II","III"},MATCH(TRIM(AC12&amp;""),{"I особая","I","II","III"},0)),"III"))</f>
        <v>II</v>
      </c>
      <c r="FK12" t="str">
        <f>IF(B12="","",IF(TRIM(AD12&amp;"")&lt;&gt;"",IF(LOWER(TRIM(AD12&amp;""))="да","да","нет"),IF(IFERROR(_xlfn.XLOOKUP(AX12,Коды_код,Коды_пожарная),"")="да","да","нет")))</f>
        <v>нет</v>
      </c>
      <c r="FL12" t="str">
        <f t="shared" si="70"/>
        <v/>
      </c>
      <c r="FM12" t="str">
        <f t="shared" si="71"/>
        <v>основная</v>
      </c>
      <c r="FN12">
        <f t="shared" si="72"/>
        <v>1</v>
      </c>
      <c r="FO12" t="str" cm="1">
        <f t="array" ref="FO12">IF(B12="","",_xlfn.LET(_xlpm.t,IFERROR(_xlfn.XLOOKUP(1,(Шины[Шина]=FM12)*(((Шины[Щит]=A12)+(Шины[Щит]=""))&gt;0),Шины[Тип]),"")&amp;"",IF(_xlpm.t&lt;&gt;"",_xlpm.t,IF(ISNUMBER(SEARCH("ИБП",FM12)),"ИБП",IF(ISNUMBER(SEARCH("ДГУ",FM12)),"ДГУ","Ввод "&amp;FN12)))))</f>
        <v>Ввод 1</v>
      </c>
      <c r="FP12" t="str">
        <f t="shared" si="73"/>
        <v>Ввод 1</v>
      </c>
      <c r="FQ12" t="str">
        <f>IF(B12="","",IF(OR(FO12="ИБП",FO12="ДГУ"),"I особая",IF(FO12="Одиночная","III",_xlfn.XLOOKUP(A12,Щиты[Щит],Щиты[Категория шины «Ввод»],"III"))))</f>
        <v>I</v>
      </c>
      <c r="FR12">
        <f>IF(B12="",0,IFERROR(MATCH(FJ12,{"III","II","I","I особая"},0),1))</f>
        <v>2</v>
      </c>
      <c r="FS12">
        <f t="shared" si="74"/>
        <v>2</v>
      </c>
      <c r="FT12" t="str">
        <f>IF(B12="","",IF(FR12&gt;IFERROR(MATCH(FQ12,{"III","II","I","I особая"},0),1),"НЕ ОБЕСПЕЧЕНА","ОК"))</f>
        <v>ОК</v>
      </c>
      <c r="FU12" t="str">
        <f>IF(A12="","",_xlfn.XLOOKUP(A12,Щиты[Щит],Щиты[Путь],""))</f>
        <v>|ГРЩ-ЖД|</v>
      </c>
      <c r="FV12" t="str">
        <f>IF(B12="","",IF(AE12&lt;&gt;"",AE12,IF(IFERROR(_xlfn.XLOOKUP(AX12,Коды_код,Коды_вид)&amp;"","")="","Прочее",_xlfn.XLOOKUP(AX12,Коды_код,Коды_вид)&amp;"")))</f>
        <v>Распределительные щиты жилой части</v>
      </c>
      <c r="FW12">
        <f>IF(BH12="","",INT((BH12-1)/Столбцов_на_лист)+1)</f>
        <v>3</v>
      </c>
      <c r="FX12" t="str">
        <f t="shared" si="75"/>
        <v>ВВГнг(А)-LS (5х4) L=41-1,57%</v>
      </c>
      <c r="FY12">
        <f t="shared" si="76"/>
        <v>11.860000000000001</v>
      </c>
      <c r="FZ12">
        <f t="shared" si="77"/>
        <v>16.380000000000003</v>
      </c>
      <c r="GA12">
        <f t="shared" si="78"/>
        <v>3</v>
      </c>
      <c r="GB12">
        <f t="shared" si="79"/>
        <v>0</v>
      </c>
      <c r="GC12">
        <f t="shared" si="80"/>
        <v>1</v>
      </c>
      <c r="GD12">
        <f>IF(BH12="","",IF(AND(CA12=1,GC12=1),COUNTIFS(A$3:A12,A12,CA$3:CA12,1,GC$3:GC12,1),IF(OR(OR(AW12=1,A12&lt;&gt;A11),AF12="вручную",GC12=0),"",IF(AW12=1,"",GE11))))</f>
        <v>10</v>
      </c>
      <c r="GE12">
        <f t="shared" si="81"/>
        <v>10</v>
      </c>
      <c r="GF12">
        <f>IF(B12="","",IFERROR(LOOKUP(INDEX(CHOOSE(DL12,Iдоп_1ж,Iдоп_2ж,Iдоп_3ж),MATCH(DX12,Iдоп_S,0))*DJ12*DK12,{6,10,16,20,25,32,40,50,63,80,100,125,160,200,250,315,400,500,630}),""))</f>
        <v>32</v>
      </c>
      <c r="GG12" t="str">
        <f t="shared" si="82"/>
        <v>QF10</v>
      </c>
      <c r="GH12" t="str">
        <f t="shared" si="83"/>
        <v>QF10</v>
      </c>
      <c r="GI12" t="str">
        <f t="shared" si="84"/>
        <v/>
      </c>
      <c r="GJ12">
        <f t="shared" si="85"/>
        <v>0</v>
      </c>
      <c r="GK12" t="str">
        <f>IF(OR(AG12="",AG12="-"),"",IFERROR(VLOOKUP(AG12,Модули_спр,2,FALSE),"R"))</f>
        <v/>
      </c>
      <c r="GL12" t="str">
        <f>IF(GK12="","",GK12&amp;"."&amp;COUNTIFS(A$3:A12,A12,GK$3:GK12,GK12))</f>
        <v/>
      </c>
      <c r="GM12" t="str">
        <f t="shared" si="86"/>
        <v/>
      </c>
      <c r="GN12" t="str">
        <f t="shared" si="87"/>
        <v/>
      </c>
      <c r="GO12" t="str">
        <f t="shared" si="88"/>
        <v/>
      </c>
      <c r="GP12" t="str">
        <f t="shared" si="89"/>
        <v/>
      </c>
      <c r="GQ12">
        <f t="shared" si="90"/>
        <v>1</v>
      </c>
      <c r="GR12" t="str">
        <f>IF(GQ12=1,"XT"&amp;COUNTIFS(A$3:A12,A12,GQ$3:GQ12,1),"")</f>
        <v>XT7</v>
      </c>
      <c r="GS12" t="str">
        <f t="shared" si="91"/>
        <v/>
      </c>
      <c r="GT12" t="str">
        <f t="shared" si="92"/>
        <v>QF10</v>
      </c>
      <c r="GU12" t="str">
        <f t="shared" si="93"/>
        <v/>
      </c>
      <c r="GV12" t="str">
        <f t="shared" si="94"/>
        <v>ok</v>
      </c>
      <c r="GW12" t="str">
        <f>IF(OR(GO12="",GM12=""),"",IF(GO12&gt;IFERROR(VLOOKUP(GN12,Модули_спр,3,FALSE),99),"ЛИШНИЙ КАНАЛ",IF(AND(AH12&lt;&gt;"=",COUNTIFS(Линии[_модуль гр.],GM12,Линии[Канал (итог)],GO12,Линии[Канал],"&lt;&gt;=",Линии[Щит],A12)&gt;1),"ДУБЛЬ КАНАЛА","")))</f>
        <v/>
      </c>
      <c r="GX12" s="6" t="str">
        <f t="shared" si="95"/>
        <v/>
      </c>
      <c r="GY12">
        <f t="shared" si="96"/>
        <v>10</v>
      </c>
      <c r="GZ12" t="str">
        <f t="shared" si="97"/>
        <v/>
      </c>
      <c r="HA12" t="str">
        <f>IF(AND(B12="",GT12=""),"",_xlfn.TEXTJOIN("; ",TRUE,IF(AND(B12&lt;&gt;"",FE12=""),"нет фазы",""),IF(AND(B12&lt;&gt;"",N(FY12)=0,EQ12&lt;&gt;"Нет"),"нет мощности",""),IF(AND(GS12&lt;&gt;"",COUNTIFS(Линии[Щит],A12,Линии[Клемма (итог)],GS12)&gt;1),"дубль клеммы "&amp;GS12,""),IF(AND(GV12&lt;&gt;"",GV12&lt;&gt;"ok"),GV12,""),IF(GW12&lt;&gt;"",GW12,""),IF(AND(N(BV12)&gt;=4,N(BR12)=1),BV12&amp;" жил на 1 фазе",""),IF(AND(AX12="R",CA12=1,OR(N(CK12)=0,N(CK12)&gt;30)),"розетка без дифзащиты до 30 мА",""),IFERROR(IF(AND(ISNUMBER(R12),R12&gt;DV12),"потери "&amp;FIXED(R12,1)&amp;" % &gt; "&amp;DV12&amp;" %",""),""),IFERROR(IF(LEFT(GZ12,4)="мало","Iкз мало — отключение &gt; 0,4 с",""),""),IF(AND(B12&lt;&gt;"",BH12=""),"не на схеме",""),IF(AND(CA12=0,B12&lt;&gt;"",FE12&lt;&gt;"",IF(AW12=1,"",FF11)&lt;&gt;"",FE12&lt;&gt;IF(AW12=1,"",FF11)),"фаза не как у автомата группы ("&amp;IF(AW12=1,"",FF11)&amp;")","")))</f>
        <v/>
      </c>
      <c r="HB12" s="6">
        <f>IF(OR(CA12=0,DA12=""),"",_xlfn.LET(_xlpm.t,IFERROR(_xlfn.XLOOKUP(DA12,Каталог!$U$4:$U$500,Каталог!$G$4:$G$500),""),_xlpm.k,SEARCH("кА",_xlpm.t),IFERROR(--TRIM(RIGHT(SUBSTITUTE(MID(_xlpm.t,MAX(1,_xlpm.k-4),_xlpm.k-MAX(1,_xlpm.k-4))," ",REPT(" ",9)),5)),"")))</f>
        <v>6</v>
      </c>
      <c r="HC12" t="str">
        <f>IF(OR(HB12="",CA12=0),"",IF(_xlfn.XLOOKUP(A12,Щиты[Щит],Щиты[Iкз max на шинах, кА],"")="","",IF(HB12&lt;_xlfn.XLOOKUP(A12,Щиты[Щит],Щиты[Iкз max на шинах, кА]),"Icu "&amp;HB12&amp;" кА &lt; Iкз max","ok")))</f>
        <v/>
      </c>
      <c r="HD12" t="str">
        <f t="shared" si="98"/>
        <v/>
      </c>
      <c r="HE12" t="str">
        <f t="shared" si="99"/>
        <v>QF10</v>
      </c>
      <c r="HF12" t="str">
        <f t="shared" si="100"/>
        <v>QF10|кабель ВВГнг(А)-LS (5х4) → Щит распределительный ЩР-001 Подвальный этаж этаж Пом. №00.004Т</v>
      </c>
      <c r="HG12" t="str" cm="1">
        <f t="array" ref="HG12">IF(HF12="","",_xlfn.LET(_xlpm.nd,_xlfn.TEXTSPLIT(HF12,"|"),IF(COLUMNS(_xlpm.nd)&gt;1,A12&amp;"¦"&amp;INDEX(_xlpm.nd,1)&amp;"¦"&amp;INDEX(_xlpm.nd,2),"")))</f>
        <v>ГРЩ-ЖД¦QF10¦кабель ВВГнг(А)-LS (5х4) → Щит распределительный ЩР-001 Подвальный этаж этаж Пом. №00.004Т</v>
      </c>
      <c r="HH12" t="str">
        <f t="shared" si="101"/>
        <v>ЩР-001¦Щит распределительный ЩР-001 Подвальный этаж этаж Пом. №00.004Т</v>
      </c>
      <c r="HI12" t="str" cm="1">
        <f t="array" ref="HI12">IF(HF12="","",_xlfn.LET(_xlpm.nd,_xlfn.TEXTSPLIT(HF12,"|"),IF(COLUMNS(_xlpm.nd)&gt;2,A12&amp;"¦"&amp;INDEX(_xlpm.nd,2)&amp;"¦"&amp;INDEX(_xlpm.nd,3),"")))</f>
        <v/>
      </c>
      <c r="HJ12" t="str">
        <f t="shared" si="102"/>
        <v/>
      </c>
      <c r="HK12" t="str" cm="1">
        <f t="array" ref="HK12">IF(HF12="","",_xlfn.LET(_xlpm.nd,_xlfn.TEXTSPLIT(HF12,"|"),IF(COLUMNS(_xlpm.nd)&gt;3,A12&amp;"¦"&amp;INDEX(_xlpm.nd,3)&amp;"¦"&amp;INDEX(_xlpm.nd,4),"")))</f>
        <v/>
      </c>
      <c r="HL12" t="str">
        <f t="shared" si="103"/>
        <v/>
      </c>
      <c r="HM12" t="str" cm="1">
        <f t="array" ref="HM12">IF(HF12="","",_xlfn.LET(_xlpm.nd,_xlfn.TEXTSPLIT(HF12,"|"),IF(COLUMNS(_xlpm.nd)&gt;4,A12&amp;"¦"&amp;INDEX(_xlpm.nd,4)&amp;"¦"&amp;INDEX(_xlpm.nd,5),"")))</f>
        <v/>
      </c>
      <c r="HN12" t="str">
        <f t="shared" si="104"/>
        <v/>
      </c>
      <c r="HO12" t="str" cm="1">
        <f t="array" ref="HO12">IF(HF12="","",_xlfn.LET(_xlpm.nd,_xlfn.TEXTSPLIT(HF12,"|"),IF(COLUMNS(_xlpm.nd)&gt;5,A12&amp;"¦"&amp;INDEX(_xlpm.nd,5)&amp;"¦"&amp;INDEX(_xlpm.nd,6),"")))</f>
        <v/>
      </c>
      <c r="HP12" t="str">
        <f t="shared" si="105"/>
        <v/>
      </c>
      <c r="HQ12" t="str" cm="1">
        <f t="array" ref="HQ12">IF(HF12="","",_xlfn.LET(_xlpm.nd,_xlfn.TEXTSPLIT(HF12,"|"),IF(COLUMNS(_xlpm.nd)&gt;6,A12&amp;"¦"&amp;INDEX(_xlpm.nd,6)&amp;"¦"&amp;INDEX(_xlpm.nd,7),"")))</f>
        <v/>
      </c>
      <c r="HR12" t="str">
        <f t="shared" si="106"/>
        <v/>
      </c>
      <c r="HS12" t="str">
        <f t="shared" si="107"/>
        <v/>
      </c>
      <c r="HT12" t="str">
        <f t="shared" si="108"/>
        <v>QF10</v>
      </c>
      <c r="HU12">
        <f t="shared" si="109"/>
        <v>0</v>
      </c>
      <c r="HV12">
        <f t="shared" si="110"/>
        <v>0</v>
      </c>
      <c r="HW12" t="str">
        <f t="shared" si="111"/>
        <v/>
      </c>
      <c r="HX12" t="str">
        <f t="shared" si="112"/>
        <v/>
      </c>
      <c r="HY12" t="str">
        <f t="shared" si="113"/>
        <v/>
      </c>
      <c r="HZ12" t="str">
        <f t="shared" si="114"/>
        <v/>
      </c>
      <c r="IA12">
        <f>IF(B12="","",IFERROR(VLOOKUP(B12,УГО_спр,2,FALSE),IFERROR(VLOOKUP(AX12,УГО_спр,2,FALSE),IFERROR(VLOOKUP(LEFT(AX12,2),УГО_спр,2,FALSE),""))))</f>
        <v>0</v>
      </c>
      <c r="IB12" t="str">
        <f>IF(B12="","",IF(OR(IA12="",IA12=0),"BOX",IFERROR(IF(VLOOKUP(IA12,УГО_блоки,3,FALSE)&amp;""&lt;&gt;"",VLOOKUP(IA12,УГО_блоки,3,FALSE),VLOOKUP(IA12,УГО_блоки,2,FALSE)),IA12)))</f>
        <v>BOX</v>
      </c>
      <c r="IC12">
        <f t="shared" si="115"/>
        <v>1</v>
      </c>
      <c r="ID12" t="str">
        <f>IF(DA12="","",IF(COUNTIF(DA$3:DA12,DA12)=1,MAX(ID$2:ID11)+1,""))</f>
        <v/>
      </c>
      <c r="IE12" t="str">
        <f>IF(CO12="","",IF(COUNTIF(CO$3:CO12,CO12)+COUNTIF(CP$2:CP11,CO12)+COUNTIF(CQ$2:CQ11,CO12)=1,MAX(IE$2:IG11)+1,""))</f>
        <v/>
      </c>
      <c r="IF12" t="str">
        <f>IF(CP12="","",IF(COUNTIF(CO$3:CO12,CP12)+COUNTIF(CP$3:CP12,CP12)+COUNTIF(CQ$2:CQ11,CP12)=1,MAX(IE$2:IG11,IE12)+1,""))</f>
        <v/>
      </c>
      <c r="IG12" t="str">
        <f>IF(CQ12="","",IF(COUNTIF(CO$3:CO12,CQ12)+COUNTIF(CP$3:CP12,CQ12)+COUNTIF(CQ$3:CQ12,CQ12)=1,MAX(IE$2:IG11,IE12,IF12)+1,""))</f>
        <v/>
      </c>
      <c r="IH12" t="str">
        <f t="shared" si="116"/>
        <v>5х4</v>
      </c>
      <c r="II12" t="str">
        <f>IF(IH12="","",IF(COUNTIF(IH$3:IH12,IH12)=1,MAX(II$2:II11)+1,""))</f>
        <v/>
      </c>
      <c r="IJ12" t="str">
        <f>IF(GL12="","",COUNTIF(GL$3:GL12,"?*"))</f>
        <v/>
      </c>
      <c r="IK12" t="str">
        <f>IF(OR(GL12="",GN12=""),"",IF(COUNTIFS(GL$3:GL12,"?*",GN$3:GN12,GN12)=1,MAX(IK$2:IK11)+1,""))</f>
        <v/>
      </c>
      <c r="IL12">
        <f t="shared" si="117"/>
        <v>0</v>
      </c>
      <c r="IM12">
        <f>IF(B12="","",COUNTIF(B$3:B12,"?*"))</f>
        <v>10</v>
      </c>
      <c r="IN12">
        <f>IF(GQ12&lt;&gt;1,0,_xlfn.LET(_xlpm.k,MAX(IFERROR(--VLOOKUP(B12,УГО_спр,5,FALSE),0),IFERROR(--VLOOKUP(AX12,УГО_спр,5,FALSE),0),IFERROR(--VLOOKUP(LEFT(AX12,2),УГО_спр,5,FALSE),0)),IF(_xlpm.k&gt;0,_xlpm.k,IF(IFERROR(--LEFT(SUBSTITUTE(IH12,"x","х"),FIND("х",SUBSTITUTE(IH12,"x","х"))-1),3)&gt;3,Каталог!$S$9,1))))</f>
        <v>1</v>
      </c>
      <c r="IO12">
        <f t="shared" si="118"/>
        <v>2</v>
      </c>
      <c r="IP12" t="str">
        <f t="shared" si="119"/>
        <v>авто</v>
      </c>
      <c r="IQ12" t="str">
        <f t="shared" si="120"/>
        <v/>
      </c>
      <c r="IR12">
        <f t="shared" si="121"/>
        <v>0</v>
      </c>
      <c r="IS12">
        <f t="shared" si="122"/>
        <v>1</v>
      </c>
    </row>
    <row r="13" spans="1:253" x14ac:dyDescent="0.3">
      <c r="A13" t="s">
        <v>785</v>
      </c>
      <c r="B13" t="s">
        <v>757</v>
      </c>
      <c r="C13" t="s">
        <v>756</v>
      </c>
      <c r="D13">
        <v>1</v>
      </c>
      <c r="E13">
        <v>24.41</v>
      </c>
      <c r="G13">
        <v>40</v>
      </c>
      <c r="H13" t="str">
        <f>Линии[[#This Row],[_авто утечка]]</f>
        <v/>
      </c>
      <c r="I13" t="str">
        <f>Линии[[#This Row],[_авто управление]]</f>
        <v/>
      </c>
      <c r="J13" t="str">
        <f>Линии[[#This Row],[_авто аппараты]]</f>
        <v/>
      </c>
      <c r="K13">
        <v>10</v>
      </c>
      <c r="L13">
        <v>14</v>
      </c>
      <c r="M13" t="str">
        <f>Линии[[#This Row],[_авто фаза]]</f>
        <v>L1,L2,L3</v>
      </c>
      <c r="N13" t="s">
        <v>486</v>
      </c>
      <c r="O13" t="str">
        <f t="shared" si="0"/>
        <v/>
      </c>
      <c r="P13" s="6" cm="1">
        <f t="array" ref="P13">IF(B13="","",IF(BC13&lt;&gt;"",IFERROR(_xlfn.XLOOKUP(BC13,Щиты[Щит],Щиты[Iр, А]),""),IF(BK13=1,IFERROR(_xlfn.XLOOKUP(A13,Щиты[Щит],Щиты[Iр, А]),""),IFERROR(_xlfn.IFS(BR13=1,BN13/((Uн_лин/SQRT(3))*BY13),BR13=3,BN13/(SQRT(3)*Uн_лин*BY13)),""))))</f>
        <v>32.798575666043085</v>
      </c>
      <c r="Q13" s="7">
        <f>IF(B13="","",IFERROR(IF(VLOOKUP(AX13,Потребители_обозначение,4,FALSE)=1,VLOOKUP(AX13,Потребители_обозначение,3,FALSE)*(D13*2-1)+DS13+VLOOKUP(AZ13,Этаж_обозначение,3,FALSE)+VLOOKUP(AZ13,Этаж_обозначение,4,FALSE),VLOOKUP(AX13,Потребители_обозначение,3,FALSE)*(D13*2-1)+DS13),DS13))</f>
        <v>14</v>
      </c>
      <c r="R13" s="6">
        <f t="shared" si="1"/>
        <v>0.43</v>
      </c>
      <c r="S13" t="str">
        <f t="shared" si="2"/>
        <v>ВВГнг(А)-LS (5х10)</v>
      </c>
      <c r="T13" t="str">
        <f>IF(BH13="","",IF(BI13="вводной узел","узел ","")&amp;"л."&amp;(INT((BH13-1)/Столбцов_на_лист)+1)&amp;" / "&amp;(MOD(BH13-1,Столбцов_на_лист)+1))</f>
        <v>л.3 / 7</v>
      </c>
      <c r="V13">
        <v>3</v>
      </c>
      <c r="W13">
        <v>400</v>
      </c>
      <c r="X13" t="s">
        <v>564</v>
      </c>
      <c r="AA13">
        <v>1</v>
      </c>
      <c r="AC13" t="s">
        <v>815</v>
      </c>
      <c r="AE13" t="s">
        <v>619</v>
      </c>
      <c r="AI13">
        <v>41</v>
      </c>
      <c r="AJ13" t="s">
        <v>11</v>
      </c>
      <c r="AK13">
        <v>5</v>
      </c>
      <c r="AM13">
        <v>0</v>
      </c>
      <c r="AN13">
        <v>14</v>
      </c>
      <c r="AO13">
        <v>0</v>
      </c>
      <c r="AW13" cm="1">
        <f t="array" ref="AW13">ROW()-ROW(Линии[#Headers])</f>
        <v>11</v>
      </c>
      <c r="AX13" s="6" t="str">
        <f t="shared" si="3"/>
        <v>ЩР-01</v>
      </c>
      <c r="AY13" t="str">
        <f t="shared" si="4"/>
        <v/>
      </c>
      <c r="AZ13" t="str">
        <f t="shared" si="5"/>
        <v/>
      </c>
      <c r="BA13" t="str">
        <f t="shared" si="6"/>
        <v/>
      </c>
      <c r="BB13" t="str">
        <f t="shared" si="7"/>
        <v/>
      </c>
      <c r="BC13" t="str">
        <f>IF(U13&lt;&gt;"",U13,IF(AND(B13&lt;&gt;"",B13&lt;&gt;A13,ISNUMBER(_xlfn.XMATCH(B13,Щиты[Щит]))),B13,""))</f>
        <v>ЩР-01</v>
      </c>
      <c r="BD13" t="str" cm="1">
        <f t="array" ref="BD13">IF(B13="","",IF(BC13&lt;&gt;"","Щит "&amp;BC13,_xlfn.LET(_xlpm.nm,IFERROR(_xlfn.XLOOKUP(AX13,Коды_код,Коды_имя)&amp;"",""),_xlpm.md,IFERROR(N(_xlfn.XLOOKUP(AX13,Коды_код,Коды_режим)),1),_xlpm.ex,IF(Имя_режим="по экспликации",IFERROR(_xlfn.XLOOKUP(AZ13&amp;"|"&amp;BB13,Экспликация[Этаж]&amp;"|"&amp;Экспликация[Помещение],Экспликация[Название])&amp;"",""),""),_xlpm.rm,IF(BB13="","",IF(_xlpm.ex&lt;&gt;"",". "&amp;_xlpm.ex&amp;IF(Имя_пом="нет"," ("&amp;BB13&amp;")"," (пом. "&amp;BB13&amp;")"),IF(Имя_пом="нет"," ",", пом. ")&amp;BB13)),IF(_xlpm.nm="","",IF(_xlpm.md=2,_xlpm.nm&amp;" шлейф "&amp;AZ13,_xlpm.nm&amp;_xlpm.rm)))))</f>
        <v>Щит ЩР-01</v>
      </c>
      <c r="BE13" t="str">
        <f t="shared" si="8"/>
        <v>Щит распределительный ЩР-01 Цокольный этаж этаж Пом. №0.001Т</v>
      </c>
      <c r="BF13">
        <f>IFERROR(_xlfn.XMATCH(A13,Щиты[Щит]),0)</f>
        <v>1</v>
      </c>
      <c r="BG13">
        <f>_xlfn.LET(_xlpm.k,IFERROR(_xlfn.XLOOKUP(A13,Щиты[Щит],Щиты[Листов под вводной узел]),""),IF(_xlpm.k="",1,N(_xlpm.k))*Столбцов_на_лист)</f>
        <v>17</v>
      </c>
      <c r="BH13">
        <f t="shared" si="9"/>
        <v>41</v>
      </c>
      <c r="BI13" t="str">
        <f t="shared" si="10"/>
        <v>линии</v>
      </c>
      <c r="BJ13" s="6">
        <f>IFERROR(N(_xlfn.XLOOKUP(AX13,Коды_код,Коды_квт)),0)</f>
        <v>0</v>
      </c>
      <c r="BK13">
        <f t="shared" si="11"/>
        <v>0</v>
      </c>
      <c r="BL13">
        <f>IF(B13="","",IF(BC13&lt;&gt;"",IFERROR(_xlfn.XLOOKUP(BC13,Щиты[Щит],Щиты[Руст, кВт]),0),IF(BK13=1,IFERROR(_xlfn.XLOOKUP(A13,Щиты[Щит],Щиты[Руст, кВт]),0),IF(BJ13&gt;0,ROUND(BJ13*MAX(1,N(D13)),3),""))))</f>
        <v>24.405000000000005</v>
      </c>
      <c r="BM13">
        <f t="shared" si="12"/>
        <v>24.41</v>
      </c>
      <c r="BN13" s="6">
        <f>IF(B13="","",IF(BC13&lt;&gt;"",IFERROR(_xlfn.XLOOKUP(BC13,Щиты[Щит],Щиты[Руст, кВт]),0),N(BM13)))</f>
        <v>24.405000000000005</v>
      </c>
      <c r="BO13" t="str">
        <f>IF(B13="","",IFERROR(IF(VLOOKUP(AX13,Потребители_обозначение,8,FALSE)=0,"",VLOOKUP(AX13,Потребители_обозначение,8,FALSE)),""))</f>
        <v/>
      </c>
      <c r="BP13">
        <f t="shared" si="13"/>
        <v>400</v>
      </c>
      <c r="BQ13">
        <f>IF(B13="","",IF(BC13&lt;&gt;"",3,IFERROR(IF(N(VLOOKUP(AX13,Потребители_обозначение,9,FALSE))=0,1,VLOOKUP(AX13,Потребители_обозначение,9,FALSE)),1)))</f>
        <v>3</v>
      </c>
      <c r="BR13">
        <f t="shared" si="14"/>
        <v>3</v>
      </c>
      <c r="BS13" t="str">
        <f>IF(B13="","",_xlfn.LET(_xlpm.bc,IFERROR(IF(VLOOKUP(AX13,Потребители_обозначение,6,FALSE)=0,"",VLOOKUP(AX13,Потребители_обозначение,6,FALSE)&amp;""),""),IF(AND(FK13="да",OR(_xlpm.bc="",_xlpm.bc="мс")),Марка_пож,IF(AND(_xlpm.bc="",BC13&lt;&gt;""),"мс",_xlpm.bc))))</f>
        <v>мс</v>
      </c>
      <c r="BT13" t="str">
        <f t="shared" si="15"/>
        <v>мс</v>
      </c>
      <c r="BU13">
        <f>IF(B13="","",_xlfn.LET(_xlpm.cc,IFERROR(N(VLOOKUP(AX13,Потребители_обозначение,7,FALSE)),0),IF(_xlpm.cc&gt;0,_xlpm.cc,IF(BT13="","",IF(N(BR13)=3,5,3)))))</f>
        <v>5</v>
      </c>
      <c r="BV13">
        <f t="shared" si="16"/>
        <v>5</v>
      </c>
      <c r="BW13">
        <f>IFERROR(N(VLOOKUP(AX13,Потребители_обозначение,10,FALSE)),0)</f>
        <v>0</v>
      </c>
      <c r="BX13">
        <f>IFERROR(VLOOKUP(AX13,Потребители_обозначение,5,FALSE),0)</f>
        <v>0</v>
      </c>
      <c r="BY13" s="6" cm="1">
        <f t="array" ref="BY13">IF(B13="","",IF(BC13&lt;&gt;"",IFERROR(_xlfn.XLOOKUP(BC13,Щиты[Щит],Щиты[cos φ]),0.95),IF(BK13=1,IFERROR(_xlfn.XLOOKUP(A13,Щиты[Щит],Щиты[cos φ]),0.95),IF(ISNUMBER(Z13),Z13,IFERROR(IF(BX13=2,_xlfn.IFS(BR13=3,VLOOKUP(BN13,Справочная_двигатели,8,FALSE),BR13=1,VLOOKUP(BN13,Справочная_двигатели,10,TRUE)),IF(AND(Методика="нормы 2026",EQ13="Сил"),0.8,0.95)),0.95)))))</f>
        <v>0.95000000000000018</v>
      </c>
      <c r="BZ13">
        <f t="shared" si="17"/>
        <v>0</v>
      </c>
      <c r="CA13">
        <f t="shared" si="18"/>
        <v>1</v>
      </c>
      <c r="CB13">
        <f t="shared" si="19"/>
        <v>0</v>
      </c>
      <c r="CC13">
        <f t="shared" si="20"/>
        <v>0</v>
      </c>
      <c r="CD13">
        <f t="shared" si="21"/>
        <v>0</v>
      </c>
      <c r="CE13">
        <f t="shared" si="22"/>
        <v>0</v>
      </c>
      <c r="CF13">
        <f t="shared" si="23"/>
        <v>0</v>
      </c>
      <c r="CG13">
        <f>IF(AX13="",0,_xlfn.LET(_xlpm.v,IFERROR(VLOOKUP(B13,УГО_спр,3,FALSE),IFERROR(VLOOKUP(AX13,УГО_спр,3,FALSE),IFERROR(VLOOKUP(LEFT(AX13,2),УГО_спр,3,FALSE),""))),IF(_xlpm.v="да",30,IF(ISNUMBER(_xlpm.v),_xlpm.v,0))))</f>
        <v>0</v>
      </c>
      <c r="CH13" t="str">
        <f t="shared" si="24"/>
        <v/>
      </c>
      <c r="CI13" t="str">
        <f>_xlfn.LET(_xlpm.k,IFERROR(_xlfn.XLOOKUP(AX13,Коды_код,Коды_утечка)&amp;"",""),IF(_xlpm.k="","дифавтомат",_xlpm.k))</f>
        <v>дифавтомат</v>
      </c>
      <c r="CJ13">
        <f t="shared" si="25"/>
        <v>0</v>
      </c>
      <c r="CK13">
        <f t="shared" si="26"/>
        <v>0</v>
      </c>
      <c r="CL13">
        <f>IF(B13="",0,IFERROR(--VLOOKUP(B13,УГО_спр,4,FALSE),IFERROR(--VLOOKUP(AX13,УГО_спр,4,FALSE),IFERROR(--VLOOKUP(LEFT(AX13,2),УГО_спр,4,FALSE),0))))</f>
        <v>0</v>
      </c>
      <c r="CM13" t="str">
        <f>IF(B13="","",IFERROR(_xlfn.XLOOKUP(AX13,Коды_код,Коды_апп)&amp;"",""))</f>
        <v/>
      </c>
      <c r="CN13" t="str">
        <f t="shared" si="27"/>
        <v/>
      </c>
      <c r="CO13" t="str" cm="1">
        <f t="array" ref="CO13">IF(TRIM(CN13&amp;"")="","",IFERROR(TRIM(INDEX(_xlfn.TEXTSPLIT(CN13&amp;";;;",";"),1)),""))</f>
        <v/>
      </c>
      <c r="CP13" t="str" cm="1">
        <f t="array" ref="CP13">IF(TRIM(CN13&amp;"")="","",IFERROR(TRIM(INDEX(_xlfn.TEXTSPLIT(CN13&amp;";;;",";"),2)),""))</f>
        <v/>
      </c>
      <c r="CQ13" t="str" cm="1">
        <f t="array" ref="CQ13">IF(TRIM(CN13&amp;"")="","",IFERROR(TRIM(INDEX(_xlfn.TEXTSPLIT(CN13&amp;";;;",";"),3)),""))</f>
        <v/>
      </c>
      <c r="CR13">
        <f t="shared" si="28"/>
        <v>0</v>
      </c>
      <c r="CS13" t="str">
        <f>IF(B13="","",_xlfn.LET(_xlpm.t,LOWER(AV13&amp;""),IF(ISNUMBER(SEARCH("dim",_xlpm.t)),"DIM",IF(ISNUMBER(SEARCH("dali",_xlpm.t)),"DALI",IF(OR(ISNUMBER(SEARCH("relay",_xlpm.t)),ISNUMBER(SEARCH("реле",_xlpm.t))),"Relay",IF(ISNUMBER(SEARCH("кнопк",_xlpm.t)),"",IFERROR(_xlfn.XLOOKUP(AX13,Коды_код,Коды_упр)&amp;"","")))))))</f>
        <v/>
      </c>
      <c r="CT13" t="str">
        <f t="shared" si="29"/>
        <v/>
      </c>
      <c r="CU13">
        <f>IF(B13="","",_xlfn.LET(_xlpm.ig,N(P13)+IF(AF13="вручную",0,N(CB13)),_xlpm.n0,IFERROR(VLOOKUP(_xlpm.ig,Автомат_номиналы,2,TRUE),0),_xlpm.mn,MAX(CL13,IF(AF13="вручную",0,N(CE13))),MAX(_xlpm.n0,_xlpm.mn,IF(CR13=1,Мин_автомат_БП,0))))</f>
        <v>40</v>
      </c>
      <c r="CV13">
        <f t="shared" si="30"/>
        <v>3</v>
      </c>
      <c r="CW13" t="str">
        <f t="shared" si="31"/>
        <v>3P</v>
      </c>
      <c r="CX13" t="str">
        <f>_xlfn.LET(_xlpm.cc,UPPER(TRIM(IFERROR(_xlfn.XLOOKUP(AX13,Коды_код,Коды_хар)&amp;"",""))),IF(OR(_xlpm.cc="B",_xlpm.cc="В"),"B",IF(_xlpm.cc="D","D","С")))</f>
        <v>С</v>
      </c>
      <c r="CY13" t="str">
        <f t="shared" si="32"/>
        <v>3P С40А</v>
      </c>
      <c r="CZ13">
        <f t="shared" si="33"/>
        <v>40</v>
      </c>
      <c r="DA13" t="str">
        <f t="shared" si="34"/>
        <v>3P С40А</v>
      </c>
      <c r="DB13" cm="1">
        <f t="array" ref="DB13">IF(DA13="","",_xlfn.LET(_xlpm.t,SUBSTITUTE(SUBSTITUTE(SUBSTITUTE(UPPER(DA13),"С","C"),"А","A"),"В","B"),_xlpm.tk,_xlfn.TEXTSPLIT(_xlpm.t,"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13" t="str">
        <f t="shared" si="35"/>
        <v>ok</v>
      </c>
      <c r="DD13">
        <f t="shared" si="36"/>
        <v>40</v>
      </c>
      <c r="DE13" t="str">
        <f t="shared" si="37"/>
        <v>3P С40А</v>
      </c>
      <c r="DF13">
        <f t="shared" si="38"/>
        <v>0</v>
      </c>
      <c r="DG13">
        <f t="shared" si="39"/>
        <v>0</v>
      </c>
      <c r="DH13">
        <f t="shared" si="40"/>
        <v>0</v>
      </c>
      <c r="DI13">
        <f t="shared" si="41"/>
        <v>32.798575666043085</v>
      </c>
      <c r="DJ13">
        <f t="shared" si="42"/>
        <v>0.92</v>
      </c>
      <c r="DK13">
        <f>IF(ISNUMBER(AL13),AL13,К_прокл)</f>
        <v>1</v>
      </c>
      <c r="DL13">
        <f t="shared" si="43"/>
        <v>3</v>
      </c>
      <c r="DM13">
        <f>IFERROR(N(VLOOKUP(BT13,Кабель_обозначение,3,FALSE)),1)</f>
        <v>1</v>
      </c>
      <c r="DN13">
        <f>IFERROR(N(_xlfn.XLOOKUP(A13,Щиты[Щит],Щиты[ΔU до шин, %])),0)</f>
        <v>0</v>
      </c>
      <c r="DO13" t="str">
        <f>IFERROR(_xlfn.XLOOKUP(A13,Щиты[Щит],Щиты[Zпетли на шинах, Ом]),"")</f>
        <v/>
      </c>
      <c r="DP13">
        <f>IFERROR(N(_xlfn.XLOOKUP(A13,Щиты[Щит],Щиты[ΔU до шин (подбор), %])),0)</f>
        <v>0</v>
      </c>
      <c r="DQ13" t="str">
        <f>IFERROR(_xlfn.XLOOKUP(A13,Щиты[Щит],Щиты[Zпетли на шинах (подбор), Ом]),"")</f>
        <v/>
      </c>
      <c r="DR13" t="str">
        <f t="shared" si="44"/>
        <v/>
      </c>
      <c r="DS13">
        <f t="shared" si="45"/>
        <v>14</v>
      </c>
      <c r="DT13">
        <f t="shared" si="46"/>
        <v>1</v>
      </c>
      <c r="DU13">
        <f t="shared" si="47"/>
        <v>0.31</v>
      </c>
      <c r="DV13" s="6">
        <f>IF(B13="","",IF(IFERROR(VLOOKUP(AX13,УГО_спр,2,FALSE),"")="Светильник",3,4)+IF(Методика="нормы 2026",MIN(0.5,MAX(0,N(Q13)-100)*0.005),0))</f>
        <v>4</v>
      </c>
      <c r="DW13" cm="1">
        <f t="array" ref="DW13">IF(OR(B13="",BT13="",DM13&lt;&gt;1),"",_xlfn.LET(_xlpm.sz,Iдоп_S,_xlpm.t_,CHOOSE(DL13,Iдоп_1ж,Iдоп_2ж,Iдоп_3ж)*DJ13*DK13,_xlpm.inn,N(DD13),_xlpm.smin,MAX(1.5,BW13),_xlpm.L_,N(Q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13)*(_xlpm.rho*_xlpm.L_/_xlpm.sz*N(BY13)+_xlpm.xx*_xlpm.L_*N(DU13)/1000)*N(P13)/((Uн_лин/SQRT(3))*1000)*100,999),_xlpm.kz,IF(OR(DG13=1,NOT(ISNUMBER(DQ13)),_xlpm.L_=0,_xlpm.inn=0),1,IFERROR(--(c_min*(Uн_лин*1000/SQRT(3))/(DQ13+2*ρкз_Cu*_xlpm.L_/_xlpm.sz)&gt;=GY13*_xlpm.inn),0)),_xlpm.ok,IFERROR((_xlpm.sz&gt;=_xlpm.smin)*(_xlpm.t_&gt;=_xlpm.inn)*IF(_xlpm.L_&gt;0,(_xlpm.du_+DP13&lt;=DV13+0.00001),1)*_xlpm.kz,0),_xlpm.r_,_xlfn._xlws.FILTER(_xlpm.sz,_xlpm.ok,"не подобрано"),INDEX(_xlpm.r_,1)))</f>
        <v>10</v>
      </c>
      <c r="DX13">
        <f t="shared" si="48"/>
        <v>10</v>
      </c>
      <c r="DY13" cm="1">
        <f t="array" ref="DY13">IF(OR(B13="",BT13="",DM13&lt;&gt;1),"",_xlfn.LET(_xlpm.sz,Iдоп_S,_xlpm.t_,CHOOSE(DL13,Iдоп_1ж,Iдоп_2ж,Iдоп_3ж)*DJ13*DK13,_xlpm.ok,IFERROR((_xlpm.sz&gt;=MAX(1.5,BW13))*(_xlpm.t_&gt;=N(DD13)),0),_xlpm.r_,_xlfn._xlws.FILTER(_xlpm.sz,_xlpm.ok,""),INDEX(_xlpm.r_,1)))</f>
        <v>10</v>
      </c>
      <c r="DZ13" s="6" cm="1">
        <f t="array" ref="DZ13">IFERROR(ROUNDUP(N(DT13)*(_xlfn.XLOOKUP(DY13,INDEX(Кабель_сопротивление,0,1),INDEX(Кабель_сопротивление,0,3))*N(Q13)/DY13*N(BY13)+_xlfn.XLOOKUP(DY13,INDEX(Кабель_сопротивление,0,1),INDEX(Кабель_сопротивление,0,2))*N(Q13)*N(DU13)/1000)*N(P13)/((Uн_лин/SQRT(3))*1000)*100,2),"")</f>
        <v>0.43</v>
      </c>
      <c r="EA13">
        <f>IFERROR(2*ρкз_Cu*N(Q13)/DY13,"")</f>
        <v>7.3640000000000011E-2</v>
      </c>
      <c r="EB13">
        <f>IFERROR(VLOOKUP(DX13,Кабель_сопротивление,3,FALSE),"")</f>
        <v>2.2499999999999999E-2</v>
      </c>
      <c r="EC13">
        <f>IFERROR(VLOOKUP(DX13,Кабель_сопротивление,2,FALSE),"")</f>
        <v>7.2999999999999995E-2</v>
      </c>
      <c r="ED13">
        <f t="shared" si="49"/>
        <v>14</v>
      </c>
      <c r="EE13">
        <f t="shared" si="50"/>
        <v>0</v>
      </c>
      <c r="EF13">
        <f t="shared" si="51"/>
        <v>0.99188862154885526</v>
      </c>
      <c r="EG13" s="6">
        <f>IFERROR(ROUNDUP(EF13/((Uн_лин/SQRT(3))*1000)*100,2),"")</f>
        <v>0.43</v>
      </c>
      <c r="EH13" t="str">
        <f>IFERROR(VLOOKUP(BT13,Кабель_обозначение,2,FALSE),"")</f>
        <v>ВВГнг(А)-LS</v>
      </c>
      <c r="EI13" t="str">
        <f t="shared" si="52"/>
        <v>ВВГнг(А)-LS (5х10)</v>
      </c>
      <c r="EJ13" t="str">
        <f t="shared" si="53"/>
        <v>ВВГнг(А)-LS (5х10)
L=14-0,43%</v>
      </c>
      <c r="EK13">
        <f>IFERROR(2*ρкз_Cu*Q13/DX13,"")</f>
        <v>7.3640000000000011E-2</v>
      </c>
      <c r="EL13">
        <f t="shared" si="54"/>
        <v>2.4500000000000001E-2</v>
      </c>
      <c r="EM13" s="6" t="str">
        <f>IFERROR(IF(OR(B13="",NOT(ISNUMBER(DX13)),N(Q13)=0),"",_xlfn.XLOOKUP(A13,Щиты[Щит],Щиты[Zпетли на шинах, Ом])+EK13),"")</f>
        <v/>
      </c>
      <c r="EN13" s="6" t="str">
        <f>IF(ISNUMBER(EM13),c_min*(Uн_лин*1000/SQRT(3))/EM13,"")</f>
        <v/>
      </c>
      <c r="EO13" s="6" t="str">
        <f>IFERROR(IF(OR(B13="",NOT(ISNUMBER(DX13))),"",1.05*(Uн_лин*1000/SQRT(3))/(_xlfn.XLOOKUP(A13,Щиты[Щит],Щиты[Zmax на шинах, Ом])+EL13)/1000),"")</f>
        <v/>
      </c>
      <c r="EP13" s="6" t="str">
        <f>IF(B13="","",IF(ISNUMBER(Y13),"Сил",IF(IFERROR(_xlfn.XLOOKUP(AX13,Коды_код,Коды_группа)&amp;"","")="","Быт",_xlfn.XLOOKUP(AX13,Коды_код,Коды_группа)&amp;"")))</f>
        <v>Быт</v>
      </c>
      <c r="EQ13" s="6" t="str">
        <f t="shared" si="55"/>
        <v>Щит</v>
      </c>
      <c r="ER13" s="6" t="str">
        <f>IF(EQ13="Щит","щит",IF(EQ13="","",IF(EQ13="Быт",IFERROR(_xlfn.XLOOKUP(A13,Щиты[Щит],Щиты[Кс быт]),1),IF(EQ13="Сил",IF(ISNUMBER(Y13),Y13,IF(Методика="нормы 2026",IFERROR(_xlfn.XLOOKUP(A13,Щиты[Щит],Щиты[Кс силовых (табл. 7.5)]),1),1)),IF(OR(EQ13="Пост",EQ13="Отоп"),1,IF(EQ13="ВНГ",0.7,0))))))</f>
        <v>щит</v>
      </c>
      <c r="ES13">
        <f t="shared" si="56"/>
        <v>1</v>
      </c>
      <c r="ET13">
        <f t="shared" si="57"/>
        <v>0</v>
      </c>
      <c r="EU13">
        <f t="shared" si="58"/>
        <v>0</v>
      </c>
      <c r="EV13">
        <f t="shared" si="59"/>
        <v>0</v>
      </c>
      <c r="EW13">
        <f t="shared" si="60"/>
        <v>0</v>
      </c>
      <c r="EX13">
        <f t="shared" si="61"/>
        <v>0</v>
      </c>
      <c r="EY13">
        <f t="shared" si="62"/>
        <v>0</v>
      </c>
      <c r="EZ13">
        <f t="shared" si="63"/>
        <v>0</v>
      </c>
      <c r="FA13">
        <f t="shared" si="64"/>
        <v>0</v>
      </c>
      <c r="FB13">
        <f t="shared" si="65"/>
        <v>24.405000000000005</v>
      </c>
      <c r="FC13" t="str">
        <f t="shared" si="66"/>
        <v/>
      </c>
      <c r="FD13" t="str">
        <f>IF(B13="","",IF(CA13=0,IF(AW13=1,"",FF12),IF(OR(N(CV13)&gt;=3,N(BR13)&gt;=3),"L1,L2,L3",IFERROR(_xlfn.TEXTBEFORE(_xlfn.TEXTAFTER(_xlfn.XLOOKUP(A13,Щиты[Щит],Щиты[_фазы авто]),";"&amp;AW13&amp;":"),";"),"L1"))))</f>
        <v>L1,L2,L3</v>
      </c>
      <c r="FE13" t="str">
        <f t="shared" si="67"/>
        <v>L1,L2,L3</v>
      </c>
      <c r="FF13" t="str">
        <f t="shared" si="68"/>
        <v>L1,L2,L3</v>
      </c>
      <c r="FG13" cm="1">
        <f t="array" ref="FG13">IFERROR(IF(BX13=2,_xlfn.IFS(BR13=3,VLOOKUP(BN13,Справочная_двигатели,3,FALSE),BR13=1,VLOOKUP(BN13,Справочная_двигатели,5,TRUE)),0),0)</f>
        <v>0</v>
      </c>
      <c r="FH13">
        <f>IFERROR(IF(BX13=3,VLOOKUP(BN13,Справочная_ЛЭД,2,TRUE),0),0)</f>
        <v>0</v>
      </c>
      <c r="FI13" s="6">
        <f t="shared" si="69"/>
        <v>0</v>
      </c>
      <c r="FJ13" t="str" cm="1">
        <f t="array" ref="FJ13">IF(B13="","",IFERROR(INDEX({"I особая","I","II","III"},MATCH(TRIM(AC13&amp;""),{"I особая","I","II","III"},0)),"III"))</f>
        <v>II</v>
      </c>
      <c r="FK13" t="str">
        <f>IF(B13="","",IF(TRIM(AD13&amp;"")&lt;&gt;"",IF(LOWER(TRIM(AD13&amp;""))="да","да","нет"),IF(IFERROR(_xlfn.XLOOKUP(AX13,Коды_код,Коды_пожарная),"")="да","да","нет")))</f>
        <v>нет</v>
      </c>
      <c r="FL13" t="str">
        <f t="shared" si="70"/>
        <v/>
      </c>
      <c r="FM13" t="str">
        <f t="shared" si="71"/>
        <v>основная</v>
      </c>
      <c r="FN13">
        <f t="shared" si="72"/>
        <v>1</v>
      </c>
      <c r="FO13" t="str" cm="1">
        <f t="array" ref="FO13">IF(B13="","",_xlfn.LET(_xlpm.t,IFERROR(_xlfn.XLOOKUP(1,(Шины[Шина]=FM13)*(((Шины[Щит]=A13)+(Шины[Щит]=""))&gt;0),Шины[Тип]),"")&amp;"",IF(_xlpm.t&lt;&gt;"",_xlpm.t,IF(ISNUMBER(SEARCH("ИБП",FM13)),"ИБП",IF(ISNUMBER(SEARCH("ДГУ",FM13)),"ДГУ","Ввод "&amp;FN13)))))</f>
        <v>Ввод 1</v>
      </c>
      <c r="FP13" t="str">
        <f t="shared" si="73"/>
        <v>Ввод 1</v>
      </c>
      <c r="FQ13" t="str">
        <f>IF(B13="","",IF(OR(FO13="ИБП",FO13="ДГУ"),"I особая",IF(FO13="Одиночная","III",_xlfn.XLOOKUP(A13,Щиты[Щит],Щиты[Категория шины «Ввод»],"III"))))</f>
        <v>I</v>
      </c>
      <c r="FR13">
        <f>IF(B13="",0,IFERROR(MATCH(FJ13,{"III","II","I","I особая"},0),1))</f>
        <v>2</v>
      </c>
      <c r="FS13">
        <f t="shared" si="74"/>
        <v>2</v>
      </c>
      <c r="FT13" t="str">
        <f>IF(B13="","",IF(FR13&gt;IFERROR(MATCH(FQ13,{"III","II","I","I особая"},0),1),"НЕ ОБЕСПЕЧЕНА","ОК"))</f>
        <v>ОК</v>
      </c>
      <c r="FU13" t="str">
        <f>IF(A13="","",_xlfn.XLOOKUP(A13,Щиты[Щит],Щиты[Путь],""))</f>
        <v>|ГРЩ-ЖД|</v>
      </c>
      <c r="FV13" t="str">
        <f>IF(B13="","",IF(AE13&lt;&gt;"",AE13,IF(IFERROR(_xlfn.XLOOKUP(AX13,Коды_код,Коды_вид)&amp;"","")="","Прочее",_xlfn.XLOOKUP(AX13,Коды_код,Коды_вид)&amp;"")))</f>
        <v>Распределительные щиты жилой части</v>
      </c>
      <c r="FW13">
        <f>IF(BH13="","",INT((BH13-1)/Столбцов_на_лист)+1)</f>
        <v>3</v>
      </c>
      <c r="FX13" t="str">
        <f t="shared" si="75"/>
        <v>ВВГнг(А)-LS (5х10) L=14-0,43%</v>
      </c>
      <c r="FY13">
        <f t="shared" si="76"/>
        <v>24.405000000000005</v>
      </c>
      <c r="FZ13">
        <f t="shared" si="77"/>
        <v>32.799999999999997</v>
      </c>
      <c r="GA13">
        <f t="shared" si="78"/>
        <v>3</v>
      </c>
      <c r="GB13">
        <f t="shared" si="79"/>
        <v>0</v>
      </c>
      <c r="GC13">
        <f t="shared" si="80"/>
        <v>1</v>
      </c>
      <c r="GD13">
        <f>IF(BH13="","",IF(AND(CA13=1,GC13=1),COUNTIFS(A$3:A13,A13,CA$3:CA13,1,GC$3:GC13,1),IF(OR(OR(AW13=1,A13&lt;&gt;A12),AF13="вручную",GC13=0),"",IF(AW13=1,"",GE12))))</f>
        <v>11</v>
      </c>
      <c r="GE13">
        <f t="shared" si="81"/>
        <v>11</v>
      </c>
      <c r="GF13">
        <f>IF(B13="","",IFERROR(LOOKUP(INDEX(CHOOSE(DL13,Iдоп_1ж,Iдоп_2ж,Iдоп_3ж),MATCH(DX13,Iдоп_S,0))*DJ13*DK13,{6,10,16,20,25,32,40,50,63,80,100,125,160,200,250,315,400,500,630}),""))</f>
        <v>50</v>
      </c>
      <c r="GG13" t="str">
        <f t="shared" si="82"/>
        <v>QF11</v>
      </c>
      <c r="GH13" t="str">
        <f t="shared" si="83"/>
        <v>QF11</v>
      </c>
      <c r="GI13" t="str">
        <f t="shared" si="84"/>
        <v/>
      </c>
      <c r="GJ13">
        <f t="shared" si="85"/>
        <v>0</v>
      </c>
      <c r="GK13" t="str">
        <f>IF(OR(AG13="",AG13="-"),"",IFERROR(VLOOKUP(AG13,Модули_спр,2,FALSE),"R"))</f>
        <v/>
      </c>
      <c r="GL13" t="str">
        <f>IF(GK13="","",GK13&amp;"."&amp;COUNTIFS(A$3:A13,A13,GK$3:GK13,GK13))</f>
        <v/>
      </c>
      <c r="GM13" t="str">
        <f t="shared" si="86"/>
        <v/>
      </c>
      <c r="GN13" t="str">
        <f t="shared" si="87"/>
        <v/>
      </c>
      <c r="GO13" t="str">
        <f t="shared" si="88"/>
        <v/>
      </c>
      <c r="GP13" t="str">
        <f t="shared" si="89"/>
        <v/>
      </c>
      <c r="GQ13">
        <f t="shared" si="90"/>
        <v>1</v>
      </c>
      <c r="GR13" t="str">
        <f>IF(GQ13=1,"XT"&amp;COUNTIFS(A$3:A13,A13,GQ$3:GQ13,1),"")</f>
        <v>XT8</v>
      </c>
      <c r="GS13" t="str">
        <f t="shared" si="91"/>
        <v/>
      </c>
      <c r="GT13" t="str">
        <f t="shared" si="92"/>
        <v>QF11</v>
      </c>
      <c r="GU13" t="str">
        <f t="shared" si="93"/>
        <v/>
      </c>
      <c r="GV13" t="str">
        <f t="shared" si="94"/>
        <v>ok</v>
      </c>
      <c r="GW13" t="str">
        <f>IF(OR(GO13="",GM13=""),"",IF(GO13&gt;IFERROR(VLOOKUP(GN13,Модули_спр,3,FALSE),99),"ЛИШНИЙ КАНАЛ",IF(AND(AH13&lt;&gt;"=",COUNTIFS(Линии[_модуль гр.],GM13,Линии[Канал (итог)],GO13,Линии[Канал],"&lt;&gt;=",Линии[Щит],A13)&gt;1),"ДУБЛЬ КАНАЛА","")))</f>
        <v/>
      </c>
      <c r="GX13" s="6" t="str">
        <f t="shared" si="95"/>
        <v/>
      </c>
      <c r="GY13">
        <f t="shared" si="96"/>
        <v>10</v>
      </c>
      <c r="GZ13" t="str">
        <f t="shared" si="97"/>
        <v/>
      </c>
      <c r="HA13" t="str">
        <f>IF(AND(B13="",GT13=""),"",_xlfn.TEXTJOIN("; ",TRUE,IF(AND(B13&lt;&gt;"",FE13=""),"нет фазы",""),IF(AND(B13&lt;&gt;"",N(FY13)=0,EQ13&lt;&gt;"Нет"),"нет мощности",""),IF(AND(GS13&lt;&gt;"",COUNTIFS(Линии[Щит],A13,Линии[Клемма (итог)],GS13)&gt;1),"дубль клеммы "&amp;GS13,""),IF(AND(GV13&lt;&gt;"",GV13&lt;&gt;"ok"),GV13,""),IF(GW13&lt;&gt;"",GW13,""),IF(AND(N(BV13)&gt;=4,N(BR13)=1),BV13&amp;" жил на 1 фазе",""),IF(AND(AX13="R",CA13=1,OR(N(CK13)=0,N(CK13)&gt;30)),"розетка без дифзащиты до 30 мА",""),IFERROR(IF(AND(ISNUMBER(R13),R13&gt;DV13),"потери "&amp;FIXED(R13,1)&amp;" % &gt; "&amp;DV13&amp;" %",""),""),IFERROR(IF(LEFT(GZ13,4)="мало","Iкз мало — отключение &gt; 0,4 с",""),""),IF(AND(B13&lt;&gt;"",BH13=""),"не на схеме",""),IF(AND(CA13=0,B13&lt;&gt;"",FE13&lt;&gt;"",IF(AW13=1,"",FF12)&lt;&gt;"",FE13&lt;&gt;IF(AW13=1,"",FF12)),"фаза не как у автомата группы ("&amp;IF(AW13=1,"",FF12)&amp;")","")))</f>
        <v/>
      </c>
      <c r="HB13" s="6" t="str">
        <f>IF(OR(CA13=0,DA13=""),"",_xlfn.LET(_xlpm.t,IFERROR(_xlfn.XLOOKUP(DA13,Каталог!$U$4:$U$500,Каталог!$G$4:$G$500),""),_xlpm.k,SEARCH("кА",_xlpm.t),IFERROR(--TRIM(RIGHT(SUBSTITUTE(MID(_xlpm.t,MAX(1,_xlpm.k-4),_xlpm.k-MAX(1,_xlpm.k-4))," ",REPT(" ",9)),5)),"")))</f>
        <v/>
      </c>
      <c r="HC13" t="str">
        <f>IF(OR(HB13="",CA13=0),"",IF(_xlfn.XLOOKUP(A13,Щиты[Щит],Щиты[Iкз max на шинах, кА],"")="","",IF(HB13&lt;_xlfn.XLOOKUP(A13,Щиты[Щит],Щиты[Iкз max на шинах, кА]),"Icu "&amp;HB13&amp;" кА &lt; Iкз max","ok")))</f>
        <v/>
      </c>
      <c r="HD13" t="str">
        <f t="shared" si="98"/>
        <v/>
      </c>
      <c r="HE13" t="str">
        <f t="shared" si="99"/>
        <v>QF11</v>
      </c>
      <c r="HF13" t="str">
        <f t="shared" si="100"/>
        <v>QF11|кабель ВВГнг(А)-LS (5х10) → Щит распределительный ЩР-01 Цокольный этаж этаж Пом. №0.001Т</v>
      </c>
      <c r="HG13" t="str" cm="1">
        <f t="array" ref="HG13">IF(HF13="","",_xlfn.LET(_xlpm.nd,_xlfn.TEXTSPLIT(HF13,"|"),IF(COLUMNS(_xlpm.nd)&gt;1,A13&amp;"¦"&amp;INDEX(_xlpm.nd,1)&amp;"¦"&amp;INDEX(_xlpm.nd,2),"")))</f>
        <v>ГРЩ-ЖД¦QF11¦кабель ВВГнг(А)-LS (5х10) → Щит распределительный ЩР-01 Цокольный этаж этаж Пом. №0.001Т</v>
      </c>
      <c r="HH13" t="str">
        <f t="shared" si="101"/>
        <v>ЩР-01¦Щит распределительный ЩР-01 Цокольный этаж этаж Пом. №0.001Т</v>
      </c>
      <c r="HI13" t="str" cm="1">
        <f t="array" ref="HI13">IF(HF13="","",_xlfn.LET(_xlpm.nd,_xlfn.TEXTSPLIT(HF13,"|"),IF(COLUMNS(_xlpm.nd)&gt;2,A13&amp;"¦"&amp;INDEX(_xlpm.nd,2)&amp;"¦"&amp;INDEX(_xlpm.nd,3),"")))</f>
        <v/>
      </c>
      <c r="HJ13" t="str">
        <f t="shared" si="102"/>
        <v/>
      </c>
      <c r="HK13" t="str" cm="1">
        <f t="array" ref="HK13">IF(HF13="","",_xlfn.LET(_xlpm.nd,_xlfn.TEXTSPLIT(HF13,"|"),IF(COLUMNS(_xlpm.nd)&gt;3,A13&amp;"¦"&amp;INDEX(_xlpm.nd,3)&amp;"¦"&amp;INDEX(_xlpm.nd,4),"")))</f>
        <v/>
      </c>
      <c r="HL13" t="str">
        <f t="shared" si="103"/>
        <v/>
      </c>
      <c r="HM13" t="str" cm="1">
        <f t="array" ref="HM13">IF(HF13="","",_xlfn.LET(_xlpm.nd,_xlfn.TEXTSPLIT(HF13,"|"),IF(COLUMNS(_xlpm.nd)&gt;4,A13&amp;"¦"&amp;INDEX(_xlpm.nd,4)&amp;"¦"&amp;INDEX(_xlpm.nd,5),"")))</f>
        <v/>
      </c>
      <c r="HN13" t="str">
        <f t="shared" si="104"/>
        <v/>
      </c>
      <c r="HO13" t="str" cm="1">
        <f t="array" ref="HO13">IF(HF13="","",_xlfn.LET(_xlpm.nd,_xlfn.TEXTSPLIT(HF13,"|"),IF(COLUMNS(_xlpm.nd)&gt;5,A13&amp;"¦"&amp;INDEX(_xlpm.nd,5)&amp;"¦"&amp;INDEX(_xlpm.nd,6),"")))</f>
        <v/>
      </c>
      <c r="HP13" t="str">
        <f t="shared" si="105"/>
        <v/>
      </c>
      <c r="HQ13" t="str" cm="1">
        <f t="array" ref="HQ13">IF(HF13="","",_xlfn.LET(_xlpm.nd,_xlfn.TEXTSPLIT(HF13,"|"),IF(COLUMNS(_xlpm.nd)&gt;6,A13&amp;"¦"&amp;INDEX(_xlpm.nd,6)&amp;"¦"&amp;INDEX(_xlpm.nd,7),"")))</f>
        <v/>
      </c>
      <c r="HR13" t="str">
        <f t="shared" si="106"/>
        <v/>
      </c>
      <c r="HS13" t="str">
        <f t="shared" si="107"/>
        <v/>
      </c>
      <c r="HT13" t="str">
        <f t="shared" si="108"/>
        <v>QF11</v>
      </c>
      <c r="HU13">
        <f t="shared" si="109"/>
        <v>0</v>
      </c>
      <c r="HV13">
        <f t="shared" si="110"/>
        <v>0</v>
      </c>
      <c r="HW13" t="str">
        <f t="shared" si="111"/>
        <v/>
      </c>
      <c r="HX13" t="str">
        <f t="shared" si="112"/>
        <v/>
      </c>
      <c r="HY13" t="str">
        <f t="shared" si="113"/>
        <v/>
      </c>
      <c r="HZ13" t="str">
        <f t="shared" si="114"/>
        <v/>
      </c>
      <c r="IA13">
        <f>IF(B13="","",IFERROR(VLOOKUP(B13,УГО_спр,2,FALSE),IFERROR(VLOOKUP(AX13,УГО_спр,2,FALSE),IFERROR(VLOOKUP(LEFT(AX13,2),УГО_спр,2,FALSE),""))))</f>
        <v>0</v>
      </c>
      <c r="IB13" t="str">
        <f>IF(B13="","",IF(OR(IA13="",IA13=0),"BOX",IFERROR(IF(VLOOKUP(IA13,УГО_блоки,3,FALSE)&amp;""&lt;&gt;"",VLOOKUP(IA13,УГО_блоки,3,FALSE),VLOOKUP(IA13,УГО_блоки,2,FALSE)),IA13)))</f>
        <v>BOX</v>
      </c>
      <c r="IC13">
        <f t="shared" si="115"/>
        <v>1</v>
      </c>
      <c r="ID13">
        <f>IF(DA13="","",IF(COUNTIF(DA$3:DA13,DA13)=1,MAX(ID$2:ID12)+1,""))</f>
        <v>8</v>
      </c>
      <c r="IE13" t="str">
        <f>IF(CO13="","",IF(COUNTIF(CO$3:CO13,CO13)+COUNTIF(CP$2:CP12,CO13)+COUNTIF(CQ$2:CQ12,CO13)=1,MAX(IE$2:IG12)+1,""))</f>
        <v/>
      </c>
      <c r="IF13" t="str">
        <f>IF(CP13="","",IF(COUNTIF(CO$3:CO13,CP13)+COUNTIF(CP$3:CP13,CP13)+COUNTIF(CQ$2:CQ12,CP13)=1,MAX(IE$2:IG12,IE13)+1,""))</f>
        <v/>
      </c>
      <c r="IG13" t="str">
        <f>IF(CQ13="","",IF(COUNTIF(CO$3:CO13,CQ13)+COUNTIF(CP$3:CP13,CQ13)+COUNTIF(CQ$3:CQ13,CQ13)=1,MAX(IE$2:IG12,IE13,IF13)+1,""))</f>
        <v/>
      </c>
      <c r="IH13" t="str">
        <f t="shared" si="116"/>
        <v>5х10</v>
      </c>
      <c r="II13">
        <f>IF(IH13="","",IF(COUNTIF(IH$3:IH13,IH13)=1,MAX(II$2:II12)+1,""))</f>
        <v>5</v>
      </c>
      <c r="IJ13" t="str">
        <f>IF(GL13="","",COUNTIF(GL$3:GL13,"?*"))</f>
        <v/>
      </c>
      <c r="IK13" t="str">
        <f>IF(OR(GL13="",GN13=""),"",IF(COUNTIFS(GL$3:GL13,"?*",GN$3:GN13,GN13)=1,MAX(IK$2:IK12)+1,""))</f>
        <v/>
      </c>
      <c r="IL13">
        <f t="shared" si="117"/>
        <v>0</v>
      </c>
      <c r="IM13">
        <f>IF(B13="","",COUNTIF(B$3:B13,"?*"))</f>
        <v>11</v>
      </c>
      <c r="IN13">
        <f>IF(GQ13&lt;&gt;1,0,_xlfn.LET(_xlpm.k,MAX(IFERROR(--VLOOKUP(B13,УГО_спр,5,FALSE),0),IFERROR(--VLOOKUP(AX13,УГО_спр,5,FALSE),0),IFERROR(--VLOOKUP(LEFT(AX13,2),УГО_спр,5,FALSE),0)),IF(_xlpm.k&gt;0,_xlpm.k,IF(IFERROR(--LEFT(SUBSTITUTE(IH13,"x","х"),FIND("х",SUBSTITUTE(IH13,"x","х"))-1),3)&gt;3,Каталог!$S$9,1))))</f>
        <v>1</v>
      </c>
      <c r="IO13">
        <f t="shared" si="118"/>
        <v>2</v>
      </c>
      <c r="IP13" t="str">
        <f t="shared" si="119"/>
        <v>авто</v>
      </c>
      <c r="IQ13" t="str">
        <f t="shared" si="120"/>
        <v/>
      </c>
      <c r="IR13">
        <f t="shared" si="121"/>
        <v>0</v>
      </c>
      <c r="IS13">
        <f t="shared" si="122"/>
        <v>1</v>
      </c>
    </row>
    <row r="14" spans="1:253" x14ac:dyDescent="0.3">
      <c r="A14" t="s">
        <v>785</v>
      </c>
      <c r="B14" t="s">
        <v>759</v>
      </c>
      <c r="C14" t="s">
        <v>758</v>
      </c>
      <c r="D14">
        <v>1</v>
      </c>
      <c r="E14">
        <v>34.840000000000003</v>
      </c>
      <c r="G14">
        <v>63</v>
      </c>
      <c r="H14" t="str">
        <f>Линии[[#This Row],[_авто утечка]]</f>
        <v/>
      </c>
      <c r="I14" t="str">
        <f>Линии[[#This Row],[_авто управление]]</f>
        <v/>
      </c>
      <c r="J14" t="str">
        <f>Линии[[#This Row],[_авто аппараты]]</f>
        <v/>
      </c>
      <c r="K14">
        <v>16</v>
      </c>
      <c r="L14">
        <v>65</v>
      </c>
      <c r="M14" t="str">
        <f>Линии[[#This Row],[_авто фаза]]</f>
        <v>L1,L2,L3</v>
      </c>
      <c r="N14" t="s">
        <v>486</v>
      </c>
      <c r="O14" t="str">
        <f t="shared" si="0"/>
        <v/>
      </c>
      <c r="P14" s="6" cm="1">
        <f t="array" ref="P14">IF(B14="","",IF(BC14&lt;&gt;"",IFERROR(_xlfn.XLOOKUP(BC14,Щиты[Щит],Щиты[Iр, А]),""),IF(BK14=1,IFERROR(_xlfn.XLOOKUP(A14,Щиты[Щит],Щиты[Iр, А]),""),IFERROR(_xlfn.IFS(BR14=1,BN14/((Uн_лин/SQRT(3))*BY14),BR14=3,BN14/(SQRT(3)*Uн_лин*BY14)),""))))</f>
        <v>30.958664828377682</v>
      </c>
      <c r="Q14" s="7">
        <f>IF(B14="","",IFERROR(IF(VLOOKUP(AX14,Потребители_обозначение,4,FALSE)=1,VLOOKUP(AX14,Потребители_обозначение,3,FALSE)*(D14*2-1)+DS14+VLOOKUP(AZ14,Этаж_обозначение,3,FALSE)+VLOOKUP(AZ14,Этаж_обозначение,4,FALSE),VLOOKUP(AX14,Потребители_обозначение,3,FALSE)*(D14*2-1)+DS14),DS14))</f>
        <v>65</v>
      </c>
      <c r="R14" s="6">
        <f t="shared" si="1"/>
        <v>1.19</v>
      </c>
      <c r="S14" t="str">
        <f t="shared" si="2"/>
        <v>ВВГнг(А)-LS (5х16)</v>
      </c>
      <c r="T14" t="str">
        <f>IF(BH14="","",IF(BI14="вводной узел","узел ","")&amp;"л."&amp;(INT((BH14-1)/Столбцов_на_лист)+1)&amp;" / "&amp;(MOD(BH14-1,Столбцов_на_лист)+1))</f>
        <v>л.3 / 8</v>
      </c>
      <c r="V14">
        <v>3</v>
      </c>
      <c r="W14">
        <v>400</v>
      </c>
      <c r="X14" t="s">
        <v>564</v>
      </c>
      <c r="AA14">
        <v>2</v>
      </c>
      <c r="AC14" t="s">
        <v>815</v>
      </c>
      <c r="AE14" t="s">
        <v>619</v>
      </c>
      <c r="AI14">
        <v>42</v>
      </c>
      <c r="AJ14" t="s">
        <v>11</v>
      </c>
      <c r="AK14">
        <v>5</v>
      </c>
      <c r="AM14">
        <v>51</v>
      </c>
      <c r="AN14">
        <v>9</v>
      </c>
      <c r="AO14">
        <v>0</v>
      </c>
      <c r="AW14" cm="1">
        <f t="array" ref="AW14">ROW()-ROW(Линии[#Headers])</f>
        <v>12</v>
      </c>
      <c r="AX14" s="6" t="str">
        <f t="shared" si="3"/>
        <v>ЩР-1</v>
      </c>
      <c r="AY14" t="str">
        <f t="shared" si="4"/>
        <v/>
      </c>
      <c r="AZ14" t="str">
        <f t="shared" si="5"/>
        <v/>
      </c>
      <c r="BA14" t="str">
        <f t="shared" si="6"/>
        <v/>
      </c>
      <c r="BB14" t="str">
        <f t="shared" si="7"/>
        <v/>
      </c>
      <c r="BC14" t="str">
        <f>IF(U14&lt;&gt;"",U14,IF(AND(B14&lt;&gt;"",B14&lt;&gt;A14,ISNUMBER(_xlfn.XMATCH(B14,Щиты[Щит]))),B14,""))</f>
        <v>ЩР-1</v>
      </c>
      <c r="BD14" t="str" cm="1">
        <f t="array" ref="BD14">IF(B14="","",IF(BC14&lt;&gt;"","Щит "&amp;BC14,_xlfn.LET(_xlpm.nm,IFERROR(_xlfn.XLOOKUP(AX14,Коды_код,Коды_имя)&amp;"",""),_xlpm.md,IFERROR(N(_xlfn.XLOOKUP(AX14,Коды_код,Коды_режим)),1),_xlpm.ex,IF(Имя_режим="по экспликации",IFERROR(_xlfn.XLOOKUP(AZ14&amp;"|"&amp;BB14,Экспликация[Этаж]&amp;"|"&amp;Экспликация[Помещение],Экспликация[Название])&amp;"",""),""),_xlpm.rm,IF(BB14="","",IF(_xlpm.ex&lt;&gt;"",". "&amp;_xlpm.ex&amp;IF(Имя_пом="нет"," ("&amp;BB14&amp;")"," (пом. "&amp;BB14&amp;")"),IF(Имя_пом="нет"," ",", пом. ")&amp;BB14)),IF(_xlpm.nm="","",IF(_xlpm.md=2,_xlpm.nm&amp;" шлейф "&amp;AZ14,_xlpm.nm&amp;_xlpm.rm)))))</f>
        <v>Щит ЩР-1</v>
      </c>
      <c r="BE14" t="str">
        <f t="shared" si="8"/>
        <v>Щит распределительный ЩР-1 Первый этаж этаж Пом. №1.003Б</v>
      </c>
      <c r="BF14">
        <f>IFERROR(_xlfn.XMATCH(A14,Щиты[Щит]),0)</f>
        <v>1</v>
      </c>
      <c r="BG14">
        <f>_xlfn.LET(_xlpm.k,IFERROR(_xlfn.XLOOKUP(A14,Щиты[Щит],Щиты[Листов под вводной узел]),""),IF(_xlpm.k="",1,N(_xlpm.k))*Столбцов_на_лист)</f>
        <v>17</v>
      </c>
      <c r="BH14">
        <f t="shared" si="9"/>
        <v>42</v>
      </c>
      <c r="BI14" t="str">
        <f t="shared" si="10"/>
        <v>линии</v>
      </c>
      <c r="BJ14" s="6">
        <f>IFERROR(N(_xlfn.XLOOKUP(AX14,Коды_код,Коды_квт)),0)</f>
        <v>0</v>
      </c>
      <c r="BK14">
        <f t="shared" si="11"/>
        <v>0</v>
      </c>
      <c r="BL14">
        <f>IF(B14="","",IF(BC14&lt;&gt;"",IFERROR(_xlfn.XLOOKUP(BC14,Щиты[Щит],Щиты[Руст, кВт]),0),IF(BK14=1,IFERROR(_xlfn.XLOOKUP(A14,Щиты[Щит],Щиты[Руст, кВт]),0),IF(BJ14&gt;0,ROUND(BJ14*MAX(1,N(D14)),3),""))))</f>
        <v>34.840000000000003</v>
      </c>
      <c r="BM14">
        <f t="shared" si="12"/>
        <v>34.840000000000003</v>
      </c>
      <c r="BN14" s="6">
        <f>IF(B14="","",IF(BC14&lt;&gt;"",IFERROR(_xlfn.XLOOKUP(BC14,Щиты[Щит],Щиты[Руст, кВт]),0),N(BM14)))</f>
        <v>34.840000000000003</v>
      </c>
      <c r="BO14" t="str">
        <f>IF(B14="","",IFERROR(IF(VLOOKUP(AX14,Потребители_обозначение,8,FALSE)=0,"",VLOOKUP(AX14,Потребители_обозначение,8,FALSE)),""))</f>
        <v/>
      </c>
      <c r="BP14">
        <f t="shared" si="13"/>
        <v>400</v>
      </c>
      <c r="BQ14">
        <f>IF(B14="","",IF(BC14&lt;&gt;"",3,IFERROR(IF(N(VLOOKUP(AX14,Потребители_обозначение,9,FALSE))=0,1,VLOOKUP(AX14,Потребители_обозначение,9,FALSE)),1)))</f>
        <v>3</v>
      </c>
      <c r="BR14">
        <f t="shared" si="14"/>
        <v>3</v>
      </c>
      <c r="BS14" t="str">
        <f>IF(B14="","",_xlfn.LET(_xlpm.bc,IFERROR(IF(VLOOKUP(AX14,Потребители_обозначение,6,FALSE)=0,"",VLOOKUP(AX14,Потребители_обозначение,6,FALSE)&amp;""),""),IF(AND(FK14="да",OR(_xlpm.bc="",_xlpm.bc="мс")),Марка_пож,IF(AND(_xlpm.bc="",BC14&lt;&gt;""),"мс",_xlpm.bc))))</f>
        <v>мс</v>
      </c>
      <c r="BT14" t="str">
        <f t="shared" si="15"/>
        <v>мс</v>
      </c>
      <c r="BU14">
        <f>IF(B14="","",_xlfn.LET(_xlpm.cc,IFERROR(N(VLOOKUP(AX14,Потребители_обозначение,7,FALSE)),0),IF(_xlpm.cc&gt;0,_xlpm.cc,IF(BT14="","",IF(N(BR14)=3,5,3)))))</f>
        <v>5</v>
      </c>
      <c r="BV14">
        <f t="shared" si="16"/>
        <v>5</v>
      </c>
      <c r="BW14">
        <f>IFERROR(N(VLOOKUP(AX14,Потребители_обозначение,10,FALSE)),0)</f>
        <v>0</v>
      </c>
      <c r="BX14">
        <f>IFERROR(VLOOKUP(AX14,Потребители_обозначение,5,FALSE),0)</f>
        <v>0</v>
      </c>
      <c r="BY14" s="6" cm="1">
        <f t="array" ref="BY14">IF(B14="","",IF(BC14&lt;&gt;"",IFERROR(_xlfn.XLOOKUP(BC14,Щиты[Щит],Щиты[cos φ]),0.95),IF(BK14=1,IFERROR(_xlfn.XLOOKUP(A14,Щиты[Щит],Щиты[cos φ]),0.95),IF(ISNUMBER(Z14),Z14,IFERROR(IF(BX14=2,_xlfn.IFS(BR14=3,VLOOKUP(BN14,Справочная_двигатели,8,FALSE),BR14=1,VLOOKUP(BN14,Справочная_двигатели,10,TRUE)),IF(AND(Методика="нормы 2026",EQ14="Сил"),0.8,0.95)),0.95)))))</f>
        <v>0.94999999999999984</v>
      </c>
      <c r="BZ14">
        <f t="shared" si="17"/>
        <v>0</v>
      </c>
      <c r="CA14">
        <f t="shared" si="18"/>
        <v>1</v>
      </c>
      <c r="CB14">
        <f t="shared" si="19"/>
        <v>0</v>
      </c>
      <c r="CC14">
        <f t="shared" si="20"/>
        <v>0</v>
      </c>
      <c r="CD14">
        <f t="shared" si="21"/>
        <v>0</v>
      </c>
      <c r="CE14">
        <f t="shared" si="22"/>
        <v>0</v>
      </c>
      <c r="CF14">
        <f t="shared" si="23"/>
        <v>0</v>
      </c>
      <c r="CG14">
        <f>IF(AX14="",0,_xlfn.LET(_xlpm.v,IFERROR(VLOOKUP(B14,УГО_спр,3,FALSE),IFERROR(VLOOKUP(AX14,УГО_спр,3,FALSE),IFERROR(VLOOKUP(LEFT(AX14,2),УГО_спр,3,FALSE),""))),IF(_xlpm.v="да",30,IF(ISNUMBER(_xlpm.v),_xlpm.v,0))))</f>
        <v>0</v>
      </c>
      <c r="CH14" t="str">
        <f t="shared" si="24"/>
        <v/>
      </c>
      <c r="CI14" t="str">
        <f>_xlfn.LET(_xlpm.k,IFERROR(_xlfn.XLOOKUP(AX14,Коды_код,Коды_утечка)&amp;"",""),IF(_xlpm.k="","дифавтомат",_xlpm.k))</f>
        <v>дифавтомат</v>
      </c>
      <c r="CJ14">
        <f t="shared" si="25"/>
        <v>0</v>
      </c>
      <c r="CK14">
        <f t="shared" si="26"/>
        <v>0</v>
      </c>
      <c r="CL14">
        <f>IF(B14="",0,IFERROR(--VLOOKUP(B14,УГО_спр,4,FALSE),IFERROR(--VLOOKUP(AX14,УГО_спр,4,FALSE),IFERROR(--VLOOKUP(LEFT(AX14,2),УГО_спр,4,FALSE),0))))</f>
        <v>0</v>
      </c>
      <c r="CM14" t="str">
        <f>IF(B14="","",IFERROR(_xlfn.XLOOKUP(AX14,Коды_код,Коды_апп)&amp;"",""))</f>
        <v/>
      </c>
      <c r="CN14" t="str">
        <f t="shared" si="27"/>
        <v/>
      </c>
      <c r="CO14" t="str" cm="1">
        <f t="array" ref="CO14">IF(TRIM(CN14&amp;"")="","",IFERROR(TRIM(INDEX(_xlfn.TEXTSPLIT(CN14&amp;";;;",";"),1)),""))</f>
        <v/>
      </c>
      <c r="CP14" t="str" cm="1">
        <f t="array" ref="CP14">IF(TRIM(CN14&amp;"")="","",IFERROR(TRIM(INDEX(_xlfn.TEXTSPLIT(CN14&amp;";;;",";"),2)),""))</f>
        <v/>
      </c>
      <c r="CQ14" t="str" cm="1">
        <f t="array" ref="CQ14">IF(TRIM(CN14&amp;"")="","",IFERROR(TRIM(INDEX(_xlfn.TEXTSPLIT(CN14&amp;";;;",";"),3)),""))</f>
        <v/>
      </c>
      <c r="CR14">
        <f t="shared" si="28"/>
        <v>0</v>
      </c>
      <c r="CS14" t="str">
        <f>IF(B14="","",_xlfn.LET(_xlpm.t,LOWER(AV14&amp;""),IF(ISNUMBER(SEARCH("dim",_xlpm.t)),"DIM",IF(ISNUMBER(SEARCH("dali",_xlpm.t)),"DALI",IF(OR(ISNUMBER(SEARCH("relay",_xlpm.t)),ISNUMBER(SEARCH("реле",_xlpm.t))),"Relay",IF(ISNUMBER(SEARCH("кнопк",_xlpm.t)),"",IFERROR(_xlfn.XLOOKUP(AX14,Коды_код,Коды_упр)&amp;"","")))))))</f>
        <v/>
      </c>
      <c r="CT14" t="str">
        <f t="shared" si="29"/>
        <v/>
      </c>
      <c r="CU14">
        <f>IF(B14="","",_xlfn.LET(_xlpm.ig,N(P14)+IF(AF14="вручную",0,N(CB14)),_xlpm.n0,IFERROR(VLOOKUP(_xlpm.ig,Автомат_номиналы,2,TRUE),0),_xlpm.mn,MAX(CL14,IF(AF14="вручную",0,N(CE14))),MAX(_xlpm.n0,_xlpm.mn,IF(CR14=1,Мин_автомат_БП,0))))</f>
        <v>40</v>
      </c>
      <c r="CV14">
        <f t="shared" si="30"/>
        <v>3</v>
      </c>
      <c r="CW14" t="str">
        <f t="shared" si="31"/>
        <v>3P</v>
      </c>
      <c r="CX14" t="str">
        <f>_xlfn.LET(_xlpm.cc,UPPER(TRIM(IFERROR(_xlfn.XLOOKUP(AX14,Коды_код,Коды_хар)&amp;"",""))),IF(OR(_xlpm.cc="B",_xlpm.cc="В"),"B",IF(_xlpm.cc="D","D","С")))</f>
        <v>С</v>
      </c>
      <c r="CY14" t="str">
        <f t="shared" si="32"/>
        <v>3P С40А</v>
      </c>
      <c r="CZ14">
        <f t="shared" si="33"/>
        <v>63</v>
      </c>
      <c r="DA14" t="str">
        <f t="shared" si="34"/>
        <v>3P С63А</v>
      </c>
      <c r="DB14" cm="1">
        <f t="array" ref="DB14">IF(DA14="","",_xlfn.LET(_xlpm.t,SUBSTITUTE(SUBSTITUTE(SUBSTITUTE(UPPER(DA14),"С","C"),"А","A"),"В","B"),_xlpm.tk,_xlfn.TEXTSPLIT(_xlpm.t,"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14" t="str">
        <f t="shared" si="35"/>
        <v>ok</v>
      </c>
      <c r="DD14">
        <f t="shared" si="36"/>
        <v>63</v>
      </c>
      <c r="DE14" t="str">
        <f t="shared" si="37"/>
        <v>3P С63А</v>
      </c>
      <c r="DF14">
        <f t="shared" si="38"/>
        <v>0</v>
      </c>
      <c r="DG14">
        <f t="shared" si="39"/>
        <v>0</v>
      </c>
      <c r="DH14">
        <f t="shared" si="40"/>
        <v>0</v>
      </c>
      <c r="DI14">
        <f t="shared" si="41"/>
        <v>30.958664828377682</v>
      </c>
      <c r="DJ14">
        <f t="shared" si="42"/>
        <v>0.92</v>
      </c>
      <c r="DK14">
        <f>IF(ISNUMBER(AL14),AL14,К_прокл)</f>
        <v>1</v>
      </c>
      <c r="DL14">
        <f t="shared" si="43"/>
        <v>3</v>
      </c>
      <c r="DM14">
        <f>IFERROR(N(VLOOKUP(BT14,Кабель_обозначение,3,FALSE)),1)</f>
        <v>1</v>
      </c>
      <c r="DN14">
        <f>IFERROR(N(_xlfn.XLOOKUP(A14,Щиты[Щит],Щиты[ΔU до шин, %])),0)</f>
        <v>0</v>
      </c>
      <c r="DO14" t="str">
        <f>IFERROR(_xlfn.XLOOKUP(A14,Щиты[Щит],Щиты[Zпетли на шинах, Ом]),"")</f>
        <v/>
      </c>
      <c r="DP14">
        <f>IFERROR(N(_xlfn.XLOOKUP(A14,Щиты[Щит],Щиты[ΔU до шин (подбор), %])),0)</f>
        <v>0</v>
      </c>
      <c r="DQ14" t="str">
        <f>IFERROR(_xlfn.XLOOKUP(A14,Щиты[Щит],Щиты[Zпетли на шинах (подбор), Ом]),"")</f>
        <v/>
      </c>
      <c r="DR14" t="str">
        <f t="shared" si="44"/>
        <v/>
      </c>
      <c r="DS14">
        <f t="shared" si="45"/>
        <v>65</v>
      </c>
      <c r="DT14">
        <f t="shared" si="46"/>
        <v>1</v>
      </c>
      <c r="DU14">
        <f t="shared" si="47"/>
        <v>0.31</v>
      </c>
      <c r="DV14" s="6">
        <f>IF(B14="","",IF(IFERROR(VLOOKUP(AX14,УГО_спр,2,FALSE),"")="Светильник",3,4)+IF(Методика="нормы 2026",MIN(0.5,MAX(0,N(Q14)-100)*0.005),0))</f>
        <v>4</v>
      </c>
      <c r="DW14" cm="1">
        <f t="array" ref="DW14">IF(OR(B14="",BT14="",DM14&lt;&gt;1),"",_xlfn.LET(_xlpm.sz,Iдоп_S,_xlpm.t_,CHOOSE(DL14,Iдоп_1ж,Iдоп_2ж,Iдоп_3ж)*DJ14*DK14,_xlpm.inn,N(DD14),_xlpm.smin,MAX(1.5,BW14),_xlpm.L_,N(Q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14)*(_xlpm.rho*_xlpm.L_/_xlpm.sz*N(BY14)+_xlpm.xx*_xlpm.L_*N(DU14)/1000)*N(P14)/((Uн_лин/SQRT(3))*1000)*100,999),_xlpm.kz,IF(OR(DG14=1,NOT(ISNUMBER(DQ14)),_xlpm.L_=0,_xlpm.inn=0),1,IFERROR(--(c_min*(Uн_лин*1000/SQRT(3))/(DQ14+2*ρкз_Cu*_xlpm.L_/_xlpm.sz)&gt;=GY14*_xlpm.inn),0)),_xlpm.ok,IFERROR((_xlpm.sz&gt;=_xlpm.smin)*(_xlpm.t_&gt;=_xlpm.inn)*IF(_xlpm.L_&gt;0,(_xlpm.du_+DP14&lt;=DV14+0.00001),1)*_xlpm.kz,0),_xlpm.r_,_xlfn._xlws.FILTER(_xlpm.sz,_xlpm.ok,"не подобрано"),INDEX(_xlpm.r_,1)))</f>
        <v>16</v>
      </c>
      <c r="DX14">
        <f t="shared" si="48"/>
        <v>16</v>
      </c>
      <c r="DY14" cm="1">
        <f t="array" ref="DY14">IF(OR(B14="",BT14="",DM14&lt;&gt;1),"",_xlfn.LET(_xlpm.sz,Iдоп_S,_xlpm.t_,CHOOSE(DL14,Iдоп_1ж,Iдоп_2ж,Iдоп_3ж)*DJ14*DK14,_xlpm.ok,IFERROR((_xlpm.sz&gt;=MAX(1.5,BW14))*(_xlpm.t_&gt;=N(DD14)),0),_xlpm.r_,_xlfn._xlws.FILTER(_xlpm.sz,_xlpm.ok,""),INDEX(_xlpm.r_,1)))</f>
        <v>16</v>
      </c>
      <c r="DZ14" s="6" cm="1">
        <f t="array" ref="DZ14">IFERROR(ROUNDUP(N(DT14)*(_xlfn.XLOOKUP(DY14,INDEX(Кабель_сопротивление,0,1),INDEX(Кабель_сопротивление,0,3))*N(Q14)/DY14*N(BY14)+_xlfn.XLOOKUP(DY14,INDEX(Кабель_сопротивление,0,1),INDEX(Кабель_сопротивление,0,2))*N(Q14)*N(DU14)/1000)*N(P14)/((Uн_лин/SQRT(3))*1000)*100,2),"")</f>
        <v>1.19</v>
      </c>
      <c r="EA14">
        <f>IFERROR(2*ρкз_Cu*N(Q14)/DY14,"")</f>
        <v>0.2136875</v>
      </c>
      <c r="EB14">
        <f>IFERROR(VLOOKUP(DX14,Кабель_сопротивление,3,FALSE),"")</f>
        <v>2.2499999999999999E-2</v>
      </c>
      <c r="EC14">
        <f>IFERROR(VLOOKUP(DX14,Кабель_сопротивление,2,FALSE),"")</f>
        <v>6.7500000000000004E-2</v>
      </c>
      <c r="ED14">
        <f t="shared" si="49"/>
        <v>9</v>
      </c>
      <c r="EE14">
        <f t="shared" si="50"/>
        <v>0</v>
      </c>
      <c r="EF14">
        <f t="shared" si="51"/>
        <v>2.7304323381201492</v>
      </c>
      <c r="EG14" s="6">
        <f>IFERROR(ROUNDUP(EF14/((Uн_лин/SQRT(3))*1000)*100,2),"")</f>
        <v>1.19</v>
      </c>
      <c r="EH14" t="str">
        <f>IFERROR(VLOOKUP(BT14,Кабель_обозначение,2,FALSE),"")</f>
        <v>ВВГнг(А)-LS</v>
      </c>
      <c r="EI14" t="str">
        <f t="shared" si="52"/>
        <v>ВВГнг(А)-LS (5х16)</v>
      </c>
      <c r="EJ14" t="str">
        <f t="shared" si="53"/>
        <v>ВВГнг(А)-LS (5х16)
L=65-1,19%</v>
      </c>
      <c r="EK14">
        <f>IFERROR(2*ρкз_Cu*Q14/DX14,"")</f>
        <v>0.2136875</v>
      </c>
      <c r="EL14">
        <f t="shared" si="54"/>
        <v>7.1093750000000011E-2</v>
      </c>
      <c r="EM14" s="6" t="str">
        <f>IFERROR(IF(OR(B14="",NOT(ISNUMBER(DX14)),N(Q14)=0),"",_xlfn.XLOOKUP(A14,Щиты[Щит],Щиты[Zпетли на шинах, Ом])+EK14),"")</f>
        <v/>
      </c>
      <c r="EN14" s="6" t="str">
        <f>IF(ISNUMBER(EM14),c_min*(Uн_лин*1000/SQRT(3))/EM14,"")</f>
        <v/>
      </c>
      <c r="EO14" s="6" t="str">
        <f>IFERROR(IF(OR(B14="",NOT(ISNUMBER(DX14))),"",1.05*(Uн_лин*1000/SQRT(3))/(_xlfn.XLOOKUP(A14,Щиты[Щит],Щиты[Zmax на шинах, Ом])+EL14)/1000),"")</f>
        <v/>
      </c>
      <c r="EP14" s="6" t="str">
        <f>IF(B14="","",IF(ISNUMBER(Y14),"Сил",IF(IFERROR(_xlfn.XLOOKUP(AX14,Коды_код,Коды_группа)&amp;"","")="","Быт",_xlfn.XLOOKUP(AX14,Коды_код,Коды_группа)&amp;"")))</f>
        <v>Быт</v>
      </c>
      <c r="EQ14" s="6" t="str">
        <f t="shared" si="55"/>
        <v>Щит</v>
      </c>
      <c r="ER14" s="6" t="str">
        <f>IF(EQ14="Щит","щит",IF(EQ14="","",IF(EQ14="Быт",IFERROR(_xlfn.XLOOKUP(A14,Щиты[Щит],Щиты[Кс быт]),1),IF(EQ14="Сил",IF(ISNUMBER(Y14),Y14,IF(Методика="нормы 2026",IFERROR(_xlfn.XLOOKUP(A14,Щиты[Щит],Щиты[Кс силовых (табл. 7.5)]),1),1)),IF(OR(EQ14="Пост",EQ14="Отоп"),1,IF(EQ14="ВНГ",0.7,0))))))</f>
        <v>щит</v>
      </c>
      <c r="ES14">
        <f t="shared" si="56"/>
        <v>2</v>
      </c>
      <c r="ET14">
        <f t="shared" si="57"/>
        <v>0</v>
      </c>
      <c r="EU14">
        <f t="shared" si="58"/>
        <v>0</v>
      </c>
      <c r="EV14">
        <f t="shared" si="59"/>
        <v>0</v>
      </c>
      <c r="EW14">
        <f t="shared" si="60"/>
        <v>0</v>
      </c>
      <c r="EX14">
        <f t="shared" si="61"/>
        <v>0</v>
      </c>
      <c r="EY14">
        <f t="shared" si="62"/>
        <v>0</v>
      </c>
      <c r="EZ14">
        <f t="shared" si="63"/>
        <v>0</v>
      </c>
      <c r="FA14">
        <f t="shared" si="64"/>
        <v>0</v>
      </c>
      <c r="FB14">
        <f t="shared" si="65"/>
        <v>34.840000000000003</v>
      </c>
      <c r="FC14" t="str">
        <f t="shared" si="66"/>
        <v/>
      </c>
      <c r="FD14" t="str">
        <f>IF(B14="","",IF(CA14=0,IF(AW14=1,"",FF13),IF(OR(N(CV14)&gt;=3,N(BR14)&gt;=3),"L1,L2,L3",IFERROR(_xlfn.TEXTBEFORE(_xlfn.TEXTAFTER(_xlfn.XLOOKUP(A14,Щиты[Щит],Щиты[_фазы авто]),";"&amp;AW14&amp;":"),";"),"L1"))))</f>
        <v>L1,L2,L3</v>
      </c>
      <c r="FE14" t="str">
        <f t="shared" si="67"/>
        <v>L1,L2,L3</v>
      </c>
      <c r="FF14" t="str">
        <f t="shared" si="68"/>
        <v>L1,L2,L3</v>
      </c>
      <c r="FG14" cm="1">
        <f t="array" ref="FG14">IFERROR(IF(BX14=2,_xlfn.IFS(BR14=3,VLOOKUP(BN14,Справочная_двигатели,3,FALSE),BR14=1,VLOOKUP(BN14,Справочная_двигатели,5,TRUE)),0),0)</f>
        <v>0</v>
      </c>
      <c r="FH14">
        <f>IFERROR(IF(BX14=3,VLOOKUP(BN14,Справочная_ЛЭД,2,TRUE),0),0)</f>
        <v>0</v>
      </c>
      <c r="FI14" s="6">
        <f t="shared" si="69"/>
        <v>0</v>
      </c>
      <c r="FJ14" t="str" cm="1">
        <f t="array" ref="FJ14">IF(B14="","",IFERROR(INDEX({"I особая","I","II","III"},MATCH(TRIM(AC14&amp;""),{"I особая","I","II","III"},0)),"III"))</f>
        <v>II</v>
      </c>
      <c r="FK14" t="str">
        <f>IF(B14="","",IF(TRIM(AD14&amp;"")&lt;&gt;"",IF(LOWER(TRIM(AD14&amp;""))="да","да","нет"),IF(IFERROR(_xlfn.XLOOKUP(AX14,Коды_код,Коды_пожарная),"")="да","да","нет")))</f>
        <v>нет</v>
      </c>
      <c r="FL14" t="str">
        <f t="shared" si="70"/>
        <v/>
      </c>
      <c r="FM14" t="str">
        <f t="shared" si="71"/>
        <v>основная</v>
      </c>
      <c r="FN14">
        <f t="shared" si="72"/>
        <v>2</v>
      </c>
      <c r="FO14" t="str" cm="1">
        <f t="array" ref="FO14">IF(B14="","",_xlfn.LET(_xlpm.t,IFERROR(_xlfn.XLOOKUP(1,(Шины[Шина]=FM14)*(((Шины[Щит]=A14)+(Шины[Щит]=""))&gt;0),Шины[Тип]),"")&amp;"",IF(_xlpm.t&lt;&gt;"",_xlpm.t,IF(ISNUMBER(SEARCH("ИБП",FM14)),"ИБП",IF(ISNUMBER(SEARCH("ДГУ",FM14)),"ДГУ","Ввод "&amp;FN14)))))</f>
        <v>Ввод 2</v>
      </c>
      <c r="FP14" t="str">
        <f t="shared" si="73"/>
        <v>Ввод 2</v>
      </c>
      <c r="FQ14" t="str">
        <f>IF(B14="","",IF(OR(FO14="ИБП",FO14="ДГУ"),"I особая",IF(FO14="Одиночная","III",_xlfn.XLOOKUP(A14,Щиты[Щит],Щиты[Категория шины «Ввод»],"III"))))</f>
        <v>I</v>
      </c>
      <c r="FR14">
        <f>IF(B14="",0,IFERROR(MATCH(FJ14,{"III","II","I","I особая"},0),1))</f>
        <v>2</v>
      </c>
      <c r="FS14">
        <f t="shared" si="74"/>
        <v>2</v>
      </c>
      <c r="FT14" t="str">
        <f>IF(B14="","",IF(FR14&gt;IFERROR(MATCH(FQ14,{"III","II","I","I особая"},0),1),"НЕ ОБЕСПЕЧЕНА","ОК"))</f>
        <v>ОК</v>
      </c>
      <c r="FU14" t="str">
        <f>IF(A14="","",_xlfn.XLOOKUP(A14,Щиты[Щит],Щиты[Путь],""))</f>
        <v>|ГРЩ-ЖД|</v>
      </c>
      <c r="FV14" t="str">
        <f>IF(B14="","",IF(AE14&lt;&gt;"",AE14,IF(IFERROR(_xlfn.XLOOKUP(AX14,Коды_код,Коды_вид)&amp;"","")="","Прочее",_xlfn.XLOOKUP(AX14,Коды_код,Коды_вид)&amp;"")))</f>
        <v>Распределительные щиты жилой части</v>
      </c>
      <c r="FW14">
        <f>IF(BH14="","",INT((BH14-1)/Столбцов_на_лист)+1)</f>
        <v>3</v>
      </c>
      <c r="FX14" t="str">
        <f t="shared" si="75"/>
        <v>ВВГнг(А)-LS (5х16) L=65-1,19%</v>
      </c>
      <c r="FY14">
        <f t="shared" si="76"/>
        <v>34.840000000000003</v>
      </c>
      <c r="FZ14">
        <f t="shared" si="77"/>
        <v>30.96</v>
      </c>
      <c r="GA14">
        <f t="shared" si="78"/>
        <v>3</v>
      </c>
      <c r="GB14">
        <f t="shared" si="79"/>
        <v>0</v>
      </c>
      <c r="GC14">
        <f t="shared" si="80"/>
        <v>1</v>
      </c>
      <c r="GD14">
        <f>IF(BH14="","",IF(AND(CA14=1,GC14=1),COUNTIFS(A$3:A14,A14,CA$3:CA14,1,GC$3:GC14,1),IF(OR(OR(AW14=1,A14&lt;&gt;A13),AF14="вручную",GC14=0),"",IF(AW14=1,"",GE13))))</f>
        <v>12</v>
      </c>
      <c r="GE14">
        <f t="shared" si="81"/>
        <v>12</v>
      </c>
      <c r="GF14">
        <f>IF(B14="","",IFERROR(LOOKUP(INDEX(CHOOSE(DL14,Iдоп_1ж,Iдоп_2ж,Iдоп_3ж),MATCH(DX14,Iдоп_S,0))*DJ14*DK14,{6,10,16,20,25,32,40,50,63,80,100,125,160,200,250,315,400,500,630}),""))</f>
        <v>63</v>
      </c>
      <c r="GG14" t="str">
        <f t="shared" si="82"/>
        <v>QF12</v>
      </c>
      <c r="GH14" t="str">
        <f t="shared" si="83"/>
        <v>QF12</v>
      </c>
      <c r="GI14" t="str">
        <f t="shared" si="84"/>
        <v/>
      </c>
      <c r="GJ14">
        <f t="shared" si="85"/>
        <v>0</v>
      </c>
      <c r="GK14" t="str">
        <f>IF(OR(AG14="",AG14="-"),"",IFERROR(VLOOKUP(AG14,Модули_спр,2,FALSE),"R"))</f>
        <v/>
      </c>
      <c r="GL14" t="str">
        <f>IF(GK14="","",GK14&amp;"."&amp;COUNTIFS(A$3:A14,A14,GK$3:GK14,GK14))</f>
        <v/>
      </c>
      <c r="GM14" t="str">
        <f t="shared" si="86"/>
        <v/>
      </c>
      <c r="GN14" t="str">
        <f t="shared" si="87"/>
        <v/>
      </c>
      <c r="GO14" t="str">
        <f t="shared" si="88"/>
        <v/>
      </c>
      <c r="GP14" t="str">
        <f t="shared" si="89"/>
        <v/>
      </c>
      <c r="GQ14">
        <f t="shared" si="90"/>
        <v>1</v>
      </c>
      <c r="GR14" t="str">
        <f>IF(GQ14=1,"XT"&amp;COUNTIFS(A$3:A14,A14,GQ$3:GQ14,1),"")</f>
        <v>XT9</v>
      </c>
      <c r="GS14" t="str">
        <f t="shared" si="91"/>
        <v/>
      </c>
      <c r="GT14" t="str">
        <f t="shared" si="92"/>
        <v>QF12</v>
      </c>
      <c r="GU14" t="str">
        <f t="shared" si="93"/>
        <v/>
      </c>
      <c r="GV14" t="str">
        <f t="shared" si="94"/>
        <v>ok</v>
      </c>
      <c r="GW14" t="str">
        <f>IF(OR(GO14="",GM14=""),"",IF(GO14&gt;IFERROR(VLOOKUP(GN14,Модули_спр,3,FALSE),99),"ЛИШНИЙ КАНАЛ",IF(AND(AH14&lt;&gt;"=",COUNTIFS(Линии[_модуль гр.],GM14,Линии[Канал (итог)],GO14,Линии[Канал],"&lt;&gt;=",Линии[Щит],A14)&gt;1),"ДУБЛЬ КАНАЛА","")))</f>
        <v/>
      </c>
      <c r="GX14" s="6" t="str">
        <f t="shared" si="95"/>
        <v/>
      </c>
      <c r="GY14">
        <f t="shared" si="96"/>
        <v>10</v>
      </c>
      <c r="GZ14" t="str">
        <f t="shared" si="97"/>
        <v/>
      </c>
      <c r="HA14" t="str">
        <f>IF(AND(B14="",GT14=""),"",_xlfn.TEXTJOIN("; ",TRUE,IF(AND(B14&lt;&gt;"",FE14=""),"нет фазы",""),IF(AND(B14&lt;&gt;"",N(FY14)=0,EQ14&lt;&gt;"Нет"),"нет мощности",""),IF(AND(GS14&lt;&gt;"",COUNTIFS(Линии[Щит],A14,Линии[Клемма (итог)],GS14)&gt;1),"дубль клеммы "&amp;GS14,""),IF(AND(GV14&lt;&gt;"",GV14&lt;&gt;"ok"),GV14,""),IF(GW14&lt;&gt;"",GW14,""),IF(AND(N(BV14)&gt;=4,N(BR14)=1),BV14&amp;" жил на 1 фазе",""),IF(AND(AX14="R",CA14=1,OR(N(CK14)=0,N(CK14)&gt;30)),"розетка без дифзащиты до 30 мА",""),IFERROR(IF(AND(ISNUMBER(R14),R14&gt;DV14),"потери "&amp;FIXED(R14,1)&amp;" % &gt; "&amp;DV14&amp;" %",""),""),IFERROR(IF(LEFT(GZ14,4)="мало","Iкз мало — отключение &gt; 0,4 с",""),""),IF(AND(B14&lt;&gt;"",BH14=""),"не на схеме",""),IF(AND(CA14=0,B14&lt;&gt;"",FE14&lt;&gt;"",IF(AW14=1,"",FF13)&lt;&gt;"",FE14&lt;&gt;IF(AW14=1,"",FF13)),"фаза не как у автомата группы ("&amp;IF(AW14=1,"",FF13)&amp;")","")))</f>
        <v/>
      </c>
      <c r="HB14" s="6" t="str">
        <f>IF(OR(CA14=0,DA14=""),"",_xlfn.LET(_xlpm.t,IFERROR(_xlfn.XLOOKUP(DA14,Каталог!$U$4:$U$500,Каталог!$G$4:$G$500),""),_xlpm.k,SEARCH("кА",_xlpm.t),IFERROR(--TRIM(RIGHT(SUBSTITUTE(MID(_xlpm.t,MAX(1,_xlpm.k-4),_xlpm.k-MAX(1,_xlpm.k-4))," ",REPT(" ",9)),5)),"")))</f>
        <v/>
      </c>
      <c r="HC14" t="str">
        <f>IF(OR(HB14="",CA14=0),"",IF(_xlfn.XLOOKUP(A14,Щиты[Щит],Щиты[Iкз max на шинах, кА],"")="","",IF(HB14&lt;_xlfn.XLOOKUP(A14,Щиты[Щит],Щиты[Iкз max на шинах, кА]),"Icu "&amp;HB14&amp;" кА &lt; Iкз max","ok")))</f>
        <v/>
      </c>
      <c r="HD14" t="str">
        <f t="shared" si="98"/>
        <v/>
      </c>
      <c r="HE14" t="str">
        <f t="shared" si="99"/>
        <v>QF12</v>
      </c>
      <c r="HF14" t="str">
        <f t="shared" si="100"/>
        <v>QF12|кабель ВВГнг(А)-LS (5х16) → Щит распределительный ЩР-1 Первый этаж этаж Пом. №1.003Б</v>
      </c>
      <c r="HG14" t="str" cm="1">
        <f t="array" ref="HG14">IF(HF14="","",_xlfn.LET(_xlpm.nd,_xlfn.TEXTSPLIT(HF14,"|"),IF(COLUMNS(_xlpm.nd)&gt;1,A14&amp;"¦"&amp;INDEX(_xlpm.nd,1)&amp;"¦"&amp;INDEX(_xlpm.nd,2),"")))</f>
        <v>ГРЩ-ЖД¦QF12¦кабель ВВГнг(А)-LS (5х16) → Щит распределительный ЩР-1 Первый этаж этаж Пом. №1.003Б</v>
      </c>
      <c r="HH14" t="str">
        <f t="shared" si="101"/>
        <v>ЩР-1¦Щит распределительный ЩР-1 Первый этаж этаж Пом. №1.003Б</v>
      </c>
      <c r="HI14" t="str" cm="1">
        <f t="array" ref="HI14">IF(HF14="","",_xlfn.LET(_xlpm.nd,_xlfn.TEXTSPLIT(HF14,"|"),IF(COLUMNS(_xlpm.nd)&gt;2,A14&amp;"¦"&amp;INDEX(_xlpm.nd,2)&amp;"¦"&amp;INDEX(_xlpm.nd,3),"")))</f>
        <v/>
      </c>
      <c r="HJ14" t="str">
        <f t="shared" si="102"/>
        <v/>
      </c>
      <c r="HK14" t="str" cm="1">
        <f t="array" ref="HK14">IF(HF14="","",_xlfn.LET(_xlpm.nd,_xlfn.TEXTSPLIT(HF14,"|"),IF(COLUMNS(_xlpm.nd)&gt;3,A14&amp;"¦"&amp;INDEX(_xlpm.nd,3)&amp;"¦"&amp;INDEX(_xlpm.nd,4),"")))</f>
        <v/>
      </c>
      <c r="HL14" t="str">
        <f t="shared" si="103"/>
        <v/>
      </c>
      <c r="HM14" t="str" cm="1">
        <f t="array" ref="HM14">IF(HF14="","",_xlfn.LET(_xlpm.nd,_xlfn.TEXTSPLIT(HF14,"|"),IF(COLUMNS(_xlpm.nd)&gt;4,A14&amp;"¦"&amp;INDEX(_xlpm.nd,4)&amp;"¦"&amp;INDEX(_xlpm.nd,5),"")))</f>
        <v/>
      </c>
      <c r="HN14" t="str">
        <f t="shared" si="104"/>
        <v/>
      </c>
      <c r="HO14" t="str" cm="1">
        <f t="array" ref="HO14">IF(HF14="","",_xlfn.LET(_xlpm.nd,_xlfn.TEXTSPLIT(HF14,"|"),IF(COLUMNS(_xlpm.nd)&gt;5,A14&amp;"¦"&amp;INDEX(_xlpm.nd,5)&amp;"¦"&amp;INDEX(_xlpm.nd,6),"")))</f>
        <v/>
      </c>
      <c r="HP14" t="str">
        <f t="shared" si="105"/>
        <v/>
      </c>
      <c r="HQ14" t="str" cm="1">
        <f t="array" ref="HQ14">IF(HF14="","",_xlfn.LET(_xlpm.nd,_xlfn.TEXTSPLIT(HF14,"|"),IF(COLUMNS(_xlpm.nd)&gt;6,A14&amp;"¦"&amp;INDEX(_xlpm.nd,6)&amp;"¦"&amp;INDEX(_xlpm.nd,7),"")))</f>
        <v/>
      </c>
      <c r="HR14" t="str">
        <f t="shared" si="106"/>
        <v/>
      </c>
      <c r="HS14" t="str">
        <f t="shared" si="107"/>
        <v/>
      </c>
      <c r="HT14" t="str">
        <f t="shared" si="108"/>
        <v>QF12</v>
      </c>
      <c r="HU14">
        <f t="shared" si="109"/>
        <v>0</v>
      </c>
      <c r="HV14">
        <f t="shared" si="110"/>
        <v>0</v>
      </c>
      <c r="HW14" t="str">
        <f t="shared" si="111"/>
        <v/>
      </c>
      <c r="HX14" t="str">
        <f t="shared" si="112"/>
        <v/>
      </c>
      <c r="HY14" t="str">
        <f t="shared" si="113"/>
        <v/>
      </c>
      <c r="HZ14" t="str">
        <f t="shared" si="114"/>
        <v/>
      </c>
      <c r="IA14">
        <f>IF(B14="","",IFERROR(VLOOKUP(B14,УГО_спр,2,FALSE),IFERROR(VLOOKUP(AX14,УГО_спр,2,FALSE),IFERROR(VLOOKUP(LEFT(AX14,2),УГО_спр,2,FALSE),""))))</f>
        <v>0</v>
      </c>
      <c r="IB14" t="str">
        <f>IF(B14="","",IF(OR(IA14="",IA14=0),"BOX",IFERROR(IF(VLOOKUP(IA14,УГО_блоки,3,FALSE)&amp;""&lt;&gt;"",VLOOKUP(IA14,УГО_блоки,3,FALSE),VLOOKUP(IA14,УГО_блоки,2,FALSE)),IA14)))</f>
        <v>BOX</v>
      </c>
      <c r="IC14">
        <f t="shared" si="115"/>
        <v>1</v>
      </c>
      <c r="ID14">
        <f>IF(DA14="","",IF(COUNTIF(DA$3:DA14,DA14)=1,MAX(ID$2:ID13)+1,""))</f>
        <v>9</v>
      </c>
      <c r="IE14" t="str">
        <f>IF(CO14="","",IF(COUNTIF(CO$3:CO14,CO14)+COUNTIF(CP$2:CP13,CO14)+COUNTIF(CQ$2:CQ13,CO14)=1,MAX(IE$2:IG13)+1,""))</f>
        <v/>
      </c>
      <c r="IF14" t="str">
        <f>IF(CP14="","",IF(COUNTIF(CO$3:CO14,CP14)+COUNTIF(CP$3:CP14,CP14)+COUNTIF(CQ$2:CQ13,CP14)=1,MAX(IE$2:IG13,IE14)+1,""))</f>
        <v/>
      </c>
      <c r="IG14" t="str">
        <f>IF(CQ14="","",IF(COUNTIF(CO$3:CO14,CQ14)+COUNTIF(CP$3:CP14,CQ14)+COUNTIF(CQ$3:CQ14,CQ14)=1,MAX(IE$2:IG13,IE14,IF14)+1,""))</f>
        <v/>
      </c>
      <c r="IH14" t="str">
        <f t="shared" si="116"/>
        <v>5х16</v>
      </c>
      <c r="II14">
        <f>IF(IH14="","",IF(COUNTIF(IH$3:IH14,IH14)=1,MAX(II$2:II13)+1,""))</f>
        <v>6</v>
      </c>
      <c r="IJ14" t="str">
        <f>IF(GL14="","",COUNTIF(GL$3:GL14,"?*"))</f>
        <v/>
      </c>
      <c r="IK14" t="str">
        <f>IF(OR(GL14="",GN14=""),"",IF(COUNTIFS(GL$3:GL14,"?*",GN$3:GN14,GN14)=1,MAX(IK$2:IK13)+1,""))</f>
        <v/>
      </c>
      <c r="IL14">
        <f t="shared" si="117"/>
        <v>0</v>
      </c>
      <c r="IM14">
        <f>IF(B14="","",COUNTIF(B$3:B14,"?*"))</f>
        <v>12</v>
      </c>
      <c r="IN14">
        <f>IF(GQ14&lt;&gt;1,0,_xlfn.LET(_xlpm.k,MAX(IFERROR(--VLOOKUP(B14,УГО_спр,5,FALSE),0),IFERROR(--VLOOKUP(AX14,УГО_спр,5,FALSE),0),IFERROR(--VLOOKUP(LEFT(AX14,2),УГО_спр,5,FALSE),0)),IF(_xlpm.k&gt;0,_xlpm.k,IF(IFERROR(--LEFT(SUBSTITUTE(IH14,"x","х"),FIND("х",SUBSTITUTE(IH14,"x","х"))-1),3)&gt;3,Каталог!$S$9,1))))</f>
        <v>1</v>
      </c>
      <c r="IO14">
        <f t="shared" si="118"/>
        <v>2</v>
      </c>
      <c r="IP14" t="str">
        <f t="shared" si="119"/>
        <v>авто</v>
      </c>
      <c r="IQ14" t="str">
        <f t="shared" si="120"/>
        <v/>
      </c>
      <c r="IR14">
        <f t="shared" si="121"/>
        <v>0</v>
      </c>
      <c r="IS14">
        <f t="shared" si="122"/>
        <v>1</v>
      </c>
    </row>
    <row r="15" spans="1:253" x14ac:dyDescent="0.3">
      <c r="A15" t="s">
        <v>785</v>
      </c>
      <c r="B15" t="s">
        <v>761</v>
      </c>
      <c r="C15" t="s">
        <v>760</v>
      </c>
      <c r="D15">
        <v>1</v>
      </c>
      <c r="E15">
        <v>9.98</v>
      </c>
      <c r="G15">
        <v>16</v>
      </c>
      <c r="H15" t="str">
        <f>Линии[[#This Row],[_авто утечка]]</f>
        <v/>
      </c>
      <c r="I15" t="str">
        <f>Линии[[#This Row],[_авто управление]]</f>
        <v/>
      </c>
      <c r="J15" t="str">
        <f>Линии[[#This Row],[_авто аппараты]]</f>
        <v/>
      </c>
      <c r="K15">
        <v>4</v>
      </c>
      <c r="L15">
        <v>56</v>
      </c>
      <c r="M15" t="str">
        <f>Линии[[#This Row],[_авто фаза]]</f>
        <v>L1,L2,L3</v>
      </c>
      <c r="N15" t="s">
        <v>486</v>
      </c>
      <c r="O15" t="str">
        <f t="shared" si="0"/>
        <v/>
      </c>
      <c r="P15" s="6" cm="1">
        <f t="array" ref="P15">IF(B15="","",IF(BC15&lt;&gt;"",IFERROR(_xlfn.XLOOKUP(BC15,Щиты[Щит],Щиты[Iр, А]),""),IF(BK15=1,IFERROR(_xlfn.XLOOKUP(A15,Щиты[Щит],Щиты[Iр, А]),""),IFERROR(_xlfn.IFS(BR15=1,BN15/((Uн_лин/SQRT(3))*BY15),BR15=3,BN15/(SQRT(3)*Uн_лин*BY15)),""))))</f>
        <v>13.694473137501861</v>
      </c>
      <c r="Q15" s="7">
        <f>IF(B15="","",IFERROR(IF(VLOOKUP(AX15,Потребители_обозначение,4,FALSE)=1,VLOOKUP(AX15,Потребители_обозначение,3,FALSE)*(D15*2-1)+DS15+VLOOKUP(AZ15,Этаж_обозначение,3,FALSE)+VLOOKUP(AZ15,Этаж_обозначение,4,FALSE),VLOOKUP(AX15,Потребители_обозначение,3,FALSE)*(D15*2-1)+DS15),DS15))</f>
        <v>56</v>
      </c>
      <c r="R15" s="6">
        <f t="shared" si="1"/>
        <v>1.79</v>
      </c>
      <c r="S15" t="str">
        <f t="shared" si="2"/>
        <v>ВВГнг(А)-LS (5х4)</v>
      </c>
      <c r="T15" t="str">
        <f>IF(BH15="","",IF(BI15="вводной узел","узел ","")&amp;"л."&amp;(INT((BH15-1)/Столбцов_на_лист)+1)&amp;" / "&amp;(MOD(BH15-1,Столбцов_на_лист)+1))</f>
        <v>л.3 / 9</v>
      </c>
      <c r="V15">
        <v>3</v>
      </c>
      <c r="W15">
        <v>400</v>
      </c>
      <c r="X15" t="s">
        <v>564</v>
      </c>
      <c r="AA15">
        <v>1</v>
      </c>
      <c r="AC15" t="s">
        <v>815</v>
      </c>
      <c r="AE15" t="s">
        <v>619</v>
      </c>
      <c r="AI15">
        <v>43</v>
      </c>
      <c r="AJ15" t="s">
        <v>11</v>
      </c>
      <c r="AK15">
        <v>5</v>
      </c>
      <c r="AM15">
        <v>40</v>
      </c>
      <c r="AN15">
        <v>11</v>
      </c>
      <c r="AO15">
        <v>0</v>
      </c>
      <c r="AW15" cm="1">
        <f t="array" ref="AW15">ROW()-ROW(Линии[#Headers])</f>
        <v>13</v>
      </c>
      <c r="AX15" s="6" t="str">
        <f t="shared" si="3"/>
        <v>ЩР-2</v>
      </c>
      <c r="AY15" t="str">
        <f t="shared" si="4"/>
        <v/>
      </c>
      <c r="AZ15" t="str">
        <f t="shared" si="5"/>
        <v/>
      </c>
      <c r="BA15" t="str">
        <f t="shared" si="6"/>
        <v/>
      </c>
      <c r="BB15" t="str">
        <f t="shared" si="7"/>
        <v/>
      </c>
      <c r="BC15" t="str">
        <f>IF(U15&lt;&gt;"",U15,IF(AND(B15&lt;&gt;"",B15&lt;&gt;A15,ISNUMBER(_xlfn.XMATCH(B15,Щиты[Щит]))),B15,""))</f>
        <v>ЩР-2</v>
      </c>
      <c r="BD15" t="str" cm="1">
        <f t="array" ref="BD15">IF(B15="","",IF(BC15&lt;&gt;"","Щит "&amp;BC15,_xlfn.LET(_xlpm.nm,IFERROR(_xlfn.XLOOKUP(AX15,Коды_код,Коды_имя)&amp;"",""),_xlpm.md,IFERROR(N(_xlfn.XLOOKUP(AX15,Коды_код,Коды_режим)),1),_xlpm.ex,IF(Имя_режим="по экспликации",IFERROR(_xlfn.XLOOKUP(AZ15&amp;"|"&amp;BB15,Экспликация[Этаж]&amp;"|"&amp;Экспликация[Помещение],Экспликация[Название])&amp;"",""),""),_xlpm.rm,IF(BB15="","",IF(_xlpm.ex&lt;&gt;"",". "&amp;_xlpm.ex&amp;IF(Имя_пом="нет"," ("&amp;BB15&amp;")"," (пом. "&amp;BB15&amp;")"),IF(Имя_пом="нет"," ",", пом. ")&amp;BB15)),IF(_xlpm.nm="","",IF(_xlpm.md=2,_xlpm.nm&amp;" шлейф "&amp;AZ15,_xlpm.nm&amp;_xlpm.rm)))))</f>
        <v>Щит ЩР-2</v>
      </c>
      <c r="BE15" t="str">
        <f t="shared" si="8"/>
        <v>Щит распределительный ЩР-2 Техэтаж этаж Пом. №3.001Т</v>
      </c>
      <c r="BF15">
        <f>IFERROR(_xlfn.XMATCH(A15,Щиты[Щит]),0)</f>
        <v>1</v>
      </c>
      <c r="BG15">
        <f>_xlfn.LET(_xlpm.k,IFERROR(_xlfn.XLOOKUP(A15,Щиты[Щит],Щиты[Листов под вводной узел]),""),IF(_xlpm.k="",1,N(_xlpm.k))*Столбцов_на_лист)</f>
        <v>17</v>
      </c>
      <c r="BH15">
        <f t="shared" si="9"/>
        <v>43</v>
      </c>
      <c r="BI15" t="str">
        <f t="shared" si="10"/>
        <v>линии</v>
      </c>
      <c r="BJ15" s="6">
        <f>IFERROR(N(_xlfn.XLOOKUP(AX15,Коды_код,Коды_квт)),0)</f>
        <v>0</v>
      </c>
      <c r="BK15">
        <f t="shared" si="11"/>
        <v>0</v>
      </c>
      <c r="BL15">
        <f>IF(B15="","",IF(BC15&lt;&gt;"",IFERROR(_xlfn.XLOOKUP(BC15,Щиты[Щит],Щиты[Руст, кВт]),0),IF(BK15=1,IFERROR(_xlfn.XLOOKUP(A15,Щиты[Щит],Щиты[Руст, кВт]),0),IF(BJ15&gt;0,ROUND(BJ15*MAX(1,N(D15)),3),""))))</f>
        <v>9.98</v>
      </c>
      <c r="BM15">
        <f t="shared" si="12"/>
        <v>9.98</v>
      </c>
      <c r="BN15" s="6">
        <f>IF(B15="","",IF(BC15&lt;&gt;"",IFERROR(_xlfn.XLOOKUP(BC15,Щиты[Щит],Щиты[Руст, кВт]),0),N(BM15)))</f>
        <v>9.98</v>
      </c>
      <c r="BO15" t="str">
        <f>IF(B15="","",IFERROR(IF(VLOOKUP(AX15,Потребители_обозначение,8,FALSE)=0,"",VLOOKUP(AX15,Потребители_обозначение,8,FALSE)),""))</f>
        <v/>
      </c>
      <c r="BP15">
        <f t="shared" si="13"/>
        <v>400</v>
      </c>
      <c r="BQ15">
        <f>IF(B15="","",IF(BC15&lt;&gt;"",3,IFERROR(IF(N(VLOOKUP(AX15,Потребители_обозначение,9,FALSE))=0,1,VLOOKUP(AX15,Потребители_обозначение,9,FALSE)),1)))</f>
        <v>3</v>
      </c>
      <c r="BR15">
        <f t="shared" si="14"/>
        <v>3</v>
      </c>
      <c r="BS15" t="str">
        <f>IF(B15="","",_xlfn.LET(_xlpm.bc,IFERROR(IF(VLOOKUP(AX15,Потребители_обозначение,6,FALSE)=0,"",VLOOKUP(AX15,Потребители_обозначение,6,FALSE)&amp;""),""),IF(AND(FK15="да",OR(_xlpm.bc="",_xlpm.bc="мс")),Марка_пож,IF(AND(_xlpm.bc="",BC15&lt;&gt;""),"мс",_xlpm.bc))))</f>
        <v>мс</v>
      </c>
      <c r="BT15" t="str">
        <f t="shared" si="15"/>
        <v>мс</v>
      </c>
      <c r="BU15">
        <f>IF(B15="","",_xlfn.LET(_xlpm.cc,IFERROR(N(VLOOKUP(AX15,Потребители_обозначение,7,FALSE)),0),IF(_xlpm.cc&gt;0,_xlpm.cc,IF(BT15="","",IF(N(BR15)=3,5,3)))))</f>
        <v>5</v>
      </c>
      <c r="BV15">
        <f t="shared" si="16"/>
        <v>5</v>
      </c>
      <c r="BW15">
        <f>IFERROR(N(VLOOKUP(AX15,Потребители_обозначение,10,FALSE)),0)</f>
        <v>0</v>
      </c>
      <c r="BX15">
        <f>IFERROR(VLOOKUP(AX15,Потребители_обозначение,5,FALSE),0)</f>
        <v>0</v>
      </c>
      <c r="BY15" s="6" cm="1">
        <f t="array" ref="BY15">IF(B15="","",IF(BC15&lt;&gt;"",IFERROR(_xlfn.XLOOKUP(BC15,Щиты[Щит],Щиты[cos φ]),0.95),IF(BK15=1,IFERROR(_xlfn.XLOOKUP(A15,Щиты[Щит],Щиты[cos φ]),0.95),IF(ISNUMBER(Z15),Z15,IFERROR(IF(BX15=2,_xlfn.IFS(BR15=3,VLOOKUP(BN15,Справочная_двигатели,8,FALSE),BR15=1,VLOOKUP(BN15,Справочная_двигатели,10,TRUE)),IF(AND(Методика="нормы 2026",EQ15="Сил"),0.8,0.95)),0.95)))))</f>
        <v>0.95</v>
      </c>
      <c r="BZ15">
        <f t="shared" si="17"/>
        <v>0</v>
      </c>
      <c r="CA15">
        <f t="shared" si="18"/>
        <v>1</v>
      </c>
      <c r="CB15">
        <f t="shared" si="19"/>
        <v>0</v>
      </c>
      <c r="CC15">
        <f t="shared" si="20"/>
        <v>0</v>
      </c>
      <c r="CD15">
        <f t="shared" si="21"/>
        <v>0</v>
      </c>
      <c r="CE15">
        <f t="shared" si="22"/>
        <v>0</v>
      </c>
      <c r="CF15">
        <f t="shared" si="23"/>
        <v>0</v>
      </c>
      <c r="CG15">
        <f>IF(AX15="",0,_xlfn.LET(_xlpm.v,IFERROR(VLOOKUP(B15,УГО_спр,3,FALSE),IFERROR(VLOOKUP(AX15,УГО_спр,3,FALSE),IFERROR(VLOOKUP(LEFT(AX15,2),УГО_спр,3,FALSE),""))),IF(_xlpm.v="да",30,IF(ISNUMBER(_xlpm.v),_xlpm.v,0))))</f>
        <v>0</v>
      </c>
      <c r="CH15" t="str">
        <f t="shared" si="24"/>
        <v/>
      </c>
      <c r="CI15" t="str">
        <f>_xlfn.LET(_xlpm.k,IFERROR(_xlfn.XLOOKUP(AX15,Коды_код,Коды_утечка)&amp;"",""),IF(_xlpm.k="","дифавтомат",_xlpm.k))</f>
        <v>дифавтомат</v>
      </c>
      <c r="CJ15">
        <f t="shared" si="25"/>
        <v>0</v>
      </c>
      <c r="CK15">
        <f t="shared" si="26"/>
        <v>0</v>
      </c>
      <c r="CL15">
        <f>IF(B15="",0,IFERROR(--VLOOKUP(B15,УГО_спр,4,FALSE),IFERROR(--VLOOKUP(AX15,УГО_спр,4,FALSE),IFERROR(--VLOOKUP(LEFT(AX15,2),УГО_спр,4,FALSE),0))))</f>
        <v>0</v>
      </c>
      <c r="CM15" t="str">
        <f>IF(B15="","",IFERROR(_xlfn.XLOOKUP(AX15,Коды_код,Коды_апп)&amp;"",""))</f>
        <v/>
      </c>
      <c r="CN15" t="str">
        <f t="shared" si="27"/>
        <v/>
      </c>
      <c r="CO15" t="str" cm="1">
        <f t="array" ref="CO15">IF(TRIM(CN15&amp;"")="","",IFERROR(TRIM(INDEX(_xlfn.TEXTSPLIT(CN15&amp;";;;",";"),1)),""))</f>
        <v/>
      </c>
      <c r="CP15" t="str" cm="1">
        <f t="array" ref="CP15">IF(TRIM(CN15&amp;"")="","",IFERROR(TRIM(INDEX(_xlfn.TEXTSPLIT(CN15&amp;";;;",";"),2)),""))</f>
        <v/>
      </c>
      <c r="CQ15" t="str" cm="1">
        <f t="array" ref="CQ15">IF(TRIM(CN15&amp;"")="","",IFERROR(TRIM(INDEX(_xlfn.TEXTSPLIT(CN15&amp;";;;",";"),3)),""))</f>
        <v/>
      </c>
      <c r="CR15">
        <f t="shared" si="28"/>
        <v>0</v>
      </c>
      <c r="CS15" t="str">
        <f>IF(B15="","",_xlfn.LET(_xlpm.t,LOWER(AV15&amp;""),IF(ISNUMBER(SEARCH("dim",_xlpm.t)),"DIM",IF(ISNUMBER(SEARCH("dali",_xlpm.t)),"DALI",IF(OR(ISNUMBER(SEARCH("relay",_xlpm.t)),ISNUMBER(SEARCH("реле",_xlpm.t))),"Relay",IF(ISNUMBER(SEARCH("кнопк",_xlpm.t)),"",IFERROR(_xlfn.XLOOKUP(AX15,Коды_код,Коды_упр)&amp;"","")))))))</f>
        <v/>
      </c>
      <c r="CT15" t="str">
        <f t="shared" si="29"/>
        <v/>
      </c>
      <c r="CU15">
        <f>IF(B15="","",_xlfn.LET(_xlpm.ig,N(P15)+IF(AF15="вручную",0,N(CB15)),_xlpm.n0,IFERROR(VLOOKUP(_xlpm.ig,Автомат_номиналы,2,TRUE),0),_xlpm.mn,MAX(CL15,IF(AF15="вручную",0,N(CE15))),MAX(_xlpm.n0,_xlpm.mn,IF(CR15=1,Мин_автомат_БП,0))))</f>
        <v>16</v>
      </c>
      <c r="CV15">
        <f t="shared" si="30"/>
        <v>3</v>
      </c>
      <c r="CW15" t="str">
        <f t="shared" si="31"/>
        <v>3P</v>
      </c>
      <c r="CX15" t="str">
        <f>_xlfn.LET(_xlpm.cc,UPPER(TRIM(IFERROR(_xlfn.XLOOKUP(AX15,Коды_код,Коды_хар)&amp;"",""))),IF(OR(_xlpm.cc="B",_xlpm.cc="В"),"B",IF(_xlpm.cc="D","D","С")))</f>
        <v>С</v>
      </c>
      <c r="CY15" t="str">
        <f t="shared" si="32"/>
        <v>3P С16А</v>
      </c>
      <c r="CZ15">
        <f t="shared" si="33"/>
        <v>16</v>
      </c>
      <c r="DA15" t="str">
        <f t="shared" si="34"/>
        <v>3P С16А</v>
      </c>
      <c r="DB15" cm="1">
        <f t="array" ref="DB15">IF(DA15="","",_xlfn.LET(_xlpm.t,SUBSTITUTE(SUBSTITUTE(SUBSTITUTE(UPPER(DA15),"С","C"),"А","A"),"В","B"),_xlpm.tk,_xlfn.TEXTSPLIT(_xlpm.t,"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" t="str">
        <f t="shared" si="35"/>
        <v>ok</v>
      </c>
      <c r="DD15">
        <f t="shared" si="36"/>
        <v>16</v>
      </c>
      <c r="DE15" t="str">
        <f t="shared" si="37"/>
        <v>3P С16А</v>
      </c>
      <c r="DF15">
        <f t="shared" si="38"/>
        <v>0</v>
      </c>
      <c r="DG15">
        <f t="shared" si="39"/>
        <v>0</v>
      </c>
      <c r="DH15">
        <f t="shared" si="40"/>
        <v>0</v>
      </c>
      <c r="DI15">
        <f t="shared" si="41"/>
        <v>13.694473137501861</v>
      </c>
      <c r="DJ15">
        <f t="shared" si="42"/>
        <v>0.92</v>
      </c>
      <c r="DK15">
        <f>IF(ISNUMBER(AL15),AL15,К_прокл)</f>
        <v>1</v>
      </c>
      <c r="DL15">
        <f t="shared" si="43"/>
        <v>3</v>
      </c>
      <c r="DM15">
        <f>IFERROR(N(VLOOKUP(BT15,Кабель_обозначение,3,FALSE)),1)</f>
        <v>1</v>
      </c>
      <c r="DN15">
        <f>IFERROR(N(_xlfn.XLOOKUP(A15,Щиты[Щит],Щиты[ΔU до шин, %])),0)</f>
        <v>0</v>
      </c>
      <c r="DO15" t="str">
        <f>IFERROR(_xlfn.XLOOKUP(A15,Щиты[Щит],Щиты[Zпетли на шинах, Ом]),"")</f>
        <v/>
      </c>
      <c r="DP15">
        <f>IFERROR(N(_xlfn.XLOOKUP(A15,Щиты[Щит],Щиты[ΔU до шин (подбор), %])),0)</f>
        <v>0</v>
      </c>
      <c r="DQ15" t="str">
        <f>IFERROR(_xlfn.XLOOKUP(A15,Щиты[Щит],Щиты[Zпетли на шинах (подбор), Ом]),"")</f>
        <v/>
      </c>
      <c r="DR15" t="str">
        <f t="shared" si="44"/>
        <v/>
      </c>
      <c r="DS15">
        <f t="shared" si="45"/>
        <v>56</v>
      </c>
      <c r="DT15">
        <f t="shared" si="46"/>
        <v>1</v>
      </c>
      <c r="DU15">
        <f t="shared" si="47"/>
        <v>0.31</v>
      </c>
      <c r="DV15" s="6">
        <f>IF(B15="","",IF(IFERROR(VLOOKUP(AX15,УГО_спр,2,FALSE),"")="Светильник",3,4)+IF(Методика="нормы 2026",MIN(0.5,MAX(0,N(Q15)-100)*0.005),0))</f>
        <v>4</v>
      </c>
      <c r="DW15" cm="1">
        <f t="array" ref="DW15">IF(OR(B15="",BT15="",DM15&lt;&gt;1),"",_xlfn.LET(_xlpm.sz,Iдоп_S,_xlpm.t_,CHOOSE(DL15,Iдоп_1ж,Iдоп_2ж,Iдоп_3ж)*DJ15*DK15,_xlpm.inn,N(DD15),_xlpm.smin,MAX(1.5,BW15),_xlpm.L_,N(Q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15)*(_xlpm.rho*_xlpm.L_/_xlpm.sz*N(BY15)+_xlpm.xx*_xlpm.L_*N(DU15)/1000)*N(P15)/((Uн_лин/SQRT(3))*1000)*100,999),_xlpm.kz,IF(OR(DG15=1,NOT(ISNUMBER(DQ15)),_xlpm.L_=0,_xlpm.inn=0),1,IFERROR(--(c_min*(Uн_лин*1000/SQRT(3))/(DQ15+2*ρкз_Cu*_xlpm.L_/_xlpm.sz)&gt;=GY15*_xlpm.inn),0)),_xlpm.ok,IFERROR((_xlpm.sz&gt;=_xlpm.smin)*(_xlpm.t_&gt;=_xlpm.inn)*IF(_xlpm.L_&gt;0,(_xlpm.du_+DP15&lt;=DV15+0.00001),1)*_xlpm.kz,0),_xlpm.r_,_xlfn._xlws.FILTER(_xlpm.sz,_xlpm.ok,"не подобрано"),INDEX(_xlpm.r_,1)))</f>
        <v>2.5</v>
      </c>
      <c r="DX15">
        <f t="shared" si="48"/>
        <v>4</v>
      </c>
      <c r="DY15" cm="1">
        <f t="array" ref="DY15">IF(OR(B15="",BT15="",DM15&lt;&gt;1),"",_xlfn.LET(_xlpm.sz,Iдоп_S,_xlpm.t_,CHOOSE(DL15,Iдоп_1ж,Iдоп_2ж,Iдоп_3ж)*DJ15*DK15,_xlpm.ok,IFERROR((_xlpm.sz&gt;=MAX(1.5,BW15))*(_xlpm.t_&gt;=N(DD15)),0),_xlpm.r_,_xlfn._xlws.FILTER(_xlpm.sz,_xlpm.ok,""),INDEX(_xlpm.r_,1)))</f>
        <v>1.5</v>
      </c>
      <c r="DZ15" s="6" cm="1">
        <f t="array" ref="DZ15">IFERROR(ROUNDUP(N(DT15)*(_xlfn.XLOOKUP(DY15,INDEX(Кабель_сопротивление,0,1),INDEX(Кабель_сопротивление,0,3))*N(Q15)/DY15*N(BY15)+_xlfn.XLOOKUP(DY15,INDEX(Кабель_сопротивление,0,1),INDEX(Кабель_сопротивление,0,2))*N(Q15)*N(DU15)/1000)*N(P15)/((Uн_лин/SQRT(3))*1000)*100,2),"")</f>
        <v>4.75</v>
      </c>
      <c r="EA15">
        <f>IFERROR(2*ρкз_Cu*N(Q15)/DY15,"")</f>
        <v>1.9637333333333336</v>
      </c>
      <c r="EB15">
        <f>IFERROR(VLOOKUP(DX15,Кабель_сопротивление,3,FALSE),"")</f>
        <v>2.2499999999999999E-2</v>
      </c>
      <c r="EC15">
        <f>IFERROR(VLOOKUP(DX15,Кабель_сопротивление,2,FALSE),"")</f>
        <v>9.5000000000000001E-2</v>
      </c>
      <c r="ED15">
        <f t="shared" si="49"/>
        <v>11</v>
      </c>
      <c r="EE15">
        <f t="shared" si="50"/>
        <v>0</v>
      </c>
      <c r="EF15">
        <f t="shared" si="51"/>
        <v>4.1206560114957993</v>
      </c>
      <c r="EG15" s="6">
        <f>IFERROR(ROUNDUP(EF15/((Uн_лин/SQRT(3))*1000)*100,2),"")</f>
        <v>1.79</v>
      </c>
      <c r="EH15" t="str">
        <f>IFERROR(VLOOKUP(BT15,Кабель_обозначение,2,FALSE),"")</f>
        <v>ВВГнг(А)-LS</v>
      </c>
      <c r="EI15" t="str">
        <f t="shared" si="52"/>
        <v>ВВГнг(А)-LS (5х4)</v>
      </c>
      <c r="EJ15" t="str">
        <f t="shared" si="53"/>
        <v>ВВГнг(А)-LS (5х4)
L=56-1,79%</v>
      </c>
      <c r="EK15">
        <f>IFERROR(2*ρкз_Cu*Q15/DX15,"")</f>
        <v>0.73640000000000005</v>
      </c>
      <c r="EL15">
        <f t="shared" si="54"/>
        <v>0.24500000000000002</v>
      </c>
      <c r="EM15" s="6" t="str">
        <f>IFERROR(IF(OR(B15="",NOT(ISNUMBER(DX15)),N(Q15)=0),"",_xlfn.XLOOKUP(A15,Щиты[Щит],Щиты[Zпетли на шинах, Ом])+EK15),"")</f>
        <v/>
      </c>
      <c r="EN15" s="6" t="str">
        <f>IF(ISNUMBER(EM15),c_min*(Uн_лин*1000/SQRT(3))/EM15,"")</f>
        <v/>
      </c>
      <c r="EO15" s="6" t="str">
        <f>IFERROR(IF(OR(B15="",NOT(ISNUMBER(DX15))),"",1.05*(Uн_лин*1000/SQRT(3))/(_xlfn.XLOOKUP(A15,Щиты[Щит],Щиты[Zmax на шинах, Ом])+EL15)/1000),"")</f>
        <v/>
      </c>
      <c r="EP15" s="6" t="str">
        <f>IF(B15="","",IF(ISNUMBER(Y15),"Сил",IF(IFERROR(_xlfn.XLOOKUP(AX15,Коды_код,Коды_группа)&amp;"","")="","Быт",_xlfn.XLOOKUP(AX15,Коды_код,Коды_группа)&amp;"")))</f>
        <v>Быт</v>
      </c>
      <c r="EQ15" s="6" t="str">
        <f t="shared" si="55"/>
        <v>Щит</v>
      </c>
      <c r="ER15" s="6" t="str">
        <f>IF(EQ15="Щит","щит",IF(EQ15="","",IF(EQ15="Быт",IFERROR(_xlfn.XLOOKUP(A15,Щиты[Щит],Щиты[Кс быт]),1),IF(EQ15="Сил",IF(ISNUMBER(Y15),Y15,IF(Методика="нормы 2026",IFERROR(_xlfn.XLOOKUP(A15,Щиты[Щит],Щиты[Кс силовых (табл. 7.5)]),1),1)),IF(OR(EQ15="Пост",EQ15="Отоп"),1,IF(EQ15="ВНГ",0.7,0))))))</f>
        <v>щит</v>
      </c>
      <c r="ES15">
        <f t="shared" si="56"/>
        <v>1</v>
      </c>
      <c r="ET15">
        <f t="shared" si="57"/>
        <v>0</v>
      </c>
      <c r="EU15">
        <f t="shared" si="58"/>
        <v>0</v>
      </c>
      <c r="EV15">
        <f t="shared" si="59"/>
        <v>0</v>
      </c>
      <c r="EW15">
        <f t="shared" si="60"/>
        <v>0</v>
      </c>
      <c r="EX15">
        <f t="shared" si="61"/>
        <v>0</v>
      </c>
      <c r="EY15">
        <f t="shared" si="62"/>
        <v>0</v>
      </c>
      <c r="EZ15">
        <f t="shared" si="63"/>
        <v>0</v>
      </c>
      <c r="FA15">
        <f t="shared" si="64"/>
        <v>0</v>
      </c>
      <c r="FB15">
        <f t="shared" si="65"/>
        <v>9.98</v>
      </c>
      <c r="FC15" t="str">
        <f t="shared" si="66"/>
        <v/>
      </c>
      <c r="FD15" t="str">
        <f>IF(B15="","",IF(CA15=0,IF(AW15=1,"",FF14),IF(OR(N(CV15)&gt;=3,N(BR15)&gt;=3),"L1,L2,L3",IFERROR(_xlfn.TEXTBEFORE(_xlfn.TEXTAFTER(_xlfn.XLOOKUP(A15,Щиты[Щит],Щиты[_фазы авто]),";"&amp;AW15&amp;":"),";"),"L1"))))</f>
        <v>L1,L2,L3</v>
      </c>
      <c r="FE15" t="str">
        <f t="shared" si="67"/>
        <v>L1,L2,L3</v>
      </c>
      <c r="FF15" t="str">
        <f t="shared" si="68"/>
        <v>L1,L2,L3</v>
      </c>
      <c r="FG15" cm="1">
        <f t="array" ref="FG15">IFERROR(IF(BX15=2,_xlfn.IFS(BR15=3,VLOOKUP(BN15,Справочная_двигатели,3,FALSE),BR15=1,VLOOKUP(BN15,Справочная_двигатели,5,TRUE)),0),0)</f>
        <v>0</v>
      </c>
      <c r="FH15">
        <f>IFERROR(IF(BX15=3,VLOOKUP(BN15,Справочная_ЛЭД,2,TRUE),0),0)</f>
        <v>0</v>
      </c>
      <c r="FI15" s="6">
        <f t="shared" si="69"/>
        <v>0</v>
      </c>
      <c r="FJ15" t="str" cm="1">
        <f t="array" ref="FJ15">IF(B15="","",IFERROR(INDEX({"I особая","I","II","III"},MATCH(TRIM(AC15&amp;""),{"I особая","I","II","III"},0)),"III"))</f>
        <v>II</v>
      </c>
      <c r="FK15" t="str">
        <f>IF(B15="","",IF(TRIM(AD15&amp;"")&lt;&gt;"",IF(LOWER(TRIM(AD15&amp;""))="да","да","нет"),IF(IFERROR(_xlfn.XLOOKUP(AX15,Коды_код,Коды_пожарная),"")="да","да","нет")))</f>
        <v>нет</v>
      </c>
      <c r="FL15" t="str">
        <f t="shared" si="70"/>
        <v/>
      </c>
      <c r="FM15" t="str">
        <f t="shared" si="71"/>
        <v>основная</v>
      </c>
      <c r="FN15">
        <f t="shared" si="72"/>
        <v>1</v>
      </c>
      <c r="FO15" t="str" cm="1">
        <f t="array" ref="FO15">IF(B15="","",_xlfn.LET(_xlpm.t,IFERROR(_xlfn.XLOOKUP(1,(Шины[Шина]=FM15)*(((Шины[Щит]=A15)+(Шины[Щит]=""))&gt;0),Шины[Тип]),"")&amp;"",IF(_xlpm.t&lt;&gt;"",_xlpm.t,IF(ISNUMBER(SEARCH("ИБП",FM15)),"ИБП",IF(ISNUMBER(SEARCH("ДГУ",FM15)),"ДГУ","Ввод "&amp;FN15)))))</f>
        <v>Ввод 1</v>
      </c>
      <c r="FP15" t="str">
        <f t="shared" si="73"/>
        <v>Ввод 1</v>
      </c>
      <c r="FQ15" t="str">
        <f>IF(B15="","",IF(OR(FO15="ИБП",FO15="ДГУ"),"I особая",IF(FO15="Одиночная","III",_xlfn.XLOOKUP(A15,Щиты[Щит],Щиты[Категория шины «Ввод»],"III"))))</f>
        <v>I</v>
      </c>
      <c r="FR15">
        <f>IF(B15="",0,IFERROR(MATCH(FJ15,{"III","II","I","I особая"},0),1))</f>
        <v>2</v>
      </c>
      <c r="FS15">
        <f t="shared" si="74"/>
        <v>2</v>
      </c>
      <c r="FT15" t="str">
        <f>IF(B15="","",IF(FR15&gt;IFERROR(MATCH(FQ15,{"III","II","I","I особая"},0),1),"НЕ ОБЕСПЕЧЕНА","ОК"))</f>
        <v>ОК</v>
      </c>
      <c r="FU15" t="str">
        <f>IF(A15="","",_xlfn.XLOOKUP(A15,Щиты[Щит],Щиты[Путь],""))</f>
        <v>|ГРЩ-ЖД|</v>
      </c>
      <c r="FV15" t="str">
        <f>IF(B15="","",IF(AE15&lt;&gt;"",AE15,IF(IFERROR(_xlfn.XLOOKUP(AX15,Коды_код,Коды_вид)&amp;"","")="","Прочее",_xlfn.XLOOKUP(AX15,Коды_код,Коды_вид)&amp;"")))</f>
        <v>Распределительные щиты жилой части</v>
      </c>
      <c r="FW15">
        <f>IF(BH15="","",INT((BH15-1)/Столбцов_на_лист)+1)</f>
        <v>3</v>
      </c>
      <c r="FX15" t="str">
        <f t="shared" si="75"/>
        <v>ВВГнг(А)-LS (5х4) L=56-1,79%</v>
      </c>
      <c r="FY15">
        <f t="shared" si="76"/>
        <v>9.98</v>
      </c>
      <c r="FZ15">
        <f t="shared" si="77"/>
        <v>13.7</v>
      </c>
      <c r="GA15">
        <f t="shared" si="78"/>
        <v>3</v>
      </c>
      <c r="GB15">
        <f t="shared" si="79"/>
        <v>0</v>
      </c>
      <c r="GC15">
        <f t="shared" si="80"/>
        <v>1</v>
      </c>
      <c r="GD15">
        <f>IF(BH15="","",IF(AND(CA15=1,GC15=1),COUNTIFS(A$3:A15,A15,CA$3:CA15,1,GC$3:GC15,1),IF(OR(OR(AW15=1,A15&lt;&gt;A14),AF15="вручную",GC15=0),"",IF(AW15=1,"",GE14))))</f>
        <v>13</v>
      </c>
      <c r="GE15">
        <f t="shared" si="81"/>
        <v>13</v>
      </c>
      <c r="GF15">
        <f>IF(B15="","",IFERROR(LOOKUP(INDEX(CHOOSE(DL15,Iдоп_1ж,Iдоп_2ж,Iдоп_3ж),MATCH(DX15,Iдоп_S,0))*DJ15*DK15,{6,10,16,20,25,32,40,50,63,80,100,125,160,200,250,315,400,500,630}),""))</f>
        <v>32</v>
      </c>
      <c r="GG15" t="str">
        <f t="shared" si="82"/>
        <v>QF13</v>
      </c>
      <c r="GH15" t="str">
        <f t="shared" si="83"/>
        <v>QF13</v>
      </c>
      <c r="GI15" t="str">
        <f t="shared" si="84"/>
        <v/>
      </c>
      <c r="GJ15">
        <f t="shared" si="85"/>
        <v>0</v>
      </c>
      <c r="GK15" t="str">
        <f>IF(OR(AG15="",AG15="-"),"",IFERROR(VLOOKUP(AG15,Модули_спр,2,FALSE),"R"))</f>
        <v/>
      </c>
      <c r="GL15" t="str">
        <f>IF(GK15="","",GK15&amp;"."&amp;COUNTIFS(A$3:A15,A15,GK$3:GK15,GK15))</f>
        <v/>
      </c>
      <c r="GM15" t="str">
        <f t="shared" si="86"/>
        <v/>
      </c>
      <c r="GN15" t="str">
        <f t="shared" si="87"/>
        <v/>
      </c>
      <c r="GO15" t="str">
        <f t="shared" si="88"/>
        <v/>
      </c>
      <c r="GP15" t="str">
        <f t="shared" si="89"/>
        <v/>
      </c>
      <c r="GQ15">
        <f t="shared" si="90"/>
        <v>1</v>
      </c>
      <c r="GR15" t="str">
        <f>IF(GQ15=1,"XT"&amp;COUNTIFS(A$3:A15,A15,GQ$3:GQ15,1),"")</f>
        <v>XT10</v>
      </c>
      <c r="GS15" t="str">
        <f t="shared" si="91"/>
        <v/>
      </c>
      <c r="GT15" t="str">
        <f t="shared" si="92"/>
        <v>QF13</v>
      </c>
      <c r="GU15" t="str">
        <f t="shared" si="93"/>
        <v/>
      </c>
      <c r="GV15" t="str">
        <f t="shared" si="94"/>
        <v>ok</v>
      </c>
      <c r="GW15" t="str">
        <f>IF(OR(GO15="",GM15=""),"",IF(GO15&gt;IFERROR(VLOOKUP(GN15,Модули_спр,3,FALSE),99),"ЛИШНИЙ КАНАЛ",IF(AND(AH15&lt;&gt;"=",COUNTIFS(Линии[_модуль гр.],GM15,Линии[Канал (итог)],GO15,Линии[Канал],"&lt;&gt;=",Линии[Щит],A15)&gt;1),"ДУБЛЬ КАНАЛА","")))</f>
        <v/>
      </c>
      <c r="GX15" s="6" t="str">
        <f t="shared" si="95"/>
        <v/>
      </c>
      <c r="GY15">
        <f t="shared" si="96"/>
        <v>10</v>
      </c>
      <c r="GZ15" t="str">
        <f t="shared" si="97"/>
        <v/>
      </c>
      <c r="HA15" t="str">
        <f>IF(AND(B15="",GT15=""),"",_xlfn.TEXTJOIN("; ",TRUE,IF(AND(B15&lt;&gt;"",FE15=""),"нет фазы",""),IF(AND(B15&lt;&gt;"",N(FY15)=0,EQ15&lt;&gt;"Нет"),"нет мощности",""),IF(AND(GS15&lt;&gt;"",COUNTIFS(Линии[Щит],A15,Линии[Клемма (итог)],GS15)&gt;1),"дубль клеммы "&amp;GS15,""),IF(AND(GV15&lt;&gt;"",GV15&lt;&gt;"ok"),GV15,""),IF(GW15&lt;&gt;"",GW15,""),IF(AND(N(BV15)&gt;=4,N(BR15)=1),BV15&amp;" жил на 1 фазе",""),IF(AND(AX15="R",CA15=1,OR(N(CK15)=0,N(CK15)&gt;30)),"розетка без дифзащиты до 30 мА",""),IFERROR(IF(AND(ISNUMBER(R15),R15&gt;DV15),"потери "&amp;FIXED(R15,1)&amp;" % &gt; "&amp;DV15&amp;" %",""),""),IFERROR(IF(LEFT(GZ15,4)="мало","Iкз мало — отключение &gt; 0,4 с",""),""),IF(AND(B15&lt;&gt;"",BH15=""),"не на схеме",""),IF(AND(CA15=0,B15&lt;&gt;"",FE15&lt;&gt;"",IF(AW15=1,"",FF14)&lt;&gt;"",FE15&lt;&gt;IF(AW15=1,"",FF14)),"фаза не как у автомата группы ("&amp;IF(AW15=1,"",FF14)&amp;")","")))</f>
        <v/>
      </c>
      <c r="HB15" s="6" t="str">
        <f>IF(OR(CA15=0,DA15=""),"",_xlfn.LET(_xlpm.t,IFERROR(_xlfn.XLOOKUP(DA15,Каталог!$U$4:$U$500,Каталог!$G$4:$G$500),""),_xlpm.k,SEARCH("кА",_xlpm.t),IFERROR(--TRIM(RIGHT(SUBSTITUTE(MID(_xlpm.t,MAX(1,_xlpm.k-4),_xlpm.k-MAX(1,_xlpm.k-4))," ",REPT(" ",9)),5)),"")))</f>
        <v/>
      </c>
      <c r="HC15" t="str">
        <f>IF(OR(HB15="",CA15=0),"",IF(_xlfn.XLOOKUP(A15,Щиты[Щит],Щиты[Iкз max на шинах, кА],"")="","",IF(HB15&lt;_xlfn.XLOOKUP(A15,Щиты[Щит],Щиты[Iкз max на шинах, кА]),"Icu "&amp;HB15&amp;" кА &lt; Iкз max","ok")))</f>
        <v/>
      </c>
      <c r="HD15" t="str">
        <f t="shared" si="98"/>
        <v/>
      </c>
      <c r="HE15" t="str">
        <f t="shared" si="99"/>
        <v>QF13</v>
      </c>
      <c r="HF15" t="str">
        <f t="shared" si="100"/>
        <v>QF13|кабель ВВГнг(А)-LS (5х4) → Щит распределительный ЩР-2 Техэтаж этаж Пом. №3.001Т</v>
      </c>
      <c r="HG15" t="str" cm="1">
        <f t="array" ref="HG15">IF(HF15="","",_xlfn.LET(_xlpm.nd,_xlfn.TEXTSPLIT(HF15,"|"),IF(COLUMNS(_xlpm.nd)&gt;1,A15&amp;"¦"&amp;INDEX(_xlpm.nd,1)&amp;"¦"&amp;INDEX(_xlpm.nd,2),"")))</f>
        <v>ГРЩ-ЖД¦QF13¦кабель ВВГнг(А)-LS (5х4) → Щит распределительный ЩР-2 Техэтаж этаж Пом. №3.001Т</v>
      </c>
      <c r="HH15" t="str">
        <f t="shared" si="101"/>
        <v>ЩР-2¦Щит распределительный ЩР-2 Техэтаж этаж Пом. №3.001Т</v>
      </c>
      <c r="HI15" t="str" cm="1">
        <f t="array" ref="HI15">IF(HF15="","",_xlfn.LET(_xlpm.nd,_xlfn.TEXTSPLIT(HF15,"|"),IF(COLUMNS(_xlpm.nd)&gt;2,A15&amp;"¦"&amp;INDEX(_xlpm.nd,2)&amp;"¦"&amp;INDEX(_xlpm.nd,3),"")))</f>
        <v/>
      </c>
      <c r="HJ15" t="str">
        <f t="shared" si="102"/>
        <v/>
      </c>
      <c r="HK15" t="str" cm="1">
        <f t="array" ref="HK15">IF(HF15="","",_xlfn.LET(_xlpm.nd,_xlfn.TEXTSPLIT(HF15,"|"),IF(COLUMNS(_xlpm.nd)&gt;3,A15&amp;"¦"&amp;INDEX(_xlpm.nd,3)&amp;"¦"&amp;INDEX(_xlpm.nd,4),"")))</f>
        <v/>
      </c>
      <c r="HL15" t="str">
        <f t="shared" si="103"/>
        <v/>
      </c>
      <c r="HM15" t="str" cm="1">
        <f t="array" ref="HM15">IF(HF15="","",_xlfn.LET(_xlpm.nd,_xlfn.TEXTSPLIT(HF15,"|"),IF(COLUMNS(_xlpm.nd)&gt;4,A15&amp;"¦"&amp;INDEX(_xlpm.nd,4)&amp;"¦"&amp;INDEX(_xlpm.nd,5),"")))</f>
        <v/>
      </c>
      <c r="HN15" t="str">
        <f t="shared" si="104"/>
        <v/>
      </c>
      <c r="HO15" t="str" cm="1">
        <f t="array" ref="HO15">IF(HF15="","",_xlfn.LET(_xlpm.nd,_xlfn.TEXTSPLIT(HF15,"|"),IF(COLUMNS(_xlpm.nd)&gt;5,A15&amp;"¦"&amp;INDEX(_xlpm.nd,5)&amp;"¦"&amp;INDEX(_xlpm.nd,6),"")))</f>
        <v/>
      </c>
      <c r="HP15" t="str">
        <f t="shared" si="105"/>
        <v/>
      </c>
      <c r="HQ15" t="str" cm="1">
        <f t="array" ref="HQ15">IF(HF15="","",_xlfn.LET(_xlpm.nd,_xlfn.TEXTSPLIT(HF15,"|"),IF(COLUMNS(_xlpm.nd)&gt;6,A15&amp;"¦"&amp;INDEX(_xlpm.nd,6)&amp;"¦"&amp;INDEX(_xlpm.nd,7),"")))</f>
        <v/>
      </c>
      <c r="HR15" t="str">
        <f t="shared" si="106"/>
        <v/>
      </c>
      <c r="HS15" t="str">
        <f t="shared" si="107"/>
        <v/>
      </c>
      <c r="HT15" t="str">
        <f t="shared" si="108"/>
        <v>QF13</v>
      </c>
      <c r="HU15">
        <f t="shared" si="109"/>
        <v>0</v>
      </c>
      <c r="HV15">
        <f t="shared" si="110"/>
        <v>0</v>
      </c>
      <c r="HW15" t="str">
        <f t="shared" si="111"/>
        <v/>
      </c>
      <c r="HX15" t="str">
        <f t="shared" si="112"/>
        <v/>
      </c>
      <c r="HY15" t="str">
        <f t="shared" si="113"/>
        <v/>
      </c>
      <c r="HZ15" t="str">
        <f t="shared" si="114"/>
        <v/>
      </c>
      <c r="IA15">
        <f>IF(B15="","",IFERROR(VLOOKUP(B15,УГО_спр,2,FALSE),IFERROR(VLOOKUP(AX15,УГО_спр,2,FALSE),IFERROR(VLOOKUP(LEFT(AX15,2),УГО_спр,2,FALSE),""))))</f>
        <v>0</v>
      </c>
      <c r="IB15" t="str">
        <f>IF(B15="","",IF(OR(IA15="",IA15=0),"BOX",IFERROR(IF(VLOOKUP(IA15,УГО_блоки,3,FALSE)&amp;""&lt;&gt;"",VLOOKUP(IA15,УГО_блоки,3,FALSE),VLOOKUP(IA15,УГО_блоки,2,FALSE)),IA15)))</f>
        <v>BOX</v>
      </c>
      <c r="IC15">
        <f t="shared" si="115"/>
        <v>1</v>
      </c>
      <c r="ID15" t="str">
        <f>IF(DA15="","",IF(COUNTIF(DA$3:DA15,DA15)=1,MAX(ID$2:ID14)+1,""))</f>
        <v/>
      </c>
      <c r="IE15" t="str">
        <f>IF(CO15="","",IF(COUNTIF(CO$3:CO15,CO15)+COUNTIF(CP$2:CP14,CO15)+COUNTIF(CQ$2:CQ14,CO15)=1,MAX(IE$2:IG14)+1,""))</f>
        <v/>
      </c>
      <c r="IF15" t="str">
        <f>IF(CP15="","",IF(COUNTIF(CO$3:CO15,CP15)+COUNTIF(CP$3:CP15,CP15)+COUNTIF(CQ$2:CQ14,CP15)=1,MAX(IE$2:IG14,IE15)+1,""))</f>
        <v/>
      </c>
      <c r="IG15" t="str">
        <f>IF(CQ15="","",IF(COUNTIF(CO$3:CO15,CQ15)+COUNTIF(CP$3:CP15,CQ15)+COUNTIF(CQ$3:CQ15,CQ15)=1,MAX(IE$2:IG14,IE15,IF15)+1,""))</f>
        <v/>
      </c>
      <c r="IH15" t="str">
        <f t="shared" si="116"/>
        <v>5х4</v>
      </c>
      <c r="II15" t="str">
        <f>IF(IH15="","",IF(COUNTIF(IH$3:IH15,IH15)=1,MAX(II$2:II14)+1,""))</f>
        <v/>
      </c>
      <c r="IJ15" t="str">
        <f>IF(GL15="","",COUNTIF(GL$3:GL15,"?*"))</f>
        <v/>
      </c>
      <c r="IK15" t="str">
        <f>IF(OR(GL15="",GN15=""),"",IF(COUNTIFS(GL$3:GL15,"?*",GN$3:GN15,GN15)=1,MAX(IK$2:IK14)+1,""))</f>
        <v/>
      </c>
      <c r="IL15">
        <f t="shared" si="117"/>
        <v>0</v>
      </c>
      <c r="IM15">
        <f>IF(B15="","",COUNTIF(B$3:B15,"?*"))</f>
        <v>13</v>
      </c>
      <c r="IN15">
        <f>IF(GQ15&lt;&gt;1,0,_xlfn.LET(_xlpm.k,MAX(IFERROR(--VLOOKUP(B15,УГО_спр,5,FALSE),0),IFERROR(--VLOOKUP(AX15,УГО_спр,5,FALSE),0),IFERROR(--VLOOKUP(LEFT(AX15,2),УГО_спр,5,FALSE),0)),IF(_xlpm.k&gt;0,_xlpm.k,IF(IFERROR(--LEFT(SUBSTITUTE(IH15,"x","х"),FIND("х",SUBSTITUTE(IH15,"x","х"))-1),3)&gt;3,Каталог!$S$9,1))))</f>
        <v>1</v>
      </c>
      <c r="IO15">
        <f t="shared" si="118"/>
        <v>2</v>
      </c>
      <c r="IP15" t="str">
        <f t="shared" si="119"/>
        <v>авто</v>
      </c>
      <c r="IQ15" t="str">
        <f t="shared" si="120"/>
        <v/>
      </c>
      <c r="IR15">
        <f t="shared" si="121"/>
        <v>0</v>
      </c>
      <c r="IS15">
        <f t="shared" si="122"/>
        <v>1</v>
      </c>
    </row>
    <row r="16" spans="1:253" x14ac:dyDescent="0.3">
      <c r="A16" t="s">
        <v>785</v>
      </c>
      <c r="B16" t="s">
        <v>763</v>
      </c>
      <c r="C16" t="s">
        <v>762</v>
      </c>
      <c r="D16">
        <v>1</v>
      </c>
      <c r="E16">
        <v>24.99</v>
      </c>
      <c r="G16">
        <v>40</v>
      </c>
      <c r="H16" t="str">
        <f>Линии[[#This Row],[_авто утечка]]</f>
        <v/>
      </c>
      <c r="I16" t="str">
        <f>Линии[[#This Row],[_авто управление]]</f>
        <v/>
      </c>
      <c r="J16" t="str">
        <f>Линии[[#This Row],[_авто аппараты]]</f>
        <v/>
      </c>
      <c r="K16">
        <v>10</v>
      </c>
      <c r="L16">
        <v>51</v>
      </c>
      <c r="M16" t="str">
        <f>Линии[[#This Row],[_авто фаза]]</f>
        <v>L1,L2,L3</v>
      </c>
      <c r="N16" t="s">
        <v>486</v>
      </c>
      <c r="O16" t="str">
        <f t="shared" si="0"/>
        <v/>
      </c>
      <c r="P16" s="6" cm="1">
        <f t="array" ref="P16">IF(B16="","",IF(BC16&lt;&gt;"",IFERROR(_xlfn.XLOOKUP(BC16,Щиты[Щит],Щиты[Iр, А]),""),IF(BK16=1,IFERROR(_xlfn.XLOOKUP(A16,Щиты[Щит],Щиты[Iр, А]),""),IFERROR(_xlfn.IFS(BR16=1,BN16/((Uн_лин/SQRT(3))*BY16),BR16=3,BN16/(SQRT(3)*Uн_лин*BY16)),""))))</f>
        <v>22.54372379226367</v>
      </c>
      <c r="Q16" s="7">
        <f>IF(B16="","",IFERROR(IF(VLOOKUP(AX16,Потребители_обозначение,4,FALSE)=1,VLOOKUP(AX16,Потребители_обозначение,3,FALSE)*(D16*2-1)+DS16+VLOOKUP(AZ16,Этаж_обозначение,3,FALSE)+VLOOKUP(AZ16,Этаж_обозначение,4,FALSE),VLOOKUP(AX16,Потребители_обозначение,3,FALSE)*(D16*2-1)+DS16),DS16))</f>
        <v>53</v>
      </c>
      <c r="R16" s="6">
        <f t="shared" si="1"/>
        <v>0.96</v>
      </c>
      <c r="S16" t="str">
        <f t="shared" si="2"/>
        <v>ВВГнг(А)-LS (5х10)</v>
      </c>
      <c r="T16" t="str">
        <f>IF(BH16="","",IF(BI16="вводной узел","узел ","")&amp;"л."&amp;(INT((BH16-1)/Столбцов_на_лист)+1)&amp;" / "&amp;(MOD(BH16-1,Столбцов_на_лист)+1))</f>
        <v>л.3 / 10</v>
      </c>
      <c r="V16">
        <v>3</v>
      </c>
      <c r="W16">
        <v>400</v>
      </c>
      <c r="X16" t="s">
        <v>600</v>
      </c>
      <c r="Y16">
        <v>0.5</v>
      </c>
      <c r="AA16">
        <v>1</v>
      </c>
      <c r="AC16" t="s">
        <v>862</v>
      </c>
      <c r="AE16" t="s">
        <v>602</v>
      </c>
      <c r="AI16">
        <v>44</v>
      </c>
      <c r="AJ16" t="s">
        <v>11</v>
      </c>
      <c r="AK16">
        <v>5</v>
      </c>
      <c r="AM16">
        <v>35</v>
      </c>
      <c r="AN16">
        <v>11</v>
      </c>
      <c r="AO16">
        <v>0</v>
      </c>
      <c r="AW16" cm="1">
        <f t="array" ref="AW16">ROW()-ROW(Линии[#Headers])</f>
        <v>14</v>
      </c>
      <c r="AX16" s="6" t="str">
        <f t="shared" si="3"/>
        <v>ЩС-Б</v>
      </c>
      <c r="AY16" t="str">
        <f t="shared" si="4"/>
        <v/>
      </c>
      <c r="AZ16" t="str">
        <f t="shared" si="5"/>
        <v/>
      </c>
      <c r="BA16" t="str">
        <f t="shared" si="6"/>
        <v/>
      </c>
      <c r="BB16" t="str">
        <f t="shared" si="7"/>
        <v/>
      </c>
      <c r="BC16" t="str">
        <f>IF(U16&lt;&gt;"",U16,IF(AND(B16&lt;&gt;"",B16&lt;&gt;A16,ISNUMBER(_xlfn.XMATCH(B16,Щиты[Щит]))),B16,""))</f>
        <v>ЩС-Б</v>
      </c>
      <c r="BD16" t="str" cm="1">
        <f t="array" ref="BD16">IF(B16="","",IF(BC16&lt;&gt;"","Щит "&amp;BC16,_xlfn.LET(_xlpm.nm,IFERROR(_xlfn.XLOOKUP(AX16,Коды_код,Коды_имя)&amp;"",""),_xlpm.md,IFERROR(N(_xlfn.XLOOKUP(AX16,Коды_код,Коды_режим)),1),_xlpm.ex,IF(Имя_режим="по экспликации",IFERROR(_xlfn.XLOOKUP(AZ16&amp;"|"&amp;BB16,Экспликация[Этаж]&amp;"|"&amp;Экспликация[Помещение],Экспликация[Название])&amp;"",""),""),_xlpm.rm,IF(BB16="","",IF(_xlpm.ex&lt;&gt;"",". "&amp;_xlpm.ex&amp;IF(Имя_пом="нет"," ("&amp;BB16&amp;")"," (пом. "&amp;BB16&amp;")"),IF(Имя_пом="нет"," ",", пом. ")&amp;BB16)),IF(_xlpm.nm="","",IF(_xlpm.md=2,_xlpm.nm&amp;" шлейф "&amp;AZ16,_xlpm.nm&amp;_xlpm.rm)))))</f>
        <v>Щит ЩС-Б</v>
      </c>
      <c r="BE16" t="str">
        <f t="shared" si="8"/>
        <v>Щит бассейна ЩС-Б Подвальный этаж этаж Пом. №00.002Тб</v>
      </c>
      <c r="BF16">
        <f>IFERROR(_xlfn.XMATCH(A16,Щиты[Щит]),0)</f>
        <v>1</v>
      </c>
      <c r="BG16">
        <f>_xlfn.LET(_xlpm.k,IFERROR(_xlfn.XLOOKUP(A16,Щиты[Щит],Щиты[Листов под вводной узел]),""),IF(_xlpm.k="",1,N(_xlpm.k))*Столбцов_на_лист)</f>
        <v>17</v>
      </c>
      <c r="BH16">
        <f t="shared" si="9"/>
        <v>44</v>
      </c>
      <c r="BI16" t="str">
        <f t="shared" si="10"/>
        <v>линии</v>
      </c>
      <c r="BJ16" s="6">
        <f>IFERROR(N(_xlfn.XLOOKUP(AX16,Коды_код,Коды_квт)),0)</f>
        <v>0</v>
      </c>
      <c r="BK16">
        <f t="shared" si="11"/>
        <v>0</v>
      </c>
      <c r="BL16">
        <f>IF(B16="","",IF(BC16&lt;&gt;"",IFERROR(_xlfn.XLOOKUP(BC16,Щиты[Щит],Щиты[Руст, кВт]),0),IF(BK16=1,IFERROR(_xlfn.XLOOKUP(A16,Щиты[Щит],Щиты[Руст, кВт]),0),IF(BJ16&gt;0,ROUND(BJ16*MAX(1,N(D16)),3),""))))</f>
        <v>24.990000000000002</v>
      </c>
      <c r="BM16">
        <f t="shared" si="12"/>
        <v>24.99</v>
      </c>
      <c r="BN16" s="6">
        <f>IF(B16="","",IF(BC16&lt;&gt;"",IFERROR(_xlfn.XLOOKUP(BC16,Щиты[Щит],Щиты[Руст, кВт]),0),N(BM16)))</f>
        <v>24.990000000000002</v>
      </c>
      <c r="BO16" t="str">
        <f>IF(B16="","",IFERROR(IF(VLOOKUP(AX16,Потребители_обозначение,8,FALSE)=0,"",VLOOKUP(AX16,Потребители_обозначение,8,FALSE)),""))</f>
        <v/>
      </c>
      <c r="BP16">
        <f t="shared" si="13"/>
        <v>400</v>
      </c>
      <c r="BQ16">
        <f>IF(B16="","",IF(BC16&lt;&gt;"",3,IFERROR(IF(N(VLOOKUP(AX16,Потребители_обозначение,9,FALSE))=0,1,VLOOKUP(AX16,Потребители_обозначение,9,FALSE)),1)))</f>
        <v>3</v>
      </c>
      <c r="BR16">
        <f t="shared" si="14"/>
        <v>3</v>
      </c>
      <c r="BS16" t="str">
        <f>IF(B16="","",_xlfn.LET(_xlpm.bc,IFERROR(IF(VLOOKUP(AX16,Потребители_обозначение,6,FALSE)=0,"",VLOOKUP(AX16,Потребители_обозначение,6,FALSE)&amp;""),""),IF(AND(FK16="да",OR(_xlpm.bc="",_xlpm.bc="мс")),Марка_пож,IF(AND(_xlpm.bc="",BC16&lt;&gt;""),"мс",_xlpm.bc))))</f>
        <v>мс</v>
      </c>
      <c r="BT16" t="str">
        <f t="shared" si="15"/>
        <v>мс</v>
      </c>
      <c r="BU16">
        <f>IF(B16="","",_xlfn.LET(_xlpm.cc,IFERROR(N(VLOOKUP(AX16,Потребители_обозначение,7,FALSE)),0),IF(_xlpm.cc&gt;0,_xlpm.cc,IF(BT16="","",IF(N(BR16)=3,5,3)))))</f>
        <v>5</v>
      </c>
      <c r="BV16">
        <f t="shared" si="16"/>
        <v>5</v>
      </c>
      <c r="BW16">
        <f>IFERROR(N(VLOOKUP(AX16,Потребители_обозначение,10,FALSE)),0)</f>
        <v>0</v>
      </c>
      <c r="BX16">
        <f>IFERROR(VLOOKUP(AX16,Потребители_обозначение,5,FALSE),0)</f>
        <v>1</v>
      </c>
      <c r="BY16" s="6" cm="1">
        <f t="array" ref="BY16">IF(B16="","",IF(BC16&lt;&gt;"",IFERROR(_xlfn.XLOOKUP(BC16,Щиты[Щит],Щиты[cos φ]),0.95),IF(BK16=1,IFERROR(_xlfn.XLOOKUP(A16,Щиты[Щит],Щиты[cos φ]),0.95),IF(ISNUMBER(Z16),Z16,IFERROR(IF(BX16=2,_xlfn.IFS(BR16=3,VLOOKUP(BN16,Справочная_двигатели,8,FALSE),BR16=1,VLOOKUP(BN16,Справочная_двигатели,10,TRUE)),IF(AND(Методика="нормы 2026",EQ16="Сил"),0.8,0.95)),0.95)))))</f>
        <v>0.79999999999999993</v>
      </c>
      <c r="BZ16">
        <f t="shared" si="17"/>
        <v>0</v>
      </c>
      <c r="CA16">
        <f t="shared" si="18"/>
        <v>1</v>
      </c>
      <c r="CB16">
        <f t="shared" si="19"/>
        <v>0</v>
      </c>
      <c r="CC16">
        <f t="shared" si="20"/>
        <v>0</v>
      </c>
      <c r="CD16">
        <f t="shared" si="21"/>
        <v>0</v>
      </c>
      <c r="CE16">
        <f t="shared" si="22"/>
        <v>0</v>
      </c>
      <c r="CF16">
        <f t="shared" si="23"/>
        <v>0</v>
      </c>
      <c r="CG16">
        <f>IF(AX16="",0,_xlfn.LET(_xlpm.v,IFERROR(VLOOKUP(B16,УГО_спр,3,FALSE),IFERROR(VLOOKUP(AX16,УГО_спр,3,FALSE),IFERROR(VLOOKUP(LEFT(AX16,2),УГО_спр,3,FALSE),""))),IF(_xlpm.v="да",30,IF(ISNUMBER(_xlpm.v),_xlpm.v,0))))</f>
        <v>0</v>
      </c>
      <c r="CH16" t="str">
        <f t="shared" si="24"/>
        <v/>
      </c>
      <c r="CI16" t="str">
        <f>_xlfn.LET(_xlpm.k,IFERROR(_xlfn.XLOOKUP(AX16,Коды_код,Коды_утечка)&amp;"",""),IF(_xlpm.k="","дифавтомат",_xlpm.k))</f>
        <v>дифавтомат</v>
      </c>
      <c r="CJ16">
        <f t="shared" si="25"/>
        <v>0</v>
      </c>
      <c r="CK16">
        <f t="shared" si="26"/>
        <v>0</v>
      </c>
      <c r="CL16">
        <f>IF(B16="",0,IFERROR(--VLOOKUP(B16,УГО_спр,4,FALSE),IFERROR(--VLOOKUP(AX16,УГО_спр,4,FALSE),IFERROR(--VLOOKUP(LEFT(AX16,2),УГО_спр,4,FALSE),0))))</f>
        <v>0</v>
      </c>
      <c r="CM16" t="str">
        <f>IF(B16="","",IFERROR(_xlfn.XLOOKUP(AX16,Коды_код,Коды_апп)&amp;"",""))</f>
        <v/>
      </c>
      <c r="CN16" t="str">
        <f t="shared" si="27"/>
        <v/>
      </c>
      <c r="CO16" t="str" cm="1">
        <f t="array" ref="CO16">IF(TRIM(CN16&amp;"")="","",IFERROR(TRIM(INDEX(_xlfn.TEXTSPLIT(CN16&amp;";;;",";"),1)),""))</f>
        <v/>
      </c>
      <c r="CP16" t="str" cm="1">
        <f t="array" ref="CP16">IF(TRIM(CN16&amp;"")="","",IFERROR(TRIM(INDEX(_xlfn.TEXTSPLIT(CN16&amp;";;;",";"),2)),""))</f>
        <v/>
      </c>
      <c r="CQ16" t="str" cm="1">
        <f t="array" ref="CQ16">IF(TRIM(CN16&amp;"")="","",IFERROR(TRIM(INDEX(_xlfn.TEXTSPLIT(CN16&amp;";;;",";"),3)),""))</f>
        <v/>
      </c>
      <c r="CR16">
        <f t="shared" si="28"/>
        <v>0</v>
      </c>
      <c r="CS16" t="str">
        <f>IF(B16="","",_xlfn.LET(_xlpm.t,LOWER(AV16&amp;""),IF(ISNUMBER(SEARCH("dim",_xlpm.t)),"DIM",IF(ISNUMBER(SEARCH("dali",_xlpm.t)),"DALI",IF(OR(ISNUMBER(SEARCH("relay",_xlpm.t)),ISNUMBER(SEARCH("реле",_xlpm.t))),"Relay",IF(ISNUMBER(SEARCH("кнопк",_xlpm.t)),"",IFERROR(_xlfn.XLOOKUP(AX16,Коды_код,Коды_упр)&amp;"","")))))))</f>
        <v/>
      </c>
      <c r="CT16" t="str">
        <f t="shared" si="29"/>
        <v/>
      </c>
      <c r="CU16">
        <f>IF(B16="","",_xlfn.LET(_xlpm.ig,N(P16)+IF(AF16="вручную",0,N(CB16)),_xlpm.n0,IFERROR(VLOOKUP(_xlpm.ig,Автомат_номиналы,2,TRUE),0),_xlpm.mn,MAX(CL16,IF(AF16="вручную",0,N(CE16))),MAX(_xlpm.n0,_xlpm.mn,IF(CR16=1,Мин_автомат_БП,0))))</f>
        <v>32</v>
      </c>
      <c r="CV16">
        <f t="shared" si="30"/>
        <v>3</v>
      </c>
      <c r="CW16" t="str">
        <f t="shared" si="31"/>
        <v>3P</v>
      </c>
      <c r="CX16" t="str">
        <f>_xlfn.LET(_xlpm.cc,UPPER(TRIM(IFERROR(_xlfn.XLOOKUP(AX16,Коды_код,Коды_хар)&amp;"",""))),IF(OR(_xlpm.cc="B",_xlpm.cc="В"),"B",IF(_xlpm.cc="D","D","С")))</f>
        <v>С</v>
      </c>
      <c r="CY16" t="str">
        <f t="shared" si="32"/>
        <v>3P С32А</v>
      </c>
      <c r="CZ16">
        <f t="shared" si="33"/>
        <v>40</v>
      </c>
      <c r="DA16" t="str">
        <f t="shared" si="34"/>
        <v>3P С40А</v>
      </c>
      <c r="DB16" cm="1">
        <f t="array" ref="DB16">IF(DA16="","",_xlfn.LET(_xlpm.t,SUBSTITUTE(SUBSTITUTE(SUBSTITUTE(UPPER(DA16),"С","C"),"А","A"),"В","B"),_xlpm.tk,_xlfn.TEXTSPLIT(_xlpm.t,"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16" t="str">
        <f t="shared" si="35"/>
        <v>ok</v>
      </c>
      <c r="DD16">
        <f t="shared" si="36"/>
        <v>40</v>
      </c>
      <c r="DE16" t="str">
        <f t="shared" si="37"/>
        <v>3P С40А</v>
      </c>
      <c r="DF16">
        <f t="shared" si="38"/>
        <v>0</v>
      </c>
      <c r="DG16">
        <f t="shared" si="39"/>
        <v>0</v>
      </c>
      <c r="DH16">
        <f t="shared" si="40"/>
        <v>0</v>
      </c>
      <c r="DI16">
        <f t="shared" si="41"/>
        <v>22.54372379226367</v>
      </c>
      <c r="DJ16">
        <f t="shared" si="42"/>
        <v>0.92</v>
      </c>
      <c r="DK16">
        <f>IF(ISNUMBER(AL16),AL16,К_прокл)</f>
        <v>1</v>
      </c>
      <c r="DL16">
        <f t="shared" si="43"/>
        <v>3</v>
      </c>
      <c r="DM16">
        <f>IFERROR(N(VLOOKUP(BT16,Кабель_обозначение,3,FALSE)),1)</f>
        <v>1</v>
      </c>
      <c r="DN16">
        <f>IFERROR(N(_xlfn.XLOOKUP(A16,Щиты[Щит],Щиты[ΔU до шин, %])),0)</f>
        <v>0</v>
      </c>
      <c r="DO16" t="str">
        <f>IFERROR(_xlfn.XLOOKUP(A16,Щиты[Щит],Щиты[Zпетли на шинах, Ом]),"")</f>
        <v/>
      </c>
      <c r="DP16">
        <f>IFERROR(N(_xlfn.XLOOKUP(A16,Щиты[Щит],Щиты[ΔU до шин (подбор), %])),0)</f>
        <v>0</v>
      </c>
      <c r="DQ16" t="str">
        <f>IFERROR(_xlfn.XLOOKUP(A16,Щиты[Щит],Щиты[Zпетли на шинах (подбор), Ом]),"")</f>
        <v/>
      </c>
      <c r="DR16" t="str">
        <f t="shared" si="44"/>
        <v/>
      </c>
      <c r="DS16">
        <f t="shared" si="45"/>
        <v>51</v>
      </c>
      <c r="DT16">
        <f t="shared" si="46"/>
        <v>1</v>
      </c>
      <c r="DU16">
        <f t="shared" si="47"/>
        <v>0.6</v>
      </c>
      <c r="DV16" s="6">
        <f>IF(B16="","",IF(IFERROR(VLOOKUP(AX16,УГО_спр,2,FALSE),"")="Светильник",3,4)+IF(Методика="нормы 2026",MIN(0.5,MAX(0,N(Q16)-100)*0.005),0))</f>
        <v>4</v>
      </c>
      <c r="DW16" cm="1">
        <f t="array" ref="DW16">IF(OR(B16="",BT16="",DM16&lt;&gt;1),"",_xlfn.LET(_xlpm.sz,Iдоп_S,_xlpm.t_,CHOOSE(DL16,Iдоп_1ж,Iдоп_2ж,Iдоп_3ж)*DJ16*DK16,_xlpm.inn,N(DD16),_xlpm.smin,MAX(1.5,BW16),_xlpm.L_,N(Q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16)*(_xlpm.rho*_xlpm.L_/_xlpm.sz*N(BY16)+_xlpm.xx*_xlpm.L_*N(DU16)/1000)*N(P16)/((Uн_лин/SQRT(3))*1000)*100,999),_xlpm.kz,IF(OR(DG16=1,NOT(ISNUMBER(DQ16)),_xlpm.L_=0,_xlpm.inn=0),1,IFERROR(--(c_min*(Uн_лин*1000/SQRT(3))/(DQ16+2*ρкз_Cu*_xlpm.L_/_xlpm.sz)&gt;=GY16*_xlpm.inn),0)),_xlpm.ok,IFERROR((_xlpm.sz&gt;=_xlpm.smin)*(_xlpm.t_&gt;=_xlpm.inn)*IF(_xlpm.L_&gt;0,(_xlpm.du_+DP16&lt;=DV16+0.00001),1)*_xlpm.kz,0),_xlpm.r_,_xlfn._xlws.FILTER(_xlpm.sz,_xlpm.ok,"не подобрано"),INDEX(_xlpm.r_,1)))</f>
        <v>10</v>
      </c>
      <c r="DX16">
        <f t="shared" si="48"/>
        <v>10</v>
      </c>
      <c r="DY16" cm="1">
        <f t="array" ref="DY16">IF(OR(B16="",BT16="",DM16&lt;&gt;1),"",_xlfn.LET(_xlpm.sz,Iдоп_S,_xlpm.t_,CHOOSE(DL16,Iдоп_1ж,Iдоп_2ж,Iдоп_3ж)*DJ16*DK16,_xlpm.ok,IFERROR((_xlpm.sz&gt;=MAX(1.5,BW16))*(_xlpm.t_&gt;=N(DD16)),0),_xlpm.r_,_xlfn._xlws.FILTER(_xlpm.sz,_xlpm.ok,""),INDEX(_xlpm.r_,1)))</f>
        <v>10</v>
      </c>
      <c r="DZ16" s="6" cm="1">
        <f t="array" ref="DZ16">IFERROR(ROUNDUP(N(DT16)*(_xlfn.XLOOKUP(DY16,INDEX(Кабель_сопротивление,0,1),INDEX(Кабель_сопротивление,0,3))*N(Q16)/DY16*N(BY16)+_xlfn.XLOOKUP(DY16,INDEX(Кабель_сопротивление,0,1),INDEX(Кабель_сопротивление,0,2))*N(Q16)*N(DU16)/1000)*N(P16)/((Uн_лин/SQRT(3))*1000)*100,2),"")</f>
        <v>0.96</v>
      </c>
      <c r="EA16">
        <f>IFERROR(2*ρкз_Cu*N(Q16)/DY16,"")</f>
        <v>0.27877999999999997</v>
      </c>
      <c r="EB16">
        <f>IFERROR(VLOOKUP(DX16,Кабель_сопротивление,3,FALSE),"")</f>
        <v>2.2499999999999999E-2</v>
      </c>
      <c r="EC16">
        <f>IFERROR(VLOOKUP(DX16,Кабель_сопротивление,2,FALSE),"")</f>
        <v>7.2999999999999995E-2</v>
      </c>
      <c r="ED16">
        <f t="shared" si="49"/>
        <v>11</v>
      </c>
      <c r="EE16">
        <f t="shared" si="50"/>
        <v>0</v>
      </c>
      <c r="EF16">
        <f t="shared" si="51"/>
        <v>2.2030042501933145</v>
      </c>
      <c r="EG16" s="6">
        <f>IFERROR(ROUNDUP(EF16/((Uн_лин/SQRT(3))*1000)*100,2),"")</f>
        <v>0.96</v>
      </c>
      <c r="EH16" t="str">
        <f>IFERROR(VLOOKUP(BT16,Кабель_обозначение,2,FALSE),"")</f>
        <v>ВВГнг(А)-LS</v>
      </c>
      <c r="EI16" t="str">
        <f t="shared" si="52"/>
        <v>ВВГнг(А)-LS (5х10)</v>
      </c>
      <c r="EJ16" t="str">
        <f t="shared" si="53"/>
        <v>ВВГнг(А)-LS (5х10)
L=53-0,96%</v>
      </c>
      <c r="EK16">
        <f>IFERROR(2*ρкз_Cu*Q16/DX16,"")</f>
        <v>0.27877999999999997</v>
      </c>
      <c r="EL16">
        <f t="shared" si="54"/>
        <v>9.2750000000000013E-2</v>
      </c>
      <c r="EM16" s="6" t="str">
        <f>IFERROR(IF(OR(B16="",NOT(ISNUMBER(DX16)),N(Q16)=0),"",_xlfn.XLOOKUP(A16,Щиты[Щит],Щиты[Zпетли на шинах, Ом])+EK16),"")</f>
        <v/>
      </c>
      <c r="EN16" s="6" t="str">
        <f>IF(ISNUMBER(EM16),c_min*(Uн_лин*1000/SQRT(3))/EM16,"")</f>
        <v/>
      </c>
      <c r="EO16" s="6" t="str">
        <f>IFERROR(IF(OR(B16="",NOT(ISNUMBER(DX16))),"",1.05*(Uн_лин*1000/SQRT(3))/(_xlfn.XLOOKUP(A16,Щиты[Щит],Щиты[Zmax на шинах, Ом])+EL16)/1000),"")</f>
        <v/>
      </c>
      <c r="EP16" s="6" t="str">
        <f>IF(B16="","",IF(ISNUMBER(Y16),"Сил",IF(IFERROR(_xlfn.XLOOKUP(AX16,Коды_код,Коды_группа)&amp;"","")="","Быт",_xlfn.XLOOKUP(AX16,Коды_код,Коды_группа)&amp;"")))</f>
        <v>Сил</v>
      </c>
      <c r="EQ16" s="6" t="str">
        <f t="shared" si="55"/>
        <v>Щит</v>
      </c>
      <c r="ER16" s="6" t="str">
        <f>IF(EQ16="Щит","щит",IF(EQ16="","",IF(EQ16="Быт",IFERROR(_xlfn.XLOOKUP(A16,Щиты[Щит],Щиты[Кс быт]),1),IF(EQ16="Сил",IF(ISNUMBER(Y16),Y16,IF(Методика="нормы 2026",IFERROR(_xlfn.XLOOKUP(A16,Щиты[Щит],Щиты[Кс силовых (табл. 7.5)]),1),1)),IF(OR(EQ16="Пост",EQ16="Отоп"),1,IF(EQ16="ВНГ",0.7,0))))))</f>
        <v>щит</v>
      </c>
      <c r="ES16">
        <f t="shared" si="56"/>
        <v>1</v>
      </c>
      <c r="ET16">
        <f t="shared" si="57"/>
        <v>0</v>
      </c>
      <c r="EU16">
        <f t="shared" si="58"/>
        <v>0</v>
      </c>
      <c r="EV16">
        <f t="shared" si="59"/>
        <v>0</v>
      </c>
      <c r="EW16">
        <f t="shared" si="60"/>
        <v>0</v>
      </c>
      <c r="EX16">
        <f t="shared" si="61"/>
        <v>0</v>
      </c>
      <c r="EY16">
        <f t="shared" si="62"/>
        <v>0</v>
      </c>
      <c r="EZ16">
        <f t="shared" si="63"/>
        <v>0</v>
      </c>
      <c r="FA16">
        <f t="shared" si="64"/>
        <v>0</v>
      </c>
      <c r="FB16">
        <f t="shared" si="65"/>
        <v>24.990000000000002</v>
      </c>
      <c r="FC16" t="str">
        <f t="shared" si="66"/>
        <v/>
      </c>
      <c r="FD16" t="str">
        <f>IF(B16="","",IF(CA16=0,IF(AW16=1,"",FF15),IF(OR(N(CV16)&gt;=3,N(BR16)&gt;=3),"L1,L2,L3",IFERROR(_xlfn.TEXTBEFORE(_xlfn.TEXTAFTER(_xlfn.XLOOKUP(A16,Щиты[Щит],Щиты[_фазы авто]),";"&amp;AW16&amp;":"),";"),"L1"))))</f>
        <v>L1,L2,L3</v>
      </c>
      <c r="FE16" t="str">
        <f t="shared" si="67"/>
        <v>L1,L2,L3</v>
      </c>
      <c r="FF16" t="str">
        <f t="shared" si="68"/>
        <v>L1,L2,L3</v>
      </c>
      <c r="FG16" cm="1">
        <f t="array" ref="FG16">IFERROR(IF(BX16=2,_xlfn.IFS(BR16=3,VLOOKUP(BN16,Справочная_двигатели,3,FALSE),BR16=1,VLOOKUP(BN16,Справочная_двигатели,5,TRUE)),0),0)</f>
        <v>0</v>
      </c>
      <c r="FH16">
        <f>IFERROR(IF(BX16=3,VLOOKUP(BN16,Справочная_ЛЭД,2,TRUE),0),0)</f>
        <v>0</v>
      </c>
      <c r="FI16" s="6">
        <f t="shared" si="69"/>
        <v>0</v>
      </c>
      <c r="FJ16" t="str" cm="1">
        <f t="array" ref="FJ16">IF(B16="","",IFERROR(INDEX({"I особая","I","II","III"},MATCH(TRIM(AC16&amp;""),{"I особая","I","II","III"},0)),"III"))</f>
        <v>III</v>
      </c>
      <c r="FK16" t="str">
        <f>IF(B16="","",IF(TRIM(AD16&amp;"")&lt;&gt;"",IF(LOWER(TRIM(AD16&amp;""))="да","да","нет"),IF(IFERROR(_xlfn.XLOOKUP(AX16,Коды_код,Коды_пожарная),"")="да","да","нет")))</f>
        <v>нет</v>
      </c>
      <c r="FL16" t="str">
        <f t="shared" si="70"/>
        <v/>
      </c>
      <c r="FM16" t="str">
        <f t="shared" si="71"/>
        <v>основная</v>
      </c>
      <c r="FN16">
        <f t="shared" si="72"/>
        <v>1</v>
      </c>
      <c r="FO16" t="str" cm="1">
        <f t="array" ref="FO16">IF(B16="","",_xlfn.LET(_xlpm.t,IFERROR(_xlfn.XLOOKUP(1,(Шины[Шина]=FM16)*(((Шины[Щит]=A16)+(Шины[Щит]=""))&gt;0),Шины[Тип]),"")&amp;"",IF(_xlpm.t&lt;&gt;"",_xlpm.t,IF(ISNUMBER(SEARCH("ИБП",FM16)),"ИБП",IF(ISNUMBER(SEARCH("ДГУ",FM16)),"ДГУ","Ввод "&amp;FN16)))))</f>
        <v>Ввод 1</v>
      </c>
      <c r="FP16" t="str">
        <f t="shared" si="73"/>
        <v>Ввод 1</v>
      </c>
      <c r="FQ16" t="str">
        <f>IF(B16="","",IF(OR(FO16="ИБП",FO16="ДГУ"),"I особая",IF(FO16="Одиночная","III",_xlfn.XLOOKUP(A16,Щиты[Щит],Щиты[Категория шины «Ввод»],"III"))))</f>
        <v>I</v>
      </c>
      <c r="FR16">
        <f>IF(B16="",0,IFERROR(MATCH(FJ16,{"III","II","I","I особая"},0),1))</f>
        <v>1</v>
      </c>
      <c r="FS16">
        <f t="shared" si="74"/>
        <v>1</v>
      </c>
      <c r="FT16" t="str">
        <f>IF(B16="","",IF(FR16&gt;IFERROR(MATCH(FQ16,{"III","II","I","I особая"},0),1),"НЕ ОБЕСПЕЧЕНА","ОК"))</f>
        <v>ОК</v>
      </c>
      <c r="FU16" t="str">
        <f>IF(A16="","",_xlfn.XLOOKUP(A16,Щиты[Щит],Щиты[Путь],""))</f>
        <v>|ГРЩ-ЖД|</v>
      </c>
      <c r="FV16" t="str">
        <f>IF(B16="","",IF(AE16&lt;&gt;"",AE16,IF(IFERROR(_xlfn.XLOOKUP(AX16,Коды_код,Коды_вид)&amp;"","")="","Прочее",_xlfn.XLOOKUP(AX16,Коды_код,Коды_вид)&amp;"")))</f>
        <v>Бассейн, SPA, хаммам</v>
      </c>
      <c r="FW16">
        <f>IF(BH16="","",INT((BH16-1)/Столбцов_на_лист)+1)</f>
        <v>3</v>
      </c>
      <c r="FX16" t="str">
        <f t="shared" si="75"/>
        <v>ВВГнг(А)-LS (5х10) L=53-0,96%</v>
      </c>
      <c r="FY16">
        <f t="shared" si="76"/>
        <v>24.990000000000002</v>
      </c>
      <c r="FZ16">
        <f t="shared" si="77"/>
        <v>22.55</v>
      </c>
      <c r="GA16">
        <f t="shared" si="78"/>
        <v>3</v>
      </c>
      <c r="GB16">
        <f t="shared" si="79"/>
        <v>0</v>
      </c>
      <c r="GC16">
        <f t="shared" si="80"/>
        <v>1</v>
      </c>
      <c r="GD16">
        <f>IF(BH16="","",IF(AND(CA16=1,GC16=1),COUNTIFS(A$3:A16,A16,CA$3:CA16,1,GC$3:GC16,1),IF(OR(OR(AW16=1,A16&lt;&gt;A15),AF16="вручную",GC16=0),"",IF(AW16=1,"",GE15))))</f>
        <v>14</v>
      </c>
      <c r="GE16">
        <f t="shared" si="81"/>
        <v>14</v>
      </c>
      <c r="GF16">
        <f>IF(B16="","",IFERROR(LOOKUP(INDEX(CHOOSE(DL16,Iдоп_1ж,Iдоп_2ж,Iдоп_3ж),MATCH(DX16,Iдоп_S,0))*DJ16*DK16,{6,10,16,20,25,32,40,50,63,80,100,125,160,200,250,315,400,500,630}),""))</f>
        <v>50</v>
      </c>
      <c r="GG16" t="str">
        <f t="shared" si="82"/>
        <v>QF14</v>
      </c>
      <c r="GH16" t="str">
        <f t="shared" si="83"/>
        <v>QF14</v>
      </c>
      <c r="GI16" t="str">
        <f t="shared" si="84"/>
        <v/>
      </c>
      <c r="GJ16">
        <f t="shared" si="85"/>
        <v>0</v>
      </c>
      <c r="GK16" t="str">
        <f>IF(OR(AG16="",AG16="-"),"",IFERROR(VLOOKUP(AG16,Модули_спр,2,FALSE),"R"))</f>
        <v/>
      </c>
      <c r="GL16" t="str">
        <f>IF(GK16="","",GK16&amp;"."&amp;COUNTIFS(A$3:A16,A16,GK$3:GK16,GK16))</f>
        <v/>
      </c>
      <c r="GM16" t="str">
        <f t="shared" si="86"/>
        <v/>
      </c>
      <c r="GN16" t="str">
        <f t="shared" si="87"/>
        <v/>
      </c>
      <c r="GO16" t="str">
        <f t="shared" si="88"/>
        <v/>
      </c>
      <c r="GP16" t="str">
        <f t="shared" si="89"/>
        <v/>
      </c>
      <c r="GQ16">
        <f t="shared" si="90"/>
        <v>1</v>
      </c>
      <c r="GR16" t="str">
        <f>IF(GQ16=1,"XT"&amp;COUNTIFS(A$3:A16,A16,GQ$3:GQ16,1),"")</f>
        <v>XT11</v>
      </c>
      <c r="GS16" t="str">
        <f t="shared" si="91"/>
        <v/>
      </c>
      <c r="GT16" t="str">
        <f t="shared" si="92"/>
        <v>QF14</v>
      </c>
      <c r="GU16" t="str">
        <f t="shared" si="93"/>
        <v/>
      </c>
      <c r="GV16" t="str">
        <f t="shared" si="94"/>
        <v>ok</v>
      </c>
      <c r="GW16" t="str">
        <f>IF(OR(GO16="",GM16=""),"",IF(GO16&gt;IFERROR(VLOOKUP(GN16,Модули_спр,3,FALSE),99),"ЛИШНИЙ КАНАЛ",IF(AND(AH16&lt;&gt;"=",COUNTIFS(Линии[_модуль гр.],GM16,Линии[Канал (итог)],GO16,Линии[Канал],"&lt;&gt;=",Линии[Щит],A16)&gt;1),"ДУБЛЬ КАНАЛА","")))</f>
        <v/>
      </c>
      <c r="GX16" s="6" t="str">
        <f t="shared" si="95"/>
        <v/>
      </c>
      <c r="GY16">
        <f t="shared" si="96"/>
        <v>10</v>
      </c>
      <c r="GZ16" t="str">
        <f t="shared" si="97"/>
        <v/>
      </c>
      <c r="HA16" t="str">
        <f>IF(AND(B16="",GT16=""),"",_xlfn.TEXTJOIN("; ",TRUE,IF(AND(B16&lt;&gt;"",FE16=""),"нет фазы",""),IF(AND(B16&lt;&gt;"",N(FY16)=0,EQ16&lt;&gt;"Нет"),"нет мощности",""),IF(AND(GS16&lt;&gt;"",COUNTIFS(Линии[Щит],A16,Линии[Клемма (итог)],GS16)&gt;1),"дубль клеммы "&amp;GS16,""),IF(AND(GV16&lt;&gt;"",GV16&lt;&gt;"ok"),GV16,""),IF(GW16&lt;&gt;"",GW16,""),IF(AND(N(BV16)&gt;=4,N(BR16)=1),BV16&amp;" жил на 1 фазе",""),IF(AND(AX16="R",CA16=1,OR(N(CK16)=0,N(CK16)&gt;30)),"розетка без дифзащиты до 30 мА",""),IFERROR(IF(AND(ISNUMBER(R16),R16&gt;DV16),"потери "&amp;FIXED(R16,1)&amp;" % &gt; "&amp;DV16&amp;" %",""),""),IFERROR(IF(LEFT(GZ16,4)="мало","Iкз мало — отключение &gt; 0,4 с",""),""),IF(AND(B16&lt;&gt;"",BH16=""),"не на схеме",""),IF(AND(CA16=0,B16&lt;&gt;"",FE16&lt;&gt;"",IF(AW16=1,"",FF15)&lt;&gt;"",FE16&lt;&gt;IF(AW16=1,"",FF15)),"фаза не как у автомата группы ("&amp;IF(AW16=1,"",FF15)&amp;")","")))</f>
        <v/>
      </c>
      <c r="HB16" s="6" t="str">
        <f>IF(OR(CA16=0,DA16=""),"",_xlfn.LET(_xlpm.t,IFERROR(_xlfn.XLOOKUP(DA16,Каталог!$U$4:$U$500,Каталог!$G$4:$G$500),""),_xlpm.k,SEARCH("кА",_xlpm.t),IFERROR(--TRIM(RIGHT(SUBSTITUTE(MID(_xlpm.t,MAX(1,_xlpm.k-4),_xlpm.k-MAX(1,_xlpm.k-4))," ",REPT(" ",9)),5)),"")))</f>
        <v/>
      </c>
      <c r="HC16" t="str">
        <f>IF(OR(HB16="",CA16=0),"",IF(_xlfn.XLOOKUP(A16,Щиты[Щит],Щиты[Iкз max на шинах, кА],"")="","",IF(HB16&lt;_xlfn.XLOOKUP(A16,Щиты[Щит],Щиты[Iкз max на шинах, кА]),"Icu "&amp;HB16&amp;" кА &lt; Iкз max","ok")))</f>
        <v/>
      </c>
      <c r="HD16" t="str">
        <f t="shared" si="98"/>
        <v/>
      </c>
      <c r="HE16" t="str">
        <f t="shared" si="99"/>
        <v>QF14</v>
      </c>
      <c r="HF16" t="str">
        <f t="shared" si="100"/>
        <v>QF14|кабель ВВГнг(А)-LS (5х10) → Щит бассейна ЩС-Б Подвальный этаж этаж Пом. №00.002Тб</v>
      </c>
      <c r="HG16" t="str" cm="1">
        <f t="array" ref="HG16">IF(HF16="","",_xlfn.LET(_xlpm.nd,_xlfn.TEXTSPLIT(HF16,"|"),IF(COLUMNS(_xlpm.nd)&gt;1,A16&amp;"¦"&amp;INDEX(_xlpm.nd,1)&amp;"¦"&amp;INDEX(_xlpm.nd,2),"")))</f>
        <v>ГРЩ-ЖД¦QF14¦кабель ВВГнг(А)-LS (5х10) → Щит бассейна ЩС-Б Подвальный этаж этаж Пом. №00.002Тб</v>
      </c>
      <c r="HH16" t="str">
        <f t="shared" si="101"/>
        <v>ЩС-Б¦Щит бассейна ЩС-Б Подвальный этаж этаж Пом. №00.002Тб</v>
      </c>
      <c r="HI16" t="str" cm="1">
        <f t="array" ref="HI16">IF(HF16="","",_xlfn.LET(_xlpm.nd,_xlfn.TEXTSPLIT(HF16,"|"),IF(COLUMNS(_xlpm.nd)&gt;2,A16&amp;"¦"&amp;INDEX(_xlpm.nd,2)&amp;"¦"&amp;INDEX(_xlpm.nd,3),"")))</f>
        <v/>
      </c>
      <c r="HJ16" t="str">
        <f t="shared" si="102"/>
        <v/>
      </c>
      <c r="HK16" t="str" cm="1">
        <f t="array" ref="HK16">IF(HF16="","",_xlfn.LET(_xlpm.nd,_xlfn.TEXTSPLIT(HF16,"|"),IF(COLUMNS(_xlpm.nd)&gt;3,A16&amp;"¦"&amp;INDEX(_xlpm.nd,3)&amp;"¦"&amp;INDEX(_xlpm.nd,4),"")))</f>
        <v/>
      </c>
      <c r="HL16" t="str">
        <f t="shared" si="103"/>
        <v/>
      </c>
      <c r="HM16" t="str" cm="1">
        <f t="array" ref="HM16">IF(HF16="","",_xlfn.LET(_xlpm.nd,_xlfn.TEXTSPLIT(HF16,"|"),IF(COLUMNS(_xlpm.nd)&gt;4,A16&amp;"¦"&amp;INDEX(_xlpm.nd,4)&amp;"¦"&amp;INDEX(_xlpm.nd,5),"")))</f>
        <v/>
      </c>
      <c r="HN16" t="str">
        <f t="shared" si="104"/>
        <v/>
      </c>
      <c r="HO16" t="str" cm="1">
        <f t="array" ref="HO16">IF(HF16="","",_xlfn.LET(_xlpm.nd,_xlfn.TEXTSPLIT(HF16,"|"),IF(COLUMNS(_xlpm.nd)&gt;5,A16&amp;"¦"&amp;INDEX(_xlpm.nd,5)&amp;"¦"&amp;INDEX(_xlpm.nd,6),"")))</f>
        <v/>
      </c>
      <c r="HP16" t="str">
        <f t="shared" si="105"/>
        <v/>
      </c>
      <c r="HQ16" t="str" cm="1">
        <f t="array" ref="HQ16">IF(HF16="","",_xlfn.LET(_xlpm.nd,_xlfn.TEXTSPLIT(HF16,"|"),IF(COLUMNS(_xlpm.nd)&gt;6,A16&amp;"¦"&amp;INDEX(_xlpm.nd,6)&amp;"¦"&amp;INDEX(_xlpm.nd,7),"")))</f>
        <v/>
      </c>
      <c r="HR16" t="str">
        <f t="shared" si="106"/>
        <v/>
      </c>
      <c r="HS16" t="str">
        <f t="shared" si="107"/>
        <v/>
      </c>
      <c r="HT16" t="str">
        <f t="shared" si="108"/>
        <v>QF14</v>
      </c>
      <c r="HU16">
        <f t="shared" si="109"/>
        <v>0</v>
      </c>
      <c r="HV16">
        <f t="shared" si="110"/>
        <v>0</v>
      </c>
      <c r="HW16" t="str">
        <f t="shared" si="111"/>
        <v/>
      </c>
      <c r="HX16" t="str">
        <f t="shared" si="112"/>
        <v/>
      </c>
      <c r="HY16" t="str">
        <f t="shared" si="113"/>
        <v/>
      </c>
      <c r="HZ16" t="str">
        <f t="shared" si="114"/>
        <v/>
      </c>
      <c r="IA16">
        <f>IF(B16="","",IFERROR(VLOOKUP(B16,УГО_спр,2,FALSE),IFERROR(VLOOKUP(AX16,УГО_спр,2,FALSE),IFERROR(VLOOKUP(LEFT(AX16,2),УГО_спр,2,FALSE),""))))</f>
        <v>0</v>
      </c>
      <c r="IB16" t="str">
        <f>IF(B16="","",IF(OR(IA16="",IA16=0),"BOX",IFERROR(IF(VLOOKUP(IA16,УГО_блоки,3,FALSE)&amp;""&lt;&gt;"",VLOOKUP(IA16,УГО_блоки,3,FALSE),VLOOKUP(IA16,УГО_блоки,2,FALSE)),IA16)))</f>
        <v>BOX</v>
      </c>
      <c r="IC16">
        <f t="shared" si="115"/>
        <v>1</v>
      </c>
      <c r="ID16" t="str">
        <f>IF(DA16="","",IF(COUNTIF(DA$3:DA16,DA16)=1,MAX(ID$2:ID15)+1,""))</f>
        <v/>
      </c>
      <c r="IE16" t="str">
        <f>IF(CO16="","",IF(COUNTIF(CO$3:CO16,CO16)+COUNTIF(CP$2:CP15,CO16)+COUNTIF(CQ$2:CQ15,CO16)=1,MAX(IE$2:IG15)+1,""))</f>
        <v/>
      </c>
      <c r="IF16" t="str">
        <f>IF(CP16="","",IF(COUNTIF(CO$3:CO16,CP16)+COUNTIF(CP$3:CP16,CP16)+COUNTIF(CQ$2:CQ15,CP16)=1,MAX(IE$2:IG15,IE16)+1,""))</f>
        <v/>
      </c>
      <c r="IG16" t="str">
        <f>IF(CQ16="","",IF(COUNTIF(CO$3:CO16,CQ16)+COUNTIF(CP$3:CP16,CQ16)+COUNTIF(CQ$3:CQ16,CQ16)=1,MAX(IE$2:IG15,IE16,IF16)+1,""))</f>
        <v/>
      </c>
      <c r="IH16" t="str">
        <f t="shared" si="116"/>
        <v>5х10</v>
      </c>
      <c r="II16" t="str">
        <f>IF(IH16="","",IF(COUNTIF(IH$3:IH16,IH16)=1,MAX(II$2:II15)+1,""))</f>
        <v/>
      </c>
      <c r="IJ16" t="str">
        <f>IF(GL16="","",COUNTIF(GL$3:GL16,"?*"))</f>
        <v/>
      </c>
      <c r="IK16" t="str">
        <f>IF(OR(GL16="",GN16=""),"",IF(COUNTIFS(GL$3:GL16,"?*",GN$3:GN16,GN16)=1,MAX(IK$2:IK15)+1,""))</f>
        <v/>
      </c>
      <c r="IL16">
        <f t="shared" si="117"/>
        <v>0</v>
      </c>
      <c r="IM16">
        <f>IF(B16="","",COUNTIF(B$3:B16,"?*"))</f>
        <v>14</v>
      </c>
      <c r="IN16">
        <f>IF(GQ16&lt;&gt;1,0,_xlfn.LET(_xlpm.k,MAX(IFERROR(--VLOOKUP(B16,УГО_спр,5,FALSE),0),IFERROR(--VLOOKUP(AX16,УГО_спр,5,FALSE),0),IFERROR(--VLOOKUP(LEFT(AX16,2),УГО_спр,5,FALSE),0)),IF(_xlpm.k&gt;0,_xlpm.k,IF(IFERROR(--LEFT(SUBSTITUTE(IH16,"x","х"),FIND("х",SUBSTITUTE(IH16,"x","х"))-1),3)&gt;3,Каталог!$S$9,1))))</f>
        <v>1</v>
      </c>
      <c r="IO16">
        <f t="shared" si="118"/>
        <v>2</v>
      </c>
      <c r="IP16" t="str">
        <f t="shared" si="119"/>
        <v>авто</v>
      </c>
      <c r="IQ16" t="str">
        <f t="shared" si="120"/>
        <v/>
      </c>
      <c r="IR16">
        <f t="shared" si="121"/>
        <v>0</v>
      </c>
      <c r="IS16">
        <f t="shared" si="122"/>
        <v>1</v>
      </c>
    </row>
    <row r="17" spans="1:253" x14ac:dyDescent="0.3">
      <c r="A17" t="s">
        <v>785</v>
      </c>
      <c r="B17" t="s">
        <v>765</v>
      </c>
      <c r="C17" t="s">
        <v>764</v>
      </c>
      <c r="D17">
        <v>1</v>
      </c>
      <c r="E17">
        <v>3.8</v>
      </c>
      <c r="G17">
        <v>20</v>
      </c>
      <c r="H17" t="str">
        <f>Линии[[#This Row],[_авто утечка]]</f>
        <v/>
      </c>
      <c r="I17" t="str">
        <f>Линии[[#This Row],[_авто управление]]</f>
        <v/>
      </c>
      <c r="J17" t="str">
        <f>Линии[[#This Row],[_авто аппараты]]</f>
        <v/>
      </c>
      <c r="K17">
        <v>4</v>
      </c>
      <c r="L17">
        <v>52</v>
      </c>
      <c r="M17" t="str">
        <f>Линии[[#This Row],[_авто фаза]]</f>
        <v>L3</v>
      </c>
      <c r="N17" t="s">
        <v>486</v>
      </c>
      <c r="O17" t="str">
        <f t="shared" si="0"/>
        <v/>
      </c>
      <c r="P17" s="6" cm="1">
        <f t="array" ref="P17">IF(B17="","",IF(BC17&lt;&gt;"",IFERROR(_xlfn.XLOOKUP(BC17,Щиты[Щит],Щиты[Iр, А]),""),IF(BK17=1,IFERROR(_xlfn.XLOOKUP(A17,Щиты[Щит],Щиты[Iр, А]),""),IFERROR(_xlfn.IFS(BR17=1,BN17/((Uн_лин/SQRT(3))*BY17),BR17=3,BN17/(SQRT(3)*Uн_лин*BY17)),""))))</f>
        <v>10.28405166994021</v>
      </c>
      <c r="Q17" s="7">
        <f>IF(B17="","",IFERROR(IF(VLOOKUP(AX17,Потребители_обозначение,4,FALSE)=1,VLOOKUP(AX17,Потребители_обозначение,3,FALSE)*(D17*2-1)+DS17+VLOOKUP(AZ17,Этаж_обозначение,3,FALSE)+VLOOKUP(AZ17,Этаж_обозначение,4,FALSE),VLOOKUP(AX17,Потребители_обозначение,3,FALSE)*(D17*2-1)+DS17),DS17))</f>
        <v>52</v>
      </c>
      <c r="R17" s="6">
        <f t="shared" si="1"/>
        <v>2.1199999999999997</v>
      </c>
      <c r="S17" t="str">
        <f t="shared" si="2"/>
        <v>ВВГнг(А)-LS (3х4)</v>
      </c>
      <c r="T17" t="str">
        <f>IF(BH17="","",IF(BI17="вводной узел","узел ","")&amp;"л."&amp;(INT((BH17-1)/Столбцов_на_лист)+1)&amp;" / "&amp;(MOD(BH17-1,Столбцов_на_лист)+1))</f>
        <v>л.3 / 11</v>
      </c>
      <c r="V17">
        <v>1</v>
      </c>
      <c r="W17">
        <v>230</v>
      </c>
      <c r="X17" t="s">
        <v>600</v>
      </c>
      <c r="Y17">
        <v>0.5</v>
      </c>
      <c r="AA17">
        <v>2</v>
      </c>
      <c r="AC17" t="s">
        <v>861</v>
      </c>
      <c r="AE17" t="s">
        <v>606</v>
      </c>
      <c r="AI17">
        <v>45</v>
      </c>
      <c r="AJ17" t="s">
        <v>11</v>
      </c>
      <c r="AK17">
        <v>3</v>
      </c>
      <c r="AM17">
        <v>35</v>
      </c>
      <c r="AN17">
        <v>12</v>
      </c>
      <c r="AO17">
        <v>0</v>
      </c>
      <c r="AW17" cm="1">
        <f t="array" ref="AW17">ROW()-ROW(Линии[#Headers])</f>
        <v>15</v>
      </c>
      <c r="AX17" s="6" t="str">
        <f t="shared" si="3"/>
        <v>ЩС-ВК</v>
      </c>
      <c r="AY17" t="str">
        <f t="shared" si="4"/>
        <v>001</v>
      </c>
      <c r="AZ17" t="str">
        <f t="shared" si="5"/>
        <v>001</v>
      </c>
      <c r="BA17" t="str">
        <f t="shared" si="6"/>
        <v/>
      </c>
      <c r="BB17" t="str">
        <f t="shared" si="7"/>
        <v/>
      </c>
      <c r="BC17" t="str">
        <f>IF(U17&lt;&gt;"",U17,IF(AND(B17&lt;&gt;"",B17&lt;&gt;A17,ISNUMBER(_xlfn.XMATCH(B17,Щиты[Щит]))),B17,""))</f>
        <v>ЩС-ВК.001</v>
      </c>
      <c r="BD17" t="str" cm="1">
        <f t="array" ref="BD17">IF(B17="","",IF(BC17&lt;&gt;"","Щит "&amp;BC17,_xlfn.LET(_xlpm.nm,IFERROR(_xlfn.XLOOKUP(AX17,Коды_код,Коды_имя)&amp;"",""),_xlpm.md,IFERROR(N(_xlfn.XLOOKUP(AX17,Коды_код,Коды_режим)),1),_xlpm.ex,IF(Имя_режим="по экспликации",IFERROR(_xlfn.XLOOKUP(AZ17&amp;"|"&amp;BB17,Экспликация[Этаж]&amp;"|"&amp;Экспликация[Помещение],Экспликация[Название])&amp;"",""),""),_xlpm.rm,IF(BB17="","",IF(_xlpm.ex&lt;&gt;"",". "&amp;_xlpm.ex&amp;IF(Имя_пом="нет"," ("&amp;BB17&amp;")"," (пом. "&amp;BB17&amp;")"),IF(Имя_пом="нет"," ",", пом. ")&amp;BB17)),IF(_xlpm.nm="","",IF(_xlpm.md=2,_xlpm.nm&amp;" шлейф "&amp;AZ17,_xlpm.nm&amp;_xlpm.rm)))))</f>
        <v>Щит ЩС-ВК.001</v>
      </c>
      <c r="BE17" t="str">
        <f t="shared" si="8"/>
        <v>Щит дренажных насосов ЩС-ВК.001 Подвальный этаж этаж Пом. 00.002Т</v>
      </c>
      <c r="BF17">
        <f>IFERROR(_xlfn.XMATCH(A17,Щиты[Щит]),0)</f>
        <v>1</v>
      </c>
      <c r="BG17">
        <f>_xlfn.LET(_xlpm.k,IFERROR(_xlfn.XLOOKUP(A17,Щиты[Щит],Щиты[Листов под вводной узел]),""),IF(_xlpm.k="",1,N(_xlpm.k))*Столбцов_на_лист)</f>
        <v>17</v>
      </c>
      <c r="BH17">
        <f t="shared" si="9"/>
        <v>45</v>
      </c>
      <c r="BI17" t="str">
        <f t="shared" si="10"/>
        <v>линии</v>
      </c>
      <c r="BJ17" s="6">
        <f>IFERROR(N(_xlfn.XLOOKUP(AX17,Коды_код,Коды_квт)),0)</f>
        <v>0</v>
      </c>
      <c r="BK17">
        <f t="shared" si="11"/>
        <v>0</v>
      </c>
      <c r="BL17">
        <f>IF(B17="","",IF(BC17&lt;&gt;"",IFERROR(_xlfn.XLOOKUP(BC17,Щиты[Щит],Щиты[Руст, кВт]),0),IF(BK17=1,IFERROR(_xlfn.XLOOKUP(A17,Щиты[Щит],Щиты[Руст, кВт]),0),IF(BJ17&gt;0,ROUND(BJ17*MAX(1,N(D17)),3),""))))</f>
        <v>3.8000000000000003</v>
      </c>
      <c r="BM17">
        <f t="shared" si="12"/>
        <v>3.8</v>
      </c>
      <c r="BN17" s="6">
        <f>IF(B17="","",IF(BC17&lt;&gt;"",IFERROR(_xlfn.XLOOKUP(BC17,Щиты[Щит],Щиты[Руст, кВт]),0),N(BM17)))</f>
        <v>3.8000000000000003</v>
      </c>
      <c r="BO17" t="str">
        <f>IF(B17="","",IFERROR(IF(VLOOKUP(AX17,Потребители_обозначение,8,FALSE)=0,"",VLOOKUP(AX17,Потребители_обозначение,8,FALSE)),""))</f>
        <v/>
      </c>
      <c r="BP17">
        <f t="shared" si="13"/>
        <v>230</v>
      </c>
      <c r="BQ17">
        <f>IF(B17="","",IF(BC17&lt;&gt;"",3,IFERROR(IF(N(VLOOKUP(AX17,Потребители_обозначение,9,FALSE))=0,1,VLOOKUP(AX17,Потребители_обозначение,9,FALSE)),1)))</f>
        <v>3</v>
      </c>
      <c r="BR17">
        <f t="shared" si="14"/>
        <v>1</v>
      </c>
      <c r="BS17" t="str">
        <f>IF(B17="","",_xlfn.LET(_xlpm.bc,IFERROR(IF(VLOOKUP(AX17,Потребители_обозначение,6,FALSE)=0,"",VLOOKUP(AX17,Потребители_обозначение,6,FALSE)&amp;""),""),IF(AND(FK17="да",OR(_xlpm.bc="",_xlpm.bc="мс")),Марка_пож,IF(AND(_xlpm.bc="",BC17&lt;&gt;""),"мс",_xlpm.bc))))</f>
        <v>мс</v>
      </c>
      <c r="BT17" t="str">
        <f t="shared" si="15"/>
        <v>мс</v>
      </c>
      <c r="BU17">
        <f>IF(B17="","",_xlfn.LET(_xlpm.cc,IFERROR(N(VLOOKUP(AX17,Потребители_обозначение,7,FALSE)),0),IF(_xlpm.cc&gt;0,_xlpm.cc,IF(BT17="","",IF(N(BR17)=3,5,3)))))</f>
        <v>3</v>
      </c>
      <c r="BV17">
        <f t="shared" si="16"/>
        <v>3</v>
      </c>
      <c r="BW17">
        <f>IFERROR(N(VLOOKUP(AX17,Потребители_обозначение,10,FALSE)),0)</f>
        <v>0</v>
      </c>
      <c r="BX17">
        <f>IFERROR(VLOOKUP(AX17,Потребители_обозначение,5,FALSE),0)</f>
        <v>0</v>
      </c>
      <c r="BY17" s="6" cm="1">
        <f t="array" ref="BY17">IF(B17="","",IF(BC17&lt;&gt;"",IFERROR(_xlfn.XLOOKUP(BC17,Щиты[Щит],Щиты[cos φ]),0.95),IF(BK17=1,IFERROR(_xlfn.XLOOKUP(A17,Щиты[Щит],Щиты[cos φ]),0.95),IF(ISNUMBER(Z17),Z17,IFERROR(IF(BX17=2,_xlfn.IFS(BR17=3,VLOOKUP(BN17,Справочная_двигатели,8,FALSE),BR17=1,VLOOKUP(BN17,Справочная_двигатели,10,TRUE)),IF(AND(Методика="нормы 2026",EQ17="Сил"),0.8,0.95)),0.95)))))</f>
        <v>0.79999999999999993</v>
      </c>
      <c r="BZ17">
        <f t="shared" si="17"/>
        <v>0</v>
      </c>
      <c r="CA17">
        <f t="shared" si="18"/>
        <v>1</v>
      </c>
      <c r="CB17">
        <f t="shared" si="19"/>
        <v>0</v>
      </c>
      <c r="CC17">
        <f t="shared" si="20"/>
        <v>0</v>
      </c>
      <c r="CD17">
        <f t="shared" si="21"/>
        <v>0</v>
      </c>
      <c r="CE17">
        <f t="shared" si="22"/>
        <v>0</v>
      </c>
      <c r="CF17">
        <f t="shared" si="23"/>
        <v>0</v>
      </c>
      <c r="CG17">
        <f>IF(AX17="",0,_xlfn.LET(_xlpm.v,IFERROR(VLOOKUP(B17,УГО_спр,3,FALSE),IFERROR(VLOOKUP(AX17,УГО_спр,3,FALSE),IFERROR(VLOOKUP(LEFT(AX17,2),УГО_спр,3,FALSE),""))),IF(_xlpm.v="да",30,IF(ISNUMBER(_xlpm.v),_xlpm.v,0))))</f>
        <v>0</v>
      </c>
      <c r="CH17" t="str">
        <f t="shared" si="24"/>
        <v/>
      </c>
      <c r="CI17" t="str">
        <f>_xlfn.LET(_xlpm.k,IFERROR(_xlfn.XLOOKUP(AX17,Коды_код,Коды_утечка)&amp;"",""),IF(_xlpm.k="","дифавтомат",_xlpm.k))</f>
        <v>дифавтомат</v>
      </c>
      <c r="CJ17">
        <f t="shared" si="25"/>
        <v>0</v>
      </c>
      <c r="CK17">
        <f t="shared" si="26"/>
        <v>0</v>
      </c>
      <c r="CL17">
        <f>IF(B17="",0,IFERROR(--VLOOKUP(B17,УГО_спр,4,FALSE),IFERROR(--VLOOKUP(AX17,УГО_спр,4,FALSE),IFERROR(--VLOOKUP(LEFT(AX17,2),УГО_спр,4,FALSE),0))))</f>
        <v>0</v>
      </c>
      <c r="CM17" t="str">
        <f>IF(B17="","",IFERROR(_xlfn.XLOOKUP(AX17,Коды_код,Коды_апп)&amp;"",""))</f>
        <v/>
      </c>
      <c r="CN17" t="str">
        <f t="shared" si="27"/>
        <v/>
      </c>
      <c r="CO17" t="str" cm="1">
        <f t="array" ref="CO17">IF(TRIM(CN17&amp;"")="","",IFERROR(TRIM(INDEX(_xlfn.TEXTSPLIT(CN17&amp;";;;",";"),1)),""))</f>
        <v/>
      </c>
      <c r="CP17" t="str" cm="1">
        <f t="array" ref="CP17">IF(TRIM(CN17&amp;"")="","",IFERROR(TRIM(INDEX(_xlfn.TEXTSPLIT(CN17&amp;";;;",";"),2)),""))</f>
        <v/>
      </c>
      <c r="CQ17" t="str" cm="1">
        <f t="array" ref="CQ17">IF(TRIM(CN17&amp;"")="","",IFERROR(TRIM(INDEX(_xlfn.TEXTSPLIT(CN17&amp;";;;",";"),3)),""))</f>
        <v/>
      </c>
      <c r="CR17">
        <f t="shared" si="28"/>
        <v>0</v>
      </c>
      <c r="CS17" t="str">
        <f>IF(B17="","",_xlfn.LET(_xlpm.t,LOWER(AV17&amp;""),IF(ISNUMBER(SEARCH("dim",_xlpm.t)),"DIM",IF(ISNUMBER(SEARCH("dali",_xlpm.t)),"DALI",IF(OR(ISNUMBER(SEARCH("relay",_xlpm.t)),ISNUMBER(SEARCH("реле",_xlpm.t))),"Relay",IF(ISNUMBER(SEARCH("кнопк",_xlpm.t)),"",IFERROR(_xlfn.XLOOKUP(AX17,Коды_код,Коды_упр)&amp;"","")))))))</f>
        <v/>
      </c>
      <c r="CT17" t="str">
        <f t="shared" si="29"/>
        <v/>
      </c>
      <c r="CU17">
        <f>IF(B17="","",_xlfn.LET(_xlpm.ig,N(P17)+IF(AF17="вручную",0,N(CB17)),_xlpm.n0,IFERROR(VLOOKUP(_xlpm.ig,Автомат_номиналы,2,TRUE),0),_xlpm.mn,MAX(CL17,IF(AF17="вручную",0,N(CE17))),MAX(_xlpm.n0,_xlpm.mn,IF(CR17=1,Мин_автомат_БП,0))))</f>
        <v>16</v>
      </c>
      <c r="CV17">
        <f t="shared" si="30"/>
        <v>1</v>
      </c>
      <c r="CW17" t="str">
        <f t="shared" si="31"/>
        <v>1P</v>
      </c>
      <c r="CX17" t="str">
        <f>_xlfn.LET(_xlpm.cc,UPPER(TRIM(IFERROR(_xlfn.XLOOKUP(AX17,Коды_код,Коды_хар)&amp;"",""))),IF(OR(_xlpm.cc="B",_xlpm.cc="В"),"B",IF(_xlpm.cc="D","D","С")))</f>
        <v>С</v>
      </c>
      <c r="CY17" t="str">
        <f t="shared" si="32"/>
        <v>1P С16А</v>
      </c>
      <c r="CZ17">
        <f t="shared" si="33"/>
        <v>20</v>
      </c>
      <c r="DA17" t="str">
        <f t="shared" si="34"/>
        <v>1P С20А</v>
      </c>
      <c r="DB17" cm="1">
        <f t="array" ref="DB17">IF(DA17="","",_xlfn.LET(_xlpm.t,SUBSTITUTE(SUBSTITUTE(SUBSTITUTE(UPPER(DA17),"С","C"),"А","A"),"В","B"),_xlpm.tk,_xlfn.TEXTSPLIT(_xlpm.t,"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7" t="str">
        <f t="shared" si="35"/>
        <v>ok</v>
      </c>
      <c r="DD17">
        <f t="shared" si="36"/>
        <v>20</v>
      </c>
      <c r="DE17" t="str">
        <f t="shared" si="37"/>
        <v>1P С20А</v>
      </c>
      <c r="DF17">
        <f t="shared" si="38"/>
        <v>0</v>
      </c>
      <c r="DG17">
        <f t="shared" si="39"/>
        <v>0</v>
      </c>
      <c r="DH17">
        <f t="shared" si="40"/>
        <v>0</v>
      </c>
      <c r="DI17">
        <f t="shared" si="41"/>
        <v>10.28405166994021</v>
      </c>
      <c r="DJ17">
        <f t="shared" si="42"/>
        <v>1</v>
      </c>
      <c r="DK17">
        <f>IF(ISNUMBER(AL17),AL17,К_прокл)</f>
        <v>1</v>
      </c>
      <c r="DL17">
        <f t="shared" si="43"/>
        <v>2</v>
      </c>
      <c r="DM17">
        <f>IFERROR(N(VLOOKUP(BT17,Кабель_обозначение,3,FALSE)),1)</f>
        <v>1</v>
      </c>
      <c r="DN17">
        <f>IFERROR(N(_xlfn.XLOOKUP(A17,Щиты[Щит],Щиты[ΔU до шин, %])),0)</f>
        <v>0</v>
      </c>
      <c r="DO17" t="str">
        <f>IFERROR(_xlfn.XLOOKUP(A17,Щиты[Щит],Щиты[Zпетли на шинах, Ом]),"")</f>
        <v/>
      </c>
      <c r="DP17">
        <f>IFERROR(N(_xlfn.XLOOKUP(A17,Щиты[Щит],Щиты[ΔU до шин (подбор), %])),0)</f>
        <v>0</v>
      </c>
      <c r="DQ17" t="str">
        <f>IFERROR(_xlfn.XLOOKUP(A17,Щиты[Щит],Щиты[Zпетли на шинах (подбор), Ом]),"")</f>
        <v/>
      </c>
      <c r="DR17" t="str">
        <f t="shared" si="44"/>
        <v/>
      </c>
      <c r="DS17">
        <f t="shared" si="45"/>
        <v>52</v>
      </c>
      <c r="DT17">
        <f t="shared" si="46"/>
        <v>2</v>
      </c>
      <c r="DU17">
        <f t="shared" si="47"/>
        <v>0.6</v>
      </c>
      <c r="DV17" s="6">
        <f>IF(B17="","",IF(IFERROR(VLOOKUP(AX17,УГО_спр,2,FALSE),"")="Светильник",3,4)+IF(Методика="нормы 2026",MIN(0.5,MAX(0,N(Q17)-100)*0.005),0))</f>
        <v>4</v>
      </c>
      <c r="DW17" cm="1">
        <f t="array" ref="DW17">IF(OR(B17="",BT17="",DM17&lt;&gt;1),"",_xlfn.LET(_xlpm.sz,Iдоп_S,_xlpm.t_,CHOOSE(DL17,Iдоп_1ж,Iдоп_2ж,Iдоп_3ж)*DJ17*DK17,_xlpm.inn,N(DD17),_xlpm.smin,MAX(1.5,BW17),_xlpm.L_,N(Q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17)*(_xlpm.rho*_xlpm.L_/_xlpm.sz*N(BY17)+_xlpm.xx*_xlpm.L_*N(DU17)/1000)*N(P17)/((Uн_лин/SQRT(3))*1000)*100,999),_xlpm.kz,IF(OR(DG17=1,NOT(ISNUMBER(DQ17)),_xlpm.L_=0,_xlpm.inn=0),1,IFERROR(--(c_min*(Uн_лин*1000/SQRT(3))/(DQ17+2*ρкз_Cu*_xlpm.L_/_xlpm.sz)&gt;=GY17*_xlpm.inn),0)),_xlpm.ok,IFERROR((_xlpm.sz&gt;=_xlpm.smin)*(_xlpm.t_&gt;=_xlpm.inn)*IF(_xlpm.L_&gt;0,(_xlpm.du_+DP17&lt;=DV17+0.00001),1)*_xlpm.kz,0),_xlpm.r_,_xlfn._xlws.FILTER(_xlpm.sz,_xlpm.ok,"не подобрано"),INDEX(_xlpm.r_,1)))</f>
        <v>2.5</v>
      </c>
      <c r="DX17">
        <f t="shared" si="48"/>
        <v>4</v>
      </c>
      <c r="DY17" cm="1">
        <f t="array" ref="DY17">IF(OR(B17="",BT17="",DM17&lt;&gt;1),"",_xlfn.LET(_xlpm.sz,Iдоп_S,_xlpm.t_,CHOOSE(DL17,Iдоп_1ж,Iдоп_2ж,Iдоп_3ж)*DJ17*DK17,_xlpm.ok,IFERROR((_xlpm.sz&gt;=MAX(1.5,BW17))*(_xlpm.t_&gt;=N(DD17)),0),_xlpm.r_,_xlfn._xlws.FILTER(_xlpm.sz,_xlpm.ok,""),INDEX(_xlpm.r_,1)))</f>
        <v>2.5</v>
      </c>
      <c r="DZ17" s="6" cm="1">
        <f t="array" ref="DZ17">IFERROR(ROUNDUP(N(DT17)*(_xlfn.XLOOKUP(DY17,INDEX(Кабель_сопротивление,0,1),INDEX(Кабель_сопротивление,0,3))*N(Q17)/DY17*N(BY17)+_xlfn.XLOOKUP(DY17,INDEX(Кабель_сопротивление,0,1),INDEX(Кабель_сопротивление,0,2))*N(Q17)*N(DU17)/1000)*N(P17)/((Uн_лин/SQRT(3))*1000)*100,2),"")</f>
        <v>3.3699999999999997</v>
      </c>
      <c r="EA17">
        <f>IFERROR(2*ρкз_Cu*N(Q17)/DY17,"")</f>
        <v>1.0940799999999999</v>
      </c>
      <c r="EB17">
        <f>IFERROR(VLOOKUP(DX17,Кабель_сопротивление,3,FALSE),"")</f>
        <v>2.2499999999999999E-2</v>
      </c>
      <c r="EC17">
        <f>IFERROR(VLOOKUP(DX17,Кабель_сопротивление,2,FALSE),"")</f>
        <v>9.5000000000000001E-2</v>
      </c>
      <c r="ED17">
        <f t="shared" si="49"/>
        <v>12</v>
      </c>
      <c r="EE17">
        <f t="shared" si="50"/>
        <v>0</v>
      </c>
      <c r="EF17">
        <f t="shared" si="51"/>
        <v>4.8739000398314225</v>
      </c>
      <c r="EG17" s="6">
        <f>IFERROR(ROUNDUP(EF17/((Uн_лин/SQRT(3))*1000)*100,2),"")</f>
        <v>2.1199999999999997</v>
      </c>
      <c r="EH17" t="str">
        <f>IFERROR(VLOOKUP(BT17,Кабель_обозначение,2,FALSE),"")</f>
        <v>ВВГнг(А)-LS</v>
      </c>
      <c r="EI17" t="str">
        <f t="shared" si="52"/>
        <v>ВВГнг(А)-LS (3х4)</v>
      </c>
      <c r="EJ17" t="str">
        <f t="shared" si="53"/>
        <v>ВВГнг(А)-LS (3х4)
L=52-2,12%</v>
      </c>
      <c r="EK17">
        <f>IFERROR(2*ρкз_Cu*Q17/DX17,"")</f>
        <v>0.68379999999999996</v>
      </c>
      <c r="EL17">
        <f t="shared" si="54"/>
        <v>0.22750000000000004</v>
      </c>
      <c r="EM17" s="6" t="str">
        <f>IFERROR(IF(OR(B17="",NOT(ISNUMBER(DX17)),N(Q17)=0),"",_xlfn.XLOOKUP(A17,Щиты[Щит],Щиты[Zпетли на шинах, Ом])+EK17),"")</f>
        <v/>
      </c>
      <c r="EN17" s="6" t="str">
        <f>IF(ISNUMBER(EM17),c_min*(Uн_лин*1000/SQRT(3))/EM17,"")</f>
        <v/>
      </c>
      <c r="EO17" s="6" t="str">
        <f>IFERROR(IF(OR(B17="",NOT(ISNUMBER(DX17))),"",1.05*(Uн_лин*1000/SQRT(3))/(_xlfn.XLOOKUP(A17,Щиты[Щит],Щиты[Zmax на шинах, Ом])+EL17)/1000),"")</f>
        <v/>
      </c>
      <c r="EP17" s="6" t="str">
        <f>IF(B17="","",IF(ISNUMBER(Y17),"Сил",IF(IFERROR(_xlfn.XLOOKUP(AX17,Коды_код,Коды_группа)&amp;"","")="","Быт",_xlfn.XLOOKUP(AX17,Коды_код,Коды_группа)&amp;"")))</f>
        <v>Сил</v>
      </c>
      <c r="EQ17" s="6" t="str">
        <f t="shared" si="55"/>
        <v>Щит</v>
      </c>
      <c r="ER17" s="6" t="str">
        <f>IF(EQ17="Щит","щит",IF(EQ17="","",IF(EQ17="Быт",IFERROR(_xlfn.XLOOKUP(A17,Щиты[Щит],Щиты[Кс быт]),1),IF(EQ17="Сил",IF(ISNUMBER(Y17),Y17,IF(Методика="нормы 2026",IFERROR(_xlfn.XLOOKUP(A17,Щиты[Щит],Щиты[Кс силовых (табл. 7.5)]),1),1)),IF(OR(EQ17="Пост",EQ17="Отоп"),1,IF(EQ17="ВНГ",0.7,0))))))</f>
        <v>щит</v>
      </c>
      <c r="ES17">
        <f t="shared" si="56"/>
        <v>2</v>
      </c>
      <c r="ET17">
        <f t="shared" si="57"/>
        <v>0</v>
      </c>
      <c r="EU17">
        <f t="shared" si="58"/>
        <v>0</v>
      </c>
      <c r="EV17">
        <f t="shared" si="59"/>
        <v>0</v>
      </c>
      <c r="EW17">
        <f t="shared" si="60"/>
        <v>0</v>
      </c>
      <c r="EX17">
        <f t="shared" si="61"/>
        <v>0</v>
      </c>
      <c r="EY17">
        <f t="shared" si="62"/>
        <v>0</v>
      </c>
      <c r="EZ17">
        <f t="shared" si="63"/>
        <v>0</v>
      </c>
      <c r="FA17">
        <f t="shared" si="64"/>
        <v>0</v>
      </c>
      <c r="FB17">
        <f t="shared" si="65"/>
        <v>3.8000000000000003</v>
      </c>
      <c r="FC17" t="str">
        <f t="shared" si="66"/>
        <v/>
      </c>
      <c r="FD17" t="str">
        <f>IF(B17="","",IF(CA17=0,IF(AW17=1,"",FF16),IF(OR(N(CV17)&gt;=3,N(BR17)&gt;=3),"L1,L2,L3",IFERROR(_xlfn.TEXTBEFORE(_xlfn.TEXTAFTER(_xlfn.XLOOKUP(A17,Щиты[Щит],Щиты[_фазы авто]),";"&amp;AW17&amp;":"),";"),"L1"))))</f>
        <v>L3</v>
      </c>
      <c r="FE17" t="str">
        <f t="shared" si="67"/>
        <v>L3</v>
      </c>
      <c r="FF17" t="str">
        <f t="shared" si="68"/>
        <v>L3</v>
      </c>
      <c r="FG17" cm="1">
        <f t="array" ref="FG17">IFERROR(IF(BX17=2,_xlfn.IFS(BR17=3,VLOOKUP(BN17,Справочная_двигатели,3,FALSE),BR17=1,VLOOKUP(BN17,Справочная_двигатели,5,TRUE)),0),0)</f>
        <v>0</v>
      </c>
      <c r="FH17">
        <f>IFERROR(IF(BX17=3,VLOOKUP(BN17,Справочная_ЛЭД,2,TRUE),0),0)</f>
        <v>0</v>
      </c>
      <c r="FI17" s="6">
        <f t="shared" si="69"/>
        <v>0</v>
      </c>
      <c r="FJ17" t="str" cm="1">
        <f t="array" ref="FJ17">IF(B17="","",IFERROR(INDEX({"I особая","I","II","III"},MATCH(TRIM(AC17&amp;""),{"I особая","I","II","III"},0)),"III"))</f>
        <v>I</v>
      </c>
      <c r="FK17" t="str">
        <f>IF(B17="","",IF(TRIM(AD17&amp;"")&lt;&gt;"",IF(LOWER(TRIM(AD17&amp;""))="да","да","нет"),IF(IFERROR(_xlfn.XLOOKUP(AX17,Коды_код,Коды_пожарная),"")="да","да","нет")))</f>
        <v>нет</v>
      </c>
      <c r="FL17" t="str">
        <f t="shared" si="70"/>
        <v/>
      </c>
      <c r="FM17" t="str">
        <f t="shared" si="71"/>
        <v>основная</v>
      </c>
      <c r="FN17">
        <f t="shared" si="72"/>
        <v>2</v>
      </c>
      <c r="FO17" t="str" cm="1">
        <f t="array" ref="FO17">IF(B17="","",_xlfn.LET(_xlpm.t,IFERROR(_xlfn.XLOOKUP(1,(Шины[Шина]=FM17)*(((Шины[Щит]=A17)+(Шины[Щит]=""))&gt;0),Шины[Тип]),"")&amp;"",IF(_xlpm.t&lt;&gt;"",_xlpm.t,IF(ISNUMBER(SEARCH("ИБП",FM17)),"ИБП",IF(ISNUMBER(SEARCH("ДГУ",FM17)),"ДГУ","Ввод "&amp;FN17)))))</f>
        <v>Ввод 2</v>
      </c>
      <c r="FP17" t="str">
        <f t="shared" si="73"/>
        <v>Ввод 2</v>
      </c>
      <c r="FQ17" t="str">
        <f>IF(B17="","",IF(OR(FO17="ИБП",FO17="ДГУ"),"I особая",IF(FO17="Одиночная","III",_xlfn.XLOOKUP(A17,Щиты[Щит],Щиты[Категория шины «Ввод»],"III"))))</f>
        <v>I</v>
      </c>
      <c r="FR17">
        <f>IF(B17="",0,IFERROR(MATCH(FJ17,{"III","II","I","I особая"},0),1))</f>
        <v>3</v>
      </c>
      <c r="FS17">
        <f t="shared" si="74"/>
        <v>3</v>
      </c>
      <c r="FT17" t="str">
        <f>IF(B17="","",IF(FR17&gt;IFERROR(MATCH(FQ17,{"III","II","I","I особая"},0),1),"НЕ ОБЕСПЕЧЕНА","ОК"))</f>
        <v>ОК</v>
      </c>
      <c r="FU17" t="str">
        <f>IF(A17="","",_xlfn.XLOOKUP(A17,Щиты[Щит],Щиты[Путь],""))</f>
        <v>|ГРЩ-ЖД|</v>
      </c>
      <c r="FV17" t="str">
        <f>IF(B17="","",IF(AE17&lt;&gt;"",AE17,IF(IFERROR(_xlfn.XLOOKUP(AX17,Коды_код,Коды_вид)&amp;"","")="","Прочее",_xlfn.XLOOKUP(AX17,Коды_код,Коды_вид)&amp;"")))</f>
        <v>Насосы (водоснабжение, дренаж)</v>
      </c>
      <c r="FW17">
        <f>IF(BH17="","",INT((BH17-1)/Столбцов_на_лист)+1)</f>
        <v>3</v>
      </c>
      <c r="FX17" t="str">
        <f t="shared" si="75"/>
        <v>ВВГнг(А)-LS (3х4) L=52-2,12%</v>
      </c>
      <c r="FY17">
        <f t="shared" si="76"/>
        <v>3.8000000000000003</v>
      </c>
      <c r="FZ17">
        <f t="shared" si="77"/>
        <v>10.29</v>
      </c>
      <c r="GA17">
        <f t="shared" si="78"/>
        <v>1</v>
      </c>
      <c r="GB17">
        <f t="shared" si="79"/>
        <v>0</v>
      </c>
      <c r="GC17">
        <f t="shared" si="80"/>
        <v>1</v>
      </c>
      <c r="GD17">
        <f>IF(BH17="","",IF(AND(CA17=1,GC17=1),COUNTIFS(A$3:A17,A17,CA$3:CA17,1,GC$3:GC17,1),IF(OR(OR(AW17=1,A17&lt;&gt;A16),AF17="вручную",GC17=0),"",IF(AW17=1,"",GE16))))</f>
        <v>15</v>
      </c>
      <c r="GE17">
        <f t="shared" si="81"/>
        <v>15</v>
      </c>
      <c r="GF17">
        <f>IF(B17="","",IFERROR(LOOKUP(INDEX(CHOOSE(DL17,Iдоп_1ж,Iдоп_2ж,Iдоп_3ж),MATCH(DX17,Iдоп_S,0))*DJ17*DK17,{6,10,16,20,25,32,40,50,63,80,100,125,160,200,250,315,400,500,630}),""))</f>
        <v>32</v>
      </c>
      <c r="GG17" t="str">
        <f t="shared" si="82"/>
        <v>QF15</v>
      </c>
      <c r="GH17" t="str">
        <f t="shared" si="83"/>
        <v>QF15</v>
      </c>
      <c r="GI17" t="str">
        <f t="shared" si="84"/>
        <v/>
      </c>
      <c r="GJ17">
        <f t="shared" si="85"/>
        <v>0</v>
      </c>
      <c r="GK17" t="str">
        <f>IF(OR(AG17="",AG17="-"),"",IFERROR(VLOOKUP(AG17,Модули_спр,2,FALSE),"R"))</f>
        <v/>
      </c>
      <c r="GL17" t="str">
        <f>IF(GK17="","",GK17&amp;"."&amp;COUNTIFS(A$3:A17,A17,GK$3:GK17,GK17))</f>
        <v/>
      </c>
      <c r="GM17" t="str">
        <f t="shared" si="86"/>
        <v/>
      </c>
      <c r="GN17" t="str">
        <f t="shared" si="87"/>
        <v/>
      </c>
      <c r="GO17" t="str">
        <f t="shared" si="88"/>
        <v/>
      </c>
      <c r="GP17" t="str">
        <f t="shared" si="89"/>
        <v/>
      </c>
      <c r="GQ17">
        <f t="shared" si="90"/>
        <v>1</v>
      </c>
      <c r="GR17" t="str">
        <f>IF(GQ17=1,"XT"&amp;COUNTIFS(A$3:A17,A17,GQ$3:GQ17,1),"")</f>
        <v>XT12</v>
      </c>
      <c r="GS17" t="str">
        <f t="shared" si="91"/>
        <v/>
      </c>
      <c r="GT17" t="str">
        <f t="shared" si="92"/>
        <v>QF15</v>
      </c>
      <c r="GU17" t="str">
        <f t="shared" si="93"/>
        <v/>
      </c>
      <c r="GV17" t="str">
        <f t="shared" si="94"/>
        <v>ok</v>
      </c>
      <c r="GW17" t="str">
        <f>IF(OR(GO17="",GM17=""),"",IF(GO17&gt;IFERROR(VLOOKUP(GN17,Модули_спр,3,FALSE),99),"ЛИШНИЙ КАНАЛ",IF(AND(AH17&lt;&gt;"=",COUNTIFS(Линии[_модуль гр.],GM17,Линии[Канал (итог)],GO17,Линии[Канал],"&lt;&gt;=",Линии[Щит],A17)&gt;1),"ДУБЛЬ КАНАЛА","")))</f>
        <v/>
      </c>
      <c r="GX17" s="6" t="str">
        <f t="shared" si="95"/>
        <v/>
      </c>
      <c r="GY17">
        <f t="shared" si="96"/>
        <v>10</v>
      </c>
      <c r="GZ17" t="str">
        <f t="shared" si="97"/>
        <v/>
      </c>
      <c r="HA17" t="str">
        <f>IF(AND(B17="",GT17=""),"",_xlfn.TEXTJOIN("; ",TRUE,IF(AND(B17&lt;&gt;"",FE17=""),"нет фазы",""),IF(AND(B17&lt;&gt;"",N(FY17)=0,EQ17&lt;&gt;"Нет"),"нет мощности",""),IF(AND(GS17&lt;&gt;"",COUNTIFS(Линии[Щит],A17,Линии[Клемма (итог)],GS17)&gt;1),"дубль клеммы "&amp;GS17,""),IF(AND(GV17&lt;&gt;"",GV17&lt;&gt;"ok"),GV17,""),IF(GW17&lt;&gt;"",GW17,""),IF(AND(N(BV17)&gt;=4,N(BR17)=1),BV17&amp;" жил на 1 фазе",""),IF(AND(AX17="R",CA17=1,OR(N(CK17)=0,N(CK17)&gt;30)),"розетка без дифзащиты до 30 мА",""),IFERROR(IF(AND(ISNUMBER(R17),R17&gt;DV17),"потери "&amp;FIXED(R17,1)&amp;" % &gt; "&amp;DV17&amp;" %",""),""),IFERROR(IF(LEFT(GZ17,4)="мало","Iкз мало — отключение &gt; 0,4 с",""),""),IF(AND(B17&lt;&gt;"",BH17=""),"не на схеме",""),IF(AND(CA17=0,B17&lt;&gt;"",FE17&lt;&gt;"",IF(AW17=1,"",FF16)&lt;&gt;"",FE17&lt;&gt;IF(AW17=1,"",FF16)),"фаза не как у автомата группы ("&amp;IF(AW17=1,"",FF16)&amp;")","")))</f>
        <v/>
      </c>
      <c r="HB17" s="6" t="str">
        <f>IF(OR(CA17=0,DA17=""),"",_xlfn.LET(_xlpm.t,IFERROR(_xlfn.XLOOKUP(DA17,Каталог!$U$4:$U$500,Каталог!$G$4:$G$500),""),_xlpm.k,SEARCH("кА",_xlpm.t),IFERROR(--TRIM(RIGHT(SUBSTITUTE(MID(_xlpm.t,MAX(1,_xlpm.k-4),_xlpm.k-MAX(1,_xlpm.k-4))," ",REPT(" ",9)),5)),"")))</f>
        <v/>
      </c>
      <c r="HC17" t="str">
        <f>IF(OR(HB17="",CA17=0),"",IF(_xlfn.XLOOKUP(A17,Щиты[Щит],Щиты[Iкз max на шинах, кА],"")="","",IF(HB17&lt;_xlfn.XLOOKUP(A17,Щиты[Щит],Щиты[Iкз max на шинах, кА]),"Icu "&amp;HB17&amp;" кА &lt; Iкз max","ok")))</f>
        <v/>
      </c>
      <c r="HD17" t="str">
        <f t="shared" si="98"/>
        <v/>
      </c>
      <c r="HE17" t="str">
        <f t="shared" si="99"/>
        <v>QF15</v>
      </c>
      <c r="HF17" t="str">
        <f t="shared" si="100"/>
        <v>QF15|кабель ВВГнг(А)-LS (3х4) → Щит дренажных насосов ЩС-ВК.001 Подвальный этаж этаж Пом. 00.002Т</v>
      </c>
      <c r="HG17" t="str" cm="1">
        <f t="array" ref="HG17">IF(HF17="","",_xlfn.LET(_xlpm.nd,_xlfn.TEXTSPLIT(HF17,"|"),IF(COLUMNS(_xlpm.nd)&gt;1,A17&amp;"¦"&amp;INDEX(_xlpm.nd,1)&amp;"¦"&amp;INDEX(_xlpm.nd,2),"")))</f>
        <v>ГРЩ-ЖД¦QF15¦кабель ВВГнг(А)-LS (3х4) → Щит дренажных насосов ЩС-ВК.001 Подвальный этаж этаж Пом. 00.002Т</v>
      </c>
      <c r="HH17" t="str">
        <f t="shared" si="101"/>
        <v>ЩС-ВК.001¦Щит дренажных насосов ЩС-ВК.001 Подвальный этаж этаж Пом. 00.002Т</v>
      </c>
      <c r="HI17" t="str" cm="1">
        <f t="array" ref="HI17">IF(HF17="","",_xlfn.LET(_xlpm.nd,_xlfn.TEXTSPLIT(HF17,"|"),IF(COLUMNS(_xlpm.nd)&gt;2,A17&amp;"¦"&amp;INDEX(_xlpm.nd,2)&amp;"¦"&amp;INDEX(_xlpm.nd,3),"")))</f>
        <v/>
      </c>
      <c r="HJ17" t="str">
        <f t="shared" si="102"/>
        <v/>
      </c>
      <c r="HK17" t="str" cm="1">
        <f t="array" ref="HK17">IF(HF17="","",_xlfn.LET(_xlpm.nd,_xlfn.TEXTSPLIT(HF17,"|"),IF(COLUMNS(_xlpm.nd)&gt;3,A17&amp;"¦"&amp;INDEX(_xlpm.nd,3)&amp;"¦"&amp;INDEX(_xlpm.nd,4),"")))</f>
        <v/>
      </c>
      <c r="HL17" t="str">
        <f t="shared" si="103"/>
        <v/>
      </c>
      <c r="HM17" t="str" cm="1">
        <f t="array" ref="HM17">IF(HF17="","",_xlfn.LET(_xlpm.nd,_xlfn.TEXTSPLIT(HF17,"|"),IF(COLUMNS(_xlpm.nd)&gt;4,A17&amp;"¦"&amp;INDEX(_xlpm.nd,4)&amp;"¦"&amp;INDEX(_xlpm.nd,5),"")))</f>
        <v/>
      </c>
      <c r="HN17" t="str">
        <f t="shared" si="104"/>
        <v/>
      </c>
      <c r="HO17" t="str" cm="1">
        <f t="array" ref="HO17">IF(HF17="","",_xlfn.LET(_xlpm.nd,_xlfn.TEXTSPLIT(HF17,"|"),IF(COLUMNS(_xlpm.nd)&gt;5,A17&amp;"¦"&amp;INDEX(_xlpm.nd,5)&amp;"¦"&amp;INDEX(_xlpm.nd,6),"")))</f>
        <v/>
      </c>
      <c r="HP17" t="str">
        <f t="shared" si="105"/>
        <v/>
      </c>
      <c r="HQ17" t="str" cm="1">
        <f t="array" ref="HQ17">IF(HF17="","",_xlfn.LET(_xlpm.nd,_xlfn.TEXTSPLIT(HF17,"|"),IF(COLUMNS(_xlpm.nd)&gt;6,A17&amp;"¦"&amp;INDEX(_xlpm.nd,6)&amp;"¦"&amp;INDEX(_xlpm.nd,7),"")))</f>
        <v/>
      </c>
      <c r="HR17" t="str">
        <f t="shared" si="106"/>
        <v/>
      </c>
      <c r="HS17" t="str">
        <f t="shared" si="107"/>
        <v/>
      </c>
      <c r="HT17" t="str">
        <f t="shared" si="108"/>
        <v>QF15</v>
      </c>
      <c r="HU17">
        <f t="shared" si="109"/>
        <v>0</v>
      </c>
      <c r="HV17">
        <f t="shared" si="110"/>
        <v>0</v>
      </c>
      <c r="HW17" t="str">
        <f t="shared" si="111"/>
        <v/>
      </c>
      <c r="HX17" t="str">
        <f t="shared" si="112"/>
        <v/>
      </c>
      <c r="HY17" t="str">
        <f t="shared" si="113"/>
        <v/>
      </c>
      <c r="HZ17" t="str">
        <f t="shared" si="114"/>
        <v/>
      </c>
      <c r="IA17">
        <f>IF(B17="","",IFERROR(VLOOKUP(B17,УГО_спр,2,FALSE),IFERROR(VLOOKUP(AX17,УГО_спр,2,FALSE),IFERROR(VLOOKUP(LEFT(AX17,2),УГО_спр,2,FALSE),""))))</f>
        <v>0</v>
      </c>
      <c r="IB17" t="str">
        <f>IF(B17="","",IF(OR(IA17="",IA17=0),"BOX",IFERROR(IF(VLOOKUP(IA17,УГО_блоки,3,FALSE)&amp;""&lt;&gt;"",VLOOKUP(IA17,УГО_блоки,3,FALSE),VLOOKUP(IA17,УГО_блоки,2,FALSE)),IA17)))</f>
        <v>BOX</v>
      </c>
      <c r="IC17">
        <f t="shared" si="115"/>
        <v>1</v>
      </c>
      <c r="ID17">
        <f>IF(DA17="","",IF(COUNTIF(DA$3:DA17,DA17)=1,MAX(ID$2:ID16)+1,""))</f>
        <v>10</v>
      </c>
      <c r="IE17" t="str">
        <f>IF(CO17="","",IF(COUNTIF(CO$3:CO17,CO17)+COUNTIF(CP$2:CP16,CO17)+COUNTIF(CQ$2:CQ16,CO17)=1,MAX(IE$2:IG16)+1,""))</f>
        <v/>
      </c>
      <c r="IF17" t="str">
        <f>IF(CP17="","",IF(COUNTIF(CO$3:CO17,CP17)+COUNTIF(CP$3:CP17,CP17)+COUNTIF(CQ$2:CQ16,CP17)=1,MAX(IE$2:IG16,IE17)+1,""))</f>
        <v/>
      </c>
      <c r="IG17" t="str">
        <f>IF(CQ17="","",IF(COUNTIF(CO$3:CO17,CQ17)+COUNTIF(CP$3:CP17,CQ17)+COUNTIF(CQ$3:CQ17,CQ17)=1,MAX(IE$2:IG16,IE17,IF17)+1,""))</f>
        <v/>
      </c>
      <c r="IH17" t="str">
        <f t="shared" si="116"/>
        <v>3х4</v>
      </c>
      <c r="II17">
        <f>IF(IH17="","",IF(COUNTIF(IH$3:IH17,IH17)=1,MAX(II$2:II16)+1,""))</f>
        <v>7</v>
      </c>
      <c r="IJ17" t="str">
        <f>IF(GL17="","",COUNTIF(GL$3:GL17,"?*"))</f>
        <v/>
      </c>
      <c r="IK17" t="str">
        <f>IF(OR(GL17="",GN17=""),"",IF(COUNTIFS(GL$3:GL17,"?*",GN$3:GN17,GN17)=1,MAX(IK$2:IK16)+1,""))</f>
        <v/>
      </c>
      <c r="IL17">
        <f t="shared" si="117"/>
        <v>0</v>
      </c>
      <c r="IM17">
        <f>IF(B17="","",COUNTIF(B$3:B17,"?*"))</f>
        <v>15</v>
      </c>
      <c r="IN17">
        <f>IF(GQ17&lt;&gt;1,0,_xlfn.LET(_xlpm.k,MAX(IFERROR(--VLOOKUP(B17,УГО_спр,5,FALSE),0),IFERROR(--VLOOKUP(AX17,УГО_спр,5,FALSE),0),IFERROR(--VLOOKUP(LEFT(AX17,2),УГО_спр,5,FALSE),0)),IF(_xlpm.k&gt;0,_xlpm.k,IF(IFERROR(--LEFT(SUBSTITUTE(IH17,"x","х"),FIND("х",SUBSTITUTE(IH17,"x","х"))-1),3)&gt;3,Каталог!$S$9,1))))</f>
        <v>1</v>
      </c>
      <c r="IO17">
        <f t="shared" si="118"/>
        <v>0</v>
      </c>
      <c r="IP17" t="str">
        <f t="shared" si="119"/>
        <v>авто</v>
      </c>
      <c r="IQ17" t="str">
        <f t="shared" si="120"/>
        <v/>
      </c>
      <c r="IR17">
        <f t="shared" si="121"/>
        <v>0</v>
      </c>
      <c r="IS17">
        <f t="shared" si="122"/>
        <v>1</v>
      </c>
    </row>
    <row r="18" spans="1:253" x14ac:dyDescent="0.3">
      <c r="A18" t="s">
        <v>785</v>
      </c>
      <c r="B18" t="s">
        <v>767</v>
      </c>
      <c r="C18" t="s">
        <v>766</v>
      </c>
      <c r="D18">
        <v>1</v>
      </c>
      <c r="E18">
        <v>2.4</v>
      </c>
      <c r="G18">
        <v>16</v>
      </c>
      <c r="H18" t="str">
        <f>Линии[[#This Row],[_авто утечка]]</f>
        <v/>
      </c>
      <c r="I18" t="str">
        <f>Линии[[#This Row],[_авто управление]]</f>
        <v/>
      </c>
      <c r="J18" t="str">
        <f>Линии[[#This Row],[_авто аппараты]]</f>
        <v/>
      </c>
      <c r="K18">
        <v>4</v>
      </c>
      <c r="L18">
        <v>51</v>
      </c>
      <c r="M18" t="str">
        <f>Линии[[#This Row],[_авто фаза]]</f>
        <v>L3</v>
      </c>
      <c r="N18" t="s">
        <v>486</v>
      </c>
      <c r="O18" t="str">
        <f t="shared" si="0"/>
        <v/>
      </c>
      <c r="P18" s="6" cm="1">
        <f t="array" ref="P18">IF(B18="","",IF(BC18&lt;&gt;"",IFERROR(_xlfn.XLOOKUP(BC18,Щиты[Щит],Щиты[Iр, А]),""),IF(BK18=1,IFERROR(_xlfn.XLOOKUP(A18,Щиты[Щит],Щиты[Iр, А]),""),IFERROR(_xlfn.IFS(BR18=1,BN18/((Uн_лин/SQRT(3))*BY18),BR18=3,BN18/(SQRT(3)*Uн_лин*BY18)),""))))</f>
        <v>9.0932667397366043</v>
      </c>
      <c r="Q18" s="7">
        <f>IF(B18="","",IFERROR(IF(VLOOKUP(AX18,Потребители_обозначение,4,FALSE)=1,VLOOKUP(AX18,Потребители_обозначение,3,FALSE)*(D18*2-1)+DS18+VLOOKUP(AZ18,Этаж_обозначение,3,FALSE)+VLOOKUP(AZ18,Этаж_обозначение,4,FALSE),VLOOKUP(AX18,Потребители_обозначение,3,FALSE)*(D18*2-1)+DS18),DS18))</f>
        <v>51</v>
      </c>
      <c r="R18" s="6">
        <f t="shared" si="1"/>
        <v>1.84</v>
      </c>
      <c r="S18" t="str">
        <f t="shared" si="2"/>
        <v>ВВГнг(А)-LS (3х4)</v>
      </c>
      <c r="T18" t="str">
        <f>IF(BH18="","",IF(BI18="вводной узел","узел ","")&amp;"л."&amp;(INT((BH18-1)/Столбцов_на_лист)+1)&amp;" / "&amp;(MOD(BH18-1,Столбцов_на_лист)+1))</f>
        <v>л.3 / 12</v>
      </c>
      <c r="V18">
        <v>1</v>
      </c>
      <c r="W18">
        <v>230</v>
      </c>
      <c r="X18" t="s">
        <v>600</v>
      </c>
      <c r="Y18">
        <v>0.7</v>
      </c>
      <c r="AA18">
        <v>2</v>
      </c>
      <c r="AC18" t="s">
        <v>815</v>
      </c>
      <c r="AE18" t="s">
        <v>606</v>
      </c>
      <c r="AI18">
        <v>46</v>
      </c>
      <c r="AJ18" t="s">
        <v>11</v>
      </c>
      <c r="AK18">
        <v>3</v>
      </c>
      <c r="AM18">
        <v>34</v>
      </c>
      <c r="AN18">
        <v>12</v>
      </c>
      <c r="AO18">
        <v>0</v>
      </c>
      <c r="AW18" cm="1">
        <f t="array" ref="AW18">ROW()-ROW(Линии[#Headers])</f>
        <v>16</v>
      </c>
      <c r="AX18" s="6" t="str">
        <f t="shared" si="3"/>
        <v>ЩС-ВК</v>
      </c>
      <c r="AY18" t="str">
        <f t="shared" si="4"/>
        <v>002</v>
      </c>
      <c r="AZ18" t="str">
        <f t="shared" si="5"/>
        <v>002</v>
      </c>
      <c r="BA18" t="str">
        <f t="shared" si="6"/>
        <v/>
      </c>
      <c r="BB18" t="str">
        <f t="shared" si="7"/>
        <v/>
      </c>
      <c r="BC18" t="str">
        <f>IF(U18&lt;&gt;"",U18,IF(AND(B18&lt;&gt;"",B18&lt;&gt;A18,ISNUMBER(_xlfn.XMATCH(B18,Щиты[Щит]))),B18,""))</f>
        <v>ЩС-ВК.002</v>
      </c>
      <c r="BD18" t="str" cm="1">
        <f t="array" ref="BD18">IF(B18="","",IF(BC18&lt;&gt;"","Щит "&amp;BC18,_xlfn.LET(_xlpm.nm,IFERROR(_xlfn.XLOOKUP(AX18,Коды_код,Коды_имя)&amp;"",""),_xlpm.md,IFERROR(N(_xlfn.XLOOKUP(AX18,Коды_код,Коды_режим)),1),_xlpm.ex,IF(Имя_режим="по экспликации",IFERROR(_xlfn.XLOOKUP(AZ18&amp;"|"&amp;BB18,Экспликация[Этаж]&amp;"|"&amp;Экспликация[Помещение],Экспликация[Название])&amp;"",""),""),_xlpm.rm,IF(BB18="","",IF(_xlpm.ex&lt;&gt;"",". "&amp;_xlpm.ex&amp;IF(Имя_пом="нет"," ("&amp;BB18&amp;")"," (пом. "&amp;BB18&amp;")"),IF(Имя_пом="нет"," ",", пом. ")&amp;BB18)),IF(_xlpm.nm="","",IF(_xlpm.md=2,_xlpm.nm&amp;" шлейф "&amp;AZ18,_xlpm.nm&amp;_xlpm.rm)))))</f>
        <v>Щит ЩС-ВК.002</v>
      </c>
      <c r="BE18" t="str">
        <f t="shared" si="8"/>
        <v>Щит насосов ЩС-ВК.002 Подвальный этаж этаж Пом. №00.002Тб</v>
      </c>
      <c r="BF18">
        <f>IFERROR(_xlfn.XMATCH(A18,Щиты[Щит]),0)</f>
        <v>1</v>
      </c>
      <c r="BG18">
        <f>_xlfn.LET(_xlpm.k,IFERROR(_xlfn.XLOOKUP(A18,Щиты[Щит],Щиты[Листов под вводной узел]),""),IF(_xlpm.k="",1,N(_xlpm.k))*Столбцов_на_лист)</f>
        <v>17</v>
      </c>
      <c r="BH18">
        <f t="shared" si="9"/>
        <v>46</v>
      </c>
      <c r="BI18" t="str">
        <f t="shared" si="10"/>
        <v>линии</v>
      </c>
      <c r="BJ18" s="6">
        <f>IFERROR(N(_xlfn.XLOOKUP(AX18,Коды_код,Коды_квт)),0)</f>
        <v>0</v>
      </c>
      <c r="BK18">
        <f t="shared" si="11"/>
        <v>0</v>
      </c>
      <c r="BL18">
        <f>IF(B18="","",IF(BC18&lt;&gt;"",IFERROR(_xlfn.XLOOKUP(BC18,Щиты[Щит],Щиты[Руст, кВт]),0),IF(BK18=1,IFERROR(_xlfn.XLOOKUP(A18,Щиты[Щит],Щиты[Руст, кВт]),0),IF(BJ18&gt;0,ROUND(BJ18*MAX(1,N(D18)),3),""))))</f>
        <v>2.4</v>
      </c>
      <c r="BM18">
        <f t="shared" si="12"/>
        <v>2.4</v>
      </c>
      <c r="BN18" s="6">
        <f>IF(B18="","",IF(BC18&lt;&gt;"",IFERROR(_xlfn.XLOOKUP(BC18,Щиты[Щит],Щиты[Руст, кВт]),0),N(BM18)))</f>
        <v>2.4</v>
      </c>
      <c r="BO18" t="str">
        <f>IF(B18="","",IFERROR(IF(VLOOKUP(AX18,Потребители_обозначение,8,FALSE)=0,"",VLOOKUP(AX18,Потребители_обозначение,8,FALSE)),""))</f>
        <v/>
      </c>
      <c r="BP18">
        <f t="shared" si="13"/>
        <v>230</v>
      </c>
      <c r="BQ18">
        <f>IF(B18="","",IF(BC18&lt;&gt;"",3,IFERROR(IF(N(VLOOKUP(AX18,Потребители_обозначение,9,FALSE))=0,1,VLOOKUP(AX18,Потребители_обозначение,9,FALSE)),1)))</f>
        <v>3</v>
      </c>
      <c r="BR18">
        <f t="shared" si="14"/>
        <v>1</v>
      </c>
      <c r="BS18" t="str">
        <f>IF(B18="","",_xlfn.LET(_xlpm.bc,IFERROR(IF(VLOOKUP(AX18,Потребители_обозначение,6,FALSE)=0,"",VLOOKUP(AX18,Потребители_обозначение,6,FALSE)&amp;""),""),IF(AND(FK18="да",OR(_xlpm.bc="",_xlpm.bc="мс")),Марка_пож,IF(AND(_xlpm.bc="",BC18&lt;&gt;""),"мс",_xlpm.bc))))</f>
        <v>мс</v>
      </c>
      <c r="BT18" t="str">
        <f t="shared" si="15"/>
        <v>мс</v>
      </c>
      <c r="BU18">
        <f>IF(B18="","",_xlfn.LET(_xlpm.cc,IFERROR(N(VLOOKUP(AX18,Потребители_обозначение,7,FALSE)),0),IF(_xlpm.cc&gt;0,_xlpm.cc,IF(BT18="","",IF(N(BR18)=3,5,3)))))</f>
        <v>3</v>
      </c>
      <c r="BV18">
        <f t="shared" si="16"/>
        <v>3</v>
      </c>
      <c r="BW18">
        <f>IFERROR(N(VLOOKUP(AX18,Потребители_обозначение,10,FALSE)),0)</f>
        <v>0</v>
      </c>
      <c r="BX18">
        <f>IFERROR(VLOOKUP(AX18,Потребители_обозначение,5,FALSE),0)</f>
        <v>0</v>
      </c>
      <c r="BY18" s="6" cm="1">
        <f t="array" ref="BY18">IF(B18="","",IF(BC18&lt;&gt;"",IFERROR(_xlfn.XLOOKUP(BC18,Щиты[Щит],Щиты[cos φ]),0.95),IF(BK18=1,IFERROR(_xlfn.XLOOKUP(A18,Щиты[Щит],Щиты[cos φ]),0.95),IF(ISNUMBER(Z18),Z18,IFERROR(IF(BX18=2,_xlfn.IFS(BR18=3,VLOOKUP(BN18,Справочная_двигатели,8,FALSE),BR18=1,VLOOKUP(BN18,Справочная_двигатели,10,TRUE)),IF(AND(Методика="нормы 2026",EQ18="Сил"),0.8,0.95)),0.95)))))</f>
        <v>0.8</v>
      </c>
      <c r="BZ18">
        <f t="shared" si="17"/>
        <v>0</v>
      </c>
      <c r="CA18">
        <f t="shared" si="18"/>
        <v>1</v>
      </c>
      <c r="CB18">
        <f t="shared" si="19"/>
        <v>0</v>
      </c>
      <c r="CC18">
        <f t="shared" si="20"/>
        <v>0</v>
      </c>
      <c r="CD18">
        <f t="shared" si="21"/>
        <v>0</v>
      </c>
      <c r="CE18">
        <f t="shared" si="22"/>
        <v>0</v>
      </c>
      <c r="CF18">
        <f t="shared" si="23"/>
        <v>0</v>
      </c>
      <c r="CG18">
        <f>IF(AX18="",0,_xlfn.LET(_xlpm.v,IFERROR(VLOOKUP(B18,УГО_спр,3,FALSE),IFERROR(VLOOKUP(AX18,УГО_спр,3,FALSE),IFERROR(VLOOKUP(LEFT(AX18,2),УГО_спр,3,FALSE),""))),IF(_xlpm.v="да",30,IF(ISNUMBER(_xlpm.v),_xlpm.v,0))))</f>
        <v>0</v>
      </c>
      <c r="CH18" t="str">
        <f t="shared" si="24"/>
        <v/>
      </c>
      <c r="CI18" t="str">
        <f>_xlfn.LET(_xlpm.k,IFERROR(_xlfn.XLOOKUP(AX18,Коды_код,Коды_утечка)&amp;"",""),IF(_xlpm.k="","дифавтомат",_xlpm.k))</f>
        <v>дифавтомат</v>
      </c>
      <c r="CJ18">
        <f t="shared" si="25"/>
        <v>0</v>
      </c>
      <c r="CK18">
        <f t="shared" si="26"/>
        <v>0</v>
      </c>
      <c r="CL18">
        <f>IF(B18="",0,IFERROR(--VLOOKUP(B18,УГО_спр,4,FALSE),IFERROR(--VLOOKUP(AX18,УГО_спр,4,FALSE),IFERROR(--VLOOKUP(LEFT(AX18,2),УГО_спр,4,FALSE),0))))</f>
        <v>0</v>
      </c>
      <c r="CM18" t="str">
        <f>IF(B18="","",IFERROR(_xlfn.XLOOKUP(AX18,Коды_код,Коды_апп)&amp;"",""))</f>
        <v/>
      </c>
      <c r="CN18" t="str">
        <f t="shared" si="27"/>
        <v/>
      </c>
      <c r="CO18" t="str" cm="1">
        <f t="array" ref="CO18">IF(TRIM(CN18&amp;"")="","",IFERROR(TRIM(INDEX(_xlfn.TEXTSPLIT(CN18&amp;";;;",";"),1)),""))</f>
        <v/>
      </c>
      <c r="CP18" t="str" cm="1">
        <f t="array" ref="CP18">IF(TRIM(CN18&amp;"")="","",IFERROR(TRIM(INDEX(_xlfn.TEXTSPLIT(CN18&amp;";;;",";"),2)),""))</f>
        <v/>
      </c>
      <c r="CQ18" t="str" cm="1">
        <f t="array" ref="CQ18">IF(TRIM(CN18&amp;"")="","",IFERROR(TRIM(INDEX(_xlfn.TEXTSPLIT(CN18&amp;";;;",";"),3)),""))</f>
        <v/>
      </c>
      <c r="CR18">
        <f t="shared" si="28"/>
        <v>0</v>
      </c>
      <c r="CS18" t="str">
        <f>IF(B18="","",_xlfn.LET(_xlpm.t,LOWER(AV18&amp;""),IF(ISNUMBER(SEARCH("dim",_xlpm.t)),"DIM",IF(ISNUMBER(SEARCH("dali",_xlpm.t)),"DALI",IF(OR(ISNUMBER(SEARCH("relay",_xlpm.t)),ISNUMBER(SEARCH("реле",_xlpm.t))),"Relay",IF(ISNUMBER(SEARCH("кнопк",_xlpm.t)),"",IFERROR(_xlfn.XLOOKUP(AX18,Коды_код,Коды_упр)&amp;"","")))))))</f>
        <v/>
      </c>
      <c r="CT18" t="str">
        <f t="shared" si="29"/>
        <v/>
      </c>
      <c r="CU18">
        <f>IF(B18="","",_xlfn.LET(_xlpm.ig,N(P18)+IF(AF18="вручную",0,N(CB18)),_xlpm.n0,IFERROR(VLOOKUP(_xlpm.ig,Автомат_номиналы,2,TRUE),0),_xlpm.mn,MAX(CL18,IF(AF18="вручную",0,N(CE18))),MAX(_xlpm.n0,_xlpm.mn,IF(CR18=1,Мин_автомат_БП,0))))</f>
        <v>16</v>
      </c>
      <c r="CV18">
        <f t="shared" si="30"/>
        <v>1</v>
      </c>
      <c r="CW18" t="str">
        <f t="shared" si="31"/>
        <v>1P</v>
      </c>
      <c r="CX18" t="str">
        <f>_xlfn.LET(_xlpm.cc,UPPER(TRIM(IFERROR(_xlfn.XLOOKUP(AX18,Коды_код,Коды_хар)&amp;"",""))),IF(OR(_xlpm.cc="B",_xlpm.cc="В"),"B",IF(_xlpm.cc="D","D","С")))</f>
        <v>С</v>
      </c>
      <c r="CY18" t="str">
        <f t="shared" si="32"/>
        <v>1P С16А</v>
      </c>
      <c r="CZ18">
        <f t="shared" si="33"/>
        <v>16</v>
      </c>
      <c r="DA18" t="str">
        <f t="shared" si="34"/>
        <v>1P С16А</v>
      </c>
      <c r="DB18" cm="1">
        <f t="array" ref="DB18">IF(DA18="","",_xlfn.LET(_xlpm.t,SUBSTITUTE(SUBSTITUTE(SUBSTITUTE(UPPER(DA18),"С","C"),"А","A"),"В","B"),_xlpm.tk,_xlfn.TEXTSPLIT(_xlpm.t,"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" t="str">
        <f t="shared" si="35"/>
        <v>ok</v>
      </c>
      <c r="DD18">
        <f t="shared" si="36"/>
        <v>16</v>
      </c>
      <c r="DE18" t="str">
        <f t="shared" si="37"/>
        <v>1P С16А</v>
      </c>
      <c r="DF18">
        <f t="shared" si="38"/>
        <v>0</v>
      </c>
      <c r="DG18">
        <f t="shared" si="39"/>
        <v>0</v>
      </c>
      <c r="DH18">
        <f t="shared" si="40"/>
        <v>0</v>
      </c>
      <c r="DI18">
        <f t="shared" si="41"/>
        <v>9.0932667397366043</v>
      </c>
      <c r="DJ18">
        <f t="shared" si="42"/>
        <v>1</v>
      </c>
      <c r="DK18">
        <f>IF(ISNUMBER(AL18),AL18,К_прокл)</f>
        <v>1</v>
      </c>
      <c r="DL18">
        <f t="shared" si="43"/>
        <v>2</v>
      </c>
      <c r="DM18">
        <f>IFERROR(N(VLOOKUP(BT18,Кабель_обозначение,3,FALSE)),1)</f>
        <v>1</v>
      </c>
      <c r="DN18">
        <f>IFERROR(N(_xlfn.XLOOKUP(A18,Щиты[Щит],Щиты[ΔU до шин, %])),0)</f>
        <v>0</v>
      </c>
      <c r="DO18" t="str">
        <f>IFERROR(_xlfn.XLOOKUP(A18,Щиты[Щит],Щиты[Zпетли на шинах, Ом]),"")</f>
        <v/>
      </c>
      <c r="DP18">
        <f>IFERROR(N(_xlfn.XLOOKUP(A18,Щиты[Щит],Щиты[ΔU до шин (подбор), %])),0)</f>
        <v>0</v>
      </c>
      <c r="DQ18" t="str">
        <f>IFERROR(_xlfn.XLOOKUP(A18,Щиты[Щит],Щиты[Zпетли на шинах (подбор), Ом]),"")</f>
        <v/>
      </c>
      <c r="DR18" t="str">
        <f t="shared" si="44"/>
        <v/>
      </c>
      <c r="DS18">
        <f t="shared" si="45"/>
        <v>51</v>
      </c>
      <c r="DT18">
        <f t="shared" si="46"/>
        <v>2</v>
      </c>
      <c r="DU18">
        <f t="shared" si="47"/>
        <v>0.6</v>
      </c>
      <c r="DV18" s="6">
        <f>IF(B18="","",IF(IFERROR(VLOOKUP(AX18,УГО_спр,2,FALSE),"")="Светильник",3,4)+IF(Методика="нормы 2026",MIN(0.5,MAX(0,N(Q18)-100)*0.005),0))</f>
        <v>4</v>
      </c>
      <c r="DW18" cm="1">
        <f t="array" ref="DW18">IF(OR(B18="",BT18="",DM18&lt;&gt;1),"",_xlfn.LET(_xlpm.sz,Iдоп_S,_xlpm.t_,CHOOSE(DL18,Iдоп_1ж,Iдоп_2ж,Iдоп_3ж)*DJ18*DK18,_xlpm.inn,N(DD18),_xlpm.smin,MAX(1.5,BW18),_xlpm.L_,N(Q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18)*(_xlpm.rho*_xlpm.L_/_xlpm.sz*N(BY18)+_xlpm.xx*_xlpm.L_*N(DU18)/1000)*N(P18)/((Uн_лин/SQRT(3))*1000)*100,999),_xlpm.kz,IF(OR(DG18=1,NOT(ISNUMBER(DQ18)),_xlpm.L_=0,_xlpm.inn=0),1,IFERROR(--(c_min*(Uн_лин*1000/SQRT(3))/(DQ18+2*ρкз_Cu*_xlpm.L_/_xlpm.sz)&gt;=GY18*_xlpm.inn),0)),_xlpm.ok,IFERROR((_xlpm.sz&gt;=_xlpm.smin)*(_xlpm.t_&gt;=_xlpm.inn)*IF(_xlpm.L_&gt;0,(_xlpm.du_+DP18&lt;=DV18+0.00001),1)*_xlpm.kz,0),_xlpm.r_,_xlfn._xlws.FILTER(_xlpm.sz,_xlpm.ok,"не подобрано"),INDEX(_xlpm.r_,1)))</f>
        <v>2.5</v>
      </c>
      <c r="DX18">
        <f t="shared" si="48"/>
        <v>4</v>
      </c>
      <c r="DY18" cm="1">
        <f t="array" ref="DY18">IF(OR(B18="",BT18="",DM18&lt;&gt;1),"",_xlfn.LET(_xlpm.sz,Iдоп_S,_xlpm.t_,CHOOSE(DL18,Iдоп_1ж,Iдоп_2ж,Iдоп_3ж)*DJ18*DK18,_xlpm.ok,IFERROR((_xlpm.sz&gt;=MAX(1.5,BW18))*(_xlpm.t_&gt;=N(DD18)),0),_xlpm.r_,_xlfn._xlws.FILTER(_xlpm.sz,_xlpm.ok,""),INDEX(_xlpm.r_,1)))</f>
        <v>1.5</v>
      </c>
      <c r="DZ18" s="6" cm="1">
        <f t="array" ref="DZ18">IFERROR(ROUNDUP(N(DT18)*(_xlfn.XLOOKUP(DY18,INDEX(Кабель_сопротивление,0,1),INDEX(Кабель_сопротивление,0,3))*N(Q18)/DY18*N(BY18)+_xlfn.XLOOKUP(DY18,INDEX(Кабель_сопротивление,0,1),INDEX(Кабель_сопротивление,0,2))*N(Q18)*N(DU18)/1000)*N(P18)/((Uн_лин/SQRT(3))*1000)*100,2),"")</f>
        <v>4.8499999999999996</v>
      </c>
      <c r="EA18">
        <f>IFERROR(2*ρкз_Cu*N(Q18)/DY18,"")</f>
        <v>1.7884</v>
      </c>
      <c r="EB18">
        <f>IFERROR(VLOOKUP(DX18,Кабель_сопротивление,3,FALSE),"")</f>
        <v>2.2499999999999999E-2</v>
      </c>
      <c r="EC18">
        <f>IFERROR(VLOOKUP(DX18,Кабель_сопротивление,2,FALSE),"")</f>
        <v>9.5000000000000001E-2</v>
      </c>
      <c r="ED18">
        <f t="shared" si="49"/>
        <v>12</v>
      </c>
      <c r="EE18">
        <f t="shared" si="50"/>
        <v>0</v>
      </c>
      <c r="EF18">
        <f t="shared" si="51"/>
        <v>4.2266776863639297</v>
      </c>
      <c r="EG18" s="6">
        <f>IFERROR(ROUNDUP(EF18/((Uн_лин/SQRT(3))*1000)*100,2),"")</f>
        <v>1.84</v>
      </c>
      <c r="EH18" t="str">
        <f>IFERROR(VLOOKUP(BT18,Кабель_обозначение,2,FALSE),"")</f>
        <v>ВВГнг(А)-LS</v>
      </c>
      <c r="EI18" t="str">
        <f t="shared" si="52"/>
        <v>ВВГнг(А)-LS (3х4)</v>
      </c>
      <c r="EJ18" t="str">
        <f t="shared" si="53"/>
        <v>ВВГнг(А)-LS (3х4)
L=51-1,84%</v>
      </c>
      <c r="EK18">
        <f>IFERROR(2*ρкз_Cu*Q18/DX18,"")</f>
        <v>0.67064999999999997</v>
      </c>
      <c r="EL18">
        <f t="shared" si="54"/>
        <v>0.22312500000000002</v>
      </c>
      <c r="EM18" s="6" t="str">
        <f>IFERROR(IF(OR(B18="",NOT(ISNUMBER(DX18)),N(Q18)=0),"",_xlfn.XLOOKUP(A18,Щиты[Щит],Щиты[Zпетли на шинах, Ом])+EK18),"")</f>
        <v/>
      </c>
      <c r="EN18" s="6" t="str">
        <f>IF(ISNUMBER(EM18),c_min*(Uн_лин*1000/SQRT(3))/EM18,"")</f>
        <v/>
      </c>
      <c r="EO18" s="6" t="str">
        <f>IFERROR(IF(OR(B18="",NOT(ISNUMBER(DX18))),"",1.05*(Uн_лин*1000/SQRT(3))/(_xlfn.XLOOKUP(A18,Щиты[Щит],Щиты[Zmax на шинах, Ом])+EL18)/1000),"")</f>
        <v/>
      </c>
      <c r="EP18" s="6" t="str">
        <f>IF(B18="","",IF(ISNUMBER(Y18),"Сил",IF(IFERROR(_xlfn.XLOOKUP(AX18,Коды_код,Коды_группа)&amp;"","")="","Быт",_xlfn.XLOOKUP(AX18,Коды_код,Коды_группа)&amp;"")))</f>
        <v>Сил</v>
      </c>
      <c r="EQ18" s="6" t="str">
        <f t="shared" si="55"/>
        <v>Щит</v>
      </c>
      <c r="ER18" s="6" t="str">
        <f>IF(EQ18="Щит","щит",IF(EQ18="","",IF(EQ18="Быт",IFERROR(_xlfn.XLOOKUP(A18,Щиты[Щит],Щиты[Кс быт]),1),IF(EQ18="Сил",IF(ISNUMBER(Y18),Y18,IF(Методика="нормы 2026",IFERROR(_xlfn.XLOOKUP(A18,Щиты[Щит],Щиты[Кс силовых (табл. 7.5)]),1),1)),IF(OR(EQ18="Пост",EQ18="Отоп"),1,IF(EQ18="ВНГ",0.7,0))))))</f>
        <v>щит</v>
      </c>
      <c r="ES18">
        <f t="shared" si="56"/>
        <v>2</v>
      </c>
      <c r="ET18">
        <f t="shared" si="57"/>
        <v>0</v>
      </c>
      <c r="EU18">
        <f t="shared" si="58"/>
        <v>0</v>
      </c>
      <c r="EV18">
        <f t="shared" si="59"/>
        <v>0</v>
      </c>
      <c r="EW18">
        <f t="shared" si="60"/>
        <v>0</v>
      </c>
      <c r="EX18">
        <f t="shared" si="61"/>
        <v>0</v>
      </c>
      <c r="EY18">
        <f t="shared" si="62"/>
        <v>0</v>
      </c>
      <c r="EZ18">
        <f t="shared" si="63"/>
        <v>0</v>
      </c>
      <c r="FA18">
        <f t="shared" si="64"/>
        <v>0</v>
      </c>
      <c r="FB18">
        <f t="shared" si="65"/>
        <v>2.4</v>
      </c>
      <c r="FC18" t="str">
        <f t="shared" si="66"/>
        <v/>
      </c>
      <c r="FD18" t="str">
        <f>IF(B18="","",IF(CA18=0,IF(AW18=1,"",FF17),IF(OR(N(CV18)&gt;=3,N(BR18)&gt;=3),"L1,L2,L3",IFERROR(_xlfn.TEXTBEFORE(_xlfn.TEXTAFTER(_xlfn.XLOOKUP(A18,Щиты[Щит],Щиты[_фазы авто]),";"&amp;AW18&amp;":"),";"),"L1"))))</f>
        <v>L3</v>
      </c>
      <c r="FE18" t="str">
        <f t="shared" si="67"/>
        <v>L3</v>
      </c>
      <c r="FF18" t="str">
        <f t="shared" si="68"/>
        <v>L3</v>
      </c>
      <c r="FG18" cm="1">
        <f t="array" ref="FG18">IFERROR(IF(BX18=2,_xlfn.IFS(BR18=3,VLOOKUP(BN18,Справочная_двигатели,3,FALSE),BR18=1,VLOOKUP(BN18,Справочная_двигатели,5,TRUE)),0),0)</f>
        <v>0</v>
      </c>
      <c r="FH18">
        <f>IFERROR(IF(BX18=3,VLOOKUP(BN18,Справочная_ЛЭД,2,TRUE),0),0)</f>
        <v>0</v>
      </c>
      <c r="FI18" s="6">
        <f t="shared" si="69"/>
        <v>0</v>
      </c>
      <c r="FJ18" t="str" cm="1">
        <f t="array" ref="FJ18">IF(B18="","",IFERROR(INDEX({"I особая","I","II","III"},MATCH(TRIM(AC18&amp;""),{"I особая","I","II","III"},0)),"III"))</f>
        <v>II</v>
      </c>
      <c r="FK18" t="str">
        <f>IF(B18="","",IF(TRIM(AD18&amp;"")&lt;&gt;"",IF(LOWER(TRIM(AD18&amp;""))="да","да","нет"),IF(IFERROR(_xlfn.XLOOKUP(AX18,Коды_код,Коды_пожарная),"")="да","да","нет")))</f>
        <v>нет</v>
      </c>
      <c r="FL18" t="str">
        <f t="shared" si="70"/>
        <v/>
      </c>
      <c r="FM18" t="str">
        <f t="shared" si="71"/>
        <v>основная</v>
      </c>
      <c r="FN18">
        <f t="shared" si="72"/>
        <v>2</v>
      </c>
      <c r="FO18" t="str" cm="1">
        <f t="array" ref="FO18">IF(B18="","",_xlfn.LET(_xlpm.t,IFERROR(_xlfn.XLOOKUP(1,(Шины[Шина]=FM18)*(((Шины[Щит]=A18)+(Шины[Щит]=""))&gt;0),Шины[Тип]),"")&amp;"",IF(_xlpm.t&lt;&gt;"",_xlpm.t,IF(ISNUMBER(SEARCH("ИБП",FM18)),"ИБП",IF(ISNUMBER(SEARCH("ДГУ",FM18)),"ДГУ","Ввод "&amp;FN18)))))</f>
        <v>Ввод 2</v>
      </c>
      <c r="FP18" t="str">
        <f t="shared" si="73"/>
        <v>Ввод 2</v>
      </c>
      <c r="FQ18" t="str">
        <f>IF(B18="","",IF(OR(FO18="ИБП",FO18="ДГУ"),"I особая",IF(FO18="Одиночная","III",_xlfn.XLOOKUP(A18,Щиты[Щит],Щиты[Категория шины «Ввод»],"III"))))</f>
        <v>I</v>
      </c>
      <c r="FR18">
        <f>IF(B18="",0,IFERROR(MATCH(FJ18,{"III","II","I","I особая"},0),1))</f>
        <v>2</v>
      </c>
      <c r="FS18">
        <f t="shared" si="74"/>
        <v>2</v>
      </c>
      <c r="FT18" t="str">
        <f>IF(B18="","",IF(FR18&gt;IFERROR(MATCH(FQ18,{"III","II","I","I особая"},0),1),"НЕ ОБЕСПЕЧЕНА","ОК"))</f>
        <v>ОК</v>
      </c>
      <c r="FU18" t="str">
        <f>IF(A18="","",_xlfn.XLOOKUP(A18,Щиты[Щит],Щиты[Путь],""))</f>
        <v>|ГРЩ-ЖД|</v>
      </c>
      <c r="FV18" t="str">
        <f>IF(B18="","",IF(AE18&lt;&gt;"",AE18,IF(IFERROR(_xlfn.XLOOKUP(AX18,Коды_код,Коды_вид)&amp;"","")="","Прочее",_xlfn.XLOOKUP(AX18,Коды_код,Коды_вид)&amp;"")))</f>
        <v>Насосы (водоснабжение, дренаж)</v>
      </c>
      <c r="FW18">
        <f>IF(BH18="","",INT((BH18-1)/Столбцов_на_лист)+1)</f>
        <v>3</v>
      </c>
      <c r="FX18" t="str">
        <f t="shared" si="75"/>
        <v>ВВГнг(А)-LS (3х4) L=51-1,84%</v>
      </c>
      <c r="FY18">
        <f t="shared" si="76"/>
        <v>2.4</v>
      </c>
      <c r="FZ18">
        <f t="shared" si="77"/>
        <v>9.1</v>
      </c>
      <c r="GA18">
        <f t="shared" si="78"/>
        <v>1</v>
      </c>
      <c r="GB18">
        <f t="shared" si="79"/>
        <v>0</v>
      </c>
      <c r="GC18">
        <f t="shared" si="80"/>
        <v>1</v>
      </c>
      <c r="GD18">
        <f>IF(BH18="","",IF(AND(CA18=1,GC18=1),COUNTIFS(A$3:A18,A18,CA$3:CA18,1,GC$3:GC18,1),IF(OR(OR(AW18=1,A18&lt;&gt;A17),AF18="вручную",GC18=0),"",IF(AW18=1,"",GE17))))</f>
        <v>16</v>
      </c>
      <c r="GE18">
        <f t="shared" si="81"/>
        <v>16</v>
      </c>
      <c r="GF18">
        <f>IF(B18="","",IFERROR(LOOKUP(INDEX(CHOOSE(DL18,Iдоп_1ж,Iдоп_2ж,Iдоп_3ж),MATCH(DX18,Iдоп_S,0))*DJ18*DK18,{6,10,16,20,25,32,40,50,63,80,100,125,160,200,250,315,400,500,630}),""))</f>
        <v>32</v>
      </c>
      <c r="GG18" t="str">
        <f t="shared" si="82"/>
        <v>QF16</v>
      </c>
      <c r="GH18" t="str">
        <f t="shared" si="83"/>
        <v>QF16</v>
      </c>
      <c r="GI18" t="str">
        <f t="shared" si="84"/>
        <v/>
      </c>
      <c r="GJ18">
        <f t="shared" si="85"/>
        <v>0</v>
      </c>
      <c r="GK18" t="str">
        <f>IF(OR(AG18="",AG18="-"),"",IFERROR(VLOOKUP(AG18,Модули_спр,2,FALSE),"R"))</f>
        <v/>
      </c>
      <c r="GL18" t="str">
        <f>IF(GK18="","",GK18&amp;"."&amp;COUNTIFS(A$3:A18,A18,GK$3:GK18,GK18))</f>
        <v/>
      </c>
      <c r="GM18" t="str">
        <f t="shared" si="86"/>
        <v/>
      </c>
      <c r="GN18" t="str">
        <f t="shared" si="87"/>
        <v/>
      </c>
      <c r="GO18" t="str">
        <f t="shared" si="88"/>
        <v/>
      </c>
      <c r="GP18" t="str">
        <f t="shared" si="89"/>
        <v/>
      </c>
      <c r="GQ18">
        <f t="shared" si="90"/>
        <v>1</v>
      </c>
      <c r="GR18" t="str">
        <f>IF(GQ18=1,"XT"&amp;COUNTIFS(A$3:A18,A18,GQ$3:GQ18,1),"")</f>
        <v>XT13</v>
      </c>
      <c r="GS18" t="str">
        <f t="shared" si="91"/>
        <v/>
      </c>
      <c r="GT18" t="str">
        <f t="shared" si="92"/>
        <v>QF16</v>
      </c>
      <c r="GU18" t="str">
        <f t="shared" si="93"/>
        <v/>
      </c>
      <c r="GV18" t="str">
        <f t="shared" si="94"/>
        <v>ok</v>
      </c>
      <c r="GW18" t="str">
        <f>IF(OR(GO18="",GM18=""),"",IF(GO18&gt;IFERROR(VLOOKUP(GN18,Модули_спр,3,FALSE),99),"ЛИШНИЙ КАНАЛ",IF(AND(AH18&lt;&gt;"=",COUNTIFS(Линии[_модуль гр.],GM18,Линии[Канал (итог)],GO18,Линии[Канал],"&lt;&gt;=",Линии[Щит],A18)&gt;1),"ДУБЛЬ КАНАЛА","")))</f>
        <v/>
      </c>
      <c r="GX18" s="6" t="str">
        <f t="shared" si="95"/>
        <v/>
      </c>
      <c r="GY18">
        <f t="shared" si="96"/>
        <v>10</v>
      </c>
      <c r="GZ18" t="str">
        <f t="shared" si="97"/>
        <v/>
      </c>
      <c r="HA18" t="str">
        <f>IF(AND(B18="",GT18=""),"",_xlfn.TEXTJOIN("; ",TRUE,IF(AND(B18&lt;&gt;"",FE18=""),"нет фазы",""),IF(AND(B18&lt;&gt;"",N(FY18)=0,EQ18&lt;&gt;"Нет"),"нет мощности",""),IF(AND(GS18&lt;&gt;"",COUNTIFS(Линии[Щит],A18,Линии[Клемма (итог)],GS18)&gt;1),"дубль клеммы "&amp;GS18,""),IF(AND(GV18&lt;&gt;"",GV18&lt;&gt;"ok"),GV18,""),IF(GW18&lt;&gt;"",GW18,""),IF(AND(N(BV18)&gt;=4,N(BR18)=1),BV18&amp;" жил на 1 фазе",""),IF(AND(AX18="R",CA18=1,OR(N(CK18)=0,N(CK18)&gt;30)),"розетка без дифзащиты до 30 мА",""),IFERROR(IF(AND(ISNUMBER(R18),R18&gt;DV18),"потери "&amp;FIXED(R18,1)&amp;" % &gt; "&amp;DV18&amp;" %",""),""),IFERROR(IF(LEFT(GZ18,4)="мало","Iкз мало — отключение &gt; 0,4 с",""),""),IF(AND(B18&lt;&gt;"",BH18=""),"не на схеме",""),IF(AND(CA18=0,B18&lt;&gt;"",FE18&lt;&gt;"",IF(AW18=1,"",FF17)&lt;&gt;"",FE18&lt;&gt;IF(AW18=1,"",FF17)),"фаза не как у автомата группы ("&amp;IF(AW18=1,"",FF17)&amp;")","")))</f>
        <v/>
      </c>
      <c r="HB18" s="6">
        <f>IF(OR(CA18=0,DA18=""),"",_xlfn.LET(_xlpm.t,IFERROR(_xlfn.XLOOKUP(DA18,Каталог!$U$4:$U$500,Каталог!$G$4:$G$500),""),_xlpm.k,SEARCH("кА",_xlpm.t),IFERROR(--TRIM(RIGHT(SUBSTITUTE(MID(_xlpm.t,MAX(1,_xlpm.k-4),_xlpm.k-MAX(1,_xlpm.k-4))," ",REPT(" ",9)),5)),"")))</f>
        <v>6</v>
      </c>
      <c r="HC18" t="str">
        <f>IF(OR(HB18="",CA18=0),"",IF(_xlfn.XLOOKUP(A18,Щиты[Щит],Щиты[Iкз max на шинах, кА],"")="","",IF(HB18&lt;_xlfn.XLOOKUP(A18,Щиты[Щит],Щиты[Iкз max на шинах, кА]),"Icu "&amp;HB18&amp;" кА &lt; Iкз max","ok")))</f>
        <v/>
      </c>
      <c r="HD18" t="str">
        <f t="shared" si="98"/>
        <v/>
      </c>
      <c r="HE18" t="str">
        <f t="shared" si="99"/>
        <v>QF16</v>
      </c>
      <c r="HF18" t="str">
        <f t="shared" si="100"/>
        <v>QF16|кабель ВВГнг(А)-LS (3х4) → Щит насосов ЩС-ВК.002 Подвальный этаж этаж Пом. №00.002Тб</v>
      </c>
      <c r="HG18" t="str" cm="1">
        <f t="array" ref="HG18">IF(HF18="","",_xlfn.LET(_xlpm.nd,_xlfn.TEXTSPLIT(HF18,"|"),IF(COLUMNS(_xlpm.nd)&gt;1,A18&amp;"¦"&amp;INDEX(_xlpm.nd,1)&amp;"¦"&amp;INDEX(_xlpm.nd,2),"")))</f>
        <v>ГРЩ-ЖД¦QF16¦кабель ВВГнг(А)-LS (3х4) → Щит насосов ЩС-ВК.002 Подвальный этаж этаж Пом. №00.002Тб</v>
      </c>
      <c r="HH18" t="str">
        <f t="shared" si="101"/>
        <v>ЩС-ВК.002¦Щит насосов ЩС-ВК.002 Подвальный этаж этаж Пом. №00.002Тб</v>
      </c>
      <c r="HI18" t="str" cm="1">
        <f t="array" ref="HI18">IF(HF18="","",_xlfn.LET(_xlpm.nd,_xlfn.TEXTSPLIT(HF18,"|"),IF(COLUMNS(_xlpm.nd)&gt;2,A18&amp;"¦"&amp;INDEX(_xlpm.nd,2)&amp;"¦"&amp;INDEX(_xlpm.nd,3),"")))</f>
        <v/>
      </c>
      <c r="HJ18" t="str">
        <f t="shared" si="102"/>
        <v/>
      </c>
      <c r="HK18" t="str" cm="1">
        <f t="array" ref="HK18">IF(HF18="","",_xlfn.LET(_xlpm.nd,_xlfn.TEXTSPLIT(HF18,"|"),IF(COLUMNS(_xlpm.nd)&gt;3,A18&amp;"¦"&amp;INDEX(_xlpm.nd,3)&amp;"¦"&amp;INDEX(_xlpm.nd,4),"")))</f>
        <v/>
      </c>
      <c r="HL18" t="str">
        <f t="shared" si="103"/>
        <v/>
      </c>
      <c r="HM18" t="str" cm="1">
        <f t="array" ref="HM18">IF(HF18="","",_xlfn.LET(_xlpm.nd,_xlfn.TEXTSPLIT(HF18,"|"),IF(COLUMNS(_xlpm.nd)&gt;4,A18&amp;"¦"&amp;INDEX(_xlpm.nd,4)&amp;"¦"&amp;INDEX(_xlpm.nd,5),"")))</f>
        <v/>
      </c>
      <c r="HN18" t="str">
        <f t="shared" si="104"/>
        <v/>
      </c>
      <c r="HO18" t="str" cm="1">
        <f t="array" ref="HO18">IF(HF18="","",_xlfn.LET(_xlpm.nd,_xlfn.TEXTSPLIT(HF18,"|"),IF(COLUMNS(_xlpm.nd)&gt;5,A18&amp;"¦"&amp;INDEX(_xlpm.nd,5)&amp;"¦"&amp;INDEX(_xlpm.nd,6),"")))</f>
        <v/>
      </c>
      <c r="HP18" t="str">
        <f t="shared" si="105"/>
        <v/>
      </c>
      <c r="HQ18" t="str" cm="1">
        <f t="array" ref="HQ18">IF(HF18="","",_xlfn.LET(_xlpm.nd,_xlfn.TEXTSPLIT(HF18,"|"),IF(COLUMNS(_xlpm.nd)&gt;6,A18&amp;"¦"&amp;INDEX(_xlpm.nd,6)&amp;"¦"&amp;INDEX(_xlpm.nd,7),"")))</f>
        <v/>
      </c>
      <c r="HR18" t="str">
        <f t="shared" si="106"/>
        <v/>
      </c>
      <c r="HS18" t="str">
        <f t="shared" si="107"/>
        <v/>
      </c>
      <c r="HT18" t="str">
        <f t="shared" si="108"/>
        <v>QF16</v>
      </c>
      <c r="HU18">
        <f t="shared" si="109"/>
        <v>0</v>
      </c>
      <c r="HV18">
        <f t="shared" si="110"/>
        <v>0</v>
      </c>
      <c r="HW18" t="str">
        <f t="shared" si="111"/>
        <v/>
      </c>
      <c r="HX18" t="str">
        <f t="shared" si="112"/>
        <v/>
      </c>
      <c r="HY18" t="str">
        <f t="shared" si="113"/>
        <v/>
      </c>
      <c r="HZ18" t="str">
        <f t="shared" si="114"/>
        <v/>
      </c>
      <c r="IA18">
        <f>IF(B18="","",IFERROR(VLOOKUP(B18,УГО_спр,2,FALSE),IFERROR(VLOOKUP(AX18,УГО_спр,2,FALSE),IFERROR(VLOOKUP(LEFT(AX18,2),УГО_спр,2,FALSE),""))))</f>
        <v>0</v>
      </c>
      <c r="IB18" t="str">
        <f>IF(B18="","",IF(OR(IA18="",IA18=0),"BOX",IFERROR(IF(VLOOKUP(IA18,УГО_блоки,3,FALSE)&amp;""&lt;&gt;"",VLOOKUP(IA18,УГО_блоки,3,FALSE),VLOOKUP(IA18,УГО_блоки,2,FALSE)),IA18)))</f>
        <v>BOX</v>
      </c>
      <c r="IC18">
        <f t="shared" si="115"/>
        <v>1</v>
      </c>
      <c r="ID18">
        <f>IF(DA18="","",IF(COUNTIF(DA$3:DA18,DA18)=1,MAX(ID$2:ID17)+1,""))</f>
        <v>11</v>
      </c>
      <c r="IE18" t="str">
        <f>IF(CO18="","",IF(COUNTIF(CO$3:CO18,CO18)+COUNTIF(CP$2:CP17,CO18)+COUNTIF(CQ$2:CQ17,CO18)=1,MAX(IE$2:IG17)+1,""))</f>
        <v/>
      </c>
      <c r="IF18" t="str">
        <f>IF(CP18="","",IF(COUNTIF(CO$3:CO18,CP18)+COUNTIF(CP$3:CP18,CP18)+COUNTIF(CQ$2:CQ17,CP18)=1,MAX(IE$2:IG17,IE18)+1,""))</f>
        <v/>
      </c>
      <c r="IG18" t="str">
        <f>IF(CQ18="","",IF(COUNTIF(CO$3:CO18,CQ18)+COUNTIF(CP$3:CP18,CQ18)+COUNTIF(CQ$3:CQ18,CQ18)=1,MAX(IE$2:IG17,IE18,IF18)+1,""))</f>
        <v/>
      </c>
      <c r="IH18" t="str">
        <f t="shared" si="116"/>
        <v>3х4</v>
      </c>
      <c r="II18" t="str">
        <f>IF(IH18="","",IF(COUNTIF(IH$3:IH18,IH18)=1,MAX(II$2:II17)+1,""))</f>
        <v/>
      </c>
      <c r="IJ18" t="str">
        <f>IF(GL18="","",COUNTIF(GL$3:GL18,"?*"))</f>
        <v/>
      </c>
      <c r="IK18" t="str">
        <f>IF(OR(GL18="",GN18=""),"",IF(COUNTIFS(GL$3:GL18,"?*",GN$3:GN18,GN18)=1,MAX(IK$2:IK17)+1,""))</f>
        <v/>
      </c>
      <c r="IL18">
        <f t="shared" si="117"/>
        <v>0</v>
      </c>
      <c r="IM18">
        <f>IF(B18="","",COUNTIF(B$3:B18,"?*"))</f>
        <v>16</v>
      </c>
      <c r="IN18">
        <f>IF(GQ18&lt;&gt;1,0,_xlfn.LET(_xlpm.k,MAX(IFERROR(--VLOOKUP(B18,УГО_спр,5,FALSE),0),IFERROR(--VLOOKUP(AX18,УГО_спр,5,FALSE),0),IFERROR(--VLOOKUP(LEFT(AX18,2),УГО_спр,5,FALSE),0)),IF(_xlpm.k&gt;0,_xlpm.k,IF(IFERROR(--LEFT(SUBSTITUTE(IH18,"x","х"),FIND("х",SUBSTITUTE(IH18,"x","х"))-1),3)&gt;3,Каталог!$S$9,1))))</f>
        <v>1</v>
      </c>
      <c r="IO18">
        <f t="shared" si="118"/>
        <v>0</v>
      </c>
      <c r="IP18" t="str">
        <f t="shared" si="119"/>
        <v>авто</v>
      </c>
      <c r="IQ18" t="str">
        <f t="shared" si="120"/>
        <v/>
      </c>
      <c r="IR18">
        <f t="shared" si="121"/>
        <v>0</v>
      </c>
      <c r="IS18">
        <f t="shared" si="122"/>
        <v>1</v>
      </c>
    </row>
    <row r="19" spans="1:253" x14ac:dyDescent="0.3">
      <c r="A19" t="s">
        <v>785</v>
      </c>
      <c r="B19" t="s">
        <v>769</v>
      </c>
      <c r="C19" t="s">
        <v>768</v>
      </c>
      <c r="D19">
        <v>1</v>
      </c>
      <c r="E19">
        <v>4.34</v>
      </c>
      <c r="G19">
        <v>20</v>
      </c>
      <c r="H19" t="str">
        <f>Линии[[#This Row],[_авто утечка]]</f>
        <v/>
      </c>
      <c r="I19" t="str">
        <f>Линии[[#This Row],[_авто управление]]</f>
        <v/>
      </c>
      <c r="J19" t="str">
        <f>Линии[[#This Row],[_авто аппараты]]</f>
        <v/>
      </c>
      <c r="K19">
        <v>4</v>
      </c>
      <c r="L19">
        <v>53</v>
      </c>
      <c r="M19" t="str">
        <f>Линии[[#This Row],[_авто фаза]]</f>
        <v>L2</v>
      </c>
      <c r="N19" t="s">
        <v>486</v>
      </c>
      <c r="O19" t="str">
        <f t="shared" si="0"/>
        <v/>
      </c>
      <c r="P19" s="6" cm="1">
        <f t="array" ref="P19">IF(B19="","",IF(BC19&lt;&gt;"",IFERROR(_xlfn.XLOOKUP(BC19,Щиты[Щит],Щиты[Iр, А]),""),IF(BK19=1,IFERROR(_xlfn.XLOOKUP(A19,Щиты[Щит],Щиты[Iр, А]),""),IFERROR(_xlfn.IFS(BR19=1,BN19/((Uн_лин/SQRT(3))*BY19),BR19=3,BN19/(SQRT(3)*Uн_лин*BY19)),""))))</f>
        <v>16.443657354357025</v>
      </c>
      <c r="Q19" s="7">
        <f>IF(B19="","",IFERROR(IF(VLOOKUP(AX19,Потребители_обозначение,4,FALSE)=1,VLOOKUP(AX19,Потребители_обозначение,3,FALSE)*(D19*2-1)+DS19+VLOOKUP(AZ19,Этаж_обозначение,3,FALSE)+VLOOKUP(AZ19,Этаж_обозначение,4,FALSE),VLOOKUP(AX19,Потребители_обозначение,3,FALSE)*(D19*2-1)+DS19),DS19))</f>
        <v>53</v>
      </c>
      <c r="R19" s="6">
        <f t="shared" si="1"/>
        <v>3.44</v>
      </c>
      <c r="S19" t="str">
        <f t="shared" si="2"/>
        <v>ВВГнг(А)-LS (3х4)</v>
      </c>
      <c r="T19" t="str">
        <f>IF(BH19="","",IF(BI19="вводной узел","узел ","")&amp;"л."&amp;(INT((BH19-1)/Столбцов_на_лист)+1)&amp;" / "&amp;(MOD(BH19-1,Столбцов_на_лист)+1))</f>
        <v>л.3 / 13</v>
      </c>
      <c r="V19">
        <v>1</v>
      </c>
      <c r="W19">
        <v>230</v>
      </c>
      <c r="X19" t="s">
        <v>600</v>
      </c>
      <c r="Y19">
        <v>0.7</v>
      </c>
      <c r="AA19">
        <v>2</v>
      </c>
      <c r="AC19" t="s">
        <v>815</v>
      </c>
      <c r="AE19" t="s">
        <v>606</v>
      </c>
      <c r="AI19">
        <v>47</v>
      </c>
      <c r="AJ19" t="s">
        <v>11</v>
      </c>
      <c r="AK19">
        <v>3</v>
      </c>
      <c r="AM19">
        <v>48</v>
      </c>
      <c r="AN19">
        <v>5</v>
      </c>
      <c r="AO19">
        <v>0</v>
      </c>
      <c r="AW19" cm="1">
        <f t="array" ref="AW19">ROW()-ROW(Линии[#Headers])</f>
        <v>17</v>
      </c>
      <c r="AX19" s="6" t="str">
        <f t="shared" si="3"/>
        <v>ЩС-ВК</v>
      </c>
      <c r="AY19" t="str">
        <f t="shared" si="4"/>
        <v>003</v>
      </c>
      <c r="AZ19" t="str">
        <f t="shared" si="5"/>
        <v>003</v>
      </c>
      <c r="BA19" t="str">
        <f t="shared" si="6"/>
        <v/>
      </c>
      <c r="BB19" t="str">
        <f t="shared" si="7"/>
        <v/>
      </c>
      <c r="BC19" t="str">
        <f>IF(U19&lt;&gt;"",U19,IF(AND(B19&lt;&gt;"",B19&lt;&gt;A19,ISNUMBER(_xlfn.XMATCH(B19,Щиты[Щит]))),B19,""))</f>
        <v>ЩС-ВК.003</v>
      </c>
      <c r="BD19" t="str" cm="1">
        <f t="array" ref="BD19">IF(B19="","",IF(BC19&lt;&gt;"","Щит "&amp;BC19,_xlfn.LET(_xlpm.nm,IFERROR(_xlfn.XLOOKUP(AX19,Коды_код,Коды_имя)&amp;"",""),_xlpm.md,IFERROR(N(_xlfn.XLOOKUP(AX19,Коды_код,Коды_режим)),1),_xlpm.ex,IF(Имя_режим="по экспликации",IFERROR(_xlfn.XLOOKUP(AZ19&amp;"|"&amp;BB19,Экспликация[Этаж]&amp;"|"&amp;Экспликация[Помещение],Экспликация[Название])&amp;"",""),""),_xlpm.rm,IF(BB19="","",IF(_xlpm.ex&lt;&gt;"",". "&amp;_xlpm.ex&amp;IF(Имя_пом="нет"," ("&amp;BB19&amp;")"," (пом. "&amp;BB19&amp;")"),IF(Имя_пом="нет"," ",", пом. ")&amp;BB19)),IF(_xlpm.nm="","",IF(_xlpm.md=2,_xlpm.nm&amp;" шлейф "&amp;AZ19,_xlpm.nm&amp;_xlpm.rm)))))</f>
        <v>Щит ЩС-ВК.003</v>
      </c>
      <c r="BE19" t="str">
        <f t="shared" si="8"/>
        <v>Щит насосов ЩС-ВК.003 Подвальный этаж этаж Пом. №00.006Т</v>
      </c>
      <c r="BF19">
        <f>IFERROR(_xlfn.XMATCH(A19,Щиты[Щит]),0)</f>
        <v>1</v>
      </c>
      <c r="BG19">
        <f>_xlfn.LET(_xlpm.k,IFERROR(_xlfn.XLOOKUP(A19,Щиты[Щит],Щиты[Листов под вводной узел]),""),IF(_xlpm.k="",1,N(_xlpm.k))*Столбцов_на_лист)</f>
        <v>17</v>
      </c>
      <c r="BH19">
        <f t="shared" si="9"/>
        <v>47</v>
      </c>
      <c r="BI19" t="str">
        <f t="shared" si="10"/>
        <v>линии</v>
      </c>
      <c r="BJ19" s="6">
        <f>IFERROR(N(_xlfn.XLOOKUP(AX19,Коды_код,Коды_квт)),0)</f>
        <v>0</v>
      </c>
      <c r="BK19">
        <f t="shared" si="11"/>
        <v>0</v>
      </c>
      <c r="BL19">
        <f>IF(B19="","",IF(BC19&lt;&gt;"",IFERROR(_xlfn.XLOOKUP(BC19,Щиты[Щит],Щиты[Руст, кВт]),0),IF(BK19=1,IFERROR(_xlfn.XLOOKUP(A19,Щиты[Щит],Щиты[Руст, кВт]),0),IF(BJ19&gt;0,ROUND(BJ19*MAX(1,N(D19)),3),""))))</f>
        <v>4.34</v>
      </c>
      <c r="BM19">
        <f t="shared" si="12"/>
        <v>4.34</v>
      </c>
      <c r="BN19" s="6">
        <f>IF(B19="","",IF(BC19&lt;&gt;"",IFERROR(_xlfn.XLOOKUP(BC19,Щиты[Щит],Щиты[Руст, кВт]),0),N(BM19)))</f>
        <v>4.34</v>
      </c>
      <c r="BO19" t="str">
        <f>IF(B19="","",IFERROR(IF(VLOOKUP(AX19,Потребители_обозначение,8,FALSE)=0,"",VLOOKUP(AX19,Потребители_обозначение,8,FALSE)),""))</f>
        <v/>
      </c>
      <c r="BP19">
        <f t="shared" si="13"/>
        <v>230</v>
      </c>
      <c r="BQ19">
        <f>IF(B19="","",IF(BC19&lt;&gt;"",3,IFERROR(IF(N(VLOOKUP(AX19,Потребители_обозначение,9,FALSE))=0,1,VLOOKUP(AX19,Потребители_обозначение,9,FALSE)),1)))</f>
        <v>3</v>
      </c>
      <c r="BR19">
        <f t="shared" si="14"/>
        <v>1</v>
      </c>
      <c r="BS19" t="str">
        <f>IF(B19="","",_xlfn.LET(_xlpm.bc,IFERROR(IF(VLOOKUP(AX19,Потребители_обозначение,6,FALSE)=0,"",VLOOKUP(AX19,Потребители_обозначение,6,FALSE)&amp;""),""),IF(AND(FK19="да",OR(_xlpm.bc="",_xlpm.bc="мс")),Марка_пож,IF(AND(_xlpm.bc="",BC19&lt;&gt;""),"мс",_xlpm.bc))))</f>
        <v>мс</v>
      </c>
      <c r="BT19" t="str">
        <f t="shared" si="15"/>
        <v>мс</v>
      </c>
      <c r="BU19">
        <f>IF(B19="","",_xlfn.LET(_xlpm.cc,IFERROR(N(VLOOKUP(AX19,Потребители_обозначение,7,FALSE)),0),IF(_xlpm.cc&gt;0,_xlpm.cc,IF(BT19="","",IF(N(BR19)=3,5,3)))))</f>
        <v>3</v>
      </c>
      <c r="BV19">
        <f t="shared" si="16"/>
        <v>3</v>
      </c>
      <c r="BW19">
        <f>IFERROR(N(VLOOKUP(AX19,Потребители_обозначение,10,FALSE)),0)</f>
        <v>0</v>
      </c>
      <c r="BX19">
        <f>IFERROR(VLOOKUP(AX19,Потребители_обозначение,5,FALSE),0)</f>
        <v>0</v>
      </c>
      <c r="BY19" s="6" cm="1">
        <f t="array" ref="BY19">IF(B19="","",IF(BC19&lt;&gt;"",IFERROR(_xlfn.XLOOKUP(BC19,Щиты[Щит],Щиты[cos φ]),0.95),IF(BK19=1,IFERROR(_xlfn.XLOOKUP(A19,Щиты[Щит],Щиты[cos φ]),0.95),IF(ISNUMBER(Z19),Z19,IFERROR(IF(BX19=2,_xlfn.IFS(BR19=3,VLOOKUP(BN19,Справочная_двигатели,8,FALSE),BR19=1,VLOOKUP(BN19,Справочная_двигатели,10,TRUE)),IF(AND(Методика="нормы 2026",EQ19="Сил"),0.8,0.95)),0.95)))))</f>
        <v>0.8</v>
      </c>
      <c r="BZ19">
        <f t="shared" si="17"/>
        <v>0</v>
      </c>
      <c r="CA19">
        <f t="shared" si="18"/>
        <v>1</v>
      </c>
      <c r="CB19">
        <f t="shared" si="19"/>
        <v>0</v>
      </c>
      <c r="CC19">
        <f t="shared" si="20"/>
        <v>0</v>
      </c>
      <c r="CD19">
        <f t="shared" si="21"/>
        <v>0</v>
      </c>
      <c r="CE19">
        <f t="shared" si="22"/>
        <v>0</v>
      </c>
      <c r="CF19">
        <f t="shared" si="23"/>
        <v>0</v>
      </c>
      <c r="CG19">
        <f>IF(AX19="",0,_xlfn.LET(_xlpm.v,IFERROR(VLOOKUP(B19,УГО_спр,3,FALSE),IFERROR(VLOOKUP(AX19,УГО_спр,3,FALSE),IFERROR(VLOOKUP(LEFT(AX19,2),УГО_спр,3,FALSE),""))),IF(_xlpm.v="да",30,IF(ISNUMBER(_xlpm.v),_xlpm.v,0))))</f>
        <v>0</v>
      </c>
      <c r="CH19" t="str">
        <f t="shared" si="24"/>
        <v/>
      </c>
      <c r="CI19" t="str">
        <f>_xlfn.LET(_xlpm.k,IFERROR(_xlfn.XLOOKUP(AX19,Коды_код,Коды_утечка)&amp;"",""),IF(_xlpm.k="","дифавтомат",_xlpm.k))</f>
        <v>дифавтомат</v>
      </c>
      <c r="CJ19">
        <f t="shared" si="25"/>
        <v>0</v>
      </c>
      <c r="CK19">
        <f t="shared" si="26"/>
        <v>0</v>
      </c>
      <c r="CL19">
        <f>IF(B19="",0,IFERROR(--VLOOKUP(B19,УГО_спр,4,FALSE),IFERROR(--VLOOKUP(AX19,УГО_спр,4,FALSE),IFERROR(--VLOOKUP(LEFT(AX19,2),УГО_спр,4,FALSE),0))))</f>
        <v>0</v>
      </c>
      <c r="CM19" t="str">
        <f>IF(B19="","",IFERROR(_xlfn.XLOOKUP(AX19,Коды_код,Коды_апп)&amp;"",""))</f>
        <v/>
      </c>
      <c r="CN19" t="str">
        <f t="shared" si="27"/>
        <v/>
      </c>
      <c r="CO19" t="str" cm="1">
        <f t="array" ref="CO19">IF(TRIM(CN19&amp;"")="","",IFERROR(TRIM(INDEX(_xlfn.TEXTSPLIT(CN19&amp;";;;",";"),1)),""))</f>
        <v/>
      </c>
      <c r="CP19" t="str" cm="1">
        <f t="array" ref="CP19">IF(TRIM(CN19&amp;"")="","",IFERROR(TRIM(INDEX(_xlfn.TEXTSPLIT(CN19&amp;";;;",";"),2)),""))</f>
        <v/>
      </c>
      <c r="CQ19" t="str" cm="1">
        <f t="array" ref="CQ19">IF(TRIM(CN19&amp;"")="","",IFERROR(TRIM(INDEX(_xlfn.TEXTSPLIT(CN19&amp;";;;",";"),3)),""))</f>
        <v/>
      </c>
      <c r="CR19">
        <f t="shared" si="28"/>
        <v>0</v>
      </c>
      <c r="CS19" t="str">
        <f>IF(B19="","",_xlfn.LET(_xlpm.t,LOWER(AV19&amp;""),IF(ISNUMBER(SEARCH("dim",_xlpm.t)),"DIM",IF(ISNUMBER(SEARCH("dali",_xlpm.t)),"DALI",IF(OR(ISNUMBER(SEARCH("relay",_xlpm.t)),ISNUMBER(SEARCH("реле",_xlpm.t))),"Relay",IF(ISNUMBER(SEARCH("кнопк",_xlpm.t)),"",IFERROR(_xlfn.XLOOKUP(AX19,Коды_код,Коды_упр)&amp;"","")))))))</f>
        <v/>
      </c>
      <c r="CT19" t="str">
        <f t="shared" si="29"/>
        <v/>
      </c>
      <c r="CU19">
        <f>IF(B19="","",_xlfn.LET(_xlpm.ig,N(P19)+IF(AF19="вручную",0,N(CB19)),_xlpm.n0,IFERROR(VLOOKUP(_xlpm.ig,Автомат_номиналы,2,TRUE),0),_xlpm.mn,MAX(CL19,IF(AF19="вручную",0,N(CE19))),MAX(_xlpm.n0,_xlpm.mn,IF(CR19=1,Мин_автомат_БП,0))))</f>
        <v>20</v>
      </c>
      <c r="CV19">
        <f t="shared" si="30"/>
        <v>1</v>
      </c>
      <c r="CW19" t="str">
        <f t="shared" si="31"/>
        <v>1P</v>
      </c>
      <c r="CX19" t="str">
        <f>_xlfn.LET(_xlpm.cc,UPPER(TRIM(IFERROR(_xlfn.XLOOKUP(AX19,Коды_код,Коды_хар)&amp;"",""))),IF(OR(_xlpm.cc="B",_xlpm.cc="В"),"B",IF(_xlpm.cc="D","D","С")))</f>
        <v>С</v>
      </c>
      <c r="CY19" t="str">
        <f t="shared" si="32"/>
        <v>1P С20А</v>
      </c>
      <c r="CZ19">
        <f t="shared" si="33"/>
        <v>20</v>
      </c>
      <c r="DA19" t="str">
        <f t="shared" si="34"/>
        <v>1P С20А</v>
      </c>
      <c r="DB19" cm="1">
        <f t="array" ref="DB19">IF(DA19="","",_xlfn.LET(_xlpm.t,SUBSTITUTE(SUBSTITUTE(SUBSTITUTE(UPPER(DA19),"С","C"),"А","A"),"В","B"),_xlpm.tk,_xlfn.TEXTSPLIT(_xlpm.t,"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9" t="str">
        <f t="shared" si="35"/>
        <v>ok</v>
      </c>
      <c r="DD19">
        <f t="shared" si="36"/>
        <v>20</v>
      </c>
      <c r="DE19" t="str">
        <f t="shared" si="37"/>
        <v>1P С20А</v>
      </c>
      <c r="DF19">
        <f t="shared" si="38"/>
        <v>0</v>
      </c>
      <c r="DG19">
        <f t="shared" si="39"/>
        <v>0</v>
      </c>
      <c r="DH19">
        <f t="shared" si="40"/>
        <v>0</v>
      </c>
      <c r="DI19">
        <f t="shared" si="41"/>
        <v>16.443657354357025</v>
      </c>
      <c r="DJ19">
        <f t="shared" si="42"/>
        <v>1</v>
      </c>
      <c r="DK19">
        <f>IF(ISNUMBER(AL19),AL19,К_прокл)</f>
        <v>1</v>
      </c>
      <c r="DL19">
        <f t="shared" si="43"/>
        <v>2</v>
      </c>
      <c r="DM19">
        <f>IFERROR(N(VLOOKUP(BT19,Кабель_обозначение,3,FALSE)),1)</f>
        <v>1</v>
      </c>
      <c r="DN19">
        <f>IFERROR(N(_xlfn.XLOOKUP(A19,Щиты[Щит],Щиты[ΔU до шин, %])),0)</f>
        <v>0</v>
      </c>
      <c r="DO19" t="str">
        <f>IFERROR(_xlfn.XLOOKUP(A19,Щиты[Щит],Щиты[Zпетли на шинах, Ом]),"")</f>
        <v/>
      </c>
      <c r="DP19">
        <f>IFERROR(N(_xlfn.XLOOKUP(A19,Щиты[Щит],Щиты[ΔU до шин (подбор), %])),0)</f>
        <v>0</v>
      </c>
      <c r="DQ19" t="str">
        <f>IFERROR(_xlfn.XLOOKUP(A19,Щиты[Щит],Щиты[Zпетли на шинах (подбор), Ом]),"")</f>
        <v/>
      </c>
      <c r="DR19" t="str">
        <f t="shared" si="44"/>
        <v/>
      </c>
      <c r="DS19">
        <f t="shared" si="45"/>
        <v>53</v>
      </c>
      <c r="DT19">
        <f t="shared" si="46"/>
        <v>2</v>
      </c>
      <c r="DU19">
        <f t="shared" si="47"/>
        <v>0.6</v>
      </c>
      <c r="DV19" s="6">
        <f>IF(B19="","",IF(IFERROR(VLOOKUP(AX19,УГО_спр,2,FALSE),"")="Светильник",3,4)+IF(Методика="нормы 2026",MIN(0.5,MAX(0,N(Q19)-100)*0.005),0))</f>
        <v>4</v>
      </c>
      <c r="DW19" cm="1">
        <f t="array" ref="DW19">IF(OR(B19="",BT19="",DM19&lt;&gt;1),"",_xlfn.LET(_xlpm.sz,Iдоп_S,_xlpm.t_,CHOOSE(DL19,Iдоп_1ж,Iдоп_2ж,Iдоп_3ж)*DJ19*DK19,_xlpm.inn,N(DD19),_xlpm.smin,MAX(1.5,BW19),_xlpm.L_,N(Q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19)*(_xlpm.rho*_xlpm.L_/_xlpm.sz*N(BY19)+_xlpm.xx*_xlpm.L_*N(DU19)/1000)*N(P19)/((Uн_лин/SQRT(3))*1000)*100,999),_xlpm.kz,IF(OR(DG19=1,NOT(ISNUMBER(DQ19)),_xlpm.L_=0,_xlpm.inn=0),1,IFERROR(--(c_min*(Uн_лин*1000/SQRT(3))/(DQ19+2*ρкз_Cu*_xlpm.L_/_xlpm.sz)&gt;=GY19*_xlpm.inn),0)),_xlpm.ok,IFERROR((_xlpm.sz&gt;=_xlpm.smin)*(_xlpm.t_&gt;=_xlpm.inn)*IF(_xlpm.L_&gt;0,(_xlpm.du_+DP19&lt;=DV19+0.00001),1)*_xlpm.kz,0),_xlpm.r_,_xlfn._xlws.FILTER(_xlpm.sz,_xlpm.ok,"не подобрано"),INDEX(_xlpm.r_,1)))</f>
        <v>4</v>
      </c>
      <c r="DX19">
        <f t="shared" si="48"/>
        <v>4</v>
      </c>
      <c r="DY19" cm="1">
        <f t="array" ref="DY19">IF(OR(B19="",BT19="",DM19&lt;&gt;1),"",_xlfn.LET(_xlpm.sz,Iдоп_S,_xlpm.t_,CHOOSE(DL19,Iдоп_1ж,Iдоп_2ж,Iдоп_3ж)*DJ19*DK19,_xlpm.ok,IFERROR((_xlpm.sz&gt;=MAX(1.5,BW19))*(_xlpm.t_&gt;=N(DD19)),0),_xlpm.r_,_xlfn._xlws.FILTER(_xlpm.sz,_xlpm.ok,""),INDEX(_xlpm.r_,1)))</f>
        <v>2.5</v>
      </c>
      <c r="DZ19" s="6" cm="1">
        <f t="array" ref="DZ19">IFERROR(ROUNDUP(N(DT19)*(_xlfn.XLOOKUP(DY19,INDEX(Кабель_сопротивление,0,1),INDEX(Кабель_сопротивление,0,3))*N(Q19)/DY19*N(BY19)+_xlfn.XLOOKUP(DY19,INDEX(Кабель_сопротивление,0,1),INDEX(Кабель_сопротивление,0,2))*N(Q19)*N(DU19)/1000)*N(P19)/((Uн_лин/SQRT(3))*1000)*100,2),"")</f>
        <v>5.4799999999999995</v>
      </c>
      <c r="EA19">
        <f>IFERROR(2*ρкз_Cu*N(Q19)/DY19,"")</f>
        <v>1.1151199999999999</v>
      </c>
      <c r="EB19">
        <f>IFERROR(VLOOKUP(DX19,Кабель_сопротивление,3,FALSE),"")</f>
        <v>2.2499999999999999E-2</v>
      </c>
      <c r="EC19">
        <f>IFERROR(VLOOKUP(DX19,Кабель_сопротивление,2,FALSE),"")</f>
        <v>9.5000000000000001E-2</v>
      </c>
      <c r="ED19">
        <f t="shared" si="49"/>
        <v>5</v>
      </c>
      <c r="EE19">
        <f t="shared" si="50"/>
        <v>0</v>
      </c>
      <c r="EF19">
        <f t="shared" si="51"/>
        <v>7.9429771357633259</v>
      </c>
      <c r="EG19" s="6">
        <f>IFERROR(ROUNDUP(EF19/((Uн_лин/SQRT(3))*1000)*100,2),"")</f>
        <v>3.44</v>
      </c>
      <c r="EH19" t="str">
        <f>IFERROR(VLOOKUP(BT19,Кабель_обозначение,2,FALSE),"")</f>
        <v>ВВГнг(А)-LS</v>
      </c>
      <c r="EI19" t="str">
        <f t="shared" si="52"/>
        <v>ВВГнг(А)-LS (3х4)</v>
      </c>
      <c r="EJ19" t="str">
        <f t="shared" si="53"/>
        <v>ВВГнг(А)-LS (3х4)
L=53-3,44%</v>
      </c>
      <c r="EK19">
        <f>IFERROR(2*ρкз_Cu*Q19/DX19,"")</f>
        <v>0.69694999999999996</v>
      </c>
      <c r="EL19">
        <f t="shared" si="54"/>
        <v>0.23187500000000003</v>
      </c>
      <c r="EM19" s="6" t="str">
        <f>IFERROR(IF(OR(B19="",NOT(ISNUMBER(DX19)),N(Q19)=0),"",_xlfn.XLOOKUP(A19,Щиты[Щит],Щиты[Zпетли на шинах, Ом])+EK19),"")</f>
        <v/>
      </c>
      <c r="EN19" s="6" t="str">
        <f>IF(ISNUMBER(EM19),c_min*(Uн_лин*1000/SQRT(3))/EM19,"")</f>
        <v/>
      </c>
      <c r="EO19" s="6" t="str">
        <f>IFERROR(IF(OR(B19="",NOT(ISNUMBER(DX19))),"",1.05*(Uн_лин*1000/SQRT(3))/(_xlfn.XLOOKUP(A19,Щиты[Щит],Щиты[Zmax на шинах, Ом])+EL19)/1000),"")</f>
        <v/>
      </c>
      <c r="EP19" s="6" t="str">
        <f>IF(B19="","",IF(ISNUMBER(Y19),"Сил",IF(IFERROR(_xlfn.XLOOKUP(AX19,Коды_код,Коды_группа)&amp;"","")="","Быт",_xlfn.XLOOKUP(AX19,Коды_код,Коды_группа)&amp;"")))</f>
        <v>Сил</v>
      </c>
      <c r="EQ19" s="6" t="str">
        <f t="shared" si="55"/>
        <v>Щит</v>
      </c>
      <c r="ER19" s="6" t="str">
        <f>IF(EQ19="Щит","щит",IF(EQ19="","",IF(EQ19="Быт",IFERROR(_xlfn.XLOOKUP(A19,Щиты[Щит],Щиты[Кс быт]),1),IF(EQ19="Сил",IF(ISNUMBER(Y19),Y19,IF(Методика="нормы 2026",IFERROR(_xlfn.XLOOKUP(A19,Щиты[Щит],Щиты[Кс силовых (табл. 7.5)]),1),1)),IF(OR(EQ19="Пост",EQ19="Отоп"),1,IF(EQ19="ВНГ",0.7,0))))))</f>
        <v>щит</v>
      </c>
      <c r="ES19">
        <f t="shared" si="56"/>
        <v>2</v>
      </c>
      <c r="ET19">
        <f t="shared" si="57"/>
        <v>0</v>
      </c>
      <c r="EU19">
        <f t="shared" si="58"/>
        <v>0</v>
      </c>
      <c r="EV19">
        <f t="shared" si="59"/>
        <v>0</v>
      </c>
      <c r="EW19">
        <f t="shared" si="60"/>
        <v>0</v>
      </c>
      <c r="EX19">
        <f t="shared" si="61"/>
        <v>0</v>
      </c>
      <c r="EY19">
        <f t="shared" si="62"/>
        <v>0</v>
      </c>
      <c r="EZ19">
        <f t="shared" si="63"/>
        <v>0</v>
      </c>
      <c r="FA19">
        <f t="shared" si="64"/>
        <v>0</v>
      </c>
      <c r="FB19">
        <f t="shared" si="65"/>
        <v>4.34</v>
      </c>
      <c r="FC19" t="str">
        <f t="shared" si="66"/>
        <v/>
      </c>
      <c r="FD19" t="str">
        <f>IF(B19="","",IF(CA19=0,IF(AW19=1,"",FF18),IF(OR(N(CV19)&gt;=3,N(BR19)&gt;=3),"L1,L2,L3",IFERROR(_xlfn.TEXTBEFORE(_xlfn.TEXTAFTER(_xlfn.XLOOKUP(A19,Щиты[Щит],Щиты[_фазы авто]),";"&amp;AW19&amp;":"),";"),"L1"))))</f>
        <v>L2</v>
      </c>
      <c r="FE19" t="str">
        <f t="shared" si="67"/>
        <v>L2</v>
      </c>
      <c r="FF19" t="str">
        <f t="shared" si="68"/>
        <v>L2</v>
      </c>
      <c r="FG19" cm="1">
        <f t="array" ref="FG19">IFERROR(IF(BX19=2,_xlfn.IFS(BR19=3,VLOOKUP(BN19,Справочная_двигатели,3,FALSE),BR19=1,VLOOKUP(BN19,Справочная_двигатели,5,TRUE)),0),0)</f>
        <v>0</v>
      </c>
      <c r="FH19">
        <f>IFERROR(IF(BX19=3,VLOOKUP(BN19,Справочная_ЛЭД,2,TRUE),0),0)</f>
        <v>0</v>
      </c>
      <c r="FI19" s="6">
        <f t="shared" si="69"/>
        <v>0</v>
      </c>
      <c r="FJ19" t="str" cm="1">
        <f t="array" ref="FJ19">IF(B19="","",IFERROR(INDEX({"I особая","I","II","III"},MATCH(TRIM(AC19&amp;""),{"I особая","I","II","III"},0)),"III"))</f>
        <v>II</v>
      </c>
      <c r="FK19" t="str">
        <f>IF(B19="","",IF(TRIM(AD19&amp;"")&lt;&gt;"",IF(LOWER(TRIM(AD19&amp;""))="да","да","нет"),IF(IFERROR(_xlfn.XLOOKUP(AX19,Коды_код,Коды_пожарная),"")="да","да","нет")))</f>
        <v>нет</v>
      </c>
      <c r="FL19" t="str">
        <f t="shared" si="70"/>
        <v/>
      </c>
      <c r="FM19" t="str">
        <f t="shared" si="71"/>
        <v>основная</v>
      </c>
      <c r="FN19">
        <f t="shared" si="72"/>
        <v>2</v>
      </c>
      <c r="FO19" t="str" cm="1">
        <f t="array" ref="FO19">IF(B19="","",_xlfn.LET(_xlpm.t,IFERROR(_xlfn.XLOOKUP(1,(Шины[Шина]=FM19)*(((Шины[Щит]=A19)+(Шины[Щит]=""))&gt;0),Шины[Тип]),"")&amp;"",IF(_xlpm.t&lt;&gt;"",_xlpm.t,IF(ISNUMBER(SEARCH("ИБП",FM19)),"ИБП",IF(ISNUMBER(SEARCH("ДГУ",FM19)),"ДГУ","Ввод "&amp;FN19)))))</f>
        <v>Ввод 2</v>
      </c>
      <c r="FP19" t="str">
        <f t="shared" si="73"/>
        <v>Ввод 2</v>
      </c>
      <c r="FQ19" t="str">
        <f>IF(B19="","",IF(OR(FO19="ИБП",FO19="ДГУ"),"I особая",IF(FO19="Одиночная","III",_xlfn.XLOOKUP(A19,Щиты[Щит],Щиты[Категория шины «Ввод»],"III"))))</f>
        <v>I</v>
      </c>
      <c r="FR19">
        <f>IF(B19="",0,IFERROR(MATCH(FJ19,{"III","II","I","I особая"},0),1))</f>
        <v>2</v>
      </c>
      <c r="FS19">
        <f t="shared" si="74"/>
        <v>2</v>
      </c>
      <c r="FT19" t="str">
        <f>IF(B19="","",IF(FR19&gt;IFERROR(MATCH(FQ19,{"III","II","I","I особая"},0),1),"НЕ ОБЕСПЕЧЕНА","ОК"))</f>
        <v>ОК</v>
      </c>
      <c r="FU19" t="str">
        <f>IF(A19="","",_xlfn.XLOOKUP(A19,Щиты[Щит],Щиты[Путь],""))</f>
        <v>|ГРЩ-ЖД|</v>
      </c>
      <c r="FV19" t="str">
        <f>IF(B19="","",IF(AE19&lt;&gt;"",AE19,IF(IFERROR(_xlfn.XLOOKUP(AX19,Коды_код,Коды_вид)&amp;"","")="","Прочее",_xlfn.XLOOKUP(AX19,Коды_код,Коды_вид)&amp;"")))</f>
        <v>Насосы (водоснабжение, дренаж)</v>
      </c>
      <c r="FW19">
        <f>IF(BH19="","",INT((BH19-1)/Столбцов_на_лист)+1)</f>
        <v>3</v>
      </c>
      <c r="FX19" t="str">
        <f t="shared" si="75"/>
        <v>ВВГнг(А)-LS (3х4) L=53-3,44%</v>
      </c>
      <c r="FY19">
        <f t="shared" si="76"/>
        <v>4.34</v>
      </c>
      <c r="FZ19">
        <f t="shared" si="77"/>
        <v>16.450000000000003</v>
      </c>
      <c r="GA19">
        <f t="shared" si="78"/>
        <v>1</v>
      </c>
      <c r="GB19">
        <f t="shared" si="79"/>
        <v>0</v>
      </c>
      <c r="GC19">
        <f t="shared" si="80"/>
        <v>1</v>
      </c>
      <c r="GD19">
        <f>IF(BH19="","",IF(AND(CA19=1,GC19=1),COUNTIFS(A$3:A19,A19,CA$3:CA19,1,GC$3:GC19,1),IF(OR(OR(AW19=1,A19&lt;&gt;A18),AF19="вручную",GC19=0),"",IF(AW19=1,"",GE18))))</f>
        <v>17</v>
      </c>
      <c r="GE19">
        <f t="shared" si="81"/>
        <v>17</v>
      </c>
      <c r="GF19">
        <f>IF(B19="","",IFERROR(LOOKUP(INDEX(CHOOSE(DL19,Iдоп_1ж,Iдоп_2ж,Iдоп_3ж),MATCH(DX19,Iдоп_S,0))*DJ19*DK19,{6,10,16,20,25,32,40,50,63,80,100,125,160,200,250,315,400,500,630}),""))</f>
        <v>32</v>
      </c>
      <c r="GG19" t="str">
        <f t="shared" si="82"/>
        <v>QF17</v>
      </c>
      <c r="GH19" t="str">
        <f t="shared" si="83"/>
        <v>QF17</v>
      </c>
      <c r="GI19" t="str">
        <f t="shared" si="84"/>
        <v/>
      </c>
      <c r="GJ19">
        <f t="shared" si="85"/>
        <v>0</v>
      </c>
      <c r="GK19" t="str">
        <f>IF(OR(AG19="",AG19="-"),"",IFERROR(VLOOKUP(AG19,Модули_спр,2,FALSE),"R"))</f>
        <v/>
      </c>
      <c r="GL19" t="str">
        <f>IF(GK19="","",GK19&amp;"."&amp;COUNTIFS(A$3:A19,A19,GK$3:GK19,GK19))</f>
        <v/>
      </c>
      <c r="GM19" t="str">
        <f t="shared" si="86"/>
        <v/>
      </c>
      <c r="GN19" t="str">
        <f t="shared" si="87"/>
        <v/>
      </c>
      <c r="GO19" t="str">
        <f t="shared" si="88"/>
        <v/>
      </c>
      <c r="GP19" t="str">
        <f t="shared" si="89"/>
        <v/>
      </c>
      <c r="GQ19">
        <f t="shared" si="90"/>
        <v>1</v>
      </c>
      <c r="GR19" t="str">
        <f>IF(GQ19=1,"XT"&amp;COUNTIFS(A$3:A19,A19,GQ$3:GQ19,1),"")</f>
        <v>XT14</v>
      </c>
      <c r="GS19" t="str">
        <f t="shared" si="91"/>
        <v/>
      </c>
      <c r="GT19" t="str">
        <f t="shared" si="92"/>
        <v>QF17</v>
      </c>
      <c r="GU19" t="str">
        <f t="shared" si="93"/>
        <v/>
      </c>
      <c r="GV19" t="str">
        <f t="shared" si="94"/>
        <v>ok</v>
      </c>
      <c r="GW19" t="str">
        <f>IF(OR(GO19="",GM19=""),"",IF(GO19&gt;IFERROR(VLOOKUP(GN19,Модули_спр,3,FALSE),99),"ЛИШНИЙ КАНАЛ",IF(AND(AH19&lt;&gt;"=",COUNTIFS(Линии[_модуль гр.],GM19,Линии[Канал (итог)],GO19,Линии[Канал],"&lt;&gt;=",Линии[Щит],A19)&gt;1),"ДУБЛЬ КАНАЛА","")))</f>
        <v/>
      </c>
      <c r="GX19" s="6" t="str">
        <f t="shared" si="95"/>
        <v/>
      </c>
      <c r="GY19">
        <f t="shared" si="96"/>
        <v>10</v>
      </c>
      <c r="GZ19" t="str">
        <f t="shared" si="97"/>
        <v/>
      </c>
      <c r="HA19" t="str">
        <f>IF(AND(B19="",GT19=""),"",_xlfn.TEXTJOIN("; ",TRUE,IF(AND(B19&lt;&gt;"",FE19=""),"нет фазы",""),IF(AND(B19&lt;&gt;"",N(FY19)=0,EQ19&lt;&gt;"Нет"),"нет мощности",""),IF(AND(GS19&lt;&gt;"",COUNTIFS(Линии[Щит],A19,Линии[Клемма (итог)],GS19)&gt;1),"дубль клеммы "&amp;GS19,""),IF(AND(GV19&lt;&gt;"",GV19&lt;&gt;"ok"),GV19,""),IF(GW19&lt;&gt;"",GW19,""),IF(AND(N(BV19)&gt;=4,N(BR19)=1),BV19&amp;" жил на 1 фазе",""),IF(AND(AX19="R",CA19=1,OR(N(CK19)=0,N(CK19)&gt;30)),"розетка без дифзащиты до 30 мА",""),IFERROR(IF(AND(ISNUMBER(R19),R19&gt;DV19),"потери "&amp;FIXED(R19,1)&amp;" % &gt; "&amp;DV19&amp;" %",""),""),IFERROR(IF(LEFT(GZ19,4)="мало","Iкз мало — отключение &gt; 0,4 с",""),""),IF(AND(B19&lt;&gt;"",BH19=""),"не на схеме",""),IF(AND(CA19=0,B19&lt;&gt;"",FE19&lt;&gt;"",IF(AW19=1,"",FF18)&lt;&gt;"",FE19&lt;&gt;IF(AW19=1,"",FF18)),"фаза не как у автомата группы ("&amp;IF(AW19=1,"",FF18)&amp;")","")))</f>
        <v/>
      </c>
      <c r="HB19" s="6" t="str">
        <f>IF(OR(CA19=0,DA19=""),"",_xlfn.LET(_xlpm.t,IFERROR(_xlfn.XLOOKUP(DA19,Каталог!$U$4:$U$500,Каталог!$G$4:$G$500),""),_xlpm.k,SEARCH("кА",_xlpm.t),IFERROR(--TRIM(RIGHT(SUBSTITUTE(MID(_xlpm.t,MAX(1,_xlpm.k-4),_xlpm.k-MAX(1,_xlpm.k-4))," ",REPT(" ",9)),5)),"")))</f>
        <v/>
      </c>
      <c r="HC19" t="str">
        <f>IF(OR(HB19="",CA19=0),"",IF(_xlfn.XLOOKUP(A19,Щиты[Щит],Щиты[Iкз max на шинах, кА],"")="","",IF(HB19&lt;_xlfn.XLOOKUP(A19,Щиты[Щит],Щиты[Iкз max на шинах, кА]),"Icu "&amp;HB19&amp;" кА &lt; Iкз max","ok")))</f>
        <v/>
      </c>
      <c r="HD19" t="str">
        <f t="shared" si="98"/>
        <v/>
      </c>
      <c r="HE19" t="str">
        <f t="shared" si="99"/>
        <v>QF17</v>
      </c>
      <c r="HF19" t="str">
        <f t="shared" si="100"/>
        <v>QF17|кабель ВВГнг(А)-LS (3х4) → Щит насосов ЩС-ВК.003 Подвальный этаж этаж Пом. №00.006Т</v>
      </c>
      <c r="HG19" t="str" cm="1">
        <f t="array" ref="HG19">IF(HF19="","",_xlfn.LET(_xlpm.nd,_xlfn.TEXTSPLIT(HF19,"|"),IF(COLUMNS(_xlpm.nd)&gt;1,A19&amp;"¦"&amp;INDEX(_xlpm.nd,1)&amp;"¦"&amp;INDEX(_xlpm.nd,2),"")))</f>
        <v>ГРЩ-ЖД¦QF17¦кабель ВВГнг(А)-LS (3х4) → Щит насосов ЩС-ВК.003 Подвальный этаж этаж Пом. №00.006Т</v>
      </c>
      <c r="HH19" t="str">
        <f t="shared" si="101"/>
        <v>ЩС-ВК.003¦Щит насосов ЩС-ВК.003 Подвальный этаж этаж Пом. №00.006Т</v>
      </c>
      <c r="HI19" t="str" cm="1">
        <f t="array" ref="HI19">IF(HF19="","",_xlfn.LET(_xlpm.nd,_xlfn.TEXTSPLIT(HF19,"|"),IF(COLUMNS(_xlpm.nd)&gt;2,A19&amp;"¦"&amp;INDEX(_xlpm.nd,2)&amp;"¦"&amp;INDEX(_xlpm.nd,3),"")))</f>
        <v/>
      </c>
      <c r="HJ19" t="str">
        <f t="shared" si="102"/>
        <v/>
      </c>
      <c r="HK19" t="str" cm="1">
        <f t="array" ref="HK19">IF(HF19="","",_xlfn.LET(_xlpm.nd,_xlfn.TEXTSPLIT(HF19,"|"),IF(COLUMNS(_xlpm.nd)&gt;3,A19&amp;"¦"&amp;INDEX(_xlpm.nd,3)&amp;"¦"&amp;INDEX(_xlpm.nd,4),"")))</f>
        <v/>
      </c>
      <c r="HL19" t="str">
        <f t="shared" si="103"/>
        <v/>
      </c>
      <c r="HM19" t="str" cm="1">
        <f t="array" ref="HM19">IF(HF19="","",_xlfn.LET(_xlpm.nd,_xlfn.TEXTSPLIT(HF19,"|"),IF(COLUMNS(_xlpm.nd)&gt;4,A19&amp;"¦"&amp;INDEX(_xlpm.nd,4)&amp;"¦"&amp;INDEX(_xlpm.nd,5),"")))</f>
        <v/>
      </c>
      <c r="HN19" t="str">
        <f t="shared" si="104"/>
        <v/>
      </c>
      <c r="HO19" t="str" cm="1">
        <f t="array" ref="HO19">IF(HF19="","",_xlfn.LET(_xlpm.nd,_xlfn.TEXTSPLIT(HF19,"|"),IF(COLUMNS(_xlpm.nd)&gt;5,A19&amp;"¦"&amp;INDEX(_xlpm.nd,5)&amp;"¦"&amp;INDEX(_xlpm.nd,6),"")))</f>
        <v/>
      </c>
      <c r="HP19" t="str">
        <f t="shared" si="105"/>
        <v/>
      </c>
      <c r="HQ19" t="str" cm="1">
        <f t="array" ref="HQ19">IF(HF19="","",_xlfn.LET(_xlpm.nd,_xlfn.TEXTSPLIT(HF19,"|"),IF(COLUMNS(_xlpm.nd)&gt;6,A19&amp;"¦"&amp;INDEX(_xlpm.nd,6)&amp;"¦"&amp;INDEX(_xlpm.nd,7),"")))</f>
        <v/>
      </c>
      <c r="HR19" t="str">
        <f t="shared" si="106"/>
        <v/>
      </c>
      <c r="HS19" t="str">
        <f t="shared" si="107"/>
        <v/>
      </c>
      <c r="HT19" t="str">
        <f t="shared" si="108"/>
        <v>QF17</v>
      </c>
      <c r="HU19">
        <f t="shared" si="109"/>
        <v>0</v>
      </c>
      <c r="HV19">
        <f t="shared" si="110"/>
        <v>0</v>
      </c>
      <c r="HW19" t="str">
        <f t="shared" si="111"/>
        <v/>
      </c>
      <c r="HX19" t="str">
        <f t="shared" si="112"/>
        <v/>
      </c>
      <c r="HY19" t="str">
        <f t="shared" si="113"/>
        <v/>
      </c>
      <c r="HZ19" t="str">
        <f t="shared" si="114"/>
        <v/>
      </c>
      <c r="IA19">
        <f>IF(B19="","",IFERROR(VLOOKUP(B19,УГО_спр,2,FALSE),IFERROR(VLOOKUP(AX19,УГО_спр,2,FALSE),IFERROR(VLOOKUP(LEFT(AX19,2),УГО_спр,2,FALSE),""))))</f>
        <v>0</v>
      </c>
      <c r="IB19" t="str">
        <f>IF(B19="","",IF(OR(IA19="",IA19=0),"BOX",IFERROR(IF(VLOOKUP(IA19,УГО_блоки,3,FALSE)&amp;""&lt;&gt;"",VLOOKUP(IA19,УГО_блоки,3,FALSE),VLOOKUP(IA19,УГО_блоки,2,FALSE)),IA19)))</f>
        <v>BOX</v>
      </c>
      <c r="IC19">
        <f t="shared" si="115"/>
        <v>1</v>
      </c>
      <c r="ID19" t="str">
        <f>IF(DA19="","",IF(COUNTIF(DA$3:DA19,DA19)=1,MAX(ID$2:ID18)+1,""))</f>
        <v/>
      </c>
      <c r="IE19" t="str">
        <f>IF(CO19="","",IF(COUNTIF(CO$3:CO19,CO19)+COUNTIF(CP$2:CP18,CO19)+COUNTIF(CQ$2:CQ18,CO19)=1,MAX(IE$2:IG18)+1,""))</f>
        <v/>
      </c>
      <c r="IF19" t="str">
        <f>IF(CP19="","",IF(COUNTIF(CO$3:CO19,CP19)+COUNTIF(CP$3:CP19,CP19)+COUNTIF(CQ$2:CQ18,CP19)=1,MAX(IE$2:IG18,IE19)+1,""))</f>
        <v/>
      </c>
      <c r="IG19" t="str">
        <f>IF(CQ19="","",IF(COUNTIF(CO$3:CO19,CQ19)+COUNTIF(CP$3:CP19,CQ19)+COUNTIF(CQ$3:CQ19,CQ19)=1,MAX(IE$2:IG18,IE19,IF19)+1,""))</f>
        <v/>
      </c>
      <c r="IH19" t="str">
        <f t="shared" si="116"/>
        <v>3х4</v>
      </c>
      <c r="II19" t="str">
        <f>IF(IH19="","",IF(COUNTIF(IH$3:IH19,IH19)=1,MAX(II$2:II18)+1,""))</f>
        <v/>
      </c>
      <c r="IJ19" t="str">
        <f>IF(GL19="","",COUNTIF(GL$3:GL19,"?*"))</f>
        <v/>
      </c>
      <c r="IK19" t="str">
        <f>IF(OR(GL19="",GN19=""),"",IF(COUNTIFS(GL$3:GL19,"?*",GN$3:GN19,GN19)=1,MAX(IK$2:IK18)+1,""))</f>
        <v/>
      </c>
      <c r="IL19">
        <f t="shared" si="117"/>
        <v>0</v>
      </c>
      <c r="IM19">
        <f>IF(B19="","",COUNTIF(B$3:B19,"?*"))</f>
        <v>17</v>
      </c>
      <c r="IN19">
        <f>IF(GQ19&lt;&gt;1,0,_xlfn.LET(_xlpm.k,MAX(IFERROR(--VLOOKUP(B19,УГО_спр,5,FALSE),0),IFERROR(--VLOOKUP(AX19,УГО_спр,5,FALSE),0),IFERROR(--VLOOKUP(LEFT(AX19,2),УГО_спр,5,FALSE),0)),IF(_xlpm.k&gt;0,_xlpm.k,IF(IFERROR(--LEFT(SUBSTITUTE(IH19,"x","х"),FIND("х",SUBSTITUTE(IH19,"x","х"))-1),3)&gt;3,Каталог!$S$9,1))))</f>
        <v>1</v>
      </c>
      <c r="IO19">
        <f t="shared" si="118"/>
        <v>0</v>
      </c>
      <c r="IP19" t="str">
        <f t="shared" si="119"/>
        <v>авто</v>
      </c>
      <c r="IQ19" t="str">
        <f t="shared" si="120"/>
        <v/>
      </c>
      <c r="IR19">
        <f t="shared" si="121"/>
        <v>0</v>
      </c>
      <c r="IS19">
        <f t="shared" si="122"/>
        <v>1</v>
      </c>
    </row>
    <row r="20" spans="1:253" x14ac:dyDescent="0.3">
      <c r="A20" t="s">
        <v>785</v>
      </c>
      <c r="B20" t="s">
        <v>771</v>
      </c>
      <c r="C20" t="s">
        <v>770</v>
      </c>
      <c r="D20">
        <v>1</v>
      </c>
      <c r="E20">
        <v>16.440000000000001</v>
      </c>
      <c r="G20">
        <v>32</v>
      </c>
      <c r="H20" t="str">
        <f>Линии[[#This Row],[_авто утечка]]</f>
        <v/>
      </c>
      <c r="I20" t="str">
        <f>Линии[[#This Row],[_авто управление]]</f>
        <v/>
      </c>
      <c r="J20" t="str">
        <f>Линии[[#This Row],[_авто аппараты]]</f>
        <v/>
      </c>
      <c r="K20">
        <v>6</v>
      </c>
      <c r="L20">
        <v>52</v>
      </c>
      <c r="M20" t="str">
        <f>Линии[[#This Row],[_авто фаза]]</f>
        <v>L1,L2,L3</v>
      </c>
      <c r="N20" t="s">
        <v>486</v>
      </c>
      <c r="O20" t="str">
        <f t="shared" si="0"/>
        <v/>
      </c>
      <c r="P20" s="6" cm="1">
        <f t="array" ref="P20">IF(B20="","",IF(BC20&lt;&gt;"",IFERROR(_xlfn.XLOOKUP(BC20,Щиты[Щит],Щиты[Iр, А]),""),IF(BK20=1,IFERROR(_xlfn.XLOOKUP(A20,Щиты[Щит],Щиты[Iр, А]),""),IFERROR(_xlfn.IFS(BR20=1,BN20/((Uн_лин/SQRT(3))*BY20),BR20=3,BN20/(SQRT(3)*Uн_лин*BY20)),""))))</f>
        <v>30.766691976552419</v>
      </c>
      <c r="Q20" s="7">
        <f>IF(B20="","",IFERROR(IF(VLOOKUP(AX20,Потребители_обозначение,4,FALSE)=1,VLOOKUP(AX20,Потребители_обозначение,3,FALSE)*(D20*2-1)+DS20+VLOOKUP(AZ20,Этаж_обозначение,3,FALSE)+VLOOKUP(AZ20,Этаж_обозначение,4,FALSE),VLOOKUP(AX20,Потребители_обозначение,3,FALSE)*(D20*2-1)+DS20),DS20))</f>
        <v>52</v>
      </c>
      <c r="R20" s="6">
        <f t="shared" si="1"/>
        <v>2.4899999999999998</v>
      </c>
      <c r="S20" t="str">
        <f t="shared" si="2"/>
        <v>ВВГнг(А)-LS (5х6)</v>
      </c>
      <c r="T20" t="str">
        <f>IF(BH20="","",IF(BI20="вводной узел","узел ","")&amp;"л."&amp;(INT((BH20-1)/Столбцов_на_лист)+1)&amp;" / "&amp;(MOD(BH20-1,Столбцов_на_лист)+1))</f>
        <v>л.3 / 14</v>
      </c>
      <c r="V20">
        <v>3</v>
      </c>
      <c r="W20">
        <v>400</v>
      </c>
      <c r="X20" t="s">
        <v>575</v>
      </c>
      <c r="AA20">
        <v>1</v>
      </c>
      <c r="AC20" t="s">
        <v>815</v>
      </c>
      <c r="AE20" t="s">
        <v>611</v>
      </c>
      <c r="AI20">
        <v>48</v>
      </c>
      <c r="AJ20" t="s">
        <v>11</v>
      </c>
      <c r="AK20">
        <v>5</v>
      </c>
      <c r="AM20">
        <v>39</v>
      </c>
      <c r="AN20">
        <v>8</v>
      </c>
      <c r="AO20">
        <v>0</v>
      </c>
      <c r="AW20" cm="1">
        <f t="array" ref="AW20">ROW()-ROW(Линии[#Headers])</f>
        <v>18</v>
      </c>
      <c r="AX20" s="6" t="str">
        <f t="shared" si="3"/>
        <v>ЩУОВ</v>
      </c>
      <c r="AY20" t="str">
        <f t="shared" si="4"/>
        <v/>
      </c>
      <c r="AZ20" t="str">
        <f t="shared" si="5"/>
        <v/>
      </c>
      <c r="BA20" t="str">
        <f t="shared" si="6"/>
        <v/>
      </c>
      <c r="BB20" t="str">
        <f t="shared" si="7"/>
        <v/>
      </c>
      <c r="BC20" t="str">
        <f>IF(U20&lt;&gt;"",U20,IF(AND(B20&lt;&gt;"",B20&lt;&gt;A20,ISNUMBER(_xlfn.XMATCH(B20,Щиты[Щит]))),B20,""))</f>
        <v>ЩУОВ</v>
      </c>
      <c r="BD20" t="str" cm="1">
        <f t="array" ref="BD20">IF(B20="","",IF(BC20&lt;&gt;"","Щит "&amp;BC20,_xlfn.LET(_xlpm.nm,IFERROR(_xlfn.XLOOKUP(AX20,Коды_код,Коды_имя)&amp;"",""),_xlpm.md,IFERROR(N(_xlfn.XLOOKUP(AX20,Коды_код,Коды_режим)),1),_xlpm.ex,IF(Имя_режим="по экспликации",IFERROR(_xlfn.XLOOKUP(AZ20&amp;"|"&amp;BB20,Экспликация[Этаж]&amp;"|"&amp;Экспликация[Помещение],Экспликация[Название])&amp;"",""),""),_xlpm.rm,IF(BB20="","",IF(_xlpm.ex&lt;&gt;"",". "&amp;_xlpm.ex&amp;IF(Имя_пом="нет"," ("&amp;BB20&amp;")"," (пом. "&amp;BB20&amp;")"),IF(Имя_пом="нет"," ",", пом. ")&amp;BB20)),IF(_xlpm.nm="","",IF(_xlpm.md=2,_xlpm.nm&amp;" шлейф "&amp;AZ20,_xlpm.nm&amp;_xlpm.rm)))))</f>
        <v>Щит ЩУОВ</v>
      </c>
      <c r="BE20" t="str">
        <f t="shared" si="8"/>
        <v>Щит управления обогрева воронок ЩУОВ Тех. этаж этаж Пом. №3.001</v>
      </c>
      <c r="BF20">
        <f>IFERROR(_xlfn.XMATCH(A20,Щиты[Щит]),0)</f>
        <v>1</v>
      </c>
      <c r="BG20">
        <f>_xlfn.LET(_xlpm.k,IFERROR(_xlfn.XLOOKUP(A20,Щиты[Щит],Щиты[Листов под вводной узел]),""),IF(_xlpm.k="",1,N(_xlpm.k))*Столбцов_на_лист)</f>
        <v>17</v>
      </c>
      <c r="BH20">
        <f t="shared" si="9"/>
        <v>48</v>
      </c>
      <c r="BI20" t="str">
        <f t="shared" si="10"/>
        <v>линии</v>
      </c>
      <c r="BJ20" s="6">
        <f>IFERROR(N(_xlfn.XLOOKUP(AX20,Коды_код,Коды_квт)),0)</f>
        <v>0</v>
      </c>
      <c r="BK20">
        <f t="shared" si="11"/>
        <v>0</v>
      </c>
      <c r="BL20">
        <f>IF(B20="","",IF(BC20&lt;&gt;"",IFERROR(_xlfn.XLOOKUP(BC20,Щиты[Щит],Щиты[Руст, кВт]),0),IF(BK20=1,IFERROR(_xlfn.XLOOKUP(A20,Щиты[Щит],Щиты[Руст, кВт]),0),IF(BJ20&gt;0,ROUND(BJ20*MAX(1,N(D20)),3),""))))</f>
        <v>16.439999999999998</v>
      </c>
      <c r="BM20">
        <f t="shared" si="12"/>
        <v>16.440000000000001</v>
      </c>
      <c r="BN20" s="6">
        <f>IF(B20="","",IF(BC20&lt;&gt;"",IFERROR(_xlfn.XLOOKUP(BC20,Щиты[Щит],Щиты[Руст, кВт]),0),N(BM20)))</f>
        <v>16.439999999999998</v>
      </c>
      <c r="BO20" t="str">
        <f>IF(B20="","",IFERROR(IF(VLOOKUP(AX20,Потребители_обозначение,8,FALSE)=0,"",VLOOKUP(AX20,Потребители_обозначение,8,FALSE)),""))</f>
        <v/>
      </c>
      <c r="BP20">
        <f t="shared" si="13"/>
        <v>400</v>
      </c>
      <c r="BQ20">
        <f>IF(B20="","",IF(BC20&lt;&gt;"",3,IFERROR(IF(N(VLOOKUP(AX20,Потребители_обозначение,9,FALSE))=0,1,VLOOKUP(AX20,Потребители_обозначение,9,FALSE)),1)))</f>
        <v>3</v>
      </c>
      <c r="BR20">
        <f t="shared" si="14"/>
        <v>3</v>
      </c>
      <c r="BS20" t="str">
        <f>IF(B20="","",_xlfn.LET(_xlpm.bc,IFERROR(IF(VLOOKUP(AX20,Потребители_обозначение,6,FALSE)=0,"",VLOOKUP(AX20,Потребители_обозначение,6,FALSE)&amp;""),""),IF(AND(FK20="да",OR(_xlpm.bc="",_xlpm.bc="мс")),Марка_пож,IF(AND(_xlpm.bc="",BC20&lt;&gt;""),"мс",_xlpm.bc))))</f>
        <v>мс</v>
      </c>
      <c r="BT20" t="str">
        <f t="shared" si="15"/>
        <v>мс</v>
      </c>
      <c r="BU20">
        <f>IF(B20="","",_xlfn.LET(_xlpm.cc,IFERROR(N(VLOOKUP(AX20,Потребители_обозначение,7,FALSE)),0),IF(_xlpm.cc&gt;0,_xlpm.cc,IF(BT20="","",IF(N(BR20)=3,5,3)))))</f>
        <v>5</v>
      </c>
      <c r="BV20">
        <f t="shared" si="16"/>
        <v>5</v>
      </c>
      <c r="BW20">
        <f>IFERROR(N(VLOOKUP(AX20,Потребители_обозначение,10,FALSE)),0)</f>
        <v>0</v>
      </c>
      <c r="BX20">
        <f>IFERROR(VLOOKUP(AX20,Потребители_обозначение,5,FALSE),0)</f>
        <v>0</v>
      </c>
      <c r="BY20" s="6" cm="1">
        <f t="array" ref="BY20">IF(B20="","",IF(BC20&lt;&gt;"",IFERROR(_xlfn.XLOOKUP(BC20,Щиты[Щит],Щиты[cos φ]),0.95),IF(BK20=1,IFERROR(_xlfn.XLOOKUP(A20,Щиты[Щит],Щиты[cos φ]),0.95),IF(ISNUMBER(Z20),Z20,IFERROR(IF(BX20=2,_xlfn.IFS(BR20=3,VLOOKUP(BN20,Справочная_двигатели,8,FALSE),BR20=1,VLOOKUP(BN20,Справочная_двигатели,10,TRUE)),IF(AND(Методика="нормы 2026",EQ20="Сил"),0.8,0.95)),0.95)))))</f>
        <v>0.95000000000000007</v>
      </c>
      <c r="BZ20">
        <f t="shared" si="17"/>
        <v>0</v>
      </c>
      <c r="CA20">
        <f t="shared" si="18"/>
        <v>1</v>
      </c>
      <c r="CB20">
        <f t="shared" si="19"/>
        <v>0</v>
      </c>
      <c r="CC20">
        <f t="shared" si="20"/>
        <v>0</v>
      </c>
      <c r="CD20">
        <f t="shared" si="21"/>
        <v>0</v>
      </c>
      <c r="CE20">
        <f t="shared" si="22"/>
        <v>0</v>
      </c>
      <c r="CF20">
        <f t="shared" si="23"/>
        <v>0</v>
      </c>
      <c r="CG20">
        <f>IF(AX20="",0,_xlfn.LET(_xlpm.v,IFERROR(VLOOKUP(B20,УГО_спр,3,FALSE),IFERROR(VLOOKUP(AX20,УГО_спр,3,FALSE),IFERROR(VLOOKUP(LEFT(AX20,2),УГО_спр,3,FALSE),""))),IF(_xlpm.v="да",30,IF(ISNUMBER(_xlpm.v),_xlpm.v,0))))</f>
        <v>0</v>
      </c>
      <c r="CH20" t="str">
        <f t="shared" si="24"/>
        <v/>
      </c>
      <c r="CI20" t="str">
        <f>_xlfn.LET(_xlpm.k,IFERROR(_xlfn.XLOOKUP(AX20,Коды_код,Коды_утечка)&amp;"",""),IF(_xlpm.k="","дифавтомат",_xlpm.k))</f>
        <v>дифавтомат</v>
      </c>
      <c r="CJ20">
        <f t="shared" si="25"/>
        <v>0</v>
      </c>
      <c r="CK20">
        <f t="shared" si="26"/>
        <v>0</v>
      </c>
      <c r="CL20">
        <f>IF(B20="",0,IFERROR(--VLOOKUP(B20,УГО_спр,4,FALSE),IFERROR(--VLOOKUP(AX20,УГО_спр,4,FALSE),IFERROR(--VLOOKUP(LEFT(AX20,2),УГО_спр,4,FALSE),0))))</f>
        <v>0</v>
      </c>
      <c r="CM20" t="str">
        <f>IF(B20="","",IFERROR(_xlfn.XLOOKUP(AX20,Коды_код,Коды_апп)&amp;"",""))</f>
        <v/>
      </c>
      <c r="CN20" t="str">
        <f t="shared" si="27"/>
        <v/>
      </c>
      <c r="CO20" t="str" cm="1">
        <f t="array" ref="CO20">IF(TRIM(CN20&amp;"")="","",IFERROR(TRIM(INDEX(_xlfn.TEXTSPLIT(CN20&amp;";;;",";"),1)),""))</f>
        <v/>
      </c>
      <c r="CP20" t="str" cm="1">
        <f t="array" ref="CP20">IF(TRIM(CN20&amp;"")="","",IFERROR(TRIM(INDEX(_xlfn.TEXTSPLIT(CN20&amp;";;;",";"),2)),""))</f>
        <v/>
      </c>
      <c r="CQ20" t="str" cm="1">
        <f t="array" ref="CQ20">IF(TRIM(CN20&amp;"")="","",IFERROR(TRIM(INDEX(_xlfn.TEXTSPLIT(CN20&amp;";;;",";"),3)),""))</f>
        <v/>
      </c>
      <c r="CR20">
        <f t="shared" si="28"/>
        <v>0</v>
      </c>
      <c r="CS20" t="str">
        <f>IF(B20="","",_xlfn.LET(_xlpm.t,LOWER(AV20&amp;""),IF(ISNUMBER(SEARCH("dim",_xlpm.t)),"DIM",IF(ISNUMBER(SEARCH("dali",_xlpm.t)),"DALI",IF(OR(ISNUMBER(SEARCH("relay",_xlpm.t)),ISNUMBER(SEARCH("реле",_xlpm.t))),"Relay",IF(ISNUMBER(SEARCH("кнопк",_xlpm.t)),"",IFERROR(_xlfn.XLOOKUP(AX20,Коды_код,Коды_упр)&amp;"","")))))))</f>
        <v/>
      </c>
      <c r="CT20" t="str">
        <f t="shared" si="29"/>
        <v/>
      </c>
      <c r="CU20">
        <f>IF(B20="","",_xlfn.LET(_xlpm.ig,N(P20)+IF(AF20="вручную",0,N(CB20)),_xlpm.n0,IFERROR(VLOOKUP(_xlpm.ig,Автомат_номиналы,2,TRUE),0),_xlpm.mn,MAX(CL20,IF(AF20="вручную",0,N(CE20))),MAX(_xlpm.n0,_xlpm.mn,IF(CR20=1,Мин_автомат_БП,0))))</f>
        <v>40</v>
      </c>
      <c r="CV20">
        <f t="shared" si="30"/>
        <v>3</v>
      </c>
      <c r="CW20" t="str">
        <f t="shared" si="31"/>
        <v>3P</v>
      </c>
      <c r="CX20" t="str">
        <f>_xlfn.LET(_xlpm.cc,UPPER(TRIM(IFERROR(_xlfn.XLOOKUP(AX20,Коды_код,Коды_хар)&amp;"",""))),IF(OR(_xlpm.cc="B",_xlpm.cc="В"),"B",IF(_xlpm.cc="D","D","С")))</f>
        <v>С</v>
      </c>
      <c r="CY20" t="str">
        <f t="shared" si="32"/>
        <v>3P С40А</v>
      </c>
      <c r="CZ20">
        <f t="shared" si="33"/>
        <v>32</v>
      </c>
      <c r="DA20" t="str">
        <f t="shared" si="34"/>
        <v>3P С32А</v>
      </c>
      <c r="DB20" cm="1">
        <f t="array" ref="DB20">IF(DA20="","",_xlfn.LET(_xlpm.t,SUBSTITUTE(SUBSTITUTE(SUBSTITUTE(UPPER(DA20),"С","C"),"А","A"),"В","B"),_xlpm.tk,_xlfn.TEXTSPLIT(_xlpm.t,"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32</v>
      </c>
      <c r="DC20" t="str">
        <f t="shared" si="35"/>
        <v>ok</v>
      </c>
      <c r="DD20">
        <f t="shared" si="36"/>
        <v>32</v>
      </c>
      <c r="DE20" t="str">
        <f t="shared" si="37"/>
        <v>3P С32А</v>
      </c>
      <c r="DF20">
        <f t="shared" si="38"/>
        <v>0</v>
      </c>
      <c r="DG20">
        <f t="shared" si="39"/>
        <v>0</v>
      </c>
      <c r="DH20">
        <f t="shared" si="40"/>
        <v>0</v>
      </c>
      <c r="DI20">
        <f t="shared" si="41"/>
        <v>30.766691976552419</v>
      </c>
      <c r="DJ20">
        <f t="shared" si="42"/>
        <v>0.92</v>
      </c>
      <c r="DK20">
        <f>IF(ISNUMBER(AL20),AL20,К_прокл)</f>
        <v>1</v>
      </c>
      <c r="DL20">
        <f t="shared" si="43"/>
        <v>3</v>
      </c>
      <c r="DM20">
        <f>IFERROR(N(VLOOKUP(BT20,Кабель_обозначение,3,FALSE)),1)</f>
        <v>1</v>
      </c>
      <c r="DN20">
        <f>IFERROR(N(_xlfn.XLOOKUP(A20,Щиты[Щит],Щиты[ΔU до шин, %])),0)</f>
        <v>0</v>
      </c>
      <c r="DO20" t="str">
        <f>IFERROR(_xlfn.XLOOKUP(A20,Щиты[Щит],Щиты[Zпетли на шинах, Ом]),"")</f>
        <v/>
      </c>
      <c r="DP20">
        <f>IFERROR(N(_xlfn.XLOOKUP(A20,Щиты[Щит],Щиты[ΔU до шин (подбор), %])),0)</f>
        <v>0</v>
      </c>
      <c r="DQ20" t="str">
        <f>IFERROR(_xlfn.XLOOKUP(A20,Щиты[Щит],Щиты[Zпетли на шинах (подбор), Ом]),"")</f>
        <v/>
      </c>
      <c r="DR20" t="str">
        <f t="shared" si="44"/>
        <v/>
      </c>
      <c r="DS20">
        <f t="shared" si="45"/>
        <v>52</v>
      </c>
      <c r="DT20">
        <f t="shared" si="46"/>
        <v>1</v>
      </c>
      <c r="DU20">
        <f t="shared" si="47"/>
        <v>0.31</v>
      </c>
      <c r="DV20" s="6">
        <f>IF(B20="","",IF(IFERROR(VLOOKUP(AX20,УГО_спр,2,FALSE),"")="Светильник",3,4)+IF(Методика="нормы 2026",MIN(0.5,MAX(0,N(Q20)-100)*0.005),0))</f>
        <v>4</v>
      </c>
      <c r="DW20" cm="1">
        <f t="array" ref="DW20">IF(OR(B20="",BT20="",DM20&lt;&gt;1),"",_xlfn.LET(_xlpm.sz,Iдоп_S,_xlpm.t_,CHOOSE(DL20,Iдоп_1ж,Iдоп_2ж,Iдоп_3ж)*DJ20*DK20,_xlpm.inn,N(DD20),_xlpm.smin,MAX(1.5,BW20),_xlpm.L_,N(Q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20)*(_xlpm.rho*_xlpm.L_/_xlpm.sz*N(BY20)+_xlpm.xx*_xlpm.L_*N(DU20)/1000)*N(P20)/((Uн_лин/SQRT(3))*1000)*100,999),_xlpm.kz,IF(OR(DG20=1,NOT(ISNUMBER(DQ20)),_xlpm.L_=0,_xlpm.inn=0),1,IFERROR(--(c_min*(Uн_лин*1000/SQRT(3))/(DQ20+2*ρкз_Cu*_xlpm.L_/_xlpm.sz)&gt;=GY20*_xlpm.inn),0)),_xlpm.ok,IFERROR((_xlpm.sz&gt;=_xlpm.smin)*(_xlpm.t_&gt;=_xlpm.inn)*IF(_xlpm.L_&gt;0,(_xlpm.du_+DP20&lt;=DV20+0.00001),1)*_xlpm.kz,0),_xlpm.r_,_xlfn._xlws.FILTER(_xlpm.sz,_xlpm.ok,"не подобрано"),INDEX(_xlpm.r_,1)))</f>
        <v>4</v>
      </c>
      <c r="DX20">
        <f t="shared" si="48"/>
        <v>6</v>
      </c>
      <c r="DY20" cm="1">
        <f t="array" ref="DY20">IF(OR(B20="",BT20="",DM20&lt;&gt;1),"",_xlfn.LET(_xlpm.sz,Iдоп_S,_xlpm.t_,CHOOSE(DL20,Iдоп_1ж,Iдоп_2ж,Iдоп_3ж)*DJ20*DK20,_xlpm.ok,IFERROR((_xlpm.sz&gt;=MAX(1.5,BW20))*(_xlpm.t_&gt;=N(DD20)),0),_xlpm.r_,_xlfn._xlws.FILTER(_xlpm.sz,_xlpm.ok,""),INDEX(_xlpm.r_,1)))</f>
        <v>4</v>
      </c>
      <c r="DZ20" s="6" cm="1">
        <f t="array" ref="DZ20">IFERROR(ROUNDUP(N(DT20)*(_xlfn.XLOOKUP(DY20,INDEX(Кабель_сопротивление,0,1),INDEX(Кабель_сопротивление,0,3))*N(Q20)/DY20*N(BY20)+_xlfn.XLOOKUP(DY20,INDEX(Кабель_сопротивление,0,1),INDEX(Кабель_сопротивление,0,2))*N(Q20)*N(DU20)/1000)*N(P20)/((Uн_лин/SQRT(3))*1000)*100,2),"")</f>
        <v>3.73</v>
      </c>
      <c r="EA20">
        <f>IFERROR(2*ρкз_Cu*N(Q20)/DY20,"")</f>
        <v>0.68379999999999996</v>
      </c>
      <c r="EB20">
        <f>IFERROR(VLOOKUP(DX20,Кабель_сопротивление,3,FALSE),"")</f>
        <v>2.2499999999999999E-2</v>
      </c>
      <c r="EC20">
        <f>IFERROR(VLOOKUP(DX20,Кабель_сопротивление,2,FALSE),"")</f>
        <v>0.09</v>
      </c>
      <c r="ED20">
        <f t="shared" si="49"/>
        <v>8</v>
      </c>
      <c r="EE20">
        <f t="shared" si="50"/>
        <v>0</v>
      </c>
      <c r="EF20">
        <f t="shared" si="51"/>
        <v>5.7441660053759183</v>
      </c>
      <c r="EG20" s="6">
        <f>IFERROR(ROUNDUP(EF20/((Uн_лин/SQRT(3))*1000)*100,2),"")</f>
        <v>2.4899999999999998</v>
      </c>
      <c r="EH20" t="str">
        <f>IFERROR(VLOOKUP(BT20,Кабель_обозначение,2,FALSE),"")</f>
        <v>ВВГнг(А)-LS</v>
      </c>
      <c r="EI20" t="str">
        <f t="shared" si="52"/>
        <v>ВВГнг(А)-LS (5х6)</v>
      </c>
      <c r="EJ20" t="str">
        <f t="shared" si="53"/>
        <v>ВВГнг(А)-LS (5х6)
L=52-2,49%</v>
      </c>
      <c r="EK20">
        <f>IFERROR(2*ρкз_Cu*Q20/DX20,"")</f>
        <v>0.45586666666666664</v>
      </c>
      <c r="EL20">
        <f t="shared" si="54"/>
        <v>0.1516666666666667</v>
      </c>
      <c r="EM20" s="6" t="str">
        <f>IFERROR(IF(OR(B20="",NOT(ISNUMBER(DX20)),N(Q20)=0),"",_xlfn.XLOOKUP(A20,Щиты[Щит],Щиты[Zпетли на шинах, Ом])+EK20),"")</f>
        <v/>
      </c>
      <c r="EN20" s="6" t="str">
        <f>IF(ISNUMBER(EM20),c_min*(Uн_лин*1000/SQRT(3))/EM20,"")</f>
        <v/>
      </c>
      <c r="EO20" s="6" t="str">
        <f>IFERROR(IF(OR(B20="",NOT(ISNUMBER(DX20))),"",1.05*(Uн_лин*1000/SQRT(3))/(_xlfn.XLOOKUP(A20,Щиты[Щит],Щиты[Zmax на шинах, Ом])+EL20)/1000),"")</f>
        <v/>
      </c>
      <c r="EP20" s="6" t="str">
        <f>IF(B20="","",IF(ISNUMBER(Y20),"Сил",IF(IFERROR(_xlfn.XLOOKUP(AX20,Коды_код,Коды_группа)&amp;"","")="","Быт",_xlfn.XLOOKUP(AX20,Коды_код,Коды_группа)&amp;"")))</f>
        <v>Быт</v>
      </c>
      <c r="EQ20" s="6" t="str">
        <f t="shared" si="55"/>
        <v>Щит</v>
      </c>
      <c r="ER20" s="6" t="str">
        <f>IF(EQ20="Щит","щит",IF(EQ20="","",IF(EQ20="Быт",IFERROR(_xlfn.XLOOKUP(A20,Щиты[Щит],Щиты[Кс быт]),1),IF(EQ20="Сил",IF(ISNUMBER(Y20),Y20,IF(Методика="нормы 2026",IFERROR(_xlfn.XLOOKUP(A20,Щиты[Щит],Щиты[Кс силовых (табл. 7.5)]),1),1)),IF(OR(EQ20="Пост",EQ20="Отоп"),1,IF(EQ20="ВНГ",0.7,0))))))</f>
        <v>щит</v>
      </c>
      <c r="ES20">
        <f t="shared" si="56"/>
        <v>1</v>
      </c>
      <c r="ET20">
        <f t="shared" si="57"/>
        <v>0</v>
      </c>
      <c r="EU20">
        <f t="shared" si="58"/>
        <v>0</v>
      </c>
      <c r="EV20">
        <f t="shared" si="59"/>
        <v>0</v>
      </c>
      <c r="EW20">
        <f t="shared" si="60"/>
        <v>0</v>
      </c>
      <c r="EX20">
        <f t="shared" si="61"/>
        <v>0</v>
      </c>
      <c r="EY20">
        <f t="shared" si="62"/>
        <v>0</v>
      </c>
      <c r="EZ20">
        <f t="shared" si="63"/>
        <v>0</v>
      </c>
      <c r="FA20">
        <f t="shared" si="64"/>
        <v>0</v>
      </c>
      <c r="FB20">
        <f t="shared" si="65"/>
        <v>16.439999999999998</v>
      </c>
      <c r="FC20" t="str">
        <f t="shared" si="66"/>
        <v/>
      </c>
      <c r="FD20" t="str">
        <f>IF(B20="","",IF(CA20=0,IF(AW20=1,"",FF19),IF(OR(N(CV20)&gt;=3,N(BR20)&gt;=3),"L1,L2,L3",IFERROR(_xlfn.TEXTBEFORE(_xlfn.TEXTAFTER(_xlfn.XLOOKUP(A20,Щиты[Щит],Щиты[_фазы авто]),";"&amp;AW20&amp;":"),";"),"L1"))))</f>
        <v>L1,L2,L3</v>
      </c>
      <c r="FE20" t="str">
        <f t="shared" si="67"/>
        <v>L1,L2,L3</v>
      </c>
      <c r="FF20" t="str">
        <f t="shared" si="68"/>
        <v>L1,L2,L3</v>
      </c>
      <c r="FG20" cm="1">
        <f t="array" ref="FG20">IFERROR(IF(BX20=2,_xlfn.IFS(BR20=3,VLOOKUP(BN20,Справочная_двигатели,3,FALSE),BR20=1,VLOOKUP(BN20,Справочная_двигатели,5,TRUE)),0),0)</f>
        <v>0</v>
      </c>
      <c r="FH20">
        <f>IFERROR(IF(BX20=3,VLOOKUP(BN20,Справочная_ЛЭД,2,TRUE),0),0)</f>
        <v>0</v>
      </c>
      <c r="FI20" s="6">
        <f t="shared" si="69"/>
        <v>0</v>
      </c>
      <c r="FJ20" t="str" cm="1">
        <f t="array" ref="FJ20">IF(B20="","",IFERROR(INDEX({"I особая","I","II","III"},MATCH(TRIM(AC20&amp;""),{"I особая","I","II","III"},0)),"III"))</f>
        <v>II</v>
      </c>
      <c r="FK20" t="str">
        <f>IF(B20="","",IF(TRIM(AD20&amp;"")&lt;&gt;"",IF(LOWER(TRIM(AD20&amp;""))="да","да","нет"),IF(IFERROR(_xlfn.XLOOKUP(AX20,Коды_код,Коды_пожарная),"")="да","да","нет")))</f>
        <v>нет</v>
      </c>
      <c r="FL20" t="str">
        <f t="shared" si="70"/>
        <v/>
      </c>
      <c r="FM20" t="str">
        <f t="shared" si="71"/>
        <v>основная</v>
      </c>
      <c r="FN20">
        <f t="shared" si="72"/>
        <v>1</v>
      </c>
      <c r="FO20" t="str" cm="1">
        <f t="array" ref="FO20">IF(B20="","",_xlfn.LET(_xlpm.t,IFERROR(_xlfn.XLOOKUP(1,(Шины[Шина]=FM20)*(((Шины[Щит]=A20)+(Шины[Щит]=""))&gt;0),Шины[Тип]),"")&amp;"",IF(_xlpm.t&lt;&gt;"",_xlpm.t,IF(ISNUMBER(SEARCH("ИБП",FM20)),"ИБП",IF(ISNUMBER(SEARCH("ДГУ",FM20)),"ДГУ","Ввод "&amp;FN20)))))</f>
        <v>Ввод 1</v>
      </c>
      <c r="FP20" t="str">
        <f t="shared" si="73"/>
        <v>Ввод 1</v>
      </c>
      <c r="FQ20" t="str">
        <f>IF(B20="","",IF(OR(FO20="ИБП",FO20="ДГУ"),"I особая",IF(FO20="Одиночная","III",_xlfn.XLOOKUP(A20,Щиты[Щит],Щиты[Категория шины «Ввод»],"III"))))</f>
        <v>I</v>
      </c>
      <c r="FR20">
        <f>IF(B20="",0,IFERROR(MATCH(FJ20,{"III","II","I","I особая"},0),1))</f>
        <v>2</v>
      </c>
      <c r="FS20">
        <f t="shared" si="74"/>
        <v>2</v>
      </c>
      <c r="FT20" t="str">
        <f>IF(B20="","",IF(FR20&gt;IFERROR(MATCH(FQ20,{"III","II","I","I особая"},0),1),"НЕ ОБЕСПЕЧЕНА","ОК"))</f>
        <v>ОК</v>
      </c>
      <c r="FU20" t="str">
        <f>IF(A20="","",_xlfn.XLOOKUP(A20,Щиты[Щит],Щиты[Путь],""))</f>
        <v>|ГРЩ-ЖД|</v>
      </c>
      <c r="FV20" t="str">
        <f>IF(B20="","",IF(AE20&lt;&gt;"",AE20,IF(IFERROR(_xlfn.XLOOKUP(AX20,Коды_код,Коды_вид)&amp;"","")="","Прочее",_xlfn.XLOOKUP(AX20,Коды_код,Коды_вид)&amp;"")))</f>
        <v>Обогрев водостоков и кровли</v>
      </c>
      <c r="FW20">
        <f>IF(BH20="","",INT((BH20-1)/Столбцов_на_лист)+1)</f>
        <v>3</v>
      </c>
      <c r="FX20" t="str">
        <f t="shared" si="75"/>
        <v>ВВГнг(А)-LS (5х6) L=52-2,49%</v>
      </c>
      <c r="FY20">
        <f t="shared" si="76"/>
        <v>16.439999999999998</v>
      </c>
      <c r="FZ20">
        <f t="shared" si="77"/>
        <v>30.770000000000003</v>
      </c>
      <c r="GA20">
        <f t="shared" si="78"/>
        <v>3</v>
      </c>
      <c r="GB20">
        <f t="shared" si="79"/>
        <v>0</v>
      </c>
      <c r="GC20">
        <f t="shared" si="80"/>
        <v>1</v>
      </c>
      <c r="GD20">
        <f>IF(BH20="","",IF(AND(CA20=1,GC20=1),COUNTIFS(A$3:A20,A20,CA$3:CA20,1,GC$3:GC20,1),IF(OR(OR(AW20=1,A20&lt;&gt;A19),AF20="вручную",GC20=0),"",IF(AW20=1,"",GE19))))</f>
        <v>18</v>
      </c>
      <c r="GE20">
        <f t="shared" si="81"/>
        <v>18</v>
      </c>
      <c r="GF20">
        <f>IF(B20="","",IFERROR(LOOKUP(INDEX(CHOOSE(DL20,Iдоп_1ж,Iдоп_2ж,Iдоп_3ж),MATCH(DX20,Iдоп_S,0))*DJ20*DK20,{6,10,16,20,25,32,40,50,63,80,100,125,160,200,250,315,400,500,630}),""))</f>
        <v>32</v>
      </c>
      <c r="GG20" t="str">
        <f t="shared" si="82"/>
        <v>QF18</v>
      </c>
      <c r="GH20" t="str">
        <f t="shared" si="83"/>
        <v>QF18</v>
      </c>
      <c r="GI20" t="str">
        <f t="shared" si="84"/>
        <v/>
      </c>
      <c r="GJ20">
        <f t="shared" si="85"/>
        <v>0</v>
      </c>
      <c r="GK20" t="str">
        <f>IF(OR(AG20="",AG20="-"),"",IFERROR(VLOOKUP(AG20,Модули_спр,2,FALSE),"R"))</f>
        <v/>
      </c>
      <c r="GL20" t="str">
        <f>IF(GK20="","",GK20&amp;"."&amp;COUNTIFS(A$3:A20,A20,GK$3:GK20,GK20))</f>
        <v/>
      </c>
      <c r="GM20" t="str">
        <f t="shared" si="86"/>
        <v/>
      </c>
      <c r="GN20" t="str">
        <f t="shared" si="87"/>
        <v/>
      </c>
      <c r="GO20" t="str">
        <f t="shared" si="88"/>
        <v/>
      </c>
      <c r="GP20" t="str">
        <f t="shared" si="89"/>
        <v/>
      </c>
      <c r="GQ20">
        <f t="shared" si="90"/>
        <v>1</v>
      </c>
      <c r="GR20" t="str">
        <f>IF(GQ20=1,"XT"&amp;COUNTIFS(A$3:A20,A20,GQ$3:GQ20,1),"")</f>
        <v>XT15</v>
      </c>
      <c r="GS20" t="str">
        <f t="shared" si="91"/>
        <v/>
      </c>
      <c r="GT20" t="str">
        <f t="shared" si="92"/>
        <v>QF18</v>
      </c>
      <c r="GU20" t="str">
        <f t="shared" si="93"/>
        <v/>
      </c>
      <c r="GV20" t="str">
        <f t="shared" si="94"/>
        <v>ok</v>
      </c>
      <c r="GW20" t="str">
        <f>IF(OR(GO20="",GM20=""),"",IF(GO20&gt;IFERROR(VLOOKUP(GN20,Модули_спр,3,FALSE),99),"ЛИШНИЙ КАНАЛ",IF(AND(AH20&lt;&gt;"=",COUNTIFS(Линии[_модуль гр.],GM20,Линии[Канал (итог)],GO20,Линии[Канал],"&lt;&gt;=",Линии[Щит],A20)&gt;1),"ДУБЛЬ КАНАЛА","")))</f>
        <v/>
      </c>
      <c r="GX20" s="6" t="str">
        <f t="shared" si="95"/>
        <v/>
      </c>
      <c r="GY20">
        <f t="shared" si="96"/>
        <v>10</v>
      </c>
      <c r="GZ20" t="str">
        <f t="shared" si="97"/>
        <v/>
      </c>
      <c r="HA20" t="str">
        <f>IF(AND(B20="",GT20=""),"",_xlfn.TEXTJOIN("; ",TRUE,IF(AND(B20&lt;&gt;"",FE20=""),"нет фазы",""),IF(AND(B20&lt;&gt;"",N(FY20)=0,EQ20&lt;&gt;"Нет"),"нет мощности",""),IF(AND(GS20&lt;&gt;"",COUNTIFS(Линии[Щит],A20,Линии[Клемма (итог)],GS20)&gt;1),"дубль клеммы "&amp;GS20,""),IF(AND(GV20&lt;&gt;"",GV20&lt;&gt;"ok"),GV20,""),IF(GW20&lt;&gt;"",GW20,""),IF(AND(N(BV20)&gt;=4,N(BR20)=1),BV20&amp;" жил на 1 фазе",""),IF(AND(AX20="R",CA20=1,OR(N(CK20)=0,N(CK20)&gt;30)),"розетка без дифзащиты до 30 мА",""),IFERROR(IF(AND(ISNUMBER(R20),R20&gt;DV20),"потери "&amp;FIXED(R20,1)&amp;" % &gt; "&amp;DV20&amp;" %",""),""),IFERROR(IF(LEFT(GZ20,4)="мало","Iкз мало — отключение &gt; 0,4 с",""),""),IF(AND(B20&lt;&gt;"",BH20=""),"не на схеме",""),IF(AND(CA20=0,B20&lt;&gt;"",FE20&lt;&gt;"",IF(AW20=1,"",FF19)&lt;&gt;"",FE20&lt;&gt;IF(AW20=1,"",FF19)),"фаза не как у автомата группы ("&amp;IF(AW20=1,"",FF19)&amp;")","")))</f>
        <v/>
      </c>
      <c r="HB20" s="6" t="str">
        <f>IF(OR(CA20=0,DA20=""),"",_xlfn.LET(_xlpm.t,IFERROR(_xlfn.XLOOKUP(DA20,Каталог!$U$4:$U$500,Каталог!$G$4:$G$500),""),_xlpm.k,SEARCH("кА",_xlpm.t),IFERROR(--TRIM(RIGHT(SUBSTITUTE(MID(_xlpm.t,MAX(1,_xlpm.k-4),_xlpm.k-MAX(1,_xlpm.k-4))," ",REPT(" ",9)),5)),"")))</f>
        <v/>
      </c>
      <c r="HC20" t="str">
        <f>IF(OR(HB20="",CA20=0),"",IF(_xlfn.XLOOKUP(A20,Щиты[Щит],Щиты[Iкз max на шинах, кА],"")="","",IF(HB20&lt;_xlfn.XLOOKUP(A20,Щиты[Щит],Щиты[Iкз max на шинах, кА]),"Icu "&amp;HB20&amp;" кА &lt; Iкз max","ok")))</f>
        <v/>
      </c>
      <c r="HD20" t="str">
        <f t="shared" si="98"/>
        <v/>
      </c>
      <c r="HE20" t="str">
        <f t="shared" si="99"/>
        <v>QF18</v>
      </c>
      <c r="HF20" t="str">
        <f t="shared" si="100"/>
        <v>QF18|кабель ВВГнг(А)-LS (5х6) → Щит управления обогрева воронок ЩУОВ Тех. этаж этаж Пом. №3.001</v>
      </c>
      <c r="HG20" t="str" cm="1">
        <f t="array" ref="HG20">IF(HF20="","",_xlfn.LET(_xlpm.nd,_xlfn.TEXTSPLIT(HF20,"|"),IF(COLUMNS(_xlpm.nd)&gt;1,A20&amp;"¦"&amp;INDEX(_xlpm.nd,1)&amp;"¦"&amp;INDEX(_xlpm.nd,2),"")))</f>
        <v>ГРЩ-ЖД¦QF18¦кабель ВВГнг(А)-LS (5х6) → Щит управления обогрева воронок ЩУОВ Тех. этаж этаж Пом. №3.001</v>
      </c>
      <c r="HH20" t="str">
        <f t="shared" si="101"/>
        <v>ЩУОВ¦Щит управления обогрева воронок ЩУОВ Тех. этаж этаж Пом. №3.001</v>
      </c>
      <c r="HI20" t="str" cm="1">
        <f t="array" ref="HI20">IF(HF20="","",_xlfn.LET(_xlpm.nd,_xlfn.TEXTSPLIT(HF20,"|"),IF(COLUMNS(_xlpm.nd)&gt;2,A20&amp;"¦"&amp;INDEX(_xlpm.nd,2)&amp;"¦"&amp;INDEX(_xlpm.nd,3),"")))</f>
        <v/>
      </c>
      <c r="HJ20" t="str">
        <f t="shared" si="102"/>
        <v/>
      </c>
      <c r="HK20" t="str" cm="1">
        <f t="array" ref="HK20">IF(HF20="","",_xlfn.LET(_xlpm.nd,_xlfn.TEXTSPLIT(HF20,"|"),IF(COLUMNS(_xlpm.nd)&gt;3,A20&amp;"¦"&amp;INDEX(_xlpm.nd,3)&amp;"¦"&amp;INDEX(_xlpm.nd,4),"")))</f>
        <v/>
      </c>
      <c r="HL20" t="str">
        <f t="shared" si="103"/>
        <v/>
      </c>
      <c r="HM20" t="str" cm="1">
        <f t="array" ref="HM20">IF(HF20="","",_xlfn.LET(_xlpm.nd,_xlfn.TEXTSPLIT(HF20,"|"),IF(COLUMNS(_xlpm.nd)&gt;4,A20&amp;"¦"&amp;INDEX(_xlpm.nd,4)&amp;"¦"&amp;INDEX(_xlpm.nd,5),"")))</f>
        <v/>
      </c>
      <c r="HN20" t="str">
        <f t="shared" si="104"/>
        <v/>
      </c>
      <c r="HO20" t="str" cm="1">
        <f t="array" ref="HO20">IF(HF20="","",_xlfn.LET(_xlpm.nd,_xlfn.TEXTSPLIT(HF20,"|"),IF(COLUMNS(_xlpm.nd)&gt;5,A20&amp;"¦"&amp;INDEX(_xlpm.nd,5)&amp;"¦"&amp;INDEX(_xlpm.nd,6),"")))</f>
        <v/>
      </c>
      <c r="HP20" t="str">
        <f t="shared" si="105"/>
        <v/>
      </c>
      <c r="HQ20" t="str" cm="1">
        <f t="array" ref="HQ20">IF(HF20="","",_xlfn.LET(_xlpm.nd,_xlfn.TEXTSPLIT(HF20,"|"),IF(COLUMNS(_xlpm.nd)&gt;6,A20&amp;"¦"&amp;INDEX(_xlpm.nd,6)&amp;"¦"&amp;INDEX(_xlpm.nd,7),"")))</f>
        <v/>
      </c>
      <c r="HR20" t="str">
        <f t="shared" si="106"/>
        <v/>
      </c>
      <c r="HS20" t="str">
        <f t="shared" si="107"/>
        <v/>
      </c>
      <c r="HT20" t="str">
        <f t="shared" si="108"/>
        <v>QF18</v>
      </c>
      <c r="HU20">
        <f t="shared" si="109"/>
        <v>0</v>
      </c>
      <c r="HV20">
        <f t="shared" si="110"/>
        <v>0</v>
      </c>
      <c r="HW20" t="str">
        <f t="shared" si="111"/>
        <v/>
      </c>
      <c r="HX20" t="str">
        <f t="shared" si="112"/>
        <v/>
      </c>
      <c r="HY20" t="str">
        <f t="shared" si="113"/>
        <v/>
      </c>
      <c r="HZ20" t="str">
        <f t="shared" si="114"/>
        <v/>
      </c>
      <c r="IA20" t="str">
        <f>IF(B20="","",IFERROR(VLOOKUP(B20,УГО_спр,2,FALSE),IFERROR(VLOOKUP(AX20,УГО_спр,2,FALSE),IFERROR(VLOOKUP(LEFT(AX20,2),УГО_спр,2,FALSE),""))))</f>
        <v/>
      </c>
      <c r="IB20" t="str">
        <f>IF(B20="","",IF(OR(IA20="",IA20=0),"BOX",IFERROR(IF(VLOOKUP(IA20,УГО_блоки,3,FALSE)&amp;""&lt;&gt;"",VLOOKUP(IA20,УГО_блоки,3,FALSE),VLOOKUP(IA20,УГО_блоки,2,FALSE)),IA20)))</f>
        <v>BOX</v>
      </c>
      <c r="IC20">
        <f t="shared" si="115"/>
        <v>1</v>
      </c>
      <c r="ID20">
        <f>IF(DA20="","",IF(COUNTIF(DA$3:DA20,DA20)=1,MAX(ID$2:ID19)+1,""))</f>
        <v>12</v>
      </c>
      <c r="IE20" t="str">
        <f>IF(CO20="","",IF(COUNTIF(CO$3:CO20,CO20)+COUNTIF(CP$2:CP19,CO20)+COUNTIF(CQ$2:CQ19,CO20)=1,MAX(IE$2:IG19)+1,""))</f>
        <v/>
      </c>
      <c r="IF20" t="str">
        <f>IF(CP20="","",IF(COUNTIF(CO$3:CO20,CP20)+COUNTIF(CP$3:CP20,CP20)+COUNTIF(CQ$2:CQ19,CP20)=1,MAX(IE$2:IG19,IE20)+1,""))</f>
        <v/>
      </c>
      <c r="IG20" t="str">
        <f>IF(CQ20="","",IF(COUNTIF(CO$3:CO20,CQ20)+COUNTIF(CP$3:CP20,CQ20)+COUNTIF(CQ$3:CQ20,CQ20)=1,MAX(IE$2:IG19,IE20,IF20)+1,""))</f>
        <v/>
      </c>
      <c r="IH20" t="str">
        <f t="shared" si="116"/>
        <v>5х6</v>
      </c>
      <c r="II20" t="str">
        <f>IF(IH20="","",IF(COUNTIF(IH$3:IH20,IH20)=1,MAX(II$2:II19)+1,""))</f>
        <v/>
      </c>
      <c r="IJ20" t="str">
        <f>IF(GL20="","",COUNTIF(GL$3:GL20,"?*"))</f>
        <v/>
      </c>
      <c r="IK20" t="str">
        <f>IF(OR(GL20="",GN20=""),"",IF(COUNTIFS(GL$3:GL20,"?*",GN$3:GN20,GN20)=1,MAX(IK$2:IK19)+1,""))</f>
        <v/>
      </c>
      <c r="IL20">
        <f t="shared" si="117"/>
        <v>0</v>
      </c>
      <c r="IM20">
        <f>IF(B20="","",COUNTIF(B$3:B20,"?*"))</f>
        <v>18</v>
      </c>
      <c r="IN20">
        <f>IF(GQ20&lt;&gt;1,0,_xlfn.LET(_xlpm.k,MAX(IFERROR(--VLOOKUP(B20,УГО_спр,5,FALSE),0),IFERROR(--VLOOKUP(AX20,УГО_спр,5,FALSE),0),IFERROR(--VLOOKUP(LEFT(AX20,2),УГО_спр,5,FALSE),0)),IF(_xlpm.k&gt;0,_xlpm.k,IF(IFERROR(--LEFT(SUBSTITUTE(IH20,"x","х"),FIND("х",SUBSTITUTE(IH20,"x","х"))-1),3)&gt;3,Каталог!$S$9,1))))</f>
        <v>1</v>
      </c>
      <c r="IO20">
        <f t="shared" si="118"/>
        <v>2</v>
      </c>
      <c r="IP20" t="str">
        <f t="shared" si="119"/>
        <v>авто</v>
      </c>
      <c r="IQ20" t="str">
        <f t="shared" si="120"/>
        <v/>
      </c>
      <c r="IR20">
        <f t="shared" si="121"/>
        <v>0</v>
      </c>
      <c r="IS20">
        <f t="shared" si="122"/>
        <v>1</v>
      </c>
    </row>
    <row r="21" spans="1:253" x14ac:dyDescent="0.3">
      <c r="A21" t="s">
        <v>785</v>
      </c>
      <c r="B21" t="s">
        <v>773</v>
      </c>
      <c r="C21" t="s">
        <v>772</v>
      </c>
      <c r="D21">
        <v>1</v>
      </c>
      <c r="E21">
        <v>103.95</v>
      </c>
      <c r="G21">
        <v>200</v>
      </c>
      <c r="H21" t="str">
        <f>Линии[[#This Row],[_авто утечка]]</f>
        <v/>
      </c>
      <c r="I21" t="str">
        <f>Линии[[#This Row],[_авто управление]]</f>
        <v/>
      </c>
      <c r="J21" t="str">
        <f>Линии[[#This Row],[_авто аппараты]]</f>
        <v/>
      </c>
      <c r="K21">
        <v>95</v>
      </c>
      <c r="L21">
        <v>53</v>
      </c>
      <c r="M21" t="str">
        <f>Линии[[#This Row],[_авто фаза]]</f>
        <v>L1,L2,L3</v>
      </c>
      <c r="N21" t="s">
        <v>486</v>
      </c>
      <c r="O21" t="str">
        <f t="shared" si="0"/>
        <v/>
      </c>
      <c r="P21" s="6" cm="1">
        <f t="array" ref="P21">IF(B21="","",IF(BC21&lt;&gt;"",IFERROR(_xlfn.XLOOKUP(BC21,Щиты[Щит],Щиты[Iр, А]),""),IF(BK21=1,IFERROR(_xlfn.XLOOKUP(A21,Щиты[Щит],Щиты[Iр, А]),""),IFERROR(_xlfn.IFS(BR21=1,BN21/((Uн_лин/SQRT(3))*BY21),BR21=3,BN21/(SQRT(3)*Uн_лин*BY21)),""))))</f>
        <v>187.5486265070675</v>
      </c>
      <c r="Q21" s="7">
        <f>IF(B21="","",IFERROR(IF(VLOOKUP(AX21,Потребители_обозначение,4,FALSE)=1,VLOOKUP(AX21,Потребители_обозначение,3,FALSE)*(D21*2-1)+DS21+VLOOKUP(AZ21,Этаж_обозначение,3,FALSE)+VLOOKUP(AZ21,Этаж_обозначение,4,FALSE),VLOOKUP(AX21,Потребители_обозначение,3,FALSE)*(D21*2-1)+DS21),DS21))</f>
        <v>53</v>
      </c>
      <c r="R21" s="6">
        <f t="shared" si="1"/>
        <v>0.98</v>
      </c>
      <c r="S21" t="str">
        <f t="shared" si="2"/>
        <v>5хВВГнг(А)-LS  (1х95)</v>
      </c>
      <c r="T21" t="str">
        <f>IF(BH21="","",IF(BI21="вводной узел","узел ","")&amp;"л."&amp;(INT((BH21-1)/Столбцов_на_лист)+1)&amp;" / "&amp;(MOD(BH21-1,Столбцов_на_лист)+1))</f>
        <v>л.3 / 15</v>
      </c>
      <c r="V21">
        <v>3</v>
      </c>
      <c r="W21">
        <v>400</v>
      </c>
      <c r="X21" t="s">
        <v>600</v>
      </c>
      <c r="Y21">
        <v>0.7</v>
      </c>
      <c r="AA21">
        <v>1</v>
      </c>
      <c r="AC21" t="s">
        <v>862</v>
      </c>
      <c r="AE21" t="s">
        <v>596</v>
      </c>
      <c r="AI21">
        <v>49</v>
      </c>
      <c r="AJ21" t="s">
        <v>616</v>
      </c>
      <c r="AK21">
        <v>1</v>
      </c>
      <c r="AM21">
        <v>38</v>
      </c>
      <c r="AN21">
        <v>10</v>
      </c>
      <c r="AO21">
        <v>0</v>
      </c>
      <c r="AW21" cm="1">
        <f t="array" ref="AW21">ROW()-ROW(Линии[#Headers])</f>
        <v>19</v>
      </c>
      <c r="AX21" s="6" t="str">
        <f t="shared" si="3"/>
        <v>ЩР-ПК</v>
      </c>
      <c r="AY21" t="str">
        <f t="shared" si="4"/>
        <v/>
      </c>
      <c r="AZ21" t="str">
        <f t="shared" si="5"/>
        <v/>
      </c>
      <c r="BA21" t="str">
        <f t="shared" si="6"/>
        <v/>
      </c>
      <c r="BB21" t="str">
        <f t="shared" si="7"/>
        <v/>
      </c>
      <c r="BC21" t="str">
        <f>IF(U21&lt;&gt;"",U21,IF(AND(B21&lt;&gt;"",B21&lt;&gt;A21,ISNUMBER(_xlfn.XMATCH(B21,Щиты[Щит]))),B21,""))</f>
        <v/>
      </c>
      <c r="BD21" t="str" cm="1">
        <f t="array" ref="BD21">IF(B21="","",IF(BC21&lt;&gt;"","Щит "&amp;BC21,_xlfn.LET(_xlpm.nm,IFERROR(_xlfn.XLOOKUP(AX21,Коды_код,Коды_имя)&amp;"",""),_xlpm.md,IFERROR(N(_xlfn.XLOOKUP(AX21,Коды_код,Коды_режим)),1),_xlpm.ex,IF(Имя_режим="по экспликации",IFERROR(_xlfn.XLOOKUP(AZ21&amp;"|"&amp;BB21,Экспликация[Этаж]&amp;"|"&amp;Экспликация[Помещение],Экспликация[Название])&amp;"",""),""),_xlpm.rm,IF(BB21="","",IF(_xlpm.ex&lt;&gt;"",". "&amp;_xlpm.ex&amp;IF(Имя_пом="нет"," ("&amp;BB21&amp;")"," (пом. "&amp;BB21&amp;")"),IF(Имя_пом="нет"," ",", пом. ")&amp;BB21)),IF(_xlpm.nm="","",IF(_xlpm.md=2,_xlpm.nm&amp;" шлейф "&amp;AZ21,_xlpm.nm&amp;_xlpm.rm)))))</f>
        <v/>
      </c>
      <c r="BE21" t="str">
        <f t="shared" si="8"/>
        <v>Щит профкухни ЩС-ПК Цокольный этаж этаж Пом. №0.0014Б</v>
      </c>
      <c r="BF21">
        <f>IFERROR(_xlfn.XMATCH(A21,Щиты[Щит]),0)</f>
        <v>1</v>
      </c>
      <c r="BG21">
        <f>_xlfn.LET(_xlpm.k,IFERROR(_xlfn.XLOOKUP(A21,Щиты[Щит],Щиты[Листов под вводной узел]),""),IF(_xlpm.k="",1,N(_xlpm.k))*Столбцов_на_лист)</f>
        <v>17</v>
      </c>
      <c r="BH21">
        <f t="shared" si="9"/>
        <v>49</v>
      </c>
      <c r="BI21" t="str">
        <f t="shared" si="10"/>
        <v>линии</v>
      </c>
      <c r="BJ21" s="6">
        <f>IFERROR(N(_xlfn.XLOOKUP(AX21,Коды_код,Коды_квт)),0)</f>
        <v>0</v>
      </c>
      <c r="BK21">
        <f t="shared" si="11"/>
        <v>0</v>
      </c>
      <c r="BL21" t="str">
        <f>IF(B21="","",IF(BC21&lt;&gt;"",IFERROR(_xlfn.XLOOKUP(BC21,Щиты[Щит],Щиты[Руст, кВт]),0),IF(BK21=1,IFERROR(_xlfn.XLOOKUP(A21,Щиты[Щит],Щиты[Руст, кВт]),0),IF(BJ21&gt;0,ROUND(BJ21*MAX(1,N(D21)),3),""))))</f>
        <v/>
      </c>
      <c r="BM21">
        <f t="shared" si="12"/>
        <v>103.95</v>
      </c>
      <c r="BN21" s="6">
        <f>IF(B21="","",IF(BC21&lt;&gt;"",IFERROR(_xlfn.XLOOKUP(BC21,Щиты[Щит],Щиты[Руст, кВт]),0),N(BM21)))</f>
        <v>103.95</v>
      </c>
      <c r="BO21" t="str">
        <f>IF(B21="","",IFERROR(IF(VLOOKUP(AX21,Потребители_обозначение,8,FALSE)=0,"",VLOOKUP(AX21,Потребители_обозначение,8,FALSE)),""))</f>
        <v/>
      </c>
      <c r="BP21">
        <f t="shared" si="13"/>
        <v>400</v>
      </c>
      <c r="BQ21">
        <f>IF(B21="","",IF(BC21&lt;&gt;"",3,IFERROR(IF(N(VLOOKUP(AX21,Потребители_обозначение,9,FALSE))=0,1,VLOOKUP(AX21,Потребители_обозначение,9,FALSE)),1)))</f>
        <v>1</v>
      </c>
      <c r="BR21">
        <f t="shared" si="14"/>
        <v>3</v>
      </c>
      <c r="BS21" t="str">
        <f>IF(B21="","",_xlfn.LET(_xlpm.bc,IFERROR(IF(VLOOKUP(AX21,Потребители_обозначение,6,FALSE)=0,"",VLOOKUP(AX21,Потребители_обозначение,6,FALSE)&amp;""),""),IF(AND(FK21="да",OR(_xlpm.bc="",_xlpm.bc="мс")),Марка_пож,IF(AND(_xlpm.bc="",BC21&lt;&gt;""),"мс",_xlpm.bc))))</f>
        <v/>
      </c>
      <c r="BT21" t="str">
        <f t="shared" si="15"/>
        <v>5мс2</v>
      </c>
      <c r="BU21">
        <f>IF(B21="","",_xlfn.LET(_xlpm.cc,IFERROR(N(VLOOKUP(AX21,Потребители_обозначение,7,FALSE)),0),IF(_xlpm.cc&gt;0,_xlpm.cc,IF(BT21="","",IF(N(BR21)=3,5,3)))))</f>
        <v>5</v>
      </c>
      <c r="BV21">
        <f t="shared" si="16"/>
        <v>1</v>
      </c>
      <c r="BW21">
        <f>IFERROR(N(VLOOKUP(AX21,Потребители_обозначение,10,FALSE)),0)</f>
        <v>0</v>
      </c>
      <c r="BX21">
        <f>IFERROR(VLOOKUP(AX21,Потребители_обозначение,5,FALSE),0)</f>
        <v>0</v>
      </c>
      <c r="BY21" s="6" cm="1">
        <f t="array" ref="BY21">IF(B21="","",IF(BC21&lt;&gt;"",IFERROR(_xlfn.XLOOKUP(BC21,Щиты[Щит],Щиты[cos φ]),0.95),IF(BK21=1,IFERROR(_xlfn.XLOOKUP(A21,Щиты[Щит],Щиты[cos φ]),0.95),IF(ISNUMBER(Z21),Z21,IFERROR(IF(BX21=2,_xlfn.IFS(BR21=3,VLOOKUP(BN21,Справочная_двигатели,8,FALSE),BR21=1,VLOOKUP(BN21,Справочная_двигатели,10,TRUE)),IF(AND(Методика="нормы 2026",EQ21="Сил"),0.8,0.95)),0.95)))))</f>
        <v>0.8</v>
      </c>
      <c r="BZ21">
        <f t="shared" si="17"/>
        <v>0</v>
      </c>
      <c r="CA21">
        <f t="shared" si="18"/>
        <v>1</v>
      </c>
      <c r="CB21">
        <f t="shared" si="19"/>
        <v>0</v>
      </c>
      <c r="CC21">
        <f t="shared" si="20"/>
        <v>0</v>
      </c>
      <c r="CD21">
        <f t="shared" si="21"/>
        <v>0</v>
      </c>
      <c r="CE21">
        <f t="shared" si="22"/>
        <v>0</v>
      </c>
      <c r="CF21">
        <f t="shared" si="23"/>
        <v>0</v>
      </c>
      <c r="CG21">
        <f>IF(AX21="",0,_xlfn.LET(_xlpm.v,IFERROR(VLOOKUP(B21,УГО_спр,3,FALSE),IFERROR(VLOOKUP(AX21,УГО_спр,3,FALSE),IFERROR(VLOOKUP(LEFT(AX21,2),УГО_спр,3,FALSE),""))),IF(_xlpm.v="да",30,IF(ISNUMBER(_xlpm.v),_xlpm.v,0))))</f>
        <v>0</v>
      </c>
      <c r="CH21" t="str">
        <f t="shared" si="24"/>
        <v/>
      </c>
      <c r="CI21" t="str">
        <f>_xlfn.LET(_xlpm.k,IFERROR(_xlfn.XLOOKUP(AX21,Коды_код,Коды_утечка)&amp;"",""),IF(_xlpm.k="","дифавтомат",_xlpm.k))</f>
        <v>дифавтомат</v>
      </c>
      <c r="CJ21">
        <f t="shared" si="25"/>
        <v>0</v>
      </c>
      <c r="CK21">
        <f t="shared" si="26"/>
        <v>0</v>
      </c>
      <c r="CL21">
        <f>IF(B21="",0,IFERROR(--VLOOKUP(B21,УГО_спр,4,FALSE),IFERROR(--VLOOKUP(AX21,УГО_спр,4,FALSE),IFERROR(--VLOOKUP(LEFT(AX21,2),УГО_спр,4,FALSE),0))))</f>
        <v>0</v>
      </c>
      <c r="CM21" t="str">
        <f>IF(B21="","",IFERROR(_xlfn.XLOOKUP(AX21,Коды_код,Коды_апп)&amp;"",""))</f>
        <v/>
      </c>
      <c r="CN21" t="str">
        <f t="shared" si="27"/>
        <v/>
      </c>
      <c r="CO21" t="str" cm="1">
        <f t="array" ref="CO21">IF(TRIM(CN21&amp;"")="","",IFERROR(TRIM(INDEX(_xlfn.TEXTSPLIT(CN21&amp;";;;",";"),1)),""))</f>
        <v/>
      </c>
      <c r="CP21" t="str" cm="1">
        <f t="array" ref="CP21">IF(TRIM(CN21&amp;"")="","",IFERROR(TRIM(INDEX(_xlfn.TEXTSPLIT(CN21&amp;";;;",";"),2)),""))</f>
        <v/>
      </c>
      <c r="CQ21" t="str" cm="1">
        <f t="array" ref="CQ21">IF(TRIM(CN21&amp;"")="","",IFERROR(TRIM(INDEX(_xlfn.TEXTSPLIT(CN21&amp;";;;",";"),3)),""))</f>
        <v/>
      </c>
      <c r="CR21">
        <f t="shared" si="28"/>
        <v>0</v>
      </c>
      <c r="CS21" t="str">
        <f>IF(B21="","",_xlfn.LET(_xlpm.t,LOWER(AV21&amp;""),IF(ISNUMBER(SEARCH("dim",_xlpm.t)),"DIM",IF(ISNUMBER(SEARCH("dali",_xlpm.t)),"DALI",IF(OR(ISNUMBER(SEARCH("relay",_xlpm.t)),ISNUMBER(SEARCH("реле",_xlpm.t))),"Relay",IF(ISNUMBER(SEARCH("кнопк",_xlpm.t)),"",IFERROR(_xlfn.XLOOKUP(AX21,Коды_код,Коды_упр)&amp;"","")))))))</f>
        <v/>
      </c>
      <c r="CT21" t="str">
        <f t="shared" si="29"/>
        <v/>
      </c>
      <c r="CU21">
        <f>IF(B21="","",_xlfn.LET(_xlpm.ig,N(P21)+IF(AF21="вручную",0,N(CB21)),_xlpm.n0,IFERROR(VLOOKUP(_xlpm.ig,Автомат_номиналы,2,TRUE),0),_xlpm.mn,MAX(CL21,IF(AF21="вручную",0,N(CE21))),MAX(_xlpm.n0,_xlpm.mn,IF(CR21=1,Мин_автомат_БП,0))))</f>
        <v>250</v>
      </c>
      <c r="CV21">
        <f t="shared" si="30"/>
        <v>3</v>
      </c>
      <c r="CW21" t="str">
        <f t="shared" si="31"/>
        <v>3P</v>
      </c>
      <c r="CX21" t="str">
        <f>_xlfn.LET(_xlpm.cc,UPPER(TRIM(IFERROR(_xlfn.XLOOKUP(AX21,Коды_код,Коды_хар)&amp;"",""))),IF(OR(_xlpm.cc="B",_xlpm.cc="В"),"B",IF(_xlpm.cc="D","D","С")))</f>
        <v>С</v>
      </c>
      <c r="CY21" t="str">
        <f t="shared" si="32"/>
        <v>3P С250А</v>
      </c>
      <c r="CZ21">
        <f t="shared" si="33"/>
        <v>200</v>
      </c>
      <c r="DA21" t="str">
        <f t="shared" si="34"/>
        <v>3P С200А</v>
      </c>
      <c r="DB21" cm="1">
        <f t="array" ref="DB21">IF(DA21="","",_xlfn.LET(_xlpm.t,SUBSTITUTE(SUBSTITUTE(SUBSTITUTE(UPPER(DA21),"С","C"),"А","A"),"В","B"),_xlpm.tk,_xlfn.TEXTSPLIT(_xlpm.t,"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200</v>
      </c>
      <c r="DC21" t="str">
        <f t="shared" si="35"/>
        <v>ok</v>
      </c>
      <c r="DD21">
        <f t="shared" si="36"/>
        <v>200</v>
      </c>
      <c r="DE21" t="str">
        <f t="shared" si="37"/>
        <v>3P С200А</v>
      </c>
      <c r="DF21">
        <f t="shared" si="38"/>
        <v>0</v>
      </c>
      <c r="DG21">
        <f t="shared" si="39"/>
        <v>0</v>
      </c>
      <c r="DH21">
        <f t="shared" si="40"/>
        <v>0</v>
      </c>
      <c r="DI21">
        <f t="shared" si="41"/>
        <v>187.5486265070675</v>
      </c>
      <c r="DJ21">
        <f t="shared" si="42"/>
        <v>1</v>
      </c>
      <c r="DK21">
        <f>IF(ISNUMBER(AL21),AL21,К_прокл)</f>
        <v>1</v>
      </c>
      <c r="DL21">
        <f t="shared" si="43"/>
        <v>1</v>
      </c>
      <c r="DM21">
        <f>IFERROR(N(VLOOKUP(BT21,Кабель_обозначение,3,FALSE)),1)</f>
        <v>1</v>
      </c>
      <c r="DN21">
        <f>IFERROR(N(_xlfn.XLOOKUP(A21,Щиты[Щит],Щиты[ΔU до шин, %])),0)</f>
        <v>0</v>
      </c>
      <c r="DO21" t="str">
        <f>IFERROR(_xlfn.XLOOKUP(A21,Щиты[Щит],Щиты[Zпетли на шинах, Ом]),"")</f>
        <v/>
      </c>
      <c r="DP21">
        <f>IFERROR(N(_xlfn.XLOOKUP(A21,Щиты[Щит],Щиты[ΔU до шин (подбор), %])),0)</f>
        <v>0</v>
      </c>
      <c r="DQ21" t="str">
        <f>IFERROR(_xlfn.XLOOKUP(A21,Щиты[Щит],Щиты[Zпетли на шинах (подбор), Ом]),"")</f>
        <v/>
      </c>
      <c r="DR21" t="str">
        <f t="shared" si="44"/>
        <v/>
      </c>
      <c r="DS21">
        <f t="shared" si="45"/>
        <v>53</v>
      </c>
      <c r="DT21">
        <f t="shared" si="46"/>
        <v>1</v>
      </c>
      <c r="DU21">
        <f t="shared" si="47"/>
        <v>0.6</v>
      </c>
      <c r="DV21" s="6">
        <f>IF(B21="","",IF(IFERROR(VLOOKUP(AX21,УГО_спр,2,FALSE),"")="Светильник",3,4)+IF(Методика="нормы 2026",MIN(0.5,MAX(0,N(Q21)-100)*0.005),0))</f>
        <v>4</v>
      </c>
      <c r="DW21" cm="1">
        <f t="array" ref="DW21">IF(OR(B21="",BT21="",DM21&lt;&gt;1),"",_xlfn.LET(_xlpm.sz,Iдоп_S,_xlpm.t_,CHOOSE(DL21,Iдоп_1ж,Iдоп_2ж,Iдоп_3ж)*DJ21*DK21,_xlpm.inn,N(DD21),_xlpm.smin,MAX(1.5,BW21),_xlpm.L_,N(Q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21)*(_xlpm.rho*_xlpm.L_/_xlpm.sz*N(BY21)+_xlpm.xx*_xlpm.L_*N(DU21)/1000)*N(P21)/((Uн_лин/SQRT(3))*1000)*100,999),_xlpm.kz,IF(OR(DG21=1,NOT(ISNUMBER(DQ21)),_xlpm.L_=0,_xlpm.inn=0),1,IFERROR(--(c_min*(Uн_лин*1000/SQRT(3))/(DQ21+2*ρкз_Cu*_xlpm.L_/_xlpm.sz)&gt;=GY21*_xlpm.inn),0)),_xlpm.ok,IFERROR((_xlpm.sz&gt;=_xlpm.smin)*(_xlpm.t_&gt;=_xlpm.inn)*IF(_xlpm.L_&gt;0,(_xlpm.du_+DP21&lt;=DV21+0.00001),1)*_xlpm.kz,0),_xlpm.r_,_xlfn._xlws.FILTER(_xlpm.sz,_xlpm.ok,"не подобрано"),INDEX(_xlpm.r_,1)))</f>
        <v>50</v>
      </c>
      <c r="DX21">
        <f t="shared" si="48"/>
        <v>95</v>
      </c>
      <c r="DY21" cm="1">
        <f t="array" ref="DY21">IF(OR(B21="",BT21="",DM21&lt;&gt;1),"",_xlfn.LET(_xlpm.sz,Iдоп_S,_xlpm.t_,CHOOSE(DL21,Iдоп_1ж,Iдоп_2ж,Iдоп_3ж)*DJ21*DK21,_xlpm.ok,IFERROR((_xlpm.sz&gt;=MAX(1.5,BW21))*(_xlpm.t_&gt;=N(DD21)),0),_xlpm.r_,_xlfn._xlws.FILTER(_xlpm.sz,_xlpm.ok,""),INDEX(_xlpm.r_,1)))</f>
        <v>50</v>
      </c>
      <c r="DZ21" s="6" cm="1">
        <f t="array" ref="DZ21">IFERROR(ROUNDUP(N(DT21)*(_xlfn.XLOOKUP(DY21,INDEX(Кабель_сопротивление,0,1),INDEX(Кабель_сопротивление,0,3))*N(Q21)/DY21*N(BY21)+_xlfn.XLOOKUP(DY21,INDEX(Кабель_сопротивление,0,1),INDEX(Кабель_сопротивление,0,2))*N(Q21)*N(DU21)/1000)*N(P21)/((Uн_лин/SQRT(3))*1000)*100,2),"")</f>
        <v>1.72</v>
      </c>
      <c r="EA21">
        <f>IFERROR(2*ρкз_Cu*N(Q21)/DY21,"")</f>
        <v>5.5756E-2</v>
      </c>
      <c r="EB21">
        <f>IFERROR(VLOOKUP(DX21,Кабель_сопротивление,3,FALSE),"")</f>
        <v>2.2499999999999999E-2</v>
      </c>
      <c r="EC21">
        <f>IFERROR(VLOOKUP(DX21,Кабель_сопротивление,2,FALSE),"")</f>
        <v>6.0199999999999997E-2</v>
      </c>
      <c r="ED21">
        <f t="shared" si="49"/>
        <v>10</v>
      </c>
      <c r="EE21">
        <f t="shared" si="50"/>
        <v>0</v>
      </c>
      <c r="EF21">
        <f t="shared" si="51"/>
        <v>2.2424186379847262</v>
      </c>
      <c r="EG21" s="6">
        <f>IFERROR(ROUNDUP(EF21/((Uн_лин/SQRT(3))*1000)*100,2),"")</f>
        <v>0.98</v>
      </c>
      <c r="EH21" t="str">
        <f>IFERROR(VLOOKUP(BT21,Кабель_обозначение,2,FALSE),"")</f>
        <v xml:space="preserve">5хВВГнг(А)-LS </v>
      </c>
      <c r="EI21" t="str">
        <f t="shared" si="52"/>
        <v>5хВВГнг(А)-LS  (1х95)</v>
      </c>
      <c r="EJ21" t="str">
        <f t="shared" si="53"/>
        <v>5хВВГнг(А)-LS  (1х95)
L=53-0,98%</v>
      </c>
      <c r="EK21">
        <f>IFERROR(2*ρкз_Cu*Q21/DX21,"")</f>
        <v>2.9345263157894735E-2</v>
      </c>
      <c r="EL21">
        <f t="shared" si="54"/>
        <v>9.7631578947368434E-3</v>
      </c>
      <c r="EM21" s="6" t="str">
        <f>IFERROR(IF(OR(B21="",NOT(ISNUMBER(DX21)),N(Q21)=0),"",_xlfn.XLOOKUP(A21,Щиты[Щит],Щиты[Zпетли на шинах, Ом])+EK21),"")</f>
        <v/>
      </c>
      <c r="EN21" s="6" t="str">
        <f>IF(ISNUMBER(EM21),c_min*(Uн_лин*1000/SQRT(3))/EM21,"")</f>
        <v/>
      </c>
      <c r="EO21" s="6" t="str">
        <f>IFERROR(IF(OR(B21="",NOT(ISNUMBER(DX21))),"",1.05*(Uн_лин*1000/SQRT(3))/(_xlfn.XLOOKUP(A21,Щиты[Щит],Щиты[Zmax на шинах, Ом])+EL21)/1000),"")</f>
        <v/>
      </c>
      <c r="EP21" s="6" t="str">
        <f>IF(B21="","",IF(ISNUMBER(Y21),"Сил",IF(IFERROR(_xlfn.XLOOKUP(AX21,Коды_код,Коды_группа)&amp;"","")="","Быт",_xlfn.XLOOKUP(AX21,Коды_код,Коды_группа)&amp;"")))</f>
        <v>Сил</v>
      </c>
      <c r="EQ21" s="6" t="str">
        <f t="shared" si="55"/>
        <v>Сил</v>
      </c>
      <c r="ER21" s="6">
        <f>IF(EQ21="Щит","щит",IF(EQ21="","",IF(EQ21="Быт",IFERROR(_xlfn.XLOOKUP(A21,Щиты[Щит],Щиты[Кс быт]),1),IF(EQ21="Сил",IF(ISNUMBER(Y21),Y21,IF(Методика="нормы 2026",IFERROR(_xlfn.XLOOKUP(A21,Щиты[Щит],Щиты[Кс силовых (табл. 7.5)]),1),1)),IF(OR(EQ21="Пост",EQ21="Отоп"),1,IF(EQ21="ВНГ",0.7,0))))))</f>
        <v>0.7</v>
      </c>
      <c r="ES21">
        <f t="shared" si="56"/>
        <v>1</v>
      </c>
      <c r="ET21">
        <f t="shared" si="57"/>
        <v>103.95</v>
      </c>
      <c r="EU21">
        <f t="shared" si="58"/>
        <v>0</v>
      </c>
      <c r="EV21">
        <f t="shared" si="59"/>
        <v>72.765000000000001</v>
      </c>
      <c r="EW21">
        <f t="shared" si="60"/>
        <v>0</v>
      </c>
      <c r="EX21">
        <f t="shared" si="61"/>
        <v>0</v>
      </c>
      <c r="EY21">
        <f t="shared" si="62"/>
        <v>0</v>
      </c>
      <c r="EZ21">
        <f t="shared" si="63"/>
        <v>103.95</v>
      </c>
      <c r="FA21">
        <f t="shared" si="64"/>
        <v>83.160000000000011</v>
      </c>
      <c r="FB21">
        <f t="shared" si="65"/>
        <v>103.95</v>
      </c>
      <c r="FC21" t="str">
        <f t="shared" si="66"/>
        <v/>
      </c>
      <c r="FD21" t="str">
        <f>IF(B21="","",IF(CA21=0,IF(AW21=1,"",FF20),IF(OR(N(CV21)&gt;=3,N(BR21)&gt;=3),"L1,L2,L3",IFERROR(_xlfn.TEXTBEFORE(_xlfn.TEXTAFTER(_xlfn.XLOOKUP(A21,Щиты[Щит],Щиты[_фазы авто]),";"&amp;AW21&amp;":"),";"),"L1"))))</f>
        <v>L1,L2,L3</v>
      </c>
      <c r="FE21" t="str">
        <f t="shared" si="67"/>
        <v>L1,L2,L3</v>
      </c>
      <c r="FF21" t="str">
        <f t="shared" si="68"/>
        <v>L1,L2,L3</v>
      </c>
      <c r="FG21" cm="1">
        <f t="array" ref="FG21">IFERROR(IF(BX21=2,_xlfn.IFS(BR21=3,VLOOKUP(BN21,Справочная_двигатели,3,FALSE),BR21=1,VLOOKUP(BN21,Справочная_двигатели,5,TRUE)),0),0)</f>
        <v>0</v>
      </c>
      <c r="FH21">
        <f>IFERROR(IF(BX21=3,VLOOKUP(BN21,Справочная_ЛЭД,2,TRUE),0),0)</f>
        <v>0</v>
      </c>
      <c r="FI21" s="6">
        <f t="shared" si="69"/>
        <v>0</v>
      </c>
      <c r="FJ21" t="str" cm="1">
        <f t="array" ref="FJ21">IF(B21="","",IFERROR(INDEX({"I особая","I","II","III"},MATCH(TRIM(AC21&amp;""),{"I особая","I","II","III"},0)),"III"))</f>
        <v>III</v>
      </c>
      <c r="FK21" t="str">
        <f>IF(B21="","",IF(TRIM(AD21&amp;"")&lt;&gt;"",IF(LOWER(TRIM(AD21&amp;""))="да","да","нет"),IF(IFERROR(_xlfn.XLOOKUP(AX21,Коды_код,Коды_пожарная),"")="да","да","нет")))</f>
        <v>нет</v>
      </c>
      <c r="FL21" t="str">
        <f t="shared" si="70"/>
        <v/>
      </c>
      <c r="FM21" t="str">
        <f t="shared" si="71"/>
        <v>основная</v>
      </c>
      <c r="FN21">
        <f t="shared" si="72"/>
        <v>1</v>
      </c>
      <c r="FO21" t="str" cm="1">
        <f t="array" ref="FO21">IF(B21="","",_xlfn.LET(_xlpm.t,IFERROR(_xlfn.XLOOKUP(1,(Шины[Шина]=FM21)*(((Шины[Щит]=A21)+(Шины[Щит]=""))&gt;0),Шины[Тип]),"")&amp;"",IF(_xlpm.t&lt;&gt;"",_xlpm.t,IF(ISNUMBER(SEARCH("ИБП",FM21)),"ИБП",IF(ISNUMBER(SEARCH("ДГУ",FM21)),"ДГУ","Ввод "&amp;FN21)))))</f>
        <v>Ввод 1</v>
      </c>
      <c r="FP21" t="str">
        <f t="shared" si="73"/>
        <v>Ввод 1</v>
      </c>
      <c r="FQ21" t="str">
        <f>IF(B21="","",IF(OR(FO21="ИБП",FO21="ДГУ"),"I особая",IF(FO21="Одиночная","III",_xlfn.XLOOKUP(A21,Щиты[Щит],Щиты[Категория шины «Ввод»],"III"))))</f>
        <v>I</v>
      </c>
      <c r="FR21">
        <f>IF(B21="",0,IFERROR(MATCH(FJ21,{"III","II","I","I особая"},0),1))</f>
        <v>1</v>
      </c>
      <c r="FS21">
        <f t="shared" si="74"/>
        <v>1</v>
      </c>
      <c r="FT21" t="str">
        <f>IF(B21="","",IF(FR21&gt;IFERROR(MATCH(FQ21,{"III","II","I","I особая"},0),1),"НЕ ОБЕСПЕЧЕНА","ОК"))</f>
        <v>ОК</v>
      </c>
      <c r="FU21" t="str">
        <f>IF(A21="","",_xlfn.XLOOKUP(A21,Щиты[Щит],Щиты[Путь],""))</f>
        <v>|ГРЩ-ЖД|</v>
      </c>
      <c r="FV21" t="str">
        <f>IF(B21="","",IF(AE21&lt;&gt;"",AE21,IF(IFERROR(_xlfn.XLOOKUP(AX21,Коды_код,Коды_вид)&amp;"","")="","Прочее",_xlfn.XLOOKUP(AX21,Коды_код,Коды_вид)&amp;"")))</f>
        <v>Технология пищеприготовления</v>
      </c>
      <c r="FW21">
        <f>IF(BH21="","",INT((BH21-1)/Столбцов_на_лист)+1)</f>
        <v>3</v>
      </c>
      <c r="FX21" t="str">
        <f t="shared" si="75"/>
        <v>5хВВГнг(А)-LS  (1х95) L=53-0,98%</v>
      </c>
      <c r="FY21">
        <f t="shared" si="76"/>
        <v>103.95</v>
      </c>
      <c r="FZ21">
        <f t="shared" si="77"/>
        <v>187.54999999999998</v>
      </c>
      <c r="GA21">
        <f t="shared" si="78"/>
        <v>3</v>
      </c>
      <c r="GB21">
        <f t="shared" si="79"/>
        <v>0</v>
      </c>
      <c r="GC21">
        <f t="shared" si="80"/>
        <v>1</v>
      </c>
      <c r="GD21">
        <f>IF(BH21="","",IF(AND(CA21=1,GC21=1),COUNTIFS(A$3:A21,A21,CA$3:CA21,1,GC$3:GC21,1),IF(OR(OR(AW21=1,A21&lt;&gt;A20),AF21="вручную",GC21=0),"",IF(AW21=1,"",GE20))))</f>
        <v>19</v>
      </c>
      <c r="GE21">
        <f t="shared" si="81"/>
        <v>19</v>
      </c>
      <c r="GF21">
        <f>IF(B21="","",IFERROR(LOOKUP(INDEX(CHOOSE(DL21,Iдоп_1ж,Iдоп_2ж,Iдоп_3ж),MATCH(DX21,Iдоп_S,0))*DJ21*DK21,{6,10,16,20,25,32,40,50,63,80,100,125,160,200,250,315,400,500,630}),""))</f>
        <v>315</v>
      </c>
      <c r="GG21" t="str">
        <f t="shared" si="82"/>
        <v>QF19</v>
      </c>
      <c r="GH21" t="str">
        <f t="shared" si="83"/>
        <v>QF19</v>
      </c>
      <c r="GI21" t="str">
        <f t="shared" si="84"/>
        <v/>
      </c>
      <c r="GJ21">
        <f t="shared" si="85"/>
        <v>0</v>
      </c>
      <c r="GK21" t="str">
        <f>IF(OR(AG21="",AG21="-"),"",IFERROR(VLOOKUP(AG21,Модули_спр,2,FALSE),"R"))</f>
        <v/>
      </c>
      <c r="GL21" t="str">
        <f>IF(GK21="","",GK21&amp;"."&amp;COUNTIFS(A$3:A21,A21,GK$3:GK21,GK21))</f>
        <v/>
      </c>
      <c r="GM21" t="str">
        <f t="shared" si="86"/>
        <v/>
      </c>
      <c r="GN21" t="str">
        <f t="shared" si="87"/>
        <v/>
      </c>
      <c r="GO21" t="str">
        <f t="shared" si="88"/>
        <v/>
      </c>
      <c r="GP21" t="str">
        <f t="shared" si="89"/>
        <v/>
      </c>
      <c r="GQ21">
        <f t="shared" si="90"/>
        <v>1</v>
      </c>
      <c r="GR21" t="str">
        <f>IF(GQ21=1,"XT"&amp;COUNTIFS(A$3:A21,A21,GQ$3:GQ21,1),"")</f>
        <v>XT16</v>
      </c>
      <c r="GS21" t="str">
        <f t="shared" si="91"/>
        <v/>
      </c>
      <c r="GT21" t="str">
        <f t="shared" si="92"/>
        <v>QF19</v>
      </c>
      <c r="GU21" t="str">
        <f t="shared" si="93"/>
        <v/>
      </c>
      <c r="GV21" t="str">
        <f t="shared" si="94"/>
        <v>ok</v>
      </c>
      <c r="GW21" t="str">
        <f>IF(OR(GO21="",GM21=""),"",IF(GO21&gt;IFERROR(VLOOKUP(GN21,Модули_спр,3,FALSE),99),"ЛИШНИЙ КАНАЛ",IF(AND(AH21&lt;&gt;"=",COUNTIFS(Линии[_модуль гр.],GM21,Линии[Канал (итог)],GO21,Линии[Канал],"&lt;&gt;=",Линии[Щит],A21)&gt;1),"ДУБЛЬ КАНАЛА","")))</f>
        <v/>
      </c>
      <c r="GX21" s="6" t="str">
        <f t="shared" si="95"/>
        <v/>
      </c>
      <c r="GY21">
        <f t="shared" si="96"/>
        <v>10</v>
      </c>
      <c r="GZ21" t="str">
        <f t="shared" si="97"/>
        <v/>
      </c>
      <c r="HA21" t="str">
        <f>IF(AND(B21="",GT21=""),"",_xlfn.TEXTJOIN("; ",TRUE,IF(AND(B21&lt;&gt;"",FE21=""),"нет фазы",""),IF(AND(B21&lt;&gt;"",N(FY21)=0,EQ21&lt;&gt;"Нет"),"нет мощности",""),IF(AND(GS21&lt;&gt;"",COUNTIFS(Линии[Щит],A21,Линии[Клемма (итог)],GS21)&gt;1),"дубль клеммы "&amp;GS21,""),IF(AND(GV21&lt;&gt;"",GV21&lt;&gt;"ok"),GV21,""),IF(GW21&lt;&gt;"",GW21,""),IF(AND(N(BV21)&gt;=4,N(BR21)=1),BV21&amp;" жил на 1 фазе",""),IF(AND(AX21="R",CA21=1,OR(N(CK21)=0,N(CK21)&gt;30)),"розетка без дифзащиты до 30 мА",""),IFERROR(IF(AND(ISNUMBER(R21),R21&gt;DV21),"потери "&amp;FIXED(R21,1)&amp;" % &gt; "&amp;DV21&amp;" %",""),""),IFERROR(IF(LEFT(GZ21,4)="мало","Iкз мало — отключение &gt; 0,4 с",""),""),IF(AND(B21&lt;&gt;"",BH21=""),"не на схеме",""),IF(AND(CA21=0,B21&lt;&gt;"",FE21&lt;&gt;"",IF(AW21=1,"",FF20)&lt;&gt;"",FE21&lt;&gt;IF(AW21=1,"",FF20)),"фаза не как у автомата группы ("&amp;IF(AW21=1,"",FF20)&amp;")","")))</f>
        <v/>
      </c>
      <c r="HB21" s="6" t="str">
        <f>IF(OR(CA21=0,DA21=""),"",_xlfn.LET(_xlpm.t,IFERROR(_xlfn.XLOOKUP(DA21,Каталог!$U$4:$U$500,Каталог!$G$4:$G$500),""),_xlpm.k,SEARCH("кА",_xlpm.t),IFERROR(--TRIM(RIGHT(SUBSTITUTE(MID(_xlpm.t,MAX(1,_xlpm.k-4),_xlpm.k-MAX(1,_xlpm.k-4))," ",REPT(" ",9)),5)),"")))</f>
        <v/>
      </c>
      <c r="HC21" t="str">
        <f>IF(OR(HB21="",CA21=0),"",IF(_xlfn.XLOOKUP(A21,Щиты[Щит],Щиты[Iкз max на шинах, кА],"")="","",IF(HB21&lt;_xlfn.XLOOKUP(A21,Щиты[Щит],Щиты[Iкз max на шинах, кА]),"Icu "&amp;HB21&amp;" кА &lt; Iкз max","ok")))</f>
        <v/>
      </c>
      <c r="HD21" t="str">
        <f t="shared" si="98"/>
        <v/>
      </c>
      <c r="HE21" t="str">
        <f t="shared" si="99"/>
        <v>QF19</v>
      </c>
      <c r="HF21" t="str">
        <f t="shared" si="100"/>
        <v>QF19|кабель 5хВВГнг(А)-LS  (1х95) → Щит профкухни ЩС-ПК Цокольный этаж этаж Пом. №0.0014Б</v>
      </c>
      <c r="HG21" t="str" cm="1">
        <f t="array" ref="HG21">IF(HF21="","",_xlfn.LET(_xlpm.nd,_xlfn.TEXTSPLIT(HF21,"|"),IF(COLUMNS(_xlpm.nd)&gt;1,A21&amp;"¦"&amp;INDEX(_xlpm.nd,1)&amp;"¦"&amp;INDEX(_xlpm.nd,2),"")))</f>
        <v>ГРЩ-ЖД¦QF19¦кабель 5хВВГнг(А)-LS  (1х95) → Щит профкухни ЩС-ПК Цокольный этаж этаж Пом. №0.0014Б</v>
      </c>
      <c r="HH21" t="str">
        <f t="shared" si="101"/>
        <v>ЩР-ПК¦Щит профкухни ЩС-ПК Цокольный этаж этаж Пом. №0.0014Б</v>
      </c>
      <c r="HI21" t="str" cm="1">
        <f t="array" ref="HI21">IF(HF21="","",_xlfn.LET(_xlpm.nd,_xlfn.TEXTSPLIT(HF21,"|"),IF(COLUMNS(_xlpm.nd)&gt;2,A21&amp;"¦"&amp;INDEX(_xlpm.nd,2)&amp;"¦"&amp;INDEX(_xlpm.nd,3),"")))</f>
        <v/>
      </c>
      <c r="HJ21" t="str">
        <f t="shared" si="102"/>
        <v/>
      </c>
      <c r="HK21" t="str" cm="1">
        <f t="array" ref="HK21">IF(HF21="","",_xlfn.LET(_xlpm.nd,_xlfn.TEXTSPLIT(HF21,"|"),IF(COLUMNS(_xlpm.nd)&gt;3,A21&amp;"¦"&amp;INDEX(_xlpm.nd,3)&amp;"¦"&amp;INDEX(_xlpm.nd,4),"")))</f>
        <v/>
      </c>
      <c r="HL21" t="str">
        <f t="shared" si="103"/>
        <v/>
      </c>
      <c r="HM21" t="str" cm="1">
        <f t="array" ref="HM21">IF(HF21="","",_xlfn.LET(_xlpm.nd,_xlfn.TEXTSPLIT(HF21,"|"),IF(COLUMNS(_xlpm.nd)&gt;4,A21&amp;"¦"&amp;INDEX(_xlpm.nd,4)&amp;"¦"&amp;INDEX(_xlpm.nd,5),"")))</f>
        <v/>
      </c>
      <c r="HN21" t="str">
        <f t="shared" si="104"/>
        <v/>
      </c>
      <c r="HO21" t="str" cm="1">
        <f t="array" ref="HO21">IF(HF21="","",_xlfn.LET(_xlpm.nd,_xlfn.TEXTSPLIT(HF21,"|"),IF(COLUMNS(_xlpm.nd)&gt;5,A21&amp;"¦"&amp;INDEX(_xlpm.nd,5)&amp;"¦"&amp;INDEX(_xlpm.nd,6),"")))</f>
        <v/>
      </c>
      <c r="HP21" t="str">
        <f t="shared" si="105"/>
        <v/>
      </c>
      <c r="HQ21" t="str" cm="1">
        <f t="array" ref="HQ21">IF(HF21="","",_xlfn.LET(_xlpm.nd,_xlfn.TEXTSPLIT(HF21,"|"),IF(COLUMNS(_xlpm.nd)&gt;6,A21&amp;"¦"&amp;INDEX(_xlpm.nd,6)&amp;"¦"&amp;INDEX(_xlpm.nd,7),"")))</f>
        <v/>
      </c>
      <c r="HR21" t="str">
        <f t="shared" si="106"/>
        <v/>
      </c>
      <c r="HS21" t="str">
        <f t="shared" si="107"/>
        <v/>
      </c>
      <c r="HT21" t="str">
        <f t="shared" si="108"/>
        <v>QF19</v>
      </c>
      <c r="HU21">
        <f t="shared" si="109"/>
        <v>0</v>
      </c>
      <c r="HV21">
        <f t="shared" si="110"/>
        <v>0</v>
      </c>
      <c r="HW21" t="str">
        <f t="shared" si="111"/>
        <v/>
      </c>
      <c r="HX21" t="str">
        <f t="shared" si="112"/>
        <v/>
      </c>
      <c r="HY21" t="str">
        <f t="shared" si="113"/>
        <v/>
      </c>
      <c r="HZ21" t="str">
        <f t="shared" si="114"/>
        <v/>
      </c>
      <c r="IA21">
        <f>IF(B21="","",IFERROR(VLOOKUP(B21,УГО_спр,2,FALSE),IFERROR(VLOOKUP(AX21,УГО_спр,2,FALSE),IFERROR(VLOOKUP(LEFT(AX21,2),УГО_спр,2,FALSE),""))))</f>
        <v>0</v>
      </c>
      <c r="IB21" t="str">
        <f>IF(B21="","",IF(OR(IA21="",IA21=0),"BOX",IFERROR(IF(VLOOKUP(IA21,УГО_блоки,3,FALSE)&amp;""&lt;&gt;"",VLOOKUP(IA21,УГО_блоки,3,FALSE),VLOOKUP(IA21,УГО_блоки,2,FALSE)),IA21)))</f>
        <v>BOX</v>
      </c>
      <c r="IC21">
        <f t="shared" si="115"/>
        <v>1</v>
      </c>
      <c r="ID21">
        <f>IF(DA21="","",IF(COUNTIF(DA$3:DA21,DA21)=1,MAX(ID$2:ID20)+1,""))</f>
        <v>13</v>
      </c>
      <c r="IE21" t="str">
        <f>IF(CO21="","",IF(COUNTIF(CO$3:CO21,CO21)+COUNTIF(CP$2:CP20,CO21)+COUNTIF(CQ$2:CQ20,CO21)=1,MAX(IE$2:IG20)+1,""))</f>
        <v/>
      </c>
      <c r="IF21" t="str">
        <f>IF(CP21="","",IF(COUNTIF(CO$3:CO21,CP21)+COUNTIF(CP$3:CP21,CP21)+COUNTIF(CQ$2:CQ20,CP21)=1,MAX(IE$2:IG20,IE21)+1,""))</f>
        <v/>
      </c>
      <c r="IG21" t="str">
        <f>IF(CQ21="","",IF(COUNTIF(CO$3:CO21,CQ21)+COUNTIF(CP$3:CP21,CQ21)+COUNTIF(CQ$3:CQ21,CQ21)=1,MAX(IE$2:IG20,IE21,IF21)+1,""))</f>
        <v/>
      </c>
      <c r="IH21" t="str">
        <f t="shared" si="116"/>
        <v>1х95</v>
      </c>
      <c r="II21">
        <f>IF(IH21="","",IF(COUNTIF(IH$3:IH21,IH21)=1,MAX(II$2:II20)+1,""))</f>
        <v>8</v>
      </c>
      <c r="IJ21" t="str">
        <f>IF(GL21="","",COUNTIF(GL$3:GL21,"?*"))</f>
        <v/>
      </c>
      <c r="IK21" t="str">
        <f>IF(OR(GL21="",GN21=""),"",IF(COUNTIFS(GL$3:GL21,"?*",GN$3:GN21,GN21)=1,MAX(IK$2:IK20)+1,""))</f>
        <v/>
      </c>
      <c r="IL21">
        <f t="shared" si="117"/>
        <v>0</v>
      </c>
      <c r="IM21">
        <f>IF(B21="","",COUNTIF(B$3:B21,"?*"))</f>
        <v>19</v>
      </c>
      <c r="IN21">
        <f>IF(GQ21&lt;&gt;1,0,_xlfn.LET(_xlpm.k,MAX(IFERROR(--VLOOKUP(B21,УГО_спр,5,FALSE),0),IFERROR(--VLOOKUP(AX21,УГО_спр,5,FALSE),0),IFERROR(--VLOOKUP(LEFT(AX21,2),УГО_спр,5,FALSE),0)),IF(_xlpm.k&gt;0,_xlpm.k,IF(IFERROR(--LEFT(SUBSTITUTE(IH21,"x","х"),FIND("х",SUBSTITUTE(IH21,"x","х"))-1),3)&gt;3,Каталог!$S$9,1))))</f>
        <v>1</v>
      </c>
      <c r="IO21">
        <f t="shared" si="118"/>
        <v>0</v>
      </c>
      <c r="IP21" t="str">
        <f t="shared" si="119"/>
        <v>авто</v>
      </c>
      <c r="IQ21" t="str">
        <f t="shared" si="120"/>
        <v/>
      </c>
      <c r="IR21">
        <f t="shared" si="121"/>
        <v>0</v>
      </c>
      <c r="IS21">
        <f t="shared" si="122"/>
        <v>1</v>
      </c>
    </row>
    <row r="22" spans="1:253" x14ac:dyDescent="0.3">
      <c r="A22" t="s">
        <v>785</v>
      </c>
      <c r="B22" t="s">
        <v>777</v>
      </c>
      <c r="C22" t="s">
        <v>776</v>
      </c>
      <c r="D22">
        <v>1</v>
      </c>
      <c r="E22">
        <v>38</v>
      </c>
      <c r="G22">
        <v>63</v>
      </c>
      <c r="H22" t="str">
        <f>Линии[[#This Row],[_авто утечка]]</f>
        <v/>
      </c>
      <c r="I22" t="str">
        <f>Линии[[#This Row],[_авто управление]]</f>
        <v/>
      </c>
      <c r="J22" t="str">
        <f>Линии[[#This Row],[_авто аппараты]]</f>
        <v/>
      </c>
      <c r="K22">
        <v>16</v>
      </c>
      <c r="L22">
        <v>59</v>
      </c>
      <c r="M22" t="str">
        <f>Линии[[#This Row],[_авто фаза]]</f>
        <v>L1,L2,L3</v>
      </c>
      <c r="N22" t="str">
        <f>Линии[[#This Row],[_авто клемма]]</f>
        <v>XT17</v>
      </c>
      <c r="O22" t="str">
        <f t="shared" si="0"/>
        <v>ПЕРЕГРУЗ</v>
      </c>
      <c r="P22" s="6" cm="1">
        <f t="array" ref="P22">IF(B22="","",IF(BC22&lt;&gt;"",IFERROR(_xlfn.XLOOKUP(BC22,Щиты[Щит],Щиты[Iр, А]),""),IF(BK22=1,IFERROR(_xlfn.XLOOKUP(A22,Щиты[Щит],Щиты[Iр, А]),""),IFERROR(_xlfn.IFS(BR22=1,BN22/((Uн_лин/SQRT(3))*BY22),BR22=3,BN22/(SQRT(3)*Uн_лин*BY22)),""))))</f>
        <v>68.560344466268063</v>
      </c>
      <c r="Q22" s="7">
        <f>IF(B22="","",IFERROR(IF(VLOOKUP(AX22,Потребители_обозначение,4,FALSE)=1,VLOOKUP(AX22,Потребители_обозначение,3,FALSE)*(D22*2-1)+DS22+VLOOKUP(AZ22,Этаж_обозначение,3,FALSE)+VLOOKUP(AZ22,Этаж_обозначение,4,FALSE),VLOOKUP(AX22,Потребители_обозначение,3,FALSE)*(D22*2-1)+DS22),DS22))</f>
        <v>59</v>
      </c>
      <c r="R22" s="6">
        <f t="shared" si="1"/>
        <v>2.0499999999999998</v>
      </c>
      <c r="S22" t="str">
        <f t="shared" si="2"/>
        <v>ВВГнг(А)-LS (5х16)</v>
      </c>
      <c r="T22" t="str">
        <f>IF(BH22="","",IF(BI22="вводной узел","узел ","")&amp;"л."&amp;(INT((BH22-1)/Столбцов_на_лист)+1)&amp;" / "&amp;(MOD(BH22-1,Столбцов_на_лист)+1))</f>
        <v>л.4 / 1</v>
      </c>
      <c r="V22">
        <v>3</v>
      </c>
      <c r="W22">
        <v>400</v>
      </c>
      <c r="X22" t="s">
        <v>600</v>
      </c>
      <c r="Y22">
        <v>0.4</v>
      </c>
      <c r="AA22">
        <v>1</v>
      </c>
      <c r="AC22" t="s">
        <v>862</v>
      </c>
      <c r="AE22" t="s">
        <v>602</v>
      </c>
      <c r="AI22">
        <v>52</v>
      </c>
      <c r="AJ22" t="s">
        <v>11</v>
      </c>
      <c r="AK22">
        <v>5</v>
      </c>
      <c r="AM22">
        <v>33</v>
      </c>
      <c r="AN22">
        <v>21</v>
      </c>
      <c r="AW22" cm="1">
        <f t="array" ref="AW22">ROW()-ROW(Линии[#Headers])</f>
        <v>20</v>
      </c>
      <c r="AX22" s="6" t="str">
        <f t="shared" si="3"/>
        <v>РЩ-1</v>
      </c>
      <c r="AY22" t="str">
        <f t="shared" si="4"/>
        <v/>
      </c>
      <c r="AZ22" t="str">
        <f t="shared" si="5"/>
        <v/>
      </c>
      <c r="BA22" t="str">
        <f t="shared" si="6"/>
        <v/>
      </c>
      <c r="BB22" t="str">
        <f t="shared" si="7"/>
        <v/>
      </c>
      <c r="BC22" t="str">
        <f>IF(U22&lt;&gt;"",U22,IF(AND(B22&lt;&gt;"",B22&lt;&gt;A22,ISNUMBER(_xlfn.XMATCH(B22,Щиты[Щит]))),B22,""))</f>
        <v/>
      </c>
      <c r="BD22" t="str" cm="1">
        <f t="array" ref="BD22">IF(B22="","",IF(BC22&lt;&gt;"","Щит "&amp;BC22,_xlfn.LET(_xlpm.nm,IFERROR(_xlfn.XLOOKUP(AX22,Коды_код,Коды_имя)&amp;"",""),_xlpm.md,IFERROR(N(_xlfn.XLOOKUP(AX22,Коды_код,Коды_режим)),1),_xlpm.ex,IF(Имя_режим="по экспликации",IFERROR(_xlfn.XLOOKUP(AZ22&amp;"|"&amp;BB22,Экспликация[Этаж]&amp;"|"&amp;Экспликация[Помещение],Экспликация[Название])&amp;"",""),""),_xlpm.rm,IF(BB22="","",IF(_xlpm.ex&lt;&gt;"",". "&amp;_xlpm.ex&amp;IF(Имя_пом="нет"," ("&amp;BB22&amp;")"," (пом. "&amp;BB22&amp;")"),IF(Имя_пом="нет"," ",", пом. ")&amp;BB22)),IF(_xlpm.nm="","",IF(_xlpm.md=2,_xlpm.nm&amp;" шлейф "&amp;AZ22,_xlpm.nm&amp;_xlpm.rm)))))</f>
        <v/>
      </c>
      <c r="BE22" t="str">
        <f t="shared" si="8"/>
        <v>Щит Хаммам РЩ-1  Подвальный этаж этаж Пом. №00.001Тб</v>
      </c>
      <c r="BF22">
        <f>IFERROR(_xlfn.XMATCH(A22,Щиты[Щит]),0)</f>
        <v>1</v>
      </c>
      <c r="BG22">
        <f>_xlfn.LET(_xlpm.k,IFERROR(_xlfn.XLOOKUP(A22,Щиты[Щит],Щиты[Листов под вводной узел]),""),IF(_xlpm.k="",1,N(_xlpm.k))*Столбцов_на_лист)</f>
        <v>17</v>
      </c>
      <c r="BH22">
        <f t="shared" si="9"/>
        <v>52</v>
      </c>
      <c r="BI22" t="str">
        <f t="shared" si="10"/>
        <v>линии</v>
      </c>
      <c r="BJ22" s="6">
        <f>IFERROR(N(_xlfn.XLOOKUP(AX22,Коды_код,Коды_квт)),0)</f>
        <v>0</v>
      </c>
      <c r="BK22">
        <f t="shared" si="11"/>
        <v>0</v>
      </c>
      <c r="BL22" t="str">
        <f>IF(B22="","",IF(BC22&lt;&gt;"",IFERROR(_xlfn.XLOOKUP(BC22,Щиты[Щит],Щиты[Руст, кВт]),0),IF(BK22=1,IFERROR(_xlfn.XLOOKUP(A22,Щиты[Щит],Щиты[Руст, кВт]),0),IF(BJ22&gt;0,ROUND(BJ22*MAX(1,N(D22)),3),""))))</f>
        <v/>
      </c>
      <c r="BM22">
        <f t="shared" si="12"/>
        <v>38</v>
      </c>
      <c r="BN22" s="6">
        <f>IF(B22="","",IF(BC22&lt;&gt;"",IFERROR(_xlfn.XLOOKUP(BC22,Щиты[Щит],Щиты[Руст, кВт]),0),N(BM22)))</f>
        <v>38</v>
      </c>
      <c r="BO22" t="str">
        <f>IF(B22="","",IFERROR(IF(VLOOKUP(AX22,Потребители_обозначение,8,FALSE)=0,"",VLOOKUP(AX22,Потребители_обозначение,8,FALSE)),""))</f>
        <v/>
      </c>
      <c r="BP22">
        <f t="shared" si="13"/>
        <v>400</v>
      </c>
      <c r="BQ22">
        <f>IF(B22="","",IF(BC22&lt;&gt;"",3,IFERROR(IF(N(VLOOKUP(AX22,Потребители_обозначение,9,FALSE))=0,1,VLOOKUP(AX22,Потребители_обозначение,9,FALSE)),1)))</f>
        <v>1</v>
      </c>
      <c r="BR22">
        <f t="shared" si="14"/>
        <v>3</v>
      </c>
      <c r="BS22" t="str">
        <f>IF(B22="","",_xlfn.LET(_xlpm.bc,IFERROR(IF(VLOOKUP(AX22,Потребители_обозначение,6,FALSE)=0,"",VLOOKUP(AX22,Потребители_обозначение,6,FALSE)&amp;""),""),IF(AND(FK22="да",OR(_xlpm.bc="",_xlpm.bc="мс")),Марка_пож,IF(AND(_xlpm.bc="",BC22&lt;&gt;""),"мс",_xlpm.bc))))</f>
        <v/>
      </c>
      <c r="BT22" t="str">
        <f t="shared" si="15"/>
        <v>мс</v>
      </c>
      <c r="BU22">
        <f>IF(B22="","",_xlfn.LET(_xlpm.cc,IFERROR(N(VLOOKUP(AX22,Потребители_обозначение,7,FALSE)),0),IF(_xlpm.cc&gt;0,_xlpm.cc,IF(BT22="","",IF(N(BR22)=3,5,3)))))</f>
        <v>5</v>
      </c>
      <c r="BV22">
        <f t="shared" si="16"/>
        <v>5</v>
      </c>
      <c r="BW22">
        <f>IFERROR(N(VLOOKUP(AX22,Потребители_обозначение,10,FALSE)),0)</f>
        <v>0</v>
      </c>
      <c r="BX22">
        <f>IFERROR(VLOOKUP(AX22,Потребители_обозначение,5,FALSE),0)</f>
        <v>0</v>
      </c>
      <c r="BY22" s="6" cm="1">
        <f t="array" ref="BY22">IF(B22="","",IF(BC22&lt;&gt;"",IFERROR(_xlfn.XLOOKUP(BC22,Щиты[Щит],Щиты[cos φ]),0.95),IF(BK22=1,IFERROR(_xlfn.XLOOKUP(A22,Щиты[Щит],Щиты[cos φ]),0.95),IF(ISNUMBER(Z22),Z22,IFERROR(IF(BX22=2,_xlfn.IFS(BR22=3,VLOOKUP(BN22,Справочная_двигатели,8,FALSE),BR22=1,VLOOKUP(BN22,Справочная_двигатели,10,TRUE)),IF(AND(Методика="нормы 2026",EQ22="Сил"),0.8,0.95)),0.95)))))</f>
        <v>0.8</v>
      </c>
      <c r="BZ22">
        <f t="shared" si="17"/>
        <v>0</v>
      </c>
      <c r="CA22">
        <f t="shared" si="18"/>
        <v>1</v>
      </c>
      <c r="CB22">
        <f t="shared" si="19"/>
        <v>0</v>
      </c>
      <c r="CC22">
        <f t="shared" si="20"/>
        <v>0</v>
      </c>
      <c r="CD22">
        <f t="shared" si="21"/>
        <v>0</v>
      </c>
      <c r="CE22">
        <f t="shared" si="22"/>
        <v>0</v>
      </c>
      <c r="CF22">
        <f t="shared" si="23"/>
        <v>0</v>
      </c>
      <c r="CG22">
        <f>IF(AX22="",0,_xlfn.LET(_xlpm.v,IFERROR(VLOOKUP(B22,УГО_спр,3,FALSE),IFERROR(VLOOKUP(AX22,УГО_спр,3,FALSE),IFERROR(VLOOKUP(LEFT(AX22,2),УГО_спр,3,FALSE),""))),IF(_xlpm.v="да",30,IF(ISNUMBER(_xlpm.v),_xlpm.v,0))))</f>
        <v>0</v>
      </c>
      <c r="CH22" t="str">
        <f t="shared" si="24"/>
        <v/>
      </c>
      <c r="CI22" t="str">
        <f>_xlfn.LET(_xlpm.k,IFERROR(_xlfn.XLOOKUP(AX22,Коды_код,Коды_утечка)&amp;"",""),IF(_xlpm.k="","дифавтомат",_xlpm.k))</f>
        <v>дифавтомат</v>
      </c>
      <c r="CJ22">
        <f t="shared" si="25"/>
        <v>0</v>
      </c>
      <c r="CK22">
        <f t="shared" si="26"/>
        <v>0</v>
      </c>
      <c r="CL22">
        <f>IF(B22="",0,IFERROR(--VLOOKUP(B22,УГО_спр,4,FALSE),IFERROR(--VLOOKUP(AX22,УГО_спр,4,FALSE),IFERROR(--VLOOKUP(LEFT(AX22,2),УГО_спр,4,FALSE),0))))</f>
        <v>0</v>
      </c>
      <c r="CM22" t="str">
        <f>IF(B22="","",IFERROR(_xlfn.XLOOKUP(AX22,Коды_код,Коды_апп)&amp;"",""))</f>
        <v/>
      </c>
      <c r="CN22" t="str">
        <f t="shared" si="27"/>
        <v/>
      </c>
      <c r="CO22" t="str" cm="1">
        <f t="array" ref="CO22">IF(TRIM(CN22&amp;"")="","",IFERROR(TRIM(INDEX(_xlfn.TEXTSPLIT(CN22&amp;";;;",";"),1)),""))</f>
        <v/>
      </c>
      <c r="CP22" t="str" cm="1">
        <f t="array" ref="CP22">IF(TRIM(CN22&amp;"")="","",IFERROR(TRIM(INDEX(_xlfn.TEXTSPLIT(CN22&amp;";;;",";"),2)),""))</f>
        <v/>
      </c>
      <c r="CQ22" t="str" cm="1">
        <f t="array" ref="CQ22">IF(TRIM(CN22&amp;"")="","",IFERROR(TRIM(INDEX(_xlfn.TEXTSPLIT(CN22&amp;";;;",";"),3)),""))</f>
        <v/>
      </c>
      <c r="CR22">
        <f t="shared" si="28"/>
        <v>0</v>
      </c>
      <c r="CS22" t="str">
        <f>IF(B22="","",_xlfn.LET(_xlpm.t,LOWER(AV22&amp;""),IF(ISNUMBER(SEARCH("dim",_xlpm.t)),"DIM",IF(ISNUMBER(SEARCH("dali",_xlpm.t)),"DALI",IF(OR(ISNUMBER(SEARCH("relay",_xlpm.t)),ISNUMBER(SEARCH("реле",_xlpm.t))),"Relay",IF(ISNUMBER(SEARCH("кнопк",_xlpm.t)),"",IFERROR(_xlfn.XLOOKUP(AX22,Коды_код,Коды_упр)&amp;"","")))))))</f>
        <v/>
      </c>
      <c r="CT22" t="str">
        <f t="shared" si="29"/>
        <v/>
      </c>
      <c r="CU22">
        <f>IF(B22="","",_xlfn.LET(_xlpm.ig,N(P22)+IF(AF22="вручную",0,N(CB22)),_xlpm.n0,IFERROR(VLOOKUP(_xlpm.ig,Автомат_номиналы,2,TRUE),0),_xlpm.mn,MAX(CL22,IF(AF22="вручную",0,N(CE22))),MAX(_xlpm.n0,_xlpm.mn,IF(CR22=1,Мин_автомат_БП,0))))</f>
        <v>80</v>
      </c>
      <c r="CV22">
        <f t="shared" si="30"/>
        <v>3</v>
      </c>
      <c r="CW22" t="str">
        <f t="shared" si="31"/>
        <v>3P</v>
      </c>
      <c r="CX22" t="str">
        <f>_xlfn.LET(_xlpm.cc,UPPER(TRIM(IFERROR(_xlfn.XLOOKUP(AX22,Коды_код,Коды_хар)&amp;"",""))),IF(OR(_xlpm.cc="B",_xlpm.cc="В"),"B",IF(_xlpm.cc="D","D","С")))</f>
        <v>С</v>
      </c>
      <c r="CY22" t="str">
        <f t="shared" si="32"/>
        <v>3P С80А</v>
      </c>
      <c r="CZ22">
        <f t="shared" si="33"/>
        <v>63</v>
      </c>
      <c r="DA22" t="str">
        <f t="shared" si="34"/>
        <v>3P С63А</v>
      </c>
      <c r="DB22" cm="1">
        <f t="array" ref="DB22">IF(DA22="","",_xlfn.LET(_xlpm.t,SUBSTITUTE(SUBSTITUTE(SUBSTITUTE(UPPER(DA22),"С","C"),"А","A"),"В","B"),_xlpm.tk,_xlfn.TEXTSPLIT(_xlpm.t,"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22" t="str">
        <f t="shared" si="35"/>
        <v>ok</v>
      </c>
      <c r="DD22">
        <f t="shared" si="36"/>
        <v>63</v>
      </c>
      <c r="DE22" t="str">
        <f t="shared" si="37"/>
        <v>3P С63А</v>
      </c>
      <c r="DF22">
        <f t="shared" si="38"/>
        <v>0</v>
      </c>
      <c r="DG22">
        <f t="shared" si="39"/>
        <v>0</v>
      </c>
      <c r="DH22">
        <f t="shared" si="40"/>
        <v>0</v>
      </c>
      <c r="DI22">
        <f t="shared" si="41"/>
        <v>68.560344466268063</v>
      </c>
      <c r="DJ22">
        <f t="shared" si="42"/>
        <v>0.92</v>
      </c>
      <c r="DK22">
        <f>IF(ISNUMBER(AL22),AL22,К_прокл)</f>
        <v>1</v>
      </c>
      <c r="DL22">
        <f t="shared" si="43"/>
        <v>3</v>
      </c>
      <c r="DM22">
        <f>IFERROR(N(VLOOKUP(BT22,Кабель_обозначение,3,FALSE)),1)</f>
        <v>1</v>
      </c>
      <c r="DN22">
        <f>IFERROR(N(_xlfn.XLOOKUP(A22,Щиты[Щит],Щиты[ΔU до шин, %])),0)</f>
        <v>0</v>
      </c>
      <c r="DO22" t="str">
        <f>IFERROR(_xlfn.XLOOKUP(A22,Щиты[Щит],Щиты[Zпетли на шинах, Ом]),"")</f>
        <v/>
      </c>
      <c r="DP22">
        <f>IFERROR(N(_xlfn.XLOOKUP(A22,Щиты[Щит],Щиты[ΔU до шин (подбор), %])),0)</f>
        <v>0</v>
      </c>
      <c r="DQ22" t="str">
        <f>IFERROR(_xlfn.XLOOKUP(A22,Щиты[Щит],Щиты[Zпетли на шинах (подбор), Ом]),"")</f>
        <v/>
      </c>
      <c r="DR22" t="str">
        <f t="shared" si="44"/>
        <v/>
      </c>
      <c r="DS22">
        <f t="shared" si="45"/>
        <v>59</v>
      </c>
      <c r="DT22">
        <f t="shared" si="46"/>
        <v>1</v>
      </c>
      <c r="DU22">
        <f t="shared" si="47"/>
        <v>0.6</v>
      </c>
      <c r="DV22" s="6">
        <f>IF(B22="","",IF(IFERROR(VLOOKUP(AX22,УГО_спр,2,FALSE),"")="Светильник",3,4)+IF(Методика="нормы 2026",MIN(0.5,MAX(0,N(Q22)-100)*0.005),0))</f>
        <v>4</v>
      </c>
      <c r="DW22" cm="1">
        <f t="array" ref="DW22">IF(OR(B22="",BT22="",DM22&lt;&gt;1),"",_xlfn.LET(_xlpm.sz,Iдоп_S,_xlpm.t_,CHOOSE(DL22,Iдоп_1ж,Iдоп_2ж,Iдоп_3ж)*DJ22*DK22,_xlpm.inn,N(DD22),_xlpm.smin,MAX(1.5,BW22),_xlpm.L_,N(Q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22)*(_xlpm.rho*_xlpm.L_/_xlpm.sz*N(BY22)+_xlpm.xx*_xlpm.L_*N(DU22)/1000)*N(P22)/((Uн_лин/SQRT(3))*1000)*100,999),_xlpm.kz,IF(OR(DG22=1,NOT(ISNUMBER(DQ22)),_xlpm.L_=0,_xlpm.inn=0),1,IFERROR(--(c_min*(Uн_лин*1000/SQRT(3))/(DQ22+2*ρкз_Cu*_xlpm.L_/_xlpm.sz)&gt;=GY22*_xlpm.inn),0)),_xlpm.ok,IFERROR((_xlpm.sz&gt;=_xlpm.smin)*(_xlpm.t_&gt;=_xlpm.inn)*IF(_xlpm.L_&gt;0,(_xlpm.du_+DP22&lt;=DV22+0.00001),1)*_xlpm.kz,0),_xlpm.r_,_xlfn._xlws.FILTER(_xlpm.sz,_xlpm.ok,"не подобрано"),INDEX(_xlpm.r_,1)))</f>
        <v>16</v>
      </c>
      <c r="DX22">
        <f t="shared" si="48"/>
        <v>16</v>
      </c>
      <c r="DY22" cm="1">
        <f t="array" ref="DY22">IF(OR(B22="",BT22="",DM22&lt;&gt;1),"",_xlfn.LET(_xlpm.sz,Iдоп_S,_xlpm.t_,CHOOSE(DL22,Iдоп_1ж,Iдоп_2ж,Iдоп_3ж)*DJ22*DK22,_xlpm.ok,IFERROR((_xlpm.sz&gt;=MAX(1.5,BW22))*(_xlpm.t_&gt;=N(DD22)),0),_xlpm.r_,_xlfn._xlws.FILTER(_xlpm.sz,_xlpm.ok,""),INDEX(_xlpm.r_,1)))</f>
        <v>16</v>
      </c>
      <c r="DZ22" s="6" cm="1">
        <f t="array" ref="DZ22">IFERROR(ROUNDUP(N(DT22)*(_xlfn.XLOOKUP(DY22,INDEX(Кабель_сопротивление,0,1),INDEX(Кабель_сопротивление,0,3))*N(Q22)/DY22*N(BY22)+_xlfn.XLOOKUP(DY22,INDEX(Кабель_сопротивление,0,1),INDEX(Кабель_сопротивление,0,2))*N(Q22)*N(DU22)/1000)*N(P22)/((Uн_лин/SQRT(3))*1000)*100,2),"")</f>
        <v>2.0499999999999998</v>
      </c>
      <c r="EA22">
        <f>IFERROR(2*ρкз_Cu*N(Q22)/DY22,"")</f>
        <v>0.19396250000000001</v>
      </c>
      <c r="EB22">
        <f>IFERROR(VLOOKUP(DX22,Кабель_сопротивление,3,FALSE),"")</f>
        <v>2.2499999999999999E-2</v>
      </c>
      <c r="EC22">
        <f>IFERROR(VLOOKUP(DX22,Кабель_сопротивление,2,FALSE),"")</f>
        <v>6.7500000000000004E-2</v>
      </c>
      <c r="ED22">
        <f t="shared" si="49"/>
        <v>21</v>
      </c>
      <c r="EE22" t="str">
        <f t="shared" si="50"/>
        <v/>
      </c>
      <c r="EF22">
        <f t="shared" si="51"/>
        <v>4.714517807050691</v>
      </c>
      <c r="EG22" s="6">
        <f>IFERROR(ROUNDUP(EF22/((Uн_лин/SQRT(3))*1000)*100,2),"")</f>
        <v>2.0499999999999998</v>
      </c>
      <c r="EH22" t="str">
        <f>IFERROR(VLOOKUP(BT22,Кабель_обозначение,2,FALSE),"")</f>
        <v>ВВГнг(А)-LS</v>
      </c>
      <c r="EI22" t="str">
        <f t="shared" si="52"/>
        <v>ВВГнг(А)-LS (5х16)</v>
      </c>
      <c r="EJ22" t="str">
        <f t="shared" si="53"/>
        <v>ВВГнг(А)-LS (5х16)
L=59-2,05%</v>
      </c>
      <c r="EK22">
        <f>IFERROR(2*ρкз_Cu*Q22/DX22,"")</f>
        <v>0.19396250000000001</v>
      </c>
      <c r="EL22">
        <f t="shared" si="54"/>
        <v>6.4531250000000012E-2</v>
      </c>
      <c r="EM22" s="6" t="str">
        <f>IFERROR(IF(OR(B22="",NOT(ISNUMBER(DX22)),N(Q22)=0),"",_xlfn.XLOOKUP(A22,Щиты[Щит],Щиты[Zпетли на шинах, Ом])+EK22),"")</f>
        <v/>
      </c>
      <c r="EN22" s="6" t="str">
        <f>IF(ISNUMBER(EM22),c_min*(Uн_лин*1000/SQRT(3))/EM22,"")</f>
        <v/>
      </c>
      <c r="EO22" s="6" t="str">
        <f>IFERROR(IF(OR(B22="",NOT(ISNUMBER(DX22))),"",1.05*(Uн_лин*1000/SQRT(3))/(_xlfn.XLOOKUP(A22,Щиты[Щит],Щиты[Zmax на шинах, Ом])+EL22)/1000),"")</f>
        <v/>
      </c>
      <c r="EP22" s="6" t="str">
        <f>IF(B22="","",IF(ISNUMBER(Y22),"Сил",IF(IFERROR(_xlfn.XLOOKUP(AX22,Коды_код,Коды_группа)&amp;"","")="","Быт",_xlfn.XLOOKUP(AX22,Коды_код,Коды_группа)&amp;"")))</f>
        <v>Сил</v>
      </c>
      <c r="EQ22" s="6" t="str">
        <f t="shared" si="55"/>
        <v>Сил</v>
      </c>
      <c r="ER22" s="6">
        <f>IF(EQ22="Щит","щит",IF(EQ22="","",IF(EQ22="Быт",IFERROR(_xlfn.XLOOKUP(A22,Щиты[Щит],Щиты[Кс быт]),1),IF(EQ22="Сил",IF(ISNUMBER(Y22),Y22,IF(Методика="нормы 2026",IFERROR(_xlfn.XLOOKUP(A22,Щиты[Щит],Щиты[Кс силовых (табл. 7.5)]),1),1)),IF(OR(EQ22="Пост",EQ22="Отоп"),1,IF(EQ22="ВНГ",0.7,0))))))</f>
        <v>0.4</v>
      </c>
      <c r="ES22">
        <f t="shared" si="56"/>
        <v>1</v>
      </c>
      <c r="ET22">
        <f t="shared" si="57"/>
        <v>38</v>
      </c>
      <c r="EU22">
        <f t="shared" si="58"/>
        <v>0</v>
      </c>
      <c r="EV22">
        <f t="shared" si="59"/>
        <v>15.200000000000001</v>
      </c>
      <c r="EW22">
        <f t="shared" si="60"/>
        <v>0</v>
      </c>
      <c r="EX22">
        <f t="shared" si="61"/>
        <v>0</v>
      </c>
      <c r="EY22">
        <f t="shared" si="62"/>
        <v>0</v>
      </c>
      <c r="EZ22">
        <f t="shared" si="63"/>
        <v>38</v>
      </c>
      <c r="FA22">
        <f t="shared" si="64"/>
        <v>30.400000000000002</v>
      </c>
      <c r="FB22">
        <f t="shared" si="65"/>
        <v>38</v>
      </c>
      <c r="FC22" t="str">
        <f t="shared" si="66"/>
        <v/>
      </c>
      <c r="FD22" t="str">
        <f>IF(B22="","",IF(CA22=0,IF(AW22=1,"",FF21),IF(OR(N(CV22)&gt;=3,N(BR22)&gt;=3),"L1,L2,L3",IFERROR(_xlfn.TEXTBEFORE(_xlfn.TEXTAFTER(_xlfn.XLOOKUP(A22,Щиты[Щит],Щиты[_фазы авто]),";"&amp;AW22&amp;":"),";"),"L1"))))</f>
        <v>L1,L2,L3</v>
      </c>
      <c r="FE22" t="str">
        <f t="shared" si="67"/>
        <v>L1,L2,L3</v>
      </c>
      <c r="FF22" t="str">
        <f t="shared" si="68"/>
        <v>L1,L2,L3</v>
      </c>
      <c r="FG22" cm="1">
        <f t="array" ref="FG22">IFERROR(IF(BX22=2,_xlfn.IFS(BR22=3,VLOOKUP(BN22,Справочная_двигатели,3,FALSE),BR22=1,VLOOKUP(BN22,Справочная_двигатели,5,TRUE)),0),0)</f>
        <v>0</v>
      </c>
      <c r="FH22">
        <f>IFERROR(IF(BX22=3,VLOOKUP(BN22,Справочная_ЛЭД,2,TRUE),0),0)</f>
        <v>0</v>
      </c>
      <c r="FI22" s="6">
        <f t="shared" si="69"/>
        <v>0</v>
      </c>
      <c r="FJ22" t="str" cm="1">
        <f t="array" ref="FJ22">IF(B22="","",IFERROR(INDEX({"I особая","I","II","III"},MATCH(TRIM(AC22&amp;""),{"I особая","I","II","III"},0)),"III"))</f>
        <v>III</v>
      </c>
      <c r="FK22" t="str">
        <f>IF(B22="","",IF(TRIM(AD22&amp;"")&lt;&gt;"",IF(LOWER(TRIM(AD22&amp;""))="да","да","нет"),IF(IFERROR(_xlfn.XLOOKUP(AX22,Коды_код,Коды_пожарная),"")="да","да","нет")))</f>
        <v>нет</v>
      </c>
      <c r="FL22" t="str">
        <f t="shared" si="70"/>
        <v/>
      </c>
      <c r="FM22" t="str">
        <f t="shared" si="71"/>
        <v>основная</v>
      </c>
      <c r="FN22">
        <f t="shared" si="72"/>
        <v>1</v>
      </c>
      <c r="FO22" t="str" cm="1">
        <f t="array" ref="FO22">IF(B22="","",_xlfn.LET(_xlpm.t,IFERROR(_xlfn.XLOOKUP(1,(Шины[Шина]=FM22)*(((Шины[Щит]=A22)+(Шины[Щит]=""))&gt;0),Шины[Тип]),"")&amp;"",IF(_xlpm.t&lt;&gt;"",_xlpm.t,IF(ISNUMBER(SEARCH("ИБП",FM22)),"ИБП",IF(ISNUMBER(SEARCH("ДГУ",FM22)),"ДГУ","Ввод "&amp;FN22)))))</f>
        <v>Ввод 1</v>
      </c>
      <c r="FP22" t="str">
        <f t="shared" si="73"/>
        <v>Ввод 1</v>
      </c>
      <c r="FQ22" t="str">
        <f>IF(B22="","",IF(OR(FO22="ИБП",FO22="ДГУ"),"I особая",IF(FO22="Одиночная","III",_xlfn.XLOOKUP(A22,Щиты[Щит],Щиты[Категория шины «Ввод»],"III"))))</f>
        <v>I</v>
      </c>
      <c r="FR22">
        <f>IF(B22="",0,IFERROR(MATCH(FJ22,{"III","II","I","I особая"},0),1))</f>
        <v>1</v>
      </c>
      <c r="FS22">
        <f t="shared" si="74"/>
        <v>1</v>
      </c>
      <c r="FT22" t="str">
        <f>IF(B22="","",IF(FR22&gt;IFERROR(MATCH(FQ22,{"III","II","I","I особая"},0),1),"НЕ ОБЕСПЕЧЕНА","ОК"))</f>
        <v>ОК</v>
      </c>
      <c r="FU22" t="str">
        <f>IF(A22="","",_xlfn.XLOOKUP(A22,Щиты[Щит],Щиты[Путь],""))</f>
        <v>|ГРЩ-ЖД|</v>
      </c>
      <c r="FV22" t="str">
        <f>IF(B22="","",IF(AE22&lt;&gt;"",AE22,IF(IFERROR(_xlfn.XLOOKUP(AX22,Коды_код,Коды_вид)&amp;"","")="","Прочее",_xlfn.XLOOKUP(AX22,Коды_код,Коды_вид)&amp;"")))</f>
        <v>Бассейн, SPA, хаммам</v>
      </c>
      <c r="FW22">
        <f>IF(BH22="","",INT((BH22-1)/Столбцов_на_лист)+1)</f>
        <v>4</v>
      </c>
      <c r="FX22" t="str">
        <f t="shared" si="75"/>
        <v>ВВГнг(А)-LS (5х16) L=59-2,05%</v>
      </c>
      <c r="FY22">
        <f t="shared" si="76"/>
        <v>38</v>
      </c>
      <c r="FZ22">
        <f t="shared" si="77"/>
        <v>68.570000000000007</v>
      </c>
      <c r="GA22">
        <f t="shared" si="78"/>
        <v>3</v>
      </c>
      <c r="GB22">
        <f t="shared" si="79"/>
        <v>0</v>
      </c>
      <c r="GC22">
        <f t="shared" si="80"/>
        <v>1</v>
      </c>
      <c r="GD22">
        <f>IF(BH22="","",IF(AND(CA22=1,GC22=1),COUNTIFS(A$3:A22,A22,CA$3:CA22,1,GC$3:GC22,1),IF(OR(OR(AW22=1,A22&lt;&gt;A21),AF22="вручную",GC22=0),"",IF(AW22=1,"",GE21))))</f>
        <v>20</v>
      </c>
      <c r="GE22">
        <f t="shared" si="81"/>
        <v>20</v>
      </c>
      <c r="GF22">
        <f>IF(B22="","",IFERROR(LOOKUP(INDEX(CHOOSE(DL22,Iдоп_1ж,Iдоп_2ж,Iдоп_3ж),MATCH(DX22,Iдоп_S,0))*DJ22*DK22,{6,10,16,20,25,32,40,50,63,80,100,125,160,200,250,315,400,500,630}),""))</f>
        <v>63</v>
      </c>
      <c r="GG22" t="str">
        <f t="shared" si="82"/>
        <v>QF20</v>
      </c>
      <c r="GH22" t="str">
        <f t="shared" si="83"/>
        <v>QF20</v>
      </c>
      <c r="GI22" t="str">
        <f t="shared" si="84"/>
        <v/>
      </c>
      <c r="GJ22">
        <f t="shared" si="85"/>
        <v>0</v>
      </c>
      <c r="GK22" t="str">
        <f>IF(OR(AG22="",AG22="-"),"",IFERROR(VLOOKUP(AG22,Модули_спр,2,FALSE),"R"))</f>
        <v/>
      </c>
      <c r="GL22" t="str">
        <f>IF(GK22="","",GK22&amp;"."&amp;COUNTIFS(A$3:A22,A22,GK$3:GK22,GK22))</f>
        <v/>
      </c>
      <c r="GM22" t="str">
        <f t="shared" si="86"/>
        <v/>
      </c>
      <c r="GN22" t="str">
        <f t="shared" si="87"/>
        <v/>
      </c>
      <c r="GO22" t="str">
        <f t="shared" si="88"/>
        <v/>
      </c>
      <c r="GP22" t="str">
        <f t="shared" si="89"/>
        <v/>
      </c>
      <c r="GQ22">
        <f t="shared" si="90"/>
        <v>1</v>
      </c>
      <c r="GR22" t="str">
        <f>IF(GQ22=1,"XT"&amp;COUNTIFS(A$3:A22,A22,GQ$3:GQ22,1),"")</f>
        <v>XT17</v>
      </c>
      <c r="GS22" t="str">
        <f t="shared" si="91"/>
        <v>XT17</v>
      </c>
      <c r="GT22" t="str">
        <f t="shared" si="92"/>
        <v>QF20</v>
      </c>
      <c r="GU22" t="str">
        <f t="shared" si="93"/>
        <v/>
      </c>
      <c r="GV22" t="str">
        <f t="shared" si="94"/>
        <v>ПЕРЕГРУЗ</v>
      </c>
      <c r="GW22" t="str">
        <f>IF(OR(GO22="",GM22=""),"",IF(GO22&gt;IFERROR(VLOOKUP(GN22,Модули_спр,3,FALSE),99),"ЛИШНИЙ КАНАЛ",IF(AND(AH22&lt;&gt;"=",COUNTIFS(Линии[_модуль гр.],GM22,Линии[Канал (итог)],GO22,Линии[Канал],"&lt;&gt;=",Линии[Щит],A22)&gt;1),"ДУБЛЬ КАНАЛА","")))</f>
        <v/>
      </c>
      <c r="GX22" s="6" t="str">
        <f t="shared" si="95"/>
        <v/>
      </c>
      <c r="GY22">
        <f t="shared" si="96"/>
        <v>10</v>
      </c>
      <c r="GZ22" t="str">
        <f t="shared" si="97"/>
        <v/>
      </c>
      <c r="HA22" t="str">
        <f>IF(AND(B22="",GT22=""),"",_xlfn.TEXTJOIN("; ",TRUE,IF(AND(B22&lt;&gt;"",FE22=""),"нет фазы",""),IF(AND(B22&lt;&gt;"",N(FY22)=0,EQ22&lt;&gt;"Нет"),"нет мощности",""),IF(AND(GS22&lt;&gt;"",COUNTIFS(Линии[Щит],A22,Линии[Клемма (итог)],GS22)&gt;1),"дубль клеммы "&amp;GS22,""),IF(AND(GV22&lt;&gt;"",GV22&lt;&gt;"ok"),GV22,""),IF(GW22&lt;&gt;"",GW22,""),IF(AND(N(BV22)&gt;=4,N(BR22)=1),BV22&amp;" жил на 1 фазе",""),IF(AND(AX22="R",CA22=1,OR(N(CK22)=0,N(CK22)&gt;30)),"розетка без дифзащиты до 30 мА",""),IFERROR(IF(AND(ISNUMBER(R22),R22&gt;DV22),"потери "&amp;FIXED(R22,1)&amp;" % &gt; "&amp;DV22&amp;" %",""),""),IFERROR(IF(LEFT(GZ22,4)="мало","Iкз мало — отключение &gt; 0,4 с",""),""),IF(AND(B22&lt;&gt;"",BH22=""),"не на схеме",""),IF(AND(CA22=0,B22&lt;&gt;"",FE22&lt;&gt;"",IF(AW22=1,"",FF21)&lt;&gt;"",FE22&lt;&gt;IF(AW22=1,"",FF21)),"фаза не как у автомата группы ("&amp;IF(AW22=1,"",FF21)&amp;")","")))</f>
        <v>ПЕРЕГРУЗ</v>
      </c>
      <c r="HB22" s="6" t="str">
        <f>IF(OR(CA22=0,DA22=""),"",_xlfn.LET(_xlpm.t,IFERROR(_xlfn.XLOOKUP(DA22,Каталог!$U$4:$U$500,Каталог!$G$4:$G$500),""),_xlpm.k,SEARCH("кА",_xlpm.t),IFERROR(--TRIM(RIGHT(SUBSTITUTE(MID(_xlpm.t,MAX(1,_xlpm.k-4),_xlpm.k-MAX(1,_xlpm.k-4))," ",REPT(" ",9)),5)),"")))</f>
        <v/>
      </c>
      <c r="HC22" t="str">
        <f>IF(OR(HB22="",CA22=0),"",IF(_xlfn.XLOOKUP(A22,Щиты[Щит],Щиты[Iкз max на шинах, кА],"")="","",IF(HB22&lt;_xlfn.XLOOKUP(A22,Щиты[Щит],Щиты[Iкз max на шинах, кА]),"Icu "&amp;HB22&amp;" кА &lt; Iкз max","ok")))</f>
        <v/>
      </c>
      <c r="HD22" t="str">
        <f t="shared" si="98"/>
        <v/>
      </c>
      <c r="HE22" t="str">
        <f t="shared" si="99"/>
        <v>QF20|XT17</v>
      </c>
      <c r="HF22" t="str">
        <f t="shared" si="100"/>
        <v>QF20|XT17|кабель ВВГнг(А)-LS (5х16) → Щит Хаммам РЩ-1  Подвальный этаж этаж Пом. №00.001Тб</v>
      </c>
      <c r="HG22" t="str" cm="1">
        <f t="array" ref="HG22">IF(HF22="","",_xlfn.LET(_xlpm.nd,_xlfn.TEXTSPLIT(HF22,"|"),IF(COLUMNS(_xlpm.nd)&gt;1,A22&amp;"¦"&amp;INDEX(_xlpm.nd,1)&amp;"¦"&amp;INDEX(_xlpm.nd,2),"")))</f>
        <v>ГРЩ-ЖД¦QF20¦XT17</v>
      </c>
      <c r="HH22" t="str">
        <f t="shared" si="101"/>
        <v>РЩ-1¦Щит Хаммам РЩ-1  Подвальный этаж этаж Пом. №00.001Тб</v>
      </c>
      <c r="HI22" t="str" cm="1">
        <f t="array" ref="HI22">IF(HF22="","",_xlfn.LET(_xlpm.nd,_xlfn.TEXTSPLIT(HF22,"|"),IF(COLUMNS(_xlpm.nd)&gt;2,A22&amp;"¦"&amp;INDEX(_xlpm.nd,2)&amp;"¦"&amp;INDEX(_xlpm.nd,3),"")))</f>
        <v>ГРЩ-ЖД¦XT17¦кабель ВВГнг(А)-LS (5х16) → Щит Хаммам РЩ-1  Подвальный этаж этаж Пом. №00.001Тб</v>
      </c>
      <c r="HJ22" t="str">
        <f t="shared" si="102"/>
        <v>РЩ-1¦Щит Хаммам РЩ-1  Подвальный этаж этаж Пом. №00.001Тб</v>
      </c>
      <c r="HK22" t="str" cm="1">
        <f t="array" ref="HK22">IF(HF22="","",_xlfn.LET(_xlpm.nd,_xlfn.TEXTSPLIT(HF22,"|"),IF(COLUMNS(_xlpm.nd)&gt;3,A22&amp;"¦"&amp;INDEX(_xlpm.nd,3)&amp;"¦"&amp;INDEX(_xlpm.nd,4),"")))</f>
        <v/>
      </c>
      <c r="HL22" t="str">
        <f t="shared" si="103"/>
        <v/>
      </c>
      <c r="HM22" t="str" cm="1">
        <f t="array" ref="HM22">IF(HF22="","",_xlfn.LET(_xlpm.nd,_xlfn.TEXTSPLIT(HF22,"|"),IF(COLUMNS(_xlpm.nd)&gt;4,A22&amp;"¦"&amp;INDEX(_xlpm.nd,4)&amp;"¦"&amp;INDEX(_xlpm.nd,5),"")))</f>
        <v/>
      </c>
      <c r="HN22" t="str">
        <f t="shared" si="104"/>
        <v/>
      </c>
      <c r="HO22" t="str" cm="1">
        <f t="array" ref="HO22">IF(HF22="","",_xlfn.LET(_xlpm.nd,_xlfn.TEXTSPLIT(HF22,"|"),IF(COLUMNS(_xlpm.nd)&gt;5,A22&amp;"¦"&amp;INDEX(_xlpm.nd,5)&amp;"¦"&amp;INDEX(_xlpm.nd,6),"")))</f>
        <v/>
      </c>
      <c r="HP22" t="str">
        <f t="shared" si="105"/>
        <v/>
      </c>
      <c r="HQ22" t="str" cm="1">
        <f t="array" ref="HQ22">IF(HF22="","",_xlfn.LET(_xlpm.nd,_xlfn.TEXTSPLIT(HF22,"|"),IF(COLUMNS(_xlpm.nd)&gt;6,A22&amp;"¦"&amp;INDEX(_xlpm.nd,6)&amp;"¦"&amp;INDEX(_xlpm.nd,7),"")))</f>
        <v/>
      </c>
      <c r="HR22" t="str">
        <f t="shared" si="106"/>
        <v/>
      </c>
      <c r="HS22" t="str">
        <f t="shared" si="107"/>
        <v/>
      </c>
      <c r="HT22" t="str">
        <f t="shared" si="108"/>
        <v>QF20 → XT17</v>
      </c>
      <c r="HU22">
        <f t="shared" si="109"/>
        <v>0</v>
      </c>
      <c r="HV22">
        <f t="shared" si="110"/>
        <v>0</v>
      </c>
      <c r="HW22" t="str">
        <f t="shared" si="111"/>
        <v/>
      </c>
      <c r="HX22" t="str">
        <f t="shared" si="112"/>
        <v/>
      </c>
      <c r="HY22" t="str">
        <f t="shared" si="113"/>
        <v/>
      </c>
      <c r="HZ22" t="str">
        <f t="shared" si="114"/>
        <v/>
      </c>
      <c r="IA22" t="str">
        <f>IF(B22="","",IFERROR(VLOOKUP(B22,УГО_спр,2,FALSE),IFERROR(VLOOKUP(AX22,УГО_спр,2,FALSE),IFERROR(VLOOKUP(LEFT(AX22,2),УГО_спр,2,FALSE),""))))</f>
        <v/>
      </c>
      <c r="IB22" t="str">
        <f>IF(B22="","",IF(OR(IA22="",IA22=0),"BOX",IFERROR(IF(VLOOKUP(IA22,УГО_блоки,3,FALSE)&amp;""&lt;&gt;"",VLOOKUP(IA22,УГО_блоки,3,FALSE),VLOOKUP(IA22,УГО_блоки,2,FALSE)),IA22)))</f>
        <v>BOX</v>
      </c>
      <c r="IC22">
        <f t="shared" si="115"/>
        <v>1</v>
      </c>
      <c r="ID22" t="str">
        <f>IF(DA22="","",IF(COUNTIF(DA$3:DA22,DA22)=1,MAX(ID$2:ID21)+1,""))</f>
        <v/>
      </c>
      <c r="IE22" t="str">
        <f>IF(CO22="","",IF(COUNTIF(CO$3:CO22,CO22)+COUNTIF(CP$2:CP21,CO22)+COUNTIF(CQ$2:CQ21,CO22)=1,MAX(IE$2:IG21)+1,""))</f>
        <v/>
      </c>
      <c r="IF22" t="str">
        <f>IF(CP22="","",IF(COUNTIF(CO$3:CO22,CP22)+COUNTIF(CP$3:CP22,CP22)+COUNTIF(CQ$2:CQ21,CP22)=1,MAX(IE$2:IG21,IE22)+1,""))</f>
        <v/>
      </c>
      <c r="IG22" t="str">
        <f>IF(CQ22="","",IF(COUNTIF(CO$3:CO22,CQ22)+COUNTIF(CP$3:CP22,CQ22)+COUNTIF(CQ$3:CQ22,CQ22)=1,MAX(IE$2:IG21,IE22,IF22)+1,""))</f>
        <v/>
      </c>
      <c r="IH22" t="str">
        <f t="shared" si="116"/>
        <v>5х16</v>
      </c>
      <c r="II22" t="str">
        <f>IF(IH22="","",IF(COUNTIF(IH$3:IH22,IH22)=1,MAX(II$2:II21)+1,""))</f>
        <v/>
      </c>
      <c r="IJ22" t="str">
        <f>IF(GL22="","",COUNTIF(GL$3:GL22,"?*"))</f>
        <v/>
      </c>
      <c r="IK22" t="str">
        <f>IF(OR(GL22="",GN22=""),"",IF(COUNTIFS(GL$3:GL22,"?*",GN$3:GN22,GN22)=1,MAX(IK$2:IK21)+1,""))</f>
        <v/>
      </c>
      <c r="IL22">
        <f t="shared" si="117"/>
        <v>2</v>
      </c>
      <c r="IM22">
        <f>IF(B22="","",COUNTIF(B$3:B22,"?*"))</f>
        <v>20</v>
      </c>
      <c r="IN22">
        <f>IF(GQ22&lt;&gt;1,0,_xlfn.LET(_xlpm.k,MAX(IFERROR(--VLOOKUP(B22,УГО_спр,5,FALSE),0),IFERROR(--VLOOKUP(AX22,УГО_спр,5,FALSE),0),IFERROR(--VLOOKUP(LEFT(AX22,2),УГО_спр,5,FALSE),0)),IF(_xlpm.k&gt;0,_xlpm.k,IF(IFERROR(--LEFT(SUBSTITUTE(IH22,"x","х"),FIND("х",SUBSTITUTE(IH22,"x","х"))-1),3)&gt;3,Каталог!$S$9,1))))</f>
        <v>1</v>
      </c>
      <c r="IO22">
        <f t="shared" si="118"/>
        <v>2</v>
      </c>
      <c r="IP22" t="str">
        <f t="shared" si="119"/>
        <v>авто</v>
      </c>
      <c r="IQ22" t="str">
        <f t="shared" si="120"/>
        <v/>
      </c>
      <c r="IR22">
        <f t="shared" si="121"/>
        <v>0</v>
      </c>
      <c r="IS22">
        <f t="shared" si="122"/>
        <v>1</v>
      </c>
    </row>
    <row r="23" spans="1:253" x14ac:dyDescent="0.3">
      <c r="A23" t="s">
        <v>785</v>
      </c>
      <c r="B23" t="s">
        <v>778</v>
      </c>
      <c r="C23" t="s">
        <v>1610</v>
      </c>
      <c r="D23">
        <v>1</v>
      </c>
      <c r="E23">
        <v>5</v>
      </c>
      <c r="G23">
        <v>25</v>
      </c>
      <c r="H23" t="str">
        <f>Линии[[#This Row],[_авто утечка]]</f>
        <v/>
      </c>
      <c r="I23" t="str">
        <f>Линии[[#This Row],[_авто управление]]</f>
        <v/>
      </c>
      <c r="J23" t="str">
        <f>Линии[[#This Row],[_авто аппараты]]</f>
        <v/>
      </c>
      <c r="K23">
        <v>6</v>
      </c>
      <c r="L23">
        <v>60</v>
      </c>
      <c r="M23" t="str">
        <f>Линии[[#This Row],[_авто фаза]]</f>
        <v>L1</v>
      </c>
      <c r="N23" t="str">
        <f>Линии[[#This Row],[_авто клемма]]</f>
        <v>XT18</v>
      </c>
      <c r="O23" t="str">
        <f t="shared" si="0"/>
        <v>ПЕРЕГРУЗ; потери 4,5 % &gt; 4 %</v>
      </c>
      <c r="P23" s="6" cm="1">
        <f t="array" ref="P23">IF(B23="","",IF(BC23&lt;&gt;"",IFERROR(_xlfn.XLOOKUP(BC23,Щиты[Щит],Щиты[Iр, А]),""),IF(BK23=1,IFERROR(_xlfn.XLOOKUP(A23,Щиты[Щит],Щиты[Iр, А]),""),IFERROR(_xlfn.IFS(BR23=1,BN23/((Uн_лин/SQRT(3))*BY23),BR23=3,BN23/(SQRT(3)*Uн_лин*BY23)),""))))</f>
        <v>27.063293868263703</v>
      </c>
      <c r="Q23" s="7">
        <f>IF(B23="","",IFERROR(IF(VLOOKUP(AX23,Потребители_обозначение,4,FALSE)=1,VLOOKUP(AX23,Потребители_обозначение,3,FALSE)*(D23*2-1)+DS23+VLOOKUP(AZ23,Этаж_обозначение,3,FALSE)+VLOOKUP(AZ23,Этаж_обозначение,4,FALSE),VLOOKUP(AX23,Потребители_обозначение,3,FALSE)*(D23*2-1)+DS23),DS23))</f>
        <v>63</v>
      </c>
      <c r="R23" s="6">
        <f t="shared" si="1"/>
        <v>4.51</v>
      </c>
      <c r="S23" t="str">
        <f t="shared" si="2"/>
        <v>ВВГнг(А)-LS (3х6)</v>
      </c>
      <c r="T23" t="str">
        <f>IF(BH23="","",IF(BI23="вводной узел","узел ","")&amp;"л."&amp;(INT((BH23-1)/Столбцов_на_лист)+1)&amp;" / "&amp;(MOD(BH23-1,Столбцов_на_лист)+1))</f>
        <v>л.4 / 2</v>
      </c>
      <c r="V23">
        <v>1</v>
      </c>
      <c r="W23">
        <v>230</v>
      </c>
      <c r="X23" t="s">
        <v>600</v>
      </c>
      <c r="Y23">
        <v>0.4</v>
      </c>
      <c r="AA23">
        <v>2</v>
      </c>
      <c r="AC23" t="s">
        <v>862</v>
      </c>
      <c r="AE23" t="s">
        <v>602</v>
      </c>
      <c r="AI23">
        <v>53</v>
      </c>
      <c r="AJ23" t="s">
        <v>11</v>
      </c>
      <c r="AK23">
        <v>3</v>
      </c>
      <c r="AM23">
        <v>43</v>
      </c>
      <c r="AN23">
        <v>9</v>
      </c>
      <c r="AW23" cm="1">
        <f t="array" ref="AW23">ROW()-ROW(Линии[#Headers])</f>
        <v>21</v>
      </c>
      <c r="AX23" s="6" t="str">
        <f t="shared" si="3"/>
        <v>Э</v>
      </c>
      <c r="AY23" t="str">
        <f t="shared" si="4"/>
        <v>4</v>
      </c>
      <c r="AZ23" t="str">
        <f t="shared" si="5"/>
        <v>4</v>
      </c>
      <c r="BA23" t="str">
        <f t="shared" si="6"/>
        <v/>
      </c>
      <c r="BB23" t="str">
        <f t="shared" si="7"/>
        <v/>
      </c>
      <c r="BC23" t="str">
        <f>IF(U23&lt;&gt;"",U23,IF(AND(B23&lt;&gt;"",B23&lt;&gt;A23,ISNUMBER(_xlfn.XMATCH(B23,Щиты[Щит]))),B23,""))</f>
        <v/>
      </c>
      <c r="BD23" t="str" cm="1">
        <f t="array" ref="BD23">IF(B23="","",IF(BC23&lt;&gt;"","Щит "&amp;BC23,_xlfn.LET(_xlpm.nm,IFERROR(_xlfn.XLOOKUP(AX23,Коды_код,Коды_имя)&amp;"",""),_xlpm.md,IFERROR(N(_xlfn.XLOOKUP(AX23,Коды_код,Коды_режим)),1),_xlpm.ex,IF(Имя_режим="по экспликации",IFERROR(_xlfn.XLOOKUP(AZ23&amp;"|"&amp;BB23,Экспликация[Этаж]&amp;"|"&amp;Экспликация[Помещение],Экспликация[Название])&amp;"",""),""),_xlpm.rm,IF(BB23="","",IF(_xlpm.ex&lt;&gt;"",". "&amp;_xlpm.ex&amp;IF(Имя_пом="нет"," ("&amp;BB23&amp;")"," (пом. "&amp;BB23&amp;")"),IF(Имя_пом="нет"," ",", пом. ")&amp;BB23)),IF(_xlpm.nm="","",IF(_xlpm.md=2,_xlpm.nm&amp;" шлейф "&amp;AZ23,_xlpm.nm&amp;_xlpm.rm)))))</f>
        <v>Управляющий электрощит бассейна</v>
      </c>
      <c r="BE23" t="str">
        <f t="shared" si="8"/>
        <v>Флоатинг. Цокольный этаж этаж Пом. №023A</v>
      </c>
      <c r="BF23">
        <f>IFERROR(_xlfn.XMATCH(A23,Щиты[Щит]),0)</f>
        <v>1</v>
      </c>
      <c r="BG23">
        <f>_xlfn.LET(_xlpm.k,IFERROR(_xlfn.XLOOKUP(A23,Щиты[Щит],Щиты[Листов под вводной узел]),""),IF(_xlpm.k="",1,N(_xlpm.k))*Столбцов_на_лист)</f>
        <v>17</v>
      </c>
      <c r="BH23">
        <f t="shared" si="9"/>
        <v>53</v>
      </c>
      <c r="BI23" t="str">
        <f t="shared" si="10"/>
        <v>линии</v>
      </c>
      <c r="BJ23" s="6">
        <f>IFERROR(N(_xlfn.XLOOKUP(AX23,Коды_код,Коды_квт)),0)</f>
        <v>0</v>
      </c>
      <c r="BK23">
        <f t="shared" si="11"/>
        <v>0</v>
      </c>
      <c r="BL23" t="str">
        <f>IF(B23="","",IF(BC23&lt;&gt;"",IFERROR(_xlfn.XLOOKUP(BC23,Щиты[Щит],Щиты[Руст, кВт]),0),IF(BK23=1,IFERROR(_xlfn.XLOOKUP(A23,Щиты[Щит],Щиты[Руст, кВт]),0),IF(BJ23&gt;0,ROUND(BJ23*MAX(1,N(D23)),3),""))))</f>
        <v/>
      </c>
      <c r="BM23">
        <f t="shared" si="12"/>
        <v>5</v>
      </c>
      <c r="BN23" s="6">
        <f>IF(B23="","",IF(BC23&lt;&gt;"",IFERROR(_xlfn.XLOOKUP(BC23,Щиты[Щит],Щиты[Руст, кВт]),0),N(BM23)))</f>
        <v>5</v>
      </c>
      <c r="BO23" t="str">
        <f>IF(B23="","",IFERROR(IF(VLOOKUP(AX23,Потребители_обозначение,8,FALSE)=0,"",VLOOKUP(AX23,Потребители_обозначение,8,FALSE)),""))</f>
        <v/>
      </c>
      <c r="BP23">
        <f t="shared" si="13"/>
        <v>230</v>
      </c>
      <c r="BQ23">
        <f>IF(B23="","",IF(BC23&lt;&gt;"",3,IFERROR(IF(N(VLOOKUP(AX23,Потребители_обозначение,9,FALSE))=0,1,VLOOKUP(AX23,Потребители_обозначение,9,FALSE)),1)))</f>
        <v>1</v>
      </c>
      <c r="BR23">
        <f t="shared" si="14"/>
        <v>1</v>
      </c>
      <c r="BS23" t="str">
        <f>IF(B23="","",_xlfn.LET(_xlpm.bc,IFERROR(IF(VLOOKUP(AX23,Потребители_обозначение,6,FALSE)=0,"",VLOOKUP(AX23,Потребители_обозначение,6,FALSE)&amp;""),""),IF(AND(FK23="да",OR(_xlpm.bc="",_xlpm.bc="мс")),Марка_пож,IF(AND(_xlpm.bc="",BC23&lt;&gt;""),"мс",_xlpm.bc))))</f>
        <v/>
      </c>
      <c r="BT23" t="str">
        <f t="shared" si="15"/>
        <v>мс</v>
      </c>
      <c r="BU23">
        <f>IF(B23="","",_xlfn.LET(_xlpm.cc,IFERROR(N(VLOOKUP(AX23,Потребители_обозначение,7,FALSE)),0),IF(_xlpm.cc&gt;0,_xlpm.cc,IF(BT23="","",IF(N(BR23)=3,5,3)))))</f>
        <v>3</v>
      </c>
      <c r="BV23">
        <f t="shared" si="16"/>
        <v>3</v>
      </c>
      <c r="BW23">
        <f>IFERROR(N(VLOOKUP(AX23,Потребители_обозначение,10,FALSE)),0)</f>
        <v>0</v>
      </c>
      <c r="BX23">
        <f>IFERROR(VLOOKUP(AX23,Потребители_обозначение,5,FALSE),0)</f>
        <v>1</v>
      </c>
      <c r="BY23" s="6" cm="1">
        <f t="array" ref="BY23">IF(B23="","",IF(BC23&lt;&gt;"",IFERROR(_xlfn.XLOOKUP(BC23,Щиты[Щит],Щиты[cos φ]),0.95),IF(BK23=1,IFERROR(_xlfn.XLOOKUP(A23,Щиты[Щит],Щиты[cos φ]),0.95),IF(ISNUMBER(Z23),Z23,IFERROR(IF(BX23=2,_xlfn.IFS(BR23=3,VLOOKUP(BN23,Справочная_двигатели,8,FALSE),BR23=1,VLOOKUP(BN23,Справочная_двигатели,10,TRUE)),IF(AND(Методика="нормы 2026",EQ23="Сил"),0.8,0.95)),0.95)))))</f>
        <v>0.8</v>
      </c>
      <c r="BZ23">
        <f t="shared" si="17"/>
        <v>0</v>
      </c>
      <c r="CA23">
        <f t="shared" si="18"/>
        <v>1</v>
      </c>
      <c r="CB23">
        <f t="shared" si="19"/>
        <v>0</v>
      </c>
      <c r="CC23">
        <f t="shared" si="20"/>
        <v>0</v>
      </c>
      <c r="CD23">
        <f t="shared" si="21"/>
        <v>0</v>
      </c>
      <c r="CE23">
        <f t="shared" si="22"/>
        <v>0</v>
      </c>
      <c r="CF23">
        <f t="shared" si="23"/>
        <v>0</v>
      </c>
      <c r="CG23">
        <f>IF(AX23="",0,_xlfn.LET(_xlpm.v,IFERROR(VLOOKUP(B23,УГО_спр,3,FALSE),IFERROR(VLOOKUP(AX23,УГО_спр,3,FALSE),IFERROR(VLOOKUP(LEFT(AX23,2),УГО_спр,3,FALSE),""))),IF(_xlpm.v="да",30,IF(ISNUMBER(_xlpm.v),_xlpm.v,0))))</f>
        <v>0</v>
      </c>
      <c r="CH23" t="str">
        <f t="shared" si="24"/>
        <v/>
      </c>
      <c r="CI23" t="str">
        <f>_xlfn.LET(_xlpm.k,IFERROR(_xlfn.XLOOKUP(AX23,Коды_код,Коды_утечка)&amp;"",""),IF(_xlpm.k="","дифавтомат",_xlpm.k))</f>
        <v>дифавтомат</v>
      </c>
      <c r="CJ23">
        <f t="shared" si="25"/>
        <v>0</v>
      </c>
      <c r="CK23">
        <f t="shared" si="26"/>
        <v>0</v>
      </c>
      <c r="CL23">
        <f>IF(B23="",0,IFERROR(--VLOOKUP(B23,УГО_спр,4,FALSE),IFERROR(--VLOOKUP(AX23,УГО_спр,4,FALSE),IFERROR(--VLOOKUP(LEFT(AX23,2),УГО_спр,4,FALSE),0))))</f>
        <v>0</v>
      </c>
      <c r="CM23" t="str">
        <f>IF(B23="","",IFERROR(_xlfn.XLOOKUP(AX23,Коды_код,Коды_апп)&amp;"",""))</f>
        <v/>
      </c>
      <c r="CN23" t="str">
        <f t="shared" si="27"/>
        <v/>
      </c>
      <c r="CO23" t="str" cm="1">
        <f t="array" ref="CO23">IF(TRIM(CN23&amp;"")="","",IFERROR(TRIM(INDEX(_xlfn.TEXTSPLIT(CN23&amp;";;;",";"),1)),""))</f>
        <v/>
      </c>
      <c r="CP23" t="str" cm="1">
        <f t="array" ref="CP23">IF(TRIM(CN23&amp;"")="","",IFERROR(TRIM(INDEX(_xlfn.TEXTSPLIT(CN23&amp;";;;",";"),2)),""))</f>
        <v/>
      </c>
      <c r="CQ23" t="str" cm="1">
        <f t="array" ref="CQ23">IF(TRIM(CN23&amp;"")="","",IFERROR(TRIM(INDEX(_xlfn.TEXTSPLIT(CN23&amp;";;;",";"),3)),""))</f>
        <v/>
      </c>
      <c r="CR23">
        <f t="shared" si="28"/>
        <v>0</v>
      </c>
      <c r="CS23" t="str">
        <f>IF(B23="","",_xlfn.LET(_xlpm.t,LOWER(AV23&amp;""),IF(ISNUMBER(SEARCH("dim",_xlpm.t)),"DIM",IF(ISNUMBER(SEARCH("dali",_xlpm.t)),"DALI",IF(OR(ISNUMBER(SEARCH("relay",_xlpm.t)),ISNUMBER(SEARCH("реле",_xlpm.t))),"Relay",IF(ISNUMBER(SEARCH("кнопк",_xlpm.t)),"",IFERROR(_xlfn.XLOOKUP(AX23,Коды_код,Коды_упр)&amp;"","")))))))</f>
        <v/>
      </c>
      <c r="CT23" t="str">
        <f t="shared" si="29"/>
        <v/>
      </c>
      <c r="CU23">
        <f>IF(B23="","",_xlfn.LET(_xlpm.ig,N(P23)+IF(AF23="вручную",0,N(CB23)),_xlpm.n0,IFERROR(VLOOKUP(_xlpm.ig,Автомат_номиналы,2,TRUE),0),_xlpm.mn,MAX(CL23,IF(AF23="вручную",0,N(CE23))),MAX(_xlpm.n0,_xlpm.mn,IF(CR23=1,Мин_автомат_БП,0))))</f>
        <v>32</v>
      </c>
      <c r="CV23">
        <f t="shared" si="30"/>
        <v>1</v>
      </c>
      <c r="CW23" t="str">
        <f t="shared" si="31"/>
        <v>1P</v>
      </c>
      <c r="CX23" t="str">
        <f>_xlfn.LET(_xlpm.cc,UPPER(TRIM(IFERROR(_xlfn.XLOOKUP(AX23,Коды_код,Коды_хар)&amp;"",""))),IF(OR(_xlpm.cc="B",_xlpm.cc="В"),"B",IF(_xlpm.cc="D","D","С")))</f>
        <v>С</v>
      </c>
      <c r="CY23" t="str">
        <f t="shared" si="32"/>
        <v>1P С32А</v>
      </c>
      <c r="CZ23">
        <f t="shared" si="33"/>
        <v>25</v>
      </c>
      <c r="DA23" t="str">
        <f t="shared" si="34"/>
        <v>1P С25А</v>
      </c>
      <c r="DB23" cm="1">
        <f t="array" ref="DB23">IF(DA23="","",_xlfn.LET(_xlpm.t,SUBSTITUTE(SUBSTITUTE(SUBSTITUTE(UPPER(DA23),"С","C"),"А","A"),"В","B"),_xlpm.tk,_xlfn.TEXTSPLIT(_xlpm.t,"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23" t="str">
        <f t="shared" si="35"/>
        <v>ok</v>
      </c>
      <c r="DD23">
        <f t="shared" si="36"/>
        <v>25</v>
      </c>
      <c r="DE23" t="str">
        <f t="shared" si="37"/>
        <v>1P С25А</v>
      </c>
      <c r="DF23">
        <f t="shared" si="38"/>
        <v>0</v>
      </c>
      <c r="DG23">
        <f t="shared" si="39"/>
        <v>0</v>
      </c>
      <c r="DH23">
        <f t="shared" si="40"/>
        <v>0</v>
      </c>
      <c r="DI23">
        <f t="shared" si="41"/>
        <v>27.063293868263703</v>
      </c>
      <c r="DJ23">
        <f t="shared" si="42"/>
        <v>1</v>
      </c>
      <c r="DK23">
        <f>IF(ISNUMBER(AL23),AL23,К_прокл)</f>
        <v>1</v>
      </c>
      <c r="DL23">
        <f t="shared" si="43"/>
        <v>2</v>
      </c>
      <c r="DM23">
        <f>IFERROR(N(VLOOKUP(BT23,Кабель_обозначение,3,FALSE)),1)</f>
        <v>1</v>
      </c>
      <c r="DN23">
        <f>IFERROR(N(_xlfn.XLOOKUP(A23,Щиты[Щит],Щиты[ΔU до шин, %])),0)</f>
        <v>0</v>
      </c>
      <c r="DO23" t="str">
        <f>IFERROR(_xlfn.XLOOKUP(A23,Щиты[Щит],Щиты[Zпетли на шинах, Ом]),"")</f>
        <v/>
      </c>
      <c r="DP23">
        <f>IFERROR(N(_xlfn.XLOOKUP(A23,Щиты[Щит],Щиты[ΔU до шин (подбор), %])),0)</f>
        <v>0</v>
      </c>
      <c r="DQ23" t="str">
        <f>IFERROR(_xlfn.XLOOKUP(A23,Щиты[Щит],Щиты[Zпетли на шинах (подбор), Ом]),"")</f>
        <v/>
      </c>
      <c r="DR23" t="str">
        <f t="shared" si="44"/>
        <v/>
      </c>
      <c r="DS23">
        <f t="shared" si="45"/>
        <v>60</v>
      </c>
      <c r="DT23">
        <f t="shared" si="46"/>
        <v>2</v>
      </c>
      <c r="DU23">
        <f t="shared" si="47"/>
        <v>0.6</v>
      </c>
      <c r="DV23" s="6">
        <f>IF(B23="","",IF(IFERROR(VLOOKUP(AX23,УГО_спр,2,FALSE),"")="Светильник",3,4)+IF(Методика="нормы 2026",MIN(0.5,MAX(0,N(Q23)-100)*0.005),0))</f>
        <v>4</v>
      </c>
      <c r="DW23" cm="1">
        <f t="array" ref="DW23">IF(OR(B23="",BT23="",DM23&lt;&gt;1),"",_xlfn.LET(_xlpm.sz,Iдоп_S,_xlpm.t_,CHOOSE(DL23,Iдоп_1ж,Iдоп_2ж,Iдоп_3ж)*DJ23*DK23,_xlpm.inn,N(DD23),_xlpm.smin,MAX(1.5,BW23),_xlpm.L_,N(Q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23)*(_xlpm.rho*_xlpm.L_/_xlpm.sz*N(BY23)+_xlpm.xx*_xlpm.L_*N(DU23)/1000)*N(P23)/((Uн_лин/SQRT(3))*1000)*100,999),_xlpm.kz,IF(OR(DG23=1,NOT(ISNUMBER(DQ23)),_xlpm.L_=0,_xlpm.inn=0),1,IFERROR(--(c_min*(Uн_лин*1000/SQRT(3))/(DQ23+2*ρкз_Cu*_xlpm.L_/_xlpm.sz)&gt;=GY23*_xlpm.inn),0)),_xlpm.ok,IFERROR((_xlpm.sz&gt;=_xlpm.smin)*(_xlpm.t_&gt;=_xlpm.inn)*IF(_xlpm.L_&gt;0,(_xlpm.du_+DP23&lt;=DV23+0.00001),1)*_xlpm.kz,0),_xlpm.r_,_xlfn._xlws.FILTER(_xlpm.sz,_xlpm.ok,"не подобрано"),INDEX(_xlpm.r_,1)))</f>
        <v>10</v>
      </c>
      <c r="DX23">
        <f t="shared" si="48"/>
        <v>6</v>
      </c>
      <c r="DY23" cm="1">
        <f t="array" ref="DY23">IF(OR(B23="",BT23="",DM23&lt;&gt;1),"",_xlfn.LET(_xlpm.sz,Iдоп_S,_xlpm.t_,CHOOSE(DL23,Iдоп_1ж,Iдоп_2ж,Iдоп_3ж)*DJ23*DK23,_xlpm.ok,IFERROR((_xlpm.sz&gt;=MAX(1.5,BW23))*(_xlpm.t_&gt;=N(DD23)),0),_xlpm.r_,_xlfn._xlws.FILTER(_xlpm.sz,_xlpm.ok,""),INDEX(_xlpm.r_,1)))</f>
        <v>2.5</v>
      </c>
      <c r="DZ23" s="6" cm="1">
        <f t="array" ref="DZ23">IFERROR(ROUNDUP(N(DT23)*(_xlfn.XLOOKUP(DY23,INDEX(Кабель_сопротивление,0,1),INDEX(Кабель_сопротивление,0,3))*N(Q23)/DY23*N(BY23)+_xlfn.XLOOKUP(DY23,INDEX(Кабель_сопротивление,0,1),INDEX(Кабель_сопротивление,0,2))*N(Q23)*N(DU23)/1000)*N(P23)/((Uн_лин/SQRT(3))*1000)*100,2),"")</f>
        <v>10.72</v>
      </c>
      <c r="EA23">
        <f>IFERROR(2*ρкз_Cu*N(Q23)/DY23,"")</f>
        <v>1.32552</v>
      </c>
      <c r="EB23">
        <f>IFERROR(VLOOKUP(DX23,Кабель_сопротивление,3,FALSE),"")</f>
        <v>2.2499999999999999E-2</v>
      </c>
      <c r="EC23">
        <f>IFERROR(VLOOKUP(DX23,Кабель_сопротивление,2,FALSE),"")</f>
        <v>0.09</v>
      </c>
      <c r="ED23">
        <f t="shared" si="49"/>
        <v>9</v>
      </c>
      <c r="EE23" t="str">
        <f t="shared" si="50"/>
        <v/>
      </c>
      <c r="EF23">
        <f t="shared" si="51"/>
        <v>10.414063733683346</v>
      </c>
      <c r="EG23" s="6">
        <f>IFERROR(ROUNDUP(EF23/((Uн_лин/SQRT(3))*1000)*100,2),"")</f>
        <v>4.51</v>
      </c>
      <c r="EH23" t="str">
        <f>IFERROR(VLOOKUP(BT23,Кабель_обозначение,2,FALSE),"")</f>
        <v>ВВГнг(А)-LS</v>
      </c>
      <c r="EI23" t="str">
        <f t="shared" si="52"/>
        <v>ВВГнг(А)-LS (3х6)</v>
      </c>
      <c r="EJ23" t="str">
        <f t="shared" si="53"/>
        <v>ВВГнг(А)-LS (3х6)
L=63-4,51%</v>
      </c>
      <c r="EK23">
        <f>IFERROR(2*ρкз_Cu*Q23/DX23,"")</f>
        <v>0.55230000000000001</v>
      </c>
      <c r="EL23">
        <f t="shared" si="54"/>
        <v>0.18375</v>
      </c>
      <c r="EM23" s="6" t="str">
        <f>IFERROR(IF(OR(B23="",NOT(ISNUMBER(DX23)),N(Q23)=0),"",_xlfn.XLOOKUP(A23,Щиты[Щит],Щиты[Zпетли на шинах, Ом])+EK23),"")</f>
        <v/>
      </c>
      <c r="EN23" s="6" t="str">
        <f>IF(ISNUMBER(EM23),c_min*(Uн_лин*1000/SQRT(3))/EM23,"")</f>
        <v/>
      </c>
      <c r="EO23" s="6" t="str">
        <f>IFERROR(IF(OR(B23="",NOT(ISNUMBER(DX23))),"",1.05*(Uн_лин*1000/SQRT(3))/(_xlfn.XLOOKUP(A23,Щиты[Щит],Щиты[Zmax на шинах, Ом])+EL23)/1000),"")</f>
        <v/>
      </c>
      <c r="EP23" s="6" t="str">
        <f>IF(B23="","",IF(ISNUMBER(Y23),"Сил",IF(IFERROR(_xlfn.XLOOKUP(AX23,Коды_код,Коды_группа)&amp;"","")="","Быт",_xlfn.XLOOKUP(AX23,Коды_код,Коды_группа)&amp;"")))</f>
        <v>Сил</v>
      </c>
      <c r="EQ23" s="6" t="str">
        <f t="shared" si="55"/>
        <v>Сил</v>
      </c>
      <c r="ER23" s="6">
        <f>IF(EQ23="Щит","щит",IF(EQ23="","",IF(EQ23="Быт",IFERROR(_xlfn.XLOOKUP(A23,Щиты[Щит],Щиты[Кс быт]),1),IF(EQ23="Сил",IF(ISNUMBER(Y23),Y23,IF(Методика="нормы 2026",IFERROR(_xlfn.XLOOKUP(A23,Щиты[Щит],Щиты[Кс силовых (табл. 7.5)]),1),1)),IF(OR(EQ23="Пост",EQ23="Отоп"),1,IF(EQ23="ВНГ",0.7,0))))))</f>
        <v>0.4</v>
      </c>
      <c r="ES23">
        <f t="shared" si="56"/>
        <v>2</v>
      </c>
      <c r="ET23">
        <f t="shared" si="57"/>
        <v>5</v>
      </c>
      <c r="EU23">
        <f t="shared" si="58"/>
        <v>0</v>
      </c>
      <c r="EV23">
        <f t="shared" si="59"/>
        <v>2</v>
      </c>
      <c r="EW23">
        <f t="shared" si="60"/>
        <v>0</v>
      </c>
      <c r="EX23">
        <f t="shared" si="61"/>
        <v>0</v>
      </c>
      <c r="EY23">
        <f t="shared" si="62"/>
        <v>0</v>
      </c>
      <c r="EZ23">
        <f t="shared" si="63"/>
        <v>5</v>
      </c>
      <c r="FA23">
        <f t="shared" si="64"/>
        <v>4</v>
      </c>
      <c r="FB23">
        <f t="shared" si="65"/>
        <v>5</v>
      </c>
      <c r="FC23" t="str">
        <f t="shared" si="66"/>
        <v/>
      </c>
      <c r="FD23" t="str">
        <f>IF(B23="","",IF(CA23=0,IF(AW23=1,"",FF22),IF(OR(N(CV23)&gt;=3,N(BR23)&gt;=3),"L1,L2,L3",IFERROR(_xlfn.TEXTBEFORE(_xlfn.TEXTAFTER(_xlfn.XLOOKUP(A23,Щиты[Щит],Щиты[_фазы авто]),";"&amp;AW23&amp;":"),";"),"L1"))))</f>
        <v>L1</v>
      </c>
      <c r="FE23" t="str">
        <f t="shared" si="67"/>
        <v>L1</v>
      </c>
      <c r="FF23" t="str">
        <f t="shared" si="68"/>
        <v>L1</v>
      </c>
      <c r="FG23" cm="1">
        <f t="array" ref="FG23">IFERROR(IF(BX23=2,_xlfn.IFS(BR23=3,VLOOKUP(BN23,Справочная_двигатели,3,FALSE),BR23=1,VLOOKUP(BN23,Справочная_двигатели,5,TRUE)),0),0)</f>
        <v>0</v>
      </c>
      <c r="FH23">
        <f>IFERROR(IF(BX23=3,VLOOKUP(BN23,Справочная_ЛЭД,2,TRUE),0),0)</f>
        <v>0</v>
      </c>
      <c r="FI23" s="6">
        <f t="shared" si="69"/>
        <v>0</v>
      </c>
      <c r="FJ23" t="str" cm="1">
        <f t="array" ref="FJ23">IF(B23="","",IFERROR(INDEX({"I особая","I","II","III"},MATCH(TRIM(AC23&amp;""),{"I особая","I","II","III"},0)),"III"))</f>
        <v>III</v>
      </c>
      <c r="FK23" t="str">
        <f>IF(B23="","",IF(TRIM(AD23&amp;"")&lt;&gt;"",IF(LOWER(TRIM(AD23&amp;""))="да","да","нет"),IF(IFERROR(_xlfn.XLOOKUP(AX23,Коды_код,Коды_пожарная),"")="да","да","нет")))</f>
        <v>нет</v>
      </c>
      <c r="FL23" t="str">
        <f t="shared" si="70"/>
        <v/>
      </c>
      <c r="FM23" t="str">
        <f t="shared" si="71"/>
        <v>основная</v>
      </c>
      <c r="FN23">
        <f t="shared" si="72"/>
        <v>2</v>
      </c>
      <c r="FO23" t="str" cm="1">
        <f t="array" ref="FO23">IF(B23="","",_xlfn.LET(_xlpm.t,IFERROR(_xlfn.XLOOKUP(1,(Шины[Шина]=FM23)*(((Шины[Щит]=A23)+(Шины[Щит]=""))&gt;0),Шины[Тип]),"")&amp;"",IF(_xlpm.t&lt;&gt;"",_xlpm.t,IF(ISNUMBER(SEARCH("ИБП",FM23)),"ИБП",IF(ISNUMBER(SEARCH("ДГУ",FM23)),"ДГУ","Ввод "&amp;FN23)))))</f>
        <v>Ввод 2</v>
      </c>
      <c r="FP23" t="str">
        <f t="shared" si="73"/>
        <v>Ввод 2</v>
      </c>
      <c r="FQ23" t="str">
        <f>IF(B23="","",IF(OR(FO23="ИБП",FO23="ДГУ"),"I особая",IF(FO23="Одиночная","III",_xlfn.XLOOKUP(A23,Щиты[Щит],Щиты[Категория шины «Ввод»],"III"))))</f>
        <v>I</v>
      </c>
      <c r="FR23">
        <f>IF(B23="",0,IFERROR(MATCH(FJ23,{"III","II","I","I особая"},0),1))</f>
        <v>1</v>
      </c>
      <c r="FS23">
        <f t="shared" si="74"/>
        <v>1</v>
      </c>
      <c r="FT23" t="str">
        <f>IF(B23="","",IF(FR23&gt;IFERROR(MATCH(FQ23,{"III","II","I","I особая"},0),1),"НЕ ОБЕСПЕЧЕНА","ОК"))</f>
        <v>ОК</v>
      </c>
      <c r="FU23" t="str">
        <f>IF(A23="","",_xlfn.XLOOKUP(A23,Щиты[Щит],Щиты[Путь],""))</f>
        <v>|ГРЩ-ЖД|</v>
      </c>
      <c r="FV23" t="str">
        <f>IF(B23="","",IF(AE23&lt;&gt;"",AE23,IF(IFERROR(_xlfn.XLOOKUP(AX23,Коды_код,Коды_вид)&amp;"","")="","Прочее",_xlfn.XLOOKUP(AX23,Коды_код,Коды_вид)&amp;"")))</f>
        <v>Бассейн, SPA, хаммам</v>
      </c>
      <c r="FW23">
        <f>IF(BH23="","",INT((BH23-1)/Столбцов_на_лист)+1)</f>
        <v>4</v>
      </c>
      <c r="FX23" t="str">
        <f t="shared" si="75"/>
        <v>ВВГнг(А)-LS (3х6) L=63-4,51%</v>
      </c>
      <c r="FY23">
        <f t="shared" si="76"/>
        <v>5</v>
      </c>
      <c r="FZ23">
        <f t="shared" si="77"/>
        <v>27.07</v>
      </c>
      <c r="GA23">
        <f t="shared" si="78"/>
        <v>1</v>
      </c>
      <c r="GB23">
        <f t="shared" si="79"/>
        <v>0</v>
      </c>
      <c r="GC23">
        <f t="shared" si="80"/>
        <v>1</v>
      </c>
      <c r="GD23">
        <f>IF(BH23="","",IF(AND(CA23=1,GC23=1),COUNTIFS(A$3:A23,A23,CA$3:CA23,1,GC$3:GC23,1),IF(OR(OR(AW23=1,A23&lt;&gt;A22),AF23="вручную",GC23=0),"",IF(AW23=1,"",GE22))))</f>
        <v>21</v>
      </c>
      <c r="GE23">
        <f t="shared" si="81"/>
        <v>21</v>
      </c>
      <c r="GF23">
        <f>IF(B23="","",IFERROR(LOOKUP(INDEX(CHOOSE(DL23,Iдоп_1ж,Iдоп_2ж,Iдоп_3ж),MATCH(DX23,Iдоп_S,0))*DJ23*DK23,{6,10,16,20,25,32,40,50,63,80,100,125,160,200,250,315,400,500,630}),""))</f>
        <v>50</v>
      </c>
      <c r="GG23" t="str">
        <f t="shared" si="82"/>
        <v>QF21</v>
      </c>
      <c r="GH23" t="str">
        <f t="shared" si="83"/>
        <v>QF21</v>
      </c>
      <c r="GI23" t="str">
        <f t="shared" si="84"/>
        <v/>
      </c>
      <c r="GJ23">
        <f t="shared" si="85"/>
        <v>0</v>
      </c>
      <c r="GK23" t="str">
        <f>IF(OR(AG23="",AG23="-"),"",IFERROR(VLOOKUP(AG23,Модули_спр,2,FALSE),"R"))</f>
        <v/>
      </c>
      <c r="GL23" t="str">
        <f>IF(GK23="","",GK23&amp;"."&amp;COUNTIFS(A$3:A23,A23,GK$3:GK23,GK23))</f>
        <v/>
      </c>
      <c r="GM23" t="str">
        <f t="shared" si="86"/>
        <v/>
      </c>
      <c r="GN23" t="str">
        <f t="shared" si="87"/>
        <v/>
      </c>
      <c r="GO23" t="str">
        <f t="shared" si="88"/>
        <v/>
      </c>
      <c r="GP23" t="str">
        <f t="shared" si="89"/>
        <v/>
      </c>
      <c r="GQ23">
        <f t="shared" si="90"/>
        <v>1</v>
      </c>
      <c r="GR23" t="str">
        <f>IF(GQ23=1,"XT"&amp;COUNTIFS(A$3:A23,A23,GQ$3:GQ23,1),"")</f>
        <v>XT18</v>
      </c>
      <c r="GS23" t="str">
        <f t="shared" si="91"/>
        <v>XT18</v>
      </c>
      <c r="GT23" t="str">
        <f t="shared" si="92"/>
        <v>QF21</v>
      </c>
      <c r="GU23" t="str">
        <f t="shared" si="93"/>
        <v/>
      </c>
      <c r="GV23" t="str">
        <f t="shared" si="94"/>
        <v>ПЕРЕГРУЗ</v>
      </c>
      <c r="GW23" t="str">
        <f>IF(OR(GO23="",GM23=""),"",IF(GO23&gt;IFERROR(VLOOKUP(GN23,Модули_спр,3,FALSE),99),"ЛИШНИЙ КАНАЛ",IF(AND(AH23&lt;&gt;"=",COUNTIFS(Линии[_модуль гр.],GM23,Линии[Канал (итог)],GO23,Линии[Канал],"&lt;&gt;=",Линии[Щит],A23)&gt;1),"ДУБЛЬ КАНАЛА","")))</f>
        <v/>
      </c>
      <c r="GX23" s="6" t="str">
        <f t="shared" si="95"/>
        <v/>
      </c>
      <c r="GY23">
        <f t="shared" si="96"/>
        <v>10</v>
      </c>
      <c r="GZ23" t="str">
        <f t="shared" si="97"/>
        <v/>
      </c>
      <c r="HA23" t="str">
        <f>IF(AND(B23="",GT23=""),"",_xlfn.TEXTJOIN("; ",TRUE,IF(AND(B23&lt;&gt;"",FE23=""),"нет фазы",""),IF(AND(B23&lt;&gt;"",N(FY23)=0,EQ23&lt;&gt;"Нет"),"нет мощности",""),IF(AND(GS23&lt;&gt;"",COUNTIFS(Линии[Щит],A23,Линии[Клемма (итог)],GS23)&gt;1),"дубль клеммы "&amp;GS23,""),IF(AND(GV23&lt;&gt;"",GV23&lt;&gt;"ok"),GV23,""),IF(GW23&lt;&gt;"",GW23,""),IF(AND(N(BV23)&gt;=4,N(BR23)=1),BV23&amp;" жил на 1 фазе",""),IF(AND(AX23="R",CA23=1,OR(N(CK23)=0,N(CK23)&gt;30)),"розетка без дифзащиты до 30 мА",""),IFERROR(IF(AND(ISNUMBER(R23),R23&gt;DV23),"потери "&amp;FIXED(R23,1)&amp;" % &gt; "&amp;DV23&amp;" %",""),""),IFERROR(IF(LEFT(GZ23,4)="мало","Iкз мало — отключение &gt; 0,4 с",""),""),IF(AND(B23&lt;&gt;"",BH23=""),"не на схеме",""),IF(AND(CA23=0,B23&lt;&gt;"",FE23&lt;&gt;"",IF(AW23=1,"",FF22)&lt;&gt;"",FE23&lt;&gt;IF(AW23=1,"",FF22)),"фаза не как у автомата группы ("&amp;IF(AW23=1,"",FF22)&amp;")","")))</f>
        <v>ПЕРЕГРУЗ; потери 4,5 % &gt; 4 %</v>
      </c>
      <c r="HB23" s="6" t="str">
        <f>IF(OR(CA23=0,DA23=""),"",_xlfn.LET(_xlpm.t,IFERROR(_xlfn.XLOOKUP(DA23,Каталог!$U$4:$U$500,Каталог!$G$4:$G$500),""),_xlpm.k,SEARCH("кА",_xlpm.t),IFERROR(--TRIM(RIGHT(SUBSTITUTE(MID(_xlpm.t,MAX(1,_xlpm.k-4),_xlpm.k-MAX(1,_xlpm.k-4))," ",REPT(" ",9)),5)),"")))</f>
        <v/>
      </c>
      <c r="HC23" t="str">
        <f>IF(OR(HB23="",CA23=0),"",IF(_xlfn.XLOOKUP(A23,Щиты[Щит],Щиты[Iкз max на шинах, кА],"")="","",IF(HB23&lt;_xlfn.XLOOKUP(A23,Щиты[Щит],Щиты[Iкз max на шинах, кА]),"Icu "&amp;HB23&amp;" кА &lt; Iкз max","ok")))</f>
        <v/>
      </c>
      <c r="HD23" t="str">
        <f t="shared" si="98"/>
        <v/>
      </c>
      <c r="HE23" t="str">
        <f t="shared" si="99"/>
        <v>QF21|XT18</v>
      </c>
      <c r="HF23" t="str">
        <f t="shared" si="100"/>
        <v>QF21|XT18|кабель ВВГнг(А)-LS (3х6) → Флоатинг. Цокольный этаж этаж Пом. №023A</v>
      </c>
      <c r="HG23" t="str" cm="1">
        <f t="array" ref="HG23">IF(HF23="","",_xlfn.LET(_xlpm.nd,_xlfn.TEXTSPLIT(HF23,"|"),IF(COLUMNS(_xlpm.nd)&gt;1,A23&amp;"¦"&amp;INDEX(_xlpm.nd,1)&amp;"¦"&amp;INDEX(_xlpm.nd,2),"")))</f>
        <v>ГРЩ-ЖД¦QF21¦XT18</v>
      </c>
      <c r="HH23" t="str">
        <f t="shared" si="101"/>
        <v>Э.4¦Флоатинг. Цокольный этаж этаж Пом. №023A</v>
      </c>
      <c r="HI23" t="str" cm="1">
        <f t="array" ref="HI23">IF(HF23="","",_xlfn.LET(_xlpm.nd,_xlfn.TEXTSPLIT(HF23,"|"),IF(COLUMNS(_xlpm.nd)&gt;2,A23&amp;"¦"&amp;INDEX(_xlpm.nd,2)&amp;"¦"&amp;INDEX(_xlpm.nd,3),"")))</f>
        <v>ГРЩ-ЖД¦XT18¦кабель ВВГнг(А)-LS (3х6) → Флоатинг. Цокольный этаж этаж Пом. №023A</v>
      </c>
      <c r="HJ23" t="str">
        <f t="shared" si="102"/>
        <v>Э.4¦Флоатинг. Цокольный этаж этаж Пом. №023A</v>
      </c>
      <c r="HK23" t="str" cm="1">
        <f t="array" ref="HK23">IF(HF23="","",_xlfn.LET(_xlpm.nd,_xlfn.TEXTSPLIT(HF23,"|"),IF(COLUMNS(_xlpm.nd)&gt;3,A23&amp;"¦"&amp;INDEX(_xlpm.nd,3)&amp;"¦"&amp;INDEX(_xlpm.nd,4),"")))</f>
        <v/>
      </c>
      <c r="HL23" t="str">
        <f t="shared" si="103"/>
        <v/>
      </c>
      <c r="HM23" t="str" cm="1">
        <f t="array" ref="HM23">IF(HF23="","",_xlfn.LET(_xlpm.nd,_xlfn.TEXTSPLIT(HF23,"|"),IF(COLUMNS(_xlpm.nd)&gt;4,A23&amp;"¦"&amp;INDEX(_xlpm.nd,4)&amp;"¦"&amp;INDEX(_xlpm.nd,5),"")))</f>
        <v/>
      </c>
      <c r="HN23" t="str">
        <f t="shared" si="104"/>
        <v/>
      </c>
      <c r="HO23" t="str" cm="1">
        <f t="array" ref="HO23">IF(HF23="","",_xlfn.LET(_xlpm.nd,_xlfn.TEXTSPLIT(HF23,"|"),IF(COLUMNS(_xlpm.nd)&gt;5,A23&amp;"¦"&amp;INDEX(_xlpm.nd,5)&amp;"¦"&amp;INDEX(_xlpm.nd,6),"")))</f>
        <v/>
      </c>
      <c r="HP23" t="str">
        <f t="shared" si="105"/>
        <v/>
      </c>
      <c r="HQ23" t="str" cm="1">
        <f t="array" ref="HQ23">IF(HF23="","",_xlfn.LET(_xlpm.nd,_xlfn.TEXTSPLIT(HF23,"|"),IF(COLUMNS(_xlpm.nd)&gt;6,A23&amp;"¦"&amp;INDEX(_xlpm.nd,6)&amp;"¦"&amp;INDEX(_xlpm.nd,7),"")))</f>
        <v/>
      </c>
      <c r="HR23" t="str">
        <f t="shared" si="106"/>
        <v/>
      </c>
      <c r="HS23" t="str">
        <f t="shared" si="107"/>
        <v/>
      </c>
      <c r="HT23" t="str">
        <f t="shared" si="108"/>
        <v>QF21 → XT18</v>
      </c>
      <c r="HU23">
        <f t="shared" si="109"/>
        <v>0</v>
      </c>
      <c r="HV23">
        <f t="shared" si="110"/>
        <v>0</v>
      </c>
      <c r="HW23" t="str">
        <f t="shared" si="111"/>
        <v/>
      </c>
      <c r="HX23" t="str">
        <f t="shared" si="112"/>
        <v/>
      </c>
      <c r="HY23" t="str">
        <f t="shared" si="113"/>
        <v/>
      </c>
      <c r="HZ23" t="str">
        <f t="shared" si="114"/>
        <v/>
      </c>
      <c r="IA23">
        <f>IF(B23="","",IFERROR(VLOOKUP(B23,УГО_спр,2,FALSE),IFERROR(VLOOKUP(AX23,УГО_спр,2,FALSE),IFERROR(VLOOKUP(LEFT(AX23,2),УГО_спр,2,FALSE),""))))</f>
        <v>0</v>
      </c>
      <c r="IB23" t="str">
        <f>IF(B23="","",IF(OR(IA23="",IA23=0),"BOX",IFERROR(IF(VLOOKUP(IA23,УГО_блоки,3,FALSE)&amp;""&lt;&gt;"",VLOOKUP(IA23,УГО_блоки,3,FALSE),VLOOKUP(IA23,УГО_блоки,2,FALSE)),IA23)))</f>
        <v>BOX</v>
      </c>
      <c r="IC23">
        <f t="shared" si="115"/>
        <v>1</v>
      </c>
      <c r="ID23">
        <f>IF(DA23="","",IF(COUNTIF(DA$3:DA23,DA23)=1,MAX(ID$2:ID22)+1,""))</f>
        <v>14</v>
      </c>
      <c r="IE23" t="str">
        <f>IF(CO23="","",IF(COUNTIF(CO$3:CO23,CO23)+COUNTIF(CP$2:CP22,CO23)+COUNTIF(CQ$2:CQ22,CO23)=1,MAX(IE$2:IG22)+1,""))</f>
        <v/>
      </c>
      <c r="IF23" t="str">
        <f>IF(CP23="","",IF(COUNTIF(CO$3:CO23,CP23)+COUNTIF(CP$3:CP23,CP23)+COUNTIF(CQ$2:CQ22,CP23)=1,MAX(IE$2:IG22,IE23)+1,""))</f>
        <v/>
      </c>
      <c r="IG23" t="str">
        <f>IF(CQ23="","",IF(COUNTIF(CO$3:CO23,CQ23)+COUNTIF(CP$3:CP23,CQ23)+COUNTIF(CQ$3:CQ23,CQ23)=1,MAX(IE$2:IG22,IE23,IF23)+1,""))</f>
        <v/>
      </c>
      <c r="IH23" t="str">
        <f t="shared" si="116"/>
        <v>3х6</v>
      </c>
      <c r="II23">
        <f>IF(IH23="","",IF(COUNTIF(IH$3:IH23,IH23)=1,MAX(II$2:II22)+1,""))</f>
        <v>9</v>
      </c>
      <c r="IJ23" t="str">
        <f>IF(GL23="","",COUNTIF(GL$3:GL23,"?*"))</f>
        <v/>
      </c>
      <c r="IK23" t="str">
        <f>IF(OR(GL23="",GN23=""),"",IF(COUNTIFS(GL$3:GL23,"?*",GN$3:GN23,GN23)=1,MAX(IK$2:IK22)+1,""))</f>
        <v/>
      </c>
      <c r="IL23">
        <f t="shared" si="117"/>
        <v>2</v>
      </c>
      <c r="IM23">
        <f>IF(B23="","",COUNTIF(B$3:B23,"?*"))</f>
        <v>21</v>
      </c>
      <c r="IN23">
        <f>IF(GQ23&lt;&gt;1,0,_xlfn.LET(_xlpm.k,MAX(IFERROR(--VLOOKUP(B23,УГО_спр,5,FALSE),0),IFERROR(--VLOOKUP(AX23,УГО_спр,5,FALSE),0),IFERROR(--VLOOKUP(LEFT(AX23,2),УГО_спр,5,FALSE),0)),IF(_xlpm.k&gt;0,_xlpm.k,IF(IFERROR(--LEFT(SUBSTITUTE(IH23,"x","х"),FIND("х",SUBSTITUTE(IH23,"x","х"))-1),3)&gt;3,Каталог!$S$9,1))))</f>
        <v>1</v>
      </c>
      <c r="IO23">
        <f t="shared" si="118"/>
        <v>0</v>
      </c>
      <c r="IP23" t="str">
        <f t="shared" si="119"/>
        <v>авто</v>
      </c>
      <c r="IQ23" t="str">
        <f t="shared" si="120"/>
        <v/>
      </c>
      <c r="IR23">
        <f t="shared" si="121"/>
        <v>0</v>
      </c>
      <c r="IS23">
        <f t="shared" si="122"/>
        <v>1</v>
      </c>
    </row>
    <row r="24" spans="1:253" x14ac:dyDescent="0.3">
      <c r="A24" t="s">
        <v>785</v>
      </c>
      <c r="B24" t="s">
        <v>779</v>
      </c>
      <c r="C24" t="s">
        <v>1611</v>
      </c>
      <c r="D24">
        <v>1</v>
      </c>
      <c r="E24">
        <v>0.3</v>
      </c>
      <c r="G24">
        <v>6</v>
      </c>
      <c r="H24" t="str">
        <f>Линии[[#This Row],[_авто утечка]]</f>
        <v/>
      </c>
      <c r="I24" t="str">
        <f>Линии[[#This Row],[_авто управление]]</f>
        <v/>
      </c>
      <c r="J24" t="str">
        <f>Линии[[#This Row],[_авто аппараты]]</f>
        <v/>
      </c>
      <c r="K24">
        <v>2.5</v>
      </c>
      <c r="L24">
        <v>44</v>
      </c>
      <c r="M24" t="str">
        <f>Линии[[#This Row],[_авто фаза]]</f>
        <v>L1</v>
      </c>
      <c r="N24" t="s">
        <v>486</v>
      </c>
      <c r="O24" t="str">
        <f t="shared" si="0"/>
        <v/>
      </c>
      <c r="P24" s="6" cm="1">
        <f t="array" ref="P24">IF(B24="","",IF(BC24&lt;&gt;"",IFERROR(_xlfn.XLOOKUP(BC24,Щиты[Щит],Щиты[Iр, А]),""),IF(BK24=1,IFERROR(_xlfn.XLOOKUP(A24,Щиты[Щит],Щиты[Iр, А]),""),IFERROR(_xlfn.IFS(BR24=1,BN24/((Uн_лин/SQRT(3))*BY24),BR24=3,BN24/(SQRT(3)*Uн_лин*BY24)),""))))</f>
        <v>1.3674085322912188</v>
      </c>
      <c r="Q24" s="7">
        <f>IF(B24="","",IFERROR(IF(VLOOKUP(AX24,Потребители_обозначение,4,FALSE)=1,VLOOKUP(AX24,Потребители_обозначение,3,FALSE)*(D24*2-1)+DS24+VLOOKUP(AZ24,Этаж_обозначение,3,FALSE)+VLOOKUP(AZ24,Этаж_обозначение,4,FALSE),VLOOKUP(AX24,Потребители_обозначение,3,FALSE)*(D24*2-1)+DS24),DS24))</f>
        <v>44</v>
      </c>
      <c r="R24" s="6">
        <f t="shared" si="1"/>
        <v>0.45</v>
      </c>
      <c r="S24" t="str">
        <f t="shared" si="2"/>
        <v>ВВГнг(А)-LS (3х2,5)</v>
      </c>
      <c r="T24" t="str">
        <f>IF(BH24="","",IF(BI24="вводной узел","узел ","")&amp;"л."&amp;(INT((BH24-1)/Столбцов_на_лист)+1)&amp;" / "&amp;(MOD(BH24-1,Столбцов_на_лист)+1))</f>
        <v>л.4 / 3</v>
      </c>
      <c r="V24">
        <v>1</v>
      </c>
      <c r="W24">
        <v>230</v>
      </c>
      <c r="X24" t="s">
        <v>575</v>
      </c>
      <c r="AA24">
        <v>2</v>
      </c>
      <c r="AC24" t="s">
        <v>861</v>
      </c>
      <c r="AE24" t="s">
        <v>579</v>
      </c>
      <c r="AI24">
        <v>54</v>
      </c>
      <c r="AJ24" t="s">
        <v>11</v>
      </c>
      <c r="AK24">
        <v>3</v>
      </c>
      <c r="AM24">
        <v>21</v>
      </c>
      <c r="AN24">
        <v>15</v>
      </c>
      <c r="AW24" cm="1">
        <f t="array" ref="AW24">ROW()-ROW(Линии[#Headers])</f>
        <v>22</v>
      </c>
      <c r="AX24" s="6" t="str">
        <f t="shared" si="3"/>
        <v>SEC1-21</v>
      </c>
      <c r="AY24" t="str">
        <f t="shared" si="4"/>
        <v/>
      </c>
      <c r="AZ24" t="str">
        <f t="shared" si="5"/>
        <v/>
      </c>
      <c r="BA24" t="str">
        <f t="shared" si="6"/>
        <v/>
      </c>
      <c r="BB24" t="str">
        <f t="shared" si="7"/>
        <v/>
      </c>
      <c r="BC24" t="str">
        <f>IF(U24&lt;&gt;"",U24,IF(AND(B24&lt;&gt;"",B24&lt;&gt;A24,ISNUMBER(_xlfn.XMATCH(B24,Щиты[Щит]))),B24,""))</f>
        <v/>
      </c>
      <c r="BD24" t="str" cm="1">
        <f t="array" ref="BD24">IF(B24="","",IF(BC24&lt;&gt;"","Щит "&amp;BC24,_xlfn.LET(_xlpm.nm,IFERROR(_xlfn.XLOOKUP(AX24,Коды_код,Коды_имя)&amp;"",""),_xlpm.md,IFERROR(N(_xlfn.XLOOKUP(AX24,Коды_код,Коды_режим)),1),_xlpm.ex,IF(Имя_режим="по экспликации",IFERROR(_xlfn.XLOOKUP(AZ24&amp;"|"&amp;BB24,Экспликация[Этаж]&amp;"|"&amp;Экспликация[Помещение],Экспликация[Название])&amp;"",""),""),_xlpm.rm,IF(BB24="","",IF(_xlpm.ex&lt;&gt;"",". "&amp;_xlpm.ex&amp;IF(Имя_пом="нет"," ("&amp;BB24&amp;")"," (пом. "&amp;BB24&amp;")"),IF(Имя_пом="нет"," ",", пом. ")&amp;BB24)),IF(_xlpm.nm="","",IF(_xlpm.md=2,_xlpm.nm&amp;" шлейф "&amp;AZ24,_xlpm.nm&amp;_xlpm.rm)))))</f>
        <v/>
      </c>
      <c r="BE24" t="str">
        <f t="shared" si="8"/>
        <v>Щит охранной сигнализации Подвальный этаж этаж Пом. №007Т</v>
      </c>
      <c r="BF24">
        <f>IFERROR(_xlfn.XMATCH(A24,Щиты[Щит]),0)</f>
        <v>1</v>
      </c>
      <c r="BG24">
        <f>_xlfn.LET(_xlpm.k,IFERROR(_xlfn.XLOOKUP(A24,Щиты[Щит],Щиты[Листов под вводной узел]),""),IF(_xlpm.k="",1,N(_xlpm.k))*Столбцов_на_лист)</f>
        <v>17</v>
      </c>
      <c r="BH24">
        <f t="shared" si="9"/>
        <v>54</v>
      </c>
      <c r="BI24" t="str">
        <f t="shared" si="10"/>
        <v>линии</v>
      </c>
      <c r="BJ24" s="6">
        <f>IFERROR(N(_xlfn.XLOOKUP(AX24,Коды_код,Коды_квт)),0)</f>
        <v>0</v>
      </c>
      <c r="BK24">
        <f t="shared" si="11"/>
        <v>0</v>
      </c>
      <c r="BL24" t="str">
        <f>IF(B24="","",IF(BC24&lt;&gt;"",IFERROR(_xlfn.XLOOKUP(BC24,Щиты[Щит],Щиты[Руст, кВт]),0),IF(BK24=1,IFERROR(_xlfn.XLOOKUP(A24,Щиты[Щит],Щиты[Руст, кВт]),0),IF(BJ24&gt;0,ROUND(BJ24*MAX(1,N(D24)),3),""))))</f>
        <v/>
      </c>
      <c r="BM24">
        <f t="shared" si="12"/>
        <v>0.3</v>
      </c>
      <c r="BN24" s="6">
        <f>IF(B24="","",IF(BC24&lt;&gt;"",IFERROR(_xlfn.XLOOKUP(BC24,Щиты[Щит],Щиты[Руст, кВт]),0),N(BM24)))</f>
        <v>0.3</v>
      </c>
      <c r="BO24" t="str">
        <f>IF(B24="","",IFERROR(IF(VLOOKUP(AX24,Потребители_обозначение,8,FALSE)=0,"",VLOOKUP(AX24,Потребители_обозначение,8,FALSE)),""))</f>
        <v/>
      </c>
      <c r="BP24">
        <f t="shared" si="13"/>
        <v>230</v>
      </c>
      <c r="BQ24">
        <f>IF(B24="","",IF(BC24&lt;&gt;"",3,IFERROR(IF(N(VLOOKUP(AX24,Потребители_обозначение,9,FALSE))=0,1,VLOOKUP(AX24,Потребители_обозначение,9,FALSE)),1)))</f>
        <v>1</v>
      </c>
      <c r="BR24">
        <f t="shared" si="14"/>
        <v>1</v>
      </c>
      <c r="BS24" t="str">
        <f>IF(B24="","",_xlfn.LET(_xlpm.bc,IFERROR(IF(VLOOKUP(AX24,Потребители_обозначение,6,FALSE)=0,"",VLOOKUP(AX24,Потребители_обозначение,6,FALSE)&amp;""),""),IF(AND(FK24="да",OR(_xlpm.bc="",_xlpm.bc="мс")),Марка_пож,IF(AND(_xlpm.bc="",BC24&lt;&gt;""),"мс",_xlpm.bc))))</f>
        <v/>
      </c>
      <c r="BT24" t="str">
        <f t="shared" si="15"/>
        <v>мс</v>
      </c>
      <c r="BU24">
        <f>IF(B24="","",_xlfn.LET(_xlpm.cc,IFERROR(N(VLOOKUP(AX24,Потребители_обозначение,7,FALSE)),0),IF(_xlpm.cc&gt;0,_xlpm.cc,IF(BT24="","",IF(N(BR24)=3,5,3)))))</f>
        <v>3</v>
      </c>
      <c r="BV24">
        <f t="shared" si="16"/>
        <v>3</v>
      </c>
      <c r="BW24">
        <f>IFERROR(N(VLOOKUP(AX24,Потребители_обозначение,10,FALSE)),0)</f>
        <v>0</v>
      </c>
      <c r="BX24">
        <f>IFERROR(VLOOKUP(AX24,Потребители_обозначение,5,FALSE),0)</f>
        <v>0</v>
      </c>
      <c r="BY24" s="6" cm="1">
        <f t="array" ref="BY24">IF(B24="","",IF(BC24&lt;&gt;"",IFERROR(_xlfn.XLOOKUP(BC24,Щиты[Щит],Щиты[cos φ]),0.95),IF(BK24=1,IFERROR(_xlfn.XLOOKUP(A24,Щиты[Щит],Щиты[cos φ]),0.95),IF(ISNUMBER(Z24),Z24,IFERROR(IF(BX24=2,_xlfn.IFS(BR24=3,VLOOKUP(BN24,Справочная_двигатели,8,FALSE),BR24=1,VLOOKUP(BN24,Справочная_двигатели,10,TRUE)),IF(AND(Методика="нормы 2026",EQ24="Сил"),0.8,0.95)),0.95)))))</f>
        <v>0.95</v>
      </c>
      <c r="BZ24">
        <f t="shared" si="17"/>
        <v>0</v>
      </c>
      <c r="CA24">
        <f t="shared" si="18"/>
        <v>1</v>
      </c>
      <c r="CB24">
        <f t="shared" si="19"/>
        <v>0</v>
      </c>
      <c r="CC24">
        <f t="shared" si="20"/>
        <v>0</v>
      </c>
      <c r="CD24">
        <f t="shared" si="21"/>
        <v>0</v>
      </c>
      <c r="CE24">
        <f t="shared" si="22"/>
        <v>0</v>
      </c>
      <c r="CF24">
        <f t="shared" si="23"/>
        <v>0</v>
      </c>
      <c r="CG24">
        <f>IF(AX24="",0,_xlfn.LET(_xlpm.v,IFERROR(VLOOKUP(B24,УГО_спр,3,FALSE),IFERROR(VLOOKUP(AX24,УГО_спр,3,FALSE),IFERROR(VLOOKUP(LEFT(AX24,2),УГО_спр,3,FALSE),""))),IF(_xlpm.v="да",30,IF(ISNUMBER(_xlpm.v),_xlpm.v,0))))</f>
        <v>0</v>
      </c>
      <c r="CH24" t="str">
        <f t="shared" si="24"/>
        <v/>
      </c>
      <c r="CI24" t="str">
        <f>_xlfn.LET(_xlpm.k,IFERROR(_xlfn.XLOOKUP(AX24,Коды_код,Коды_утечка)&amp;"",""),IF(_xlpm.k="","дифавтомат",_xlpm.k))</f>
        <v>дифавтомат</v>
      </c>
      <c r="CJ24">
        <f t="shared" si="25"/>
        <v>0</v>
      </c>
      <c r="CK24">
        <f t="shared" si="26"/>
        <v>0</v>
      </c>
      <c r="CL24">
        <f>IF(B24="",0,IFERROR(--VLOOKUP(B24,УГО_спр,4,FALSE),IFERROR(--VLOOKUP(AX24,УГО_спр,4,FALSE),IFERROR(--VLOOKUP(LEFT(AX24,2),УГО_спр,4,FALSE),0))))</f>
        <v>0</v>
      </c>
      <c r="CM24" t="str">
        <f>IF(B24="","",IFERROR(_xlfn.XLOOKUP(AX24,Коды_код,Коды_апп)&amp;"",""))</f>
        <v/>
      </c>
      <c r="CN24" t="str">
        <f t="shared" si="27"/>
        <v/>
      </c>
      <c r="CO24" t="str" cm="1">
        <f t="array" ref="CO24">IF(TRIM(CN24&amp;"")="","",IFERROR(TRIM(INDEX(_xlfn.TEXTSPLIT(CN24&amp;";;;",";"),1)),""))</f>
        <v/>
      </c>
      <c r="CP24" t="str" cm="1">
        <f t="array" ref="CP24">IF(TRIM(CN24&amp;"")="","",IFERROR(TRIM(INDEX(_xlfn.TEXTSPLIT(CN24&amp;";;;",";"),2)),""))</f>
        <v/>
      </c>
      <c r="CQ24" t="str" cm="1">
        <f t="array" ref="CQ24">IF(TRIM(CN24&amp;"")="","",IFERROR(TRIM(INDEX(_xlfn.TEXTSPLIT(CN24&amp;";;;",";"),3)),""))</f>
        <v/>
      </c>
      <c r="CR24">
        <f t="shared" si="28"/>
        <v>0</v>
      </c>
      <c r="CS24" t="str">
        <f>IF(B24="","",_xlfn.LET(_xlpm.t,LOWER(AV24&amp;""),IF(ISNUMBER(SEARCH("dim",_xlpm.t)),"DIM",IF(ISNUMBER(SEARCH("dali",_xlpm.t)),"DALI",IF(OR(ISNUMBER(SEARCH("relay",_xlpm.t)),ISNUMBER(SEARCH("реле",_xlpm.t))),"Relay",IF(ISNUMBER(SEARCH("кнопк",_xlpm.t)),"",IFERROR(_xlfn.XLOOKUP(AX24,Коды_код,Коды_упр)&amp;"","")))))))</f>
        <v/>
      </c>
      <c r="CT24" t="str">
        <f t="shared" si="29"/>
        <v/>
      </c>
      <c r="CU24">
        <f>IF(B24="","",_xlfn.LET(_xlpm.ig,N(P24)+IF(AF24="вручную",0,N(CB24)),_xlpm.n0,IFERROR(VLOOKUP(_xlpm.ig,Автомат_номиналы,2,TRUE),0),_xlpm.mn,MAX(CL24,IF(AF24="вручную",0,N(CE24))),MAX(_xlpm.n0,_xlpm.mn,IF(CR24=1,Мин_автомат_БП,0))))</f>
        <v>6</v>
      </c>
      <c r="CV24">
        <f t="shared" si="30"/>
        <v>1</v>
      </c>
      <c r="CW24" t="str">
        <f t="shared" si="31"/>
        <v>1P</v>
      </c>
      <c r="CX24" t="str">
        <f>_xlfn.LET(_xlpm.cc,UPPER(TRIM(IFERROR(_xlfn.XLOOKUP(AX24,Коды_код,Коды_хар)&amp;"",""))),IF(OR(_xlpm.cc="B",_xlpm.cc="В"),"B",IF(_xlpm.cc="D","D","С")))</f>
        <v>С</v>
      </c>
      <c r="CY24" t="str">
        <f t="shared" si="32"/>
        <v>1P С6А</v>
      </c>
      <c r="CZ24">
        <f t="shared" si="33"/>
        <v>6</v>
      </c>
      <c r="DA24" t="str">
        <f t="shared" si="34"/>
        <v>1P С6А</v>
      </c>
      <c r="DB24" cm="1">
        <f t="array" ref="DB24">IF(DA24="","",_xlfn.LET(_xlpm.t,SUBSTITUTE(SUBSTITUTE(SUBSTITUTE(UPPER(DA24),"С","C"),"А","A"),"В","B"),_xlpm.tk,_xlfn.TEXTSPLIT(_xlpm.t,"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4" t="str">
        <f t="shared" si="35"/>
        <v>ok</v>
      </c>
      <c r="DD24">
        <f t="shared" si="36"/>
        <v>6</v>
      </c>
      <c r="DE24" t="str">
        <f t="shared" si="37"/>
        <v>1P С6А</v>
      </c>
      <c r="DF24">
        <f t="shared" si="38"/>
        <v>0</v>
      </c>
      <c r="DG24">
        <f t="shared" si="39"/>
        <v>0</v>
      </c>
      <c r="DH24">
        <f t="shared" si="40"/>
        <v>0</v>
      </c>
      <c r="DI24">
        <f t="shared" si="41"/>
        <v>1.3674085322912188</v>
      </c>
      <c r="DJ24">
        <f t="shared" si="42"/>
        <v>1</v>
      </c>
      <c r="DK24">
        <f>IF(ISNUMBER(AL24),AL24,К_прокл)</f>
        <v>1</v>
      </c>
      <c r="DL24">
        <f t="shared" si="43"/>
        <v>2</v>
      </c>
      <c r="DM24">
        <f>IFERROR(N(VLOOKUP(BT24,Кабель_обозначение,3,FALSE)),1)</f>
        <v>1</v>
      </c>
      <c r="DN24">
        <f>IFERROR(N(_xlfn.XLOOKUP(A24,Щиты[Щит],Щиты[ΔU до шин, %])),0)</f>
        <v>0</v>
      </c>
      <c r="DO24" t="str">
        <f>IFERROR(_xlfn.XLOOKUP(A24,Щиты[Щит],Щиты[Zпетли на шинах, Ом]),"")</f>
        <v/>
      </c>
      <c r="DP24">
        <f>IFERROR(N(_xlfn.XLOOKUP(A24,Щиты[Щит],Щиты[ΔU до шин (подбор), %])),0)</f>
        <v>0</v>
      </c>
      <c r="DQ24" t="str">
        <f>IFERROR(_xlfn.XLOOKUP(A24,Щиты[Щит],Щиты[Zпетли на шинах (подбор), Ом]),"")</f>
        <v/>
      </c>
      <c r="DR24" t="str">
        <f t="shared" si="44"/>
        <v/>
      </c>
      <c r="DS24">
        <f t="shared" si="45"/>
        <v>44</v>
      </c>
      <c r="DT24">
        <f t="shared" si="46"/>
        <v>2</v>
      </c>
      <c r="DU24">
        <f t="shared" si="47"/>
        <v>0.31</v>
      </c>
      <c r="DV24" s="6">
        <f>IF(B24="","",IF(IFERROR(VLOOKUP(AX24,УГО_спр,2,FALSE),"")="Светильник",3,4)+IF(Методика="нормы 2026",MIN(0.5,MAX(0,N(Q24)-100)*0.005),0))</f>
        <v>4</v>
      </c>
      <c r="DW24" cm="1">
        <f t="array" ref="DW24">IF(OR(B24="",BT24="",DM24&lt;&gt;1),"",_xlfn.LET(_xlpm.sz,Iдоп_S,_xlpm.t_,CHOOSE(DL24,Iдоп_1ж,Iдоп_2ж,Iдоп_3ж)*DJ24*DK24,_xlpm.inn,N(DD24),_xlpm.smin,MAX(1.5,BW24),_xlpm.L_,N(Q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24)*(_xlpm.rho*_xlpm.L_/_xlpm.sz*N(BY24)+_xlpm.xx*_xlpm.L_*N(DU24)/1000)*N(P24)/((Uн_лин/SQRT(3))*1000)*100,999),_xlpm.kz,IF(OR(DG24=1,NOT(ISNUMBER(DQ24)),_xlpm.L_=0,_xlpm.inn=0),1,IFERROR(--(c_min*(Uн_лин*1000/SQRT(3))/(DQ24+2*ρкз_Cu*_xlpm.L_/_xlpm.sz)&gt;=GY24*_xlpm.inn),0)),_xlpm.ok,IFERROR((_xlpm.sz&gt;=_xlpm.smin)*(_xlpm.t_&gt;=_xlpm.inn)*IF(_xlpm.L_&gt;0,(_xlpm.du_+DP24&lt;=DV24+0.00001),1)*_xlpm.kz,0),_xlpm.r_,_xlfn._xlws.FILTER(_xlpm.sz,_xlpm.ok,"не подобрано"),INDEX(_xlpm.r_,1)))</f>
        <v>1.5</v>
      </c>
      <c r="DX24">
        <f t="shared" si="48"/>
        <v>2.5</v>
      </c>
      <c r="DY24" cm="1">
        <f t="array" ref="DY24">IF(OR(B24="",BT24="",DM24&lt;&gt;1),"",_xlfn.LET(_xlpm.sz,Iдоп_S,_xlpm.t_,CHOOSE(DL24,Iдоп_1ж,Iдоп_2ж,Iдоп_3ж)*DJ24*DK24,_xlpm.ok,IFERROR((_xlpm.sz&gt;=MAX(1.5,BW24))*(_xlpm.t_&gt;=N(DD24)),0),_xlpm.r_,_xlfn._xlws.FILTER(_xlpm.sz,_xlpm.ok,""),INDEX(_xlpm.r_,1)))</f>
        <v>1.5</v>
      </c>
      <c r="DZ24" s="6" cm="1">
        <f t="array" ref="DZ24">IFERROR(ROUNDUP(N(DT24)*(_xlfn.XLOOKUP(DY24,INDEX(Кабель_сопротивление,0,1),INDEX(Кабель_сопротивление,0,3))*N(Q24)/DY24*N(BY24)+_xlfn.XLOOKUP(DY24,INDEX(Кабель_сопротивление,0,1),INDEX(Кабель_сопротивление,0,2))*N(Q24)*N(DU24)/1000)*N(P24)/((Uн_лин/SQRT(3))*1000)*100,2),"")</f>
        <v>0.75</v>
      </c>
      <c r="EA24">
        <f>IFERROR(2*ρкз_Cu*N(Q24)/DY24,"")</f>
        <v>1.5429333333333333</v>
      </c>
      <c r="EB24">
        <f>IFERROR(VLOOKUP(DX24,Кабель_сопротивление,3,FALSE),"")</f>
        <v>2.2499999999999999E-2</v>
      </c>
      <c r="EC24">
        <f>IFERROR(VLOOKUP(DX24,Кабель_сопротивление,2,FALSE),"")</f>
        <v>0.1</v>
      </c>
      <c r="ED24">
        <f t="shared" si="49"/>
        <v>15</v>
      </c>
      <c r="EE24" t="str">
        <f t="shared" si="50"/>
        <v/>
      </c>
      <c r="EF24">
        <f t="shared" si="51"/>
        <v>1.0325684701720035</v>
      </c>
      <c r="EG24" s="6">
        <f>IFERROR(ROUNDUP(EF24/((Uн_лин/SQRT(3))*1000)*100,2),"")</f>
        <v>0.45</v>
      </c>
      <c r="EH24" t="str">
        <f>IFERROR(VLOOKUP(BT24,Кабель_обозначение,2,FALSE),"")</f>
        <v>ВВГнг(А)-LS</v>
      </c>
      <c r="EI24" t="str">
        <f t="shared" si="52"/>
        <v>ВВГнг(А)-LS (3х2,5)</v>
      </c>
      <c r="EJ24" t="str">
        <f t="shared" si="53"/>
        <v>ВВГнг(А)-LS (3х2,5)
L=44-0,45%</v>
      </c>
      <c r="EK24">
        <f>IFERROR(2*ρкз_Cu*Q24/DX24,"")</f>
        <v>0.92576000000000003</v>
      </c>
      <c r="EL24">
        <f t="shared" si="54"/>
        <v>0.308</v>
      </c>
      <c r="EM24" s="6" t="str">
        <f>IFERROR(IF(OR(B24="",NOT(ISNUMBER(DX24)),N(Q24)=0),"",_xlfn.XLOOKUP(A24,Щиты[Щит],Щиты[Zпетли на шинах, Ом])+EK24),"")</f>
        <v/>
      </c>
      <c r="EN24" s="6" t="str">
        <f>IF(ISNUMBER(EM24),c_min*(Uн_лин*1000/SQRT(3))/EM24,"")</f>
        <v/>
      </c>
      <c r="EO24" s="6" t="str">
        <f>IFERROR(IF(OR(B24="",NOT(ISNUMBER(DX24))),"",1.05*(Uн_лин*1000/SQRT(3))/(_xlfn.XLOOKUP(A24,Щиты[Щит],Щиты[Zmax на шинах, Ом])+EL24)/1000),"")</f>
        <v/>
      </c>
      <c r="EP24" s="6" t="str">
        <f>IF(B24="","",IF(ISNUMBER(Y24),"Сил",IF(IFERROR(_xlfn.XLOOKUP(AX24,Коды_код,Коды_группа)&amp;"","")="","Быт",_xlfn.XLOOKUP(AX24,Коды_код,Коды_группа)&amp;"")))</f>
        <v>Быт</v>
      </c>
      <c r="EQ24" s="6" t="str">
        <f t="shared" si="55"/>
        <v>Пост</v>
      </c>
      <c r="ER24" s="6">
        <f>IF(EQ24="Щит","щит",IF(EQ24="","",IF(EQ24="Быт",IFERROR(_xlfn.XLOOKUP(A24,Щиты[Щит],Щиты[Кс быт]),1),IF(EQ24="Сил",IF(ISNUMBER(Y24),Y24,IF(Методика="нормы 2026",IFERROR(_xlfn.XLOOKUP(A24,Щиты[Щит],Щиты[Кс силовых (табл. 7.5)]),1),1)),IF(OR(EQ24="Пост",EQ24="Отоп"),1,IF(EQ24="ВНГ",0.7,0))))))</f>
        <v>1</v>
      </c>
      <c r="ES24">
        <f t="shared" si="56"/>
        <v>2</v>
      </c>
      <c r="ET24">
        <f t="shared" si="57"/>
        <v>0.3</v>
      </c>
      <c r="EU24">
        <f t="shared" si="58"/>
        <v>0</v>
      </c>
      <c r="EV24">
        <f t="shared" si="59"/>
        <v>0</v>
      </c>
      <c r="EW24">
        <f t="shared" si="60"/>
        <v>0.3</v>
      </c>
      <c r="EX24">
        <f t="shared" si="61"/>
        <v>0</v>
      </c>
      <c r="EY24">
        <f t="shared" si="62"/>
        <v>0</v>
      </c>
      <c r="EZ24">
        <f t="shared" si="63"/>
        <v>0.3</v>
      </c>
      <c r="FA24">
        <f t="shared" si="64"/>
        <v>0.28499999999999998</v>
      </c>
      <c r="FB24">
        <f t="shared" si="65"/>
        <v>0.3</v>
      </c>
      <c r="FC24" t="str">
        <f t="shared" si="66"/>
        <v/>
      </c>
      <c r="FD24" t="str">
        <f>IF(B24="","",IF(CA24=0,IF(AW24=1,"",FF23),IF(OR(N(CV24)&gt;=3,N(BR24)&gt;=3),"L1,L2,L3",IFERROR(_xlfn.TEXTBEFORE(_xlfn.TEXTAFTER(_xlfn.XLOOKUP(A24,Щиты[Щит],Щиты[_фазы авто]),";"&amp;AW24&amp;":"),";"),"L1"))))</f>
        <v>L1</v>
      </c>
      <c r="FE24" t="str">
        <f t="shared" si="67"/>
        <v>L1</v>
      </c>
      <c r="FF24" t="str">
        <f t="shared" si="68"/>
        <v>L1</v>
      </c>
      <c r="FG24" cm="1">
        <f t="array" ref="FG24">IFERROR(IF(BX24=2,_xlfn.IFS(BR24=3,VLOOKUP(BN24,Справочная_двигатели,3,FALSE),BR24=1,VLOOKUP(BN24,Справочная_двигатели,5,TRUE)),0),0)</f>
        <v>0</v>
      </c>
      <c r="FH24">
        <f>IFERROR(IF(BX24=3,VLOOKUP(BN24,Справочная_ЛЭД,2,TRUE),0),0)</f>
        <v>0</v>
      </c>
      <c r="FI24" s="6">
        <f t="shared" si="69"/>
        <v>0</v>
      </c>
      <c r="FJ24" t="str" cm="1">
        <f t="array" ref="FJ24">IF(B24="","",IFERROR(INDEX({"I особая","I","II","III"},MATCH(TRIM(AC24&amp;""),{"I особая","I","II","III"},0)),"III"))</f>
        <v>I</v>
      </c>
      <c r="FK24" t="str">
        <f>IF(B24="","",IF(TRIM(AD24&amp;"")&lt;&gt;"",IF(LOWER(TRIM(AD24&amp;""))="да","да","нет"),IF(IFERROR(_xlfn.XLOOKUP(AX24,Коды_код,Коды_пожарная),"")="да","да","нет")))</f>
        <v>нет</v>
      </c>
      <c r="FL24" t="str">
        <f t="shared" si="70"/>
        <v/>
      </c>
      <c r="FM24" t="str">
        <f t="shared" si="71"/>
        <v>основная</v>
      </c>
      <c r="FN24">
        <f t="shared" si="72"/>
        <v>2</v>
      </c>
      <c r="FO24" t="str" cm="1">
        <f t="array" ref="FO24">IF(B24="","",_xlfn.LET(_xlpm.t,IFERROR(_xlfn.XLOOKUP(1,(Шины[Шина]=FM24)*(((Шины[Щит]=A24)+(Шины[Щит]=""))&gt;0),Шины[Тип]),"")&amp;"",IF(_xlpm.t&lt;&gt;"",_xlpm.t,IF(ISNUMBER(SEARCH("ИБП",FM24)),"ИБП",IF(ISNUMBER(SEARCH("ДГУ",FM24)),"ДГУ","Ввод "&amp;FN24)))))</f>
        <v>Ввод 2</v>
      </c>
      <c r="FP24" t="str">
        <f t="shared" si="73"/>
        <v>Ввод 2</v>
      </c>
      <c r="FQ24" t="str">
        <f>IF(B24="","",IF(OR(FO24="ИБП",FO24="ДГУ"),"I особая",IF(FO24="Одиночная","III",_xlfn.XLOOKUP(A24,Щиты[Щит],Щиты[Категория шины «Ввод»],"III"))))</f>
        <v>I</v>
      </c>
      <c r="FR24">
        <f>IF(B24="",0,IFERROR(MATCH(FJ24,{"III","II","I","I особая"},0),1))</f>
        <v>3</v>
      </c>
      <c r="FS24">
        <f t="shared" si="74"/>
        <v>3</v>
      </c>
      <c r="FT24" t="str">
        <f>IF(B24="","",IF(FR24&gt;IFERROR(MATCH(FQ24,{"III","II","I","I особая"},0),1),"НЕ ОБЕСПЕЧЕНА","ОК"))</f>
        <v>ОК</v>
      </c>
      <c r="FU24" t="str">
        <f>IF(A24="","",_xlfn.XLOOKUP(A24,Щиты[Щит],Щиты[Путь],""))</f>
        <v>|ГРЩ-ЖД|</v>
      </c>
      <c r="FV24" t="str">
        <f>IF(B24="","",IF(AE24&lt;&gt;"",AE24,IF(IFERROR(_xlfn.XLOOKUP(AX24,Коды_код,Коды_вид)&amp;"","")="","Прочее",_xlfn.XLOOKUP(AX24,Коды_код,Коды_вид)&amp;"")))</f>
        <v>Системы безопасности и связи</v>
      </c>
      <c r="FW24">
        <f>IF(BH24="","",INT((BH24-1)/Столбцов_на_лист)+1)</f>
        <v>4</v>
      </c>
      <c r="FX24" t="str">
        <f t="shared" si="75"/>
        <v>ВВГнг(А)-LS (3х2,5) L=44-0,45%</v>
      </c>
      <c r="FY24">
        <f t="shared" si="76"/>
        <v>0.3</v>
      </c>
      <c r="FZ24">
        <f t="shared" si="77"/>
        <v>1.37</v>
      </c>
      <c r="GA24">
        <f t="shared" si="78"/>
        <v>1</v>
      </c>
      <c r="GB24">
        <f t="shared" si="79"/>
        <v>0</v>
      </c>
      <c r="GC24">
        <f t="shared" si="80"/>
        <v>1</v>
      </c>
      <c r="GD24">
        <f>IF(BH24="","",IF(AND(CA24=1,GC24=1),COUNTIFS(A$3:A24,A24,CA$3:CA24,1,GC$3:GC24,1),IF(OR(OR(AW24=1,A24&lt;&gt;A23),AF24="вручную",GC24=0),"",IF(AW24=1,"",GE23))))</f>
        <v>22</v>
      </c>
      <c r="GE24">
        <f t="shared" si="81"/>
        <v>22</v>
      </c>
      <c r="GF24">
        <f>IF(B24="","",IFERROR(LOOKUP(INDEX(CHOOSE(DL24,Iдоп_1ж,Iдоп_2ж,Iдоп_3ж),MATCH(DX24,Iдоп_S,0))*DJ24*DK24,{6,10,16,20,25,32,40,50,63,80,100,125,160,200,250,315,400,500,630}),""))</f>
        <v>25</v>
      </c>
      <c r="GG24" t="str">
        <f t="shared" si="82"/>
        <v>QF22</v>
      </c>
      <c r="GH24" t="str">
        <f t="shared" si="83"/>
        <v>QF22</v>
      </c>
      <c r="GI24" t="str">
        <f t="shared" si="84"/>
        <v/>
      </c>
      <c r="GJ24">
        <f t="shared" si="85"/>
        <v>0</v>
      </c>
      <c r="GK24" t="str">
        <f>IF(OR(AG24="",AG24="-"),"",IFERROR(VLOOKUP(AG24,Модули_спр,2,FALSE),"R"))</f>
        <v/>
      </c>
      <c r="GL24" t="str">
        <f>IF(GK24="","",GK24&amp;"."&amp;COUNTIFS(A$3:A24,A24,GK$3:GK24,GK24))</f>
        <v/>
      </c>
      <c r="GM24" t="str">
        <f t="shared" si="86"/>
        <v/>
      </c>
      <c r="GN24" t="str">
        <f t="shared" si="87"/>
        <v/>
      </c>
      <c r="GO24" t="str">
        <f t="shared" si="88"/>
        <v/>
      </c>
      <c r="GP24" t="str">
        <f t="shared" si="89"/>
        <v/>
      </c>
      <c r="GQ24">
        <f t="shared" si="90"/>
        <v>1</v>
      </c>
      <c r="GR24" t="str">
        <f>IF(GQ24=1,"XT"&amp;COUNTIFS(A$3:A24,A24,GQ$3:GQ24,1),"")</f>
        <v>XT19</v>
      </c>
      <c r="GS24" t="str">
        <f t="shared" si="91"/>
        <v/>
      </c>
      <c r="GT24" t="str">
        <f t="shared" si="92"/>
        <v>QF22</v>
      </c>
      <c r="GU24" t="str">
        <f t="shared" si="93"/>
        <v/>
      </c>
      <c r="GV24" t="str">
        <f t="shared" si="94"/>
        <v>ok</v>
      </c>
      <c r="GW24" t="str">
        <f>IF(OR(GO24="",GM24=""),"",IF(GO24&gt;IFERROR(VLOOKUP(GN24,Модули_спр,3,FALSE),99),"ЛИШНИЙ КАНАЛ",IF(AND(AH24&lt;&gt;"=",COUNTIFS(Линии[_модуль гр.],GM24,Линии[Канал (итог)],GO24,Линии[Канал],"&lt;&gt;=",Линии[Щит],A24)&gt;1),"ДУБЛЬ КАНАЛА","")))</f>
        <v/>
      </c>
      <c r="GX24" s="6" t="str">
        <f t="shared" si="95"/>
        <v/>
      </c>
      <c r="GY24">
        <f t="shared" si="96"/>
        <v>10</v>
      </c>
      <c r="GZ24" t="str">
        <f t="shared" si="97"/>
        <v/>
      </c>
      <c r="HA24" t="str">
        <f>IF(AND(B24="",GT24=""),"",_xlfn.TEXTJOIN("; ",TRUE,IF(AND(B24&lt;&gt;"",FE24=""),"нет фазы",""),IF(AND(B24&lt;&gt;"",N(FY24)=0,EQ24&lt;&gt;"Нет"),"нет мощности",""),IF(AND(GS24&lt;&gt;"",COUNTIFS(Линии[Щит],A24,Линии[Клемма (итог)],GS24)&gt;1),"дубль клеммы "&amp;GS24,""),IF(AND(GV24&lt;&gt;"",GV24&lt;&gt;"ok"),GV24,""),IF(GW24&lt;&gt;"",GW24,""),IF(AND(N(BV24)&gt;=4,N(BR24)=1),BV24&amp;" жил на 1 фазе",""),IF(AND(AX24="R",CA24=1,OR(N(CK24)=0,N(CK24)&gt;30)),"розетка без дифзащиты до 30 мА",""),IFERROR(IF(AND(ISNUMBER(R24),R24&gt;DV24),"потери "&amp;FIXED(R24,1)&amp;" % &gt; "&amp;DV24&amp;" %",""),""),IFERROR(IF(LEFT(GZ24,4)="мало","Iкз мало — отключение &gt; 0,4 с",""),""),IF(AND(B24&lt;&gt;"",BH24=""),"не на схеме",""),IF(AND(CA24=0,B24&lt;&gt;"",FE24&lt;&gt;"",IF(AW24=1,"",FF23)&lt;&gt;"",FE24&lt;&gt;IF(AW24=1,"",FF23)),"фаза не как у автомата группы ("&amp;IF(AW24=1,"",FF23)&amp;")","")))</f>
        <v/>
      </c>
      <c r="HB24" s="6" t="str">
        <f>IF(OR(CA24=0,DA24=""),"",_xlfn.LET(_xlpm.t,IFERROR(_xlfn.XLOOKUP(DA24,Каталог!$U$4:$U$500,Каталог!$G$4:$G$500),""),_xlpm.k,SEARCH("кА",_xlpm.t),IFERROR(--TRIM(RIGHT(SUBSTITUTE(MID(_xlpm.t,MAX(1,_xlpm.k-4),_xlpm.k-MAX(1,_xlpm.k-4))," ",REPT(" ",9)),5)),"")))</f>
        <v/>
      </c>
      <c r="HC24" t="str">
        <f>IF(OR(HB24="",CA24=0),"",IF(_xlfn.XLOOKUP(A24,Щиты[Щит],Щиты[Iкз max на шинах, кА],"")="","",IF(HB24&lt;_xlfn.XLOOKUP(A24,Щиты[Щит],Щиты[Iкз max на шинах, кА]),"Icu "&amp;HB24&amp;" кА &lt; Iкз max","ok")))</f>
        <v/>
      </c>
      <c r="HD24" t="str">
        <f t="shared" si="98"/>
        <v/>
      </c>
      <c r="HE24" t="str">
        <f t="shared" si="99"/>
        <v>QF22</v>
      </c>
      <c r="HF24" t="str">
        <f t="shared" si="100"/>
        <v>QF22|кабель ВВГнг(А)-LS (3х2,5) → Щит охранной сигнализации Подвальный этаж этаж Пом. №007Т</v>
      </c>
      <c r="HG24" t="str" cm="1">
        <f t="array" ref="HG24">IF(HF24="","",_xlfn.LET(_xlpm.nd,_xlfn.TEXTSPLIT(HF24,"|"),IF(COLUMNS(_xlpm.nd)&gt;1,A24&amp;"¦"&amp;INDEX(_xlpm.nd,1)&amp;"¦"&amp;INDEX(_xlpm.nd,2),"")))</f>
        <v>ГРЩ-ЖД¦QF22¦кабель ВВГнг(А)-LS (3х2,5) → Щит охранной сигнализации Подвальный этаж этаж Пом. №007Т</v>
      </c>
      <c r="HH24" t="str">
        <f t="shared" si="101"/>
        <v>SEC1-21¦Щит охранной сигнализации Подвальный этаж этаж Пом. №007Т</v>
      </c>
      <c r="HI24" t="str" cm="1">
        <f t="array" ref="HI24">IF(HF24="","",_xlfn.LET(_xlpm.nd,_xlfn.TEXTSPLIT(HF24,"|"),IF(COLUMNS(_xlpm.nd)&gt;2,A24&amp;"¦"&amp;INDEX(_xlpm.nd,2)&amp;"¦"&amp;INDEX(_xlpm.nd,3),"")))</f>
        <v/>
      </c>
      <c r="HJ24" t="str">
        <f t="shared" si="102"/>
        <v/>
      </c>
      <c r="HK24" t="str" cm="1">
        <f t="array" ref="HK24">IF(HF24="","",_xlfn.LET(_xlpm.nd,_xlfn.TEXTSPLIT(HF24,"|"),IF(COLUMNS(_xlpm.nd)&gt;3,A24&amp;"¦"&amp;INDEX(_xlpm.nd,3)&amp;"¦"&amp;INDEX(_xlpm.nd,4),"")))</f>
        <v/>
      </c>
      <c r="HL24" t="str">
        <f t="shared" si="103"/>
        <v/>
      </c>
      <c r="HM24" t="str" cm="1">
        <f t="array" ref="HM24">IF(HF24="","",_xlfn.LET(_xlpm.nd,_xlfn.TEXTSPLIT(HF24,"|"),IF(COLUMNS(_xlpm.nd)&gt;4,A24&amp;"¦"&amp;INDEX(_xlpm.nd,4)&amp;"¦"&amp;INDEX(_xlpm.nd,5),"")))</f>
        <v/>
      </c>
      <c r="HN24" t="str">
        <f t="shared" si="104"/>
        <v/>
      </c>
      <c r="HO24" t="str" cm="1">
        <f t="array" ref="HO24">IF(HF24="","",_xlfn.LET(_xlpm.nd,_xlfn.TEXTSPLIT(HF24,"|"),IF(COLUMNS(_xlpm.nd)&gt;5,A24&amp;"¦"&amp;INDEX(_xlpm.nd,5)&amp;"¦"&amp;INDEX(_xlpm.nd,6),"")))</f>
        <v/>
      </c>
      <c r="HP24" t="str">
        <f t="shared" si="105"/>
        <v/>
      </c>
      <c r="HQ24" t="str" cm="1">
        <f t="array" ref="HQ24">IF(HF24="","",_xlfn.LET(_xlpm.nd,_xlfn.TEXTSPLIT(HF24,"|"),IF(COLUMNS(_xlpm.nd)&gt;6,A24&amp;"¦"&amp;INDEX(_xlpm.nd,6)&amp;"¦"&amp;INDEX(_xlpm.nd,7),"")))</f>
        <v/>
      </c>
      <c r="HR24" t="str">
        <f t="shared" si="106"/>
        <v/>
      </c>
      <c r="HS24" t="str">
        <f t="shared" si="107"/>
        <v/>
      </c>
      <c r="HT24" t="str">
        <f t="shared" si="108"/>
        <v>QF22</v>
      </c>
      <c r="HU24">
        <f t="shared" si="109"/>
        <v>0</v>
      </c>
      <c r="HV24">
        <f t="shared" si="110"/>
        <v>0</v>
      </c>
      <c r="HW24" t="str">
        <f t="shared" si="111"/>
        <v/>
      </c>
      <c r="HX24" t="str">
        <f t="shared" si="112"/>
        <v/>
      </c>
      <c r="HY24" t="str">
        <f t="shared" si="113"/>
        <v/>
      </c>
      <c r="HZ24" t="str">
        <f t="shared" si="114"/>
        <v/>
      </c>
      <c r="IA24" t="str">
        <f>IF(B24="","",IFERROR(VLOOKUP(B24,УГО_спр,2,FALSE),IFERROR(VLOOKUP(AX24,УГО_спр,2,FALSE),IFERROR(VLOOKUP(LEFT(AX24,2),УГО_спр,2,FALSE),""))))</f>
        <v/>
      </c>
      <c r="IB24" t="str">
        <f>IF(B24="","",IF(OR(IA24="",IA24=0),"BOX",IFERROR(IF(VLOOKUP(IA24,УГО_блоки,3,FALSE)&amp;""&lt;&gt;"",VLOOKUP(IA24,УГО_блоки,3,FALSE),VLOOKUP(IA24,УГО_блоки,2,FALSE)),IA24)))</f>
        <v>BOX</v>
      </c>
      <c r="IC24">
        <f t="shared" si="115"/>
        <v>1</v>
      </c>
      <c r="ID24">
        <f>IF(DA24="","",IF(COUNTIF(DA$3:DA24,DA24)=1,MAX(ID$2:ID23)+1,""))</f>
        <v>15</v>
      </c>
      <c r="IE24" t="str">
        <f>IF(CO24="","",IF(COUNTIF(CO$3:CO24,CO24)+COUNTIF(CP$2:CP23,CO24)+COUNTIF(CQ$2:CQ23,CO24)=1,MAX(IE$2:IG23)+1,""))</f>
        <v/>
      </c>
      <c r="IF24" t="str">
        <f>IF(CP24="","",IF(COUNTIF(CO$3:CO24,CP24)+COUNTIF(CP$3:CP24,CP24)+COUNTIF(CQ$2:CQ23,CP24)=1,MAX(IE$2:IG23,IE24)+1,""))</f>
        <v/>
      </c>
      <c r="IG24" t="str">
        <f>IF(CQ24="","",IF(COUNTIF(CO$3:CO24,CQ24)+COUNTIF(CP$3:CP24,CQ24)+COUNTIF(CQ$3:CQ24,CQ24)=1,MAX(IE$2:IG23,IE24,IF24)+1,""))</f>
        <v/>
      </c>
      <c r="IH24" t="str">
        <f t="shared" si="116"/>
        <v>3х2,5</v>
      </c>
      <c r="II24" t="str">
        <f>IF(IH24="","",IF(COUNTIF(IH$3:IH24,IH24)=1,MAX(II$2:II23)+1,""))</f>
        <v/>
      </c>
      <c r="IJ24" t="str">
        <f>IF(GL24="","",COUNTIF(GL$3:GL24,"?*"))</f>
        <v/>
      </c>
      <c r="IK24" t="str">
        <f>IF(OR(GL24="",GN24=""),"",IF(COUNTIFS(GL$3:GL24,"?*",GN$3:GN24,GN24)=1,MAX(IK$2:IK23)+1,""))</f>
        <v/>
      </c>
      <c r="IL24">
        <f t="shared" si="117"/>
        <v>0</v>
      </c>
      <c r="IM24">
        <f>IF(B24="","",COUNTIF(B$3:B24,"?*"))</f>
        <v>22</v>
      </c>
      <c r="IN24">
        <f>IF(GQ24&lt;&gt;1,0,_xlfn.LET(_xlpm.k,MAX(IFERROR(--VLOOKUP(B24,УГО_спр,5,FALSE),0),IFERROR(--VLOOKUP(AX24,УГО_спр,5,FALSE),0),IFERROR(--VLOOKUP(LEFT(AX24,2),УГО_спр,5,FALSE),0)),IF(_xlpm.k&gt;0,_xlpm.k,IF(IFERROR(--LEFT(SUBSTITUTE(IH24,"x","х"),FIND("х",SUBSTITUTE(IH24,"x","х"))-1),3)&gt;3,Каталог!$S$9,1))))</f>
        <v>1</v>
      </c>
      <c r="IO24">
        <f t="shared" si="118"/>
        <v>0</v>
      </c>
      <c r="IP24" t="str">
        <f t="shared" si="119"/>
        <v>авто</v>
      </c>
      <c r="IQ24" t="str">
        <f t="shared" si="120"/>
        <v/>
      </c>
      <c r="IR24">
        <f t="shared" si="121"/>
        <v>0</v>
      </c>
      <c r="IS24">
        <f t="shared" si="122"/>
        <v>1</v>
      </c>
    </row>
    <row r="25" spans="1:253" x14ac:dyDescent="0.3">
      <c r="A25" t="s">
        <v>785</v>
      </c>
      <c r="B25" t="s">
        <v>784</v>
      </c>
      <c r="C25" t="str">
        <f>Линии[[#This Row],[_авто наименование]]</f>
        <v>Щит ЩГП</v>
      </c>
      <c r="E25">
        <f>Линии[[#This Row],[_авто Р]]</f>
        <v>1.9000000000000006</v>
      </c>
      <c r="G25" t="str">
        <f>Линии[[#This Row],[_авто автомат]]</f>
        <v>3P С6А</v>
      </c>
      <c r="H25" t="str">
        <f>Линии[[#This Row],[_авто утечка]]</f>
        <v/>
      </c>
      <c r="I25" t="str">
        <f>Линии[[#This Row],[_авто управление]]</f>
        <v/>
      </c>
      <c r="J25" t="str">
        <f>Линии[[#This Row],[_авто аппараты]]</f>
        <v/>
      </c>
      <c r="K25">
        <f>Линии[[#This Row],[_авто сечение]]</f>
        <v>1.5</v>
      </c>
      <c r="L25" t="str">
        <f>Линии[[#This Row],[_авто длина по плану]]</f>
        <v/>
      </c>
      <c r="M25" t="str">
        <f>Линии[[#This Row],[_авто фаза]]</f>
        <v>L1,L2,L3</v>
      </c>
      <c r="N25" t="str">
        <f>Линии[[#This Row],[_авто клемма]]</f>
        <v>XT20</v>
      </c>
      <c r="O25" t="str">
        <f t="shared" si="0"/>
        <v>не на схеме</v>
      </c>
      <c r="P25" s="6" cm="1">
        <f t="array" ref="P25">IF(B25="","",IF(BC25&lt;&gt;"",IFERROR(_xlfn.XLOOKUP(BC25,Щиты[Щит],Щиты[Iр, А]),""),IF(BK25=1,IFERROR(_xlfn.XLOOKUP(A25,Щиты[Щит],Щиты[Iр, А]),""),IFERROR(_xlfn.IFS(BR25=1,BN25/((Uн_лин/SQRT(3))*BY25),BR25=3,BN25/(SQRT(3)*Uн_лин*BY25)),""))))</f>
        <v>2.3094010767585051</v>
      </c>
      <c r="Q25" s="7" t="str">
        <f>IF(B25="","",IFERROR(IF(VLOOKUP(AX25,Потребители_обозначение,4,FALSE)=1,VLOOKUP(AX25,Потребители_обозначение,3,FALSE)*(D25*2-1)+DS25+VLOOKUP(AZ25,Этаж_обозначение,3,FALSE)+VLOOKUP(AZ25,Этаж_обозначение,4,FALSE),VLOOKUP(AX25,Потребители_обозначение,3,FALSE)*(D25*2-1)+DS25),DS25))</f>
        <v/>
      </c>
      <c r="R25" s="6" t="str">
        <f t="shared" si="1"/>
        <v/>
      </c>
      <c r="S25" t="str">
        <f t="shared" si="2"/>
        <v>ВВГнг(А)-LS (5х1,5)</v>
      </c>
      <c r="T25" t="str">
        <f>IF(BH25="","",IF(BI25="вводной узел","узел ","")&amp;"л."&amp;(INT((BH25-1)/Столбцов_на_лист)+1)&amp;" / "&amp;(MOD(BH25-1,Столбцов_на_лист)+1))</f>
        <v/>
      </c>
      <c r="V25">
        <f>Линии[[#This Row],[_авто фаз]]</f>
        <v>3</v>
      </c>
      <c r="W25" t="str">
        <f>Линии[[#This Row],[_авто U]]</f>
        <v/>
      </c>
      <c r="X25" t="str">
        <f>Линии[[#This Row],[_авто группа Кс]]</f>
        <v>Быт</v>
      </c>
      <c r="AI25" t="s">
        <v>529</v>
      </c>
      <c r="AJ25" t="str">
        <f>Линии[[#This Row],[_авто марка]]</f>
        <v>мс</v>
      </c>
      <c r="AK25">
        <f>Линии[[#This Row],[_авто жил]]</f>
        <v>5</v>
      </c>
      <c r="AW25" cm="1">
        <f t="array" ref="AW25">ROW()-ROW(Линии[#Headers])</f>
        <v>23</v>
      </c>
      <c r="AX25" s="6" t="str">
        <f t="shared" si="3"/>
        <v>ЩГП</v>
      </c>
      <c r="AY25" t="str">
        <f t="shared" si="4"/>
        <v/>
      </c>
      <c r="AZ25" t="str">
        <f t="shared" si="5"/>
        <v/>
      </c>
      <c r="BA25" t="str">
        <f t="shared" si="6"/>
        <v/>
      </c>
      <c r="BB25" t="str">
        <f t="shared" si="7"/>
        <v/>
      </c>
      <c r="BC25" t="str">
        <f>IF(U25&lt;&gt;"",U25,IF(AND(B25&lt;&gt;"",B25&lt;&gt;A25,ISNUMBER(_xlfn.XMATCH(B25,Щиты[Щит]))),B25,""))</f>
        <v>ЩГП</v>
      </c>
      <c r="BD25" t="str" cm="1">
        <f t="array" ref="BD25">IF(B25="","",IF(BC25&lt;&gt;"","Щит "&amp;BC25,_xlfn.LET(_xlpm.nm,IFERROR(_xlfn.XLOOKUP(AX25,Коды_код,Коды_имя)&amp;"",""),_xlpm.md,IFERROR(N(_xlfn.XLOOKUP(AX25,Коды_код,Коды_режим)),1),_xlpm.ex,IF(Имя_режим="по экспликации",IFERROR(_xlfn.XLOOKUP(AZ25&amp;"|"&amp;BB25,Экспликация[Этаж]&amp;"|"&amp;Экспликация[Помещение],Экспликация[Название])&amp;"",""),""),_xlpm.rm,IF(BB25="","",IF(_xlpm.ex&lt;&gt;"",". "&amp;_xlpm.ex&amp;IF(Имя_пом="нет"," ("&amp;BB25&amp;")"," (пом. "&amp;BB25&amp;")"),IF(Имя_пом="нет"," ",", пом. ")&amp;BB25)),IF(_xlpm.nm="","",IF(_xlpm.md=2,_xlpm.nm&amp;" шлейф "&amp;AZ25,_xlpm.nm&amp;_xlpm.rm)))))</f>
        <v>Щит ЩГП</v>
      </c>
      <c r="BE25" t="str">
        <f t="shared" si="8"/>
        <v>Щит ЩГП</v>
      </c>
      <c r="BF25">
        <f>IFERROR(_xlfn.XMATCH(A25,Щиты[Щит]),0)</f>
        <v>1</v>
      </c>
      <c r="BG25">
        <f>_xlfn.LET(_xlpm.k,IFERROR(_xlfn.XLOOKUP(A25,Щиты[Щит],Щиты[Листов под вводной узел]),""),IF(_xlpm.k="",1,N(_xlpm.k))*Столбцов_на_лист)</f>
        <v>17</v>
      </c>
      <c r="BH25" t="str">
        <f t="shared" si="9"/>
        <v/>
      </c>
      <c r="BI25" t="str">
        <f t="shared" si="10"/>
        <v/>
      </c>
      <c r="BJ25" s="6">
        <f>IFERROR(N(_xlfn.XLOOKUP(AX25,Коды_код,Коды_квт)),0)</f>
        <v>0</v>
      </c>
      <c r="BK25">
        <f t="shared" si="11"/>
        <v>0</v>
      </c>
      <c r="BL25">
        <f>IF(B25="","",IF(BC25&lt;&gt;"",IFERROR(_xlfn.XLOOKUP(BC25,Щиты[Щит],Щиты[Руст, кВт]),0),IF(BK25=1,IFERROR(_xlfn.XLOOKUP(A25,Щиты[Щит],Щиты[Руст, кВт]),0),IF(BJ25&gt;0,ROUND(BJ25*MAX(1,N(D25)),3),""))))</f>
        <v>1.9000000000000006</v>
      </c>
      <c r="BM25">
        <f t="shared" si="12"/>
        <v>1.9000000000000006</v>
      </c>
      <c r="BN25" s="6">
        <f>IF(B25="","",IF(BC25&lt;&gt;"",IFERROR(_xlfn.XLOOKUP(BC25,Щиты[Щит],Щиты[Руст, кВт]),0),N(BM25)))</f>
        <v>1.9000000000000006</v>
      </c>
      <c r="BO25" t="str">
        <f>IF(B25="","",IFERROR(IF(VLOOKUP(AX25,Потребители_обозначение,8,FALSE)=0,"",VLOOKUP(AX25,Потребители_обозначение,8,FALSE)),""))</f>
        <v/>
      </c>
      <c r="BP25" t="str">
        <f t="shared" si="13"/>
        <v/>
      </c>
      <c r="BQ25">
        <f>IF(B25="","",IF(BC25&lt;&gt;"",3,IFERROR(IF(N(VLOOKUP(AX25,Потребители_обозначение,9,FALSE))=0,1,VLOOKUP(AX25,Потребители_обозначение,9,FALSE)),1)))</f>
        <v>3</v>
      </c>
      <c r="BR25">
        <f t="shared" si="14"/>
        <v>3</v>
      </c>
      <c r="BS25" t="str">
        <f>IF(B25="","",_xlfn.LET(_xlpm.bc,IFERROR(IF(VLOOKUP(AX25,Потребители_обозначение,6,FALSE)=0,"",VLOOKUP(AX25,Потребители_обозначение,6,FALSE)&amp;""),""),IF(AND(FK25="да",OR(_xlpm.bc="",_xlpm.bc="мс")),Марка_пож,IF(AND(_xlpm.bc="",BC25&lt;&gt;""),"мс",_xlpm.bc))))</f>
        <v>мс</v>
      </c>
      <c r="BT25" t="str">
        <f t="shared" si="15"/>
        <v>мс</v>
      </c>
      <c r="BU25">
        <f>IF(B25="","",_xlfn.LET(_xlpm.cc,IFERROR(N(VLOOKUP(AX25,Потребители_обозначение,7,FALSE)),0),IF(_xlpm.cc&gt;0,_xlpm.cc,IF(BT25="","",IF(N(BR25)=3,5,3)))))</f>
        <v>5</v>
      </c>
      <c r="BV25">
        <f t="shared" si="16"/>
        <v>5</v>
      </c>
      <c r="BW25">
        <f>IFERROR(N(VLOOKUP(AX25,Потребители_обозначение,10,FALSE)),0)</f>
        <v>0</v>
      </c>
      <c r="BX25">
        <f>IFERROR(VLOOKUP(AX25,Потребители_обозначение,5,FALSE),0)</f>
        <v>0</v>
      </c>
      <c r="BY25" s="6" cm="1">
        <f t="array" ref="BY25">IF(B25="","",IF(BC25&lt;&gt;"",IFERROR(_xlfn.XLOOKUP(BC25,Щиты[Щит],Щиты[cos φ]),0.95),IF(BK25=1,IFERROR(_xlfn.XLOOKUP(A25,Щиты[Щит],Щиты[cos φ]),0.95),IF(ISNUMBER(Z25),Z25,IFERROR(IF(BX25=2,_xlfn.IFS(BR25=3,VLOOKUP(BN25,Справочная_двигатели,8,FALSE),BR25=1,VLOOKUP(BN25,Справочная_двигатели,10,TRUE)),IF(AND(Методика="нормы 2026",EQ25="Сил"),0.8,0.95)),0.95)))))</f>
        <v>0.94999999999999951</v>
      </c>
      <c r="BZ25">
        <f t="shared" si="17"/>
        <v>0</v>
      </c>
      <c r="CA25">
        <f t="shared" si="18"/>
        <v>1</v>
      </c>
      <c r="CB25">
        <f t="shared" si="19"/>
        <v>0</v>
      </c>
      <c r="CC25">
        <f t="shared" si="20"/>
        <v>0</v>
      </c>
      <c r="CD25">
        <f t="shared" si="21"/>
        <v>0</v>
      </c>
      <c r="CE25">
        <f t="shared" si="22"/>
        <v>0</v>
      </c>
      <c r="CF25">
        <f t="shared" si="23"/>
        <v>0</v>
      </c>
      <c r="CG25">
        <f>IF(AX25="",0,_xlfn.LET(_xlpm.v,IFERROR(VLOOKUP(B25,УГО_спр,3,FALSE),IFERROR(VLOOKUP(AX25,УГО_спр,3,FALSE),IFERROR(VLOOKUP(LEFT(AX25,2),УГО_спр,3,FALSE),""))),IF(_xlpm.v="да",30,IF(ISNUMBER(_xlpm.v),_xlpm.v,0))))</f>
        <v>0</v>
      </c>
      <c r="CH25" t="str">
        <f t="shared" si="24"/>
        <v/>
      </c>
      <c r="CI25" t="str">
        <f>_xlfn.LET(_xlpm.k,IFERROR(_xlfn.XLOOKUP(AX25,Коды_код,Коды_утечка)&amp;"",""),IF(_xlpm.k="","дифавтомат",_xlpm.k))</f>
        <v>дифавтомат</v>
      </c>
      <c r="CJ25">
        <f t="shared" si="25"/>
        <v>0</v>
      </c>
      <c r="CK25">
        <f t="shared" si="26"/>
        <v>0</v>
      </c>
      <c r="CL25">
        <f>IF(B25="",0,IFERROR(--VLOOKUP(B25,УГО_спр,4,FALSE),IFERROR(--VLOOKUP(AX25,УГО_спр,4,FALSE),IFERROR(--VLOOKUP(LEFT(AX25,2),УГО_спр,4,FALSE),0))))</f>
        <v>0</v>
      </c>
      <c r="CM25" t="str">
        <f>IF(B25="","",IFERROR(_xlfn.XLOOKUP(AX25,Коды_код,Коды_апп)&amp;"",""))</f>
        <v/>
      </c>
      <c r="CN25" t="str">
        <f t="shared" si="27"/>
        <v/>
      </c>
      <c r="CO25" t="str" cm="1">
        <f t="array" ref="CO25">IF(TRIM(CN25&amp;"")="","",IFERROR(TRIM(INDEX(_xlfn.TEXTSPLIT(CN25&amp;";;;",";"),1)),""))</f>
        <v/>
      </c>
      <c r="CP25" t="str" cm="1">
        <f t="array" ref="CP25">IF(TRIM(CN25&amp;"")="","",IFERROR(TRIM(INDEX(_xlfn.TEXTSPLIT(CN25&amp;";;;",";"),2)),""))</f>
        <v/>
      </c>
      <c r="CQ25" t="str" cm="1">
        <f t="array" ref="CQ25">IF(TRIM(CN25&amp;"")="","",IFERROR(TRIM(INDEX(_xlfn.TEXTSPLIT(CN25&amp;";;;",";"),3)),""))</f>
        <v/>
      </c>
      <c r="CR25">
        <f t="shared" si="28"/>
        <v>0</v>
      </c>
      <c r="CS25" t="str">
        <f>IF(B25="","",_xlfn.LET(_xlpm.t,LOWER(AV25&amp;""),IF(ISNUMBER(SEARCH("dim",_xlpm.t)),"DIM",IF(ISNUMBER(SEARCH("dali",_xlpm.t)),"DALI",IF(OR(ISNUMBER(SEARCH("relay",_xlpm.t)),ISNUMBER(SEARCH("реле",_xlpm.t))),"Relay",IF(ISNUMBER(SEARCH("кнопк",_xlpm.t)),"",IFERROR(_xlfn.XLOOKUP(AX25,Коды_код,Коды_упр)&amp;"","")))))))</f>
        <v/>
      </c>
      <c r="CT25" t="str">
        <f t="shared" si="29"/>
        <v/>
      </c>
      <c r="CU25">
        <f>IF(B25="","",_xlfn.LET(_xlpm.ig,N(P25)+IF(AF25="вручную",0,N(CB25)),_xlpm.n0,IFERROR(VLOOKUP(_xlpm.ig,Автомат_номиналы,2,TRUE),0),_xlpm.mn,MAX(CL25,IF(AF25="вручную",0,N(CE25))),MAX(_xlpm.n0,_xlpm.mn,IF(CR25=1,Мин_автомат_БП,0))))</f>
        <v>6</v>
      </c>
      <c r="CV25">
        <f t="shared" si="30"/>
        <v>3</v>
      </c>
      <c r="CW25" t="str">
        <f t="shared" si="31"/>
        <v>3P</v>
      </c>
      <c r="CX25" t="str">
        <f>_xlfn.LET(_xlpm.cc,UPPER(TRIM(IFERROR(_xlfn.XLOOKUP(AX25,Коды_код,Коды_хар)&amp;"",""))),IF(OR(_xlpm.cc="B",_xlpm.cc="В"),"B",IF(_xlpm.cc="D","D","С")))</f>
        <v>С</v>
      </c>
      <c r="CY25" t="str">
        <f t="shared" si="32"/>
        <v>3P С6А</v>
      </c>
      <c r="CZ25" t="str">
        <f t="shared" si="33"/>
        <v>3P С6А</v>
      </c>
      <c r="DA25" t="str">
        <f t="shared" si="34"/>
        <v>3P С6А</v>
      </c>
      <c r="DB25" cm="1">
        <f t="array" ref="DB25">IF(DA25="","",_xlfn.LET(_xlpm.t,SUBSTITUTE(SUBSTITUTE(SUBSTITUTE(UPPER(DA25),"С","C"),"А","A"),"В","B"),_xlpm.tk,_xlfn.TEXTSPLIT(_xlpm.t,"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5" t="str">
        <f t="shared" si="35"/>
        <v>ok</v>
      </c>
      <c r="DD25">
        <f t="shared" si="36"/>
        <v>6</v>
      </c>
      <c r="DE25" t="str">
        <f t="shared" si="37"/>
        <v>3P С6А</v>
      </c>
      <c r="DF25">
        <f t="shared" si="38"/>
        <v>0</v>
      </c>
      <c r="DG25">
        <f t="shared" si="39"/>
        <v>0</v>
      </c>
      <c r="DH25">
        <f t="shared" si="40"/>
        <v>0</v>
      </c>
      <c r="DI25">
        <f t="shared" si="41"/>
        <v>2.3094010767585051</v>
      </c>
      <c r="DJ25">
        <f t="shared" si="42"/>
        <v>0.92</v>
      </c>
      <c r="DK25">
        <f>IF(ISNUMBER(AL25),AL25,К_прокл)</f>
        <v>1</v>
      </c>
      <c r="DL25">
        <f t="shared" si="43"/>
        <v>3</v>
      </c>
      <c r="DM25">
        <f>IFERROR(N(VLOOKUP(BT25,Кабель_обозначение,3,FALSE)),1)</f>
        <v>1</v>
      </c>
      <c r="DN25">
        <f>IFERROR(N(_xlfn.XLOOKUP(A25,Щиты[Щит],Щиты[ΔU до шин, %])),0)</f>
        <v>0</v>
      </c>
      <c r="DO25" t="str">
        <f>IFERROR(_xlfn.XLOOKUP(A25,Щиты[Щит],Щиты[Zпетли на шинах, Ом]),"")</f>
        <v/>
      </c>
      <c r="DP25">
        <f>IFERROR(N(_xlfn.XLOOKUP(A25,Щиты[Щит],Щиты[ΔU до шин (подбор), %])),0)</f>
        <v>0</v>
      </c>
      <c r="DQ25" t="str">
        <f>IFERROR(_xlfn.XLOOKUP(A25,Щиты[Щит],Щиты[Zпетли на шинах (подбор), Ом]),"")</f>
        <v/>
      </c>
      <c r="DR25" t="str">
        <f t="shared" si="44"/>
        <v/>
      </c>
      <c r="DS25" t="str">
        <f t="shared" si="45"/>
        <v/>
      </c>
      <c r="DT25">
        <f t="shared" si="46"/>
        <v>1</v>
      </c>
      <c r="DU25">
        <f t="shared" si="47"/>
        <v>0.31</v>
      </c>
      <c r="DV25" s="6">
        <f>IF(B25="","",IF(IFERROR(VLOOKUP(AX25,УГО_спр,2,FALSE),"")="Светильник",3,4)+IF(Методика="нормы 2026",MIN(0.5,MAX(0,N(Q25)-100)*0.005),0))</f>
        <v>4</v>
      </c>
      <c r="DW25" cm="1">
        <f t="array" ref="DW25">IF(OR(B25="",BT25="",DM25&lt;&gt;1),"",_xlfn.LET(_xlpm.sz,Iдоп_S,_xlpm.t_,CHOOSE(DL25,Iдоп_1ж,Iдоп_2ж,Iдоп_3ж)*DJ25*DK25,_xlpm.inn,N(DD25),_xlpm.smin,MAX(1.5,BW25),_xlpm.L_,N(Q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25)*(_xlpm.rho*_xlpm.L_/_xlpm.sz*N(BY25)+_xlpm.xx*_xlpm.L_*N(DU25)/1000)*N(P25)/((Uн_лин/SQRT(3))*1000)*100,999),_xlpm.kz,IF(OR(DG25=1,NOT(ISNUMBER(DQ25)),_xlpm.L_=0,_xlpm.inn=0),1,IFERROR(--(c_min*(Uн_лин*1000/SQRT(3))/(DQ25+2*ρкз_Cu*_xlpm.L_/_xlpm.sz)&gt;=GY25*_xlpm.inn),0)),_xlpm.ok,IFERROR((_xlpm.sz&gt;=_xlpm.smin)*(_xlpm.t_&gt;=_xlpm.inn)*IF(_xlpm.L_&gt;0,(_xlpm.du_+DP25&lt;=DV25+0.00001),1)*_xlpm.kz,0),_xlpm.r_,_xlfn._xlws.FILTER(_xlpm.sz,_xlpm.ok,"не подобрано"),INDEX(_xlpm.r_,1)))</f>
        <v>1.5</v>
      </c>
      <c r="DX25">
        <f t="shared" si="48"/>
        <v>1.5</v>
      </c>
      <c r="DY25" cm="1">
        <f t="array" ref="DY25">IF(OR(B25="",BT25="",DM25&lt;&gt;1),"",_xlfn.LET(_xlpm.sz,Iдоп_S,_xlpm.t_,CHOOSE(DL25,Iдоп_1ж,Iдоп_2ж,Iдоп_3ж)*DJ25*DK25,_xlpm.ok,IFERROR((_xlpm.sz&gt;=MAX(1.5,BW25))*(_xlpm.t_&gt;=N(DD25)),0),_xlpm.r_,_xlfn._xlws.FILTER(_xlpm.sz,_xlpm.ok,""),INDEX(_xlpm.r_,1)))</f>
        <v>1.5</v>
      </c>
      <c r="DZ25" s="6" cm="1">
        <f t="array" ref="DZ25">IFERROR(ROUNDUP(N(DT25)*(_xlfn.XLOOKUP(DY25,INDEX(Кабель_сопротивление,0,1),INDEX(Кабель_сопротивление,0,3))*N(Q25)/DY25*N(BY25)+_xlfn.XLOOKUP(DY25,INDEX(Кабель_сопротивление,0,1),INDEX(Кабель_сопротивление,0,2))*N(Q25)*N(DU25)/1000)*N(P25)/((Uн_лин/SQRT(3))*1000)*100,2),"")</f>
        <v>0</v>
      </c>
      <c r="EA25">
        <f>IFERROR(2*ρкз_Cu*N(Q25)/DY25,"")</f>
        <v>0</v>
      </c>
      <c r="EB25">
        <f>IFERROR(VLOOKUP(DX25,Кабель_сопротивление,3,FALSE),"")</f>
        <v>2.2499999999999999E-2</v>
      </c>
      <c r="EC25">
        <f>IFERROR(VLOOKUP(DX25,Кабель_сопротивление,2,FALSE),"")</f>
        <v>0.11</v>
      </c>
      <c r="ED25" t="str">
        <f t="shared" si="49"/>
        <v/>
      </c>
      <c r="EE25" t="str">
        <f t="shared" si="50"/>
        <v/>
      </c>
      <c r="EF25" t="str">
        <f t="shared" si="51"/>
        <v/>
      </c>
      <c r="EG25" s="6" t="str">
        <f>IFERROR(ROUNDUP(EF25/((Uн_лин/SQRT(3))*1000)*100,2),"")</f>
        <v/>
      </c>
      <c r="EH25" t="str">
        <f>IFERROR(VLOOKUP(BT25,Кабель_обозначение,2,FALSE),"")</f>
        <v>ВВГнг(А)-LS</v>
      </c>
      <c r="EI25" t="str">
        <f t="shared" si="52"/>
        <v>ВВГнг(А)-LS (5х1,5)</v>
      </c>
      <c r="EJ25" t="str">
        <f t="shared" si="53"/>
        <v>ВВГнг(А)-LS (5х1,5)
L=-%</v>
      </c>
      <c r="EK25" t="str">
        <f>IFERROR(2*ρкз_Cu*Q25/DX25,"")</f>
        <v/>
      </c>
      <c r="EL25">
        <f t="shared" si="54"/>
        <v>0</v>
      </c>
      <c r="EM25" s="6" t="str">
        <f>IFERROR(IF(OR(B25="",NOT(ISNUMBER(DX25)),N(Q25)=0),"",_xlfn.XLOOKUP(A25,Щиты[Щит],Щиты[Zпетли на шинах, Ом])+EK25),"")</f>
        <v/>
      </c>
      <c r="EN25" s="6" t="str">
        <f>IF(ISNUMBER(EM25),c_min*(Uн_лин*1000/SQRT(3))/EM25,"")</f>
        <v/>
      </c>
      <c r="EO25" s="6" t="str">
        <f>IFERROR(IF(OR(B25="",NOT(ISNUMBER(DX25))),"",1.05*(Uн_лин*1000/SQRT(3))/(_xlfn.XLOOKUP(A25,Щиты[Щит],Щиты[Zmax на шинах, Ом])+EL25)/1000),"")</f>
        <v/>
      </c>
      <c r="EP25" s="6" t="str">
        <f>IF(B25="","",IF(ISNUMBER(Y25),"Сил",IF(IFERROR(_xlfn.XLOOKUP(AX25,Коды_код,Коды_группа)&amp;"","")="","Быт",_xlfn.XLOOKUP(AX25,Коды_код,Коды_группа)&amp;"")))</f>
        <v>Быт</v>
      </c>
      <c r="EQ25" s="6" t="str">
        <f t="shared" si="55"/>
        <v>Щит</v>
      </c>
      <c r="ER25" s="6" t="str">
        <f>IF(EQ25="Щит","щит",IF(EQ25="","",IF(EQ25="Быт",IFERROR(_xlfn.XLOOKUP(A25,Щиты[Щит],Щиты[Кс быт]),1),IF(EQ25="Сил",IF(ISNUMBER(Y25),Y25,IF(Методика="нормы 2026",IFERROR(_xlfn.XLOOKUP(A25,Щиты[Щит],Щиты[Кс силовых (табл. 7.5)]),1),1)),IF(OR(EQ25="Пост",EQ25="Отоп"),1,IF(EQ25="ВНГ",0.7,0))))))</f>
        <v>щит</v>
      </c>
      <c r="ES25">
        <f t="shared" si="56"/>
        <v>1</v>
      </c>
      <c r="ET25">
        <f t="shared" si="57"/>
        <v>0</v>
      </c>
      <c r="EU25">
        <f t="shared" si="58"/>
        <v>0</v>
      </c>
      <c r="EV25">
        <f t="shared" si="59"/>
        <v>0</v>
      </c>
      <c r="EW25">
        <f t="shared" si="60"/>
        <v>0</v>
      </c>
      <c r="EX25">
        <f t="shared" si="61"/>
        <v>0</v>
      </c>
      <c r="EY25">
        <f t="shared" si="62"/>
        <v>0</v>
      </c>
      <c r="EZ25">
        <f t="shared" si="63"/>
        <v>0</v>
      </c>
      <c r="FA25">
        <f t="shared" si="64"/>
        <v>0</v>
      </c>
      <c r="FB25">
        <f t="shared" si="65"/>
        <v>1.9000000000000006</v>
      </c>
      <c r="FC25" t="str">
        <f t="shared" si="66"/>
        <v/>
      </c>
      <c r="FD25" t="str">
        <f>IF(B25="","",IF(CA25=0,IF(AW25=1,"",FF24),IF(OR(N(CV25)&gt;=3,N(BR25)&gt;=3),"L1,L2,L3",IFERROR(_xlfn.TEXTBEFORE(_xlfn.TEXTAFTER(_xlfn.XLOOKUP(A25,Щиты[Щит],Щиты[_фазы авто]),";"&amp;AW25&amp;":"),";"),"L1"))))</f>
        <v>L1,L2,L3</v>
      </c>
      <c r="FE25" t="str">
        <f t="shared" si="67"/>
        <v>L1,L2,L3</v>
      </c>
      <c r="FF25" t="str">
        <f t="shared" si="68"/>
        <v>L1,L2,L3</v>
      </c>
      <c r="FG25" cm="1">
        <f t="array" ref="FG25">IFERROR(IF(BX25=2,_xlfn.IFS(BR25=3,VLOOKUP(BN25,Справочная_двигатели,3,FALSE),BR25=1,VLOOKUP(BN25,Справочная_двигатели,5,TRUE)),0),0)</f>
        <v>0</v>
      </c>
      <c r="FH25">
        <f>IFERROR(IF(BX25=3,VLOOKUP(BN25,Справочная_ЛЭД,2,TRUE),0),0)</f>
        <v>0</v>
      </c>
      <c r="FI25" s="6">
        <f t="shared" si="69"/>
        <v>0</v>
      </c>
      <c r="FJ25" t="str" cm="1">
        <f t="array" ref="FJ25">IF(B25="","",IFERROR(INDEX({"I особая","I","II","III"},MATCH(TRIM(AC25&amp;""),{"I особая","I","II","III"},0)),"III"))</f>
        <v>III</v>
      </c>
      <c r="FK25" t="str">
        <f>IF(B25="","",IF(TRIM(AD25&amp;"")&lt;&gt;"",IF(LOWER(TRIM(AD25&amp;""))="да","да","нет"),IF(IFERROR(_xlfn.XLOOKUP(AX25,Коды_код,Коды_пожарная),"")="да","да","нет")))</f>
        <v>нет</v>
      </c>
      <c r="FL25" t="str">
        <f t="shared" si="70"/>
        <v/>
      </c>
      <c r="FM25" t="str">
        <f t="shared" si="71"/>
        <v>основная</v>
      </c>
      <c r="FN25">
        <f t="shared" si="72"/>
        <v>1</v>
      </c>
      <c r="FO25" t="str" cm="1">
        <f t="array" ref="FO25">IF(B25="","",_xlfn.LET(_xlpm.t,IFERROR(_xlfn.XLOOKUP(1,(Шины[Шина]=FM25)*(((Шины[Щит]=A25)+(Шины[Щит]=""))&gt;0),Шины[Тип]),"")&amp;"",IF(_xlpm.t&lt;&gt;"",_xlpm.t,IF(ISNUMBER(SEARCH("ИБП",FM25)),"ИБП",IF(ISNUMBER(SEARCH("ДГУ",FM25)),"ДГУ","Ввод "&amp;FN25)))))</f>
        <v>Ввод 1</v>
      </c>
      <c r="FP25" t="str">
        <f t="shared" si="73"/>
        <v>Ввод 1</v>
      </c>
      <c r="FQ25" t="str">
        <f>IF(B25="","",IF(OR(FO25="ИБП",FO25="ДГУ"),"I особая",IF(FO25="Одиночная","III",_xlfn.XLOOKUP(A25,Щиты[Щит],Щиты[Категория шины «Ввод»],"III"))))</f>
        <v>I</v>
      </c>
      <c r="FR25">
        <f>IF(B25="",0,IFERROR(MATCH(FJ25,{"III","II","I","I особая"},0),1))</f>
        <v>1</v>
      </c>
      <c r="FS25">
        <f t="shared" si="74"/>
        <v>1</v>
      </c>
      <c r="FT25" t="str">
        <f>IF(B25="","",IF(FR25&gt;IFERROR(MATCH(FQ25,{"III","II","I","I особая"},0),1),"НЕ ОБЕСПЕЧЕНА","ОК"))</f>
        <v>ОК</v>
      </c>
      <c r="FU25" t="str">
        <f>IF(A25="","",_xlfn.XLOOKUP(A25,Щиты[Щит],Щиты[Путь],""))</f>
        <v>|ГРЩ-ЖД|</v>
      </c>
      <c r="FV25" t="str">
        <f>IF(B25="","",IF(AE25&lt;&gt;"",AE25,IF(IFERROR(_xlfn.XLOOKUP(AX25,Коды_код,Коды_вид)&amp;"","")="","Прочее",_xlfn.XLOOKUP(AX25,Коды_код,Коды_вид)&amp;"")))</f>
        <v>Прочее</v>
      </c>
      <c r="FW25" t="str">
        <f>IF(BH25="","",INT((BH25-1)/Столбцов_на_лист)+1)</f>
        <v/>
      </c>
      <c r="FX25" t="str">
        <f t="shared" si="75"/>
        <v>ВВГнг(А)-LS (5х1,5) L=-%</v>
      </c>
      <c r="FY25">
        <f t="shared" si="76"/>
        <v>1.9000000000000006</v>
      </c>
      <c r="FZ25">
        <f t="shared" si="77"/>
        <v>2.3099999999999996</v>
      </c>
      <c r="GA25">
        <f t="shared" si="78"/>
        <v>3</v>
      </c>
      <c r="GB25">
        <f t="shared" si="79"/>
        <v>0</v>
      </c>
      <c r="GC25">
        <f t="shared" si="80"/>
        <v>0</v>
      </c>
      <c r="GD25" t="str">
        <f>IF(BH25="","",IF(AND(CA25=1,GC25=1),COUNTIFS(A$3:A25,A25,CA$3:CA25,1,GC$3:GC25,1),IF(OR(OR(AW25=1,A25&lt;&gt;A24),AF25="вручную",GC25=0),"",IF(AW25=1,"",GE24))))</f>
        <v/>
      </c>
      <c r="GE25">
        <f t="shared" si="81"/>
        <v>22</v>
      </c>
      <c r="GF25">
        <f>IF(B25="","",IFERROR(LOOKUP(INDEX(CHOOSE(DL25,Iдоп_1ж,Iдоп_2ж,Iдоп_3ж),MATCH(DX25,Iдоп_S,0))*DJ25*DK25,{6,10,16,20,25,32,40,50,63,80,100,125,160,200,250,315,400,500,630}),""))</f>
        <v>16</v>
      </c>
      <c r="GG25" t="str">
        <f t="shared" si="82"/>
        <v/>
      </c>
      <c r="GH25" t="str">
        <f t="shared" si="83"/>
        <v>QF22</v>
      </c>
      <c r="GI25" t="str">
        <f t="shared" si="84"/>
        <v/>
      </c>
      <c r="GJ25">
        <f t="shared" si="85"/>
        <v>0</v>
      </c>
      <c r="GK25" t="str">
        <f>IF(OR(AG25="",AG25="-"),"",IFERROR(VLOOKUP(AG25,Модули_спр,2,FALSE),"R"))</f>
        <v/>
      </c>
      <c r="GL25" t="str">
        <f>IF(GK25="","",GK25&amp;"."&amp;COUNTIFS(A$3:A25,A25,GK$3:GK25,GK25))</f>
        <v/>
      </c>
      <c r="GM25" t="str">
        <f t="shared" si="86"/>
        <v/>
      </c>
      <c r="GN25" t="str">
        <f t="shared" si="87"/>
        <v/>
      </c>
      <c r="GO25" t="str">
        <f t="shared" si="88"/>
        <v/>
      </c>
      <c r="GP25" t="str">
        <f t="shared" si="89"/>
        <v/>
      </c>
      <c r="GQ25">
        <f t="shared" si="90"/>
        <v>1</v>
      </c>
      <c r="GR25" t="str">
        <f>IF(GQ25=1,"XT"&amp;COUNTIFS(A$3:A25,A25,GQ$3:GQ25,1),"")</f>
        <v>XT20</v>
      </c>
      <c r="GS25" t="str">
        <f t="shared" si="91"/>
        <v>XT20</v>
      </c>
      <c r="GT25" t="str">
        <f t="shared" si="92"/>
        <v>QF22</v>
      </c>
      <c r="GU25" t="str">
        <f t="shared" si="93"/>
        <v/>
      </c>
      <c r="GV25" t="str">
        <f t="shared" si="94"/>
        <v>ok</v>
      </c>
      <c r="GW25" t="str">
        <f>IF(OR(GO25="",GM25=""),"",IF(GO25&gt;IFERROR(VLOOKUP(GN25,Модули_спр,3,FALSE),99),"ЛИШНИЙ КАНАЛ",IF(AND(AH25&lt;&gt;"=",COUNTIFS(Линии[_модуль гр.],GM25,Линии[Канал (итог)],GO25,Линии[Канал],"&lt;&gt;=",Линии[Щит],A25)&gt;1),"ДУБЛЬ КАНАЛА","")))</f>
        <v/>
      </c>
      <c r="GX25" s="6" t="str">
        <f t="shared" si="95"/>
        <v/>
      </c>
      <c r="GY25">
        <f t="shared" si="96"/>
        <v>10</v>
      </c>
      <c r="GZ25" t="str">
        <f t="shared" si="97"/>
        <v/>
      </c>
      <c r="HA25" t="str">
        <f>IF(AND(B25="",GT25=""),"",_xlfn.TEXTJOIN("; ",TRUE,IF(AND(B25&lt;&gt;"",FE25=""),"нет фазы",""),IF(AND(B25&lt;&gt;"",N(FY25)=0,EQ25&lt;&gt;"Нет"),"нет мощности",""),IF(AND(GS25&lt;&gt;"",COUNTIFS(Линии[Щит],A25,Линии[Клемма (итог)],GS25)&gt;1),"дубль клеммы "&amp;GS25,""),IF(AND(GV25&lt;&gt;"",GV25&lt;&gt;"ok"),GV25,""),IF(GW25&lt;&gt;"",GW25,""),IF(AND(N(BV25)&gt;=4,N(BR25)=1),BV25&amp;" жил на 1 фазе",""),IF(AND(AX25="R",CA25=1,OR(N(CK25)=0,N(CK25)&gt;30)),"розетка без дифзащиты до 30 мА",""),IFERROR(IF(AND(ISNUMBER(R25),R25&gt;DV25),"потери "&amp;FIXED(R25,1)&amp;" % &gt; "&amp;DV25&amp;" %",""),""),IFERROR(IF(LEFT(GZ25,4)="мало","Iкз мало — отключение &gt; 0,4 с",""),""),IF(AND(B25&lt;&gt;"",BH25=""),"не на схеме",""),IF(AND(CA25=0,B25&lt;&gt;"",FE25&lt;&gt;"",IF(AW25=1,"",FF24)&lt;&gt;"",FE25&lt;&gt;IF(AW25=1,"",FF24)),"фаза не как у автомата группы ("&amp;IF(AW25=1,"",FF24)&amp;")","")))</f>
        <v>не на схеме</v>
      </c>
      <c r="HB25" s="6" t="str">
        <f>IF(OR(CA25=0,DA25=""),"",_xlfn.LET(_xlpm.t,IFERROR(_xlfn.XLOOKUP(DA25,Каталог!$U$4:$U$500,Каталог!$G$4:$G$500),""),_xlpm.k,SEARCH("кА",_xlpm.t),IFERROR(--TRIM(RIGHT(SUBSTITUTE(MID(_xlpm.t,MAX(1,_xlpm.k-4),_xlpm.k-MAX(1,_xlpm.k-4))," ",REPT(" ",9)),5)),"")))</f>
        <v/>
      </c>
      <c r="HC25" t="str">
        <f>IF(OR(HB25="",CA25=0),"",IF(_xlfn.XLOOKUP(A25,Щиты[Щит],Щиты[Iкз max на шинах, кА],"")="","",IF(HB25&lt;_xlfn.XLOOKUP(A25,Щиты[Щит],Щиты[Iкз max на шинах, кА]),"Icu "&amp;HB25&amp;" кА &lt; Iкз max","ok")))</f>
        <v/>
      </c>
      <c r="HD25" t="str">
        <f t="shared" si="98"/>
        <v/>
      </c>
      <c r="HE25" t="str">
        <f t="shared" si="99"/>
        <v/>
      </c>
      <c r="HF25" t="str">
        <f t="shared" si="100"/>
        <v/>
      </c>
      <c r="HG25" t="str" cm="1">
        <f t="array" ref="HG25">IF(HF25="","",_xlfn.LET(_xlpm.nd,_xlfn.TEXTSPLIT(HF25,"|"),IF(COLUMNS(_xlpm.nd)&gt;1,A25&amp;"¦"&amp;INDEX(_xlpm.nd,1)&amp;"¦"&amp;INDEX(_xlpm.nd,2),"")))</f>
        <v/>
      </c>
      <c r="HH25" t="str">
        <f t="shared" si="101"/>
        <v/>
      </c>
      <c r="HI25" t="str" cm="1">
        <f t="array" ref="HI25">IF(HF25="","",_xlfn.LET(_xlpm.nd,_xlfn.TEXTSPLIT(HF25,"|"),IF(COLUMNS(_xlpm.nd)&gt;2,A25&amp;"¦"&amp;INDEX(_xlpm.nd,2)&amp;"¦"&amp;INDEX(_xlpm.nd,3),"")))</f>
        <v/>
      </c>
      <c r="HJ25" t="str">
        <f t="shared" si="102"/>
        <v/>
      </c>
      <c r="HK25" t="str" cm="1">
        <f t="array" ref="HK25">IF(HF25="","",_xlfn.LET(_xlpm.nd,_xlfn.TEXTSPLIT(HF25,"|"),IF(COLUMNS(_xlpm.nd)&gt;3,A25&amp;"¦"&amp;INDEX(_xlpm.nd,3)&amp;"¦"&amp;INDEX(_xlpm.nd,4),"")))</f>
        <v/>
      </c>
      <c r="HL25" t="str">
        <f t="shared" si="103"/>
        <v/>
      </c>
      <c r="HM25" t="str" cm="1">
        <f t="array" ref="HM25">IF(HF25="","",_xlfn.LET(_xlpm.nd,_xlfn.TEXTSPLIT(HF25,"|"),IF(COLUMNS(_xlpm.nd)&gt;4,A25&amp;"¦"&amp;INDEX(_xlpm.nd,4)&amp;"¦"&amp;INDEX(_xlpm.nd,5),"")))</f>
        <v/>
      </c>
      <c r="HN25" t="str">
        <f t="shared" si="104"/>
        <v/>
      </c>
      <c r="HO25" t="str" cm="1">
        <f t="array" ref="HO25">IF(HF25="","",_xlfn.LET(_xlpm.nd,_xlfn.TEXTSPLIT(HF25,"|"),IF(COLUMNS(_xlpm.nd)&gt;5,A25&amp;"¦"&amp;INDEX(_xlpm.nd,5)&amp;"¦"&amp;INDEX(_xlpm.nd,6),"")))</f>
        <v/>
      </c>
      <c r="HP25" t="str">
        <f t="shared" si="105"/>
        <v/>
      </c>
      <c r="HQ25" t="str" cm="1">
        <f t="array" ref="HQ25">IF(HF25="","",_xlfn.LET(_xlpm.nd,_xlfn.TEXTSPLIT(HF25,"|"),IF(COLUMNS(_xlpm.nd)&gt;6,A25&amp;"¦"&amp;INDEX(_xlpm.nd,6)&amp;"¦"&amp;INDEX(_xlpm.nd,7),"")))</f>
        <v/>
      </c>
      <c r="HR25" t="str">
        <f t="shared" si="106"/>
        <v/>
      </c>
      <c r="HS25" t="str">
        <f t="shared" si="107"/>
        <v/>
      </c>
      <c r="HT25" t="str">
        <f t="shared" si="108"/>
        <v>QF22 → XT20</v>
      </c>
      <c r="HU25">
        <f t="shared" si="109"/>
        <v>0</v>
      </c>
      <c r="HV25">
        <f t="shared" si="110"/>
        <v>0</v>
      </c>
      <c r="HW25" t="str">
        <f t="shared" si="111"/>
        <v/>
      </c>
      <c r="HX25" t="str">
        <f t="shared" si="112"/>
        <v/>
      </c>
      <c r="HY25" t="str">
        <f t="shared" si="113"/>
        <v/>
      </c>
      <c r="HZ25" t="str">
        <f t="shared" si="114"/>
        <v/>
      </c>
      <c r="IA25" t="str">
        <f>IF(B25="","",IFERROR(VLOOKUP(B25,УГО_спр,2,FALSE),IFERROR(VLOOKUP(AX25,УГО_спр,2,FALSE),IFERROR(VLOOKUP(LEFT(AX25,2),УГО_спр,2,FALSE),""))))</f>
        <v/>
      </c>
      <c r="IB25" t="str">
        <f>IF(B25="","",IF(OR(IA25="",IA25=0),"BOX",IFERROR(IF(VLOOKUP(IA25,УГО_блоки,3,FALSE)&amp;""&lt;&gt;"",VLOOKUP(IA25,УГО_блоки,3,FALSE),VLOOKUP(IA25,УГО_блоки,2,FALSE)),IA25)))</f>
        <v>BOX</v>
      </c>
      <c r="IC25">
        <f t="shared" si="115"/>
        <v>1</v>
      </c>
      <c r="ID25" t="str">
        <f>IF(DA25="","",IF(COUNTIF(DA$3:DA25,DA25)=1,MAX(ID$2:ID24)+1,""))</f>
        <v/>
      </c>
      <c r="IE25" t="str">
        <f>IF(CO25="","",IF(COUNTIF(CO$3:CO25,CO25)+COUNTIF(CP$2:CP24,CO25)+COUNTIF(CQ$2:CQ24,CO25)=1,MAX(IE$2:IG24)+1,""))</f>
        <v/>
      </c>
      <c r="IF25" t="str">
        <f>IF(CP25="","",IF(COUNTIF(CO$3:CO25,CP25)+COUNTIF(CP$3:CP25,CP25)+COUNTIF(CQ$2:CQ24,CP25)=1,MAX(IE$2:IG24,IE25)+1,""))</f>
        <v/>
      </c>
      <c r="IG25" t="str">
        <f>IF(CQ25="","",IF(COUNTIF(CO$3:CO25,CQ25)+COUNTIF(CP$3:CP25,CQ25)+COUNTIF(CQ$3:CQ25,CQ25)=1,MAX(IE$2:IG24,IE25,IF25)+1,""))</f>
        <v/>
      </c>
      <c r="IH25" t="str">
        <f t="shared" si="116"/>
        <v>5х1,5</v>
      </c>
      <c r="II25">
        <f>IF(IH25="","",IF(COUNTIF(IH$3:IH25,IH25)=1,MAX(II$2:II24)+1,""))</f>
        <v>10</v>
      </c>
      <c r="IJ25" t="str">
        <f>IF(GL25="","",COUNTIF(GL$3:GL25,"?*"))</f>
        <v/>
      </c>
      <c r="IK25" t="str">
        <f>IF(OR(GL25="",GN25=""),"",IF(COUNTIFS(GL$3:GL25,"?*",GN$3:GN25,GN25)=1,MAX(IK$2:IK24)+1,""))</f>
        <v/>
      </c>
      <c r="IL25">
        <f t="shared" si="117"/>
        <v>1</v>
      </c>
      <c r="IM25">
        <f>IF(B25="","",COUNTIF(B$3:B25,"?*"))</f>
        <v>23</v>
      </c>
      <c r="IN25">
        <f>IF(GQ25&lt;&gt;1,0,_xlfn.LET(_xlpm.k,MAX(IFERROR(--VLOOKUP(B25,УГО_спр,5,FALSE),0),IFERROR(--VLOOKUP(AX25,УГО_спр,5,FALSE),0),IFERROR(--VLOOKUP(LEFT(AX25,2),УГО_спр,5,FALSE),0)),IF(_xlpm.k&gt;0,_xlpm.k,IF(IFERROR(--LEFT(SUBSTITUTE(IH25,"x","х"),FIND("х",SUBSTITUTE(IH25,"x","х"))-1),3)&gt;3,Каталог!$S$9,1))))</f>
        <v>1</v>
      </c>
      <c r="IO25">
        <f t="shared" si="118"/>
        <v>2</v>
      </c>
      <c r="IP25" t="str">
        <f t="shared" si="119"/>
        <v>авто</v>
      </c>
      <c r="IQ25" t="str">
        <f t="shared" si="120"/>
        <v/>
      </c>
      <c r="IR25">
        <f t="shared" si="121"/>
        <v>0</v>
      </c>
      <c r="IS25">
        <f t="shared" si="122"/>
        <v>1</v>
      </c>
    </row>
    <row r="26" spans="1:253" x14ac:dyDescent="0.3">
      <c r="A26" t="s">
        <v>784</v>
      </c>
      <c r="B26" t="s">
        <v>743</v>
      </c>
      <c r="C26" t="str">
        <f>Линии[[#This Row],[_авто наименование]]</f>
        <v>Вводной кабель шлейф 1</v>
      </c>
      <c r="D26">
        <v>1</v>
      </c>
      <c r="E26" t="s">
        <v>16</v>
      </c>
      <c r="G26">
        <v>40</v>
      </c>
      <c r="H26" t="str">
        <f>Линии[[#This Row],[_авто утечка]]</f>
        <v/>
      </c>
      <c r="I26" t="str">
        <f>Линии[[#This Row],[_авто управление]]</f>
        <v/>
      </c>
      <c r="J26" t="str">
        <f>Линии[[#This Row],[_авто аппараты]]</f>
        <v/>
      </c>
      <c r="K26">
        <v>10</v>
      </c>
      <c r="L26">
        <v>51</v>
      </c>
      <c r="M26" t="str">
        <f>Линии[[#This Row],[_авто фаза]]</f>
        <v>L1,L2,L3</v>
      </c>
      <c r="N26" t="str">
        <f>Линии[[#This Row],[_авто клемма]]</f>
        <v/>
      </c>
      <c r="O26" t="str">
        <f t="shared" si="0"/>
        <v/>
      </c>
      <c r="P26" s="6" cm="1">
        <f t="array" ref="P26">IF(B26="","",IF(BC26&lt;&gt;"",IFERROR(_xlfn.XLOOKUP(BC26,Щиты[Щит],Щиты[Iр, А]),""),IF(BK26=1,IFERROR(_xlfn.XLOOKUP(A26,Щиты[Щит],Щиты[Iр, А]),""),IFERROR(_xlfn.IFS(BR26=1,BN26/((Uн_лин/SQRT(3))*BY26),BR26=3,BN26/(SQRT(3)*Uн_лин*BY26)),""))))</f>
        <v>2.3094010767585051</v>
      </c>
      <c r="Q26" s="7">
        <f>IF(B26="","",IFERROR(IF(VLOOKUP(AX26,Потребители_обозначение,4,FALSE)=1,VLOOKUP(AX26,Потребители_обозначение,3,FALSE)*(D26*2-1)+DS26+VLOOKUP(AZ26,Этаж_обозначение,3,FALSE)+VLOOKUP(AZ26,Этаж_обозначение,4,FALSE),VLOOKUP(AX26,Потребители_обозначение,3,FALSE)*(D26*2-1)+DS26),DS26))</f>
        <v>51</v>
      </c>
      <c r="R26" s="6">
        <f t="shared" si="1"/>
        <v>0.12</v>
      </c>
      <c r="S26" t="str">
        <f t="shared" si="2"/>
        <v>ВВГнг(А)-LS (5х10)</v>
      </c>
      <c r="T26" t="str">
        <f>IF(BH26="","",IF(BI26="вводной узел","узел ","")&amp;"л."&amp;(INT((BH26-1)/Столбцов_на_лист)+1)&amp;" / "&amp;(MOD(BH26-1,Столбцов_на_лист)+1))</f>
        <v>узел л.1 / 2</v>
      </c>
      <c r="V26">
        <v>3</v>
      </c>
      <c r="W26">
        <v>400</v>
      </c>
      <c r="X26" t="s">
        <v>549</v>
      </c>
      <c r="AF26" t="s">
        <v>1303</v>
      </c>
      <c r="AI26">
        <v>2</v>
      </c>
      <c r="AJ26" t="s">
        <v>11</v>
      </c>
      <c r="AK26">
        <v>5</v>
      </c>
      <c r="AM26">
        <v>34</v>
      </c>
      <c r="AN26">
        <v>12</v>
      </c>
      <c r="AP26">
        <v>1</v>
      </c>
      <c r="AW26" cm="1">
        <f t="array" ref="AW26">ROW()-ROW(Линии[#Headers])</f>
        <v>24</v>
      </c>
      <c r="AX26" s="6" t="str">
        <f t="shared" si="3"/>
        <v>Ввод</v>
      </c>
      <c r="AY26" t="str">
        <f t="shared" si="4"/>
        <v>1</v>
      </c>
      <c r="AZ26" t="str">
        <f t="shared" si="5"/>
        <v>1</v>
      </c>
      <c r="BA26" t="str">
        <f t="shared" si="6"/>
        <v/>
      </c>
      <c r="BB26" t="str">
        <f t="shared" si="7"/>
        <v/>
      </c>
      <c r="BC26" t="str">
        <f>IF(U26&lt;&gt;"",U26,IF(AND(B26&lt;&gt;"",B26&lt;&gt;A26,ISNUMBER(_xlfn.XMATCH(B26,Щиты[Щит]))),B26,""))</f>
        <v/>
      </c>
      <c r="BD26" t="str" cm="1">
        <f t="array" ref="BD26">IF(B26="","",IF(BC26&lt;&gt;"","Щит "&amp;BC26,_xlfn.LET(_xlpm.nm,IFERROR(_xlfn.XLOOKUP(AX26,Коды_код,Коды_имя)&amp;"",""),_xlpm.md,IFERROR(N(_xlfn.XLOOKUP(AX26,Коды_код,Коды_режим)),1),_xlpm.ex,IF(Имя_режим="по экспликации",IFERROR(_xlfn.XLOOKUP(AZ26&amp;"|"&amp;BB26,Экспликация[Этаж]&amp;"|"&amp;Экспликация[Помещение],Экспликация[Название])&amp;"",""),""),_xlpm.rm,IF(BB26="","",IF(_xlpm.ex&lt;&gt;"",". "&amp;_xlpm.ex&amp;IF(Имя_пом="нет"," ("&amp;BB26&amp;")"," (пом. "&amp;BB26&amp;")"),IF(Имя_пом="нет"," ",", пом. ")&amp;BB26)),IF(_xlpm.nm="","",IF(_xlpm.md=2,_xlpm.nm&amp;" шлейф "&amp;AZ26,_xlpm.nm&amp;_xlpm.rm)))))</f>
        <v>Вводной кабель шлейф 1</v>
      </c>
      <c r="BE26" t="str">
        <f t="shared" si="8"/>
        <v>Вводной кабель шлейф 1</v>
      </c>
      <c r="BF26">
        <f>IFERROR(_xlfn.XMATCH(A26,Щиты[Щит]),0)</f>
        <v>2</v>
      </c>
      <c r="BG26">
        <f>_xlfn.LET(_xlpm.k,IFERROR(_xlfn.XLOOKUP(A26,Щиты[Щит],Щиты[Листов под вводной узел]),""),IF(_xlpm.k="",1,N(_xlpm.k))*Столбцов_на_лист)</f>
        <v>17</v>
      </c>
      <c r="BH26">
        <f t="shared" si="9"/>
        <v>2</v>
      </c>
      <c r="BI26" t="str">
        <f t="shared" si="10"/>
        <v>вводной узел</v>
      </c>
      <c r="BJ26" s="6">
        <f>IFERROR(N(_xlfn.XLOOKUP(AX26,Коды_код,Коды_квт)),0)</f>
        <v>0</v>
      </c>
      <c r="BK26">
        <f t="shared" si="11"/>
        <v>1</v>
      </c>
      <c r="BL26">
        <f>IF(B26="","",IF(BC26&lt;&gt;"",IFERROR(_xlfn.XLOOKUP(BC26,Щиты[Щит],Щиты[Руст, кВт]),0),IF(BK26=1,IFERROR(_xlfn.XLOOKUP(A26,Щиты[Щит],Щиты[Руст, кВт]),0),IF(BJ26&gt;0,ROUND(BJ26*MAX(1,N(D26)),3),""))))</f>
        <v>1.9000000000000006</v>
      </c>
      <c r="BM26" t="str">
        <f t="shared" si="12"/>
        <v>кВт</v>
      </c>
      <c r="BN26" s="6">
        <f>IF(B26="","",IF(BC26&lt;&gt;"",IFERROR(_xlfn.XLOOKUP(BC26,Щиты[Щит],Щиты[Руст, кВт]),0),N(BM26)))</f>
        <v>0</v>
      </c>
      <c r="BO26" t="str">
        <f>IF(B26="","",IFERROR(IF(VLOOKUP(AX26,Потребители_обозначение,8,FALSE)=0,"",VLOOKUP(AX26,Потребители_обозначение,8,FALSE)),""))</f>
        <v/>
      </c>
      <c r="BP26">
        <f t="shared" si="13"/>
        <v>400</v>
      </c>
      <c r="BQ26">
        <f>IF(B26="","",IF(BC26&lt;&gt;"",3,IFERROR(IF(N(VLOOKUP(AX26,Потребители_обозначение,9,FALSE))=0,1,VLOOKUP(AX26,Потребители_обозначение,9,FALSE)),1)))</f>
        <v>1</v>
      </c>
      <c r="BR26">
        <f t="shared" si="14"/>
        <v>3</v>
      </c>
      <c r="BS26" t="str">
        <f>IF(B26="","",_xlfn.LET(_xlpm.bc,IFERROR(IF(VLOOKUP(AX26,Потребители_обозначение,6,FALSE)=0,"",VLOOKUP(AX26,Потребители_обозначение,6,FALSE)&amp;""),""),IF(AND(FK26="да",OR(_xlpm.bc="",_xlpm.bc="мс")),Марка_пож,IF(AND(_xlpm.bc="",BC26&lt;&gt;""),"мс",_xlpm.bc))))</f>
        <v/>
      </c>
      <c r="BT26" t="str">
        <f t="shared" si="15"/>
        <v>мс</v>
      </c>
      <c r="BU26">
        <f>IF(B26="","",_xlfn.LET(_xlpm.cc,IFERROR(N(VLOOKUP(AX26,Потребители_обозначение,7,FALSE)),0),IF(_xlpm.cc&gt;0,_xlpm.cc,IF(BT26="","",IF(N(BR26)=3,5,3)))))</f>
        <v>5</v>
      </c>
      <c r="BV26">
        <f t="shared" si="16"/>
        <v>5</v>
      </c>
      <c r="BW26">
        <f>IFERROR(N(VLOOKUP(AX26,Потребители_обозначение,10,FALSE)),0)</f>
        <v>0</v>
      </c>
      <c r="BX26">
        <f>IFERROR(VLOOKUP(AX26,Потребители_обозначение,5,FALSE),0)</f>
        <v>1</v>
      </c>
      <c r="BY26" s="6" cm="1">
        <f t="array" ref="BY26">IF(B26="","",IF(BC26&lt;&gt;"",IFERROR(_xlfn.XLOOKUP(BC26,Щиты[Щит],Щиты[cos φ]),0.95),IF(BK26=1,IFERROR(_xlfn.XLOOKUP(A26,Щиты[Щит],Щиты[cos φ]),0.95),IF(ISNUMBER(Z26),Z26,IFERROR(IF(BX26=2,_xlfn.IFS(BR26=3,VLOOKUP(BN26,Справочная_двигатели,8,FALSE),BR26=1,VLOOKUP(BN26,Справочная_двигатели,10,TRUE)),IF(AND(Методика="нормы 2026",EQ26="Сил"),0.8,0.95)),0.95)))))</f>
        <v>0.94999999999999951</v>
      </c>
      <c r="BZ26">
        <f t="shared" si="17"/>
        <v>0</v>
      </c>
      <c r="CA26">
        <f t="shared" si="18"/>
        <v>1</v>
      </c>
      <c r="CB26">
        <f t="shared" si="19"/>
        <v>0</v>
      </c>
      <c r="CC26">
        <f t="shared" si="20"/>
        <v>0</v>
      </c>
      <c r="CD26">
        <f t="shared" si="21"/>
        <v>0</v>
      </c>
      <c r="CE26">
        <f t="shared" si="22"/>
        <v>0</v>
      </c>
      <c r="CF26">
        <f t="shared" si="23"/>
        <v>0</v>
      </c>
      <c r="CG26">
        <f>IF(AX26="",0,_xlfn.LET(_xlpm.v,IFERROR(VLOOKUP(B26,УГО_спр,3,FALSE),IFERROR(VLOOKUP(AX26,УГО_спр,3,FALSE),IFERROR(VLOOKUP(LEFT(AX26,2),УГО_спр,3,FALSE),""))),IF(_xlpm.v="да",30,IF(ISNUMBER(_xlpm.v),_xlpm.v,0))))</f>
        <v>0</v>
      </c>
      <c r="CH26" t="str">
        <f t="shared" si="24"/>
        <v/>
      </c>
      <c r="CI26" t="str">
        <f>_xlfn.LET(_xlpm.k,IFERROR(_xlfn.XLOOKUP(AX26,Коды_код,Коды_утечка)&amp;"",""),IF(_xlpm.k="","дифавтомат",_xlpm.k))</f>
        <v>дифавтомат</v>
      </c>
      <c r="CJ26">
        <f t="shared" si="25"/>
        <v>0</v>
      </c>
      <c r="CK26">
        <f t="shared" si="26"/>
        <v>0</v>
      </c>
      <c r="CL26">
        <f>IF(B26="",0,IFERROR(--VLOOKUP(B26,УГО_спр,4,FALSE),IFERROR(--VLOOKUP(AX26,УГО_спр,4,FALSE),IFERROR(--VLOOKUP(LEFT(AX26,2),УГО_спр,4,FALSE),0))))</f>
        <v>0</v>
      </c>
      <c r="CM26" t="str">
        <f>IF(B26="","",IFERROR(_xlfn.XLOOKUP(AX26,Коды_код,Коды_апп)&amp;"",""))</f>
        <v/>
      </c>
      <c r="CN26" t="str">
        <f t="shared" si="27"/>
        <v/>
      </c>
      <c r="CO26" t="str" cm="1">
        <f t="array" ref="CO26">IF(TRIM(CN26&amp;"")="","",IFERROR(TRIM(INDEX(_xlfn.TEXTSPLIT(CN26&amp;";;;",";"),1)),""))</f>
        <v/>
      </c>
      <c r="CP26" t="str" cm="1">
        <f t="array" ref="CP26">IF(TRIM(CN26&amp;"")="","",IFERROR(TRIM(INDEX(_xlfn.TEXTSPLIT(CN26&amp;";;;",";"),2)),""))</f>
        <v/>
      </c>
      <c r="CQ26" t="str" cm="1">
        <f t="array" ref="CQ26">IF(TRIM(CN26&amp;"")="","",IFERROR(TRIM(INDEX(_xlfn.TEXTSPLIT(CN26&amp;";;;",";"),3)),""))</f>
        <v/>
      </c>
      <c r="CR26">
        <f t="shared" si="28"/>
        <v>0</v>
      </c>
      <c r="CS26" t="str">
        <f>IF(B26="","",_xlfn.LET(_xlpm.t,LOWER(AV26&amp;""),IF(ISNUMBER(SEARCH("dim",_xlpm.t)),"DIM",IF(ISNUMBER(SEARCH("dali",_xlpm.t)),"DALI",IF(OR(ISNUMBER(SEARCH("relay",_xlpm.t)),ISNUMBER(SEARCH("реле",_xlpm.t))),"Relay",IF(ISNUMBER(SEARCH("кнопк",_xlpm.t)),"",IFERROR(_xlfn.XLOOKUP(AX26,Коды_код,Коды_упр)&amp;"","")))))))</f>
        <v/>
      </c>
      <c r="CT26" t="str">
        <f t="shared" si="29"/>
        <v/>
      </c>
      <c r="CU26">
        <f>IF(B26="","",_xlfn.LET(_xlpm.ig,N(P26)+IF(AF26="вручную",0,N(CB26)),_xlpm.n0,IFERROR(VLOOKUP(_xlpm.ig,Автомат_номиналы,2,TRUE),0),_xlpm.mn,MAX(CL26,IF(AF26="вручную",0,N(CE26))),MAX(_xlpm.n0,_xlpm.mn,IF(CR26=1,Мин_автомат_БП,0))))</f>
        <v>6</v>
      </c>
      <c r="CV26">
        <f t="shared" si="30"/>
        <v>3</v>
      </c>
      <c r="CW26" t="str">
        <f t="shared" si="31"/>
        <v>3P</v>
      </c>
      <c r="CX26" t="str">
        <f>_xlfn.LET(_xlpm.cc,UPPER(TRIM(IFERROR(_xlfn.XLOOKUP(AX26,Коды_код,Коды_хар)&amp;"",""))),IF(OR(_xlpm.cc="B",_xlpm.cc="В"),"B",IF(_xlpm.cc="D","D","С")))</f>
        <v>С</v>
      </c>
      <c r="CY26" t="str">
        <f t="shared" si="32"/>
        <v>3P С6А</v>
      </c>
      <c r="CZ26">
        <f t="shared" si="33"/>
        <v>40</v>
      </c>
      <c r="DA26" t="str">
        <f t="shared" si="34"/>
        <v>3P С40А</v>
      </c>
      <c r="DB26" cm="1">
        <f t="array" ref="DB26">IF(DA26="","",_xlfn.LET(_xlpm.t,SUBSTITUTE(SUBSTITUTE(SUBSTITUTE(UPPER(DA26),"С","C"),"А","A"),"В","B"),_xlpm.tk,_xlfn.TEXTSPLIT(_xlpm.t,"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26" t="str">
        <f t="shared" si="35"/>
        <v>узел</v>
      </c>
      <c r="DD26">
        <f t="shared" si="36"/>
        <v>40</v>
      </c>
      <c r="DE26" t="str">
        <f t="shared" si="37"/>
        <v>3P С40А</v>
      </c>
      <c r="DF26">
        <f t="shared" si="38"/>
        <v>0</v>
      </c>
      <c r="DG26">
        <f t="shared" si="39"/>
        <v>0</v>
      </c>
      <c r="DH26">
        <f t="shared" si="40"/>
        <v>0</v>
      </c>
      <c r="DI26">
        <f t="shared" si="41"/>
        <v>2.3094010767585051</v>
      </c>
      <c r="DJ26">
        <f t="shared" si="42"/>
        <v>0.92</v>
      </c>
      <c r="DK26">
        <f>IF(ISNUMBER(AL26),AL26,К_прокл)</f>
        <v>1</v>
      </c>
      <c r="DL26">
        <f t="shared" si="43"/>
        <v>3</v>
      </c>
      <c r="DM26">
        <f>IFERROR(N(VLOOKUP(BT26,Кабель_обозначение,3,FALSE)),1)</f>
        <v>1</v>
      </c>
      <c r="DN26">
        <f>IFERROR(N(_xlfn.XLOOKUP(A26,Щиты[Щит],Щиты[ΔU до шин, %])),0)</f>
        <v>0</v>
      </c>
      <c r="DO26" t="str">
        <f>IFERROR(_xlfn.XLOOKUP(A26,Щиты[Щит],Щиты[Zпетли на шинах, Ом]),"")</f>
        <v/>
      </c>
      <c r="DP26">
        <f>IFERROR(N(_xlfn.XLOOKUP(A26,Щиты[Щит],Щиты[ΔU до шин (подбор), %])),0)</f>
        <v>0</v>
      </c>
      <c r="DQ26" t="str">
        <f>IFERROR(_xlfn.XLOOKUP(A26,Щиты[Щит],Щиты[Zпетли на шинах (подбор), Ом]),"")</f>
        <v/>
      </c>
      <c r="DR26" t="str">
        <f t="shared" si="44"/>
        <v/>
      </c>
      <c r="DS26">
        <f t="shared" si="45"/>
        <v>51</v>
      </c>
      <c r="DT26">
        <f t="shared" si="46"/>
        <v>1</v>
      </c>
      <c r="DU26">
        <f t="shared" si="47"/>
        <v>0.31</v>
      </c>
      <c r="DV26" s="6">
        <f>IF(B26="","",IF(IFERROR(VLOOKUP(AX26,УГО_спр,2,FALSE),"")="Светильник",3,4)+IF(Методика="нормы 2026",MIN(0.5,MAX(0,N(Q26)-100)*0.005),0))</f>
        <v>4</v>
      </c>
      <c r="DW26" cm="1">
        <f t="array" ref="DW26">IF(OR(B26="",BT26="",DM26&lt;&gt;1),"",_xlfn.LET(_xlpm.sz,Iдоп_S,_xlpm.t_,CHOOSE(DL26,Iдоп_1ж,Iдоп_2ж,Iдоп_3ж)*DJ26*DK26,_xlpm.inn,N(DD26),_xlpm.smin,MAX(1.5,BW26),_xlpm.L_,N(Q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26)*(_xlpm.rho*_xlpm.L_/_xlpm.sz*N(BY26)+_xlpm.xx*_xlpm.L_*N(DU26)/1000)*N(P26)/((Uн_лин/SQRT(3))*1000)*100,999),_xlpm.kz,IF(OR(DG26=1,NOT(ISNUMBER(DQ26)),_xlpm.L_=0,_xlpm.inn=0),1,IFERROR(--(c_min*(Uн_лин*1000/SQRT(3))/(DQ26+2*ρкз_Cu*_xlpm.L_/_xlpm.sz)&gt;=GY26*_xlpm.inn),0)),_xlpm.ok,IFERROR((_xlpm.sz&gt;=_xlpm.smin)*(_xlpm.t_&gt;=_xlpm.inn)*IF(_xlpm.L_&gt;0,(_xlpm.du_+DP26&lt;=DV26+0.00001),1)*_xlpm.kz,0),_xlpm.r_,_xlfn._xlws.FILTER(_xlpm.sz,_xlpm.ok,"не подобрано"),INDEX(_xlpm.r_,1)))</f>
        <v>10</v>
      </c>
      <c r="DX26">
        <f t="shared" si="48"/>
        <v>10</v>
      </c>
      <c r="DY26" cm="1">
        <f t="array" ref="DY26">IF(OR(B26="",BT26="",DM26&lt;&gt;1),"",_xlfn.LET(_xlpm.sz,Iдоп_S,_xlpm.t_,CHOOSE(DL26,Iдоп_1ж,Iдоп_2ж,Iдоп_3ж)*DJ26*DK26,_xlpm.ok,IFERROR((_xlpm.sz&gt;=MAX(1.5,BW26))*(_xlpm.t_&gt;=N(DD26)),0),_xlpm.r_,_xlfn._xlws.FILTER(_xlpm.sz,_xlpm.ok,""),INDEX(_xlpm.r_,1)))</f>
        <v>10</v>
      </c>
      <c r="DZ26" s="6" cm="1">
        <f t="array" ref="DZ26">IFERROR(ROUNDUP(N(DT26)*(_xlfn.XLOOKUP(DY26,INDEX(Кабель_сопротивление,0,1),INDEX(Кабель_сопротивление,0,3))*N(Q26)/DY26*N(BY26)+_xlfn.XLOOKUP(DY26,INDEX(Кабель_сопротивление,0,1),INDEX(Кабель_сопротивление,0,2))*N(Q26)*N(DU26)/1000)*N(P26)/((Uн_лин/SQRT(3))*1000)*100,2),"")</f>
        <v>0.12</v>
      </c>
      <c r="EA26">
        <f>IFERROR(2*ρкз_Cu*N(Q26)/DY26,"")</f>
        <v>0.26826</v>
      </c>
      <c r="EB26">
        <f>IFERROR(VLOOKUP(DX26,Кабель_сопротивление,3,FALSE),"")</f>
        <v>2.2499999999999999E-2</v>
      </c>
      <c r="EC26">
        <f>IFERROR(VLOOKUP(DX26,Кабель_сопротивление,2,FALSE),"")</f>
        <v>7.2999999999999995E-2</v>
      </c>
      <c r="ED26">
        <f t="shared" si="49"/>
        <v>12</v>
      </c>
      <c r="EE26">
        <f t="shared" si="50"/>
        <v>0</v>
      </c>
      <c r="EF26">
        <f t="shared" si="51"/>
        <v>0.25441893394485565</v>
      </c>
      <c r="EG26" s="6">
        <f>IFERROR(ROUNDUP(EF26/((Uн_лин/SQRT(3))*1000)*100,2),"")</f>
        <v>0.12</v>
      </c>
      <c r="EH26" t="str">
        <f>IFERROR(VLOOKUP(BT26,Кабель_обозначение,2,FALSE),"")</f>
        <v>ВВГнг(А)-LS</v>
      </c>
      <c r="EI26" t="str">
        <f t="shared" si="52"/>
        <v>ВВГнг(А)-LS (5х10)</v>
      </c>
      <c r="EJ26" t="str">
        <f t="shared" si="53"/>
        <v/>
      </c>
      <c r="EK26">
        <f>IFERROR(2*ρкз_Cu*Q26/DX26,"")</f>
        <v>0.26826</v>
      </c>
      <c r="EL26">
        <f t="shared" si="54"/>
        <v>8.925000000000001E-2</v>
      </c>
      <c r="EM26" s="6" t="str">
        <f>IFERROR(IF(OR(B26="",NOT(ISNUMBER(DX26)),N(Q26)=0),"",_xlfn.XLOOKUP(A26,Щиты[Щит],Щиты[Zпетли на шинах, Ом])+EK26),"")</f>
        <v/>
      </c>
      <c r="EN26" s="6" t="str">
        <f>IF(ISNUMBER(EM26),c_min*(Uн_лин*1000/SQRT(3))/EM26,"")</f>
        <v/>
      </c>
      <c r="EO26" s="6" t="str">
        <f>IFERROR(IF(OR(B26="",NOT(ISNUMBER(DX26))),"",1.05*(Uн_лин*1000/SQRT(3))/(_xlfn.XLOOKUP(A26,Щиты[Щит],Щиты[Zmax на шинах, Ом])+EL26)/1000),"")</f>
        <v/>
      </c>
      <c r="EP26" s="6" t="str">
        <f>IF(B26="","",IF(ISNUMBER(Y26),"Сил",IF(IFERROR(_xlfn.XLOOKUP(AX26,Коды_код,Коды_группа)&amp;"","")="","Быт",_xlfn.XLOOKUP(AX26,Коды_код,Коды_группа)&amp;"")))</f>
        <v>Быт</v>
      </c>
      <c r="EQ26" s="6" t="str">
        <f t="shared" si="55"/>
        <v>Нет</v>
      </c>
      <c r="ER26" s="6">
        <f>IF(EQ26="Щит","щит",IF(EQ26="","",IF(EQ26="Быт",IFERROR(_xlfn.XLOOKUP(A26,Щиты[Щит],Щиты[Кс быт]),1),IF(EQ26="Сил",IF(ISNUMBER(Y26),Y26,IF(Методика="нормы 2026",IFERROR(_xlfn.XLOOKUP(A26,Щиты[Щит],Щиты[Кс силовых (табл. 7.5)]),1),1)),IF(OR(EQ26="Пост",EQ26="Отоп"),1,IF(EQ26="ВНГ",0.7,0))))))</f>
        <v>0</v>
      </c>
      <c r="ES26">
        <f t="shared" si="56"/>
        <v>1</v>
      </c>
      <c r="ET26">
        <f t="shared" si="57"/>
        <v>0</v>
      </c>
      <c r="EU26">
        <f t="shared" si="58"/>
        <v>0</v>
      </c>
      <c r="EV26">
        <f t="shared" si="59"/>
        <v>0</v>
      </c>
      <c r="EW26">
        <f t="shared" si="60"/>
        <v>0</v>
      </c>
      <c r="EX26">
        <f t="shared" si="61"/>
        <v>0</v>
      </c>
      <c r="EY26">
        <f t="shared" si="62"/>
        <v>0</v>
      </c>
      <c r="EZ26">
        <f t="shared" si="63"/>
        <v>0</v>
      </c>
      <c r="FA26">
        <f t="shared" si="64"/>
        <v>0</v>
      </c>
      <c r="FB26">
        <f t="shared" si="65"/>
        <v>0</v>
      </c>
      <c r="FC26" t="str">
        <f t="shared" si="66"/>
        <v/>
      </c>
      <c r="FD26" t="str">
        <f>IF(B26="","",IF(CA26=0,IF(AW26=1,"",FF25),IF(OR(N(CV26)&gt;=3,N(BR26)&gt;=3),"L1,L2,L3",IFERROR(_xlfn.TEXTBEFORE(_xlfn.TEXTAFTER(_xlfn.XLOOKUP(A26,Щиты[Щит],Щиты[_фазы авто]),";"&amp;AW26&amp;":"),";"),"L1"))))</f>
        <v>L1,L2,L3</v>
      </c>
      <c r="FE26" t="str">
        <f t="shared" si="67"/>
        <v>L1,L2,L3</v>
      </c>
      <c r="FF26" t="str">
        <f t="shared" si="68"/>
        <v>L1,L2,L3</v>
      </c>
      <c r="FG26" cm="1">
        <f t="array" ref="FG26">IFERROR(IF(BX26=2,_xlfn.IFS(BR26=3,VLOOKUP(BN26,Справочная_двигатели,3,FALSE),BR26=1,VLOOKUP(BN26,Справочная_двигатели,5,TRUE)),0),0)</f>
        <v>0</v>
      </c>
      <c r="FH26">
        <f>IFERROR(IF(BX26=3,VLOOKUP(BN26,Справочная_ЛЭД,2,TRUE),0),0)</f>
        <v>0</v>
      </c>
      <c r="FI26" s="6">
        <f t="shared" si="69"/>
        <v>0</v>
      </c>
      <c r="FJ26" t="str" cm="1">
        <f t="array" ref="FJ26">IF(B26="","",IFERROR(INDEX({"I особая","I","II","III"},MATCH(TRIM(AC26&amp;""),{"I особая","I","II","III"},0)),"III"))</f>
        <v>III</v>
      </c>
      <c r="FK26" t="str">
        <f>IF(B26="","",IF(TRIM(AD26&amp;"")&lt;&gt;"",IF(LOWER(TRIM(AD26&amp;""))="да","да","нет"),IF(IFERROR(_xlfn.XLOOKUP(AX26,Коды_код,Коды_пожарная),"")="да","да","нет")))</f>
        <v>нет</v>
      </c>
      <c r="FL26" t="str">
        <f t="shared" si="70"/>
        <v/>
      </c>
      <c r="FM26" t="str">
        <f t="shared" si="71"/>
        <v>основная</v>
      </c>
      <c r="FN26">
        <f t="shared" si="72"/>
        <v>1</v>
      </c>
      <c r="FO26" t="str" cm="1">
        <f t="array" ref="FO26">IF(B26="","",_xlfn.LET(_xlpm.t,IFERROR(_xlfn.XLOOKUP(1,(Шины[Шина]=FM26)*(((Шины[Щит]=A26)+(Шины[Щит]=""))&gt;0),Шины[Тип]),"")&amp;"",IF(_xlpm.t&lt;&gt;"",_xlpm.t,IF(ISNUMBER(SEARCH("ИБП",FM26)),"ИБП",IF(ISNUMBER(SEARCH("ДГУ",FM26)),"ДГУ","Ввод "&amp;FN26)))))</f>
        <v>Ввод 1</v>
      </c>
      <c r="FP26" t="str">
        <f t="shared" si="73"/>
        <v>Ввод 1</v>
      </c>
      <c r="FQ26" t="str">
        <f>IF(B26="","",IF(OR(FO26="ИБП",FO26="ДГУ"),"I особая",IF(FO26="Одиночная","III",_xlfn.XLOOKUP(A26,Щиты[Щит],Щиты[Категория шины «Ввод»],"III"))))</f>
        <v>II</v>
      </c>
      <c r="FR26">
        <f>IF(B26="",0,IFERROR(MATCH(FJ26,{"III","II","I","I особая"},0),1))</f>
        <v>1</v>
      </c>
      <c r="FS26">
        <f t="shared" si="74"/>
        <v>1</v>
      </c>
      <c r="FT26" t="str">
        <f>IF(B26="","",IF(FR26&gt;IFERROR(MATCH(FQ26,{"III","II","I","I особая"},0),1),"НЕ ОБЕСПЕЧЕНА","ОК"))</f>
        <v>ОК</v>
      </c>
      <c r="FU26" t="str">
        <f>IF(A26="","",_xlfn.XLOOKUP(A26,Щиты[Щит],Щиты[Путь],""))</f>
        <v>|ГРЩ-ЖД|ЩГП|</v>
      </c>
      <c r="FV26" t="str">
        <f>IF(B26="","",IF(AE26&lt;&gt;"",AE26,IF(IFERROR(_xlfn.XLOOKUP(AX26,Коды_код,Коды_вид)&amp;"","")="","Прочее",_xlfn.XLOOKUP(AX26,Коды_код,Коды_вид)&amp;"")))</f>
        <v>Прочее</v>
      </c>
      <c r="FW26">
        <f>IF(BH26="","",INT((BH26-1)/Столбцов_на_лист)+1)</f>
        <v>1</v>
      </c>
      <c r="FX26" t="str">
        <f t="shared" si="75"/>
        <v/>
      </c>
      <c r="FY26">
        <f t="shared" si="76"/>
        <v>0</v>
      </c>
      <c r="FZ26">
        <f t="shared" si="77"/>
        <v>2.3099999999999996</v>
      </c>
      <c r="GA26">
        <f t="shared" si="78"/>
        <v>3</v>
      </c>
      <c r="GB26">
        <f t="shared" si="79"/>
        <v>0</v>
      </c>
      <c r="GC26">
        <f t="shared" si="80"/>
        <v>0</v>
      </c>
      <c r="GD26" t="str">
        <f>IF(BH26="","",IF(AND(CA26=1,GC26=1),COUNTIFS(A$3:A26,A26,CA$3:CA26,1,GC$3:GC26,1),IF(OR(OR(AW26=1,A26&lt;&gt;A25),AF26="вручную",GC26=0),"",IF(AW26=1,"",GE25))))</f>
        <v/>
      </c>
      <c r="GE26" t="str">
        <f t="shared" si="81"/>
        <v/>
      </c>
      <c r="GF26">
        <f>IF(B26="","",IFERROR(LOOKUP(INDEX(CHOOSE(DL26,Iдоп_1ж,Iдоп_2ж,Iдоп_3ж),MATCH(DX26,Iдоп_S,0))*DJ26*DK26,{6,10,16,20,25,32,40,50,63,80,100,125,160,200,250,315,400,500,630}),""))</f>
        <v>50</v>
      </c>
      <c r="GG26" t="str">
        <f t="shared" si="82"/>
        <v/>
      </c>
      <c r="GH26" t="str">
        <f t="shared" si="83"/>
        <v/>
      </c>
      <c r="GI26" t="str">
        <f t="shared" si="84"/>
        <v/>
      </c>
      <c r="GJ26">
        <f t="shared" si="85"/>
        <v>0</v>
      </c>
      <c r="GK26" t="str">
        <f>IF(OR(AG26="",AG26="-"),"",IFERROR(VLOOKUP(AG26,Модули_спр,2,FALSE),"R"))</f>
        <v/>
      </c>
      <c r="GL26" t="str">
        <f>IF(GK26="","",GK26&amp;"."&amp;COUNTIFS(A$3:A26,A26,GK$3:GK26,GK26))</f>
        <v/>
      </c>
      <c r="GM26" t="str">
        <f t="shared" si="86"/>
        <v/>
      </c>
      <c r="GN26" t="str">
        <f t="shared" si="87"/>
        <v/>
      </c>
      <c r="GO26" t="str">
        <f t="shared" si="88"/>
        <v/>
      </c>
      <c r="GP26" t="str">
        <f t="shared" si="89"/>
        <v/>
      </c>
      <c r="GQ26">
        <f t="shared" si="90"/>
        <v>0</v>
      </c>
      <c r="GR26" t="str">
        <f>IF(GQ26=1,"XT"&amp;COUNTIFS(A$3:A26,A26,GQ$3:GQ26,1),"")</f>
        <v/>
      </c>
      <c r="GS26" t="str">
        <f t="shared" si="91"/>
        <v/>
      </c>
      <c r="GT26" t="str">
        <f t="shared" si="92"/>
        <v/>
      </c>
      <c r="GU26" t="str">
        <f t="shared" si="93"/>
        <v/>
      </c>
      <c r="GV26" t="str">
        <f t="shared" si="94"/>
        <v>ok</v>
      </c>
      <c r="GW26" t="str">
        <f>IF(OR(GO26="",GM26=""),"",IF(GO26&gt;IFERROR(VLOOKUP(GN26,Модули_спр,3,FALSE),99),"ЛИШНИЙ КАНАЛ",IF(AND(AH26&lt;&gt;"=",COUNTIFS(Линии[_модуль гр.],GM26,Линии[Канал (итог)],GO26,Линии[Канал],"&lt;&gt;=",Линии[Щит],A26)&gt;1),"ДУБЛЬ КАНАЛА","")))</f>
        <v/>
      </c>
      <c r="GX26" s="6" t="str">
        <f t="shared" si="95"/>
        <v/>
      </c>
      <c r="GY26">
        <f t="shared" si="96"/>
        <v>10</v>
      </c>
      <c r="GZ26" t="str">
        <f t="shared" si="97"/>
        <v/>
      </c>
      <c r="HA26" t="str">
        <f>IF(AND(B26="",GT26=""),"",_xlfn.TEXTJOIN("; ",TRUE,IF(AND(B26&lt;&gt;"",FE26=""),"нет фазы",""),IF(AND(B26&lt;&gt;"",N(FY26)=0,EQ26&lt;&gt;"Нет"),"нет мощности",""),IF(AND(GS26&lt;&gt;"",COUNTIFS(Линии[Щит],A26,Линии[Клемма (итог)],GS26)&gt;1),"дубль клеммы "&amp;GS26,""),IF(AND(GV26&lt;&gt;"",GV26&lt;&gt;"ok"),GV26,""),IF(GW26&lt;&gt;"",GW26,""),IF(AND(N(BV26)&gt;=4,N(BR26)=1),BV26&amp;" жил на 1 фазе",""),IF(AND(AX26="R",CA26=1,OR(N(CK26)=0,N(CK26)&gt;30)),"розетка без дифзащиты до 30 мА",""),IFERROR(IF(AND(ISNUMBER(R26),R26&gt;DV26),"потери "&amp;FIXED(R26,1)&amp;" % &gt; "&amp;DV26&amp;" %",""),""),IFERROR(IF(LEFT(GZ26,4)="мало","Iкз мало — отключение &gt; 0,4 с",""),""),IF(AND(B26&lt;&gt;"",BH26=""),"не на схеме",""),IF(AND(CA26=0,B26&lt;&gt;"",FE26&lt;&gt;"",IF(AW26=1,"",FF25)&lt;&gt;"",FE26&lt;&gt;IF(AW26=1,"",FF25)),"фаза не как у автомата группы ("&amp;IF(AW26=1,"",FF25)&amp;")","")))</f>
        <v/>
      </c>
      <c r="HB26" s="6" t="str">
        <f>IF(OR(CA26=0,DA26=""),"",_xlfn.LET(_xlpm.t,IFERROR(_xlfn.XLOOKUP(DA26,Каталог!$U$4:$U$500,Каталог!$G$4:$G$500),""),_xlpm.k,SEARCH("кА",_xlpm.t),IFERROR(--TRIM(RIGHT(SUBSTITUTE(MID(_xlpm.t,MAX(1,_xlpm.k-4),_xlpm.k-MAX(1,_xlpm.k-4))," ",REPT(" ",9)),5)),"")))</f>
        <v/>
      </c>
      <c r="HC26" t="str">
        <f>IF(OR(HB26="",CA26=0),"",IF(_xlfn.XLOOKUP(A26,Щиты[Щит],Щиты[Iкз max на шинах, кА],"")="","",IF(HB26&lt;_xlfn.XLOOKUP(A26,Щиты[Щит],Щиты[Iкз max на шинах, кА]),"Icu "&amp;HB26&amp;" кА &lt; Iкз max","ok")))</f>
        <v/>
      </c>
      <c r="HD26" t="str">
        <f t="shared" si="98"/>
        <v/>
      </c>
      <c r="HE26" t="str">
        <f t="shared" si="99"/>
        <v/>
      </c>
      <c r="HF26" t="str">
        <f t="shared" si="100"/>
        <v/>
      </c>
      <c r="HG26" t="str" cm="1">
        <f t="array" ref="HG26">IF(HF26="","",_xlfn.LET(_xlpm.nd,_xlfn.TEXTSPLIT(HF26,"|"),IF(COLUMNS(_xlpm.nd)&gt;1,A26&amp;"¦"&amp;INDEX(_xlpm.nd,1)&amp;"¦"&amp;INDEX(_xlpm.nd,2),"")))</f>
        <v/>
      </c>
      <c r="HH26" t="str">
        <f t="shared" si="101"/>
        <v/>
      </c>
      <c r="HI26" t="str" cm="1">
        <f t="array" ref="HI26">IF(HF26="","",_xlfn.LET(_xlpm.nd,_xlfn.TEXTSPLIT(HF26,"|"),IF(COLUMNS(_xlpm.nd)&gt;2,A26&amp;"¦"&amp;INDEX(_xlpm.nd,2)&amp;"¦"&amp;INDEX(_xlpm.nd,3),"")))</f>
        <v/>
      </c>
      <c r="HJ26" t="str">
        <f t="shared" si="102"/>
        <v/>
      </c>
      <c r="HK26" t="str" cm="1">
        <f t="array" ref="HK26">IF(HF26="","",_xlfn.LET(_xlpm.nd,_xlfn.TEXTSPLIT(HF26,"|"),IF(COLUMNS(_xlpm.nd)&gt;3,A26&amp;"¦"&amp;INDEX(_xlpm.nd,3)&amp;"¦"&amp;INDEX(_xlpm.nd,4),"")))</f>
        <v/>
      </c>
      <c r="HL26" t="str">
        <f t="shared" si="103"/>
        <v/>
      </c>
      <c r="HM26" t="str" cm="1">
        <f t="array" ref="HM26">IF(HF26="","",_xlfn.LET(_xlpm.nd,_xlfn.TEXTSPLIT(HF26,"|"),IF(COLUMNS(_xlpm.nd)&gt;4,A26&amp;"¦"&amp;INDEX(_xlpm.nd,4)&amp;"¦"&amp;INDEX(_xlpm.nd,5),"")))</f>
        <v/>
      </c>
      <c r="HN26" t="str">
        <f t="shared" si="104"/>
        <v/>
      </c>
      <c r="HO26" t="str" cm="1">
        <f t="array" ref="HO26">IF(HF26="","",_xlfn.LET(_xlpm.nd,_xlfn.TEXTSPLIT(HF26,"|"),IF(COLUMNS(_xlpm.nd)&gt;5,A26&amp;"¦"&amp;INDEX(_xlpm.nd,5)&amp;"¦"&amp;INDEX(_xlpm.nd,6),"")))</f>
        <v/>
      </c>
      <c r="HP26" t="str">
        <f t="shared" si="105"/>
        <v/>
      </c>
      <c r="HQ26" t="str" cm="1">
        <f t="array" ref="HQ26">IF(HF26="","",_xlfn.LET(_xlpm.nd,_xlfn.TEXTSPLIT(HF26,"|"),IF(COLUMNS(_xlpm.nd)&gt;6,A26&amp;"¦"&amp;INDEX(_xlpm.nd,6)&amp;"¦"&amp;INDEX(_xlpm.nd,7),"")))</f>
        <v/>
      </c>
      <c r="HR26" t="str">
        <f t="shared" si="106"/>
        <v/>
      </c>
      <c r="HS26" t="str">
        <f t="shared" si="107"/>
        <v/>
      </c>
      <c r="HT26" t="str">
        <f t="shared" si="108"/>
        <v/>
      </c>
      <c r="HU26">
        <f t="shared" si="109"/>
        <v>0</v>
      </c>
      <c r="HV26">
        <f t="shared" si="110"/>
        <v>0</v>
      </c>
      <c r="HW26" t="str">
        <f t="shared" si="111"/>
        <v/>
      </c>
      <c r="HX26" t="str">
        <f t="shared" si="112"/>
        <v/>
      </c>
      <c r="HY26" t="str">
        <f t="shared" si="113"/>
        <v/>
      </c>
      <c r="HZ26" t="str">
        <f t="shared" si="114"/>
        <v/>
      </c>
      <c r="IA26">
        <f>IF(B26="","",IFERROR(VLOOKUP(B26,УГО_спр,2,FALSE),IFERROR(VLOOKUP(AX26,УГО_спр,2,FALSE),IFERROR(VLOOKUP(LEFT(AX26,2),УГО_спр,2,FALSE),""))))</f>
        <v>0</v>
      </c>
      <c r="IB26" t="str">
        <f>IF(B26="","",IF(OR(IA26="",IA26=0),"BOX",IFERROR(IF(VLOOKUP(IA26,УГО_блоки,3,FALSE)&amp;""&lt;&gt;"",VLOOKUP(IA26,УГО_блоки,3,FALSE),VLOOKUP(IA26,УГО_блоки,2,FALSE)),IA26)))</f>
        <v>BOX</v>
      </c>
      <c r="IC26">
        <f t="shared" si="115"/>
        <v>1</v>
      </c>
      <c r="ID26" t="str">
        <f>IF(DA26="","",IF(COUNTIF(DA$3:DA26,DA26)=1,MAX(ID$2:ID25)+1,""))</f>
        <v/>
      </c>
      <c r="IE26" t="str">
        <f>IF(CO26="","",IF(COUNTIF(CO$3:CO26,CO26)+COUNTIF(CP$2:CP25,CO26)+COUNTIF(CQ$2:CQ25,CO26)=1,MAX(IE$2:IG25)+1,""))</f>
        <v/>
      </c>
      <c r="IF26" t="str">
        <f>IF(CP26="","",IF(COUNTIF(CO$3:CO26,CP26)+COUNTIF(CP$3:CP26,CP26)+COUNTIF(CQ$2:CQ25,CP26)=1,MAX(IE$2:IG25,IE26)+1,""))</f>
        <v/>
      </c>
      <c r="IG26" t="str">
        <f>IF(CQ26="","",IF(COUNTIF(CO$3:CO26,CQ26)+COUNTIF(CP$3:CP26,CQ26)+COUNTIF(CQ$3:CQ26,CQ26)=1,MAX(IE$2:IG25,IE26,IF26)+1,""))</f>
        <v/>
      </c>
      <c r="IH26" t="str">
        <f t="shared" si="116"/>
        <v/>
      </c>
      <c r="II26" t="str">
        <f>IF(IH26="","",IF(COUNTIF(IH$3:IH26,IH26)=1,MAX(II$2:II25)+1,""))</f>
        <v/>
      </c>
      <c r="IJ26" t="str">
        <f>IF(GL26="","",COUNTIF(GL$3:GL26,"?*"))</f>
        <v/>
      </c>
      <c r="IK26" t="str">
        <f>IF(OR(GL26="",GN26=""),"",IF(COUNTIFS(GL$3:GL26,"?*",GN$3:GN26,GN26)=1,MAX(IK$2:IK25)+1,""))</f>
        <v/>
      </c>
      <c r="IL26">
        <f t="shared" si="117"/>
        <v>0</v>
      </c>
      <c r="IM26">
        <f>IF(B26="","",COUNTIF(B$3:B26,"?*"))</f>
        <v>24</v>
      </c>
      <c r="IN26">
        <f>IF(GQ26&lt;&gt;1,0,_xlfn.LET(_xlpm.k,MAX(IFERROR(--VLOOKUP(B26,УГО_спр,5,FALSE),0),IFERROR(--VLOOKUP(AX26,УГО_спр,5,FALSE),0),IFERROR(--VLOOKUP(LEFT(AX26,2),УГО_спр,5,FALSE),0)),IF(_xlpm.k&gt;0,_xlpm.k,IF(IFERROR(--LEFT(SUBSTITUTE(IH26,"x","х"),FIND("х",SUBSTITUTE(IH26,"x","х"))-1),3)&gt;3,Каталог!$S$9,1))))</f>
        <v>0</v>
      </c>
      <c r="IO26">
        <f t="shared" si="118"/>
        <v>0</v>
      </c>
      <c r="IP26" t="str">
        <f t="shared" si="119"/>
        <v>авто</v>
      </c>
      <c r="IQ26" t="str">
        <f t="shared" si="120"/>
        <v/>
      </c>
      <c r="IR26">
        <f t="shared" si="121"/>
        <v>0</v>
      </c>
      <c r="IS26">
        <f t="shared" si="122"/>
        <v>1</v>
      </c>
    </row>
    <row r="27" spans="1:253" x14ac:dyDescent="0.3">
      <c r="A27" t="s">
        <v>784</v>
      </c>
      <c r="B27" t="s">
        <v>209</v>
      </c>
      <c r="C27" t="str">
        <f>Линии[[#This Row],[_авто наименование]]</f>
        <v>Питание на ИБП</v>
      </c>
      <c r="D27">
        <v>1</v>
      </c>
      <c r="E27" t="str">
        <f>Линии[[#This Row],[_авто Р]]</f>
        <v/>
      </c>
      <c r="G27" t="str">
        <f>Линии[[#This Row],[_авто автомат]]</f>
        <v>1P С6А</v>
      </c>
      <c r="H27" t="str">
        <f>Линии[[#This Row],[_авто утечка]]</f>
        <v/>
      </c>
      <c r="I27" t="str">
        <f>Линии[[#This Row],[_авто управление]]</f>
        <v/>
      </c>
      <c r="J27" t="str">
        <f>Линии[[#This Row],[_авто аппараты]]</f>
        <v/>
      </c>
      <c r="K27" t="str">
        <f>Линии[[#This Row],[_авто сечение]]</f>
        <v/>
      </c>
      <c r="L27" t="str">
        <f>Линии[[#This Row],[_авто длина по плану]]</f>
        <v/>
      </c>
      <c r="M27" t="str">
        <f>Линии[[#This Row],[_авто фаза]]</f>
        <v>L1</v>
      </c>
      <c r="N27" t="str">
        <f>Линии[[#This Row],[_авто клемма]]</f>
        <v/>
      </c>
      <c r="O27" t="str">
        <f t="shared" si="0"/>
        <v/>
      </c>
      <c r="P27" s="6" cm="1">
        <f t="array" ref="P27">IF(B27="","",IF(BC27&lt;&gt;"",IFERROR(_xlfn.XLOOKUP(BC27,Щиты[Щит],Щиты[Iр, А]),""),IF(BK27=1,IFERROR(_xlfn.XLOOKUP(A27,Щиты[Щит],Щиты[Iр, А]),""),IFERROR(_xlfn.IFS(BR27=1,BN27/((Uн_лин/SQRT(3))*BY27),BR27=3,BN27/(SQRT(3)*Uн_лин*BY27)),""))))</f>
        <v>0</v>
      </c>
      <c r="Q27" s="7" t="str">
        <f>IF(B27="","",IFERROR(IF(VLOOKUP(AX27,Потребители_обозначение,4,FALSE)=1,VLOOKUP(AX27,Потребители_обозначение,3,FALSE)*(D27*2-1)+DS27+VLOOKUP(AZ27,Этаж_обозначение,3,FALSE)+VLOOKUP(AZ27,Этаж_обозначение,4,FALSE),VLOOKUP(AX27,Потребители_обозначение,3,FALSE)*(D27*2-1)+DS27),DS27))</f>
        <v/>
      </c>
      <c r="R27" s="6" t="str">
        <f t="shared" si="1"/>
        <v/>
      </c>
      <c r="S27" t="str">
        <f t="shared" si="2"/>
        <v/>
      </c>
      <c r="T27" t="str">
        <f>IF(BH27="","",IF(BI27="вводной узел","узел ","")&amp;"л."&amp;(INT((BH27-1)/Столбцов_на_лист)+1)&amp;" / "&amp;(MOD(BH27-1,Столбцов_на_лист)+1))</f>
        <v>л.2 / 1</v>
      </c>
      <c r="V27">
        <v>1</v>
      </c>
      <c r="W27">
        <v>400</v>
      </c>
      <c r="X27" t="s">
        <v>549</v>
      </c>
      <c r="AI27">
        <v>18</v>
      </c>
      <c r="AJ27" t="str">
        <f>Линии[[#This Row],[_авто марка]]</f>
        <v/>
      </c>
      <c r="AK27" t="str">
        <f>Линии[[#This Row],[_авто жил]]</f>
        <v/>
      </c>
      <c r="AW27" cm="1">
        <f t="array" ref="AW27">ROW()-ROW(Линии[#Headers])</f>
        <v>25</v>
      </c>
      <c r="AX27" s="6" t="str">
        <f t="shared" si="3"/>
        <v>На ИБП</v>
      </c>
      <c r="AY27" t="str">
        <f t="shared" si="4"/>
        <v/>
      </c>
      <c r="AZ27" t="str">
        <f t="shared" si="5"/>
        <v/>
      </c>
      <c r="BA27" t="str">
        <f t="shared" si="6"/>
        <v/>
      </c>
      <c r="BB27" t="str">
        <f t="shared" si="7"/>
        <v/>
      </c>
      <c r="BC27" t="str">
        <f>IF(U27&lt;&gt;"",U27,IF(AND(B27&lt;&gt;"",B27&lt;&gt;A27,ISNUMBER(_xlfn.XMATCH(B27,Щиты[Щит]))),B27,""))</f>
        <v/>
      </c>
      <c r="BD27" t="str" cm="1">
        <f t="array" ref="BD27">IF(B27="","",IF(BC27&lt;&gt;"","Щит "&amp;BC27,_xlfn.LET(_xlpm.nm,IFERROR(_xlfn.XLOOKUP(AX27,Коды_код,Коды_имя)&amp;"",""),_xlpm.md,IFERROR(N(_xlfn.XLOOKUP(AX27,Коды_код,Коды_режим)),1),_xlpm.ex,IF(Имя_режим="по экспликации",IFERROR(_xlfn.XLOOKUP(AZ27&amp;"|"&amp;BB27,Экспликация[Этаж]&amp;"|"&amp;Экспликация[Помещение],Экспликация[Название])&amp;"",""),""),_xlpm.rm,IF(BB27="","",IF(_xlpm.ex&lt;&gt;"",". "&amp;_xlpm.ex&amp;IF(Имя_пом="нет"," ("&amp;BB27&amp;")"," (пом. "&amp;BB27&amp;")"),IF(Имя_пом="нет"," ",", пом. ")&amp;BB27)),IF(_xlpm.nm="","",IF(_xlpm.md=2,_xlpm.nm&amp;" шлейф "&amp;AZ27,_xlpm.nm&amp;_xlpm.rm)))))</f>
        <v>Питание на ИБП</v>
      </c>
      <c r="BE27" t="str">
        <f t="shared" si="8"/>
        <v>Питание на ИБП</v>
      </c>
      <c r="BF27">
        <f>IFERROR(_xlfn.XMATCH(A27,Щиты[Щит]),0)</f>
        <v>2</v>
      </c>
      <c r="BG27">
        <f>_xlfn.LET(_xlpm.k,IFERROR(_xlfn.XLOOKUP(A27,Щиты[Щит],Щиты[Листов под вводной узел]),""),IF(_xlpm.k="",1,N(_xlpm.k))*Столбцов_на_лист)</f>
        <v>17</v>
      </c>
      <c r="BH27">
        <f t="shared" si="9"/>
        <v>18</v>
      </c>
      <c r="BI27" t="str">
        <f t="shared" si="10"/>
        <v>линии</v>
      </c>
      <c r="BJ27" s="6">
        <f>IFERROR(N(_xlfn.XLOOKUP(AX27,Коды_код,Коды_квт)),0)</f>
        <v>0</v>
      </c>
      <c r="BK27">
        <f t="shared" si="11"/>
        <v>0</v>
      </c>
      <c r="BL27" t="str">
        <f>IF(B27="","",IF(BC27&lt;&gt;"",IFERROR(_xlfn.XLOOKUP(BC27,Щиты[Щит],Щиты[Руст, кВт]),0),IF(BK27=1,IFERROR(_xlfn.XLOOKUP(A27,Щиты[Щит],Щиты[Руст, кВт]),0),IF(BJ27&gt;0,ROUND(BJ27*MAX(1,N(D27)),3),""))))</f>
        <v/>
      </c>
      <c r="BM27" t="str">
        <f t="shared" si="12"/>
        <v/>
      </c>
      <c r="BN27" s="6">
        <f>IF(B27="","",IF(BC27&lt;&gt;"",IFERROR(_xlfn.XLOOKUP(BC27,Щиты[Щит],Щиты[Руст, кВт]),0),N(BM27)))</f>
        <v>0</v>
      </c>
      <c r="BO27" t="str">
        <f>IF(B27="","",IFERROR(IF(VLOOKUP(AX27,Потребители_обозначение,8,FALSE)=0,"",VLOOKUP(AX27,Потребители_обозначение,8,FALSE)),""))</f>
        <v/>
      </c>
      <c r="BP27">
        <f t="shared" si="13"/>
        <v>400</v>
      </c>
      <c r="BQ27">
        <f>IF(B27="","",IF(BC27&lt;&gt;"",3,IFERROR(IF(N(VLOOKUP(AX27,Потребители_обозначение,9,FALSE))=0,1,VLOOKUP(AX27,Потребители_обозначение,9,FALSE)),1)))</f>
        <v>1</v>
      </c>
      <c r="BR27">
        <f t="shared" si="14"/>
        <v>1</v>
      </c>
      <c r="BS27" t="str">
        <f>IF(B27="","",_xlfn.LET(_xlpm.bc,IFERROR(IF(VLOOKUP(AX27,Потребители_обозначение,6,FALSE)=0,"",VLOOKUP(AX27,Потребители_обозначение,6,FALSE)&amp;""),""),IF(AND(FK27="да",OR(_xlpm.bc="",_xlpm.bc="мс")),Марка_пож,IF(AND(_xlpm.bc="",BC27&lt;&gt;""),"мс",_xlpm.bc))))</f>
        <v/>
      </c>
      <c r="BT27" t="str">
        <f t="shared" si="15"/>
        <v/>
      </c>
      <c r="BU27" t="str">
        <f>IF(B27="","",_xlfn.LET(_xlpm.cc,IFERROR(N(VLOOKUP(AX27,Потребители_обозначение,7,FALSE)),0),IF(_xlpm.cc&gt;0,_xlpm.cc,IF(BT27="","",IF(N(BR27)=3,5,3)))))</f>
        <v/>
      </c>
      <c r="BV27" t="str">
        <f t="shared" si="16"/>
        <v/>
      </c>
      <c r="BW27">
        <f>IFERROR(N(VLOOKUP(AX27,Потребители_обозначение,10,FALSE)),0)</f>
        <v>0</v>
      </c>
      <c r="BX27">
        <f>IFERROR(VLOOKUP(AX27,Потребители_обозначение,5,FALSE),0)</f>
        <v>1</v>
      </c>
      <c r="BY27" s="6" cm="1">
        <f t="array" ref="BY27">IF(B27="","",IF(BC27&lt;&gt;"",IFERROR(_xlfn.XLOOKUP(BC27,Щиты[Щит],Щиты[cos φ]),0.95),IF(BK27=1,IFERROR(_xlfn.XLOOKUP(A27,Щиты[Щит],Щиты[cos φ]),0.95),IF(ISNUMBER(Z27),Z27,IFERROR(IF(BX27=2,_xlfn.IFS(BR27=3,VLOOKUP(BN27,Справочная_двигатели,8,FALSE),BR27=1,VLOOKUP(BN27,Справочная_двигатели,10,TRUE)),IF(AND(Методика="нормы 2026",EQ27="Сил"),0.8,0.95)),0.95)))))</f>
        <v>0.95</v>
      </c>
      <c r="BZ27">
        <f t="shared" si="17"/>
        <v>0</v>
      </c>
      <c r="CA27">
        <f t="shared" si="18"/>
        <v>1</v>
      </c>
      <c r="CB27">
        <f t="shared" si="19"/>
        <v>0</v>
      </c>
      <c r="CC27">
        <f t="shared" si="20"/>
        <v>0</v>
      </c>
      <c r="CD27">
        <f t="shared" si="21"/>
        <v>0</v>
      </c>
      <c r="CE27">
        <f t="shared" si="22"/>
        <v>0</v>
      </c>
      <c r="CF27">
        <f t="shared" si="23"/>
        <v>0</v>
      </c>
      <c r="CG27">
        <f>IF(AX27="",0,_xlfn.LET(_xlpm.v,IFERROR(VLOOKUP(B27,УГО_спр,3,FALSE),IFERROR(VLOOKUP(AX27,УГО_спр,3,FALSE),IFERROR(VLOOKUP(LEFT(AX27,2),УГО_спр,3,FALSE),""))),IF(_xlpm.v="да",30,IF(ISNUMBER(_xlpm.v),_xlpm.v,0))))</f>
        <v>0</v>
      </c>
      <c r="CH27" t="str">
        <f t="shared" si="24"/>
        <v/>
      </c>
      <c r="CI27" t="str">
        <f>_xlfn.LET(_xlpm.k,IFERROR(_xlfn.XLOOKUP(AX27,Коды_код,Коды_утечка)&amp;"",""),IF(_xlpm.k="","дифавтомат",_xlpm.k))</f>
        <v>дифавтомат</v>
      </c>
      <c r="CJ27">
        <f t="shared" si="25"/>
        <v>0</v>
      </c>
      <c r="CK27">
        <f t="shared" si="26"/>
        <v>0</v>
      </c>
      <c r="CL27">
        <f>IF(B27="",0,IFERROR(--VLOOKUP(B27,УГО_спр,4,FALSE),IFERROR(--VLOOKUP(AX27,УГО_спр,4,FALSE),IFERROR(--VLOOKUP(LEFT(AX27,2),УГО_спр,4,FALSE),0))))</f>
        <v>0</v>
      </c>
      <c r="CM27" t="str">
        <f>IF(B27="","",IFERROR(_xlfn.XLOOKUP(AX27,Коды_код,Коды_апп)&amp;"",""))</f>
        <v/>
      </c>
      <c r="CN27" t="str">
        <f t="shared" si="27"/>
        <v/>
      </c>
      <c r="CO27" t="str" cm="1">
        <f t="array" ref="CO27">IF(TRIM(CN27&amp;"")="","",IFERROR(TRIM(INDEX(_xlfn.TEXTSPLIT(CN27&amp;";;;",";"),1)),""))</f>
        <v/>
      </c>
      <c r="CP27" t="str" cm="1">
        <f t="array" ref="CP27">IF(TRIM(CN27&amp;"")="","",IFERROR(TRIM(INDEX(_xlfn.TEXTSPLIT(CN27&amp;";;;",";"),2)),""))</f>
        <v/>
      </c>
      <c r="CQ27" t="str" cm="1">
        <f t="array" ref="CQ27">IF(TRIM(CN27&amp;"")="","",IFERROR(TRIM(INDEX(_xlfn.TEXTSPLIT(CN27&amp;";;;",";"),3)),""))</f>
        <v/>
      </c>
      <c r="CR27">
        <f t="shared" si="28"/>
        <v>0</v>
      </c>
      <c r="CS27" t="str">
        <f>IF(B27="","",_xlfn.LET(_xlpm.t,LOWER(AV27&amp;""),IF(ISNUMBER(SEARCH("dim",_xlpm.t)),"DIM",IF(ISNUMBER(SEARCH("dali",_xlpm.t)),"DALI",IF(OR(ISNUMBER(SEARCH("relay",_xlpm.t)),ISNUMBER(SEARCH("реле",_xlpm.t))),"Relay",IF(ISNUMBER(SEARCH("кнопк",_xlpm.t)),"",IFERROR(_xlfn.XLOOKUP(AX27,Коды_код,Коды_упр)&amp;"","")))))))</f>
        <v/>
      </c>
      <c r="CT27" t="str">
        <f t="shared" si="29"/>
        <v/>
      </c>
      <c r="CU27">
        <f>IF(B27="","",_xlfn.LET(_xlpm.ig,N(P27)+IF(AF27="вручную",0,N(CB27)),_xlpm.n0,IFERROR(VLOOKUP(_xlpm.ig,Автомат_номиналы,2,TRUE),0),_xlpm.mn,MAX(CL27,IF(AF27="вручную",0,N(CE27))),MAX(_xlpm.n0,_xlpm.mn,IF(CR27=1,Мин_автомат_БП,0))))</f>
        <v>6</v>
      </c>
      <c r="CV27">
        <f t="shared" si="30"/>
        <v>1</v>
      </c>
      <c r="CW27" t="str">
        <f t="shared" si="31"/>
        <v>1P</v>
      </c>
      <c r="CX27" t="str">
        <f>_xlfn.LET(_xlpm.cc,UPPER(TRIM(IFERROR(_xlfn.XLOOKUP(AX27,Коды_код,Коды_хар)&amp;"",""))),IF(OR(_xlpm.cc="B",_xlpm.cc="В"),"B",IF(_xlpm.cc="D","D","С")))</f>
        <v>С</v>
      </c>
      <c r="CY27" t="str">
        <f t="shared" si="32"/>
        <v>1P С6А</v>
      </c>
      <c r="CZ27" t="str">
        <f t="shared" si="33"/>
        <v>1P С6А</v>
      </c>
      <c r="DA27" t="str">
        <f t="shared" si="34"/>
        <v>1P С6А</v>
      </c>
      <c r="DB27" cm="1">
        <f t="array" ref="DB27">IF(DA27="","",_xlfn.LET(_xlpm.t,SUBSTITUTE(SUBSTITUTE(SUBSTITUTE(UPPER(DA27),"С","C"),"А","A"),"В","B"),_xlpm.tk,_xlfn.TEXTSPLIT(_xlpm.t,"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7" t="str">
        <f t="shared" si="35"/>
        <v>ok</v>
      </c>
      <c r="DD27">
        <f t="shared" si="36"/>
        <v>6</v>
      </c>
      <c r="DE27" t="str">
        <f t="shared" si="37"/>
        <v>1P С6А</v>
      </c>
      <c r="DF27">
        <f t="shared" si="38"/>
        <v>0</v>
      </c>
      <c r="DG27">
        <f t="shared" si="39"/>
        <v>0</v>
      </c>
      <c r="DH27">
        <f t="shared" si="40"/>
        <v>0</v>
      </c>
      <c r="DI27">
        <f t="shared" si="41"/>
        <v>0</v>
      </c>
      <c r="DJ27">
        <f t="shared" si="42"/>
        <v>1</v>
      </c>
      <c r="DK27">
        <f>IF(ISNUMBER(AL27),AL27,К_прокл)</f>
        <v>1</v>
      </c>
      <c r="DL27">
        <f t="shared" si="43"/>
        <v>2</v>
      </c>
      <c r="DM27">
        <f>IFERROR(N(VLOOKUP(BT27,Кабель_обозначение,3,FALSE)),1)</f>
        <v>1</v>
      </c>
      <c r="DN27">
        <f>IFERROR(N(_xlfn.XLOOKUP(A27,Щиты[Щит],Щиты[ΔU до шин, %])),0)</f>
        <v>0</v>
      </c>
      <c r="DO27" t="str">
        <f>IFERROR(_xlfn.XLOOKUP(A27,Щиты[Щит],Щиты[Zпетли на шинах, Ом]),"")</f>
        <v/>
      </c>
      <c r="DP27">
        <f>IFERROR(N(_xlfn.XLOOKUP(A27,Щиты[Щит],Щиты[ΔU до шин (подбор), %])),0)</f>
        <v>0</v>
      </c>
      <c r="DQ27" t="str">
        <f>IFERROR(_xlfn.XLOOKUP(A27,Щиты[Щит],Щиты[Zпетли на шинах (подбор), Ом]),"")</f>
        <v/>
      </c>
      <c r="DR27" t="str">
        <f t="shared" si="44"/>
        <v/>
      </c>
      <c r="DS27" t="str">
        <f t="shared" si="45"/>
        <v/>
      </c>
      <c r="DT27">
        <f t="shared" si="46"/>
        <v>2</v>
      </c>
      <c r="DU27">
        <f t="shared" si="47"/>
        <v>0.31</v>
      </c>
      <c r="DV27" s="6">
        <f>IF(B27="","",IF(IFERROR(VLOOKUP(AX27,УГО_спр,2,FALSE),"")="Светильник",3,4)+IF(Методика="нормы 2026",MIN(0.5,MAX(0,N(Q27)-100)*0.005),0))</f>
        <v>4</v>
      </c>
      <c r="DW27" t="str" cm="1">
        <f t="array" ref="DW27">IF(OR(B27="",BT27="",DM27&lt;&gt;1),"",_xlfn.LET(_xlpm.sz,Iдоп_S,_xlpm.t_,CHOOSE(DL27,Iдоп_1ж,Iдоп_2ж,Iдоп_3ж)*DJ27*DK27,_xlpm.inn,N(DD27),_xlpm.smin,MAX(1.5,BW27),_xlpm.L_,N(Q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27)*(_xlpm.rho*_xlpm.L_/_xlpm.sz*N(BY27)+_xlpm.xx*_xlpm.L_*N(DU27)/1000)*N(P27)/((Uн_лин/SQRT(3))*1000)*100,999),_xlpm.kz,IF(OR(DG27=1,NOT(ISNUMBER(DQ27)),_xlpm.L_=0,_xlpm.inn=0),1,IFERROR(--(c_min*(Uн_лин*1000/SQRT(3))/(DQ27+2*ρкз_Cu*_xlpm.L_/_xlpm.sz)&gt;=GY27*_xlpm.inn),0)),_xlpm.ok,IFERROR((_xlpm.sz&gt;=_xlpm.smin)*(_xlpm.t_&gt;=_xlpm.inn)*IF(_xlpm.L_&gt;0,(_xlpm.du_+DP27&lt;=DV27+0.00001),1)*_xlpm.kz,0),_xlpm.r_,_xlfn._xlws.FILTER(_xlpm.sz,_xlpm.ok,"не подобрано"),INDEX(_xlpm.r_,1)))</f>
        <v/>
      </c>
      <c r="DX27" t="str">
        <f t="shared" si="48"/>
        <v/>
      </c>
      <c r="DY27" t="str" cm="1">
        <f t="array" ref="DY27">IF(OR(B27="",BT27="",DM27&lt;&gt;1),"",_xlfn.LET(_xlpm.sz,Iдоп_S,_xlpm.t_,CHOOSE(DL27,Iдоп_1ж,Iдоп_2ж,Iдоп_3ж)*DJ27*DK27,_xlpm.ok,IFERROR((_xlpm.sz&gt;=MAX(1.5,BW27))*(_xlpm.t_&gt;=N(DD27)),0),_xlpm.r_,_xlfn._xlws.FILTER(_xlpm.sz,_xlpm.ok,""),INDEX(_xlpm.r_,1)))</f>
        <v/>
      </c>
      <c r="DZ27" s="6" t="str" cm="1">
        <f t="array" ref="DZ27">IFERROR(ROUNDUP(N(DT27)*(_xlfn.XLOOKUP(DY27,INDEX(Кабель_сопротивление,0,1),INDEX(Кабель_сопротивление,0,3))*N(Q27)/DY27*N(BY27)+_xlfn.XLOOKUP(DY27,INDEX(Кабель_сопротивление,0,1),INDEX(Кабель_сопротивление,0,2))*N(Q27)*N(DU27)/1000)*N(P27)/((Uн_лин/SQRT(3))*1000)*100,2),"")</f>
        <v/>
      </c>
      <c r="EA27" t="str">
        <f>IFERROR(2*ρкз_Cu*N(Q27)/DY27,"")</f>
        <v/>
      </c>
      <c r="EB27" t="str">
        <f>IFERROR(VLOOKUP(DX27,Кабель_сопротивление,3,FALSE),"")</f>
        <v/>
      </c>
      <c r="EC27" t="str">
        <f>IFERROR(VLOOKUP(DX27,Кабель_сопротивление,2,FALSE),"")</f>
        <v/>
      </c>
      <c r="ED27" t="str">
        <f t="shared" si="49"/>
        <v/>
      </c>
      <c r="EE27" t="str">
        <f t="shared" si="50"/>
        <v/>
      </c>
      <c r="EF27" t="str">
        <f t="shared" si="51"/>
        <v/>
      </c>
      <c r="EG27" s="6" t="str">
        <f>IFERROR(ROUNDUP(EF27/((Uн_лин/SQRT(3))*1000)*100,2),"")</f>
        <v/>
      </c>
      <c r="EH27" t="str">
        <f>IFERROR(VLOOKUP(BT27,Кабель_обозначение,2,FALSE),"")</f>
        <v/>
      </c>
      <c r="EI27" t="str">
        <f t="shared" si="52"/>
        <v/>
      </c>
      <c r="EJ27" t="str">
        <f t="shared" si="53"/>
        <v/>
      </c>
      <c r="EK27" t="str">
        <f>IFERROR(2*ρкз_Cu*Q27/DX27,"")</f>
        <v/>
      </c>
      <c r="EL27" t="str">
        <f t="shared" si="54"/>
        <v/>
      </c>
      <c r="EM27" s="6" t="str">
        <f>IFERROR(IF(OR(B27="",NOT(ISNUMBER(DX27)),N(Q27)=0),"",_xlfn.XLOOKUP(A27,Щиты[Щит],Щиты[Zпетли на шинах, Ом])+EK27),"")</f>
        <v/>
      </c>
      <c r="EN27" s="6" t="str">
        <f>IF(ISNUMBER(EM27),c_min*(Uн_лин*1000/SQRT(3))/EM27,"")</f>
        <v/>
      </c>
      <c r="EO27" s="6" t="str">
        <f>IFERROR(IF(OR(B27="",NOT(ISNUMBER(DX27))),"",1.05*(Uн_лин*1000/SQRT(3))/(_xlfn.XLOOKUP(A27,Щиты[Щит],Щиты[Zmax на шинах, Ом])+EL27)/1000),"")</f>
        <v/>
      </c>
      <c r="EP27" s="6" t="str">
        <f>IF(B27="","",IF(ISNUMBER(Y27),"Сил",IF(IFERROR(_xlfn.XLOOKUP(AX27,Коды_код,Коды_группа)&amp;"","")="","Быт",_xlfn.XLOOKUP(AX27,Коды_код,Коды_группа)&amp;"")))</f>
        <v>Нет</v>
      </c>
      <c r="EQ27" s="6" t="str">
        <f t="shared" si="55"/>
        <v>Нет</v>
      </c>
      <c r="ER27" s="6">
        <f>IF(EQ27="Щит","щит",IF(EQ27="","",IF(EQ27="Быт",IFERROR(_xlfn.XLOOKUP(A27,Щиты[Щит],Щиты[Кс быт]),1),IF(EQ27="Сил",IF(ISNUMBER(Y27),Y27,IF(Методика="нормы 2026",IFERROR(_xlfn.XLOOKUP(A27,Щиты[Щит],Щиты[Кс силовых (табл. 7.5)]),1),1)),IF(OR(EQ27="Пост",EQ27="Отоп"),1,IF(EQ27="ВНГ",0.7,0))))))</f>
        <v>0</v>
      </c>
      <c r="ES27">
        <f t="shared" si="56"/>
        <v>1</v>
      </c>
      <c r="ET27">
        <f t="shared" si="57"/>
        <v>0</v>
      </c>
      <c r="EU27">
        <f t="shared" si="58"/>
        <v>0</v>
      </c>
      <c r="EV27">
        <f t="shared" si="59"/>
        <v>0</v>
      </c>
      <c r="EW27">
        <f t="shared" si="60"/>
        <v>0</v>
      </c>
      <c r="EX27">
        <f t="shared" si="61"/>
        <v>0</v>
      </c>
      <c r="EY27">
        <f t="shared" si="62"/>
        <v>0</v>
      </c>
      <c r="EZ27">
        <f t="shared" si="63"/>
        <v>0</v>
      </c>
      <c r="FA27">
        <f t="shared" si="64"/>
        <v>0</v>
      </c>
      <c r="FB27">
        <f t="shared" si="65"/>
        <v>0</v>
      </c>
      <c r="FC27" t="str">
        <f t="shared" si="66"/>
        <v/>
      </c>
      <c r="FD27" t="str">
        <f>IF(B27="","",IF(CA27=0,IF(AW27=1,"",FF26),IF(OR(N(CV27)&gt;=3,N(BR27)&gt;=3),"L1,L2,L3",IFERROR(_xlfn.TEXTBEFORE(_xlfn.TEXTAFTER(_xlfn.XLOOKUP(A27,Щиты[Щит],Щиты[_фазы авто]),";"&amp;AW27&amp;":"),";"),"L1"))))</f>
        <v>L1</v>
      </c>
      <c r="FE27" t="str">
        <f t="shared" si="67"/>
        <v>L1</v>
      </c>
      <c r="FF27" t="str">
        <f t="shared" si="68"/>
        <v>L1</v>
      </c>
      <c r="FG27" cm="1">
        <f t="array" ref="FG27">IFERROR(IF(BX27=2,_xlfn.IFS(BR27=3,VLOOKUP(BN27,Справочная_двигатели,3,FALSE),BR27=1,VLOOKUP(BN27,Справочная_двигатели,5,TRUE)),0),0)</f>
        <v>0</v>
      </c>
      <c r="FH27">
        <f>IFERROR(IF(BX27=3,VLOOKUP(BN27,Справочная_ЛЭД,2,TRUE),0),0)</f>
        <v>0</v>
      </c>
      <c r="FI27" s="6">
        <f t="shared" si="69"/>
        <v>0</v>
      </c>
      <c r="FJ27" t="str" cm="1">
        <f t="array" ref="FJ27">IF(B27="","",IFERROR(INDEX({"I особая","I","II","III"},MATCH(TRIM(AC27&amp;""),{"I особая","I","II","III"},0)),"III"))</f>
        <v>III</v>
      </c>
      <c r="FK27" t="str">
        <f>IF(B27="","",IF(TRIM(AD27&amp;"")&lt;&gt;"",IF(LOWER(TRIM(AD27&amp;""))="да","да","нет"),IF(IFERROR(_xlfn.XLOOKUP(AX27,Коды_код,Коды_пожарная),"")="да","да","нет")))</f>
        <v>нет</v>
      </c>
      <c r="FL27" t="str">
        <f t="shared" si="70"/>
        <v/>
      </c>
      <c r="FM27" t="str">
        <f t="shared" si="71"/>
        <v>основная</v>
      </c>
      <c r="FN27">
        <f t="shared" si="72"/>
        <v>1</v>
      </c>
      <c r="FO27" t="str" cm="1">
        <f t="array" ref="FO27">IF(B27="","",_xlfn.LET(_xlpm.t,IFERROR(_xlfn.XLOOKUP(1,(Шины[Шина]=FM27)*(((Шины[Щит]=A27)+(Шины[Щит]=""))&gt;0),Шины[Тип]),"")&amp;"",IF(_xlpm.t&lt;&gt;"",_xlpm.t,IF(ISNUMBER(SEARCH("ИБП",FM27)),"ИБП",IF(ISNUMBER(SEARCH("ДГУ",FM27)),"ДГУ","Ввод "&amp;FN27)))))</f>
        <v>Ввод 1</v>
      </c>
      <c r="FP27" t="str">
        <f t="shared" si="73"/>
        <v>Ввод 1</v>
      </c>
      <c r="FQ27" t="str">
        <f>IF(B27="","",IF(OR(FO27="ИБП",FO27="ДГУ"),"I особая",IF(FO27="Одиночная","III",_xlfn.XLOOKUP(A27,Щиты[Щит],Щиты[Категория шины «Ввод»],"III"))))</f>
        <v>II</v>
      </c>
      <c r="FR27">
        <f>IF(B27="",0,IFERROR(MATCH(FJ27,{"III","II","I","I особая"},0),1))</f>
        <v>1</v>
      </c>
      <c r="FS27">
        <f t="shared" si="74"/>
        <v>1</v>
      </c>
      <c r="FT27" t="str">
        <f>IF(B27="","",IF(FR27&gt;IFERROR(MATCH(FQ27,{"III","II","I","I особая"},0),1),"НЕ ОБЕСПЕЧЕНА","ОК"))</f>
        <v>ОК</v>
      </c>
      <c r="FU27" t="str">
        <f>IF(A27="","",_xlfn.XLOOKUP(A27,Щиты[Щит],Щиты[Путь],""))</f>
        <v>|ГРЩ-ЖД|ЩГП|</v>
      </c>
      <c r="FV27" t="str">
        <f>IF(B27="","",IF(AE27&lt;&gt;"",AE27,IF(IFERROR(_xlfn.XLOOKUP(AX27,Коды_код,Коды_вид)&amp;"","")="","Прочее",_xlfn.XLOOKUP(AX27,Коды_код,Коды_вид)&amp;"")))</f>
        <v>Прочее</v>
      </c>
      <c r="FW27">
        <f>IF(BH27="","",INT((BH27-1)/Столбцов_на_лист)+1)</f>
        <v>2</v>
      </c>
      <c r="FX27" t="str">
        <f t="shared" si="75"/>
        <v/>
      </c>
      <c r="FY27">
        <f t="shared" si="76"/>
        <v>0</v>
      </c>
      <c r="FZ27">
        <f t="shared" si="77"/>
        <v>0</v>
      </c>
      <c r="GA27">
        <f t="shared" si="78"/>
        <v>1</v>
      </c>
      <c r="GB27">
        <f t="shared" si="79"/>
        <v>0</v>
      </c>
      <c r="GC27">
        <f t="shared" si="80"/>
        <v>1</v>
      </c>
      <c r="GD27">
        <f>IF(BH27="","",IF(AND(CA27=1,GC27=1),COUNTIFS(A$3:A27,A27,CA$3:CA27,1,GC$3:GC27,1),IF(OR(OR(AW27=1,A27&lt;&gt;A26),AF27="вручную",GC27=0),"",IF(AW27=1,"",GE26))))</f>
        <v>1</v>
      </c>
      <c r="GE27">
        <f t="shared" si="81"/>
        <v>1</v>
      </c>
      <c r="GF27" t="str">
        <f>IF(B27="","",IFERROR(LOOKUP(INDEX(CHOOSE(DL27,Iдоп_1ж,Iдоп_2ж,Iдоп_3ж),MATCH(DX27,Iдоп_S,0))*DJ27*DK27,{6,10,16,20,25,32,40,50,63,80,100,125,160,200,250,315,400,500,630}),""))</f>
        <v/>
      </c>
      <c r="GG27" t="str">
        <f t="shared" si="82"/>
        <v>QF1</v>
      </c>
      <c r="GH27" t="str">
        <f t="shared" si="83"/>
        <v>QF1</v>
      </c>
      <c r="GI27" t="str">
        <f t="shared" si="84"/>
        <v/>
      </c>
      <c r="GJ27">
        <f t="shared" si="85"/>
        <v>0</v>
      </c>
      <c r="GK27" t="str">
        <f>IF(OR(AG27="",AG27="-"),"",IFERROR(VLOOKUP(AG27,Модули_спр,2,FALSE),"R"))</f>
        <v/>
      </c>
      <c r="GL27" t="str">
        <f>IF(GK27="","",GK27&amp;"."&amp;COUNTIFS(A$3:A27,A27,GK$3:GK27,GK27))</f>
        <v/>
      </c>
      <c r="GM27" t="str">
        <f t="shared" si="86"/>
        <v/>
      </c>
      <c r="GN27" t="str">
        <f t="shared" si="87"/>
        <v/>
      </c>
      <c r="GO27" t="str">
        <f t="shared" si="88"/>
        <v/>
      </c>
      <c r="GP27" t="str">
        <f t="shared" si="89"/>
        <v/>
      </c>
      <c r="GQ27">
        <f t="shared" si="90"/>
        <v>0</v>
      </c>
      <c r="GR27" t="str">
        <f>IF(GQ27=1,"XT"&amp;COUNTIFS(A$3:A27,A27,GQ$3:GQ27,1),"")</f>
        <v/>
      </c>
      <c r="GS27" t="str">
        <f t="shared" si="91"/>
        <v/>
      </c>
      <c r="GT27" t="str">
        <f t="shared" si="92"/>
        <v>QF1</v>
      </c>
      <c r="GU27" t="str">
        <f t="shared" si="93"/>
        <v/>
      </c>
      <c r="GV27" t="str">
        <f t="shared" si="94"/>
        <v>ok</v>
      </c>
      <c r="GW27" t="str">
        <f>IF(OR(GO27="",GM27=""),"",IF(GO27&gt;IFERROR(VLOOKUP(GN27,Модули_спр,3,FALSE),99),"ЛИШНИЙ КАНАЛ",IF(AND(AH27&lt;&gt;"=",COUNTIFS(Линии[_модуль гр.],GM27,Линии[Канал (итог)],GO27,Линии[Канал],"&lt;&gt;=",Линии[Щит],A27)&gt;1),"ДУБЛЬ КАНАЛА","")))</f>
        <v/>
      </c>
      <c r="GX27" s="6" t="str">
        <f t="shared" si="95"/>
        <v/>
      </c>
      <c r="GY27">
        <f t="shared" si="96"/>
        <v>10</v>
      </c>
      <c r="GZ27" t="str">
        <f t="shared" si="97"/>
        <v/>
      </c>
      <c r="HA27" t="str">
        <f>IF(AND(B27="",GT27=""),"",_xlfn.TEXTJOIN("; ",TRUE,IF(AND(B27&lt;&gt;"",FE27=""),"нет фазы",""),IF(AND(B27&lt;&gt;"",N(FY27)=0,EQ27&lt;&gt;"Нет"),"нет мощности",""),IF(AND(GS27&lt;&gt;"",COUNTIFS(Линии[Щит],A27,Линии[Клемма (итог)],GS27)&gt;1),"дубль клеммы "&amp;GS27,""),IF(AND(GV27&lt;&gt;"",GV27&lt;&gt;"ok"),GV27,""),IF(GW27&lt;&gt;"",GW27,""),IF(AND(N(BV27)&gt;=4,N(BR27)=1),BV27&amp;" жил на 1 фазе",""),IF(AND(AX27="R",CA27=1,OR(N(CK27)=0,N(CK27)&gt;30)),"розетка без дифзащиты до 30 мА",""),IFERROR(IF(AND(ISNUMBER(R27),R27&gt;DV27),"потери "&amp;FIXED(R27,1)&amp;" % &gt; "&amp;DV27&amp;" %",""),""),IFERROR(IF(LEFT(GZ27,4)="мало","Iкз мало — отключение &gt; 0,4 с",""),""),IF(AND(B27&lt;&gt;"",BH27=""),"не на схеме",""),IF(AND(CA27=0,B27&lt;&gt;"",FE27&lt;&gt;"",IF(AW27=1,"",FF26)&lt;&gt;"",FE27&lt;&gt;IF(AW27=1,"",FF26)),"фаза не как у автомата группы ("&amp;IF(AW27=1,"",FF26)&amp;")","")))</f>
        <v/>
      </c>
      <c r="HB27" s="6" t="str">
        <f>IF(OR(CA27=0,DA27=""),"",_xlfn.LET(_xlpm.t,IFERROR(_xlfn.XLOOKUP(DA27,Каталог!$U$4:$U$500,Каталог!$G$4:$G$500),""),_xlpm.k,SEARCH("кА",_xlpm.t),IFERROR(--TRIM(RIGHT(SUBSTITUTE(MID(_xlpm.t,MAX(1,_xlpm.k-4),_xlpm.k-MAX(1,_xlpm.k-4))," ",REPT(" ",9)),5)),"")))</f>
        <v/>
      </c>
      <c r="HC27" t="str">
        <f>IF(OR(HB27="",CA27=0),"",IF(_xlfn.XLOOKUP(A27,Щиты[Щит],Щиты[Iкз max на шинах, кА],"")="","",IF(HB27&lt;_xlfn.XLOOKUP(A27,Щиты[Щит],Щиты[Iкз max на шинах, кА]),"Icu "&amp;HB27&amp;" кА &lt; Iкз max","ok")))</f>
        <v/>
      </c>
      <c r="HD27" t="str">
        <f t="shared" si="98"/>
        <v/>
      </c>
      <c r="HE27" t="str">
        <f t="shared" si="99"/>
        <v>QF1</v>
      </c>
      <c r="HF27" t="str">
        <f t="shared" si="100"/>
        <v>QF1|кабель  → Питание на ИБП</v>
      </c>
      <c r="HG27" t="str" cm="1">
        <f t="array" ref="HG27">IF(HF27="","",_xlfn.LET(_xlpm.nd,_xlfn.TEXTSPLIT(HF27,"|"),IF(COLUMNS(_xlpm.nd)&gt;1,A27&amp;"¦"&amp;INDEX(_xlpm.nd,1)&amp;"¦"&amp;INDEX(_xlpm.nd,2),"")))</f>
        <v>ЩГП¦QF1¦кабель  → Питание на ИБП</v>
      </c>
      <c r="HH27" t="str">
        <f t="shared" si="101"/>
        <v>На ИБП¦Питание на ИБП</v>
      </c>
      <c r="HI27" t="str" cm="1">
        <f t="array" ref="HI27">IF(HF27="","",_xlfn.LET(_xlpm.nd,_xlfn.TEXTSPLIT(HF27,"|"),IF(COLUMNS(_xlpm.nd)&gt;2,A27&amp;"¦"&amp;INDEX(_xlpm.nd,2)&amp;"¦"&amp;INDEX(_xlpm.nd,3),"")))</f>
        <v/>
      </c>
      <c r="HJ27" t="str">
        <f t="shared" si="102"/>
        <v/>
      </c>
      <c r="HK27" t="str" cm="1">
        <f t="array" ref="HK27">IF(HF27="","",_xlfn.LET(_xlpm.nd,_xlfn.TEXTSPLIT(HF27,"|"),IF(COLUMNS(_xlpm.nd)&gt;3,A27&amp;"¦"&amp;INDEX(_xlpm.nd,3)&amp;"¦"&amp;INDEX(_xlpm.nd,4),"")))</f>
        <v/>
      </c>
      <c r="HL27" t="str">
        <f t="shared" si="103"/>
        <v/>
      </c>
      <c r="HM27" t="str" cm="1">
        <f t="array" ref="HM27">IF(HF27="","",_xlfn.LET(_xlpm.nd,_xlfn.TEXTSPLIT(HF27,"|"),IF(COLUMNS(_xlpm.nd)&gt;4,A27&amp;"¦"&amp;INDEX(_xlpm.nd,4)&amp;"¦"&amp;INDEX(_xlpm.nd,5),"")))</f>
        <v/>
      </c>
      <c r="HN27" t="str">
        <f t="shared" si="104"/>
        <v/>
      </c>
      <c r="HO27" t="str" cm="1">
        <f t="array" ref="HO27">IF(HF27="","",_xlfn.LET(_xlpm.nd,_xlfn.TEXTSPLIT(HF27,"|"),IF(COLUMNS(_xlpm.nd)&gt;5,A27&amp;"¦"&amp;INDEX(_xlpm.nd,5)&amp;"¦"&amp;INDEX(_xlpm.nd,6),"")))</f>
        <v/>
      </c>
      <c r="HP27" t="str">
        <f t="shared" si="105"/>
        <v/>
      </c>
      <c r="HQ27" t="str" cm="1">
        <f t="array" ref="HQ27">IF(HF27="","",_xlfn.LET(_xlpm.nd,_xlfn.TEXTSPLIT(HF27,"|"),IF(COLUMNS(_xlpm.nd)&gt;6,A27&amp;"¦"&amp;INDEX(_xlpm.nd,6)&amp;"¦"&amp;INDEX(_xlpm.nd,7),"")))</f>
        <v/>
      </c>
      <c r="HR27" t="str">
        <f t="shared" si="106"/>
        <v/>
      </c>
      <c r="HS27" t="str">
        <f t="shared" si="107"/>
        <v/>
      </c>
      <c r="HT27" t="str">
        <f t="shared" si="108"/>
        <v>QF1</v>
      </c>
      <c r="HU27">
        <f t="shared" si="109"/>
        <v>0</v>
      </c>
      <c r="HV27">
        <f t="shared" si="110"/>
        <v>0</v>
      </c>
      <c r="HW27" t="str">
        <f t="shared" si="111"/>
        <v/>
      </c>
      <c r="HX27" t="str">
        <f t="shared" si="112"/>
        <v/>
      </c>
      <c r="HY27" t="str">
        <f t="shared" si="113"/>
        <v/>
      </c>
      <c r="HZ27" t="str">
        <f t="shared" si="114"/>
        <v/>
      </c>
      <c r="IA27">
        <f>IF(B27="","",IFERROR(VLOOKUP(B27,УГО_спр,2,FALSE),IFERROR(VLOOKUP(AX27,УГО_спр,2,FALSE),IFERROR(VLOOKUP(LEFT(AX27,2),УГО_спр,2,FALSE),""))))</f>
        <v>0</v>
      </c>
      <c r="IB27" t="str">
        <f>IF(B27="","",IF(OR(IA27="",IA27=0),"BOX",IFERROR(IF(VLOOKUP(IA27,УГО_блоки,3,FALSE)&amp;""&lt;&gt;"",VLOOKUP(IA27,УГО_блоки,3,FALSE),VLOOKUP(IA27,УГО_блоки,2,FALSE)),IA27)))</f>
        <v>BOX</v>
      </c>
      <c r="IC27">
        <f t="shared" si="115"/>
        <v>1</v>
      </c>
      <c r="ID27" t="str">
        <f>IF(DA27="","",IF(COUNTIF(DA$3:DA27,DA27)=1,MAX(ID$2:ID26)+1,""))</f>
        <v/>
      </c>
      <c r="IE27" t="str">
        <f>IF(CO27="","",IF(COUNTIF(CO$3:CO27,CO27)+COUNTIF(CP$2:CP26,CO27)+COUNTIF(CQ$2:CQ26,CO27)=1,MAX(IE$2:IG26)+1,""))</f>
        <v/>
      </c>
      <c r="IF27" t="str">
        <f>IF(CP27="","",IF(COUNTIF(CO$3:CO27,CP27)+COUNTIF(CP$3:CP27,CP27)+COUNTIF(CQ$2:CQ26,CP27)=1,MAX(IE$2:IG26,IE27)+1,""))</f>
        <v/>
      </c>
      <c r="IG27" t="str">
        <f>IF(CQ27="","",IF(COUNTIF(CO$3:CO27,CQ27)+COUNTIF(CP$3:CP27,CQ27)+COUNTIF(CQ$3:CQ27,CQ27)=1,MAX(IE$2:IG26,IE27,IF27)+1,""))</f>
        <v/>
      </c>
      <c r="IH27" t="str">
        <f t="shared" si="116"/>
        <v/>
      </c>
      <c r="II27" t="str">
        <f>IF(IH27="","",IF(COUNTIF(IH$3:IH27,IH27)=1,MAX(II$2:II26)+1,""))</f>
        <v/>
      </c>
      <c r="IJ27" t="str">
        <f>IF(GL27="","",COUNTIF(GL$3:GL27,"?*"))</f>
        <v/>
      </c>
      <c r="IK27" t="str">
        <f>IF(OR(GL27="",GN27=""),"",IF(COUNTIFS(GL$3:GL27,"?*",GN$3:GN27,GN27)=1,MAX(IK$2:IK26)+1,""))</f>
        <v/>
      </c>
      <c r="IL27">
        <f t="shared" si="117"/>
        <v>0</v>
      </c>
      <c r="IM27">
        <f>IF(B27="","",COUNTIF(B$3:B27,"?*"))</f>
        <v>25</v>
      </c>
      <c r="IN27">
        <f>IF(GQ27&lt;&gt;1,0,_xlfn.LET(_xlpm.k,MAX(IFERROR(--VLOOKUP(B27,УГО_спр,5,FALSE),0),IFERROR(--VLOOKUP(AX27,УГО_спр,5,FALSE),0),IFERROR(--VLOOKUP(LEFT(AX27,2),УГО_спр,5,FALSE),0)),IF(_xlpm.k&gt;0,_xlpm.k,IF(IFERROR(--LEFT(SUBSTITUTE(IH27,"x","х"),FIND("х",SUBSTITUTE(IH27,"x","х"))-1),3)&gt;3,Каталог!$S$9,1))))</f>
        <v>0</v>
      </c>
      <c r="IO27">
        <f t="shared" si="118"/>
        <v>0</v>
      </c>
      <c r="IP27" t="str">
        <f t="shared" si="119"/>
        <v>авто</v>
      </c>
      <c r="IQ27" t="str">
        <f t="shared" si="120"/>
        <v/>
      </c>
      <c r="IR27">
        <f t="shared" si="121"/>
        <v>0</v>
      </c>
      <c r="IS27">
        <f t="shared" si="122"/>
        <v>1</v>
      </c>
    </row>
    <row r="28" spans="1:253" x14ac:dyDescent="0.3">
      <c r="A28" t="s">
        <v>784</v>
      </c>
      <c r="B28" t="s">
        <v>210</v>
      </c>
      <c r="C28" t="str">
        <f>Линии[[#This Row],[_авто наименование]]</f>
        <v>Питание от ИБП</v>
      </c>
      <c r="D28">
        <v>1</v>
      </c>
      <c r="E28" t="str">
        <f>Линии[[#This Row],[_авто Р]]</f>
        <v/>
      </c>
      <c r="G28" t="str">
        <f>Линии[[#This Row],[_авто автомат]]</f>
        <v>1P С6А</v>
      </c>
      <c r="H28" t="str">
        <f>Линии[[#This Row],[_авто утечка]]</f>
        <v/>
      </c>
      <c r="I28" t="str">
        <f>Линии[[#This Row],[_авто управление]]</f>
        <v/>
      </c>
      <c r="J28" t="str">
        <f>Линии[[#This Row],[_авто аппараты]]</f>
        <v/>
      </c>
      <c r="K28" t="str">
        <f>Линии[[#This Row],[_авто сечение]]</f>
        <v/>
      </c>
      <c r="L28" t="str">
        <f>Линии[[#This Row],[_авто длина по плану]]</f>
        <v/>
      </c>
      <c r="M28" t="str">
        <f>Линии[[#This Row],[_авто фаза]]</f>
        <v>L1</v>
      </c>
      <c r="N28" t="str">
        <f>Линии[[#This Row],[_авто клемма]]</f>
        <v/>
      </c>
      <c r="O28" t="str">
        <f t="shared" si="0"/>
        <v/>
      </c>
      <c r="P28" s="6" cm="1">
        <f t="array" ref="P28">IF(B28="","",IF(BC28&lt;&gt;"",IFERROR(_xlfn.XLOOKUP(BC28,Щиты[Щит],Щиты[Iр, А]),""),IF(BK28=1,IFERROR(_xlfn.XLOOKUP(A28,Щиты[Щит],Щиты[Iр, А]),""),IFERROR(_xlfn.IFS(BR28=1,BN28/((Uн_лин/SQRT(3))*BY28),BR28=3,BN28/(SQRT(3)*Uн_лин*BY28)),""))))</f>
        <v>0</v>
      </c>
      <c r="Q28" s="7" t="str">
        <f>IF(B28="","",IFERROR(IF(VLOOKUP(AX28,Потребители_обозначение,4,FALSE)=1,VLOOKUP(AX28,Потребители_обозначение,3,FALSE)*(D28*2-1)+DS28+VLOOKUP(AZ28,Этаж_обозначение,3,FALSE)+VLOOKUP(AZ28,Этаж_обозначение,4,FALSE),VLOOKUP(AX28,Потребители_обозначение,3,FALSE)*(D28*2-1)+DS28),DS28))</f>
        <v/>
      </c>
      <c r="R28" s="6" t="str">
        <f t="shared" si="1"/>
        <v/>
      </c>
      <c r="S28" t="str">
        <f t="shared" si="2"/>
        <v/>
      </c>
      <c r="T28" t="str">
        <f>IF(BH28="","",IF(BI28="вводной узел","узел ","")&amp;"л."&amp;(INT((BH28-1)/Столбцов_на_лист)+1)&amp;" / "&amp;(MOD(BH28-1,Столбцов_на_лист)+1))</f>
        <v>л.2 / 3</v>
      </c>
      <c r="V28">
        <f>Линии[[#This Row],[_авто фаз]]</f>
        <v>1</v>
      </c>
      <c r="W28">
        <v>400</v>
      </c>
      <c r="X28" t="s">
        <v>549</v>
      </c>
      <c r="AI28">
        <v>20</v>
      </c>
      <c r="AJ28" t="str">
        <f>Линии[[#This Row],[_авто марка]]</f>
        <v/>
      </c>
      <c r="AK28" t="str">
        <f>Линии[[#This Row],[_авто жил]]</f>
        <v/>
      </c>
      <c r="AW28" cm="1">
        <f t="array" ref="AW28">ROW()-ROW(Линии[#Headers])</f>
        <v>26</v>
      </c>
      <c r="AX28" s="6" t="str">
        <f t="shared" si="3"/>
        <v>От ИБП</v>
      </c>
      <c r="AY28" t="str">
        <f t="shared" si="4"/>
        <v/>
      </c>
      <c r="AZ28" t="str">
        <f t="shared" si="5"/>
        <v/>
      </c>
      <c r="BA28" t="str">
        <f t="shared" si="6"/>
        <v/>
      </c>
      <c r="BB28" t="str">
        <f t="shared" si="7"/>
        <v/>
      </c>
      <c r="BC28" t="str">
        <f>IF(U28&lt;&gt;"",U28,IF(AND(B28&lt;&gt;"",B28&lt;&gt;A28,ISNUMBER(_xlfn.XMATCH(B28,Щиты[Щит]))),B28,""))</f>
        <v/>
      </c>
      <c r="BD28" t="str" cm="1">
        <f t="array" ref="BD28">IF(B28="","",IF(BC28&lt;&gt;"","Щит "&amp;BC28,_xlfn.LET(_xlpm.nm,IFERROR(_xlfn.XLOOKUP(AX28,Коды_код,Коды_имя)&amp;"",""),_xlpm.md,IFERROR(N(_xlfn.XLOOKUP(AX28,Коды_код,Коды_режим)),1),_xlpm.ex,IF(Имя_режим="по экспликации",IFERROR(_xlfn.XLOOKUP(AZ28&amp;"|"&amp;BB28,Экспликация[Этаж]&amp;"|"&amp;Экспликация[Помещение],Экспликация[Название])&amp;"",""),""),_xlpm.rm,IF(BB28="","",IF(_xlpm.ex&lt;&gt;"",". "&amp;_xlpm.ex&amp;IF(Имя_пом="нет"," ("&amp;BB28&amp;")"," (пом. "&amp;BB28&amp;")"),IF(Имя_пом="нет"," ",", пом. ")&amp;BB28)),IF(_xlpm.nm="","",IF(_xlpm.md=2,_xlpm.nm&amp;" шлейф "&amp;AZ28,_xlpm.nm&amp;_xlpm.rm)))))</f>
        <v>Питание от ИБП</v>
      </c>
      <c r="BE28" t="str">
        <f t="shared" si="8"/>
        <v>Питание от ИБП</v>
      </c>
      <c r="BF28">
        <f>IFERROR(_xlfn.XMATCH(A28,Щиты[Щит]),0)</f>
        <v>2</v>
      </c>
      <c r="BG28">
        <f>_xlfn.LET(_xlpm.k,IFERROR(_xlfn.XLOOKUP(A28,Щиты[Щит],Щиты[Листов под вводной узел]),""),IF(_xlpm.k="",1,N(_xlpm.k))*Столбцов_на_лист)</f>
        <v>17</v>
      </c>
      <c r="BH28">
        <f t="shared" si="9"/>
        <v>20</v>
      </c>
      <c r="BI28" t="str">
        <f t="shared" si="10"/>
        <v>линии</v>
      </c>
      <c r="BJ28" s="6">
        <f>IFERROR(N(_xlfn.XLOOKUP(AX28,Коды_код,Коды_квт)),0)</f>
        <v>0</v>
      </c>
      <c r="BK28">
        <f t="shared" si="11"/>
        <v>0</v>
      </c>
      <c r="BL28" t="str">
        <f>IF(B28="","",IF(BC28&lt;&gt;"",IFERROR(_xlfn.XLOOKUP(BC28,Щиты[Щит],Щиты[Руст, кВт]),0),IF(BK28=1,IFERROR(_xlfn.XLOOKUP(A28,Щиты[Щит],Щиты[Руст, кВт]),0),IF(BJ28&gt;0,ROUND(BJ28*MAX(1,N(D28)),3),""))))</f>
        <v/>
      </c>
      <c r="BM28" t="str">
        <f t="shared" si="12"/>
        <v/>
      </c>
      <c r="BN28" s="6">
        <f>IF(B28="","",IF(BC28&lt;&gt;"",IFERROR(_xlfn.XLOOKUP(BC28,Щиты[Щит],Щиты[Руст, кВт]),0),N(BM28)))</f>
        <v>0</v>
      </c>
      <c r="BO28" t="str">
        <f>IF(B28="","",IFERROR(IF(VLOOKUP(AX28,Потребители_обозначение,8,FALSE)=0,"",VLOOKUP(AX28,Потребители_обозначение,8,FALSE)),""))</f>
        <v/>
      </c>
      <c r="BP28">
        <f t="shared" si="13"/>
        <v>400</v>
      </c>
      <c r="BQ28">
        <f>IF(B28="","",IF(BC28&lt;&gt;"",3,IFERROR(IF(N(VLOOKUP(AX28,Потребители_обозначение,9,FALSE))=0,1,VLOOKUP(AX28,Потребители_обозначение,9,FALSE)),1)))</f>
        <v>1</v>
      </c>
      <c r="BR28">
        <f t="shared" si="14"/>
        <v>1</v>
      </c>
      <c r="BS28" t="str">
        <f>IF(B28="","",_xlfn.LET(_xlpm.bc,IFERROR(IF(VLOOKUP(AX28,Потребители_обозначение,6,FALSE)=0,"",VLOOKUP(AX28,Потребители_обозначение,6,FALSE)&amp;""),""),IF(AND(FK28="да",OR(_xlpm.bc="",_xlpm.bc="мс")),Марка_пож,IF(AND(_xlpm.bc="",BC28&lt;&gt;""),"мс",_xlpm.bc))))</f>
        <v/>
      </c>
      <c r="BT28" t="str">
        <f t="shared" si="15"/>
        <v/>
      </c>
      <c r="BU28" t="str">
        <f>IF(B28="","",_xlfn.LET(_xlpm.cc,IFERROR(N(VLOOKUP(AX28,Потребители_обозначение,7,FALSE)),0),IF(_xlpm.cc&gt;0,_xlpm.cc,IF(BT28="","",IF(N(BR28)=3,5,3)))))</f>
        <v/>
      </c>
      <c r="BV28" t="str">
        <f t="shared" si="16"/>
        <v/>
      </c>
      <c r="BW28">
        <f>IFERROR(N(VLOOKUP(AX28,Потребители_обозначение,10,FALSE)),0)</f>
        <v>0</v>
      </c>
      <c r="BX28">
        <f>IFERROR(VLOOKUP(AX28,Потребители_обозначение,5,FALSE),0)</f>
        <v>1</v>
      </c>
      <c r="BY28" s="6" cm="1">
        <f t="array" ref="BY28">IF(B28="","",IF(BC28&lt;&gt;"",IFERROR(_xlfn.XLOOKUP(BC28,Щиты[Щит],Щиты[cos φ]),0.95),IF(BK28=1,IFERROR(_xlfn.XLOOKUP(A28,Щиты[Щит],Щиты[cos φ]),0.95),IF(ISNUMBER(Z28),Z28,IFERROR(IF(BX28=2,_xlfn.IFS(BR28=3,VLOOKUP(BN28,Справочная_двигатели,8,FALSE),BR28=1,VLOOKUP(BN28,Справочная_двигатели,10,TRUE)),IF(AND(Методика="нормы 2026",EQ28="Сил"),0.8,0.95)),0.95)))))</f>
        <v>0.95</v>
      </c>
      <c r="BZ28">
        <f t="shared" si="17"/>
        <v>0</v>
      </c>
      <c r="CA28">
        <f t="shared" si="18"/>
        <v>1</v>
      </c>
      <c r="CB28">
        <f t="shared" si="19"/>
        <v>0</v>
      </c>
      <c r="CC28">
        <f t="shared" si="20"/>
        <v>0</v>
      </c>
      <c r="CD28">
        <f t="shared" si="21"/>
        <v>0</v>
      </c>
      <c r="CE28">
        <f t="shared" si="22"/>
        <v>0</v>
      </c>
      <c r="CF28">
        <f t="shared" si="23"/>
        <v>0</v>
      </c>
      <c r="CG28">
        <f>IF(AX28="",0,_xlfn.LET(_xlpm.v,IFERROR(VLOOKUP(B28,УГО_спр,3,FALSE),IFERROR(VLOOKUP(AX28,УГО_спр,3,FALSE),IFERROR(VLOOKUP(LEFT(AX28,2),УГО_спр,3,FALSE),""))),IF(_xlpm.v="да",30,IF(ISNUMBER(_xlpm.v),_xlpm.v,0))))</f>
        <v>0</v>
      </c>
      <c r="CH28" t="str">
        <f t="shared" si="24"/>
        <v/>
      </c>
      <c r="CI28" t="str">
        <f>_xlfn.LET(_xlpm.k,IFERROR(_xlfn.XLOOKUP(AX28,Коды_код,Коды_утечка)&amp;"",""),IF(_xlpm.k="","дифавтомат",_xlpm.k))</f>
        <v>дифавтомат</v>
      </c>
      <c r="CJ28">
        <f t="shared" si="25"/>
        <v>0</v>
      </c>
      <c r="CK28">
        <f t="shared" si="26"/>
        <v>0</v>
      </c>
      <c r="CL28">
        <f>IF(B28="",0,IFERROR(--VLOOKUP(B28,УГО_спр,4,FALSE),IFERROR(--VLOOKUP(AX28,УГО_спр,4,FALSE),IFERROR(--VLOOKUP(LEFT(AX28,2),УГО_спр,4,FALSE),0))))</f>
        <v>0</v>
      </c>
      <c r="CM28" t="str">
        <f>IF(B28="","",IFERROR(_xlfn.XLOOKUP(AX28,Коды_код,Коды_апп)&amp;"",""))</f>
        <v/>
      </c>
      <c r="CN28" t="str">
        <f t="shared" si="27"/>
        <v/>
      </c>
      <c r="CO28" t="str" cm="1">
        <f t="array" ref="CO28">IF(TRIM(CN28&amp;"")="","",IFERROR(TRIM(INDEX(_xlfn.TEXTSPLIT(CN28&amp;";;;",";"),1)),""))</f>
        <v/>
      </c>
      <c r="CP28" t="str" cm="1">
        <f t="array" ref="CP28">IF(TRIM(CN28&amp;"")="","",IFERROR(TRIM(INDEX(_xlfn.TEXTSPLIT(CN28&amp;";;;",";"),2)),""))</f>
        <v/>
      </c>
      <c r="CQ28" t="str" cm="1">
        <f t="array" ref="CQ28">IF(TRIM(CN28&amp;"")="","",IFERROR(TRIM(INDEX(_xlfn.TEXTSPLIT(CN28&amp;";;;",";"),3)),""))</f>
        <v/>
      </c>
      <c r="CR28">
        <f t="shared" si="28"/>
        <v>0</v>
      </c>
      <c r="CS28" t="str">
        <f>IF(B28="","",_xlfn.LET(_xlpm.t,LOWER(AV28&amp;""),IF(ISNUMBER(SEARCH("dim",_xlpm.t)),"DIM",IF(ISNUMBER(SEARCH("dali",_xlpm.t)),"DALI",IF(OR(ISNUMBER(SEARCH("relay",_xlpm.t)),ISNUMBER(SEARCH("реле",_xlpm.t))),"Relay",IF(ISNUMBER(SEARCH("кнопк",_xlpm.t)),"",IFERROR(_xlfn.XLOOKUP(AX28,Коды_код,Коды_упр)&amp;"","")))))))</f>
        <v/>
      </c>
      <c r="CT28" t="str">
        <f t="shared" si="29"/>
        <v/>
      </c>
      <c r="CU28">
        <f>IF(B28="","",_xlfn.LET(_xlpm.ig,N(P28)+IF(AF28="вручную",0,N(CB28)),_xlpm.n0,IFERROR(VLOOKUP(_xlpm.ig,Автомат_номиналы,2,TRUE),0),_xlpm.mn,MAX(CL28,IF(AF28="вручную",0,N(CE28))),MAX(_xlpm.n0,_xlpm.mn,IF(CR28=1,Мин_автомат_БП,0))))</f>
        <v>6</v>
      </c>
      <c r="CV28">
        <f t="shared" si="30"/>
        <v>1</v>
      </c>
      <c r="CW28" t="str">
        <f t="shared" si="31"/>
        <v>1P</v>
      </c>
      <c r="CX28" t="str">
        <f>_xlfn.LET(_xlpm.cc,UPPER(TRIM(IFERROR(_xlfn.XLOOKUP(AX28,Коды_код,Коды_хар)&amp;"",""))),IF(OR(_xlpm.cc="B",_xlpm.cc="В"),"B",IF(_xlpm.cc="D","D","С")))</f>
        <v>С</v>
      </c>
      <c r="CY28" t="str">
        <f t="shared" si="32"/>
        <v>1P С6А</v>
      </c>
      <c r="CZ28" t="str">
        <f t="shared" si="33"/>
        <v>1P С6А</v>
      </c>
      <c r="DA28" t="str">
        <f t="shared" si="34"/>
        <v>1P С6А</v>
      </c>
      <c r="DB28" cm="1">
        <f t="array" ref="DB28">IF(DA28="","",_xlfn.LET(_xlpm.t,SUBSTITUTE(SUBSTITUTE(SUBSTITUTE(UPPER(DA28),"С","C"),"А","A"),"В","B"),_xlpm.tk,_xlfn.TEXTSPLIT(_xlpm.t,"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8" t="str">
        <f t="shared" si="35"/>
        <v>ok</v>
      </c>
      <c r="DD28">
        <f t="shared" si="36"/>
        <v>6</v>
      </c>
      <c r="DE28" t="str">
        <f t="shared" si="37"/>
        <v>1P С6А</v>
      </c>
      <c r="DF28">
        <f t="shared" si="38"/>
        <v>0</v>
      </c>
      <c r="DG28">
        <f t="shared" si="39"/>
        <v>0</v>
      </c>
      <c r="DH28">
        <f t="shared" si="40"/>
        <v>0</v>
      </c>
      <c r="DI28">
        <f t="shared" si="41"/>
        <v>0</v>
      </c>
      <c r="DJ28">
        <f t="shared" si="42"/>
        <v>1</v>
      </c>
      <c r="DK28">
        <f>IF(ISNUMBER(AL28),AL28,К_прокл)</f>
        <v>1</v>
      </c>
      <c r="DL28">
        <f t="shared" si="43"/>
        <v>2</v>
      </c>
      <c r="DM28">
        <f>IFERROR(N(VLOOKUP(BT28,Кабель_обозначение,3,FALSE)),1)</f>
        <v>1</v>
      </c>
      <c r="DN28">
        <f>IFERROR(N(_xlfn.XLOOKUP(A28,Щиты[Щит],Щиты[ΔU до шин, %])),0)</f>
        <v>0</v>
      </c>
      <c r="DO28" t="str">
        <f>IFERROR(_xlfn.XLOOKUP(A28,Щиты[Щит],Щиты[Zпетли на шинах, Ом]),"")</f>
        <v/>
      </c>
      <c r="DP28">
        <f>IFERROR(N(_xlfn.XLOOKUP(A28,Щиты[Щит],Щиты[ΔU до шин (подбор), %])),0)</f>
        <v>0</v>
      </c>
      <c r="DQ28" t="str">
        <f>IFERROR(_xlfn.XLOOKUP(A28,Щиты[Щит],Щиты[Zпетли на шинах (подбор), Ом]),"")</f>
        <v/>
      </c>
      <c r="DR28" t="str">
        <f t="shared" si="44"/>
        <v/>
      </c>
      <c r="DS28" t="str">
        <f t="shared" si="45"/>
        <v/>
      </c>
      <c r="DT28">
        <f t="shared" si="46"/>
        <v>2</v>
      </c>
      <c r="DU28">
        <f t="shared" si="47"/>
        <v>0.31</v>
      </c>
      <c r="DV28" s="6">
        <f>IF(B28="","",IF(IFERROR(VLOOKUP(AX28,УГО_спр,2,FALSE),"")="Светильник",3,4)+IF(Методика="нормы 2026",MIN(0.5,MAX(0,N(Q28)-100)*0.005),0))</f>
        <v>4</v>
      </c>
      <c r="DW28" t="str" cm="1">
        <f t="array" ref="DW28">IF(OR(B28="",BT28="",DM28&lt;&gt;1),"",_xlfn.LET(_xlpm.sz,Iдоп_S,_xlpm.t_,CHOOSE(DL28,Iдоп_1ж,Iдоп_2ж,Iдоп_3ж)*DJ28*DK28,_xlpm.inn,N(DD28),_xlpm.smin,MAX(1.5,BW28),_xlpm.L_,N(Q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28)*(_xlpm.rho*_xlpm.L_/_xlpm.sz*N(BY28)+_xlpm.xx*_xlpm.L_*N(DU28)/1000)*N(P28)/((Uн_лин/SQRT(3))*1000)*100,999),_xlpm.kz,IF(OR(DG28=1,NOT(ISNUMBER(DQ28)),_xlpm.L_=0,_xlpm.inn=0),1,IFERROR(--(c_min*(Uн_лин*1000/SQRT(3))/(DQ28+2*ρкз_Cu*_xlpm.L_/_xlpm.sz)&gt;=GY28*_xlpm.inn),0)),_xlpm.ok,IFERROR((_xlpm.sz&gt;=_xlpm.smin)*(_xlpm.t_&gt;=_xlpm.inn)*IF(_xlpm.L_&gt;0,(_xlpm.du_+DP28&lt;=DV28+0.00001),1)*_xlpm.kz,0),_xlpm.r_,_xlfn._xlws.FILTER(_xlpm.sz,_xlpm.ok,"не подобрано"),INDEX(_xlpm.r_,1)))</f>
        <v/>
      </c>
      <c r="DX28" t="str">
        <f t="shared" si="48"/>
        <v/>
      </c>
      <c r="DY28" t="str" cm="1">
        <f t="array" ref="DY28">IF(OR(B28="",BT28="",DM28&lt;&gt;1),"",_xlfn.LET(_xlpm.sz,Iдоп_S,_xlpm.t_,CHOOSE(DL28,Iдоп_1ж,Iдоп_2ж,Iдоп_3ж)*DJ28*DK28,_xlpm.ok,IFERROR((_xlpm.sz&gt;=MAX(1.5,BW28))*(_xlpm.t_&gt;=N(DD28)),0),_xlpm.r_,_xlfn._xlws.FILTER(_xlpm.sz,_xlpm.ok,""),INDEX(_xlpm.r_,1)))</f>
        <v/>
      </c>
      <c r="DZ28" s="6" t="str" cm="1">
        <f t="array" ref="DZ28">IFERROR(ROUNDUP(N(DT28)*(_xlfn.XLOOKUP(DY28,INDEX(Кабель_сопротивление,0,1),INDEX(Кабель_сопротивление,0,3))*N(Q28)/DY28*N(BY28)+_xlfn.XLOOKUP(DY28,INDEX(Кабель_сопротивление,0,1),INDEX(Кабель_сопротивление,0,2))*N(Q28)*N(DU28)/1000)*N(P28)/((Uн_лин/SQRT(3))*1000)*100,2),"")</f>
        <v/>
      </c>
      <c r="EA28" t="str">
        <f>IFERROR(2*ρкз_Cu*N(Q28)/DY28,"")</f>
        <v/>
      </c>
      <c r="EB28" t="str">
        <f>IFERROR(VLOOKUP(DX28,Кабель_сопротивление,3,FALSE),"")</f>
        <v/>
      </c>
      <c r="EC28" t="str">
        <f>IFERROR(VLOOKUP(DX28,Кабель_сопротивление,2,FALSE),"")</f>
        <v/>
      </c>
      <c r="ED28" t="str">
        <f t="shared" si="49"/>
        <v/>
      </c>
      <c r="EE28" t="str">
        <f t="shared" si="50"/>
        <v/>
      </c>
      <c r="EF28" t="str">
        <f t="shared" si="51"/>
        <v/>
      </c>
      <c r="EG28" s="6" t="str">
        <f>IFERROR(ROUNDUP(EF28/((Uн_лин/SQRT(3))*1000)*100,2),"")</f>
        <v/>
      </c>
      <c r="EH28" t="str">
        <f>IFERROR(VLOOKUP(BT28,Кабель_обозначение,2,FALSE),"")</f>
        <v/>
      </c>
      <c r="EI28" t="str">
        <f t="shared" si="52"/>
        <v/>
      </c>
      <c r="EJ28" t="str">
        <f t="shared" si="53"/>
        <v/>
      </c>
      <c r="EK28" t="str">
        <f>IFERROR(2*ρкз_Cu*Q28/DX28,"")</f>
        <v/>
      </c>
      <c r="EL28" t="str">
        <f t="shared" si="54"/>
        <v/>
      </c>
      <c r="EM28" s="6" t="str">
        <f>IFERROR(IF(OR(B28="",NOT(ISNUMBER(DX28)),N(Q28)=0),"",_xlfn.XLOOKUP(A28,Щиты[Щит],Щиты[Zпетли на шинах, Ом])+EK28),"")</f>
        <v/>
      </c>
      <c r="EN28" s="6" t="str">
        <f>IF(ISNUMBER(EM28),c_min*(Uн_лин*1000/SQRT(3))/EM28,"")</f>
        <v/>
      </c>
      <c r="EO28" s="6" t="str">
        <f>IFERROR(IF(OR(B28="",NOT(ISNUMBER(DX28))),"",1.05*(Uн_лин*1000/SQRT(3))/(_xlfn.XLOOKUP(A28,Щиты[Щит],Щиты[Zmax на шинах, Ом])+EL28)/1000),"")</f>
        <v/>
      </c>
      <c r="EP28" s="6" t="str">
        <f>IF(B28="","",IF(ISNUMBER(Y28),"Сил",IF(IFERROR(_xlfn.XLOOKUP(AX28,Коды_код,Коды_группа)&amp;"","")="","Быт",_xlfn.XLOOKUP(AX28,Коды_код,Коды_группа)&amp;"")))</f>
        <v>Нет</v>
      </c>
      <c r="EQ28" s="6" t="str">
        <f t="shared" si="55"/>
        <v>Нет</v>
      </c>
      <c r="ER28" s="6">
        <f>IF(EQ28="Щит","щит",IF(EQ28="","",IF(EQ28="Быт",IFERROR(_xlfn.XLOOKUP(A28,Щиты[Щит],Щиты[Кс быт]),1),IF(EQ28="Сил",IF(ISNUMBER(Y28),Y28,IF(Методика="нормы 2026",IFERROR(_xlfn.XLOOKUP(A28,Щиты[Щит],Щиты[Кс силовых (табл. 7.5)]),1),1)),IF(OR(EQ28="Пост",EQ28="Отоп"),1,IF(EQ28="ВНГ",0.7,0))))))</f>
        <v>0</v>
      </c>
      <c r="ES28">
        <f t="shared" si="56"/>
        <v>1</v>
      </c>
      <c r="ET28">
        <f t="shared" si="57"/>
        <v>0</v>
      </c>
      <c r="EU28">
        <f t="shared" si="58"/>
        <v>0</v>
      </c>
      <c r="EV28">
        <f t="shared" si="59"/>
        <v>0</v>
      </c>
      <c r="EW28">
        <f t="shared" si="60"/>
        <v>0</v>
      </c>
      <c r="EX28">
        <f t="shared" si="61"/>
        <v>0</v>
      </c>
      <c r="EY28">
        <f t="shared" si="62"/>
        <v>0</v>
      </c>
      <c r="EZ28">
        <f t="shared" si="63"/>
        <v>0</v>
      </c>
      <c r="FA28">
        <f t="shared" si="64"/>
        <v>0</v>
      </c>
      <c r="FB28">
        <f t="shared" si="65"/>
        <v>0</v>
      </c>
      <c r="FC28" t="str">
        <f t="shared" si="66"/>
        <v/>
      </c>
      <c r="FD28" t="str">
        <f>IF(B28="","",IF(CA28=0,IF(AW28=1,"",FF27),IF(OR(N(CV28)&gt;=3,N(BR28)&gt;=3),"L1,L2,L3",IFERROR(_xlfn.TEXTBEFORE(_xlfn.TEXTAFTER(_xlfn.XLOOKUP(A28,Щиты[Щит],Щиты[_фазы авто]),";"&amp;AW28&amp;":"),";"),"L1"))))</f>
        <v>L1</v>
      </c>
      <c r="FE28" t="str">
        <f t="shared" si="67"/>
        <v>L1</v>
      </c>
      <c r="FF28" t="str">
        <f t="shared" si="68"/>
        <v>L1</v>
      </c>
      <c r="FG28" cm="1">
        <f t="array" ref="FG28">IFERROR(IF(BX28=2,_xlfn.IFS(BR28=3,VLOOKUP(BN28,Справочная_двигатели,3,FALSE),BR28=1,VLOOKUP(BN28,Справочная_двигатели,5,TRUE)),0),0)</f>
        <v>0</v>
      </c>
      <c r="FH28">
        <f>IFERROR(IF(BX28=3,VLOOKUP(BN28,Справочная_ЛЭД,2,TRUE),0),0)</f>
        <v>0</v>
      </c>
      <c r="FI28" s="6">
        <f t="shared" si="69"/>
        <v>0</v>
      </c>
      <c r="FJ28" t="str" cm="1">
        <f t="array" ref="FJ28">IF(B28="","",IFERROR(INDEX({"I особая","I","II","III"},MATCH(TRIM(AC28&amp;""),{"I особая","I","II","III"},0)),"III"))</f>
        <v>III</v>
      </c>
      <c r="FK28" t="str">
        <f>IF(B28="","",IF(TRIM(AD28&amp;"")&lt;&gt;"",IF(LOWER(TRIM(AD28&amp;""))="да","да","нет"),IF(IFERROR(_xlfn.XLOOKUP(AX28,Коды_код,Коды_пожарная),"")="да","да","нет")))</f>
        <v>нет</v>
      </c>
      <c r="FL28" t="str">
        <f t="shared" si="70"/>
        <v/>
      </c>
      <c r="FM28" t="str">
        <f t="shared" si="71"/>
        <v>основная</v>
      </c>
      <c r="FN28">
        <f t="shared" si="72"/>
        <v>1</v>
      </c>
      <c r="FO28" t="str" cm="1">
        <f t="array" ref="FO28">IF(B28="","",_xlfn.LET(_xlpm.t,IFERROR(_xlfn.XLOOKUP(1,(Шины[Шина]=FM28)*(((Шины[Щит]=A28)+(Шины[Щит]=""))&gt;0),Шины[Тип]),"")&amp;"",IF(_xlpm.t&lt;&gt;"",_xlpm.t,IF(ISNUMBER(SEARCH("ИБП",FM28)),"ИБП",IF(ISNUMBER(SEARCH("ДГУ",FM28)),"ДГУ","Ввод "&amp;FN28)))))</f>
        <v>Ввод 1</v>
      </c>
      <c r="FP28" t="str">
        <f t="shared" si="73"/>
        <v>Ввод 1</v>
      </c>
      <c r="FQ28" t="str">
        <f>IF(B28="","",IF(OR(FO28="ИБП",FO28="ДГУ"),"I особая",IF(FO28="Одиночная","III",_xlfn.XLOOKUP(A28,Щиты[Щит],Щиты[Категория шины «Ввод»],"III"))))</f>
        <v>II</v>
      </c>
      <c r="FR28">
        <f>IF(B28="",0,IFERROR(MATCH(FJ28,{"III","II","I","I особая"},0),1))</f>
        <v>1</v>
      </c>
      <c r="FS28">
        <f t="shared" si="74"/>
        <v>1</v>
      </c>
      <c r="FT28" t="str">
        <f>IF(B28="","",IF(FR28&gt;IFERROR(MATCH(FQ28,{"III","II","I","I особая"},0),1),"НЕ ОБЕСПЕЧЕНА","ОК"))</f>
        <v>ОК</v>
      </c>
      <c r="FU28" t="str">
        <f>IF(A28="","",_xlfn.XLOOKUP(A28,Щиты[Щит],Щиты[Путь],""))</f>
        <v>|ГРЩ-ЖД|ЩГП|</v>
      </c>
      <c r="FV28" t="str">
        <f>IF(B28="","",IF(AE28&lt;&gt;"",AE28,IF(IFERROR(_xlfn.XLOOKUP(AX28,Коды_код,Коды_вид)&amp;"","")="","Прочее",_xlfn.XLOOKUP(AX28,Коды_код,Коды_вид)&amp;"")))</f>
        <v>Прочее</v>
      </c>
      <c r="FW28">
        <f>IF(BH28="","",INT((BH28-1)/Столбцов_на_лист)+1)</f>
        <v>2</v>
      </c>
      <c r="FX28" t="str">
        <f t="shared" si="75"/>
        <v/>
      </c>
      <c r="FY28">
        <f t="shared" si="76"/>
        <v>0</v>
      </c>
      <c r="FZ28">
        <f t="shared" si="77"/>
        <v>0</v>
      </c>
      <c r="GA28">
        <f t="shared" si="78"/>
        <v>1</v>
      </c>
      <c r="GB28">
        <f t="shared" si="79"/>
        <v>0</v>
      </c>
      <c r="GC28">
        <f t="shared" si="80"/>
        <v>1</v>
      </c>
      <c r="GD28">
        <f>IF(BH28="","",IF(AND(CA28=1,GC28=1),COUNTIFS(A$3:A28,A28,CA$3:CA28,1,GC$3:GC28,1),IF(OR(OR(AW28=1,A28&lt;&gt;A27),AF28="вручную",GC28=0),"",IF(AW28=1,"",GE27))))</f>
        <v>2</v>
      </c>
      <c r="GE28">
        <f t="shared" si="81"/>
        <v>2</v>
      </c>
      <c r="GF28" t="str">
        <f>IF(B28="","",IFERROR(LOOKUP(INDEX(CHOOSE(DL28,Iдоп_1ж,Iдоп_2ж,Iдоп_3ж),MATCH(DX28,Iдоп_S,0))*DJ28*DK28,{6,10,16,20,25,32,40,50,63,80,100,125,160,200,250,315,400,500,630}),""))</f>
        <v/>
      </c>
      <c r="GG28" t="str">
        <f t="shared" si="82"/>
        <v>QF2</v>
      </c>
      <c r="GH28" t="str">
        <f t="shared" si="83"/>
        <v>QF2</v>
      </c>
      <c r="GI28" t="str">
        <f t="shared" si="84"/>
        <v/>
      </c>
      <c r="GJ28">
        <f t="shared" si="85"/>
        <v>0</v>
      </c>
      <c r="GK28" t="str">
        <f>IF(OR(AG28="",AG28="-"),"",IFERROR(VLOOKUP(AG28,Модули_спр,2,FALSE),"R"))</f>
        <v/>
      </c>
      <c r="GL28" t="str">
        <f>IF(GK28="","",GK28&amp;"."&amp;COUNTIFS(A$3:A28,A28,GK$3:GK28,GK28))</f>
        <v/>
      </c>
      <c r="GM28" t="str">
        <f t="shared" si="86"/>
        <v/>
      </c>
      <c r="GN28" t="str">
        <f t="shared" si="87"/>
        <v/>
      </c>
      <c r="GO28" t="str">
        <f t="shared" si="88"/>
        <v/>
      </c>
      <c r="GP28" t="str">
        <f t="shared" si="89"/>
        <v/>
      </c>
      <c r="GQ28">
        <f t="shared" si="90"/>
        <v>0</v>
      </c>
      <c r="GR28" t="str">
        <f>IF(GQ28=1,"XT"&amp;COUNTIFS(A$3:A28,A28,GQ$3:GQ28,1),"")</f>
        <v/>
      </c>
      <c r="GS28" t="str">
        <f t="shared" si="91"/>
        <v/>
      </c>
      <c r="GT28" t="str">
        <f t="shared" si="92"/>
        <v>QF2</v>
      </c>
      <c r="GU28" t="str">
        <f t="shared" si="93"/>
        <v/>
      </c>
      <c r="GV28" t="str">
        <f t="shared" si="94"/>
        <v>ok</v>
      </c>
      <c r="GW28" t="str">
        <f>IF(OR(GO28="",GM28=""),"",IF(GO28&gt;IFERROR(VLOOKUP(GN28,Модули_спр,3,FALSE),99),"ЛИШНИЙ КАНАЛ",IF(AND(AH28&lt;&gt;"=",COUNTIFS(Линии[_модуль гр.],GM28,Линии[Канал (итог)],GO28,Линии[Канал],"&lt;&gt;=",Линии[Щит],A28)&gt;1),"ДУБЛЬ КАНАЛА","")))</f>
        <v/>
      </c>
      <c r="GX28" s="6" t="str">
        <f t="shared" si="95"/>
        <v/>
      </c>
      <c r="GY28">
        <f t="shared" si="96"/>
        <v>10</v>
      </c>
      <c r="GZ28" t="str">
        <f t="shared" si="97"/>
        <v/>
      </c>
      <c r="HA28" t="str">
        <f>IF(AND(B28="",GT28=""),"",_xlfn.TEXTJOIN("; ",TRUE,IF(AND(B28&lt;&gt;"",FE28=""),"нет фазы",""),IF(AND(B28&lt;&gt;"",N(FY28)=0,EQ28&lt;&gt;"Нет"),"нет мощности",""),IF(AND(GS28&lt;&gt;"",COUNTIFS(Линии[Щит],A28,Линии[Клемма (итог)],GS28)&gt;1),"дубль клеммы "&amp;GS28,""),IF(AND(GV28&lt;&gt;"",GV28&lt;&gt;"ok"),GV28,""),IF(GW28&lt;&gt;"",GW28,""),IF(AND(N(BV28)&gt;=4,N(BR28)=1),BV28&amp;" жил на 1 фазе",""),IF(AND(AX28="R",CA28=1,OR(N(CK28)=0,N(CK28)&gt;30)),"розетка без дифзащиты до 30 мА",""),IFERROR(IF(AND(ISNUMBER(R28),R28&gt;DV28),"потери "&amp;FIXED(R28,1)&amp;" % &gt; "&amp;DV28&amp;" %",""),""),IFERROR(IF(LEFT(GZ28,4)="мало","Iкз мало — отключение &gt; 0,4 с",""),""),IF(AND(B28&lt;&gt;"",BH28=""),"не на схеме",""),IF(AND(CA28=0,B28&lt;&gt;"",FE28&lt;&gt;"",IF(AW28=1,"",FF27)&lt;&gt;"",FE28&lt;&gt;IF(AW28=1,"",FF27)),"фаза не как у автомата группы ("&amp;IF(AW28=1,"",FF27)&amp;")","")))</f>
        <v/>
      </c>
      <c r="HB28" s="6" t="str">
        <f>IF(OR(CA28=0,DA28=""),"",_xlfn.LET(_xlpm.t,IFERROR(_xlfn.XLOOKUP(DA28,Каталог!$U$4:$U$500,Каталог!$G$4:$G$500),""),_xlpm.k,SEARCH("кА",_xlpm.t),IFERROR(--TRIM(RIGHT(SUBSTITUTE(MID(_xlpm.t,MAX(1,_xlpm.k-4),_xlpm.k-MAX(1,_xlpm.k-4))," ",REPT(" ",9)),5)),"")))</f>
        <v/>
      </c>
      <c r="HC28" t="str">
        <f>IF(OR(HB28="",CA28=0),"",IF(_xlfn.XLOOKUP(A28,Щиты[Щит],Щиты[Iкз max на шинах, кА],"")="","",IF(HB28&lt;_xlfn.XLOOKUP(A28,Щиты[Щит],Щиты[Iкз max на шинах, кА]),"Icu "&amp;HB28&amp;" кА &lt; Iкз max","ok")))</f>
        <v/>
      </c>
      <c r="HD28" t="str">
        <f t="shared" si="98"/>
        <v/>
      </c>
      <c r="HE28" t="str">
        <f t="shared" si="99"/>
        <v>QF2</v>
      </c>
      <c r="HF28" t="str">
        <f t="shared" si="100"/>
        <v>QF2|кабель  → Питание от ИБП</v>
      </c>
      <c r="HG28" t="str" cm="1">
        <f t="array" ref="HG28">IF(HF28="","",_xlfn.LET(_xlpm.nd,_xlfn.TEXTSPLIT(HF28,"|"),IF(COLUMNS(_xlpm.nd)&gt;1,A28&amp;"¦"&amp;INDEX(_xlpm.nd,1)&amp;"¦"&amp;INDEX(_xlpm.nd,2),"")))</f>
        <v>ЩГП¦QF2¦кабель  → Питание от ИБП</v>
      </c>
      <c r="HH28" t="str">
        <f t="shared" si="101"/>
        <v>От ИБП¦Питание от ИБП</v>
      </c>
      <c r="HI28" t="str" cm="1">
        <f t="array" ref="HI28">IF(HF28="","",_xlfn.LET(_xlpm.nd,_xlfn.TEXTSPLIT(HF28,"|"),IF(COLUMNS(_xlpm.nd)&gt;2,A28&amp;"¦"&amp;INDEX(_xlpm.nd,2)&amp;"¦"&amp;INDEX(_xlpm.nd,3),"")))</f>
        <v/>
      </c>
      <c r="HJ28" t="str">
        <f t="shared" si="102"/>
        <v/>
      </c>
      <c r="HK28" t="str" cm="1">
        <f t="array" ref="HK28">IF(HF28="","",_xlfn.LET(_xlpm.nd,_xlfn.TEXTSPLIT(HF28,"|"),IF(COLUMNS(_xlpm.nd)&gt;3,A28&amp;"¦"&amp;INDEX(_xlpm.nd,3)&amp;"¦"&amp;INDEX(_xlpm.nd,4),"")))</f>
        <v/>
      </c>
      <c r="HL28" t="str">
        <f t="shared" si="103"/>
        <v/>
      </c>
      <c r="HM28" t="str" cm="1">
        <f t="array" ref="HM28">IF(HF28="","",_xlfn.LET(_xlpm.nd,_xlfn.TEXTSPLIT(HF28,"|"),IF(COLUMNS(_xlpm.nd)&gt;4,A28&amp;"¦"&amp;INDEX(_xlpm.nd,4)&amp;"¦"&amp;INDEX(_xlpm.nd,5),"")))</f>
        <v/>
      </c>
      <c r="HN28" t="str">
        <f t="shared" si="104"/>
        <v/>
      </c>
      <c r="HO28" t="str" cm="1">
        <f t="array" ref="HO28">IF(HF28="","",_xlfn.LET(_xlpm.nd,_xlfn.TEXTSPLIT(HF28,"|"),IF(COLUMNS(_xlpm.nd)&gt;5,A28&amp;"¦"&amp;INDEX(_xlpm.nd,5)&amp;"¦"&amp;INDEX(_xlpm.nd,6),"")))</f>
        <v/>
      </c>
      <c r="HP28" t="str">
        <f t="shared" si="105"/>
        <v/>
      </c>
      <c r="HQ28" t="str" cm="1">
        <f t="array" ref="HQ28">IF(HF28="","",_xlfn.LET(_xlpm.nd,_xlfn.TEXTSPLIT(HF28,"|"),IF(COLUMNS(_xlpm.nd)&gt;6,A28&amp;"¦"&amp;INDEX(_xlpm.nd,6)&amp;"¦"&amp;INDEX(_xlpm.nd,7),"")))</f>
        <v/>
      </c>
      <c r="HR28" t="str">
        <f t="shared" si="106"/>
        <v/>
      </c>
      <c r="HS28" t="str">
        <f t="shared" si="107"/>
        <v/>
      </c>
      <c r="HT28" t="str">
        <f t="shared" si="108"/>
        <v>QF2</v>
      </c>
      <c r="HU28">
        <f t="shared" si="109"/>
        <v>0</v>
      </c>
      <c r="HV28">
        <f t="shared" si="110"/>
        <v>0</v>
      </c>
      <c r="HW28" t="str">
        <f t="shared" si="111"/>
        <v/>
      </c>
      <c r="HX28" t="str">
        <f t="shared" si="112"/>
        <v/>
      </c>
      <c r="HY28" t="str">
        <f t="shared" si="113"/>
        <v/>
      </c>
      <c r="HZ28" t="str">
        <f t="shared" si="114"/>
        <v/>
      </c>
      <c r="IA28">
        <f>IF(B28="","",IFERROR(VLOOKUP(B28,УГО_спр,2,FALSE),IFERROR(VLOOKUP(AX28,УГО_спр,2,FALSE),IFERROR(VLOOKUP(LEFT(AX28,2),УГО_спр,2,FALSE),""))))</f>
        <v>0</v>
      </c>
      <c r="IB28" t="str">
        <f>IF(B28="","",IF(OR(IA28="",IA28=0),"BOX",IFERROR(IF(VLOOKUP(IA28,УГО_блоки,3,FALSE)&amp;""&lt;&gt;"",VLOOKUP(IA28,УГО_блоки,3,FALSE),VLOOKUP(IA28,УГО_блоки,2,FALSE)),IA28)))</f>
        <v>BOX</v>
      </c>
      <c r="IC28">
        <f t="shared" si="115"/>
        <v>1</v>
      </c>
      <c r="ID28" t="str">
        <f>IF(DA28="","",IF(COUNTIF(DA$3:DA28,DA28)=1,MAX(ID$2:ID27)+1,""))</f>
        <v/>
      </c>
      <c r="IE28" t="str">
        <f>IF(CO28="","",IF(COUNTIF(CO$3:CO28,CO28)+COUNTIF(CP$2:CP27,CO28)+COUNTIF(CQ$2:CQ27,CO28)=1,MAX(IE$2:IG27)+1,""))</f>
        <v/>
      </c>
      <c r="IF28" t="str">
        <f>IF(CP28="","",IF(COUNTIF(CO$3:CO28,CP28)+COUNTIF(CP$3:CP28,CP28)+COUNTIF(CQ$2:CQ27,CP28)=1,MAX(IE$2:IG27,IE28)+1,""))</f>
        <v/>
      </c>
      <c r="IG28" t="str">
        <f>IF(CQ28="","",IF(COUNTIF(CO$3:CO28,CQ28)+COUNTIF(CP$3:CP28,CQ28)+COUNTIF(CQ$3:CQ28,CQ28)=1,MAX(IE$2:IG27,IE28,IF28)+1,""))</f>
        <v/>
      </c>
      <c r="IH28" t="str">
        <f t="shared" si="116"/>
        <v/>
      </c>
      <c r="II28" t="str">
        <f>IF(IH28="","",IF(COUNTIF(IH$3:IH28,IH28)=1,MAX(II$2:II27)+1,""))</f>
        <v/>
      </c>
      <c r="IJ28" t="str">
        <f>IF(GL28="","",COUNTIF(GL$3:GL28,"?*"))</f>
        <v/>
      </c>
      <c r="IK28" t="str">
        <f>IF(OR(GL28="",GN28=""),"",IF(COUNTIFS(GL$3:GL28,"?*",GN$3:GN28,GN28)=1,MAX(IK$2:IK27)+1,""))</f>
        <v/>
      </c>
      <c r="IL28">
        <f t="shared" si="117"/>
        <v>0</v>
      </c>
      <c r="IM28">
        <f>IF(B28="","",COUNTIF(B$3:B28,"?*"))</f>
        <v>26</v>
      </c>
      <c r="IN28">
        <f>IF(GQ28&lt;&gt;1,0,_xlfn.LET(_xlpm.k,MAX(IFERROR(--VLOOKUP(B28,УГО_спр,5,FALSE),0),IFERROR(--VLOOKUP(AX28,УГО_спр,5,FALSE),0),IFERROR(--VLOOKUP(LEFT(AX28,2),УГО_спр,5,FALSE),0)),IF(_xlpm.k&gt;0,_xlpm.k,IF(IFERROR(--LEFT(SUBSTITUTE(IH28,"x","х"),FIND("х",SUBSTITUTE(IH28,"x","х"))-1),3)&gt;3,Каталог!$S$9,1))))</f>
        <v>0</v>
      </c>
      <c r="IO28">
        <f t="shared" si="118"/>
        <v>0</v>
      </c>
      <c r="IP28" t="str">
        <f t="shared" si="119"/>
        <v>авто</v>
      </c>
      <c r="IQ28" t="str">
        <f t="shared" si="120"/>
        <v/>
      </c>
      <c r="IR28">
        <f t="shared" si="121"/>
        <v>0</v>
      </c>
      <c r="IS28">
        <f t="shared" si="122"/>
        <v>1</v>
      </c>
    </row>
    <row r="29" spans="1:253" x14ac:dyDescent="0.3">
      <c r="A29" t="s">
        <v>784</v>
      </c>
      <c r="B29" t="s">
        <v>1104</v>
      </c>
      <c r="C29" t="s">
        <v>1612</v>
      </c>
      <c r="D29">
        <v>1</v>
      </c>
      <c r="E29">
        <f>Линии[[#This Row],[_авто Р]]</f>
        <v>1.9000000000000006</v>
      </c>
      <c r="G29" t="str">
        <f>Линии[[#This Row],[_авто автомат]]</f>
        <v>3P С6А</v>
      </c>
      <c r="H29" t="str">
        <f>Линии[[#This Row],[_авто утечка]]</f>
        <v/>
      </c>
      <c r="I29" t="str">
        <f>Линии[[#This Row],[_авто управление]]</f>
        <v/>
      </c>
      <c r="J29" t="str">
        <f>Линии[[#This Row],[_авто аппараты]]</f>
        <v/>
      </c>
      <c r="K29">
        <v>6</v>
      </c>
      <c r="L29">
        <v>41</v>
      </c>
      <c r="M29" t="str">
        <f>Линии[[#This Row],[_авто фаза]]</f>
        <v>L1,L2,L3</v>
      </c>
      <c r="N29" t="str">
        <f>Линии[[#This Row],[_авто клемма]]</f>
        <v>XT1</v>
      </c>
      <c r="O29" t="str">
        <f t="shared" si="0"/>
        <v/>
      </c>
      <c r="P29" s="6" cm="1">
        <f t="array" ref="P29">IF(B29="","",IF(BC29&lt;&gt;"",IFERROR(_xlfn.XLOOKUP(BC29,Щиты[Щит],Щиты[Iр, А]),""),IF(BK29=1,IFERROR(_xlfn.XLOOKUP(A29,Щиты[Щит],Щиты[Iр, А]),""),IFERROR(_xlfn.IFS(BR29=1,BN29/((Uн_лин/SQRT(3))*BY29),BR29=3,BN29/(SQRT(3)*Uн_лин*BY29)),""))))</f>
        <v>2.5524959269436094</v>
      </c>
      <c r="Q29" s="7">
        <f>IF(B29="","",IFERROR(IF(VLOOKUP(AX29,Потребители_обозначение,4,FALSE)=1,VLOOKUP(AX29,Потребители_обозначение,3,FALSE)*(D29*2-1)+DS29+VLOOKUP(AZ29,Этаж_обозначение,3,FALSE)+VLOOKUP(AZ29,Этаж_обозначение,4,FALSE),VLOOKUP(AX29,Потребители_обозначение,3,FALSE)*(D29*2-1)+DS29),DS29))</f>
        <v>41</v>
      </c>
      <c r="R29" s="6">
        <f t="shared" si="1"/>
        <v>0.17</v>
      </c>
      <c r="S29" t="str">
        <f t="shared" si="2"/>
        <v>ВВГнг(А)-LS (5х6)</v>
      </c>
      <c r="T29" t="str">
        <f>IF(BH29="","",IF(BI29="вводной узел","узел ","")&amp;"л."&amp;(INT((BH29-1)/Столбцов_на_лист)+1)&amp;" / "&amp;(MOD(BH29-1,Столбцов_на_лист)+1))</f>
        <v>л.2 / 6</v>
      </c>
      <c r="V29">
        <v>3</v>
      </c>
      <c r="W29">
        <v>400</v>
      </c>
      <c r="X29" t="s">
        <v>564</v>
      </c>
      <c r="AB29" t="s">
        <v>856</v>
      </c>
      <c r="AC29" t="s">
        <v>861</v>
      </c>
      <c r="AE29" t="s">
        <v>557</v>
      </c>
      <c r="AI29">
        <v>23</v>
      </c>
      <c r="AJ29" t="s">
        <v>11</v>
      </c>
      <c r="AK29">
        <v>5</v>
      </c>
      <c r="AM29">
        <v>25</v>
      </c>
      <c r="AN29">
        <v>11</v>
      </c>
      <c r="AO29">
        <v>0</v>
      </c>
      <c r="AW29" cm="1">
        <f t="array" ref="AW29">ROW()-ROW(Линии[#Headers])</f>
        <v>27</v>
      </c>
      <c r="AX29" s="6" t="str">
        <f t="shared" si="3"/>
        <v>ЩО-001</v>
      </c>
      <c r="AY29" t="str">
        <f t="shared" si="4"/>
        <v/>
      </c>
      <c r="AZ29" t="str">
        <f t="shared" si="5"/>
        <v/>
      </c>
      <c r="BA29" t="str">
        <f t="shared" si="6"/>
        <v/>
      </c>
      <c r="BB29" t="str">
        <f t="shared" si="7"/>
        <v/>
      </c>
      <c r="BC29" t="str">
        <f>IF(U29&lt;&gt;"",U29,IF(AND(B29&lt;&gt;"",B29&lt;&gt;A29,ISNUMBER(_xlfn.XMATCH(B29,Щиты[Щит]))),B29,""))</f>
        <v>ЩО-001</v>
      </c>
      <c r="BD29" t="str" cm="1">
        <f t="array" ref="BD29">IF(B29="","",IF(BC29&lt;&gt;"","Щит "&amp;BC29,_xlfn.LET(_xlpm.nm,IFERROR(_xlfn.XLOOKUP(AX29,Коды_код,Коды_имя)&amp;"",""),_xlpm.md,IFERROR(N(_xlfn.XLOOKUP(AX29,Коды_код,Коды_режим)),1),_xlpm.ex,IF(Имя_режим="по экспликации",IFERROR(_xlfn.XLOOKUP(AZ29&amp;"|"&amp;BB29,Экспликация[Этаж]&amp;"|"&amp;Экспликация[Помещение],Экспликация[Название])&amp;"",""),""),_xlpm.rm,IF(BB29="","",IF(_xlpm.ex&lt;&gt;"",". "&amp;_xlpm.ex&amp;IF(Имя_пом="нет"," ("&amp;BB29&amp;")"," (пом. "&amp;BB29&amp;")"),IF(Имя_пом="нет"," ",", пом. ")&amp;BB29)),IF(_xlpm.nm="","",IF(_xlpm.md=2,_xlpm.nm&amp;" шлейф "&amp;AZ29,_xlpm.nm&amp;_xlpm.rm)))))</f>
        <v>Щит ЩО-001</v>
      </c>
      <c r="BE29" t="str">
        <f t="shared" si="8"/>
        <v>Щит освещения ЩО-2 Подвальный этаж этаж Пом. №3.001</v>
      </c>
      <c r="BF29">
        <f>IFERROR(_xlfn.XMATCH(A29,Щиты[Щит]),0)</f>
        <v>2</v>
      </c>
      <c r="BG29">
        <f>_xlfn.LET(_xlpm.k,IFERROR(_xlfn.XLOOKUP(A29,Щиты[Щит],Щиты[Листов под вводной узел]),""),IF(_xlpm.k="",1,N(_xlpm.k))*Столбцов_на_лист)</f>
        <v>17</v>
      </c>
      <c r="BH29">
        <f t="shared" si="9"/>
        <v>23</v>
      </c>
      <c r="BI29" t="str">
        <f t="shared" si="10"/>
        <v>линии</v>
      </c>
      <c r="BJ29" s="6">
        <f>IFERROR(N(_xlfn.XLOOKUP(AX29,Коды_код,Коды_квт)),0)</f>
        <v>0</v>
      </c>
      <c r="BK29">
        <f t="shared" si="11"/>
        <v>0</v>
      </c>
      <c r="BL29">
        <f>IF(B29="","",IF(BC29&lt;&gt;"",IFERROR(_xlfn.XLOOKUP(BC29,Щиты[Щит],Щиты[Руст, кВт]),0),IF(BK29=1,IFERROR(_xlfn.XLOOKUP(A29,Щиты[Щит],Щиты[Руст, кВт]),0),IF(BJ29&gt;0,ROUND(BJ29*MAX(1,N(D29)),3),""))))</f>
        <v>1.9000000000000006</v>
      </c>
      <c r="BM29">
        <f t="shared" si="12"/>
        <v>1.9000000000000006</v>
      </c>
      <c r="BN29" s="6">
        <f>IF(B29="","",IF(BC29&lt;&gt;"",IFERROR(_xlfn.XLOOKUP(BC29,Щиты[Щит],Щиты[Руст, кВт]),0),N(BM29)))</f>
        <v>1.9000000000000006</v>
      </c>
      <c r="BO29" t="str">
        <f>IF(B29="","",IFERROR(IF(VLOOKUP(AX29,Потребители_обозначение,8,FALSE)=0,"",VLOOKUP(AX29,Потребители_обозначение,8,FALSE)),""))</f>
        <v/>
      </c>
      <c r="BP29">
        <f t="shared" si="13"/>
        <v>400</v>
      </c>
      <c r="BQ29">
        <f>IF(B29="","",IF(BC29&lt;&gt;"",3,IFERROR(IF(N(VLOOKUP(AX29,Потребители_обозначение,9,FALSE))=0,1,VLOOKUP(AX29,Потребители_обозначение,9,FALSE)),1)))</f>
        <v>3</v>
      </c>
      <c r="BR29">
        <f t="shared" si="14"/>
        <v>3</v>
      </c>
      <c r="BS29" t="str">
        <f>IF(B29="","",_xlfn.LET(_xlpm.bc,IFERROR(IF(VLOOKUP(AX29,Потребители_обозначение,6,FALSE)=0,"",VLOOKUP(AX29,Потребители_обозначение,6,FALSE)&amp;""),""),IF(AND(FK29="да",OR(_xlpm.bc="",_xlpm.bc="мс")),Марка_пож,IF(AND(_xlpm.bc="",BC29&lt;&gt;""),"мс",_xlpm.bc))))</f>
        <v>мс</v>
      </c>
      <c r="BT29" t="str">
        <f t="shared" si="15"/>
        <v>мс</v>
      </c>
      <c r="BU29">
        <f>IF(B29="","",_xlfn.LET(_xlpm.cc,IFERROR(N(VLOOKUP(AX29,Потребители_обозначение,7,FALSE)),0),IF(_xlpm.cc&gt;0,_xlpm.cc,IF(BT29="","",IF(N(BR29)=3,5,3)))))</f>
        <v>5</v>
      </c>
      <c r="BV29">
        <f t="shared" si="16"/>
        <v>5</v>
      </c>
      <c r="BW29">
        <f>IFERROR(N(VLOOKUP(AX29,Потребители_обозначение,10,FALSE)),0)</f>
        <v>0</v>
      </c>
      <c r="BX29">
        <f>IFERROR(VLOOKUP(AX29,Потребители_обозначение,5,FALSE),0)</f>
        <v>0</v>
      </c>
      <c r="BY29" s="6" cm="1">
        <f t="array" ref="BY29">IF(B29="","",IF(BC29&lt;&gt;"",IFERROR(_xlfn.XLOOKUP(BC29,Щиты[Щит],Щиты[cos φ]),0.95),IF(BK29=1,IFERROR(_xlfn.XLOOKUP(A29,Щиты[Щит],Щиты[cos φ]),0.95),IF(ISNUMBER(Z29),Z29,IFERROR(IF(BX29=2,_xlfn.IFS(BR29=3,VLOOKUP(BN29,Справочная_двигатели,8,FALSE),BR29=1,VLOOKUP(BN29,Справочная_двигатели,10,TRUE)),IF(AND(Методика="нормы 2026",EQ29="Сил"),0.8,0.95)),0.95)))))</f>
        <v>0.94999999999999951</v>
      </c>
      <c r="BZ29">
        <f t="shared" si="17"/>
        <v>0</v>
      </c>
      <c r="CA29">
        <f t="shared" si="18"/>
        <v>1</v>
      </c>
      <c r="CB29">
        <f t="shared" si="19"/>
        <v>0</v>
      </c>
      <c r="CC29">
        <f t="shared" si="20"/>
        <v>0</v>
      </c>
      <c r="CD29">
        <f t="shared" si="21"/>
        <v>0</v>
      </c>
      <c r="CE29">
        <f t="shared" si="22"/>
        <v>0</v>
      </c>
      <c r="CF29">
        <f t="shared" si="23"/>
        <v>0</v>
      </c>
      <c r="CG29">
        <f>IF(AX29="",0,_xlfn.LET(_xlpm.v,IFERROR(VLOOKUP(B29,УГО_спр,3,FALSE),IFERROR(VLOOKUP(AX29,УГО_спр,3,FALSE),IFERROR(VLOOKUP(LEFT(AX29,2),УГО_спр,3,FALSE),""))),IF(_xlpm.v="да",30,IF(ISNUMBER(_xlpm.v),_xlpm.v,0))))</f>
        <v>0</v>
      </c>
      <c r="CH29" t="str">
        <f t="shared" si="24"/>
        <v/>
      </c>
      <c r="CI29" t="str">
        <f>_xlfn.LET(_xlpm.k,IFERROR(_xlfn.XLOOKUP(AX29,Коды_код,Коды_утечка)&amp;"",""),IF(_xlpm.k="","дифавтомат",_xlpm.k))</f>
        <v>дифавтомат</v>
      </c>
      <c r="CJ29">
        <f t="shared" si="25"/>
        <v>0</v>
      </c>
      <c r="CK29">
        <f t="shared" si="26"/>
        <v>0</v>
      </c>
      <c r="CL29">
        <f>IF(B29="",0,IFERROR(--VLOOKUP(B29,УГО_спр,4,FALSE),IFERROR(--VLOOKUP(AX29,УГО_спр,4,FALSE),IFERROR(--VLOOKUP(LEFT(AX29,2),УГО_спр,4,FALSE),0))))</f>
        <v>0</v>
      </c>
      <c r="CM29" t="str">
        <f>IF(B29="","",IFERROR(_xlfn.XLOOKUP(AX29,Коды_код,Коды_апп)&amp;"",""))</f>
        <v/>
      </c>
      <c r="CN29" t="str">
        <f t="shared" si="27"/>
        <v/>
      </c>
      <c r="CO29" t="str" cm="1">
        <f t="array" ref="CO29">IF(TRIM(CN29&amp;"")="","",IFERROR(TRIM(INDEX(_xlfn.TEXTSPLIT(CN29&amp;";;;",";"),1)),""))</f>
        <v/>
      </c>
      <c r="CP29" t="str" cm="1">
        <f t="array" ref="CP29">IF(TRIM(CN29&amp;"")="","",IFERROR(TRIM(INDEX(_xlfn.TEXTSPLIT(CN29&amp;";;;",";"),2)),""))</f>
        <v/>
      </c>
      <c r="CQ29" t="str" cm="1">
        <f t="array" ref="CQ29">IF(TRIM(CN29&amp;"")="","",IFERROR(TRIM(INDEX(_xlfn.TEXTSPLIT(CN29&amp;";;;",";"),3)),""))</f>
        <v/>
      </c>
      <c r="CR29">
        <f t="shared" si="28"/>
        <v>0</v>
      </c>
      <c r="CS29" t="str">
        <f>IF(B29="","",_xlfn.LET(_xlpm.t,LOWER(AV29&amp;""),IF(ISNUMBER(SEARCH("dim",_xlpm.t)),"DIM",IF(ISNUMBER(SEARCH("dali",_xlpm.t)),"DALI",IF(OR(ISNUMBER(SEARCH("relay",_xlpm.t)),ISNUMBER(SEARCH("реле",_xlpm.t))),"Relay",IF(ISNUMBER(SEARCH("кнопк",_xlpm.t)),"",IFERROR(_xlfn.XLOOKUP(AX29,Коды_код,Коды_упр)&amp;"","")))))))</f>
        <v/>
      </c>
      <c r="CT29" t="str">
        <f t="shared" si="29"/>
        <v/>
      </c>
      <c r="CU29">
        <f>IF(B29="","",_xlfn.LET(_xlpm.ig,N(P29)+IF(AF29="вручную",0,N(CB29)),_xlpm.n0,IFERROR(VLOOKUP(_xlpm.ig,Автомат_номиналы,2,TRUE),0),_xlpm.mn,MAX(CL29,IF(AF29="вручную",0,N(CE29))),MAX(_xlpm.n0,_xlpm.mn,IF(CR29=1,Мин_автомат_БП,0))))</f>
        <v>6</v>
      </c>
      <c r="CV29">
        <f t="shared" si="30"/>
        <v>3</v>
      </c>
      <c r="CW29" t="str">
        <f t="shared" si="31"/>
        <v>3P</v>
      </c>
      <c r="CX29" t="str">
        <f>_xlfn.LET(_xlpm.cc,UPPER(TRIM(IFERROR(_xlfn.XLOOKUP(AX29,Коды_код,Коды_хар)&amp;"",""))),IF(OR(_xlpm.cc="B",_xlpm.cc="В"),"B",IF(_xlpm.cc="D","D","С")))</f>
        <v>С</v>
      </c>
      <c r="CY29" t="str">
        <f t="shared" si="32"/>
        <v>3P С6А</v>
      </c>
      <c r="CZ29" t="str">
        <f t="shared" si="33"/>
        <v>3P С6А</v>
      </c>
      <c r="DA29" t="str">
        <f t="shared" si="34"/>
        <v>3P С6А</v>
      </c>
      <c r="DB29" cm="1">
        <f t="array" ref="DB29">IF(DA29="","",_xlfn.LET(_xlpm.t,SUBSTITUTE(SUBSTITUTE(SUBSTITUTE(UPPER(DA29),"С","C"),"А","A"),"В","B"),_xlpm.tk,_xlfn.TEXTSPLIT(_xlpm.t,"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9" t="str">
        <f t="shared" si="35"/>
        <v>ok</v>
      </c>
      <c r="DD29">
        <f t="shared" si="36"/>
        <v>6</v>
      </c>
      <c r="DE29" t="str">
        <f t="shared" si="37"/>
        <v>3P С6А</v>
      </c>
      <c r="DF29">
        <f t="shared" si="38"/>
        <v>0</v>
      </c>
      <c r="DG29">
        <f t="shared" si="39"/>
        <v>0</v>
      </c>
      <c r="DH29">
        <f t="shared" si="40"/>
        <v>0</v>
      </c>
      <c r="DI29">
        <f t="shared" si="41"/>
        <v>2.5524959269436094</v>
      </c>
      <c r="DJ29">
        <f t="shared" si="42"/>
        <v>0.92</v>
      </c>
      <c r="DK29">
        <f>IF(ISNUMBER(AL29),AL29,К_прокл)</f>
        <v>1</v>
      </c>
      <c r="DL29">
        <f t="shared" si="43"/>
        <v>3</v>
      </c>
      <c r="DM29">
        <f>IFERROR(N(VLOOKUP(BT29,Кабель_обозначение,3,FALSE)),1)</f>
        <v>1</v>
      </c>
      <c r="DN29">
        <f>IFERROR(N(_xlfn.XLOOKUP(A29,Щиты[Щит],Щиты[ΔU до шин, %])),0)</f>
        <v>0</v>
      </c>
      <c r="DO29" t="str">
        <f>IFERROR(_xlfn.XLOOKUP(A29,Щиты[Щит],Щиты[Zпетли на шинах, Ом]),"")</f>
        <v/>
      </c>
      <c r="DP29">
        <f>IFERROR(N(_xlfn.XLOOKUP(A29,Щиты[Щит],Щиты[ΔU до шин (подбор), %])),0)</f>
        <v>0</v>
      </c>
      <c r="DQ29" t="str">
        <f>IFERROR(_xlfn.XLOOKUP(A29,Щиты[Щит],Щиты[Zпетли на шинах (подбор), Ом]),"")</f>
        <v/>
      </c>
      <c r="DR29" t="str">
        <f t="shared" si="44"/>
        <v/>
      </c>
      <c r="DS29">
        <f t="shared" si="45"/>
        <v>41</v>
      </c>
      <c r="DT29">
        <f t="shared" si="46"/>
        <v>1</v>
      </c>
      <c r="DU29">
        <f t="shared" si="47"/>
        <v>0.31</v>
      </c>
      <c r="DV29" s="6">
        <f>IF(B29="","",IF(IFERROR(VLOOKUP(AX29,УГО_спр,2,FALSE),"")="Светильник",3,4)+IF(Методика="нормы 2026",MIN(0.5,MAX(0,N(Q29)-100)*0.005),0))</f>
        <v>4</v>
      </c>
      <c r="DW29" cm="1">
        <f t="array" ref="DW29">IF(OR(B29="",BT29="",DM29&lt;&gt;1),"",_xlfn.LET(_xlpm.sz,Iдоп_S,_xlpm.t_,CHOOSE(DL29,Iдоп_1ж,Iдоп_2ж,Iдоп_3ж)*DJ29*DK29,_xlpm.inn,N(DD29),_xlpm.smin,MAX(1.5,BW29),_xlpm.L_,N(Q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29)*(_xlpm.rho*_xlpm.L_/_xlpm.sz*N(BY29)+_xlpm.xx*_xlpm.L_*N(DU29)/1000)*N(P29)/((Uн_лин/SQRT(3))*1000)*100,999),_xlpm.kz,IF(OR(DG29=1,NOT(ISNUMBER(DQ29)),_xlpm.L_=0,_xlpm.inn=0),1,IFERROR(--(c_min*(Uн_лин*1000/SQRT(3))/(DQ29+2*ρкз_Cu*_xlpm.L_/_xlpm.sz)&gt;=GY29*_xlpm.inn),0)),_xlpm.ok,IFERROR((_xlpm.sz&gt;=_xlpm.smin)*(_xlpm.t_&gt;=_xlpm.inn)*IF(_xlpm.L_&gt;0,(_xlpm.du_+DP29&lt;=DV29+0.00001),1)*_xlpm.kz,0),_xlpm.r_,_xlfn._xlws.FILTER(_xlpm.sz,_xlpm.ok,"не подобрано"),INDEX(_xlpm.r_,1)))</f>
        <v>1.5</v>
      </c>
      <c r="DX29">
        <f t="shared" si="48"/>
        <v>6</v>
      </c>
      <c r="DY29" cm="1">
        <f t="array" ref="DY29">IF(OR(B29="",BT29="",DM29&lt;&gt;1),"",_xlfn.LET(_xlpm.sz,Iдоп_S,_xlpm.t_,CHOOSE(DL29,Iдоп_1ж,Iдоп_2ж,Iдоп_3ж)*DJ29*DK29,_xlpm.ok,IFERROR((_xlpm.sz&gt;=MAX(1.5,BW29))*(_xlpm.t_&gt;=N(DD29)),0),_xlpm.r_,_xlfn._xlws.FILTER(_xlpm.sz,_xlpm.ok,""),INDEX(_xlpm.r_,1)))</f>
        <v>1.5</v>
      </c>
      <c r="DZ29" s="6" cm="1">
        <f t="array" ref="DZ29">IFERROR(ROUNDUP(N(DT29)*(_xlfn.XLOOKUP(DY29,INDEX(Кабель_сопротивление,0,1),INDEX(Кабель_сопротивление,0,3))*N(Q29)/DY29*N(BY29)+_xlfn.XLOOKUP(DY29,INDEX(Кабель_сопротивление,0,1),INDEX(Кабель_сопротивление,0,2))*N(Q29)*N(DU29)/1000)*N(P29)/((Uн_лин/SQRT(3))*1000)*100,2),"")</f>
        <v>0.65</v>
      </c>
      <c r="EA29">
        <f>IFERROR(2*ρкз_Cu*N(Q29)/DY29,"")</f>
        <v>1.4377333333333333</v>
      </c>
      <c r="EB29">
        <f>IFERROR(VLOOKUP(DX29,Кабель_сопротивление,3,FALSE),"")</f>
        <v>2.2499999999999999E-2</v>
      </c>
      <c r="EC29">
        <f>IFERROR(VLOOKUP(DX29,Кабель_сопротивление,2,FALSE),"")</f>
        <v>0.09</v>
      </c>
      <c r="ED29">
        <f t="shared" si="49"/>
        <v>11</v>
      </c>
      <c r="EE29">
        <f t="shared" si="50"/>
        <v>0</v>
      </c>
      <c r="EF29">
        <f t="shared" si="51"/>
        <v>0.37574373642003156</v>
      </c>
      <c r="EG29" s="6">
        <f>IFERROR(ROUNDUP(EF29/((Uн_лин/SQRT(3))*1000)*100,2),"")</f>
        <v>0.17</v>
      </c>
      <c r="EH29" t="str">
        <f>IFERROR(VLOOKUP(BT29,Кабель_обозначение,2,FALSE),"")</f>
        <v>ВВГнг(А)-LS</v>
      </c>
      <c r="EI29" t="str">
        <f t="shared" si="52"/>
        <v>ВВГнг(А)-LS (5х6)</v>
      </c>
      <c r="EJ29" t="str">
        <f t="shared" si="53"/>
        <v>ВВГнг(А)-LS (5х6)
L=41-0,17%</v>
      </c>
      <c r="EK29">
        <f>IFERROR(2*ρкз_Cu*Q29/DX29,"")</f>
        <v>0.35943333333333333</v>
      </c>
      <c r="EL29">
        <f t="shared" si="54"/>
        <v>0.11958333333333333</v>
      </c>
      <c r="EM29" s="6" t="str">
        <f>IFERROR(IF(OR(B29="",NOT(ISNUMBER(DX29)),N(Q29)=0),"",_xlfn.XLOOKUP(A29,Щиты[Щит],Щиты[Zпетли на шинах, Ом])+EK29),"")</f>
        <v/>
      </c>
      <c r="EN29" s="6" t="str">
        <f>IF(ISNUMBER(EM29),c_min*(Uн_лин*1000/SQRT(3))/EM29,"")</f>
        <v/>
      </c>
      <c r="EO29" s="6" t="str">
        <f>IFERROR(IF(OR(B29="",NOT(ISNUMBER(DX29))),"",1.05*(Uн_лин*1000/SQRT(3))/(_xlfn.XLOOKUP(A29,Щиты[Щит],Щиты[Zmax на шинах, Ом])+EL29)/1000),"")</f>
        <v/>
      </c>
      <c r="EP29" s="6" t="str">
        <f>IF(B29="","",IF(ISNUMBER(Y29),"Сил",IF(IFERROR(_xlfn.XLOOKUP(AX29,Коды_код,Коды_группа)&amp;"","")="","Быт",_xlfn.XLOOKUP(AX29,Коды_код,Коды_группа)&amp;"")))</f>
        <v>Быт</v>
      </c>
      <c r="EQ29" s="6" t="str">
        <f t="shared" si="55"/>
        <v>Щит</v>
      </c>
      <c r="ER29" s="6" t="str">
        <f>IF(EQ29="Щит","щит",IF(EQ29="","",IF(EQ29="Быт",IFERROR(_xlfn.XLOOKUP(A29,Щиты[Щит],Щиты[Кс быт]),1),IF(EQ29="Сил",IF(ISNUMBER(Y29),Y29,IF(Методика="нормы 2026",IFERROR(_xlfn.XLOOKUP(A29,Щиты[Щит],Щиты[Кс силовых (табл. 7.5)]),1),1)),IF(OR(EQ29="Пост",EQ29="Отоп"),1,IF(EQ29="ВНГ",0.7,0))))))</f>
        <v>щит</v>
      </c>
      <c r="ES29">
        <f t="shared" si="56"/>
        <v>1</v>
      </c>
      <c r="ET29">
        <f t="shared" si="57"/>
        <v>0</v>
      </c>
      <c r="EU29">
        <f t="shared" si="58"/>
        <v>0</v>
      </c>
      <c r="EV29">
        <f t="shared" si="59"/>
        <v>0</v>
      </c>
      <c r="EW29">
        <f t="shared" si="60"/>
        <v>0</v>
      </c>
      <c r="EX29">
        <f t="shared" si="61"/>
        <v>0</v>
      </c>
      <c r="EY29">
        <f t="shared" si="62"/>
        <v>0</v>
      </c>
      <c r="EZ29">
        <f t="shared" si="63"/>
        <v>0</v>
      </c>
      <c r="FA29">
        <f t="shared" si="64"/>
        <v>0</v>
      </c>
      <c r="FB29">
        <f t="shared" si="65"/>
        <v>1.9000000000000006</v>
      </c>
      <c r="FC29" t="str">
        <f t="shared" si="66"/>
        <v/>
      </c>
      <c r="FD29" t="str">
        <f>IF(B29="","",IF(CA29=0,IF(AW29=1,"",FF28),IF(OR(N(CV29)&gt;=3,N(BR29)&gt;=3),"L1,L2,L3",IFERROR(_xlfn.TEXTBEFORE(_xlfn.TEXTAFTER(_xlfn.XLOOKUP(A29,Щиты[Щит],Щиты[_фазы авто]),";"&amp;AW29&amp;":"),";"),"L1"))))</f>
        <v>L1,L2,L3</v>
      </c>
      <c r="FE29" t="str">
        <f t="shared" si="67"/>
        <v>L1,L2,L3</v>
      </c>
      <c r="FF29" t="str">
        <f t="shared" si="68"/>
        <v>L1,L2,L3</v>
      </c>
      <c r="FG29" cm="1">
        <f t="array" ref="FG29">IFERROR(IF(BX29=2,_xlfn.IFS(BR29=3,VLOOKUP(BN29,Справочная_двигатели,3,FALSE),BR29=1,VLOOKUP(BN29,Справочная_двигатели,5,TRUE)),0),0)</f>
        <v>0</v>
      </c>
      <c r="FH29">
        <f>IFERROR(IF(BX29=3,VLOOKUP(BN29,Справочная_ЛЭД,2,TRUE),0),0)</f>
        <v>0</v>
      </c>
      <c r="FI29" s="6">
        <f t="shared" si="69"/>
        <v>0</v>
      </c>
      <c r="FJ29" t="str" cm="1">
        <f t="array" ref="FJ29">IF(B29="","",IFERROR(INDEX({"I особая","I","II","III"},MATCH(TRIM(AC29&amp;""),{"I особая","I","II","III"},0)),"III"))</f>
        <v>I</v>
      </c>
      <c r="FK29" t="str">
        <f>IF(B29="","",IF(TRIM(AD29&amp;"")&lt;&gt;"",IF(LOWER(TRIM(AD29&amp;""))="да","да","нет"),IF(IFERROR(_xlfn.XLOOKUP(AX29,Коды_код,Коды_пожарная),"")="да","да","нет")))</f>
        <v>нет</v>
      </c>
      <c r="FL29" t="str">
        <f t="shared" si="70"/>
        <v>ИБП</v>
      </c>
      <c r="FM29" t="str">
        <f t="shared" si="71"/>
        <v>ИБП</v>
      </c>
      <c r="FN29">
        <f t="shared" si="72"/>
        <v>1</v>
      </c>
      <c r="FO29" t="str" cm="1">
        <f t="array" ref="FO29">IF(B29="","",_xlfn.LET(_xlpm.t,IFERROR(_xlfn.XLOOKUP(1,(Шины[Шина]=FM29)*(((Шины[Щит]=A29)+(Шины[Щит]=""))&gt;0),Шины[Тип]),"")&amp;"",IF(_xlpm.t&lt;&gt;"",_xlpm.t,IF(ISNUMBER(SEARCH("ИБП",FM29)),"ИБП",IF(ISNUMBER(SEARCH("ДГУ",FM29)),"ДГУ","Ввод "&amp;FN29)))))</f>
        <v>ИБП</v>
      </c>
      <c r="FP29" t="str">
        <f t="shared" si="73"/>
        <v>ИБП</v>
      </c>
      <c r="FQ29" t="str">
        <f>IF(B29="","",IF(OR(FO29="ИБП",FO29="ДГУ"),"I особая",IF(FO29="Одиночная","III",_xlfn.XLOOKUP(A29,Щиты[Щит],Щиты[Категория шины «Ввод»],"III"))))</f>
        <v>I особая</v>
      </c>
      <c r="FR29">
        <f>IF(B29="",0,IFERROR(MATCH(FJ29,{"III","II","I","I особая"},0),1))</f>
        <v>3</v>
      </c>
      <c r="FS29">
        <f t="shared" si="74"/>
        <v>3</v>
      </c>
      <c r="FT29" t="str">
        <f>IF(B29="","",IF(FR29&gt;IFERROR(MATCH(FQ29,{"III","II","I","I особая"},0),1),"НЕ ОБЕСПЕЧЕНА","ОК"))</f>
        <v>ОК</v>
      </c>
      <c r="FU29" t="str">
        <f>IF(A29="","",_xlfn.XLOOKUP(A29,Щиты[Щит],Щиты[Путь],""))</f>
        <v>|ГРЩ-ЖД|ЩГП|</v>
      </c>
      <c r="FV29" t="str">
        <f>IF(B29="","",IF(AE29&lt;&gt;"",AE29,IF(IFERROR(_xlfn.XLOOKUP(AX29,Коды_код,Коды_вид)&amp;"","")="","Прочее",_xlfn.XLOOKUP(AX29,Коды_код,Коды_вид)&amp;"")))</f>
        <v>Рабочее освещение</v>
      </c>
      <c r="FW29">
        <f>IF(BH29="","",INT((BH29-1)/Столбцов_на_лист)+1)</f>
        <v>2</v>
      </c>
      <c r="FX29" t="str">
        <f t="shared" si="75"/>
        <v>ВВГнг(А)-LS (5х6) L=41-0,17%</v>
      </c>
      <c r="FY29">
        <f t="shared" si="76"/>
        <v>1.9000000000000006</v>
      </c>
      <c r="FZ29">
        <f t="shared" si="77"/>
        <v>2.5599999999999996</v>
      </c>
      <c r="GA29">
        <f t="shared" si="78"/>
        <v>3</v>
      </c>
      <c r="GB29">
        <f t="shared" si="79"/>
        <v>0</v>
      </c>
      <c r="GC29">
        <f t="shared" si="80"/>
        <v>1</v>
      </c>
      <c r="GD29">
        <f>IF(BH29="","",IF(AND(CA29=1,GC29=1),COUNTIFS(A$3:A29,A29,CA$3:CA29,1,GC$3:GC29,1),IF(OR(OR(AW29=1,A29&lt;&gt;A28),AF29="вручную",GC29=0),"",IF(AW29=1,"",GE28))))</f>
        <v>3</v>
      </c>
      <c r="GE29">
        <f t="shared" si="81"/>
        <v>3</v>
      </c>
      <c r="GF29">
        <f>IF(B29="","",IFERROR(LOOKUP(INDEX(CHOOSE(DL29,Iдоп_1ж,Iдоп_2ж,Iдоп_3ж),MATCH(DX29,Iдоп_S,0))*DJ29*DK29,{6,10,16,20,25,32,40,50,63,80,100,125,160,200,250,315,400,500,630}),""))</f>
        <v>32</v>
      </c>
      <c r="GG29" t="str">
        <f t="shared" si="82"/>
        <v>QF3</v>
      </c>
      <c r="GH29" t="str">
        <f t="shared" si="83"/>
        <v>QF3</v>
      </c>
      <c r="GI29" t="str">
        <f t="shared" si="84"/>
        <v/>
      </c>
      <c r="GJ29">
        <f t="shared" si="85"/>
        <v>0</v>
      </c>
      <c r="GK29" t="str">
        <f>IF(OR(AG29="",AG29="-"),"",IFERROR(VLOOKUP(AG29,Модули_спр,2,FALSE),"R"))</f>
        <v/>
      </c>
      <c r="GL29" t="str">
        <f>IF(GK29="","",GK29&amp;"."&amp;COUNTIFS(A$3:A29,A29,GK$3:GK29,GK29))</f>
        <v/>
      </c>
      <c r="GM29" t="str">
        <f t="shared" si="86"/>
        <v/>
      </c>
      <c r="GN29" t="str">
        <f t="shared" si="87"/>
        <v/>
      </c>
      <c r="GO29" t="str">
        <f t="shared" si="88"/>
        <v/>
      </c>
      <c r="GP29" t="str">
        <f t="shared" si="89"/>
        <v/>
      </c>
      <c r="GQ29">
        <f t="shared" si="90"/>
        <v>1</v>
      </c>
      <c r="GR29" t="str">
        <f>IF(GQ29=1,"XT"&amp;COUNTIFS(A$3:A29,A29,GQ$3:GQ29,1),"")</f>
        <v>XT1</v>
      </c>
      <c r="GS29" t="str">
        <f t="shared" si="91"/>
        <v>XT1</v>
      </c>
      <c r="GT29" t="str">
        <f t="shared" si="92"/>
        <v>QF3</v>
      </c>
      <c r="GU29" t="str">
        <f t="shared" si="93"/>
        <v/>
      </c>
      <c r="GV29" t="str">
        <f t="shared" si="94"/>
        <v>ok</v>
      </c>
      <c r="GW29" t="str">
        <f>IF(OR(GO29="",GM29=""),"",IF(GO29&gt;IFERROR(VLOOKUP(GN29,Модули_спр,3,FALSE),99),"ЛИШНИЙ КАНАЛ",IF(AND(AH29&lt;&gt;"=",COUNTIFS(Линии[_модуль гр.],GM29,Линии[Канал (итог)],GO29,Линии[Канал],"&lt;&gt;=",Линии[Щит],A29)&gt;1),"ДУБЛЬ КАНАЛА","")))</f>
        <v/>
      </c>
      <c r="GX29" s="6" t="str">
        <f t="shared" si="95"/>
        <v/>
      </c>
      <c r="GY29">
        <f t="shared" si="96"/>
        <v>10</v>
      </c>
      <c r="GZ29" t="str">
        <f t="shared" si="97"/>
        <v/>
      </c>
      <c r="HA29" t="str">
        <f>IF(AND(B29="",GT29=""),"",_xlfn.TEXTJOIN("; ",TRUE,IF(AND(B29&lt;&gt;"",FE29=""),"нет фазы",""),IF(AND(B29&lt;&gt;"",N(FY29)=0,EQ29&lt;&gt;"Нет"),"нет мощности",""),IF(AND(GS29&lt;&gt;"",COUNTIFS(Линии[Щит],A29,Линии[Клемма (итог)],GS29)&gt;1),"дубль клеммы "&amp;GS29,""),IF(AND(GV29&lt;&gt;"",GV29&lt;&gt;"ok"),GV29,""),IF(GW29&lt;&gt;"",GW29,""),IF(AND(N(BV29)&gt;=4,N(BR29)=1),BV29&amp;" жил на 1 фазе",""),IF(AND(AX29="R",CA29=1,OR(N(CK29)=0,N(CK29)&gt;30)),"розетка без дифзащиты до 30 мА",""),IFERROR(IF(AND(ISNUMBER(R29),R29&gt;DV29),"потери "&amp;FIXED(R29,1)&amp;" % &gt; "&amp;DV29&amp;" %",""),""),IFERROR(IF(LEFT(GZ29,4)="мало","Iкз мало — отключение &gt; 0,4 с",""),""),IF(AND(B29&lt;&gt;"",BH29=""),"не на схеме",""),IF(AND(CA29=0,B29&lt;&gt;"",FE29&lt;&gt;"",IF(AW29=1,"",FF28)&lt;&gt;"",FE29&lt;&gt;IF(AW29=1,"",FF28)),"фаза не как у автомата группы ("&amp;IF(AW29=1,"",FF28)&amp;")","")))</f>
        <v/>
      </c>
      <c r="HB29" s="6" t="str">
        <f>IF(OR(CA29=0,DA29=""),"",_xlfn.LET(_xlpm.t,IFERROR(_xlfn.XLOOKUP(DA29,Каталог!$U$4:$U$500,Каталог!$G$4:$G$500),""),_xlpm.k,SEARCH("кА",_xlpm.t),IFERROR(--TRIM(RIGHT(SUBSTITUTE(MID(_xlpm.t,MAX(1,_xlpm.k-4),_xlpm.k-MAX(1,_xlpm.k-4))," ",REPT(" ",9)),5)),"")))</f>
        <v/>
      </c>
      <c r="HC29" t="str">
        <f>IF(OR(HB29="",CA29=0),"",IF(_xlfn.XLOOKUP(A29,Щиты[Щит],Щиты[Iкз max на шинах, кА],"")="","",IF(HB29&lt;_xlfn.XLOOKUP(A29,Щиты[Щит],Щиты[Iкз max на шинах, кА]),"Icu "&amp;HB29&amp;" кА &lt; Iкз max","ok")))</f>
        <v/>
      </c>
      <c r="HD29" t="str">
        <f t="shared" si="98"/>
        <v/>
      </c>
      <c r="HE29" t="str">
        <f t="shared" si="99"/>
        <v>QF3|XT1</v>
      </c>
      <c r="HF29" t="str">
        <f t="shared" si="100"/>
        <v>QF3|XT1|кабель ВВГнг(А)-LS (5х6) → Щит освещения ЩО-2 Подвальный этаж этаж Пом. №3.001</v>
      </c>
      <c r="HG29" t="str" cm="1">
        <f t="array" ref="HG29">IF(HF29="","",_xlfn.LET(_xlpm.nd,_xlfn.TEXTSPLIT(HF29,"|"),IF(COLUMNS(_xlpm.nd)&gt;1,A29&amp;"¦"&amp;INDEX(_xlpm.nd,1)&amp;"¦"&amp;INDEX(_xlpm.nd,2),"")))</f>
        <v>ЩГП¦QF3¦XT1</v>
      </c>
      <c r="HH29" t="str">
        <f t="shared" si="101"/>
        <v>ЩО-001¦Щит освещения ЩО-2 Подвальный этаж этаж Пом. №3.001</v>
      </c>
      <c r="HI29" t="str" cm="1">
        <f t="array" ref="HI29">IF(HF29="","",_xlfn.LET(_xlpm.nd,_xlfn.TEXTSPLIT(HF29,"|"),IF(COLUMNS(_xlpm.nd)&gt;2,A29&amp;"¦"&amp;INDEX(_xlpm.nd,2)&amp;"¦"&amp;INDEX(_xlpm.nd,3),"")))</f>
        <v>ЩГП¦XT1¦кабель ВВГнг(А)-LS (5х6) → Щит освещения ЩО-2 Подвальный этаж этаж Пом. №3.001</v>
      </c>
      <c r="HJ29" t="str">
        <f t="shared" si="102"/>
        <v>ЩО-001¦Щит освещения ЩО-2 Подвальный этаж этаж Пом. №3.001</v>
      </c>
      <c r="HK29" t="str" cm="1">
        <f t="array" ref="HK29">IF(HF29="","",_xlfn.LET(_xlpm.nd,_xlfn.TEXTSPLIT(HF29,"|"),IF(COLUMNS(_xlpm.nd)&gt;3,A29&amp;"¦"&amp;INDEX(_xlpm.nd,3)&amp;"¦"&amp;INDEX(_xlpm.nd,4),"")))</f>
        <v/>
      </c>
      <c r="HL29" t="str">
        <f t="shared" si="103"/>
        <v/>
      </c>
      <c r="HM29" t="str" cm="1">
        <f t="array" ref="HM29">IF(HF29="","",_xlfn.LET(_xlpm.nd,_xlfn.TEXTSPLIT(HF29,"|"),IF(COLUMNS(_xlpm.nd)&gt;4,A29&amp;"¦"&amp;INDEX(_xlpm.nd,4)&amp;"¦"&amp;INDEX(_xlpm.nd,5),"")))</f>
        <v/>
      </c>
      <c r="HN29" t="str">
        <f t="shared" si="104"/>
        <v/>
      </c>
      <c r="HO29" t="str" cm="1">
        <f t="array" ref="HO29">IF(HF29="","",_xlfn.LET(_xlpm.nd,_xlfn.TEXTSPLIT(HF29,"|"),IF(COLUMNS(_xlpm.nd)&gt;5,A29&amp;"¦"&amp;INDEX(_xlpm.nd,5)&amp;"¦"&amp;INDEX(_xlpm.nd,6),"")))</f>
        <v/>
      </c>
      <c r="HP29" t="str">
        <f t="shared" si="105"/>
        <v/>
      </c>
      <c r="HQ29" t="str" cm="1">
        <f t="array" ref="HQ29">IF(HF29="","",_xlfn.LET(_xlpm.nd,_xlfn.TEXTSPLIT(HF29,"|"),IF(COLUMNS(_xlpm.nd)&gt;6,A29&amp;"¦"&amp;INDEX(_xlpm.nd,6)&amp;"¦"&amp;INDEX(_xlpm.nd,7),"")))</f>
        <v/>
      </c>
      <c r="HR29" t="str">
        <f t="shared" si="106"/>
        <v/>
      </c>
      <c r="HS29" t="str">
        <f t="shared" si="107"/>
        <v/>
      </c>
      <c r="HT29" t="str">
        <f t="shared" si="108"/>
        <v>QF3 → XT1</v>
      </c>
      <c r="HU29">
        <f t="shared" si="109"/>
        <v>1</v>
      </c>
      <c r="HV29">
        <f t="shared" si="110"/>
        <v>0</v>
      </c>
      <c r="HW29" t="str">
        <f t="shared" si="111"/>
        <v/>
      </c>
      <c r="HX29" t="str">
        <f t="shared" si="112"/>
        <v/>
      </c>
      <c r="HY29" t="str">
        <f t="shared" si="113"/>
        <v/>
      </c>
      <c r="HZ29" t="str">
        <f t="shared" si="114"/>
        <v/>
      </c>
      <c r="IA29" t="str">
        <f>IF(B29="","",IFERROR(VLOOKUP(B29,УГО_спр,2,FALSE),IFERROR(VLOOKUP(AX29,УГО_спр,2,FALSE),IFERROR(VLOOKUP(LEFT(AX29,2),УГО_спр,2,FALSE),""))))</f>
        <v/>
      </c>
      <c r="IB29" t="str">
        <f>IF(B29="","",IF(OR(IA29="",IA29=0),"BOX",IFERROR(IF(VLOOKUP(IA29,УГО_блоки,3,FALSE)&amp;""&lt;&gt;"",VLOOKUP(IA29,УГО_блоки,3,FALSE),VLOOKUP(IA29,УГО_блоки,2,FALSE)),IA29)))</f>
        <v>BOX</v>
      </c>
      <c r="IC29">
        <f t="shared" si="115"/>
        <v>1</v>
      </c>
      <c r="ID29" t="str">
        <f>IF(DA29="","",IF(COUNTIF(DA$3:DA29,DA29)=1,MAX(ID$2:ID28)+1,""))</f>
        <v/>
      </c>
      <c r="IE29" t="str">
        <f>IF(CO29="","",IF(COUNTIF(CO$3:CO29,CO29)+COUNTIF(CP$2:CP28,CO29)+COUNTIF(CQ$2:CQ28,CO29)=1,MAX(IE$2:IG28)+1,""))</f>
        <v/>
      </c>
      <c r="IF29" t="str">
        <f>IF(CP29="","",IF(COUNTIF(CO$3:CO29,CP29)+COUNTIF(CP$3:CP29,CP29)+COUNTIF(CQ$2:CQ28,CP29)=1,MAX(IE$2:IG28,IE29)+1,""))</f>
        <v/>
      </c>
      <c r="IG29" t="str">
        <f>IF(CQ29="","",IF(COUNTIF(CO$3:CO29,CQ29)+COUNTIF(CP$3:CP29,CQ29)+COUNTIF(CQ$3:CQ29,CQ29)=1,MAX(IE$2:IG28,IE29,IF29)+1,""))</f>
        <v/>
      </c>
      <c r="IH29" t="str">
        <f t="shared" si="116"/>
        <v>5х6</v>
      </c>
      <c r="II29" t="str">
        <f>IF(IH29="","",IF(COUNTIF(IH$3:IH29,IH29)=1,MAX(II$2:II28)+1,""))</f>
        <v/>
      </c>
      <c r="IJ29" t="str">
        <f>IF(GL29="","",COUNTIF(GL$3:GL29,"?*"))</f>
        <v/>
      </c>
      <c r="IK29" t="str">
        <f>IF(OR(GL29="",GN29=""),"",IF(COUNTIFS(GL$3:GL29,"?*",GN$3:GN29,GN29)=1,MAX(IK$2:IK28)+1,""))</f>
        <v/>
      </c>
      <c r="IL29">
        <f t="shared" si="117"/>
        <v>0</v>
      </c>
      <c r="IM29">
        <f>IF(B29="","",COUNTIF(B$3:B29,"?*"))</f>
        <v>27</v>
      </c>
      <c r="IN29">
        <f>IF(GQ29&lt;&gt;1,0,_xlfn.LET(_xlpm.k,MAX(IFERROR(--VLOOKUP(B29,УГО_спр,5,FALSE),0),IFERROR(--VLOOKUP(AX29,УГО_спр,5,FALSE),0),IFERROR(--VLOOKUP(LEFT(AX29,2),УГО_спр,5,FALSE),0)),IF(_xlpm.k&gt;0,_xlpm.k,IF(IFERROR(--LEFT(SUBSTITUTE(IH29,"x","х"),FIND("х",SUBSTITUTE(IH29,"x","х"))-1),3)&gt;3,Каталог!$S$9,1))))</f>
        <v>1</v>
      </c>
      <c r="IO29">
        <f t="shared" si="118"/>
        <v>2</v>
      </c>
      <c r="IP29" t="str">
        <f t="shared" si="119"/>
        <v>авто</v>
      </c>
      <c r="IQ29" t="str">
        <f t="shared" si="120"/>
        <v/>
      </c>
      <c r="IR29">
        <f t="shared" si="121"/>
        <v>0</v>
      </c>
      <c r="IS29">
        <f t="shared" si="122"/>
        <v>1</v>
      </c>
    </row>
    <row r="30" spans="1:253" x14ac:dyDescent="0.3">
      <c r="A30" t="s">
        <v>784</v>
      </c>
      <c r="B30" t="s">
        <v>1304</v>
      </c>
      <c r="C30" t="s">
        <v>1613</v>
      </c>
      <c r="D30">
        <v>1</v>
      </c>
      <c r="E30" t="str">
        <f>Линии[[#This Row],[_авто Р]]</f>
        <v/>
      </c>
      <c r="G30" t="str">
        <f>Линии[[#This Row],[_авто автомат]]</f>
        <v>3P С6А</v>
      </c>
      <c r="H30" t="str">
        <f>Линии[[#This Row],[_авто утечка]]</f>
        <v/>
      </c>
      <c r="I30" t="str">
        <f>Линии[[#This Row],[_авто управление]]</f>
        <v/>
      </c>
      <c r="J30" t="str">
        <f>Линии[[#This Row],[_авто аппараты]]</f>
        <v/>
      </c>
      <c r="K30">
        <v>6</v>
      </c>
      <c r="L30">
        <v>15</v>
      </c>
      <c r="M30" t="str">
        <f>Линии[[#This Row],[_авто фаза]]</f>
        <v>L1,L2,L3</v>
      </c>
      <c r="N30" t="str">
        <f>Линии[[#This Row],[_авто клемма]]</f>
        <v>XT2</v>
      </c>
      <c r="O30" t="str">
        <f t="shared" si="0"/>
        <v>нет мощности</v>
      </c>
      <c r="P30" s="6" cm="1">
        <f t="array" ref="P30">IF(B30="","",IF(BC30&lt;&gt;"",IFERROR(_xlfn.XLOOKUP(BC30,Щиты[Щит],Щиты[Iр, А]),""),IF(BK30=1,IFERROR(_xlfn.XLOOKUP(A30,Щиты[Щит],Щиты[Iр, А]),""),IFERROR(_xlfn.IFS(BR30=1,BN30/((Uн_лин/SQRT(3))*BY30),BR30=3,BN30/(SQRT(3)*Uн_лин*BY30)),""))))</f>
        <v>0</v>
      </c>
      <c r="Q30" s="7">
        <f>IF(B30="","",IFERROR(IF(VLOOKUP(AX30,Потребители_обозначение,4,FALSE)=1,VLOOKUP(AX30,Потребители_обозначение,3,FALSE)*(D30*2-1)+DS30+VLOOKUP(AZ30,Этаж_обозначение,3,FALSE)+VLOOKUP(AZ30,Этаж_обозначение,4,FALSE),VLOOKUP(AX30,Потребители_обозначение,3,FALSE)*(D30*2-1)+DS30),DS30))</f>
        <v>15</v>
      </c>
      <c r="R30" s="6">
        <f t="shared" si="1"/>
        <v>0</v>
      </c>
      <c r="S30" t="str">
        <f t="shared" si="2"/>
        <v>ВВГнг(А)-LS (5х6)</v>
      </c>
      <c r="T30" t="str">
        <f>IF(BH30="","",IF(BI30="вводной узел","узел ","")&amp;"л."&amp;(INT((BH30-1)/Столбцов_на_лист)+1)&amp;" / "&amp;(MOD(BH30-1,Столбцов_на_лист)+1))</f>
        <v>л.2 / 7</v>
      </c>
      <c r="V30">
        <v>3</v>
      </c>
      <c r="W30">
        <v>400</v>
      </c>
      <c r="X30" t="s">
        <v>564</v>
      </c>
      <c r="AB30" t="s">
        <v>856</v>
      </c>
      <c r="AC30" t="s">
        <v>861</v>
      </c>
      <c r="AE30" t="s">
        <v>557</v>
      </c>
      <c r="AI30">
        <v>24</v>
      </c>
      <c r="AJ30" t="s">
        <v>11</v>
      </c>
      <c r="AK30">
        <v>5</v>
      </c>
      <c r="AN30">
        <v>15</v>
      </c>
      <c r="AW30" cm="1">
        <f t="array" ref="AW30">ROW()-ROW(Линии[#Headers])</f>
        <v>28</v>
      </c>
      <c r="AX30" s="6" t="str">
        <f t="shared" si="3"/>
        <v>ЩО-01</v>
      </c>
      <c r="AY30" t="str">
        <f t="shared" si="4"/>
        <v/>
      </c>
      <c r="AZ30" t="str">
        <f t="shared" si="5"/>
        <v/>
      </c>
      <c r="BA30" t="str">
        <f t="shared" si="6"/>
        <v/>
      </c>
      <c r="BB30" t="str">
        <f t="shared" si="7"/>
        <v/>
      </c>
      <c r="BC30" t="str">
        <f>IF(U30&lt;&gt;"",U30,IF(AND(B30&lt;&gt;"",B30&lt;&gt;A30,ISNUMBER(_xlfn.XMATCH(B30,Щиты[Щит]))),B30,""))</f>
        <v/>
      </c>
      <c r="BD30" t="str" cm="1">
        <f t="array" ref="BD30">IF(B30="","",IF(BC30&lt;&gt;"","Щит "&amp;BC30,_xlfn.LET(_xlpm.nm,IFERROR(_xlfn.XLOOKUP(AX30,Коды_код,Коды_имя)&amp;"",""),_xlpm.md,IFERROR(N(_xlfn.XLOOKUP(AX30,Коды_код,Коды_режим)),1),_xlpm.ex,IF(Имя_режим="по экспликации",IFERROR(_xlfn.XLOOKUP(AZ30&amp;"|"&amp;BB30,Экспликация[Этаж]&amp;"|"&amp;Экспликация[Помещение],Экспликация[Название])&amp;"",""),""),_xlpm.rm,IF(BB30="","",IF(_xlpm.ex&lt;&gt;"",". "&amp;_xlpm.ex&amp;IF(Имя_пом="нет"," ("&amp;BB30&amp;")"," (пом. "&amp;BB30&amp;")"),IF(Имя_пом="нет"," ",", пом. ")&amp;BB30)),IF(_xlpm.nm="","",IF(_xlpm.md=2,_xlpm.nm&amp;" шлейф "&amp;AZ30,_xlpm.nm&amp;_xlpm.rm)))))</f>
        <v/>
      </c>
      <c r="BE30" t="str">
        <f t="shared" si="8"/>
        <v>Щит освещения ЩО-2 Цокольный этаж этаж Пом. №001Т</v>
      </c>
      <c r="BF30">
        <f>IFERROR(_xlfn.XMATCH(A30,Щиты[Щит]),0)</f>
        <v>2</v>
      </c>
      <c r="BG30">
        <f>_xlfn.LET(_xlpm.k,IFERROR(_xlfn.XLOOKUP(A30,Щиты[Щит],Щиты[Листов под вводной узел]),""),IF(_xlpm.k="",1,N(_xlpm.k))*Столбцов_на_лист)</f>
        <v>17</v>
      </c>
      <c r="BH30">
        <f t="shared" si="9"/>
        <v>24</v>
      </c>
      <c r="BI30" t="str">
        <f t="shared" si="10"/>
        <v>линии</v>
      </c>
      <c r="BJ30" s="6">
        <f>IFERROR(N(_xlfn.XLOOKUP(AX30,Коды_код,Коды_квт)),0)</f>
        <v>0</v>
      </c>
      <c r="BK30">
        <f t="shared" si="11"/>
        <v>0</v>
      </c>
      <c r="BL30" t="str">
        <f>IF(B30="","",IF(BC30&lt;&gt;"",IFERROR(_xlfn.XLOOKUP(BC30,Щиты[Щит],Щиты[Руст, кВт]),0),IF(BK30=1,IFERROR(_xlfn.XLOOKUP(A30,Щиты[Щит],Щиты[Руст, кВт]),0),IF(BJ30&gt;0,ROUND(BJ30*MAX(1,N(D30)),3),""))))</f>
        <v/>
      </c>
      <c r="BM30" t="str">
        <f t="shared" si="12"/>
        <v/>
      </c>
      <c r="BN30" s="6">
        <f>IF(B30="","",IF(BC30&lt;&gt;"",IFERROR(_xlfn.XLOOKUP(BC30,Щиты[Щит],Щиты[Руст, кВт]),0),N(BM30)))</f>
        <v>0</v>
      </c>
      <c r="BO30" t="str">
        <f>IF(B30="","",IFERROR(IF(VLOOKUP(AX30,Потребители_обозначение,8,FALSE)=0,"",VLOOKUP(AX30,Потребители_обозначение,8,FALSE)),""))</f>
        <v/>
      </c>
      <c r="BP30">
        <f t="shared" si="13"/>
        <v>400</v>
      </c>
      <c r="BQ30">
        <f>IF(B30="","",IF(BC30&lt;&gt;"",3,IFERROR(IF(N(VLOOKUP(AX30,Потребители_обозначение,9,FALSE))=0,1,VLOOKUP(AX30,Потребители_обозначение,9,FALSE)),1)))</f>
        <v>1</v>
      </c>
      <c r="BR30">
        <f t="shared" si="14"/>
        <v>3</v>
      </c>
      <c r="BS30" t="str">
        <f>IF(B30="","",_xlfn.LET(_xlpm.bc,IFERROR(IF(VLOOKUP(AX30,Потребители_обозначение,6,FALSE)=0,"",VLOOKUP(AX30,Потребители_обозначение,6,FALSE)&amp;""),""),IF(AND(FK30="да",OR(_xlpm.bc="",_xlpm.bc="мс")),Марка_пож,IF(AND(_xlpm.bc="",BC30&lt;&gt;""),"мс",_xlpm.bc))))</f>
        <v/>
      </c>
      <c r="BT30" t="str">
        <f t="shared" si="15"/>
        <v>мс</v>
      </c>
      <c r="BU30">
        <f>IF(B30="","",_xlfn.LET(_xlpm.cc,IFERROR(N(VLOOKUP(AX30,Потребители_обозначение,7,FALSE)),0),IF(_xlpm.cc&gt;0,_xlpm.cc,IF(BT30="","",IF(N(BR30)=3,5,3)))))</f>
        <v>5</v>
      </c>
      <c r="BV30">
        <f t="shared" si="16"/>
        <v>5</v>
      </c>
      <c r="BW30">
        <f>IFERROR(N(VLOOKUP(AX30,Потребители_обозначение,10,FALSE)),0)</f>
        <v>0</v>
      </c>
      <c r="BX30">
        <f>IFERROR(VLOOKUP(AX30,Потребители_обозначение,5,FALSE),0)</f>
        <v>0</v>
      </c>
      <c r="BY30" s="6" cm="1">
        <f t="array" ref="BY30">IF(B30="","",IF(BC30&lt;&gt;"",IFERROR(_xlfn.XLOOKUP(BC30,Щиты[Щит],Щиты[cos φ]),0.95),IF(BK30=1,IFERROR(_xlfn.XLOOKUP(A30,Щиты[Щит],Щиты[cos φ]),0.95),IF(ISNUMBER(Z30),Z30,IFERROR(IF(BX30=2,_xlfn.IFS(BR30=3,VLOOKUP(BN30,Справочная_двигатели,8,FALSE),BR30=1,VLOOKUP(BN30,Справочная_двигатели,10,TRUE)),IF(AND(Методика="нормы 2026",EQ30="Сил"),0.8,0.95)),0.95)))))</f>
        <v>0.95</v>
      </c>
      <c r="BZ30">
        <f t="shared" si="17"/>
        <v>0</v>
      </c>
      <c r="CA30">
        <f t="shared" si="18"/>
        <v>1</v>
      </c>
      <c r="CB30">
        <f t="shared" si="19"/>
        <v>0</v>
      </c>
      <c r="CC30">
        <f t="shared" si="20"/>
        <v>0</v>
      </c>
      <c r="CD30">
        <f t="shared" si="21"/>
        <v>0</v>
      </c>
      <c r="CE30">
        <f t="shared" si="22"/>
        <v>0</v>
      </c>
      <c r="CF30">
        <f t="shared" si="23"/>
        <v>0</v>
      </c>
      <c r="CG30">
        <f>IF(AX30="",0,_xlfn.LET(_xlpm.v,IFERROR(VLOOKUP(B30,УГО_спр,3,FALSE),IFERROR(VLOOKUP(AX30,УГО_спр,3,FALSE),IFERROR(VLOOKUP(LEFT(AX30,2),УГО_спр,3,FALSE),""))),IF(_xlpm.v="да",30,IF(ISNUMBER(_xlpm.v),_xlpm.v,0))))</f>
        <v>0</v>
      </c>
      <c r="CH30" t="str">
        <f t="shared" si="24"/>
        <v/>
      </c>
      <c r="CI30" t="str">
        <f>_xlfn.LET(_xlpm.k,IFERROR(_xlfn.XLOOKUP(AX30,Коды_код,Коды_утечка)&amp;"",""),IF(_xlpm.k="","дифавтомат",_xlpm.k))</f>
        <v>дифавтомат</v>
      </c>
      <c r="CJ30">
        <f t="shared" si="25"/>
        <v>0</v>
      </c>
      <c r="CK30">
        <f t="shared" si="26"/>
        <v>0</v>
      </c>
      <c r="CL30">
        <f>IF(B30="",0,IFERROR(--VLOOKUP(B30,УГО_спр,4,FALSE),IFERROR(--VLOOKUP(AX30,УГО_спр,4,FALSE),IFERROR(--VLOOKUP(LEFT(AX30,2),УГО_спр,4,FALSE),0))))</f>
        <v>0</v>
      </c>
      <c r="CM30" t="str">
        <f>IF(B30="","",IFERROR(_xlfn.XLOOKUP(AX30,Коды_код,Коды_апп)&amp;"",""))</f>
        <v/>
      </c>
      <c r="CN30" t="str">
        <f t="shared" si="27"/>
        <v/>
      </c>
      <c r="CO30" t="str" cm="1">
        <f t="array" ref="CO30">IF(TRIM(CN30&amp;"")="","",IFERROR(TRIM(INDEX(_xlfn.TEXTSPLIT(CN30&amp;";;;",";"),1)),""))</f>
        <v/>
      </c>
      <c r="CP30" t="str" cm="1">
        <f t="array" ref="CP30">IF(TRIM(CN30&amp;"")="","",IFERROR(TRIM(INDEX(_xlfn.TEXTSPLIT(CN30&amp;";;;",";"),2)),""))</f>
        <v/>
      </c>
      <c r="CQ30" t="str" cm="1">
        <f t="array" ref="CQ30">IF(TRIM(CN30&amp;"")="","",IFERROR(TRIM(INDEX(_xlfn.TEXTSPLIT(CN30&amp;";;;",";"),3)),""))</f>
        <v/>
      </c>
      <c r="CR30">
        <f t="shared" si="28"/>
        <v>0</v>
      </c>
      <c r="CS30" t="str">
        <f>IF(B30="","",_xlfn.LET(_xlpm.t,LOWER(AV30&amp;""),IF(ISNUMBER(SEARCH("dim",_xlpm.t)),"DIM",IF(ISNUMBER(SEARCH("dali",_xlpm.t)),"DALI",IF(OR(ISNUMBER(SEARCH("relay",_xlpm.t)),ISNUMBER(SEARCH("реле",_xlpm.t))),"Relay",IF(ISNUMBER(SEARCH("кнопк",_xlpm.t)),"",IFERROR(_xlfn.XLOOKUP(AX30,Коды_код,Коды_упр)&amp;"","")))))))</f>
        <v/>
      </c>
      <c r="CT30" t="str">
        <f t="shared" si="29"/>
        <v/>
      </c>
      <c r="CU30">
        <f>IF(B30="","",_xlfn.LET(_xlpm.ig,N(P30)+IF(AF30="вручную",0,N(CB30)),_xlpm.n0,IFERROR(VLOOKUP(_xlpm.ig,Автомат_номиналы,2,TRUE),0),_xlpm.mn,MAX(CL30,IF(AF30="вручную",0,N(CE30))),MAX(_xlpm.n0,_xlpm.mn,IF(CR30=1,Мин_автомат_БП,0))))</f>
        <v>6</v>
      </c>
      <c r="CV30">
        <f t="shared" si="30"/>
        <v>3</v>
      </c>
      <c r="CW30" t="str">
        <f t="shared" si="31"/>
        <v>3P</v>
      </c>
      <c r="CX30" t="str">
        <f>_xlfn.LET(_xlpm.cc,UPPER(TRIM(IFERROR(_xlfn.XLOOKUP(AX30,Коды_код,Коды_хар)&amp;"",""))),IF(OR(_xlpm.cc="B",_xlpm.cc="В"),"B",IF(_xlpm.cc="D","D","С")))</f>
        <v>С</v>
      </c>
      <c r="CY30" t="str">
        <f t="shared" si="32"/>
        <v>3P С6А</v>
      </c>
      <c r="CZ30" t="str">
        <f t="shared" si="33"/>
        <v>3P С6А</v>
      </c>
      <c r="DA30" t="str">
        <f t="shared" si="34"/>
        <v>3P С6А</v>
      </c>
      <c r="DB30" cm="1">
        <f t="array" ref="DB30">IF(DA30="","",_xlfn.LET(_xlpm.t,SUBSTITUTE(SUBSTITUTE(SUBSTITUTE(UPPER(DA30),"С","C"),"А","A"),"В","B"),_xlpm.tk,_xlfn.TEXTSPLIT(_xlpm.t,"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30" t="str">
        <f t="shared" si="35"/>
        <v>ok</v>
      </c>
      <c r="DD30">
        <f t="shared" si="36"/>
        <v>6</v>
      </c>
      <c r="DE30" t="str">
        <f t="shared" si="37"/>
        <v>3P С6А</v>
      </c>
      <c r="DF30">
        <f t="shared" si="38"/>
        <v>0</v>
      </c>
      <c r="DG30">
        <f t="shared" si="39"/>
        <v>0</v>
      </c>
      <c r="DH30">
        <f t="shared" si="40"/>
        <v>0</v>
      </c>
      <c r="DI30">
        <f t="shared" si="41"/>
        <v>0</v>
      </c>
      <c r="DJ30">
        <f t="shared" si="42"/>
        <v>0.92</v>
      </c>
      <c r="DK30">
        <f>IF(ISNUMBER(AL30),AL30,К_прокл)</f>
        <v>1</v>
      </c>
      <c r="DL30">
        <f t="shared" si="43"/>
        <v>3</v>
      </c>
      <c r="DM30">
        <f>IFERROR(N(VLOOKUP(BT30,Кабель_обозначение,3,FALSE)),1)</f>
        <v>1</v>
      </c>
      <c r="DN30">
        <f>IFERROR(N(_xlfn.XLOOKUP(A30,Щиты[Щит],Щиты[ΔU до шин, %])),0)</f>
        <v>0</v>
      </c>
      <c r="DO30" t="str">
        <f>IFERROR(_xlfn.XLOOKUP(A30,Щиты[Щит],Щиты[Zпетли на шинах, Ом]),"")</f>
        <v/>
      </c>
      <c r="DP30">
        <f>IFERROR(N(_xlfn.XLOOKUP(A30,Щиты[Щит],Щиты[ΔU до шин (подбор), %])),0)</f>
        <v>0</v>
      </c>
      <c r="DQ30" t="str">
        <f>IFERROR(_xlfn.XLOOKUP(A30,Щиты[Щит],Щиты[Zпетли на шинах (подбор), Ом]),"")</f>
        <v/>
      </c>
      <c r="DR30" t="str">
        <f t="shared" si="44"/>
        <v/>
      </c>
      <c r="DS30">
        <f t="shared" si="45"/>
        <v>15</v>
      </c>
      <c r="DT30">
        <f t="shared" si="46"/>
        <v>1</v>
      </c>
      <c r="DU30">
        <f t="shared" si="47"/>
        <v>0.31</v>
      </c>
      <c r="DV30" s="6">
        <f>IF(B30="","",IF(IFERROR(VLOOKUP(AX30,УГО_спр,2,FALSE),"")="Светильник",3,4)+IF(Методика="нормы 2026",MIN(0.5,MAX(0,N(Q30)-100)*0.005),0))</f>
        <v>4</v>
      </c>
      <c r="DW30" cm="1">
        <f t="array" ref="DW30">IF(OR(B30="",BT30="",DM30&lt;&gt;1),"",_xlfn.LET(_xlpm.sz,Iдоп_S,_xlpm.t_,CHOOSE(DL30,Iдоп_1ж,Iдоп_2ж,Iдоп_3ж)*DJ30*DK30,_xlpm.inn,N(DD30),_xlpm.smin,MAX(1.5,BW30),_xlpm.L_,N(Q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30)*(_xlpm.rho*_xlpm.L_/_xlpm.sz*N(BY30)+_xlpm.xx*_xlpm.L_*N(DU30)/1000)*N(P30)/((Uн_лин/SQRT(3))*1000)*100,999),_xlpm.kz,IF(OR(DG30=1,NOT(ISNUMBER(DQ30)),_xlpm.L_=0,_xlpm.inn=0),1,IFERROR(--(c_min*(Uн_лин*1000/SQRT(3))/(DQ30+2*ρкз_Cu*_xlpm.L_/_xlpm.sz)&gt;=GY30*_xlpm.inn),0)),_xlpm.ok,IFERROR((_xlpm.sz&gt;=_xlpm.smin)*(_xlpm.t_&gt;=_xlpm.inn)*IF(_xlpm.L_&gt;0,(_xlpm.du_+DP30&lt;=DV30+0.00001),1)*_xlpm.kz,0),_xlpm.r_,_xlfn._xlws.FILTER(_xlpm.sz,_xlpm.ok,"не подобрано"),INDEX(_xlpm.r_,1)))</f>
        <v>1.5</v>
      </c>
      <c r="DX30">
        <f t="shared" si="48"/>
        <v>6</v>
      </c>
      <c r="DY30" cm="1">
        <f t="array" ref="DY30">IF(OR(B30="",BT30="",DM30&lt;&gt;1),"",_xlfn.LET(_xlpm.sz,Iдоп_S,_xlpm.t_,CHOOSE(DL30,Iдоп_1ж,Iдоп_2ж,Iдоп_3ж)*DJ30*DK30,_xlpm.ok,IFERROR((_xlpm.sz&gt;=MAX(1.5,BW30))*(_xlpm.t_&gt;=N(DD30)),0),_xlpm.r_,_xlfn._xlws.FILTER(_xlpm.sz,_xlpm.ok,""),INDEX(_xlpm.r_,1)))</f>
        <v>1.5</v>
      </c>
      <c r="DZ30" s="6" cm="1">
        <f t="array" ref="DZ30">IFERROR(ROUNDUP(N(DT30)*(_xlfn.XLOOKUP(DY30,INDEX(Кабель_сопротивление,0,1),INDEX(Кабель_сопротивление,0,3))*N(Q30)/DY30*N(BY30)+_xlfn.XLOOKUP(DY30,INDEX(Кабель_сопротивление,0,1),INDEX(Кабель_сопротивление,0,2))*N(Q30)*N(DU30)/1000)*N(P30)/((Uн_лин/SQRT(3))*1000)*100,2),"")</f>
        <v>0</v>
      </c>
      <c r="EA30">
        <f>IFERROR(2*ρкз_Cu*N(Q30)/DY30,"")</f>
        <v>0.52600000000000002</v>
      </c>
      <c r="EB30">
        <f>IFERROR(VLOOKUP(DX30,Кабель_сопротивление,3,FALSE),"")</f>
        <v>2.2499999999999999E-2</v>
      </c>
      <c r="EC30">
        <f>IFERROR(VLOOKUP(DX30,Кабель_сопротивление,2,FALSE),"")</f>
        <v>0.09</v>
      </c>
      <c r="ED30">
        <f t="shared" si="49"/>
        <v>15</v>
      </c>
      <c r="EE30" t="str">
        <f t="shared" si="50"/>
        <v/>
      </c>
      <c r="EF30">
        <f t="shared" si="51"/>
        <v>0</v>
      </c>
      <c r="EG30" s="6">
        <f>IFERROR(ROUNDUP(EF30/((Uн_лин/SQRT(3))*1000)*100,2),"")</f>
        <v>0</v>
      </c>
      <c r="EH30" t="str">
        <f>IFERROR(VLOOKUP(BT30,Кабель_обозначение,2,FALSE),"")</f>
        <v>ВВГнг(А)-LS</v>
      </c>
      <c r="EI30" t="str">
        <f t="shared" si="52"/>
        <v>ВВГнг(А)-LS (5х6)</v>
      </c>
      <c r="EJ30" t="str">
        <f t="shared" si="53"/>
        <v>ВВГнг(А)-LS (5х6)
L=15-0%</v>
      </c>
      <c r="EK30">
        <f>IFERROR(2*ρкз_Cu*Q30/DX30,"")</f>
        <v>0.13150000000000001</v>
      </c>
      <c r="EL30">
        <f t="shared" si="54"/>
        <v>4.3750000000000004E-2</v>
      </c>
      <c r="EM30" s="6" t="str">
        <f>IFERROR(IF(OR(B30="",NOT(ISNUMBER(DX30)),N(Q30)=0),"",_xlfn.XLOOKUP(A30,Щиты[Щит],Щиты[Zпетли на шинах, Ом])+EK30),"")</f>
        <v/>
      </c>
      <c r="EN30" s="6" t="str">
        <f>IF(ISNUMBER(EM30),c_min*(Uн_лин*1000/SQRT(3))/EM30,"")</f>
        <v/>
      </c>
      <c r="EO30" s="6" t="str">
        <f>IFERROR(IF(OR(B30="",NOT(ISNUMBER(DX30))),"",1.05*(Uн_лин*1000/SQRT(3))/(_xlfn.XLOOKUP(A30,Щиты[Щит],Щиты[Zmax на шинах, Ом])+EL30)/1000),"")</f>
        <v/>
      </c>
      <c r="EP30" s="6" t="str">
        <f>IF(B30="","",IF(ISNUMBER(Y30),"Сил",IF(IFERROR(_xlfn.XLOOKUP(AX30,Коды_код,Коды_группа)&amp;"","")="","Быт",_xlfn.XLOOKUP(AX30,Коды_код,Коды_группа)&amp;"")))</f>
        <v>Быт</v>
      </c>
      <c r="EQ30" s="6" t="str">
        <f t="shared" si="55"/>
        <v>Быт</v>
      </c>
      <c r="ER30" s="6">
        <f>IF(EQ30="Щит","щит",IF(EQ30="","",IF(EQ30="Быт",IFERROR(_xlfn.XLOOKUP(A30,Щиты[Щит],Щиты[Кс быт]),1),IF(EQ30="Сил",IF(ISNUMBER(Y30),Y30,IF(Методика="нормы 2026",IFERROR(_xlfn.XLOOKUP(A30,Щиты[Щит],Щиты[Кс силовых (табл. 7.5)]),1),1)),IF(OR(EQ30="Пост",EQ30="Отоп"),1,IF(EQ30="ВНГ",0.7,0))))))</f>
        <v>0.8</v>
      </c>
      <c r="ES30">
        <f t="shared" si="56"/>
        <v>1</v>
      </c>
      <c r="ET30">
        <f t="shared" si="57"/>
        <v>0</v>
      </c>
      <c r="EU30">
        <f t="shared" si="58"/>
        <v>0</v>
      </c>
      <c r="EV30">
        <f t="shared" si="59"/>
        <v>0</v>
      </c>
      <c r="EW30">
        <f t="shared" si="60"/>
        <v>0</v>
      </c>
      <c r="EX30">
        <f t="shared" si="61"/>
        <v>0</v>
      </c>
      <c r="EY30">
        <f t="shared" si="62"/>
        <v>0</v>
      </c>
      <c r="EZ30">
        <f t="shared" si="63"/>
        <v>0</v>
      </c>
      <c r="FA30">
        <f t="shared" si="64"/>
        <v>0</v>
      </c>
      <c r="FB30">
        <f t="shared" si="65"/>
        <v>0</v>
      </c>
      <c r="FC30" t="str">
        <f t="shared" si="66"/>
        <v/>
      </c>
      <c r="FD30" t="str">
        <f>IF(B30="","",IF(CA30=0,IF(AW30=1,"",FF29),IF(OR(N(CV30)&gt;=3,N(BR30)&gt;=3),"L1,L2,L3",IFERROR(_xlfn.TEXTBEFORE(_xlfn.TEXTAFTER(_xlfn.XLOOKUP(A30,Щиты[Щит],Щиты[_фазы авто]),";"&amp;AW30&amp;":"),";"),"L1"))))</f>
        <v>L1,L2,L3</v>
      </c>
      <c r="FE30" t="str">
        <f t="shared" si="67"/>
        <v>L1,L2,L3</v>
      </c>
      <c r="FF30" t="str">
        <f t="shared" si="68"/>
        <v>L1,L2,L3</v>
      </c>
      <c r="FG30" cm="1">
        <f t="array" ref="FG30">IFERROR(IF(BX30=2,_xlfn.IFS(BR30=3,VLOOKUP(BN30,Справочная_двигатели,3,FALSE),BR30=1,VLOOKUP(BN30,Справочная_двигатели,5,TRUE)),0),0)</f>
        <v>0</v>
      </c>
      <c r="FH30">
        <f>IFERROR(IF(BX30=3,VLOOKUP(BN30,Справочная_ЛЭД,2,TRUE),0),0)</f>
        <v>0</v>
      </c>
      <c r="FI30" s="6">
        <f t="shared" si="69"/>
        <v>0</v>
      </c>
      <c r="FJ30" t="str" cm="1">
        <f t="array" ref="FJ30">IF(B30="","",IFERROR(INDEX({"I особая","I","II","III"},MATCH(TRIM(AC30&amp;""),{"I особая","I","II","III"},0)),"III"))</f>
        <v>I</v>
      </c>
      <c r="FK30" t="str">
        <f>IF(B30="","",IF(TRIM(AD30&amp;"")&lt;&gt;"",IF(LOWER(TRIM(AD30&amp;""))="да","да","нет"),IF(IFERROR(_xlfn.XLOOKUP(AX30,Коды_код,Коды_пожарная),"")="да","да","нет")))</f>
        <v>нет</v>
      </c>
      <c r="FL30" t="str">
        <f t="shared" si="70"/>
        <v>ИБП</v>
      </c>
      <c r="FM30" t="str">
        <f t="shared" si="71"/>
        <v>ИБП</v>
      </c>
      <c r="FN30">
        <f t="shared" si="72"/>
        <v>1</v>
      </c>
      <c r="FO30" t="str" cm="1">
        <f t="array" ref="FO30">IF(B30="","",_xlfn.LET(_xlpm.t,IFERROR(_xlfn.XLOOKUP(1,(Шины[Шина]=FM30)*(((Шины[Щит]=A30)+(Шины[Щит]=""))&gt;0),Шины[Тип]),"")&amp;"",IF(_xlpm.t&lt;&gt;"",_xlpm.t,IF(ISNUMBER(SEARCH("ИБП",FM30)),"ИБП",IF(ISNUMBER(SEARCH("ДГУ",FM30)),"ДГУ","Ввод "&amp;FN30)))))</f>
        <v>ИБП</v>
      </c>
      <c r="FP30" t="str">
        <f t="shared" si="73"/>
        <v>ИБП</v>
      </c>
      <c r="FQ30" t="str">
        <f>IF(B30="","",IF(OR(FO30="ИБП",FO30="ДГУ"),"I особая",IF(FO30="Одиночная","III",_xlfn.XLOOKUP(A30,Щиты[Щит],Щиты[Категория шины «Ввод»],"III"))))</f>
        <v>I особая</v>
      </c>
      <c r="FR30">
        <f>IF(B30="",0,IFERROR(MATCH(FJ30,{"III","II","I","I особая"},0),1))</f>
        <v>3</v>
      </c>
      <c r="FS30">
        <f t="shared" si="74"/>
        <v>3</v>
      </c>
      <c r="FT30" t="str">
        <f>IF(B30="","",IF(FR30&gt;IFERROR(MATCH(FQ30,{"III","II","I","I особая"},0),1),"НЕ ОБЕСПЕЧЕНА","ОК"))</f>
        <v>ОК</v>
      </c>
      <c r="FU30" t="str">
        <f>IF(A30="","",_xlfn.XLOOKUP(A30,Щиты[Щит],Щиты[Путь],""))</f>
        <v>|ГРЩ-ЖД|ЩГП|</v>
      </c>
      <c r="FV30" t="str">
        <f>IF(B30="","",IF(AE30&lt;&gt;"",AE30,IF(IFERROR(_xlfn.XLOOKUP(AX30,Коды_код,Коды_вид)&amp;"","")="","Прочее",_xlfn.XLOOKUP(AX30,Коды_код,Коды_вид)&amp;"")))</f>
        <v>Рабочее освещение</v>
      </c>
      <c r="FW30">
        <f>IF(BH30="","",INT((BH30-1)/Столбцов_на_лист)+1)</f>
        <v>2</v>
      </c>
      <c r="FX30" t="str">
        <f t="shared" si="75"/>
        <v>ВВГнг(А)-LS (5х6) L=15-0%</v>
      </c>
      <c r="FY30">
        <f t="shared" si="76"/>
        <v>0</v>
      </c>
      <c r="FZ30">
        <f t="shared" si="77"/>
        <v>0</v>
      </c>
      <c r="GA30">
        <f t="shared" si="78"/>
        <v>3</v>
      </c>
      <c r="GB30">
        <f t="shared" si="79"/>
        <v>0</v>
      </c>
      <c r="GC30">
        <f t="shared" si="80"/>
        <v>1</v>
      </c>
      <c r="GD30">
        <f>IF(BH30="","",IF(AND(CA30=1,GC30=1),COUNTIFS(A$3:A30,A30,CA$3:CA30,1,GC$3:GC30,1),IF(OR(OR(AW30=1,A30&lt;&gt;A29),AF30="вручную",GC30=0),"",IF(AW30=1,"",GE29))))</f>
        <v>4</v>
      </c>
      <c r="GE30">
        <f t="shared" si="81"/>
        <v>4</v>
      </c>
      <c r="GF30">
        <f>IF(B30="","",IFERROR(LOOKUP(INDEX(CHOOSE(DL30,Iдоп_1ж,Iдоп_2ж,Iдоп_3ж),MATCH(DX30,Iдоп_S,0))*DJ30*DK30,{6,10,16,20,25,32,40,50,63,80,100,125,160,200,250,315,400,500,630}),""))</f>
        <v>32</v>
      </c>
      <c r="GG30" t="str">
        <f t="shared" si="82"/>
        <v>QF4</v>
      </c>
      <c r="GH30" t="str">
        <f t="shared" si="83"/>
        <v>QF4</v>
      </c>
      <c r="GI30" t="str">
        <f t="shared" si="84"/>
        <v/>
      </c>
      <c r="GJ30">
        <f t="shared" si="85"/>
        <v>0</v>
      </c>
      <c r="GK30" t="str">
        <f>IF(OR(AG30="",AG30="-"),"",IFERROR(VLOOKUP(AG30,Модули_спр,2,FALSE),"R"))</f>
        <v/>
      </c>
      <c r="GL30" t="str">
        <f>IF(GK30="","",GK30&amp;"."&amp;COUNTIFS(A$3:A30,A30,GK$3:GK30,GK30))</f>
        <v/>
      </c>
      <c r="GM30" t="str">
        <f t="shared" si="86"/>
        <v/>
      </c>
      <c r="GN30" t="str">
        <f t="shared" si="87"/>
        <v/>
      </c>
      <c r="GO30" t="str">
        <f t="shared" si="88"/>
        <v/>
      </c>
      <c r="GP30" t="str">
        <f t="shared" si="89"/>
        <v/>
      </c>
      <c r="GQ30">
        <f t="shared" si="90"/>
        <v>1</v>
      </c>
      <c r="GR30" t="str">
        <f>IF(GQ30=1,"XT"&amp;COUNTIFS(A$3:A30,A30,GQ$3:GQ30,1),"")</f>
        <v>XT2</v>
      </c>
      <c r="GS30" t="str">
        <f t="shared" si="91"/>
        <v>XT2</v>
      </c>
      <c r="GT30" t="str">
        <f t="shared" si="92"/>
        <v>QF4</v>
      </c>
      <c r="GU30" t="str">
        <f t="shared" si="93"/>
        <v/>
      </c>
      <c r="GV30" t="str">
        <f t="shared" si="94"/>
        <v>ok</v>
      </c>
      <c r="GW30" t="str">
        <f>IF(OR(GO30="",GM30=""),"",IF(GO30&gt;IFERROR(VLOOKUP(GN30,Модули_спр,3,FALSE),99),"ЛИШНИЙ КАНАЛ",IF(AND(AH30&lt;&gt;"=",COUNTIFS(Линии[_модуль гр.],GM30,Линии[Канал (итог)],GO30,Линии[Канал],"&lt;&gt;=",Линии[Щит],A30)&gt;1),"ДУБЛЬ КАНАЛА","")))</f>
        <v/>
      </c>
      <c r="GX30" s="6" t="str">
        <f t="shared" si="95"/>
        <v/>
      </c>
      <c r="GY30">
        <f t="shared" si="96"/>
        <v>10</v>
      </c>
      <c r="GZ30" t="str">
        <f t="shared" si="97"/>
        <v/>
      </c>
      <c r="HA30" t="str">
        <f>IF(AND(B30="",GT30=""),"",_xlfn.TEXTJOIN("; ",TRUE,IF(AND(B30&lt;&gt;"",FE30=""),"нет фазы",""),IF(AND(B30&lt;&gt;"",N(FY30)=0,EQ30&lt;&gt;"Нет"),"нет мощности",""),IF(AND(GS30&lt;&gt;"",COUNTIFS(Линии[Щит],A30,Линии[Клемма (итог)],GS30)&gt;1),"дубль клеммы "&amp;GS30,""),IF(AND(GV30&lt;&gt;"",GV30&lt;&gt;"ok"),GV30,""),IF(GW30&lt;&gt;"",GW30,""),IF(AND(N(BV30)&gt;=4,N(BR30)=1),BV30&amp;" жил на 1 фазе",""),IF(AND(AX30="R",CA30=1,OR(N(CK30)=0,N(CK30)&gt;30)),"розетка без дифзащиты до 30 мА",""),IFERROR(IF(AND(ISNUMBER(R30),R30&gt;DV30),"потери "&amp;FIXED(R30,1)&amp;" % &gt; "&amp;DV30&amp;" %",""),""),IFERROR(IF(LEFT(GZ30,4)="мало","Iкз мало — отключение &gt; 0,4 с",""),""),IF(AND(B30&lt;&gt;"",BH30=""),"не на схеме",""),IF(AND(CA30=0,B30&lt;&gt;"",FE30&lt;&gt;"",IF(AW30=1,"",FF29)&lt;&gt;"",FE30&lt;&gt;IF(AW30=1,"",FF29)),"фаза не как у автомата группы ("&amp;IF(AW30=1,"",FF29)&amp;")","")))</f>
        <v>нет мощности</v>
      </c>
      <c r="HB30" s="6" t="str">
        <f>IF(OR(CA30=0,DA30=""),"",_xlfn.LET(_xlpm.t,IFERROR(_xlfn.XLOOKUP(DA30,Каталог!$U$4:$U$500,Каталог!$G$4:$G$500),""),_xlpm.k,SEARCH("кА",_xlpm.t),IFERROR(--TRIM(RIGHT(SUBSTITUTE(MID(_xlpm.t,MAX(1,_xlpm.k-4),_xlpm.k-MAX(1,_xlpm.k-4))," ",REPT(" ",9)),5)),"")))</f>
        <v/>
      </c>
      <c r="HC30" t="str">
        <f>IF(OR(HB30="",CA30=0),"",IF(_xlfn.XLOOKUP(A30,Щиты[Щит],Щиты[Iкз max на шинах, кА],"")="","",IF(HB30&lt;_xlfn.XLOOKUP(A30,Щиты[Щит],Щиты[Iкз max на шинах, кА]),"Icu "&amp;HB30&amp;" кА &lt; Iкз max","ok")))</f>
        <v/>
      </c>
      <c r="HD30" t="str">
        <f t="shared" si="98"/>
        <v/>
      </c>
      <c r="HE30" t="str">
        <f t="shared" si="99"/>
        <v>QF4|XT2</v>
      </c>
      <c r="HF30" t="str">
        <f t="shared" si="100"/>
        <v>QF4|XT2|кабель ВВГнг(А)-LS (5х6) → Щит освещения ЩО-2 Цокольный этаж этаж Пом. №001Т</v>
      </c>
      <c r="HG30" t="str" cm="1">
        <f t="array" ref="HG30">IF(HF30="","",_xlfn.LET(_xlpm.nd,_xlfn.TEXTSPLIT(HF30,"|"),IF(COLUMNS(_xlpm.nd)&gt;1,A30&amp;"¦"&amp;INDEX(_xlpm.nd,1)&amp;"¦"&amp;INDEX(_xlpm.nd,2),"")))</f>
        <v>ЩГП¦QF4¦XT2</v>
      </c>
      <c r="HH30" t="str">
        <f t="shared" si="101"/>
        <v>ЩО-01¦Щит освещения ЩО-2 Цокольный этаж этаж Пом. №001Т</v>
      </c>
      <c r="HI30" t="str" cm="1">
        <f t="array" ref="HI30">IF(HF30="","",_xlfn.LET(_xlpm.nd,_xlfn.TEXTSPLIT(HF30,"|"),IF(COLUMNS(_xlpm.nd)&gt;2,A30&amp;"¦"&amp;INDEX(_xlpm.nd,2)&amp;"¦"&amp;INDEX(_xlpm.nd,3),"")))</f>
        <v>ЩГП¦XT2¦кабель ВВГнг(А)-LS (5х6) → Щит освещения ЩО-2 Цокольный этаж этаж Пом. №001Т</v>
      </c>
      <c r="HJ30" t="str">
        <f t="shared" si="102"/>
        <v>ЩО-01¦Щит освещения ЩО-2 Цокольный этаж этаж Пом. №001Т</v>
      </c>
      <c r="HK30" t="str" cm="1">
        <f t="array" ref="HK30">IF(HF30="","",_xlfn.LET(_xlpm.nd,_xlfn.TEXTSPLIT(HF30,"|"),IF(COLUMNS(_xlpm.nd)&gt;3,A30&amp;"¦"&amp;INDEX(_xlpm.nd,3)&amp;"¦"&amp;INDEX(_xlpm.nd,4),"")))</f>
        <v/>
      </c>
      <c r="HL30" t="str">
        <f t="shared" si="103"/>
        <v/>
      </c>
      <c r="HM30" t="str" cm="1">
        <f t="array" ref="HM30">IF(HF30="","",_xlfn.LET(_xlpm.nd,_xlfn.TEXTSPLIT(HF30,"|"),IF(COLUMNS(_xlpm.nd)&gt;4,A30&amp;"¦"&amp;INDEX(_xlpm.nd,4)&amp;"¦"&amp;INDEX(_xlpm.nd,5),"")))</f>
        <v/>
      </c>
      <c r="HN30" t="str">
        <f t="shared" si="104"/>
        <v/>
      </c>
      <c r="HO30" t="str" cm="1">
        <f t="array" ref="HO30">IF(HF30="","",_xlfn.LET(_xlpm.nd,_xlfn.TEXTSPLIT(HF30,"|"),IF(COLUMNS(_xlpm.nd)&gt;5,A30&amp;"¦"&amp;INDEX(_xlpm.nd,5)&amp;"¦"&amp;INDEX(_xlpm.nd,6),"")))</f>
        <v/>
      </c>
      <c r="HP30" t="str">
        <f t="shared" si="105"/>
        <v/>
      </c>
      <c r="HQ30" t="str" cm="1">
        <f t="array" ref="HQ30">IF(HF30="","",_xlfn.LET(_xlpm.nd,_xlfn.TEXTSPLIT(HF30,"|"),IF(COLUMNS(_xlpm.nd)&gt;6,A30&amp;"¦"&amp;INDEX(_xlpm.nd,6)&amp;"¦"&amp;INDEX(_xlpm.nd,7),"")))</f>
        <v/>
      </c>
      <c r="HR30" t="str">
        <f t="shared" si="106"/>
        <v/>
      </c>
      <c r="HS30" t="str">
        <f t="shared" si="107"/>
        <v/>
      </c>
      <c r="HT30" t="str">
        <f t="shared" si="108"/>
        <v>QF4 → XT2</v>
      </c>
      <c r="HU30">
        <f t="shared" si="109"/>
        <v>1</v>
      </c>
      <c r="HV30">
        <f t="shared" si="110"/>
        <v>0</v>
      </c>
      <c r="HW30" t="str">
        <f t="shared" si="111"/>
        <v/>
      </c>
      <c r="HX30" t="str">
        <f t="shared" si="112"/>
        <v/>
      </c>
      <c r="HY30" t="str">
        <f t="shared" si="113"/>
        <v/>
      </c>
      <c r="HZ30" t="str">
        <f t="shared" si="114"/>
        <v/>
      </c>
      <c r="IA30" t="str">
        <f>IF(B30="","",IFERROR(VLOOKUP(B30,УГО_спр,2,FALSE),IFERROR(VLOOKUP(AX30,УГО_спр,2,FALSE),IFERROR(VLOOKUP(LEFT(AX30,2),УГО_спр,2,FALSE),""))))</f>
        <v/>
      </c>
      <c r="IB30" t="str">
        <f>IF(B30="","",IF(OR(IA30="",IA30=0),"BOX",IFERROR(IF(VLOOKUP(IA30,УГО_блоки,3,FALSE)&amp;""&lt;&gt;"",VLOOKUP(IA30,УГО_блоки,3,FALSE),VLOOKUP(IA30,УГО_блоки,2,FALSE)),IA30)))</f>
        <v>BOX</v>
      </c>
      <c r="IC30">
        <f t="shared" si="115"/>
        <v>1</v>
      </c>
      <c r="ID30" t="str">
        <f>IF(DA30="","",IF(COUNTIF(DA$3:DA30,DA30)=1,MAX(ID$2:ID29)+1,""))</f>
        <v/>
      </c>
      <c r="IE30" t="str">
        <f>IF(CO30="","",IF(COUNTIF(CO$3:CO30,CO30)+COUNTIF(CP$2:CP29,CO30)+COUNTIF(CQ$2:CQ29,CO30)=1,MAX(IE$2:IG29)+1,""))</f>
        <v/>
      </c>
      <c r="IF30" t="str">
        <f>IF(CP30="","",IF(COUNTIF(CO$3:CO30,CP30)+COUNTIF(CP$3:CP30,CP30)+COUNTIF(CQ$2:CQ29,CP30)=1,MAX(IE$2:IG29,IE30)+1,""))</f>
        <v/>
      </c>
      <c r="IG30" t="str">
        <f>IF(CQ30="","",IF(COUNTIF(CO$3:CO30,CQ30)+COUNTIF(CP$3:CP30,CQ30)+COUNTIF(CQ$3:CQ30,CQ30)=1,MAX(IE$2:IG29,IE30,IF30)+1,""))</f>
        <v/>
      </c>
      <c r="IH30" t="str">
        <f t="shared" si="116"/>
        <v>5х6</v>
      </c>
      <c r="II30" t="str">
        <f>IF(IH30="","",IF(COUNTIF(IH$3:IH30,IH30)=1,MAX(II$2:II29)+1,""))</f>
        <v/>
      </c>
      <c r="IJ30" t="str">
        <f>IF(GL30="","",COUNTIF(GL$3:GL30,"?*"))</f>
        <v/>
      </c>
      <c r="IK30" t="str">
        <f>IF(OR(GL30="",GN30=""),"",IF(COUNTIFS(GL$3:GL30,"?*",GN$3:GN30,GN30)=1,MAX(IK$2:IK29)+1,""))</f>
        <v/>
      </c>
      <c r="IL30">
        <f t="shared" si="117"/>
        <v>1</v>
      </c>
      <c r="IM30">
        <f>IF(B30="","",COUNTIF(B$3:B30,"?*"))</f>
        <v>28</v>
      </c>
      <c r="IN30">
        <f>IF(GQ30&lt;&gt;1,0,_xlfn.LET(_xlpm.k,MAX(IFERROR(--VLOOKUP(B30,УГО_спр,5,FALSE),0),IFERROR(--VLOOKUP(AX30,УГО_спр,5,FALSE),0),IFERROR(--VLOOKUP(LEFT(AX30,2),УГО_спр,5,FALSE),0)),IF(_xlpm.k&gt;0,_xlpm.k,IF(IFERROR(--LEFT(SUBSTITUTE(IH30,"x","х"),FIND("х",SUBSTITUTE(IH30,"x","х"))-1),3)&gt;3,Каталог!$S$9,1))))</f>
        <v>1</v>
      </c>
      <c r="IO30">
        <f t="shared" si="118"/>
        <v>2</v>
      </c>
      <c r="IP30" t="str">
        <f t="shared" si="119"/>
        <v>авто</v>
      </c>
      <c r="IQ30" t="str">
        <f t="shared" si="120"/>
        <v/>
      </c>
      <c r="IR30">
        <f t="shared" si="121"/>
        <v>0</v>
      </c>
      <c r="IS30">
        <f t="shared" si="122"/>
        <v>1</v>
      </c>
    </row>
    <row r="31" spans="1:253" x14ac:dyDescent="0.3">
      <c r="A31" t="s">
        <v>1104</v>
      </c>
      <c r="B31" t="s">
        <v>743</v>
      </c>
      <c r="C31" t="s">
        <v>55</v>
      </c>
      <c r="D31">
        <v>1</v>
      </c>
      <c r="E31" t="s">
        <v>16</v>
      </c>
      <c r="G31">
        <v>40</v>
      </c>
      <c r="H31" t="str">
        <f>Линии[[#This Row],[_авто утечка]]</f>
        <v/>
      </c>
      <c r="I31" t="str">
        <f>Линии[[#This Row],[_авто управление]]</f>
        <v/>
      </c>
      <c r="J31" t="str">
        <f>Линии[[#This Row],[_авто аппараты]]</f>
        <v/>
      </c>
      <c r="K31">
        <v>10</v>
      </c>
      <c r="L31" t="str">
        <f>Линии[[#This Row],[_авто длина по плану]]</f>
        <v/>
      </c>
      <c r="M31" t="str">
        <f>Линии[[#This Row],[_авто фаза]]</f>
        <v>L1,L2,L3</v>
      </c>
      <c r="N31" t="str">
        <f>Линии[[#This Row],[_авто клемма]]</f>
        <v/>
      </c>
      <c r="O31" t="str">
        <f t="shared" si="0"/>
        <v/>
      </c>
      <c r="P31" s="6" cm="1">
        <f t="array" ref="P31">IF(B31="","",IF(BC31&lt;&gt;"",IFERROR(_xlfn.XLOOKUP(BC31,Щиты[Щит],Щиты[Iр, А]),""),IF(BK31=1,IFERROR(_xlfn.XLOOKUP(A31,Щиты[Щит],Щиты[Iр, А]),""),IFERROR(_xlfn.IFS(BR31=1,BN31/((Uн_лин/SQRT(3))*BY31),BR31=3,BN31/(SQRT(3)*Uн_лин*BY31)),""))))</f>
        <v>2.5524959269436094</v>
      </c>
      <c r="Q31" s="7" t="str">
        <f>IF(B31="","",IFERROR(IF(VLOOKUP(AX31,Потребители_обозначение,4,FALSE)=1,VLOOKUP(AX31,Потребители_обозначение,3,FALSE)*(D31*2-1)+DS31+VLOOKUP(AZ31,Этаж_обозначение,3,FALSE)+VLOOKUP(AZ31,Этаж_обозначение,4,FALSE),VLOOKUP(AX31,Потребители_обозначение,3,FALSE)*(D31*2-1)+DS31),DS31))</f>
        <v/>
      </c>
      <c r="R31" s="6" t="str">
        <f t="shared" si="1"/>
        <v/>
      </c>
      <c r="S31" t="str">
        <f t="shared" si="2"/>
        <v>ВВГнг(А)-LS (5х10)</v>
      </c>
      <c r="T31" t="str">
        <f>IF(BH31="","",IF(BI31="вводной узел","узел ","")&amp;"л."&amp;(INT((BH31-1)/Столбцов_на_лист)+1)&amp;" / "&amp;(MOD(BH31-1,Столбцов_на_лист)+1))</f>
        <v>узел л.1 / 2</v>
      </c>
      <c r="V31">
        <v>3</v>
      </c>
      <c r="W31">
        <v>400</v>
      </c>
      <c r="X31" t="s">
        <v>549</v>
      </c>
      <c r="AF31" t="s">
        <v>1303</v>
      </c>
      <c r="AI31">
        <v>2</v>
      </c>
      <c r="AJ31" t="s">
        <v>11</v>
      </c>
      <c r="AK31">
        <v>5</v>
      </c>
      <c r="AW31" cm="1">
        <f t="array" ref="AW31">ROW()-ROW(Линии[#Headers])</f>
        <v>29</v>
      </c>
      <c r="AX31" s="6" t="str">
        <f t="shared" si="3"/>
        <v>Ввод</v>
      </c>
      <c r="AY31" t="str">
        <f t="shared" si="4"/>
        <v>1</v>
      </c>
      <c r="AZ31" t="str">
        <f t="shared" si="5"/>
        <v>1</v>
      </c>
      <c r="BA31" t="str">
        <f t="shared" si="6"/>
        <v/>
      </c>
      <c r="BB31" t="str">
        <f t="shared" si="7"/>
        <v/>
      </c>
      <c r="BC31" t="str">
        <f>IF(U31&lt;&gt;"",U31,IF(AND(B31&lt;&gt;"",B31&lt;&gt;A31,ISNUMBER(_xlfn.XMATCH(B31,Щиты[Щит]))),B31,""))</f>
        <v/>
      </c>
      <c r="BD31" t="str" cm="1">
        <f t="array" ref="BD31">IF(B31="","",IF(BC31&lt;&gt;"","Щит "&amp;BC31,_xlfn.LET(_xlpm.nm,IFERROR(_xlfn.XLOOKUP(AX31,Коды_код,Коды_имя)&amp;"",""),_xlpm.md,IFERROR(N(_xlfn.XLOOKUP(AX31,Коды_код,Коды_режим)),1),_xlpm.ex,IF(Имя_режим="по экспликации",IFERROR(_xlfn.XLOOKUP(AZ31&amp;"|"&amp;BB31,Экспликация[Этаж]&amp;"|"&amp;Экспликация[Помещение],Экспликация[Название])&amp;"",""),""),_xlpm.rm,IF(BB31="","",IF(_xlpm.ex&lt;&gt;"",". "&amp;_xlpm.ex&amp;IF(Имя_пом="нет"," ("&amp;BB31&amp;")"," (пом. "&amp;BB31&amp;")"),IF(Имя_пом="нет"," ",", пом. ")&amp;BB31)),IF(_xlpm.nm="","",IF(_xlpm.md=2,_xlpm.nm&amp;" шлейф "&amp;AZ31,_xlpm.nm&amp;_xlpm.rm)))))</f>
        <v>Вводной кабель шлейф 1</v>
      </c>
      <c r="BE31" t="str">
        <f t="shared" si="8"/>
        <v>Ввод</v>
      </c>
      <c r="BF31">
        <f>IFERROR(_xlfn.XMATCH(A31,Щиты[Щит]),0)</f>
        <v>3</v>
      </c>
      <c r="BG31">
        <f>_xlfn.LET(_xlpm.k,IFERROR(_xlfn.XLOOKUP(A31,Щиты[Щит],Щиты[Листов под вводной узел]),""),IF(_xlpm.k="",1,N(_xlpm.k))*Столбцов_на_лист)</f>
        <v>17</v>
      </c>
      <c r="BH31">
        <f t="shared" si="9"/>
        <v>2</v>
      </c>
      <c r="BI31" t="str">
        <f t="shared" si="10"/>
        <v>вводной узел</v>
      </c>
      <c r="BJ31" s="6">
        <f>IFERROR(N(_xlfn.XLOOKUP(AX31,Коды_код,Коды_квт)),0)</f>
        <v>0</v>
      </c>
      <c r="BK31">
        <f t="shared" si="11"/>
        <v>1</v>
      </c>
      <c r="BL31">
        <f>IF(B31="","",IF(BC31&lt;&gt;"",IFERROR(_xlfn.XLOOKUP(BC31,Щиты[Щит],Щиты[Руст, кВт]),0),IF(BK31=1,IFERROR(_xlfn.XLOOKUP(A31,Щиты[Щит],Щиты[Руст, кВт]),0),IF(BJ31&gt;0,ROUND(BJ31*MAX(1,N(D31)),3),""))))</f>
        <v>1.9000000000000006</v>
      </c>
      <c r="BM31" t="str">
        <f t="shared" si="12"/>
        <v>кВт</v>
      </c>
      <c r="BN31" s="6">
        <f>IF(B31="","",IF(BC31&lt;&gt;"",IFERROR(_xlfn.XLOOKUP(BC31,Щиты[Щит],Щиты[Руст, кВт]),0),N(BM31)))</f>
        <v>0</v>
      </c>
      <c r="BO31" t="str">
        <f>IF(B31="","",IFERROR(IF(VLOOKUP(AX31,Потребители_обозначение,8,FALSE)=0,"",VLOOKUP(AX31,Потребители_обозначение,8,FALSE)),""))</f>
        <v/>
      </c>
      <c r="BP31">
        <f t="shared" si="13"/>
        <v>400</v>
      </c>
      <c r="BQ31">
        <f>IF(B31="","",IF(BC31&lt;&gt;"",3,IFERROR(IF(N(VLOOKUP(AX31,Потребители_обозначение,9,FALSE))=0,1,VLOOKUP(AX31,Потребители_обозначение,9,FALSE)),1)))</f>
        <v>1</v>
      </c>
      <c r="BR31">
        <f t="shared" si="14"/>
        <v>3</v>
      </c>
      <c r="BS31" t="str">
        <f>IF(B31="","",_xlfn.LET(_xlpm.bc,IFERROR(IF(VLOOKUP(AX31,Потребители_обозначение,6,FALSE)=0,"",VLOOKUP(AX31,Потребители_обозначение,6,FALSE)&amp;""),""),IF(AND(FK31="да",OR(_xlpm.bc="",_xlpm.bc="мс")),Марка_пож,IF(AND(_xlpm.bc="",BC31&lt;&gt;""),"мс",_xlpm.bc))))</f>
        <v/>
      </c>
      <c r="BT31" t="str">
        <f t="shared" si="15"/>
        <v>мс</v>
      </c>
      <c r="BU31">
        <f>IF(B31="","",_xlfn.LET(_xlpm.cc,IFERROR(N(VLOOKUP(AX31,Потребители_обозначение,7,FALSE)),0),IF(_xlpm.cc&gt;0,_xlpm.cc,IF(BT31="","",IF(N(BR31)=3,5,3)))))</f>
        <v>5</v>
      </c>
      <c r="BV31">
        <f t="shared" si="16"/>
        <v>5</v>
      </c>
      <c r="BW31">
        <f>IFERROR(N(VLOOKUP(AX31,Потребители_обозначение,10,FALSE)),0)</f>
        <v>0</v>
      </c>
      <c r="BX31">
        <f>IFERROR(VLOOKUP(AX31,Потребители_обозначение,5,FALSE),0)</f>
        <v>1</v>
      </c>
      <c r="BY31" s="6" cm="1">
        <f t="array" ref="BY31">IF(B31="","",IF(BC31&lt;&gt;"",IFERROR(_xlfn.XLOOKUP(BC31,Щиты[Щит],Щиты[cos φ]),0.95),IF(BK31=1,IFERROR(_xlfn.XLOOKUP(A31,Щиты[Щит],Щиты[cos φ]),0.95),IF(ISNUMBER(Z31),Z31,IFERROR(IF(BX31=2,_xlfn.IFS(BR31=3,VLOOKUP(BN31,Справочная_двигатели,8,FALSE),BR31=1,VLOOKUP(BN31,Справочная_двигатели,10,TRUE)),IF(AND(Методика="нормы 2026",EQ31="Сил"),0.8,0.95)),0.95)))))</f>
        <v>0.94999999999999951</v>
      </c>
      <c r="BZ31">
        <f t="shared" si="17"/>
        <v>0</v>
      </c>
      <c r="CA31">
        <f t="shared" si="18"/>
        <v>1</v>
      </c>
      <c r="CB31">
        <f t="shared" si="19"/>
        <v>0</v>
      </c>
      <c r="CC31">
        <f t="shared" si="20"/>
        <v>0</v>
      </c>
      <c r="CD31">
        <f t="shared" si="21"/>
        <v>0</v>
      </c>
      <c r="CE31">
        <f t="shared" si="22"/>
        <v>0</v>
      </c>
      <c r="CF31">
        <f t="shared" si="23"/>
        <v>0</v>
      </c>
      <c r="CG31">
        <f>IF(AX31="",0,_xlfn.LET(_xlpm.v,IFERROR(VLOOKUP(B31,УГО_спр,3,FALSE),IFERROR(VLOOKUP(AX31,УГО_спр,3,FALSE),IFERROR(VLOOKUP(LEFT(AX31,2),УГО_спр,3,FALSE),""))),IF(_xlpm.v="да",30,IF(ISNUMBER(_xlpm.v),_xlpm.v,0))))</f>
        <v>0</v>
      </c>
      <c r="CH31" t="str">
        <f t="shared" si="24"/>
        <v/>
      </c>
      <c r="CI31" t="str">
        <f>_xlfn.LET(_xlpm.k,IFERROR(_xlfn.XLOOKUP(AX31,Коды_код,Коды_утечка)&amp;"",""),IF(_xlpm.k="","дифавтомат",_xlpm.k))</f>
        <v>дифавтомат</v>
      </c>
      <c r="CJ31">
        <f t="shared" si="25"/>
        <v>0</v>
      </c>
      <c r="CK31">
        <f t="shared" si="26"/>
        <v>0</v>
      </c>
      <c r="CL31">
        <f>IF(B31="",0,IFERROR(--VLOOKUP(B31,УГО_спр,4,FALSE),IFERROR(--VLOOKUP(AX31,УГО_спр,4,FALSE),IFERROR(--VLOOKUP(LEFT(AX31,2),УГО_спр,4,FALSE),0))))</f>
        <v>0</v>
      </c>
      <c r="CM31" t="str">
        <f>IF(B31="","",IFERROR(_xlfn.XLOOKUP(AX31,Коды_код,Коды_апп)&amp;"",""))</f>
        <v/>
      </c>
      <c r="CN31" t="str">
        <f t="shared" si="27"/>
        <v/>
      </c>
      <c r="CO31" t="str" cm="1">
        <f t="array" ref="CO31">IF(TRIM(CN31&amp;"")="","",IFERROR(TRIM(INDEX(_xlfn.TEXTSPLIT(CN31&amp;";;;",";"),1)),""))</f>
        <v/>
      </c>
      <c r="CP31" t="str" cm="1">
        <f t="array" ref="CP31">IF(TRIM(CN31&amp;"")="","",IFERROR(TRIM(INDEX(_xlfn.TEXTSPLIT(CN31&amp;";;;",";"),2)),""))</f>
        <v/>
      </c>
      <c r="CQ31" t="str" cm="1">
        <f t="array" ref="CQ31">IF(TRIM(CN31&amp;"")="","",IFERROR(TRIM(INDEX(_xlfn.TEXTSPLIT(CN31&amp;";;;",";"),3)),""))</f>
        <v/>
      </c>
      <c r="CR31">
        <f t="shared" si="28"/>
        <v>0</v>
      </c>
      <c r="CS31" t="str">
        <f>IF(B31="","",_xlfn.LET(_xlpm.t,LOWER(AV31&amp;""),IF(ISNUMBER(SEARCH("dim",_xlpm.t)),"DIM",IF(ISNUMBER(SEARCH("dali",_xlpm.t)),"DALI",IF(OR(ISNUMBER(SEARCH("relay",_xlpm.t)),ISNUMBER(SEARCH("реле",_xlpm.t))),"Relay",IF(ISNUMBER(SEARCH("кнопк",_xlpm.t)),"",IFERROR(_xlfn.XLOOKUP(AX31,Коды_код,Коды_упр)&amp;"","")))))))</f>
        <v/>
      </c>
      <c r="CT31" t="str">
        <f t="shared" si="29"/>
        <v/>
      </c>
      <c r="CU31">
        <f>IF(B31="","",_xlfn.LET(_xlpm.ig,N(P31)+IF(AF31="вручную",0,N(CB31)),_xlpm.n0,IFERROR(VLOOKUP(_xlpm.ig,Автомат_номиналы,2,TRUE),0),_xlpm.mn,MAX(CL31,IF(AF31="вручную",0,N(CE31))),MAX(_xlpm.n0,_xlpm.mn,IF(CR31=1,Мин_автомат_БП,0))))</f>
        <v>6</v>
      </c>
      <c r="CV31">
        <f t="shared" si="30"/>
        <v>3</v>
      </c>
      <c r="CW31" t="str">
        <f t="shared" si="31"/>
        <v>3P</v>
      </c>
      <c r="CX31" t="str">
        <f>_xlfn.LET(_xlpm.cc,UPPER(TRIM(IFERROR(_xlfn.XLOOKUP(AX31,Коды_код,Коды_хар)&amp;"",""))),IF(OR(_xlpm.cc="B",_xlpm.cc="В"),"B",IF(_xlpm.cc="D","D","С")))</f>
        <v>С</v>
      </c>
      <c r="CY31" t="str">
        <f t="shared" si="32"/>
        <v>3P С6А</v>
      </c>
      <c r="CZ31">
        <f t="shared" si="33"/>
        <v>40</v>
      </c>
      <c r="DA31" t="str">
        <f t="shared" si="34"/>
        <v>3P С40А</v>
      </c>
      <c r="DB31" cm="1">
        <f t="array" ref="DB31">IF(DA31="","",_xlfn.LET(_xlpm.t,SUBSTITUTE(SUBSTITUTE(SUBSTITUTE(UPPER(DA31),"С","C"),"А","A"),"В","B"),_xlpm.tk,_xlfn.TEXTSPLIT(_xlpm.t,"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31" t="str">
        <f t="shared" si="35"/>
        <v>узел</v>
      </c>
      <c r="DD31">
        <f t="shared" si="36"/>
        <v>40</v>
      </c>
      <c r="DE31" t="str">
        <f t="shared" si="37"/>
        <v>3P С40А</v>
      </c>
      <c r="DF31">
        <f t="shared" si="38"/>
        <v>0</v>
      </c>
      <c r="DG31">
        <f t="shared" si="39"/>
        <v>0</v>
      </c>
      <c r="DH31">
        <f t="shared" si="40"/>
        <v>0</v>
      </c>
      <c r="DI31">
        <f t="shared" si="41"/>
        <v>2.5524959269436094</v>
      </c>
      <c r="DJ31">
        <f t="shared" si="42"/>
        <v>0.92</v>
      </c>
      <c r="DK31">
        <f>IF(ISNUMBER(AL31),AL31,К_прокл)</f>
        <v>1</v>
      </c>
      <c r="DL31">
        <f t="shared" si="43"/>
        <v>3</v>
      </c>
      <c r="DM31">
        <f>IFERROR(N(VLOOKUP(BT31,Кабель_обозначение,3,FALSE)),1)</f>
        <v>1</v>
      </c>
      <c r="DN31">
        <f>IFERROR(N(_xlfn.XLOOKUP(A31,Щиты[Щит],Щиты[ΔU до шин, %])),0)</f>
        <v>0.17</v>
      </c>
      <c r="DO31" t="str">
        <f>IFERROR(_xlfn.XLOOKUP(A31,Щиты[Щит],Щиты[Zпетли на шинах, Ом]),"")</f>
        <v/>
      </c>
      <c r="DP31">
        <f>IFERROR(N(_xlfn.XLOOKUP(A31,Щиты[Щит],Щиты[ΔU до шин (подбор), %])),0)</f>
        <v>0.65</v>
      </c>
      <c r="DQ31" t="str">
        <f>IFERROR(_xlfn.XLOOKUP(A31,Щиты[Щит],Щиты[Zпетли на шинах (подбор), Ом]),"")</f>
        <v/>
      </c>
      <c r="DR31" t="str">
        <f t="shared" si="44"/>
        <v/>
      </c>
      <c r="DS31" t="str">
        <f t="shared" si="45"/>
        <v/>
      </c>
      <c r="DT31">
        <f t="shared" si="46"/>
        <v>1</v>
      </c>
      <c r="DU31">
        <f t="shared" si="47"/>
        <v>0.31</v>
      </c>
      <c r="DV31" s="6">
        <f>IF(B31="","",IF(IFERROR(VLOOKUP(AX31,УГО_спр,2,FALSE),"")="Светильник",3,4)+IF(Методика="нормы 2026",MIN(0.5,MAX(0,N(Q31)-100)*0.005),0))</f>
        <v>4</v>
      </c>
      <c r="DW31" cm="1">
        <f t="array" ref="DW31">IF(OR(B31="",BT31="",DM31&lt;&gt;1),"",_xlfn.LET(_xlpm.sz,Iдоп_S,_xlpm.t_,CHOOSE(DL31,Iдоп_1ж,Iдоп_2ж,Iдоп_3ж)*DJ31*DK31,_xlpm.inn,N(DD31),_xlpm.smin,MAX(1.5,BW31),_xlpm.L_,N(Q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31)*(_xlpm.rho*_xlpm.L_/_xlpm.sz*N(BY31)+_xlpm.xx*_xlpm.L_*N(DU31)/1000)*N(P31)/((Uн_лин/SQRT(3))*1000)*100,999),_xlpm.kz,IF(OR(DG31=1,NOT(ISNUMBER(DQ31)),_xlpm.L_=0,_xlpm.inn=0),1,IFERROR(--(c_min*(Uн_лин*1000/SQRT(3))/(DQ31+2*ρкз_Cu*_xlpm.L_/_xlpm.sz)&gt;=GY31*_xlpm.inn),0)),_xlpm.ok,IFERROR((_xlpm.sz&gt;=_xlpm.smin)*(_xlpm.t_&gt;=_xlpm.inn)*IF(_xlpm.L_&gt;0,(_xlpm.du_+DP31&lt;=DV31+0.00001),1)*_xlpm.kz,0),_xlpm.r_,_xlfn._xlws.FILTER(_xlpm.sz,_xlpm.ok,"не подобрано"),INDEX(_xlpm.r_,1)))</f>
        <v>10</v>
      </c>
      <c r="DX31">
        <f t="shared" si="48"/>
        <v>10</v>
      </c>
      <c r="DY31" cm="1">
        <f t="array" ref="DY31">IF(OR(B31="",BT31="",DM31&lt;&gt;1),"",_xlfn.LET(_xlpm.sz,Iдоп_S,_xlpm.t_,CHOOSE(DL31,Iдоп_1ж,Iдоп_2ж,Iдоп_3ж)*DJ31*DK31,_xlpm.ok,IFERROR((_xlpm.sz&gt;=MAX(1.5,BW31))*(_xlpm.t_&gt;=N(DD31)),0),_xlpm.r_,_xlfn._xlws.FILTER(_xlpm.sz,_xlpm.ok,""),INDEX(_xlpm.r_,1)))</f>
        <v>10</v>
      </c>
      <c r="DZ31" s="6" cm="1">
        <f t="array" ref="DZ31">IFERROR(ROUNDUP(N(DT31)*(_xlfn.XLOOKUP(DY31,INDEX(Кабель_сопротивление,0,1),INDEX(Кабель_сопротивление,0,3))*N(Q31)/DY31*N(BY31)+_xlfn.XLOOKUP(DY31,INDEX(Кабель_сопротивление,0,1),INDEX(Кабель_сопротивление,0,2))*N(Q31)*N(DU31)/1000)*N(P31)/((Uн_лин/SQRT(3))*1000)*100,2),"")</f>
        <v>0</v>
      </c>
      <c r="EA31">
        <f>IFERROR(2*ρкз_Cu*N(Q31)/DY31,"")</f>
        <v>0</v>
      </c>
      <c r="EB31">
        <f>IFERROR(VLOOKUP(DX31,Кабель_сопротивление,3,FALSE),"")</f>
        <v>2.2499999999999999E-2</v>
      </c>
      <c r="EC31">
        <f>IFERROR(VLOOKUP(DX31,Кабель_сопротивление,2,FALSE),"")</f>
        <v>7.2999999999999995E-2</v>
      </c>
      <c r="ED31" t="str">
        <f t="shared" si="49"/>
        <v/>
      </c>
      <c r="EE31" t="str">
        <f t="shared" si="50"/>
        <v/>
      </c>
      <c r="EF31" t="str">
        <f t="shared" si="51"/>
        <v/>
      </c>
      <c r="EG31" s="6" t="str">
        <f>IFERROR(ROUNDUP(EF31/((Uн_лин/SQRT(3))*1000)*100,2),"")</f>
        <v/>
      </c>
      <c r="EH31" t="str">
        <f>IFERROR(VLOOKUP(BT31,Кабель_обозначение,2,FALSE),"")</f>
        <v>ВВГнг(А)-LS</v>
      </c>
      <c r="EI31" t="str">
        <f t="shared" si="52"/>
        <v>ВВГнг(А)-LS (5х10)</v>
      </c>
      <c r="EJ31" t="str">
        <f t="shared" si="53"/>
        <v/>
      </c>
      <c r="EK31" t="str">
        <f>IFERROR(2*ρкз_Cu*Q31/DX31,"")</f>
        <v/>
      </c>
      <c r="EL31">
        <f t="shared" si="54"/>
        <v>0</v>
      </c>
      <c r="EM31" s="6" t="str">
        <f>IFERROR(IF(OR(B31="",NOT(ISNUMBER(DX31)),N(Q31)=0),"",_xlfn.XLOOKUP(A31,Щиты[Щит],Щиты[Zпетли на шинах, Ом])+EK31),"")</f>
        <v/>
      </c>
      <c r="EN31" s="6" t="str">
        <f>IF(ISNUMBER(EM31),c_min*(Uн_лин*1000/SQRT(3))/EM31,"")</f>
        <v/>
      </c>
      <c r="EO31" s="6" t="str">
        <f>IFERROR(IF(OR(B31="",NOT(ISNUMBER(DX31))),"",1.05*(Uн_лин*1000/SQRT(3))/(_xlfn.XLOOKUP(A31,Щиты[Щит],Щиты[Zmax на шинах, Ом])+EL31)/1000),"")</f>
        <v/>
      </c>
      <c r="EP31" s="6" t="str">
        <f>IF(B31="","",IF(ISNUMBER(Y31),"Сил",IF(IFERROR(_xlfn.XLOOKUP(AX31,Коды_код,Коды_группа)&amp;"","")="","Быт",_xlfn.XLOOKUP(AX31,Коды_код,Коды_группа)&amp;"")))</f>
        <v>Быт</v>
      </c>
      <c r="EQ31" s="6" t="str">
        <f t="shared" si="55"/>
        <v>Нет</v>
      </c>
      <c r="ER31" s="6">
        <f>IF(EQ31="Щит","щит",IF(EQ31="","",IF(EQ31="Быт",IFERROR(_xlfn.XLOOKUP(A31,Щиты[Щит],Щиты[Кс быт]),1),IF(EQ31="Сил",IF(ISNUMBER(Y31),Y31,IF(Методика="нормы 2026",IFERROR(_xlfn.XLOOKUP(A31,Щиты[Щит],Щиты[Кс силовых (табл. 7.5)]),1),1)),IF(OR(EQ31="Пост",EQ31="Отоп"),1,IF(EQ31="ВНГ",0.7,0))))))</f>
        <v>0</v>
      </c>
      <c r="ES31">
        <f t="shared" si="56"/>
        <v>1</v>
      </c>
      <c r="ET31">
        <f t="shared" si="57"/>
        <v>0</v>
      </c>
      <c r="EU31">
        <f t="shared" si="58"/>
        <v>0</v>
      </c>
      <c r="EV31">
        <f t="shared" si="59"/>
        <v>0</v>
      </c>
      <c r="EW31">
        <f t="shared" si="60"/>
        <v>0</v>
      </c>
      <c r="EX31">
        <f t="shared" si="61"/>
        <v>0</v>
      </c>
      <c r="EY31">
        <f t="shared" si="62"/>
        <v>0</v>
      </c>
      <c r="EZ31">
        <f t="shared" si="63"/>
        <v>0</v>
      </c>
      <c r="FA31">
        <f t="shared" si="64"/>
        <v>0</v>
      </c>
      <c r="FB31">
        <f t="shared" si="65"/>
        <v>0</v>
      </c>
      <c r="FC31" t="str">
        <f t="shared" si="66"/>
        <v/>
      </c>
      <c r="FD31" t="str">
        <f>IF(B31="","",IF(CA31=0,IF(AW31=1,"",FF30),IF(OR(N(CV31)&gt;=3,N(BR31)&gt;=3),"L1,L2,L3",IFERROR(_xlfn.TEXTBEFORE(_xlfn.TEXTAFTER(_xlfn.XLOOKUP(A31,Щиты[Щит],Щиты[_фазы авто]),";"&amp;AW31&amp;":"),";"),"L1"))))</f>
        <v>L1,L2,L3</v>
      </c>
      <c r="FE31" t="str">
        <f t="shared" si="67"/>
        <v>L1,L2,L3</v>
      </c>
      <c r="FF31" t="str">
        <f t="shared" si="68"/>
        <v>L1,L2,L3</v>
      </c>
      <c r="FG31" cm="1">
        <f t="array" ref="FG31">IFERROR(IF(BX31=2,_xlfn.IFS(BR31=3,VLOOKUP(BN31,Справочная_двигатели,3,FALSE),BR31=1,VLOOKUP(BN31,Справочная_двигатели,5,TRUE)),0),0)</f>
        <v>0</v>
      </c>
      <c r="FH31">
        <f>IFERROR(IF(BX31=3,VLOOKUP(BN31,Справочная_ЛЭД,2,TRUE),0),0)</f>
        <v>0</v>
      </c>
      <c r="FI31" s="6">
        <f t="shared" si="69"/>
        <v>0</v>
      </c>
      <c r="FJ31" t="str" cm="1">
        <f t="array" ref="FJ31">IF(B31="","",IFERROR(INDEX({"I особая","I","II","III"},MATCH(TRIM(AC31&amp;""),{"I особая","I","II","III"},0)),"III"))</f>
        <v>III</v>
      </c>
      <c r="FK31" t="str">
        <f>IF(B31="","",IF(TRIM(AD31&amp;"")&lt;&gt;"",IF(LOWER(TRIM(AD31&amp;""))="да","да","нет"),IF(IFERROR(_xlfn.XLOOKUP(AX31,Коды_код,Коды_пожарная),"")="да","да","нет")))</f>
        <v>нет</v>
      </c>
      <c r="FL31" t="str">
        <f t="shared" si="70"/>
        <v/>
      </c>
      <c r="FM31" t="str">
        <f t="shared" si="71"/>
        <v>основная</v>
      </c>
      <c r="FN31">
        <f t="shared" si="72"/>
        <v>1</v>
      </c>
      <c r="FO31" t="str" cm="1">
        <f t="array" ref="FO31">IF(B31="","",_xlfn.LET(_xlpm.t,IFERROR(_xlfn.XLOOKUP(1,(Шины[Шина]=FM31)*(((Шины[Щит]=A31)+(Шины[Щит]=""))&gt;0),Шины[Тип]),"")&amp;"",IF(_xlpm.t&lt;&gt;"",_xlpm.t,IF(ISNUMBER(SEARCH("ИБП",FM31)),"ИБП",IF(ISNUMBER(SEARCH("ДГУ",FM31)),"ДГУ","Ввод "&amp;FN31)))))</f>
        <v>Ввод 1</v>
      </c>
      <c r="FP31" t="str">
        <f t="shared" si="73"/>
        <v>Ввод 1</v>
      </c>
      <c r="FQ31" t="str">
        <f>IF(B31="","",IF(OR(FO31="ИБП",FO31="ДГУ"),"I особая",IF(FO31="Одиночная","III",_xlfn.XLOOKUP(A31,Щиты[Щит],Щиты[Категория шины «Ввод»],"III"))))</f>
        <v>II</v>
      </c>
      <c r="FR31">
        <f>IF(B31="",0,IFERROR(MATCH(FJ31,{"III","II","I","I особая"},0),1))</f>
        <v>1</v>
      </c>
      <c r="FS31">
        <f t="shared" si="74"/>
        <v>1</v>
      </c>
      <c r="FT31" t="str">
        <f>IF(B31="","",IF(FR31&gt;IFERROR(MATCH(FQ31,{"III","II","I","I особая"},0),1),"НЕ ОБЕСПЕЧЕНА","ОК"))</f>
        <v>ОК</v>
      </c>
      <c r="FU31" t="str">
        <f>IF(A31="","",_xlfn.XLOOKUP(A31,Щиты[Щит],Щиты[Путь],""))</f>
        <v>|ГРЩ-ЖД|ЩГП|ЩО-001|</v>
      </c>
      <c r="FV31" t="str">
        <f>IF(B31="","",IF(AE31&lt;&gt;"",AE31,IF(IFERROR(_xlfn.XLOOKUP(AX31,Коды_код,Коды_вид)&amp;"","")="","Прочее",_xlfn.XLOOKUP(AX31,Коды_код,Коды_вид)&amp;"")))</f>
        <v>Прочее</v>
      </c>
      <c r="FW31">
        <f>IF(BH31="","",INT((BH31-1)/Столбцов_на_лист)+1)</f>
        <v>1</v>
      </c>
      <c r="FX31" t="str">
        <f t="shared" si="75"/>
        <v/>
      </c>
      <c r="FY31">
        <f t="shared" si="76"/>
        <v>0</v>
      </c>
      <c r="FZ31">
        <f t="shared" si="77"/>
        <v>2.5599999999999996</v>
      </c>
      <c r="GA31">
        <f t="shared" si="78"/>
        <v>3</v>
      </c>
      <c r="GB31">
        <f t="shared" si="79"/>
        <v>0</v>
      </c>
      <c r="GC31">
        <f t="shared" si="80"/>
        <v>0</v>
      </c>
      <c r="GD31" t="str">
        <f>IF(BH31="","",IF(AND(CA31=1,GC31=1),COUNTIFS(A$3:A31,A31,CA$3:CA31,1,GC$3:GC31,1),IF(OR(OR(AW31=1,A31&lt;&gt;A30),AF31="вручную",GC31=0),"",IF(AW31=1,"",GE30))))</f>
        <v/>
      </c>
      <c r="GE31" t="str">
        <f t="shared" si="81"/>
        <v/>
      </c>
      <c r="GF31">
        <f>IF(B31="","",IFERROR(LOOKUP(INDEX(CHOOSE(DL31,Iдоп_1ж,Iдоп_2ж,Iдоп_3ж),MATCH(DX31,Iдоп_S,0))*DJ31*DK31,{6,10,16,20,25,32,40,50,63,80,100,125,160,200,250,315,400,500,630}),""))</f>
        <v>50</v>
      </c>
      <c r="GG31" t="str">
        <f t="shared" si="82"/>
        <v/>
      </c>
      <c r="GH31" t="str">
        <f t="shared" si="83"/>
        <v/>
      </c>
      <c r="GI31" t="str">
        <f t="shared" si="84"/>
        <v/>
      </c>
      <c r="GJ31">
        <f t="shared" si="85"/>
        <v>0</v>
      </c>
      <c r="GK31" t="str">
        <f>IF(OR(AG31="",AG31="-"),"",IFERROR(VLOOKUP(AG31,Модули_спр,2,FALSE),"R"))</f>
        <v/>
      </c>
      <c r="GL31" t="str">
        <f>IF(GK31="","",GK31&amp;"."&amp;COUNTIFS(A$3:A31,A31,GK$3:GK31,GK31))</f>
        <v/>
      </c>
      <c r="GM31" t="str">
        <f t="shared" si="86"/>
        <v/>
      </c>
      <c r="GN31" t="str">
        <f t="shared" si="87"/>
        <v/>
      </c>
      <c r="GO31" t="str">
        <f t="shared" si="88"/>
        <v/>
      </c>
      <c r="GP31" t="str">
        <f t="shared" si="89"/>
        <v/>
      </c>
      <c r="GQ31">
        <f t="shared" si="90"/>
        <v>0</v>
      </c>
      <c r="GR31" t="str">
        <f>IF(GQ31=1,"XT"&amp;COUNTIFS(A$3:A31,A31,GQ$3:GQ31,1),"")</f>
        <v/>
      </c>
      <c r="GS31" t="str">
        <f t="shared" si="91"/>
        <v/>
      </c>
      <c r="GT31" t="str">
        <f t="shared" si="92"/>
        <v/>
      </c>
      <c r="GU31" t="str">
        <f t="shared" si="93"/>
        <v/>
      </c>
      <c r="GV31" t="str">
        <f t="shared" si="94"/>
        <v>ok</v>
      </c>
      <c r="GW31" t="str">
        <f>IF(OR(GO31="",GM31=""),"",IF(GO31&gt;IFERROR(VLOOKUP(GN31,Модули_спр,3,FALSE),99),"ЛИШНИЙ КАНАЛ",IF(AND(AH31&lt;&gt;"=",COUNTIFS(Линии[_модуль гр.],GM31,Линии[Канал (итог)],GO31,Линии[Канал],"&lt;&gt;=",Линии[Щит],A31)&gt;1),"ДУБЛЬ КАНАЛА","")))</f>
        <v/>
      </c>
      <c r="GX31" s="6" t="str">
        <f t="shared" si="95"/>
        <v/>
      </c>
      <c r="GY31">
        <f t="shared" si="96"/>
        <v>10</v>
      </c>
      <c r="GZ31" t="str">
        <f t="shared" si="97"/>
        <v/>
      </c>
      <c r="HA31" t="str">
        <f>IF(AND(B31="",GT31=""),"",_xlfn.TEXTJOIN("; ",TRUE,IF(AND(B31&lt;&gt;"",FE31=""),"нет фазы",""),IF(AND(B31&lt;&gt;"",N(FY31)=0,EQ31&lt;&gt;"Нет"),"нет мощности",""),IF(AND(GS31&lt;&gt;"",COUNTIFS(Линии[Щит],A31,Линии[Клемма (итог)],GS31)&gt;1),"дубль клеммы "&amp;GS31,""),IF(AND(GV31&lt;&gt;"",GV31&lt;&gt;"ok"),GV31,""),IF(GW31&lt;&gt;"",GW31,""),IF(AND(N(BV31)&gt;=4,N(BR31)=1),BV31&amp;" жил на 1 фазе",""),IF(AND(AX31="R",CA31=1,OR(N(CK31)=0,N(CK31)&gt;30)),"розетка без дифзащиты до 30 мА",""),IFERROR(IF(AND(ISNUMBER(R31),R31&gt;DV31),"потери "&amp;FIXED(R31,1)&amp;" % &gt; "&amp;DV31&amp;" %",""),""),IFERROR(IF(LEFT(GZ31,4)="мало","Iкз мало — отключение &gt; 0,4 с",""),""),IF(AND(B31&lt;&gt;"",BH31=""),"не на схеме",""),IF(AND(CA31=0,B31&lt;&gt;"",FE31&lt;&gt;"",IF(AW31=1,"",FF30)&lt;&gt;"",FE31&lt;&gt;IF(AW31=1,"",FF30)),"фаза не как у автомата группы ("&amp;IF(AW31=1,"",FF30)&amp;")","")))</f>
        <v/>
      </c>
      <c r="HB31" s="6" t="str">
        <f>IF(OR(CA31=0,DA31=""),"",_xlfn.LET(_xlpm.t,IFERROR(_xlfn.XLOOKUP(DA31,Каталог!$U$4:$U$500,Каталог!$G$4:$G$500),""),_xlpm.k,SEARCH("кА",_xlpm.t),IFERROR(--TRIM(RIGHT(SUBSTITUTE(MID(_xlpm.t,MAX(1,_xlpm.k-4),_xlpm.k-MAX(1,_xlpm.k-4))," ",REPT(" ",9)),5)),"")))</f>
        <v/>
      </c>
      <c r="HC31" t="str">
        <f>IF(OR(HB31="",CA31=0),"",IF(_xlfn.XLOOKUP(A31,Щиты[Щит],Щиты[Iкз max на шинах, кА],"")="","",IF(HB31&lt;_xlfn.XLOOKUP(A31,Щиты[Щит],Щиты[Iкз max на шинах, кА]),"Icu "&amp;HB31&amp;" кА &lt; Iкз max","ok")))</f>
        <v/>
      </c>
      <c r="HD31" t="str">
        <f t="shared" si="98"/>
        <v/>
      </c>
      <c r="HE31" t="str">
        <f t="shared" si="99"/>
        <v/>
      </c>
      <c r="HF31" t="str">
        <f t="shared" si="100"/>
        <v/>
      </c>
      <c r="HG31" t="str" cm="1">
        <f t="array" ref="HG31">IF(HF31="","",_xlfn.LET(_xlpm.nd,_xlfn.TEXTSPLIT(HF31,"|"),IF(COLUMNS(_xlpm.nd)&gt;1,A31&amp;"¦"&amp;INDEX(_xlpm.nd,1)&amp;"¦"&amp;INDEX(_xlpm.nd,2),"")))</f>
        <v/>
      </c>
      <c r="HH31" t="str">
        <f t="shared" si="101"/>
        <v/>
      </c>
      <c r="HI31" t="str" cm="1">
        <f t="array" ref="HI31">IF(HF31="","",_xlfn.LET(_xlpm.nd,_xlfn.TEXTSPLIT(HF31,"|"),IF(COLUMNS(_xlpm.nd)&gt;2,A31&amp;"¦"&amp;INDEX(_xlpm.nd,2)&amp;"¦"&amp;INDEX(_xlpm.nd,3),"")))</f>
        <v/>
      </c>
      <c r="HJ31" t="str">
        <f t="shared" si="102"/>
        <v/>
      </c>
      <c r="HK31" t="str" cm="1">
        <f t="array" ref="HK31">IF(HF31="","",_xlfn.LET(_xlpm.nd,_xlfn.TEXTSPLIT(HF31,"|"),IF(COLUMNS(_xlpm.nd)&gt;3,A31&amp;"¦"&amp;INDEX(_xlpm.nd,3)&amp;"¦"&amp;INDEX(_xlpm.nd,4),"")))</f>
        <v/>
      </c>
      <c r="HL31" t="str">
        <f t="shared" si="103"/>
        <v/>
      </c>
      <c r="HM31" t="str" cm="1">
        <f t="array" ref="HM31">IF(HF31="","",_xlfn.LET(_xlpm.nd,_xlfn.TEXTSPLIT(HF31,"|"),IF(COLUMNS(_xlpm.nd)&gt;4,A31&amp;"¦"&amp;INDEX(_xlpm.nd,4)&amp;"¦"&amp;INDEX(_xlpm.nd,5),"")))</f>
        <v/>
      </c>
      <c r="HN31" t="str">
        <f t="shared" si="104"/>
        <v/>
      </c>
      <c r="HO31" t="str" cm="1">
        <f t="array" ref="HO31">IF(HF31="","",_xlfn.LET(_xlpm.nd,_xlfn.TEXTSPLIT(HF31,"|"),IF(COLUMNS(_xlpm.nd)&gt;5,A31&amp;"¦"&amp;INDEX(_xlpm.nd,5)&amp;"¦"&amp;INDEX(_xlpm.nd,6),"")))</f>
        <v/>
      </c>
      <c r="HP31" t="str">
        <f t="shared" si="105"/>
        <v/>
      </c>
      <c r="HQ31" t="str" cm="1">
        <f t="array" ref="HQ31">IF(HF31="","",_xlfn.LET(_xlpm.nd,_xlfn.TEXTSPLIT(HF31,"|"),IF(COLUMNS(_xlpm.nd)&gt;6,A31&amp;"¦"&amp;INDEX(_xlpm.nd,6)&amp;"¦"&amp;INDEX(_xlpm.nd,7),"")))</f>
        <v/>
      </c>
      <c r="HR31" t="str">
        <f t="shared" si="106"/>
        <v/>
      </c>
      <c r="HS31" t="str">
        <f t="shared" si="107"/>
        <v/>
      </c>
      <c r="HT31" t="str">
        <f t="shared" si="108"/>
        <v/>
      </c>
      <c r="HU31">
        <f t="shared" si="109"/>
        <v>0</v>
      </c>
      <c r="HV31">
        <f t="shared" si="110"/>
        <v>0</v>
      </c>
      <c r="HW31" t="str">
        <f t="shared" si="111"/>
        <v/>
      </c>
      <c r="HX31" t="str">
        <f t="shared" si="112"/>
        <v/>
      </c>
      <c r="HY31" t="str">
        <f t="shared" si="113"/>
        <v/>
      </c>
      <c r="HZ31" t="str">
        <f t="shared" si="114"/>
        <v/>
      </c>
      <c r="IA31">
        <f>IF(B31="","",IFERROR(VLOOKUP(B31,УГО_спр,2,FALSE),IFERROR(VLOOKUP(AX31,УГО_спр,2,FALSE),IFERROR(VLOOKUP(LEFT(AX31,2),УГО_спр,2,FALSE),""))))</f>
        <v>0</v>
      </c>
      <c r="IB31" t="str">
        <f>IF(B31="","",IF(OR(IA31="",IA31=0),"BOX",IFERROR(IF(VLOOKUP(IA31,УГО_блоки,3,FALSE)&amp;""&lt;&gt;"",VLOOKUP(IA31,УГО_блоки,3,FALSE),VLOOKUP(IA31,УГО_блоки,2,FALSE)),IA31)))</f>
        <v>BOX</v>
      </c>
      <c r="IC31">
        <f t="shared" si="115"/>
        <v>1</v>
      </c>
      <c r="ID31" t="str">
        <f>IF(DA31="","",IF(COUNTIF(DA$3:DA31,DA31)=1,MAX(ID$2:ID30)+1,""))</f>
        <v/>
      </c>
      <c r="IE31" t="str">
        <f>IF(CO31="","",IF(COUNTIF(CO$3:CO31,CO31)+COUNTIF(CP$2:CP30,CO31)+COUNTIF(CQ$2:CQ30,CO31)=1,MAX(IE$2:IG30)+1,""))</f>
        <v/>
      </c>
      <c r="IF31" t="str">
        <f>IF(CP31="","",IF(COUNTIF(CO$3:CO31,CP31)+COUNTIF(CP$3:CP31,CP31)+COUNTIF(CQ$2:CQ30,CP31)=1,MAX(IE$2:IG30,IE31)+1,""))</f>
        <v/>
      </c>
      <c r="IG31" t="str">
        <f>IF(CQ31="","",IF(COUNTIF(CO$3:CO31,CQ31)+COUNTIF(CP$3:CP31,CQ31)+COUNTIF(CQ$3:CQ31,CQ31)=1,MAX(IE$2:IG30,IE31,IF31)+1,""))</f>
        <v/>
      </c>
      <c r="IH31" t="str">
        <f t="shared" si="116"/>
        <v/>
      </c>
      <c r="II31" t="str">
        <f>IF(IH31="","",IF(COUNTIF(IH$3:IH31,IH31)=1,MAX(II$2:II30)+1,""))</f>
        <v/>
      </c>
      <c r="IJ31" t="str">
        <f>IF(GL31="","",COUNTIF(GL$3:GL31,"?*"))</f>
        <v/>
      </c>
      <c r="IK31" t="str">
        <f>IF(OR(GL31="",GN31=""),"",IF(COUNTIFS(GL$3:GL31,"?*",GN$3:GN31,GN31)=1,MAX(IK$2:IK30)+1,""))</f>
        <v/>
      </c>
      <c r="IL31">
        <f t="shared" si="117"/>
        <v>0</v>
      </c>
      <c r="IM31">
        <f>IF(B31="","",COUNTIF(B$3:B31,"?*"))</f>
        <v>29</v>
      </c>
      <c r="IN31">
        <f>IF(GQ31&lt;&gt;1,0,_xlfn.LET(_xlpm.k,MAX(IFERROR(--VLOOKUP(B31,УГО_спр,5,FALSE),0),IFERROR(--VLOOKUP(AX31,УГО_спр,5,FALSE),0),IFERROR(--VLOOKUP(LEFT(AX31,2),УГО_спр,5,FALSE),0)),IF(_xlpm.k&gt;0,_xlpm.k,IF(IFERROR(--LEFT(SUBSTITUTE(IH31,"x","х"),FIND("х",SUBSTITUTE(IH31,"x","х"))-1),3)&gt;3,Каталог!$S$9,1))))</f>
        <v>0</v>
      </c>
      <c r="IO31">
        <f t="shared" si="118"/>
        <v>0</v>
      </c>
      <c r="IP31" t="str">
        <f t="shared" si="119"/>
        <v>авто</v>
      </c>
      <c r="IQ31" t="str">
        <f t="shared" si="120"/>
        <v/>
      </c>
      <c r="IR31">
        <f t="shared" si="121"/>
        <v>0</v>
      </c>
      <c r="IS31">
        <f t="shared" si="122"/>
        <v>1</v>
      </c>
    </row>
    <row r="32" spans="1:253" x14ac:dyDescent="0.3">
      <c r="A32" t="s">
        <v>1104</v>
      </c>
      <c r="B32" t="s">
        <v>1305</v>
      </c>
      <c r="C32" t="str">
        <f>Линии[[#This Row],[_авто наименование]]</f>
        <v>Осветительная группа, пом. 001T</v>
      </c>
      <c r="D32">
        <v>1</v>
      </c>
      <c r="E32">
        <v>0.1</v>
      </c>
      <c r="G32" t="str">
        <f>Линии[[#This Row],[_авто автомат]]</f>
        <v>1P С10А</v>
      </c>
      <c r="H32" t="str">
        <f>Линии[[#This Row],[_авто утечка]]</f>
        <v/>
      </c>
      <c r="I32" t="str">
        <f>Линии[[#This Row],[_авто управление]]</f>
        <v/>
      </c>
      <c r="J32" t="str">
        <f>Линии[[#This Row],[_авто аппараты]]</f>
        <v/>
      </c>
      <c r="K32">
        <v>1.5</v>
      </c>
      <c r="L32">
        <v>26</v>
      </c>
      <c r="M32" t="str">
        <f>Линии[[#This Row],[_авто фаза]]</f>
        <v>L1</v>
      </c>
      <c r="N32" t="str">
        <f>Линии[[#This Row],[_авто клемма]]</f>
        <v>XT1</v>
      </c>
      <c r="O32" t="str">
        <f t="shared" si="0"/>
        <v>не на схеме</v>
      </c>
      <c r="P32" s="6" cm="1">
        <f t="array" ref="P32">IF(B32="","",IF(BC32&lt;&gt;"",IFERROR(_xlfn.XLOOKUP(BC32,Щиты[Щит],Щиты[Iр, А]),""),IF(BK32=1,IFERROR(_xlfn.XLOOKUP(A32,Щиты[Щит],Щиты[Iр, А]),""),IFERROR(_xlfn.IFS(BR32=1,BN32/((Uн_лин/SQRT(3))*BY32),BR32=3,BN32/(SQRT(3)*Uн_лин*BY32)),""))))</f>
        <v>0.455802844097073</v>
      </c>
      <c r="Q32" s="7">
        <f>IF(B32="","",IFERROR(IF(VLOOKUP(AX32,Потребители_обозначение,4,FALSE)=1,VLOOKUP(AX32,Потребители_обозначение,3,FALSE)*(D32*2-1)+DS32+VLOOKUP(AZ32,Этаж_обозначение,3,FALSE)+VLOOKUP(AZ32,Этаж_обозначение,4,FALSE),VLOOKUP(AX32,Потребители_обозначение,3,FALSE)*(D32*2-1)+DS32),DS32))</f>
        <v>27</v>
      </c>
      <c r="R32" s="6">
        <f t="shared" si="1"/>
        <v>0.33</v>
      </c>
      <c r="S32" t="str">
        <f t="shared" si="2"/>
        <v>ВВГнг(А)-LS (3х1,5)</v>
      </c>
      <c r="T32" t="str">
        <f>IF(BH32="","",IF(BI32="вводной узел","узел ","")&amp;"л."&amp;(INT((BH32-1)/Столбцов_на_лист)+1)&amp;" / "&amp;(MOD(BH32-1,Столбцов_на_лист)+1))</f>
        <v/>
      </c>
      <c r="V32">
        <v>1</v>
      </c>
      <c r="W32">
        <v>230</v>
      </c>
      <c r="X32" t="s">
        <v>564</v>
      </c>
      <c r="AE32" t="s">
        <v>557</v>
      </c>
      <c r="AI32" t="s">
        <v>529</v>
      </c>
      <c r="AJ32" t="s">
        <v>11</v>
      </c>
      <c r="AK32">
        <v>3</v>
      </c>
      <c r="AM32">
        <v>9</v>
      </c>
      <c r="AN32">
        <v>0</v>
      </c>
      <c r="AO32">
        <v>34</v>
      </c>
      <c r="AW32" cm="1">
        <f t="array" ref="AW32">ROW()-ROW(Линии[#Headers])</f>
        <v>30</v>
      </c>
      <c r="AX32" s="6" t="str">
        <f t="shared" si="3"/>
        <v>L</v>
      </c>
      <c r="AY32" t="str">
        <f t="shared" si="4"/>
        <v>00.001T.1</v>
      </c>
      <c r="AZ32" t="str">
        <f t="shared" si="5"/>
        <v>00</v>
      </c>
      <c r="BA32" t="str">
        <f t="shared" si="6"/>
        <v>001T.1</v>
      </c>
      <c r="BB32" t="str">
        <f t="shared" si="7"/>
        <v>001T</v>
      </c>
      <c r="BC32" t="str">
        <f>IF(U32&lt;&gt;"",U32,IF(AND(B32&lt;&gt;"",B32&lt;&gt;A32,ISNUMBER(_xlfn.XMATCH(B32,Щиты[Щит]))),B32,""))</f>
        <v/>
      </c>
      <c r="BD32" t="str" cm="1">
        <f t="array" ref="BD32">IF(B32="","",IF(BC32&lt;&gt;"","Щит "&amp;BC32,_xlfn.LET(_xlpm.nm,IFERROR(_xlfn.XLOOKUP(AX32,Коды_код,Коды_имя)&amp;"",""),_xlpm.md,IFERROR(N(_xlfn.XLOOKUP(AX32,Коды_код,Коды_режим)),1),_xlpm.ex,IF(Имя_режим="по экспликации",IFERROR(_xlfn.XLOOKUP(AZ32&amp;"|"&amp;BB32,Экспликация[Этаж]&amp;"|"&amp;Экспликация[Помещение],Экспликация[Название])&amp;"",""),""),_xlpm.rm,IF(BB32="","",IF(_xlpm.ex&lt;&gt;"",". "&amp;_xlpm.ex&amp;IF(Имя_пом="нет"," ("&amp;BB32&amp;")"," (пом. "&amp;BB32&amp;")"),IF(Имя_пом="нет"," ",", пом. ")&amp;BB32)),IF(_xlpm.nm="","",IF(_xlpm.md=2,_xlpm.nm&amp;" шлейф "&amp;AZ32,_xlpm.nm&amp;_xlpm.rm)))))</f>
        <v>Осветительная группа, пом. 001T</v>
      </c>
      <c r="BE32" t="str">
        <f t="shared" si="8"/>
        <v>Осветительная группа, пом. 001T</v>
      </c>
      <c r="BF32">
        <f>IFERROR(_xlfn.XMATCH(A32,Щиты[Щит]),0)</f>
        <v>3</v>
      </c>
      <c r="BG32">
        <f>_xlfn.LET(_xlpm.k,IFERROR(_xlfn.XLOOKUP(A32,Щиты[Щит],Щиты[Листов под вводной узел]),""),IF(_xlpm.k="",1,N(_xlpm.k))*Столбцов_на_лист)</f>
        <v>17</v>
      </c>
      <c r="BH32" t="str">
        <f t="shared" si="9"/>
        <v/>
      </c>
      <c r="BI32" t="str">
        <f t="shared" si="10"/>
        <v/>
      </c>
      <c r="BJ32" s="6">
        <f>IFERROR(N(_xlfn.XLOOKUP(AX32,Коды_код,Коды_квт)),0)</f>
        <v>0</v>
      </c>
      <c r="BK32">
        <f t="shared" si="11"/>
        <v>0</v>
      </c>
      <c r="BL32" t="str">
        <f>IF(B32="","",IF(BC32&lt;&gt;"",IFERROR(_xlfn.XLOOKUP(BC32,Щиты[Щит],Щиты[Руст, кВт]),0),IF(BK32=1,IFERROR(_xlfn.XLOOKUP(A32,Щиты[Щит],Щиты[Руст, кВт]),0),IF(BJ32&gt;0,ROUND(BJ32*MAX(1,N(D32)),3),""))))</f>
        <v/>
      </c>
      <c r="BM32">
        <f t="shared" si="12"/>
        <v>0.1</v>
      </c>
      <c r="BN32" s="6">
        <f>IF(B32="","",IF(BC32&lt;&gt;"",IFERROR(_xlfn.XLOOKUP(BC32,Щиты[Щит],Щиты[Руст, кВт]),0),N(BM32)))</f>
        <v>0.1</v>
      </c>
      <c r="BO32" t="str">
        <f>IF(B32="","",IFERROR(IF(VLOOKUP(AX32,Потребители_обозначение,8,FALSE)=0,"",VLOOKUP(AX32,Потребители_обозначение,8,FALSE)),""))</f>
        <v/>
      </c>
      <c r="BP32">
        <f t="shared" si="13"/>
        <v>230</v>
      </c>
      <c r="BQ32">
        <f>IF(B32="","",IF(BC32&lt;&gt;"",3,IFERROR(IF(N(VLOOKUP(AX32,Потребители_обозначение,9,FALSE))=0,1,VLOOKUP(AX32,Потребители_обозначение,9,FALSE)),1)))</f>
        <v>1</v>
      </c>
      <c r="BR32">
        <f t="shared" si="14"/>
        <v>1</v>
      </c>
      <c r="BS32" t="str">
        <f>IF(B32="","",_xlfn.LET(_xlpm.bc,IFERROR(IF(VLOOKUP(AX32,Потребители_обозначение,6,FALSE)=0,"",VLOOKUP(AX32,Потребители_обозначение,6,FALSE)&amp;""),""),IF(AND(FK32="да",OR(_xlpm.bc="",_xlpm.bc="мс")),Марка_пож,IF(AND(_xlpm.bc="",BC32&lt;&gt;""),"мс",_xlpm.bc))))</f>
        <v/>
      </c>
      <c r="BT32" t="str">
        <f t="shared" si="15"/>
        <v>мс</v>
      </c>
      <c r="BU32">
        <f>IF(B32="","",_xlfn.LET(_xlpm.cc,IFERROR(N(VLOOKUP(AX32,Потребители_обозначение,7,FALSE)),0),IF(_xlpm.cc&gt;0,_xlpm.cc,IF(BT32="","",IF(N(BR32)=3,5,3)))))</f>
        <v>3</v>
      </c>
      <c r="BV32">
        <f t="shared" si="16"/>
        <v>3</v>
      </c>
      <c r="BW32">
        <f>IFERROR(N(VLOOKUP(AX32,Потребители_обозначение,10,FALSE)),0)</f>
        <v>0</v>
      </c>
      <c r="BX32">
        <f>IFERROR(VLOOKUP(AX32,Потребители_обозначение,5,FALSE),0)</f>
        <v>3</v>
      </c>
      <c r="BY32" s="6" cm="1">
        <f t="array" ref="BY32">IF(B32="","",IF(BC32&lt;&gt;"",IFERROR(_xlfn.XLOOKUP(BC32,Щиты[Щит],Щиты[cos φ]),0.95),IF(BK32=1,IFERROR(_xlfn.XLOOKUP(A32,Щиты[Щит],Щиты[cos φ]),0.95),IF(ISNUMBER(Z32),Z32,IFERROR(IF(BX32=2,_xlfn.IFS(BR32=3,VLOOKUP(BN32,Справочная_двигатели,8,FALSE),BR32=1,VLOOKUP(BN32,Справочная_двигатели,10,TRUE)),IF(AND(Методика="нормы 2026",EQ32="Сил"),0.8,0.95)),0.95)))))</f>
        <v>0.95</v>
      </c>
      <c r="BZ32">
        <f t="shared" si="17"/>
        <v>0</v>
      </c>
      <c r="CA32">
        <f t="shared" si="18"/>
        <v>1</v>
      </c>
      <c r="CB32">
        <f t="shared" si="19"/>
        <v>0</v>
      </c>
      <c r="CC32">
        <f t="shared" si="20"/>
        <v>0</v>
      </c>
      <c r="CD32">
        <f t="shared" si="21"/>
        <v>0</v>
      </c>
      <c r="CE32">
        <f t="shared" si="22"/>
        <v>0</v>
      </c>
      <c r="CF32">
        <f t="shared" si="23"/>
        <v>0</v>
      </c>
      <c r="CG32">
        <f>IF(AX32="",0,_xlfn.LET(_xlpm.v,IFERROR(VLOOKUP(B32,УГО_спр,3,FALSE),IFERROR(VLOOKUP(AX32,УГО_спр,3,FALSE),IFERROR(VLOOKUP(LEFT(AX32,2),УГО_спр,3,FALSE),""))),IF(_xlpm.v="да",30,IF(ISNUMBER(_xlpm.v),_xlpm.v,0))))</f>
        <v>0</v>
      </c>
      <c r="CH32" t="str">
        <f t="shared" si="24"/>
        <v/>
      </c>
      <c r="CI32" t="str">
        <f>_xlfn.LET(_xlpm.k,IFERROR(_xlfn.XLOOKUP(AX32,Коды_код,Коды_утечка)&amp;"",""),IF(_xlpm.k="","дифавтомат",_xlpm.k))</f>
        <v>дифавтомат</v>
      </c>
      <c r="CJ32">
        <f t="shared" si="25"/>
        <v>0</v>
      </c>
      <c r="CK32">
        <f t="shared" si="26"/>
        <v>0</v>
      </c>
      <c r="CL32">
        <f>IF(B32="",0,IFERROR(--VLOOKUP(B32,УГО_спр,4,FALSE),IFERROR(--VLOOKUP(AX32,УГО_спр,4,FALSE),IFERROR(--VLOOKUP(LEFT(AX32,2),УГО_спр,4,FALSE),0))))</f>
        <v>10</v>
      </c>
      <c r="CM32" t="str">
        <f>IF(B32="","",IFERROR(_xlfn.XLOOKUP(AX32,Коды_код,Коды_апп)&amp;"",""))</f>
        <v/>
      </c>
      <c r="CN32" t="str">
        <f t="shared" si="27"/>
        <v/>
      </c>
      <c r="CO32" t="str" cm="1">
        <f t="array" ref="CO32">IF(TRIM(CN32&amp;"")="","",IFERROR(TRIM(INDEX(_xlfn.TEXTSPLIT(CN32&amp;";;;",";"),1)),""))</f>
        <v/>
      </c>
      <c r="CP32" t="str" cm="1">
        <f t="array" ref="CP32">IF(TRIM(CN32&amp;"")="","",IFERROR(TRIM(INDEX(_xlfn.TEXTSPLIT(CN32&amp;";;;",";"),2)),""))</f>
        <v/>
      </c>
      <c r="CQ32" t="str" cm="1">
        <f t="array" ref="CQ32">IF(TRIM(CN32&amp;"")="","",IFERROR(TRIM(INDEX(_xlfn.TEXTSPLIT(CN32&amp;";;;",";"),3)),""))</f>
        <v/>
      </c>
      <c r="CR32">
        <f t="shared" si="28"/>
        <v>0</v>
      </c>
      <c r="CS32" t="str">
        <f>IF(B32="","",_xlfn.LET(_xlpm.t,LOWER(AV32&amp;""),IF(ISNUMBER(SEARCH("dim",_xlpm.t)),"DIM",IF(ISNUMBER(SEARCH("dali",_xlpm.t)),"DALI",IF(OR(ISNUMBER(SEARCH("relay",_xlpm.t)),ISNUMBER(SEARCH("реле",_xlpm.t))),"Relay",IF(ISNUMBER(SEARCH("кнопк",_xlpm.t)),"",IFERROR(_xlfn.XLOOKUP(AX32,Коды_код,Коды_упр)&amp;"","")))))))</f>
        <v/>
      </c>
      <c r="CT32" t="str">
        <f t="shared" si="29"/>
        <v/>
      </c>
      <c r="CU32">
        <f>IF(B32="","",_xlfn.LET(_xlpm.ig,N(P32)+IF(AF32="вручную",0,N(CB32)),_xlpm.n0,IFERROR(VLOOKUP(_xlpm.ig,Автомат_номиналы,2,TRUE),0),_xlpm.mn,MAX(CL32,IF(AF32="вручную",0,N(CE32))),MAX(_xlpm.n0,_xlpm.mn,IF(CR32=1,Мин_автомат_БП,0))))</f>
        <v>10</v>
      </c>
      <c r="CV32">
        <f t="shared" si="30"/>
        <v>1</v>
      </c>
      <c r="CW32" t="str">
        <f t="shared" si="31"/>
        <v>1P</v>
      </c>
      <c r="CX32" t="str">
        <f>_xlfn.LET(_xlpm.cc,UPPER(TRIM(IFERROR(_xlfn.XLOOKUP(AX32,Коды_код,Коды_хар)&amp;"",""))),IF(OR(_xlpm.cc="B",_xlpm.cc="В"),"B",IF(_xlpm.cc="D","D","С")))</f>
        <v>С</v>
      </c>
      <c r="CY32" t="str">
        <f t="shared" si="32"/>
        <v>1P С10А</v>
      </c>
      <c r="CZ32" t="str">
        <f t="shared" si="33"/>
        <v>1P С10А</v>
      </c>
      <c r="DA32" t="str">
        <f t="shared" si="34"/>
        <v>1P С10А</v>
      </c>
      <c r="DB32" cm="1">
        <f t="array" ref="DB32">IF(DA32="","",_xlfn.LET(_xlpm.t,SUBSTITUTE(SUBSTITUTE(SUBSTITUTE(UPPER(DA32),"С","C"),"А","A"),"В","B"),_xlpm.tk,_xlfn.TEXTSPLIT(_xlpm.t,"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2" t="str">
        <f t="shared" si="35"/>
        <v>ok</v>
      </c>
      <c r="DD32">
        <f t="shared" si="36"/>
        <v>10</v>
      </c>
      <c r="DE32" t="str">
        <f t="shared" si="37"/>
        <v>1P С10А</v>
      </c>
      <c r="DF32">
        <f t="shared" si="38"/>
        <v>0</v>
      </c>
      <c r="DG32">
        <f t="shared" si="39"/>
        <v>0</v>
      </c>
      <c r="DH32">
        <f t="shared" si="40"/>
        <v>0</v>
      </c>
      <c r="DI32">
        <f t="shared" si="41"/>
        <v>0.455802844097073</v>
      </c>
      <c r="DJ32">
        <f t="shared" si="42"/>
        <v>1</v>
      </c>
      <c r="DK32">
        <f>IF(ISNUMBER(AL32),AL32,К_прокл)</f>
        <v>1</v>
      </c>
      <c r="DL32">
        <f t="shared" si="43"/>
        <v>2</v>
      </c>
      <c r="DM32">
        <f>IFERROR(N(VLOOKUP(BT32,Кабель_обозначение,3,FALSE)),1)</f>
        <v>1</v>
      </c>
      <c r="DN32">
        <f>IFERROR(N(_xlfn.XLOOKUP(A32,Щиты[Щит],Щиты[ΔU до шин, %])),0)</f>
        <v>0.17</v>
      </c>
      <c r="DO32" t="str">
        <f>IFERROR(_xlfn.XLOOKUP(A32,Щиты[Щит],Щиты[Zпетли на шинах, Ом]),"")</f>
        <v/>
      </c>
      <c r="DP32">
        <f>IFERROR(N(_xlfn.XLOOKUP(A32,Щиты[Щит],Щиты[ΔU до шин (подбор), %])),0)</f>
        <v>0.65</v>
      </c>
      <c r="DQ32" t="str">
        <f>IFERROR(_xlfn.XLOOKUP(A32,Щиты[Щит],Щиты[Zпетли на шинах (подбор), Ом]),"")</f>
        <v/>
      </c>
      <c r="DR32" t="str">
        <f t="shared" si="44"/>
        <v/>
      </c>
      <c r="DS32">
        <f t="shared" si="45"/>
        <v>26</v>
      </c>
      <c r="DT32">
        <f t="shared" si="46"/>
        <v>2</v>
      </c>
      <c r="DU32">
        <f t="shared" si="47"/>
        <v>0.31</v>
      </c>
      <c r="DV32" s="6">
        <f>IF(B32="","",IF(IFERROR(VLOOKUP(AX32,УГО_спр,2,FALSE),"")="Светильник",3,4)+IF(Методика="нормы 2026",MIN(0.5,MAX(0,N(Q32)-100)*0.005),0))</f>
        <v>3</v>
      </c>
      <c r="DW32" cm="1">
        <f t="array" ref="DW32">IF(OR(B32="",BT32="",DM32&lt;&gt;1),"",_xlfn.LET(_xlpm.sz,Iдоп_S,_xlpm.t_,CHOOSE(DL32,Iдоп_1ж,Iдоп_2ж,Iдоп_3ж)*DJ32*DK32,_xlpm.inn,N(DD32),_xlpm.smin,MAX(1.5,BW32),_xlpm.L_,N(Q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32)*(_xlpm.rho*_xlpm.L_/_xlpm.sz*N(BY32)+_xlpm.xx*_xlpm.L_*N(DU32)/1000)*N(P32)/((Uн_лин/SQRT(3))*1000)*100,999),_xlpm.kz,IF(OR(DG32=1,NOT(ISNUMBER(DQ32)),_xlpm.L_=0,_xlpm.inn=0),1,IFERROR(--(c_min*(Uн_лин*1000/SQRT(3))/(DQ32+2*ρкз_Cu*_xlpm.L_/_xlpm.sz)&gt;=GY32*_xlpm.inn),0)),_xlpm.ok,IFERROR((_xlpm.sz&gt;=_xlpm.smin)*(_xlpm.t_&gt;=_xlpm.inn)*IF(_xlpm.L_&gt;0,(_xlpm.du_+DP32&lt;=DV32+0.00001),1)*_xlpm.kz,0),_xlpm.r_,_xlfn._xlws.FILTER(_xlpm.sz,_xlpm.ok,"не подобрано"),INDEX(_xlpm.r_,1)))</f>
        <v>1.5</v>
      </c>
      <c r="DX32">
        <f t="shared" si="48"/>
        <v>1.5</v>
      </c>
      <c r="DY32" cm="1">
        <f t="array" ref="DY32">IF(OR(B32="",BT32="",DM32&lt;&gt;1),"",_xlfn.LET(_xlpm.sz,Iдоп_S,_xlpm.t_,CHOOSE(DL32,Iдоп_1ж,Iдоп_2ж,Iдоп_3ж)*DJ32*DK32,_xlpm.ok,IFERROR((_xlpm.sz&gt;=MAX(1.5,BW32))*(_xlpm.t_&gt;=N(DD32)),0),_xlpm.r_,_xlfn._xlws.FILTER(_xlpm.sz,_xlpm.ok,""),INDEX(_xlpm.r_,1)))</f>
        <v>1.5</v>
      </c>
      <c r="DZ32" s="6" cm="1">
        <f t="array" ref="DZ32">IFERROR(ROUNDUP(N(DT32)*(_xlfn.XLOOKUP(DY32,INDEX(Кабель_сопротивление,0,1),INDEX(Кабель_сопротивление,0,3))*N(Q32)/DY32*N(BY32)+_xlfn.XLOOKUP(DY32,INDEX(Кабель_сопротивление,0,1),INDEX(Кабель_сопротивление,0,2))*N(Q32)*N(DU32)/1000)*N(P32)/((Uн_лин/SQRT(3))*1000)*100,2),"")</f>
        <v>0.16</v>
      </c>
      <c r="EA32">
        <f>IFERROR(2*ρкз_Cu*N(Q32)/DY32,"")</f>
        <v>0.94680000000000009</v>
      </c>
      <c r="EB32">
        <f>IFERROR(VLOOKUP(DX32,Кабель_сопротивление,3,FALSE),"")</f>
        <v>2.2499999999999999E-2</v>
      </c>
      <c r="EC32">
        <f>IFERROR(VLOOKUP(DX32,Кабель_сопротивление,2,FALSE),"")</f>
        <v>0.11</v>
      </c>
      <c r="ED32">
        <f t="shared" si="49"/>
        <v>0</v>
      </c>
      <c r="EE32">
        <f t="shared" si="50"/>
        <v>34</v>
      </c>
      <c r="EF32">
        <f t="shared" si="51"/>
        <v>0.35157960388981802</v>
      </c>
      <c r="EG32" s="6">
        <f>IFERROR(ROUNDUP(EF32/((Uн_лин/SQRT(3))*1000)*100,2),"")</f>
        <v>0.16</v>
      </c>
      <c r="EH32" t="str">
        <f>IFERROR(VLOOKUP(BT32,Кабель_обозначение,2,FALSE),"")</f>
        <v>ВВГнг(А)-LS</v>
      </c>
      <c r="EI32" t="str">
        <f t="shared" si="52"/>
        <v>ВВГнг(А)-LS (3х1,5)</v>
      </c>
      <c r="EJ32" t="str">
        <f t="shared" si="53"/>
        <v>ВВГнг(А)-LS (3х1,5)
L=27-0,16%</v>
      </c>
      <c r="EK32">
        <f>IFERROR(2*ρкз_Cu*Q32/DX32,"")</f>
        <v>0.94680000000000009</v>
      </c>
      <c r="EL32">
        <f t="shared" si="54"/>
        <v>0.315</v>
      </c>
      <c r="EM32" s="6" t="str">
        <f>IFERROR(IF(OR(B32="",NOT(ISNUMBER(DX32)),N(Q32)=0),"",_xlfn.XLOOKUP(A32,Щиты[Щит],Щиты[Zпетли на шинах, Ом])+EK32),"")</f>
        <v/>
      </c>
      <c r="EN32" s="6" t="str">
        <f>IF(ISNUMBER(EM32),c_min*(Uн_лин*1000/SQRT(3))/EM32,"")</f>
        <v/>
      </c>
      <c r="EO32" s="6" t="str">
        <f>IFERROR(IF(OR(B32="",NOT(ISNUMBER(DX32))),"",1.05*(Uн_лин*1000/SQRT(3))/(_xlfn.XLOOKUP(A32,Щиты[Щит],Щиты[Zmax на шинах, Ом])+EL32)/1000),"")</f>
        <v/>
      </c>
      <c r="EP32" s="6" t="str">
        <f>IF(B32="","",IF(ISNUMBER(Y32),"Сил",IF(IFERROR(_xlfn.XLOOKUP(AX32,Коды_код,Коды_группа)&amp;"","")="","Быт",_xlfn.XLOOKUP(AX32,Коды_код,Коды_группа)&amp;"")))</f>
        <v>Быт</v>
      </c>
      <c r="EQ32" s="6" t="str">
        <f t="shared" si="55"/>
        <v>Быт</v>
      </c>
      <c r="ER32" s="6">
        <f>IF(EQ32="Щит","щит",IF(EQ32="","",IF(EQ32="Быт",IFERROR(_xlfn.XLOOKUP(A32,Щиты[Щит],Щиты[Кс быт]),1),IF(EQ32="Сил",IF(ISNUMBER(Y32),Y32,IF(Методика="нормы 2026",IFERROR(_xlfn.XLOOKUP(A32,Щиты[Щит],Щиты[Кс силовых (табл. 7.5)]),1),1)),IF(OR(EQ32="Пост",EQ32="Отоп"),1,IF(EQ32="ВНГ",0.7,0))))))</f>
        <v>0.8</v>
      </c>
      <c r="ES32">
        <f t="shared" si="56"/>
        <v>1</v>
      </c>
      <c r="ET32">
        <f t="shared" si="57"/>
        <v>0.1</v>
      </c>
      <c r="EU32">
        <f t="shared" si="58"/>
        <v>0.1</v>
      </c>
      <c r="EV32">
        <f t="shared" si="59"/>
        <v>0</v>
      </c>
      <c r="EW32">
        <f t="shared" si="60"/>
        <v>0</v>
      </c>
      <c r="EX32">
        <f t="shared" si="61"/>
        <v>0</v>
      </c>
      <c r="EY32">
        <f t="shared" si="62"/>
        <v>0</v>
      </c>
      <c r="EZ32">
        <f t="shared" si="63"/>
        <v>0.1</v>
      </c>
      <c r="FA32">
        <f t="shared" si="64"/>
        <v>9.5000000000000001E-2</v>
      </c>
      <c r="FB32">
        <f t="shared" si="65"/>
        <v>0.1</v>
      </c>
      <c r="FC32" t="str">
        <f t="shared" si="66"/>
        <v/>
      </c>
      <c r="FD32" t="str">
        <f>IF(B32="","",IF(CA32=0,IF(AW32=1,"",FF31),IF(OR(N(CV32)&gt;=3,N(BR32)&gt;=3),"L1,L2,L3",IFERROR(_xlfn.TEXTBEFORE(_xlfn.TEXTAFTER(_xlfn.XLOOKUP(A32,Щиты[Щит],Щиты[_фазы авто]),";"&amp;AW32&amp;":"),";"),"L1"))))</f>
        <v>L1</v>
      </c>
      <c r="FE32" t="str">
        <f t="shared" si="67"/>
        <v>L1</v>
      </c>
      <c r="FF32" t="str">
        <f t="shared" si="68"/>
        <v>L1</v>
      </c>
      <c r="FG32" cm="1">
        <f t="array" ref="FG32">IFERROR(IF(BX32=2,_xlfn.IFS(BR32=3,VLOOKUP(BN32,Справочная_двигатели,3,FALSE),BR32=1,VLOOKUP(BN32,Справочная_двигатели,5,TRUE)),0),0)</f>
        <v>0</v>
      </c>
      <c r="FH32">
        <f>IFERROR(IF(BX32=3,VLOOKUP(BN32,Справочная_ЛЭД,2,TRUE),0),0)</f>
        <v>50</v>
      </c>
      <c r="FI32" s="6">
        <f t="shared" si="69"/>
        <v>50</v>
      </c>
      <c r="FJ32" t="str" cm="1">
        <f t="array" ref="FJ32">IF(B32="","",IFERROR(INDEX({"I особая","I","II","III"},MATCH(TRIM(AC32&amp;""),{"I особая","I","II","III"},0)),"III"))</f>
        <v>III</v>
      </c>
      <c r="FK32" t="str">
        <f>IF(B32="","",IF(TRIM(AD32&amp;"")&lt;&gt;"",IF(LOWER(TRIM(AD32&amp;""))="да","да","нет"),IF(IFERROR(_xlfn.XLOOKUP(AX32,Коды_код,Коды_пожарная),"")="да","да","нет")))</f>
        <v>нет</v>
      </c>
      <c r="FL32" t="str">
        <f t="shared" si="70"/>
        <v/>
      </c>
      <c r="FM32" t="str">
        <f t="shared" si="71"/>
        <v>основная</v>
      </c>
      <c r="FN32">
        <f t="shared" si="72"/>
        <v>1</v>
      </c>
      <c r="FO32" t="str" cm="1">
        <f t="array" ref="FO32">IF(B32="","",_xlfn.LET(_xlpm.t,IFERROR(_xlfn.XLOOKUP(1,(Шины[Шина]=FM32)*(((Шины[Щит]=A32)+(Шины[Щит]=""))&gt;0),Шины[Тип]),"")&amp;"",IF(_xlpm.t&lt;&gt;"",_xlpm.t,IF(ISNUMBER(SEARCH("ИБП",FM32)),"ИБП",IF(ISNUMBER(SEARCH("ДГУ",FM32)),"ДГУ","Ввод "&amp;FN32)))))</f>
        <v>Ввод 1</v>
      </c>
      <c r="FP32" t="str">
        <f t="shared" si="73"/>
        <v>Ввод 1</v>
      </c>
      <c r="FQ32" t="str">
        <f>IF(B32="","",IF(OR(FO32="ИБП",FO32="ДГУ"),"I особая",IF(FO32="Одиночная","III",_xlfn.XLOOKUP(A32,Щиты[Щит],Щиты[Категория шины «Ввод»],"III"))))</f>
        <v>II</v>
      </c>
      <c r="FR32">
        <f>IF(B32="",0,IFERROR(MATCH(FJ32,{"III","II","I","I особая"},0),1))</f>
        <v>1</v>
      </c>
      <c r="FS32">
        <f t="shared" si="74"/>
        <v>1</v>
      </c>
      <c r="FT32" t="str">
        <f>IF(B32="","",IF(FR32&gt;IFERROR(MATCH(FQ32,{"III","II","I","I особая"},0),1),"НЕ ОБЕСПЕЧЕНА","ОК"))</f>
        <v>ОК</v>
      </c>
      <c r="FU32" t="str">
        <f>IF(A32="","",_xlfn.XLOOKUP(A32,Щиты[Щит],Щиты[Путь],""))</f>
        <v>|ГРЩ-ЖД|ЩГП|ЩО-001|</v>
      </c>
      <c r="FV32" t="str">
        <f>IF(B32="","",IF(AE32&lt;&gt;"",AE32,IF(IFERROR(_xlfn.XLOOKUP(AX32,Коды_код,Коды_вид)&amp;"","")="","Прочее",_xlfn.XLOOKUP(AX32,Коды_код,Коды_вид)&amp;"")))</f>
        <v>Рабочее освещение</v>
      </c>
      <c r="FW32" t="str">
        <f>IF(BH32="","",INT((BH32-1)/Столбцов_на_лист)+1)</f>
        <v/>
      </c>
      <c r="FX32" t="str">
        <f t="shared" si="75"/>
        <v>ВВГнг(А)-LS (3х1,5) L=27-0,16%</v>
      </c>
      <c r="FY32">
        <f t="shared" si="76"/>
        <v>0.1</v>
      </c>
      <c r="FZ32">
        <f t="shared" si="77"/>
        <v>0.46</v>
      </c>
      <c r="GA32">
        <f t="shared" si="78"/>
        <v>1</v>
      </c>
      <c r="GB32">
        <f t="shared" si="79"/>
        <v>0</v>
      </c>
      <c r="GC32">
        <f t="shared" si="80"/>
        <v>0</v>
      </c>
      <c r="GD32" t="str">
        <f>IF(BH32="","",IF(AND(CA32=1,GC32=1),COUNTIFS(A$3:A32,A32,CA$3:CA32,1,GC$3:GC32,1),IF(OR(OR(AW32=1,A32&lt;&gt;A31),AF32="вручную",GC32=0),"",IF(AW32=1,"",GE31))))</f>
        <v/>
      </c>
      <c r="GE32" t="str">
        <f t="shared" si="81"/>
        <v/>
      </c>
      <c r="GF32">
        <f>IF(B32="","",IFERROR(LOOKUP(INDEX(CHOOSE(DL32,Iдоп_1ж,Iдоп_2ж,Iдоп_3ж),MATCH(DX32,Iдоп_S,0))*DJ32*DK32,{6,10,16,20,25,32,40,50,63,80,100,125,160,200,250,315,400,500,630}),""))</f>
        <v>16</v>
      </c>
      <c r="GG32" t="str">
        <f t="shared" si="82"/>
        <v/>
      </c>
      <c r="GH32" t="str">
        <f t="shared" si="83"/>
        <v/>
      </c>
      <c r="GI32" t="str">
        <f t="shared" si="84"/>
        <v/>
      </c>
      <c r="GJ32">
        <f t="shared" si="85"/>
        <v>0</v>
      </c>
      <c r="GK32" t="str">
        <f>IF(OR(AG32="",AG32="-"),"",IFERROR(VLOOKUP(AG32,Модули_спр,2,FALSE),"R"))</f>
        <v/>
      </c>
      <c r="GL32" t="str">
        <f>IF(GK32="","",GK32&amp;"."&amp;COUNTIFS(A$3:A32,A32,GK$3:GK32,GK32))</f>
        <v/>
      </c>
      <c r="GM32" t="str">
        <f t="shared" si="86"/>
        <v/>
      </c>
      <c r="GN32" t="str">
        <f t="shared" si="87"/>
        <v/>
      </c>
      <c r="GO32" t="str">
        <f t="shared" si="88"/>
        <v/>
      </c>
      <c r="GP32" t="str">
        <f t="shared" si="89"/>
        <v/>
      </c>
      <c r="GQ32">
        <f t="shared" si="90"/>
        <v>1</v>
      </c>
      <c r="GR32" t="str">
        <f>IF(GQ32=1,"XT"&amp;COUNTIFS(A$3:A32,A32,GQ$3:GQ32,1),"")</f>
        <v>XT1</v>
      </c>
      <c r="GS32" t="str">
        <f t="shared" si="91"/>
        <v>XT1</v>
      </c>
      <c r="GT32" t="str">
        <f t="shared" si="92"/>
        <v/>
      </c>
      <c r="GU32" t="str">
        <f t="shared" si="93"/>
        <v/>
      </c>
      <c r="GV32" t="str">
        <f t="shared" si="94"/>
        <v>ok</v>
      </c>
      <c r="GW32" t="str">
        <f>IF(OR(GO32="",GM32=""),"",IF(GO32&gt;IFERROR(VLOOKUP(GN32,Модули_спр,3,FALSE),99),"ЛИШНИЙ КАНАЛ",IF(AND(AH32&lt;&gt;"=",COUNTIFS(Линии[_модуль гр.],GM32,Линии[Канал (итог)],GO32,Линии[Канал],"&lt;&gt;=",Линии[Щит],A32)&gt;1),"ДУБЛЬ КАНАЛА","")))</f>
        <v/>
      </c>
      <c r="GX32" s="6" t="str">
        <f t="shared" si="95"/>
        <v/>
      </c>
      <c r="GY32">
        <f t="shared" si="96"/>
        <v>10</v>
      </c>
      <c r="GZ32" t="str">
        <f t="shared" si="97"/>
        <v/>
      </c>
      <c r="HA32" t="str">
        <f>IF(AND(B32="",GT32=""),"",_xlfn.TEXTJOIN("; ",TRUE,IF(AND(B32&lt;&gt;"",FE32=""),"нет фазы",""),IF(AND(B32&lt;&gt;"",N(FY32)=0,EQ32&lt;&gt;"Нет"),"нет мощности",""),IF(AND(GS32&lt;&gt;"",COUNTIFS(Линии[Щит],A32,Линии[Клемма (итог)],GS32)&gt;1),"дубль клеммы "&amp;GS32,""),IF(AND(GV32&lt;&gt;"",GV32&lt;&gt;"ok"),GV32,""),IF(GW32&lt;&gt;"",GW32,""),IF(AND(N(BV32)&gt;=4,N(BR32)=1),BV32&amp;" жил на 1 фазе",""),IF(AND(AX32="R",CA32=1,OR(N(CK32)=0,N(CK32)&gt;30)),"розетка без дифзащиты до 30 мА",""),IFERROR(IF(AND(ISNUMBER(R32),R32&gt;DV32),"потери "&amp;FIXED(R32,1)&amp;" % &gt; "&amp;DV32&amp;" %",""),""),IFERROR(IF(LEFT(GZ32,4)="мало","Iкз мало — отключение &gt; 0,4 с",""),""),IF(AND(B32&lt;&gt;"",BH32=""),"не на схеме",""),IF(AND(CA32=0,B32&lt;&gt;"",FE32&lt;&gt;"",IF(AW32=1,"",FF31)&lt;&gt;"",FE32&lt;&gt;IF(AW32=1,"",FF31)),"фаза не как у автомата группы ("&amp;IF(AW32=1,"",FF31)&amp;")","")))</f>
        <v>не на схеме</v>
      </c>
      <c r="HB32" s="6">
        <f>IF(OR(CA32=0,DA32=""),"",_xlfn.LET(_xlpm.t,IFERROR(_xlfn.XLOOKUP(DA32,Каталог!$U$4:$U$500,Каталог!$G$4:$G$500),""),_xlpm.k,SEARCH("кА",_xlpm.t),IFERROR(--TRIM(RIGHT(SUBSTITUTE(MID(_xlpm.t,MAX(1,_xlpm.k-4),_xlpm.k-MAX(1,_xlpm.k-4))," ",REPT(" ",9)),5)),"")))</f>
        <v>6</v>
      </c>
      <c r="HC32" t="str">
        <f>IF(OR(HB32="",CA32=0),"",IF(_xlfn.XLOOKUP(A32,Щиты[Щит],Щиты[Iкз max на шинах, кА],"")="","",IF(HB32&lt;_xlfn.XLOOKUP(A32,Щиты[Щит],Щиты[Iкз max на шинах, кА]),"Icu "&amp;HB32&amp;" кА &lt; Iкз max","ok")))</f>
        <v/>
      </c>
      <c r="HD32" t="str">
        <f t="shared" si="98"/>
        <v/>
      </c>
      <c r="HE32" t="str">
        <f t="shared" si="99"/>
        <v/>
      </c>
      <c r="HF32" t="str">
        <f t="shared" si="100"/>
        <v/>
      </c>
      <c r="HG32" t="str" cm="1">
        <f t="array" ref="HG32">IF(HF32="","",_xlfn.LET(_xlpm.nd,_xlfn.TEXTSPLIT(HF32,"|"),IF(COLUMNS(_xlpm.nd)&gt;1,A32&amp;"¦"&amp;INDEX(_xlpm.nd,1)&amp;"¦"&amp;INDEX(_xlpm.nd,2),"")))</f>
        <v/>
      </c>
      <c r="HH32" t="str">
        <f t="shared" si="101"/>
        <v/>
      </c>
      <c r="HI32" t="str" cm="1">
        <f t="array" ref="HI32">IF(HF32="","",_xlfn.LET(_xlpm.nd,_xlfn.TEXTSPLIT(HF32,"|"),IF(COLUMNS(_xlpm.nd)&gt;2,A32&amp;"¦"&amp;INDEX(_xlpm.nd,2)&amp;"¦"&amp;INDEX(_xlpm.nd,3),"")))</f>
        <v/>
      </c>
      <c r="HJ32" t="str">
        <f t="shared" si="102"/>
        <v/>
      </c>
      <c r="HK32" t="str" cm="1">
        <f t="array" ref="HK32">IF(HF32="","",_xlfn.LET(_xlpm.nd,_xlfn.TEXTSPLIT(HF32,"|"),IF(COLUMNS(_xlpm.nd)&gt;3,A32&amp;"¦"&amp;INDEX(_xlpm.nd,3)&amp;"¦"&amp;INDEX(_xlpm.nd,4),"")))</f>
        <v/>
      </c>
      <c r="HL32" t="str">
        <f t="shared" si="103"/>
        <v/>
      </c>
      <c r="HM32" t="str" cm="1">
        <f t="array" ref="HM32">IF(HF32="","",_xlfn.LET(_xlpm.nd,_xlfn.TEXTSPLIT(HF32,"|"),IF(COLUMNS(_xlpm.nd)&gt;4,A32&amp;"¦"&amp;INDEX(_xlpm.nd,4)&amp;"¦"&amp;INDEX(_xlpm.nd,5),"")))</f>
        <v/>
      </c>
      <c r="HN32" t="str">
        <f t="shared" si="104"/>
        <v/>
      </c>
      <c r="HO32" t="str" cm="1">
        <f t="array" ref="HO32">IF(HF32="","",_xlfn.LET(_xlpm.nd,_xlfn.TEXTSPLIT(HF32,"|"),IF(COLUMNS(_xlpm.nd)&gt;5,A32&amp;"¦"&amp;INDEX(_xlpm.nd,5)&amp;"¦"&amp;INDEX(_xlpm.nd,6),"")))</f>
        <v/>
      </c>
      <c r="HP32" t="str">
        <f t="shared" si="105"/>
        <v/>
      </c>
      <c r="HQ32" t="str" cm="1">
        <f t="array" ref="HQ32">IF(HF32="","",_xlfn.LET(_xlpm.nd,_xlfn.TEXTSPLIT(HF32,"|"),IF(COLUMNS(_xlpm.nd)&gt;6,A32&amp;"¦"&amp;INDEX(_xlpm.nd,6)&amp;"¦"&amp;INDEX(_xlpm.nd,7),"")))</f>
        <v/>
      </c>
      <c r="HR32" t="str">
        <f t="shared" si="106"/>
        <v/>
      </c>
      <c r="HS32" t="str">
        <f t="shared" si="107"/>
        <v/>
      </c>
      <c r="HT32" t="str">
        <f t="shared" si="108"/>
        <v>XT1</v>
      </c>
      <c r="HU32">
        <f t="shared" si="109"/>
        <v>0</v>
      </c>
      <c r="HV32">
        <f t="shared" si="110"/>
        <v>0</v>
      </c>
      <c r="HW32" t="str">
        <f t="shared" si="111"/>
        <v/>
      </c>
      <c r="HX32" t="str">
        <f t="shared" si="112"/>
        <v/>
      </c>
      <c r="HY32" t="str">
        <f t="shared" si="113"/>
        <v/>
      </c>
      <c r="HZ32" t="str">
        <f t="shared" si="114"/>
        <v/>
      </c>
      <c r="IA32" t="str">
        <f>IF(B32="","",IFERROR(VLOOKUP(B32,УГО_спр,2,FALSE),IFERROR(VLOOKUP(AX32,УГО_спр,2,FALSE),IFERROR(VLOOKUP(LEFT(AX32,2),УГО_спр,2,FALSE),""))))</f>
        <v>Светильник</v>
      </c>
      <c r="IB32" t="str">
        <f>IF(B32="","",IF(OR(IA32="",IA32=0),"BOX",IFERROR(IF(VLOOKUP(IA32,УГО_блоки,3,FALSE)&amp;""&lt;&gt;"",VLOOKUP(IA32,УГО_блоки,3,FALSE),VLOOKUP(IA32,УГО_блоки,2,FALSE)),IA32)))</f>
        <v>LAMP</v>
      </c>
      <c r="IC32">
        <f t="shared" si="115"/>
        <v>1</v>
      </c>
      <c r="ID32" t="str">
        <f>IF(DA32="","",IF(COUNTIF(DA$3:DA32,DA32)=1,MAX(ID$2:ID31)+1,""))</f>
        <v/>
      </c>
      <c r="IE32" t="str">
        <f>IF(CO32="","",IF(COUNTIF(CO$3:CO32,CO32)+COUNTIF(CP$2:CP31,CO32)+COUNTIF(CQ$2:CQ31,CO32)=1,MAX(IE$2:IG31)+1,""))</f>
        <v/>
      </c>
      <c r="IF32" t="str">
        <f>IF(CP32="","",IF(COUNTIF(CO$3:CO32,CP32)+COUNTIF(CP$3:CP32,CP32)+COUNTIF(CQ$2:CQ31,CP32)=1,MAX(IE$2:IG31,IE32)+1,""))</f>
        <v/>
      </c>
      <c r="IG32" t="str">
        <f>IF(CQ32="","",IF(COUNTIF(CO$3:CO32,CQ32)+COUNTIF(CP$3:CP32,CQ32)+COUNTIF(CQ$3:CQ32,CQ32)=1,MAX(IE$2:IG31,IE32,IF32)+1,""))</f>
        <v/>
      </c>
      <c r="IH32" t="str">
        <f t="shared" si="116"/>
        <v>3х1,5</v>
      </c>
      <c r="II32">
        <f>IF(IH32="","",IF(COUNTIF(IH$3:IH32,IH32)=1,MAX(II$2:II31)+1,""))</f>
        <v>11</v>
      </c>
      <c r="IJ32" t="str">
        <f>IF(GL32="","",COUNTIF(GL$3:GL32,"?*"))</f>
        <v/>
      </c>
      <c r="IK32" t="str">
        <f>IF(OR(GL32="",GN32=""),"",IF(COUNTIFS(GL$3:GL32,"?*",GN$3:GN32,GN32)=1,MAX(IK$2:IK31)+1,""))</f>
        <v/>
      </c>
      <c r="IL32">
        <f t="shared" si="117"/>
        <v>1</v>
      </c>
      <c r="IM32">
        <f>IF(B32="","",COUNTIF(B$3:B32,"?*"))</f>
        <v>30</v>
      </c>
      <c r="IN32">
        <f>IF(GQ32&lt;&gt;1,0,_xlfn.LET(_xlpm.k,MAX(IFERROR(--VLOOKUP(B32,УГО_спр,5,FALSE),0),IFERROR(--VLOOKUP(AX32,УГО_спр,5,FALSE),0),IFERROR(--VLOOKUP(LEFT(AX32,2),УГО_спр,5,FALSE),0)),IF(_xlpm.k&gt;0,_xlpm.k,IF(IFERROR(--LEFT(SUBSTITUTE(IH32,"x","х"),FIND("х",SUBSTITUTE(IH32,"x","х"))-1),3)&gt;3,Каталог!$S$9,1))))</f>
        <v>1</v>
      </c>
      <c r="IO32">
        <f t="shared" si="118"/>
        <v>0</v>
      </c>
      <c r="IP32" t="str">
        <f t="shared" si="119"/>
        <v>авто</v>
      </c>
      <c r="IQ32" t="str">
        <f t="shared" si="120"/>
        <v/>
      </c>
      <c r="IR32">
        <f t="shared" si="121"/>
        <v>0</v>
      </c>
      <c r="IS32">
        <f t="shared" si="122"/>
        <v>1</v>
      </c>
    </row>
    <row r="33" spans="1:253" x14ac:dyDescent="0.3">
      <c r="A33" t="s">
        <v>1104</v>
      </c>
      <c r="B33" t="s">
        <v>1306</v>
      </c>
      <c r="C33" t="str">
        <f>Линии[[#This Row],[_авто наименование]]</f>
        <v>Осветительная группа, пом. 001Б</v>
      </c>
      <c r="D33">
        <v>24</v>
      </c>
      <c r="E33">
        <v>0.1</v>
      </c>
      <c r="G33" t="str">
        <f>Линии[[#This Row],[_авто автомат]]</f>
        <v>1P С10А</v>
      </c>
      <c r="H33" t="str">
        <f>Линии[[#This Row],[_авто утечка]]</f>
        <v/>
      </c>
      <c r="I33" t="str">
        <f>Линии[[#This Row],[_авто управление]]</f>
        <v/>
      </c>
      <c r="J33" t="str">
        <f>Линии[[#This Row],[_авто аппараты]]</f>
        <v/>
      </c>
      <c r="K33">
        <v>1.5</v>
      </c>
      <c r="L33">
        <v>116</v>
      </c>
      <c r="M33" t="str">
        <f>Линии[[#This Row],[_авто фаза]]</f>
        <v>L2</v>
      </c>
      <c r="N33" t="str">
        <f>Линии[[#This Row],[_авто клемма]]</f>
        <v>XT2</v>
      </c>
      <c r="O33" t="str">
        <f t="shared" si="0"/>
        <v>не на схеме</v>
      </c>
      <c r="P33" s="6" cm="1">
        <f t="array" ref="P33">IF(B33="","",IF(BC33&lt;&gt;"",IFERROR(_xlfn.XLOOKUP(BC33,Щиты[Щит],Щиты[Iр, А]),""),IF(BK33=1,IFERROR(_xlfn.XLOOKUP(A33,Щиты[Щит],Щиты[Iр, А]),""),IFERROR(_xlfn.IFS(BR33=1,BN33/((Uн_лин/SQRT(3))*BY33),BR33=3,BN33/(SQRT(3)*Uн_лин*BY33)),""))))</f>
        <v>0.455802844097073</v>
      </c>
      <c r="Q33" s="7">
        <f>IF(B33="","",IFERROR(IF(VLOOKUP(AX33,Потребители_обозначение,4,FALSE)=1,VLOOKUP(AX33,Потребители_обозначение,3,FALSE)*(D33*2-1)+DS33+VLOOKUP(AZ33,Этаж_обозначение,3,FALSE)+VLOOKUP(AZ33,Этаж_обозначение,4,FALSE),VLOOKUP(AX33,Потребители_обозначение,3,FALSE)*(D33*2-1)+DS33),DS33))</f>
        <v>163</v>
      </c>
      <c r="R33" s="6">
        <f t="shared" si="1"/>
        <v>1.0900000000000001</v>
      </c>
      <c r="S33" t="str">
        <f t="shared" si="2"/>
        <v>ВВГнг(А)-LS (3х1,5)</v>
      </c>
      <c r="T33" t="str">
        <f>IF(BH33="","",IF(BI33="вводной узел","узел ","")&amp;"л."&amp;(INT((BH33-1)/Столбцов_на_лист)+1)&amp;" / "&amp;(MOD(BH33-1,Столбцов_на_лист)+1))</f>
        <v/>
      </c>
      <c r="V33">
        <v>1</v>
      </c>
      <c r="W33">
        <v>230</v>
      </c>
      <c r="X33" t="s">
        <v>564</v>
      </c>
      <c r="AE33" t="s">
        <v>557</v>
      </c>
      <c r="AI33" t="s">
        <v>529</v>
      </c>
      <c r="AJ33" t="s">
        <v>11</v>
      </c>
      <c r="AK33">
        <v>3</v>
      </c>
      <c r="AM33">
        <v>51</v>
      </c>
      <c r="AN33">
        <v>0</v>
      </c>
      <c r="AO33">
        <v>143</v>
      </c>
      <c r="AW33" cm="1">
        <f t="array" ref="AW33">ROW()-ROW(Линии[#Headers])</f>
        <v>31</v>
      </c>
      <c r="AX33" s="6" t="str">
        <f t="shared" si="3"/>
        <v>L</v>
      </c>
      <c r="AY33" t="str">
        <f t="shared" si="4"/>
        <v>00.001Б.2</v>
      </c>
      <c r="AZ33" t="str">
        <f t="shared" si="5"/>
        <v>00</v>
      </c>
      <c r="BA33" t="str">
        <f t="shared" si="6"/>
        <v>001Б.2</v>
      </c>
      <c r="BB33" t="str">
        <f t="shared" si="7"/>
        <v>001Б</v>
      </c>
      <c r="BC33" t="str">
        <f>IF(U33&lt;&gt;"",U33,IF(AND(B33&lt;&gt;"",B33&lt;&gt;A33,ISNUMBER(_xlfn.XMATCH(B33,Щиты[Щит]))),B33,""))</f>
        <v/>
      </c>
      <c r="BD33" t="str" cm="1">
        <f t="array" ref="BD33">IF(B33="","",IF(BC33&lt;&gt;"","Щит "&amp;BC33,_xlfn.LET(_xlpm.nm,IFERROR(_xlfn.XLOOKUP(AX33,Коды_код,Коды_имя)&amp;"",""),_xlpm.md,IFERROR(N(_xlfn.XLOOKUP(AX33,Коды_код,Коды_режим)),1),_xlpm.ex,IF(Имя_режим="по экспликации",IFERROR(_xlfn.XLOOKUP(AZ33&amp;"|"&amp;BB33,Экспликация[Этаж]&amp;"|"&amp;Экспликация[Помещение],Экспликация[Название])&amp;"",""),""),_xlpm.rm,IF(BB33="","",IF(_xlpm.ex&lt;&gt;"",". "&amp;_xlpm.ex&amp;IF(Имя_пом="нет"," ("&amp;BB33&amp;")"," (пом. "&amp;BB33&amp;")"),IF(Имя_пом="нет"," ",", пом. ")&amp;BB33)),IF(_xlpm.nm="","",IF(_xlpm.md=2,_xlpm.nm&amp;" шлейф "&amp;AZ33,_xlpm.nm&amp;_xlpm.rm)))))</f>
        <v>Осветительная группа, пом. 001Б</v>
      </c>
      <c r="BE33" t="str">
        <f t="shared" si="8"/>
        <v>Осветительная группа, пом. 001Б</v>
      </c>
      <c r="BF33">
        <f>IFERROR(_xlfn.XMATCH(A33,Щиты[Щит]),0)</f>
        <v>3</v>
      </c>
      <c r="BG33">
        <f>_xlfn.LET(_xlpm.k,IFERROR(_xlfn.XLOOKUP(A33,Щиты[Щит],Щиты[Листов под вводной узел]),""),IF(_xlpm.k="",1,N(_xlpm.k))*Столбцов_на_лист)</f>
        <v>17</v>
      </c>
      <c r="BH33" t="str">
        <f t="shared" si="9"/>
        <v/>
      </c>
      <c r="BI33" t="str">
        <f t="shared" si="10"/>
        <v/>
      </c>
      <c r="BJ33" s="6">
        <f>IFERROR(N(_xlfn.XLOOKUP(AX33,Коды_код,Коды_квт)),0)</f>
        <v>0</v>
      </c>
      <c r="BK33">
        <f t="shared" si="11"/>
        <v>0</v>
      </c>
      <c r="BL33" t="str">
        <f>IF(B33="","",IF(BC33&lt;&gt;"",IFERROR(_xlfn.XLOOKUP(BC33,Щиты[Щит],Щиты[Руст, кВт]),0),IF(BK33=1,IFERROR(_xlfn.XLOOKUP(A33,Щиты[Щит],Щиты[Руст, кВт]),0),IF(BJ33&gt;0,ROUND(BJ33*MAX(1,N(D33)),3),""))))</f>
        <v/>
      </c>
      <c r="BM33">
        <f t="shared" si="12"/>
        <v>0.1</v>
      </c>
      <c r="BN33" s="6">
        <f>IF(B33="","",IF(BC33&lt;&gt;"",IFERROR(_xlfn.XLOOKUP(BC33,Щиты[Щит],Щиты[Руст, кВт]),0),N(BM33)))</f>
        <v>0.1</v>
      </c>
      <c r="BO33" t="str">
        <f>IF(B33="","",IFERROR(IF(VLOOKUP(AX33,Потребители_обозначение,8,FALSE)=0,"",VLOOKUP(AX33,Потребители_обозначение,8,FALSE)),""))</f>
        <v/>
      </c>
      <c r="BP33">
        <f t="shared" si="13"/>
        <v>230</v>
      </c>
      <c r="BQ33">
        <f>IF(B33="","",IF(BC33&lt;&gt;"",3,IFERROR(IF(N(VLOOKUP(AX33,Потребители_обозначение,9,FALSE))=0,1,VLOOKUP(AX33,Потребители_обозначение,9,FALSE)),1)))</f>
        <v>1</v>
      </c>
      <c r="BR33">
        <f t="shared" si="14"/>
        <v>1</v>
      </c>
      <c r="BS33" t="str">
        <f>IF(B33="","",_xlfn.LET(_xlpm.bc,IFERROR(IF(VLOOKUP(AX33,Потребители_обозначение,6,FALSE)=0,"",VLOOKUP(AX33,Потребители_обозначение,6,FALSE)&amp;""),""),IF(AND(FK33="да",OR(_xlpm.bc="",_xlpm.bc="мс")),Марка_пож,IF(AND(_xlpm.bc="",BC33&lt;&gt;""),"мс",_xlpm.bc))))</f>
        <v/>
      </c>
      <c r="BT33" t="str">
        <f t="shared" si="15"/>
        <v>мс</v>
      </c>
      <c r="BU33">
        <f>IF(B33="","",_xlfn.LET(_xlpm.cc,IFERROR(N(VLOOKUP(AX33,Потребители_обозначение,7,FALSE)),0),IF(_xlpm.cc&gt;0,_xlpm.cc,IF(BT33="","",IF(N(BR33)=3,5,3)))))</f>
        <v>3</v>
      </c>
      <c r="BV33">
        <f t="shared" si="16"/>
        <v>3</v>
      </c>
      <c r="BW33">
        <f>IFERROR(N(VLOOKUP(AX33,Потребители_обозначение,10,FALSE)),0)</f>
        <v>0</v>
      </c>
      <c r="BX33">
        <f>IFERROR(VLOOKUP(AX33,Потребители_обозначение,5,FALSE),0)</f>
        <v>3</v>
      </c>
      <c r="BY33" s="6" cm="1">
        <f t="array" ref="BY33">IF(B33="","",IF(BC33&lt;&gt;"",IFERROR(_xlfn.XLOOKUP(BC33,Щиты[Щит],Щиты[cos φ]),0.95),IF(BK33=1,IFERROR(_xlfn.XLOOKUP(A33,Щиты[Щит],Щиты[cos φ]),0.95),IF(ISNUMBER(Z33),Z33,IFERROR(IF(BX33=2,_xlfn.IFS(BR33=3,VLOOKUP(BN33,Справочная_двигатели,8,FALSE),BR33=1,VLOOKUP(BN33,Справочная_двигатели,10,TRUE)),IF(AND(Методика="нормы 2026",EQ33="Сил"),0.8,0.95)),0.95)))))</f>
        <v>0.95</v>
      </c>
      <c r="BZ33">
        <f t="shared" si="17"/>
        <v>0</v>
      </c>
      <c r="CA33">
        <f t="shared" si="18"/>
        <v>1</v>
      </c>
      <c r="CB33">
        <f t="shared" si="19"/>
        <v>0</v>
      </c>
      <c r="CC33">
        <f t="shared" si="20"/>
        <v>0</v>
      </c>
      <c r="CD33">
        <f t="shared" si="21"/>
        <v>0</v>
      </c>
      <c r="CE33">
        <f t="shared" si="22"/>
        <v>0</v>
      </c>
      <c r="CF33">
        <f t="shared" si="23"/>
        <v>0</v>
      </c>
      <c r="CG33">
        <f>IF(AX33="",0,_xlfn.LET(_xlpm.v,IFERROR(VLOOKUP(B33,УГО_спр,3,FALSE),IFERROR(VLOOKUP(AX33,УГО_спр,3,FALSE),IFERROR(VLOOKUP(LEFT(AX33,2),УГО_спр,3,FALSE),""))),IF(_xlpm.v="да",30,IF(ISNUMBER(_xlpm.v),_xlpm.v,0))))</f>
        <v>0</v>
      </c>
      <c r="CH33" t="str">
        <f t="shared" si="24"/>
        <v/>
      </c>
      <c r="CI33" t="str">
        <f>_xlfn.LET(_xlpm.k,IFERROR(_xlfn.XLOOKUP(AX33,Коды_код,Коды_утечка)&amp;"",""),IF(_xlpm.k="","дифавтомат",_xlpm.k))</f>
        <v>дифавтомат</v>
      </c>
      <c r="CJ33">
        <f t="shared" si="25"/>
        <v>0</v>
      </c>
      <c r="CK33">
        <f t="shared" si="26"/>
        <v>0</v>
      </c>
      <c r="CL33">
        <f>IF(B33="",0,IFERROR(--VLOOKUP(B33,УГО_спр,4,FALSE),IFERROR(--VLOOKUP(AX33,УГО_спр,4,FALSE),IFERROR(--VLOOKUP(LEFT(AX33,2),УГО_спр,4,FALSE),0))))</f>
        <v>10</v>
      </c>
      <c r="CM33" t="str">
        <f>IF(B33="","",IFERROR(_xlfn.XLOOKUP(AX33,Коды_код,Коды_апп)&amp;"",""))</f>
        <v/>
      </c>
      <c r="CN33" t="str">
        <f t="shared" si="27"/>
        <v/>
      </c>
      <c r="CO33" t="str" cm="1">
        <f t="array" ref="CO33">IF(TRIM(CN33&amp;"")="","",IFERROR(TRIM(INDEX(_xlfn.TEXTSPLIT(CN33&amp;";;;",";"),1)),""))</f>
        <v/>
      </c>
      <c r="CP33" t="str" cm="1">
        <f t="array" ref="CP33">IF(TRIM(CN33&amp;"")="","",IFERROR(TRIM(INDEX(_xlfn.TEXTSPLIT(CN33&amp;";;;",";"),2)),""))</f>
        <v/>
      </c>
      <c r="CQ33" t="str" cm="1">
        <f t="array" ref="CQ33">IF(TRIM(CN33&amp;"")="","",IFERROR(TRIM(INDEX(_xlfn.TEXTSPLIT(CN33&amp;";;;",";"),3)),""))</f>
        <v/>
      </c>
      <c r="CR33">
        <f t="shared" si="28"/>
        <v>0</v>
      </c>
      <c r="CS33" t="str">
        <f>IF(B33="","",_xlfn.LET(_xlpm.t,LOWER(AV33&amp;""),IF(ISNUMBER(SEARCH("dim",_xlpm.t)),"DIM",IF(ISNUMBER(SEARCH("dali",_xlpm.t)),"DALI",IF(OR(ISNUMBER(SEARCH("relay",_xlpm.t)),ISNUMBER(SEARCH("реле",_xlpm.t))),"Relay",IF(ISNUMBER(SEARCH("кнопк",_xlpm.t)),"",IFERROR(_xlfn.XLOOKUP(AX33,Коды_код,Коды_упр)&amp;"","")))))))</f>
        <v/>
      </c>
      <c r="CT33" t="str">
        <f t="shared" si="29"/>
        <v/>
      </c>
      <c r="CU33">
        <f>IF(B33="","",_xlfn.LET(_xlpm.ig,N(P33)+IF(AF33="вручную",0,N(CB33)),_xlpm.n0,IFERROR(VLOOKUP(_xlpm.ig,Автомат_номиналы,2,TRUE),0),_xlpm.mn,MAX(CL33,IF(AF33="вручную",0,N(CE33))),MAX(_xlpm.n0,_xlpm.mn,IF(CR33=1,Мин_автомат_БП,0))))</f>
        <v>10</v>
      </c>
      <c r="CV33">
        <f t="shared" si="30"/>
        <v>1</v>
      </c>
      <c r="CW33" t="str">
        <f t="shared" si="31"/>
        <v>1P</v>
      </c>
      <c r="CX33" t="str">
        <f>_xlfn.LET(_xlpm.cc,UPPER(TRIM(IFERROR(_xlfn.XLOOKUP(AX33,Коды_код,Коды_хар)&amp;"",""))),IF(OR(_xlpm.cc="B",_xlpm.cc="В"),"B",IF(_xlpm.cc="D","D","С")))</f>
        <v>С</v>
      </c>
      <c r="CY33" t="str">
        <f t="shared" si="32"/>
        <v>1P С10А</v>
      </c>
      <c r="CZ33" t="str">
        <f t="shared" si="33"/>
        <v>1P С10А</v>
      </c>
      <c r="DA33" t="str">
        <f t="shared" si="34"/>
        <v>1P С10А</v>
      </c>
      <c r="DB33" cm="1">
        <f t="array" ref="DB33">IF(DA33="","",_xlfn.LET(_xlpm.t,SUBSTITUTE(SUBSTITUTE(SUBSTITUTE(UPPER(DA33),"С","C"),"А","A"),"В","B"),_xlpm.tk,_xlfn.TEXTSPLIT(_xlpm.t,"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3" t="str">
        <f t="shared" si="35"/>
        <v>ok</v>
      </c>
      <c r="DD33">
        <f t="shared" si="36"/>
        <v>10</v>
      </c>
      <c r="DE33" t="str">
        <f t="shared" si="37"/>
        <v>1P С10А</v>
      </c>
      <c r="DF33">
        <f t="shared" si="38"/>
        <v>0</v>
      </c>
      <c r="DG33">
        <f t="shared" si="39"/>
        <v>0</v>
      </c>
      <c r="DH33">
        <f t="shared" si="40"/>
        <v>0</v>
      </c>
      <c r="DI33">
        <f t="shared" si="41"/>
        <v>0.455802844097073</v>
      </c>
      <c r="DJ33">
        <f t="shared" si="42"/>
        <v>1</v>
      </c>
      <c r="DK33">
        <f>IF(ISNUMBER(AL33),AL33,К_прокл)</f>
        <v>1</v>
      </c>
      <c r="DL33">
        <f t="shared" si="43"/>
        <v>2</v>
      </c>
      <c r="DM33">
        <f>IFERROR(N(VLOOKUP(BT33,Кабель_обозначение,3,FALSE)),1)</f>
        <v>1</v>
      </c>
      <c r="DN33">
        <f>IFERROR(N(_xlfn.XLOOKUP(A33,Щиты[Щит],Щиты[ΔU до шин, %])),0)</f>
        <v>0.17</v>
      </c>
      <c r="DO33" t="str">
        <f>IFERROR(_xlfn.XLOOKUP(A33,Щиты[Щит],Щиты[Zпетли на шинах, Ом]),"")</f>
        <v/>
      </c>
      <c r="DP33">
        <f>IFERROR(N(_xlfn.XLOOKUP(A33,Щиты[Щит],Щиты[ΔU до шин (подбор), %])),0)</f>
        <v>0.65</v>
      </c>
      <c r="DQ33" t="str">
        <f>IFERROR(_xlfn.XLOOKUP(A33,Щиты[Щит],Щиты[Zпетли на шинах (подбор), Ом]),"")</f>
        <v/>
      </c>
      <c r="DR33" t="str">
        <f t="shared" si="44"/>
        <v/>
      </c>
      <c r="DS33">
        <f t="shared" si="45"/>
        <v>116</v>
      </c>
      <c r="DT33">
        <f t="shared" si="46"/>
        <v>2</v>
      </c>
      <c r="DU33">
        <f t="shared" si="47"/>
        <v>0.31</v>
      </c>
      <c r="DV33" s="6">
        <f>IF(B33="","",IF(IFERROR(VLOOKUP(AX33,УГО_спр,2,FALSE),"")="Светильник",3,4)+IF(Методика="нормы 2026",MIN(0.5,MAX(0,N(Q33)-100)*0.005),0))</f>
        <v>3.3149999999999999</v>
      </c>
      <c r="DW33" cm="1">
        <f t="array" ref="DW33">IF(OR(B33="",BT33="",DM33&lt;&gt;1),"",_xlfn.LET(_xlpm.sz,Iдоп_S,_xlpm.t_,CHOOSE(DL33,Iдоп_1ж,Iдоп_2ж,Iдоп_3ж)*DJ33*DK33,_xlpm.inn,N(DD33),_xlpm.smin,MAX(1.5,BW33),_xlpm.L_,N(Q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33)*(_xlpm.rho*_xlpm.L_/_xlpm.sz*N(BY33)+_xlpm.xx*_xlpm.L_*N(DU33)/1000)*N(P33)/((Uн_лин/SQRT(3))*1000)*100,999),_xlpm.kz,IF(OR(DG33=1,NOT(ISNUMBER(DQ33)),_xlpm.L_=0,_xlpm.inn=0),1,IFERROR(--(c_min*(Uн_лин*1000/SQRT(3))/(DQ33+2*ρкз_Cu*_xlpm.L_/_xlpm.sz)&gt;=GY33*_xlpm.inn),0)),_xlpm.ok,IFERROR((_xlpm.sz&gt;=_xlpm.smin)*(_xlpm.t_&gt;=_xlpm.inn)*IF(_xlpm.L_&gt;0,(_xlpm.du_+DP33&lt;=DV33+0.00001),1)*_xlpm.kz,0),_xlpm.r_,_xlfn._xlws.FILTER(_xlpm.sz,_xlpm.ok,"не подобрано"),INDEX(_xlpm.r_,1)))</f>
        <v>1.5</v>
      </c>
      <c r="DX33">
        <f t="shared" si="48"/>
        <v>1.5</v>
      </c>
      <c r="DY33" cm="1">
        <f t="array" ref="DY33">IF(OR(B33="",BT33="",DM33&lt;&gt;1),"",_xlfn.LET(_xlpm.sz,Iдоп_S,_xlpm.t_,CHOOSE(DL33,Iдоп_1ж,Iдоп_2ж,Iдоп_3ж)*DJ33*DK33,_xlpm.ok,IFERROR((_xlpm.sz&gt;=MAX(1.5,BW33))*(_xlpm.t_&gt;=N(DD33)),0),_xlpm.r_,_xlfn._xlws.FILTER(_xlpm.sz,_xlpm.ok,""),INDEX(_xlpm.r_,1)))</f>
        <v>1.5</v>
      </c>
      <c r="DZ33" s="6" cm="1">
        <f t="array" ref="DZ33">IFERROR(ROUNDUP(N(DT33)*(_xlfn.XLOOKUP(DY33,INDEX(Кабель_сопротивление,0,1),INDEX(Кабель_сопротивление,0,3))*N(Q33)/DY33*N(BY33)+_xlfn.XLOOKUP(DY33,INDEX(Кабель_сопротивление,0,1),INDEX(Кабель_сопротивление,0,2))*N(Q33)*N(DU33)/1000)*N(P33)/((Uн_лин/SQRT(3))*1000)*100,2),"")</f>
        <v>0.92</v>
      </c>
      <c r="EA33">
        <f>IFERROR(2*ρкз_Cu*N(Q33)/DY33,"")</f>
        <v>5.7158666666666669</v>
      </c>
      <c r="EB33">
        <f>IFERROR(VLOOKUP(DX33,Кабель_сопротивление,3,FALSE),"")</f>
        <v>2.2499999999999999E-2</v>
      </c>
      <c r="EC33">
        <f>IFERROR(VLOOKUP(DX33,Кабель_сопротивление,2,FALSE),"")</f>
        <v>0.11</v>
      </c>
      <c r="ED33">
        <f t="shared" si="49"/>
        <v>0</v>
      </c>
      <c r="EE33">
        <f t="shared" si="50"/>
        <v>143</v>
      </c>
      <c r="EF33">
        <f t="shared" si="51"/>
        <v>2.1224990901496419</v>
      </c>
      <c r="EG33" s="6">
        <f>IFERROR(ROUNDUP(EF33/((Uн_лин/SQRT(3))*1000)*100,2),"")</f>
        <v>0.92</v>
      </c>
      <c r="EH33" t="str">
        <f>IFERROR(VLOOKUP(BT33,Кабель_обозначение,2,FALSE),"")</f>
        <v>ВВГнг(А)-LS</v>
      </c>
      <c r="EI33" t="str">
        <f t="shared" si="52"/>
        <v>ВВГнг(А)-LS (3х1,5)</v>
      </c>
      <c r="EJ33" t="str">
        <f t="shared" si="53"/>
        <v>ВВГнг(А)-LS (3х1,5)
L=163-0,92%</v>
      </c>
      <c r="EK33">
        <f>IFERROR(2*ρкз_Cu*Q33/DX33,"")</f>
        <v>5.7158666666666669</v>
      </c>
      <c r="EL33">
        <f t="shared" si="54"/>
        <v>1.9016666666666671</v>
      </c>
      <c r="EM33" s="6" t="str">
        <f>IFERROR(IF(OR(B33="",NOT(ISNUMBER(DX33)),N(Q33)=0),"",_xlfn.XLOOKUP(A33,Щиты[Щит],Щиты[Zпетли на шинах, Ом])+EK33),"")</f>
        <v/>
      </c>
      <c r="EN33" s="6" t="str">
        <f>IF(ISNUMBER(EM33),c_min*(Uн_лин*1000/SQRT(3))/EM33,"")</f>
        <v/>
      </c>
      <c r="EO33" s="6" t="str">
        <f>IFERROR(IF(OR(B33="",NOT(ISNUMBER(DX33))),"",1.05*(Uн_лин*1000/SQRT(3))/(_xlfn.XLOOKUP(A33,Щиты[Щит],Щиты[Zmax на шинах, Ом])+EL33)/1000),"")</f>
        <v/>
      </c>
      <c r="EP33" s="6" t="str">
        <f>IF(B33="","",IF(ISNUMBER(Y33),"Сил",IF(IFERROR(_xlfn.XLOOKUP(AX33,Коды_код,Коды_группа)&amp;"","")="","Быт",_xlfn.XLOOKUP(AX33,Коды_код,Коды_группа)&amp;"")))</f>
        <v>Быт</v>
      </c>
      <c r="EQ33" s="6" t="str">
        <f t="shared" si="55"/>
        <v>Быт</v>
      </c>
      <c r="ER33" s="6">
        <f>IF(EQ33="Щит","щит",IF(EQ33="","",IF(EQ33="Быт",IFERROR(_xlfn.XLOOKUP(A33,Щиты[Щит],Щиты[Кс быт]),1),IF(EQ33="Сил",IF(ISNUMBER(Y33),Y33,IF(Методика="нормы 2026",IFERROR(_xlfn.XLOOKUP(A33,Щиты[Щит],Щиты[Кс силовых (табл. 7.5)]),1),1)),IF(OR(EQ33="Пост",EQ33="Отоп"),1,IF(EQ33="ВНГ",0.7,0))))))</f>
        <v>0.8</v>
      </c>
      <c r="ES33">
        <f t="shared" si="56"/>
        <v>1</v>
      </c>
      <c r="ET33">
        <f t="shared" si="57"/>
        <v>0.1</v>
      </c>
      <c r="EU33">
        <f t="shared" si="58"/>
        <v>0.1</v>
      </c>
      <c r="EV33">
        <f t="shared" si="59"/>
        <v>0</v>
      </c>
      <c r="EW33">
        <f t="shared" si="60"/>
        <v>0</v>
      </c>
      <c r="EX33">
        <f t="shared" si="61"/>
        <v>0</v>
      </c>
      <c r="EY33">
        <f t="shared" si="62"/>
        <v>0</v>
      </c>
      <c r="EZ33">
        <f t="shared" si="63"/>
        <v>0.1</v>
      </c>
      <c r="FA33">
        <f t="shared" si="64"/>
        <v>9.5000000000000001E-2</v>
      </c>
      <c r="FB33">
        <f t="shared" si="65"/>
        <v>0.1</v>
      </c>
      <c r="FC33" t="str">
        <f t="shared" si="66"/>
        <v/>
      </c>
      <c r="FD33" t="str">
        <f>IF(B33="","",IF(CA33=0,IF(AW33=1,"",FF32),IF(OR(N(CV33)&gt;=3,N(BR33)&gt;=3),"L1,L2,L3",IFERROR(_xlfn.TEXTBEFORE(_xlfn.TEXTAFTER(_xlfn.XLOOKUP(A33,Щиты[Щит],Щиты[_фазы авто]),";"&amp;AW33&amp;":"),";"),"L1"))))</f>
        <v>L2</v>
      </c>
      <c r="FE33" t="str">
        <f t="shared" si="67"/>
        <v>L2</v>
      </c>
      <c r="FF33" t="str">
        <f t="shared" si="68"/>
        <v>L2</v>
      </c>
      <c r="FG33" cm="1">
        <f t="array" ref="FG33">IFERROR(IF(BX33=2,_xlfn.IFS(BR33=3,VLOOKUP(BN33,Справочная_двигатели,3,FALSE),BR33=1,VLOOKUP(BN33,Справочная_двигатели,5,TRUE)),0),0)</f>
        <v>0</v>
      </c>
      <c r="FH33">
        <f>IFERROR(IF(BX33=3,VLOOKUP(BN33,Справочная_ЛЭД,2,TRUE),0),0)</f>
        <v>50</v>
      </c>
      <c r="FI33" s="6">
        <f t="shared" si="69"/>
        <v>50</v>
      </c>
      <c r="FJ33" t="str" cm="1">
        <f t="array" ref="FJ33">IF(B33="","",IFERROR(INDEX({"I особая","I","II","III"},MATCH(TRIM(AC33&amp;""),{"I особая","I","II","III"},0)),"III"))</f>
        <v>III</v>
      </c>
      <c r="FK33" t="str">
        <f>IF(B33="","",IF(TRIM(AD33&amp;"")&lt;&gt;"",IF(LOWER(TRIM(AD33&amp;""))="да","да","нет"),IF(IFERROR(_xlfn.XLOOKUP(AX33,Коды_код,Коды_пожарная),"")="да","да","нет")))</f>
        <v>нет</v>
      </c>
      <c r="FL33" t="str">
        <f t="shared" si="70"/>
        <v/>
      </c>
      <c r="FM33" t="str">
        <f t="shared" si="71"/>
        <v>основная</v>
      </c>
      <c r="FN33">
        <f t="shared" si="72"/>
        <v>1</v>
      </c>
      <c r="FO33" t="str" cm="1">
        <f t="array" ref="FO33">IF(B33="","",_xlfn.LET(_xlpm.t,IFERROR(_xlfn.XLOOKUP(1,(Шины[Шина]=FM33)*(((Шины[Щит]=A33)+(Шины[Щит]=""))&gt;0),Шины[Тип]),"")&amp;"",IF(_xlpm.t&lt;&gt;"",_xlpm.t,IF(ISNUMBER(SEARCH("ИБП",FM33)),"ИБП",IF(ISNUMBER(SEARCH("ДГУ",FM33)),"ДГУ","Ввод "&amp;FN33)))))</f>
        <v>Ввод 1</v>
      </c>
      <c r="FP33" t="str">
        <f t="shared" si="73"/>
        <v>Ввод 1</v>
      </c>
      <c r="FQ33" t="str">
        <f>IF(B33="","",IF(OR(FO33="ИБП",FO33="ДГУ"),"I особая",IF(FO33="Одиночная","III",_xlfn.XLOOKUP(A33,Щиты[Щит],Щиты[Категория шины «Ввод»],"III"))))</f>
        <v>II</v>
      </c>
      <c r="FR33">
        <f>IF(B33="",0,IFERROR(MATCH(FJ33,{"III","II","I","I особая"},0),1))</f>
        <v>1</v>
      </c>
      <c r="FS33">
        <f t="shared" si="74"/>
        <v>1</v>
      </c>
      <c r="FT33" t="str">
        <f>IF(B33="","",IF(FR33&gt;IFERROR(MATCH(FQ33,{"III","II","I","I особая"},0),1),"НЕ ОБЕСПЕЧЕНА","ОК"))</f>
        <v>ОК</v>
      </c>
      <c r="FU33" t="str">
        <f>IF(A33="","",_xlfn.XLOOKUP(A33,Щиты[Щит],Щиты[Путь],""))</f>
        <v>|ГРЩ-ЖД|ЩГП|ЩО-001|</v>
      </c>
      <c r="FV33" t="str">
        <f>IF(B33="","",IF(AE33&lt;&gt;"",AE33,IF(IFERROR(_xlfn.XLOOKUP(AX33,Коды_код,Коды_вид)&amp;"","")="","Прочее",_xlfn.XLOOKUP(AX33,Коды_код,Коды_вид)&amp;"")))</f>
        <v>Рабочее освещение</v>
      </c>
      <c r="FW33" t="str">
        <f>IF(BH33="","",INT((BH33-1)/Столбцов_на_лист)+1)</f>
        <v/>
      </c>
      <c r="FX33" t="str">
        <f t="shared" si="75"/>
        <v>ВВГнг(А)-LS (3х1,5) L=163-0,92%</v>
      </c>
      <c r="FY33">
        <f t="shared" si="76"/>
        <v>0.1</v>
      </c>
      <c r="FZ33">
        <f t="shared" si="77"/>
        <v>0.46</v>
      </c>
      <c r="GA33">
        <f t="shared" si="78"/>
        <v>1</v>
      </c>
      <c r="GB33">
        <f t="shared" si="79"/>
        <v>0</v>
      </c>
      <c r="GC33">
        <f t="shared" si="80"/>
        <v>0</v>
      </c>
      <c r="GD33" t="str">
        <f>IF(BH33="","",IF(AND(CA33=1,GC33=1),COUNTIFS(A$3:A33,A33,CA$3:CA33,1,GC$3:GC33,1),IF(OR(OR(AW33=1,A33&lt;&gt;A32),AF33="вручную",GC33=0),"",IF(AW33=1,"",GE32))))</f>
        <v/>
      </c>
      <c r="GE33" t="str">
        <f t="shared" si="81"/>
        <v/>
      </c>
      <c r="GF33">
        <f>IF(B33="","",IFERROR(LOOKUP(INDEX(CHOOSE(DL33,Iдоп_1ж,Iдоп_2ж,Iдоп_3ж),MATCH(DX33,Iдоп_S,0))*DJ33*DK33,{6,10,16,20,25,32,40,50,63,80,100,125,160,200,250,315,400,500,630}),""))</f>
        <v>16</v>
      </c>
      <c r="GG33" t="str">
        <f t="shared" si="82"/>
        <v/>
      </c>
      <c r="GH33" t="str">
        <f t="shared" si="83"/>
        <v/>
      </c>
      <c r="GI33" t="str">
        <f t="shared" si="84"/>
        <v/>
      </c>
      <c r="GJ33">
        <f t="shared" si="85"/>
        <v>0</v>
      </c>
      <c r="GK33" t="str">
        <f>IF(OR(AG33="",AG33="-"),"",IFERROR(VLOOKUP(AG33,Модули_спр,2,FALSE),"R"))</f>
        <v/>
      </c>
      <c r="GL33" t="str">
        <f>IF(GK33="","",GK33&amp;"."&amp;COUNTIFS(A$3:A33,A33,GK$3:GK33,GK33))</f>
        <v/>
      </c>
      <c r="GM33" t="str">
        <f t="shared" si="86"/>
        <v/>
      </c>
      <c r="GN33" t="str">
        <f t="shared" si="87"/>
        <v/>
      </c>
      <c r="GO33" t="str">
        <f t="shared" si="88"/>
        <v/>
      </c>
      <c r="GP33" t="str">
        <f t="shared" si="89"/>
        <v/>
      </c>
      <c r="GQ33">
        <f t="shared" si="90"/>
        <v>1</v>
      </c>
      <c r="GR33" t="str">
        <f>IF(GQ33=1,"XT"&amp;COUNTIFS(A$3:A33,A33,GQ$3:GQ33,1),"")</f>
        <v>XT2</v>
      </c>
      <c r="GS33" t="str">
        <f t="shared" si="91"/>
        <v>XT2</v>
      </c>
      <c r="GT33" t="str">
        <f t="shared" si="92"/>
        <v/>
      </c>
      <c r="GU33" t="str">
        <f t="shared" si="93"/>
        <v/>
      </c>
      <c r="GV33" t="str">
        <f t="shared" si="94"/>
        <v>ok</v>
      </c>
      <c r="GW33" t="str">
        <f>IF(OR(GO33="",GM33=""),"",IF(GO33&gt;IFERROR(VLOOKUP(GN33,Модули_спр,3,FALSE),99),"ЛИШНИЙ КАНАЛ",IF(AND(AH33&lt;&gt;"=",COUNTIFS(Линии[_модуль гр.],GM33,Линии[Канал (итог)],GO33,Линии[Канал],"&lt;&gt;=",Линии[Щит],A33)&gt;1),"ДУБЛЬ КАНАЛА","")))</f>
        <v/>
      </c>
      <c r="GX33" s="6" t="str">
        <f t="shared" si="95"/>
        <v/>
      </c>
      <c r="GY33">
        <f t="shared" si="96"/>
        <v>10</v>
      </c>
      <c r="GZ33" t="str">
        <f t="shared" si="97"/>
        <v/>
      </c>
      <c r="HA33" t="str">
        <f>IF(AND(B33="",GT33=""),"",_xlfn.TEXTJOIN("; ",TRUE,IF(AND(B33&lt;&gt;"",FE33=""),"нет фазы",""),IF(AND(B33&lt;&gt;"",N(FY33)=0,EQ33&lt;&gt;"Нет"),"нет мощности",""),IF(AND(GS33&lt;&gt;"",COUNTIFS(Линии[Щит],A33,Линии[Клемма (итог)],GS33)&gt;1),"дубль клеммы "&amp;GS33,""),IF(AND(GV33&lt;&gt;"",GV33&lt;&gt;"ok"),GV33,""),IF(GW33&lt;&gt;"",GW33,""),IF(AND(N(BV33)&gt;=4,N(BR33)=1),BV33&amp;" жил на 1 фазе",""),IF(AND(AX33="R",CA33=1,OR(N(CK33)=0,N(CK33)&gt;30)),"розетка без дифзащиты до 30 мА",""),IFERROR(IF(AND(ISNUMBER(R33),R33&gt;DV33),"потери "&amp;FIXED(R33,1)&amp;" % &gt; "&amp;DV33&amp;" %",""),""),IFERROR(IF(LEFT(GZ33,4)="мало","Iкз мало — отключение &gt; 0,4 с",""),""),IF(AND(B33&lt;&gt;"",BH33=""),"не на схеме",""),IF(AND(CA33=0,B33&lt;&gt;"",FE33&lt;&gt;"",IF(AW33=1,"",FF32)&lt;&gt;"",FE33&lt;&gt;IF(AW33=1,"",FF32)),"фаза не как у автомата группы ("&amp;IF(AW33=1,"",FF32)&amp;")","")))</f>
        <v>не на схеме</v>
      </c>
      <c r="HB33" s="6">
        <f>IF(OR(CA33=0,DA33=""),"",_xlfn.LET(_xlpm.t,IFERROR(_xlfn.XLOOKUP(DA33,Каталог!$U$4:$U$500,Каталог!$G$4:$G$500),""),_xlpm.k,SEARCH("кА",_xlpm.t),IFERROR(--TRIM(RIGHT(SUBSTITUTE(MID(_xlpm.t,MAX(1,_xlpm.k-4),_xlpm.k-MAX(1,_xlpm.k-4))," ",REPT(" ",9)),5)),"")))</f>
        <v>6</v>
      </c>
      <c r="HC33" t="str">
        <f>IF(OR(HB33="",CA33=0),"",IF(_xlfn.XLOOKUP(A33,Щиты[Щит],Щиты[Iкз max на шинах, кА],"")="","",IF(HB33&lt;_xlfn.XLOOKUP(A33,Щиты[Щит],Щиты[Iкз max на шинах, кА]),"Icu "&amp;HB33&amp;" кА &lt; Iкз max","ok")))</f>
        <v/>
      </c>
      <c r="HD33" t="str">
        <f t="shared" si="98"/>
        <v/>
      </c>
      <c r="HE33" t="str">
        <f t="shared" si="99"/>
        <v/>
      </c>
      <c r="HF33" t="str">
        <f t="shared" si="100"/>
        <v/>
      </c>
      <c r="HG33" t="str" cm="1">
        <f t="array" ref="HG33">IF(HF33="","",_xlfn.LET(_xlpm.nd,_xlfn.TEXTSPLIT(HF33,"|"),IF(COLUMNS(_xlpm.nd)&gt;1,A33&amp;"¦"&amp;INDEX(_xlpm.nd,1)&amp;"¦"&amp;INDEX(_xlpm.nd,2),"")))</f>
        <v/>
      </c>
      <c r="HH33" t="str">
        <f t="shared" si="101"/>
        <v/>
      </c>
      <c r="HI33" t="str" cm="1">
        <f t="array" ref="HI33">IF(HF33="","",_xlfn.LET(_xlpm.nd,_xlfn.TEXTSPLIT(HF33,"|"),IF(COLUMNS(_xlpm.nd)&gt;2,A33&amp;"¦"&amp;INDEX(_xlpm.nd,2)&amp;"¦"&amp;INDEX(_xlpm.nd,3),"")))</f>
        <v/>
      </c>
      <c r="HJ33" t="str">
        <f t="shared" si="102"/>
        <v/>
      </c>
      <c r="HK33" t="str" cm="1">
        <f t="array" ref="HK33">IF(HF33="","",_xlfn.LET(_xlpm.nd,_xlfn.TEXTSPLIT(HF33,"|"),IF(COLUMNS(_xlpm.nd)&gt;3,A33&amp;"¦"&amp;INDEX(_xlpm.nd,3)&amp;"¦"&amp;INDEX(_xlpm.nd,4),"")))</f>
        <v/>
      </c>
      <c r="HL33" t="str">
        <f t="shared" si="103"/>
        <v/>
      </c>
      <c r="HM33" t="str" cm="1">
        <f t="array" ref="HM33">IF(HF33="","",_xlfn.LET(_xlpm.nd,_xlfn.TEXTSPLIT(HF33,"|"),IF(COLUMNS(_xlpm.nd)&gt;4,A33&amp;"¦"&amp;INDEX(_xlpm.nd,4)&amp;"¦"&amp;INDEX(_xlpm.nd,5),"")))</f>
        <v/>
      </c>
      <c r="HN33" t="str">
        <f t="shared" si="104"/>
        <v/>
      </c>
      <c r="HO33" t="str" cm="1">
        <f t="array" ref="HO33">IF(HF33="","",_xlfn.LET(_xlpm.nd,_xlfn.TEXTSPLIT(HF33,"|"),IF(COLUMNS(_xlpm.nd)&gt;5,A33&amp;"¦"&amp;INDEX(_xlpm.nd,5)&amp;"¦"&amp;INDEX(_xlpm.nd,6),"")))</f>
        <v/>
      </c>
      <c r="HP33" t="str">
        <f t="shared" si="105"/>
        <v/>
      </c>
      <c r="HQ33" t="str" cm="1">
        <f t="array" ref="HQ33">IF(HF33="","",_xlfn.LET(_xlpm.nd,_xlfn.TEXTSPLIT(HF33,"|"),IF(COLUMNS(_xlpm.nd)&gt;6,A33&amp;"¦"&amp;INDEX(_xlpm.nd,6)&amp;"¦"&amp;INDEX(_xlpm.nd,7),"")))</f>
        <v/>
      </c>
      <c r="HR33" t="str">
        <f t="shared" si="106"/>
        <v/>
      </c>
      <c r="HS33" t="str">
        <f t="shared" si="107"/>
        <v/>
      </c>
      <c r="HT33" t="str">
        <f t="shared" si="108"/>
        <v>XT2</v>
      </c>
      <c r="HU33">
        <f t="shared" si="109"/>
        <v>0</v>
      </c>
      <c r="HV33">
        <f t="shared" si="110"/>
        <v>0</v>
      </c>
      <c r="HW33" t="str">
        <f t="shared" si="111"/>
        <v/>
      </c>
      <c r="HX33" t="str">
        <f t="shared" si="112"/>
        <v/>
      </c>
      <c r="HY33" t="str">
        <f t="shared" si="113"/>
        <v/>
      </c>
      <c r="HZ33" t="str">
        <f t="shared" si="114"/>
        <v/>
      </c>
      <c r="IA33" t="str">
        <f>IF(B33="","",IFERROR(VLOOKUP(B33,УГО_спр,2,FALSE),IFERROR(VLOOKUP(AX33,УГО_спр,2,FALSE),IFERROR(VLOOKUP(LEFT(AX33,2),УГО_спр,2,FALSE),""))))</f>
        <v>Светильник</v>
      </c>
      <c r="IB33" t="str">
        <f>IF(B33="","",IF(OR(IA33="",IA33=0),"BOX",IFERROR(IF(VLOOKUP(IA33,УГО_блоки,3,FALSE)&amp;""&lt;&gt;"",VLOOKUP(IA33,УГО_блоки,3,FALSE),VLOOKUP(IA33,УГО_блоки,2,FALSE)),IA33)))</f>
        <v>LAMP</v>
      </c>
      <c r="IC33">
        <f t="shared" si="115"/>
        <v>1</v>
      </c>
      <c r="ID33" t="str">
        <f>IF(DA33="","",IF(COUNTIF(DA$3:DA33,DA33)=1,MAX(ID$2:ID32)+1,""))</f>
        <v/>
      </c>
      <c r="IE33" t="str">
        <f>IF(CO33="","",IF(COUNTIF(CO$3:CO33,CO33)+COUNTIF(CP$2:CP32,CO33)+COUNTIF(CQ$2:CQ32,CO33)=1,MAX(IE$2:IG32)+1,""))</f>
        <v/>
      </c>
      <c r="IF33" t="str">
        <f>IF(CP33="","",IF(COUNTIF(CO$3:CO33,CP33)+COUNTIF(CP$3:CP33,CP33)+COUNTIF(CQ$2:CQ32,CP33)=1,MAX(IE$2:IG32,IE33)+1,""))</f>
        <v/>
      </c>
      <c r="IG33" t="str">
        <f>IF(CQ33="","",IF(COUNTIF(CO$3:CO33,CQ33)+COUNTIF(CP$3:CP33,CQ33)+COUNTIF(CQ$3:CQ33,CQ33)=1,MAX(IE$2:IG32,IE33,IF33)+1,""))</f>
        <v/>
      </c>
      <c r="IH33" t="str">
        <f t="shared" si="116"/>
        <v>3х1,5</v>
      </c>
      <c r="II33" t="str">
        <f>IF(IH33="","",IF(COUNTIF(IH$3:IH33,IH33)=1,MAX(II$2:II32)+1,""))</f>
        <v/>
      </c>
      <c r="IJ33" t="str">
        <f>IF(GL33="","",COUNTIF(GL$3:GL33,"?*"))</f>
        <v/>
      </c>
      <c r="IK33" t="str">
        <f>IF(OR(GL33="",GN33=""),"",IF(COUNTIFS(GL$3:GL33,"?*",GN$3:GN33,GN33)=1,MAX(IK$2:IK32)+1,""))</f>
        <v/>
      </c>
      <c r="IL33">
        <f t="shared" si="117"/>
        <v>1</v>
      </c>
      <c r="IM33">
        <f>IF(B33="","",COUNTIF(B$3:B33,"?*"))</f>
        <v>31</v>
      </c>
      <c r="IN33">
        <f>IF(GQ33&lt;&gt;1,0,_xlfn.LET(_xlpm.k,MAX(IFERROR(--VLOOKUP(B33,УГО_спр,5,FALSE),0),IFERROR(--VLOOKUP(AX33,УГО_спр,5,FALSE),0),IFERROR(--VLOOKUP(LEFT(AX33,2),УГО_спр,5,FALSE),0)),IF(_xlpm.k&gt;0,_xlpm.k,IF(IFERROR(--LEFT(SUBSTITUTE(IH33,"x","х"),FIND("х",SUBSTITUTE(IH33,"x","х"))-1),3)&gt;3,Каталог!$S$9,1))))</f>
        <v>1</v>
      </c>
      <c r="IO33">
        <f t="shared" si="118"/>
        <v>0</v>
      </c>
      <c r="IP33" t="str">
        <f t="shared" si="119"/>
        <v>авто</v>
      </c>
      <c r="IQ33" t="str">
        <f t="shared" si="120"/>
        <v/>
      </c>
      <c r="IR33">
        <f t="shared" si="121"/>
        <v>0</v>
      </c>
      <c r="IS33">
        <f t="shared" si="122"/>
        <v>1</v>
      </c>
    </row>
    <row r="34" spans="1:253" x14ac:dyDescent="0.3">
      <c r="A34" t="s">
        <v>1104</v>
      </c>
      <c r="B34" t="s">
        <v>1307</v>
      </c>
      <c r="C34" t="str">
        <f>Линии[[#This Row],[_авто наименование]]</f>
        <v>Осветительная группа, пом. 001Б</v>
      </c>
      <c r="D34">
        <v>14</v>
      </c>
      <c r="E34">
        <v>0.1</v>
      </c>
      <c r="G34" t="str">
        <f>Линии[[#This Row],[_авто автомат]]</f>
        <v>1P С10А</v>
      </c>
      <c r="H34" t="str">
        <f>Линии[[#This Row],[_авто утечка]]</f>
        <v/>
      </c>
      <c r="I34" t="str">
        <f>Линии[[#This Row],[_авто управление]]</f>
        <v/>
      </c>
      <c r="J34" t="str">
        <f>Линии[[#This Row],[_авто аппараты]]</f>
        <v/>
      </c>
      <c r="K34">
        <v>1.5</v>
      </c>
      <c r="L34">
        <v>99</v>
      </c>
      <c r="M34" t="str">
        <f>Линии[[#This Row],[_авто фаза]]</f>
        <v>L3</v>
      </c>
      <c r="N34" t="str">
        <f>Линии[[#This Row],[_авто клемма]]</f>
        <v>XT3</v>
      </c>
      <c r="O34" t="str">
        <f t="shared" si="0"/>
        <v>не на схеме</v>
      </c>
      <c r="P34" s="6" cm="1">
        <f t="array" ref="P34">IF(B34="","",IF(BC34&lt;&gt;"",IFERROR(_xlfn.XLOOKUP(BC34,Щиты[Щит],Щиты[Iр, А]),""),IF(BK34=1,IFERROR(_xlfn.XLOOKUP(A34,Щиты[Щит],Щиты[Iр, А]),""),IFERROR(_xlfn.IFS(BR34=1,BN34/((Uн_лин/SQRT(3))*BY34),BR34=3,BN34/(SQRT(3)*Uн_лин*BY34)),""))))</f>
        <v>0.455802844097073</v>
      </c>
      <c r="Q34" s="7">
        <f>IF(B34="","",IFERROR(IF(VLOOKUP(AX34,Потребители_обозначение,4,FALSE)=1,VLOOKUP(AX34,Потребители_обозначение,3,FALSE)*(D34*2-1)+DS34+VLOOKUP(AZ34,Этаж_обозначение,3,FALSE)+VLOOKUP(AZ34,Этаж_обозначение,4,FALSE),VLOOKUP(AX34,Потребители_обозначение,3,FALSE)*(D34*2-1)+DS34),DS34))</f>
        <v>126</v>
      </c>
      <c r="R34" s="6">
        <f t="shared" si="1"/>
        <v>0.89</v>
      </c>
      <c r="S34" t="str">
        <f t="shared" si="2"/>
        <v>ВВГнг(А)-LS (3х1,5)</v>
      </c>
      <c r="T34" t="str">
        <f>IF(BH34="","",IF(BI34="вводной узел","узел ","")&amp;"л."&amp;(INT((BH34-1)/Столбцов_на_лист)+1)&amp;" / "&amp;(MOD(BH34-1,Столбцов_на_лист)+1))</f>
        <v/>
      </c>
      <c r="V34">
        <v>1</v>
      </c>
      <c r="W34">
        <v>230</v>
      </c>
      <c r="X34" t="s">
        <v>564</v>
      </c>
      <c r="AE34" t="s">
        <v>557</v>
      </c>
      <c r="AI34" t="s">
        <v>529</v>
      </c>
      <c r="AJ34" t="s">
        <v>11</v>
      </c>
      <c r="AK34">
        <v>3</v>
      </c>
      <c r="AM34">
        <v>33</v>
      </c>
      <c r="AN34">
        <v>0</v>
      </c>
      <c r="AO34">
        <v>118</v>
      </c>
      <c r="AW34" cm="1">
        <f t="array" ref="AW34">ROW()-ROW(Линии[#Headers])</f>
        <v>32</v>
      </c>
      <c r="AX34" s="6" t="str">
        <f t="shared" si="3"/>
        <v>L</v>
      </c>
      <c r="AY34" t="str">
        <f t="shared" si="4"/>
        <v>00.001Б.3</v>
      </c>
      <c r="AZ34" t="str">
        <f t="shared" si="5"/>
        <v>00</v>
      </c>
      <c r="BA34" t="str">
        <f t="shared" si="6"/>
        <v>001Б.3</v>
      </c>
      <c r="BB34" t="str">
        <f t="shared" si="7"/>
        <v>001Б</v>
      </c>
      <c r="BC34" t="str">
        <f>IF(U34&lt;&gt;"",U34,IF(AND(B34&lt;&gt;"",B34&lt;&gt;A34,ISNUMBER(_xlfn.XMATCH(B34,Щиты[Щит]))),B34,""))</f>
        <v/>
      </c>
      <c r="BD34" t="str" cm="1">
        <f t="array" ref="BD34">IF(B34="","",IF(BC34&lt;&gt;"","Щит "&amp;BC34,_xlfn.LET(_xlpm.nm,IFERROR(_xlfn.XLOOKUP(AX34,Коды_код,Коды_имя)&amp;"",""),_xlpm.md,IFERROR(N(_xlfn.XLOOKUP(AX34,Коды_код,Коды_режим)),1),_xlpm.ex,IF(Имя_режим="по экспликации",IFERROR(_xlfn.XLOOKUP(AZ34&amp;"|"&amp;BB34,Экспликация[Этаж]&amp;"|"&amp;Экспликация[Помещение],Экспликация[Название])&amp;"",""),""),_xlpm.rm,IF(BB34="","",IF(_xlpm.ex&lt;&gt;"",". "&amp;_xlpm.ex&amp;IF(Имя_пом="нет"," ("&amp;BB34&amp;")"," (пом. "&amp;BB34&amp;")"),IF(Имя_пом="нет"," ",", пом. ")&amp;BB34)),IF(_xlpm.nm="","",IF(_xlpm.md=2,_xlpm.nm&amp;" шлейф "&amp;AZ34,_xlpm.nm&amp;_xlpm.rm)))))</f>
        <v>Осветительная группа, пом. 001Б</v>
      </c>
      <c r="BE34" t="str">
        <f t="shared" si="8"/>
        <v>Осветительная группа, пом. 001Б</v>
      </c>
      <c r="BF34">
        <f>IFERROR(_xlfn.XMATCH(A34,Щиты[Щит]),0)</f>
        <v>3</v>
      </c>
      <c r="BG34">
        <f>_xlfn.LET(_xlpm.k,IFERROR(_xlfn.XLOOKUP(A34,Щиты[Щит],Щиты[Листов под вводной узел]),""),IF(_xlpm.k="",1,N(_xlpm.k))*Столбцов_на_лист)</f>
        <v>17</v>
      </c>
      <c r="BH34" t="str">
        <f t="shared" si="9"/>
        <v/>
      </c>
      <c r="BI34" t="str">
        <f t="shared" si="10"/>
        <v/>
      </c>
      <c r="BJ34" s="6">
        <f>IFERROR(N(_xlfn.XLOOKUP(AX34,Коды_код,Коды_квт)),0)</f>
        <v>0</v>
      </c>
      <c r="BK34">
        <f t="shared" si="11"/>
        <v>0</v>
      </c>
      <c r="BL34" t="str">
        <f>IF(B34="","",IF(BC34&lt;&gt;"",IFERROR(_xlfn.XLOOKUP(BC34,Щиты[Щит],Щиты[Руст, кВт]),0),IF(BK34=1,IFERROR(_xlfn.XLOOKUP(A34,Щиты[Щит],Щиты[Руст, кВт]),0),IF(BJ34&gt;0,ROUND(BJ34*MAX(1,N(D34)),3),""))))</f>
        <v/>
      </c>
      <c r="BM34">
        <f t="shared" si="12"/>
        <v>0.1</v>
      </c>
      <c r="BN34" s="6">
        <f>IF(B34="","",IF(BC34&lt;&gt;"",IFERROR(_xlfn.XLOOKUP(BC34,Щиты[Щит],Щиты[Руст, кВт]),0),N(BM34)))</f>
        <v>0.1</v>
      </c>
      <c r="BO34" t="str">
        <f>IF(B34="","",IFERROR(IF(VLOOKUP(AX34,Потребители_обозначение,8,FALSE)=0,"",VLOOKUP(AX34,Потребители_обозначение,8,FALSE)),""))</f>
        <v/>
      </c>
      <c r="BP34">
        <f t="shared" si="13"/>
        <v>230</v>
      </c>
      <c r="BQ34">
        <f>IF(B34="","",IF(BC34&lt;&gt;"",3,IFERROR(IF(N(VLOOKUP(AX34,Потребители_обозначение,9,FALSE))=0,1,VLOOKUP(AX34,Потребители_обозначение,9,FALSE)),1)))</f>
        <v>1</v>
      </c>
      <c r="BR34">
        <f t="shared" si="14"/>
        <v>1</v>
      </c>
      <c r="BS34" t="str">
        <f>IF(B34="","",_xlfn.LET(_xlpm.bc,IFERROR(IF(VLOOKUP(AX34,Потребители_обозначение,6,FALSE)=0,"",VLOOKUP(AX34,Потребители_обозначение,6,FALSE)&amp;""),""),IF(AND(FK34="да",OR(_xlpm.bc="",_xlpm.bc="мс")),Марка_пож,IF(AND(_xlpm.bc="",BC34&lt;&gt;""),"мс",_xlpm.bc))))</f>
        <v/>
      </c>
      <c r="BT34" t="str">
        <f t="shared" si="15"/>
        <v>мс</v>
      </c>
      <c r="BU34">
        <f>IF(B34="","",_xlfn.LET(_xlpm.cc,IFERROR(N(VLOOKUP(AX34,Потребители_обозначение,7,FALSE)),0),IF(_xlpm.cc&gt;0,_xlpm.cc,IF(BT34="","",IF(N(BR34)=3,5,3)))))</f>
        <v>3</v>
      </c>
      <c r="BV34">
        <f t="shared" si="16"/>
        <v>3</v>
      </c>
      <c r="BW34">
        <f>IFERROR(N(VLOOKUP(AX34,Потребители_обозначение,10,FALSE)),0)</f>
        <v>0</v>
      </c>
      <c r="BX34">
        <f>IFERROR(VLOOKUP(AX34,Потребители_обозначение,5,FALSE),0)</f>
        <v>3</v>
      </c>
      <c r="BY34" s="6" cm="1">
        <f t="array" ref="BY34">IF(B34="","",IF(BC34&lt;&gt;"",IFERROR(_xlfn.XLOOKUP(BC34,Щиты[Щит],Щиты[cos φ]),0.95),IF(BK34=1,IFERROR(_xlfn.XLOOKUP(A34,Щиты[Щит],Щиты[cos φ]),0.95),IF(ISNUMBER(Z34),Z34,IFERROR(IF(BX34=2,_xlfn.IFS(BR34=3,VLOOKUP(BN34,Справочная_двигатели,8,FALSE),BR34=1,VLOOKUP(BN34,Справочная_двигатели,10,TRUE)),IF(AND(Методика="нормы 2026",EQ34="Сил"),0.8,0.95)),0.95)))))</f>
        <v>0.95</v>
      </c>
      <c r="BZ34">
        <f t="shared" si="17"/>
        <v>0</v>
      </c>
      <c r="CA34">
        <f t="shared" si="18"/>
        <v>1</v>
      </c>
      <c r="CB34">
        <f t="shared" si="19"/>
        <v>0</v>
      </c>
      <c r="CC34">
        <f t="shared" si="20"/>
        <v>0</v>
      </c>
      <c r="CD34">
        <f t="shared" si="21"/>
        <v>0</v>
      </c>
      <c r="CE34">
        <f t="shared" si="22"/>
        <v>0</v>
      </c>
      <c r="CF34">
        <f t="shared" si="23"/>
        <v>0</v>
      </c>
      <c r="CG34">
        <f>IF(AX34="",0,_xlfn.LET(_xlpm.v,IFERROR(VLOOKUP(B34,УГО_спр,3,FALSE),IFERROR(VLOOKUP(AX34,УГО_спр,3,FALSE),IFERROR(VLOOKUP(LEFT(AX34,2),УГО_спр,3,FALSE),""))),IF(_xlpm.v="да",30,IF(ISNUMBER(_xlpm.v),_xlpm.v,0))))</f>
        <v>0</v>
      </c>
      <c r="CH34" t="str">
        <f t="shared" si="24"/>
        <v/>
      </c>
      <c r="CI34" t="str">
        <f>_xlfn.LET(_xlpm.k,IFERROR(_xlfn.XLOOKUP(AX34,Коды_код,Коды_утечка)&amp;"",""),IF(_xlpm.k="","дифавтомат",_xlpm.k))</f>
        <v>дифавтомат</v>
      </c>
      <c r="CJ34">
        <f t="shared" si="25"/>
        <v>0</v>
      </c>
      <c r="CK34">
        <f t="shared" si="26"/>
        <v>0</v>
      </c>
      <c r="CL34">
        <f>IF(B34="",0,IFERROR(--VLOOKUP(B34,УГО_спр,4,FALSE),IFERROR(--VLOOKUP(AX34,УГО_спр,4,FALSE),IFERROR(--VLOOKUP(LEFT(AX34,2),УГО_спр,4,FALSE),0))))</f>
        <v>10</v>
      </c>
      <c r="CM34" t="str">
        <f>IF(B34="","",IFERROR(_xlfn.XLOOKUP(AX34,Коды_код,Коды_апп)&amp;"",""))</f>
        <v/>
      </c>
      <c r="CN34" t="str">
        <f t="shared" si="27"/>
        <v/>
      </c>
      <c r="CO34" t="str" cm="1">
        <f t="array" ref="CO34">IF(TRIM(CN34&amp;"")="","",IFERROR(TRIM(INDEX(_xlfn.TEXTSPLIT(CN34&amp;";;;",";"),1)),""))</f>
        <v/>
      </c>
      <c r="CP34" t="str" cm="1">
        <f t="array" ref="CP34">IF(TRIM(CN34&amp;"")="","",IFERROR(TRIM(INDEX(_xlfn.TEXTSPLIT(CN34&amp;";;;",";"),2)),""))</f>
        <v/>
      </c>
      <c r="CQ34" t="str" cm="1">
        <f t="array" ref="CQ34">IF(TRIM(CN34&amp;"")="","",IFERROR(TRIM(INDEX(_xlfn.TEXTSPLIT(CN34&amp;";;;",";"),3)),""))</f>
        <v/>
      </c>
      <c r="CR34">
        <f t="shared" si="28"/>
        <v>0</v>
      </c>
      <c r="CS34" t="str">
        <f>IF(B34="","",_xlfn.LET(_xlpm.t,LOWER(AV34&amp;""),IF(ISNUMBER(SEARCH("dim",_xlpm.t)),"DIM",IF(ISNUMBER(SEARCH("dali",_xlpm.t)),"DALI",IF(OR(ISNUMBER(SEARCH("relay",_xlpm.t)),ISNUMBER(SEARCH("реле",_xlpm.t))),"Relay",IF(ISNUMBER(SEARCH("кнопк",_xlpm.t)),"",IFERROR(_xlfn.XLOOKUP(AX34,Коды_код,Коды_упр)&amp;"","")))))))</f>
        <v/>
      </c>
      <c r="CT34" t="str">
        <f t="shared" si="29"/>
        <v/>
      </c>
      <c r="CU34">
        <f>IF(B34="","",_xlfn.LET(_xlpm.ig,N(P34)+IF(AF34="вручную",0,N(CB34)),_xlpm.n0,IFERROR(VLOOKUP(_xlpm.ig,Автомат_номиналы,2,TRUE),0),_xlpm.mn,MAX(CL34,IF(AF34="вручную",0,N(CE34))),MAX(_xlpm.n0,_xlpm.mn,IF(CR34=1,Мин_автомат_БП,0))))</f>
        <v>10</v>
      </c>
      <c r="CV34">
        <f t="shared" si="30"/>
        <v>1</v>
      </c>
      <c r="CW34" t="str">
        <f t="shared" si="31"/>
        <v>1P</v>
      </c>
      <c r="CX34" t="str">
        <f>_xlfn.LET(_xlpm.cc,UPPER(TRIM(IFERROR(_xlfn.XLOOKUP(AX34,Коды_код,Коды_хар)&amp;"",""))),IF(OR(_xlpm.cc="B",_xlpm.cc="В"),"B",IF(_xlpm.cc="D","D","С")))</f>
        <v>С</v>
      </c>
      <c r="CY34" t="str">
        <f t="shared" si="32"/>
        <v>1P С10А</v>
      </c>
      <c r="CZ34" t="str">
        <f t="shared" si="33"/>
        <v>1P С10А</v>
      </c>
      <c r="DA34" t="str">
        <f t="shared" si="34"/>
        <v>1P С10А</v>
      </c>
      <c r="DB34" cm="1">
        <f t="array" ref="DB34">IF(DA34="","",_xlfn.LET(_xlpm.t,SUBSTITUTE(SUBSTITUTE(SUBSTITUTE(UPPER(DA34),"С","C"),"А","A"),"В","B"),_xlpm.tk,_xlfn.TEXTSPLIT(_xlpm.t,"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4" t="str">
        <f t="shared" si="35"/>
        <v>ok</v>
      </c>
      <c r="DD34">
        <f t="shared" si="36"/>
        <v>10</v>
      </c>
      <c r="DE34" t="str">
        <f t="shared" si="37"/>
        <v>1P С10А</v>
      </c>
      <c r="DF34">
        <f t="shared" si="38"/>
        <v>0</v>
      </c>
      <c r="DG34">
        <f t="shared" si="39"/>
        <v>0</v>
      </c>
      <c r="DH34">
        <f t="shared" si="40"/>
        <v>0</v>
      </c>
      <c r="DI34">
        <f t="shared" si="41"/>
        <v>0.455802844097073</v>
      </c>
      <c r="DJ34">
        <f t="shared" si="42"/>
        <v>1</v>
      </c>
      <c r="DK34">
        <f>IF(ISNUMBER(AL34),AL34,К_прокл)</f>
        <v>1</v>
      </c>
      <c r="DL34">
        <f t="shared" si="43"/>
        <v>2</v>
      </c>
      <c r="DM34">
        <f>IFERROR(N(VLOOKUP(BT34,Кабель_обозначение,3,FALSE)),1)</f>
        <v>1</v>
      </c>
      <c r="DN34">
        <f>IFERROR(N(_xlfn.XLOOKUP(A34,Щиты[Щит],Щиты[ΔU до шин, %])),0)</f>
        <v>0.17</v>
      </c>
      <c r="DO34" t="str">
        <f>IFERROR(_xlfn.XLOOKUP(A34,Щиты[Щит],Щиты[Zпетли на шинах, Ом]),"")</f>
        <v/>
      </c>
      <c r="DP34">
        <f>IFERROR(N(_xlfn.XLOOKUP(A34,Щиты[Щит],Щиты[ΔU до шин (подбор), %])),0)</f>
        <v>0.65</v>
      </c>
      <c r="DQ34" t="str">
        <f>IFERROR(_xlfn.XLOOKUP(A34,Щиты[Щит],Щиты[Zпетли на шинах (подбор), Ом]),"")</f>
        <v/>
      </c>
      <c r="DR34" t="str">
        <f t="shared" si="44"/>
        <v/>
      </c>
      <c r="DS34">
        <f t="shared" si="45"/>
        <v>99</v>
      </c>
      <c r="DT34">
        <f t="shared" si="46"/>
        <v>2</v>
      </c>
      <c r="DU34">
        <f t="shared" si="47"/>
        <v>0.31</v>
      </c>
      <c r="DV34" s="6">
        <f>IF(B34="","",IF(IFERROR(VLOOKUP(AX34,УГО_спр,2,FALSE),"")="Светильник",3,4)+IF(Методика="нормы 2026",MIN(0.5,MAX(0,N(Q34)-100)*0.005),0))</f>
        <v>3.13</v>
      </c>
      <c r="DW34" cm="1">
        <f t="array" ref="DW34">IF(OR(B34="",BT34="",DM34&lt;&gt;1),"",_xlfn.LET(_xlpm.sz,Iдоп_S,_xlpm.t_,CHOOSE(DL34,Iдоп_1ж,Iдоп_2ж,Iдоп_3ж)*DJ34*DK34,_xlpm.inn,N(DD34),_xlpm.smin,MAX(1.5,BW34),_xlpm.L_,N(Q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34)*(_xlpm.rho*_xlpm.L_/_xlpm.sz*N(BY34)+_xlpm.xx*_xlpm.L_*N(DU34)/1000)*N(P34)/((Uн_лин/SQRT(3))*1000)*100,999),_xlpm.kz,IF(OR(DG34=1,NOT(ISNUMBER(DQ34)),_xlpm.L_=0,_xlpm.inn=0),1,IFERROR(--(c_min*(Uн_лин*1000/SQRT(3))/(DQ34+2*ρкз_Cu*_xlpm.L_/_xlpm.sz)&gt;=GY34*_xlpm.inn),0)),_xlpm.ok,IFERROR((_xlpm.sz&gt;=_xlpm.smin)*(_xlpm.t_&gt;=_xlpm.inn)*IF(_xlpm.L_&gt;0,(_xlpm.du_+DP34&lt;=DV34+0.00001),1)*_xlpm.kz,0),_xlpm.r_,_xlfn._xlws.FILTER(_xlpm.sz,_xlpm.ok,"не подобрано"),INDEX(_xlpm.r_,1)))</f>
        <v>1.5</v>
      </c>
      <c r="DX34">
        <f t="shared" si="48"/>
        <v>1.5</v>
      </c>
      <c r="DY34" cm="1">
        <f t="array" ref="DY34">IF(OR(B34="",BT34="",DM34&lt;&gt;1),"",_xlfn.LET(_xlpm.sz,Iдоп_S,_xlpm.t_,CHOOSE(DL34,Iдоп_1ж,Iдоп_2ж,Iдоп_3ж)*DJ34*DK34,_xlpm.ok,IFERROR((_xlpm.sz&gt;=MAX(1.5,BW34))*(_xlpm.t_&gt;=N(DD34)),0),_xlpm.r_,_xlfn._xlws.FILTER(_xlpm.sz,_xlpm.ok,""),INDEX(_xlpm.r_,1)))</f>
        <v>1.5</v>
      </c>
      <c r="DZ34" s="6" cm="1">
        <f t="array" ref="DZ34">IFERROR(ROUNDUP(N(DT34)*(_xlfn.XLOOKUP(DY34,INDEX(Кабель_сопротивление,0,1),INDEX(Кабель_сопротивление,0,3))*N(Q34)/DY34*N(BY34)+_xlfn.XLOOKUP(DY34,INDEX(Кабель_сопротивление,0,1),INDEX(Кабель_сопротивление,0,2))*N(Q34)*N(DU34)/1000)*N(P34)/((Uн_лин/SQRT(3))*1000)*100,2),"")</f>
        <v>0.72</v>
      </c>
      <c r="EA34">
        <f>IFERROR(2*ρкз_Cu*N(Q34)/DY34,"")</f>
        <v>4.4184000000000001</v>
      </c>
      <c r="EB34">
        <f>IFERROR(VLOOKUP(DX34,Кабель_сопротивление,3,FALSE),"")</f>
        <v>2.2499999999999999E-2</v>
      </c>
      <c r="EC34">
        <f>IFERROR(VLOOKUP(DX34,Кабель_сопротивление,2,FALSE),"")</f>
        <v>0.11</v>
      </c>
      <c r="ED34">
        <f t="shared" si="49"/>
        <v>0</v>
      </c>
      <c r="EE34">
        <f t="shared" si="50"/>
        <v>118</v>
      </c>
      <c r="EF34">
        <f t="shared" si="51"/>
        <v>1.6407048181524839</v>
      </c>
      <c r="EG34" s="6">
        <f>IFERROR(ROUNDUP(EF34/((Uн_лин/SQRT(3))*1000)*100,2),"")</f>
        <v>0.72</v>
      </c>
      <c r="EH34" t="str">
        <f>IFERROR(VLOOKUP(BT34,Кабель_обозначение,2,FALSE),"")</f>
        <v>ВВГнг(А)-LS</v>
      </c>
      <c r="EI34" t="str">
        <f t="shared" si="52"/>
        <v>ВВГнг(А)-LS (3х1,5)</v>
      </c>
      <c r="EJ34" t="str">
        <f t="shared" si="53"/>
        <v>ВВГнг(А)-LS (3х1,5)
L=126-0,72%</v>
      </c>
      <c r="EK34">
        <f>IFERROR(2*ρкз_Cu*Q34/DX34,"")</f>
        <v>4.4184000000000001</v>
      </c>
      <c r="EL34">
        <f t="shared" si="54"/>
        <v>1.47</v>
      </c>
      <c r="EM34" s="6" t="str">
        <f>IFERROR(IF(OR(B34="",NOT(ISNUMBER(DX34)),N(Q34)=0),"",_xlfn.XLOOKUP(A34,Щиты[Щит],Щиты[Zпетли на шинах, Ом])+EK34),"")</f>
        <v/>
      </c>
      <c r="EN34" s="6" t="str">
        <f>IF(ISNUMBER(EM34),c_min*(Uн_лин*1000/SQRT(3))/EM34,"")</f>
        <v/>
      </c>
      <c r="EO34" s="6" t="str">
        <f>IFERROR(IF(OR(B34="",NOT(ISNUMBER(DX34))),"",1.05*(Uн_лин*1000/SQRT(3))/(_xlfn.XLOOKUP(A34,Щиты[Щит],Щиты[Zmax на шинах, Ом])+EL34)/1000),"")</f>
        <v/>
      </c>
      <c r="EP34" s="6" t="str">
        <f>IF(B34="","",IF(ISNUMBER(Y34),"Сил",IF(IFERROR(_xlfn.XLOOKUP(AX34,Коды_код,Коды_группа)&amp;"","")="","Быт",_xlfn.XLOOKUP(AX34,Коды_код,Коды_группа)&amp;"")))</f>
        <v>Быт</v>
      </c>
      <c r="EQ34" s="6" t="str">
        <f t="shared" si="55"/>
        <v>Быт</v>
      </c>
      <c r="ER34" s="6">
        <f>IF(EQ34="Щит","щит",IF(EQ34="","",IF(EQ34="Быт",IFERROR(_xlfn.XLOOKUP(A34,Щиты[Щит],Щиты[Кс быт]),1),IF(EQ34="Сил",IF(ISNUMBER(Y34),Y34,IF(Методика="нормы 2026",IFERROR(_xlfn.XLOOKUP(A34,Щиты[Щит],Щиты[Кс силовых (табл. 7.5)]),1),1)),IF(OR(EQ34="Пост",EQ34="Отоп"),1,IF(EQ34="ВНГ",0.7,0))))))</f>
        <v>0.8</v>
      </c>
      <c r="ES34">
        <f t="shared" si="56"/>
        <v>1</v>
      </c>
      <c r="ET34">
        <f t="shared" si="57"/>
        <v>0.1</v>
      </c>
      <c r="EU34">
        <f t="shared" si="58"/>
        <v>0.1</v>
      </c>
      <c r="EV34">
        <f t="shared" si="59"/>
        <v>0</v>
      </c>
      <c r="EW34">
        <f t="shared" si="60"/>
        <v>0</v>
      </c>
      <c r="EX34">
        <f t="shared" si="61"/>
        <v>0</v>
      </c>
      <c r="EY34">
        <f t="shared" si="62"/>
        <v>0</v>
      </c>
      <c r="EZ34">
        <f t="shared" si="63"/>
        <v>0.1</v>
      </c>
      <c r="FA34">
        <f t="shared" si="64"/>
        <v>9.5000000000000001E-2</v>
      </c>
      <c r="FB34">
        <f t="shared" si="65"/>
        <v>0.1</v>
      </c>
      <c r="FC34" t="str">
        <f t="shared" si="66"/>
        <v/>
      </c>
      <c r="FD34" t="str">
        <f>IF(B34="","",IF(CA34=0,IF(AW34=1,"",FF33),IF(OR(N(CV34)&gt;=3,N(BR34)&gt;=3),"L1,L2,L3",IFERROR(_xlfn.TEXTBEFORE(_xlfn.TEXTAFTER(_xlfn.XLOOKUP(A34,Щиты[Щит],Щиты[_фазы авто]),";"&amp;AW34&amp;":"),";"),"L1"))))</f>
        <v>L3</v>
      </c>
      <c r="FE34" t="str">
        <f t="shared" si="67"/>
        <v>L3</v>
      </c>
      <c r="FF34" t="str">
        <f t="shared" si="68"/>
        <v>L3</v>
      </c>
      <c r="FG34" cm="1">
        <f t="array" ref="FG34">IFERROR(IF(BX34=2,_xlfn.IFS(BR34=3,VLOOKUP(BN34,Справочная_двигатели,3,FALSE),BR34=1,VLOOKUP(BN34,Справочная_двигатели,5,TRUE)),0),0)</f>
        <v>0</v>
      </c>
      <c r="FH34">
        <f>IFERROR(IF(BX34=3,VLOOKUP(BN34,Справочная_ЛЭД,2,TRUE),0),0)</f>
        <v>50</v>
      </c>
      <c r="FI34" s="6">
        <f t="shared" si="69"/>
        <v>50</v>
      </c>
      <c r="FJ34" t="str" cm="1">
        <f t="array" ref="FJ34">IF(B34="","",IFERROR(INDEX({"I особая","I","II","III"},MATCH(TRIM(AC34&amp;""),{"I особая","I","II","III"},0)),"III"))</f>
        <v>III</v>
      </c>
      <c r="FK34" t="str">
        <f>IF(B34="","",IF(TRIM(AD34&amp;"")&lt;&gt;"",IF(LOWER(TRIM(AD34&amp;""))="да","да","нет"),IF(IFERROR(_xlfn.XLOOKUP(AX34,Коды_код,Коды_пожарная),"")="да","да","нет")))</f>
        <v>нет</v>
      </c>
      <c r="FL34" t="str">
        <f t="shared" si="70"/>
        <v/>
      </c>
      <c r="FM34" t="str">
        <f t="shared" si="71"/>
        <v>основная</v>
      </c>
      <c r="FN34">
        <f t="shared" si="72"/>
        <v>1</v>
      </c>
      <c r="FO34" t="str" cm="1">
        <f t="array" ref="FO34">IF(B34="","",_xlfn.LET(_xlpm.t,IFERROR(_xlfn.XLOOKUP(1,(Шины[Шина]=FM34)*(((Шины[Щит]=A34)+(Шины[Щит]=""))&gt;0),Шины[Тип]),"")&amp;"",IF(_xlpm.t&lt;&gt;"",_xlpm.t,IF(ISNUMBER(SEARCH("ИБП",FM34)),"ИБП",IF(ISNUMBER(SEARCH("ДГУ",FM34)),"ДГУ","Ввод "&amp;FN34)))))</f>
        <v>Ввод 1</v>
      </c>
      <c r="FP34" t="str">
        <f t="shared" si="73"/>
        <v>Ввод 1</v>
      </c>
      <c r="FQ34" t="str">
        <f>IF(B34="","",IF(OR(FO34="ИБП",FO34="ДГУ"),"I особая",IF(FO34="Одиночная","III",_xlfn.XLOOKUP(A34,Щиты[Щит],Щиты[Категория шины «Ввод»],"III"))))</f>
        <v>II</v>
      </c>
      <c r="FR34">
        <f>IF(B34="",0,IFERROR(MATCH(FJ34,{"III","II","I","I особая"},0),1))</f>
        <v>1</v>
      </c>
      <c r="FS34">
        <f t="shared" si="74"/>
        <v>1</v>
      </c>
      <c r="FT34" t="str">
        <f>IF(B34="","",IF(FR34&gt;IFERROR(MATCH(FQ34,{"III","II","I","I особая"},0),1),"НЕ ОБЕСПЕЧЕНА","ОК"))</f>
        <v>ОК</v>
      </c>
      <c r="FU34" t="str">
        <f>IF(A34="","",_xlfn.XLOOKUP(A34,Щиты[Щит],Щиты[Путь],""))</f>
        <v>|ГРЩ-ЖД|ЩГП|ЩО-001|</v>
      </c>
      <c r="FV34" t="str">
        <f>IF(B34="","",IF(AE34&lt;&gt;"",AE34,IF(IFERROR(_xlfn.XLOOKUP(AX34,Коды_код,Коды_вид)&amp;"","")="","Прочее",_xlfn.XLOOKUP(AX34,Коды_код,Коды_вид)&amp;"")))</f>
        <v>Рабочее освещение</v>
      </c>
      <c r="FW34" t="str">
        <f>IF(BH34="","",INT((BH34-1)/Столбцов_на_лист)+1)</f>
        <v/>
      </c>
      <c r="FX34" t="str">
        <f t="shared" si="75"/>
        <v>ВВГнг(А)-LS (3х1,5) L=126-0,72%</v>
      </c>
      <c r="FY34">
        <f t="shared" si="76"/>
        <v>0.1</v>
      </c>
      <c r="FZ34">
        <f t="shared" si="77"/>
        <v>0.46</v>
      </c>
      <c r="GA34">
        <f t="shared" si="78"/>
        <v>1</v>
      </c>
      <c r="GB34">
        <f t="shared" si="79"/>
        <v>0</v>
      </c>
      <c r="GC34">
        <f t="shared" si="80"/>
        <v>0</v>
      </c>
      <c r="GD34" t="str">
        <f>IF(BH34="","",IF(AND(CA34=1,GC34=1),COUNTIFS(A$3:A34,A34,CA$3:CA34,1,GC$3:GC34,1),IF(OR(OR(AW34=1,A34&lt;&gt;A33),AF34="вручную",GC34=0),"",IF(AW34=1,"",GE33))))</f>
        <v/>
      </c>
      <c r="GE34" t="str">
        <f t="shared" si="81"/>
        <v/>
      </c>
      <c r="GF34">
        <f>IF(B34="","",IFERROR(LOOKUP(INDEX(CHOOSE(DL34,Iдоп_1ж,Iдоп_2ж,Iдоп_3ж),MATCH(DX34,Iдоп_S,0))*DJ34*DK34,{6,10,16,20,25,32,40,50,63,80,100,125,160,200,250,315,400,500,630}),""))</f>
        <v>16</v>
      </c>
      <c r="GG34" t="str">
        <f t="shared" si="82"/>
        <v/>
      </c>
      <c r="GH34" t="str">
        <f t="shared" si="83"/>
        <v/>
      </c>
      <c r="GI34" t="str">
        <f t="shared" si="84"/>
        <v/>
      </c>
      <c r="GJ34">
        <f t="shared" si="85"/>
        <v>0</v>
      </c>
      <c r="GK34" t="str">
        <f>IF(OR(AG34="",AG34="-"),"",IFERROR(VLOOKUP(AG34,Модули_спр,2,FALSE),"R"))</f>
        <v/>
      </c>
      <c r="GL34" t="str">
        <f>IF(GK34="","",GK34&amp;"."&amp;COUNTIFS(A$3:A34,A34,GK$3:GK34,GK34))</f>
        <v/>
      </c>
      <c r="GM34" t="str">
        <f t="shared" si="86"/>
        <v/>
      </c>
      <c r="GN34" t="str">
        <f t="shared" si="87"/>
        <v/>
      </c>
      <c r="GO34" t="str">
        <f t="shared" si="88"/>
        <v/>
      </c>
      <c r="GP34" t="str">
        <f t="shared" si="89"/>
        <v/>
      </c>
      <c r="GQ34">
        <f t="shared" si="90"/>
        <v>1</v>
      </c>
      <c r="GR34" t="str">
        <f>IF(GQ34=1,"XT"&amp;COUNTIFS(A$3:A34,A34,GQ$3:GQ34,1),"")</f>
        <v>XT3</v>
      </c>
      <c r="GS34" t="str">
        <f t="shared" si="91"/>
        <v>XT3</v>
      </c>
      <c r="GT34" t="str">
        <f t="shared" si="92"/>
        <v/>
      </c>
      <c r="GU34" t="str">
        <f t="shared" si="93"/>
        <v/>
      </c>
      <c r="GV34" t="str">
        <f t="shared" si="94"/>
        <v>ok</v>
      </c>
      <c r="GW34" t="str">
        <f>IF(OR(GO34="",GM34=""),"",IF(GO34&gt;IFERROR(VLOOKUP(GN34,Модули_спр,3,FALSE),99),"ЛИШНИЙ КАНАЛ",IF(AND(AH34&lt;&gt;"=",COUNTIFS(Линии[_модуль гр.],GM34,Линии[Канал (итог)],GO34,Линии[Канал],"&lt;&gt;=",Линии[Щит],A34)&gt;1),"ДУБЛЬ КАНАЛА","")))</f>
        <v/>
      </c>
      <c r="GX34" s="6" t="str">
        <f t="shared" si="95"/>
        <v/>
      </c>
      <c r="GY34">
        <f t="shared" si="96"/>
        <v>10</v>
      </c>
      <c r="GZ34" t="str">
        <f t="shared" si="97"/>
        <v/>
      </c>
      <c r="HA34" t="str">
        <f>IF(AND(B34="",GT34=""),"",_xlfn.TEXTJOIN("; ",TRUE,IF(AND(B34&lt;&gt;"",FE34=""),"нет фазы",""),IF(AND(B34&lt;&gt;"",N(FY34)=0,EQ34&lt;&gt;"Нет"),"нет мощности",""),IF(AND(GS34&lt;&gt;"",COUNTIFS(Линии[Щит],A34,Линии[Клемма (итог)],GS34)&gt;1),"дубль клеммы "&amp;GS34,""),IF(AND(GV34&lt;&gt;"",GV34&lt;&gt;"ok"),GV34,""),IF(GW34&lt;&gt;"",GW34,""),IF(AND(N(BV34)&gt;=4,N(BR34)=1),BV34&amp;" жил на 1 фазе",""),IF(AND(AX34="R",CA34=1,OR(N(CK34)=0,N(CK34)&gt;30)),"розетка без дифзащиты до 30 мА",""),IFERROR(IF(AND(ISNUMBER(R34),R34&gt;DV34),"потери "&amp;FIXED(R34,1)&amp;" % &gt; "&amp;DV34&amp;" %",""),""),IFERROR(IF(LEFT(GZ34,4)="мало","Iкз мало — отключение &gt; 0,4 с",""),""),IF(AND(B34&lt;&gt;"",BH34=""),"не на схеме",""),IF(AND(CA34=0,B34&lt;&gt;"",FE34&lt;&gt;"",IF(AW34=1,"",FF33)&lt;&gt;"",FE34&lt;&gt;IF(AW34=1,"",FF33)),"фаза не как у автомата группы ("&amp;IF(AW34=1,"",FF33)&amp;")","")))</f>
        <v>не на схеме</v>
      </c>
      <c r="HB34" s="6">
        <f>IF(OR(CA34=0,DA34=""),"",_xlfn.LET(_xlpm.t,IFERROR(_xlfn.XLOOKUP(DA34,Каталог!$U$4:$U$500,Каталог!$G$4:$G$500),""),_xlpm.k,SEARCH("кА",_xlpm.t),IFERROR(--TRIM(RIGHT(SUBSTITUTE(MID(_xlpm.t,MAX(1,_xlpm.k-4),_xlpm.k-MAX(1,_xlpm.k-4))," ",REPT(" ",9)),5)),"")))</f>
        <v>6</v>
      </c>
      <c r="HC34" t="str">
        <f>IF(OR(HB34="",CA34=0),"",IF(_xlfn.XLOOKUP(A34,Щиты[Щит],Щиты[Iкз max на шинах, кА],"")="","",IF(HB34&lt;_xlfn.XLOOKUP(A34,Щиты[Щит],Щиты[Iкз max на шинах, кА]),"Icu "&amp;HB34&amp;" кА &lt; Iкз max","ok")))</f>
        <v/>
      </c>
      <c r="HD34" t="str">
        <f t="shared" si="98"/>
        <v/>
      </c>
      <c r="HE34" t="str">
        <f t="shared" si="99"/>
        <v/>
      </c>
      <c r="HF34" t="str">
        <f t="shared" si="100"/>
        <v/>
      </c>
      <c r="HG34" t="str" cm="1">
        <f t="array" ref="HG34">IF(HF34="","",_xlfn.LET(_xlpm.nd,_xlfn.TEXTSPLIT(HF34,"|"),IF(COLUMNS(_xlpm.nd)&gt;1,A34&amp;"¦"&amp;INDEX(_xlpm.nd,1)&amp;"¦"&amp;INDEX(_xlpm.nd,2),"")))</f>
        <v/>
      </c>
      <c r="HH34" t="str">
        <f t="shared" si="101"/>
        <v/>
      </c>
      <c r="HI34" t="str" cm="1">
        <f t="array" ref="HI34">IF(HF34="","",_xlfn.LET(_xlpm.nd,_xlfn.TEXTSPLIT(HF34,"|"),IF(COLUMNS(_xlpm.nd)&gt;2,A34&amp;"¦"&amp;INDEX(_xlpm.nd,2)&amp;"¦"&amp;INDEX(_xlpm.nd,3),"")))</f>
        <v/>
      </c>
      <c r="HJ34" t="str">
        <f t="shared" si="102"/>
        <v/>
      </c>
      <c r="HK34" t="str" cm="1">
        <f t="array" ref="HK34">IF(HF34="","",_xlfn.LET(_xlpm.nd,_xlfn.TEXTSPLIT(HF34,"|"),IF(COLUMNS(_xlpm.nd)&gt;3,A34&amp;"¦"&amp;INDEX(_xlpm.nd,3)&amp;"¦"&amp;INDEX(_xlpm.nd,4),"")))</f>
        <v/>
      </c>
      <c r="HL34" t="str">
        <f t="shared" si="103"/>
        <v/>
      </c>
      <c r="HM34" t="str" cm="1">
        <f t="array" ref="HM34">IF(HF34="","",_xlfn.LET(_xlpm.nd,_xlfn.TEXTSPLIT(HF34,"|"),IF(COLUMNS(_xlpm.nd)&gt;4,A34&amp;"¦"&amp;INDEX(_xlpm.nd,4)&amp;"¦"&amp;INDEX(_xlpm.nd,5),"")))</f>
        <v/>
      </c>
      <c r="HN34" t="str">
        <f t="shared" si="104"/>
        <v/>
      </c>
      <c r="HO34" t="str" cm="1">
        <f t="array" ref="HO34">IF(HF34="","",_xlfn.LET(_xlpm.nd,_xlfn.TEXTSPLIT(HF34,"|"),IF(COLUMNS(_xlpm.nd)&gt;5,A34&amp;"¦"&amp;INDEX(_xlpm.nd,5)&amp;"¦"&amp;INDEX(_xlpm.nd,6),"")))</f>
        <v/>
      </c>
      <c r="HP34" t="str">
        <f t="shared" si="105"/>
        <v/>
      </c>
      <c r="HQ34" t="str" cm="1">
        <f t="array" ref="HQ34">IF(HF34="","",_xlfn.LET(_xlpm.nd,_xlfn.TEXTSPLIT(HF34,"|"),IF(COLUMNS(_xlpm.nd)&gt;6,A34&amp;"¦"&amp;INDEX(_xlpm.nd,6)&amp;"¦"&amp;INDEX(_xlpm.nd,7),"")))</f>
        <v/>
      </c>
      <c r="HR34" t="str">
        <f t="shared" si="106"/>
        <v/>
      </c>
      <c r="HS34" t="str">
        <f t="shared" si="107"/>
        <v/>
      </c>
      <c r="HT34" t="str">
        <f t="shared" si="108"/>
        <v>XT3</v>
      </c>
      <c r="HU34">
        <f t="shared" si="109"/>
        <v>0</v>
      </c>
      <c r="HV34">
        <f t="shared" si="110"/>
        <v>0</v>
      </c>
      <c r="HW34" t="str">
        <f t="shared" si="111"/>
        <v/>
      </c>
      <c r="HX34" t="str">
        <f t="shared" si="112"/>
        <v/>
      </c>
      <c r="HY34" t="str">
        <f t="shared" si="113"/>
        <v/>
      </c>
      <c r="HZ34" t="str">
        <f t="shared" si="114"/>
        <v/>
      </c>
      <c r="IA34" t="str">
        <f>IF(B34="","",IFERROR(VLOOKUP(B34,УГО_спр,2,FALSE),IFERROR(VLOOKUP(AX34,УГО_спр,2,FALSE),IFERROR(VLOOKUP(LEFT(AX34,2),УГО_спр,2,FALSE),""))))</f>
        <v>Светильник</v>
      </c>
      <c r="IB34" t="str">
        <f>IF(B34="","",IF(OR(IA34="",IA34=0),"BOX",IFERROR(IF(VLOOKUP(IA34,УГО_блоки,3,FALSE)&amp;""&lt;&gt;"",VLOOKUP(IA34,УГО_блоки,3,FALSE),VLOOKUP(IA34,УГО_блоки,2,FALSE)),IA34)))</f>
        <v>LAMP</v>
      </c>
      <c r="IC34">
        <f t="shared" si="115"/>
        <v>1</v>
      </c>
      <c r="ID34" t="str">
        <f>IF(DA34="","",IF(COUNTIF(DA$3:DA34,DA34)=1,MAX(ID$2:ID33)+1,""))</f>
        <v/>
      </c>
      <c r="IE34" t="str">
        <f>IF(CO34="","",IF(COUNTIF(CO$3:CO34,CO34)+COUNTIF(CP$2:CP33,CO34)+COUNTIF(CQ$2:CQ33,CO34)=1,MAX(IE$2:IG33)+1,""))</f>
        <v/>
      </c>
      <c r="IF34" t="str">
        <f>IF(CP34="","",IF(COUNTIF(CO$3:CO34,CP34)+COUNTIF(CP$3:CP34,CP34)+COUNTIF(CQ$2:CQ33,CP34)=1,MAX(IE$2:IG33,IE34)+1,""))</f>
        <v/>
      </c>
      <c r="IG34" t="str">
        <f>IF(CQ34="","",IF(COUNTIF(CO$3:CO34,CQ34)+COUNTIF(CP$3:CP34,CQ34)+COUNTIF(CQ$3:CQ34,CQ34)=1,MAX(IE$2:IG33,IE34,IF34)+1,""))</f>
        <v/>
      </c>
      <c r="IH34" t="str">
        <f t="shared" si="116"/>
        <v>3х1,5</v>
      </c>
      <c r="II34" t="str">
        <f>IF(IH34="","",IF(COUNTIF(IH$3:IH34,IH34)=1,MAX(II$2:II33)+1,""))</f>
        <v/>
      </c>
      <c r="IJ34" t="str">
        <f>IF(GL34="","",COUNTIF(GL$3:GL34,"?*"))</f>
        <v/>
      </c>
      <c r="IK34" t="str">
        <f>IF(OR(GL34="",GN34=""),"",IF(COUNTIFS(GL$3:GL34,"?*",GN$3:GN34,GN34)=1,MAX(IK$2:IK33)+1,""))</f>
        <v/>
      </c>
      <c r="IL34">
        <f t="shared" si="117"/>
        <v>1</v>
      </c>
      <c r="IM34">
        <f>IF(B34="","",COUNTIF(B$3:B34,"?*"))</f>
        <v>32</v>
      </c>
      <c r="IN34">
        <f>IF(GQ34&lt;&gt;1,0,_xlfn.LET(_xlpm.k,MAX(IFERROR(--VLOOKUP(B34,УГО_спр,5,FALSE),0),IFERROR(--VLOOKUP(AX34,УГО_спр,5,FALSE),0),IFERROR(--VLOOKUP(LEFT(AX34,2),УГО_спр,5,FALSE),0)),IF(_xlpm.k&gt;0,_xlpm.k,IF(IFERROR(--LEFT(SUBSTITUTE(IH34,"x","х"),FIND("х",SUBSTITUTE(IH34,"x","х"))-1),3)&gt;3,Каталог!$S$9,1))))</f>
        <v>1</v>
      </c>
      <c r="IO34">
        <f t="shared" si="118"/>
        <v>0</v>
      </c>
      <c r="IP34" t="str">
        <f t="shared" si="119"/>
        <v>авто</v>
      </c>
      <c r="IQ34" t="str">
        <f t="shared" si="120"/>
        <v/>
      </c>
      <c r="IR34">
        <f t="shared" si="121"/>
        <v>0</v>
      </c>
      <c r="IS34">
        <f t="shared" si="122"/>
        <v>1</v>
      </c>
    </row>
    <row r="35" spans="1:253" x14ac:dyDescent="0.3">
      <c r="A35" t="s">
        <v>1104</v>
      </c>
      <c r="B35" t="s">
        <v>1308</v>
      </c>
      <c r="C35" t="str">
        <f>Линии[[#This Row],[_авто наименование]]</f>
        <v>Осветительная группа, пом. 001Т</v>
      </c>
      <c r="D35">
        <v>1</v>
      </c>
      <c r="E35">
        <v>0.1</v>
      </c>
      <c r="G35" t="str">
        <f>Линии[[#This Row],[_авто автомат]]</f>
        <v>1P С10А</v>
      </c>
      <c r="H35" t="str">
        <f>Линии[[#This Row],[_авто утечка]]</f>
        <v/>
      </c>
      <c r="I35" t="str">
        <f>Линии[[#This Row],[_авто управление]]</f>
        <v/>
      </c>
      <c r="J35" t="str">
        <f>Линии[[#This Row],[_авто аппараты]]</f>
        <v/>
      </c>
      <c r="K35">
        <v>1.5</v>
      </c>
      <c r="L35">
        <v>25</v>
      </c>
      <c r="M35" t="str">
        <f>Линии[[#This Row],[_авто фаза]]</f>
        <v>L1</v>
      </c>
      <c r="N35" t="str">
        <f>Линии[[#This Row],[_авто клемма]]</f>
        <v>XT4</v>
      </c>
      <c r="O35" t="str">
        <f t="shared" si="0"/>
        <v>не на схеме</v>
      </c>
      <c r="P35" s="6" cm="1">
        <f t="array" ref="P35">IF(B35="","",IF(BC35&lt;&gt;"",IFERROR(_xlfn.XLOOKUP(BC35,Щиты[Щит],Щиты[Iр, А]),""),IF(BK35=1,IFERROR(_xlfn.XLOOKUP(A35,Щиты[Щит],Щиты[Iр, А]),""),IFERROR(_xlfn.IFS(BR35=1,BN35/((Uн_лин/SQRT(3))*BY35),BR35=3,BN35/(SQRT(3)*Uн_лин*BY35)),""))))</f>
        <v>0.455802844097073</v>
      </c>
      <c r="Q35" s="7">
        <f>IF(B35="","",IFERROR(IF(VLOOKUP(AX35,Потребители_обозначение,4,FALSE)=1,VLOOKUP(AX35,Потребители_обозначение,3,FALSE)*(D35*2-1)+DS35+VLOOKUP(AZ35,Этаж_обозначение,3,FALSE)+VLOOKUP(AZ35,Этаж_обозначение,4,FALSE),VLOOKUP(AX35,Потребители_обозначение,3,FALSE)*(D35*2-1)+DS35),DS35))</f>
        <v>26</v>
      </c>
      <c r="R35" s="6">
        <f t="shared" si="1"/>
        <v>0.32000000000000006</v>
      </c>
      <c r="S35" t="str">
        <f t="shared" si="2"/>
        <v>ВВГнг(А)-LS (3х1,5)</v>
      </c>
      <c r="T35" t="str">
        <f>IF(BH35="","",IF(BI35="вводной узел","узел ","")&amp;"л."&amp;(INT((BH35-1)/Столбцов_на_лист)+1)&amp;" / "&amp;(MOD(BH35-1,Столбцов_на_лист)+1))</f>
        <v/>
      </c>
      <c r="V35">
        <v>1</v>
      </c>
      <c r="W35">
        <v>230</v>
      </c>
      <c r="X35" t="s">
        <v>564</v>
      </c>
      <c r="AE35" t="s">
        <v>557</v>
      </c>
      <c r="AI35" t="s">
        <v>529</v>
      </c>
      <c r="AJ35" t="s">
        <v>11</v>
      </c>
      <c r="AK35">
        <v>3</v>
      </c>
      <c r="AM35">
        <v>3</v>
      </c>
      <c r="AN35">
        <v>0</v>
      </c>
      <c r="AO35">
        <v>27</v>
      </c>
      <c r="AW35" cm="1">
        <f t="array" ref="AW35">ROW()-ROW(Линии[#Headers])</f>
        <v>33</v>
      </c>
      <c r="AX35" s="6" t="str">
        <f t="shared" si="3"/>
        <v>L</v>
      </c>
      <c r="AY35" t="str">
        <f t="shared" si="4"/>
        <v>00.001Т.1</v>
      </c>
      <c r="AZ35" t="str">
        <f t="shared" si="5"/>
        <v>00</v>
      </c>
      <c r="BA35" t="str">
        <f t="shared" si="6"/>
        <v>001Т.1</v>
      </c>
      <c r="BB35" t="str">
        <f t="shared" si="7"/>
        <v>001Т</v>
      </c>
      <c r="BC35" t="str">
        <f>IF(U35&lt;&gt;"",U35,IF(AND(B35&lt;&gt;"",B35&lt;&gt;A35,ISNUMBER(_xlfn.XMATCH(B35,Щиты[Щит]))),B35,""))</f>
        <v/>
      </c>
      <c r="BD35" t="str" cm="1">
        <f t="array" ref="BD35">IF(B35="","",IF(BC35&lt;&gt;"","Щит "&amp;BC35,_xlfn.LET(_xlpm.nm,IFERROR(_xlfn.XLOOKUP(AX35,Коды_код,Коды_имя)&amp;"",""),_xlpm.md,IFERROR(N(_xlfn.XLOOKUP(AX35,Коды_код,Коды_режим)),1),_xlpm.ex,IF(Имя_режим="по экспликации",IFERROR(_xlfn.XLOOKUP(AZ35&amp;"|"&amp;BB35,Экспликация[Этаж]&amp;"|"&amp;Экспликация[Помещение],Экспликация[Название])&amp;"",""),""),_xlpm.rm,IF(BB35="","",IF(_xlpm.ex&lt;&gt;"",". "&amp;_xlpm.ex&amp;IF(Имя_пом="нет"," ("&amp;BB35&amp;")"," (пом. "&amp;BB35&amp;")"),IF(Имя_пом="нет"," ",", пом. ")&amp;BB35)),IF(_xlpm.nm="","",IF(_xlpm.md=2,_xlpm.nm&amp;" шлейф "&amp;AZ35,_xlpm.nm&amp;_xlpm.rm)))))</f>
        <v>Осветительная группа, пом. 001Т</v>
      </c>
      <c r="BE35" t="str">
        <f t="shared" si="8"/>
        <v>Осветительная группа, пом. 001Т</v>
      </c>
      <c r="BF35">
        <f>IFERROR(_xlfn.XMATCH(A35,Щиты[Щит]),0)</f>
        <v>3</v>
      </c>
      <c r="BG35">
        <f>_xlfn.LET(_xlpm.k,IFERROR(_xlfn.XLOOKUP(A35,Щиты[Щит],Щиты[Листов под вводной узел]),""),IF(_xlpm.k="",1,N(_xlpm.k))*Столбцов_на_лист)</f>
        <v>17</v>
      </c>
      <c r="BH35" t="str">
        <f t="shared" si="9"/>
        <v/>
      </c>
      <c r="BI35" t="str">
        <f t="shared" si="10"/>
        <v/>
      </c>
      <c r="BJ35" s="6">
        <f>IFERROR(N(_xlfn.XLOOKUP(AX35,Коды_код,Коды_квт)),0)</f>
        <v>0</v>
      </c>
      <c r="BK35">
        <f t="shared" si="11"/>
        <v>0</v>
      </c>
      <c r="BL35" t="str">
        <f>IF(B35="","",IF(BC35&lt;&gt;"",IFERROR(_xlfn.XLOOKUP(BC35,Щиты[Щит],Щиты[Руст, кВт]),0),IF(BK35=1,IFERROR(_xlfn.XLOOKUP(A35,Щиты[Щит],Щиты[Руст, кВт]),0),IF(BJ35&gt;0,ROUND(BJ35*MAX(1,N(D35)),3),""))))</f>
        <v/>
      </c>
      <c r="BM35">
        <f t="shared" si="12"/>
        <v>0.1</v>
      </c>
      <c r="BN35" s="6">
        <f>IF(B35="","",IF(BC35&lt;&gt;"",IFERROR(_xlfn.XLOOKUP(BC35,Щиты[Щит],Щиты[Руст, кВт]),0),N(BM35)))</f>
        <v>0.1</v>
      </c>
      <c r="BO35" t="str">
        <f>IF(B35="","",IFERROR(IF(VLOOKUP(AX35,Потребители_обозначение,8,FALSE)=0,"",VLOOKUP(AX35,Потребители_обозначение,8,FALSE)),""))</f>
        <v/>
      </c>
      <c r="BP35">
        <f t="shared" si="13"/>
        <v>230</v>
      </c>
      <c r="BQ35">
        <f>IF(B35="","",IF(BC35&lt;&gt;"",3,IFERROR(IF(N(VLOOKUP(AX35,Потребители_обозначение,9,FALSE))=0,1,VLOOKUP(AX35,Потребители_обозначение,9,FALSE)),1)))</f>
        <v>1</v>
      </c>
      <c r="BR35">
        <f t="shared" si="14"/>
        <v>1</v>
      </c>
      <c r="BS35" t="str">
        <f>IF(B35="","",_xlfn.LET(_xlpm.bc,IFERROR(IF(VLOOKUP(AX35,Потребители_обозначение,6,FALSE)=0,"",VLOOKUP(AX35,Потребители_обозначение,6,FALSE)&amp;""),""),IF(AND(FK35="да",OR(_xlpm.bc="",_xlpm.bc="мс")),Марка_пож,IF(AND(_xlpm.bc="",BC35&lt;&gt;""),"мс",_xlpm.bc))))</f>
        <v/>
      </c>
      <c r="BT35" t="str">
        <f t="shared" si="15"/>
        <v>мс</v>
      </c>
      <c r="BU35">
        <f>IF(B35="","",_xlfn.LET(_xlpm.cc,IFERROR(N(VLOOKUP(AX35,Потребители_обозначение,7,FALSE)),0),IF(_xlpm.cc&gt;0,_xlpm.cc,IF(BT35="","",IF(N(BR35)=3,5,3)))))</f>
        <v>3</v>
      </c>
      <c r="BV35">
        <f t="shared" si="16"/>
        <v>3</v>
      </c>
      <c r="BW35">
        <f>IFERROR(N(VLOOKUP(AX35,Потребители_обозначение,10,FALSE)),0)</f>
        <v>0</v>
      </c>
      <c r="BX35">
        <f>IFERROR(VLOOKUP(AX35,Потребители_обозначение,5,FALSE),0)</f>
        <v>3</v>
      </c>
      <c r="BY35" s="6" cm="1">
        <f t="array" ref="BY35">IF(B35="","",IF(BC35&lt;&gt;"",IFERROR(_xlfn.XLOOKUP(BC35,Щиты[Щит],Щиты[cos φ]),0.95),IF(BK35=1,IFERROR(_xlfn.XLOOKUP(A35,Щиты[Щит],Щиты[cos φ]),0.95),IF(ISNUMBER(Z35),Z35,IFERROR(IF(BX35=2,_xlfn.IFS(BR35=3,VLOOKUP(BN35,Справочная_двигатели,8,FALSE),BR35=1,VLOOKUP(BN35,Справочная_двигатели,10,TRUE)),IF(AND(Методика="нормы 2026",EQ35="Сил"),0.8,0.95)),0.95)))))</f>
        <v>0.95</v>
      </c>
      <c r="BZ35">
        <f t="shared" si="17"/>
        <v>0</v>
      </c>
      <c r="CA35">
        <f t="shared" si="18"/>
        <v>1</v>
      </c>
      <c r="CB35">
        <f t="shared" si="19"/>
        <v>0</v>
      </c>
      <c r="CC35">
        <f t="shared" si="20"/>
        <v>0</v>
      </c>
      <c r="CD35">
        <f t="shared" si="21"/>
        <v>0</v>
      </c>
      <c r="CE35">
        <f t="shared" si="22"/>
        <v>0</v>
      </c>
      <c r="CF35">
        <f t="shared" si="23"/>
        <v>0</v>
      </c>
      <c r="CG35">
        <f>IF(AX35="",0,_xlfn.LET(_xlpm.v,IFERROR(VLOOKUP(B35,УГО_спр,3,FALSE),IFERROR(VLOOKUP(AX35,УГО_спр,3,FALSE),IFERROR(VLOOKUP(LEFT(AX35,2),УГО_спр,3,FALSE),""))),IF(_xlpm.v="да",30,IF(ISNUMBER(_xlpm.v),_xlpm.v,0))))</f>
        <v>0</v>
      </c>
      <c r="CH35" t="str">
        <f t="shared" si="24"/>
        <v/>
      </c>
      <c r="CI35" t="str">
        <f>_xlfn.LET(_xlpm.k,IFERROR(_xlfn.XLOOKUP(AX35,Коды_код,Коды_утечка)&amp;"",""),IF(_xlpm.k="","дифавтомат",_xlpm.k))</f>
        <v>дифавтомат</v>
      </c>
      <c r="CJ35">
        <f t="shared" si="25"/>
        <v>0</v>
      </c>
      <c r="CK35">
        <f t="shared" si="26"/>
        <v>0</v>
      </c>
      <c r="CL35">
        <f>IF(B35="",0,IFERROR(--VLOOKUP(B35,УГО_спр,4,FALSE),IFERROR(--VLOOKUP(AX35,УГО_спр,4,FALSE),IFERROR(--VLOOKUP(LEFT(AX35,2),УГО_спр,4,FALSE),0))))</f>
        <v>10</v>
      </c>
      <c r="CM35" t="str">
        <f>IF(B35="","",IFERROR(_xlfn.XLOOKUP(AX35,Коды_код,Коды_апп)&amp;"",""))</f>
        <v/>
      </c>
      <c r="CN35" t="str">
        <f t="shared" si="27"/>
        <v/>
      </c>
      <c r="CO35" t="str" cm="1">
        <f t="array" ref="CO35">IF(TRIM(CN35&amp;"")="","",IFERROR(TRIM(INDEX(_xlfn.TEXTSPLIT(CN35&amp;";;;",";"),1)),""))</f>
        <v/>
      </c>
      <c r="CP35" t="str" cm="1">
        <f t="array" ref="CP35">IF(TRIM(CN35&amp;"")="","",IFERROR(TRIM(INDEX(_xlfn.TEXTSPLIT(CN35&amp;";;;",";"),2)),""))</f>
        <v/>
      </c>
      <c r="CQ35" t="str" cm="1">
        <f t="array" ref="CQ35">IF(TRIM(CN35&amp;"")="","",IFERROR(TRIM(INDEX(_xlfn.TEXTSPLIT(CN35&amp;";;;",";"),3)),""))</f>
        <v/>
      </c>
      <c r="CR35">
        <f t="shared" si="28"/>
        <v>0</v>
      </c>
      <c r="CS35" t="str">
        <f>IF(B35="","",_xlfn.LET(_xlpm.t,LOWER(AV35&amp;""),IF(ISNUMBER(SEARCH("dim",_xlpm.t)),"DIM",IF(ISNUMBER(SEARCH("dali",_xlpm.t)),"DALI",IF(OR(ISNUMBER(SEARCH("relay",_xlpm.t)),ISNUMBER(SEARCH("реле",_xlpm.t))),"Relay",IF(ISNUMBER(SEARCH("кнопк",_xlpm.t)),"",IFERROR(_xlfn.XLOOKUP(AX35,Коды_код,Коды_упр)&amp;"","")))))))</f>
        <v/>
      </c>
      <c r="CT35" t="str">
        <f t="shared" si="29"/>
        <v/>
      </c>
      <c r="CU35">
        <f>IF(B35="","",_xlfn.LET(_xlpm.ig,N(P35)+IF(AF35="вручную",0,N(CB35)),_xlpm.n0,IFERROR(VLOOKUP(_xlpm.ig,Автомат_номиналы,2,TRUE),0),_xlpm.mn,MAX(CL35,IF(AF35="вручную",0,N(CE35))),MAX(_xlpm.n0,_xlpm.mn,IF(CR35=1,Мин_автомат_БП,0))))</f>
        <v>10</v>
      </c>
      <c r="CV35">
        <f t="shared" si="30"/>
        <v>1</v>
      </c>
      <c r="CW35" t="str">
        <f t="shared" si="31"/>
        <v>1P</v>
      </c>
      <c r="CX35" t="str">
        <f>_xlfn.LET(_xlpm.cc,UPPER(TRIM(IFERROR(_xlfn.XLOOKUP(AX35,Коды_код,Коды_хар)&amp;"",""))),IF(OR(_xlpm.cc="B",_xlpm.cc="В"),"B",IF(_xlpm.cc="D","D","С")))</f>
        <v>С</v>
      </c>
      <c r="CY35" t="str">
        <f t="shared" si="32"/>
        <v>1P С10А</v>
      </c>
      <c r="CZ35" t="str">
        <f t="shared" si="33"/>
        <v>1P С10А</v>
      </c>
      <c r="DA35" t="str">
        <f t="shared" si="34"/>
        <v>1P С10А</v>
      </c>
      <c r="DB35" cm="1">
        <f t="array" ref="DB35">IF(DA35="","",_xlfn.LET(_xlpm.t,SUBSTITUTE(SUBSTITUTE(SUBSTITUTE(UPPER(DA35),"С","C"),"А","A"),"В","B"),_xlpm.tk,_xlfn.TEXTSPLIT(_xlpm.t,"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5" t="str">
        <f t="shared" si="35"/>
        <v>ok</v>
      </c>
      <c r="DD35">
        <f t="shared" si="36"/>
        <v>10</v>
      </c>
      <c r="DE35" t="str">
        <f t="shared" si="37"/>
        <v>1P С10А</v>
      </c>
      <c r="DF35">
        <f t="shared" si="38"/>
        <v>0</v>
      </c>
      <c r="DG35">
        <f t="shared" si="39"/>
        <v>0</v>
      </c>
      <c r="DH35">
        <f t="shared" si="40"/>
        <v>0</v>
      </c>
      <c r="DI35">
        <f t="shared" si="41"/>
        <v>0.455802844097073</v>
      </c>
      <c r="DJ35">
        <f t="shared" si="42"/>
        <v>1</v>
      </c>
      <c r="DK35">
        <f>IF(ISNUMBER(AL35),AL35,К_прокл)</f>
        <v>1</v>
      </c>
      <c r="DL35">
        <f t="shared" si="43"/>
        <v>2</v>
      </c>
      <c r="DM35">
        <f>IFERROR(N(VLOOKUP(BT35,Кабель_обозначение,3,FALSE)),1)</f>
        <v>1</v>
      </c>
      <c r="DN35">
        <f>IFERROR(N(_xlfn.XLOOKUP(A35,Щиты[Щит],Щиты[ΔU до шин, %])),0)</f>
        <v>0.17</v>
      </c>
      <c r="DO35" t="str">
        <f>IFERROR(_xlfn.XLOOKUP(A35,Щиты[Щит],Щиты[Zпетли на шинах, Ом]),"")</f>
        <v/>
      </c>
      <c r="DP35">
        <f>IFERROR(N(_xlfn.XLOOKUP(A35,Щиты[Щит],Щиты[ΔU до шин (подбор), %])),0)</f>
        <v>0.65</v>
      </c>
      <c r="DQ35" t="str">
        <f>IFERROR(_xlfn.XLOOKUP(A35,Щиты[Щит],Щиты[Zпетли на шинах (подбор), Ом]),"")</f>
        <v/>
      </c>
      <c r="DR35" t="str">
        <f t="shared" si="44"/>
        <v/>
      </c>
      <c r="DS35">
        <f t="shared" si="45"/>
        <v>25</v>
      </c>
      <c r="DT35">
        <f t="shared" si="46"/>
        <v>2</v>
      </c>
      <c r="DU35">
        <f t="shared" si="47"/>
        <v>0.31</v>
      </c>
      <c r="DV35" s="6">
        <f>IF(B35="","",IF(IFERROR(VLOOKUP(AX35,УГО_спр,2,FALSE),"")="Светильник",3,4)+IF(Методика="нормы 2026",MIN(0.5,MAX(0,N(Q35)-100)*0.005),0))</f>
        <v>3</v>
      </c>
      <c r="DW35" cm="1">
        <f t="array" ref="DW35">IF(OR(B35="",BT35="",DM35&lt;&gt;1),"",_xlfn.LET(_xlpm.sz,Iдоп_S,_xlpm.t_,CHOOSE(DL35,Iдоп_1ж,Iдоп_2ж,Iдоп_3ж)*DJ35*DK35,_xlpm.inn,N(DD35),_xlpm.smin,MAX(1.5,BW35),_xlpm.L_,N(Q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35)*(_xlpm.rho*_xlpm.L_/_xlpm.sz*N(BY35)+_xlpm.xx*_xlpm.L_*N(DU35)/1000)*N(P35)/((Uн_лин/SQRT(3))*1000)*100,999),_xlpm.kz,IF(OR(DG35=1,NOT(ISNUMBER(DQ35)),_xlpm.L_=0,_xlpm.inn=0),1,IFERROR(--(c_min*(Uн_лин*1000/SQRT(3))/(DQ35+2*ρкз_Cu*_xlpm.L_/_xlpm.sz)&gt;=GY35*_xlpm.inn),0)),_xlpm.ok,IFERROR((_xlpm.sz&gt;=_xlpm.smin)*(_xlpm.t_&gt;=_xlpm.inn)*IF(_xlpm.L_&gt;0,(_xlpm.du_+DP35&lt;=DV35+0.00001),1)*_xlpm.kz,0),_xlpm.r_,_xlfn._xlws.FILTER(_xlpm.sz,_xlpm.ok,"не подобрано"),INDEX(_xlpm.r_,1)))</f>
        <v>1.5</v>
      </c>
      <c r="DX35">
        <f t="shared" si="48"/>
        <v>1.5</v>
      </c>
      <c r="DY35" cm="1">
        <f t="array" ref="DY35">IF(OR(B35="",BT35="",DM35&lt;&gt;1),"",_xlfn.LET(_xlpm.sz,Iдоп_S,_xlpm.t_,CHOOSE(DL35,Iдоп_1ж,Iдоп_2ж,Iдоп_3ж)*DJ35*DK35,_xlpm.ok,IFERROR((_xlpm.sz&gt;=MAX(1.5,BW35))*(_xlpm.t_&gt;=N(DD35)),0),_xlpm.r_,_xlfn._xlws.FILTER(_xlpm.sz,_xlpm.ok,""),INDEX(_xlpm.r_,1)))</f>
        <v>1.5</v>
      </c>
      <c r="DZ35" s="6" cm="1">
        <f t="array" ref="DZ35">IFERROR(ROUNDUP(N(DT35)*(_xlfn.XLOOKUP(DY35,INDEX(Кабель_сопротивление,0,1),INDEX(Кабель_сопротивление,0,3))*N(Q35)/DY35*N(BY35)+_xlfn.XLOOKUP(DY35,INDEX(Кабель_сопротивление,0,1),INDEX(Кабель_сопротивление,0,2))*N(Q35)*N(DU35)/1000)*N(P35)/((Uн_лин/SQRT(3))*1000)*100,2),"")</f>
        <v>0.15000000000000002</v>
      </c>
      <c r="EA35">
        <f>IFERROR(2*ρкз_Cu*N(Q35)/DY35,"")</f>
        <v>0.91173333333333328</v>
      </c>
      <c r="EB35">
        <f>IFERROR(VLOOKUP(DX35,Кабель_сопротивление,3,FALSE),"")</f>
        <v>2.2499999999999999E-2</v>
      </c>
      <c r="EC35">
        <f>IFERROR(VLOOKUP(DX35,Кабель_сопротивление,2,FALSE),"")</f>
        <v>0.11</v>
      </c>
      <c r="ED35">
        <f t="shared" si="49"/>
        <v>0</v>
      </c>
      <c r="EE35">
        <f t="shared" si="50"/>
        <v>27</v>
      </c>
      <c r="EF35">
        <f t="shared" si="51"/>
        <v>0.338558137079084</v>
      </c>
      <c r="EG35" s="6">
        <f>IFERROR(ROUNDUP(EF35/((Uн_лин/SQRT(3))*1000)*100,2),"")</f>
        <v>0.15000000000000002</v>
      </c>
      <c r="EH35" t="str">
        <f>IFERROR(VLOOKUP(BT35,Кабель_обозначение,2,FALSE),"")</f>
        <v>ВВГнг(А)-LS</v>
      </c>
      <c r="EI35" t="str">
        <f t="shared" si="52"/>
        <v>ВВГнг(А)-LS (3х1,5)</v>
      </c>
      <c r="EJ35" t="str">
        <f t="shared" si="53"/>
        <v>ВВГнг(А)-LS (3х1,5)
L=26-0,15%</v>
      </c>
      <c r="EK35">
        <f>IFERROR(2*ρкз_Cu*Q35/DX35,"")</f>
        <v>0.91173333333333328</v>
      </c>
      <c r="EL35">
        <f t="shared" si="54"/>
        <v>0.3033333333333334</v>
      </c>
      <c r="EM35" s="6" t="str">
        <f>IFERROR(IF(OR(B35="",NOT(ISNUMBER(DX35)),N(Q35)=0),"",_xlfn.XLOOKUP(A35,Щиты[Щит],Щиты[Zпетли на шинах, Ом])+EK35),"")</f>
        <v/>
      </c>
      <c r="EN35" s="6" t="str">
        <f>IF(ISNUMBER(EM35),c_min*(Uн_лин*1000/SQRT(3))/EM35,"")</f>
        <v/>
      </c>
      <c r="EO35" s="6" t="str">
        <f>IFERROR(IF(OR(B35="",NOT(ISNUMBER(DX35))),"",1.05*(Uн_лин*1000/SQRT(3))/(_xlfn.XLOOKUP(A35,Щиты[Щит],Щиты[Zmax на шинах, Ом])+EL35)/1000),"")</f>
        <v/>
      </c>
      <c r="EP35" s="6" t="str">
        <f>IF(B35="","",IF(ISNUMBER(Y35),"Сил",IF(IFERROR(_xlfn.XLOOKUP(AX35,Коды_код,Коды_группа)&amp;"","")="","Быт",_xlfn.XLOOKUP(AX35,Коды_код,Коды_группа)&amp;"")))</f>
        <v>Быт</v>
      </c>
      <c r="EQ35" s="6" t="str">
        <f t="shared" si="55"/>
        <v>Быт</v>
      </c>
      <c r="ER35" s="6">
        <f>IF(EQ35="Щит","щит",IF(EQ35="","",IF(EQ35="Быт",IFERROR(_xlfn.XLOOKUP(A35,Щиты[Щит],Щиты[Кс быт]),1),IF(EQ35="Сил",IF(ISNUMBER(Y35),Y35,IF(Методика="нормы 2026",IFERROR(_xlfn.XLOOKUP(A35,Щиты[Щит],Щиты[Кс силовых (табл. 7.5)]),1),1)),IF(OR(EQ35="Пост",EQ35="Отоп"),1,IF(EQ35="ВНГ",0.7,0))))))</f>
        <v>0.8</v>
      </c>
      <c r="ES35">
        <f t="shared" si="56"/>
        <v>1</v>
      </c>
      <c r="ET35">
        <f t="shared" si="57"/>
        <v>0.1</v>
      </c>
      <c r="EU35">
        <f t="shared" si="58"/>
        <v>0.1</v>
      </c>
      <c r="EV35">
        <f t="shared" si="59"/>
        <v>0</v>
      </c>
      <c r="EW35">
        <f t="shared" si="60"/>
        <v>0</v>
      </c>
      <c r="EX35">
        <f t="shared" si="61"/>
        <v>0</v>
      </c>
      <c r="EY35">
        <f t="shared" si="62"/>
        <v>0</v>
      </c>
      <c r="EZ35">
        <f t="shared" si="63"/>
        <v>0.1</v>
      </c>
      <c r="FA35">
        <f t="shared" si="64"/>
        <v>9.5000000000000001E-2</v>
      </c>
      <c r="FB35">
        <f t="shared" si="65"/>
        <v>0.1</v>
      </c>
      <c r="FC35" t="str">
        <f t="shared" si="66"/>
        <v/>
      </c>
      <c r="FD35" t="str">
        <f>IF(B35="","",IF(CA35=0,IF(AW35=1,"",FF34),IF(OR(N(CV35)&gt;=3,N(BR35)&gt;=3),"L1,L2,L3",IFERROR(_xlfn.TEXTBEFORE(_xlfn.TEXTAFTER(_xlfn.XLOOKUP(A35,Щиты[Щит],Щиты[_фазы авто]),";"&amp;AW35&amp;":"),";"),"L1"))))</f>
        <v>L1</v>
      </c>
      <c r="FE35" t="str">
        <f t="shared" si="67"/>
        <v>L1</v>
      </c>
      <c r="FF35" t="str">
        <f t="shared" si="68"/>
        <v>L1</v>
      </c>
      <c r="FG35" cm="1">
        <f t="array" ref="FG35">IFERROR(IF(BX35=2,_xlfn.IFS(BR35=3,VLOOKUP(BN35,Справочная_двигатели,3,FALSE),BR35=1,VLOOKUP(BN35,Справочная_двигатели,5,TRUE)),0),0)</f>
        <v>0</v>
      </c>
      <c r="FH35">
        <f>IFERROR(IF(BX35=3,VLOOKUP(BN35,Справочная_ЛЭД,2,TRUE),0),0)</f>
        <v>50</v>
      </c>
      <c r="FI35" s="6">
        <f t="shared" si="69"/>
        <v>50</v>
      </c>
      <c r="FJ35" t="str" cm="1">
        <f t="array" ref="FJ35">IF(B35="","",IFERROR(INDEX({"I особая","I","II","III"},MATCH(TRIM(AC35&amp;""),{"I особая","I","II","III"},0)),"III"))</f>
        <v>III</v>
      </c>
      <c r="FK35" t="str">
        <f>IF(B35="","",IF(TRIM(AD35&amp;"")&lt;&gt;"",IF(LOWER(TRIM(AD35&amp;""))="да","да","нет"),IF(IFERROR(_xlfn.XLOOKUP(AX35,Коды_код,Коды_пожарная),"")="да","да","нет")))</f>
        <v>нет</v>
      </c>
      <c r="FL35" t="str">
        <f t="shared" si="70"/>
        <v/>
      </c>
      <c r="FM35" t="str">
        <f t="shared" si="71"/>
        <v>основная</v>
      </c>
      <c r="FN35">
        <f t="shared" si="72"/>
        <v>1</v>
      </c>
      <c r="FO35" t="str" cm="1">
        <f t="array" ref="FO35">IF(B35="","",_xlfn.LET(_xlpm.t,IFERROR(_xlfn.XLOOKUP(1,(Шины[Шина]=FM35)*(((Шины[Щит]=A35)+(Шины[Щит]=""))&gt;0),Шины[Тип]),"")&amp;"",IF(_xlpm.t&lt;&gt;"",_xlpm.t,IF(ISNUMBER(SEARCH("ИБП",FM35)),"ИБП",IF(ISNUMBER(SEARCH("ДГУ",FM35)),"ДГУ","Ввод "&amp;FN35)))))</f>
        <v>Ввод 1</v>
      </c>
      <c r="FP35" t="str">
        <f t="shared" si="73"/>
        <v>Ввод 1</v>
      </c>
      <c r="FQ35" t="str">
        <f>IF(B35="","",IF(OR(FO35="ИБП",FO35="ДГУ"),"I особая",IF(FO35="Одиночная","III",_xlfn.XLOOKUP(A35,Щиты[Щит],Щиты[Категория шины «Ввод»],"III"))))</f>
        <v>II</v>
      </c>
      <c r="FR35">
        <f>IF(B35="",0,IFERROR(MATCH(FJ35,{"III","II","I","I особая"},0),1))</f>
        <v>1</v>
      </c>
      <c r="FS35">
        <f t="shared" si="74"/>
        <v>1</v>
      </c>
      <c r="FT35" t="str">
        <f>IF(B35="","",IF(FR35&gt;IFERROR(MATCH(FQ35,{"III","II","I","I особая"},0),1),"НЕ ОБЕСПЕЧЕНА","ОК"))</f>
        <v>ОК</v>
      </c>
      <c r="FU35" t="str">
        <f>IF(A35="","",_xlfn.XLOOKUP(A35,Щиты[Щит],Щиты[Путь],""))</f>
        <v>|ГРЩ-ЖД|ЩГП|ЩО-001|</v>
      </c>
      <c r="FV35" t="str">
        <f>IF(B35="","",IF(AE35&lt;&gt;"",AE35,IF(IFERROR(_xlfn.XLOOKUP(AX35,Коды_код,Коды_вид)&amp;"","")="","Прочее",_xlfn.XLOOKUP(AX35,Коды_код,Коды_вид)&amp;"")))</f>
        <v>Рабочее освещение</v>
      </c>
      <c r="FW35" t="str">
        <f>IF(BH35="","",INT((BH35-1)/Столбцов_на_лист)+1)</f>
        <v/>
      </c>
      <c r="FX35" t="str">
        <f t="shared" si="75"/>
        <v>ВВГнг(А)-LS (3х1,5) L=26-0,15%</v>
      </c>
      <c r="FY35">
        <f t="shared" si="76"/>
        <v>0.1</v>
      </c>
      <c r="FZ35">
        <f t="shared" si="77"/>
        <v>0.46</v>
      </c>
      <c r="GA35">
        <f t="shared" si="78"/>
        <v>1</v>
      </c>
      <c r="GB35">
        <f t="shared" si="79"/>
        <v>0</v>
      </c>
      <c r="GC35">
        <f t="shared" si="80"/>
        <v>0</v>
      </c>
      <c r="GD35" t="str">
        <f>IF(BH35="","",IF(AND(CA35=1,GC35=1),COUNTIFS(A$3:A35,A35,CA$3:CA35,1,GC$3:GC35,1),IF(OR(OR(AW35=1,A35&lt;&gt;A34),AF35="вручную",GC35=0),"",IF(AW35=1,"",GE34))))</f>
        <v/>
      </c>
      <c r="GE35" t="str">
        <f t="shared" si="81"/>
        <v/>
      </c>
      <c r="GF35">
        <f>IF(B35="","",IFERROR(LOOKUP(INDEX(CHOOSE(DL35,Iдоп_1ж,Iдоп_2ж,Iдоп_3ж),MATCH(DX35,Iдоп_S,0))*DJ35*DK35,{6,10,16,20,25,32,40,50,63,80,100,125,160,200,250,315,400,500,630}),""))</f>
        <v>16</v>
      </c>
      <c r="GG35" t="str">
        <f t="shared" si="82"/>
        <v/>
      </c>
      <c r="GH35" t="str">
        <f t="shared" si="83"/>
        <v/>
      </c>
      <c r="GI35" t="str">
        <f t="shared" si="84"/>
        <v/>
      </c>
      <c r="GJ35">
        <f t="shared" si="85"/>
        <v>0</v>
      </c>
      <c r="GK35" t="str">
        <f>IF(OR(AG35="",AG35="-"),"",IFERROR(VLOOKUP(AG35,Модули_спр,2,FALSE),"R"))</f>
        <v/>
      </c>
      <c r="GL35" t="str">
        <f>IF(GK35="","",GK35&amp;"."&amp;COUNTIFS(A$3:A35,A35,GK$3:GK35,GK35))</f>
        <v/>
      </c>
      <c r="GM35" t="str">
        <f t="shared" si="86"/>
        <v/>
      </c>
      <c r="GN35" t="str">
        <f t="shared" si="87"/>
        <v/>
      </c>
      <c r="GO35" t="str">
        <f t="shared" si="88"/>
        <v/>
      </c>
      <c r="GP35" t="str">
        <f t="shared" si="89"/>
        <v/>
      </c>
      <c r="GQ35">
        <f t="shared" si="90"/>
        <v>1</v>
      </c>
      <c r="GR35" t="str">
        <f>IF(GQ35=1,"XT"&amp;COUNTIFS(A$3:A35,A35,GQ$3:GQ35,1),"")</f>
        <v>XT4</v>
      </c>
      <c r="GS35" t="str">
        <f t="shared" si="91"/>
        <v>XT4</v>
      </c>
      <c r="GT35" t="str">
        <f t="shared" si="92"/>
        <v/>
      </c>
      <c r="GU35" t="str">
        <f t="shared" si="93"/>
        <v/>
      </c>
      <c r="GV35" t="str">
        <f t="shared" si="94"/>
        <v>ok</v>
      </c>
      <c r="GW35" t="str">
        <f>IF(OR(GO35="",GM35=""),"",IF(GO35&gt;IFERROR(VLOOKUP(GN35,Модули_спр,3,FALSE),99),"ЛИШНИЙ КАНАЛ",IF(AND(AH35&lt;&gt;"=",COUNTIFS(Линии[_модуль гр.],GM35,Линии[Канал (итог)],GO35,Линии[Канал],"&lt;&gt;=",Линии[Щит],A35)&gt;1),"ДУБЛЬ КАНАЛА","")))</f>
        <v/>
      </c>
      <c r="GX35" s="6" t="str">
        <f t="shared" si="95"/>
        <v/>
      </c>
      <c r="GY35">
        <f t="shared" si="96"/>
        <v>10</v>
      </c>
      <c r="GZ35" t="str">
        <f t="shared" si="97"/>
        <v/>
      </c>
      <c r="HA35" t="str">
        <f>IF(AND(B35="",GT35=""),"",_xlfn.TEXTJOIN("; ",TRUE,IF(AND(B35&lt;&gt;"",FE35=""),"нет фазы",""),IF(AND(B35&lt;&gt;"",N(FY35)=0,EQ35&lt;&gt;"Нет"),"нет мощности",""),IF(AND(GS35&lt;&gt;"",COUNTIFS(Линии[Щит],A35,Линии[Клемма (итог)],GS35)&gt;1),"дубль клеммы "&amp;GS35,""),IF(AND(GV35&lt;&gt;"",GV35&lt;&gt;"ok"),GV35,""),IF(GW35&lt;&gt;"",GW35,""),IF(AND(N(BV35)&gt;=4,N(BR35)=1),BV35&amp;" жил на 1 фазе",""),IF(AND(AX35="R",CA35=1,OR(N(CK35)=0,N(CK35)&gt;30)),"розетка без дифзащиты до 30 мА",""),IFERROR(IF(AND(ISNUMBER(R35),R35&gt;DV35),"потери "&amp;FIXED(R35,1)&amp;" % &gt; "&amp;DV35&amp;" %",""),""),IFERROR(IF(LEFT(GZ35,4)="мало","Iкз мало — отключение &gt; 0,4 с",""),""),IF(AND(B35&lt;&gt;"",BH35=""),"не на схеме",""),IF(AND(CA35=0,B35&lt;&gt;"",FE35&lt;&gt;"",IF(AW35=1,"",FF34)&lt;&gt;"",FE35&lt;&gt;IF(AW35=1,"",FF34)),"фаза не как у автомата группы ("&amp;IF(AW35=1,"",FF34)&amp;")","")))</f>
        <v>не на схеме</v>
      </c>
      <c r="HB35" s="6">
        <f>IF(OR(CA35=0,DA35=""),"",_xlfn.LET(_xlpm.t,IFERROR(_xlfn.XLOOKUP(DA35,Каталог!$U$4:$U$500,Каталог!$G$4:$G$500),""),_xlpm.k,SEARCH("кА",_xlpm.t),IFERROR(--TRIM(RIGHT(SUBSTITUTE(MID(_xlpm.t,MAX(1,_xlpm.k-4),_xlpm.k-MAX(1,_xlpm.k-4))," ",REPT(" ",9)),5)),"")))</f>
        <v>6</v>
      </c>
      <c r="HC35" t="str">
        <f>IF(OR(HB35="",CA35=0),"",IF(_xlfn.XLOOKUP(A35,Щиты[Щит],Щиты[Iкз max на шинах, кА],"")="","",IF(HB35&lt;_xlfn.XLOOKUP(A35,Щиты[Щит],Щиты[Iкз max на шинах, кА]),"Icu "&amp;HB35&amp;" кА &lt; Iкз max","ok")))</f>
        <v/>
      </c>
      <c r="HD35" t="str">
        <f t="shared" si="98"/>
        <v/>
      </c>
      <c r="HE35" t="str">
        <f t="shared" si="99"/>
        <v/>
      </c>
      <c r="HF35" t="str">
        <f t="shared" si="100"/>
        <v/>
      </c>
      <c r="HG35" t="str" cm="1">
        <f t="array" ref="HG35">IF(HF35="","",_xlfn.LET(_xlpm.nd,_xlfn.TEXTSPLIT(HF35,"|"),IF(COLUMNS(_xlpm.nd)&gt;1,A35&amp;"¦"&amp;INDEX(_xlpm.nd,1)&amp;"¦"&amp;INDEX(_xlpm.nd,2),"")))</f>
        <v/>
      </c>
      <c r="HH35" t="str">
        <f t="shared" si="101"/>
        <v/>
      </c>
      <c r="HI35" t="str" cm="1">
        <f t="array" ref="HI35">IF(HF35="","",_xlfn.LET(_xlpm.nd,_xlfn.TEXTSPLIT(HF35,"|"),IF(COLUMNS(_xlpm.nd)&gt;2,A35&amp;"¦"&amp;INDEX(_xlpm.nd,2)&amp;"¦"&amp;INDEX(_xlpm.nd,3),"")))</f>
        <v/>
      </c>
      <c r="HJ35" t="str">
        <f t="shared" si="102"/>
        <v/>
      </c>
      <c r="HK35" t="str" cm="1">
        <f t="array" ref="HK35">IF(HF35="","",_xlfn.LET(_xlpm.nd,_xlfn.TEXTSPLIT(HF35,"|"),IF(COLUMNS(_xlpm.nd)&gt;3,A35&amp;"¦"&amp;INDEX(_xlpm.nd,3)&amp;"¦"&amp;INDEX(_xlpm.nd,4),"")))</f>
        <v/>
      </c>
      <c r="HL35" t="str">
        <f t="shared" si="103"/>
        <v/>
      </c>
      <c r="HM35" t="str" cm="1">
        <f t="array" ref="HM35">IF(HF35="","",_xlfn.LET(_xlpm.nd,_xlfn.TEXTSPLIT(HF35,"|"),IF(COLUMNS(_xlpm.nd)&gt;4,A35&amp;"¦"&amp;INDEX(_xlpm.nd,4)&amp;"¦"&amp;INDEX(_xlpm.nd,5),"")))</f>
        <v/>
      </c>
      <c r="HN35" t="str">
        <f t="shared" si="104"/>
        <v/>
      </c>
      <c r="HO35" t="str" cm="1">
        <f t="array" ref="HO35">IF(HF35="","",_xlfn.LET(_xlpm.nd,_xlfn.TEXTSPLIT(HF35,"|"),IF(COLUMNS(_xlpm.nd)&gt;5,A35&amp;"¦"&amp;INDEX(_xlpm.nd,5)&amp;"¦"&amp;INDEX(_xlpm.nd,6),"")))</f>
        <v/>
      </c>
      <c r="HP35" t="str">
        <f t="shared" si="105"/>
        <v/>
      </c>
      <c r="HQ35" t="str" cm="1">
        <f t="array" ref="HQ35">IF(HF35="","",_xlfn.LET(_xlpm.nd,_xlfn.TEXTSPLIT(HF35,"|"),IF(COLUMNS(_xlpm.nd)&gt;6,A35&amp;"¦"&amp;INDEX(_xlpm.nd,6)&amp;"¦"&amp;INDEX(_xlpm.nd,7),"")))</f>
        <v/>
      </c>
      <c r="HR35" t="str">
        <f t="shared" si="106"/>
        <v/>
      </c>
      <c r="HS35" t="str">
        <f t="shared" si="107"/>
        <v/>
      </c>
      <c r="HT35" t="str">
        <f t="shared" si="108"/>
        <v>XT4</v>
      </c>
      <c r="HU35">
        <f t="shared" si="109"/>
        <v>0</v>
      </c>
      <c r="HV35">
        <f t="shared" si="110"/>
        <v>0</v>
      </c>
      <c r="HW35" t="str">
        <f t="shared" si="111"/>
        <v/>
      </c>
      <c r="HX35" t="str">
        <f t="shared" si="112"/>
        <v/>
      </c>
      <c r="HY35" t="str">
        <f t="shared" si="113"/>
        <v/>
      </c>
      <c r="HZ35" t="str">
        <f t="shared" si="114"/>
        <v/>
      </c>
      <c r="IA35" t="str">
        <f>IF(B35="","",IFERROR(VLOOKUP(B35,УГО_спр,2,FALSE),IFERROR(VLOOKUP(AX35,УГО_спр,2,FALSE),IFERROR(VLOOKUP(LEFT(AX35,2),УГО_спр,2,FALSE),""))))</f>
        <v>Светильник</v>
      </c>
      <c r="IB35" t="str">
        <f>IF(B35="","",IF(OR(IA35="",IA35=0),"BOX",IFERROR(IF(VLOOKUP(IA35,УГО_блоки,3,FALSE)&amp;""&lt;&gt;"",VLOOKUP(IA35,УГО_блоки,3,FALSE),VLOOKUP(IA35,УГО_блоки,2,FALSE)),IA35)))</f>
        <v>LAMP</v>
      </c>
      <c r="IC35">
        <f t="shared" si="115"/>
        <v>1</v>
      </c>
      <c r="ID35" t="str">
        <f>IF(DA35="","",IF(COUNTIF(DA$3:DA35,DA35)=1,MAX(ID$2:ID34)+1,""))</f>
        <v/>
      </c>
      <c r="IE35" t="str">
        <f>IF(CO35="","",IF(COUNTIF(CO$3:CO35,CO35)+COUNTIF(CP$2:CP34,CO35)+COUNTIF(CQ$2:CQ34,CO35)=1,MAX(IE$2:IG34)+1,""))</f>
        <v/>
      </c>
      <c r="IF35" t="str">
        <f>IF(CP35="","",IF(COUNTIF(CO$3:CO35,CP35)+COUNTIF(CP$3:CP35,CP35)+COUNTIF(CQ$2:CQ34,CP35)=1,MAX(IE$2:IG34,IE35)+1,""))</f>
        <v/>
      </c>
      <c r="IG35" t="str">
        <f>IF(CQ35="","",IF(COUNTIF(CO$3:CO35,CQ35)+COUNTIF(CP$3:CP35,CQ35)+COUNTIF(CQ$3:CQ35,CQ35)=1,MAX(IE$2:IG34,IE35,IF35)+1,""))</f>
        <v/>
      </c>
      <c r="IH35" t="str">
        <f t="shared" si="116"/>
        <v>3х1,5</v>
      </c>
      <c r="II35" t="str">
        <f>IF(IH35="","",IF(COUNTIF(IH$3:IH35,IH35)=1,MAX(II$2:II34)+1,""))</f>
        <v/>
      </c>
      <c r="IJ35" t="str">
        <f>IF(GL35="","",COUNTIF(GL$3:GL35,"?*"))</f>
        <v/>
      </c>
      <c r="IK35" t="str">
        <f>IF(OR(GL35="",GN35=""),"",IF(COUNTIFS(GL$3:GL35,"?*",GN$3:GN35,GN35)=1,MAX(IK$2:IK34)+1,""))</f>
        <v/>
      </c>
      <c r="IL35">
        <f t="shared" si="117"/>
        <v>1</v>
      </c>
      <c r="IM35">
        <f>IF(B35="","",COUNTIF(B$3:B35,"?*"))</f>
        <v>33</v>
      </c>
      <c r="IN35">
        <f>IF(GQ35&lt;&gt;1,0,_xlfn.LET(_xlpm.k,MAX(IFERROR(--VLOOKUP(B35,УГО_спр,5,FALSE),0),IFERROR(--VLOOKUP(AX35,УГО_спр,5,FALSE),0),IFERROR(--VLOOKUP(LEFT(AX35,2),УГО_спр,5,FALSE),0)),IF(_xlpm.k&gt;0,_xlpm.k,IF(IFERROR(--LEFT(SUBSTITUTE(IH35,"x","х"),FIND("х",SUBSTITUTE(IH35,"x","х"))-1),3)&gt;3,Каталог!$S$9,1))))</f>
        <v>1</v>
      </c>
      <c r="IO35">
        <f t="shared" si="118"/>
        <v>0</v>
      </c>
      <c r="IP35" t="str">
        <f t="shared" si="119"/>
        <v>авто</v>
      </c>
      <c r="IQ35" t="str">
        <f t="shared" si="120"/>
        <v/>
      </c>
      <c r="IR35">
        <f t="shared" si="121"/>
        <v>0</v>
      </c>
      <c r="IS35">
        <f t="shared" si="122"/>
        <v>1</v>
      </c>
    </row>
    <row r="36" spans="1:253" x14ac:dyDescent="0.3">
      <c r="A36" t="s">
        <v>1104</v>
      </c>
      <c r="B36" t="s">
        <v>1309</v>
      </c>
      <c r="C36" t="str">
        <f>Линии[[#This Row],[_авто наименование]]</f>
        <v>Осветительная группа, пом. 002Б</v>
      </c>
      <c r="D36">
        <v>2</v>
      </c>
      <c r="E36">
        <v>0.1</v>
      </c>
      <c r="G36" t="str">
        <f>Линии[[#This Row],[_авто автомат]]</f>
        <v>1P С10А</v>
      </c>
      <c r="H36" t="str">
        <f>Линии[[#This Row],[_авто утечка]]</f>
        <v/>
      </c>
      <c r="I36" t="str">
        <f>Линии[[#This Row],[_авто управление]]</f>
        <v/>
      </c>
      <c r="J36" t="str">
        <f>Линии[[#This Row],[_авто аппараты]]</f>
        <v/>
      </c>
      <c r="K36">
        <v>1.5</v>
      </c>
      <c r="L36">
        <v>38</v>
      </c>
      <c r="M36" t="str">
        <f>Линии[[#This Row],[_авто фаза]]</f>
        <v>L2</v>
      </c>
      <c r="N36" t="str">
        <f>Линии[[#This Row],[_авто клемма]]</f>
        <v>XT5</v>
      </c>
      <c r="O36" t="str">
        <f t="shared" si="0"/>
        <v>не на схеме</v>
      </c>
      <c r="P36" s="6" cm="1">
        <f t="array" ref="P36">IF(B36="","",IF(BC36&lt;&gt;"",IFERROR(_xlfn.XLOOKUP(BC36,Щиты[Щит],Щиты[Iр, А]),""),IF(BK36=1,IFERROR(_xlfn.XLOOKUP(A36,Щиты[Щит],Щиты[Iр, А]),""),IFERROR(_xlfn.IFS(BR36=1,BN36/((Uн_лин/SQRT(3))*BY36),BR36=3,BN36/(SQRT(3)*Uн_лин*BY36)),""))))</f>
        <v>0.455802844097073</v>
      </c>
      <c r="Q36" s="7">
        <f>IF(B36="","",IFERROR(IF(VLOOKUP(AX36,Потребители_обозначение,4,FALSE)=1,VLOOKUP(AX36,Потребители_обозначение,3,FALSE)*(D36*2-1)+DS36+VLOOKUP(AZ36,Этаж_обозначение,3,FALSE)+VLOOKUP(AZ36,Этаж_обозначение,4,FALSE),VLOOKUP(AX36,Потребители_обозначение,3,FALSE)*(D36*2-1)+DS36),DS36))</f>
        <v>41</v>
      </c>
      <c r="R36" s="6">
        <f t="shared" si="1"/>
        <v>0.41000000000000003</v>
      </c>
      <c r="S36" t="str">
        <f t="shared" si="2"/>
        <v>ВВГнг(А)-LS (3х1,5)</v>
      </c>
      <c r="T36" t="str">
        <f>IF(BH36="","",IF(BI36="вводной узел","узел ","")&amp;"л."&amp;(INT((BH36-1)/Столбцов_на_лист)+1)&amp;" / "&amp;(MOD(BH36-1,Столбцов_на_лист)+1))</f>
        <v/>
      </c>
      <c r="V36">
        <v>1</v>
      </c>
      <c r="W36">
        <v>230</v>
      </c>
      <c r="X36" t="s">
        <v>564</v>
      </c>
      <c r="AE36" t="s">
        <v>557</v>
      </c>
      <c r="AI36" t="s">
        <v>529</v>
      </c>
      <c r="AJ36" t="s">
        <v>11</v>
      </c>
      <c r="AK36">
        <v>3</v>
      </c>
      <c r="AM36">
        <v>3</v>
      </c>
      <c r="AN36">
        <v>0</v>
      </c>
      <c r="AO36">
        <v>39</v>
      </c>
      <c r="AW36" cm="1">
        <f t="array" ref="AW36">ROW()-ROW(Линии[#Headers])</f>
        <v>34</v>
      </c>
      <c r="AX36" s="6" t="str">
        <f t="shared" si="3"/>
        <v>L</v>
      </c>
      <c r="AY36" t="str">
        <f t="shared" si="4"/>
        <v>00.002Б.1</v>
      </c>
      <c r="AZ36" t="str">
        <f t="shared" si="5"/>
        <v>00</v>
      </c>
      <c r="BA36" t="str">
        <f t="shared" si="6"/>
        <v>002Б.1</v>
      </c>
      <c r="BB36" t="str">
        <f t="shared" si="7"/>
        <v>002Б</v>
      </c>
      <c r="BC36" t="str">
        <f>IF(U36&lt;&gt;"",U36,IF(AND(B36&lt;&gt;"",B36&lt;&gt;A36,ISNUMBER(_xlfn.XMATCH(B36,Щиты[Щит]))),B36,""))</f>
        <v/>
      </c>
      <c r="BD36" t="str" cm="1">
        <f t="array" ref="BD36">IF(B36="","",IF(BC36&lt;&gt;"","Щит "&amp;BC36,_xlfn.LET(_xlpm.nm,IFERROR(_xlfn.XLOOKUP(AX36,Коды_код,Коды_имя)&amp;"",""),_xlpm.md,IFERROR(N(_xlfn.XLOOKUP(AX36,Коды_код,Коды_режим)),1),_xlpm.ex,IF(Имя_режим="по экспликации",IFERROR(_xlfn.XLOOKUP(AZ36&amp;"|"&amp;BB36,Экспликация[Этаж]&amp;"|"&amp;Экспликация[Помещение],Экспликация[Название])&amp;"",""),""),_xlpm.rm,IF(BB36="","",IF(_xlpm.ex&lt;&gt;"",". "&amp;_xlpm.ex&amp;IF(Имя_пом="нет"," ("&amp;BB36&amp;")"," (пом. "&amp;BB36&amp;")"),IF(Имя_пом="нет"," ",", пом. ")&amp;BB36)),IF(_xlpm.nm="","",IF(_xlpm.md=2,_xlpm.nm&amp;" шлейф "&amp;AZ36,_xlpm.nm&amp;_xlpm.rm)))))</f>
        <v>Осветительная группа, пом. 002Б</v>
      </c>
      <c r="BE36" t="str">
        <f t="shared" si="8"/>
        <v>Осветительная группа, пом. 002Б</v>
      </c>
      <c r="BF36">
        <f>IFERROR(_xlfn.XMATCH(A36,Щиты[Щит]),0)</f>
        <v>3</v>
      </c>
      <c r="BG36">
        <f>_xlfn.LET(_xlpm.k,IFERROR(_xlfn.XLOOKUP(A36,Щиты[Щит],Щиты[Листов под вводной узел]),""),IF(_xlpm.k="",1,N(_xlpm.k))*Столбцов_на_лист)</f>
        <v>17</v>
      </c>
      <c r="BH36" t="str">
        <f t="shared" si="9"/>
        <v/>
      </c>
      <c r="BI36" t="str">
        <f t="shared" si="10"/>
        <v/>
      </c>
      <c r="BJ36" s="6">
        <f>IFERROR(N(_xlfn.XLOOKUP(AX36,Коды_код,Коды_квт)),0)</f>
        <v>0</v>
      </c>
      <c r="BK36">
        <f t="shared" si="11"/>
        <v>0</v>
      </c>
      <c r="BL36" t="str">
        <f>IF(B36="","",IF(BC36&lt;&gt;"",IFERROR(_xlfn.XLOOKUP(BC36,Щиты[Щит],Щиты[Руст, кВт]),0),IF(BK36=1,IFERROR(_xlfn.XLOOKUP(A36,Щиты[Щит],Щиты[Руст, кВт]),0),IF(BJ36&gt;0,ROUND(BJ36*MAX(1,N(D36)),3),""))))</f>
        <v/>
      </c>
      <c r="BM36">
        <f t="shared" si="12"/>
        <v>0.1</v>
      </c>
      <c r="BN36" s="6">
        <f>IF(B36="","",IF(BC36&lt;&gt;"",IFERROR(_xlfn.XLOOKUP(BC36,Щиты[Щит],Щиты[Руст, кВт]),0),N(BM36)))</f>
        <v>0.1</v>
      </c>
      <c r="BO36" t="str">
        <f>IF(B36="","",IFERROR(IF(VLOOKUP(AX36,Потребители_обозначение,8,FALSE)=0,"",VLOOKUP(AX36,Потребители_обозначение,8,FALSE)),""))</f>
        <v/>
      </c>
      <c r="BP36">
        <f t="shared" si="13"/>
        <v>230</v>
      </c>
      <c r="BQ36">
        <f>IF(B36="","",IF(BC36&lt;&gt;"",3,IFERROR(IF(N(VLOOKUP(AX36,Потребители_обозначение,9,FALSE))=0,1,VLOOKUP(AX36,Потребители_обозначение,9,FALSE)),1)))</f>
        <v>1</v>
      </c>
      <c r="BR36">
        <f t="shared" si="14"/>
        <v>1</v>
      </c>
      <c r="BS36" t="str">
        <f>IF(B36="","",_xlfn.LET(_xlpm.bc,IFERROR(IF(VLOOKUP(AX36,Потребители_обозначение,6,FALSE)=0,"",VLOOKUP(AX36,Потребители_обозначение,6,FALSE)&amp;""),""),IF(AND(FK36="да",OR(_xlpm.bc="",_xlpm.bc="мс")),Марка_пож,IF(AND(_xlpm.bc="",BC36&lt;&gt;""),"мс",_xlpm.bc))))</f>
        <v/>
      </c>
      <c r="BT36" t="str">
        <f t="shared" si="15"/>
        <v>мс</v>
      </c>
      <c r="BU36">
        <f>IF(B36="","",_xlfn.LET(_xlpm.cc,IFERROR(N(VLOOKUP(AX36,Потребители_обозначение,7,FALSE)),0),IF(_xlpm.cc&gt;0,_xlpm.cc,IF(BT36="","",IF(N(BR36)=3,5,3)))))</f>
        <v>3</v>
      </c>
      <c r="BV36">
        <f t="shared" si="16"/>
        <v>3</v>
      </c>
      <c r="BW36">
        <f>IFERROR(N(VLOOKUP(AX36,Потребители_обозначение,10,FALSE)),0)</f>
        <v>0</v>
      </c>
      <c r="BX36">
        <f>IFERROR(VLOOKUP(AX36,Потребители_обозначение,5,FALSE),0)</f>
        <v>3</v>
      </c>
      <c r="BY36" s="6" cm="1">
        <f t="array" ref="BY36">IF(B36="","",IF(BC36&lt;&gt;"",IFERROR(_xlfn.XLOOKUP(BC36,Щиты[Щит],Щиты[cos φ]),0.95),IF(BK36=1,IFERROR(_xlfn.XLOOKUP(A36,Щиты[Щит],Щиты[cos φ]),0.95),IF(ISNUMBER(Z36),Z36,IFERROR(IF(BX36=2,_xlfn.IFS(BR36=3,VLOOKUP(BN36,Справочная_двигатели,8,FALSE),BR36=1,VLOOKUP(BN36,Справочная_двигатели,10,TRUE)),IF(AND(Методика="нормы 2026",EQ36="Сил"),0.8,0.95)),0.95)))))</f>
        <v>0.95</v>
      </c>
      <c r="BZ36">
        <f t="shared" si="17"/>
        <v>0</v>
      </c>
      <c r="CA36">
        <f t="shared" si="18"/>
        <v>1</v>
      </c>
      <c r="CB36">
        <f t="shared" si="19"/>
        <v>0</v>
      </c>
      <c r="CC36">
        <f t="shared" si="20"/>
        <v>0</v>
      </c>
      <c r="CD36">
        <f t="shared" si="21"/>
        <v>0</v>
      </c>
      <c r="CE36">
        <f t="shared" si="22"/>
        <v>0</v>
      </c>
      <c r="CF36">
        <f t="shared" si="23"/>
        <v>0</v>
      </c>
      <c r="CG36">
        <f>IF(AX36="",0,_xlfn.LET(_xlpm.v,IFERROR(VLOOKUP(B36,УГО_спр,3,FALSE),IFERROR(VLOOKUP(AX36,УГО_спр,3,FALSE),IFERROR(VLOOKUP(LEFT(AX36,2),УГО_спр,3,FALSE),""))),IF(_xlpm.v="да",30,IF(ISNUMBER(_xlpm.v),_xlpm.v,0))))</f>
        <v>0</v>
      </c>
      <c r="CH36" t="str">
        <f t="shared" si="24"/>
        <v/>
      </c>
      <c r="CI36" t="str">
        <f>_xlfn.LET(_xlpm.k,IFERROR(_xlfn.XLOOKUP(AX36,Коды_код,Коды_утечка)&amp;"",""),IF(_xlpm.k="","дифавтомат",_xlpm.k))</f>
        <v>дифавтомат</v>
      </c>
      <c r="CJ36">
        <f t="shared" si="25"/>
        <v>0</v>
      </c>
      <c r="CK36">
        <f t="shared" si="26"/>
        <v>0</v>
      </c>
      <c r="CL36">
        <f>IF(B36="",0,IFERROR(--VLOOKUP(B36,УГО_спр,4,FALSE),IFERROR(--VLOOKUP(AX36,УГО_спр,4,FALSE),IFERROR(--VLOOKUP(LEFT(AX36,2),УГО_спр,4,FALSE),0))))</f>
        <v>10</v>
      </c>
      <c r="CM36" t="str">
        <f>IF(B36="","",IFERROR(_xlfn.XLOOKUP(AX36,Коды_код,Коды_апп)&amp;"",""))</f>
        <v/>
      </c>
      <c r="CN36" t="str">
        <f t="shared" si="27"/>
        <v/>
      </c>
      <c r="CO36" t="str" cm="1">
        <f t="array" ref="CO36">IF(TRIM(CN36&amp;"")="","",IFERROR(TRIM(INDEX(_xlfn.TEXTSPLIT(CN36&amp;";;;",";"),1)),""))</f>
        <v/>
      </c>
      <c r="CP36" t="str" cm="1">
        <f t="array" ref="CP36">IF(TRIM(CN36&amp;"")="","",IFERROR(TRIM(INDEX(_xlfn.TEXTSPLIT(CN36&amp;";;;",";"),2)),""))</f>
        <v/>
      </c>
      <c r="CQ36" t="str" cm="1">
        <f t="array" ref="CQ36">IF(TRIM(CN36&amp;"")="","",IFERROR(TRIM(INDEX(_xlfn.TEXTSPLIT(CN36&amp;";;;",";"),3)),""))</f>
        <v/>
      </c>
      <c r="CR36">
        <f t="shared" si="28"/>
        <v>0</v>
      </c>
      <c r="CS36" t="str">
        <f>IF(B36="","",_xlfn.LET(_xlpm.t,LOWER(AV36&amp;""),IF(ISNUMBER(SEARCH("dim",_xlpm.t)),"DIM",IF(ISNUMBER(SEARCH("dali",_xlpm.t)),"DALI",IF(OR(ISNUMBER(SEARCH("relay",_xlpm.t)),ISNUMBER(SEARCH("реле",_xlpm.t))),"Relay",IF(ISNUMBER(SEARCH("кнопк",_xlpm.t)),"",IFERROR(_xlfn.XLOOKUP(AX36,Коды_код,Коды_упр)&amp;"","")))))))</f>
        <v/>
      </c>
      <c r="CT36" t="str">
        <f t="shared" si="29"/>
        <v/>
      </c>
      <c r="CU36">
        <f>IF(B36="","",_xlfn.LET(_xlpm.ig,N(P36)+IF(AF36="вручную",0,N(CB36)),_xlpm.n0,IFERROR(VLOOKUP(_xlpm.ig,Автомат_номиналы,2,TRUE),0),_xlpm.mn,MAX(CL36,IF(AF36="вручную",0,N(CE36))),MAX(_xlpm.n0,_xlpm.mn,IF(CR36=1,Мин_автомат_БП,0))))</f>
        <v>10</v>
      </c>
      <c r="CV36">
        <f t="shared" si="30"/>
        <v>1</v>
      </c>
      <c r="CW36" t="str">
        <f t="shared" si="31"/>
        <v>1P</v>
      </c>
      <c r="CX36" t="str">
        <f>_xlfn.LET(_xlpm.cc,UPPER(TRIM(IFERROR(_xlfn.XLOOKUP(AX36,Коды_код,Коды_хар)&amp;"",""))),IF(OR(_xlpm.cc="B",_xlpm.cc="В"),"B",IF(_xlpm.cc="D","D","С")))</f>
        <v>С</v>
      </c>
      <c r="CY36" t="str">
        <f t="shared" si="32"/>
        <v>1P С10А</v>
      </c>
      <c r="CZ36" t="str">
        <f t="shared" si="33"/>
        <v>1P С10А</v>
      </c>
      <c r="DA36" t="str">
        <f t="shared" si="34"/>
        <v>1P С10А</v>
      </c>
      <c r="DB36" cm="1">
        <f t="array" ref="DB36">IF(DA36="","",_xlfn.LET(_xlpm.t,SUBSTITUTE(SUBSTITUTE(SUBSTITUTE(UPPER(DA36),"С","C"),"А","A"),"В","B"),_xlpm.tk,_xlfn.TEXTSPLIT(_xlpm.t,"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6" t="str">
        <f t="shared" si="35"/>
        <v>ok</v>
      </c>
      <c r="DD36">
        <f t="shared" si="36"/>
        <v>10</v>
      </c>
      <c r="DE36" t="str">
        <f t="shared" si="37"/>
        <v>1P С10А</v>
      </c>
      <c r="DF36">
        <f t="shared" si="38"/>
        <v>0</v>
      </c>
      <c r="DG36">
        <f t="shared" si="39"/>
        <v>0</v>
      </c>
      <c r="DH36">
        <f t="shared" si="40"/>
        <v>0</v>
      </c>
      <c r="DI36">
        <f t="shared" si="41"/>
        <v>0.455802844097073</v>
      </c>
      <c r="DJ36">
        <f t="shared" si="42"/>
        <v>1</v>
      </c>
      <c r="DK36">
        <f>IF(ISNUMBER(AL36),AL36,К_прокл)</f>
        <v>1</v>
      </c>
      <c r="DL36">
        <f t="shared" si="43"/>
        <v>2</v>
      </c>
      <c r="DM36">
        <f>IFERROR(N(VLOOKUP(BT36,Кабель_обозначение,3,FALSE)),1)</f>
        <v>1</v>
      </c>
      <c r="DN36">
        <f>IFERROR(N(_xlfn.XLOOKUP(A36,Щиты[Щит],Щиты[ΔU до шин, %])),0)</f>
        <v>0.17</v>
      </c>
      <c r="DO36" t="str">
        <f>IFERROR(_xlfn.XLOOKUP(A36,Щиты[Щит],Щиты[Zпетли на шинах, Ом]),"")</f>
        <v/>
      </c>
      <c r="DP36">
        <f>IFERROR(N(_xlfn.XLOOKUP(A36,Щиты[Щит],Щиты[ΔU до шин (подбор), %])),0)</f>
        <v>0.65</v>
      </c>
      <c r="DQ36" t="str">
        <f>IFERROR(_xlfn.XLOOKUP(A36,Щиты[Щит],Щиты[Zпетли на шинах (подбор), Ом]),"")</f>
        <v/>
      </c>
      <c r="DR36" t="str">
        <f t="shared" si="44"/>
        <v/>
      </c>
      <c r="DS36">
        <f t="shared" si="45"/>
        <v>38</v>
      </c>
      <c r="DT36">
        <f t="shared" si="46"/>
        <v>2</v>
      </c>
      <c r="DU36">
        <f t="shared" si="47"/>
        <v>0.31</v>
      </c>
      <c r="DV36" s="6">
        <f>IF(B36="","",IF(IFERROR(VLOOKUP(AX36,УГО_спр,2,FALSE),"")="Светильник",3,4)+IF(Методика="нормы 2026",MIN(0.5,MAX(0,N(Q36)-100)*0.005),0))</f>
        <v>3</v>
      </c>
      <c r="DW36" cm="1">
        <f t="array" ref="DW36">IF(OR(B36="",BT36="",DM36&lt;&gt;1),"",_xlfn.LET(_xlpm.sz,Iдоп_S,_xlpm.t_,CHOOSE(DL36,Iдоп_1ж,Iдоп_2ж,Iдоп_3ж)*DJ36*DK36,_xlpm.inn,N(DD36),_xlpm.smin,MAX(1.5,BW36),_xlpm.L_,N(Q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36)*(_xlpm.rho*_xlpm.L_/_xlpm.sz*N(BY36)+_xlpm.xx*_xlpm.L_*N(DU36)/1000)*N(P36)/((Uн_лин/SQRT(3))*1000)*100,999),_xlpm.kz,IF(OR(DG36=1,NOT(ISNUMBER(DQ36)),_xlpm.L_=0,_xlpm.inn=0),1,IFERROR(--(c_min*(Uн_лин*1000/SQRT(3))/(DQ36+2*ρкз_Cu*_xlpm.L_/_xlpm.sz)&gt;=GY36*_xlpm.inn),0)),_xlpm.ok,IFERROR((_xlpm.sz&gt;=_xlpm.smin)*(_xlpm.t_&gt;=_xlpm.inn)*IF(_xlpm.L_&gt;0,(_xlpm.du_+DP36&lt;=DV36+0.00001),1)*_xlpm.kz,0),_xlpm.r_,_xlfn._xlws.FILTER(_xlpm.sz,_xlpm.ok,"не подобрано"),INDEX(_xlpm.r_,1)))</f>
        <v>1.5</v>
      </c>
      <c r="DX36">
        <f t="shared" si="48"/>
        <v>1.5</v>
      </c>
      <c r="DY36" cm="1">
        <f t="array" ref="DY36">IF(OR(B36="",BT36="",DM36&lt;&gt;1),"",_xlfn.LET(_xlpm.sz,Iдоп_S,_xlpm.t_,CHOOSE(DL36,Iдоп_1ж,Iдоп_2ж,Iдоп_3ж)*DJ36*DK36,_xlpm.ok,IFERROR((_xlpm.sz&gt;=MAX(1.5,BW36))*(_xlpm.t_&gt;=N(DD36)),0),_xlpm.r_,_xlfn._xlws.FILTER(_xlpm.sz,_xlpm.ok,""),INDEX(_xlpm.r_,1)))</f>
        <v>1.5</v>
      </c>
      <c r="DZ36" s="6" cm="1">
        <f t="array" ref="DZ36">IFERROR(ROUNDUP(N(DT36)*(_xlfn.XLOOKUP(DY36,INDEX(Кабель_сопротивление,0,1),INDEX(Кабель_сопротивление,0,3))*N(Q36)/DY36*N(BY36)+_xlfn.XLOOKUP(DY36,INDEX(Кабель_сопротивление,0,1),INDEX(Кабель_сопротивление,0,2))*N(Q36)*N(DU36)/1000)*N(P36)/((Uн_лин/SQRT(3))*1000)*100,2),"")</f>
        <v>0.24000000000000002</v>
      </c>
      <c r="EA36">
        <f>IFERROR(2*ρкз_Cu*N(Q36)/DY36,"")</f>
        <v>1.4377333333333333</v>
      </c>
      <c r="EB36">
        <f>IFERROR(VLOOKUP(DX36,Кабель_сопротивление,3,FALSE),"")</f>
        <v>2.2499999999999999E-2</v>
      </c>
      <c r="EC36">
        <f>IFERROR(VLOOKUP(DX36,Кабель_сопротивление,2,FALSE),"")</f>
        <v>0.11</v>
      </c>
      <c r="ED36">
        <f t="shared" si="49"/>
        <v>0</v>
      </c>
      <c r="EE36">
        <f t="shared" si="50"/>
        <v>39</v>
      </c>
      <c r="EF36">
        <f t="shared" si="51"/>
        <v>0.53388013924009392</v>
      </c>
      <c r="EG36" s="6">
        <f>IFERROR(ROUNDUP(EF36/((Uн_лин/SQRT(3))*1000)*100,2),"")</f>
        <v>0.24000000000000002</v>
      </c>
      <c r="EH36" t="str">
        <f>IFERROR(VLOOKUP(BT36,Кабель_обозначение,2,FALSE),"")</f>
        <v>ВВГнг(А)-LS</v>
      </c>
      <c r="EI36" t="str">
        <f t="shared" si="52"/>
        <v>ВВГнг(А)-LS (3х1,5)</v>
      </c>
      <c r="EJ36" t="str">
        <f t="shared" si="53"/>
        <v>ВВГнг(А)-LS (3х1,5)
L=41-0,24%</v>
      </c>
      <c r="EK36">
        <f>IFERROR(2*ρкз_Cu*Q36/DX36,"")</f>
        <v>1.4377333333333333</v>
      </c>
      <c r="EL36">
        <f t="shared" si="54"/>
        <v>0.47833333333333333</v>
      </c>
      <c r="EM36" s="6" t="str">
        <f>IFERROR(IF(OR(B36="",NOT(ISNUMBER(DX36)),N(Q36)=0),"",_xlfn.XLOOKUP(A36,Щиты[Щит],Щиты[Zпетли на шинах, Ом])+EK36),"")</f>
        <v/>
      </c>
      <c r="EN36" s="6" t="str">
        <f>IF(ISNUMBER(EM36),c_min*(Uн_лин*1000/SQRT(3))/EM36,"")</f>
        <v/>
      </c>
      <c r="EO36" s="6" t="str">
        <f>IFERROR(IF(OR(B36="",NOT(ISNUMBER(DX36))),"",1.05*(Uн_лин*1000/SQRT(3))/(_xlfn.XLOOKUP(A36,Щиты[Щит],Щиты[Zmax на шинах, Ом])+EL36)/1000),"")</f>
        <v/>
      </c>
      <c r="EP36" s="6" t="str">
        <f>IF(B36="","",IF(ISNUMBER(Y36),"Сил",IF(IFERROR(_xlfn.XLOOKUP(AX36,Коды_код,Коды_группа)&amp;"","")="","Быт",_xlfn.XLOOKUP(AX36,Коды_код,Коды_группа)&amp;"")))</f>
        <v>Быт</v>
      </c>
      <c r="EQ36" s="6" t="str">
        <f t="shared" si="55"/>
        <v>Быт</v>
      </c>
      <c r="ER36" s="6">
        <f>IF(EQ36="Щит","щит",IF(EQ36="","",IF(EQ36="Быт",IFERROR(_xlfn.XLOOKUP(A36,Щиты[Щит],Щиты[Кс быт]),1),IF(EQ36="Сил",IF(ISNUMBER(Y36),Y36,IF(Методика="нормы 2026",IFERROR(_xlfn.XLOOKUP(A36,Щиты[Щит],Щиты[Кс силовых (табл. 7.5)]),1),1)),IF(OR(EQ36="Пост",EQ36="Отоп"),1,IF(EQ36="ВНГ",0.7,0))))))</f>
        <v>0.8</v>
      </c>
      <c r="ES36">
        <f t="shared" si="56"/>
        <v>1</v>
      </c>
      <c r="ET36">
        <f t="shared" si="57"/>
        <v>0.1</v>
      </c>
      <c r="EU36">
        <f t="shared" si="58"/>
        <v>0.1</v>
      </c>
      <c r="EV36">
        <f t="shared" si="59"/>
        <v>0</v>
      </c>
      <c r="EW36">
        <f t="shared" si="60"/>
        <v>0</v>
      </c>
      <c r="EX36">
        <f t="shared" si="61"/>
        <v>0</v>
      </c>
      <c r="EY36">
        <f t="shared" si="62"/>
        <v>0</v>
      </c>
      <c r="EZ36">
        <f t="shared" si="63"/>
        <v>0.1</v>
      </c>
      <c r="FA36">
        <f t="shared" si="64"/>
        <v>9.5000000000000001E-2</v>
      </c>
      <c r="FB36">
        <f t="shared" si="65"/>
        <v>0.1</v>
      </c>
      <c r="FC36" t="str">
        <f t="shared" si="66"/>
        <v/>
      </c>
      <c r="FD36" t="str">
        <f>IF(B36="","",IF(CA36=0,IF(AW36=1,"",FF35),IF(OR(N(CV36)&gt;=3,N(BR36)&gt;=3),"L1,L2,L3",IFERROR(_xlfn.TEXTBEFORE(_xlfn.TEXTAFTER(_xlfn.XLOOKUP(A36,Щиты[Щит],Щиты[_фазы авто]),";"&amp;AW36&amp;":"),";"),"L1"))))</f>
        <v>L2</v>
      </c>
      <c r="FE36" t="str">
        <f t="shared" si="67"/>
        <v>L2</v>
      </c>
      <c r="FF36" t="str">
        <f t="shared" si="68"/>
        <v>L2</v>
      </c>
      <c r="FG36" cm="1">
        <f t="array" ref="FG36">IFERROR(IF(BX36=2,_xlfn.IFS(BR36=3,VLOOKUP(BN36,Справочная_двигатели,3,FALSE),BR36=1,VLOOKUP(BN36,Справочная_двигатели,5,TRUE)),0),0)</f>
        <v>0</v>
      </c>
      <c r="FH36">
        <f>IFERROR(IF(BX36=3,VLOOKUP(BN36,Справочная_ЛЭД,2,TRUE),0),0)</f>
        <v>50</v>
      </c>
      <c r="FI36" s="6">
        <f t="shared" si="69"/>
        <v>50</v>
      </c>
      <c r="FJ36" t="str" cm="1">
        <f t="array" ref="FJ36">IF(B36="","",IFERROR(INDEX({"I особая","I","II","III"},MATCH(TRIM(AC36&amp;""),{"I особая","I","II","III"},0)),"III"))</f>
        <v>III</v>
      </c>
      <c r="FK36" t="str">
        <f>IF(B36="","",IF(TRIM(AD36&amp;"")&lt;&gt;"",IF(LOWER(TRIM(AD36&amp;""))="да","да","нет"),IF(IFERROR(_xlfn.XLOOKUP(AX36,Коды_код,Коды_пожарная),"")="да","да","нет")))</f>
        <v>нет</v>
      </c>
      <c r="FL36" t="str">
        <f t="shared" si="70"/>
        <v/>
      </c>
      <c r="FM36" t="str">
        <f t="shared" si="71"/>
        <v>основная</v>
      </c>
      <c r="FN36">
        <f t="shared" si="72"/>
        <v>1</v>
      </c>
      <c r="FO36" t="str" cm="1">
        <f t="array" ref="FO36">IF(B36="","",_xlfn.LET(_xlpm.t,IFERROR(_xlfn.XLOOKUP(1,(Шины[Шина]=FM36)*(((Шины[Щит]=A36)+(Шины[Щит]=""))&gt;0),Шины[Тип]),"")&amp;"",IF(_xlpm.t&lt;&gt;"",_xlpm.t,IF(ISNUMBER(SEARCH("ИБП",FM36)),"ИБП",IF(ISNUMBER(SEARCH("ДГУ",FM36)),"ДГУ","Ввод "&amp;FN36)))))</f>
        <v>Ввод 1</v>
      </c>
      <c r="FP36" t="str">
        <f t="shared" si="73"/>
        <v>Ввод 1</v>
      </c>
      <c r="FQ36" t="str">
        <f>IF(B36="","",IF(OR(FO36="ИБП",FO36="ДГУ"),"I особая",IF(FO36="Одиночная","III",_xlfn.XLOOKUP(A36,Щиты[Щит],Щиты[Категория шины «Ввод»],"III"))))</f>
        <v>II</v>
      </c>
      <c r="FR36">
        <f>IF(B36="",0,IFERROR(MATCH(FJ36,{"III","II","I","I особая"},0),1))</f>
        <v>1</v>
      </c>
      <c r="FS36">
        <f t="shared" si="74"/>
        <v>1</v>
      </c>
      <c r="FT36" t="str">
        <f>IF(B36="","",IF(FR36&gt;IFERROR(MATCH(FQ36,{"III","II","I","I особая"},0),1),"НЕ ОБЕСПЕЧЕНА","ОК"))</f>
        <v>ОК</v>
      </c>
      <c r="FU36" t="str">
        <f>IF(A36="","",_xlfn.XLOOKUP(A36,Щиты[Щит],Щиты[Путь],""))</f>
        <v>|ГРЩ-ЖД|ЩГП|ЩО-001|</v>
      </c>
      <c r="FV36" t="str">
        <f>IF(B36="","",IF(AE36&lt;&gt;"",AE36,IF(IFERROR(_xlfn.XLOOKUP(AX36,Коды_код,Коды_вид)&amp;"","")="","Прочее",_xlfn.XLOOKUP(AX36,Коды_код,Коды_вид)&amp;"")))</f>
        <v>Рабочее освещение</v>
      </c>
      <c r="FW36" t="str">
        <f>IF(BH36="","",INT((BH36-1)/Столбцов_на_лист)+1)</f>
        <v/>
      </c>
      <c r="FX36" t="str">
        <f t="shared" si="75"/>
        <v>ВВГнг(А)-LS (3х1,5) L=41-0,24%</v>
      </c>
      <c r="FY36">
        <f t="shared" si="76"/>
        <v>0.1</v>
      </c>
      <c r="FZ36">
        <f t="shared" si="77"/>
        <v>0.46</v>
      </c>
      <c r="GA36">
        <f t="shared" si="78"/>
        <v>1</v>
      </c>
      <c r="GB36">
        <f t="shared" si="79"/>
        <v>0</v>
      </c>
      <c r="GC36">
        <f t="shared" si="80"/>
        <v>0</v>
      </c>
      <c r="GD36" t="str">
        <f>IF(BH36="","",IF(AND(CA36=1,GC36=1),COUNTIFS(A$3:A36,A36,CA$3:CA36,1,GC$3:GC36,1),IF(OR(OR(AW36=1,A36&lt;&gt;A35),AF36="вручную",GC36=0),"",IF(AW36=1,"",GE35))))</f>
        <v/>
      </c>
      <c r="GE36" t="str">
        <f t="shared" si="81"/>
        <v/>
      </c>
      <c r="GF36">
        <f>IF(B36="","",IFERROR(LOOKUP(INDEX(CHOOSE(DL36,Iдоп_1ж,Iдоп_2ж,Iдоп_3ж),MATCH(DX36,Iдоп_S,0))*DJ36*DK36,{6,10,16,20,25,32,40,50,63,80,100,125,160,200,250,315,400,500,630}),""))</f>
        <v>16</v>
      </c>
      <c r="GG36" t="str">
        <f t="shared" si="82"/>
        <v/>
      </c>
      <c r="GH36" t="str">
        <f t="shared" si="83"/>
        <v/>
      </c>
      <c r="GI36" t="str">
        <f t="shared" si="84"/>
        <v/>
      </c>
      <c r="GJ36">
        <f t="shared" si="85"/>
        <v>0</v>
      </c>
      <c r="GK36" t="str">
        <f>IF(OR(AG36="",AG36="-"),"",IFERROR(VLOOKUP(AG36,Модули_спр,2,FALSE),"R"))</f>
        <v/>
      </c>
      <c r="GL36" t="str">
        <f>IF(GK36="","",GK36&amp;"."&amp;COUNTIFS(A$3:A36,A36,GK$3:GK36,GK36))</f>
        <v/>
      </c>
      <c r="GM36" t="str">
        <f t="shared" si="86"/>
        <v/>
      </c>
      <c r="GN36" t="str">
        <f t="shared" si="87"/>
        <v/>
      </c>
      <c r="GO36" t="str">
        <f t="shared" si="88"/>
        <v/>
      </c>
      <c r="GP36" t="str">
        <f t="shared" si="89"/>
        <v/>
      </c>
      <c r="GQ36">
        <f t="shared" si="90"/>
        <v>1</v>
      </c>
      <c r="GR36" t="str">
        <f>IF(GQ36=1,"XT"&amp;COUNTIFS(A$3:A36,A36,GQ$3:GQ36,1),"")</f>
        <v>XT5</v>
      </c>
      <c r="GS36" t="str">
        <f t="shared" si="91"/>
        <v>XT5</v>
      </c>
      <c r="GT36" t="str">
        <f t="shared" si="92"/>
        <v/>
      </c>
      <c r="GU36" t="str">
        <f t="shared" si="93"/>
        <v/>
      </c>
      <c r="GV36" t="str">
        <f t="shared" si="94"/>
        <v>ok</v>
      </c>
      <c r="GW36" t="str">
        <f>IF(OR(GO36="",GM36=""),"",IF(GO36&gt;IFERROR(VLOOKUP(GN36,Модули_спр,3,FALSE),99),"ЛИШНИЙ КАНАЛ",IF(AND(AH36&lt;&gt;"=",COUNTIFS(Линии[_модуль гр.],GM36,Линии[Канал (итог)],GO36,Линии[Канал],"&lt;&gt;=",Линии[Щит],A36)&gt;1),"ДУБЛЬ КАНАЛА","")))</f>
        <v/>
      </c>
      <c r="GX36" s="6" t="str">
        <f t="shared" si="95"/>
        <v/>
      </c>
      <c r="GY36">
        <f t="shared" si="96"/>
        <v>10</v>
      </c>
      <c r="GZ36" t="str">
        <f t="shared" si="97"/>
        <v/>
      </c>
      <c r="HA36" t="str">
        <f>IF(AND(B36="",GT36=""),"",_xlfn.TEXTJOIN("; ",TRUE,IF(AND(B36&lt;&gt;"",FE36=""),"нет фазы",""),IF(AND(B36&lt;&gt;"",N(FY36)=0,EQ36&lt;&gt;"Нет"),"нет мощности",""),IF(AND(GS36&lt;&gt;"",COUNTIFS(Линии[Щит],A36,Линии[Клемма (итог)],GS36)&gt;1),"дубль клеммы "&amp;GS36,""),IF(AND(GV36&lt;&gt;"",GV36&lt;&gt;"ok"),GV36,""),IF(GW36&lt;&gt;"",GW36,""),IF(AND(N(BV36)&gt;=4,N(BR36)=1),BV36&amp;" жил на 1 фазе",""),IF(AND(AX36="R",CA36=1,OR(N(CK36)=0,N(CK36)&gt;30)),"розетка без дифзащиты до 30 мА",""),IFERROR(IF(AND(ISNUMBER(R36),R36&gt;DV36),"потери "&amp;FIXED(R36,1)&amp;" % &gt; "&amp;DV36&amp;" %",""),""),IFERROR(IF(LEFT(GZ36,4)="мало","Iкз мало — отключение &gt; 0,4 с",""),""),IF(AND(B36&lt;&gt;"",BH36=""),"не на схеме",""),IF(AND(CA36=0,B36&lt;&gt;"",FE36&lt;&gt;"",IF(AW36=1,"",FF35)&lt;&gt;"",FE36&lt;&gt;IF(AW36=1,"",FF35)),"фаза не как у автомата группы ("&amp;IF(AW36=1,"",FF35)&amp;")","")))</f>
        <v>не на схеме</v>
      </c>
      <c r="HB36" s="6">
        <f>IF(OR(CA36=0,DA36=""),"",_xlfn.LET(_xlpm.t,IFERROR(_xlfn.XLOOKUP(DA36,Каталог!$U$4:$U$500,Каталог!$G$4:$G$500),""),_xlpm.k,SEARCH("кА",_xlpm.t),IFERROR(--TRIM(RIGHT(SUBSTITUTE(MID(_xlpm.t,MAX(1,_xlpm.k-4),_xlpm.k-MAX(1,_xlpm.k-4))," ",REPT(" ",9)),5)),"")))</f>
        <v>6</v>
      </c>
      <c r="HC36" t="str">
        <f>IF(OR(HB36="",CA36=0),"",IF(_xlfn.XLOOKUP(A36,Щиты[Щит],Щиты[Iкз max на шинах, кА],"")="","",IF(HB36&lt;_xlfn.XLOOKUP(A36,Щиты[Щит],Щиты[Iкз max на шинах, кА]),"Icu "&amp;HB36&amp;" кА &lt; Iкз max","ok")))</f>
        <v/>
      </c>
      <c r="HD36" t="str">
        <f t="shared" si="98"/>
        <v/>
      </c>
      <c r="HE36" t="str">
        <f t="shared" si="99"/>
        <v/>
      </c>
      <c r="HF36" t="str">
        <f t="shared" si="100"/>
        <v/>
      </c>
      <c r="HG36" t="str" cm="1">
        <f t="array" ref="HG36">IF(HF36="","",_xlfn.LET(_xlpm.nd,_xlfn.TEXTSPLIT(HF36,"|"),IF(COLUMNS(_xlpm.nd)&gt;1,A36&amp;"¦"&amp;INDEX(_xlpm.nd,1)&amp;"¦"&amp;INDEX(_xlpm.nd,2),"")))</f>
        <v/>
      </c>
      <c r="HH36" t="str">
        <f t="shared" si="101"/>
        <v/>
      </c>
      <c r="HI36" t="str" cm="1">
        <f t="array" ref="HI36">IF(HF36="","",_xlfn.LET(_xlpm.nd,_xlfn.TEXTSPLIT(HF36,"|"),IF(COLUMNS(_xlpm.nd)&gt;2,A36&amp;"¦"&amp;INDEX(_xlpm.nd,2)&amp;"¦"&amp;INDEX(_xlpm.nd,3),"")))</f>
        <v/>
      </c>
      <c r="HJ36" t="str">
        <f t="shared" si="102"/>
        <v/>
      </c>
      <c r="HK36" t="str" cm="1">
        <f t="array" ref="HK36">IF(HF36="","",_xlfn.LET(_xlpm.nd,_xlfn.TEXTSPLIT(HF36,"|"),IF(COLUMNS(_xlpm.nd)&gt;3,A36&amp;"¦"&amp;INDEX(_xlpm.nd,3)&amp;"¦"&amp;INDEX(_xlpm.nd,4),"")))</f>
        <v/>
      </c>
      <c r="HL36" t="str">
        <f t="shared" si="103"/>
        <v/>
      </c>
      <c r="HM36" t="str" cm="1">
        <f t="array" ref="HM36">IF(HF36="","",_xlfn.LET(_xlpm.nd,_xlfn.TEXTSPLIT(HF36,"|"),IF(COLUMNS(_xlpm.nd)&gt;4,A36&amp;"¦"&amp;INDEX(_xlpm.nd,4)&amp;"¦"&amp;INDEX(_xlpm.nd,5),"")))</f>
        <v/>
      </c>
      <c r="HN36" t="str">
        <f t="shared" si="104"/>
        <v/>
      </c>
      <c r="HO36" t="str" cm="1">
        <f t="array" ref="HO36">IF(HF36="","",_xlfn.LET(_xlpm.nd,_xlfn.TEXTSPLIT(HF36,"|"),IF(COLUMNS(_xlpm.nd)&gt;5,A36&amp;"¦"&amp;INDEX(_xlpm.nd,5)&amp;"¦"&amp;INDEX(_xlpm.nd,6),"")))</f>
        <v/>
      </c>
      <c r="HP36" t="str">
        <f t="shared" si="105"/>
        <v/>
      </c>
      <c r="HQ36" t="str" cm="1">
        <f t="array" ref="HQ36">IF(HF36="","",_xlfn.LET(_xlpm.nd,_xlfn.TEXTSPLIT(HF36,"|"),IF(COLUMNS(_xlpm.nd)&gt;6,A36&amp;"¦"&amp;INDEX(_xlpm.nd,6)&amp;"¦"&amp;INDEX(_xlpm.nd,7),"")))</f>
        <v/>
      </c>
      <c r="HR36" t="str">
        <f t="shared" si="106"/>
        <v/>
      </c>
      <c r="HS36" t="str">
        <f t="shared" si="107"/>
        <v/>
      </c>
      <c r="HT36" t="str">
        <f t="shared" si="108"/>
        <v>XT5</v>
      </c>
      <c r="HU36">
        <f t="shared" si="109"/>
        <v>0</v>
      </c>
      <c r="HV36">
        <f t="shared" si="110"/>
        <v>0</v>
      </c>
      <c r="HW36" t="str">
        <f t="shared" si="111"/>
        <v/>
      </c>
      <c r="HX36" t="str">
        <f t="shared" si="112"/>
        <v/>
      </c>
      <c r="HY36" t="str">
        <f t="shared" si="113"/>
        <v/>
      </c>
      <c r="HZ36" t="str">
        <f t="shared" si="114"/>
        <v/>
      </c>
      <c r="IA36" t="str">
        <f>IF(B36="","",IFERROR(VLOOKUP(B36,УГО_спр,2,FALSE),IFERROR(VLOOKUP(AX36,УГО_спр,2,FALSE),IFERROR(VLOOKUP(LEFT(AX36,2),УГО_спр,2,FALSE),""))))</f>
        <v>Светильник</v>
      </c>
      <c r="IB36" t="str">
        <f>IF(B36="","",IF(OR(IA36="",IA36=0),"BOX",IFERROR(IF(VLOOKUP(IA36,УГО_блоки,3,FALSE)&amp;""&lt;&gt;"",VLOOKUP(IA36,УГО_блоки,3,FALSE),VLOOKUP(IA36,УГО_блоки,2,FALSE)),IA36)))</f>
        <v>LAMP</v>
      </c>
      <c r="IC36">
        <f t="shared" si="115"/>
        <v>1</v>
      </c>
      <c r="ID36" t="str">
        <f>IF(DA36="","",IF(COUNTIF(DA$3:DA36,DA36)=1,MAX(ID$2:ID35)+1,""))</f>
        <v/>
      </c>
      <c r="IE36" t="str">
        <f>IF(CO36="","",IF(COUNTIF(CO$3:CO36,CO36)+COUNTIF(CP$2:CP35,CO36)+COUNTIF(CQ$2:CQ35,CO36)=1,MAX(IE$2:IG35)+1,""))</f>
        <v/>
      </c>
      <c r="IF36" t="str">
        <f>IF(CP36="","",IF(COUNTIF(CO$3:CO36,CP36)+COUNTIF(CP$3:CP36,CP36)+COUNTIF(CQ$2:CQ35,CP36)=1,MAX(IE$2:IG35,IE36)+1,""))</f>
        <v/>
      </c>
      <c r="IG36" t="str">
        <f>IF(CQ36="","",IF(COUNTIF(CO$3:CO36,CQ36)+COUNTIF(CP$3:CP36,CQ36)+COUNTIF(CQ$3:CQ36,CQ36)=1,MAX(IE$2:IG35,IE36,IF36)+1,""))</f>
        <v/>
      </c>
      <c r="IH36" t="str">
        <f t="shared" si="116"/>
        <v>3х1,5</v>
      </c>
      <c r="II36" t="str">
        <f>IF(IH36="","",IF(COUNTIF(IH$3:IH36,IH36)=1,MAX(II$2:II35)+1,""))</f>
        <v/>
      </c>
      <c r="IJ36" t="str">
        <f>IF(GL36="","",COUNTIF(GL$3:GL36,"?*"))</f>
        <v/>
      </c>
      <c r="IK36" t="str">
        <f>IF(OR(GL36="",GN36=""),"",IF(COUNTIFS(GL$3:GL36,"?*",GN$3:GN36,GN36)=1,MAX(IK$2:IK35)+1,""))</f>
        <v/>
      </c>
      <c r="IL36">
        <f t="shared" si="117"/>
        <v>1</v>
      </c>
      <c r="IM36">
        <f>IF(B36="","",COUNTIF(B$3:B36,"?*"))</f>
        <v>34</v>
      </c>
      <c r="IN36">
        <f>IF(GQ36&lt;&gt;1,0,_xlfn.LET(_xlpm.k,MAX(IFERROR(--VLOOKUP(B36,УГО_спр,5,FALSE),0),IFERROR(--VLOOKUP(AX36,УГО_спр,5,FALSE),0),IFERROR(--VLOOKUP(LEFT(AX36,2),УГО_спр,5,FALSE),0)),IF(_xlpm.k&gt;0,_xlpm.k,IF(IFERROR(--LEFT(SUBSTITUTE(IH36,"x","х"),FIND("х",SUBSTITUTE(IH36,"x","х"))-1),3)&gt;3,Каталог!$S$9,1))))</f>
        <v>1</v>
      </c>
      <c r="IO36">
        <f t="shared" si="118"/>
        <v>0</v>
      </c>
      <c r="IP36" t="str">
        <f t="shared" si="119"/>
        <v>авто</v>
      </c>
      <c r="IQ36" t="str">
        <f t="shared" si="120"/>
        <v/>
      </c>
      <c r="IR36">
        <f t="shared" si="121"/>
        <v>0</v>
      </c>
      <c r="IS36">
        <f t="shared" si="122"/>
        <v>1</v>
      </c>
    </row>
    <row r="37" spans="1:253" x14ac:dyDescent="0.3">
      <c r="A37" t="s">
        <v>1104</v>
      </c>
      <c r="B37" t="s">
        <v>1310</v>
      </c>
      <c r="C37" t="str">
        <f>Линии[[#This Row],[_авто наименование]]</f>
        <v>Осветительная группа, пом. 002Т</v>
      </c>
      <c r="D37">
        <v>8</v>
      </c>
      <c r="E37">
        <v>0.1</v>
      </c>
      <c r="G37" t="str">
        <f>Линии[[#This Row],[_авто автомат]]</f>
        <v>1P С10А</v>
      </c>
      <c r="H37" t="str">
        <f>Линии[[#This Row],[_авто утечка]]</f>
        <v/>
      </c>
      <c r="I37" t="str">
        <f>Линии[[#This Row],[_авто управление]]</f>
        <v/>
      </c>
      <c r="J37" t="str">
        <f>Линии[[#This Row],[_авто аппараты]]</f>
        <v/>
      </c>
      <c r="K37">
        <v>1.5</v>
      </c>
      <c r="L37">
        <v>48</v>
      </c>
      <c r="M37" t="str">
        <f>Линии[[#This Row],[_авто фаза]]</f>
        <v>L3</v>
      </c>
      <c r="N37" t="str">
        <f>Линии[[#This Row],[_авто клемма]]</f>
        <v>XT6</v>
      </c>
      <c r="O37" t="str">
        <f t="shared" si="0"/>
        <v>не на схеме</v>
      </c>
      <c r="P37" s="6" cm="1">
        <f t="array" ref="P37">IF(B37="","",IF(BC37&lt;&gt;"",IFERROR(_xlfn.XLOOKUP(BC37,Щиты[Щит],Щиты[Iр, А]),""),IF(BK37=1,IFERROR(_xlfn.XLOOKUP(A37,Щиты[Щит],Щиты[Iр, А]),""),IFERROR(_xlfn.IFS(BR37=1,BN37/((Uн_лин/SQRT(3))*BY37),BR37=3,BN37/(SQRT(3)*Uн_лин*BY37)),""))))</f>
        <v>0.455802844097073</v>
      </c>
      <c r="Q37" s="7">
        <f>IF(B37="","",IFERROR(IF(VLOOKUP(AX37,Потребители_обозначение,4,FALSE)=1,VLOOKUP(AX37,Потребители_обозначение,3,FALSE)*(D37*2-1)+DS37+VLOOKUP(AZ37,Этаж_обозначение,3,FALSE)+VLOOKUP(AZ37,Этаж_обозначение,4,FALSE),VLOOKUP(AX37,Потребители_обозначение,3,FALSE)*(D37*2-1)+DS37),DS37))</f>
        <v>63</v>
      </c>
      <c r="R37" s="6">
        <f t="shared" si="1"/>
        <v>0.53</v>
      </c>
      <c r="S37" t="str">
        <f t="shared" si="2"/>
        <v>ВВГнг(А)-LS (3х1,5)</v>
      </c>
      <c r="T37" t="str">
        <f>IF(BH37="","",IF(BI37="вводной узел","узел ","")&amp;"л."&amp;(INT((BH37-1)/Столбцов_на_лист)+1)&amp;" / "&amp;(MOD(BH37-1,Столбцов_на_лист)+1))</f>
        <v/>
      </c>
      <c r="V37">
        <v>1</v>
      </c>
      <c r="W37">
        <v>230</v>
      </c>
      <c r="X37" t="s">
        <v>564</v>
      </c>
      <c r="AE37" t="s">
        <v>557</v>
      </c>
      <c r="AI37" t="s">
        <v>529</v>
      </c>
      <c r="AJ37" t="s">
        <v>11</v>
      </c>
      <c r="AK37">
        <v>3</v>
      </c>
      <c r="AM37">
        <v>15</v>
      </c>
      <c r="AN37">
        <v>40</v>
      </c>
      <c r="AW37" cm="1">
        <f t="array" ref="AW37">ROW()-ROW(Линии[#Headers])</f>
        <v>35</v>
      </c>
      <c r="AX37" s="6" t="str">
        <f t="shared" si="3"/>
        <v>L</v>
      </c>
      <c r="AY37" t="str">
        <f t="shared" si="4"/>
        <v>00.002Т.1</v>
      </c>
      <c r="AZ37" t="str">
        <f t="shared" si="5"/>
        <v>00</v>
      </c>
      <c r="BA37" t="str">
        <f t="shared" si="6"/>
        <v>002Т.1</v>
      </c>
      <c r="BB37" t="str">
        <f t="shared" si="7"/>
        <v>002Т</v>
      </c>
      <c r="BC37" t="str">
        <f>IF(U37&lt;&gt;"",U37,IF(AND(B37&lt;&gt;"",B37&lt;&gt;A37,ISNUMBER(_xlfn.XMATCH(B37,Щиты[Щит]))),B37,""))</f>
        <v/>
      </c>
      <c r="BD37" t="str" cm="1">
        <f t="array" ref="BD37">IF(B37="","",IF(BC37&lt;&gt;"","Щит "&amp;BC37,_xlfn.LET(_xlpm.nm,IFERROR(_xlfn.XLOOKUP(AX37,Коды_код,Коды_имя)&amp;"",""),_xlpm.md,IFERROR(N(_xlfn.XLOOKUP(AX37,Коды_код,Коды_режим)),1),_xlpm.ex,IF(Имя_режим="по экспликации",IFERROR(_xlfn.XLOOKUP(AZ37&amp;"|"&amp;BB37,Экспликация[Этаж]&amp;"|"&amp;Экспликация[Помещение],Экспликация[Название])&amp;"",""),""),_xlpm.rm,IF(BB37="","",IF(_xlpm.ex&lt;&gt;"",". "&amp;_xlpm.ex&amp;IF(Имя_пом="нет"," ("&amp;BB37&amp;")"," (пом. "&amp;BB37&amp;")"),IF(Имя_пом="нет"," ",", пом. ")&amp;BB37)),IF(_xlpm.nm="","",IF(_xlpm.md=2,_xlpm.nm&amp;" шлейф "&amp;AZ37,_xlpm.nm&amp;_xlpm.rm)))))</f>
        <v>Осветительная группа, пом. 002Т</v>
      </c>
      <c r="BE37" t="str">
        <f t="shared" si="8"/>
        <v>Осветительная группа, пом. 002Т</v>
      </c>
      <c r="BF37">
        <f>IFERROR(_xlfn.XMATCH(A37,Щиты[Щит]),0)</f>
        <v>3</v>
      </c>
      <c r="BG37">
        <f>_xlfn.LET(_xlpm.k,IFERROR(_xlfn.XLOOKUP(A37,Щиты[Щит],Щиты[Листов под вводной узел]),""),IF(_xlpm.k="",1,N(_xlpm.k))*Столбцов_на_лист)</f>
        <v>17</v>
      </c>
      <c r="BH37" t="str">
        <f t="shared" si="9"/>
        <v/>
      </c>
      <c r="BI37" t="str">
        <f t="shared" si="10"/>
        <v/>
      </c>
      <c r="BJ37" s="6">
        <f>IFERROR(N(_xlfn.XLOOKUP(AX37,Коды_код,Коды_квт)),0)</f>
        <v>0</v>
      </c>
      <c r="BK37">
        <f t="shared" si="11"/>
        <v>0</v>
      </c>
      <c r="BL37" t="str">
        <f>IF(B37="","",IF(BC37&lt;&gt;"",IFERROR(_xlfn.XLOOKUP(BC37,Щиты[Щит],Щиты[Руст, кВт]),0),IF(BK37=1,IFERROR(_xlfn.XLOOKUP(A37,Щиты[Щит],Щиты[Руст, кВт]),0),IF(BJ37&gt;0,ROUND(BJ37*MAX(1,N(D37)),3),""))))</f>
        <v/>
      </c>
      <c r="BM37">
        <f t="shared" si="12"/>
        <v>0.1</v>
      </c>
      <c r="BN37" s="6">
        <f>IF(B37="","",IF(BC37&lt;&gt;"",IFERROR(_xlfn.XLOOKUP(BC37,Щиты[Щит],Щиты[Руст, кВт]),0),N(BM37)))</f>
        <v>0.1</v>
      </c>
      <c r="BO37" t="str">
        <f>IF(B37="","",IFERROR(IF(VLOOKUP(AX37,Потребители_обозначение,8,FALSE)=0,"",VLOOKUP(AX37,Потребители_обозначение,8,FALSE)),""))</f>
        <v/>
      </c>
      <c r="BP37">
        <f t="shared" si="13"/>
        <v>230</v>
      </c>
      <c r="BQ37">
        <f>IF(B37="","",IF(BC37&lt;&gt;"",3,IFERROR(IF(N(VLOOKUP(AX37,Потребители_обозначение,9,FALSE))=0,1,VLOOKUP(AX37,Потребители_обозначение,9,FALSE)),1)))</f>
        <v>1</v>
      </c>
      <c r="BR37">
        <f t="shared" si="14"/>
        <v>1</v>
      </c>
      <c r="BS37" t="str">
        <f>IF(B37="","",_xlfn.LET(_xlpm.bc,IFERROR(IF(VLOOKUP(AX37,Потребители_обозначение,6,FALSE)=0,"",VLOOKUP(AX37,Потребители_обозначение,6,FALSE)&amp;""),""),IF(AND(FK37="да",OR(_xlpm.bc="",_xlpm.bc="мс")),Марка_пож,IF(AND(_xlpm.bc="",BC37&lt;&gt;""),"мс",_xlpm.bc))))</f>
        <v/>
      </c>
      <c r="BT37" t="str">
        <f t="shared" si="15"/>
        <v>мс</v>
      </c>
      <c r="BU37">
        <f>IF(B37="","",_xlfn.LET(_xlpm.cc,IFERROR(N(VLOOKUP(AX37,Потребители_обозначение,7,FALSE)),0),IF(_xlpm.cc&gt;0,_xlpm.cc,IF(BT37="","",IF(N(BR37)=3,5,3)))))</f>
        <v>3</v>
      </c>
      <c r="BV37">
        <f t="shared" si="16"/>
        <v>3</v>
      </c>
      <c r="BW37">
        <f>IFERROR(N(VLOOKUP(AX37,Потребители_обозначение,10,FALSE)),0)</f>
        <v>0</v>
      </c>
      <c r="BX37">
        <f>IFERROR(VLOOKUP(AX37,Потребители_обозначение,5,FALSE),0)</f>
        <v>3</v>
      </c>
      <c r="BY37" s="6" cm="1">
        <f t="array" ref="BY37">IF(B37="","",IF(BC37&lt;&gt;"",IFERROR(_xlfn.XLOOKUP(BC37,Щиты[Щит],Щиты[cos φ]),0.95),IF(BK37=1,IFERROR(_xlfn.XLOOKUP(A37,Щиты[Щит],Щиты[cos φ]),0.95),IF(ISNUMBER(Z37),Z37,IFERROR(IF(BX37=2,_xlfn.IFS(BR37=3,VLOOKUP(BN37,Справочная_двигатели,8,FALSE),BR37=1,VLOOKUP(BN37,Справочная_двигатели,10,TRUE)),IF(AND(Методика="нормы 2026",EQ37="Сил"),0.8,0.95)),0.95)))))</f>
        <v>0.95</v>
      </c>
      <c r="BZ37">
        <f t="shared" si="17"/>
        <v>0</v>
      </c>
      <c r="CA37">
        <f t="shared" si="18"/>
        <v>1</v>
      </c>
      <c r="CB37">
        <f t="shared" si="19"/>
        <v>0</v>
      </c>
      <c r="CC37">
        <f t="shared" si="20"/>
        <v>0</v>
      </c>
      <c r="CD37">
        <f t="shared" si="21"/>
        <v>0</v>
      </c>
      <c r="CE37">
        <f t="shared" si="22"/>
        <v>0</v>
      </c>
      <c r="CF37">
        <f t="shared" si="23"/>
        <v>0</v>
      </c>
      <c r="CG37">
        <f>IF(AX37="",0,_xlfn.LET(_xlpm.v,IFERROR(VLOOKUP(B37,УГО_спр,3,FALSE),IFERROR(VLOOKUP(AX37,УГО_спр,3,FALSE),IFERROR(VLOOKUP(LEFT(AX37,2),УГО_спр,3,FALSE),""))),IF(_xlpm.v="да",30,IF(ISNUMBER(_xlpm.v),_xlpm.v,0))))</f>
        <v>0</v>
      </c>
      <c r="CH37" t="str">
        <f t="shared" si="24"/>
        <v/>
      </c>
      <c r="CI37" t="str">
        <f>_xlfn.LET(_xlpm.k,IFERROR(_xlfn.XLOOKUP(AX37,Коды_код,Коды_утечка)&amp;"",""),IF(_xlpm.k="","дифавтомат",_xlpm.k))</f>
        <v>дифавтомат</v>
      </c>
      <c r="CJ37">
        <f t="shared" si="25"/>
        <v>0</v>
      </c>
      <c r="CK37">
        <f t="shared" si="26"/>
        <v>0</v>
      </c>
      <c r="CL37">
        <f>IF(B37="",0,IFERROR(--VLOOKUP(B37,УГО_спр,4,FALSE),IFERROR(--VLOOKUP(AX37,УГО_спр,4,FALSE),IFERROR(--VLOOKUP(LEFT(AX37,2),УГО_спр,4,FALSE),0))))</f>
        <v>10</v>
      </c>
      <c r="CM37" t="str">
        <f>IF(B37="","",IFERROR(_xlfn.XLOOKUP(AX37,Коды_код,Коды_апп)&amp;"",""))</f>
        <v/>
      </c>
      <c r="CN37" t="str">
        <f t="shared" si="27"/>
        <v/>
      </c>
      <c r="CO37" t="str" cm="1">
        <f t="array" ref="CO37">IF(TRIM(CN37&amp;"")="","",IFERROR(TRIM(INDEX(_xlfn.TEXTSPLIT(CN37&amp;";;;",";"),1)),""))</f>
        <v/>
      </c>
      <c r="CP37" t="str" cm="1">
        <f t="array" ref="CP37">IF(TRIM(CN37&amp;"")="","",IFERROR(TRIM(INDEX(_xlfn.TEXTSPLIT(CN37&amp;";;;",";"),2)),""))</f>
        <v/>
      </c>
      <c r="CQ37" t="str" cm="1">
        <f t="array" ref="CQ37">IF(TRIM(CN37&amp;"")="","",IFERROR(TRIM(INDEX(_xlfn.TEXTSPLIT(CN37&amp;";;;",";"),3)),""))</f>
        <v/>
      </c>
      <c r="CR37">
        <f t="shared" si="28"/>
        <v>0</v>
      </c>
      <c r="CS37" t="str">
        <f>IF(B37="","",_xlfn.LET(_xlpm.t,LOWER(AV37&amp;""),IF(ISNUMBER(SEARCH("dim",_xlpm.t)),"DIM",IF(ISNUMBER(SEARCH("dali",_xlpm.t)),"DALI",IF(OR(ISNUMBER(SEARCH("relay",_xlpm.t)),ISNUMBER(SEARCH("реле",_xlpm.t))),"Relay",IF(ISNUMBER(SEARCH("кнопк",_xlpm.t)),"",IFERROR(_xlfn.XLOOKUP(AX37,Коды_код,Коды_упр)&amp;"","")))))))</f>
        <v/>
      </c>
      <c r="CT37" t="str">
        <f t="shared" si="29"/>
        <v/>
      </c>
      <c r="CU37">
        <f>IF(B37="","",_xlfn.LET(_xlpm.ig,N(P37)+IF(AF37="вручную",0,N(CB37)),_xlpm.n0,IFERROR(VLOOKUP(_xlpm.ig,Автомат_номиналы,2,TRUE),0),_xlpm.mn,MAX(CL37,IF(AF37="вручную",0,N(CE37))),MAX(_xlpm.n0,_xlpm.mn,IF(CR37=1,Мин_автомат_БП,0))))</f>
        <v>10</v>
      </c>
      <c r="CV37">
        <f t="shared" si="30"/>
        <v>1</v>
      </c>
      <c r="CW37" t="str">
        <f t="shared" si="31"/>
        <v>1P</v>
      </c>
      <c r="CX37" t="str">
        <f>_xlfn.LET(_xlpm.cc,UPPER(TRIM(IFERROR(_xlfn.XLOOKUP(AX37,Коды_код,Коды_хар)&amp;"",""))),IF(OR(_xlpm.cc="B",_xlpm.cc="В"),"B",IF(_xlpm.cc="D","D","С")))</f>
        <v>С</v>
      </c>
      <c r="CY37" t="str">
        <f t="shared" si="32"/>
        <v>1P С10А</v>
      </c>
      <c r="CZ37" t="str">
        <f t="shared" si="33"/>
        <v>1P С10А</v>
      </c>
      <c r="DA37" t="str">
        <f t="shared" si="34"/>
        <v>1P С10А</v>
      </c>
      <c r="DB37" cm="1">
        <f t="array" ref="DB37">IF(DA37="","",_xlfn.LET(_xlpm.t,SUBSTITUTE(SUBSTITUTE(SUBSTITUTE(UPPER(DA37),"С","C"),"А","A"),"В","B"),_xlpm.tk,_xlfn.TEXTSPLIT(_xlpm.t,"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7" t="str">
        <f t="shared" si="35"/>
        <v>ok</v>
      </c>
      <c r="DD37">
        <f t="shared" si="36"/>
        <v>10</v>
      </c>
      <c r="DE37" t="str">
        <f t="shared" si="37"/>
        <v>1P С10А</v>
      </c>
      <c r="DF37">
        <f t="shared" si="38"/>
        <v>0</v>
      </c>
      <c r="DG37">
        <f t="shared" si="39"/>
        <v>0</v>
      </c>
      <c r="DH37">
        <f t="shared" si="40"/>
        <v>0</v>
      </c>
      <c r="DI37">
        <f t="shared" si="41"/>
        <v>0.455802844097073</v>
      </c>
      <c r="DJ37">
        <f t="shared" si="42"/>
        <v>1</v>
      </c>
      <c r="DK37">
        <f>IF(ISNUMBER(AL37),AL37,К_прокл)</f>
        <v>1</v>
      </c>
      <c r="DL37">
        <f t="shared" si="43"/>
        <v>2</v>
      </c>
      <c r="DM37">
        <f>IFERROR(N(VLOOKUP(BT37,Кабель_обозначение,3,FALSE)),1)</f>
        <v>1</v>
      </c>
      <c r="DN37">
        <f>IFERROR(N(_xlfn.XLOOKUP(A37,Щиты[Щит],Щиты[ΔU до шин, %])),0)</f>
        <v>0.17</v>
      </c>
      <c r="DO37" t="str">
        <f>IFERROR(_xlfn.XLOOKUP(A37,Щиты[Щит],Щиты[Zпетли на шинах, Ом]),"")</f>
        <v/>
      </c>
      <c r="DP37">
        <f>IFERROR(N(_xlfn.XLOOKUP(A37,Щиты[Щит],Щиты[ΔU до шин (подбор), %])),0)</f>
        <v>0.65</v>
      </c>
      <c r="DQ37" t="str">
        <f>IFERROR(_xlfn.XLOOKUP(A37,Щиты[Щит],Щиты[Zпетли на шинах (подбор), Ом]),"")</f>
        <v/>
      </c>
      <c r="DR37" t="str">
        <f t="shared" si="44"/>
        <v/>
      </c>
      <c r="DS37">
        <f t="shared" si="45"/>
        <v>48</v>
      </c>
      <c r="DT37">
        <f t="shared" si="46"/>
        <v>2</v>
      </c>
      <c r="DU37">
        <f t="shared" si="47"/>
        <v>0.31</v>
      </c>
      <c r="DV37" s="6">
        <f>IF(B37="","",IF(IFERROR(VLOOKUP(AX37,УГО_спр,2,FALSE),"")="Светильник",3,4)+IF(Методика="нормы 2026",MIN(0.5,MAX(0,N(Q37)-100)*0.005),0))</f>
        <v>3</v>
      </c>
      <c r="DW37" cm="1">
        <f t="array" ref="DW37">IF(OR(B37="",BT37="",DM37&lt;&gt;1),"",_xlfn.LET(_xlpm.sz,Iдоп_S,_xlpm.t_,CHOOSE(DL37,Iдоп_1ж,Iдоп_2ж,Iдоп_3ж)*DJ37*DK37,_xlpm.inn,N(DD37),_xlpm.smin,MAX(1.5,BW37),_xlpm.L_,N(Q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37)*(_xlpm.rho*_xlpm.L_/_xlpm.sz*N(BY37)+_xlpm.xx*_xlpm.L_*N(DU37)/1000)*N(P37)/((Uн_лин/SQRT(3))*1000)*100,999),_xlpm.kz,IF(OR(DG37=1,NOT(ISNUMBER(DQ37)),_xlpm.L_=0,_xlpm.inn=0),1,IFERROR(--(c_min*(Uн_лин*1000/SQRT(3))/(DQ37+2*ρкз_Cu*_xlpm.L_/_xlpm.sz)&gt;=GY37*_xlpm.inn),0)),_xlpm.ok,IFERROR((_xlpm.sz&gt;=_xlpm.smin)*(_xlpm.t_&gt;=_xlpm.inn)*IF(_xlpm.L_&gt;0,(_xlpm.du_+DP37&lt;=DV37+0.00001),1)*_xlpm.kz,0),_xlpm.r_,_xlfn._xlws.FILTER(_xlpm.sz,_xlpm.ok,"не подобрано"),INDEX(_xlpm.r_,1)))</f>
        <v>1.5</v>
      </c>
      <c r="DX37">
        <f t="shared" si="48"/>
        <v>1.5</v>
      </c>
      <c r="DY37" cm="1">
        <f t="array" ref="DY37">IF(OR(B37="",BT37="",DM37&lt;&gt;1),"",_xlfn.LET(_xlpm.sz,Iдоп_S,_xlpm.t_,CHOOSE(DL37,Iдоп_1ж,Iдоп_2ж,Iдоп_3ж)*DJ37*DK37,_xlpm.ok,IFERROR((_xlpm.sz&gt;=MAX(1.5,BW37))*(_xlpm.t_&gt;=N(DD37)),0),_xlpm.r_,_xlfn._xlws.FILTER(_xlpm.sz,_xlpm.ok,""),INDEX(_xlpm.r_,1)))</f>
        <v>1.5</v>
      </c>
      <c r="DZ37" s="6" cm="1">
        <f t="array" ref="DZ37">IFERROR(ROUNDUP(N(DT37)*(_xlfn.XLOOKUP(DY37,INDEX(Кабель_сопротивление,0,1),INDEX(Кабель_сопротивление,0,3))*N(Q37)/DY37*N(BY37)+_xlfn.XLOOKUP(DY37,INDEX(Кабель_сопротивление,0,1),INDEX(Кабель_сопротивление,0,2))*N(Q37)*N(DU37)/1000)*N(P37)/((Uн_лин/SQRT(3))*1000)*100,2),"")</f>
        <v>0.36</v>
      </c>
      <c r="EA37">
        <f>IFERROR(2*ρкз_Cu*N(Q37)/DY37,"")</f>
        <v>2.2092000000000001</v>
      </c>
      <c r="EB37">
        <f>IFERROR(VLOOKUP(DX37,Кабель_сопротивление,3,FALSE),"")</f>
        <v>2.2499999999999999E-2</v>
      </c>
      <c r="EC37">
        <f>IFERROR(VLOOKUP(DX37,Кабель_сопротивление,2,FALSE),"")</f>
        <v>0.11</v>
      </c>
      <c r="ED37">
        <f t="shared" si="49"/>
        <v>40</v>
      </c>
      <c r="EE37" t="str">
        <f t="shared" si="50"/>
        <v/>
      </c>
      <c r="EF37">
        <f t="shared" si="51"/>
        <v>0.82035240907624196</v>
      </c>
      <c r="EG37" s="6">
        <f>IFERROR(ROUNDUP(EF37/((Uн_лин/SQRT(3))*1000)*100,2),"")</f>
        <v>0.36</v>
      </c>
      <c r="EH37" t="str">
        <f>IFERROR(VLOOKUP(BT37,Кабель_обозначение,2,FALSE),"")</f>
        <v>ВВГнг(А)-LS</v>
      </c>
      <c r="EI37" t="str">
        <f t="shared" si="52"/>
        <v>ВВГнг(А)-LS (3х1,5)</v>
      </c>
      <c r="EJ37" t="str">
        <f t="shared" si="53"/>
        <v>ВВГнг(А)-LS (3х1,5)
L=63-0,36%</v>
      </c>
      <c r="EK37">
        <f>IFERROR(2*ρкз_Cu*Q37/DX37,"")</f>
        <v>2.2092000000000001</v>
      </c>
      <c r="EL37">
        <f t="shared" si="54"/>
        <v>0.73499999999999999</v>
      </c>
      <c r="EM37" s="6" t="str">
        <f>IFERROR(IF(OR(B37="",NOT(ISNUMBER(DX37)),N(Q37)=0),"",_xlfn.XLOOKUP(A37,Щиты[Щит],Щиты[Zпетли на шинах, Ом])+EK37),"")</f>
        <v/>
      </c>
      <c r="EN37" s="6" t="str">
        <f>IF(ISNUMBER(EM37),c_min*(Uн_лин*1000/SQRT(3))/EM37,"")</f>
        <v/>
      </c>
      <c r="EO37" s="6" t="str">
        <f>IFERROR(IF(OR(B37="",NOT(ISNUMBER(DX37))),"",1.05*(Uн_лин*1000/SQRT(3))/(_xlfn.XLOOKUP(A37,Щиты[Щит],Щиты[Zmax на шинах, Ом])+EL37)/1000),"")</f>
        <v/>
      </c>
      <c r="EP37" s="6" t="str">
        <f>IF(B37="","",IF(ISNUMBER(Y37),"Сил",IF(IFERROR(_xlfn.XLOOKUP(AX37,Коды_код,Коды_группа)&amp;"","")="","Быт",_xlfn.XLOOKUP(AX37,Коды_код,Коды_группа)&amp;"")))</f>
        <v>Быт</v>
      </c>
      <c r="EQ37" s="6" t="str">
        <f t="shared" si="55"/>
        <v>Быт</v>
      </c>
      <c r="ER37" s="6">
        <f>IF(EQ37="Щит","щит",IF(EQ37="","",IF(EQ37="Быт",IFERROR(_xlfn.XLOOKUP(A37,Щиты[Щит],Щиты[Кс быт]),1),IF(EQ37="Сил",IF(ISNUMBER(Y37),Y37,IF(Методика="нормы 2026",IFERROR(_xlfn.XLOOKUP(A37,Щиты[Щит],Щиты[Кс силовых (табл. 7.5)]),1),1)),IF(OR(EQ37="Пост",EQ37="Отоп"),1,IF(EQ37="ВНГ",0.7,0))))))</f>
        <v>0.8</v>
      </c>
      <c r="ES37">
        <f t="shared" si="56"/>
        <v>1</v>
      </c>
      <c r="ET37">
        <f t="shared" si="57"/>
        <v>0.1</v>
      </c>
      <c r="EU37">
        <f t="shared" si="58"/>
        <v>0.1</v>
      </c>
      <c r="EV37">
        <f t="shared" si="59"/>
        <v>0</v>
      </c>
      <c r="EW37">
        <f t="shared" si="60"/>
        <v>0</v>
      </c>
      <c r="EX37">
        <f t="shared" si="61"/>
        <v>0</v>
      </c>
      <c r="EY37">
        <f t="shared" si="62"/>
        <v>0</v>
      </c>
      <c r="EZ37">
        <f t="shared" si="63"/>
        <v>0.1</v>
      </c>
      <c r="FA37">
        <f t="shared" si="64"/>
        <v>9.5000000000000001E-2</v>
      </c>
      <c r="FB37">
        <f t="shared" si="65"/>
        <v>0.1</v>
      </c>
      <c r="FC37" t="str">
        <f t="shared" si="66"/>
        <v/>
      </c>
      <c r="FD37" t="str">
        <f>IF(B37="","",IF(CA37=0,IF(AW37=1,"",FF36),IF(OR(N(CV37)&gt;=3,N(BR37)&gt;=3),"L1,L2,L3",IFERROR(_xlfn.TEXTBEFORE(_xlfn.TEXTAFTER(_xlfn.XLOOKUP(A37,Щиты[Щит],Щиты[_фазы авто]),";"&amp;AW37&amp;":"),";"),"L1"))))</f>
        <v>L3</v>
      </c>
      <c r="FE37" t="str">
        <f t="shared" si="67"/>
        <v>L3</v>
      </c>
      <c r="FF37" t="str">
        <f t="shared" si="68"/>
        <v>L3</v>
      </c>
      <c r="FG37" cm="1">
        <f t="array" ref="FG37">IFERROR(IF(BX37=2,_xlfn.IFS(BR37=3,VLOOKUP(BN37,Справочная_двигатели,3,FALSE),BR37=1,VLOOKUP(BN37,Справочная_двигатели,5,TRUE)),0),0)</f>
        <v>0</v>
      </c>
      <c r="FH37">
        <f>IFERROR(IF(BX37=3,VLOOKUP(BN37,Справочная_ЛЭД,2,TRUE),0),0)</f>
        <v>50</v>
      </c>
      <c r="FI37" s="6">
        <f t="shared" si="69"/>
        <v>50</v>
      </c>
      <c r="FJ37" t="str" cm="1">
        <f t="array" ref="FJ37">IF(B37="","",IFERROR(INDEX({"I особая","I","II","III"},MATCH(TRIM(AC37&amp;""),{"I особая","I","II","III"},0)),"III"))</f>
        <v>III</v>
      </c>
      <c r="FK37" t="str">
        <f>IF(B37="","",IF(TRIM(AD37&amp;"")&lt;&gt;"",IF(LOWER(TRIM(AD37&amp;""))="да","да","нет"),IF(IFERROR(_xlfn.XLOOKUP(AX37,Коды_код,Коды_пожарная),"")="да","да","нет")))</f>
        <v>нет</v>
      </c>
      <c r="FL37" t="str">
        <f t="shared" si="70"/>
        <v/>
      </c>
      <c r="FM37" t="str">
        <f t="shared" si="71"/>
        <v>основная</v>
      </c>
      <c r="FN37">
        <f t="shared" si="72"/>
        <v>1</v>
      </c>
      <c r="FO37" t="str" cm="1">
        <f t="array" ref="FO37">IF(B37="","",_xlfn.LET(_xlpm.t,IFERROR(_xlfn.XLOOKUP(1,(Шины[Шина]=FM37)*(((Шины[Щит]=A37)+(Шины[Щит]=""))&gt;0),Шины[Тип]),"")&amp;"",IF(_xlpm.t&lt;&gt;"",_xlpm.t,IF(ISNUMBER(SEARCH("ИБП",FM37)),"ИБП",IF(ISNUMBER(SEARCH("ДГУ",FM37)),"ДГУ","Ввод "&amp;FN37)))))</f>
        <v>Ввод 1</v>
      </c>
      <c r="FP37" t="str">
        <f t="shared" si="73"/>
        <v>Ввод 1</v>
      </c>
      <c r="FQ37" t="str">
        <f>IF(B37="","",IF(OR(FO37="ИБП",FO37="ДГУ"),"I особая",IF(FO37="Одиночная","III",_xlfn.XLOOKUP(A37,Щиты[Щит],Щиты[Категория шины «Ввод»],"III"))))</f>
        <v>II</v>
      </c>
      <c r="FR37">
        <f>IF(B37="",0,IFERROR(MATCH(FJ37,{"III","II","I","I особая"},0),1))</f>
        <v>1</v>
      </c>
      <c r="FS37">
        <f t="shared" si="74"/>
        <v>1</v>
      </c>
      <c r="FT37" t="str">
        <f>IF(B37="","",IF(FR37&gt;IFERROR(MATCH(FQ37,{"III","II","I","I особая"},0),1),"НЕ ОБЕСПЕЧЕНА","ОК"))</f>
        <v>ОК</v>
      </c>
      <c r="FU37" t="str">
        <f>IF(A37="","",_xlfn.XLOOKUP(A37,Щиты[Щит],Щиты[Путь],""))</f>
        <v>|ГРЩ-ЖД|ЩГП|ЩО-001|</v>
      </c>
      <c r="FV37" t="str">
        <f>IF(B37="","",IF(AE37&lt;&gt;"",AE37,IF(IFERROR(_xlfn.XLOOKUP(AX37,Коды_код,Коды_вид)&amp;"","")="","Прочее",_xlfn.XLOOKUP(AX37,Коды_код,Коды_вид)&amp;"")))</f>
        <v>Рабочее освещение</v>
      </c>
      <c r="FW37" t="str">
        <f>IF(BH37="","",INT((BH37-1)/Столбцов_на_лист)+1)</f>
        <v/>
      </c>
      <c r="FX37" t="str">
        <f t="shared" si="75"/>
        <v>ВВГнг(А)-LS (3х1,5) L=63-0,36%</v>
      </c>
      <c r="FY37">
        <f t="shared" si="76"/>
        <v>0.1</v>
      </c>
      <c r="FZ37">
        <f t="shared" si="77"/>
        <v>0.46</v>
      </c>
      <c r="GA37">
        <f t="shared" si="78"/>
        <v>1</v>
      </c>
      <c r="GB37">
        <f t="shared" si="79"/>
        <v>0</v>
      </c>
      <c r="GC37">
        <f t="shared" si="80"/>
        <v>0</v>
      </c>
      <c r="GD37" t="str">
        <f>IF(BH37="","",IF(AND(CA37=1,GC37=1),COUNTIFS(A$3:A37,A37,CA$3:CA37,1,GC$3:GC37,1),IF(OR(OR(AW37=1,A37&lt;&gt;A36),AF37="вручную",GC37=0),"",IF(AW37=1,"",GE36))))</f>
        <v/>
      </c>
      <c r="GE37" t="str">
        <f t="shared" si="81"/>
        <v/>
      </c>
      <c r="GF37">
        <f>IF(B37="","",IFERROR(LOOKUP(INDEX(CHOOSE(DL37,Iдоп_1ж,Iдоп_2ж,Iдоп_3ж),MATCH(DX37,Iдоп_S,0))*DJ37*DK37,{6,10,16,20,25,32,40,50,63,80,100,125,160,200,250,315,400,500,630}),""))</f>
        <v>16</v>
      </c>
      <c r="GG37" t="str">
        <f t="shared" si="82"/>
        <v/>
      </c>
      <c r="GH37" t="str">
        <f t="shared" si="83"/>
        <v/>
      </c>
      <c r="GI37" t="str">
        <f t="shared" si="84"/>
        <v/>
      </c>
      <c r="GJ37">
        <f t="shared" si="85"/>
        <v>0</v>
      </c>
      <c r="GK37" t="str">
        <f>IF(OR(AG37="",AG37="-"),"",IFERROR(VLOOKUP(AG37,Модули_спр,2,FALSE),"R"))</f>
        <v/>
      </c>
      <c r="GL37" t="str">
        <f>IF(GK37="","",GK37&amp;"."&amp;COUNTIFS(A$3:A37,A37,GK$3:GK37,GK37))</f>
        <v/>
      </c>
      <c r="GM37" t="str">
        <f t="shared" si="86"/>
        <v/>
      </c>
      <c r="GN37" t="str">
        <f t="shared" si="87"/>
        <v/>
      </c>
      <c r="GO37" t="str">
        <f t="shared" si="88"/>
        <v/>
      </c>
      <c r="GP37" t="str">
        <f t="shared" si="89"/>
        <v/>
      </c>
      <c r="GQ37">
        <f t="shared" si="90"/>
        <v>1</v>
      </c>
      <c r="GR37" t="str">
        <f>IF(GQ37=1,"XT"&amp;COUNTIFS(A$3:A37,A37,GQ$3:GQ37,1),"")</f>
        <v>XT6</v>
      </c>
      <c r="GS37" t="str">
        <f t="shared" si="91"/>
        <v>XT6</v>
      </c>
      <c r="GT37" t="str">
        <f t="shared" si="92"/>
        <v/>
      </c>
      <c r="GU37" t="str">
        <f t="shared" si="93"/>
        <v/>
      </c>
      <c r="GV37" t="str">
        <f t="shared" si="94"/>
        <v>ok</v>
      </c>
      <c r="GW37" t="str">
        <f>IF(OR(GO37="",GM37=""),"",IF(GO37&gt;IFERROR(VLOOKUP(GN37,Модули_спр,3,FALSE),99),"ЛИШНИЙ КАНАЛ",IF(AND(AH37&lt;&gt;"=",COUNTIFS(Линии[_модуль гр.],GM37,Линии[Канал (итог)],GO37,Линии[Канал],"&lt;&gt;=",Линии[Щит],A37)&gt;1),"ДУБЛЬ КАНАЛА","")))</f>
        <v/>
      </c>
      <c r="GX37" s="6" t="str">
        <f t="shared" si="95"/>
        <v/>
      </c>
      <c r="GY37">
        <f t="shared" si="96"/>
        <v>10</v>
      </c>
      <c r="GZ37" t="str">
        <f t="shared" si="97"/>
        <v/>
      </c>
      <c r="HA37" t="str">
        <f>IF(AND(B37="",GT37=""),"",_xlfn.TEXTJOIN("; ",TRUE,IF(AND(B37&lt;&gt;"",FE37=""),"нет фазы",""),IF(AND(B37&lt;&gt;"",N(FY37)=0,EQ37&lt;&gt;"Нет"),"нет мощности",""),IF(AND(GS37&lt;&gt;"",COUNTIFS(Линии[Щит],A37,Линии[Клемма (итог)],GS37)&gt;1),"дубль клеммы "&amp;GS37,""),IF(AND(GV37&lt;&gt;"",GV37&lt;&gt;"ok"),GV37,""),IF(GW37&lt;&gt;"",GW37,""),IF(AND(N(BV37)&gt;=4,N(BR37)=1),BV37&amp;" жил на 1 фазе",""),IF(AND(AX37="R",CA37=1,OR(N(CK37)=0,N(CK37)&gt;30)),"розетка без дифзащиты до 30 мА",""),IFERROR(IF(AND(ISNUMBER(R37),R37&gt;DV37),"потери "&amp;FIXED(R37,1)&amp;" % &gt; "&amp;DV37&amp;" %",""),""),IFERROR(IF(LEFT(GZ37,4)="мало","Iкз мало — отключение &gt; 0,4 с",""),""),IF(AND(B37&lt;&gt;"",BH37=""),"не на схеме",""),IF(AND(CA37=0,B37&lt;&gt;"",FE37&lt;&gt;"",IF(AW37=1,"",FF36)&lt;&gt;"",FE37&lt;&gt;IF(AW37=1,"",FF36)),"фаза не как у автомата группы ("&amp;IF(AW37=1,"",FF36)&amp;")","")))</f>
        <v>не на схеме</v>
      </c>
      <c r="HB37" s="6">
        <f>IF(OR(CA37=0,DA37=""),"",_xlfn.LET(_xlpm.t,IFERROR(_xlfn.XLOOKUP(DA37,Каталог!$U$4:$U$500,Каталог!$G$4:$G$500),""),_xlpm.k,SEARCH("кА",_xlpm.t),IFERROR(--TRIM(RIGHT(SUBSTITUTE(MID(_xlpm.t,MAX(1,_xlpm.k-4),_xlpm.k-MAX(1,_xlpm.k-4))," ",REPT(" ",9)),5)),"")))</f>
        <v>6</v>
      </c>
      <c r="HC37" t="str">
        <f>IF(OR(HB37="",CA37=0),"",IF(_xlfn.XLOOKUP(A37,Щиты[Щит],Щиты[Iкз max на шинах, кА],"")="","",IF(HB37&lt;_xlfn.XLOOKUP(A37,Щиты[Щит],Щиты[Iкз max на шинах, кА]),"Icu "&amp;HB37&amp;" кА &lt; Iкз max","ok")))</f>
        <v/>
      </c>
      <c r="HD37" t="str">
        <f t="shared" si="98"/>
        <v/>
      </c>
      <c r="HE37" t="str">
        <f t="shared" si="99"/>
        <v/>
      </c>
      <c r="HF37" t="str">
        <f t="shared" si="100"/>
        <v/>
      </c>
      <c r="HG37" t="str" cm="1">
        <f t="array" ref="HG37">IF(HF37="","",_xlfn.LET(_xlpm.nd,_xlfn.TEXTSPLIT(HF37,"|"),IF(COLUMNS(_xlpm.nd)&gt;1,A37&amp;"¦"&amp;INDEX(_xlpm.nd,1)&amp;"¦"&amp;INDEX(_xlpm.nd,2),"")))</f>
        <v/>
      </c>
      <c r="HH37" t="str">
        <f t="shared" si="101"/>
        <v/>
      </c>
      <c r="HI37" t="str" cm="1">
        <f t="array" ref="HI37">IF(HF37="","",_xlfn.LET(_xlpm.nd,_xlfn.TEXTSPLIT(HF37,"|"),IF(COLUMNS(_xlpm.nd)&gt;2,A37&amp;"¦"&amp;INDEX(_xlpm.nd,2)&amp;"¦"&amp;INDEX(_xlpm.nd,3),"")))</f>
        <v/>
      </c>
      <c r="HJ37" t="str">
        <f t="shared" si="102"/>
        <v/>
      </c>
      <c r="HK37" t="str" cm="1">
        <f t="array" ref="HK37">IF(HF37="","",_xlfn.LET(_xlpm.nd,_xlfn.TEXTSPLIT(HF37,"|"),IF(COLUMNS(_xlpm.nd)&gt;3,A37&amp;"¦"&amp;INDEX(_xlpm.nd,3)&amp;"¦"&amp;INDEX(_xlpm.nd,4),"")))</f>
        <v/>
      </c>
      <c r="HL37" t="str">
        <f t="shared" si="103"/>
        <v/>
      </c>
      <c r="HM37" t="str" cm="1">
        <f t="array" ref="HM37">IF(HF37="","",_xlfn.LET(_xlpm.nd,_xlfn.TEXTSPLIT(HF37,"|"),IF(COLUMNS(_xlpm.nd)&gt;4,A37&amp;"¦"&amp;INDEX(_xlpm.nd,4)&amp;"¦"&amp;INDEX(_xlpm.nd,5),"")))</f>
        <v/>
      </c>
      <c r="HN37" t="str">
        <f t="shared" si="104"/>
        <v/>
      </c>
      <c r="HO37" t="str" cm="1">
        <f t="array" ref="HO37">IF(HF37="","",_xlfn.LET(_xlpm.nd,_xlfn.TEXTSPLIT(HF37,"|"),IF(COLUMNS(_xlpm.nd)&gt;5,A37&amp;"¦"&amp;INDEX(_xlpm.nd,5)&amp;"¦"&amp;INDEX(_xlpm.nd,6),"")))</f>
        <v/>
      </c>
      <c r="HP37" t="str">
        <f t="shared" si="105"/>
        <v/>
      </c>
      <c r="HQ37" t="str" cm="1">
        <f t="array" ref="HQ37">IF(HF37="","",_xlfn.LET(_xlpm.nd,_xlfn.TEXTSPLIT(HF37,"|"),IF(COLUMNS(_xlpm.nd)&gt;6,A37&amp;"¦"&amp;INDEX(_xlpm.nd,6)&amp;"¦"&amp;INDEX(_xlpm.nd,7),"")))</f>
        <v/>
      </c>
      <c r="HR37" t="str">
        <f t="shared" si="106"/>
        <v/>
      </c>
      <c r="HS37" t="str">
        <f t="shared" si="107"/>
        <v/>
      </c>
      <c r="HT37" t="str">
        <f t="shared" si="108"/>
        <v>XT6</v>
      </c>
      <c r="HU37">
        <f t="shared" si="109"/>
        <v>0</v>
      </c>
      <c r="HV37">
        <f t="shared" si="110"/>
        <v>0</v>
      </c>
      <c r="HW37" t="str">
        <f t="shared" si="111"/>
        <v/>
      </c>
      <c r="HX37" t="str">
        <f t="shared" si="112"/>
        <v/>
      </c>
      <c r="HY37" t="str">
        <f t="shared" si="113"/>
        <v/>
      </c>
      <c r="HZ37" t="str">
        <f t="shared" si="114"/>
        <v/>
      </c>
      <c r="IA37" t="str">
        <f>IF(B37="","",IFERROR(VLOOKUP(B37,УГО_спр,2,FALSE),IFERROR(VLOOKUP(AX37,УГО_спр,2,FALSE),IFERROR(VLOOKUP(LEFT(AX37,2),УГО_спр,2,FALSE),""))))</f>
        <v>Светильник</v>
      </c>
      <c r="IB37" t="str">
        <f>IF(B37="","",IF(OR(IA37="",IA37=0),"BOX",IFERROR(IF(VLOOKUP(IA37,УГО_блоки,3,FALSE)&amp;""&lt;&gt;"",VLOOKUP(IA37,УГО_блоки,3,FALSE),VLOOKUP(IA37,УГО_блоки,2,FALSE)),IA37)))</f>
        <v>LAMP</v>
      </c>
      <c r="IC37">
        <f t="shared" si="115"/>
        <v>1</v>
      </c>
      <c r="ID37" t="str">
        <f>IF(DA37="","",IF(COUNTIF(DA$3:DA37,DA37)=1,MAX(ID$2:ID36)+1,""))</f>
        <v/>
      </c>
      <c r="IE37" t="str">
        <f>IF(CO37="","",IF(COUNTIF(CO$3:CO37,CO37)+COUNTIF(CP$2:CP36,CO37)+COUNTIF(CQ$2:CQ36,CO37)=1,MAX(IE$2:IG36)+1,""))</f>
        <v/>
      </c>
      <c r="IF37" t="str">
        <f>IF(CP37="","",IF(COUNTIF(CO$3:CO37,CP37)+COUNTIF(CP$3:CP37,CP37)+COUNTIF(CQ$2:CQ36,CP37)=1,MAX(IE$2:IG36,IE37)+1,""))</f>
        <v/>
      </c>
      <c r="IG37" t="str">
        <f>IF(CQ37="","",IF(COUNTIF(CO$3:CO37,CQ37)+COUNTIF(CP$3:CP37,CQ37)+COUNTIF(CQ$3:CQ37,CQ37)=1,MAX(IE$2:IG36,IE37,IF37)+1,""))</f>
        <v/>
      </c>
      <c r="IH37" t="str">
        <f t="shared" si="116"/>
        <v>3х1,5</v>
      </c>
      <c r="II37" t="str">
        <f>IF(IH37="","",IF(COUNTIF(IH$3:IH37,IH37)=1,MAX(II$2:II36)+1,""))</f>
        <v/>
      </c>
      <c r="IJ37" t="str">
        <f>IF(GL37="","",COUNTIF(GL$3:GL37,"?*"))</f>
        <v/>
      </c>
      <c r="IK37" t="str">
        <f>IF(OR(GL37="",GN37=""),"",IF(COUNTIFS(GL$3:GL37,"?*",GN$3:GN37,GN37)=1,MAX(IK$2:IK36)+1,""))</f>
        <v/>
      </c>
      <c r="IL37">
        <f t="shared" si="117"/>
        <v>1</v>
      </c>
      <c r="IM37">
        <f>IF(B37="","",COUNTIF(B$3:B37,"?*"))</f>
        <v>35</v>
      </c>
      <c r="IN37">
        <f>IF(GQ37&lt;&gt;1,0,_xlfn.LET(_xlpm.k,MAX(IFERROR(--VLOOKUP(B37,УГО_спр,5,FALSE),0),IFERROR(--VLOOKUP(AX37,УГО_спр,5,FALSE),0),IFERROR(--VLOOKUP(LEFT(AX37,2),УГО_спр,5,FALSE),0)),IF(_xlpm.k&gt;0,_xlpm.k,IF(IFERROR(--LEFT(SUBSTITUTE(IH37,"x","х"),FIND("х",SUBSTITUTE(IH37,"x","х"))-1),3)&gt;3,Каталог!$S$9,1))))</f>
        <v>1</v>
      </c>
      <c r="IO37">
        <f t="shared" si="118"/>
        <v>0</v>
      </c>
      <c r="IP37" t="str">
        <f t="shared" si="119"/>
        <v>авто</v>
      </c>
      <c r="IQ37" t="str">
        <f t="shared" si="120"/>
        <v/>
      </c>
      <c r="IR37">
        <f t="shared" si="121"/>
        <v>0</v>
      </c>
      <c r="IS37">
        <f t="shared" si="122"/>
        <v>1</v>
      </c>
    </row>
    <row r="38" spans="1:253" x14ac:dyDescent="0.3">
      <c r="A38" t="s">
        <v>1104</v>
      </c>
      <c r="B38" t="s">
        <v>1311</v>
      </c>
      <c r="C38" t="str">
        <f>Линии[[#This Row],[_авто наименование]]</f>
        <v>Осветительная группа, пом. 003Б</v>
      </c>
      <c r="D38">
        <v>15</v>
      </c>
      <c r="E38">
        <v>0.1</v>
      </c>
      <c r="G38" t="str">
        <f>Линии[[#This Row],[_авто автомат]]</f>
        <v>1P С10А</v>
      </c>
      <c r="H38" t="str">
        <f>Линии[[#This Row],[_авто утечка]]</f>
        <v/>
      </c>
      <c r="I38" t="str">
        <f>Линии[[#This Row],[_авто управление]]</f>
        <v/>
      </c>
      <c r="J38" t="str">
        <f>Линии[[#This Row],[_авто аппараты]]</f>
        <v/>
      </c>
      <c r="K38">
        <v>1.5</v>
      </c>
      <c r="L38">
        <v>62</v>
      </c>
      <c r="M38" t="str">
        <f>Линии[[#This Row],[_авто фаза]]</f>
        <v>L1</v>
      </c>
      <c r="N38" t="str">
        <f>Линии[[#This Row],[_авто клемма]]</f>
        <v>XT7</v>
      </c>
      <c r="O38" t="str">
        <f t="shared" si="0"/>
        <v>не на схеме</v>
      </c>
      <c r="P38" s="6" cm="1">
        <f t="array" ref="P38">IF(B38="","",IF(BC38&lt;&gt;"",IFERROR(_xlfn.XLOOKUP(BC38,Щиты[Щит],Щиты[Iр, А]),""),IF(BK38=1,IFERROR(_xlfn.XLOOKUP(A38,Щиты[Щит],Щиты[Iр, А]),""),IFERROR(_xlfn.IFS(BR38=1,BN38/((Uн_лин/SQRT(3))*BY38),BR38=3,BN38/(SQRT(3)*Uн_лин*BY38)),""))))</f>
        <v>0.455802844097073</v>
      </c>
      <c r="Q38" s="7">
        <f>IF(B38="","",IFERROR(IF(VLOOKUP(AX38,Потребители_обозначение,4,FALSE)=1,VLOOKUP(AX38,Потребители_обозначение,3,FALSE)*(D38*2-1)+DS38+VLOOKUP(AZ38,Этаж_обозначение,3,FALSE)+VLOOKUP(AZ38,Этаж_обозначение,4,FALSE),VLOOKUP(AX38,Потребители_обозначение,3,FALSE)*(D38*2-1)+DS38),DS38))</f>
        <v>91</v>
      </c>
      <c r="R38" s="6">
        <f t="shared" si="1"/>
        <v>0.69000000000000006</v>
      </c>
      <c r="S38" t="str">
        <f t="shared" si="2"/>
        <v>ВВГнг(А)-LS (3х1,5)</v>
      </c>
      <c r="T38" t="str">
        <f>IF(BH38="","",IF(BI38="вводной узел","узел ","")&amp;"л."&amp;(INT((BH38-1)/Столбцов_на_лист)+1)&amp;" / "&amp;(MOD(BH38-1,Столбцов_на_лист)+1))</f>
        <v/>
      </c>
      <c r="V38">
        <v>1</v>
      </c>
      <c r="W38">
        <v>230</v>
      </c>
      <c r="X38" t="s">
        <v>564</v>
      </c>
      <c r="AE38" t="s">
        <v>557</v>
      </c>
      <c r="AI38" t="s">
        <v>529</v>
      </c>
      <c r="AJ38" t="s">
        <v>11</v>
      </c>
      <c r="AK38">
        <v>3</v>
      </c>
      <c r="AM38">
        <v>38</v>
      </c>
      <c r="AN38">
        <v>0</v>
      </c>
      <c r="AO38">
        <v>85</v>
      </c>
      <c r="AW38" cm="1">
        <f t="array" ref="AW38">ROW()-ROW(Линии[#Headers])</f>
        <v>36</v>
      </c>
      <c r="AX38" s="6" t="str">
        <f t="shared" si="3"/>
        <v>L</v>
      </c>
      <c r="AY38" t="str">
        <f t="shared" si="4"/>
        <v>00.003Б.1</v>
      </c>
      <c r="AZ38" t="str">
        <f t="shared" si="5"/>
        <v>00</v>
      </c>
      <c r="BA38" t="str">
        <f t="shared" si="6"/>
        <v>003Б.1</v>
      </c>
      <c r="BB38" t="str">
        <f t="shared" si="7"/>
        <v>003Б</v>
      </c>
      <c r="BC38" t="str">
        <f>IF(U38&lt;&gt;"",U38,IF(AND(B38&lt;&gt;"",B38&lt;&gt;A38,ISNUMBER(_xlfn.XMATCH(B38,Щиты[Щит]))),B38,""))</f>
        <v/>
      </c>
      <c r="BD38" t="str" cm="1">
        <f t="array" ref="BD38">IF(B38="","",IF(BC38&lt;&gt;"","Щит "&amp;BC38,_xlfn.LET(_xlpm.nm,IFERROR(_xlfn.XLOOKUP(AX38,Коды_код,Коды_имя)&amp;"",""),_xlpm.md,IFERROR(N(_xlfn.XLOOKUP(AX38,Коды_код,Коды_режим)),1),_xlpm.ex,IF(Имя_режим="по экспликации",IFERROR(_xlfn.XLOOKUP(AZ38&amp;"|"&amp;BB38,Экспликация[Этаж]&amp;"|"&amp;Экспликация[Помещение],Экспликация[Название])&amp;"",""),""),_xlpm.rm,IF(BB38="","",IF(_xlpm.ex&lt;&gt;"",". "&amp;_xlpm.ex&amp;IF(Имя_пом="нет"," ("&amp;BB38&amp;")"," (пом. "&amp;BB38&amp;")"),IF(Имя_пом="нет"," ",", пом. ")&amp;BB38)),IF(_xlpm.nm="","",IF(_xlpm.md=2,_xlpm.nm&amp;" шлейф "&amp;AZ38,_xlpm.nm&amp;_xlpm.rm)))))</f>
        <v>Осветительная группа, пом. 003Б</v>
      </c>
      <c r="BE38" t="str">
        <f t="shared" si="8"/>
        <v>Осветительная группа, пом. 003Б</v>
      </c>
      <c r="BF38">
        <f>IFERROR(_xlfn.XMATCH(A38,Щиты[Щит]),0)</f>
        <v>3</v>
      </c>
      <c r="BG38">
        <f>_xlfn.LET(_xlpm.k,IFERROR(_xlfn.XLOOKUP(A38,Щиты[Щит],Щиты[Листов под вводной узел]),""),IF(_xlpm.k="",1,N(_xlpm.k))*Столбцов_на_лист)</f>
        <v>17</v>
      </c>
      <c r="BH38" t="str">
        <f t="shared" si="9"/>
        <v/>
      </c>
      <c r="BI38" t="str">
        <f t="shared" si="10"/>
        <v/>
      </c>
      <c r="BJ38" s="6">
        <f>IFERROR(N(_xlfn.XLOOKUP(AX38,Коды_код,Коды_квт)),0)</f>
        <v>0</v>
      </c>
      <c r="BK38">
        <f t="shared" si="11"/>
        <v>0</v>
      </c>
      <c r="BL38" t="str">
        <f>IF(B38="","",IF(BC38&lt;&gt;"",IFERROR(_xlfn.XLOOKUP(BC38,Щиты[Щит],Щиты[Руст, кВт]),0),IF(BK38=1,IFERROR(_xlfn.XLOOKUP(A38,Щиты[Щит],Щиты[Руст, кВт]),0),IF(BJ38&gt;0,ROUND(BJ38*MAX(1,N(D38)),3),""))))</f>
        <v/>
      </c>
      <c r="BM38">
        <f t="shared" si="12"/>
        <v>0.1</v>
      </c>
      <c r="BN38" s="6">
        <f>IF(B38="","",IF(BC38&lt;&gt;"",IFERROR(_xlfn.XLOOKUP(BC38,Щиты[Щит],Щиты[Руст, кВт]),0),N(BM38)))</f>
        <v>0.1</v>
      </c>
      <c r="BO38" t="str">
        <f>IF(B38="","",IFERROR(IF(VLOOKUP(AX38,Потребители_обозначение,8,FALSE)=0,"",VLOOKUP(AX38,Потребители_обозначение,8,FALSE)),""))</f>
        <v/>
      </c>
      <c r="BP38">
        <f t="shared" si="13"/>
        <v>230</v>
      </c>
      <c r="BQ38">
        <f>IF(B38="","",IF(BC38&lt;&gt;"",3,IFERROR(IF(N(VLOOKUP(AX38,Потребители_обозначение,9,FALSE))=0,1,VLOOKUP(AX38,Потребители_обозначение,9,FALSE)),1)))</f>
        <v>1</v>
      </c>
      <c r="BR38">
        <f t="shared" si="14"/>
        <v>1</v>
      </c>
      <c r="BS38" t="str">
        <f>IF(B38="","",_xlfn.LET(_xlpm.bc,IFERROR(IF(VLOOKUP(AX38,Потребители_обозначение,6,FALSE)=0,"",VLOOKUP(AX38,Потребители_обозначение,6,FALSE)&amp;""),""),IF(AND(FK38="да",OR(_xlpm.bc="",_xlpm.bc="мс")),Марка_пож,IF(AND(_xlpm.bc="",BC38&lt;&gt;""),"мс",_xlpm.bc))))</f>
        <v/>
      </c>
      <c r="BT38" t="str">
        <f t="shared" si="15"/>
        <v>мс</v>
      </c>
      <c r="BU38">
        <f>IF(B38="","",_xlfn.LET(_xlpm.cc,IFERROR(N(VLOOKUP(AX38,Потребители_обозначение,7,FALSE)),0),IF(_xlpm.cc&gt;0,_xlpm.cc,IF(BT38="","",IF(N(BR38)=3,5,3)))))</f>
        <v>3</v>
      </c>
      <c r="BV38">
        <f t="shared" si="16"/>
        <v>3</v>
      </c>
      <c r="BW38">
        <f>IFERROR(N(VLOOKUP(AX38,Потребители_обозначение,10,FALSE)),0)</f>
        <v>0</v>
      </c>
      <c r="BX38">
        <f>IFERROR(VLOOKUP(AX38,Потребители_обозначение,5,FALSE),0)</f>
        <v>3</v>
      </c>
      <c r="BY38" s="6" cm="1">
        <f t="array" ref="BY38">IF(B38="","",IF(BC38&lt;&gt;"",IFERROR(_xlfn.XLOOKUP(BC38,Щиты[Щит],Щиты[cos φ]),0.95),IF(BK38=1,IFERROR(_xlfn.XLOOKUP(A38,Щиты[Щит],Щиты[cos φ]),0.95),IF(ISNUMBER(Z38),Z38,IFERROR(IF(BX38=2,_xlfn.IFS(BR38=3,VLOOKUP(BN38,Справочная_двигатели,8,FALSE),BR38=1,VLOOKUP(BN38,Справочная_двигатели,10,TRUE)),IF(AND(Методика="нормы 2026",EQ38="Сил"),0.8,0.95)),0.95)))))</f>
        <v>0.95</v>
      </c>
      <c r="BZ38">
        <f t="shared" si="17"/>
        <v>0</v>
      </c>
      <c r="CA38">
        <f t="shared" si="18"/>
        <v>1</v>
      </c>
      <c r="CB38">
        <f t="shared" si="19"/>
        <v>0</v>
      </c>
      <c r="CC38">
        <f t="shared" si="20"/>
        <v>0</v>
      </c>
      <c r="CD38">
        <f t="shared" si="21"/>
        <v>0</v>
      </c>
      <c r="CE38">
        <f t="shared" si="22"/>
        <v>0</v>
      </c>
      <c r="CF38">
        <f t="shared" si="23"/>
        <v>0</v>
      </c>
      <c r="CG38">
        <f>IF(AX38="",0,_xlfn.LET(_xlpm.v,IFERROR(VLOOKUP(B38,УГО_спр,3,FALSE),IFERROR(VLOOKUP(AX38,УГО_спр,3,FALSE),IFERROR(VLOOKUP(LEFT(AX38,2),УГО_спр,3,FALSE),""))),IF(_xlpm.v="да",30,IF(ISNUMBER(_xlpm.v),_xlpm.v,0))))</f>
        <v>0</v>
      </c>
      <c r="CH38" t="str">
        <f t="shared" si="24"/>
        <v/>
      </c>
      <c r="CI38" t="str">
        <f>_xlfn.LET(_xlpm.k,IFERROR(_xlfn.XLOOKUP(AX38,Коды_код,Коды_утечка)&amp;"",""),IF(_xlpm.k="","дифавтомат",_xlpm.k))</f>
        <v>дифавтомат</v>
      </c>
      <c r="CJ38">
        <f t="shared" si="25"/>
        <v>0</v>
      </c>
      <c r="CK38">
        <f t="shared" si="26"/>
        <v>0</v>
      </c>
      <c r="CL38">
        <f>IF(B38="",0,IFERROR(--VLOOKUP(B38,УГО_спр,4,FALSE),IFERROR(--VLOOKUP(AX38,УГО_спр,4,FALSE),IFERROR(--VLOOKUP(LEFT(AX38,2),УГО_спр,4,FALSE),0))))</f>
        <v>10</v>
      </c>
      <c r="CM38" t="str">
        <f>IF(B38="","",IFERROR(_xlfn.XLOOKUP(AX38,Коды_код,Коды_апп)&amp;"",""))</f>
        <v/>
      </c>
      <c r="CN38" t="str">
        <f t="shared" si="27"/>
        <v/>
      </c>
      <c r="CO38" t="str" cm="1">
        <f t="array" ref="CO38">IF(TRIM(CN38&amp;"")="","",IFERROR(TRIM(INDEX(_xlfn.TEXTSPLIT(CN38&amp;";;;",";"),1)),""))</f>
        <v/>
      </c>
      <c r="CP38" t="str" cm="1">
        <f t="array" ref="CP38">IF(TRIM(CN38&amp;"")="","",IFERROR(TRIM(INDEX(_xlfn.TEXTSPLIT(CN38&amp;";;;",";"),2)),""))</f>
        <v/>
      </c>
      <c r="CQ38" t="str" cm="1">
        <f t="array" ref="CQ38">IF(TRIM(CN38&amp;"")="","",IFERROR(TRIM(INDEX(_xlfn.TEXTSPLIT(CN38&amp;";;;",";"),3)),""))</f>
        <v/>
      </c>
      <c r="CR38">
        <f t="shared" si="28"/>
        <v>0</v>
      </c>
      <c r="CS38" t="str">
        <f>IF(B38="","",_xlfn.LET(_xlpm.t,LOWER(AV38&amp;""),IF(ISNUMBER(SEARCH("dim",_xlpm.t)),"DIM",IF(ISNUMBER(SEARCH("dali",_xlpm.t)),"DALI",IF(OR(ISNUMBER(SEARCH("relay",_xlpm.t)),ISNUMBER(SEARCH("реле",_xlpm.t))),"Relay",IF(ISNUMBER(SEARCH("кнопк",_xlpm.t)),"",IFERROR(_xlfn.XLOOKUP(AX38,Коды_код,Коды_упр)&amp;"","")))))))</f>
        <v/>
      </c>
      <c r="CT38" t="str">
        <f t="shared" si="29"/>
        <v/>
      </c>
      <c r="CU38">
        <f>IF(B38="","",_xlfn.LET(_xlpm.ig,N(P38)+IF(AF38="вручную",0,N(CB38)),_xlpm.n0,IFERROR(VLOOKUP(_xlpm.ig,Автомат_номиналы,2,TRUE),0),_xlpm.mn,MAX(CL38,IF(AF38="вручную",0,N(CE38))),MAX(_xlpm.n0,_xlpm.mn,IF(CR38=1,Мин_автомат_БП,0))))</f>
        <v>10</v>
      </c>
      <c r="CV38">
        <f t="shared" si="30"/>
        <v>1</v>
      </c>
      <c r="CW38" t="str">
        <f t="shared" si="31"/>
        <v>1P</v>
      </c>
      <c r="CX38" t="str">
        <f>_xlfn.LET(_xlpm.cc,UPPER(TRIM(IFERROR(_xlfn.XLOOKUP(AX38,Коды_код,Коды_хар)&amp;"",""))),IF(OR(_xlpm.cc="B",_xlpm.cc="В"),"B",IF(_xlpm.cc="D","D","С")))</f>
        <v>С</v>
      </c>
      <c r="CY38" t="str">
        <f t="shared" si="32"/>
        <v>1P С10А</v>
      </c>
      <c r="CZ38" t="str">
        <f t="shared" si="33"/>
        <v>1P С10А</v>
      </c>
      <c r="DA38" t="str">
        <f t="shared" si="34"/>
        <v>1P С10А</v>
      </c>
      <c r="DB38" cm="1">
        <f t="array" ref="DB38">IF(DA38="","",_xlfn.LET(_xlpm.t,SUBSTITUTE(SUBSTITUTE(SUBSTITUTE(UPPER(DA38),"С","C"),"А","A"),"В","B"),_xlpm.tk,_xlfn.TEXTSPLIT(_xlpm.t,"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8" t="str">
        <f t="shared" si="35"/>
        <v>ok</v>
      </c>
      <c r="DD38">
        <f t="shared" si="36"/>
        <v>10</v>
      </c>
      <c r="DE38" t="str">
        <f t="shared" si="37"/>
        <v>1P С10А</v>
      </c>
      <c r="DF38">
        <f t="shared" si="38"/>
        <v>0</v>
      </c>
      <c r="DG38">
        <f t="shared" si="39"/>
        <v>0</v>
      </c>
      <c r="DH38">
        <f t="shared" si="40"/>
        <v>0</v>
      </c>
      <c r="DI38">
        <f t="shared" si="41"/>
        <v>0.455802844097073</v>
      </c>
      <c r="DJ38">
        <f t="shared" si="42"/>
        <v>1</v>
      </c>
      <c r="DK38">
        <f>IF(ISNUMBER(AL38),AL38,К_прокл)</f>
        <v>1</v>
      </c>
      <c r="DL38">
        <f t="shared" si="43"/>
        <v>2</v>
      </c>
      <c r="DM38">
        <f>IFERROR(N(VLOOKUP(BT38,Кабель_обозначение,3,FALSE)),1)</f>
        <v>1</v>
      </c>
      <c r="DN38">
        <f>IFERROR(N(_xlfn.XLOOKUP(A38,Щиты[Щит],Щиты[ΔU до шин, %])),0)</f>
        <v>0.17</v>
      </c>
      <c r="DO38" t="str">
        <f>IFERROR(_xlfn.XLOOKUP(A38,Щиты[Щит],Щиты[Zпетли на шинах, Ом]),"")</f>
        <v/>
      </c>
      <c r="DP38">
        <f>IFERROR(N(_xlfn.XLOOKUP(A38,Щиты[Щит],Щиты[ΔU до шин (подбор), %])),0)</f>
        <v>0.65</v>
      </c>
      <c r="DQ38" t="str">
        <f>IFERROR(_xlfn.XLOOKUP(A38,Щиты[Щит],Щиты[Zпетли на шинах (подбор), Ом]),"")</f>
        <v/>
      </c>
      <c r="DR38" t="str">
        <f t="shared" si="44"/>
        <v/>
      </c>
      <c r="DS38">
        <f t="shared" si="45"/>
        <v>62</v>
      </c>
      <c r="DT38">
        <f t="shared" si="46"/>
        <v>2</v>
      </c>
      <c r="DU38">
        <f t="shared" si="47"/>
        <v>0.31</v>
      </c>
      <c r="DV38" s="6">
        <f>IF(B38="","",IF(IFERROR(VLOOKUP(AX38,УГО_спр,2,FALSE),"")="Светильник",3,4)+IF(Методика="нормы 2026",MIN(0.5,MAX(0,N(Q38)-100)*0.005),0))</f>
        <v>3</v>
      </c>
      <c r="DW38" cm="1">
        <f t="array" ref="DW38">IF(OR(B38="",BT38="",DM38&lt;&gt;1),"",_xlfn.LET(_xlpm.sz,Iдоп_S,_xlpm.t_,CHOOSE(DL38,Iдоп_1ж,Iдоп_2ж,Iдоп_3ж)*DJ38*DK38,_xlpm.inn,N(DD38),_xlpm.smin,MAX(1.5,BW38),_xlpm.L_,N(Q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38)*(_xlpm.rho*_xlpm.L_/_xlpm.sz*N(BY38)+_xlpm.xx*_xlpm.L_*N(DU38)/1000)*N(P38)/((Uн_лин/SQRT(3))*1000)*100,999),_xlpm.kz,IF(OR(DG38=1,NOT(ISNUMBER(DQ38)),_xlpm.L_=0,_xlpm.inn=0),1,IFERROR(--(c_min*(Uн_лин*1000/SQRT(3))/(DQ38+2*ρкз_Cu*_xlpm.L_/_xlpm.sz)&gt;=GY38*_xlpm.inn),0)),_xlpm.ok,IFERROR((_xlpm.sz&gt;=_xlpm.smin)*(_xlpm.t_&gt;=_xlpm.inn)*IF(_xlpm.L_&gt;0,(_xlpm.du_+DP38&lt;=DV38+0.00001),1)*_xlpm.kz,0),_xlpm.r_,_xlfn._xlws.FILTER(_xlpm.sz,_xlpm.ok,"не подобрано"),INDEX(_xlpm.r_,1)))</f>
        <v>1.5</v>
      </c>
      <c r="DX38">
        <f t="shared" si="48"/>
        <v>1.5</v>
      </c>
      <c r="DY38" cm="1">
        <f t="array" ref="DY38">IF(OR(B38="",BT38="",DM38&lt;&gt;1),"",_xlfn.LET(_xlpm.sz,Iдоп_S,_xlpm.t_,CHOOSE(DL38,Iдоп_1ж,Iдоп_2ж,Iдоп_3ж)*DJ38*DK38,_xlpm.ok,IFERROR((_xlpm.sz&gt;=MAX(1.5,BW38))*(_xlpm.t_&gt;=N(DD38)),0),_xlpm.r_,_xlfn._xlws.FILTER(_xlpm.sz,_xlpm.ok,""),INDEX(_xlpm.r_,1)))</f>
        <v>1.5</v>
      </c>
      <c r="DZ38" s="6" cm="1">
        <f t="array" ref="DZ38">IFERROR(ROUNDUP(N(DT38)*(_xlfn.XLOOKUP(DY38,INDEX(Кабель_сопротивление,0,1),INDEX(Кабель_сопротивление,0,3))*N(Q38)/DY38*N(BY38)+_xlfn.XLOOKUP(DY38,INDEX(Кабель_сопротивление,0,1),INDEX(Кабель_сопротивление,0,2))*N(Q38)*N(DU38)/1000)*N(P38)/((Uн_лин/SQRT(3))*1000)*100,2),"")</f>
        <v>0.52</v>
      </c>
      <c r="EA38">
        <f>IFERROR(2*ρкз_Cu*N(Q38)/DY38,"")</f>
        <v>3.1910666666666665</v>
      </c>
      <c r="EB38">
        <f>IFERROR(VLOOKUP(DX38,Кабель_сопротивление,3,FALSE),"")</f>
        <v>2.2499999999999999E-2</v>
      </c>
      <c r="EC38">
        <f>IFERROR(VLOOKUP(DX38,Кабель_сопротивление,2,FALSE),"")</f>
        <v>0.11</v>
      </c>
      <c r="ED38">
        <f t="shared" si="49"/>
        <v>0</v>
      </c>
      <c r="EE38">
        <f t="shared" si="50"/>
        <v>85</v>
      </c>
      <c r="EF38">
        <f t="shared" si="51"/>
        <v>1.1849534797767938</v>
      </c>
      <c r="EG38" s="6">
        <f>IFERROR(ROUNDUP(EF38/((Uн_лин/SQRT(3))*1000)*100,2),"")</f>
        <v>0.52</v>
      </c>
      <c r="EH38" t="str">
        <f>IFERROR(VLOOKUP(BT38,Кабель_обозначение,2,FALSE),"")</f>
        <v>ВВГнг(А)-LS</v>
      </c>
      <c r="EI38" t="str">
        <f t="shared" si="52"/>
        <v>ВВГнг(А)-LS (3х1,5)</v>
      </c>
      <c r="EJ38" t="str">
        <f t="shared" si="53"/>
        <v>ВВГнг(А)-LS (3х1,5)
L=91-0,52%</v>
      </c>
      <c r="EK38">
        <f>IFERROR(2*ρкз_Cu*Q38/DX38,"")</f>
        <v>3.1910666666666665</v>
      </c>
      <c r="EL38">
        <f t="shared" si="54"/>
        <v>1.0616666666666668</v>
      </c>
      <c r="EM38" s="6" t="str">
        <f>IFERROR(IF(OR(B38="",NOT(ISNUMBER(DX38)),N(Q38)=0),"",_xlfn.XLOOKUP(A38,Щиты[Щит],Щиты[Zпетли на шинах, Ом])+EK38),"")</f>
        <v/>
      </c>
      <c r="EN38" s="6" t="str">
        <f>IF(ISNUMBER(EM38),c_min*(Uн_лин*1000/SQRT(3))/EM38,"")</f>
        <v/>
      </c>
      <c r="EO38" s="6" t="str">
        <f>IFERROR(IF(OR(B38="",NOT(ISNUMBER(DX38))),"",1.05*(Uн_лин*1000/SQRT(3))/(_xlfn.XLOOKUP(A38,Щиты[Щит],Щиты[Zmax на шинах, Ом])+EL38)/1000),"")</f>
        <v/>
      </c>
      <c r="EP38" s="6" t="str">
        <f>IF(B38="","",IF(ISNUMBER(Y38),"Сил",IF(IFERROR(_xlfn.XLOOKUP(AX38,Коды_код,Коды_группа)&amp;"","")="","Быт",_xlfn.XLOOKUP(AX38,Коды_код,Коды_группа)&amp;"")))</f>
        <v>Быт</v>
      </c>
      <c r="EQ38" s="6" t="str">
        <f t="shared" si="55"/>
        <v>Быт</v>
      </c>
      <c r="ER38" s="6">
        <f>IF(EQ38="Щит","щит",IF(EQ38="","",IF(EQ38="Быт",IFERROR(_xlfn.XLOOKUP(A38,Щиты[Щит],Щиты[Кс быт]),1),IF(EQ38="Сил",IF(ISNUMBER(Y38),Y38,IF(Методика="нормы 2026",IFERROR(_xlfn.XLOOKUP(A38,Щиты[Щит],Щиты[Кс силовых (табл. 7.5)]),1),1)),IF(OR(EQ38="Пост",EQ38="Отоп"),1,IF(EQ38="ВНГ",0.7,0))))))</f>
        <v>0.8</v>
      </c>
      <c r="ES38">
        <f t="shared" si="56"/>
        <v>1</v>
      </c>
      <c r="ET38">
        <f t="shared" si="57"/>
        <v>0.1</v>
      </c>
      <c r="EU38">
        <f t="shared" si="58"/>
        <v>0.1</v>
      </c>
      <c r="EV38">
        <f t="shared" si="59"/>
        <v>0</v>
      </c>
      <c r="EW38">
        <f t="shared" si="60"/>
        <v>0</v>
      </c>
      <c r="EX38">
        <f t="shared" si="61"/>
        <v>0</v>
      </c>
      <c r="EY38">
        <f t="shared" si="62"/>
        <v>0</v>
      </c>
      <c r="EZ38">
        <f t="shared" si="63"/>
        <v>0.1</v>
      </c>
      <c r="FA38">
        <f t="shared" si="64"/>
        <v>9.5000000000000001E-2</v>
      </c>
      <c r="FB38">
        <f t="shared" si="65"/>
        <v>0.1</v>
      </c>
      <c r="FC38" t="str">
        <f t="shared" si="66"/>
        <v/>
      </c>
      <c r="FD38" t="str">
        <f>IF(B38="","",IF(CA38=0,IF(AW38=1,"",FF37),IF(OR(N(CV38)&gt;=3,N(BR38)&gt;=3),"L1,L2,L3",IFERROR(_xlfn.TEXTBEFORE(_xlfn.TEXTAFTER(_xlfn.XLOOKUP(A38,Щиты[Щит],Щиты[_фазы авто]),";"&amp;AW38&amp;":"),";"),"L1"))))</f>
        <v>L1</v>
      </c>
      <c r="FE38" t="str">
        <f t="shared" si="67"/>
        <v>L1</v>
      </c>
      <c r="FF38" t="str">
        <f t="shared" si="68"/>
        <v>L1</v>
      </c>
      <c r="FG38" cm="1">
        <f t="array" ref="FG38">IFERROR(IF(BX38=2,_xlfn.IFS(BR38=3,VLOOKUP(BN38,Справочная_двигатели,3,FALSE),BR38=1,VLOOKUP(BN38,Справочная_двигатели,5,TRUE)),0),0)</f>
        <v>0</v>
      </c>
      <c r="FH38">
        <f>IFERROR(IF(BX38=3,VLOOKUP(BN38,Справочная_ЛЭД,2,TRUE),0),0)</f>
        <v>50</v>
      </c>
      <c r="FI38" s="6">
        <f t="shared" si="69"/>
        <v>50</v>
      </c>
      <c r="FJ38" t="str" cm="1">
        <f t="array" ref="FJ38">IF(B38="","",IFERROR(INDEX({"I особая","I","II","III"},MATCH(TRIM(AC38&amp;""),{"I особая","I","II","III"},0)),"III"))</f>
        <v>III</v>
      </c>
      <c r="FK38" t="str">
        <f>IF(B38="","",IF(TRIM(AD38&amp;"")&lt;&gt;"",IF(LOWER(TRIM(AD38&amp;""))="да","да","нет"),IF(IFERROR(_xlfn.XLOOKUP(AX38,Коды_код,Коды_пожарная),"")="да","да","нет")))</f>
        <v>нет</v>
      </c>
      <c r="FL38" t="str">
        <f t="shared" si="70"/>
        <v/>
      </c>
      <c r="FM38" t="str">
        <f t="shared" si="71"/>
        <v>основная</v>
      </c>
      <c r="FN38">
        <f t="shared" si="72"/>
        <v>1</v>
      </c>
      <c r="FO38" t="str" cm="1">
        <f t="array" ref="FO38">IF(B38="","",_xlfn.LET(_xlpm.t,IFERROR(_xlfn.XLOOKUP(1,(Шины[Шина]=FM38)*(((Шины[Щит]=A38)+(Шины[Щит]=""))&gt;0),Шины[Тип]),"")&amp;"",IF(_xlpm.t&lt;&gt;"",_xlpm.t,IF(ISNUMBER(SEARCH("ИБП",FM38)),"ИБП",IF(ISNUMBER(SEARCH("ДГУ",FM38)),"ДГУ","Ввод "&amp;FN38)))))</f>
        <v>Ввод 1</v>
      </c>
      <c r="FP38" t="str">
        <f t="shared" si="73"/>
        <v>Ввод 1</v>
      </c>
      <c r="FQ38" t="str">
        <f>IF(B38="","",IF(OR(FO38="ИБП",FO38="ДГУ"),"I особая",IF(FO38="Одиночная","III",_xlfn.XLOOKUP(A38,Щиты[Щит],Щиты[Категория шины «Ввод»],"III"))))</f>
        <v>II</v>
      </c>
      <c r="FR38">
        <f>IF(B38="",0,IFERROR(MATCH(FJ38,{"III","II","I","I особая"},0),1))</f>
        <v>1</v>
      </c>
      <c r="FS38">
        <f t="shared" si="74"/>
        <v>1</v>
      </c>
      <c r="FT38" t="str">
        <f>IF(B38="","",IF(FR38&gt;IFERROR(MATCH(FQ38,{"III","II","I","I особая"},0),1),"НЕ ОБЕСПЕЧЕНА","ОК"))</f>
        <v>ОК</v>
      </c>
      <c r="FU38" t="str">
        <f>IF(A38="","",_xlfn.XLOOKUP(A38,Щиты[Щит],Щиты[Путь],""))</f>
        <v>|ГРЩ-ЖД|ЩГП|ЩО-001|</v>
      </c>
      <c r="FV38" t="str">
        <f>IF(B38="","",IF(AE38&lt;&gt;"",AE38,IF(IFERROR(_xlfn.XLOOKUP(AX38,Коды_код,Коды_вид)&amp;"","")="","Прочее",_xlfn.XLOOKUP(AX38,Коды_код,Коды_вид)&amp;"")))</f>
        <v>Рабочее освещение</v>
      </c>
      <c r="FW38" t="str">
        <f>IF(BH38="","",INT((BH38-1)/Столбцов_на_лист)+1)</f>
        <v/>
      </c>
      <c r="FX38" t="str">
        <f t="shared" si="75"/>
        <v>ВВГнг(А)-LS (3х1,5) L=91-0,52%</v>
      </c>
      <c r="FY38">
        <f t="shared" si="76"/>
        <v>0.1</v>
      </c>
      <c r="FZ38">
        <f t="shared" si="77"/>
        <v>0.46</v>
      </c>
      <c r="GA38">
        <f t="shared" si="78"/>
        <v>1</v>
      </c>
      <c r="GB38">
        <f t="shared" si="79"/>
        <v>0</v>
      </c>
      <c r="GC38">
        <f t="shared" si="80"/>
        <v>0</v>
      </c>
      <c r="GD38" t="str">
        <f>IF(BH38="","",IF(AND(CA38=1,GC38=1),COUNTIFS(A$3:A38,A38,CA$3:CA38,1,GC$3:GC38,1),IF(OR(OR(AW38=1,A38&lt;&gt;A37),AF38="вручную",GC38=0),"",IF(AW38=1,"",GE37))))</f>
        <v/>
      </c>
      <c r="GE38" t="str">
        <f t="shared" si="81"/>
        <v/>
      </c>
      <c r="GF38">
        <f>IF(B38="","",IFERROR(LOOKUP(INDEX(CHOOSE(DL38,Iдоп_1ж,Iдоп_2ж,Iдоп_3ж),MATCH(DX38,Iдоп_S,0))*DJ38*DK38,{6,10,16,20,25,32,40,50,63,80,100,125,160,200,250,315,400,500,630}),""))</f>
        <v>16</v>
      </c>
      <c r="GG38" t="str">
        <f t="shared" si="82"/>
        <v/>
      </c>
      <c r="GH38" t="str">
        <f t="shared" si="83"/>
        <v/>
      </c>
      <c r="GI38" t="str">
        <f t="shared" si="84"/>
        <v/>
      </c>
      <c r="GJ38">
        <f t="shared" si="85"/>
        <v>0</v>
      </c>
      <c r="GK38" t="str">
        <f>IF(OR(AG38="",AG38="-"),"",IFERROR(VLOOKUP(AG38,Модули_спр,2,FALSE),"R"))</f>
        <v/>
      </c>
      <c r="GL38" t="str">
        <f>IF(GK38="","",GK38&amp;"."&amp;COUNTIFS(A$3:A38,A38,GK$3:GK38,GK38))</f>
        <v/>
      </c>
      <c r="GM38" t="str">
        <f t="shared" si="86"/>
        <v/>
      </c>
      <c r="GN38" t="str">
        <f t="shared" si="87"/>
        <v/>
      </c>
      <c r="GO38" t="str">
        <f t="shared" si="88"/>
        <v/>
      </c>
      <c r="GP38" t="str">
        <f t="shared" si="89"/>
        <v/>
      </c>
      <c r="GQ38">
        <f t="shared" si="90"/>
        <v>1</v>
      </c>
      <c r="GR38" t="str">
        <f>IF(GQ38=1,"XT"&amp;COUNTIFS(A$3:A38,A38,GQ$3:GQ38,1),"")</f>
        <v>XT7</v>
      </c>
      <c r="GS38" t="str">
        <f t="shared" si="91"/>
        <v>XT7</v>
      </c>
      <c r="GT38" t="str">
        <f t="shared" si="92"/>
        <v/>
      </c>
      <c r="GU38" t="str">
        <f t="shared" si="93"/>
        <v/>
      </c>
      <c r="GV38" t="str">
        <f t="shared" si="94"/>
        <v>ok</v>
      </c>
      <c r="GW38" t="str">
        <f>IF(OR(GO38="",GM38=""),"",IF(GO38&gt;IFERROR(VLOOKUP(GN38,Модули_спр,3,FALSE),99),"ЛИШНИЙ КАНАЛ",IF(AND(AH38&lt;&gt;"=",COUNTIFS(Линии[_модуль гр.],GM38,Линии[Канал (итог)],GO38,Линии[Канал],"&lt;&gt;=",Линии[Щит],A38)&gt;1),"ДУБЛЬ КАНАЛА","")))</f>
        <v/>
      </c>
      <c r="GX38" s="6" t="str">
        <f t="shared" si="95"/>
        <v/>
      </c>
      <c r="GY38">
        <f t="shared" si="96"/>
        <v>10</v>
      </c>
      <c r="GZ38" t="str">
        <f t="shared" si="97"/>
        <v/>
      </c>
      <c r="HA38" t="str">
        <f>IF(AND(B38="",GT38=""),"",_xlfn.TEXTJOIN("; ",TRUE,IF(AND(B38&lt;&gt;"",FE38=""),"нет фазы",""),IF(AND(B38&lt;&gt;"",N(FY38)=0,EQ38&lt;&gt;"Нет"),"нет мощности",""),IF(AND(GS38&lt;&gt;"",COUNTIFS(Линии[Щит],A38,Линии[Клемма (итог)],GS38)&gt;1),"дубль клеммы "&amp;GS38,""),IF(AND(GV38&lt;&gt;"",GV38&lt;&gt;"ok"),GV38,""),IF(GW38&lt;&gt;"",GW38,""),IF(AND(N(BV38)&gt;=4,N(BR38)=1),BV38&amp;" жил на 1 фазе",""),IF(AND(AX38="R",CA38=1,OR(N(CK38)=0,N(CK38)&gt;30)),"розетка без дифзащиты до 30 мА",""),IFERROR(IF(AND(ISNUMBER(R38),R38&gt;DV38),"потери "&amp;FIXED(R38,1)&amp;" % &gt; "&amp;DV38&amp;" %",""),""),IFERROR(IF(LEFT(GZ38,4)="мало","Iкз мало — отключение &gt; 0,4 с",""),""),IF(AND(B38&lt;&gt;"",BH38=""),"не на схеме",""),IF(AND(CA38=0,B38&lt;&gt;"",FE38&lt;&gt;"",IF(AW38=1,"",FF37)&lt;&gt;"",FE38&lt;&gt;IF(AW38=1,"",FF37)),"фаза не как у автомата группы ("&amp;IF(AW38=1,"",FF37)&amp;")","")))</f>
        <v>не на схеме</v>
      </c>
      <c r="HB38" s="6">
        <f>IF(OR(CA38=0,DA38=""),"",_xlfn.LET(_xlpm.t,IFERROR(_xlfn.XLOOKUP(DA38,Каталог!$U$4:$U$500,Каталог!$G$4:$G$500),""),_xlpm.k,SEARCH("кА",_xlpm.t),IFERROR(--TRIM(RIGHT(SUBSTITUTE(MID(_xlpm.t,MAX(1,_xlpm.k-4),_xlpm.k-MAX(1,_xlpm.k-4))," ",REPT(" ",9)),5)),"")))</f>
        <v>6</v>
      </c>
      <c r="HC38" t="str">
        <f>IF(OR(HB38="",CA38=0),"",IF(_xlfn.XLOOKUP(A38,Щиты[Щит],Щиты[Iкз max на шинах, кА],"")="","",IF(HB38&lt;_xlfn.XLOOKUP(A38,Щиты[Щит],Щиты[Iкз max на шинах, кА]),"Icu "&amp;HB38&amp;" кА &lt; Iкз max","ok")))</f>
        <v/>
      </c>
      <c r="HD38" t="str">
        <f t="shared" si="98"/>
        <v/>
      </c>
      <c r="HE38" t="str">
        <f t="shared" si="99"/>
        <v/>
      </c>
      <c r="HF38" t="str">
        <f t="shared" si="100"/>
        <v/>
      </c>
      <c r="HG38" t="str" cm="1">
        <f t="array" ref="HG38">IF(HF38="","",_xlfn.LET(_xlpm.nd,_xlfn.TEXTSPLIT(HF38,"|"),IF(COLUMNS(_xlpm.nd)&gt;1,A38&amp;"¦"&amp;INDEX(_xlpm.nd,1)&amp;"¦"&amp;INDEX(_xlpm.nd,2),"")))</f>
        <v/>
      </c>
      <c r="HH38" t="str">
        <f t="shared" si="101"/>
        <v/>
      </c>
      <c r="HI38" t="str" cm="1">
        <f t="array" ref="HI38">IF(HF38="","",_xlfn.LET(_xlpm.nd,_xlfn.TEXTSPLIT(HF38,"|"),IF(COLUMNS(_xlpm.nd)&gt;2,A38&amp;"¦"&amp;INDEX(_xlpm.nd,2)&amp;"¦"&amp;INDEX(_xlpm.nd,3),"")))</f>
        <v/>
      </c>
      <c r="HJ38" t="str">
        <f t="shared" si="102"/>
        <v/>
      </c>
      <c r="HK38" t="str" cm="1">
        <f t="array" ref="HK38">IF(HF38="","",_xlfn.LET(_xlpm.nd,_xlfn.TEXTSPLIT(HF38,"|"),IF(COLUMNS(_xlpm.nd)&gt;3,A38&amp;"¦"&amp;INDEX(_xlpm.nd,3)&amp;"¦"&amp;INDEX(_xlpm.nd,4),"")))</f>
        <v/>
      </c>
      <c r="HL38" t="str">
        <f t="shared" si="103"/>
        <v/>
      </c>
      <c r="HM38" t="str" cm="1">
        <f t="array" ref="HM38">IF(HF38="","",_xlfn.LET(_xlpm.nd,_xlfn.TEXTSPLIT(HF38,"|"),IF(COLUMNS(_xlpm.nd)&gt;4,A38&amp;"¦"&amp;INDEX(_xlpm.nd,4)&amp;"¦"&amp;INDEX(_xlpm.nd,5),"")))</f>
        <v/>
      </c>
      <c r="HN38" t="str">
        <f t="shared" si="104"/>
        <v/>
      </c>
      <c r="HO38" t="str" cm="1">
        <f t="array" ref="HO38">IF(HF38="","",_xlfn.LET(_xlpm.nd,_xlfn.TEXTSPLIT(HF38,"|"),IF(COLUMNS(_xlpm.nd)&gt;5,A38&amp;"¦"&amp;INDEX(_xlpm.nd,5)&amp;"¦"&amp;INDEX(_xlpm.nd,6),"")))</f>
        <v/>
      </c>
      <c r="HP38" t="str">
        <f t="shared" si="105"/>
        <v/>
      </c>
      <c r="HQ38" t="str" cm="1">
        <f t="array" ref="HQ38">IF(HF38="","",_xlfn.LET(_xlpm.nd,_xlfn.TEXTSPLIT(HF38,"|"),IF(COLUMNS(_xlpm.nd)&gt;6,A38&amp;"¦"&amp;INDEX(_xlpm.nd,6)&amp;"¦"&amp;INDEX(_xlpm.nd,7),"")))</f>
        <v/>
      </c>
      <c r="HR38" t="str">
        <f t="shared" si="106"/>
        <v/>
      </c>
      <c r="HS38" t="str">
        <f t="shared" si="107"/>
        <v/>
      </c>
      <c r="HT38" t="str">
        <f t="shared" si="108"/>
        <v>XT7</v>
      </c>
      <c r="HU38">
        <f t="shared" si="109"/>
        <v>0</v>
      </c>
      <c r="HV38">
        <f t="shared" si="110"/>
        <v>0</v>
      </c>
      <c r="HW38" t="str">
        <f t="shared" si="111"/>
        <v/>
      </c>
      <c r="HX38" t="str">
        <f t="shared" si="112"/>
        <v/>
      </c>
      <c r="HY38" t="str">
        <f t="shared" si="113"/>
        <v/>
      </c>
      <c r="HZ38" t="str">
        <f t="shared" si="114"/>
        <v/>
      </c>
      <c r="IA38" t="str">
        <f>IF(B38="","",IFERROR(VLOOKUP(B38,УГО_спр,2,FALSE),IFERROR(VLOOKUP(AX38,УГО_спр,2,FALSE),IFERROR(VLOOKUP(LEFT(AX38,2),УГО_спр,2,FALSE),""))))</f>
        <v>Светильник</v>
      </c>
      <c r="IB38" t="str">
        <f>IF(B38="","",IF(OR(IA38="",IA38=0),"BOX",IFERROR(IF(VLOOKUP(IA38,УГО_блоки,3,FALSE)&amp;""&lt;&gt;"",VLOOKUP(IA38,УГО_блоки,3,FALSE),VLOOKUP(IA38,УГО_блоки,2,FALSE)),IA38)))</f>
        <v>LAMP</v>
      </c>
      <c r="IC38">
        <f t="shared" si="115"/>
        <v>1</v>
      </c>
      <c r="ID38" t="str">
        <f>IF(DA38="","",IF(COUNTIF(DA$3:DA38,DA38)=1,MAX(ID$2:ID37)+1,""))</f>
        <v/>
      </c>
      <c r="IE38" t="str">
        <f>IF(CO38="","",IF(COUNTIF(CO$3:CO38,CO38)+COUNTIF(CP$2:CP37,CO38)+COUNTIF(CQ$2:CQ37,CO38)=1,MAX(IE$2:IG37)+1,""))</f>
        <v/>
      </c>
      <c r="IF38" t="str">
        <f>IF(CP38="","",IF(COUNTIF(CO$3:CO38,CP38)+COUNTIF(CP$3:CP38,CP38)+COUNTIF(CQ$2:CQ37,CP38)=1,MAX(IE$2:IG37,IE38)+1,""))</f>
        <v/>
      </c>
      <c r="IG38" t="str">
        <f>IF(CQ38="","",IF(COUNTIF(CO$3:CO38,CQ38)+COUNTIF(CP$3:CP38,CQ38)+COUNTIF(CQ$3:CQ38,CQ38)=1,MAX(IE$2:IG37,IE38,IF38)+1,""))</f>
        <v/>
      </c>
      <c r="IH38" t="str">
        <f t="shared" si="116"/>
        <v>3х1,5</v>
      </c>
      <c r="II38" t="str">
        <f>IF(IH38="","",IF(COUNTIF(IH$3:IH38,IH38)=1,MAX(II$2:II37)+1,""))</f>
        <v/>
      </c>
      <c r="IJ38" t="str">
        <f>IF(GL38="","",COUNTIF(GL$3:GL38,"?*"))</f>
        <v/>
      </c>
      <c r="IK38" t="str">
        <f>IF(OR(GL38="",GN38=""),"",IF(COUNTIFS(GL$3:GL38,"?*",GN$3:GN38,GN38)=1,MAX(IK$2:IK37)+1,""))</f>
        <v/>
      </c>
      <c r="IL38">
        <f t="shared" si="117"/>
        <v>1</v>
      </c>
      <c r="IM38">
        <f>IF(B38="","",COUNTIF(B$3:B38,"?*"))</f>
        <v>36</v>
      </c>
      <c r="IN38">
        <f>IF(GQ38&lt;&gt;1,0,_xlfn.LET(_xlpm.k,MAX(IFERROR(--VLOOKUP(B38,УГО_спр,5,FALSE),0),IFERROR(--VLOOKUP(AX38,УГО_спр,5,FALSE),0),IFERROR(--VLOOKUP(LEFT(AX38,2),УГО_спр,5,FALSE),0)),IF(_xlpm.k&gt;0,_xlpm.k,IF(IFERROR(--LEFT(SUBSTITUTE(IH38,"x","х"),FIND("х",SUBSTITUTE(IH38,"x","х"))-1),3)&gt;3,Каталог!$S$9,1))))</f>
        <v>1</v>
      </c>
      <c r="IO38">
        <f t="shared" si="118"/>
        <v>0</v>
      </c>
      <c r="IP38" t="str">
        <f t="shared" si="119"/>
        <v>авто</v>
      </c>
      <c r="IQ38" t="str">
        <f t="shared" si="120"/>
        <v/>
      </c>
      <c r="IR38">
        <f t="shared" si="121"/>
        <v>0</v>
      </c>
      <c r="IS38">
        <f t="shared" si="122"/>
        <v>1</v>
      </c>
    </row>
    <row r="39" spans="1:253" x14ac:dyDescent="0.3">
      <c r="A39" t="s">
        <v>1104</v>
      </c>
      <c r="B39" t="s">
        <v>1312</v>
      </c>
      <c r="C39" t="str">
        <f>Линии[[#This Row],[_авто наименование]]</f>
        <v>Осветительная группа, пом. 003Tб</v>
      </c>
      <c r="D39">
        <v>3</v>
      </c>
      <c r="E39">
        <v>0.1</v>
      </c>
      <c r="G39" t="str">
        <f>Линии[[#This Row],[_авто автомат]]</f>
        <v>1P С10А</v>
      </c>
      <c r="H39" t="str">
        <f>Линии[[#This Row],[_авто утечка]]</f>
        <v/>
      </c>
      <c r="I39" t="str">
        <f>Линии[[#This Row],[_авто управление]]</f>
        <v/>
      </c>
      <c r="J39" t="str">
        <f>Линии[[#This Row],[_авто аппараты]]</f>
        <v/>
      </c>
      <c r="K39">
        <v>1.5</v>
      </c>
      <c r="L39">
        <v>32</v>
      </c>
      <c r="M39" t="str">
        <f>Линии[[#This Row],[_авто фаза]]</f>
        <v>L2</v>
      </c>
      <c r="N39" t="str">
        <f>Линии[[#This Row],[_авто клемма]]</f>
        <v>XT8</v>
      </c>
      <c r="O39" t="str">
        <f t="shared" si="0"/>
        <v>не на схеме</v>
      </c>
      <c r="P39" s="6" cm="1">
        <f t="array" ref="P39">IF(B39="","",IF(BC39&lt;&gt;"",IFERROR(_xlfn.XLOOKUP(BC39,Щиты[Щит],Щиты[Iр, А]),""),IF(BK39=1,IFERROR(_xlfn.XLOOKUP(A39,Щиты[Щит],Щиты[Iр, А]),""),IFERROR(_xlfn.IFS(BR39=1,BN39/((Uн_лин/SQRT(3))*BY39),BR39=3,BN39/(SQRT(3)*Uн_лин*BY39)),""))))</f>
        <v>0.455802844097073</v>
      </c>
      <c r="Q39" s="7">
        <f>IF(B39="","",IFERROR(IF(VLOOKUP(AX39,Потребители_обозначение,4,FALSE)=1,VLOOKUP(AX39,Потребители_обозначение,3,FALSE)*(D39*2-1)+DS39+VLOOKUP(AZ39,Этаж_обозначение,3,FALSE)+VLOOKUP(AZ39,Этаж_обозначение,4,FALSE),VLOOKUP(AX39,Потребители_обозначение,3,FALSE)*(D39*2-1)+DS39),DS39))</f>
        <v>37</v>
      </c>
      <c r="R39" s="6">
        <f t="shared" si="1"/>
        <v>0.38</v>
      </c>
      <c r="S39" t="str">
        <f t="shared" si="2"/>
        <v>ВВГнг(А)-LS (3х1,5)</v>
      </c>
      <c r="T39" t="str">
        <f>IF(BH39="","",IF(BI39="вводной узел","узел ","")&amp;"л."&amp;(INT((BH39-1)/Столбцов_на_лист)+1)&amp;" / "&amp;(MOD(BH39-1,Столбцов_на_лист)+1))</f>
        <v/>
      </c>
      <c r="V39">
        <v>1</v>
      </c>
      <c r="W39">
        <v>230</v>
      </c>
      <c r="X39" t="s">
        <v>564</v>
      </c>
      <c r="AE39" t="s">
        <v>557</v>
      </c>
      <c r="AI39" t="s">
        <v>529</v>
      </c>
      <c r="AJ39" t="s">
        <v>11</v>
      </c>
      <c r="AK39">
        <v>3</v>
      </c>
      <c r="AM39">
        <v>13</v>
      </c>
      <c r="AN39">
        <v>0</v>
      </c>
      <c r="AO39">
        <v>42</v>
      </c>
      <c r="AW39" cm="1">
        <f t="array" ref="AW39">ROW()-ROW(Линии[#Headers])</f>
        <v>37</v>
      </c>
      <c r="AX39" s="6" t="str">
        <f t="shared" si="3"/>
        <v>L</v>
      </c>
      <c r="AY39" t="str">
        <f t="shared" si="4"/>
        <v>00.003Tб.1</v>
      </c>
      <c r="AZ39" t="str">
        <f t="shared" si="5"/>
        <v>00</v>
      </c>
      <c r="BA39" t="str">
        <f t="shared" si="6"/>
        <v>003Tб.1</v>
      </c>
      <c r="BB39" t="str">
        <f t="shared" si="7"/>
        <v>003Tб</v>
      </c>
      <c r="BC39" t="str">
        <f>IF(U39&lt;&gt;"",U39,IF(AND(B39&lt;&gt;"",B39&lt;&gt;A39,ISNUMBER(_xlfn.XMATCH(B39,Щиты[Щит]))),B39,""))</f>
        <v/>
      </c>
      <c r="BD39" t="str" cm="1">
        <f t="array" ref="BD39">IF(B39="","",IF(BC39&lt;&gt;"","Щит "&amp;BC39,_xlfn.LET(_xlpm.nm,IFERROR(_xlfn.XLOOKUP(AX39,Коды_код,Коды_имя)&amp;"",""),_xlpm.md,IFERROR(N(_xlfn.XLOOKUP(AX39,Коды_код,Коды_режим)),1),_xlpm.ex,IF(Имя_режим="по экспликации",IFERROR(_xlfn.XLOOKUP(AZ39&amp;"|"&amp;BB39,Экспликация[Этаж]&amp;"|"&amp;Экспликация[Помещение],Экспликация[Название])&amp;"",""),""),_xlpm.rm,IF(BB39="","",IF(_xlpm.ex&lt;&gt;"",". "&amp;_xlpm.ex&amp;IF(Имя_пом="нет"," ("&amp;BB39&amp;")"," (пом. "&amp;BB39&amp;")"),IF(Имя_пом="нет"," ",", пом. ")&amp;BB39)),IF(_xlpm.nm="","",IF(_xlpm.md=2,_xlpm.nm&amp;" шлейф "&amp;AZ39,_xlpm.nm&amp;_xlpm.rm)))))</f>
        <v>Осветительная группа, пом. 003Tб</v>
      </c>
      <c r="BE39" t="str">
        <f t="shared" si="8"/>
        <v>Осветительная группа, пом. 003Tб</v>
      </c>
      <c r="BF39">
        <f>IFERROR(_xlfn.XMATCH(A39,Щиты[Щит]),0)</f>
        <v>3</v>
      </c>
      <c r="BG39">
        <f>_xlfn.LET(_xlpm.k,IFERROR(_xlfn.XLOOKUP(A39,Щиты[Щит],Щиты[Листов под вводной узел]),""),IF(_xlpm.k="",1,N(_xlpm.k))*Столбцов_на_лист)</f>
        <v>17</v>
      </c>
      <c r="BH39" t="str">
        <f t="shared" si="9"/>
        <v/>
      </c>
      <c r="BI39" t="str">
        <f t="shared" si="10"/>
        <v/>
      </c>
      <c r="BJ39" s="6">
        <f>IFERROR(N(_xlfn.XLOOKUP(AX39,Коды_код,Коды_квт)),0)</f>
        <v>0</v>
      </c>
      <c r="BK39">
        <f t="shared" si="11"/>
        <v>0</v>
      </c>
      <c r="BL39" t="str">
        <f>IF(B39="","",IF(BC39&lt;&gt;"",IFERROR(_xlfn.XLOOKUP(BC39,Щиты[Щит],Щиты[Руст, кВт]),0),IF(BK39=1,IFERROR(_xlfn.XLOOKUP(A39,Щиты[Щит],Щиты[Руст, кВт]),0),IF(BJ39&gt;0,ROUND(BJ39*MAX(1,N(D39)),3),""))))</f>
        <v/>
      </c>
      <c r="BM39">
        <f t="shared" si="12"/>
        <v>0.1</v>
      </c>
      <c r="BN39" s="6">
        <f>IF(B39="","",IF(BC39&lt;&gt;"",IFERROR(_xlfn.XLOOKUP(BC39,Щиты[Щит],Щиты[Руст, кВт]),0),N(BM39)))</f>
        <v>0.1</v>
      </c>
      <c r="BO39" t="str">
        <f>IF(B39="","",IFERROR(IF(VLOOKUP(AX39,Потребители_обозначение,8,FALSE)=0,"",VLOOKUP(AX39,Потребители_обозначение,8,FALSE)),""))</f>
        <v/>
      </c>
      <c r="BP39">
        <f t="shared" si="13"/>
        <v>230</v>
      </c>
      <c r="BQ39">
        <f>IF(B39="","",IF(BC39&lt;&gt;"",3,IFERROR(IF(N(VLOOKUP(AX39,Потребители_обозначение,9,FALSE))=0,1,VLOOKUP(AX39,Потребители_обозначение,9,FALSE)),1)))</f>
        <v>1</v>
      </c>
      <c r="BR39">
        <f t="shared" si="14"/>
        <v>1</v>
      </c>
      <c r="BS39" t="str">
        <f>IF(B39="","",_xlfn.LET(_xlpm.bc,IFERROR(IF(VLOOKUP(AX39,Потребители_обозначение,6,FALSE)=0,"",VLOOKUP(AX39,Потребители_обозначение,6,FALSE)&amp;""),""),IF(AND(FK39="да",OR(_xlpm.bc="",_xlpm.bc="мс")),Марка_пож,IF(AND(_xlpm.bc="",BC39&lt;&gt;""),"мс",_xlpm.bc))))</f>
        <v/>
      </c>
      <c r="BT39" t="str">
        <f t="shared" si="15"/>
        <v>мс</v>
      </c>
      <c r="BU39">
        <f>IF(B39="","",_xlfn.LET(_xlpm.cc,IFERROR(N(VLOOKUP(AX39,Потребители_обозначение,7,FALSE)),0),IF(_xlpm.cc&gt;0,_xlpm.cc,IF(BT39="","",IF(N(BR39)=3,5,3)))))</f>
        <v>3</v>
      </c>
      <c r="BV39">
        <f t="shared" si="16"/>
        <v>3</v>
      </c>
      <c r="BW39">
        <f>IFERROR(N(VLOOKUP(AX39,Потребители_обозначение,10,FALSE)),0)</f>
        <v>0</v>
      </c>
      <c r="BX39">
        <f>IFERROR(VLOOKUP(AX39,Потребители_обозначение,5,FALSE),0)</f>
        <v>3</v>
      </c>
      <c r="BY39" s="6" cm="1">
        <f t="array" ref="BY39">IF(B39="","",IF(BC39&lt;&gt;"",IFERROR(_xlfn.XLOOKUP(BC39,Щиты[Щит],Щиты[cos φ]),0.95),IF(BK39=1,IFERROR(_xlfn.XLOOKUP(A39,Щиты[Щит],Щиты[cos φ]),0.95),IF(ISNUMBER(Z39),Z39,IFERROR(IF(BX39=2,_xlfn.IFS(BR39=3,VLOOKUP(BN39,Справочная_двигатели,8,FALSE),BR39=1,VLOOKUP(BN39,Справочная_двигатели,10,TRUE)),IF(AND(Методика="нормы 2026",EQ39="Сил"),0.8,0.95)),0.95)))))</f>
        <v>0.95</v>
      </c>
      <c r="BZ39">
        <f t="shared" si="17"/>
        <v>0</v>
      </c>
      <c r="CA39">
        <f t="shared" si="18"/>
        <v>1</v>
      </c>
      <c r="CB39">
        <f t="shared" si="19"/>
        <v>0</v>
      </c>
      <c r="CC39">
        <f t="shared" si="20"/>
        <v>0</v>
      </c>
      <c r="CD39">
        <f t="shared" si="21"/>
        <v>0</v>
      </c>
      <c r="CE39">
        <f t="shared" si="22"/>
        <v>0</v>
      </c>
      <c r="CF39">
        <f t="shared" si="23"/>
        <v>0</v>
      </c>
      <c r="CG39">
        <f>IF(AX39="",0,_xlfn.LET(_xlpm.v,IFERROR(VLOOKUP(B39,УГО_спр,3,FALSE),IFERROR(VLOOKUP(AX39,УГО_спр,3,FALSE),IFERROR(VLOOKUP(LEFT(AX39,2),УГО_спр,3,FALSE),""))),IF(_xlpm.v="да",30,IF(ISNUMBER(_xlpm.v),_xlpm.v,0))))</f>
        <v>0</v>
      </c>
      <c r="CH39" t="str">
        <f t="shared" si="24"/>
        <v/>
      </c>
      <c r="CI39" t="str">
        <f>_xlfn.LET(_xlpm.k,IFERROR(_xlfn.XLOOKUP(AX39,Коды_код,Коды_утечка)&amp;"",""),IF(_xlpm.k="","дифавтомат",_xlpm.k))</f>
        <v>дифавтомат</v>
      </c>
      <c r="CJ39">
        <f t="shared" si="25"/>
        <v>0</v>
      </c>
      <c r="CK39">
        <f t="shared" si="26"/>
        <v>0</v>
      </c>
      <c r="CL39">
        <f>IF(B39="",0,IFERROR(--VLOOKUP(B39,УГО_спр,4,FALSE),IFERROR(--VLOOKUP(AX39,УГО_спр,4,FALSE),IFERROR(--VLOOKUP(LEFT(AX39,2),УГО_спр,4,FALSE),0))))</f>
        <v>10</v>
      </c>
      <c r="CM39" t="str">
        <f>IF(B39="","",IFERROR(_xlfn.XLOOKUP(AX39,Коды_код,Коды_апп)&amp;"",""))</f>
        <v/>
      </c>
      <c r="CN39" t="str">
        <f t="shared" si="27"/>
        <v/>
      </c>
      <c r="CO39" t="str" cm="1">
        <f t="array" ref="CO39">IF(TRIM(CN39&amp;"")="","",IFERROR(TRIM(INDEX(_xlfn.TEXTSPLIT(CN39&amp;";;;",";"),1)),""))</f>
        <v/>
      </c>
      <c r="CP39" t="str" cm="1">
        <f t="array" ref="CP39">IF(TRIM(CN39&amp;"")="","",IFERROR(TRIM(INDEX(_xlfn.TEXTSPLIT(CN39&amp;";;;",";"),2)),""))</f>
        <v/>
      </c>
      <c r="CQ39" t="str" cm="1">
        <f t="array" ref="CQ39">IF(TRIM(CN39&amp;"")="","",IFERROR(TRIM(INDEX(_xlfn.TEXTSPLIT(CN39&amp;";;;",";"),3)),""))</f>
        <v/>
      </c>
      <c r="CR39">
        <f t="shared" si="28"/>
        <v>0</v>
      </c>
      <c r="CS39" t="str">
        <f>IF(B39="","",_xlfn.LET(_xlpm.t,LOWER(AV39&amp;""),IF(ISNUMBER(SEARCH("dim",_xlpm.t)),"DIM",IF(ISNUMBER(SEARCH("dali",_xlpm.t)),"DALI",IF(OR(ISNUMBER(SEARCH("relay",_xlpm.t)),ISNUMBER(SEARCH("реле",_xlpm.t))),"Relay",IF(ISNUMBER(SEARCH("кнопк",_xlpm.t)),"",IFERROR(_xlfn.XLOOKUP(AX39,Коды_код,Коды_упр)&amp;"","")))))))</f>
        <v/>
      </c>
      <c r="CT39" t="str">
        <f t="shared" si="29"/>
        <v/>
      </c>
      <c r="CU39">
        <f>IF(B39="","",_xlfn.LET(_xlpm.ig,N(P39)+IF(AF39="вручную",0,N(CB39)),_xlpm.n0,IFERROR(VLOOKUP(_xlpm.ig,Автомат_номиналы,2,TRUE),0),_xlpm.mn,MAX(CL39,IF(AF39="вручную",0,N(CE39))),MAX(_xlpm.n0,_xlpm.mn,IF(CR39=1,Мин_автомат_БП,0))))</f>
        <v>10</v>
      </c>
      <c r="CV39">
        <f t="shared" si="30"/>
        <v>1</v>
      </c>
      <c r="CW39" t="str">
        <f t="shared" si="31"/>
        <v>1P</v>
      </c>
      <c r="CX39" t="str">
        <f>_xlfn.LET(_xlpm.cc,UPPER(TRIM(IFERROR(_xlfn.XLOOKUP(AX39,Коды_код,Коды_хар)&amp;"",""))),IF(OR(_xlpm.cc="B",_xlpm.cc="В"),"B",IF(_xlpm.cc="D","D","С")))</f>
        <v>С</v>
      </c>
      <c r="CY39" t="str">
        <f t="shared" si="32"/>
        <v>1P С10А</v>
      </c>
      <c r="CZ39" t="str">
        <f t="shared" si="33"/>
        <v>1P С10А</v>
      </c>
      <c r="DA39" t="str">
        <f t="shared" si="34"/>
        <v>1P С10А</v>
      </c>
      <c r="DB39" cm="1">
        <f t="array" ref="DB39">IF(DA39="","",_xlfn.LET(_xlpm.t,SUBSTITUTE(SUBSTITUTE(SUBSTITUTE(UPPER(DA39),"С","C"),"А","A"),"В","B"),_xlpm.tk,_xlfn.TEXTSPLIT(_xlpm.t,"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9" t="str">
        <f t="shared" si="35"/>
        <v>ok</v>
      </c>
      <c r="DD39">
        <f t="shared" si="36"/>
        <v>10</v>
      </c>
      <c r="DE39" t="str">
        <f t="shared" si="37"/>
        <v>1P С10А</v>
      </c>
      <c r="DF39">
        <f t="shared" si="38"/>
        <v>0</v>
      </c>
      <c r="DG39">
        <f t="shared" si="39"/>
        <v>0</v>
      </c>
      <c r="DH39">
        <f t="shared" si="40"/>
        <v>0</v>
      </c>
      <c r="DI39">
        <f t="shared" si="41"/>
        <v>0.455802844097073</v>
      </c>
      <c r="DJ39">
        <f t="shared" si="42"/>
        <v>1</v>
      </c>
      <c r="DK39">
        <f>IF(ISNUMBER(AL39),AL39,К_прокл)</f>
        <v>1</v>
      </c>
      <c r="DL39">
        <f t="shared" si="43"/>
        <v>2</v>
      </c>
      <c r="DM39">
        <f>IFERROR(N(VLOOKUP(BT39,Кабель_обозначение,3,FALSE)),1)</f>
        <v>1</v>
      </c>
      <c r="DN39">
        <f>IFERROR(N(_xlfn.XLOOKUP(A39,Щиты[Щит],Щиты[ΔU до шин, %])),0)</f>
        <v>0.17</v>
      </c>
      <c r="DO39" t="str">
        <f>IFERROR(_xlfn.XLOOKUP(A39,Щиты[Щит],Щиты[Zпетли на шинах, Ом]),"")</f>
        <v/>
      </c>
      <c r="DP39">
        <f>IFERROR(N(_xlfn.XLOOKUP(A39,Щиты[Щит],Щиты[ΔU до шин (подбор), %])),0)</f>
        <v>0.65</v>
      </c>
      <c r="DQ39" t="str">
        <f>IFERROR(_xlfn.XLOOKUP(A39,Щиты[Щит],Щиты[Zпетли на шинах (подбор), Ом]),"")</f>
        <v/>
      </c>
      <c r="DR39" t="str">
        <f t="shared" si="44"/>
        <v/>
      </c>
      <c r="DS39">
        <f t="shared" si="45"/>
        <v>32</v>
      </c>
      <c r="DT39">
        <f t="shared" si="46"/>
        <v>2</v>
      </c>
      <c r="DU39">
        <f t="shared" si="47"/>
        <v>0.31</v>
      </c>
      <c r="DV39" s="6">
        <f>IF(B39="","",IF(IFERROR(VLOOKUP(AX39,УГО_спр,2,FALSE),"")="Светильник",3,4)+IF(Методика="нормы 2026",MIN(0.5,MAX(0,N(Q39)-100)*0.005),0))</f>
        <v>3</v>
      </c>
      <c r="DW39" cm="1">
        <f t="array" ref="DW39">IF(OR(B39="",BT39="",DM39&lt;&gt;1),"",_xlfn.LET(_xlpm.sz,Iдоп_S,_xlpm.t_,CHOOSE(DL39,Iдоп_1ж,Iдоп_2ж,Iдоп_3ж)*DJ39*DK39,_xlpm.inn,N(DD39),_xlpm.smin,MAX(1.5,BW39),_xlpm.L_,N(Q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39)*(_xlpm.rho*_xlpm.L_/_xlpm.sz*N(BY39)+_xlpm.xx*_xlpm.L_*N(DU39)/1000)*N(P39)/((Uн_лин/SQRT(3))*1000)*100,999),_xlpm.kz,IF(OR(DG39=1,NOT(ISNUMBER(DQ39)),_xlpm.L_=0,_xlpm.inn=0),1,IFERROR(--(c_min*(Uн_лин*1000/SQRT(3))/(DQ39+2*ρкз_Cu*_xlpm.L_/_xlpm.sz)&gt;=GY39*_xlpm.inn),0)),_xlpm.ok,IFERROR((_xlpm.sz&gt;=_xlpm.smin)*(_xlpm.t_&gt;=_xlpm.inn)*IF(_xlpm.L_&gt;0,(_xlpm.du_+DP39&lt;=DV39+0.00001),1)*_xlpm.kz,0),_xlpm.r_,_xlfn._xlws.FILTER(_xlpm.sz,_xlpm.ok,"не подобрано"),INDEX(_xlpm.r_,1)))</f>
        <v>1.5</v>
      </c>
      <c r="DX39">
        <f t="shared" si="48"/>
        <v>1.5</v>
      </c>
      <c r="DY39" cm="1">
        <f t="array" ref="DY39">IF(OR(B39="",BT39="",DM39&lt;&gt;1),"",_xlfn.LET(_xlpm.sz,Iдоп_S,_xlpm.t_,CHOOSE(DL39,Iдоп_1ж,Iдоп_2ж,Iдоп_3ж)*DJ39*DK39,_xlpm.ok,IFERROR((_xlpm.sz&gt;=MAX(1.5,BW39))*(_xlpm.t_&gt;=N(DD39)),0),_xlpm.r_,_xlfn._xlws.FILTER(_xlpm.sz,_xlpm.ok,""),INDEX(_xlpm.r_,1)))</f>
        <v>1.5</v>
      </c>
      <c r="DZ39" s="6" cm="1">
        <f t="array" ref="DZ39">IFERROR(ROUNDUP(N(DT39)*(_xlfn.XLOOKUP(DY39,INDEX(Кабель_сопротивление,0,1),INDEX(Кабель_сопротивление,0,3))*N(Q39)/DY39*N(BY39)+_xlfn.XLOOKUP(DY39,INDEX(Кабель_сопротивление,0,1),INDEX(Кабель_сопротивление,0,2))*N(Q39)*N(DU39)/1000)*N(P39)/((Uн_лин/SQRT(3))*1000)*100,2),"")</f>
        <v>0.21000000000000002</v>
      </c>
      <c r="EA39">
        <f>IFERROR(2*ρкз_Cu*N(Q39)/DY39,"")</f>
        <v>1.2974666666666665</v>
      </c>
      <c r="EB39">
        <f>IFERROR(VLOOKUP(DX39,Кабель_сопротивление,3,FALSE),"")</f>
        <v>2.2499999999999999E-2</v>
      </c>
      <c r="EC39">
        <f>IFERROR(VLOOKUP(DX39,Кабель_сопротивление,2,FALSE),"")</f>
        <v>0.11</v>
      </c>
      <c r="ED39">
        <f t="shared" si="49"/>
        <v>0</v>
      </c>
      <c r="EE39">
        <f t="shared" si="50"/>
        <v>42</v>
      </c>
      <c r="EF39">
        <f t="shared" si="51"/>
        <v>0.48179427199715807</v>
      </c>
      <c r="EG39" s="6">
        <f>IFERROR(ROUNDUP(EF39/((Uн_лин/SQRT(3))*1000)*100,2),"")</f>
        <v>0.21000000000000002</v>
      </c>
      <c r="EH39" t="str">
        <f>IFERROR(VLOOKUP(BT39,Кабель_обозначение,2,FALSE),"")</f>
        <v>ВВГнг(А)-LS</v>
      </c>
      <c r="EI39" t="str">
        <f t="shared" si="52"/>
        <v>ВВГнг(А)-LS (3х1,5)</v>
      </c>
      <c r="EJ39" t="str">
        <f t="shared" si="53"/>
        <v>ВВГнг(А)-LS (3х1,5)
L=37-0,21%</v>
      </c>
      <c r="EK39">
        <f>IFERROR(2*ρкз_Cu*Q39/DX39,"")</f>
        <v>1.2974666666666665</v>
      </c>
      <c r="EL39">
        <f t="shared" si="54"/>
        <v>0.4316666666666667</v>
      </c>
      <c r="EM39" s="6" t="str">
        <f>IFERROR(IF(OR(B39="",NOT(ISNUMBER(DX39)),N(Q39)=0),"",_xlfn.XLOOKUP(A39,Щиты[Щит],Щиты[Zпетли на шинах, Ом])+EK39),"")</f>
        <v/>
      </c>
      <c r="EN39" s="6" t="str">
        <f>IF(ISNUMBER(EM39),c_min*(Uн_лин*1000/SQRT(3))/EM39,"")</f>
        <v/>
      </c>
      <c r="EO39" s="6" t="str">
        <f>IFERROR(IF(OR(B39="",NOT(ISNUMBER(DX39))),"",1.05*(Uн_лин*1000/SQRT(3))/(_xlfn.XLOOKUP(A39,Щиты[Щит],Щиты[Zmax на шинах, Ом])+EL39)/1000),"")</f>
        <v/>
      </c>
      <c r="EP39" s="6" t="str">
        <f>IF(B39="","",IF(ISNUMBER(Y39),"Сил",IF(IFERROR(_xlfn.XLOOKUP(AX39,Коды_код,Коды_группа)&amp;"","")="","Быт",_xlfn.XLOOKUP(AX39,Коды_код,Коды_группа)&amp;"")))</f>
        <v>Быт</v>
      </c>
      <c r="EQ39" s="6" t="str">
        <f t="shared" si="55"/>
        <v>Быт</v>
      </c>
      <c r="ER39" s="6">
        <f>IF(EQ39="Щит","щит",IF(EQ39="","",IF(EQ39="Быт",IFERROR(_xlfn.XLOOKUP(A39,Щиты[Щит],Щиты[Кс быт]),1),IF(EQ39="Сил",IF(ISNUMBER(Y39),Y39,IF(Методика="нормы 2026",IFERROR(_xlfn.XLOOKUP(A39,Щиты[Щит],Щиты[Кс силовых (табл. 7.5)]),1),1)),IF(OR(EQ39="Пост",EQ39="Отоп"),1,IF(EQ39="ВНГ",0.7,0))))))</f>
        <v>0.8</v>
      </c>
      <c r="ES39">
        <f t="shared" si="56"/>
        <v>1</v>
      </c>
      <c r="ET39">
        <f t="shared" si="57"/>
        <v>0.1</v>
      </c>
      <c r="EU39">
        <f t="shared" si="58"/>
        <v>0.1</v>
      </c>
      <c r="EV39">
        <f t="shared" si="59"/>
        <v>0</v>
      </c>
      <c r="EW39">
        <f t="shared" si="60"/>
        <v>0</v>
      </c>
      <c r="EX39">
        <f t="shared" si="61"/>
        <v>0</v>
      </c>
      <c r="EY39">
        <f t="shared" si="62"/>
        <v>0</v>
      </c>
      <c r="EZ39">
        <f t="shared" si="63"/>
        <v>0.1</v>
      </c>
      <c r="FA39">
        <f t="shared" si="64"/>
        <v>9.5000000000000001E-2</v>
      </c>
      <c r="FB39">
        <f t="shared" si="65"/>
        <v>0.1</v>
      </c>
      <c r="FC39" t="str">
        <f t="shared" si="66"/>
        <v/>
      </c>
      <c r="FD39" t="str">
        <f>IF(B39="","",IF(CA39=0,IF(AW39=1,"",FF38),IF(OR(N(CV39)&gt;=3,N(BR39)&gt;=3),"L1,L2,L3",IFERROR(_xlfn.TEXTBEFORE(_xlfn.TEXTAFTER(_xlfn.XLOOKUP(A39,Щиты[Щит],Щиты[_фазы авто]),";"&amp;AW39&amp;":"),";"),"L1"))))</f>
        <v>L2</v>
      </c>
      <c r="FE39" t="str">
        <f t="shared" si="67"/>
        <v>L2</v>
      </c>
      <c r="FF39" t="str">
        <f t="shared" si="68"/>
        <v>L2</v>
      </c>
      <c r="FG39" cm="1">
        <f t="array" ref="FG39">IFERROR(IF(BX39=2,_xlfn.IFS(BR39=3,VLOOKUP(BN39,Справочная_двигатели,3,FALSE),BR39=1,VLOOKUP(BN39,Справочная_двигатели,5,TRUE)),0),0)</f>
        <v>0</v>
      </c>
      <c r="FH39">
        <f>IFERROR(IF(BX39=3,VLOOKUP(BN39,Справочная_ЛЭД,2,TRUE),0),0)</f>
        <v>50</v>
      </c>
      <c r="FI39" s="6">
        <f t="shared" si="69"/>
        <v>50</v>
      </c>
      <c r="FJ39" t="str" cm="1">
        <f t="array" ref="FJ39">IF(B39="","",IFERROR(INDEX({"I особая","I","II","III"},MATCH(TRIM(AC39&amp;""),{"I особая","I","II","III"},0)),"III"))</f>
        <v>III</v>
      </c>
      <c r="FK39" t="str">
        <f>IF(B39="","",IF(TRIM(AD39&amp;"")&lt;&gt;"",IF(LOWER(TRIM(AD39&amp;""))="да","да","нет"),IF(IFERROR(_xlfn.XLOOKUP(AX39,Коды_код,Коды_пожарная),"")="да","да","нет")))</f>
        <v>нет</v>
      </c>
      <c r="FL39" t="str">
        <f t="shared" si="70"/>
        <v/>
      </c>
      <c r="FM39" t="str">
        <f t="shared" si="71"/>
        <v>основная</v>
      </c>
      <c r="FN39">
        <f t="shared" si="72"/>
        <v>1</v>
      </c>
      <c r="FO39" t="str" cm="1">
        <f t="array" ref="FO39">IF(B39="","",_xlfn.LET(_xlpm.t,IFERROR(_xlfn.XLOOKUP(1,(Шины[Шина]=FM39)*(((Шины[Щит]=A39)+(Шины[Щит]=""))&gt;0),Шины[Тип]),"")&amp;"",IF(_xlpm.t&lt;&gt;"",_xlpm.t,IF(ISNUMBER(SEARCH("ИБП",FM39)),"ИБП",IF(ISNUMBER(SEARCH("ДГУ",FM39)),"ДГУ","Ввод "&amp;FN39)))))</f>
        <v>Ввод 1</v>
      </c>
      <c r="FP39" t="str">
        <f t="shared" si="73"/>
        <v>Ввод 1</v>
      </c>
      <c r="FQ39" t="str">
        <f>IF(B39="","",IF(OR(FO39="ИБП",FO39="ДГУ"),"I особая",IF(FO39="Одиночная","III",_xlfn.XLOOKUP(A39,Щиты[Щит],Щиты[Категория шины «Ввод»],"III"))))</f>
        <v>II</v>
      </c>
      <c r="FR39">
        <f>IF(B39="",0,IFERROR(MATCH(FJ39,{"III","II","I","I особая"},0),1))</f>
        <v>1</v>
      </c>
      <c r="FS39">
        <f t="shared" si="74"/>
        <v>1</v>
      </c>
      <c r="FT39" t="str">
        <f>IF(B39="","",IF(FR39&gt;IFERROR(MATCH(FQ39,{"III","II","I","I особая"},0),1),"НЕ ОБЕСПЕЧЕНА","ОК"))</f>
        <v>ОК</v>
      </c>
      <c r="FU39" t="str">
        <f>IF(A39="","",_xlfn.XLOOKUP(A39,Щиты[Щит],Щиты[Путь],""))</f>
        <v>|ГРЩ-ЖД|ЩГП|ЩО-001|</v>
      </c>
      <c r="FV39" t="str">
        <f>IF(B39="","",IF(AE39&lt;&gt;"",AE39,IF(IFERROR(_xlfn.XLOOKUP(AX39,Коды_код,Коды_вид)&amp;"","")="","Прочее",_xlfn.XLOOKUP(AX39,Коды_код,Коды_вид)&amp;"")))</f>
        <v>Рабочее освещение</v>
      </c>
      <c r="FW39" t="str">
        <f>IF(BH39="","",INT((BH39-1)/Столбцов_на_лист)+1)</f>
        <v/>
      </c>
      <c r="FX39" t="str">
        <f t="shared" si="75"/>
        <v>ВВГнг(А)-LS (3х1,5) L=37-0,21%</v>
      </c>
      <c r="FY39">
        <f t="shared" si="76"/>
        <v>0.1</v>
      </c>
      <c r="FZ39">
        <f t="shared" si="77"/>
        <v>0.46</v>
      </c>
      <c r="GA39">
        <f t="shared" si="78"/>
        <v>1</v>
      </c>
      <c r="GB39">
        <f t="shared" si="79"/>
        <v>0</v>
      </c>
      <c r="GC39">
        <f t="shared" si="80"/>
        <v>0</v>
      </c>
      <c r="GD39" t="str">
        <f>IF(BH39="","",IF(AND(CA39=1,GC39=1),COUNTIFS(A$3:A39,A39,CA$3:CA39,1,GC$3:GC39,1),IF(OR(OR(AW39=1,A39&lt;&gt;A38),AF39="вручную",GC39=0),"",IF(AW39=1,"",GE38))))</f>
        <v/>
      </c>
      <c r="GE39" t="str">
        <f t="shared" si="81"/>
        <v/>
      </c>
      <c r="GF39">
        <f>IF(B39="","",IFERROR(LOOKUP(INDEX(CHOOSE(DL39,Iдоп_1ж,Iдоп_2ж,Iдоп_3ж),MATCH(DX39,Iдоп_S,0))*DJ39*DK39,{6,10,16,20,25,32,40,50,63,80,100,125,160,200,250,315,400,500,630}),""))</f>
        <v>16</v>
      </c>
      <c r="GG39" t="str">
        <f t="shared" si="82"/>
        <v/>
      </c>
      <c r="GH39" t="str">
        <f t="shared" si="83"/>
        <v/>
      </c>
      <c r="GI39" t="str">
        <f t="shared" si="84"/>
        <v/>
      </c>
      <c r="GJ39">
        <f t="shared" si="85"/>
        <v>0</v>
      </c>
      <c r="GK39" t="str">
        <f>IF(OR(AG39="",AG39="-"),"",IFERROR(VLOOKUP(AG39,Модули_спр,2,FALSE),"R"))</f>
        <v/>
      </c>
      <c r="GL39" t="str">
        <f>IF(GK39="","",GK39&amp;"."&amp;COUNTIFS(A$3:A39,A39,GK$3:GK39,GK39))</f>
        <v/>
      </c>
      <c r="GM39" t="str">
        <f t="shared" si="86"/>
        <v/>
      </c>
      <c r="GN39" t="str">
        <f t="shared" si="87"/>
        <v/>
      </c>
      <c r="GO39" t="str">
        <f t="shared" si="88"/>
        <v/>
      </c>
      <c r="GP39" t="str">
        <f t="shared" si="89"/>
        <v/>
      </c>
      <c r="GQ39">
        <f t="shared" si="90"/>
        <v>1</v>
      </c>
      <c r="GR39" t="str">
        <f>IF(GQ39=1,"XT"&amp;COUNTIFS(A$3:A39,A39,GQ$3:GQ39,1),"")</f>
        <v>XT8</v>
      </c>
      <c r="GS39" t="str">
        <f t="shared" si="91"/>
        <v>XT8</v>
      </c>
      <c r="GT39" t="str">
        <f t="shared" si="92"/>
        <v/>
      </c>
      <c r="GU39" t="str">
        <f t="shared" si="93"/>
        <v/>
      </c>
      <c r="GV39" t="str">
        <f t="shared" si="94"/>
        <v>ok</v>
      </c>
      <c r="GW39" t="str">
        <f>IF(OR(GO39="",GM39=""),"",IF(GO39&gt;IFERROR(VLOOKUP(GN39,Модули_спр,3,FALSE),99),"ЛИШНИЙ КАНАЛ",IF(AND(AH39&lt;&gt;"=",COUNTIFS(Линии[_модуль гр.],GM39,Линии[Канал (итог)],GO39,Линии[Канал],"&lt;&gt;=",Линии[Щит],A39)&gt;1),"ДУБЛЬ КАНАЛА","")))</f>
        <v/>
      </c>
      <c r="GX39" s="6" t="str">
        <f t="shared" si="95"/>
        <v/>
      </c>
      <c r="GY39">
        <f t="shared" si="96"/>
        <v>10</v>
      </c>
      <c r="GZ39" t="str">
        <f t="shared" si="97"/>
        <v/>
      </c>
      <c r="HA39" t="str">
        <f>IF(AND(B39="",GT39=""),"",_xlfn.TEXTJOIN("; ",TRUE,IF(AND(B39&lt;&gt;"",FE39=""),"нет фазы",""),IF(AND(B39&lt;&gt;"",N(FY39)=0,EQ39&lt;&gt;"Нет"),"нет мощности",""),IF(AND(GS39&lt;&gt;"",COUNTIFS(Линии[Щит],A39,Линии[Клемма (итог)],GS39)&gt;1),"дубль клеммы "&amp;GS39,""),IF(AND(GV39&lt;&gt;"",GV39&lt;&gt;"ok"),GV39,""),IF(GW39&lt;&gt;"",GW39,""),IF(AND(N(BV39)&gt;=4,N(BR39)=1),BV39&amp;" жил на 1 фазе",""),IF(AND(AX39="R",CA39=1,OR(N(CK39)=0,N(CK39)&gt;30)),"розетка без дифзащиты до 30 мА",""),IFERROR(IF(AND(ISNUMBER(R39),R39&gt;DV39),"потери "&amp;FIXED(R39,1)&amp;" % &gt; "&amp;DV39&amp;" %",""),""),IFERROR(IF(LEFT(GZ39,4)="мало","Iкз мало — отключение &gt; 0,4 с",""),""),IF(AND(B39&lt;&gt;"",BH39=""),"не на схеме",""),IF(AND(CA39=0,B39&lt;&gt;"",FE39&lt;&gt;"",IF(AW39=1,"",FF38)&lt;&gt;"",FE39&lt;&gt;IF(AW39=1,"",FF38)),"фаза не как у автомата группы ("&amp;IF(AW39=1,"",FF38)&amp;")","")))</f>
        <v>не на схеме</v>
      </c>
      <c r="HB39" s="6">
        <f>IF(OR(CA39=0,DA39=""),"",_xlfn.LET(_xlpm.t,IFERROR(_xlfn.XLOOKUP(DA39,Каталог!$U$4:$U$500,Каталог!$G$4:$G$500),""),_xlpm.k,SEARCH("кА",_xlpm.t),IFERROR(--TRIM(RIGHT(SUBSTITUTE(MID(_xlpm.t,MAX(1,_xlpm.k-4),_xlpm.k-MAX(1,_xlpm.k-4))," ",REPT(" ",9)),5)),"")))</f>
        <v>6</v>
      </c>
      <c r="HC39" t="str">
        <f>IF(OR(HB39="",CA39=0),"",IF(_xlfn.XLOOKUP(A39,Щиты[Щит],Щиты[Iкз max на шинах, кА],"")="","",IF(HB39&lt;_xlfn.XLOOKUP(A39,Щиты[Щит],Щиты[Iкз max на шинах, кА]),"Icu "&amp;HB39&amp;" кА &lt; Iкз max","ok")))</f>
        <v/>
      </c>
      <c r="HD39" t="str">
        <f t="shared" si="98"/>
        <v/>
      </c>
      <c r="HE39" t="str">
        <f t="shared" si="99"/>
        <v/>
      </c>
      <c r="HF39" t="str">
        <f t="shared" si="100"/>
        <v/>
      </c>
      <c r="HG39" t="str" cm="1">
        <f t="array" ref="HG39">IF(HF39="","",_xlfn.LET(_xlpm.nd,_xlfn.TEXTSPLIT(HF39,"|"),IF(COLUMNS(_xlpm.nd)&gt;1,A39&amp;"¦"&amp;INDEX(_xlpm.nd,1)&amp;"¦"&amp;INDEX(_xlpm.nd,2),"")))</f>
        <v/>
      </c>
      <c r="HH39" t="str">
        <f t="shared" si="101"/>
        <v/>
      </c>
      <c r="HI39" t="str" cm="1">
        <f t="array" ref="HI39">IF(HF39="","",_xlfn.LET(_xlpm.nd,_xlfn.TEXTSPLIT(HF39,"|"),IF(COLUMNS(_xlpm.nd)&gt;2,A39&amp;"¦"&amp;INDEX(_xlpm.nd,2)&amp;"¦"&amp;INDEX(_xlpm.nd,3),"")))</f>
        <v/>
      </c>
      <c r="HJ39" t="str">
        <f t="shared" si="102"/>
        <v/>
      </c>
      <c r="HK39" t="str" cm="1">
        <f t="array" ref="HK39">IF(HF39="","",_xlfn.LET(_xlpm.nd,_xlfn.TEXTSPLIT(HF39,"|"),IF(COLUMNS(_xlpm.nd)&gt;3,A39&amp;"¦"&amp;INDEX(_xlpm.nd,3)&amp;"¦"&amp;INDEX(_xlpm.nd,4),"")))</f>
        <v/>
      </c>
      <c r="HL39" t="str">
        <f t="shared" si="103"/>
        <v/>
      </c>
      <c r="HM39" t="str" cm="1">
        <f t="array" ref="HM39">IF(HF39="","",_xlfn.LET(_xlpm.nd,_xlfn.TEXTSPLIT(HF39,"|"),IF(COLUMNS(_xlpm.nd)&gt;4,A39&amp;"¦"&amp;INDEX(_xlpm.nd,4)&amp;"¦"&amp;INDEX(_xlpm.nd,5),"")))</f>
        <v/>
      </c>
      <c r="HN39" t="str">
        <f t="shared" si="104"/>
        <v/>
      </c>
      <c r="HO39" t="str" cm="1">
        <f t="array" ref="HO39">IF(HF39="","",_xlfn.LET(_xlpm.nd,_xlfn.TEXTSPLIT(HF39,"|"),IF(COLUMNS(_xlpm.nd)&gt;5,A39&amp;"¦"&amp;INDEX(_xlpm.nd,5)&amp;"¦"&amp;INDEX(_xlpm.nd,6),"")))</f>
        <v/>
      </c>
      <c r="HP39" t="str">
        <f t="shared" si="105"/>
        <v/>
      </c>
      <c r="HQ39" t="str" cm="1">
        <f t="array" ref="HQ39">IF(HF39="","",_xlfn.LET(_xlpm.nd,_xlfn.TEXTSPLIT(HF39,"|"),IF(COLUMNS(_xlpm.nd)&gt;6,A39&amp;"¦"&amp;INDEX(_xlpm.nd,6)&amp;"¦"&amp;INDEX(_xlpm.nd,7),"")))</f>
        <v/>
      </c>
      <c r="HR39" t="str">
        <f t="shared" si="106"/>
        <v/>
      </c>
      <c r="HS39" t="str">
        <f t="shared" si="107"/>
        <v/>
      </c>
      <c r="HT39" t="str">
        <f t="shared" si="108"/>
        <v>XT8</v>
      </c>
      <c r="HU39">
        <f t="shared" si="109"/>
        <v>0</v>
      </c>
      <c r="HV39">
        <f t="shared" si="110"/>
        <v>0</v>
      </c>
      <c r="HW39" t="str">
        <f t="shared" si="111"/>
        <v/>
      </c>
      <c r="HX39" t="str">
        <f t="shared" si="112"/>
        <v/>
      </c>
      <c r="HY39" t="str">
        <f t="shared" si="113"/>
        <v/>
      </c>
      <c r="HZ39" t="str">
        <f t="shared" si="114"/>
        <v/>
      </c>
      <c r="IA39" t="str">
        <f>IF(B39="","",IFERROR(VLOOKUP(B39,УГО_спр,2,FALSE),IFERROR(VLOOKUP(AX39,УГО_спр,2,FALSE),IFERROR(VLOOKUP(LEFT(AX39,2),УГО_спр,2,FALSE),""))))</f>
        <v>Светильник</v>
      </c>
      <c r="IB39" t="str">
        <f>IF(B39="","",IF(OR(IA39="",IA39=0),"BOX",IFERROR(IF(VLOOKUP(IA39,УГО_блоки,3,FALSE)&amp;""&lt;&gt;"",VLOOKUP(IA39,УГО_блоки,3,FALSE),VLOOKUP(IA39,УГО_блоки,2,FALSE)),IA39)))</f>
        <v>LAMP</v>
      </c>
      <c r="IC39">
        <f t="shared" si="115"/>
        <v>1</v>
      </c>
      <c r="ID39" t="str">
        <f>IF(DA39="","",IF(COUNTIF(DA$3:DA39,DA39)=1,MAX(ID$2:ID38)+1,""))</f>
        <v/>
      </c>
      <c r="IE39" t="str">
        <f>IF(CO39="","",IF(COUNTIF(CO$3:CO39,CO39)+COUNTIF(CP$2:CP38,CO39)+COUNTIF(CQ$2:CQ38,CO39)=1,MAX(IE$2:IG38)+1,""))</f>
        <v/>
      </c>
      <c r="IF39" t="str">
        <f>IF(CP39="","",IF(COUNTIF(CO$3:CO39,CP39)+COUNTIF(CP$3:CP39,CP39)+COUNTIF(CQ$2:CQ38,CP39)=1,MAX(IE$2:IG38,IE39)+1,""))</f>
        <v/>
      </c>
      <c r="IG39" t="str">
        <f>IF(CQ39="","",IF(COUNTIF(CO$3:CO39,CQ39)+COUNTIF(CP$3:CP39,CQ39)+COUNTIF(CQ$3:CQ39,CQ39)=1,MAX(IE$2:IG38,IE39,IF39)+1,""))</f>
        <v/>
      </c>
      <c r="IH39" t="str">
        <f t="shared" si="116"/>
        <v>3х1,5</v>
      </c>
      <c r="II39" t="str">
        <f>IF(IH39="","",IF(COUNTIF(IH$3:IH39,IH39)=1,MAX(II$2:II38)+1,""))</f>
        <v/>
      </c>
      <c r="IJ39" t="str">
        <f>IF(GL39="","",COUNTIF(GL$3:GL39,"?*"))</f>
        <v/>
      </c>
      <c r="IK39" t="str">
        <f>IF(OR(GL39="",GN39=""),"",IF(COUNTIFS(GL$3:GL39,"?*",GN$3:GN39,GN39)=1,MAX(IK$2:IK38)+1,""))</f>
        <v/>
      </c>
      <c r="IL39">
        <f t="shared" si="117"/>
        <v>1</v>
      </c>
      <c r="IM39">
        <f>IF(B39="","",COUNTIF(B$3:B39,"?*"))</f>
        <v>37</v>
      </c>
      <c r="IN39">
        <f>IF(GQ39&lt;&gt;1,0,_xlfn.LET(_xlpm.k,MAX(IFERROR(--VLOOKUP(B39,УГО_спр,5,FALSE),0),IFERROR(--VLOOKUP(AX39,УГО_спр,5,FALSE),0),IFERROR(--VLOOKUP(LEFT(AX39,2),УГО_спр,5,FALSE),0)),IF(_xlpm.k&gt;0,_xlpm.k,IF(IFERROR(--LEFT(SUBSTITUTE(IH39,"x","х"),FIND("х",SUBSTITUTE(IH39,"x","х"))-1),3)&gt;3,Каталог!$S$9,1))))</f>
        <v>1</v>
      </c>
      <c r="IO39">
        <f t="shared" si="118"/>
        <v>0</v>
      </c>
      <c r="IP39" t="str">
        <f t="shared" si="119"/>
        <v>авто</v>
      </c>
      <c r="IQ39" t="str">
        <f t="shared" si="120"/>
        <v/>
      </c>
      <c r="IR39">
        <f t="shared" si="121"/>
        <v>0</v>
      </c>
      <c r="IS39">
        <f t="shared" si="122"/>
        <v>1</v>
      </c>
    </row>
    <row r="40" spans="1:253" x14ac:dyDescent="0.3">
      <c r="A40" t="s">
        <v>1104</v>
      </c>
      <c r="B40" t="s">
        <v>1313</v>
      </c>
      <c r="C40" t="str">
        <f>Линии[[#This Row],[_авто наименование]]</f>
        <v>Осветительная группа, пом. 004Б</v>
      </c>
      <c r="D40">
        <v>8</v>
      </c>
      <c r="E40">
        <v>0.1</v>
      </c>
      <c r="G40" t="str">
        <f>Линии[[#This Row],[_авто автомат]]</f>
        <v>1P С10А</v>
      </c>
      <c r="H40" t="str">
        <f>Линии[[#This Row],[_авто утечка]]</f>
        <v/>
      </c>
      <c r="I40" t="str">
        <f>Линии[[#This Row],[_авто управление]]</f>
        <v/>
      </c>
      <c r="J40" t="str">
        <f>Линии[[#This Row],[_авто аппараты]]</f>
        <v/>
      </c>
      <c r="K40">
        <v>1.5</v>
      </c>
      <c r="L40">
        <v>51</v>
      </c>
      <c r="M40" t="str">
        <f>Линии[[#This Row],[_авто фаза]]</f>
        <v>L3</v>
      </c>
      <c r="N40" t="str">
        <f>Линии[[#This Row],[_авто клемма]]</f>
        <v>XT9</v>
      </c>
      <c r="O40" t="str">
        <f t="shared" si="0"/>
        <v>не на схеме</v>
      </c>
      <c r="P40" s="6" cm="1">
        <f t="array" ref="P40">IF(B40="","",IF(BC40&lt;&gt;"",IFERROR(_xlfn.XLOOKUP(BC40,Щиты[Щит],Щиты[Iр, А]),""),IF(BK40=1,IFERROR(_xlfn.XLOOKUP(A40,Щиты[Щит],Щиты[Iр, А]),""),IFERROR(_xlfn.IFS(BR40=1,BN40/((Uн_лин/SQRT(3))*BY40),BR40=3,BN40/(SQRT(3)*Uн_лин*BY40)),""))))</f>
        <v>0.455802844097073</v>
      </c>
      <c r="Q40" s="7">
        <f>IF(B40="","",IFERROR(IF(VLOOKUP(AX40,Потребители_обозначение,4,FALSE)=1,VLOOKUP(AX40,Потребители_обозначение,3,FALSE)*(D40*2-1)+DS40+VLOOKUP(AZ40,Этаж_обозначение,3,FALSE)+VLOOKUP(AZ40,Этаж_обозначение,4,FALSE),VLOOKUP(AX40,Потребители_обозначение,3,FALSE)*(D40*2-1)+DS40),DS40))</f>
        <v>66</v>
      </c>
      <c r="R40" s="6">
        <f t="shared" si="1"/>
        <v>0.55000000000000004</v>
      </c>
      <c r="S40" t="str">
        <f t="shared" si="2"/>
        <v>ВВГнг(А)-LS (3х1,5)</v>
      </c>
      <c r="T40" t="str">
        <f>IF(BH40="","",IF(BI40="вводной узел","узел ","")&amp;"л."&amp;(INT((BH40-1)/Столбцов_на_лист)+1)&amp;" / "&amp;(MOD(BH40-1,Столбцов_на_лист)+1))</f>
        <v/>
      </c>
      <c r="V40">
        <v>1</v>
      </c>
      <c r="W40">
        <v>230</v>
      </c>
      <c r="X40" t="s">
        <v>564</v>
      </c>
      <c r="AE40" t="s">
        <v>557</v>
      </c>
      <c r="AI40" t="s">
        <v>529</v>
      </c>
      <c r="AJ40" t="s">
        <v>11</v>
      </c>
      <c r="AK40">
        <v>3</v>
      </c>
      <c r="AM40">
        <v>17</v>
      </c>
      <c r="AN40">
        <v>0</v>
      </c>
      <c r="AO40">
        <v>60</v>
      </c>
      <c r="AW40" cm="1">
        <f t="array" ref="AW40">ROW()-ROW(Линии[#Headers])</f>
        <v>38</v>
      </c>
      <c r="AX40" s="6" t="str">
        <f t="shared" si="3"/>
        <v>L</v>
      </c>
      <c r="AY40" t="str">
        <f t="shared" si="4"/>
        <v>00.004Б.1</v>
      </c>
      <c r="AZ40" t="str">
        <f t="shared" si="5"/>
        <v>00</v>
      </c>
      <c r="BA40" t="str">
        <f t="shared" si="6"/>
        <v>004Б.1</v>
      </c>
      <c r="BB40" t="str">
        <f t="shared" si="7"/>
        <v>004Б</v>
      </c>
      <c r="BC40" t="str">
        <f>IF(U40&lt;&gt;"",U40,IF(AND(B40&lt;&gt;"",B40&lt;&gt;A40,ISNUMBER(_xlfn.XMATCH(B40,Щиты[Щит]))),B40,""))</f>
        <v/>
      </c>
      <c r="BD40" t="str" cm="1">
        <f t="array" ref="BD40">IF(B40="","",IF(BC40&lt;&gt;"","Щит "&amp;BC40,_xlfn.LET(_xlpm.nm,IFERROR(_xlfn.XLOOKUP(AX40,Коды_код,Коды_имя)&amp;"",""),_xlpm.md,IFERROR(N(_xlfn.XLOOKUP(AX40,Коды_код,Коды_режим)),1),_xlpm.ex,IF(Имя_режим="по экспликации",IFERROR(_xlfn.XLOOKUP(AZ40&amp;"|"&amp;BB40,Экспликация[Этаж]&amp;"|"&amp;Экспликация[Помещение],Экспликация[Название])&amp;"",""),""),_xlpm.rm,IF(BB40="","",IF(_xlpm.ex&lt;&gt;"",". "&amp;_xlpm.ex&amp;IF(Имя_пом="нет"," ("&amp;BB40&amp;")"," (пом. "&amp;BB40&amp;")"),IF(Имя_пом="нет"," ",", пом. ")&amp;BB40)),IF(_xlpm.nm="","",IF(_xlpm.md=2,_xlpm.nm&amp;" шлейф "&amp;AZ40,_xlpm.nm&amp;_xlpm.rm)))))</f>
        <v>Осветительная группа, пом. 004Б</v>
      </c>
      <c r="BE40" t="str">
        <f t="shared" si="8"/>
        <v>Осветительная группа, пом. 004Б</v>
      </c>
      <c r="BF40">
        <f>IFERROR(_xlfn.XMATCH(A40,Щиты[Щит]),0)</f>
        <v>3</v>
      </c>
      <c r="BG40">
        <f>_xlfn.LET(_xlpm.k,IFERROR(_xlfn.XLOOKUP(A40,Щиты[Щит],Щиты[Листов под вводной узел]),""),IF(_xlpm.k="",1,N(_xlpm.k))*Столбцов_на_лист)</f>
        <v>17</v>
      </c>
      <c r="BH40" t="str">
        <f t="shared" si="9"/>
        <v/>
      </c>
      <c r="BI40" t="str">
        <f t="shared" si="10"/>
        <v/>
      </c>
      <c r="BJ40" s="6">
        <f>IFERROR(N(_xlfn.XLOOKUP(AX40,Коды_код,Коды_квт)),0)</f>
        <v>0</v>
      </c>
      <c r="BK40">
        <f t="shared" si="11"/>
        <v>0</v>
      </c>
      <c r="BL40" t="str">
        <f>IF(B40="","",IF(BC40&lt;&gt;"",IFERROR(_xlfn.XLOOKUP(BC40,Щиты[Щит],Щиты[Руст, кВт]),0),IF(BK40=1,IFERROR(_xlfn.XLOOKUP(A40,Щиты[Щит],Щиты[Руст, кВт]),0),IF(BJ40&gt;0,ROUND(BJ40*MAX(1,N(D40)),3),""))))</f>
        <v/>
      </c>
      <c r="BM40">
        <f t="shared" si="12"/>
        <v>0.1</v>
      </c>
      <c r="BN40" s="6">
        <f>IF(B40="","",IF(BC40&lt;&gt;"",IFERROR(_xlfn.XLOOKUP(BC40,Щиты[Щит],Щиты[Руст, кВт]),0),N(BM40)))</f>
        <v>0.1</v>
      </c>
      <c r="BO40" t="str">
        <f>IF(B40="","",IFERROR(IF(VLOOKUP(AX40,Потребители_обозначение,8,FALSE)=0,"",VLOOKUP(AX40,Потребители_обозначение,8,FALSE)),""))</f>
        <v/>
      </c>
      <c r="BP40">
        <f t="shared" si="13"/>
        <v>230</v>
      </c>
      <c r="BQ40">
        <f>IF(B40="","",IF(BC40&lt;&gt;"",3,IFERROR(IF(N(VLOOKUP(AX40,Потребители_обозначение,9,FALSE))=0,1,VLOOKUP(AX40,Потребители_обозначение,9,FALSE)),1)))</f>
        <v>1</v>
      </c>
      <c r="BR40">
        <f t="shared" si="14"/>
        <v>1</v>
      </c>
      <c r="BS40" t="str">
        <f>IF(B40="","",_xlfn.LET(_xlpm.bc,IFERROR(IF(VLOOKUP(AX40,Потребители_обозначение,6,FALSE)=0,"",VLOOKUP(AX40,Потребители_обозначение,6,FALSE)&amp;""),""),IF(AND(FK40="да",OR(_xlpm.bc="",_xlpm.bc="мс")),Марка_пож,IF(AND(_xlpm.bc="",BC40&lt;&gt;""),"мс",_xlpm.bc))))</f>
        <v/>
      </c>
      <c r="BT40" t="str">
        <f t="shared" si="15"/>
        <v>мс</v>
      </c>
      <c r="BU40">
        <f>IF(B40="","",_xlfn.LET(_xlpm.cc,IFERROR(N(VLOOKUP(AX40,Потребители_обозначение,7,FALSE)),0),IF(_xlpm.cc&gt;0,_xlpm.cc,IF(BT40="","",IF(N(BR40)=3,5,3)))))</f>
        <v>3</v>
      </c>
      <c r="BV40">
        <f t="shared" si="16"/>
        <v>3</v>
      </c>
      <c r="BW40">
        <f>IFERROR(N(VLOOKUP(AX40,Потребители_обозначение,10,FALSE)),0)</f>
        <v>0</v>
      </c>
      <c r="BX40">
        <f>IFERROR(VLOOKUP(AX40,Потребители_обозначение,5,FALSE),0)</f>
        <v>3</v>
      </c>
      <c r="BY40" s="6" cm="1">
        <f t="array" ref="BY40">IF(B40="","",IF(BC40&lt;&gt;"",IFERROR(_xlfn.XLOOKUP(BC40,Щиты[Щит],Щиты[cos φ]),0.95),IF(BK40=1,IFERROR(_xlfn.XLOOKUP(A40,Щиты[Щит],Щиты[cos φ]),0.95),IF(ISNUMBER(Z40),Z40,IFERROR(IF(BX40=2,_xlfn.IFS(BR40=3,VLOOKUP(BN40,Справочная_двигатели,8,FALSE),BR40=1,VLOOKUP(BN40,Справочная_двигатели,10,TRUE)),IF(AND(Методика="нормы 2026",EQ40="Сил"),0.8,0.95)),0.95)))))</f>
        <v>0.95</v>
      </c>
      <c r="BZ40">
        <f t="shared" si="17"/>
        <v>0</v>
      </c>
      <c r="CA40">
        <f t="shared" si="18"/>
        <v>1</v>
      </c>
      <c r="CB40">
        <f t="shared" si="19"/>
        <v>0</v>
      </c>
      <c r="CC40">
        <f t="shared" si="20"/>
        <v>0</v>
      </c>
      <c r="CD40">
        <f t="shared" si="21"/>
        <v>0</v>
      </c>
      <c r="CE40">
        <f t="shared" si="22"/>
        <v>0</v>
      </c>
      <c r="CF40">
        <f t="shared" si="23"/>
        <v>0</v>
      </c>
      <c r="CG40">
        <f>IF(AX40="",0,_xlfn.LET(_xlpm.v,IFERROR(VLOOKUP(B40,УГО_спр,3,FALSE),IFERROR(VLOOKUP(AX40,УГО_спр,3,FALSE),IFERROR(VLOOKUP(LEFT(AX40,2),УГО_спр,3,FALSE),""))),IF(_xlpm.v="да",30,IF(ISNUMBER(_xlpm.v),_xlpm.v,0))))</f>
        <v>0</v>
      </c>
      <c r="CH40" t="str">
        <f t="shared" si="24"/>
        <v/>
      </c>
      <c r="CI40" t="str">
        <f>_xlfn.LET(_xlpm.k,IFERROR(_xlfn.XLOOKUP(AX40,Коды_код,Коды_утечка)&amp;"",""),IF(_xlpm.k="","дифавтомат",_xlpm.k))</f>
        <v>дифавтомат</v>
      </c>
      <c r="CJ40">
        <f t="shared" si="25"/>
        <v>0</v>
      </c>
      <c r="CK40">
        <f t="shared" si="26"/>
        <v>0</v>
      </c>
      <c r="CL40">
        <f>IF(B40="",0,IFERROR(--VLOOKUP(B40,УГО_спр,4,FALSE),IFERROR(--VLOOKUP(AX40,УГО_спр,4,FALSE),IFERROR(--VLOOKUP(LEFT(AX40,2),УГО_спр,4,FALSE),0))))</f>
        <v>10</v>
      </c>
      <c r="CM40" t="str">
        <f>IF(B40="","",IFERROR(_xlfn.XLOOKUP(AX40,Коды_код,Коды_апп)&amp;"",""))</f>
        <v/>
      </c>
      <c r="CN40" t="str">
        <f t="shared" si="27"/>
        <v/>
      </c>
      <c r="CO40" t="str" cm="1">
        <f t="array" ref="CO40">IF(TRIM(CN40&amp;"")="","",IFERROR(TRIM(INDEX(_xlfn.TEXTSPLIT(CN40&amp;";;;",";"),1)),""))</f>
        <v/>
      </c>
      <c r="CP40" t="str" cm="1">
        <f t="array" ref="CP40">IF(TRIM(CN40&amp;"")="","",IFERROR(TRIM(INDEX(_xlfn.TEXTSPLIT(CN40&amp;";;;",";"),2)),""))</f>
        <v/>
      </c>
      <c r="CQ40" t="str" cm="1">
        <f t="array" ref="CQ40">IF(TRIM(CN40&amp;"")="","",IFERROR(TRIM(INDEX(_xlfn.TEXTSPLIT(CN40&amp;";;;",";"),3)),""))</f>
        <v/>
      </c>
      <c r="CR40">
        <f t="shared" si="28"/>
        <v>0</v>
      </c>
      <c r="CS40" t="str">
        <f>IF(B40="","",_xlfn.LET(_xlpm.t,LOWER(AV40&amp;""),IF(ISNUMBER(SEARCH("dim",_xlpm.t)),"DIM",IF(ISNUMBER(SEARCH("dali",_xlpm.t)),"DALI",IF(OR(ISNUMBER(SEARCH("relay",_xlpm.t)),ISNUMBER(SEARCH("реле",_xlpm.t))),"Relay",IF(ISNUMBER(SEARCH("кнопк",_xlpm.t)),"",IFERROR(_xlfn.XLOOKUP(AX40,Коды_код,Коды_упр)&amp;"","")))))))</f>
        <v/>
      </c>
      <c r="CT40" t="str">
        <f t="shared" si="29"/>
        <v/>
      </c>
      <c r="CU40">
        <f>IF(B40="","",_xlfn.LET(_xlpm.ig,N(P40)+IF(AF40="вручную",0,N(CB40)),_xlpm.n0,IFERROR(VLOOKUP(_xlpm.ig,Автомат_номиналы,2,TRUE),0),_xlpm.mn,MAX(CL40,IF(AF40="вручную",0,N(CE40))),MAX(_xlpm.n0,_xlpm.mn,IF(CR40=1,Мин_автомат_БП,0))))</f>
        <v>10</v>
      </c>
      <c r="CV40">
        <f t="shared" si="30"/>
        <v>1</v>
      </c>
      <c r="CW40" t="str">
        <f t="shared" si="31"/>
        <v>1P</v>
      </c>
      <c r="CX40" t="str">
        <f>_xlfn.LET(_xlpm.cc,UPPER(TRIM(IFERROR(_xlfn.XLOOKUP(AX40,Коды_код,Коды_хар)&amp;"",""))),IF(OR(_xlpm.cc="B",_xlpm.cc="В"),"B",IF(_xlpm.cc="D","D","С")))</f>
        <v>С</v>
      </c>
      <c r="CY40" t="str">
        <f t="shared" si="32"/>
        <v>1P С10А</v>
      </c>
      <c r="CZ40" t="str">
        <f t="shared" si="33"/>
        <v>1P С10А</v>
      </c>
      <c r="DA40" t="str">
        <f t="shared" si="34"/>
        <v>1P С10А</v>
      </c>
      <c r="DB40" cm="1">
        <f t="array" ref="DB40">IF(DA40="","",_xlfn.LET(_xlpm.t,SUBSTITUTE(SUBSTITUTE(SUBSTITUTE(UPPER(DA40),"С","C"),"А","A"),"В","B"),_xlpm.tk,_xlfn.TEXTSPLIT(_xlpm.t,"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0" t="str">
        <f t="shared" si="35"/>
        <v>ok</v>
      </c>
      <c r="DD40">
        <f t="shared" si="36"/>
        <v>10</v>
      </c>
      <c r="DE40" t="str">
        <f t="shared" si="37"/>
        <v>1P С10А</v>
      </c>
      <c r="DF40">
        <f t="shared" si="38"/>
        <v>0</v>
      </c>
      <c r="DG40">
        <f t="shared" si="39"/>
        <v>0</v>
      </c>
      <c r="DH40">
        <f t="shared" si="40"/>
        <v>0</v>
      </c>
      <c r="DI40">
        <f t="shared" si="41"/>
        <v>0.455802844097073</v>
      </c>
      <c r="DJ40">
        <f t="shared" si="42"/>
        <v>1</v>
      </c>
      <c r="DK40">
        <f>IF(ISNUMBER(AL40),AL40,К_прокл)</f>
        <v>1</v>
      </c>
      <c r="DL40">
        <f t="shared" si="43"/>
        <v>2</v>
      </c>
      <c r="DM40">
        <f>IFERROR(N(VLOOKUP(BT40,Кабель_обозначение,3,FALSE)),1)</f>
        <v>1</v>
      </c>
      <c r="DN40">
        <f>IFERROR(N(_xlfn.XLOOKUP(A40,Щиты[Щит],Щиты[ΔU до шин, %])),0)</f>
        <v>0.17</v>
      </c>
      <c r="DO40" t="str">
        <f>IFERROR(_xlfn.XLOOKUP(A40,Щиты[Щит],Щиты[Zпетли на шинах, Ом]),"")</f>
        <v/>
      </c>
      <c r="DP40">
        <f>IFERROR(N(_xlfn.XLOOKUP(A40,Щиты[Щит],Щиты[ΔU до шин (подбор), %])),0)</f>
        <v>0.65</v>
      </c>
      <c r="DQ40" t="str">
        <f>IFERROR(_xlfn.XLOOKUP(A40,Щиты[Щит],Щиты[Zпетли на шинах (подбор), Ом]),"")</f>
        <v/>
      </c>
      <c r="DR40" t="str">
        <f t="shared" si="44"/>
        <v/>
      </c>
      <c r="DS40">
        <f t="shared" si="45"/>
        <v>51</v>
      </c>
      <c r="DT40">
        <f t="shared" si="46"/>
        <v>2</v>
      </c>
      <c r="DU40">
        <f t="shared" si="47"/>
        <v>0.31</v>
      </c>
      <c r="DV40" s="6">
        <f>IF(B40="","",IF(IFERROR(VLOOKUP(AX40,УГО_спр,2,FALSE),"")="Светильник",3,4)+IF(Методика="нормы 2026",MIN(0.5,MAX(0,N(Q40)-100)*0.005),0))</f>
        <v>3</v>
      </c>
      <c r="DW40" cm="1">
        <f t="array" ref="DW40">IF(OR(B40="",BT40="",DM40&lt;&gt;1),"",_xlfn.LET(_xlpm.sz,Iдоп_S,_xlpm.t_,CHOOSE(DL40,Iдоп_1ж,Iдоп_2ж,Iдоп_3ж)*DJ40*DK40,_xlpm.inn,N(DD40),_xlpm.smin,MAX(1.5,BW40),_xlpm.L_,N(Q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40)*(_xlpm.rho*_xlpm.L_/_xlpm.sz*N(BY40)+_xlpm.xx*_xlpm.L_*N(DU40)/1000)*N(P40)/((Uн_лин/SQRT(3))*1000)*100,999),_xlpm.kz,IF(OR(DG40=1,NOT(ISNUMBER(DQ40)),_xlpm.L_=0,_xlpm.inn=0),1,IFERROR(--(c_min*(Uн_лин*1000/SQRT(3))/(DQ40+2*ρкз_Cu*_xlpm.L_/_xlpm.sz)&gt;=GY40*_xlpm.inn),0)),_xlpm.ok,IFERROR((_xlpm.sz&gt;=_xlpm.smin)*(_xlpm.t_&gt;=_xlpm.inn)*IF(_xlpm.L_&gt;0,(_xlpm.du_+DP40&lt;=DV40+0.00001),1)*_xlpm.kz,0),_xlpm.r_,_xlfn._xlws.FILTER(_xlpm.sz,_xlpm.ok,"не подобрано"),INDEX(_xlpm.r_,1)))</f>
        <v>1.5</v>
      </c>
      <c r="DX40">
        <f t="shared" si="48"/>
        <v>1.5</v>
      </c>
      <c r="DY40" cm="1">
        <f t="array" ref="DY40">IF(OR(B40="",BT40="",DM40&lt;&gt;1),"",_xlfn.LET(_xlpm.sz,Iдоп_S,_xlpm.t_,CHOOSE(DL40,Iдоп_1ж,Iдоп_2ж,Iдоп_3ж)*DJ40*DK40,_xlpm.ok,IFERROR((_xlpm.sz&gt;=MAX(1.5,BW40))*(_xlpm.t_&gt;=N(DD40)),0),_xlpm.r_,_xlfn._xlws.FILTER(_xlpm.sz,_xlpm.ok,""),INDEX(_xlpm.r_,1)))</f>
        <v>1.5</v>
      </c>
      <c r="DZ40" s="6" cm="1">
        <f t="array" ref="DZ40">IFERROR(ROUNDUP(N(DT40)*(_xlfn.XLOOKUP(DY40,INDEX(Кабель_сопротивление,0,1),INDEX(Кабель_сопротивление,0,3))*N(Q40)/DY40*N(BY40)+_xlfn.XLOOKUP(DY40,INDEX(Кабель_сопротивление,0,1),INDEX(Кабель_сопротивление,0,2))*N(Q40)*N(DU40)/1000)*N(P40)/((Uн_лин/SQRT(3))*1000)*100,2),"")</f>
        <v>0.38</v>
      </c>
      <c r="EA40">
        <f>IFERROR(2*ρкз_Cu*N(Q40)/DY40,"")</f>
        <v>2.3144</v>
      </c>
      <c r="EB40">
        <f>IFERROR(VLOOKUP(DX40,Кабель_сопротивление,3,FALSE),"")</f>
        <v>2.2499999999999999E-2</v>
      </c>
      <c r="EC40">
        <f>IFERROR(VLOOKUP(DX40,Кабель_сопротивление,2,FALSE),"")</f>
        <v>0.11</v>
      </c>
      <c r="ED40">
        <f t="shared" si="49"/>
        <v>0</v>
      </c>
      <c r="EE40">
        <f t="shared" si="50"/>
        <v>60</v>
      </c>
      <c r="EF40">
        <f t="shared" si="51"/>
        <v>0.8594168095084439</v>
      </c>
      <c r="EG40" s="6">
        <f>IFERROR(ROUNDUP(EF40/((Uн_лин/SQRT(3))*1000)*100,2),"")</f>
        <v>0.38</v>
      </c>
      <c r="EH40" t="str">
        <f>IFERROR(VLOOKUP(BT40,Кабель_обозначение,2,FALSE),"")</f>
        <v>ВВГнг(А)-LS</v>
      </c>
      <c r="EI40" t="str">
        <f t="shared" si="52"/>
        <v>ВВГнг(А)-LS (3х1,5)</v>
      </c>
      <c r="EJ40" t="str">
        <f t="shared" si="53"/>
        <v>ВВГнг(А)-LS (3х1,5)
L=66-0,38%</v>
      </c>
      <c r="EK40">
        <f>IFERROR(2*ρкз_Cu*Q40/DX40,"")</f>
        <v>2.3144</v>
      </c>
      <c r="EL40">
        <f t="shared" si="54"/>
        <v>0.77</v>
      </c>
      <c r="EM40" s="6" t="str">
        <f>IFERROR(IF(OR(B40="",NOT(ISNUMBER(DX40)),N(Q40)=0),"",_xlfn.XLOOKUP(A40,Щиты[Щит],Щиты[Zпетли на шинах, Ом])+EK40),"")</f>
        <v/>
      </c>
      <c r="EN40" s="6" t="str">
        <f>IF(ISNUMBER(EM40),c_min*(Uн_лин*1000/SQRT(3))/EM40,"")</f>
        <v/>
      </c>
      <c r="EO40" s="6" t="str">
        <f>IFERROR(IF(OR(B40="",NOT(ISNUMBER(DX40))),"",1.05*(Uн_лин*1000/SQRT(3))/(_xlfn.XLOOKUP(A40,Щиты[Щит],Щиты[Zmax на шинах, Ом])+EL40)/1000),"")</f>
        <v/>
      </c>
      <c r="EP40" s="6" t="str">
        <f>IF(B40="","",IF(ISNUMBER(Y40),"Сил",IF(IFERROR(_xlfn.XLOOKUP(AX40,Коды_код,Коды_группа)&amp;"","")="","Быт",_xlfn.XLOOKUP(AX40,Коды_код,Коды_группа)&amp;"")))</f>
        <v>Быт</v>
      </c>
      <c r="EQ40" s="6" t="str">
        <f t="shared" si="55"/>
        <v>Быт</v>
      </c>
      <c r="ER40" s="6">
        <f>IF(EQ40="Щит","щит",IF(EQ40="","",IF(EQ40="Быт",IFERROR(_xlfn.XLOOKUP(A40,Щиты[Щит],Щиты[Кс быт]),1),IF(EQ40="Сил",IF(ISNUMBER(Y40),Y40,IF(Методика="нормы 2026",IFERROR(_xlfn.XLOOKUP(A40,Щиты[Щит],Щиты[Кс силовых (табл. 7.5)]),1),1)),IF(OR(EQ40="Пост",EQ40="Отоп"),1,IF(EQ40="ВНГ",0.7,0))))))</f>
        <v>0.8</v>
      </c>
      <c r="ES40">
        <f t="shared" si="56"/>
        <v>1</v>
      </c>
      <c r="ET40">
        <f t="shared" si="57"/>
        <v>0.1</v>
      </c>
      <c r="EU40">
        <f t="shared" si="58"/>
        <v>0.1</v>
      </c>
      <c r="EV40">
        <f t="shared" si="59"/>
        <v>0</v>
      </c>
      <c r="EW40">
        <f t="shared" si="60"/>
        <v>0</v>
      </c>
      <c r="EX40">
        <f t="shared" si="61"/>
        <v>0</v>
      </c>
      <c r="EY40">
        <f t="shared" si="62"/>
        <v>0</v>
      </c>
      <c r="EZ40">
        <f t="shared" si="63"/>
        <v>0.1</v>
      </c>
      <c r="FA40">
        <f t="shared" si="64"/>
        <v>9.5000000000000001E-2</v>
      </c>
      <c r="FB40">
        <f t="shared" si="65"/>
        <v>0.1</v>
      </c>
      <c r="FC40" t="str">
        <f t="shared" si="66"/>
        <v/>
      </c>
      <c r="FD40" t="str">
        <f>IF(B40="","",IF(CA40=0,IF(AW40=1,"",FF39),IF(OR(N(CV40)&gt;=3,N(BR40)&gt;=3),"L1,L2,L3",IFERROR(_xlfn.TEXTBEFORE(_xlfn.TEXTAFTER(_xlfn.XLOOKUP(A40,Щиты[Щит],Щиты[_фазы авто]),";"&amp;AW40&amp;":"),";"),"L1"))))</f>
        <v>L3</v>
      </c>
      <c r="FE40" t="str">
        <f t="shared" si="67"/>
        <v>L3</v>
      </c>
      <c r="FF40" t="str">
        <f t="shared" si="68"/>
        <v>L3</v>
      </c>
      <c r="FG40" cm="1">
        <f t="array" ref="FG40">IFERROR(IF(BX40=2,_xlfn.IFS(BR40=3,VLOOKUP(BN40,Справочная_двигатели,3,FALSE),BR40=1,VLOOKUP(BN40,Справочная_двигатели,5,TRUE)),0),0)</f>
        <v>0</v>
      </c>
      <c r="FH40">
        <f>IFERROR(IF(BX40=3,VLOOKUP(BN40,Справочная_ЛЭД,2,TRUE),0),0)</f>
        <v>50</v>
      </c>
      <c r="FI40" s="6">
        <f t="shared" si="69"/>
        <v>50</v>
      </c>
      <c r="FJ40" t="str" cm="1">
        <f t="array" ref="FJ40">IF(B40="","",IFERROR(INDEX({"I особая","I","II","III"},MATCH(TRIM(AC40&amp;""),{"I особая","I","II","III"},0)),"III"))</f>
        <v>III</v>
      </c>
      <c r="FK40" t="str">
        <f>IF(B40="","",IF(TRIM(AD40&amp;"")&lt;&gt;"",IF(LOWER(TRIM(AD40&amp;""))="да","да","нет"),IF(IFERROR(_xlfn.XLOOKUP(AX40,Коды_код,Коды_пожарная),"")="да","да","нет")))</f>
        <v>нет</v>
      </c>
      <c r="FL40" t="str">
        <f t="shared" si="70"/>
        <v/>
      </c>
      <c r="FM40" t="str">
        <f t="shared" si="71"/>
        <v>основная</v>
      </c>
      <c r="FN40">
        <f t="shared" si="72"/>
        <v>1</v>
      </c>
      <c r="FO40" t="str" cm="1">
        <f t="array" ref="FO40">IF(B40="","",_xlfn.LET(_xlpm.t,IFERROR(_xlfn.XLOOKUP(1,(Шины[Шина]=FM40)*(((Шины[Щит]=A40)+(Шины[Щит]=""))&gt;0),Шины[Тип]),"")&amp;"",IF(_xlpm.t&lt;&gt;"",_xlpm.t,IF(ISNUMBER(SEARCH("ИБП",FM40)),"ИБП",IF(ISNUMBER(SEARCH("ДГУ",FM40)),"ДГУ","Ввод "&amp;FN40)))))</f>
        <v>Ввод 1</v>
      </c>
      <c r="FP40" t="str">
        <f t="shared" si="73"/>
        <v>Ввод 1</v>
      </c>
      <c r="FQ40" t="str">
        <f>IF(B40="","",IF(OR(FO40="ИБП",FO40="ДГУ"),"I особая",IF(FO40="Одиночная","III",_xlfn.XLOOKUP(A40,Щиты[Щит],Щиты[Категория шины «Ввод»],"III"))))</f>
        <v>II</v>
      </c>
      <c r="FR40">
        <f>IF(B40="",0,IFERROR(MATCH(FJ40,{"III","II","I","I особая"},0),1))</f>
        <v>1</v>
      </c>
      <c r="FS40">
        <f t="shared" si="74"/>
        <v>1</v>
      </c>
      <c r="FT40" t="str">
        <f>IF(B40="","",IF(FR40&gt;IFERROR(MATCH(FQ40,{"III","II","I","I особая"},0),1),"НЕ ОБЕСПЕЧЕНА","ОК"))</f>
        <v>ОК</v>
      </c>
      <c r="FU40" t="str">
        <f>IF(A40="","",_xlfn.XLOOKUP(A40,Щиты[Щит],Щиты[Путь],""))</f>
        <v>|ГРЩ-ЖД|ЩГП|ЩО-001|</v>
      </c>
      <c r="FV40" t="str">
        <f>IF(B40="","",IF(AE40&lt;&gt;"",AE40,IF(IFERROR(_xlfn.XLOOKUP(AX40,Коды_код,Коды_вид)&amp;"","")="","Прочее",_xlfn.XLOOKUP(AX40,Коды_код,Коды_вид)&amp;"")))</f>
        <v>Рабочее освещение</v>
      </c>
      <c r="FW40" t="str">
        <f>IF(BH40="","",INT((BH40-1)/Столбцов_на_лист)+1)</f>
        <v/>
      </c>
      <c r="FX40" t="str">
        <f t="shared" si="75"/>
        <v>ВВГнг(А)-LS (3х1,5) L=66-0,38%</v>
      </c>
      <c r="FY40">
        <f t="shared" si="76"/>
        <v>0.1</v>
      </c>
      <c r="FZ40">
        <f t="shared" si="77"/>
        <v>0.46</v>
      </c>
      <c r="GA40">
        <f t="shared" si="78"/>
        <v>1</v>
      </c>
      <c r="GB40">
        <f t="shared" si="79"/>
        <v>0</v>
      </c>
      <c r="GC40">
        <f t="shared" si="80"/>
        <v>0</v>
      </c>
      <c r="GD40" t="str">
        <f>IF(BH40="","",IF(AND(CA40=1,GC40=1),COUNTIFS(A$3:A40,A40,CA$3:CA40,1,GC$3:GC40,1),IF(OR(OR(AW40=1,A40&lt;&gt;A39),AF40="вручную",GC40=0),"",IF(AW40=1,"",GE39))))</f>
        <v/>
      </c>
      <c r="GE40" t="str">
        <f t="shared" si="81"/>
        <v/>
      </c>
      <c r="GF40">
        <f>IF(B40="","",IFERROR(LOOKUP(INDEX(CHOOSE(DL40,Iдоп_1ж,Iдоп_2ж,Iдоп_3ж),MATCH(DX40,Iдоп_S,0))*DJ40*DK40,{6,10,16,20,25,32,40,50,63,80,100,125,160,200,250,315,400,500,630}),""))</f>
        <v>16</v>
      </c>
      <c r="GG40" t="str">
        <f t="shared" si="82"/>
        <v/>
      </c>
      <c r="GH40" t="str">
        <f t="shared" si="83"/>
        <v/>
      </c>
      <c r="GI40" t="str">
        <f t="shared" si="84"/>
        <v/>
      </c>
      <c r="GJ40">
        <f t="shared" si="85"/>
        <v>0</v>
      </c>
      <c r="GK40" t="str">
        <f>IF(OR(AG40="",AG40="-"),"",IFERROR(VLOOKUP(AG40,Модули_спр,2,FALSE),"R"))</f>
        <v/>
      </c>
      <c r="GL40" t="str">
        <f>IF(GK40="","",GK40&amp;"."&amp;COUNTIFS(A$3:A40,A40,GK$3:GK40,GK40))</f>
        <v/>
      </c>
      <c r="GM40" t="str">
        <f t="shared" si="86"/>
        <v/>
      </c>
      <c r="GN40" t="str">
        <f t="shared" si="87"/>
        <v/>
      </c>
      <c r="GO40" t="str">
        <f t="shared" si="88"/>
        <v/>
      </c>
      <c r="GP40" t="str">
        <f t="shared" si="89"/>
        <v/>
      </c>
      <c r="GQ40">
        <f t="shared" si="90"/>
        <v>1</v>
      </c>
      <c r="GR40" t="str">
        <f>IF(GQ40=1,"XT"&amp;COUNTIFS(A$3:A40,A40,GQ$3:GQ40,1),"")</f>
        <v>XT9</v>
      </c>
      <c r="GS40" t="str">
        <f t="shared" si="91"/>
        <v>XT9</v>
      </c>
      <c r="GT40" t="str">
        <f t="shared" si="92"/>
        <v/>
      </c>
      <c r="GU40" t="str">
        <f t="shared" si="93"/>
        <v/>
      </c>
      <c r="GV40" t="str">
        <f t="shared" si="94"/>
        <v>ok</v>
      </c>
      <c r="GW40" t="str">
        <f>IF(OR(GO40="",GM40=""),"",IF(GO40&gt;IFERROR(VLOOKUP(GN40,Модули_спр,3,FALSE),99),"ЛИШНИЙ КАНАЛ",IF(AND(AH40&lt;&gt;"=",COUNTIFS(Линии[_модуль гр.],GM40,Линии[Канал (итог)],GO40,Линии[Канал],"&lt;&gt;=",Линии[Щит],A40)&gt;1),"ДУБЛЬ КАНАЛА","")))</f>
        <v/>
      </c>
      <c r="GX40" s="6" t="str">
        <f t="shared" si="95"/>
        <v/>
      </c>
      <c r="GY40">
        <f t="shared" si="96"/>
        <v>10</v>
      </c>
      <c r="GZ40" t="str">
        <f t="shared" si="97"/>
        <v/>
      </c>
      <c r="HA40" t="str">
        <f>IF(AND(B40="",GT40=""),"",_xlfn.TEXTJOIN("; ",TRUE,IF(AND(B40&lt;&gt;"",FE40=""),"нет фазы",""),IF(AND(B40&lt;&gt;"",N(FY40)=0,EQ40&lt;&gt;"Нет"),"нет мощности",""),IF(AND(GS40&lt;&gt;"",COUNTIFS(Линии[Щит],A40,Линии[Клемма (итог)],GS40)&gt;1),"дубль клеммы "&amp;GS40,""),IF(AND(GV40&lt;&gt;"",GV40&lt;&gt;"ok"),GV40,""),IF(GW40&lt;&gt;"",GW40,""),IF(AND(N(BV40)&gt;=4,N(BR40)=1),BV40&amp;" жил на 1 фазе",""),IF(AND(AX40="R",CA40=1,OR(N(CK40)=0,N(CK40)&gt;30)),"розетка без дифзащиты до 30 мА",""),IFERROR(IF(AND(ISNUMBER(R40),R40&gt;DV40),"потери "&amp;FIXED(R40,1)&amp;" % &gt; "&amp;DV40&amp;" %",""),""),IFERROR(IF(LEFT(GZ40,4)="мало","Iкз мало — отключение &gt; 0,4 с",""),""),IF(AND(B40&lt;&gt;"",BH40=""),"не на схеме",""),IF(AND(CA40=0,B40&lt;&gt;"",FE40&lt;&gt;"",IF(AW40=1,"",FF39)&lt;&gt;"",FE40&lt;&gt;IF(AW40=1,"",FF39)),"фаза не как у автомата группы ("&amp;IF(AW40=1,"",FF39)&amp;")","")))</f>
        <v>не на схеме</v>
      </c>
      <c r="HB40" s="6">
        <f>IF(OR(CA40=0,DA40=""),"",_xlfn.LET(_xlpm.t,IFERROR(_xlfn.XLOOKUP(DA40,Каталог!$U$4:$U$500,Каталог!$G$4:$G$500),""),_xlpm.k,SEARCH("кА",_xlpm.t),IFERROR(--TRIM(RIGHT(SUBSTITUTE(MID(_xlpm.t,MAX(1,_xlpm.k-4),_xlpm.k-MAX(1,_xlpm.k-4))," ",REPT(" ",9)),5)),"")))</f>
        <v>6</v>
      </c>
      <c r="HC40" t="str">
        <f>IF(OR(HB40="",CA40=0),"",IF(_xlfn.XLOOKUP(A40,Щиты[Щит],Щиты[Iкз max на шинах, кА],"")="","",IF(HB40&lt;_xlfn.XLOOKUP(A40,Щиты[Щит],Щиты[Iкз max на шинах, кА]),"Icu "&amp;HB40&amp;" кА &lt; Iкз max","ok")))</f>
        <v/>
      </c>
      <c r="HD40" t="str">
        <f t="shared" si="98"/>
        <v/>
      </c>
      <c r="HE40" t="str">
        <f t="shared" si="99"/>
        <v/>
      </c>
      <c r="HF40" t="str">
        <f t="shared" si="100"/>
        <v/>
      </c>
      <c r="HG40" t="str" cm="1">
        <f t="array" ref="HG40">IF(HF40="","",_xlfn.LET(_xlpm.nd,_xlfn.TEXTSPLIT(HF40,"|"),IF(COLUMNS(_xlpm.nd)&gt;1,A40&amp;"¦"&amp;INDEX(_xlpm.nd,1)&amp;"¦"&amp;INDEX(_xlpm.nd,2),"")))</f>
        <v/>
      </c>
      <c r="HH40" t="str">
        <f t="shared" si="101"/>
        <v/>
      </c>
      <c r="HI40" t="str" cm="1">
        <f t="array" ref="HI40">IF(HF40="","",_xlfn.LET(_xlpm.nd,_xlfn.TEXTSPLIT(HF40,"|"),IF(COLUMNS(_xlpm.nd)&gt;2,A40&amp;"¦"&amp;INDEX(_xlpm.nd,2)&amp;"¦"&amp;INDEX(_xlpm.nd,3),"")))</f>
        <v/>
      </c>
      <c r="HJ40" t="str">
        <f t="shared" si="102"/>
        <v/>
      </c>
      <c r="HK40" t="str" cm="1">
        <f t="array" ref="HK40">IF(HF40="","",_xlfn.LET(_xlpm.nd,_xlfn.TEXTSPLIT(HF40,"|"),IF(COLUMNS(_xlpm.nd)&gt;3,A40&amp;"¦"&amp;INDEX(_xlpm.nd,3)&amp;"¦"&amp;INDEX(_xlpm.nd,4),"")))</f>
        <v/>
      </c>
      <c r="HL40" t="str">
        <f t="shared" si="103"/>
        <v/>
      </c>
      <c r="HM40" t="str" cm="1">
        <f t="array" ref="HM40">IF(HF40="","",_xlfn.LET(_xlpm.nd,_xlfn.TEXTSPLIT(HF40,"|"),IF(COLUMNS(_xlpm.nd)&gt;4,A40&amp;"¦"&amp;INDEX(_xlpm.nd,4)&amp;"¦"&amp;INDEX(_xlpm.nd,5),"")))</f>
        <v/>
      </c>
      <c r="HN40" t="str">
        <f t="shared" si="104"/>
        <v/>
      </c>
      <c r="HO40" t="str" cm="1">
        <f t="array" ref="HO40">IF(HF40="","",_xlfn.LET(_xlpm.nd,_xlfn.TEXTSPLIT(HF40,"|"),IF(COLUMNS(_xlpm.nd)&gt;5,A40&amp;"¦"&amp;INDEX(_xlpm.nd,5)&amp;"¦"&amp;INDEX(_xlpm.nd,6),"")))</f>
        <v/>
      </c>
      <c r="HP40" t="str">
        <f t="shared" si="105"/>
        <v/>
      </c>
      <c r="HQ40" t="str" cm="1">
        <f t="array" ref="HQ40">IF(HF40="","",_xlfn.LET(_xlpm.nd,_xlfn.TEXTSPLIT(HF40,"|"),IF(COLUMNS(_xlpm.nd)&gt;6,A40&amp;"¦"&amp;INDEX(_xlpm.nd,6)&amp;"¦"&amp;INDEX(_xlpm.nd,7),"")))</f>
        <v/>
      </c>
      <c r="HR40" t="str">
        <f t="shared" si="106"/>
        <v/>
      </c>
      <c r="HS40" t="str">
        <f t="shared" si="107"/>
        <v/>
      </c>
      <c r="HT40" t="str">
        <f t="shared" si="108"/>
        <v>XT9</v>
      </c>
      <c r="HU40">
        <f t="shared" si="109"/>
        <v>0</v>
      </c>
      <c r="HV40">
        <f t="shared" si="110"/>
        <v>0</v>
      </c>
      <c r="HW40" t="str">
        <f t="shared" si="111"/>
        <v/>
      </c>
      <c r="HX40" t="str">
        <f t="shared" si="112"/>
        <v/>
      </c>
      <c r="HY40" t="str">
        <f t="shared" si="113"/>
        <v/>
      </c>
      <c r="HZ40" t="str">
        <f t="shared" si="114"/>
        <v/>
      </c>
      <c r="IA40" t="str">
        <f>IF(B40="","",IFERROR(VLOOKUP(B40,УГО_спр,2,FALSE),IFERROR(VLOOKUP(AX40,УГО_спр,2,FALSE),IFERROR(VLOOKUP(LEFT(AX40,2),УГО_спр,2,FALSE),""))))</f>
        <v>Светильник</v>
      </c>
      <c r="IB40" t="str">
        <f>IF(B40="","",IF(OR(IA40="",IA40=0),"BOX",IFERROR(IF(VLOOKUP(IA40,УГО_блоки,3,FALSE)&amp;""&lt;&gt;"",VLOOKUP(IA40,УГО_блоки,3,FALSE),VLOOKUP(IA40,УГО_блоки,2,FALSE)),IA40)))</f>
        <v>LAMP</v>
      </c>
      <c r="IC40">
        <f t="shared" si="115"/>
        <v>1</v>
      </c>
      <c r="ID40" t="str">
        <f>IF(DA40="","",IF(COUNTIF(DA$3:DA40,DA40)=1,MAX(ID$2:ID39)+1,""))</f>
        <v/>
      </c>
      <c r="IE40" t="str">
        <f>IF(CO40="","",IF(COUNTIF(CO$3:CO40,CO40)+COUNTIF(CP$2:CP39,CO40)+COUNTIF(CQ$2:CQ39,CO40)=1,MAX(IE$2:IG39)+1,""))</f>
        <v/>
      </c>
      <c r="IF40" t="str">
        <f>IF(CP40="","",IF(COUNTIF(CO$3:CO40,CP40)+COUNTIF(CP$3:CP40,CP40)+COUNTIF(CQ$2:CQ39,CP40)=1,MAX(IE$2:IG39,IE40)+1,""))</f>
        <v/>
      </c>
      <c r="IG40" t="str">
        <f>IF(CQ40="","",IF(COUNTIF(CO$3:CO40,CQ40)+COUNTIF(CP$3:CP40,CQ40)+COUNTIF(CQ$3:CQ40,CQ40)=1,MAX(IE$2:IG39,IE40,IF40)+1,""))</f>
        <v/>
      </c>
      <c r="IH40" t="str">
        <f t="shared" si="116"/>
        <v>3х1,5</v>
      </c>
      <c r="II40" t="str">
        <f>IF(IH40="","",IF(COUNTIF(IH$3:IH40,IH40)=1,MAX(II$2:II39)+1,""))</f>
        <v/>
      </c>
      <c r="IJ40" t="str">
        <f>IF(GL40="","",COUNTIF(GL$3:GL40,"?*"))</f>
        <v/>
      </c>
      <c r="IK40" t="str">
        <f>IF(OR(GL40="",GN40=""),"",IF(COUNTIFS(GL$3:GL40,"?*",GN$3:GN40,GN40)=1,MAX(IK$2:IK39)+1,""))</f>
        <v/>
      </c>
      <c r="IL40">
        <f t="shared" si="117"/>
        <v>1</v>
      </c>
      <c r="IM40">
        <f>IF(B40="","",COUNTIF(B$3:B40,"?*"))</f>
        <v>38</v>
      </c>
      <c r="IN40">
        <f>IF(GQ40&lt;&gt;1,0,_xlfn.LET(_xlpm.k,MAX(IFERROR(--VLOOKUP(B40,УГО_спр,5,FALSE),0),IFERROR(--VLOOKUP(AX40,УГО_спр,5,FALSE),0),IFERROR(--VLOOKUP(LEFT(AX40,2),УГО_спр,5,FALSE),0)),IF(_xlpm.k&gt;0,_xlpm.k,IF(IFERROR(--LEFT(SUBSTITUTE(IH40,"x","х"),FIND("х",SUBSTITUTE(IH40,"x","х"))-1),3)&gt;3,Каталог!$S$9,1))))</f>
        <v>1</v>
      </c>
      <c r="IO40">
        <f t="shared" si="118"/>
        <v>0</v>
      </c>
      <c r="IP40" t="str">
        <f t="shared" si="119"/>
        <v>авто</v>
      </c>
      <c r="IQ40" t="str">
        <f t="shared" si="120"/>
        <v/>
      </c>
      <c r="IR40">
        <f t="shared" si="121"/>
        <v>0</v>
      </c>
      <c r="IS40">
        <f t="shared" si="122"/>
        <v>1</v>
      </c>
    </row>
    <row r="41" spans="1:253" x14ac:dyDescent="0.3">
      <c r="A41" t="s">
        <v>1104</v>
      </c>
      <c r="B41" t="s">
        <v>1314</v>
      </c>
      <c r="C41" t="str">
        <f>Линии[[#This Row],[_авто наименование]]</f>
        <v>Осветительная группа, пом. 004Т</v>
      </c>
      <c r="D41">
        <v>5</v>
      </c>
      <c r="E41">
        <v>0.1</v>
      </c>
      <c r="G41" t="str">
        <f>Линии[[#This Row],[_авто автомат]]</f>
        <v>1P С10А</v>
      </c>
      <c r="H41" t="str">
        <f>Линии[[#This Row],[_авто утечка]]</f>
        <v/>
      </c>
      <c r="I41" t="str">
        <f>Линии[[#This Row],[_авто управление]]</f>
        <v/>
      </c>
      <c r="J41" t="str">
        <f>Линии[[#This Row],[_авто аппараты]]</f>
        <v/>
      </c>
      <c r="K41">
        <v>1.5</v>
      </c>
      <c r="L41">
        <v>10</v>
      </c>
      <c r="M41" t="str">
        <f>Линии[[#This Row],[_авто фаза]]</f>
        <v>L1</v>
      </c>
      <c r="N41" t="str">
        <f>Линии[[#This Row],[_авто клемма]]</f>
        <v>XT10</v>
      </c>
      <c r="O41" t="str">
        <f t="shared" si="0"/>
        <v>не на схеме</v>
      </c>
      <c r="P41" s="6" cm="1">
        <f t="array" ref="P41">IF(B41="","",IF(BC41&lt;&gt;"",IFERROR(_xlfn.XLOOKUP(BC41,Щиты[Щит],Щиты[Iр, А]),""),IF(BK41=1,IFERROR(_xlfn.XLOOKUP(A41,Щиты[Щит],Щиты[Iр, А]),""),IFERROR(_xlfn.IFS(BR41=1,BN41/((Uн_лин/SQRT(3))*BY41),BR41=3,BN41/(SQRT(3)*Uн_лин*BY41)),""))))</f>
        <v>0.455802844097073</v>
      </c>
      <c r="Q41" s="7">
        <f>IF(B41="","",IFERROR(IF(VLOOKUP(AX41,Потребители_обозначение,4,FALSE)=1,VLOOKUP(AX41,Потребители_обозначение,3,FALSE)*(D41*2-1)+DS41+VLOOKUP(AZ41,Этаж_обозначение,3,FALSE)+VLOOKUP(AZ41,Этаж_обозначение,4,FALSE),VLOOKUP(AX41,Потребители_обозначение,3,FALSE)*(D41*2-1)+DS41),DS41))</f>
        <v>19</v>
      </c>
      <c r="R41" s="6">
        <f t="shared" si="1"/>
        <v>0.28000000000000003</v>
      </c>
      <c r="S41" t="str">
        <f t="shared" si="2"/>
        <v>ВВГнг(А)-LS (3х1,5)</v>
      </c>
      <c r="T41" t="str">
        <f>IF(BH41="","",IF(BI41="вводной узел","узел ","")&amp;"л."&amp;(INT((BH41-1)/Столбцов_на_лист)+1)&amp;" / "&amp;(MOD(BH41-1,Столбцов_на_лист)+1))</f>
        <v/>
      </c>
      <c r="V41">
        <v>1</v>
      </c>
      <c r="W41">
        <v>230</v>
      </c>
      <c r="X41" t="s">
        <v>564</v>
      </c>
      <c r="AE41" t="s">
        <v>557</v>
      </c>
      <c r="AI41" t="s">
        <v>529</v>
      </c>
      <c r="AJ41" t="s">
        <v>11</v>
      </c>
      <c r="AK41">
        <v>3</v>
      </c>
      <c r="AM41">
        <v>10</v>
      </c>
      <c r="AN41">
        <v>0</v>
      </c>
      <c r="AO41">
        <v>15</v>
      </c>
      <c r="AW41" cm="1">
        <f t="array" ref="AW41">ROW()-ROW(Линии[#Headers])</f>
        <v>39</v>
      </c>
      <c r="AX41" s="6" t="str">
        <f t="shared" si="3"/>
        <v>L</v>
      </c>
      <c r="AY41" t="str">
        <f t="shared" si="4"/>
        <v>00.004Т.1</v>
      </c>
      <c r="AZ41" t="str">
        <f t="shared" si="5"/>
        <v>00</v>
      </c>
      <c r="BA41" t="str">
        <f t="shared" si="6"/>
        <v>004Т.1</v>
      </c>
      <c r="BB41" t="str">
        <f t="shared" si="7"/>
        <v>004Т</v>
      </c>
      <c r="BC41" t="str">
        <f>IF(U41&lt;&gt;"",U41,IF(AND(B41&lt;&gt;"",B41&lt;&gt;A41,ISNUMBER(_xlfn.XMATCH(B41,Щиты[Щит]))),B41,""))</f>
        <v/>
      </c>
      <c r="BD41" t="str" cm="1">
        <f t="array" ref="BD41">IF(B41="","",IF(BC41&lt;&gt;"","Щит "&amp;BC41,_xlfn.LET(_xlpm.nm,IFERROR(_xlfn.XLOOKUP(AX41,Коды_код,Коды_имя)&amp;"",""),_xlpm.md,IFERROR(N(_xlfn.XLOOKUP(AX41,Коды_код,Коды_режим)),1),_xlpm.ex,IF(Имя_режим="по экспликации",IFERROR(_xlfn.XLOOKUP(AZ41&amp;"|"&amp;BB41,Экспликация[Этаж]&amp;"|"&amp;Экспликация[Помещение],Экспликация[Название])&amp;"",""),""),_xlpm.rm,IF(BB41="","",IF(_xlpm.ex&lt;&gt;"",". "&amp;_xlpm.ex&amp;IF(Имя_пом="нет"," ("&amp;BB41&amp;")"," (пом. "&amp;BB41&amp;")"),IF(Имя_пом="нет"," ",", пом. ")&amp;BB41)),IF(_xlpm.nm="","",IF(_xlpm.md=2,_xlpm.nm&amp;" шлейф "&amp;AZ41,_xlpm.nm&amp;_xlpm.rm)))))</f>
        <v>Осветительная группа, пом. 004Т</v>
      </c>
      <c r="BE41" t="str">
        <f t="shared" si="8"/>
        <v>Осветительная группа, пом. 004Т</v>
      </c>
      <c r="BF41">
        <f>IFERROR(_xlfn.XMATCH(A41,Щиты[Щит]),0)</f>
        <v>3</v>
      </c>
      <c r="BG41">
        <f>_xlfn.LET(_xlpm.k,IFERROR(_xlfn.XLOOKUP(A41,Щиты[Щит],Щиты[Листов под вводной узел]),""),IF(_xlpm.k="",1,N(_xlpm.k))*Столбцов_на_лист)</f>
        <v>17</v>
      </c>
      <c r="BH41" t="str">
        <f t="shared" si="9"/>
        <v/>
      </c>
      <c r="BI41" t="str">
        <f t="shared" si="10"/>
        <v/>
      </c>
      <c r="BJ41" s="6">
        <f>IFERROR(N(_xlfn.XLOOKUP(AX41,Коды_код,Коды_квт)),0)</f>
        <v>0</v>
      </c>
      <c r="BK41">
        <f t="shared" si="11"/>
        <v>0</v>
      </c>
      <c r="BL41" t="str">
        <f>IF(B41="","",IF(BC41&lt;&gt;"",IFERROR(_xlfn.XLOOKUP(BC41,Щиты[Щит],Щиты[Руст, кВт]),0),IF(BK41=1,IFERROR(_xlfn.XLOOKUP(A41,Щиты[Щит],Щиты[Руст, кВт]),0),IF(BJ41&gt;0,ROUND(BJ41*MAX(1,N(D41)),3),""))))</f>
        <v/>
      </c>
      <c r="BM41">
        <f t="shared" si="12"/>
        <v>0.1</v>
      </c>
      <c r="BN41" s="6">
        <f>IF(B41="","",IF(BC41&lt;&gt;"",IFERROR(_xlfn.XLOOKUP(BC41,Щиты[Щит],Щиты[Руст, кВт]),0),N(BM41)))</f>
        <v>0.1</v>
      </c>
      <c r="BO41" t="str">
        <f>IF(B41="","",IFERROR(IF(VLOOKUP(AX41,Потребители_обозначение,8,FALSE)=0,"",VLOOKUP(AX41,Потребители_обозначение,8,FALSE)),""))</f>
        <v/>
      </c>
      <c r="BP41">
        <f t="shared" si="13"/>
        <v>230</v>
      </c>
      <c r="BQ41">
        <f>IF(B41="","",IF(BC41&lt;&gt;"",3,IFERROR(IF(N(VLOOKUP(AX41,Потребители_обозначение,9,FALSE))=0,1,VLOOKUP(AX41,Потребители_обозначение,9,FALSE)),1)))</f>
        <v>1</v>
      </c>
      <c r="BR41">
        <f t="shared" si="14"/>
        <v>1</v>
      </c>
      <c r="BS41" t="str">
        <f>IF(B41="","",_xlfn.LET(_xlpm.bc,IFERROR(IF(VLOOKUP(AX41,Потребители_обозначение,6,FALSE)=0,"",VLOOKUP(AX41,Потребители_обозначение,6,FALSE)&amp;""),""),IF(AND(FK41="да",OR(_xlpm.bc="",_xlpm.bc="мс")),Марка_пож,IF(AND(_xlpm.bc="",BC41&lt;&gt;""),"мс",_xlpm.bc))))</f>
        <v/>
      </c>
      <c r="BT41" t="str">
        <f t="shared" si="15"/>
        <v>мс</v>
      </c>
      <c r="BU41">
        <f>IF(B41="","",_xlfn.LET(_xlpm.cc,IFERROR(N(VLOOKUP(AX41,Потребители_обозначение,7,FALSE)),0),IF(_xlpm.cc&gt;0,_xlpm.cc,IF(BT41="","",IF(N(BR41)=3,5,3)))))</f>
        <v>3</v>
      </c>
      <c r="BV41">
        <f t="shared" si="16"/>
        <v>3</v>
      </c>
      <c r="BW41">
        <f>IFERROR(N(VLOOKUP(AX41,Потребители_обозначение,10,FALSE)),0)</f>
        <v>0</v>
      </c>
      <c r="BX41">
        <f>IFERROR(VLOOKUP(AX41,Потребители_обозначение,5,FALSE),0)</f>
        <v>3</v>
      </c>
      <c r="BY41" s="6" cm="1">
        <f t="array" ref="BY41">IF(B41="","",IF(BC41&lt;&gt;"",IFERROR(_xlfn.XLOOKUP(BC41,Щиты[Щит],Щиты[cos φ]),0.95),IF(BK41=1,IFERROR(_xlfn.XLOOKUP(A41,Щиты[Щит],Щиты[cos φ]),0.95),IF(ISNUMBER(Z41),Z41,IFERROR(IF(BX41=2,_xlfn.IFS(BR41=3,VLOOKUP(BN41,Справочная_двигатели,8,FALSE),BR41=1,VLOOKUP(BN41,Справочная_двигатели,10,TRUE)),IF(AND(Методика="нормы 2026",EQ41="Сил"),0.8,0.95)),0.95)))))</f>
        <v>0.95</v>
      </c>
      <c r="BZ41">
        <f t="shared" si="17"/>
        <v>0</v>
      </c>
      <c r="CA41">
        <f t="shared" si="18"/>
        <v>1</v>
      </c>
      <c r="CB41">
        <f t="shared" si="19"/>
        <v>0</v>
      </c>
      <c r="CC41">
        <f t="shared" si="20"/>
        <v>0</v>
      </c>
      <c r="CD41">
        <f t="shared" si="21"/>
        <v>0</v>
      </c>
      <c r="CE41">
        <f t="shared" si="22"/>
        <v>0</v>
      </c>
      <c r="CF41">
        <f t="shared" si="23"/>
        <v>0</v>
      </c>
      <c r="CG41">
        <f>IF(AX41="",0,_xlfn.LET(_xlpm.v,IFERROR(VLOOKUP(B41,УГО_спр,3,FALSE),IFERROR(VLOOKUP(AX41,УГО_спр,3,FALSE),IFERROR(VLOOKUP(LEFT(AX41,2),УГО_спр,3,FALSE),""))),IF(_xlpm.v="да",30,IF(ISNUMBER(_xlpm.v),_xlpm.v,0))))</f>
        <v>0</v>
      </c>
      <c r="CH41" t="str">
        <f t="shared" si="24"/>
        <v/>
      </c>
      <c r="CI41" t="str">
        <f>_xlfn.LET(_xlpm.k,IFERROR(_xlfn.XLOOKUP(AX41,Коды_код,Коды_утечка)&amp;"",""),IF(_xlpm.k="","дифавтомат",_xlpm.k))</f>
        <v>дифавтомат</v>
      </c>
      <c r="CJ41">
        <f t="shared" si="25"/>
        <v>0</v>
      </c>
      <c r="CK41">
        <f t="shared" si="26"/>
        <v>0</v>
      </c>
      <c r="CL41">
        <f>IF(B41="",0,IFERROR(--VLOOKUP(B41,УГО_спр,4,FALSE),IFERROR(--VLOOKUP(AX41,УГО_спр,4,FALSE),IFERROR(--VLOOKUP(LEFT(AX41,2),УГО_спр,4,FALSE),0))))</f>
        <v>10</v>
      </c>
      <c r="CM41" t="str">
        <f>IF(B41="","",IFERROR(_xlfn.XLOOKUP(AX41,Коды_код,Коды_апп)&amp;"",""))</f>
        <v/>
      </c>
      <c r="CN41" t="str">
        <f t="shared" si="27"/>
        <v/>
      </c>
      <c r="CO41" t="str" cm="1">
        <f t="array" ref="CO41">IF(TRIM(CN41&amp;"")="","",IFERROR(TRIM(INDEX(_xlfn.TEXTSPLIT(CN41&amp;";;;",";"),1)),""))</f>
        <v/>
      </c>
      <c r="CP41" t="str" cm="1">
        <f t="array" ref="CP41">IF(TRIM(CN41&amp;"")="","",IFERROR(TRIM(INDEX(_xlfn.TEXTSPLIT(CN41&amp;";;;",";"),2)),""))</f>
        <v/>
      </c>
      <c r="CQ41" t="str" cm="1">
        <f t="array" ref="CQ41">IF(TRIM(CN41&amp;"")="","",IFERROR(TRIM(INDEX(_xlfn.TEXTSPLIT(CN41&amp;";;;",";"),3)),""))</f>
        <v/>
      </c>
      <c r="CR41">
        <f t="shared" si="28"/>
        <v>0</v>
      </c>
      <c r="CS41" t="str">
        <f>IF(B41="","",_xlfn.LET(_xlpm.t,LOWER(AV41&amp;""),IF(ISNUMBER(SEARCH("dim",_xlpm.t)),"DIM",IF(ISNUMBER(SEARCH("dali",_xlpm.t)),"DALI",IF(OR(ISNUMBER(SEARCH("relay",_xlpm.t)),ISNUMBER(SEARCH("реле",_xlpm.t))),"Relay",IF(ISNUMBER(SEARCH("кнопк",_xlpm.t)),"",IFERROR(_xlfn.XLOOKUP(AX41,Коды_код,Коды_упр)&amp;"","")))))))</f>
        <v/>
      </c>
      <c r="CT41" t="str">
        <f t="shared" si="29"/>
        <v/>
      </c>
      <c r="CU41">
        <f>IF(B41="","",_xlfn.LET(_xlpm.ig,N(P41)+IF(AF41="вручную",0,N(CB41)),_xlpm.n0,IFERROR(VLOOKUP(_xlpm.ig,Автомат_номиналы,2,TRUE),0),_xlpm.mn,MAX(CL41,IF(AF41="вручную",0,N(CE41))),MAX(_xlpm.n0,_xlpm.mn,IF(CR41=1,Мин_автомат_БП,0))))</f>
        <v>10</v>
      </c>
      <c r="CV41">
        <f t="shared" si="30"/>
        <v>1</v>
      </c>
      <c r="CW41" t="str">
        <f t="shared" si="31"/>
        <v>1P</v>
      </c>
      <c r="CX41" t="str">
        <f>_xlfn.LET(_xlpm.cc,UPPER(TRIM(IFERROR(_xlfn.XLOOKUP(AX41,Коды_код,Коды_хар)&amp;"",""))),IF(OR(_xlpm.cc="B",_xlpm.cc="В"),"B",IF(_xlpm.cc="D","D","С")))</f>
        <v>С</v>
      </c>
      <c r="CY41" t="str">
        <f t="shared" si="32"/>
        <v>1P С10А</v>
      </c>
      <c r="CZ41" t="str">
        <f t="shared" si="33"/>
        <v>1P С10А</v>
      </c>
      <c r="DA41" t="str">
        <f t="shared" si="34"/>
        <v>1P С10А</v>
      </c>
      <c r="DB41" cm="1">
        <f t="array" ref="DB41">IF(DA41="","",_xlfn.LET(_xlpm.t,SUBSTITUTE(SUBSTITUTE(SUBSTITUTE(UPPER(DA41),"С","C"),"А","A"),"В","B"),_xlpm.tk,_xlfn.TEXTSPLIT(_xlpm.t,"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1" t="str">
        <f t="shared" si="35"/>
        <v>ok</v>
      </c>
      <c r="DD41">
        <f t="shared" si="36"/>
        <v>10</v>
      </c>
      <c r="DE41" t="str">
        <f t="shared" si="37"/>
        <v>1P С10А</v>
      </c>
      <c r="DF41">
        <f t="shared" si="38"/>
        <v>0</v>
      </c>
      <c r="DG41">
        <f t="shared" si="39"/>
        <v>0</v>
      </c>
      <c r="DH41">
        <f t="shared" si="40"/>
        <v>0</v>
      </c>
      <c r="DI41">
        <f t="shared" si="41"/>
        <v>0.455802844097073</v>
      </c>
      <c r="DJ41">
        <f t="shared" si="42"/>
        <v>1</v>
      </c>
      <c r="DK41">
        <f>IF(ISNUMBER(AL41),AL41,К_прокл)</f>
        <v>1</v>
      </c>
      <c r="DL41">
        <f t="shared" si="43"/>
        <v>2</v>
      </c>
      <c r="DM41">
        <f>IFERROR(N(VLOOKUP(BT41,Кабель_обозначение,3,FALSE)),1)</f>
        <v>1</v>
      </c>
      <c r="DN41">
        <f>IFERROR(N(_xlfn.XLOOKUP(A41,Щиты[Щит],Щиты[ΔU до шин, %])),0)</f>
        <v>0.17</v>
      </c>
      <c r="DO41" t="str">
        <f>IFERROR(_xlfn.XLOOKUP(A41,Щиты[Щит],Щиты[Zпетли на шинах, Ом]),"")</f>
        <v/>
      </c>
      <c r="DP41">
        <f>IFERROR(N(_xlfn.XLOOKUP(A41,Щиты[Щит],Щиты[ΔU до шин (подбор), %])),0)</f>
        <v>0.65</v>
      </c>
      <c r="DQ41" t="str">
        <f>IFERROR(_xlfn.XLOOKUP(A41,Щиты[Щит],Щиты[Zпетли на шинах (подбор), Ом]),"")</f>
        <v/>
      </c>
      <c r="DR41" t="str">
        <f t="shared" si="44"/>
        <v/>
      </c>
      <c r="DS41">
        <f t="shared" si="45"/>
        <v>10</v>
      </c>
      <c r="DT41">
        <f t="shared" si="46"/>
        <v>2</v>
      </c>
      <c r="DU41">
        <f t="shared" si="47"/>
        <v>0.31</v>
      </c>
      <c r="DV41" s="6">
        <f>IF(B41="","",IF(IFERROR(VLOOKUP(AX41,УГО_спр,2,FALSE),"")="Светильник",3,4)+IF(Методика="нормы 2026",MIN(0.5,MAX(0,N(Q41)-100)*0.005),0))</f>
        <v>3</v>
      </c>
      <c r="DW41" cm="1">
        <f t="array" ref="DW41">IF(OR(B41="",BT41="",DM41&lt;&gt;1),"",_xlfn.LET(_xlpm.sz,Iдоп_S,_xlpm.t_,CHOOSE(DL41,Iдоп_1ж,Iдоп_2ж,Iдоп_3ж)*DJ41*DK41,_xlpm.inn,N(DD41),_xlpm.smin,MAX(1.5,BW41),_xlpm.L_,N(Q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41)*(_xlpm.rho*_xlpm.L_/_xlpm.sz*N(BY41)+_xlpm.xx*_xlpm.L_*N(DU41)/1000)*N(P41)/((Uн_лин/SQRT(3))*1000)*100,999),_xlpm.kz,IF(OR(DG41=1,NOT(ISNUMBER(DQ41)),_xlpm.L_=0,_xlpm.inn=0),1,IFERROR(--(c_min*(Uн_лин*1000/SQRT(3))/(DQ41+2*ρкз_Cu*_xlpm.L_/_xlpm.sz)&gt;=GY41*_xlpm.inn),0)),_xlpm.ok,IFERROR((_xlpm.sz&gt;=_xlpm.smin)*(_xlpm.t_&gt;=_xlpm.inn)*IF(_xlpm.L_&gt;0,(_xlpm.du_+DP41&lt;=DV41+0.00001),1)*_xlpm.kz,0),_xlpm.r_,_xlfn._xlws.FILTER(_xlpm.sz,_xlpm.ok,"не подобрано"),INDEX(_xlpm.r_,1)))</f>
        <v>1.5</v>
      </c>
      <c r="DX41">
        <f t="shared" si="48"/>
        <v>1.5</v>
      </c>
      <c r="DY41" cm="1">
        <f t="array" ref="DY41">IF(OR(B41="",BT41="",DM41&lt;&gt;1),"",_xlfn.LET(_xlpm.sz,Iдоп_S,_xlpm.t_,CHOOSE(DL41,Iдоп_1ж,Iдоп_2ж,Iдоп_3ж)*DJ41*DK41,_xlpm.ok,IFERROR((_xlpm.sz&gt;=MAX(1.5,BW41))*(_xlpm.t_&gt;=N(DD41)),0),_xlpm.r_,_xlfn._xlws.FILTER(_xlpm.sz,_xlpm.ok,""),INDEX(_xlpm.r_,1)))</f>
        <v>1.5</v>
      </c>
      <c r="DZ41" s="6" cm="1">
        <f t="array" ref="DZ41">IFERROR(ROUNDUP(N(DT41)*(_xlfn.XLOOKUP(DY41,INDEX(Кабель_сопротивление,0,1),INDEX(Кабель_сопротивление,0,3))*N(Q41)/DY41*N(BY41)+_xlfn.XLOOKUP(DY41,INDEX(Кабель_сопротивление,0,1),INDEX(Кабель_сопротивление,0,2))*N(Q41)*N(DU41)/1000)*N(P41)/((Uн_лин/SQRT(3))*1000)*100,2),"")</f>
        <v>0.11</v>
      </c>
      <c r="EA41">
        <f>IFERROR(2*ρкз_Cu*N(Q41)/DY41,"")</f>
        <v>0.66626666666666667</v>
      </c>
      <c r="EB41">
        <f>IFERROR(VLOOKUP(DX41,Кабель_сопротивление,3,FALSE),"")</f>
        <v>2.2499999999999999E-2</v>
      </c>
      <c r="EC41">
        <f>IFERROR(VLOOKUP(DX41,Кабель_сопротивление,2,FALSE),"")</f>
        <v>0.11</v>
      </c>
      <c r="ED41">
        <f t="shared" si="49"/>
        <v>0</v>
      </c>
      <c r="EE41">
        <f t="shared" si="50"/>
        <v>15</v>
      </c>
      <c r="EF41">
        <f t="shared" si="51"/>
        <v>0.24740786940394599</v>
      </c>
      <c r="EG41" s="6">
        <f>IFERROR(ROUNDUP(EF41/((Uн_лин/SQRT(3))*1000)*100,2),"")</f>
        <v>0.11</v>
      </c>
      <c r="EH41" t="str">
        <f>IFERROR(VLOOKUP(BT41,Кабель_обозначение,2,FALSE),"")</f>
        <v>ВВГнг(А)-LS</v>
      </c>
      <c r="EI41" t="str">
        <f t="shared" si="52"/>
        <v>ВВГнг(А)-LS (3х1,5)</v>
      </c>
      <c r="EJ41" t="str">
        <f t="shared" si="53"/>
        <v>ВВГнг(А)-LS (3х1,5)
L=19-0,11%</v>
      </c>
      <c r="EK41">
        <f>IFERROR(2*ρкз_Cu*Q41/DX41,"")</f>
        <v>0.66626666666666667</v>
      </c>
      <c r="EL41">
        <f t="shared" si="54"/>
        <v>0.22166666666666668</v>
      </c>
      <c r="EM41" s="6" t="str">
        <f>IFERROR(IF(OR(B41="",NOT(ISNUMBER(DX41)),N(Q41)=0),"",_xlfn.XLOOKUP(A41,Щиты[Щит],Щиты[Zпетли на шинах, Ом])+EK41),"")</f>
        <v/>
      </c>
      <c r="EN41" s="6" t="str">
        <f>IF(ISNUMBER(EM41),c_min*(Uн_лин*1000/SQRT(3))/EM41,"")</f>
        <v/>
      </c>
      <c r="EO41" s="6" t="str">
        <f>IFERROR(IF(OR(B41="",NOT(ISNUMBER(DX41))),"",1.05*(Uн_лин*1000/SQRT(3))/(_xlfn.XLOOKUP(A41,Щиты[Щит],Щиты[Zmax на шинах, Ом])+EL41)/1000),"")</f>
        <v/>
      </c>
      <c r="EP41" s="6" t="str">
        <f>IF(B41="","",IF(ISNUMBER(Y41),"Сил",IF(IFERROR(_xlfn.XLOOKUP(AX41,Коды_код,Коды_группа)&amp;"","")="","Быт",_xlfn.XLOOKUP(AX41,Коды_код,Коды_группа)&amp;"")))</f>
        <v>Быт</v>
      </c>
      <c r="EQ41" s="6" t="str">
        <f t="shared" si="55"/>
        <v>Быт</v>
      </c>
      <c r="ER41" s="6">
        <f>IF(EQ41="Щит","щит",IF(EQ41="","",IF(EQ41="Быт",IFERROR(_xlfn.XLOOKUP(A41,Щиты[Щит],Щиты[Кс быт]),1),IF(EQ41="Сил",IF(ISNUMBER(Y41),Y41,IF(Методика="нормы 2026",IFERROR(_xlfn.XLOOKUP(A41,Щиты[Щит],Щиты[Кс силовых (табл. 7.5)]),1),1)),IF(OR(EQ41="Пост",EQ41="Отоп"),1,IF(EQ41="ВНГ",0.7,0))))))</f>
        <v>0.8</v>
      </c>
      <c r="ES41">
        <f t="shared" si="56"/>
        <v>1</v>
      </c>
      <c r="ET41">
        <f t="shared" si="57"/>
        <v>0.1</v>
      </c>
      <c r="EU41">
        <f t="shared" si="58"/>
        <v>0.1</v>
      </c>
      <c r="EV41">
        <f t="shared" si="59"/>
        <v>0</v>
      </c>
      <c r="EW41">
        <f t="shared" si="60"/>
        <v>0</v>
      </c>
      <c r="EX41">
        <f t="shared" si="61"/>
        <v>0</v>
      </c>
      <c r="EY41">
        <f t="shared" si="62"/>
        <v>0</v>
      </c>
      <c r="EZ41">
        <f t="shared" si="63"/>
        <v>0.1</v>
      </c>
      <c r="FA41">
        <f t="shared" si="64"/>
        <v>9.5000000000000001E-2</v>
      </c>
      <c r="FB41">
        <f t="shared" si="65"/>
        <v>0.1</v>
      </c>
      <c r="FC41" t="str">
        <f t="shared" si="66"/>
        <v/>
      </c>
      <c r="FD41" t="str">
        <f>IF(B41="","",IF(CA41=0,IF(AW41=1,"",FF40),IF(OR(N(CV41)&gt;=3,N(BR41)&gt;=3),"L1,L2,L3",IFERROR(_xlfn.TEXTBEFORE(_xlfn.TEXTAFTER(_xlfn.XLOOKUP(A41,Щиты[Щит],Щиты[_фазы авто]),";"&amp;AW41&amp;":"),";"),"L1"))))</f>
        <v>L1</v>
      </c>
      <c r="FE41" t="str">
        <f t="shared" si="67"/>
        <v>L1</v>
      </c>
      <c r="FF41" t="str">
        <f t="shared" si="68"/>
        <v>L1</v>
      </c>
      <c r="FG41" cm="1">
        <f t="array" ref="FG41">IFERROR(IF(BX41=2,_xlfn.IFS(BR41=3,VLOOKUP(BN41,Справочная_двигатели,3,FALSE),BR41=1,VLOOKUP(BN41,Справочная_двигатели,5,TRUE)),0),0)</f>
        <v>0</v>
      </c>
      <c r="FH41">
        <f>IFERROR(IF(BX41=3,VLOOKUP(BN41,Справочная_ЛЭД,2,TRUE),0),0)</f>
        <v>50</v>
      </c>
      <c r="FI41" s="6">
        <f t="shared" si="69"/>
        <v>50</v>
      </c>
      <c r="FJ41" t="str" cm="1">
        <f t="array" ref="FJ41">IF(B41="","",IFERROR(INDEX({"I особая","I","II","III"},MATCH(TRIM(AC41&amp;""),{"I особая","I","II","III"},0)),"III"))</f>
        <v>III</v>
      </c>
      <c r="FK41" t="str">
        <f>IF(B41="","",IF(TRIM(AD41&amp;"")&lt;&gt;"",IF(LOWER(TRIM(AD41&amp;""))="да","да","нет"),IF(IFERROR(_xlfn.XLOOKUP(AX41,Коды_код,Коды_пожарная),"")="да","да","нет")))</f>
        <v>нет</v>
      </c>
      <c r="FL41" t="str">
        <f t="shared" si="70"/>
        <v/>
      </c>
      <c r="FM41" t="str">
        <f t="shared" si="71"/>
        <v>основная</v>
      </c>
      <c r="FN41">
        <f t="shared" si="72"/>
        <v>1</v>
      </c>
      <c r="FO41" t="str" cm="1">
        <f t="array" ref="FO41">IF(B41="","",_xlfn.LET(_xlpm.t,IFERROR(_xlfn.XLOOKUP(1,(Шины[Шина]=FM41)*(((Шины[Щит]=A41)+(Шины[Щит]=""))&gt;0),Шины[Тип]),"")&amp;"",IF(_xlpm.t&lt;&gt;"",_xlpm.t,IF(ISNUMBER(SEARCH("ИБП",FM41)),"ИБП",IF(ISNUMBER(SEARCH("ДГУ",FM41)),"ДГУ","Ввод "&amp;FN41)))))</f>
        <v>Ввод 1</v>
      </c>
      <c r="FP41" t="str">
        <f t="shared" si="73"/>
        <v>Ввод 1</v>
      </c>
      <c r="FQ41" t="str">
        <f>IF(B41="","",IF(OR(FO41="ИБП",FO41="ДГУ"),"I особая",IF(FO41="Одиночная","III",_xlfn.XLOOKUP(A41,Щиты[Щит],Щиты[Категория шины «Ввод»],"III"))))</f>
        <v>II</v>
      </c>
      <c r="FR41">
        <f>IF(B41="",0,IFERROR(MATCH(FJ41,{"III","II","I","I особая"},0),1))</f>
        <v>1</v>
      </c>
      <c r="FS41">
        <f t="shared" si="74"/>
        <v>1</v>
      </c>
      <c r="FT41" t="str">
        <f>IF(B41="","",IF(FR41&gt;IFERROR(MATCH(FQ41,{"III","II","I","I особая"},0),1),"НЕ ОБЕСПЕЧЕНА","ОК"))</f>
        <v>ОК</v>
      </c>
      <c r="FU41" t="str">
        <f>IF(A41="","",_xlfn.XLOOKUP(A41,Щиты[Щит],Щиты[Путь],""))</f>
        <v>|ГРЩ-ЖД|ЩГП|ЩО-001|</v>
      </c>
      <c r="FV41" t="str">
        <f>IF(B41="","",IF(AE41&lt;&gt;"",AE41,IF(IFERROR(_xlfn.XLOOKUP(AX41,Коды_код,Коды_вид)&amp;"","")="","Прочее",_xlfn.XLOOKUP(AX41,Коды_код,Коды_вид)&amp;"")))</f>
        <v>Рабочее освещение</v>
      </c>
      <c r="FW41" t="str">
        <f>IF(BH41="","",INT((BH41-1)/Столбцов_на_лист)+1)</f>
        <v/>
      </c>
      <c r="FX41" t="str">
        <f t="shared" si="75"/>
        <v>ВВГнг(А)-LS (3х1,5) L=19-0,11%</v>
      </c>
      <c r="FY41">
        <f t="shared" si="76"/>
        <v>0.1</v>
      </c>
      <c r="FZ41">
        <f t="shared" si="77"/>
        <v>0.46</v>
      </c>
      <c r="GA41">
        <f t="shared" si="78"/>
        <v>1</v>
      </c>
      <c r="GB41">
        <f t="shared" si="79"/>
        <v>0</v>
      </c>
      <c r="GC41">
        <f t="shared" si="80"/>
        <v>0</v>
      </c>
      <c r="GD41" t="str">
        <f>IF(BH41="","",IF(AND(CA41=1,GC41=1),COUNTIFS(A$3:A41,A41,CA$3:CA41,1,GC$3:GC41,1),IF(OR(OR(AW41=1,A41&lt;&gt;A40),AF41="вручную",GC41=0),"",IF(AW41=1,"",GE40))))</f>
        <v/>
      </c>
      <c r="GE41" t="str">
        <f t="shared" si="81"/>
        <v/>
      </c>
      <c r="GF41">
        <f>IF(B41="","",IFERROR(LOOKUP(INDEX(CHOOSE(DL41,Iдоп_1ж,Iдоп_2ж,Iдоп_3ж),MATCH(DX41,Iдоп_S,0))*DJ41*DK41,{6,10,16,20,25,32,40,50,63,80,100,125,160,200,250,315,400,500,630}),""))</f>
        <v>16</v>
      </c>
      <c r="GG41" t="str">
        <f t="shared" si="82"/>
        <v/>
      </c>
      <c r="GH41" t="str">
        <f t="shared" si="83"/>
        <v/>
      </c>
      <c r="GI41" t="str">
        <f t="shared" si="84"/>
        <v/>
      </c>
      <c r="GJ41">
        <f t="shared" si="85"/>
        <v>0</v>
      </c>
      <c r="GK41" t="str">
        <f>IF(OR(AG41="",AG41="-"),"",IFERROR(VLOOKUP(AG41,Модули_спр,2,FALSE),"R"))</f>
        <v/>
      </c>
      <c r="GL41" t="str">
        <f>IF(GK41="","",GK41&amp;"."&amp;COUNTIFS(A$3:A41,A41,GK$3:GK41,GK41))</f>
        <v/>
      </c>
      <c r="GM41" t="str">
        <f t="shared" si="86"/>
        <v/>
      </c>
      <c r="GN41" t="str">
        <f t="shared" si="87"/>
        <v/>
      </c>
      <c r="GO41" t="str">
        <f t="shared" si="88"/>
        <v/>
      </c>
      <c r="GP41" t="str">
        <f t="shared" si="89"/>
        <v/>
      </c>
      <c r="GQ41">
        <f t="shared" si="90"/>
        <v>1</v>
      </c>
      <c r="GR41" t="str">
        <f>IF(GQ41=1,"XT"&amp;COUNTIFS(A$3:A41,A41,GQ$3:GQ41,1),"")</f>
        <v>XT10</v>
      </c>
      <c r="GS41" t="str">
        <f t="shared" si="91"/>
        <v>XT10</v>
      </c>
      <c r="GT41" t="str">
        <f t="shared" si="92"/>
        <v/>
      </c>
      <c r="GU41" t="str">
        <f t="shared" si="93"/>
        <v/>
      </c>
      <c r="GV41" t="str">
        <f t="shared" si="94"/>
        <v>ok</v>
      </c>
      <c r="GW41" t="str">
        <f>IF(OR(GO41="",GM41=""),"",IF(GO41&gt;IFERROR(VLOOKUP(GN41,Модули_спр,3,FALSE),99),"ЛИШНИЙ КАНАЛ",IF(AND(AH41&lt;&gt;"=",COUNTIFS(Линии[_модуль гр.],GM41,Линии[Канал (итог)],GO41,Линии[Канал],"&lt;&gt;=",Линии[Щит],A41)&gt;1),"ДУБЛЬ КАНАЛА","")))</f>
        <v/>
      </c>
      <c r="GX41" s="6" t="str">
        <f t="shared" si="95"/>
        <v/>
      </c>
      <c r="GY41">
        <f t="shared" si="96"/>
        <v>10</v>
      </c>
      <c r="GZ41" t="str">
        <f t="shared" si="97"/>
        <v/>
      </c>
      <c r="HA41" t="str">
        <f>IF(AND(B41="",GT41=""),"",_xlfn.TEXTJOIN("; ",TRUE,IF(AND(B41&lt;&gt;"",FE41=""),"нет фазы",""),IF(AND(B41&lt;&gt;"",N(FY41)=0,EQ41&lt;&gt;"Нет"),"нет мощности",""),IF(AND(GS41&lt;&gt;"",COUNTIFS(Линии[Щит],A41,Линии[Клемма (итог)],GS41)&gt;1),"дубль клеммы "&amp;GS41,""),IF(AND(GV41&lt;&gt;"",GV41&lt;&gt;"ok"),GV41,""),IF(GW41&lt;&gt;"",GW41,""),IF(AND(N(BV41)&gt;=4,N(BR41)=1),BV41&amp;" жил на 1 фазе",""),IF(AND(AX41="R",CA41=1,OR(N(CK41)=0,N(CK41)&gt;30)),"розетка без дифзащиты до 30 мА",""),IFERROR(IF(AND(ISNUMBER(R41),R41&gt;DV41),"потери "&amp;FIXED(R41,1)&amp;" % &gt; "&amp;DV41&amp;" %",""),""),IFERROR(IF(LEFT(GZ41,4)="мало","Iкз мало — отключение &gt; 0,4 с",""),""),IF(AND(B41&lt;&gt;"",BH41=""),"не на схеме",""),IF(AND(CA41=0,B41&lt;&gt;"",FE41&lt;&gt;"",IF(AW41=1,"",FF40)&lt;&gt;"",FE41&lt;&gt;IF(AW41=1,"",FF40)),"фаза не как у автомата группы ("&amp;IF(AW41=1,"",FF40)&amp;")","")))</f>
        <v>не на схеме</v>
      </c>
      <c r="HB41" s="6">
        <f>IF(OR(CA41=0,DA41=""),"",_xlfn.LET(_xlpm.t,IFERROR(_xlfn.XLOOKUP(DA41,Каталог!$U$4:$U$500,Каталог!$G$4:$G$500),""),_xlpm.k,SEARCH("кА",_xlpm.t),IFERROR(--TRIM(RIGHT(SUBSTITUTE(MID(_xlpm.t,MAX(1,_xlpm.k-4),_xlpm.k-MAX(1,_xlpm.k-4))," ",REPT(" ",9)),5)),"")))</f>
        <v>6</v>
      </c>
      <c r="HC41" t="str">
        <f>IF(OR(HB41="",CA41=0),"",IF(_xlfn.XLOOKUP(A41,Щиты[Щит],Щиты[Iкз max на шинах, кА],"")="","",IF(HB41&lt;_xlfn.XLOOKUP(A41,Щиты[Щит],Щиты[Iкз max на шинах, кА]),"Icu "&amp;HB41&amp;" кА &lt; Iкз max","ok")))</f>
        <v/>
      </c>
      <c r="HD41" t="str">
        <f t="shared" si="98"/>
        <v/>
      </c>
      <c r="HE41" t="str">
        <f t="shared" si="99"/>
        <v/>
      </c>
      <c r="HF41" t="str">
        <f t="shared" si="100"/>
        <v/>
      </c>
      <c r="HG41" t="str" cm="1">
        <f t="array" ref="HG41">IF(HF41="","",_xlfn.LET(_xlpm.nd,_xlfn.TEXTSPLIT(HF41,"|"),IF(COLUMNS(_xlpm.nd)&gt;1,A41&amp;"¦"&amp;INDEX(_xlpm.nd,1)&amp;"¦"&amp;INDEX(_xlpm.nd,2),"")))</f>
        <v/>
      </c>
      <c r="HH41" t="str">
        <f t="shared" si="101"/>
        <v/>
      </c>
      <c r="HI41" t="str" cm="1">
        <f t="array" ref="HI41">IF(HF41="","",_xlfn.LET(_xlpm.nd,_xlfn.TEXTSPLIT(HF41,"|"),IF(COLUMNS(_xlpm.nd)&gt;2,A41&amp;"¦"&amp;INDEX(_xlpm.nd,2)&amp;"¦"&amp;INDEX(_xlpm.nd,3),"")))</f>
        <v/>
      </c>
      <c r="HJ41" t="str">
        <f t="shared" si="102"/>
        <v/>
      </c>
      <c r="HK41" t="str" cm="1">
        <f t="array" ref="HK41">IF(HF41="","",_xlfn.LET(_xlpm.nd,_xlfn.TEXTSPLIT(HF41,"|"),IF(COLUMNS(_xlpm.nd)&gt;3,A41&amp;"¦"&amp;INDEX(_xlpm.nd,3)&amp;"¦"&amp;INDEX(_xlpm.nd,4),"")))</f>
        <v/>
      </c>
      <c r="HL41" t="str">
        <f t="shared" si="103"/>
        <v/>
      </c>
      <c r="HM41" t="str" cm="1">
        <f t="array" ref="HM41">IF(HF41="","",_xlfn.LET(_xlpm.nd,_xlfn.TEXTSPLIT(HF41,"|"),IF(COLUMNS(_xlpm.nd)&gt;4,A41&amp;"¦"&amp;INDEX(_xlpm.nd,4)&amp;"¦"&amp;INDEX(_xlpm.nd,5),"")))</f>
        <v/>
      </c>
      <c r="HN41" t="str">
        <f t="shared" si="104"/>
        <v/>
      </c>
      <c r="HO41" t="str" cm="1">
        <f t="array" ref="HO41">IF(HF41="","",_xlfn.LET(_xlpm.nd,_xlfn.TEXTSPLIT(HF41,"|"),IF(COLUMNS(_xlpm.nd)&gt;5,A41&amp;"¦"&amp;INDEX(_xlpm.nd,5)&amp;"¦"&amp;INDEX(_xlpm.nd,6),"")))</f>
        <v/>
      </c>
      <c r="HP41" t="str">
        <f t="shared" si="105"/>
        <v/>
      </c>
      <c r="HQ41" t="str" cm="1">
        <f t="array" ref="HQ41">IF(HF41="","",_xlfn.LET(_xlpm.nd,_xlfn.TEXTSPLIT(HF41,"|"),IF(COLUMNS(_xlpm.nd)&gt;6,A41&amp;"¦"&amp;INDEX(_xlpm.nd,6)&amp;"¦"&amp;INDEX(_xlpm.nd,7),"")))</f>
        <v/>
      </c>
      <c r="HR41" t="str">
        <f t="shared" si="106"/>
        <v/>
      </c>
      <c r="HS41" t="str">
        <f t="shared" si="107"/>
        <v/>
      </c>
      <c r="HT41" t="str">
        <f t="shared" si="108"/>
        <v>XT10</v>
      </c>
      <c r="HU41">
        <f t="shared" si="109"/>
        <v>0</v>
      </c>
      <c r="HV41">
        <f t="shared" si="110"/>
        <v>0</v>
      </c>
      <c r="HW41" t="str">
        <f t="shared" si="111"/>
        <v/>
      </c>
      <c r="HX41" t="str">
        <f t="shared" si="112"/>
        <v/>
      </c>
      <c r="HY41" t="str">
        <f t="shared" si="113"/>
        <v/>
      </c>
      <c r="HZ41" t="str">
        <f t="shared" si="114"/>
        <v/>
      </c>
      <c r="IA41" t="str">
        <f>IF(B41="","",IFERROR(VLOOKUP(B41,УГО_спр,2,FALSE),IFERROR(VLOOKUP(AX41,УГО_спр,2,FALSE),IFERROR(VLOOKUP(LEFT(AX41,2),УГО_спр,2,FALSE),""))))</f>
        <v>Светильник</v>
      </c>
      <c r="IB41" t="str">
        <f>IF(B41="","",IF(OR(IA41="",IA41=0),"BOX",IFERROR(IF(VLOOKUP(IA41,УГО_блоки,3,FALSE)&amp;""&lt;&gt;"",VLOOKUP(IA41,УГО_блоки,3,FALSE),VLOOKUP(IA41,УГО_блоки,2,FALSE)),IA41)))</f>
        <v>LAMP</v>
      </c>
      <c r="IC41">
        <f t="shared" si="115"/>
        <v>1</v>
      </c>
      <c r="ID41" t="str">
        <f>IF(DA41="","",IF(COUNTIF(DA$3:DA41,DA41)=1,MAX(ID$2:ID40)+1,""))</f>
        <v/>
      </c>
      <c r="IE41" t="str">
        <f>IF(CO41="","",IF(COUNTIF(CO$3:CO41,CO41)+COUNTIF(CP$2:CP40,CO41)+COUNTIF(CQ$2:CQ40,CO41)=1,MAX(IE$2:IG40)+1,""))</f>
        <v/>
      </c>
      <c r="IF41" t="str">
        <f>IF(CP41="","",IF(COUNTIF(CO$3:CO41,CP41)+COUNTIF(CP$3:CP41,CP41)+COUNTIF(CQ$2:CQ40,CP41)=1,MAX(IE$2:IG40,IE41)+1,""))</f>
        <v/>
      </c>
      <c r="IG41" t="str">
        <f>IF(CQ41="","",IF(COUNTIF(CO$3:CO41,CQ41)+COUNTIF(CP$3:CP41,CQ41)+COUNTIF(CQ$3:CQ41,CQ41)=1,MAX(IE$2:IG40,IE41,IF41)+1,""))</f>
        <v/>
      </c>
      <c r="IH41" t="str">
        <f t="shared" si="116"/>
        <v>3х1,5</v>
      </c>
      <c r="II41" t="str">
        <f>IF(IH41="","",IF(COUNTIF(IH$3:IH41,IH41)=1,MAX(II$2:II40)+1,""))</f>
        <v/>
      </c>
      <c r="IJ41" t="str">
        <f>IF(GL41="","",COUNTIF(GL$3:GL41,"?*"))</f>
        <v/>
      </c>
      <c r="IK41" t="str">
        <f>IF(OR(GL41="",GN41=""),"",IF(COUNTIFS(GL$3:GL41,"?*",GN$3:GN41,GN41)=1,MAX(IK$2:IK40)+1,""))</f>
        <v/>
      </c>
      <c r="IL41">
        <f t="shared" si="117"/>
        <v>1</v>
      </c>
      <c r="IM41">
        <f>IF(B41="","",COUNTIF(B$3:B41,"?*"))</f>
        <v>39</v>
      </c>
      <c r="IN41">
        <f>IF(GQ41&lt;&gt;1,0,_xlfn.LET(_xlpm.k,MAX(IFERROR(--VLOOKUP(B41,УГО_спр,5,FALSE),0),IFERROR(--VLOOKUP(AX41,УГО_спр,5,FALSE),0),IFERROR(--VLOOKUP(LEFT(AX41,2),УГО_спр,5,FALSE),0)),IF(_xlpm.k&gt;0,_xlpm.k,IF(IFERROR(--LEFT(SUBSTITUTE(IH41,"x","х"),FIND("х",SUBSTITUTE(IH41,"x","х"))-1),3)&gt;3,Каталог!$S$9,1))))</f>
        <v>1</v>
      </c>
      <c r="IO41">
        <f t="shared" si="118"/>
        <v>0</v>
      </c>
      <c r="IP41" t="str">
        <f t="shared" si="119"/>
        <v>авто</v>
      </c>
      <c r="IQ41" t="str">
        <f t="shared" si="120"/>
        <v/>
      </c>
      <c r="IR41">
        <f t="shared" si="121"/>
        <v>0</v>
      </c>
      <c r="IS41">
        <f t="shared" si="122"/>
        <v>1</v>
      </c>
    </row>
    <row r="42" spans="1:253" x14ac:dyDescent="0.3">
      <c r="A42" t="s">
        <v>1104</v>
      </c>
      <c r="B42" t="s">
        <v>1315</v>
      </c>
      <c r="C42" t="str">
        <f>Линии[[#This Row],[_авто наименование]]</f>
        <v>Осветительная группа, пом. 005Б</v>
      </c>
      <c r="D42">
        <v>8</v>
      </c>
      <c r="E42">
        <v>0.1</v>
      </c>
      <c r="G42" t="str">
        <f>Линии[[#This Row],[_авто автомат]]</f>
        <v>1P С10А</v>
      </c>
      <c r="H42" t="str">
        <f>Линии[[#This Row],[_авто утечка]]</f>
        <v/>
      </c>
      <c r="I42" t="str">
        <f>Линии[[#This Row],[_авто управление]]</f>
        <v/>
      </c>
      <c r="J42" t="str">
        <f>Линии[[#This Row],[_авто аппараты]]</f>
        <v/>
      </c>
      <c r="K42">
        <v>1.5</v>
      </c>
      <c r="L42">
        <v>47</v>
      </c>
      <c r="M42" t="str">
        <f>Линии[[#This Row],[_авто фаза]]</f>
        <v>L2</v>
      </c>
      <c r="N42" t="str">
        <f>Линии[[#This Row],[_авто клемма]]</f>
        <v>XT11</v>
      </c>
      <c r="O42" t="str">
        <f t="shared" si="0"/>
        <v>не на схеме</v>
      </c>
      <c r="P42" s="6" cm="1">
        <f t="array" ref="P42">IF(B42="","",IF(BC42&lt;&gt;"",IFERROR(_xlfn.XLOOKUP(BC42,Щиты[Щит],Щиты[Iр, А]),""),IF(BK42=1,IFERROR(_xlfn.XLOOKUP(A42,Щиты[Щит],Щиты[Iр, А]),""),IFERROR(_xlfn.IFS(BR42=1,BN42/((Uн_лин/SQRT(3))*BY42),BR42=3,BN42/(SQRT(3)*Uн_лин*BY42)),""))))</f>
        <v>0.455802844097073</v>
      </c>
      <c r="Q42" s="7">
        <f>IF(B42="","",IFERROR(IF(VLOOKUP(AX42,Потребители_обозначение,4,FALSE)=1,VLOOKUP(AX42,Потребители_обозначение,3,FALSE)*(D42*2-1)+DS42+VLOOKUP(AZ42,Этаж_обозначение,3,FALSE)+VLOOKUP(AZ42,Этаж_обозначение,4,FALSE),VLOOKUP(AX42,Потребители_обозначение,3,FALSE)*(D42*2-1)+DS42),DS42))</f>
        <v>62</v>
      </c>
      <c r="R42" s="6">
        <f t="shared" si="1"/>
        <v>0.52</v>
      </c>
      <c r="S42" t="str">
        <f t="shared" si="2"/>
        <v>ВВГнг(А)-LS (3х1,5)</v>
      </c>
      <c r="T42" t="str">
        <f>IF(BH42="","",IF(BI42="вводной узел","узел ","")&amp;"л."&amp;(INT((BH42-1)/Столбцов_на_лист)+1)&amp;" / "&amp;(MOD(BH42-1,Столбцов_на_лист)+1))</f>
        <v/>
      </c>
      <c r="V42">
        <v>1</v>
      </c>
      <c r="W42">
        <v>230</v>
      </c>
      <c r="X42" t="s">
        <v>564</v>
      </c>
      <c r="AE42" t="s">
        <v>557</v>
      </c>
      <c r="AI42" t="s">
        <v>529</v>
      </c>
      <c r="AJ42" t="s">
        <v>11</v>
      </c>
      <c r="AK42">
        <v>3</v>
      </c>
      <c r="AM42">
        <v>17</v>
      </c>
      <c r="AN42">
        <v>0</v>
      </c>
      <c r="AO42">
        <v>56</v>
      </c>
      <c r="AW42" cm="1">
        <f t="array" ref="AW42">ROW()-ROW(Линии[#Headers])</f>
        <v>40</v>
      </c>
      <c r="AX42" s="6" t="str">
        <f t="shared" si="3"/>
        <v>L</v>
      </c>
      <c r="AY42" t="str">
        <f t="shared" si="4"/>
        <v>00.005Б.1</v>
      </c>
      <c r="AZ42" t="str">
        <f t="shared" si="5"/>
        <v>00</v>
      </c>
      <c r="BA42" t="str">
        <f t="shared" si="6"/>
        <v>005Б.1</v>
      </c>
      <c r="BB42" t="str">
        <f t="shared" si="7"/>
        <v>005Б</v>
      </c>
      <c r="BC42" t="str">
        <f>IF(U42&lt;&gt;"",U42,IF(AND(B42&lt;&gt;"",B42&lt;&gt;A42,ISNUMBER(_xlfn.XMATCH(B42,Щиты[Щит]))),B42,""))</f>
        <v/>
      </c>
      <c r="BD42" t="str" cm="1">
        <f t="array" ref="BD42">IF(B42="","",IF(BC42&lt;&gt;"","Щит "&amp;BC42,_xlfn.LET(_xlpm.nm,IFERROR(_xlfn.XLOOKUP(AX42,Коды_код,Коды_имя)&amp;"",""),_xlpm.md,IFERROR(N(_xlfn.XLOOKUP(AX42,Коды_код,Коды_режим)),1),_xlpm.ex,IF(Имя_режим="по экспликации",IFERROR(_xlfn.XLOOKUP(AZ42&amp;"|"&amp;BB42,Экспликация[Этаж]&amp;"|"&amp;Экспликация[Помещение],Экспликация[Название])&amp;"",""),""),_xlpm.rm,IF(BB42="","",IF(_xlpm.ex&lt;&gt;"",". "&amp;_xlpm.ex&amp;IF(Имя_пом="нет"," ("&amp;BB42&amp;")"," (пом. "&amp;BB42&amp;")"),IF(Имя_пом="нет"," ",", пом. ")&amp;BB42)),IF(_xlpm.nm="","",IF(_xlpm.md=2,_xlpm.nm&amp;" шлейф "&amp;AZ42,_xlpm.nm&amp;_xlpm.rm)))))</f>
        <v>Осветительная группа, пом. 005Б</v>
      </c>
      <c r="BE42" t="str">
        <f t="shared" si="8"/>
        <v>Осветительная группа, пом. 005Б</v>
      </c>
      <c r="BF42">
        <f>IFERROR(_xlfn.XMATCH(A42,Щиты[Щит]),0)</f>
        <v>3</v>
      </c>
      <c r="BG42">
        <f>_xlfn.LET(_xlpm.k,IFERROR(_xlfn.XLOOKUP(A42,Щиты[Щит],Щиты[Листов под вводной узел]),""),IF(_xlpm.k="",1,N(_xlpm.k))*Столбцов_на_лист)</f>
        <v>17</v>
      </c>
      <c r="BH42" t="str">
        <f t="shared" si="9"/>
        <v/>
      </c>
      <c r="BI42" t="str">
        <f t="shared" si="10"/>
        <v/>
      </c>
      <c r="BJ42" s="6">
        <f>IFERROR(N(_xlfn.XLOOKUP(AX42,Коды_код,Коды_квт)),0)</f>
        <v>0</v>
      </c>
      <c r="BK42">
        <f t="shared" si="11"/>
        <v>0</v>
      </c>
      <c r="BL42" t="str">
        <f>IF(B42="","",IF(BC42&lt;&gt;"",IFERROR(_xlfn.XLOOKUP(BC42,Щиты[Щит],Щиты[Руст, кВт]),0),IF(BK42=1,IFERROR(_xlfn.XLOOKUP(A42,Щиты[Щит],Щиты[Руст, кВт]),0),IF(BJ42&gt;0,ROUND(BJ42*MAX(1,N(D42)),3),""))))</f>
        <v/>
      </c>
      <c r="BM42">
        <f t="shared" si="12"/>
        <v>0.1</v>
      </c>
      <c r="BN42" s="6">
        <f>IF(B42="","",IF(BC42&lt;&gt;"",IFERROR(_xlfn.XLOOKUP(BC42,Щиты[Щит],Щиты[Руст, кВт]),0),N(BM42)))</f>
        <v>0.1</v>
      </c>
      <c r="BO42" t="str">
        <f>IF(B42="","",IFERROR(IF(VLOOKUP(AX42,Потребители_обозначение,8,FALSE)=0,"",VLOOKUP(AX42,Потребители_обозначение,8,FALSE)),""))</f>
        <v/>
      </c>
      <c r="BP42">
        <f t="shared" si="13"/>
        <v>230</v>
      </c>
      <c r="BQ42">
        <f>IF(B42="","",IF(BC42&lt;&gt;"",3,IFERROR(IF(N(VLOOKUP(AX42,Потребители_обозначение,9,FALSE))=0,1,VLOOKUP(AX42,Потребители_обозначение,9,FALSE)),1)))</f>
        <v>1</v>
      </c>
      <c r="BR42">
        <f t="shared" si="14"/>
        <v>1</v>
      </c>
      <c r="BS42" t="str">
        <f>IF(B42="","",_xlfn.LET(_xlpm.bc,IFERROR(IF(VLOOKUP(AX42,Потребители_обозначение,6,FALSE)=0,"",VLOOKUP(AX42,Потребители_обозначение,6,FALSE)&amp;""),""),IF(AND(FK42="да",OR(_xlpm.bc="",_xlpm.bc="мс")),Марка_пож,IF(AND(_xlpm.bc="",BC42&lt;&gt;""),"мс",_xlpm.bc))))</f>
        <v/>
      </c>
      <c r="BT42" t="str">
        <f t="shared" si="15"/>
        <v>мс</v>
      </c>
      <c r="BU42">
        <f>IF(B42="","",_xlfn.LET(_xlpm.cc,IFERROR(N(VLOOKUP(AX42,Потребители_обозначение,7,FALSE)),0),IF(_xlpm.cc&gt;0,_xlpm.cc,IF(BT42="","",IF(N(BR42)=3,5,3)))))</f>
        <v>3</v>
      </c>
      <c r="BV42">
        <f t="shared" si="16"/>
        <v>3</v>
      </c>
      <c r="BW42">
        <f>IFERROR(N(VLOOKUP(AX42,Потребители_обозначение,10,FALSE)),0)</f>
        <v>0</v>
      </c>
      <c r="BX42">
        <f>IFERROR(VLOOKUP(AX42,Потребители_обозначение,5,FALSE),0)</f>
        <v>3</v>
      </c>
      <c r="BY42" s="6" cm="1">
        <f t="array" ref="BY42">IF(B42="","",IF(BC42&lt;&gt;"",IFERROR(_xlfn.XLOOKUP(BC42,Щиты[Щит],Щиты[cos φ]),0.95),IF(BK42=1,IFERROR(_xlfn.XLOOKUP(A42,Щиты[Щит],Щиты[cos φ]),0.95),IF(ISNUMBER(Z42),Z42,IFERROR(IF(BX42=2,_xlfn.IFS(BR42=3,VLOOKUP(BN42,Справочная_двигатели,8,FALSE),BR42=1,VLOOKUP(BN42,Справочная_двигатели,10,TRUE)),IF(AND(Методика="нормы 2026",EQ42="Сил"),0.8,0.95)),0.95)))))</f>
        <v>0.95</v>
      </c>
      <c r="BZ42">
        <f t="shared" si="17"/>
        <v>0</v>
      </c>
      <c r="CA42">
        <f t="shared" si="18"/>
        <v>1</v>
      </c>
      <c r="CB42">
        <f t="shared" si="19"/>
        <v>0</v>
      </c>
      <c r="CC42">
        <f t="shared" si="20"/>
        <v>0</v>
      </c>
      <c r="CD42">
        <f t="shared" si="21"/>
        <v>0</v>
      </c>
      <c r="CE42">
        <f t="shared" si="22"/>
        <v>0</v>
      </c>
      <c r="CF42">
        <f t="shared" si="23"/>
        <v>0</v>
      </c>
      <c r="CG42">
        <f>IF(AX42="",0,_xlfn.LET(_xlpm.v,IFERROR(VLOOKUP(B42,УГО_спр,3,FALSE),IFERROR(VLOOKUP(AX42,УГО_спр,3,FALSE),IFERROR(VLOOKUP(LEFT(AX42,2),УГО_спр,3,FALSE),""))),IF(_xlpm.v="да",30,IF(ISNUMBER(_xlpm.v),_xlpm.v,0))))</f>
        <v>0</v>
      </c>
      <c r="CH42" t="str">
        <f t="shared" si="24"/>
        <v/>
      </c>
      <c r="CI42" t="str">
        <f>_xlfn.LET(_xlpm.k,IFERROR(_xlfn.XLOOKUP(AX42,Коды_код,Коды_утечка)&amp;"",""),IF(_xlpm.k="","дифавтомат",_xlpm.k))</f>
        <v>дифавтомат</v>
      </c>
      <c r="CJ42">
        <f t="shared" si="25"/>
        <v>0</v>
      </c>
      <c r="CK42">
        <f t="shared" si="26"/>
        <v>0</v>
      </c>
      <c r="CL42">
        <f>IF(B42="",0,IFERROR(--VLOOKUP(B42,УГО_спр,4,FALSE),IFERROR(--VLOOKUP(AX42,УГО_спр,4,FALSE),IFERROR(--VLOOKUP(LEFT(AX42,2),УГО_спр,4,FALSE),0))))</f>
        <v>10</v>
      </c>
      <c r="CM42" t="str">
        <f>IF(B42="","",IFERROR(_xlfn.XLOOKUP(AX42,Коды_код,Коды_апп)&amp;"",""))</f>
        <v/>
      </c>
      <c r="CN42" t="str">
        <f t="shared" si="27"/>
        <v/>
      </c>
      <c r="CO42" t="str" cm="1">
        <f t="array" ref="CO42">IF(TRIM(CN42&amp;"")="","",IFERROR(TRIM(INDEX(_xlfn.TEXTSPLIT(CN42&amp;";;;",";"),1)),""))</f>
        <v/>
      </c>
      <c r="CP42" t="str" cm="1">
        <f t="array" ref="CP42">IF(TRIM(CN42&amp;"")="","",IFERROR(TRIM(INDEX(_xlfn.TEXTSPLIT(CN42&amp;";;;",";"),2)),""))</f>
        <v/>
      </c>
      <c r="CQ42" t="str" cm="1">
        <f t="array" ref="CQ42">IF(TRIM(CN42&amp;"")="","",IFERROR(TRIM(INDEX(_xlfn.TEXTSPLIT(CN42&amp;";;;",";"),3)),""))</f>
        <v/>
      </c>
      <c r="CR42">
        <f t="shared" si="28"/>
        <v>0</v>
      </c>
      <c r="CS42" t="str">
        <f>IF(B42="","",_xlfn.LET(_xlpm.t,LOWER(AV42&amp;""),IF(ISNUMBER(SEARCH("dim",_xlpm.t)),"DIM",IF(ISNUMBER(SEARCH("dali",_xlpm.t)),"DALI",IF(OR(ISNUMBER(SEARCH("relay",_xlpm.t)),ISNUMBER(SEARCH("реле",_xlpm.t))),"Relay",IF(ISNUMBER(SEARCH("кнопк",_xlpm.t)),"",IFERROR(_xlfn.XLOOKUP(AX42,Коды_код,Коды_упр)&amp;"","")))))))</f>
        <v/>
      </c>
      <c r="CT42" t="str">
        <f t="shared" si="29"/>
        <v/>
      </c>
      <c r="CU42">
        <f>IF(B42="","",_xlfn.LET(_xlpm.ig,N(P42)+IF(AF42="вручную",0,N(CB42)),_xlpm.n0,IFERROR(VLOOKUP(_xlpm.ig,Автомат_номиналы,2,TRUE),0),_xlpm.mn,MAX(CL42,IF(AF42="вручную",0,N(CE42))),MAX(_xlpm.n0,_xlpm.mn,IF(CR42=1,Мин_автомат_БП,0))))</f>
        <v>10</v>
      </c>
      <c r="CV42">
        <f t="shared" si="30"/>
        <v>1</v>
      </c>
      <c r="CW42" t="str">
        <f t="shared" si="31"/>
        <v>1P</v>
      </c>
      <c r="CX42" t="str">
        <f>_xlfn.LET(_xlpm.cc,UPPER(TRIM(IFERROR(_xlfn.XLOOKUP(AX42,Коды_код,Коды_хар)&amp;"",""))),IF(OR(_xlpm.cc="B",_xlpm.cc="В"),"B",IF(_xlpm.cc="D","D","С")))</f>
        <v>С</v>
      </c>
      <c r="CY42" t="str">
        <f t="shared" si="32"/>
        <v>1P С10А</v>
      </c>
      <c r="CZ42" t="str">
        <f t="shared" si="33"/>
        <v>1P С10А</v>
      </c>
      <c r="DA42" t="str">
        <f t="shared" si="34"/>
        <v>1P С10А</v>
      </c>
      <c r="DB42" cm="1">
        <f t="array" ref="DB42">IF(DA42="","",_xlfn.LET(_xlpm.t,SUBSTITUTE(SUBSTITUTE(SUBSTITUTE(UPPER(DA42),"С","C"),"А","A"),"В","B"),_xlpm.tk,_xlfn.TEXTSPLIT(_xlpm.t,"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2" t="str">
        <f t="shared" si="35"/>
        <v>ok</v>
      </c>
      <c r="DD42">
        <f t="shared" si="36"/>
        <v>10</v>
      </c>
      <c r="DE42" t="str">
        <f t="shared" si="37"/>
        <v>1P С10А</v>
      </c>
      <c r="DF42">
        <f t="shared" si="38"/>
        <v>0</v>
      </c>
      <c r="DG42">
        <f t="shared" si="39"/>
        <v>0</v>
      </c>
      <c r="DH42">
        <f t="shared" si="40"/>
        <v>0</v>
      </c>
      <c r="DI42">
        <f t="shared" si="41"/>
        <v>0.455802844097073</v>
      </c>
      <c r="DJ42">
        <f t="shared" si="42"/>
        <v>1</v>
      </c>
      <c r="DK42">
        <f>IF(ISNUMBER(AL42),AL42,К_прокл)</f>
        <v>1</v>
      </c>
      <c r="DL42">
        <f t="shared" si="43"/>
        <v>2</v>
      </c>
      <c r="DM42">
        <f>IFERROR(N(VLOOKUP(BT42,Кабель_обозначение,3,FALSE)),1)</f>
        <v>1</v>
      </c>
      <c r="DN42">
        <f>IFERROR(N(_xlfn.XLOOKUP(A42,Щиты[Щит],Щиты[ΔU до шин, %])),0)</f>
        <v>0.17</v>
      </c>
      <c r="DO42" t="str">
        <f>IFERROR(_xlfn.XLOOKUP(A42,Щиты[Щит],Щиты[Zпетли на шинах, Ом]),"")</f>
        <v/>
      </c>
      <c r="DP42">
        <f>IFERROR(N(_xlfn.XLOOKUP(A42,Щиты[Щит],Щиты[ΔU до шин (подбор), %])),0)</f>
        <v>0.65</v>
      </c>
      <c r="DQ42" t="str">
        <f>IFERROR(_xlfn.XLOOKUP(A42,Щиты[Щит],Щиты[Zпетли на шинах (подбор), Ом]),"")</f>
        <v/>
      </c>
      <c r="DR42" t="str">
        <f t="shared" si="44"/>
        <v/>
      </c>
      <c r="DS42">
        <f t="shared" si="45"/>
        <v>47</v>
      </c>
      <c r="DT42">
        <f t="shared" si="46"/>
        <v>2</v>
      </c>
      <c r="DU42">
        <f t="shared" si="47"/>
        <v>0.31</v>
      </c>
      <c r="DV42" s="6">
        <f>IF(B42="","",IF(IFERROR(VLOOKUP(AX42,УГО_спр,2,FALSE),"")="Светильник",3,4)+IF(Методика="нормы 2026",MIN(0.5,MAX(0,N(Q42)-100)*0.005),0))</f>
        <v>3</v>
      </c>
      <c r="DW42" cm="1">
        <f t="array" ref="DW42">IF(OR(B42="",BT42="",DM42&lt;&gt;1),"",_xlfn.LET(_xlpm.sz,Iдоп_S,_xlpm.t_,CHOOSE(DL42,Iдоп_1ж,Iдоп_2ж,Iдоп_3ж)*DJ42*DK42,_xlpm.inn,N(DD42),_xlpm.smin,MAX(1.5,BW42),_xlpm.L_,N(Q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42)*(_xlpm.rho*_xlpm.L_/_xlpm.sz*N(BY42)+_xlpm.xx*_xlpm.L_*N(DU42)/1000)*N(P42)/((Uн_лин/SQRT(3))*1000)*100,999),_xlpm.kz,IF(OR(DG42=1,NOT(ISNUMBER(DQ42)),_xlpm.L_=0,_xlpm.inn=0),1,IFERROR(--(c_min*(Uн_лин*1000/SQRT(3))/(DQ42+2*ρкз_Cu*_xlpm.L_/_xlpm.sz)&gt;=GY42*_xlpm.inn),0)),_xlpm.ok,IFERROR((_xlpm.sz&gt;=_xlpm.smin)*(_xlpm.t_&gt;=_xlpm.inn)*IF(_xlpm.L_&gt;0,(_xlpm.du_+DP42&lt;=DV42+0.00001),1)*_xlpm.kz,0),_xlpm.r_,_xlfn._xlws.FILTER(_xlpm.sz,_xlpm.ok,"не подобрано"),INDEX(_xlpm.r_,1)))</f>
        <v>1.5</v>
      </c>
      <c r="DX42">
        <f t="shared" si="48"/>
        <v>1.5</v>
      </c>
      <c r="DY42" cm="1">
        <f t="array" ref="DY42">IF(OR(B42="",BT42="",DM42&lt;&gt;1),"",_xlfn.LET(_xlpm.sz,Iдоп_S,_xlpm.t_,CHOOSE(DL42,Iдоп_1ж,Iдоп_2ж,Iдоп_3ж)*DJ42*DK42,_xlpm.ok,IFERROR((_xlpm.sz&gt;=MAX(1.5,BW42))*(_xlpm.t_&gt;=N(DD42)),0),_xlpm.r_,_xlfn._xlws.FILTER(_xlpm.sz,_xlpm.ok,""),INDEX(_xlpm.r_,1)))</f>
        <v>1.5</v>
      </c>
      <c r="DZ42" s="6" cm="1">
        <f t="array" ref="DZ42">IFERROR(ROUNDUP(N(DT42)*(_xlfn.XLOOKUP(DY42,INDEX(Кабель_сопротивление,0,1),INDEX(Кабель_сопротивление,0,3))*N(Q42)/DY42*N(BY42)+_xlfn.XLOOKUP(DY42,INDEX(Кабель_сопротивление,0,1),INDEX(Кабель_сопротивление,0,2))*N(Q42)*N(DU42)/1000)*N(P42)/((Uн_лин/SQRT(3))*1000)*100,2),"")</f>
        <v>0.35000000000000003</v>
      </c>
      <c r="EA42">
        <f>IFERROR(2*ρкз_Cu*N(Q42)/DY42,"")</f>
        <v>2.1741333333333333</v>
      </c>
      <c r="EB42">
        <f>IFERROR(VLOOKUP(DX42,Кабель_сопротивление,3,FALSE),"")</f>
        <v>2.2499999999999999E-2</v>
      </c>
      <c r="EC42">
        <f>IFERROR(VLOOKUP(DX42,Кабель_сопротивление,2,FALSE),"")</f>
        <v>0.11</v>
      </c>
      <c r="ED42">
        <f t="shared" si="49"/>
        <v>0</v>
      </c>
      <c r="EE42">
        <f t="shared" si="50"/>
        <v>56</v>
      </c>
      <c r="EF42">
        <f t="shared" si="51"/>
        <v>0.80733094226550794</v>
      </c>
      <c r="EG42" s="6">
        <f>IFERROR(ROUNDUP(EF42/((Uн_лин/SQRT(3))*1000)*100,2),"")</f>
        <v>0.35000000000000003</v>
      </c>
      <c r="EH42" t="str">
        <f>IFERROR(VLOOKUP(BT42,Кабель_обозначение,2,FALSE),"")</f>
        <v>ВВГнг(А)-LS</v>
      </c>
      <c r="EI42" t="str">
        <f t="shared" si="52"/>
        <v>ВВГнг(А)-LS (3х1,5)</v>
      </c>
      <c r="EJ42" t="str">
        <f t="shared" si="53"/>
        <v>ВВГнг(А)-LS (3х1,5)
L=62-0,35%</v>
      </c>
      <c r="EK42">
        <f>IFERROR(2*ρкз_Cu*Q42/DX42,"")</f>
        <v>2.1741333333333333</v>
      </c>
      <c r="EL42">
        <f t="shared" si="54"/>
        <v>0.72333333333333349</v>
      </c>
      <c r="EM42" s="6" t="str">
        <f>IFERROR(IF(OR(B42="",NOT(ISNUMBER(DX42)),N(Q42)=0),"",_xlfn.XLOOKUP(A42,Щиты[Щит],Щиты[Zпетли на шинах, Ом])+EK42),"")</f>
        <v/>
      </c>
      <c r="EN42" s="6" t="str">
        <f>IF(ISNUMBER(EM42),c_min*(Uн_лин*1000/SQRT(3))/EM42,"")</f>
        <v/>
      </c>
      <c r="EO42" s="6" t="str">
        <f>IFERROR(IF(OR(B42="",NOT(ISNUMBER(DX42))),"",1.05*(Uн_лин*1000/SQRT(3))/(_xlfn.XLOOKUP(A42,Щиты[Щит],Щиты[Zmax на шинах, Ом])+EL42)/1000),"")</f>
        <v/>
      </c>
      <c r="EP42" s="6" t="str">
        <f>IF(B42="","",IF(ISNUMBER(Y42),"Сил",IF(IFERROR(_xlfn.XLOOKUP(AX42,Коды_код,Коды_группа)&amp;"","")="","Быт",_xlfn.XLOOKUP(AX42,Коды_код,Коды_группа)&amp;"")))</f>
        <v>Быт</v>
      </c>
      <c r="EQ42" s="6" t="str">
        <f t="shared" si="55"/>
        <v>Быт</v>
      </c>
      <c r="ER42" s="6">
        <f>IF(EQ42="Щит","щит",IF(EQ42="","",IF(EQ42="Быт",IFERROR(_xlfn.XLOOKUP(A42,Щиты[Щит],Щиты[Кс быт]),1),IF(EQ42="Сил",IF(ISNUMBER(Y42),Y42,IF(Методика="нормы 2026",IFERROR(_xlfn.XLOOKUP(A42,Щиты[Щит],Щиты[Кс силовых (табл. 7.5)]),1),1)),IF(OR(EQ42="Пост",EQ42="Отоп"),1,IF(EQ42="ВНГ",0.7,0))))))</f>
        <v>0.8</v>
      </c>
      <c r="ES42">
        <f t="shared" si="56"/>
        <v>1</v>
      </c>
      <c r="ET42">
        <f t="shared" si="57"/>
        <v>0.1</v>
      </c>
      <c r="EU42">
        <f t="shared" si="58"/>
        <v>0.1</v>
      </c>
      <c r="EV42">
        <f t="shared" si="59"/>
        <v>0</v>
      </c>
      <c r="EW42">
        <f t="shared" si="60"/>
        <v>0</v>
      </c>
      <c r="EX42">
        <f t="shared" si="61"/>
        <v>0</v>
      </c>
      <c r="EY42">
        <f t="shared" si="62"/>
        <v>0</v>
      </c>
      <c r="EZ42">
        <f t="shared" si="63"/>
        <v>0.1</v>
      </c>
      <c r="FA42">
        <f t="shared" si="64"/>
        <v>9.5000000000000001E-2</v>
      </c>
      <c r="FB42">
        <f t="shared" si="65"/>
        <v>0.1</v>
      </c>
      <c r="FC42" t="str">
        <f t="shared" si="66"/>
        <v/>
      </c>
      <c r="FD42" t="str">
        <f>IF(B42="","",IF(CA42=0,IF(AW42=1,"",FF41),IF(OR(N(CV42)&gt;=3,N(BR42)&gt;=3),"L1,L2,L3",IFERROR(_xlfn.TEXTBEFORE(_xlfn.TEXTAFTER(_xlfn.XLOOKUP(A42,Щиты[Щит],Щиты[_фазы авто]),";"&amp;AW42&amp;":"),";"),"L1"))))</f>
        <v>L2</v>
      </c>
      <c r="FE42" t="str">
        <f t="shared" si="67"/>
        <v>L2</v>
      </c>
      <c r="FF42" t="str">
        <f t="shared" si="68"/>
        <v>L2</v>
      </c>
      <c r="FG42" cm="1">
        <f t="array" ref="FG42">IFERROR(IF(BX42=2,_xlfn.IFS(BR42=3,VLOOKUP(BN42,Справочная_двигатели,3,FALSE),BR42=1,VLOOKUP(BN42,Справочная_двигатели,5,TRUE)),0),0)</f>
        <v>0</v>
      </c>
      <c r="FH42">
        <f>IFERROR(IF(BX42=3,VLOOKUP(BN42,Справочная_ЛЭД,2,TRUE),0),0)</f>
        <v>50</v>
      </c>
      <c r="FI42" s="6">
        <f t="shared" si="69"/>
        <v>50</v>
      </c>
      <c r="FJ42" t="str" cm="1">
        <f t="array" ref="FJ42">IF(B42="","",IFERROR(INDEX({"I особая","I","II","III"},MATCH(TRIM(AC42&amp;""),{"I особая","I","II","III"},0)),"III"))</f>
        <v>III</v>
      </c>
      <c r="FK42" t="str">
        <f>IF(B42="","",IF(TRIM(AD42&amp;"")&lt;&gt;"",IF(LOWER(TRIM(AD42&amp;""))="да","да","нет"),IF(IFERROR(_xlfn.XLOOKUP(AX42,Коды_код,Коды_пожарная),"")="да","да","нет")))</f>
        <v>нет</v>
      </c>
      <c r="FL42" t="str">
        <f t="shared" si="70"/>
        <v/>
      </c>
      <c r="FM42" t="str">
        <f t="shared" si="71"/>
        <v>основная</v>
      </c>
      <c r="FN42">
        <f t="shared" si="72"/>
        <v>1</v>
      </c>
      <c r="FO42" t="str" cm="1">
        <f t="array" ref="FO42">IF(B42="","",_xlfn.LET(_xlpm.t,IFERROR(_xlfn.XLOOKUP(1,(Шины[Шина]=FM42)*(((Шины[Щит]=A42)+(Шины[Щит]=""))&gt;0),Шины[Тип]),"")&amp;"",IF(_xlpm.t&lt;&gt;"",_xlpm.t,IF(ISNUMBER(SEARCH("ИБП",FM42)),"ИБП",IF(ISNUMBER(SEARCH("ДГУ",FM42)),"ДГУ","Ввод "&amp;FN42)))))</f>
        <v>Ввод 1</v>
      </c>
      <c r="FP42" t="str">
        <f t="shared" si="73"/>
        <v>Ввод 1</v>
      </c>
      <c r="FQ42" t="str">
        <f>IF(B42="","",IF(OR(FO42="ИБП",FO42="ДГУ"),"I особая",IF(FO42="Одиночная","III",_xlfn.XLOOKUP(A42,Щиты[Щит],Щиты[Категория шины «Ввод»],"III"))))</f>
        <v>II</v>
      </c>
      <c r="FR42">
        <f>IF(B42="",0,IFERROR(MATCH(FJ42,{"III","II","I","I особая"},0),1))</f>
        <v>1</v>
      </c>
      <c r="FS42">
        <f t="shared" si="74"/>
        <v>1</v>
      </c>
      <c r="FT42" t="str">
        <f>IF(B42="","",IF(FR42&gt;IFERROR(MATCH(FQ42,{"III","II","I","I особая"},0),1),"НЕ ОБЕСПЕЧЕНА","ОК"))</f>
        <v>ОК</v>
      </c>
      <c r="FU42" t="str">
        <f>IF(A42="","",_xlfn.XLOOKUP(A42,Щиты[Щит],Щиты[Путь],""))</f>
        <v>|ГРЩ-ЖД|ЩГП|ЩО-001|</v>
      </c>
      <c r="FV42" t="str">
        <f>IF(B42="","",IF(AE42&lt;&gt;"",AE42,IF(IFERROR(_xlfn.XLOOKUP(AX42,Коды_код,Коды_вид)&amp;"","")="","Прочее",_xlfn.XLOOKUP(AX42,Коды_код,Коды_вид)&amp;"")))</f>
        <v>Рабочее освещение</v>
      </c>
      <c r="FW42" t="str">
        <f>IF(BH42="","",INT((BH42-1)/Столбцов_на_лист)+1)</f>
        <v/>
      </c>
      <c r="FX42" t="str">
        <f t="shared" si="75"/>
        <v>ВВГнг(А)-LS (3х1,5) L=62-0,35%</v>
      </c>
      <c r="FY42">
        <f t="shared" si="76"/>
        <v>0.1</v>
      </c>
      <c r="FZ42">
        <f t="shared" si="77"/>
        <v>0.46</v>
      </c>
      <c r="GA42">
        <f t="shared" si="78"/>
        <v>1</v>
      </c>
      <c r="GB42">
        <f t="shared" si="79"/>
        <v>0</v>
      </c>
      <c r="GC42">
        <f t="shared" si="80"/>
        <v>0</v>
      </c>
      <c r="GD42" t="str">
        <f>IF(BH42="","",IF(AND(CA42=1,GC42=1),COUNTIFS(A$3:A42,A42,CA$3:CA42,1,GC$3:GC42,1),IF(OR(OR(AW42=1,A42&lt;&gt;A41),AF42="вручную",GC42=0),"",IF(AW42=1,"",GE41))))</f>
        <v/>
      </c>
      <c r="GE42" t="str">
        <f t="shared" si="81"/>
        <v/>
      </c>
      <c r="GF42">
        <f>IF(B42="","",IFERROR(LOOKUP(INDEX(CHOOSE(DL42,Iдоп_1ж,Iдоп_2ж,Iдоп_3ж),MATCH(DX42,Iдоп_S,0))*DJ42*DK42,{6,10,16,20,25,32,40,50,63,80,100,125,160,200,250,315,400,500,630}),""))</f>
        <v>16</v>
      </c>
      <c r="GG42" t="str">
        <f t="shared" si="82"/>
        <v/>
      </c>
      <c r="GH42" t="str">
        <f t="shared" si="83"/>
        <v/>
      </c>
      <c r="GI42" t="str">
        <f t="shared" si="84"/>
        <v/>
      </c>
      <c r="GJ42">
        <f t="shared" si="85"/>
        <v>0</v>
      </c>
      <c r="GK42" t="str">
        <f>IF(OR(AG42="",AG42="-"),"",IFERROR(VLOOKUP(AG42,Модули_спр,2,FALSE),"R"))</f>
        <v/>
      </c>
      <c r="GL42" t="str">
        <f>IF(GK42="","",GK42&amp;"."&amp;COUNTIFS(A$3:A42,A42,GK$3:GK42,GK42))</f>
        <v/>
      </c>
      <c r="GM42" t="str">
        <f t="shared" si="86"/>
        <v/>
      </c>
      <c r="GN42" t="str">
        <f t="shared" si="87"/>
        <v/>
      </c>
      <c r="GO42" t="str">
        <f t="shared" si="88"/>
        <v/>
      </c>
      <c r="GP42" t="str">
        <f t="shared" si="89"/>
        <v/>
      </c>
      <c r="GQ42">
        <f t="shared" si="90"/>
        <v>1</v>
      </c>
      <c r="GR42" t="str">
        <f>IF(GQ42=1,"XT"&amp;COUNTIFS(A$3:A42,A42,GQ$3:GQ42,1),"")</f>
        <v>XT11</v>
      </c>
      <c r="GS42" t="str">
        <f t="shared" si="91"/>
        <v>XT11</v>
      </c>
      <c r="GT42" t="str">
        <f t="shared" si="92"/>
        <v/>
      </c>
      <c r="GU42" t="str">
        <f t="shared" si="93"/>
        <v/>
      </c>
      <c r="GV42" t="str">
        <f t="shared" si="94"/>
        <v>ok</v>
      </c>
      <c r="GW42" t="str">
        <f>IF(OR(GO42="",GM42=""),"",IF(GO42&gt;IFERROR(VLOOKUP(GN42,Модули_спр,3,FALSE),99),"ЛИШНИЙ КАНАЛ",IF(AND(AH42&lt;&gt;"=",COUNTIFS(Линии[_модуль гр.],GM42,Линии[Канал (итог)],GO42,Линии[Канал],"&lt;&gt;=",Линии[Щит],A42)&gt;1),"ДУБЛЬ КАНАЛА","")))</f>
        <v/>
      </c>
      <c r="GX42" s="6" t="str">
        <f t="shared" si="95"/>
        <v/>
      </c>
      <c r="GY42">
        <f t="shared" si="96"/>
        <v>10</v>
      </c>
      <c r="GZ42" t="str">
        <f t="shared" si="97"/>
        <v/>
      </c>
      <c r="HA42" t="str">
        <f>IF(AND(B42="",GT42=""),"",_xlfn.TEXTJOIN("; ",TRUE,IF(AND(B42&lt;&gt;"",FE42=""),"нет фазы",""),IF(AND(B42&lt;&gt;"",N(FY42)=0,EQ42&lt;&gt;"Нет"),"нет мощности",""),IF(AND(GS42&lt;&gt;"",COUNTIFS(Линии[Щит],A42,Линии[Клемма (итог)],GS42)&gt;1),"дубль клеммы "&amp;GS42,""),IF(AND(GV42&lt;&gt;"",GV42&lt;&gt;"ok"),GV42,""),IF(GW42&lt;&gt;"",GW42,""),IF(AND(N(BV42)&gt;=4,N(BR42)=1),BV42&amp;" жил на 1 фазе",""),IF(AND(AX42="R",CA42=1,OR(N(CK42)=0,N(CK42)&gt;30)),"розетка без дифзащиты до 30 мА",""),IFERROR(IF(AND(ISNUMBER(R42),R42&gt;DV42),"потери "&amp;FIXED(R42,1)&amp;" % &gt; "&amp;DV42&amp;" %",""),""),IFERROR(IF(LEFT(GZ42,4)="мало","Iкз мало — отключение &gt; 0,4 с",""),""),IF(AND(B42&lt;&gt;"",BH42=""),"не на схеме",""),IF(AND(CA42=0,B42&lt;&gt;"",FE42&lt;&gt;"",IF(AW42=1,"",FF41)&lt;&gt;"",FE42&lt;&gt;IF(AW42=1,"",FF41)),"фаза не как у автомата группы ("&amp;IF(AW42=1,"",FF41)&amp;")","")))</f>
        <v>не на схеме</v>
      </c>
      <c r="HB42" s="6">
        <f>IF(OR(CA42=0,DA42=""),"",_xlfn.LET(_xlpm.t,IFERROR(_xlfn.XLOOKUP(DA42,Каталог!$U$4:$U$500,Каталог!$G$4:$G$500),""),_xlpm.k,SEARCH("кА",_xlpm.t),IFERROR(--TRIM(RIGHT(SUBSTITUTE(MID(_xlpm.t,MAX(1,_xlpm.k-4),_xlpm.k-MAX(1,_xlpm.k-4))," ",REPT(" ",9)),5)),"")))</f>
        <v>6</v>
      </c>
      <c r="HC42" t="str">
        <f>IF(OR(HB42="",CA42=0),"",IF(_xlfn.XLOOKUP(A42,Щиты[Щит],Щиты[Iкз max на шинах, кА],"")="","",IF(HB42&lt;_xlfn.XLOOKUP(A42,Щиты[Щит],Щиты[Iкз max на шинах, кА]),"Icu "&amp;HB42&amp;" кА &lt; Iкз max","ok")))</f>
        <v/>
      </c>
      <c r="HD42" t="str">
        <f t="shared" si="98"/>
        <v/>
      </c>
      <c r="HE42" t="str">
        <f t="shared" si="99"/>
        <v/>
      </c>
      <c r="HF42" t="str">
        <f t="shared" si="100"/>
        <v/>
      </c>
      <c r="HG42" t="str" cm="1">
        <f t="array" ref="HG42">IF(HF42="","",_xlfn.LET(_xlpm.nd,_xlfn.TEXTSPLIT(HF42,"|"),IF(COLUMNS(_xlpm.nd)&gt;1,A42&amp;"¦"&amp;INDEX(_xlpm.nd,1)&amp;"¦"&amp;INDEX(_xlpm.nd,2),"")))</f>
        <v/>
      </c>
      <c r="HH42" t="str">
        <f t="shared" si="101"/>
        <v/>
      </c>
      <c r="HI42" t="str" cm="1">
        <f t="array" ref="HI42">IF(HF42="","",_xlfn.LET(_xlpm.nd,_xlfn.TEXTSPLIT(HF42,"|"),IF(COLUMNS(_xlpm.nd)&gt;2,A42&amp;"¦"&amp;INDEX(_xlpm.nd,2)&amp;"¦"&amp;INDEX(_xlpm.nd,3),"")))</f>
        <v/>
      </c>
      <c r="HJ42" t="str">
        <f t="shared" si="102"/>
        <v/>
      </c>
      <c r="HK42" t="str" cm="1">
        <f t="array" ref="HK42">IF(HF42="","",_xlfn.LET(_xlpm.nd,_xlfn.TEXTSPLIT(HF42,"|"),IF(COLUMNS(_xlpm.nd)&gt;3,A42&amp;"¦"&amp;INDEX(_xlpm.nd,3)&amp;"¦"&amp;INDEX(_xlpm.nd,4),"")))</f>
        <v/>
      </c>
      <c r="HL42" t="str">
        <f t="shared" si="103"/>
        <v/>
      </c>
      <c r="HM42" t="str" cm="1">
        <f t="array" ref="HM42">IF(HF42="","",_xlfn.LET(_xlpm.nd,_xlfn.TEXTSPLIT(HF42,"|"),IF(COLUMNS(_xlpm.nd)&gt;4,A42&amp;"¦"&amp;INDEX(_xlpm.nd,4)&amp;"¦"&amp;INDEX(_xlpm.nd,5),"")))</f>
        <v/>
      </c>
      <c r="HN42" t="str">
        <f t="shared" si="104"/>
        <v/>
      </c>
      <c r="HO42" t="str" cm="1">
        <f t="array" ref="HO42">IF(HF42="","",_xlfn.LET(_xlpm.nd,_xlfn.TEXTSPLIT(HF42,"|"),IF(COLUMNS(_xlpm.nd)&gt;5,A42&amp;"¦"&amp;INDEX(_xlpm.nd,5)&amp;"¦"&amp;INDEX(_xlpm.nd,6),"")))</f>
        <v/>
      </c>
      <c r="HP42" t="str">
        <f t="shared" si="105"/>
        <v/>
      </c>
      <c r="HQ42" t="str" cm="1">
        <f t="array" ref="HQ42">IF(HF42="","",_xlfn.LET(_xlpm.nd,_xlfn.TEXTSPLIT(HF42,"|"),IF(COLUMNS(_xlpm.nd)&gt;6,A42&amp;"¦"&amp;INDEX(_xlpm.nd,6)&amp;"¦"&amp;INDEX(_xlpm.nd,7),"")))</f>
        <v/>
      </c>
      <c r="HR42" t="str">
        <f t="shared" si="106"/>
        <v/>
      </c>
      <c r="HS42" t="str">
        <f t="shared" si="107"/>
        <v/>
      </c>
      <c r="HT42" t="str">
        <f t="shared" si="108"/>
        <v>XT11</v>
      </c>
      <c r="HU42">
        <f t="shared" si="109"/>
        <v>0</v>
      </c>
      <c r="HV42">
        <f t="shared" si="110"/>
        <v>0</v>
      </c>
      <c r="HW42" t="str">
        <f t="shared" si="111"/>
        <v/>
      </c>
      <c r="HX42" t="str">
        <f t="shared" si="112"/>
        <v/>
      </c>
      <c r="HY42" t="str">
        <f t="shared" si="113"/>
        <v/>
      </c>
      <c r="HZ42" t="str">
        <f t="shared" si="114"/>
        <v/>
      </c>
      <c r="IA42" t="str">
        <f>IF(B42="","",IFERROR(VLOOKUP(B42,УГО_спр,2,FALSE),IFERROR(VLOOKUP(AX42,УГО_спр,2,FALSE),IFERROR(VLOOKUP(LEFT(AX42,2),УГО_спр,2,FALSE),""))))</f>
        <v>Светильник</v>
      </c>
      <c r="IB42" t="str">
        <f>IF(B42="","",IF(OR(IA42="",IA42=0),"BOX",IFERROR(IF(VLOOKUP(IA42,УГО_блоки,3,FALSE)&amp;""&lt;&gt;"",VLOOKUP(IA42,УГО_блоки,3,FALSE),VLOOKUP(IA42,УГО_блоки,2,FALSE)),IA42)))</f>
        <v>LAMP</v>
      </c>
      <c r="IC42">
        <f t="shared" si="115"/>
        <v>1</v>
      </c>
      <c r="ID42" t="str">
        <f>IF(DA42="","",IF(COUNTIF(DA$3:DA42,DA42)=1,MAX(ID$2:ID41)+1,""))</f>
        <v/>
      </c>
      <c r="IE42" t="str">
        <f>IF(CO42="","",IF(COUNTIF(CO$3:CO42,CO42)+COUNTIF(CP$2:CP41,CO42)+COUNTIF(CQ$2:CQ41,CO42)=1,MAX(IE$2:IG41)+1,""))</f>
        <v/>
      </c>
      <c r="IF42" t="str">
        <f>IF(CP42="","",IF(COUNTIF(CO$3:CO42,CP42)+COUNTIF(CP$3:CP42,CP42)+COUNTIF(CQ$2:CQ41,CP42)=1,MAX(IE$2:IG41,IE42)+1,""))</f>
        <v/>
      </c>
      <c r="IG42" t="str">
        <f>IF(CQ42="","",IF(COUNTIF(CO$3:CO42,CQ42)+COUNTIF(CP$3:CP42,CQ42)+COUNTIF(CQ$3:CQ42,CQ42)=1,MAX(IE$2:IG41,IE42,IF42)+1,""))</f>
        <v/>
      </c>
      <c r="IH42" t="str">
        <f t="shared" si="116"/>
        <v>3х1,5</v>
      </c>
      <c r="II42" t="str">
        <f>IF(IH42="","",IF(COUNTIF(IH$3:IH42,IH42)=1,MAX(II$2:II41)+1,""))</f>
        <v/>
      </c>
      <c r="IJ42" t="str">
        <f>IF(GL42="","",COUNTIF(GL$3:GL42,"?*"))</f>
        <v/>
      </c>
      <c r="IK42" t="str">
        <f>IF(OR(GL42="",GN42=""),"",IF(COUNTIFS(GL$3:GL42,"?*",GN$3:GN42,GN42)=1,MAX(IK$2:IK41)+1,""))</f>
        <v/>
      </c>
      <c r="IL42">
        <f t="shared" si="117"/>
        <v>1</v>
      </c>
      <c r="IM42">
        <f>IF(B42="","",COUNTIF(B$3:B42,"?*"))</f>
        <v>40</v>
      </c>
      <c r="IN42">
        <f>IF(GQ42&lt;&gt;1,0,_xlfn.LET(_xlpm.k,MAX(IFERROR(--VLOOKUP(B42,УГО_спр,5,FALSE),0),IFERROR(--VLOOKUP(AX42,УГО_спр,5,FALSE),0),IFERROR(--VLOOKUP(LEFT(AX42,2),УГО_спр,5,FALSE),0)),IF(_xlpm.k&gt;0,_xlpm.k,IF(IFERROR(--LEFT(SUBSTITUTE(IH42,"x","х"),FIND("х",SUBSTITUTE(IH42,"x","х"))-1),3)&gt;3,Каталог!$S$9,1))))</f>
        <v>1</v>
      </c>
      <c r="IO42">
        <f t="shared" si="118"/>
        <v>0</v>
      </c>
      <c r="IP42" t="str">
        <f t="shared" si="119"/>
        <v>авто</v>
      </c>
      <c r="IQ42" t="str">
        <f t="shared" si="120"/>
        <v/>
      </c>
      <c r="IR42">
        <f t="shared" si="121"/>
        <v>0</v>
      </c>
      <c r="IS42">
        <f t="shared" si="122"/>
        <v>1</v>
      </c>
    </row>
    <row r="43" spans="1:253" x14ac:dyDescent="0.3">
      <c r="A43" t="s">
        <v>1104</v>
      </c>
      <c r="B43" t="s">
        <v>1316</v>
      </c>
      <c r="C43" t="str">
        <f>Линии[[#This Row],[_авто наименование]]</f>
        <v>Осветительная группа, пом. 005Т</v>
      </c>
      <c r="D43">
        <v>10</v>
      </c>
      <c r="E43">
        <v>0.1</v>
      </c>
      <c r="G43" t="str">
        <f>Линии[[#This Row],[_авто автомат]]</f>
        <v>1P С10А</v>
      </c>
      <c r="H43" t="str">
        <f>Линии[[#This Row],[_авто утечка]]</f>
        <v/>
      </c>
      <c r="I43" t="str">
        <f>Линии[[#This Row],[_авто управление]]</f>
        <v/>
      </c>
      <c r="J43" t="str">
        <f>Линии[[#This Row],[_авто аппараты]]</f>
        <v/>
      </c>
      <c r="K43">
        <v>1.5</v>
      </c>
      <c r="L43">
        <v>61</v>
      </c>
      <c r="M43" t="str">
        <f>Линии[[#This Row],[_авто фаза]]</f>
        <v>L3</v>
      </c>
      <c r="N43" t="str">
        <f>Линии[[#This Row],[_авто клемма]]</f>
        <v>XT12</v>
      </c>
      <c r="O43" t="str">
        <f t="shared" si="0"/>
        <v>не на схеме</v>
      </c>
      <c r="P43" s="6" cm="1">
        <f t="array" ref="P43">IF(B43="","",IF(BC43&lt;&gt;"",IFERROR(_xlfn.XLOOKUP(BC43,Щиты[Щит],Щиты[Iр, А]),""),IF(BK43=1,IFERROR(_xlfn.XLOOKUP(A43,Щиты[Щит],Щиты[Iр, А]),""),IFERROR(_xlfn.IFS(BR43=1,BN43/((Uн_лин/SQRT(3))*BY43),BR43=3,BN43/(SQRT(3)*Uн_лин*BY43)),""))))</f>
        <v>0.455802844097073</v>
      </c>
      <c r="Q43" s="7">
        <f>IF(B43="","",IFERROR(IF(VLOOKUP(AX43,Потребители_обозначение,4,FALSE)=1,VLOOKUP(AX43,Потребители_обозначение,3,FALSE)*(D43*2-1)+DS43+VLOOKUP(AZ43,Этаж_обозначение,3,FALSE)+VLOOKUP(AZ43,Этаж_обозначение,4,FALSE),VLOOKUP(AX43,Потребители_обозначение,3,FALSE)*(D43*2-1)+DS43),DS43))</f>
        <v>80</v>
      </c>
      <c r="R43" s="6">
        <f t="shared" si="1"/>
        <v>0.63</v>
      </c>
      <c r="S43" t="str">
        <f t="shared" si="2"/>
        <v>ВВГнг(А)-LS (3х1,5)</v>
      </c>
      <c r="T43" t="str">
        <f>IF(BH43="","",IF(BI43="вводной узел","узел ","")&amp;"л."&amp;(INT((BH43-1)/Столбцов_на_лист)+1)&amp;" / "&amp;(MOD(BH43-1,Столбцов_на_лист)+1))</f>
        <v/>
      </c>
      <c r="V43">
        <v>1</v>
      </c>
      <c r="W43">
        <v>230</v>
      </c>
      <c r="X43" t="s">
        <v>564</v>
      </c>
      <c r="AE43" t="s">
        <v>557</v>
      </c>
      <c r="AI43" t="s">
        <v>529</v>
      </c>
      <c r="AJ43" t="s">
        <v>11</v>
      </c>
      <c r="AK43">
        <v>3</v>
      </c>
      <c r="AM43">
        <v>19</v>
      </c>
      <c r="AN43">
        <v>53</v>
      </c>
      <c r="AW43" cm="1">
        <f t="array" ref="AW43">ROW()-ROW(Линии[#Headers])</f>
        <v>41</v>
      </c>
      <c r="AX43" s="6" t="str">
        <f t="shared" si="3"/>
        <v>L</v>
      </c>
      <c r="AY43" t="str">
        <f t="shared" si="4"/>
        <v>00.005Т.1</v>
      </c>
      <c r="AZ43" t="str">
        <f t="shared" si="5"/>
        <v>00</v>
      </c>
      <c r="BA43" t="str">
        <f t="shared" si="6"/>
        <v>005Т.1</v>
      </c>
      <c r="BB43" t="str">
        <f t="shared" si="7"/>
        <v>005Т</v>
      </c>
      <c r="BC43" t="str">
        <f>IF(U43&lt;&gt;"",U43,IF(AND(B43&lt;&gt;"",B43&lt;&gt;A43,ISNUMBER(_xlfn.XMATCH(B43,Щиты[Щит]))),B43,""))</f>
        <v/>
      </c>
      <c r="BD43" t="str" cm="1">
        <f t="array" ref="BD43">IF(B43="","",IF(BC43&lt;&gt;"","Щит "&amp;BC43,_xlfn.LET(_xlpm.nm,IFERROR(_xlfn.XLOOKUP(AX43,Коды_код,Коды_имя)&amp;"",""),_xlpm.md,IFERROR(N(_xlfn.XLOOKUP(AX43,Коды_код,Коды_режим)),1),_xlpm.ex,IF(Имя_режим="по экспликации",IFERROR(_xlfn.XLOOKUP(AZ43&amp;"|"&amp;BB43,Экспликация[Этаж]&amp;"|"&amp;Экспликация[Помещение],Экспликация[Название])&amp;"",""),""),_xlpm.rm,IF(BB43="","",IF(_xlpm.ex&lt;&gt;"",". "&amp;_xlpm.ex&amp;IF(Имя_пом="нет"," ("&amp;BB43&amp;")"," (пом. "&amp;BB43&amp;")"),IF(Имя_пом="нет"," ",", пом. ")&amp;BB43)),IF(_xlpm.nm="","",IF(_xlpm.md=2,_xlpm.nm&amp;" шлейф "&amp;AZ43,_xlpm.nm&amp;_xlpm.rm)))))</f>
        <v>Осветительная группа, пом. 005Т</v>
      </c>
      <c r="BE43" t="str">
        <f t="shared" si="8"/>
        <v>Осветительная группа, пом. 005Т</v>
      </c>
      <c r="BF43">
        <f>IFERROR(_xlfn.XMATCH(A43,Щиты[Щит]),0)</f>
        <v>3</v>
      </c>
      <c r="BG43">
        <f>_xlfn.LET(_xlpm.k,IFERROR(_xlfn.XLOOKUP(A43,Щиты[Щит],Щиты[Листов под вводной узел]),""),IF(_xlpm.k="",1,N(_xlpm.k))*Столбцов_на_лист)</f>
        <v>17</v>
      </c>
      <c r="BH43" t="str">
        <f t="shared" si="9"/>
        <v/>
      </c>
      <c r="BI43" t="str">
        <f t="shared" si="10"/>
        <v/>
      </c>
      <c r="BJ43" s="6">
        <f>IFERROR(N(_xlfn.XLOOKUP(AX43,Коды_код,Коды_квт)),0)</f>
        <v>0</v>
      </c>
      <c r="BK43">
        <f t="shared" si="11"/>
        <v>0</v>
      </c>
      <c r="BL43" t="str">
        <f>IF(B43="","",IF(BC43&lt;&gt;"",IFERROR(_xlfn.XLOOKUP(BC43,Щиты[Щит],Щиты[Руст, кВт]),0),IF(BK43=1,IFERROR(_xlfn.XLOOKUP(A43,Щиты[Щит],Щиты[Руст, кВт]),0),IF(BJ43&gt;0,ROUND(BJ43*MAX(1,N(D43)),3),""))))</f>
        <v/>
      </c>
      <c r="BM43">
        <f t="shared" si="12"/>
        <v>0.1</v>
      </c>
      <c r="BN43" s="6">
        <f>IF(B43="","",IF(BC43&lt;&gt;"",IFERROR(_xlfn.XLOOKUP(BC43,Щиты[Щит],Щиты[Руст, кВт]),0),N(BM43)))</f>
        <v>0.1</v>
      </c>
      <c r="BO43" t="str">
        <f>IF(B43="","",IFERROR(IF(VLOOKUP(AX43,Потребители_обозначение,8,FALSE)=0,"",VLOOKUP(AX43,Потребители_обозначение,8,FALSE)),""))</f>
        <v/>
      </c>
      <c r="BP43">
        <f t="shared" si="13"/>
        <v>230</v>
      </c>
      <c r="BQ43">
        <f>IF(B43="","",IF(BC43&lt;&gt;"",3,IFERROR(IF(N(VLOOKUP(AX43,Потребители_обозначение,9,FALSE))=0,1,VLOOKUP(AX43,Потребители_обозначение,9,FALSE)),1)))</f>
        <v>1</v>
      </c>
      <c r="BR43">
        <f t="shared" si="14"/>
        <v>1</v>
      </c>
      <c r="BS43" t="str">
        <f>IF(B43="","",_xlfn.LET(_xlpm.bc,IFERROR(IF(VLOOKUP(AX43,Потребители_обозначение,6,FALSE)=0,"",VLOOKUP(AX43,Потребители_обозначение,6,FALSE)&amp;""),""),IF(AND(FK43="да",OR(_xlpm.bc="",_xlpm.bc="мс")),Марка_пож,IF(AND(_xlpm.bc="",BC43&lt;&gt;""),"мс",_xlpm.bc))))</f>
        <v/>
      </c>
      <c r="BT43" t="str">
        <f t="shared" si="15"/>
        <v>мс</v>
      </c>
      <c r="BU43">
        <f>IF(B43="","",_xlfn.LET(_xlpm.cc,IFERROR(N(VLOOKUP(AX43,Потребители_обозначение,7,FALSE)),0),IF(_xlpm.cc&gt;0,_xlpm.cc,IF(BT43="","",IF(N(BR43)=3,5,3)))))</f>
        <v>3</v>
      </c>
      <c r="BV43">
        <f t="shared" si="16"/>
        <v>3</v>
      </c>
      <c r="BW43">
        <f>IFERROR(N(VLOOKUP(AX43,Потребители_обозначение,10,FALSE)),0)</f>
        <v>0</v>
      </c>
      <c r="BX43">
        <f>IFERROR(VLOOKUP(AX43,Потребители_обозначение,5,FALSE),0)</f>
        <v>3</v>
      </c>
      <c r="BY43" s="6" cm="1">
        <f t="array" ref="BY43">IF(B43="","",IF(BC43&lt;&gt;"",IFERROR(_xlfn.XLOOKUP(BC43,Щиты[Щит],Щиты[cos φ]),0.95),IF(BK43=1,IFERROR(_xlfn.XLOOKUP(A43,Щиты[Щит],Щиты[cos φ]),0.95),IF(ISNUMBER(Z43),Z43,IFERROR(IF(BX43=2,_xlfn.IFS(BR43=3,VLOOKUP(BN43,Справочная_двигатели,8,FALSE),BR43=1,VLOOKUP(BN43,Справочная_двигатели,10,TRUE)),IF(AND(Методика="нормы 2026",EQ43="Сил"),0.8,0.95)),0.95)))))</f>
        <v>0.95</v>
      </c>
      <c r="BZ43">
        <f t="shared" si="17"/>
        <v>0</v>
      </c>
      <c r="CA43">
        <f t="shared" si="18"/>
        <v>1</v>
      </c>
      <c r="CB43">
        <f t="shared" si="19"/>
        <v>0</v>
      </c>
      <c r="CC43">
        <f t="shared" si="20"/>
        <v>0</v>
      </c>
      <c r="CD43">
        <f t="shared" si="21"/>
        <v>0</v>
      </c>
      <c r="CE43">
        <f t="shared" si="22"/>
        <v>0</v>
      </c>
      <c r="CF43">
        <f t="shared" si="23"/>
        <v>0</v>
      </c>
      <c r="CG43">
        <f>IF(AX43="",0,_xlfn.LET(_xlpm.v,IFERROR(VLOOKUP(B43,УГО_спр,3,FALSE),IFERROR(VLOOKUP(AX43,УГО_спр,3,FALSE),IFERROR(VLOOKUP(LEFT(AX43,2),УГО_спр,3,FALSE),""))),IF(_xlpm.v="да",30,IF(ISNUMBER(_xlpm.v),_xlpm.v,0))))</f>
        <v>0</v>
      </c>
      <c r="CH43" t="str">
        <f t="shared" si="24"/>
        <v/>
      </c>
      <c r="CI43" t="str">
        <f>_xlfn.LET(_xlpm.k,IFERROR(_xlfn.XLOOKUP(AX43,Коды_код,Коды_утечка)&amp;"",""),IF(_xlpm.k="","дифавтомат",_xlpm.k))</f>
        <v>дифавтомат</v>
      </c>
      <c r="CJ43">
        <f t="shared" si="25"/>
        <v>0</v>
      </c>
      <c r="CK43">
        <f t="shared" si="26"/>
        <v>0</v>
      </c>
      <c r="CL43">
        <f>IF(B43="",0,IFERROR(--VLOOKUP(B43,УГО_спр,4,FALSE),IFERROR(--VLOOKUP(AX43,УГО_спр,4,FALSE),IFERROR(--VLOOKUP(LEFT(AX43,2),УГО_спр,4,FALSE),0))))</f>
        <v>10</v>
      </c>
      <c r="CM43" t="str">
        <f>IF(B43="","",IFERROR(_xlfn.XLOOKUP(AX43,Коды_код,Коды_апп)&amp;"",""))</f>
        <v/>
      </c>
      <c r="CN43" t="str">
        <f t="shared" si="27"/>
        <v/>
      </c>
      <c r="CO43" t="str" cm="1">
        <f t="array" ref="CO43">IF(TRIM(CN43&amp;"")="","",IFERROR(TRIM(INDEX(_xlfn.TEXTSPLIT(CN43&amp;";;;",";"),1)),""))</f>
        <v/>
      </c>
      <c r="CP43" t="str" cm="1">
        <f t="array" ref="CP43">IF(TRIM(CN43&amp;"")="","",IFERROR(TRIM(INDEX(_xlfn.TEXTSPLIT(CN43&amp;";;;",";"),2)),""))</f>
        <v/>
      </c>
      <c r="CQ43" t="str" cm="1">
        <f t="array" ref="CQ43">IF(TRIM(CN43&amp;"")="","",IFERROR(TRIM(INDEX(_xlfn.TEXTSPLIT(CN43&amp;";;;",";"),3)),""))</f>
        <v/>
      </c>
      <c r="CR43">
        <f t="shared" si="28"/>
        <v>0</v>
      </c>
      <c r="CS43" t="str">
        <f>IF(B43="","",_xlfn.LET(_xlpm.t,LOWER(AV43&amp;""),IF(ISNUMBER(SEARCH("dim",_xlpm.t)),"DIM",IF(ISNUMBER(SEARCH("dali",_xlpm.t)),"DALI",IF(OR(ISNUMBER(SEARCH("relay",_xlpm.t)),ISNUMBER(SEARCH("реле",_xlpm.t))),"Relay",IF(ISNUMBER(SEARCH("кнопк",_xlpm.t)),"",IFERROR(_xlfn.XLOOKUP(AX43,Коды_код,Коды_упр)&amp;"","")))))))</f>
        <v/>
      </c>
      <c r="CT43" t="str">
        <f t="shared" si="29"/>
        <v/>
      </c>
      <c r="CU43">
        <f>IF(B43="","",_xlfn.LET(_xlpm.ig,N(P43)+IF(AF43="вручную",0,N(CB43)),_xlpm.n0,IFERROR(VLOOKUP(_xlpm.ig,Автомат_номиналы,2,TRUE),0),_xlpm.mn,MAX(CL43,IF(AF43="вручную",0,N(CE43))),MAX(_xlpm.n0,_xlpm.mn,IF(CR43=1,Мин_автомат_БП,0))))</f>
        <v>10</v>
      </c>
      <c r="CV43">
        <f t="shared" si="30"/>
        <v>1</v>
      </c>
      <c r="CW43" t="str">
        <f t="shared" si="31"/>
        <v>1P</v>
      </c>
      <c r="CX43" t="str">
        <f>_xlfn.LET(_xlpm.cc,UPPER(TRIM(IFERROR(_xlfn.XLOOKUP(AX43,Коды_код,Коды_хар)&amp;"",""))),IF(OR(_xlpm.cc="B",_xlpm.cc="В"),"B",IF(_xlpm.cc="D","D","С")))</f>
        <v>С</v>
      </c>
      <c r="CY43" t="str">
        <f t="shared" si="32"/>
        <v>1P С10А</v>
      </c>
      <c r="CZ43" t="str">
        <f t="shared" si="33"/>
        <v>1P С10А</v>
      </c>
      <c r="DA43" t="str">
        <f t="shared" si="34"/>
        <v>1P С10А</v>
      </c>
      <c r="DB43" cm="1">
        <f t="array" ref="DB43">IF(DA43="","",_xlfn.LET(_xlpm.t,SUBSTITUTE(SUBSTITUTE(SUBSTITUTE(UPPER(DA43),"С","C"),"А","A"),"В","B"),_xlpm.tk,_xlfn.TEXTSPLIT(_xlpm.t,"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3" t="str">
        <f t="shared" si="35"/>
        <v>ok</v>
      </c>
      <c r="DD43">
        <f t="shared" si="36"/>
        <v>10</v>
      </c>
      <c r="DE43" t="str">
        <f t="shared" si="37"/>
        <v>1P С10А</v>
      </c>
      <c r="DF43">
        <f t="shared" si="38"/>
        <v>0</v>
      </c>
      <c r="DG43">
        <f t="shared" si="39"/>
        <v>0</v>
      </c>
      <c r="DH43">
        <f t="shared" si="40"/>
        <v>0</v>
      </c>
      <c r="DI43">
        <f t="shared" si="41"/>
        <v>0.455802844097073</v>
      </c>
      <c r="DJ43">
        <f t="shared" si="42"/>
        <v>1</v>
      </c>
      <c r="DK43">
        <f>IF(ISNUMBER(AL43),AL43,К_прокл)</f>
        <v>1</v>
      </c>
      <c r="DL43">
        <f t="shared" si="43"/>
        <v>2</v>
      </c>
      <c r="DM43">
        <f>IFERROR(N(VLOOKUP(BT43,Кабель_обозначение,3,FALSE)),1)</f>
        <v>1</v>
      </c>
      <c r="DN43">
        <f>IFERROR(N(_xlfn.XLOOKUP(A43,Щиты[Щит],Щиты[ΔU до шин, %])),0)</f>
        <v>0.17</v>
      </c>
      <c r="DO43" t="str">
        <f>IFERROR(_xlfn.XLOOKUP(A43,Щиты[Щит],Щиты[Zпетли на шинах, Ом]),"")</f>
        <v/>
      </c>
      <c r="DP43">
        <f>IFERROR(N(_xlfn.XLOOKUP(A43,Щиты[Щит],Щиты[ΔU до шин (подбор), %])),0)</f>
        <v>0.65</v>
      </c>
      <c r="DQ43" t="str">
        <f>IFERROR(_xlfn.XLOOKUP(A43,Щиты[Щит],Щиты[Zпетли на шинах (подбор), Ом]),"")</f>
        <v/>
      </c>
      <c r="DR43" t="str">
        <f t="shared" si="44"/>
        <v/>
      </c>
      <c r="DS43">
        <f t="shared" si="45"/>
        <v>61</v>
      </c>
      <c r="DT43">
        <f t="shared" si="46"/>
        <v>2</v>
      </c>
      <c r="DU43">
        <f t="shared" si="47"/>
        <v>0.31</v>
      </c>
      <c r="DV43" s="6">
        <f>IF(B43="","",IF(IFERROR(VLOOKUP(AX43,УГО_спр,2,FALSE),"")="Светильник",3,4)+IF(Методика="нормы 2026",MIN(0.5,MAX(0,N(Q43)-100)*0.005),0))</f>
        <v>3</v>
      </c>
      <c r="DW43" cm="1">
        <f t="array" ref="DW43">IF(OR(B43="",BT43="",DM43&lt;&gt;1),"",_xlfn.LET(_xlpm.sz,Iдоп_S,_xlpm.t_,CHOOSE(DL43,Iдоп_1ж,Iдоп_2ж,Iдоп_3ж)*DJ43*DK43,_xlpm.inn,N(DD43),_xlpm.smin,MAX(1.5,BW43),_xlpm.L_,N(Q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43)*(_xlpm.rho*_xlpm.L_/_xlpm.sz*N(BY43)+_xlpm.xx*_xlpm.L_*N(DU43)/1000)*N(P43)/((Uн_лин/SQRT(3))*1000)*100,999),_xlpm.kz,IF(OR(DG43=1,NOT(ISNUMBER(DQ43)),_xlpm.L_=0,_xlpm.inn=0),1,IFERROR(--(c_min*(Uн_лин*1000/SQRT(3))/(DQ43+2*ρкз_Cu*_xlpm.L_/_xlpm.sz)&gt;=GY43*_xlpm.inn),0)),_xlpm.ok,IFERROR((_xlpm.sz&gt;=_xlpm.smin)*(_xlpm.t_&gt;=_xlpm.inn)*IF(_xlpm.L_&gt;0,(_xlpm.du_+DP43&lt;=DV43+0.00001),1)*_xlpm.kz,0),_xlpm.r_,_xlfn._xlws.FILTER(_xlpm.sz,_xlpm.ok,"не подобрано"),INDEX(_xlpm.r_,1)))</f>
        <v>1.5</v>
      </c>
      <c r="DX43">
        <f t="shared" si="48"/>
        <v>1.5</v>
      </c>
      <c r="DY43" cm="1">
        <f t="array" ref="DY43">IF(OR(B43="",BT43="",DM43&lt;&gt;1),"",_xlfn.LET(_xlpm.sz,Iдоп_S,_xlpm.t_,CHOOSE(DL43,Iдоп_1ж,Iдоп_2ж,Iдоп_3ж)*DJ43*DK43,_xlpm.ok,IFERROR((_xlpm.sz&gt;=MAX(1.5,BW43))*(_xlpm.t_&gt;=N(DD43)),0),_xlpm.r_,_xlfn._xlws.FILTER(_xlpm.sz,_xlpm.ok,""),INDEX(_xlpm.r_,1)))</f>
        <v>1.5</v>
      </c>
      <c r="DZ43" s="6" cm="1">
        <f t="array" ref="DZ43">IFERROR(ROUNDUP(N(DT43)*(_xlfn.XLOOKUP(DY43,INDEX(Кабель_сопротивление,0,1),INDEX(Кабель_сопротивление,0,3))*N(Q43)/DY43*N(BY43)+_xlfn.XLOOKUP(DY43,INDEX(Кабель_сопротивление,0,1),INDEX(Кабель_сопротивление,0,2))*N(Q43)*N(DU43)/1000)*N(P43)/((Uн_лин/SQRT(3))*1000)*100,2),"")</f>
        <v>0.46</v>
      </c>
      <c r="EA43">
        <f>IFERROR(2*ρкз_Cu*N(Q43)/DY43,"")</f>
        <v>2.8053333333333335</v>
      </c>
      <c r="EB43">
        <f>IFERROR(VLOOKUP(DX43,Кабель_сопротивление,3,FALSE),"")</f>
        <v>2.2499999999999999E-2</v>
      </c>
      <c r="EC43">
        <f>IFERROR(VLOOKUP(DX43,Кабель_сопротивление,2,FALSE),"")</f>
        <v>0.11</v>
      </c>
      <c r="ED43">
        <f t="shared" si="49"/>
        <v>53</v>
      </c>
      <c r="EE43" t="str">
        <f t="shared" si="50"/>
        <v/>
      </c>
      <c r="EF43">
        <f t="shared" si="51"/>
        <v>1.04171734485872</v>
      </c>
      <c r="EG43" s="6">
        <f>IFERROR(ROUNDUP(EF43/((Uн_лин/SQRT(3))*1000)*100,2),"")</f>
        <v>0.46</v>
      </c>
      <c r="EH43" t="str">
        <f>IFERROR(VLOOKUP(BT43,Кабель_обозначение,2,FALSE),"")</f>
        <v>ВВГнг(А)-LS</v>
      </c>
      <c r="EI43" t="str">
        <f t="shared" si="52"/>
        <v>ВВГнг(А)-LS (3х1,5)</v>
      </c>
      <c r="EJ43" t="str">
        <f t="shared" si="53"/>
        <v>ВВГнг(А)-LS (3х1,5)
L=80-0,46%</v>
      </c>
      <c r="EK43">
        <f>IFERROR(2*ρкз_Cu*Q43/DX43,"")</f>
        <v>2.8053333333333335</v>
      </c>
      <c r="EL43">
        <f t="shared" si="54"/>
        <v>0.93333333333333346</v>
      </c>
      <c r="EM43" s="6" t="str">
        <f>IFERROR(IF(OR(B43="",NOT(ISNUMBER(DX43)),N(Q43)=0),"",_xlfn.XLOOKUP(A43,Щиты[Щит],Щиты[Zпетли на шинах, Ом])+EK43),"")</f>
        <v/>
      </c>
      <c r="EN43" s="6" t="str">
        <f>IF(ISNUMBER(EM43),c_min*(Uн_лин*1000/SQRT(3))/EM43,"")</f>
        <v/>
      </c>
      <c r="EO43" s="6" t="str">
        <f>IFERROR(IF(OR(B43="",NOT(ISNUMBER(DX43))),"",1.05*(Uн_лин*1000/SQRT(3))/(_xlfn.XLOOKUP(A43,Щиты[Щит],Щиты[Zmax на шинах, Ом])+EL43)/1000),"")</f>
        <v/>
      </c>
      <c r="EP43" s="6" t="str">
        <f>IF(B43="","",IF(ISNUMBER(Y43),"Сил",IF(IFERROR(_xlfn.XLOOKUP(AX43,Коды_код,Коды_группа)&amp;"","")="","Быт",_xlfn.XLOOKUP(AX43,Коды_код,Коды_группа)&amp;"")))</f>
        <v>Быт</v>
      </c>
      <c r="EQ43" s="6" t="str">
        <f t="shared" si="55"/>
        <v>Быт</v>
      </c>
      <c r="ER43" s="6">
        <f>IF(EQ43="Щит","щит",IF(EQ43="","",IF(EQ43="Быт",IFERROR(_xlfn.XLOOKUP(A43,Щиты[Щит],Щиты[Кс быт]),1),IF(EQ43="Сил",IF(ISNUMBER(Y43),Y43,IF(Методика="нормы 2026",IFERROR(_xlfn.XLOOKUP(A43,Щиты[Щит],Щиты[Кс силовых (табл. 7.5)]),1),1)),IF(OR(EQ43="Пост",EQ43="Отоп"),1,IF(EQ43="ВНГ",0.7,0))))))</f>
        <v>0.8</v>
      </c>
      <c r="ES43">
        <f t="shared" si="56"/>
        <v>1</v>
      </c>
      <c r="ET43">
        <f t="shared" si="57"/>
        <v>0.1</v>
      </c>
      <c r="EU43">
        <f t="shared" si="58"/>
        <v>0.1</v>
      </c>
      <c r="EV43">
        <f t="shared" si="59"/>
        <v>0</v>
      </c>
      <c r="EW43">
        <f t="shared" si="60"/>
        <v>0</v>
      </c>
      <c r="EX43">
        <f t="shared" si="61"/>
        <v>0</v>
      </c>
      <c r="EY43">
        <f t="shared" si="62"/>
        <v>0</v>
      </c>
      <c r="EZ43">
        <f t="shared" si="63"/>
        <v>0.1</v>
      </c>
      <c r="FA43">
        <f t="shared" si="64"/>
        <v>9.5000000000000001E-2</v>
      </c>
      <c r="FB43">
        <f t="shared" si="65"/>
        <v>0.1</v>
      </c>
      <c r="FC43" t="str">
        <f t="shared" si="66"/>
        <v/>
      </c>
      <c r="FD43" t="str">
        <f>IF(B43="","",IF(CA43=0,IF(AW43=1,"",FF42),IF(OR(N(CV43)&gt;=3,N(BR43)&gt;=3),"L1,L2,L3",IFERROR(_xlfn.TEXTBEFORE(_xlfn.TEXTAFTER(_xlfn.XLOOKUP(A43,Щиты[Щит],Щиты[_фазы авто]),";"&amp;AW43&amp;":"),";"),"L1"))))</f>
        <v>L3</v>
      </c>
      <c r="FE43" t="str">
        <f t="shared" si="67"/>
        <v>L3</v>
      </c>
      <c r="FF43" t="str">
        <f t="shared" si="68"/>
        <v>L3</v>
      </c>
      <c r="FG43" cm="1">
        <f t="array" ref="FG43">IFERROR(IF(BX43=2,_xlfn.IFS(BR43=3,VLOOKUP(BN43,Справочная_двигатели,3,FALSE),BR43=1,VLOOKUP(BN43,Справочная_двигатели,5,TRUE)),0),0)</f>
        <v>0</v>
      </c>
      <c r="FH43">
        <f>IFERROR(IF(BX43=3,VLOOKUP(BN43,Справочная_ЛЭД,2,TRUE),0),0)</f>
        <v>50</v>
      </c>
      <c r="FI43" s="6">
        <f t="shared" si="69"/>
        <v>50</v>
      </c>
      <c r="FJ43" t="str" cm="1">
        <f t="array" ref="FJ43">IF(B43="","",IFERROR(INDEX({"I особая","I","II","III"},MATCH(TRIM(AC43&amp;""),{"I особая","I","II","III"},0)),"III"))</f>
        <v>III</v>
      </c>
      <c r="FK43" t="str">
        <f>IF(B43="","",IF(TRIM(AD43&amp;"")&lt;&gt;"",IF(LOWER(TRIM(AD43&amp;""))="да","да","нет"),IF(IFERROR(_xlfn.XLOOKUP(AX43,Коды_код,Коды_пожарная),"")="да","да","нет")))</f>
        <v>нет</v>
      </c>
      <c r="FL43" t="str">
        <f t="shared" si="70"/>
        <v/>
      </c>
      <c r="FM43" t="str">
        <f t="shared" si="71"/>
        <v>основная</v>
      </c>
      <c r="FN43">
        <f t="shared" si="72"/>
        <v>1</v>
      </c>
      <c r="FO43" t="str" cm="1">
        <f t="array" ref="FO43">IF(B43="","",_xlfn.LET(_xlpm.t,IFERROR(_xlfn.XLOOKUP(1,(Шины[Шина]=FM43)*(((Шины[Щит]=A43)+(Шины[Щит]=""))&gt;0),Шины[Тип]),"")&amp;"",IF(_xlpm.t&lt;&gt;"",_xlpm.t,IF(ISNUMBER(SEARCH("ИБП",FM43)),"ИБП",IF(ISNUMBER(SEARCH("ДГУ",FM43)),"ДГУ","Ввод "&amp;FN43)))))</f>
        <v>Ввод 1</v>
      </c>
      <c r="FP43" t="str">
        <f t="shared" si="73"/>
        <v>Ввод 1</v>
      </c>
      <c r="FQ43" t="str">
        <f>IF(B43="","",IF(OR(FO43="ИБП",FO43="ДГУ"),"I особая",IF(FO43="Одиночная","III",_xlfn.XLOOKUP(A43,Щиты[Щит],Щиты[Категория шины «Ввод»],"III"))))</f>
        <v>II</v>
      </c>
      <c r="FR43">
        <f>IF(B43="",0,IFERROR(MATCH(FJ43,{"III","II","I","I особая"},0),1))</f>
        <v>1</v>
      </c>
      <c r="FS43">
        <f t="shared" si="74"/>
        <v>1</v>
      </c>
      <c r="FT43" t="str">
        <f>IF(B43="","",IF(FR43&gt;IFERROR(MATCH(FQ43,{"III","II","I","I особая"},0),1),"НЕ ОБЕСПЕЧЕНА","ОК"))</f>
        <v>ОК</v>
      </c>
      <c r="FU43" t="str">
        <f>IF(A43="","",_xlfn.XLOOKUP(A43,Щиты[Щит],Щиты[Путь],""))</f>
        <v>|ГРЩ-ЖД|ЩГП|ЩО-001|</v>
      </c>
      <c r="FV43" t="str">
        <f>IF(B43="","",IF(AE43&lt;&gt;"",AE43,IF(IFERROR(_xlfn.XLOOKUP(AX43,Коды_код,Коды_вид)&amp;"","")="","Прочее",_xlfn.XLOOKUP(AX43,Коды_код,Коды_вид)&amp;"")))</f>
        <v>Рабочее освещение</v>
      </c>
      <c r="FW43" t="str">
        <f>IF(BH43="","",INT((BH43-1)/Столбцов_на_лист)+1)</f>
        <v/>
      </c>
      <c r="FX43" t="str">
        <f t="shared" si="75"/>
        <v>ВВГнг(А)-LS (3х1,5) L=80-0,46%</v>
      </c>
      <c r="FY43">
        <f t="shared" si="76"/>
        <v>0.1</v>
      </c>
      <c r="FZ43">
        <f t="shared" si="77"/>
        <v>0.46</v>
      </c>
      <c r="GA43">
        <f t="shared" si="78"/>
        <v>1</v>
      </c>
      <c r="GB43">
        <f t="shared" si="79"/>
        <v>0</v>
      </c>
      <c r="GC43">
        <f t="shared" si="80"/>
        <v>0</v>
      </c>
      <c r="GD43" t="str">
        <f>IF(BH43="","",IF(AND(CA43=1,GC43=1),COUNTIFS(A$3:A43,A43,CA$3:CA43,1,GC$3:GC43,1),IF(OR(OR(AW43=1,A43&lt;&gt;A42),AF43="вручную",GC43=0),"",IF(AW43=1,"",GE42))))</f>
        <v/>
      </c>
      <c r="GE43" t="str">
        <f t="shared" si="81"/>
        <v/>
      </c>
      <c r="GF43">
        <f>IF(B43="","",IFERROR(LOOKUP(INDEX(CHOOSE(DL43,Iдоп_1ж,Iдоп_2ж,Iдоп_3ж),MATCH(DX43,Iдоп_S,0))*DJ43*DK43,{6,10,16,20,25,32,40,50,63,80,100,125,160,200,250,315,400,500,630}),""))</f>
        <v>16</v>
      </c>
      <c r="GG43" t="str">
        <f t="shared" si="82"/>
        <v/>
      </c>
      <c r="GH43" t="str">
        <f t="shared" si="83"/>
        <v/>
      </c>
      <c r="GI43" t="str">
        <f t="shared" si="84"/>
        <v/>
      </c>
      <c r="GJ43">
        <f t="shared" si="85"/>
        <v>0</v>
      </c>
      <c r="GK43" t="str">
        <f>IF(OR(AG43="",AG43="-"),"",IFERROR(VLOOKUP(AG43,Модули_спр,2,FALSE),"R"))</f>
        <v/>
      </c>
      <c r="GL43" t="str">
        <f>IF(GK43="","",GK43&amp;"."&amp;COUNTIFS(A$3:A43,A43,GK$3:GK43,GK43))</f>
        <v/>
      </c>
      <c r="GM43" t="str">
        <f t="shared" si="86"/>
        <v/>
      </c>
      <c r="GN43" t="str">
        <f t="shared" si="87"/>
        <v/>
      </c>
      <c r="GO43" t="str">
        <f t="shared" si="88"/>
        <v/>
      </c>
      <c r="GP43" t="str">
        <f t="shared" si="89"/>
        <v/>
      </c>
      <c r="GQ43">
        <f t="shared" si="90"/>
        <v>1</v>
      </c>
      <c r="GR43" t="str">
        <f>IF(GQ43=1,"XT"&amp;COUNTIFS(A$3:A43,A43,GQ$3:GQ43,1),"")</f>
        <v>XT12</v>
      </c>
      <c r="GS43" t="str">
        <f t="shared" si="91"/>
        <v>XT12</v>
      </c>
      <c r="GT43" t="str">
        <f t="shared" si="92"/>
        <v/>
      </c>
      <c r="GU43" t="str">
        <f t="shared" si="93"/>
        <v/>
      </c>
      <c r="GV43" t="str">
        <f t="shared" si="94"/>
        <v>ok</v>
      </c>
      <c r="GW43" t="str">
        <f>IF(OR(GO43="",GM43=""),"",IF(GO43&gt;IFERROR(VLOOKUP(GN43,Модули_спр,3,FALSE),99),"ЛИШНИЙ КАНАЛ",IF(AND(AH43&lt;&gt;"=",COUNTIFS(Линии[_модуль гр.],GM43,Линии[Канал (итог)],GO43,Линии[Канал],"&lt;&gt;=",Линии[Щит],A43)&gt;1),"ДУБЛЬ КАНАЛА","")))</f>
        <v/>
      </c>
      <c r="GX43" s="6" t="str">
        <f t="shared" si="95"/>
        <v/>
      </c>
      <c r="GY43">
        <f t="shared" si="96"/>
        <v>10</v>
      </c>
      <c r="GZ43" t="str">
        <f t="shared" si="97"/>
        <v/>
      </c>
      <c r="HA43" t="str">
        <f>IF(AND(B43="",GT43=""),"",_xlfn.TEXTJOIN("; ",TRUE,IF(AND(B43&lt;&gt;"",FE43=""),"нет фазы",""),IF(AND(B43&lt;&gt;"",N(FY43)=0,EQ43&lt;&gt;"Нет"),"нет мощности",""),IF(AND(GS43&lt;&gt;"",COUNTIFS(Линии[Щит],A43,Линии[Клемма (итог)],GS43)&gt;1),"дубль клеммы "&amp;GS43,""),IF(AND(GV43&lt;&gt;"",GV43&lt;&gt;"ok"),GV43,""),IF(GW43&lt;&gt;"",GW43,""),IF(AND(N(BV43)&gt;=4,N(BR43)=1),BV43&amp;" жил на 1 фазе",""),IF(AND(AX43="R",CA43=1,OR(N(CK43)=0,N(CK43)&gt;30)),"розетка без дифзащиты до 30 мА",""),IFERROR(IF(AND(ISNUMBER(R43),R43&gt;DV43),"потери "&amp;FIXED(R43,1)&amp;" % &gt; "&amp;DV43&amp;" %",""),""),IFERROR(IF(LEFT(GZ43,4)="мало","Iкз мало — отключение &gt; 0,4 с",""),""),IF(AND(B43&lt;&gt;"",BH43=""),"не на схеме",""),IF(AND(CA43=0,B43&lt;&gt;"",FE43&lt;&gt;"",IF(AW43=1,"",FF42)&lt;&gt;"",FE43&lt;&gt;IF(AW43=1,"",FF42)),"фаза не как у автомата группы ("&amp;IF(AW43=1,"",FF42)&amp;")","")))</f>
        <v>не на схеме</v>
      </c>
      <c r="HB43" s="6">
        <f>IF(OR(CA43=0,DA43=""),"",_xlfn.LET(_xlpm.t,IFERROR(_xlfn.XLOOKUP(DA43,Каталог!$U$4:$U$500,Каталог!$G$4:$G$500),""),_xlpm.k,SEARCH("кА",_xlpm.t),IFERROR(--TRIM(RIGHT(SUBSTITUTE(MID(_xlpm.t,MAX(1,_xlpm.k-4),_xlpm.k-MAX(1,_xlpm.k-4))," ",REPT(" ",9)),5)),"")))</f>
        <v>6</v>
      </c>
      <c r="HC43" t="str">
        <f>IF(OR(HB43="",CA43=0),"",IF(_xlfn.XLOOKUP(A43,Щиты[Щит],Щиты[Iкз max на шинах, кА],"")="","",IF(HB43&lt;_xlfn.XLOOKUP(A43,Щиты[Щит],Щиты[Iкз max на шинах, кА]),"Icu "&amp;HB43&amp;" кА &lt; Iкз max","ok")))</f>
        <v/>
      </c>
      <c r="HD43" t="str">
        <f t="shared" si="98"/>
        <v/>
      </c>
      <c r="HE43" t="str">
        <f t="shared" si="99"/>
        <v/>
      </c>
      <c r="HF43" t="str">
        <f t="shared" si="100"/>
        <v/>
      </c>
      <c r="HG43" t="str" cm="1">
        <f t="array" ref="HG43">IF(HF43="","",_xlfn.LET(_xlpm.nd,_xlfn.TEXTSPLIT(HF43,"|"),IF(COLUMNS(_xlpm.nd)&gt;1,A43&amp;"¦"&amp;INDEX(_xlpm.nd,1)&amp;"¦"&amp;INDEX(_xlpm.nd,2),"")))</f>
        <v/>
      </c>
      <c r="HH43" t="str">
        <f t="shared" si="101"/>
        <v/>
      </c>
      <c r="HI43" t="str" cm="1">
        <f t="array" ref="HI43">IF(HF43="","",_xlfn.LET(_xlpm.nd,_xlfn.TEXTSPLIT(HF43,"|"),IF(COLUMNS(_xlpm.nd)&gt;2,A43&amp;"¦"&amp;INDEX(_xlpm.nd,2)&amp;"¦"&amp;INDEX(_xlpm.nd,3),"")))</f>
        <v/>
      </c>
      <c r="HJ43" t="str">
        <f t="shared" si="102"/>
        <v/>
      </c>
      <c r="HK43" t="str" cm="1">
        <f t="array" ref="HK43">IF(HF43="","",_xlfn.LET(_xlpm.nd,_xlfn.TEXTSPLIT(HF43,"|"),IF(COLUMNS(_xlpm.nd)&gt;3,A43&amp;"¦"&amp;INDEX(_xlpm.nd,3)&amp;"¦"&amp;INDEX(_xlpm.nd,4),"")))</f>
        <v/>
      </c>
      <c r="HL43" t="str">
        <f t="shared" si="103"/>
        <v/>
      </c>
      <c r="HM43" t="str" cm="1">
        <f t="array" ref="HM43">IF(HF43="","",_xlfn.LET(_xlpm.nd,_xlfn.TEXTSPLIT(HF43,"|"),IF(COLUMNS(_xlpm.nd)&gt;4,A43&amp;"¦"&amp;INDEX(_xlpm.nd,4)&amp;"¦"&amp;INDEX(_xlpm.nd,5),"")))</f>
        <v/>
      </c>
      <c r="HN43" t="str">
        <f t="shared" si="104"/>
        <v/>
      </c>
      <c r="HO43" t="str" cm="1">
        <f t="array" ref="HO43">IF(HF43="","",_xlfn.LET(_xlpm.nd,_xlfn.TEXTSPLIT(HF43,"|"),IF(COLUMNS(_xlpm.nd)&gt;5,A43&amp;"¦"&amp;INDEX(_xlpm.nd,5)&amp;"¦"&amp;INDEX(_xlpm.nd,6),"")))</f>
        <v/>
      </c>
      <c r="HP43" t="str">
        <f t="shared" si="105"/>
        <v/>
      </c>
      <c r="HQ43" t="str" cm="1">
        <f t="array" ref="HQ43">IF(HF43="","",_xlfn.LET(_xlpm.nd,_xlfn.TEXTSPLIT(HF43,"|"),IF(COLUMNS(_xlpm.nd)&gt;6,A43&amp;"¦"&amp;INDEX(_xlpm.nd,6)&amp;"¦"&amp;INDEX(_xlpm.nd,7),"")))</f>
        <v/>
      </c>
      <c r="HR43" t="str">
        <f t="shared" si="106"/>
        <v/>
      </c>
      <c r="HS43" t="str">
        <f t="shared" si="107"/>
        <v/>
      </c>
      <c r="HT43" t="str">
        <f t="shared" si="108"/>
        <v>XT12</v>
      </c>
      <c r="HU43">
        <f t="shared" si="109"/>
        <v>0</v>
      </c>
      <c r="HV43">
        <f t="shared" si="110"/>
        <v>0</v>
      </c>
      <c r="HW43" t="str">
        <f t="shared" si="111"/>
        <v/>
      </c>
      <c r="HX43" t="str">
        <f t="shared" si="112"/>
        <v/>
      </c>
      <c r="HY43" t="str">
        <f t="shared" si="113"/>
        <v/>
      </c>
      <c r="HZ43" t="str">
        <f t="shared" si="114"/>
        <v/>
      </c>
      <c r="IA43" t="str">
        <f>IF(B43="","",IFERROR(VLOOKUP(B43,УГО_спр,2,FALSE),IFERROR(VLOOKUP(AX43,УГО_спр,2,FALSE),IFERROR(VLOOKUP(LEFT(AX43,2),УГО_спр,2,FALSE),""))))</f>
        <v>Светильник</v>
      </c>
      <c r="IB43" t="str">
        <f>IF(B43="","",IF(OR(IA43="",IA43=0),"BOX",IFERROR(IF(VLOOKUP(IA43,УГО_блоки,3,FALSE)&amp;""&lt;&gt;"",VLOOKUP(IA43,УГО_блоки,3,FALSE),VLOOKUP(IA43,УГО_блоки,2,FALSE)),IA43)))</f>
        <v>LAMP</v>
      </c>
      <c r="IC43">
        <f t="shared" si="115"/>
        <v>1</v>
      </c>
      <c r="ID43" t="str">
        <f>IF(DA43="","",IF(COUNTIF(DA$3:DA43,DA43)=1,MAX(ID$2:ID42)+1,""))</f>
        <v/>
      </c>
      <c r="IE43" t="str">
        <f>IF(CO43="","",IF(COUNTIF(CO$3:CO43,CO43)+COUNTIF(CP$2:CP42,CO43)+COUNTIF(CQ$2:CQ42,CO43)=1,MAX(IE$2:IG42)+1,""))</f>
        <v/>
      </c>
      <c r="IF43" t="str">
        <f>IF(CP43="","",IF(COUNTIF(CO$3:CO43,CP43)+COUNTIF(CP$3:CP43,CP43)+COUNTIF(CQ$2:CQ42,CP43)=1,MAX(IE$2:IG42,IE43)+1,""))</f>
        <v/>
      </c>
      <c r="IG43" t="str">
        <f>IF(CQ43="","",IF(COUNTIF(CO$3:CO43,CQ43)+COUNTIF(CP$3:CP43,CQ43)+COUNTIF(CQ$3:CQ43,CQ43)=1,MAX(IE$2:IG42,IE43,IF43)+1,""))</f>
        <v/>
      </c>
      <c r="IH43" t="str">
        <f t="shared" si="116"/>
        <v>3х1,5</v>
      </c>
      <c r="II43" t="str">
        <f>IF(IH43="","",IF(COUNTIF(IH$3:IH43,IH43)=1,MAX(II$2:II42)+1,""))</f>
        <v/>
      </c>
      <c r="IJ43" t="str">
        <f>IF(GL43="","",COUNTIF(GL$3:GL43,"?*"))</f>
        <v/>
      </c>
      <c r="IK43" t="str">
        <f>IF(OR(GL43="",GN43=""),"",IF(COUNTIFS(GL$3:GL43,"?*",GN$3:GN43,GN43)=1,MAX(IK$2:IK42)+1,""))</f>
        <v/>
      </c>
      <c r="IL43">
        <f t="shared" si="117"/>
        <v>1</v>
      </c>
      <c r="IM43">
        <f>IF(B43="","",COUNTIF(B$3:B43,"?*"))</f>
        <v>41</v>
      </c>
      <c r="IN43">
        <f>IF(GQ43&lt;&gt;1,0,_xlfn.LET(_xlpm.k,MAX(IFERROR(--VLOOKUP(B43,УГО_спр,5,FALSE),0),IFERROR(--VLOOKUP(AX43,УГО_спр,5,FALSE),0),IFERROR(--VLOOKUP(LEFT(AX43,2),УГО_спр,5,FALSE),0)),IF(_xlpm.k&gt;0,_xlpm.k,IF(IFERROR(--LEFT(SUBSTITUTE(IH43,"x","х"),FIND("х",SUBSTITUTE(IH43,"x","х"))-1),3)&gt;3,Каталог!$S$9,1))))</f>
        <v>1</v>
      </c>
      <c r="IO43">
        <f t="shared" si="118"/>
        <v>0</v>
      </c>
      <c r="IP43" t="str">
        <f t="shared" si="119"/>
        <v>авто</v>
      </c>
      <c r="IQ43" t="str">
        <f t="shared" si="120"/>
        <v/>
      </c>
      <c r="IR43">
        <f t="shared" si="121"/>
        <v>0</v>
      </c>
      <c r="IS43">
        <f t="shared" si="122"/>
        <v>1</v>
      </c>
    </row>
    <row r="44" spans="1:253" x14ac:dyDescent="0.3">
      <c r="A44" t="s">
        <v>1104</v>
      </c>
      <c r="B44" t="s">
        <v>1317</v>
      </c>
      <c r="C44" t="str">
        <f>Линии[[#This Row],[_авто наименование]]</f>
        <v>Осветительная группа, пом. 006Б</v>
      </c>
      <c r="D44">
        <v>4</v>
      </c>
      <c r="E44">
        <v>0.1</v>
      </c>
      <c r="G44" t="str">
        <f>Линии[[#This Row],[_авто автомат]]</f>
        <v>1P С10А</v>
      </c>
      <c r="H44" t="str">
        <f>Линии[[#This Row],[_авто утечка]]</f>
        <v/>
      </c>
      <c r="I44" t="str">
        <f>Линии[[#This Row],[_авто управление]]</f>
        <v/>
      </c>
      <c r="J44" t="str">
        <f>Линии[[#This Row],[_авто аппараты]]</f>
        <v/>
      </c>
      <c r="K44">
        <v>1.5</v>
      </c>
      <c r="L44">
        <v>25</v>
      </c>
      <c r="M44" t="str">
        <f>Линии[[#This Row],[_авто фаза]]</f>
        <v>L1</v>
      </c>
      <c r="N44" t="str">
        <f>Линии[[#This Row],[_авто клемма]]</f>
        <v>XT13</v>
      </c>
      <c r="O44" t="str">
        <f t="shared" si="0"/>
        <v>не на схеме</v>
      </c>
      <c r="P44" s="6" cm="1">
        <f t="array" ref="P44">IF(B44="","",IF(BC44&lt;&gt;"",IFERROR(_xlfn.XLOOKUP(BC44,Щиты[Щит],Щиты[Iр, А]),""),IF(BK44=1,IFERROR(_xlfn.XLOOKUP(A44,Щиты[Щит],Щиты[Iр, А]),""),IFERROR(_xlfn.IFS(BR44=1,BN44/((Uн_лин/SQRT(3))*BY44),BR44=3,BN44/(SQRT(3)*Uн_лин*BY44)),""))))</f>
        <v>0.455802844097073</v>
      </c>
      <c r="Q44" s="7">
        <f>IF(B44="","",IFERROR(IF(VLOOKUP(AX44,Потребители_обозначение,4,FALSE)=1,VLOOKUP(AX44,Потребители_обозначение,3,FALSE)*(D44*2-1)+DS44+VLOOKUP(AZ44,Этаж_обозначение,3,FALSE)+VLOOKUP(AZ44,Этаж_обозначение,4,FALSE),VLOOKUP(AX44,Потребители_обозначение,3,FALSE)*(D44*2-1)+DS44),DS44))</f>
        <v>32</v>
      </c>
      <c r="R44" s="6">
        <f t="shared" si="1"/>
        <v>0.36</v>
      </c>
      <c r="S44" t="str">
        <f t="shared" si="2"/>
        <v>ВВГнг(А)-LS (3х1,5)</v>
      </c>
      <c r="T44" t="str">
        <f>IF(BH44="","",IF(BI44="вводной узел","узел ","")&amp;"л."&amp;(INT((BH44-1)/Столбцов_на_лист)+1)&amp;" / "&amp;(MOD(BH44-1,Столбцов_на_лист)+1))</f>
        <v/>
      </c>
      <c r="V44">
        <v>1</v>
      </c>
      <c r="W44">
        <v>230</v>
      </c>
      <c r="X44" t="s">
        <v>564</v>
      </c>
      <c r="AE44" t="s">
        <v>557</v>
      </c>
      <c r="AI44" t="s">
        <v>529</v>
      </c>
      <c r="AJ44" t="s">
        <v>11</v>
      </c>
      <c r="AK44">
        <v>3</v>
      </c>
      <c r="AM44">
        <v>7</v>
      </c>
      <c r="AN44">
        <v>0</v>
      </c>
      <c r="AO44">
        <v>28</v>
      </c>
      <c r="AW44" cm="1">
        <f t="array" ref="AW44">ROW()-ROW(Линии[#Headers])</f>
        <v>42</v>
      </c>
      <c r="AX44" s="6" t="str">
        <f t="shared" si="3"/>
        <v>L</v>
      </c>
      <c r="AY44" t="str">
        <f t="shared" si="4"/>
        <v>00.006Б.1</v>
      </c>
      <c r="AZ44" t="str">
        <f t="shared" si="5"/>
        <v>00</v>
      </c>
      <c r="BA44" t="str">
        <f t="shared" si="6"/>
        <v>006Б.1</v>
      </c>
      <c r="BB44" t="str">
        <f t="shared" si="7"/>
        <v>006Б</v>
      </c>
      <c r="BC44" t="str">
        <f>IF(U44&lt;&gt;"",U44,IF(AND(B44&lt;&gt;"",B44&lt;&gt;A44,ISNUMBER(_xlfn.XMATCH(B44,Щиты[Щит]))),B44,""))</f>
        <v/>
      </c>
      <c r="BD44" t="str" cm="1">
        <f t="array" ref="BD44">IF(B44="","",IF(BC44&lt;&gt;"","Щит "&amp;BC44,_xlfn.LET(_xlpm.nm,IFERROR(_xlfn.XLOOKUP(AX44,Коды_код,Коды_имя)&amp;"",""),_xlpm.md,IFERROR(N(_xlfn.XLOOKUP(AX44,Коды_код,Коды_режим)),1),_xlpm.ex,IF(Имя_режим="по экспликации",IFERROR(_xlfn.XLOOKUP(AZ44&amp;"|"&amp;BB44,Экспликация[Этаж]&amp;"|"&amp;Экспликация[Помещение],Экспликация[Название])&amp;"",""),""),_xlpm.rm,IF(BB44="","",IF(_xlpm.ex&lt;&gt;"",". "&amp;_xlpm.ex&amp;IF(Имя_пом="нет"," ("&amp;BB44&amp;")"," (пом. "&amp;BB44&amp;")"),IF(Имя_пом="нет"," ",", пом. ")&amp;BB44)),IF(_xlpm.nm="","",IF(_xlpm.md=2,_xlpm.nm&amp;" шлейф "&amp;AZ44,_xlpm.nm&amp;_xlpm.rm)))))</f>
        <v>Осветительная группа, пом. 006Б</v>
      </c>
      <c r="BE44" t="str">
        <f t="shared" si="8"/>
        <v>Осветительная группа, пом. 006Б</v>
      </c>
      <c r="BF44">
        <f>IFERROR(_xlfn.XMATCH(A44,Щиты[Щит]),0)</f>
        <v>3</v>
      </c>
      <c r="BG44">
        <f>_xlfn.LET(_xlpm.k,IFERROR(_xlfn.XLOOKUP(A44,Щиты[Щит],Щиты[Листов под вводной узел]),""),IF(_xlpm.k="",1,N(_xlpm.k))*Столбцов_на_лист)</f>
        <v>17</v>
      </c>
      <c r="BH44" t="str">
        <f t="shared" si="9"/>
        <v/>
      </c>
      <c r="BI44" t="str">
        <f t="shared" si="10"/>
        <v/>
      </c>
      <c r="BJ44" s="6">
        <f>IFERROR(N(_xlfn.XLOOKUP(AX44,Коды_код,Коды_квт)),0)</f>
        <v>0</v>
      </c>
      <c r="BK44">
        <f t="shared" si="11"/>
        <v>0</v>
      </c>
      <c r="BL44" t="str">
        <f>IF(B44="","",IF(BC44&lt;&gt;"",IFERROR(_xlfn.XLOOKUP(BC44,Щиты[Щит],Щиты[Руст, кВт]),0),IF(BK44=1,IFERROR(_xlfn.XLOOKUP(A44,Щиты[Щит],Щиты[Руст, кВт]),0),IF(BJ44&gt;0,ROUND(BJ44*MAX(1,N(D44)),3),""))))</f>
        <v/>
      </c>
      <c r="BM44">
        <f t="shared" si="12"/>
        <v>0.1</v>
      </c>
      <c r="BN44" s="6">
        <f>IF(B44="","",IF(BC44&lt;&gt;"",IFERROR(_xlfn.XLOOKUP(BC44,Щиты[Щит],Щиты[Руст, кВт]),0),N(BM44)))</f>
        <v>0.1</v>
      </c>
      <c r="BO44" t="str">
        <f>IF(B44="","",IFERROR(IF(VLOOKUP(AX44,Потребители_обозначение,8,FALSE)=0,"",VLOOKUP(AX44,Потребители_обозначение,8,FALSE)),""))</f>
        <v/>
      </c>
      <c r="BP44">
        <f t="shared" si="13"/>
        <v>230</v>
      </c>
      <c r="BQ44">
        <f>IF(B44="","",IF(BC44&lt;&gt;"",3,IFERROR(IF(N(VLOOKUP(AX44,Потребители_обозначение,9,FALSE))=0,1,VLOOKUP(AX44,Потребители_обозначение,9,FALSE)),1)))</f>
        <v>1</v>
      </c>
      <c r="BR44">
        <f t="shared" si="14"/>
        <v>1</v>
      </c>
      <c r="BS44" t="str">
        <f>IF(B44="","",_xlfn.LET(_xlpm.bc,IFERROR(IF(VLOOKUP(AX44,Потребители_обозначение,6,FALSE)=0,"",VLOOKUP(AX44,Потребители_обозначение,6,FALSE)&amp;""),""),IF(AND(FK44="да",OR(_xlpm.bc="",_xlpm.bc="мс")),Марка_пож,IF(AND(_xlpm.bc="",BC44&lt;&gt;""),"мс",_xlpm.bc))))</f>
        <v/>
      </c>
      <c r="BT44" t="str">
        <f t="shared" si="15"/>
        <v>мс</v>
      </c>
      <c r="BU44">
        <f>IF(B44="","",_xlfn.LET(_xlpm.cc,IFERROR(N(VLOOKUP(AX44,Потребители_обозначение,7,FALSE)),0),IF(_xlpm.cc&gt;0,_xlpm.cc,IF(BT44="","",IF(N(BR44)=3,5,3)))))</f>
        <v>3</v>
      </c>
      <c r="BV44">
        <f t="shared" si="16"/>
        <v>3</v>
      </c>
      <c r="BW44">
        <f>IFERROR(N(VLOOKUP(AX44,Потребители_обозначение,10,FALSE)),0)</f>
        <v>0</v>
      </c>
      <c r="BX44">
        <f>IFERROR(VLOOKUP(AX44,Потребители_обозначение,5,FALSE),0)</f>
        <v>3</v>
      </c>
      <c r="BY44" s="6" cm="1">
        <f t="array" ref="BY44">IF(B44="","",IF(BC44&lt;&gt;"",IFERROR(_xlfn.XLOOKUP(BC44,Щиты[Щит],Щиты[cos φ]),0.95),IF(BK44=1,IFERROR(_xlfn.XLOOKUP(A44,Щиты[Щит],Щиты[cos φ]),0.95),IF(ISNUMBER(Z44),Z44,IFERROR(IF(BX44=2,_xlfn.IFS(BR44=3,VLOOKUP(BN44,Справочная_двигатели,8,FALSE),BR44=1,VLOOKUP(BN44,Справочная_двигатели,10,TRUE)),IF(AND(Методика="нормы 2026",EQ44="Сил"),0.8,0.95)),0.95)))))</f>
        <v>0.95</v>
      </c>
      <c r="BZ44">
        <f t="shared" si="17"/>
        <v>0</v>
      </c>
      <c r="CA44">
        <f t="shared" si="18"/>
        <v>1</v>
      </c>
      <c r="CB44">
        <f t="shared" si="19"/>
        <v>0</v>
      </c>
      <c r="CC44">
        <f t="shared" si="20"/>
        <v>0</v>
      </c>
      <c r="CD44">
        <f t="shared" si="21"/>
        <v>0</v>
      </c>
      <c r="CE44">
        <f t="shared" si="22"/>
        <v>0</v>
      </c>
      <c r="CF44">
        <f t="shared" si="23"/>
        <v>0</v>
      </c>
      <c r="CG44">
        <f>IF(AX44="",0,_xlfn.LET(_xlpm.v,IFERROR(VLOOKUP(B44,УГО_спр,3,FALSE),IFERROR(VLOOKUP(AX44,УГО_спр,3,FALSE),IFERROR(VLOOKUP(LEFT(AX44,2),УГО_спр,3,FALSE),""))),IF(_xlpm.v="да",30,IF(ISNUMBER(_xlpm.v),_xlpm.v,0))))</f>
        <v>0</v>
      </c>
      <c r="CH44" t="str">
        <f t="shared" si="24"/>
        <v/>
      </c>
      <c r="CI44" t="str">
        <f>_xlfn.LET(_xlpm.k,IFERROR(_xlfn.XLOOKUP(AX44,Коды_код,Коды_утечка)&amp;"",""),IF(_xlpm.k="","дифавтомат",_xlpm.k))</f>
        <v>дифавтомат</v>
      </c>
      <c r="CJ44">
        <f t="shared" si="25"/>
        <v>0</v>
      </c>
      <c r="CK44">
        <f t="shared" si="26"/>
        <v>0</v>
      </c>
      <c r="CL44">
        <f>IF(B44="",0,IFERROR(--VLOOKUP(B44,УГО_спр,4,FALSE),IFERROR(--VLOOKUP(AX44,УГО_спр,4,FALSE),IFERROR(--VLOOKUP(LEFT(AX44,2),УГО_спр,4,FALSE),0))))</f>
        <v>10</v>
      </c>
      <c r="CM44" t="str">
        <f>IF(B44="","",IFERROR(_xlfn.XLOOKUP(AX44,Коды_код,Коды_апп)&amp;"",""))</f>
        <v/>
      </c>
      <c r="CN44" t="str">
        <f t="shared" si="27"/>
        <v/>
      </c>
      <c r="CO44" t="str" cm="1">
        <f t="array" ref="CO44">IF(TRIM(CN44&amp;"")="","",IFERROR(TRIM(INDEX(_xlfn.TEXTSPLIT(CN44&amp;";;;",";"),1)),""))</f>
        <v/>
      </c>
      <c r="CP44" t="str" cm="1">
        <f t="array" ref="CP44">IF(TRIM(CN44&amp;"")="","",IFERROR(TRIM(INDEX(_xlfn.TEXTSPLIT(CN44&amp;";;;",";"),2)),""))</f>
        <v/>
      </c>
      <c r="CQ44" t="str" cm="1">
        <f t="array" ref="CQ44">IF(TRIM(CN44&amp;"")="","",IFERROR(TRIM(INDEX(_xlfn.TEXTSPLIT(CN44&amp;";;;",";"),3)),""))</f>
        <v/>
      </c>
      <c r="CR44">
        <f t="shared" si="28"/>
        <v>0</v>
      </c>
      <c r="CS44" t="str">
        <f>IF(B44="","",_xlfn.LET(_xlpm.t,LOWER(AV44&amp;""),IF(ISNUMBER(SEARCH("dim",_xlpm.t)),"DIM",IF(ISNUMBER(SEARCH("dali",_xlpm.t)),"DALI",IF(OR(ISNUMBER(SEARCH("relay",_xlpm.t)),ISNUMBER(SEARCH("реле",_xlpm.t))),"Relay",IF(ISNUMBER(SEARCH("кнопк",_xlpm.t)),"",IFERROR(_xlfn.XLOOKUP(AX44,Коды_код,Коды_упр)&amp;"","")))))))</f>
        <v/>
      </c>
      <c r="CT44" t="str">
        <f t="shared" si="29"/>
        <v/>
      </c>
      <c r="CU44">
        <f>IF(B44="","",_xlfn.LET(_xlpm.ig,N(P44)+IF(AF44="вручную",0,N(CB44)),_xlpm.n0,IFERROR(VLOOKUP(_xlpm.ig,Автомат_номиналы,2,TRUE),0),_xlpm.mn,MAX(CL44,IF(AF44="вручную",0,N(CE44))),MAX(_xlpm.n0,_xlpm.mn,IF(CR44=1,Мин_автомат_БП,0))))</f>
        <v>10</v>
      </c>
      <c r="CV44">
        <f t="shared" si="30"/>
        <v>1</v>
      </c>
      <c r="CW44" t="str">
        <f t="shared" si="31"/>
        <v>1P</v>
      </c>
      <c r="CX44" t="str">
        <f>_xlfn.LET(_xlpm.cc,UPPER(TRIM(IFERROR(_xlfn.XLOOKUP(AX44,Коды_код,Коды_хар)&amp;"",""))),IF(OR(_xlpm.cc="B",_xlpm.cc="В"),"B",IF(_xlpm.cc="D","D","С")))</f>
        <v>С</v>
      </c>
      <c r="CY44" t="str">
        <f t="shared" si="32"/>
        <v>1P С10А</v>
      </c>
      <c r="CZ44" t="str">
        <f t="shared" si="33"/>
        <v>1P С10А</v>
      </c>
      <c r="DA44" t="str">
        <f t="shared" si="34"/>
        <v>1P С10А</v>
      </c>
      <c r="DB44" cm="1">
        <f t="array" ref="DB44">IF(DA44="","",_xlfn.LET(_xlpm.t,SUBSTITUTE(SUBSTITUTE(SUBSTITUTE(UPPER(DA44),"С","C"),"А","A"),"В","B"),_xlpm.tk,_xlfn.TEXTSPLIT(_xlpm.t,"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4" t="str">
        <f t="shared" si="35"/>
        <v>ok</v>
      </c>
      <c r="DD44">
        <f t="shared" si="36"/>
        <v>10</v>
      </c>
      <c r="DE44" t="str">
        <f t="shared" si="37"/>
        <v>1P С10А</v>
      </c>
      <c r="DF44">
        <f t="shared" si="38"/>
        <v>0</v>
      </c>
      <c r="DG44">
        <f t="shared" si="39"/>
        <v>0</v>
      </c>
      <c r="DH44">
        <f t="shared" si="40"/>
        <v>0</v>
      </c>
      <c r="DI44">
        <f t="shared" si="41"/>
        <v>0.455802844097073</v>
      </c>
      <c r="DJ44">
        <f t="shared" si="42"/>
        <v>1</v>
      </c>
      <c r="DK44">
        <f>IF(ISNUMBER(AL44),AL44,К_прокл)</f>
        <v>1</v>
      </c>
      <c r="DL44">
        <f t="shared" si="43"/>
        <v>2</v>
      </c>
      <c r="DM44">
        <f>IFERROR(N(VLOOKUP(BT44,Кабель_обозначение,3,FALSE)),1)</f>
        <v>1</v>
      </c>
      <c r="DN44">
        <f>IFERROR(N(_xlfn.XLOOKUP(A44,Щиты[Щит],Щиты[ΔU до шин, %])),0)</f>
        <v>0.17</v>
      </c>
      <c r="DO44" t="str">
        <f>IFERROR(_xlfn.XLOOKUP(A44,Щиты[Щит],Щиты[Zпетли на шинах, Ом]),"")</f>
        <v/>
      </c>
      <c r="DP44">
        <f>IFERROR(N(_xlfn.XLOOKUP(A44,Щиты[Щит],Щиты[ΔU до шин (подбор), %])),0)</f>
        <v>0.65</v>
      </c>
      <c r="DQ44" t="str">
        <f>IFERROR(_xlfn.XLOOKUP(A44,Щиты[Щит],Щиты[Zпетли на шинах (подбор), Ом]),"")</f>
        <v/>
      </c>
      <c r="DR44" t="str">
        <f t="shared" si="44"/>
        <v/>
      </c>
      <c r="DS44">
        <f t="shared" si="45"/>
        <v>25</v>
      </c>
      <c r="DT44">
        <f t="shared" si="46"/>
        <v>2</v>
      </c>
      <c r="DU44">
        <f t="shared" si="47"/>
        <v>0.31</v>
      </c>
      <c r="DV44" s="6">
        <f>IF(B44="","",IF(IFERROR(VLOOKUP(AX44,УГО_спр,2,FALSE),"")="Светильник",3,4)+IF(Методика="нормы 2026",MIN(0.5,MAX(0,N(Q44)-100)*0.005),0))</f>
        <v>3</v>
      </c>
      <c r="DW44" cm="1">
        <f t="array" ref="DW44">IF(OR(B44="",BT44="",DM44&lt;&gt;1),"",_xlfn.LET(_xlpm.sz,Iдоп_S,_xlpm.t_,CHOOSE(DL44,Iдоп_1ж,Iдоп_2ж,Iдоп_3ж)*DJ44*DK44,_xlpm.inn,N(DD44),_xlpm.smin,MAX(1.5,BW44),_xlpm.L_,N(Q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44)*(_xlpm.rho*_xlpm.L_/_xlpm.sz*N(BY44)+_xlpm.xx*_xlpm.L_*N(DU44)/1000)*N(P44)/((Uн_лин/SQRT(3))*1000)*100,999),_xlpm.kz,IF(OR(DG44=1,NOT(ISNUMBER(DQ44)),_xlpm.L_=0,_xlpm.inn=0),1,IFERROR(--(c_min*(Uн_лин*1000/SQRT(3))/(DQ44+2*ρкз_Cu*_xlpm.L_/_xlpm.sz)&gt;=GY44*_xlpm.inn),0)),_xlpm.ok,IFERROR((_xlpm.sz&gt;=_xlpm.smin)*(_xlpm.t_&gt;=_xlpm.inn)*IF(_xlpm.L_&gt;0,(_xlpm.du_+DP44&lt;=DV44+0.00001),1)*_xlpm.kz,0),_xlpm.r_,_xlfn._xlws.FILTER(_xlpm.sz,_xlpm.ok,"не подобрано"),INDEX(_xlpm.r_,1)))</f>
        <v>1.5</v>
      </c>
      <c r="DX44">
        <f t="shared" si="48"/>
        <v>1.5</v>
      </c>
      <c r="DY44" cm="1">
        <f t="array" ref="DY44">IF(OR(B44="",BT44="",DM44&lt;&gt;1),"",_xlfn.LET(_xlpm.sz,Iдоп_S,_xlpm.t_,CHOOSE(DL44,Iдоп_1ж,Iдоп_2ж,Iдоп_3ж)*DJ44*DK44,_xlpm.ok,IFERROR((_xlpm.sz&gt;=MAX(1.5,BW44))*(_xlpm.t_&gt;=N(DD44)),0),_xlpm.r_,_xlfn._xlws.FILTER(_xlpm.sz,_xlpm.ok,""),INDEX(_xlpm.r_,1)))</f>
        <v>1.5</v>
      </c>
      <c r="DZ44" s="6" cm="1">
        <f t="array" ref="DZ44">IFERROR(ROUNDUP(N(DT44)*(_xlfn.XLOOKUP(DY44,INDEX(Кабель_сопротивление,0,1),INDEX(Кабель_сопротивление,0,3))*N(Q44)/DY44*N(BY44)+_xlfn.XLOOKUP(DY44,INDEX(Кабель_сопротивление,0,1),INDEX(Кабель_сопротивление,0,2))*N(Q44)*N(DU44)/1000)*N(P44)/((Uн_лин/SQRT(3))*1000)*100,2),"")</f>
        <v>0.19</v>
      </c>
      <c r="EA44">
        <f>IFERROR(2*ρкз_Cu*N(Q44)/DY44,"")</f>
        <v>1.1221333333333334</v>
      </c>
      <c r="EB44">
        <f>IFERROR(VLOOKUP(DX44,Кабель_сопротивление,3,FALSE),"")</f>
        <v>2.2499999999999999E-2</v>
      </c>
      <c r="EC44">
        <f>IFERROR(VLOOKUP(DX44,Кабель_сопротивление,2,FALSE),"")</f>
        <v>0.11</v>
      </c>
      <c r="ED44">
        <f t="shared" si="49"/>
        <v>0</v>
      </c>
      <c r="EE44">
        <f t="shared" si="50"/>
        <v>28</v>
      </c>
      <c r="EF44">
        <f t="shared" si="51"/>
        <v>0.41668693794348799</v>
      </c>
      <c r="EG44" s="6">
        <f>IFERROR(ROUNDUP(EF44/((Uн_лин/SQRT(3))*1000)*100,2),"")</f>
        <v>0.19</v>
      </c>
      <c r="EH44" t="str">
        <f>IFERROR(VLOOKUP(BT44,Кабель_обозначение,2,FALSE),"")</f>
        <v>ВВГнг(А)-LS</v>
      </c>
      <c r="EI44" t="str">
        <f t="shared" si="52"/>
        <v>ВВГнг(А)-LS (3х1,5)</v>
      </c>
      <c r="EJ44" t="str">
        <f t="shared" si="53"/>
        <v>ВВГнг(А)-LS (3х1,5)
L=32-0,19%</v>
      </c>
      <c r="EK44">
        <f>IFERROR(2*ρкз_Cu*Q44/DX44,"")</f>
        <v>1.1221333333333334</v>
      </c>
      <c r="EL44">
        <f t="shared" si="54"/>
        <v>0.37333333333333335</v>
      </c>
      <c r="EM44" s="6" t="str">
        <f>IFERROR(IF(OR(B44="",NOT(ISNUMBER(DX44)),N(Q44)=0),"",_xlfn.XLOOKUP(A44,Щиты[Щит],Щиты[Zпетли на шинах, Ом])+EK44),"")</f>
        <v/>
      </c>
      <c r="EN44" s="6" t="str">
        <f>IF(ISNUMBER(EM44),c_min*(Uн_лин*1000/SQRT(3))/EM44,"")</f>
        <v/>
      </c>
      <c r="EO44" s="6" t="str">
        <f>IFERROR(IF(OR(B44="",NOT(ISNUMBER(DX44))),"",1.05*(Uн_лин*1000/SQRT(3))/(_xlfn.XLOOKUP(A44,Щиты[Щит],Щиты[Zmax на шинах, Ом])+EL44)/1000),"")</f>
        <v/>
      </c>
      <c r="EP44" s="6" t="str">
        <f>IF(B44="","",IF(ISNUMBER(Y44),"Сил",IF(IFERROR(_xlfn.XLOOKUP(AX44,Коды_код,Коды_группа)&amp;"","")="","Быт",_xlfn.XLOOKUP(AX44,Коды_код,Коды_группа)&amp;"")))</f>
        <v>Быт</v>
      </c>
      <c r="EQ44" s="6" t="str">
        <f t="shared" si="55"/>
        <v>Быт</v>
      </c>
      <c r="ER44" s="6">
        <f>IF(EQ44="Щит","щит",IF(EQ44="","",IF(EQ44="Быт",IFERROR(_xlfn.XLOOKUP(A44,Щиты[Щит],Щиты[Кс быт]),1),IF(EQ44="Сил",IF(ISNUMBER(Y44),Y44,IF(Методика="нормы 2026",IFERROR(_xlfn.XLOOKUP(A44,Щиты[Щит],Щиты[Кс силовых (табл. 7.5)]),1),1)),IF(OR(EQ44="Пост",EQ44="Отоп"),1,IF(EQ44="ВНГ",0.7,0))))))</f>
        <v>0.8</v>
      </c>
      <c r="ES44">
        <f t="shared" si="56"/>
        <v>1</v>
      </c>
      <c r="ET44">
        <f t="shared" si="57"/>
        <v>0.1</v>
      </c>
      <c r="EU44">
        <f t="shared" si="58"/>
        <v>0.1</v>
      </c>
      <c r="EV44">
        <f t="shared" si="59"/>
        <v>0</v>
      </c>
      <c r="EW44">
        <f t="shared" si="60"/>
        <v>0</v>
      </c>
      <c r="EX44">
        <f t="shared" si="61"/>
        <v>0</v>
      </c>
      <c r="EY44">
        <f t="shared" si="62"/>
        <v>0</v>
      </c>
      <c r="EZ44">
        <f t="shared" si="63"/>
        <v>0.1</v>
      </c>
      <c r="FA44">
        <f t="shared" si="64"/>
        <v>9.5000000000000001E-2</v>
      </c>
      <c r="FB44">
        <f t="shared" si="65"/>
        <v>0.1</v>
      </c>
      <c r="FC44" t="str">
        <f t="shared" si="66"/>
        <v/>
      </c>
      <c r="FD44" t="str">
        <f>IF(B44="","",IF(CA44=0,IF(AW44=1,"",FF43),IF(OR(N(CV44)&gt;=3,N(BR44)&gt;=3),"L1,L2,L3",IFERROR(_xlfn.TEXTBEFORE(_xlfn.TEXTAFTER(_xlfn.XLOOKUP(A44,Щиты[Щит],Щиты[_фазы авто]),";"&amp;AW44&amp;":"),";"),"L1"))))</f>
        <v>L1</v>
      </c>
      <c r="FE44" t="str">
        <f t="shared" si="67"/>
        <v>L1</v>
      </c>
      <c r="FF44" t="str">
        <f t="shared" si="68"/>
        <v>L1</v>
      </c>
      <c r="FG44" cm="1">
        <f t="array" ref="FG44">IFERROR(IF(BX44=2,_xlfn.IFS(BR44=3,VLOOKUP(BN44,Справочная_двигатели,3,FALSE),BR44=1,VLOOKUP(BN44,Справочная_двигатели,5,TRUE)),0),0)</f>
        <v>0</v>
      </c>
      <c r="FH44">
        <f>IFERROR(IF(BX44=3,VLOOKUP(BN44,Справочная_ЛЭД,2,TRUE),0),0)</f>
        <v>50</v>
      </c>
      <c r="FI44" s="6">
        <f t="shared" si="69"/>
        <v>50</v>
      </c>
      <c r="FJ44" t="str" cm="1">
        <f t="array" ref="FJ44">IF(B44="","",IFERROR(INDEX({"I особая","I","II","III"},MATCH(TRIM(AC44&amp;""),{"I особая","I","II","III"},0)),"III"))</f>
        <v>III</v>
      </c>
      <c r="FK44" t="str">
        <f>IF(B44="","",IF(TRIM(AD44&amp;"")&lt;&gt;"",IF(LOWER(TRIM(AD44&amp;""))="да","да","нет"),IF(IFERROR(_xlfn.XLOOKUP(AX44,Коды_код,Коды_пожарная),"")="да","да","нет")))</f>
        <v>нет</v>
      </c>
      <c r="FL44" t="str">
        <f t="shared" si="70"/>
        <v/>
      </c>
      <c r="FM44" t="str">
        <f t="shared" si="71"/>
        <v>основная</v>
      </c>
      <c r="FN44">
        <f t="shared" si="72"/>
        <v>1</v>
      </c>
      <c r="FO44" t="str" cm="1">
        <f t="array" ref="FO44">IF(B44="","",_xlfn.LET(_xlpm.t,IFERROR(_xlfn.XLOOKUP(1,(Шины[Шина]=FM44)*(((Шины[Щит]=A44)+(Шины[Щит]=""))&gt;0),Шины[Тип]),"")&amp;"",IF(_xlpm.t&lt;&gt;"",_xlpm.t,IF(ISNUMBER(SEARCH("ИБП",FM44)),"ИБП",IF(ISNUMBER(SEARCH("ДГУ",FM44)),"ДГУ","Ввод "&amp;FN44)))))</f>
        <v>Ввод 1</v>
      </c>
      <c r="FP44" t="str">
        <f t="shared" si="73"/>
        <v>Ввод 1</v>
      </c>
      <c r="FQ44" t="str">
        <f>IF(B44="","",IF(OR(FO44="ИБП",FO44="ДГУ"),"I особая",IF(FO44="Одиночная","III",_xlfn.XLOOKUP(A44,Щиты[Щит],Щиты[Категория шины «Ввод»],"III"))))</f>
        <v>II</v>
      </c>
      <c r="FR44">
        <f>IF(B44="",0,IFERROR(MATCH(FJ44,{"III","II","I","I особая"},0),1))</f>
        <v>1</v>
      </c>
      <c r="FS44">
        <f t="shared" si="74"/>
        <v>1</v>
      </c>
      <c r="FT44" t="str">
        <f>IF(B44="","",IF(FR44&gt;IFERROR(MATCH(FQ44,{"III","II","I","I особая"},0),1),"НЕ ОБЕСПЕЧЕНА","ОК"))</f>
        <v>ОК</v>
      </c>
      <c r="FU44" t="str">
        <f>IF(A44="","",_xlfn.XLOOKUP(A44,Щиты[Щит],Щиты[Путь],""))</f>
        <v>|ГРЩ-ЖД|ЩГП|ЩО-001|</v>
      </c>
      <c r="FV44" t="str">
        <f>IF(B44="","",IF(AE44&lt;&gt;"",AE44,IF(IFERROR(_xlfn.XLOOKUP(AX44,Коды_код,Коды_вид)&amp;"","")="","Прочее",_xlfn.XLOOKUP(AX44,Коды_код,Коды_вид)&amp;"")))</f>
        <v>Рабочее освещение</v>
      </c>
      <c r="FW44" t="str">
        <f>IF(BH44="","",INT((BH44-1)/Столбцов_на_лист)+1)</f>
        <v/>
      </c>
      <c r="FX44" t="str">
        <f t="shared" si="75"/>
        <v>ВВГнг(А)-LS (3х1,5) L=32-0,19%</v>
      </c>
      <c r="FY44">
        <f t="shared" si="76"/>
        <v>0.1</v>
      </c>
      <c r="FZ44">
        <f t="shared" si="77"/>
        <v>0.46</v>
      </c>
      <c r="GA44">
        <f t="shared" si="78"/>
        <v>1</v>
      </c>
      <c r="GB44">
        <f t="shared" si="79"/>
        <v>0</v>
      </c>
      <c r="GC44">
        <f t="shared" si="80"/>
        <v>0</v>
      </c>
      <c r="GD44" t="str">
        <f>IF(BH44="","",IF(AND(CA44=1,GC44=1),COUNTIFS(A$3:A44,A44,CA$3:CA44,1,GC$3:GC44,1),IF(OR(OR(AW44=1,A44&lt;&gt;A43),AF44="вручную",GC44=0),"",IF(AW44=1,"",GE43))))</f>
        <v/>
      </c>
      <c r="GE44" t="str">
        <f t="shared" si="81"/>
        <v/>
      </c>
      <c r="GF44">
        <f>IF(B44="","",IFERROR(LOOKUP(INDEX(CHOOSE(DL44,Iдоп_1ж,Iдоп_2ж,Iдоп_3ж),MATCH(DX44,Iдоп_S,0))*DJ44*DK44,{6,10,16,20,25,32,40,50,63,80,100,125,160,200,250,315,400,500,630}),""))</f>
        <v>16</v>
      </c>
      <c r="GG44" t="str">
        <f t="shared" si="82"/>
        <v/>
      </c>
      <c r="GH44" t="str">
        <f t="shared" si="83"/>
        <v/>
      </c>
      <c r="GI44" t="str">
        <f t="shared" si="84"/>
        <v/>
      </c>
      <c r="GJ44">
        <f t="shared" si="85"/>
        <v>0</v>
      </c>
      <c r="GK44" t="str">
        <f>IF(OR(AG44="",AG44="-"),"",IFERROR(VLOOKUP(AG44,Модули_спр,2,FALSE),"R"))</f>
        <v/>
      </c>
      <c r="GL44" t="str">
        <f>IF(GK44="","",GK44&amp;"."&amp;COUNTIFS(A$3:A44,A44,GK$3:GK44,GK44))</f>
        <v/>
      </c>
      <c r="GM44" t="str">
        <f t="shared" si="86"/>
        <v/>
      </c>
      <c r="GN44" t="str">
        <f t="shared" si="87"/>
        <v/>
      </c>
      <c r="GO44" t="str">
        <f t="shared" si="88"/>
        <v/>
      </c>
      <c r="GP44" t="str">
        <f t="shared" si="89"/>
        <v/>
      </c>
      <c r="GQ44">
        <f t="shared" si="90"/>
        <v>1</v>
      </c>
      <c r="GR44" t="str">
        <f>IF(GQ44=1,"XT"&amp;COUNTIFS(A$3:A44,A44,GQ$3:GQ44,1),"")</f>
        <v>XT13</v>
      </c>
      <c r="GS44" t="str">
        <f t="shared" si="91"/>
        <v>XT13</v>
      </c>
      <c r="GT44" t="str">
        <f t="shared" si="92"/>
        <v/>
      </c>
      <c r="GU44" t="str">
        <f t="shared" si="93"/>
        <v/>
      </c>
      <c r="GV44" t="str">
        <f t="shared" si="94"/>
        <v>ok</v>
      </c>
      <c r="GW44" t="str">
        <f>IF(OR(GO44="",GM44=""),"",IF(GO44&gt;IFERROR(VLOOKUP(GN44,Модули_спр,3,FALSE),99),"ЛИШНИЙ КАНАЛ",IF(AND(AH44&lt;&gt;"=",COUNTIFS(Линии[_модуль гр.],GM44,Линии[Канал (итог)],GO44,Линии[Канал],"&lt;&gt;=",Линии[Щит],A44)&gt;1),"ДУБЛЬ КАНАЛА","")))</f>
        <v/>
      </c>
      <c r="GX44" s="6" t="str">
        <f t="shared" si="95"/>
        <v/>
      </c>
      <c r="GY44">
        <f t="shared" si="96"/>
        <v>10</v>
      </c>
      <c r="GZ44" t="str">
        <f t="shared" si="97"/>
        <v/>
      </c>
      <c r="HA44" t="str">
        <f>IF(AND(B44="",GT44=""),"",_xlfn.TEXTJOIN("; ",TRUE,IF(AND(B44&lt;&gt;"",FE44=""),"нет фазы",""),IF(AND(B44&lt;&gt;"",N(FY44)=0,EQ44&lt;&gt;"Нет"),"нет мощности",""),IF(AND(GS44&lt;&gt;"",COUNTIFS(Линии[Щит],A44,Линии[Клемма (итог)],GS44)&gt;1),"дубль клеммы "&amp;GS44,""),IF(AND(GV44&lt;&gt;"",GV44&lt;&gt;"ok"),GV44,""),IF(GW44&lt;&gt;"",GW44,""),IF(AND(N(BV44)&gt;=4,N(BR44)=1),BV44&amp;" жил на 1 фазе",""),IF(AND(AX44="R",CA44=1,OR(N(CK44)=0,N(CK44)&gt;30)),"розетка без дифзащиты до 30 мА",""),IFERROR(IF(AND(ISNUMBER(R44),R44&gt;DV44),"потери "&amp;FIXED(R44,1)&amp;" % &gt; "&amp;DV44&amp;" %",""),""),IFERROR(IF(LEFT(GZ44,4)="мало","Iкз мало — отключение &gt; 0,4 с",""),""),IF(AND(B44&lt;&gt;"",BH44=""),"не на схеме",""),IF(AND(CA44=0,B44&lt;&gt;"",FE44&lt;&gt;"",IF(AW44=1,"",FF43)&lt;&gt;"",FE44&lt;&gt;IF(AW44=1,"",FF43)),"фаза не как у автомата группы ("&amp;IF(AW44=1,"",FF43)&amp;")","")))</f>
        <v>не на схеме</v>
      </c>
      <c r="HB44" s="6">
        <f>IF(OR(CA44=0,DA44=""),"",_xlfn.LET(_xlpm.t,IFERROR(_xlfn.XLOOKUP(DA44,Каталог!$U$4:$U$500,Каталог!$G$4:$G$500),""),_xlpm.k,SEARCH("кА",_xlpm.t),IFERROR(--TRIM(RIGHT(SUBSTITUTE(MID(_xlpm.t,MAX(1,_xlpm.k-4),_xlpm.k-MAX(1,_xlpm.k-4))," ",REPT(" ",9)),5)),"")))</f>
        <v>6</v>
      </c>
      <c r="HC44" t="str">
        <f>IF(OR(HB44="",CA44=0),"",IF(_xlfn.XLOOKUP(A44,Щиты[Щит],Щиты[Iкз max на шинах, кА],"")="","",IF(HB44&lt;_xlfn.XLOOKUP(A44,Щиты[Щит],Щиты[Iкз max на шинах, кА]),"Icu "&amp;HB44&amp;" кА &lt; Iкз max","ok")))</f>
        <v/>
      </c>
      <c r="HD44" t="str">
        <f t="shared" si="98"/>
        <v/>
      </c>
      <c r="HE44" t="str">
        <f t="shared" si="99"/>
        <v/>
      </c>
      <c r="HF44" t="str">
        <f t="shared" si="100"/>
        <v/>
      </c>
      <c r="HG44" t="str" cm="1">
        <f t="array" ref="HG44">IF(HF44="","",_xlfn.LET(_xlpm.nd,_xlfn.TEXTSPLIT(HF44,"|"),IF(COLUMNS(_xlpm.nd)&gt;1,A44&amp;"¦"&amp;INDEX(_xlpm.nd,1)&amp;"¦"&amp;INDEX(_xlpm.nd,2),"")))</f>
        <v/>
      </c>
      <c r="HH44" t="str">
        <f t="shared" si="101"/>
        <v/>
      </c>
      <c r="HI44" t="str" cm="1">
        <f t="array" ref="HI44">IF(HF44="","",_xlfn.LET(_xlpm.nd,_xlfn.TEXTSPLIT(HF44,"|"),IF(COLUMNS(_xlpm.nd)&gt;2,A44&amp;"¦"&amp;INDEX(_xlpm.nd,2)&amp;"¦"&amp;INDEX(_xlpm.nd,3),"")))</f>
        <v/>
      </c>
      <c r="HJ44" t="str">
        <f t="shared" si="102"/>
        <v/>
      </c>
      <c r="HK44" t="str" cm="1">
        <f t="array" ref="HK44">IF(HF44="","",_xlfn.LET(_xlpm.nd,_xlfn.TEXTSPLIT(HF44,"|"),IF(COLUMNS(_xlpm.nd)&gt;3,A44&amp;"¦"&amp;INDEX(_xlpm.nd,3)&amp;"¦"&amp;INDEX(_xlpm.nd,4),"")))</f>
        <v/>
      </c>
      <c r="HL44" t="str">
        <f t="shared" si="103"/>
        <v/>
      </c>
      <c r="HM44" t="str" cm="1">
        <f t="array" ref="HM44">IF(HF44="","",_xlfn.LET(_xlpm.nd,_xlfn.TEXTSPLIT(HF44,"|"),IF(COLUMNS(_xlpm.nd)&gt;4,A44&amp;"¦"&amp;INDEX(_xlpm.nd,4)&amp;"¦"&amp;INDEX(_xlpm.nd,5),"")))</f>
        <v/>
      </c>
      <c r="HN44" t="str">
        <f t="shared" si="104"/>
        <v/>
      </c>
      <c r="HO44" t="str" cm="1">
        <f t="array" ref="HO44">IF(HF44="","",_xlfn.LET(_xlpm.nd,_xlfn.TEXTSPLIT(HF44,"|"),IF(COLUMNS(_xlpm.nd)&gt;5,A44&amp;"¦"&amp;INDEX(_xlpm.nd,5)&amp;"¦"&amp;INDEX(_xlpm.nd,6),"")))</f>
        <v/>
      </c>
      <c r="HP44" t="str">
        <f t="shared" si="105"/>
        <v/>
      </c>
      <c r="HQ44" t="str" cm="1">
        <f t="array" ref="HQ44">IF(HF44="","",_xlfn.LET(_xlpm.nd,_xlfn.TEXTSPLIT(HF44,"|"),IF(COLUMNS(_xlpm.nd)&gt;6,A44&amp;"¦"&amp;INDEX(_xlpm.nd,6)&amp;"¦"&amp;INDEX(_xlpm.nd,7),"")))</f>
        <v/>
      </c>
      <c r="HR44" t="str">
        <f t="shared" si="106"/>
        <v/>
      </c>
      <c r="HS44" t="str">
        <f t="shared" si="107"/>
        <v/>
      </c>
      <c r="HT44" t="str">
        <f t="shared" si="108"/>
        <v>XT13</v>
      </c>
      <c r="HU44">
        <f t="shared" si="109"/>
        <v>0</v>
      </c>
      <c r="HV44">
        <f t="shared" si="110"/>
        <v>0</v>
      </c>
      <c r="HW44" t="str">
        <f t="shared" si="111"/>
        <v/>
      </c>
      <c r="HX44" t="str">
        <f t="shared" si="112"/>
        <v/>
      </c>
      <c r="HY44" t="str">
        <f t="shared" si="113"/>
        <v/>
      </c>
      <c r="HZ44" t="str">
        <f t="shared" si="114"/>
        <v/>
      </c>
      <c r="IA44" t="str">
        <f>IF(B44="","",IFERROR(VLOOKUP(B44,УГО_спр,2,FALSE),IFERROR(VLOOKUP(AX44,УГО_спр,2,FALSE),IFERROR(VLOOKUP(LEFT(AX44,2),УГО_спр,2,FALSE),""))))</f>
        <v>Светильник</v>
      </c>
      <c r="IB44" t="str">
        <f>IF(B44="","",IF(OR(IA44="",IA44=0),"BOX",IFERROR(IF(VLOOKUP(IA44,УГО_блоки,3,FALSE)&amp;""&lt;&gt;"",VLOOKUP(IA44,УГО_блоки,3,FALSE),VLOOKUP(IA44,УГО_блоки,2,FALSE)),IA44)))</f>
        <v>LAMP</v>
      </c>
      <c r="IC44">
        <f t="shared" si="115"/>
        <v>1</v>
      </c>
      <c r="ID44" t="str">
        <f>IF(DA44="","",IF(COUNTIF(DA$3:DA44,DA44)=1,MAX(ID$2:ID43)+1,""))</f>
        <v/>
      </c>
      <c r="IE44" t="str">
        <f>IF(CO44="","",IF(COUNTIF(CO$3:CO44,CO44)+COUNTIF(CP$2:CP43,CO44)+COUNTIF(CQ$2:CQ43,CO44)=1,MAX(IE$2:IG43)+1,""))</f>
        <v/>
      </c>
      <c r="IF44" t="str">
        <f>IF(CP44="","",IF(COUNTIF(CO$3:CO44,CP44)+COUNTIF(CP$3:CP44,CP44)+COUNTIF(CQ$2:CQ43,CP44)=1,MAX(IE$2:IG43,IE44)+1,""))</f>
        <v/>
      </c>
      <c r="IG44" t="str">
        <f>IF(CQ44="","",IF(COUNTIF(CO$3:CO44,CQ44)+COUNTIF(CP$3:CP44,CQ44)+COUNTIF(CQ$3:CQ44,CQ44)=1,MAX(IE$2:IG43,IE44,IF44)+1,""))</f>
        <v/>
      </c>
      <c r="IH44" t="str">
        <f t="shared" si="116"/>
        <v>3х1,5</v>
      </c>
      <c r="II44" t="str">
        <f>IF(IH44="","",IF(COUNTIF(IH$3:IH44,IH44)=1,MAX(II$2:II43)+1,""))</f>
        <v/>
      </c>
      <c r="IJ44" t="str">
        <f>IF(GL44="","",COUNTIF(GL$3:GL44,"?*"))</f>
        <v/>
      </c>
      <c r="IK44" t="str">
        <f>IF(OR(GL44="",GN44=""),"",IF(COUNTIFS(GL$3:GL44,"?*",GN$3:GN44,GN44)=1,MAX(IK$2:IK43)+1,""))</f>
        <v/>
      </c>
      <c r="IL44">
        <f t="shared" si="117"/>
        <v>1</v>
      </c>
      <c r="IM44">
        <f>IF(B44="","",COUNTIF(B$3:B44,"?*"))</f>
        <v>42</v>
      </c>
      <c r="IN44">
        <f>IF(GQ44&lt;&gt;1,0,_xlfn.LET(_xlpm.k,MAX(IFERROR(--VLOOKUP(B44,УГО_спр,5,FALSE),0),IFERROR(--VLOOKUP(AX44,УГО_спр,5,FALSE),0),IFERROR(--VLOOKUP(LEFT(AX44,2),УГО_спр,5,FALSE),0)),IF(_xlpm.k&gt;0,_xlpm.k,IF(IFERROR(--LEFT(SUBSTITUTE(IH44,"x","х"),FIND("х",SUBSTITUTE(IH44,"x","х"))-1),3)&gt;3,Каталог!$S$9,1))))</f>
        <v>1</v>
      </c>
      <c r="IO44">
        <f t="shared" si="118"/>
        <v>0</v>
      </c>
      <c r="IP44" t="str">
        <f t="shared" si="119"/>
        <v>авто</v>
      </c>
      <c r="IQ44" t="str">
        <f t="shared" si="120"/>
        <v/>
      </c>
      <c r="IR44">
        <f t="shared" si="121"/>
        <v>0</v>
      </c>
      <c r="IS44">
        <f t="shared" si="122"/>
        <v>1</v>
      </c>
    </row>
    <row r="45" spans="1:253" x14ac:dyDescent="0.3">
      <c r="A45" t="s">
        <v>1104</v>
      </c>
      <c r="B45" t="s">
        <v>1318</v>
      </c>
      <c r="C45" t="str">
        <f>Линии[[#This Row],[_авто наименование]]</f>
        <v>Осветительная группа, пом. 006Т</v>
      </c>
      <c r="D45">
        <v>22</v>
      </c>
      <c r="E45">
        <v>0.1</v>
      </c>
      <c r="G45" t="str">
        <f>Линии[[#This Row],[_авто автомат]]</f>
        <v>1P С10А</v>
      </c>
      <c r="H45" t="str">
        <f>Линии[[#This Row],[_авто утечка]]</f>
        <v/>
      </c>
      <c r="I45" t="str">
        <f>Линии[[#This Row],[_авто управление]]</f>
        <v/>
      </c>
      <c r="J45" t="str">
        <f>Линии[[#This Row],[_авто аппараты]]</f>
        <v/>
      </c>
      <c r="K45">
        <v>1.5</v>
      </c>
      <c r="L45">
        <v>84</v>
      </c>
      <c r="M45" t="str">
        <f>Линии[[#This Row],[_авто фаза]]</f>
        <v>L2</v>
      </c>
      <c r="N45" t="str">
        <f>Линии[[#This Row],[_авто клемма]]</f>
        <v>XT14</v>
      </c>
      <c r="O45" t="str">
        <f t="shared" si="0"/>
        <v>не на схеме</v>
      </c>
      <c r="P45" s="6" cm="1">
        <f t="array" ref="P45">IF(B45="","",IF(BC45&lt;&gt;"",IFERROR(_xlfn.XLOOKUP(BC45,Щиты[Щит],Щиты[Iр, А]),""),IF(BK45=1,IFERROR(_xlfn.XLOOKUP(A45,Щиты[Щит],Щиты[Iр, А]),""),IFERROR(_xlfn.IFS(BR45=1,BN45/((Uн_лин/SQRT(3))*BY45),BR45=3,BN45/(SQRT(3)*Uн_лин*BY45)),""))))</f>
        <v>0.455802844097073</v>
      </c>
      <c r="Q45" s="7">
        <f>IF(B45="","",IFERROR(IF(VLOOKUP(AX45,Потребители_обозначение,4,FALSE)=1,VLOOKUP(AX45,Потребители_обозначение,3,FALSE)*(D45*2-1)+DS45+VLOOKUP(AZ45,Этаж_обозначение,3,FALSE)+VLOOKUP(AZ45,Этаж_обозначение,4,FALSE),VLOOKUP(AX45,Потребители_обозначение,3,FALSE)*(D45*2-1)+DS45),DS45))</f>
        <v>127</v>
      </c>
      <c r="R45" s="6">
        <f t="shared" si="1"/>
        <v>0.89</v>
      </c>
      <c r="S45" t="str">
        <f t="shared" si="2"/>
        <v>ВВГнг(А)-LS (3х1,5)</v>
      </c>
      <c r="T45" t="str">
        <f>IF(BH45="","",IF(BI45="вводной узел","узел ","")&amp;"л."&amp;(INT((BH45-1)/Столбцов_на_лист)+1)&amp;" / "&amp;(MOD(BH45-1,Столбцов_на_лист)+1))</f>
        <v/>
      </c>
      <c r="V45">
        <v>1</v>
      </c>
      <c r="W45">
        <v>230</v>
      </c>
      <c r="X45" t="s">
        <v>564</v>
      </c>
      <c r="AE45" t="s">
        <v>557</v>
      </c>
      <c r="AI45" t="s">
        <v>529</v>
      </c>
      <c r="AJ45" t="s">
        <v>11</v>
      </c>
      <c r="AK45">
        <v>3</v>
      </c>
      <c r="AM45">
        <v>33</v>
      </c>
      <c r="AN45">
        <v>89</v>
      </c>
      <c r="AW45" cm="1">
        <f t="array" ref="AW45">ROW()-ROW(Линии[#Headers])</f>
        <v>43</v>
      </c>
      <c r="AX45" s="6" t="str">
        <f t="shared" si="3"/>
        <v>L</v>
      </c>
      <c r="AY45" t="str">
        <f t="shared" si="4"/>
        <v>00.006Т.1</v>
      </c>
      <c r="AZ45" t="str">
        <f t="shared" si="5"/>
        <v>00</v>
      </c>
      <c r="BA45" t="str">
        <f t="shared" si="6"/>
        <v>006Т.1</v>
      </c>
      <c r="BB45" t="str">
        <f t="shared" si="7"/>
        <v>006Т</v>
      </c>
      <c r="BC45" t="str">
        <f>IF(U45&lt;&gt;"",U45,IF(AND(B45&lt;&gt;"",B45&lt;&gt;A45,ISNUMBER(_xlfn.XMATCH(B45,Щиты[Щит]))),B45,""))</f>
        <v/>
      </c>
      <c r="BD45" t="str" cm="1">
        <f t="array" ref="BD45">IF(B45="","",IF(BC45&lt;&gt;"","Щит "&amp;BC45,_xlfn.LET(_xlpm.nm,IFERROR(_xlfn.XLOOKUP(AX45,Коды_код,Коды_имя)&amp;"",""),_xlpm.md,IFERROR(N(_xlfn.XLOOKUP(AX45,Коды_код,Коды_режим)),1),_xlpm.ex,IF(Имя_режим="по экспликации",IFERROR(_xlfn.XLOOKUP(AZ45&amp;"|"&amp;BB45,Экспликация[Этаж]&amp;"|"&amp;Экспликация[Помещение],Экспликация[Название])&amp;"",""),""),_xlpm.rm,IF(BB45="","",IF(_xlpm.ex&lt;&gt;"",". "&amp;_xlpm.ex&amp;IF(Имя_пом="нет"," ("&amp;BB45&amp;")"," (пом. "&amp;BB45&amp;")"),IF(Имя_пом="нет"," ",", пом. ")&amp;BB45)),IF(_xlpm.nm="","",IF(_xlpm.md=2,_xlpm.nm&amp;" шлейф "&amp;AZ45,_xlpm.nm&amp;_xlpm.rm)))))</f>
        <v>Осветительная группа, пом. 006Т</v>
      </c>
      <c r="BE45" t="str">
        <f t="shared" si="8"/>
        <v>Осветительная группа, пом. 006Т</v>
      </c>
      <c r="BF45">
        <f>IFERROR(_xlfn.XMATCH(A45,Щиты[Щит]),0)</f>
        <v>3</v>
      </c>
      <c r="BG45">
        <f>_xlfn.LET(_xlpm.k,IFERROR(_xlfn.XLOOKUP(A45,Щиты[Щит],Щиты[Листов под вводной узел]),""),IF(_xlpm.k="",1,N(_xlpm.k))*Столбцов_на_лист)</f>
        <v>17</v>
      </c>
      <c r="BH45" t="str">
        <f t="shared" si="9"/>
        <v/>
      </c>
      <c r="BI45" t="str">
        <f t="shared" si="10"/>
        <v/>
      </c>
      <c r="BJ45" s="6">
        <f>IFERROR(N(_xlfn.XLOOKUP(AX45,Коды_код,Коды_квт)),0)</f>
        <v>0</v>
      </c>
      <c r="BK45">
        <f t="shared" si="11"/>
        <v>0</v>
      </c>
      <c r="BL45" t="str">
        <f>IF(B45="","",IF(BC45&lt;&gt;"",IFERROR(_xlfn.XLOOKUP(BC45,Щиты[Щит],Щиты[Руст, кВт]),0),IF(BK45=1,IFERROR(_xlfn.XLOOKUP(A45,Щиты[Щит],Щиты[Руст, кВт]),0),IF(BJ45&gt;0,ROUND(BJ45*MAX(1,N(D45)),3),""))))</f>
        <v/>
      </c>
      <c r="BM45">
        <f t="shared" si="12"/>
        <v>0.1</v>
      </c>
      <c r="BN45" s="6">
        <f>IF(B45="","",IF(BC45&lt;&gt;"",IFERROR(_xlfn.XLOOKUP(BC45,Щиты[Щит],Щиты[Руст, кВт]),0),N(BM45)))</f>
        <v>0.1</v>
      </c>
      <c r="BO45" t="str">
        <f>IF(B45="","",IFERROR(IF(VLOOKUP(AX45,Потребители_обозначение,8,FALSE)=0,"",VLOOKUP(AX45,Потребители_обозначение,8,FALSE)),""))</f>
        <v/>
      </c>
      <c r="BP45">
        <f t="shared" si="13"/>
        <v>230</v>
      </c>
      <c r="BQ45">
        <f>IF(B45="","",IF(BC45&lt;&gt;"",3,IFERROR(IF(N(VLOOKUP(AX45,Потребители_обозначение,9,FALSE))=0,1,VLOOKUP(AX45,Потребители_обозначение,9,FALSE)),1)))</f>
        <v>1</v>
      </c>
      <c r="BR45">
        <f t="shared" si="14"/>
        <v>1</v>
      </c>
      <c r="BS45" t="str">
        <f>IF(B45="","",_xlfn.LET(_xlpm.bc,IFERROR(IF(VLOOKUP(AX45,Потребители_обозначение,6,FALSE)=0,"",VLOOKUP(AX45,Потребители_обозначение,6,FALSE)&amp;""),""),IF(AND(FK45="да",OR(_xlpm.bc="",_xlpm.bc="мс")),Марка_пож,IF(AND(_xlpm.bc="",BC45&lt;&gt;""),"мс",_xlpm.bc))))</f>
        <v/>
      </c>
      <c r="BT45" t="str">
        <f t="shared" si="15"/>
        <v>мс</v>
      </c>
      <c r="BU45">
        <f>IF(B45="","",_xlfn.LET(_xlpm.cc,IFERROR(N(VLOOKUP(AX45,Потребители_обозначение,7,FALSE)),0),IF(_xlpm.cc&gt;0,_xlpm.cc,IF(BT45="","",IF(N(BR45)=3,5,3)))))</f>
        <v>3</v>
      </c>
      <c r="BV45">
        <f t="shared" si="16"/>
        <v>3</v>
      </c>
      <c r="BW45">
        <f>IFERROR(N(VLOOKUP(AX45,Потребители_обозначение,10,FALSE)),0)</f>
        <v>0</v>
      </c>
      <c r="BX45">
        <f>IFERROR(VLOOKUP(AX45,Потребители_обозначение,5,FALSE),0)</f>
        <v>3</v>
      </c>
      <c r="BY45" s="6" cm="1">
        <f t="array" ref="BY45">IF(B45="","",IF(BC45&lt;&gt;"",IFERROR(_xlfn.XLOOKUP(BC45,Щиты[Щит],Щиты[cos φ]),0.95),IF(BK45=1,IFERROR(_xlfn.XLOOKUP(A45,Щиты[Щит],Щиты[cos φ]),0.95),IF(ISNUMBER(Z45),Z45,IFERROR(IF(BX45=2,_xlfn.IFS(BR45=3,VLOOKUP(BN45,Справочная_двигатели,8,FALSE),BR45=1,VLOOKUP(BN45,Справочная_двигатели,10,TRUE)),IF(AND(Методика="нормы 2026",EQ45="Сил"),0.8,0.95)),0.95)))))</f>
        <v>0.95</v>
      </c>
      <c r="BZ45">
        <f t="shared" si="17"/>
        <v>0</v>
      </c>
      <c r="CA45">
        <f t="shared" si="18"/>
        <v>1</v>
      </c>
      <c r="CB45">
        <f t="shared" si="19"/>
        <v>0</v>
      </c>
      <c r="CC45">
        <f t="shared" si="20"/>
        <v>0</v>
      </c>
      <c r="CD45">
        <f t="shared" si="21"/>
        <v>0</v>
      </c>
      <c r="CE45">
        <f t="shared" si="22"/>
        <v>0</v>
      </c>
      <c r="CF45">
        <f t="shared" si="23"/>
        <v>0</v>
      </c>
      <c r="CG45">
        <f>IF(AX45="",0,_xlfn.LET(_xlpm.v,IFERROR(VLOOKUP(B45,УГО_спр,3,FALSE),IFERROR(VLOOKUP(AX45,УГО_спр,3,FALSE),IFERROR(VLOOKUP(LEFT(AX45,2),УГО_спр,3,FALSE),""))),IF(_xlpm.v="да",30,IF(ISNUMBER(_xlpm.v),_xlpm.v,0))))</f>
        <v>0</v>
      </c>
      <c r="CH45" t="str">
        <f t="shared" si="24"/>
        <v/>
      </c>
      <c r="CI45" t="str">
        <f>_xlfn.LET(_xlpm.k,IFERROR(_xlfn.XLOOKUP(AX45,Коды_код,Коды_утечка)&amp;"",""),IF(_xlpm.k="","дифавтомат",_xlpm.k))</f>
        <v>дифавтомат</v>
      </c>
      <c r="CJ45">
        <f t="shared" si="25"/>
        <v>0</v>
      </c>
      <c r="CK45">
        <f t="shared" si="26"/>
        <v>0</v>
      </c>
      <c r="CL45">
        <f>IF(B45="",0,IFERROR(--VLOOKUP(B45,УГО_спр,4,FALSE),IFERROR(--VLOOKUP(AX45,УГО_спр,4,FALSE),IFERROR(--VLOOKUP(LEFT(AX45,2),УГО_спр,4,FALSE),0))))</f>
        <v>10</v>
      </c>
      <c r="CM45" t="str">
        <f>IF(B45="","",IFERROR(_xlfn.XLOOKUP(AX45,Коды_код,Коды_апп)&amp;"",""))</f>
        <v/>
      </c>
      <c r="CN45" t="str">
        <f t="shared" si="27"/>
        <v/>
      </c>
      <c r="CO45" t="str" cm="1">
        <f t="array" ref="CO45">IF(TRIM(CN45&amp;"")="","",IFERROR(TRIM(INDEX(_xlfn.TEXTSPLIT(CN45&amp;";;;",";"),1)),""))</f>
        <v/>
      </c>
      <c r="CP45" t="str" cm="1">
        <f t="array" ref="CP45">IF(TRIM(CN45&amp;"")="","",IFERROR(TRIM(INDEX(_xlfn.TEXTSPLIT(CN45&amp;";;;",";"),2)),""))</f>
        <v/>
      </c>
      <c r="CQ45" t="str" cm="1">
        <f t="array" ref="CQ45">IF(TRIM(CN45&amp;"")="","",IFERROR(TRIM(INDEX(_xlfn.TEXTSPLIT(CN45&amp;";;;",";"),3)),""))</f>
        <v/>
      </c>
      <c r="CR45">
        <f t="shared" si="28"/>
        <v>0</v>
      </c>
      <c r="CS45" t="str">
        <f>IF(B45="","",_xlfn.LET(_xlpm.t,LOWER(AV45&amp;""),IF(ISNUMBER(SEARCH("dim",_xlpm.t)),"DIM",IF(ISNUMBER(SEARCH("dali",_xlpm.t)),"DALI",IF(OR(ISNUMBER(SEARCH("relay",_xlpm.t)),ISNUMBER(SEARCH("реле",_xlpm.t))),"Relay",IF(ISNUMBER(SEARCH("кнопк",_xlpm.t)),"",IFERROR(_xlfn.XLOOKUP(AX45,Коды_код,Коды_упр)&amp;"","")))))))</f>
        <v/>
      </c>
      <c r="CT45" t="str">
        <f t="shared" si="29"/>
        <v/>
      </c>
      <c r="CU45">
        <f>IF(B45="","",_xlfn.LET(_xlpm.ig,N(P45)+IF(AF45="вручную",0,N(CB45)),_xlpm.n0,IFERROR(VLOOKUP(_xlpm.ig,Автомат_номиналы,2,TRUE),0),_xlpm.mn,MAX(CL45,IF(AF45="вручную",0,N(CE45))),MAX(_xlpm.n0,_xlpm.mn,IF(CR45=1,Мин_автомат_БП,0))))</f>
        <v>10</v>
      </c>
      <c r="CV45">
        <f t="shared" si="30"/>
        <v>1</v>
      </c>
      <c r="CW45" t="str">
        <f t="shared" si="31"/>
        <v>1P</v>
      </c>
      <c r="CX45" t="str">
        <f>_xlfn.LET(_xlpm.cc,UPPER(TRIM(IFERROR(_xlfn.XLOOKUP(AX45,Коды_код,Коды_хар)&amp;"",""))),IF(OR(_xlpm.cc="B",_xlpm.cc="В"),"B",IF(_xlpm.cc="D","D","С")))</f>
        <v>С</v>
      </c>
      <c r="CY45" t="str">
        <f t="shared" si="32"/>
        <v>1P С10А</v>
      </c>
      <c r="CZ45" t="str">
        <f t="shared" si="33"/>
        <v>1P С10А</v>
      </c>
      <c r="DA45" t="str">
        <f t="shared" si="34"/>
        <v>1P С10А</v>
      </c>
      <c r="DB45" cm="1">
        <f t="array" ref="DB45">IF(DA45="","",_xlfn.LET(_xlpm.t,SUBSTITUTE(SUBSTITUTE(SUBSTITUTE(UPPER(DA45),"С","C"),"А","A"),"В","B"),_xlpm.tk,_xlfn.TEXTSPLIT(_xlpm.t,"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5" t="str">
        <f t="shared" si="35"/>
        <v>ok</v>
      </c>
      <c r="DD45">
        <f t="shared" si="36"/>
        <v>10</v>
      </c>
      <c r="DE45" t="str">
        <f t="shared" si="37"/>
        <v>1P С10А</v>
      </c>
      <c r="DF45">
        <f t="shared" si="38"/>
        <v>0</v>
      </c>
      <c r="DG45">
        <f t="shared" si="39"/>
        <v>0</v>
      </c>
      <c r="DH45">
        <f t="shared" si="40"/>
        <v>0</v>
      </c>
      <c r="DI45">
        <f t="shared" si="41"/>
        <v>0.455802844097073</v>
      </c>
      <c r="DJ45">
        <f t="shared" si="42"/>
        <v>1</v>
      </c>
      <c r="DK45">
        <f>IF(ISNUMBER(AL45),AL45,К_прокл)</f>
        <v>1</v>
      </c>
      <c r="DL45">
        <f t="shared" si="43"/>
        <v>2</v>
      </c>
      <c r="DM45">
        <f>IFERROR(N(VLOOKUP(BT45,Кабель_обозначение,3,FALSE)),1)</f>
        <v>1</v>
      </c>
      <c r="DN45">
        <f>IFERROR(N(_xlfn.XLOOKUP(A45,Щиты[Щит],Щиты[ΔU до шин, %])),0)</f>
        <v>0.17</v>
      </c>
      <c r="DO45" t="str">
        <f>IFERROR(_xlfn.XLOOKUP(A45,Щиты[Щит],Щиты[Zпетли на шинах, Ом]),"")</f>
        <v/>
      </c>
      <c r="DP45">
        <f>IFERROR(N(_xlfn.XLOOKUP(A45,Щиты[Щит],Щиты[ΔU до шин (подбор), %])),0)</f>
        <v>0.65</v>
      </c>
      <c r="DQ45" t="str">
        <f>IFERROR(_xlfn.XLOOKUP(A45,Щиты[Щит],Щиты[Zпетли на шинах (подбор), Ом]),"")</f>
        <v/>
      </c>
      <c r="DR45" t="str">
        <f t="shared" si="44"/>
        <v/>
      </c>
      <c r="DS45">
        <f t="shared" si="45"/>
        <v>84</v>
      </c>
      <c r="DT45">
        <f t="shared" si="46"/>
        <v>2</v>
      </c>
      <c r="DU45">
        <f t="shared" si="47"/>
        <v>0.31</v>
      </c>
      <c r="DV45" s="6">
        <f>IF(B45="","",IF(IFERROR(VLOOKUP(AX45,УГО_спр,2,FALSE),"")="Светильник",3,4)+IF(Методика="нормы 2026",MIN(0.5,MAX(0,N(Q45)-100)*0.005),0))</f>
        <v>3.1349999999999998</v>
      </c>
      <c r="DW45" cm="1">
        <f t="array" ref="DW45">IF(OR(B45="",BT45="",DM45&lt;&gt;1),"",_xlfn.LET(_xlpm.sz,Iдоп_S,_xlpm.t_,CHOOSE(DL45,Iдоп_1ж,Iдоп_2ж,Iдоп_3ж)*DJ45*DK45,_xlpm.inn,N(DD45),_xlpm.smin,MAX(1.5,BW45),_xlpm.L_,N(Q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45)*(_xlpm.rho*_xlpm.L_/_xlpm.sz*N(BY45)+_xlpm.xx*_xlpm.L_*N(DU45)/1000)*N(P45)/((Uн_лин/SQRT(3))*1000)*100,999),_xlpm.kz,IF(OR(DG45=1,NOT(ISNUMBER(DQ45)),_xlpm.L_=0,_xlpm.inn=0),1,IFERROR(--(c_min*(Uн_лин*1000/SQRT(3))/(DQ45+2*ρкз_Cu*_xlpm.L_/_xlpm.sz)&gt;=GY45*_xlpm.inn),0)),_xlpm.ok,IFERROR((_xlpm.sz&gt;=_xlpm.smin)*(_xlpm.t_&gt;=_xlpm.inn)*IF(_xlpm.L_&gt;0,(_xlpm.du_+DP45&lt;=DV45+0.00001),1)*_xlpm.kz,0),_xlpm.r_,_xlfn._xlws.FILTER(_xlpm.sz,_xlpm.ok,"не подобрано"),INDEX(_xlpm.r_,1)))</f>
        <v>1.5</v>
      </c>
      <c r="DX45">
        <f t="shared" si="48"/>
        <v>1.5</v>
      </c>
      <c r="DY45" cm="1">
        <f t="array" ref="DY45">IF(OR(B45="",BT45="",DM45&lt;&gt;1),"",_xlfn.LET(_xlpm.sz,Iдоп_S,_xlpm.t_,CHOOSE(DL45,Iдоп_1ж,Iдоп_2ж,Iдоп_3ж)*DJ45*DK45,_xlpm.ok,IFERROR((_xlpm.sz&gt;=MAX(1.5,BW45))*(_xlpm.t_&gt;=N(DD45)),0),_xlpm.r_,_xlfn._xlws.FILTER(_xlpm.sz,_xlpm.ok,""),INDEX(_xlpm.r_,1)))</f>
        <v>1.5</v>
      </c>
      <c r="DZ45" s="6" cm="1">
        <f t="array" ref="DZ45">IFERROR(ROUNDUP(N(DT45)*(_xlfn.XLOOKUP(DY45,INDEX(Кабель_сопротивление,0,1),INDEX(Кабель_сопротивление,0,3))*N(Q45)/DY45*N(BY45)+_xlfn.XLOOKUP(DY45,INDEX(Кабель_сопротивление,0,1),INDEX(Кабель_сопротивление,0,2))*N(Q45)*N(DU45)/1000)*N(P45)/((Uн_лин/SQRT(3))*1000)*100,2),"")</f>
        <v>0.72</v>
      </c>
      <c r="EA45">
        <f>IFERROR(2*ρкз_Cu*N(Q45)/DY45,"")</f>
        <v>4.4534666666666665</v>
      </c>
      <c r="EB45">
        <f>IFERROR(VLOOKUP(DX45,Кабель_сопротивление,3,FALSE),"")</f>
        <v>2.2499999999999999E-2</v>
      </c>
      <c r="EC45">
        <f>IFERROR(VLOOKUP(DX45,Кабель_сопротивление,2,FALSE),"")</f>
        <v>0.11</v>
      </c>
      <c r="ED45">
        <f t="shared" si="49"/>
        <v>89</v>
      </c>
      <c r="EE45" t="str">
        <f t="shared" si="50"/>
        <v/>
      </c>
      <c r="EF45">
        <f t="shared" si="51"/>
        <v>1.6537262849632179</v>
      </c>
      <c r="EG45" s="6">
        <f>IFERROR(ROUNDUP(EF45/((Uн_лин/SQRT(3))*1000)*100,2),"")</f>
        <v>0.72</v>
      </c>
      <c r="EH45" t="str">
        <f>IFERROR(VLOOKUP(BT45,Кабель_обозначение,2,FALSE),"")</f>
        <v>ВВГнг(А)-LS</v>
      </c>
      <c r="EI45" t="str">
        <f t="shared" si="52"/>
        <v>ВВГнг(А)-LS (3х1,5)</v>
      </c>
      <c r="EJ45" t="str">
        <f t="shared" si="53"/>
        <v>ВВГнг(А)-LS (3х1,5)
L=127-0,72%</v>
      </c>
      <c r="EK45">
        <f>IFERROR(2*ρкз_Cu*Q45/DX45,"")</f>
        <v>4.4534666666666665</v>
      </c>
      <c r="EL45">
        <f t="shared" si="54"/>
        <v>1.4816666666666667</v>
      </c>
      <c r="EM45" s="6" t="str">
        <f>IFERROR(IF(OR(B45="",NOT(ISNUMBER(DX45)),N(Q45)=0),"",_xlfn.XLOOKUP(A45,Щиты[Щит],Щиты[Zпетли на шинах, Ом])+EK45),"")</f>
        <v/>
      </c>
      <c r="EN45" s="6" t="str">
        <f>IF(ISNUMBER(EM45),c_min*(Uн_лин*1000/SQRT(3))/EM45,"")</f>
        <v/>
      </c>
      <c r="EO45" s="6" t="str">
        <f>IFERROR(IF(OR(B45="",NOT(ISNUMBER(DX45))),"",1.05*(Uн_лин*1000/SQRT(3))/(_xlfn.XLOOKUP(A45,Щиты[Щит],Щиты[Zmax на шинах, Ом])+EL45)/1000),"")</f>
        <v/>
      </c>
      <c r="EP45" s="6" t="str">
        <f>IF(B45="","",IF(ISNUMBER(Y45),"Сил",IF(IFERROR(_xlfn.XLOOKUP(AX45,Коды_код,Коды_группа)&amp;"","")="","Быт",_xlfn.XLOOKUP(AX45,Коды_код,Коды_группа)&amp;"")))</f>
        <v>Быт</v>
      </c>
      <c r="EQ45" s="6" t="str">
        <f t="shared" si="55"/>
        <v>Быт</v>
      </c>
      <c r="ER45" s="6">
        <f>IF(EQ45="Щит","щит",IF(EQ45="","",IF(EQ45="Быт",IFERROR(_xlfn.XLOOKUP(A45,Щиты[Щит],Щиты[Кс быт]),1),IF(EQ45="Сил",IF(ISNUMBER(Y45),Y45,IF(Методика="нормы 2026",IFERROR(_xlfn.XLOOKUP(A45,Щиты[Щит],Щиты[Кс силовых (табл. 7.5)]),1),1)),IF(OR(EQ45="Пост",EQ45="Отоп"),1,IF(EQ45="ВНГ",0.7,0))))))</f>
        <v>0.8</v>
      </c>
      <c r="ES45">
        <f t="shared" si="56"/>
        <v>1</v>
      </c>
      <c r="ET45">
        <f t="shared" si="57"/>
        <v>0.1</v>
      </c>
      <c r="EU45">
        <f t="shared" si="58"/>
        <v>0.1</v>
      </c>
      <c r="EV45">
        <f t="shared" si="59"/>
        <v>0</v>
      </c>
      <c r="EW45">
        <f t="shared" si="60"/>
        <v>0</v>
      </c>
      <c r="EX45">
        <f t="shared" si="61"/>
        <v>0</v>
      </c>
      <c r="EY45">
        <f t="shared" si="62"/>
        <v>0</v>
      </c>
      <c r="EZ45">
        <f t="shared" si="63"/>
        <v>0.1</v>
      </c>
      <c r="FA45">
        <f t="shared" si="64"/>
        <v>9.5000000000000001E-2</v>
      </c>
      <c r="FB45">
        <f t="shared" si="65"/>
        <v>0.1</v>
      </c>
      <c r="FC45" t="str">
        <f t="shared" si="66"/>
        <v/>
      </c>
      <c r="FD45" t="str">
        <f>IF(B45="","",IF(CA45=0,IF(AW45=1,"",FF44),IF(OR(N(CV45)&gt;=3,N(BR45)&gt;=3),"L1,L2,L3",IFERROR(_xlfn.TEXTBEFORE(_xlfn.TEXTAFTER(_xlfn.XLOOKUP(A45,Щиты[Щит],Щиты[_фазы авто]),";"&amp;AW45&amp;":"),";"),"L1"))))</f>
        <v>L2</v>
      </c>
      <c r="FE45" t="str">
        <f t="shared" si="67"/>
        <v>L2</v>
      </c>
      <c r="FF45" t="str">
        <f t="shared" si="68"/>
        <v>L2</v>
      </c>
      <c r="FG45" cm="1">
        <f t="array" ref="FG45">IFERROR(IF(BX45=2,_xlfn.IFS(BR45=3,VLOOKUP(BN45,Справочная_двигатели,3,FALSE),BR45=1,VLOOKUP(BN45,Справочная_двигатели,5,TRUE)),0),0)</f>
        <v>0</v>
      </c>
      <c r="FH45">
        <f>IFERROR(IF(BX45=3,VLOOKUP(BN45,Справочная_ЛЭД,2,TRUE),0),0)</f>
        <v>50</v>
      </c>
      <c r="FI45" s="6">
        <f t="shared" si="69"/>
        <v>50</v>
      </c>
      <c r="FJ45" t="str" cm="1">
        <f t="array" ref="FJ45">IF(B45="","",IFERROR(INDEX({"I особая","I","II","III"},MATCH(TRIM(AC45&amp;""),{"I особая","I","II","III"},0)),"III"))</f>
        <v>III</v>
      </c>
      <c r="FK45" t="str">
        <f>IF(B45="","",IF(TRIM(AD45&amp;"")&lt;&gt;"",IF(LOWER(TRIM(AD45&amp;""))="да","да","нет"),IF(IFERROR(_xlfn.XLOOKUP(AX45,Коды_код,Коды_пожарная),"")="да","да","нет")))</f>
        <v>нет</v>
      </c>
      <c r="FL45" t="str">
        <f t="shared" si="70"/>
        <v/>
      </c>
      <c r="FM45" t="str">
        <f t="shared" si="71"/>
        <v>основная</v>
      </c>
      <c r="FN45">
        <f t="shared" si="72"/>
        <v>1</v>
      </c>
      <c r="FO45" t="str" cm="1">
        <f t="array" ref="FO45">IF(B45="","",_xlfn.LET(_xlpm.t,IFERROR(_xlfn.XLOOKUP(1,(Шины[Шина]=FM45)*(((Шины[Щит]=A45)+(Шины[Щит]=""))&gt;0),Шины[Тип]),"")&amp;"",IF(_xlpm.t&lt;&gt;"",_xlpm.t,IF(ISNUMBER(SEARCH("ИБП",FM45)),"ИБП",IF(ISNUMBER(SEARCH("ДГУ",FM45)),"ДГУ","Ввод "&amp;FN45)))))</f>
        <v>Ввод 1</v>
      </c>
      <c r="FP45" t="str">
        <f t="shared" si="73"/>
        <v>Ввод 1</v>
      </c>
      <c r="FQ45" t="str">
        <f>IF(B45="","",IF(OR(FO45="ИБП",FO45="ДГУ"),"I особая",IF(FO45="Одиночная","III",_xlfn.XLOOKUP(A45,Щиты[Щит],Щиты[Категория шины «Ввод»],"III"))))</f>
        <v>II</v>
      </c>
      <c r="FR45">
        <f>IF(B45="",0,IFERROR(MATCH(FJ45,{"III","II","I","I особая"},0),1))</f>
        <v>1</v>
      </c>
      <c r="FS45">
        <f t="shared" si="74"/>
        <v>1</v>
      </c>
      <c r="FT45" t="str">
        <f>IF(B45="","",IF(FR45&gt;IFERROR(MATCH(FQ45,{"III","II","I","I особая"},0),1),"НЕ ОБЕСПЕЧЕНА","ОК"))</f>
        <v>ОК</v>
      </c>
      <c r="FU45" t="str">
        <f>IF(A45="","",_xlfn.XLOOKUP(A45,Щиты[Щит],Щиты[Путь],""))</f>
        <v>|ГРЩ-ЖД|ЩГП|ЩО-001|</v>
      </c>
      <c r="FV45" t="str">
        <f>IF(B45="","",IF(AE45&lt;&gt;"",AE45,IF(IFERROR(_xlfn.XLOOKUP(AX45,Коды_код,Коды_вид)&amp;"","")="","Прочее",_xlfn.XLOOKUP(AX45,Коды_код,Коды_вид)&amp;"")))</f>
        <v>Рабочее освещение</v>
      </c>
      <c r="FW45" t="str">
        <f>IF(BH45="","",INT((BH45-1)/Столбцов_на_лист)+1)</f>
        <v/>
      </c>
      <c r="FX45" t="str">
        <f t="shared" si="75"/>
        <v>ВВГнг(А)-LS (3х1,5) L=127-0,72%</v>
      </c>
      <c r="FY45">
        <f t="shared" si="76"/>
        <v>0.1</v>
      </c>
      <c r="FZ45">
        <f t="shared" si="77"/>
        <v>0.46</v>
      </c>
      <c r="GA45">
        <f t="shared" si="78"/>
        <v>1</v>
      </c>
      <c r="GB45">
        <f t="shared" si="79"/>
        <v>0</v>
      </c>
      <c r="GC45">
        <f t="shared" si="80"/>
        <v>0</v>
      </c>
      <c r="GD45" t="str">
        <f>IF(BH45="","",IF(AND(CA45=1,GC45=1),COUNTIFS(A$3:A45,A45,CA$3:CA45,1,GC$3:GC45,1),IF(OR(OR(AW45=1,A45&lt;&gt;A44),AF45="вручную",GC45=0),"",IF(AW45=1,"",GE44))))</f>
        <v/>
      </c>
      <c r="GE45" t="str">
        <f t="shared" si="81"/>
        <v/>
      </c>
      <c r="GF45">
        <f>IF(B45="","",IFERROR(LOOKUP(INDEX(CHOOSE(DL45,Iдоп_1ж,Iдоп_2ж,Iдоп_3ж),MATCH(DX45,Iдоп_S,0))*DJ45*DK45,{6,10,16,20,25,32,40,50,63,80,100,125,160,200,250,315,400,500,630}),""))</f>
        <v>16</v>
      </c>
      <c r="GG45" t="str">
        <f t="shared" si="82"/>
        <v/>
      </c>
      <c r="GH45" t="str">
        <f t="shared" si="83"/>
        <v/>
      </c>
      <c r="GI45" t="str">
        <f t="shared" si="84"/>
        <v/>
      </c>
      <c r="GJ45">
        <f t="shared" si="85"/>
        <v>0</v>
      </c>
      <c r="GK45" t="str">
        <f>IF(OR(AG45="",AG45="-"),"",IFERROR(VLOOKUP(AG45,Модули_спр,2,FALSE),"R"))</f>
        <v/>
      </c>
      <c r="GL45" t="str">
        <f>IF(GK45="","",GK45&amp;"."&amp;COUNTIFS(A$3:A45,A45,GK$3:GK45,GK45))</f>
        <v/>
      </c>
      <c r="GM45" t="str">
        <f t="shared" si="86"/>
        <v/>
      </c>
      <c r="GN45" t="str">
        <f t="shared" si="87"/>
        <v/>
      </c>
      <c r="GO45" t="str">
        <f t="shared" si="88"/>
        <v/>
      </c>
      <c r="GP45" t="str">
        <f t="shared" si="89"/>
        <v/>
      </c>
      <c r="GQ45">
        <f t="shared" si="90"/>
        <v>1</v>
      </c>
      <c r="GR45" t="str">
        <f>IF(GQ45=1,"XT"&amp;COUNTIFS(A$3:A45,A45,GQ$3:GQ45,1),"")</f>
        <v>XT14</v>
      </c>
      <c r="GS45" t="str">
        <f t="shared" si="91"/>
        <v>XT14</v>
      </c>
      <c r="GT45" t="str">
        <f t="shared" si="92"/>
        <v/>
      </c>
      <c r="GU45" t="str">
        <f t="shared" si="93"/>
        <v/>
      </c>
      <c r="GV45" t="str">
        <f t="shared" si="94"/>
        <v>ok</v>
      </c>
      <c r="GW45" t="str">
        <f>IF(OR(GO45="",GM45=""),"",IF(GO45&gt;IFERROR(VLOOKUP(GN45,Модули_спр,3,FALSE),99),"ЛИШНИЙ КАНАЛ",IF(AND(AH45&lt;&gt;"=",COUNTIFS(Линии[_модуль гр.],GM45,Линии[Канал (итог)],GO45,Линии[Канал],"&lt;&gt;=",Линии[Щит],A45)&gt;1),"ДУБЛЬ КАНАЛА","")))</f>
        <v/>
      </c>
      <c r="GX45" s="6" t="str">
        <f t="shared" si="95"/>
        <v/>
      </c>
      <c r="GY45">
        <f t="shared" si="96"/>
        <v>10</v>
      </c>
      <c r="GZ45" t="str">
        <f t="shared" si="97"/>
        <v/>
      </c>
      <c r="HA45" t="str">
        <f>IF(AND(B45="",GT45=""),"",_xlfn.TEXTJOIN("; ",TRUE,IF(AND(B45&lt;&gt;"",FE45=""),"нет фазы",""),IF(AND(B45&lt;&gt;"",N(FY45)=0,EQ45&lt;&gt;"Нет"),"нет мощности",""),IF(AND(GS45&lt;&gt;"",COUNTIFS(Линии[Щит],A45,Линии[Клемма (итог)],GS45)&gt;1),"дубль клеммы "&amp;GS45,""),IF(AND(GV45&lt;&gt;"",GV45&lt;&gt;"ok"),GV45,""),IF(GW45&lt;&gt;"",GW45,""),IF(AND(N(BV45)&gt;=4,N(BR45)=1),BV45&amp;" жил на 1 фазе",""),IF(AND(AX45="R",CA45=1,OR(N(CK45)=0,N(CK45)&gt;30)),"розетка без дифзащиты до 30 мА",""),IFERROR(IF(AND(ISNUMBER(R45),R45&gt;DV45),"потери "&amp;FIXED(R45,1)&amp;" % &gt; "&amp;DV45&amp;" %",""),""),IFERROR(IF(LEFT(GZ45,4)="мало","Iкз мало — отключение &gt; 0,4 с",""),""),IF(AND(B45&lt;&gt;"",BH45=""),"не на схеме",""),IF(AND(CA45=0,B45&lt;&gt;"",FE45&lt;&gt;"",IF(AW45=1,"",FF44)&lt;&gt;"",FE45&lt;&gt;IF(AW45=1,"",FF44)),"фаза не как у автомата группы ("&amp;IF(AW45=1,"",FF44)&amp;")","")))</f>
        <v>не на схеме</v>
      </c>
      <c r="HB45" s="6">
        <f>IF(OR(CA45=0,DA45=""),"",_xlfn.LET(_xlpm.t,IFERROR(_xlfn.XLOOKUP(DA45,Каталог!$U$4:$U$500,Каталог!$G$4:$G$500),""),_xlpm.k,SEARCH("кА",_xlpm.t),IFERROR(--TRIM(RIGHT(SUBSTITUTE(MID(_xlpm.t,MAX(1,_xlpm.k-4),_xlpm.k-MAX(1,_xlpm.k-4))," ",REPT(" ",9)),5)),"")))</f>
        <v>6</v>
      </c>
      <c r="HC45" t="str">
        <f>IF(OR(HB45="",CA45=0),"",IF(_xlfn.XLOOKUP(A45,Щиты[Щит],Щиты[Iкз max на шинах, кА],"")="","",IF(HB45&lt;_xlfn.XLOOKUP(A45,Щиты[Щит],Щиты[Iкз max на шинах, кА]),"Icu "&amp;HB45&amp;" кА &lt; Iкз max","ok")))</f>
        <v/>
      </c>
      <c r="HD45" t="str">
        <f t="shared" si="98"/>
        <v/>
      </c>
      <c r="HE45" t="str">
        <f t="shared" si="99"/>
        <v/>
      </c>
      <c r="HF45" t="str">
        <f t="shared" si="100"/>
        <v/>
      </c>
      <c r="HG45" t="str" cm="1">
        <f t="array" ref="HG45">IF(HF45="","",_xlfn.LET(_xlpm.nd,_xlfn.TEXTSPLIT(HF45,"|"),IF(COLUMNS(_xlpm.nd)&gt;1,A45&amp;"¦"&amp;INDEX(_xlpm.nd,1)&amp;"¦"&amp;INDEX(_xlpm.nd,2),"")))</f>
        <v/>
      </c>
      <c r="HH45" t="str">
        <f t="shared" si="101"/>
        <v/>
      </c>
      <c r="HI45" t="str" cm="1">
        <f t="array" ref="HI45">IF(HF45="","",_xlfn.LET(_xlpm.nd,_xlfn.TEXTSPLIT(HF45,"|"),IF(COLUMNS(_xlpm.nd)&gt;2,A45&amp;"¦"&amp;INDEX(_xlpm.nd,2)&amp;"¦"&amp;INDEX(_xlpm.nd,3),"")))</f>
        <v/>
      </c>
      <c r="HJ45" t="str">
        <f t="shared" si="102"/>
        <v/>
      </c>
      <c r="HK45" t="str" cm="1">
        <f t="array" ref="HK45">IF(HF45="","",_xlfn.LET(_xlpm.nd,_xlfn.TEXTSPLIT(HF45,"|"),IF(COLUMNS(_xlpm.nd)&gt;3,A45&amp;"¦"&amp;INDEX(_xlpm.nd,3)&amp;"¦"&amp;INDEX(_xlpm.nd,4),"")))</f>
        <v/>
      </c>
      <c r="HL45" t="str">
        <f t="shared" si="103"/>
        <v/>
      </c>
      <c r="HM45" t="str" cm="1">
        <f t="array" ref="HM45">IF(HF45="","",_xlfn.LET(_xlpm.nd,_xlfn.TEXTSPLIT(HF45,"|"),IF(COLUMNS(_xlpm.nd)&gt;4,A45&amp;"¦"&amp;INDEX(_xlpm.nd,4)&amp;"¦"&amp;INDEX(_xlpm.nd,5),"")))</f>
        <v/>
      </c>
      <c r="HN45" t="str">
        <f t="shared" si="104"/>
        <v/>
      </c>
      <c r="HO45" t="str" cm="1">
        <f t="array" ref="HO45">IF(HF45="","",_xlfn.LET(_xlpm.nd,_xlfn.TEXTSPLIT(HF45,"|"),IF(COLUMNS(_xlpm.nd)&gt;5,A45&amp;"¦"&amp;INDEX(_xlpm.nd,5)&amp;"¦"&amp;INDEX(_xlpm.nd,6),"")))</f>
        <v/>
      </c>
      <c r="HP45" t="str">
        <f t="shared" si="105"/>
        <v/>
      </c>
      <c r="HQ45" t="str" cm="1">
        <f t="array" ref="HQ45">IF(HF45="","",_xlfn.LET(_xlpm.nd,_xlfn.TEXTSPLIT(HF45,"|"),IF(COLUMNS(_xlpm.nd)&gt;6,A45&amp;"¦"&amp;INDEX(_xlpm.nd,6)&amp;"¦"&amp;INDEX(_xlpm.nd,7),"")))</f>
        <v/>
      </c>
      <c r="HR45" t="str">
        <f t="shared" si="106"/>
        <v/>
      </c>
      <c r="HS45" t="str">
        <f t="shared" si="107"/>
        <v/>
      </c>
      <c r="HT45" t="str">
        <f t="shared" si="108"/>
        <v>XT14</v>
      </c>
      <c r="HU45">
        <f t="shared" si="109"/>
        <v>0</v>
      </c>
      <c r="HV45">
        <f t="shared" si="110"/>
        <v>0</v>
      </c>
      <c r="HW45" t="str">
        <f t="shared" si="111"/>
        <v/>
      </c>
      <c r="HX45" t="str">
        <f t="shared" si="112"/>
        <v/>
      </c>
      <c r="HY45" t="str">
        <f t="shared" si="113"/>
        <v/>
      </c>
      <c r="HZ45" t="str">
        <f t="shared" si="114"/>
        <v/>
      </c>
      <c r="IA45" t="str">
        <f>IF(B45="","",IFERROR(VLOOKUP(B45,УГО_спр,2,FALSE),IFERROR(VLOOKUP(AX45,УГО_спр,2,FALSE),IFERROR(VLOOKUP(LEFT(AX45,2),УГО_спр,2,FALSE),""))))</f>
        <v>Светильник</v>
      </c>
      <c r="IB45" t="str">
        <f>IF(B45="","",IF(OR(IA45="",IA45=0),"BOX",IFERROR(IF(VLOOKUP(IA45,УГО_блоки,3,FALSE)&amp;""&lt;&gt;"",VLOOKUP(IA45,УГО_блоки,3,FALSE),VLOOKUP(IA45,УГО_блоки,2,FALSE)),IA45)))</f>
        <v>LAMP</v>
      </c>
      <c r="IC45">
        <f t="shared" si="115"/>
        <v>1</v>
      </c>
      <c r="ID45" t="str">
        <f>IF(DA45="","",IF(COUNTIF(DA$3:DA45,DA45)=1,MAX(ID$2:ID44)+1,""))</f>
        <v/>
      </c>
      <c r="IE45" t="str">
        <f>IF(CO45="","",IF(COUNTIF(CO$3:CO45,CO45)+COUNTIF(CP$2:CP44,CO45)+COUNTIF(CQ$2:CQ44,CO45)=1,MAX(IE$2:IG44)+1,""))</f>
        <v/>
      </c>
      <c r="IF45" t="str">
        <f>IF(CP45="","",IF(COUNTIF(CO$3:CO45,CP45)+COUNTIF(CP$3:CP45,CP45)+COUNTIF(CQ$2:CQ44,CP45)=1,MAX(IE$2:IG44,IE45)+1,""))</f>
        <v/>
      </c>
      <c r="IG45" t="str">
        <f>IF(CQ45="","",IF(COUNTIF(CO$3:CO45,CQ45)+COUNTIF(CP$3:CP45,CQ45)+COUNTIF(CQ$3:CQ45,CQ45)=1,MAX(IE$2:IG44,IE45,IF45)+1,""))</f>
        <v/>
      </c>
      <c r="IH45" t="str">
        <f t="shared" si="116"/>
        <v>3х1,5</v>
      </c>
      <c r="II45" t="str">
        <f>IF(IH45="","",IF(COUNTIF(IH$3:IH45,IH45)=1,MAX(II$2:II44)+1,""))</f>
        <v/>
      </c>
      <c r="IJ45" t="str">
        <f>IF(GL45="","",COUNTIF(GL$3:GL45,"?*"))</f>
        <v/>
      </c>
      <c r="IK45" t="str">
        <f>IF(OR(GL45="",GN45=""),"",IF(COUNTIFS(GL$3:GL45,"?*",GN$3:GN45,GN45)=1,MAX(IK$2:IK44)+1,""))</f>
        <v/>
      </c>
      <c r="IL45">
        <f t="shared" si="117"/>
        <v>1</v>
      </c>
      <c r="IM45">
        <f>IF(B45="","",COUNTIF(B$3:B45,"?*"))</f>
        <v>43</v>
      </c>
      <c r="IN45">
        <f>IF(GQ45&lt;&gt;1,0,_xlfn.LET(_xlpm.k,MAX(IFERROR(--VLOOKUP(B45,УГО_спр,5,FALSE),0),IFERROR(--VLOOKUP(AX45,УГО_спр,5,FALSE),0),IFERROR(--VLOOKUP(LEFT(AX45,2),УГО_спр,5,FALSE),0)),IF(_xlpm.k&gt;0,_xlpm.k,IF(IFERROR(--LEFT(SUBSTITUTE(IH45,"x","х"),FIND("х",SUBSTITUTE(IH45,"x","х"))-1),3)&gt;3,Каталог!$S$9,1))))</f>
        <v>1</v>
      </c>
      <c r="IO45">
        <f t="shared" si="118"/>
        <v>0</v>
      </c>
      <c r="IP45" t="str">
        <f t="shared" si="119"/>
        <v>авто</v>
      </c>
      <c r="IQ45" t="str">
        <f t="shared" si="120"/>
        <v/>
      </c>
      <c r="IR45">
        <f t="shared" si="121"/>
        <v>0</v>
      </c>
      <c r="IS45">
        <f t="shared" si="122"/>
        <v>1</v>
      </c>
    </row>
    <row r="46" spans="1:253" x14ac:dyDescent="0.3">
      <c r="A46" t="s">
        <v>1104</v>
      </c>
      <c r="B46" t="s">
        <v>1319</v>
      </c>
      <c r="C46" t="str">
        <f>Линии[[#This Row],[_авто наименование]]</f>
        <v>Осветительная группа, пом. 007Б</v>
      </c>
      <c r="D46">
        <v>12</v>
      </c>
      <c r="E46">
        <v>0.1</v>
      </c>
      <c r="G46" t="str">
        <f>Линии[[#This Row],[_авто автомат]]</f>
        <v>1P С10А</v>
      </c>
      <c r="H46" t="str">
        <f>Линии[[#This Row],[_авто утечка]]</f>
        <v/>
      </c>
      <c r="I46" t="str">
        <f>Линии[[#This Row],[_авто управление]]</f>
        <v/>
      </c>
      <c r="J46" t="str">
        <f>Линии[[#This Row],[_авто аппараты]]</f>
        <v/>
      </c>
      <c r="K46">
        <v>1.5</v>
      </c>
      <c r="L46">
        <v>72</v>
      </c>
      <c r="M46" t="str">
        <f>Линии[[#This Row],[_авто фаза]]</f>
        <v>L3</v>
      </c>
      <c r="N46" t="str">
        <f>Линии[[#This Row],[_авто клемма]]</f>
        <v>XT15</v>
      </c>
      <c r="O46" t="str">
        <f t="shared" si="0"/>
        <v>не на схеме</v>
      </c>
      <c r="P46" s="6" cm="1">
        <f t="array" ref="P46">IF(B46="","",IF(BC46&lt;&gt;"",IFERROR(_xlfn.XLOOKUP(BC46,Щиты[Щит],Щиты[Iр, А]),""),IF(BK46=1,IFERROR(_xlfn.XLOOKUP(A46,Щиты[Щит],Щиты[Iр, А]),""),IFERROR(_xlfn.IFS(BR46=1,BN46/((Uн_лин/SQRT(3))*BY46),BR46=3,BN46/(SQRT(3)*Uн_лин*BY46)),""))))</f>
        <v>0.455802844097073</v>
      </c>
      <c r="Q46" s="7">
        <f>IF(B46="","",IFERROR(IF(VLOOKUP(AX46,Потребители_обозначение,4,FALSE)=1,VLOOKUP(AX46,Потребители_обозначение,3,FALSE)*(D46*2-1)+DS46+VLOOKUP(AZ46,Этаж_обозначение,3,FALSE)+VLOOKUP(AZ46,Этаж_обозначение,4,FALSE),VLOOKUP(AX46,Потребители_обозначение,3,FALSE)*(D46*2-1)+DS46),DS46))</f>
        <v>95</v>
      </c>
      <c r="R46" s="6">
        <f t="shared" si="1"/>
        <v>0.71000000000000008</v>
      </c>
      <c r="S46" t="str">
        <f t="shared" si="2"/>
        <v>ВВГнг(А)-LS (3х1,5)</v>
      </c>
      <c r="T46" t="str">
        <f>IF(BH46="","",IF(BI46="вводной узел","узел ","")&amp;"л."&amp;(INT((BH46-1)/Столбцов_на_лист)+1)&amp;" / "&amp;(MOD(BH46-1,Столбцов_на_лист)+1))</f>
        <v/>
      </c>
      <c r="V46">
        <v>1</v>
      </c>
      <c r="W46">
        <v>230</v>
      </c>
      <c r="X46" t="s">
        <v>564</v>
      </c>
      <c r="AE46" t="s">
        <v>557</v>
      </c>
      <c r="AI46" t="s">
        <v>529</v>
      </c>
      <c r="AJ46" t="s">
        <v>11</v>
      </c>
      <c r="AK46">
        <v>3</v>
      </c>
      <c r="AM46">
        <v>33</v>
      </c>
      <c r="AN46">
        <v>57</v>
      </c>
      <c r="AW46" cm="1">
        <f t="array" ref="AW46">ROW()-ROW(Линии[#Headers])</f>
        <v>44</v>
      </c>
      <c r="AX46" s="6" t="str">
        <f t="shared" si="3"/>
        <v>L</v>
      </c>
      <c r="AY46" t="str">
        <f t="shared" si="4"/>
        <v>00.007Б.1</v>
      </c>
      <c r="AZ46" t="str">
        <f t="shared" si="5"/>
        <v>00</v>
      </c>
      <c r="BA46" t="str">
        <f t="shared" si="6"/>
        <v>007Б.1</v>
      </c>
      <c r="BB46" t="str">
        <f t="shared" si="7"/>
        <v>007Б</v>
      </c>
      <c r="BC46" t="str">
        <f>IF(U46&lt;&gt;"",U46,IF(AND(B46&lt;&gt;"",B46&lt;&gt;A46,ISNUMBER(_xlfn.XMATCH(B46,Щиты[Щит]))),B46,""))</f>
        <v/>
      </c>
      <c r="BD46" t="str" cm="1">
        <f t="array" ref="BD46">IF(B46="","",IF(BC46&lt;&gt;"","Щит "&amp;BC46,_xlfn.LET(_xlpm.nm,IFERROR(_xlfn.XLOOKUP(AX46,Коды_код,Коды_имя)&amp;"",""),_xlpm.md,IFERROR(N(_xlfn.XLOOKUP(AX46,Коды_код,Коды_режим)),1),_xlpm.ex,IF(Имя_режим="по экспликации",IFERROR(_xlfn.XLOOKUP(AZ46&amp;"|"&amp;BB46,Экспликация[Этаж]&amp;"|"&amp;Экспликация[Помещение],Экспликация[Название])&amp;"",""),""),_xlpm.rm,IF(BB46="","",IF(_xlpm.ex&lt;&gt;"",". "&amp;_xlpm.ex&amp;IF(Имя_пом="нет"," ("&amp;BB46&amp;")"," (пом. "&amp;BB46&amp;")"),IF(Имя_пом="нет"," ",", пом. ")&amp;BB46)),IF(_xlpm.nm="","",IF(_xlpm.md=2,_xlpm.nm&amp;" шлейф "&amp;AZ46,_xlpm.nm&amp;_xlpm.rm)))))</f>
        <v>Осветительная группа, пом. 007Б</v>
      </c>
      <c r="BE46" t="str">
        <f t="shared" si="8"/>
        <v>Осветительная группа, пом. 007Б</v>
      </c>
      <c r="BF46">
        <f>IFERROR(_xlfn.XMATCH(A46,Щиты[Щит]),0)</f>
        <v>3</v>
      </c>
      <c r="BG46">
        <f>_xlfn.LET(_xlpm.k,IFERROR(_xlfn.XLOOKUP(A46,Щиты[Щит],Щиты[Листов под вводной узел]),""),IF(_xlpm.k="",1,N(_xlpm.k))*Столбцов_на_лист)</f>
        <v>17</v>
      </c>
      <c r="BH46" t="str">
        <f t="shared" si="9"/>
        <v/>
      </c>
      <c r="BI46" t="str">
        <f t="shared" si="10"/>
        <v/>
      </c>
      <c r="BJ46" s="6">
        <f>IFERROR(N(_xlfn.XLOOKUP(AX46,Коды_код,Коды_квт)),0)</f>
        <v>0</v>
      </c>
      <c r="BK46">
        <f t="shared" si="11"/>
        <v>0</v>
      </c>
      <c r="BL46" t="str">
        <f>IF(B46="","",IF(BC46&lt;&gt;"",IFERROR(_xlfn.XLOOKUP(BC46,Щиты[Щит],Щиты[Руст, кВт]),0),IF(BK46=1,IFERROR(_xlfn.XLOOKUP(A46,Щиты[Щит],Щиты[Руст, кВт]),0),IF(BJ46&gt;0,ROUND(BJ46*MAX(1,N(D46)),3),""))))</f>
        <v/>
      </c>
      <c r="BM46">
        <f t="shared" si="12"/>
        <v>0.1</v>
      </c>
      <c r="BN46" s="6">
        <f>IF(B46="","",IF(BC46&lt;&gt;"",IFERROR(_xlfn.XLOOKUP(BC46,Щиты[Щит],Щиты[Руст, кВт]),0),N(BM46)))</f>
        <v>0.1</v>
      </c>
      <c r="BO46" t="str">
        <f>IF(B46="","",IFERROR(IF(VLOOKUP(AX46,Потребители_обозначение,8,FALSE)=0,"",VLOOKUP(AX46,Потребители_обозначение,8,FALSE)),""))</f>
        <v/>
      </c>
      <c r="BP46">
        <f t="shared" si="13"/>
        <v>230</v>
      </c>
      <c r="BQ46">
        <f>IF(B46="","",IF(BC46&lt;&gt;"",3,IFERROR(IF(N(VLOOKUP(AX46,Потребители_обозначение,9,FALSE))=0,1,VLOOKUP(AX46,Потребители_обозначение,9,FALSE)),1)))</f>
        <v>1</v>
      </c>
      <c r="BR46">
        <f t="shared" si="14"/>
        <v>1</v>
      </c>
      <c r="BS46" t="str">
        <f>IF(B46="","",_xlfn.LET(_xlpm.bc,IFERROR(IF(VLOOKUP(AX46,Потребители_обозначение,6,FALSE)=0,"",VLOOKUP(AX46,Потребители_обозначение,6,FALSE)&amp;""),""),IF(AND(FK46="да",OR(_xlpm.bc="",_xlpm.bc="мс")),Марка_пож,IF(AND(_xlpm.bc="",BC46&lt;&gt;""),"мс",_xlpm.bc))))</f>
        <v/>
      </c>
      <c r="BT46" t="str">
        <f t="shared" si="15"/>
        <v>мс</v>
      </c>
      <c r="BU46">
        <f>IF(B46="","",_xlfn.LET(_xlpm.cc,IFERROR(N(VLOOKUP(AX46,Потребители_обозначение,7,FALSE)),0),IF(_xlpm.cc&gt;0,_xlpm.cc,IF(BT46="","",IF(N(BR46)=3,5,3)))))</f>
        <v>3</v>
      </c>
      <c r="BV46">
        <f t="shared" si="16"/>
        <v>3</v>
      </c>
      <c r="BW46">
        <f>IFERROR(N(VLOOKUP(AX46,Потребители_обозначение,10,FALSE)),0)</f>
        <v>0</v>
      </c>
      <c r="BX46">
        <f>IFERROR(VLOOKUP(AX46,Потребители_обозначение,5,FALSE),0)</f>
        <v>3</v>
      </c>
      <c r="BY46" s="6" cm="1">
        <f t="array" ref="BY46">IF(B46="","",IF(BC46&lt;&gt;"",IFERROR(_xlfn.XLOOKUP(BC46,Щиты[Щит],Щиты[cos φ]),0.95),IF(BK46=1,IFERROR(_xlfn.XLOOKUP(A46,Щиты[Щит],Щиты[cos φ]),0.95),IF(ISNUMBER(Z46),Z46,IFERROR(IF(BX46=2,_xlfn.IFS(BR46=3,VLOOKUP(BN46,Справочная_двигатели,8,FALSE),BR46=1,VLOOKUP(BN46,Справочная_двигатели,10,TRUE)),IF(AND(Методика="нормы 2026",EQ46="Сил"),0.8,0.95)),0.95)))))</f>
        <v>0.95</v>
      </c>
      <c r="BZ46">
        <f t="shared" si="17"/>
        <v>0</v>
      </c>
      <c r="CA46">
        <f t="shared" si="18"/>
        <v>1</v>
      </c>
      <c r="CB46">
        <f t="shared" si="19"/>
        <v>0</v>
      </c>
      <c r="CC46">
        <f t="shared" si="20"/>
        <v>0</v>
      </c>
      <c r="CD46">
        <f t="shared" si="21"/>
        <v>0</v>
      </c>
      <c r="CE46">
        <f t="shared" si="22"/>
        <v>0</v>
      </c>
      <c r="CF46">
        <f t="shared" si="23"/>
        <v>0</v>
      </c>
      <c r="CG46">
        <f>IF(AX46="",0,_xlfn.LET(_xlpm.v,IFERROR(VLOOKUP(B46,УГО_спр,3,FALSE),IFERROR(VLOOKUP(AX46,УГО_спр,3,FALSE),IFERROR(VLOOKUP(LEFT(AX46,2),УГО_спр,3,FALSE),""))),IF(_xlpm.v="да",30,IF(ISNUMBER(_xlpm.v),_xlpm.v,0))))</f>
        <v>0</v>
      </c>
      <c r="CH46" t="str">
        <f t="shared" si="24"/>
        <v/>
      </c>
      <c r="CI46" t="str">
        <f>_xlfn.LET(_xlpm.k,IFERROR(_xlfn.XLOOKUP(AX46,Коды_код,Коды_утечка)&amp;"",""),IF(_xlpm.k="","дифавтомат",_xlpm.k))</f>
        <v>дифавтомат</v>
      </c>
      <c r="CJ46">
        <f t="shared" si="25"/>
        <v>0</v>
      </c>
      <c r="CK46">
        <f t="shared" si="26"/>
        <v>0</v>
      </c>
      <c r="CL46">
        <f>IF(B46="",0,IFERROR(--VLOOKUP(B46,УГО_спр,4,FALSE),IFERROR(--VLOOKUP(AX46,УГО_спр,4,FALSE),IFERROR(--VLOOKUP(LEFT(AX46,2),УГО_спр,4,FALSE),0))))</f>
        <v>10</v>
      </c>
      <c r="CM46" t="str">
        <f>IF(B46="","",IFERROR(_xlfn.XLOOKUP(AX46,Коды_код,Коды_апп)&amp;"",""))</f>
        <v/>
      </c>
      <c r="CN46" t="str">
        <f t="shared" si="27"/>
        <v/>
      </c>
      <c r="CO46" t="str" cm="1">
        <f t="array" ref="CO46">IF(TRIM(CN46&amp;"")="","",IFERROR(TRIM(INDEX(_xlfn.TEXTSPLIT(CN46&amp;";;;",";"),1)),""))</f>
        <v/>
      </c>
      <c r="CP46" t="str" cm="1">
        <f t="array" ref="CP46">IF(TRIM(CN46&amp;"")="","",IFERROR(TRIM(INDEX(_xlfn.TEXTSPLIT(CN46&amp;";;;",";"),2)),""))</f>
        <v/>
      </c>
      <c r="CQ46" t="str" cm="1">
        <f t="array" ref="CQ46">IF(TRIM(CN46&amp;"")="","",IFERROR(TRIM(INDEX(_xlfn.TEXTSPLIT(CN46&amp;";;;",";"),3)),""))</f>
        <v/>
      </c>
      <c r="CR46">
        <f t="shared" si="28"/>
        <v>0</v>
      </c>
      <c r="CS46" t="str">
        <f>IF(B46="","",_xlfn.LET(_xlpm.t,LOWER(AV46&amp;""),IF(ISNUMBER(SEARCH("dim",_xlpm.t)),"DIM",IF(ISNUMBER(SEARCH("dali",_xlpm.t)),"DALI",IF(OR(ISNUMBER(SEARCH("relay",_xlpm.t)),ISNUMBER(SEARCH("реле",_xlpm.t))),"Relay",IF(ISNUMBER(SEARCH("кнопк",_xlpm.t)),"",IFERROR(_xlfn.XLOOKUP(AX46,Коды_код,Коды_упр)&amp;"","")))))))</f>
        <v/>
      </c>
      <c r="CT46" t="str">
        <f t="shared" si="29"/>
        <v/>
      </c>
      <c r="CU46">
        <f>IF(B46="","",_xlfn.LET(_xlpm.ig,N(P46)+IF(AF46="вручную",0,N(CB46)),_xlpm.n0,IFERROR(VLOOKUP(_xlpm.ig,Автомат_номиналы,2,TRUE),0),_xlpm.mn,MAX(CL46,IF(AF46="вручную",0,N(CE46))),MAX(_xlpm.n0,_xlpm.mn,IF(CR46=1,Мин_автомат_БП,0))))</f>
        <v>10</v>
      </c>
      <c r="CV46">
        <f t="shared" si="30"/>
        <v>1</v>
      </c>
      <c r="CW46" t="str">
        <f t="shared" si="31"/>
        <v>1P</v>
      </c>
      <c r="CX46" t="str">
        <f>_xlfn.LET(_xlpm.cc,UPPER(TRIM(IFERROR(_xlfn.XLOOKUP(AX46,Коды_код,Коды_хар)&amp;"",""))),IF(OR(_xlpm.cc="B",_xlpm.cc="В"),"B",IF(_xlpm.cc="D","D","С")))</f>
        <v>С</v>
      </c>
      <c r="CY46" t="str">
        <f t="shared" si="32"/>
        <v>1P С10А</v>
      </c>
      <c r="CZ46" t="str">
        <f t="shared" si="33"/>
        <v>1P С10А</v>
      </c>
      <c r="DA46" t="str">
        <f t="shared" si="34"/>
        <v>1P С10А</v>
      </c>
      <c r="DB46" cm="1">
        <f t="array" ref="DB46">IF(DA46="","",_xlfn.LET(_xlpm.t,SUBSTITUTE(SUBSTITUTE(SUBSTITUTE(UPPER(DA46),"С","C"),"А","A"),"В","B"),_xlpm.tk,_xlfn.TEXTSPLIT(_xlpm.t,"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6" t="str">
        <f t="shared" si="35"/>
        <v>ok</v>
      </c>
      <c r="DD46">
        <f t="shared" si="36"/>
        <v>10</v>
      </c>
      <c r="DE46" t="str">
        <f t="shared" si="37"/>
        <v>1P С10А</v>
      </c>
      <c r="DF46">
        <f t="shared" si="38"/>
        <v>0</v>
      </c>
      <c r="DG46">
        <f t="shared" si="39"/>
        <v>0</v>
      </c>
      <c r="DH46">
        <f t="shared" si="40"/>
        <v>0</v>
      </c>
      <c r="DI46">
        <f t="shared" si="41"/>
        <v>0.455802844097073</v>
      </c>
      <c r="DJ46">
        <f t="shared" si="42"/>
        <v>1</v>
      </c>
      <c r="DK46">
        <f>IF(ISNUMBER(AL46),AL46,К_прокл)</f>
        <v>1</v>
      </c>
      <c r="DL46">
        <f t="shared" si="43"/>
        <v>2</v>
      </c>
      <c r="DM46">
        <f>IFERROR(N(VLOOKUP(BT46,Кабель_обозначение,3,FALSE)),1)</f>
        <v>1</v>
      </c>
      <c r="DN46">
        <f>IFERROR(N(_xlfn.XLOOKUP(A46,Щиты[Щит],Щиты[ΔU до шин, %])),0)</f>
        <v>0.17</v>
      </c>
      <c r="DO46" t="str">
        <f>IFERROR(_xlfn.XLOOKUP(A46,Щиты[Щит],Щиты[Zпетли на шинах, Ом]),"")</f>
        <v/>
      </c>
      <c r="DP46">
        <f>IFERROR(N(_xlfn.XLOOKUP(A46,Щиты[Щит],Щиты[ΔU до шин (подбор), %])),0)</f>
        <v>0.65</v>
      </c>
      <c r="DQ46" t="str">
        <f>IFERROR(_xlfn.XLOOKUP(A46,Щиты[Щит],Щиты[Zпетли на шинах (подбор), Ом]),"")</f>
        <v/>
      </c>
      <c r="DR46" t="str">
        <f t="shared" si="44"/>
        <v/>
      </c>
      <c r="DS46">
        <f t="shared" si="45"/>
        <v>72</v>
      </c>
      <c r="DT46">
        <f t="shared" si="46"/>
        <v>2</v>
      </c>
      <c r="DU46">
        <f t="shared" si="47"/>
        <v>0.31</v>
      </c>
      <c r="DV46" s="6">
        <f>IF(B46="","",IF(IFERROR(VLOOKUP(AX46,УГО_спр,2,FALSE),"")="Светильник",3,4)+IF(Методика="нормы 2026",MIN(0.5,MAX(0,N(Q46)-100)*0.005),0))</f>
        <v>3</v>
      </c>
      <c r="DW46" cm="1">
        <f t="array" ref="DW46">IF(OR(B46="",BT46="",DM46&lt;&gt;1),"",_xlfn.LET(_xlpm.sz,Iдоп_S,_xlpm.t_,CHOOSE(DL46,Iдоп_1ж,Iдоп_2ж,Iдоп_3ж)*DJ46*DK46,_xlpm.inn,N(DD46),_xlpm.smin,MAX(1.5,BW46),_xlpm.L_,N(Q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46)*(_xlpm.rho*_xlpm.L_/_xlpm.sz*N(BY46)+_xlpm.xx*_xlpm.L_*N(DU46)/1000)*N(P46)/((Uн_лин/SQRT(3))*1000)*100,999),_xlpm.kz,IF(OR(DG46=1,NOT(ISNUMBER(DQ46)),_xlpm.L_=0,_xlpm.inn=0),1,IFERROR(--(c_min*(Uн_лин*1000/SQRT(3))/(DQ46+2*ρкз_Cu*_xlpm.L_/_xlpm.sz)&gt;=GY46*_xlpm.inn),0)),_xlpm.ok,IFERROR((_xlpm.sz&gt;=_xlpm.smin)*(_xlpm.t_&gt;=_xlpm.inn)*IF(_xlpm.L_&gt;0,(_xlpm.du_+DP46&lt;=DV46+0.00001),1)*_xlpm.kz,0),_xlpm.r_,_xlfn._xlws.FILTER(_xlpm.sz,_xlpm.ok,"не подобрано"),INDEX(_xlpm.r_,1)))</f>
        <v>1.5</v>
      </c>
      <c r="DX46">
        <f t="shared" si="48"/>
        <v>1.5</v>
      </c>
      <c r="DY46" cm="1">
        <f t="array" ref="DY46">IF(OR(B46="",BT46="",DM46&lt;&gt;1),"",_xlfn.LET(_xlpm.sz,Iдоп_S,_xlpm.t_,CHOOSE(DL46,Iдоп_1ж,Iдоп_2ж,Iдоп_3ж)*DJ46*DK46,_xlpm.ok,IFERROR((_xlpm.sz&gt;=MAX(1.5,BW46))*(_xlpm.t_&gt;=N(DD46)),0),_xlpm.r_,_xlfn._xlws.FILTER(_xlpm.sz,_xlpm.ok,""),INDEX(_xlpm.r_,1)))</f>
        <v>1.5</v>
      </c>
      <c r="DZ46" s="6" cm="1">
        <f t="array" ref="DZ46">IFERROR(ROUNDUP(N(DT46)*(_xlfn.XLOOKUP(DY46,INDEX(Кабель_сопротивление,0,1),INDEX(Кабель_сопротивление,0,3))*N(Q46)/DY46*N(BY46)+_xlfn.XLOOKUP(DY46,INDEX(Кабель_сопротивление,0,1),INDEX(Кабель_сопротивление,0,2))*N(Q46)*N(DU46)/1000)*N(P46)/((Uн_лин/SQRT(3))*1000)*100,2),"")</f>
        <v>0.54</v>
      </c>
      <c r="EA46">
        <f>IFERROR(2*ρкз_Cu*N(Q46)/DY46,"")</f>
        <v>3.3313333333333333</v>
      </c>
      <c r="EB46">
        <f>IFERROR(VLOOKUP(DX46,Кабель_сопротивление,3,FALSE),"")</f>
        <v>2.2499999999999999E-2</v>
      </c>
      <c r="EC46">
        <f>IFERROR(VLOOKUP(DX46,Кабель_сопротивление,2,FALSE),"")</f>
        <v>0.11</v>
      </c>
      <c r="ED46">
        <f t="shared" si="49"/>
        <v>57</v>
      </c>
      <c r="EE46" t="str">
        <f t="shared" si="50"/>
        <v/>
      </c>
      <c r="EF46">
        <f t="shared" si="51"/>
        <v>1.2370393470197298</v>
      </c>
      <c r="EG46" s="6">
        <f>IFERROR(ROUNDUP(EF46/((Uн_лин/SQRT(3))*1000)*100,2),"")</f>
        <v>0.54</v>
      </c>
      <c r="EH46" t="str">
        <f>IFERROR(VLOOKUP(BT46,Кабель_обозначение,2,FALSE),"")</f>
        <v>ВВГнг(А)-LS</v>
      </c>
      <c r="EI46" t="str">
        <f t="shared" si="52"/>
        <v>ВВГнг(А)-LS (3х1,5)</v>
      </c>
      <c r="EJ46" t="str">
        <f t="shared" si="53"/>
        <v>ВВГнг(А)-LS (3х1,5)
L=95-0,54%</v>
      </c>
      <c r="EK46">
        <f>IFERROR(2*ρкз_Cu*Q46/DX46,"")</f>
        <v>3.3313333333333333</v>
      </c>
      <c r="EL46">
        <f t="shared" si="54"/>
        <v>1.1083333333333334</v>
      </c>
      <c r="EM46" s="6" t="str">
        <f>IFERROR(IF(OR(B46="",NOT(ISNUMBER(DX46)),N(Q46)=0),"",_xlfn.XLOOKUP(A46,Щиты[Щит],Щиты[Zпетли на шинах, Ом])+EK46),"")</f>
        <v/>
      </c>
      <c r="EN46" s="6" t="str">
        <f>IF(ISNUMBER(EM46),c_min*(Uн_лин*1000/SQRT(3))/EM46,"")</f>
        <v/>
      </c>
      <c r="EO46" s="6" t="str">
        <f>IFERROR(IF(OR(B46="",NOT(ISNUMBER(DX46))),"",1.05*(Uн_лин*1000/SQRT(3))/(_xlfn.XLOOKUP(A46,Щиты[Щит],Щиты[Zmax на шинах, Ом])+EL46)/1000),"")</f>
        <v/>
      </c>
      <c r="EP46" s="6" t="str">
        <f>IF(B46="","",IF(ISNUMBER(Y46),"Сил",IF(IFERROR(_xlfn.XLOOKUP(AX46,Коды_код,Коды_группа)&amp;"","")="","Быт",_xlfn.XLOOKUP(AX46,Коды_код,Коды_группа)&amp;"")))</f>
        <v>Быт</v>
      </c>
      <c r="EQ46" s="6" t="str">
        <f t="shared" si="55"/>
        <v>Быт</v>
      </c>
      <c r="ER46" s="6">
        <f>IF(EQ46="Щит","щит",IF(EQ46="","",IF(EQ46="Быт",IFERROR(_xlfn.XLOOKUP(A46,Щиты[Щит],Щиты[Кс быт]),1),IF(EQ46="Сил",IF(ISNUMBER(Y46),Y46,IF(Методика="нормы 2026",IFERROR(_xlfn.XLOOKUP(A46,Щиты[Щит],Щиты[Кс силовых (табл. 7.5)]),1),1)),IF(OR(EQ46="Пост",EQ46="Отоп"),1,IF(EQ46="ВНГ",0.7,0))))))</f>
        <v>0.8</v>
      </c>
      <c r="ES46">
        <f t="shared" si="56"/>
        <v>1</v>
      </c>
      <c r="ET46">
        <f t="shared" si="57"/>
        <v>0.1</v>
      </c>
      <c r="EU46">
        <f t="shared" si="58"/>
        <v>0.1</v>
      </c>
      <c r="EV46">
        <f t="shared" si="59"/>
        <v>0</v>
      </c>
      <c r="EW46">
        <f t="shared" si="60"/>
        <v>0</v>
      </c>
      <c r="EX46">
        <f t="shared" si="61"/>
        <v>0</v>
      </c>
      <c r="EY46">
        <f t="shared" si="62"/>
        <v>0</v>
      </c>
      <c r="EZ46">
        <f t="shared" si="63"/>
        <v>0.1</v>
      </c>
      <c r="FA46">
        <f t="shared" si="64"/>
        <v>9.5000000000000001E-2</v>
      </c>
      <c r="FB46">
        <f t="shared" si="65"/>
        <v>0.1</v>
      </c>
      <c r="FC46" t="str">
        <f t="shared" si="66"/>
        <v/>
      </c>
      <c r="FD46" t="str">
        <f>IF(B46="","",IF(CA46=0,IF(AW46=1,"",FF45),IF(OR(N(CV46)&gt;=3,N(BR46)&gt;=3),"L1,L2,L3",IFERROR(_xlfn.TEXTBEFORE(_xlfn.TEXTAFTER(_xlfn.XLOOKUP(A46,Щиты[Щит],Щиты[_фазы авто]),";"&amp;AW46&amp;":"),";"),"L1"))))</f>
        <v>L3</v>
      </c>
      <c r="FE46" t="str">
        <f t="shared" si="67"/>
        <v>L3</v>
      </c>
      <c r="FF46" t="str">
        <f t="shared" si="68"/>
        <v>L3</v>
      </c>
      <c r="FG46" cm="1">
        <f t="array" ref="FG46">IFERROR(IF(BX46=2,_xlfn.IFS(BR46=3,VLOOKUP(BN46,Справочная_двигатели,3,FALSE),BR46=1,VLOOKUP(BN46,Справочная_двигатели,5,TRUE)),0),0)</f>
        <v>0</v>
      </c>
      <c r="FH46">
        <f>IFERROR(IF(BX46=3,VLOOKUP(BN46,Справочная_ЛЭД,2,TRUE),0),0)</f>
        <v>50</v>
      </c>
      <c r="FI46" s="6">
        <f t="shared" si="69"/>
        <v>50</v>
      </c>
      <c r="FJ46" t="str" cm="1">
        <f t="array" ref="FJ46">IF(B46="","",IFERROR(INDEX({"I особая","I","II","III"},MATCH(TRIM(AC46&amp;""),{"I особая","I","II","III"},0)),"III"))</f>
        <v>III</v>
      </c>
      <c r="FK46" t="str">
        <f>IF(B46="","",IF(TRIM(AD46&amp;"")&lt;&gt;"",IF(LOWER(TRIM(AD46&amp;""))="да","да","нет"),IF(IFERROR(_xlfn.XLOOKUP(AX46,Коды_код,Коды_пожарная),"")="да","да","нет")))</f>
        <v>нет</v>
      </c>
      <c r="FL46" t="str">
        <f t="shared" si="70"/>
        <v/>
      </c>
      <c r="FM46" t="str">
        <f t="shared" si="71"/>
        <v>основная</v>
      </c>
      <c r="FN46">
        <f t="shared" si="72"/>
        <v>1</v>
      </c>
      <c r="FO46" t="str" cm="1">
        <f t="array" ref="FO46">IF(B46="","",_xlfn.LET(_xlpm.t,IFERROR(_xlfn.XLOOKUP(1,(Шины[Шина]=FM46)*(((Шины[Щит]=A46)+(Шины[Щит]=""))&gt;0),Шины[Тип]),"")&amp;"",IF(_xlpm.t&lt;&gt;"",_xlpm.t,IF(ISNUMBER(SEARCH("ИБП",FM46)),"ИБП",IF(ISNUMBER(SEARCH("ДГУ",FM46)),"ДГУ","Ввод "&amp;FN46)))))</f>
        <v>Ввод 1</v>
      </c>
      <c r="FP46" t="str">
        <f t="shared" si="73"/>
        <v>Ввод 1</v>
      </c>
      <c r="FQ46" t="str">
        <f>IF(B46="","",IF(OR(FO46="ИБП",FO46="ДГУ"),"I особая",IF(FO46="Одиночная","III",_xlfn.XLOOKUP(A46,Щиты[Щит],Щиты[Категория шины «Ввод»],"III"))))</f>
        <v>II</v>
      </c>
      <c r="FR46">
        <f>IF(B46="",0,IFERROR(MATCH(FJ46,{"III","II","I","I особая"},0),1))</f>
        <v>1</v>
      </c>
      <c r="FS46">
        <f t="shared" si="74"/>
        <v>1</v>
      </c>
      <c r="FT46" t="str">
        <f>IF(B46="","",IF(FR46&gt;IFERROR(MATCH(FQ46,{"III","II","I","I особая"},0),1),"НЕ ОБЕСПЕЧЕНА","ОК"))</f>
        <v>ОК</v>
      </c>
      <c r="FU46" t="str">
        <f>IF(A46="","",_xlfn.XLOOKUP(A46,Щиты[Щит],Щиты[Путь],""))</f>
        <v>|ГРЩ-ЖД|ЩГП|ЩО-001|</v>
      </c>
      <c r="FV46" t="str">
        <f>IF(B46="","",IF(AE46&lt;&gt;"",AE46,IF(IFERROR(_xlfn.XLOOKUP(AX46,Коды_код,Коды_вид)&amp;"","")="","Прочее",_xlfn.XLOOKUP(AX46,Коды_код,Коды_вид)&amp;"")))</f>
        <v>Рабочее освещение</v>
      </c>
      <c r="FW46" t="str">
        <f>IF(BH46="","",INT((BH46-1)/Столбцов_на_лист)+1)</f>
        <v/>
      </c>
      <c r="FX46" t="str">
        <f t="shared" si="75"/>
        <v>ВВГнг(А)-LS (3х1,5) L=95-0,54%</v>
      </c>
      <c r="FY46">
        <f t="shared" si="76"/>
        <v>0.1</v>
      </c>
      <c r="FZ46">
        <f t="shared" si="77"/>
        <v>0.46</v>
      </c>
      <c r="GA46">
        <f t="shared" si="78"/>
        <v>1</v>
      </c>
      <c r="GB46">
        <f t="shared" si="79"/>
        <v>0</v>
      </c>
      <c r="GC46">
        <f t="shared" si="80"/>
        <v>0</v>
      </c>
      <c r="GD46" t="str">
        <f>IF(BH46="","",IF(AND(CA46=1,GC46=1),COUNTIFS(A$3:A46,A46,CA$3:CA46,1,GC$3:GC46,1),IF(OR(OR(AW46=1,A46&lt;&gt;A45),AF46="вручную",GC46=0),"",IF(AW46=1,"",GE45))))</f>
        <v/>
      </c>
      <c r="GE46" t="str">
        <f t="shared" si="81"/>
        <v/>
      </c>
      <c r="GF46">
        <f>IF(B46="","",IFERROR(LOOKUP(INDEX(CHOOSE(DL46,Iдоп_1ж,Iдоп_2ж,Iдоп_3ж),MATCH(DX46,Iдоп_S,0))*DJ46*DK46,{6,10,16,20,25,32,40,50,63,80,100,125,160,200,250,315,400,500,630}),""))</f>
        <v>16</v>
      </c>
      <c r="GG46" t="str">
        <f t="shared" si="82"/>
        <v/>
      </c>
      <c r="GH46" t="str">
        <f t="shared" si="83"/>
        <v/>
      </c>
      <c r="GI46" t="str">
        <f t="shared" si="84"/>
        <v/>
      </c>
      <c r="GJ46">
        <f t="shared" si="85"/>
        <v>0</v>
      </c>
      <c r="GK46" t="str">
        <f>IF(OR(AG46="",AG46="-"),"",IFERROR(VLOOKUP(AG46,Модули_спр,2,FALSE),"R"))</f>
        <v/>
      </c>
      <c r="GL46" t="str">
        <f>IF(GK46="","",GK46&amp;"."&amp;COUNTIFS(A$3:A46,A46,GK$3:GK46,GK46))</f>
        <v/>
      </c>
      <c r="GM46" t="str">
        <f t="shared" si="86"/>
        <v/>
      </c>
      <c r="GN46" t="str">
        <f t="shared" si="87"/>
        <v/>
      </c>
      <c r="GO46" t="str">
        <f t="shared" si="88"/>
        <v/>
      </c>
      <c r="GP46" t="str">
        <f t="shared" si="89"/>
        <v/>
      </c>
      <c r="GQ46">
        <f t="shared" si="90"/>
        <v>1</v>
      </c>
      <c r="GR46" t="str">
        <f>IF(GQ46=1,"XT"&amp;COUNTIFS(A$3:A46,A46,GQ$3:GQ46,1),"")</f>
        <v>XT15</v>
      </c>
      <c r="GS46" t="str">
        <f t="shared" si="91"/>
        <v>XT15</v>
      </c>
      <c r="GT46" t="str">
        <f t="shared" si="92"/>
        <v/>
      </c>
      <c r="GU46" t="str">
        <f t="shared" si="93"/>
        <v/>
      </c>
      <c r="GV46" t="str">
        <f t="shared" si="94"/>
        <v>ok</v>
      </c>
      <c r="GW46" t="str">
        <f>IF(OR(GO46="",GM46=""),"",IF(GO46&gt;IFERROR(VLOOKUP(GN46,Модули_спр,3,FALSE),99),"ЛИШНИЙ КАНАЛ",IF(AND(AH46&lt;&gt;"=",COUNTIFS(Линии[_модуль гр.],GM46,Линии[Канал (итог)],GO46,Линии[Канал],"&lt;&gt;=",Линии[Щит],A46)&gt;1),"ДУБЛЬ КАНАЛА","")))</f>
        <v/>
      </c>
      <c r="GX46" s="6" t="str">
        <f t="shared" si="95"/>
        <v/>
      </c>
      <c r="GY46">
        <f t="shared" si="96"/>
        <v>10</v>
      </c>
      <c r="GZ46" t="str">
        <f t="shared" si="97"/>
        <v/>
      </c>
      <c r="HA46" t="str">
        <f>IF(AND(B46="",GT46=""),"",_xlfn.TEXTJOIN("; ",TRUE,IF(AND(B46&lt;&gt;"",FE46=""),"нет фазы",""),IF(AND(B46&lt;&gt;"",N(FY46)=0,EQ46&lt;&gt;"Нет"),"нет мощности",""),IF(AND(GS46&lt;&gt;"",COUNTIFS(Линии[Щит],A46,Линии[Клемма (итог)],GS46)&gt;1),"дубль клеммы "&amp;GS46,""),IF(AND(GV46&lt;&gt;"",GV46&lt;&gt;"ok"),GV46,""),IF(GW46&lt;&gt;"",GW46,""),IF(AND(N(BV46)&gt;=4,N(BR46)=1),BV46&amp;" жил на 1 фазе",""),IF(AND(AX46="R",CA46=1,OR(N(CK46)=0,N(CK46)&gt;30)),"розетка без дифзащиты до 30 мА",""),IFERROR(IF(AND(ISNUMBER(R46),R46&gt;DV46),"потери "&amp;FIXED(R46,1)&amp;" % &gt; "&amp;DV46&amp;" %",""),""),IFERROR(IF(LEFT(GZ46,4)="мало","Iкз мало — отключение &gt; 0,4 с",""),""),IF(AND(B46&lt;&gt;"",BH46=""),"не на схеме",""),IF(AND(CA46=0,B46&lt;&gt;"",FE46&lt;&gt;"",IF(AW46=1,"",FF45)&lt;&gt;"",FE46&lt;&gt;IF(AW46=1,"",FF45)),"фаза не как у автомата группы ("&amp;IF(AW46=1,"",FF45)&amp;")","")))</f>
        <v>не на схеме</v>
      </c>
      <c r="HB46" s="6">
        <f>IF(OR(CA46=0,DA46=""),"",_xlfn.LET(_xlpm.t,IFERROR(_xlfn.XLOOKUP(DA46,Каталог!$U$4:$U$500,Каталог!$G$4:$G$500),""),_xlpm.k,SEARCH("кА",_xlpm.t),IFERROR(--TRIM(RIGHT(SUBSTITUTE(MID(_xlpm.t,MAX(1,_xlpm.k-4),_xlpm.k-MAX(1,_xlpm.k-4))," ",REPT(" ",9)),5)),"")))</f>
        <v>6</v>
      </c>
      <c r="HC46" t="str">
        <f>IF(OR(HB46="",CA46=0),"",IF(_xlfn.XLOOKUP(A46,Щиты[Щит],Щиты[Iкз max на шинах, кА],"")="","",IF(HB46&lt;_xlfn.XLOOKUP(A46,Щиты[Щит],Щиты[Iкз max на шинах, кА]),"Icu "&amp;HB46&amp;" кА &lt; Iкз max","ok")))</f>
        <v/>
      </c>
      <c r="HD46" t="str">
        <f t="shared" si="98"/>
        <v/>
      </c>
      <c r="HE46" t="str">
        <f t="shared" si="99"/>
        <v/>
      </c>
      <c r="HF46" t="str">
        <f t="shared" si="100"/>
        <v/>
      </c>
      <c r="HG46" t="str" cm="1">
        <f t="array" ref="HG46">IF(HF46="","",_xlfn.LET(_xlpm.nd,_xlfn.TEXTSPLIT(HF46,"|"),IF(COLUMNS(_xlpm.nd)&gt;1,A46&amp;"¦"&amp;INDEX(_xlpm.nd,1)&amp;"¦"&amp;INDEX(_xlpm.nd,2),"")))</f>
        <v/>
      </c>
      <c r="HH46" t="str">
        <f t="shared" si="101"/>
        <v/>
      </c>
      <c r="HI46" t="str" cm="1">
        <f t="array" ref="HI46">IF(HF46="","",_xlfn.LET(_xlpm.nd,_xlfn.TEXTSPLIT(HF46,"|"),IF(COLUMNS(_xlpm.nd)&gt;2,A46&amp;"¦"&amp;INDEX(_xlpm.nd,2)&amp;"¦"&amp;INDEX(_xlpm.nd,3),"")))</f>
        <v/>
      </c>
      <c r="HJ46" t="str">
        <f t="shared" si="102"/>
        <v/>
      </c>
      <c r="HK46" t="str" cm="1">
        <f t="array" ref="HK46">IF(HF46="","",_xlfn.LET(_xlpm.nd,_xlfn.TEXTSPLIT(HF46,"|"),IF(COLUMNS(_xlpm.nd)&gt;3,A46&amp;"¦"&amp;INDEX(_xlpm.nd,3)&amp;"¦"&amp;INDEX(_xlpm.nd,4),"")))</f>
        <v/>
      </c>
      <c r="HL46" t="str">
        <f t="shared" si="103"/>
        <v/>
      </c>
      <c r="HM46" t="str" cm="1">
        <f t="array" ref="HM46">IF(HF46="","",_xlfn.LET(_xlpm.nd,_xlfn.TEXTSPLIT(HF46,"|"),IF(COLUMNS(_xlpm.nd)&gt;4,A46&amp;"¦"&amp;INDEX(_xlpm.nd,4)&amp;"¦"&amp;INDEX(_xlpm.nd,5),"")))</f>
        <v/>
      </c>
      <c r="HN46" t="str">
        <f t="shared" si="104"/>
        <v/>
      </c>
      <c r="HO46" t="str" cm="1">
        <f t="array" ref="HO46">IF(HF46="","",_xlfn.LET(_xlpm.nd,_xlfn.TEXTSPLIT(HF46,"|"),IF(COLUMNS(_xlpm.nd)&gt;5,A46&amp;"¦"&amp;INDEX(_xlpm.nd,5)&amp;"¦"&amp;INDEX(_xlpm.nd,6),"")))</f>
        <v/>
      </c>
      <c r="HP46" t="str">
        <f t="shared" si="105"/>
        <v/>
      </c>
      <c r="HQ46" t="str" cm="1">
        <f t="array" ref="HQ46">IF(HF46="","",_xlfn.LET(_xlpm.nd,_xlfn.TEXTSPLIT(HF46,"|"),IF(COLUMNS(_xlpm.nd)&gt;6,A46&amp;"¦"&amp;INDEX(_xlpm.nd,6)&amp;"¦"&amp;INDEX(_xlpm.nd,7),"")))</f>
        <v/>
      </c>
      <c r="HR46" t="str">
        <f t="shared" si="106"/>
        <v/>
      </c>
      <c r="HS46" t="str">
        <f t="shared" si="107"/>
        <v/>
      </c>
      <c r="HT46" t="str">
        <f t="shared" si="108"/>
        <v>XT15</v>
      </c>
      <c r="HU46">
        <f t="shared" si="109"/>
        <v>0</v>
      </c>
      <c r="HV46">
        <f t="shared" si="110"/>
        <v>0</v>
      </c>
      <c r="HW46" t="str">
        <f t="shared" si="111"/>
        <v/>
      </c>
      <c r="HX46" t="str">
        <f t="shared" si="112"/>
        <v/>
      </c>
      <c r="HY46" t="str">
        <f t="shared" si="113"/>
        <v/>
      </c>
      <c r="HZ46" t="str">
        <f t="shared" si="114"/>
        <v/>
      </c>
      <c r="IA46" t="str">
        <f>IF(B46="","",IFERROR(VLOOKUP(B46,УГО_спр,2,FALSE),IFERROR(VLOOKUP(AX46,УГО_спр,2,FALSE),IFERROR(VLOOKUP(LEFT(AX46,2),УГО_спр,2,FALSE),""))))</f>
        <v>Светильник</v>
      </c>
      <c r="IB46" t="str">
        <f>IF(B46="","",IF(OR(IA46="",IA46=0),"BOX",IFERROR(IF(VLOOKUP(IA46,УГО_блоки,3,FALSE)&amp;""&lt;&gt;"",VLOOKUP(IA46,УГО_блоки,3,FALSE),VLOOKUP(IA46,УГО_блоки,2,FALSE)),IA46)))</f>
        <v>LAMP</v>
      </c>
      <c r="IC46">
        <f t="shared" si="115"/>
        <v>1</v>
      </c>
      <c r="ID46" t="str">
        <f>IF(DA46="","",IF(COUNTIF(DA$3:DA46,DA46)=1,MAX(ID$2:ID45)+1,""))</f>
        <v/>
      </c>
      <c r="IE46" t="str">
        <f>IF(CO46="","",IF(COUNTIF(CO$3:CO46,CO46)+COUNTIF(CP$2:CP45,CO46)+COUNTIF(CQ$2:CQ45,CO46)=1,MAX(IE$2:IG45)+1,""))</f>
        <v/>
      </c>
      <c r="IF46" t="str">
        <f>IF(CP46="","",IF(COUNTIF(CO$3:CO46,CP46)+COUNTIF(CP$3:CP46,CP46)+COUNTIF(CQ$2:CQ45,CP46)=1,MAX(IE$2:IG45,IE46)+1,""))</f>
        <v/>
      </c>
      <c r="IG46" t="str">
        <f>IF(CQ46="","",IF(COUNTIF(CO$3:CO46,CQ46)+COUNTIF(CP$3:CP46,CQ46)+COUNTIF(CQ$3:CQ46,CQ46)=1,MAX(IE$2:IG45,IE46,IF46)+1,""))</f>
        <v/>
      </c>
      <c r="IH46" t="str">
        <f t="shared" si="116"/>
        <v>3х1,5</v>
      </c>
      <c r="II46" t="str">
        <f>IF(IH46="","",IF(COUNTIF(IH$3:IH46,IH46)=1,MAX(II$2:II45)+1,""))</f>
        <v/>
      </c>
      <c r="IJ46" t="str">
        <f>IF(GL46="","",COUNTIF(GL$3:GL46,"?*"))</f>
        <v/>
      </c>
      <c r="IK46" t="str">
        <f>IF(OR(GL46="",GN46=""),"",IF(COUNTIFS(GL$3:GL46,"?*",GN$3:GN46,GN46)=1,MAX(IK$2:IK45)+1,""))</f>
        <v/>
      </c>
      <c r="IL46">
        <f t="shared" si="117"/>
        <v>1</v>
      </c>
      <c r="IM46">
        <f>IF(B46="","",COUNTIF(B$3:B46,"?*"))</f>
        <v>44</v>
      </c>
      <c r="IN46">
        <f>IF(GQ46&lt;&gt;1,0,_xlfn.LET(_xlpm.k,MAX(IFERROR(--VLOOKUP(B46,УГО_спр,5,FALSE),0),IFERROR(--VLOOKUP(AX46,УГО_спр,5,FALSE),0),IFERROR(--VLOOKUP(LEFT(AX46,2),УГО_спр,5,FALSE),0)),IF(_xlpm.k&gt;0,_xlpm.k,IF(IFERROR(--LEFT(SUBSTITUTE(IH46,"x","х"),FIND("х",SUBSTITUTE(IH46,"x","х"))-1),3)&gt;3,Каталог!$S$9,1))))</f>
        <v>1</v>
      </c>
      <c r="IO46">
        <f t="shared" si="118"/>
        <v>0</v>
      </c>
      <c r="IP46" t="str">
        <f t="shared" si="119"/>
        <v>авто</v>
      </c>
      <c r="IQ46" t="str">
        <f t="shared" si="120"/>
        <v/>
      </c>
      <c r="IR46">
        <f t="shared" si="121"/>
        <v>0</v>
      </c>
      <c r="IS46">
        <f t="shared" si="122"/>
        <v>1</v>
      </c>
    </row>
    <row r="47" spans="1:253" x14ac:dyDescent="0.3">
      <c r="A47" t="s">
        <v>1104</v>
      </c>
      <c r="B47" t="s">
        <v>1320</v>
      </c>
      <c r="C47" t="str">
        <f>Линии[[#This Row],[_авто наименование]]</f>
        <v>Осветительная группа, пом. 007Т</v>
      </c>
      <c r="D47">
        <v>4</v>
      </c>
      <c r="E47">
        <v>0.1</v>
      </c>
      <c r="G47" t="str">
        <f>Линии[[#This Row],[_авто автомат]]</f>
        <v>1P С10А</v>
      </c>
      <c r="H47" t="str">
        <f>Линии[[#This Row],[_авто утечка]]</f>
        <v/>
      </c>
      <c r="I47" t="str">
        <f>Линии[[#This Row],[_авто управление]]</f>
        <v/>
      </c>
      <c r="J47" t="str">
        <f>Линии[[#This Row],[_авто аппараты]]</f>
        <v/>
      </c>
      <c r="K47">
        <v>1.5</v>
      </c>
      <c r="L47">
        <v>39</v>
      </c>
      <c r="M47" t="str">
        <f>Линии[[#This Row],[_авто фаза]]</f>
        <v>L1</v>
      </c>
      <c r="N47" t="str">
        <f>Линии[[#This Row],[_авто клемма]]</f>
        <v>XT16</v>
      </c>
      <c r="O47" t="str">
        <f t="shared" si="0"/>
        <v>не на схеме</v>
      </c>
      <c r="P47" s="6" cm="1">
        <f t="array" ref="P47">IF(B47="","",IF(BC47&lt;&gt;"",IFERROR(_xlfn.XLOOKUP(BC47,Щиты[Щит],Щиты[Iр, А]),""),IF(BK47=1,IFERROR(_xlfn.XLOOKUP(A47,Щиты[Щит],Щиты[Iр, А]),""),IFERROR(_xlfn.IFS(BR47=1,BN47/((Uн_лин/SQRT(3))*BY47),BR47=3,BN47/(SQRT(3)*Uн_лин*BY47)),""))))</f>
        <v>0.455802844097073</v>
      </c>
      <c r="Q47" s="7">
        <f>IF(B47="","",IFERROR(IF(VLOOKUP(AX47,Потребители_обозначение,4,FALSE)=1,VLOOKUP(AX47,Потребители_обозначение,3,FALSE)*(D47*2-1)+DS47+VLOOKUP(AZ47,Этаж_обозначение,3,FALSE)+VLOOKUP(AZ47,Этаж_обозначение,4,FALSE),VLOOKUP(AX47,Потребители_обозначение,3,FALSE)*(D47*2-1)+DS47),DS47))</f>
        <v>46</v>
      </c>
      <c r="R47" s="6">
        <f t="shared" si="1"/>
        <v>0.43000000000000005</v>
      </c>
      <c r="S47" t="str">
        <f t="shared" si="2"/>
        <v>ВВГнг(А)-LS (3х1,5)</v>
      </c>
      <c r="T47" t="str">
        <f>IF(BH47="","",IF(BI47="вводной узел","узел ","")&amp;"л."&amp;(INT((BH47-1)/Столбцов_на_лист)+1)&amp;" / "&amp;(MOD(BH47-1,Столбцов_на_лист)+1))</f>
        <v/>
      </c>
      <c r="V47">
        <v>1</v>
      </c>
      <c r="W47">
        <v>230</v>
      </c>
      <c r="X47" t="s">
        <v>564</v>
      </c>
      <c r="AE47" t="s">
        <v>557</v>
      </c>
      <c r="AI47" t="s">
        <v>529</v>
      </c>
      <c r="AJ47" t="s">
        <v>11</v>
      </c>
      <c r="AK47">
        <v>3</v>
      </c>
      <c r="AM47">
        <v>7</v>
      </c>
      <c r="AN47">
        <v>0</v>
      </c>
      <c r="AO47">
        <v>42</v>
      </c>
      <c r="AW47" cm="1">
        <f t="array" ref="AW47">ROW()-ROW(Линии[#Headers])</f>
        <v>45</v>
      </c>
      <c r="AX47" s="6" t="str">
        <f t="shared" si="3"/>
        <v>L</v>
      </c>
      <c r="AY47" t="str">
        <f t="shared" si="4"/>
        <v>00.007Т.1</v>
      </c>
      <c r="AZ47" t="str">
        <f t="shared" si="5"/>
        <v>00</v>
      </c>
      <c r="BA47" t="str">
        <f t="shared" si="6"/>
        <v>007Т.1</v>
      </c>
      <c r="BB47" t="str">
        <f t="shared" si="7"/>
        <v>007Т</v>
      </c>
      <c r="BC47" t="str">
        <f>IF(U47&lt;&gt;"",U47,IF(AND(B47&lt;&gt;"",B47&lt;&gt;A47,ISNUMBER(_xlfn.XMATCH(B47,Щиты[Щит]))),B47,""))</f>
        <v/>
      </c>
      <c r="BD47" t="str" cm="1">
        <f t="array" ref="BD47">IF(B47="","",IF(BC47&lt;&gt;"","Щит "&amp;BC47,_xlfn.LET(_xlpm.nm,IFERROR(_xlfn.XLOOKUP(AX47,Коды_код,Коды_имя)&amp;"",""),_xlpm.md,IFERROR(N(_xlfn.XLOOKUP(AX47,Коды_код,Коды_режим)),1),_xlpm.ex,IF(Имя_режим="по экспликации",IFERROR(_xlfn.XLOOKUP(AZ47&amp;"|"&amp;BB47,Экспликация[Этаж]&amp;"|"&amp;Экспликация[Помещение],Экспликация[Название])&amp;"",""),""),_xlpm.rm,IF(BB47="","",IF(_xlpm.ex&lt;&gt;"",". "&amp;_xlpm.ex&amp;IF(Имя_пом="нет"," ("&amp;BB47&amp;")"," (пом. "&amp;BB47&amp;")"),IF(Имя_пом="нет"," ",", пом. ")&amp;BB47)),IF(_xlpm.nm="","",IF(_xlpm.md=2,_xlpm.nm&amp;" шлейф "&amp;AZ47,_xlpm.nm&amp;_xlpm.rm)))))</f>
        <v>Осветительная группа, пом. 007Т</v>
      </c>
      <c r="BE47" t="str">
        <f t="shared" si="8"/>
        <v>Осветительная группа, пом. 007Т</v>
      </c>
      <c r="BF47">
        <f>IFERROR(_xlfn.XMATCH(A47,Щиты[Щит]),0)</f>
        <v>3</v>
      </c>
      <c r="BG47">
        <f>_xlfn.LET(_xlpm.k,IFERROR(_xlfn.XLOOKUP(A47,Щиты[Щит],Щиты[Листов под вводной узел]),""),IF(_xlpm.k="",1,N(_xlpm.k))*Столбцов_на_лист)</f>
        <v>17</v>
      </c>
      <c r="BH47" t="str">
        <f t="shared" si="9"/>
        <v/>
      </c>
      <c r="BI47" t="str">
        <f t="shared" si="10"/>
        <v/>
      </c>
      <c r="BJ47" s="6">
        <f>IFERROR(N(_xlfn.XLOOKUP(AX47,Коды_код,Коды_квт)),0)</f>
        <v>0</v>
      </c>
      <c r="BK47">
        <f t="shared" si="11"/>
        <v>0</v>
      </c>
      <c r="BL47" t="str">
        <f>IF(B47="","",IF(BC47&lt;&gt;"",IFERROR(_xlfn.XLOOKUP(BC47,Щиты[Щит],Щиты[Руст, кВт]),0),IF(BK47=1,IFERROR(_xlfn.XLOOKUP(A47,Щиты[Щит],Щиты[Руст, кВт]),0),IF(BJ47&gt;0,ROUND(BJ47*MAX(1,N(D47)),3),""))))</f>
        <v/>
      </c>
      <c r="BM47">
        <f t="shared" si="12"/>
        <v>0.1</v>
      </c>
      <c r="BN47" s="6">
        <f>IF(B47="","",IF(BC47&lt;&gt;"",IFERROR(_xlfn.XLOOKUP(BC47,Щиты[Щит],Щиты[Руст, кВт]),0),N(BM47)))</f>
        <v>0.1</v>
      </c>
      <c r="BO47" t="str">
        <f>IF(B47="","",IFERROR(IF(VLOOKUP(AX47,Потребители_обозначение,8,FALSE)=0,"",VLOOKUP(AX47,Потребители_обозначение,8,FALSE)),""))</f>
        <v/>
      </c>
      <c r="BP47">
        <f t="shared" si="13"/>
        <v>230</v>
      </c>
      <c r="BQ47">
        <f>IF(B47="","",IF(BC47&lt;&gt;"",3,IFERROR(IF(N(VLOOKUP(AX47,Потребители_обозначение,9,FALSE))=0,1,VLOOKUP(AX47,Потребители_обозначение,9,FALSE)),1)))</f>
        <v>1</v>
      </c>
      <c r="BR47">
        <f t="shared" si="14"/>
        <v>1</v>
      </c>
      <c r="BS47" t="str">
        <f>IF(B47="","",_xlfn.LET(_xlpm.bc,IFERROR(IF(VLOOKUP(AX47,Потребители_обозначение,6,FALSE)=0,"",VLOOKUP(AX47,Потребители_обозначение,6,FALSE)&amp;""),""),IF(AND(FK47="да",OR(_xlpm.bc="",_xlpm.bc="мс")),Марка_пож,IF(AND(_xlpm.bc="",BC47&lt;&gt;""),"мс",_xlpm.bc))))</f>
        <v/>
      </c>
      <c r="BT47" t="str">
        <f t="shared" si="15"/>
        <v>мс</v>
      </c>
      <c r="BU47">
        <f>IF(B47="","",_xlfn.LET(_xlpm.cc,IFERROR(N(VLOOKUP(AX47,Потребители_обозначение,7,FALSE)),0),IF(_xlpm.cc&gt;0,_xlpm.cc,IF(BT47="","",IF(N(BR47)=3,5,3)))))</f>
        <v>3</v>
      </c>
      <c r="BV47">
        <f t="shared" si="16"/>
        <v>3</v>
      </c>
      <c r="BW47">
        <f>IFERROR(N(VLOOKUP(AX47,Потребители_обозначение,10,FALSE)),0)</f>
        <v>0</v>
      </c>
      <c r="BX47">
        <f>IFERROR(VLOOKUP(AX47,Потребители_обозначение,5,FALSE),0)</f>
        <v>3</v>
      </c>
      <c r="BY47" s="6" cm="1">
        <f t="array" ref="BY47">IF(B47="","",IF(BC47&lt;&gt;"",IFERROR(_xlfn.XLOOKUP(BC47,Щиты[Щит],Щиты[cos φ]),0.95),IF(BK47=1,IFERROR(_xlfn.XLOOKUP(A47,Щиты[Щит],Щиты[cos φ]),0.95),IF(ISNUMBER(Z47),Z47,IFERROR(IF(BX47=2,_xlfn.IFS(BR47=3,VLOOKUP(BN47,Справочная_двигатели,8,FALSE),BR47=1,VLOOKUP(BN47,Справочная_двигатели,10,TRUE)),IF(AND(Методика="нормы 2026",EQ47="Сил"),0.8,0.95)),0.95)))))</f>
        <v>0.95</v>
      </c>
      <c r="BZ47">
        <f t="shared" si="17"/>
        <v>0</v>
      </c>
      <c r="CA47">
        <f t="shared" si="18"/>
        <v>1</v>
      </c>
      <c r="CB47">
        <f t="shared" si="19"/>
        <v>0</v>
      </c>
      <c r="CC47">
        <f t="shared" si="20"/>
        <v>0</v>
      </c>
      <c r="CD47">
        <f t="shared" si="21"/>
        <v>0</v>
      </c>
      <c r="CE47">
        <f t="shared" si="22"/>
        <v>0</v>
      </c>
      <c r="CF47">
        <f t="shared" si="23"/>
        <v>0</v>
      </c>
      <c r="CG47">
        <f>IF(AX47="",0,_xlfn.LET(_xlpm.v,IFERROR(VLOOKUP(B47,УГО_спр,3,FALSE),IFERROR(VLOOKUP(AX47,УГО_спр,3,FALSE),IFERROR(VLOOKUP(LEFT(AX47,2),УГО_спр,3,FALSE),""))),IF(_xlpm.v="да",30,IF(ISNUMBER(_xlpm.v),_xlpm.v,0))))</f>
        <v>0</v>
      </c>
      <c r="CH47" t="str">
        <f t="shared" si="24"/>
        <v/>
      </c>
      <c r="CI47" t="str">
        <f>_xlfn.LET(_xlpm.k,IFERROR(_xlfn.XLOOKUP(AX47,Коды_код,Коды_утечка)&amp;"",""),IF(_xlpm.k="","дифавтомат",_xlpm.k))</f>
        <v>дифавтомат</v>
      </c>
      <c r="CJ47">
        <f t="shared" si="25"/>
        <v>0</v>
      </c>
      <c r="CK47">
        <f t="shared" si="26"/>
        <v>0</v>
      </c>
      <c r="CL47">
        <f>IF(B47="",0,IFERROR(--VLOOKUP(B47,УГО_спр,4,FALSE),IFERROR(--VLOOKUP(AX47,УГО_спр,4,FALSE),IFERROR(--VLOOKUP(LEFT(AX47,2),УГО_спр,4,FALSE),0))))</f>
        <v>10</v>
      </c>
      <c r="CM47" t="str">
        <f>IF(B47="","",IFERROR(_xlfn.XLOOKUP(AX47,Коды_код,Коды_апп)&amp;"",""))</f>
        <v/>
      </c>
      <c r="CN47" t="str">
        <f t="shared" si="27"/>
        <v/>
      </c>
      <c r="CO47" t="str" cm="1">
        <f t="array" ref="CO47">IF(TRIM(CN47&amp;"")="","",IFERROR(TRIM(INDEX(_xlfn.TEXTSPLIT(CN47&amp;";;;",";"),1)),""))</f>
        <v/>
      </c>
      <c r="CP47" t="str" cm="1">
        <f t="array" ref="CP47">IF(TRIM(CN47&amp;"")="","",IFERROR(TRIM(INDEX(_xlfn.TEXTSPLIT(CN47&amp;";;;",";"),2)),""))</f>
        <v/>
      </c>
      <c r="CQ47" t="str" cm="1">
        <f t="array" ref="CQ47">IF(TRIM(CN47&amp;"")="","",IFERROR(TRIM(INDEX(_xlfn.TEXTSPLIT(CN47&amp;";;;",";"),3)),""))</f>
        <v/>
      </c>
      <c r="CR47">
        <f t="shared" si="28"/>
        <v>0</v>
      </c>
      <c r="CS47" t="str">
        <f>IF(B47="","",_xlfn.LET(_xlpm.t,LOWER(AV47&amp;""),IF(ISNUMBER(SEARCH("dim",_xlpm.t)),"DIM",IF(ISNUMBER(SEARCH("dali",_xlpm.t)),"DALI",IF(OR(ISNUMBER(SEARCH("relay",_xlpm.t)),ISNUMBER(SEARCH("реле",_xlpm.t))),"Relay",IF(ISNUMBER(SEARCH("кнопк",_xlpm.t)),"",IFERROR(_xlfn.XLOOKUP(AX47,Коды_код,Коды_упр)&amp;"","")))))))</f>
        <v/>
      </c>
      <c r="CT47" t="str">
        <f t="shared" si="29"/>
        <v/>
      </c>
      <c r="CU47">
        <f>IF(B47="","",_xlfn.LET(_xlpm.ig,N(P47)+IF(AF47="вручную",0,N(CB47)),_xlpm.n0,IFERROR(VLOOKUP(_xlpm.ig,Автомат_номиналы,2,TRUE),0),_xlpm.mn,MAX(CL47,IF(AF47="вручную",0,N(CE47))),MAX(_xlpm.n0,_xlpm.mn,IF(CR47=1,Мин_автомат_БП,0))))</f>
        <v>10</v>
      </c>
      <c r="CV47">
        <f t="shared" si="30"/>
        <v>1</v>
      </c>
      <c r="CW47" t="str">
        <f t="shared" si="31"/>
        <v>1P</v>
      </c>
      <c r="CX47" t="str">
        <f>_xlfn.LET(_xlpm.cc,UPPER(TRIM(IFERROR(_xlfn.XLOOKUP(AX47,Коды_код,Коды_хар)&amp;"",""))),IF(OR(_xlpm.cc="B",_xlpm.cc="В"),"B",IF(_xlpm.cc="D","D","С")))</f>
        <v>С</v>
      </c>
      <c r="CY47" t="str">
        <f t="shared" si="32"/>
        <v>1P С10А</v>
      </c>
      <c r="CZ47" t="str">
        <f t="shared" si="33"/>
        <v>1P С10А</v>
      </c>
      <c r="DA47" t="str">
        <f t="shared" si="34"/>
        <v>1P С10А</v>
      </c>
      <c r="DB47" cm="1">
        <f t="array" ref="DB47">IF(DA47="","",_xlfn.LET(_xlpm.t,SUBSTITUTE(SUBSTITUTE(SUBSTITUTE(UPPER(DA47),"С","C"),"А","A"),"В","B"),_xlpm.tk,_xlfn.TEXTSPLIT(_xlpm.t,"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7" t="str">
        <f t="shared" si="35"/>
        <v>ok</v>
      </c>
      <c r="DD47">
        <f t="shared" si="36"/>
        <v>10</v>
      </c>
      <c r="DE47" t="str">
        <f t="shared" si="37"/>
        <v>1P С10А</v>
      </c>
      <c r="DF47">
        <f t="shared" si="38"/>
        <v>0</v>
      </c>
      <c r="DG47">
        <f t="shared" si="39"/>
        <v>0</v>
      </c>
      <c r="DH47">
        <f t="shared" si="40"/>
        <v>0</v>
      </c>
      <c r="DI47">
        <f t="shared" si="41"/>
        <v>0.455802844097073</v>
      </c>
      <c r="DJ47">
        <f t="shared" si="42"/>
        <v>1</v>
      </c>
      <c r="DK47">
        <f>IF(ISNUMBER(AL47),AL47,К_прокл)</f>
        <v>1</v>
      </c>
      <c r="DL47">
        <f t="shared" si="43"/>
        <v>2</v>
      </c>
      <c r="DM47">
        <f>IFERROR(N(VLOOKUP(BT47,Кабель_обозначение,3,FALSE)),1)</f>
        <v>1</v>
      </c>
      <c r="DN47">
        <f>IFERROR(N(_xlfn.XLOOKUP(A47,Щиты[Щит],Щиты[ΔU до шин, %])),0)</f>
        <v>0.17</v>
      </c>
      <c r="DO47" t="str">
        <f>IFERROR(_xlfn.XLOOKUP(A47,Щиты[Щит],Щиты[Zпетли на шинах, Ом]),"")</f>
        <v/>
      </c>
      <c r="DP47">
        <f>IFERROR(N(_xlfn.XLOOKUP(A47,Щиты[Щит],Щиты[ΔU до шин (подбор), %])),0)</f>
        <v>0.65</v>
      </c>
      <c r="DQ47" t="str">
        <f>IFERROR(_xlfn.XLOOKUP(A47,Щиты[Щит],Щиты[Zпетли на шинах (подбор), Ом]),"")</f>
        <v/>
      </c>
      <c r="DR47" t="str">
        <f t="shared" si="44"/>
        <v/>
      </c>
      <c r="DS47">
        <f t="shared" si="45"/>
        <v>39</v>
      </c>
      <c r="DT47">
        <f t="shared" si="46"/>
        <v>2</v>
      </c>
      <c r="DU47">
        <f t="shared" si="47"/>
        <v>0.31</v>
      </c>
      <c r="DV47" s="6">
        <f>IF(B47="","",IF(IFERROR(VLOOKUP(AX47,УГО_спр,2,FALSE),"")="Светильник",3,4)+IF(Методика="нормы 2026",MIN(0.5,MAX(0,N(Q47)-100)*0.005),0))</f>
        <v>3</v>
      </c>
      <c r="DW47" cm="1">
        <f t="array" ref="DW47">IF(OR(B47="",BT47="",DM47&lt;&gt;1),"",_xlfn.LET(_xlpm.sz,Iдоп_S,_xlpm.t_,CHOOSE(DL47,Iдоп_1ж,Iдоп_2ж,Iдоп_3ж)*DJ47*DK47,_xlpm.inn,N(DD47),_xlpm.smin,MAX(1.5,BW47),_xlpm.L_,N(Q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47)*(_xlpm.rho*_xlpm.L_/_xlpm.sz*N(BY47)+_xlpm.xx*_xlpm.L_*N(DU47)/1000)*N(P47)/((Uн_лин/SQRT(3))*1000)*100,999),_xlpm.kz,IF(OR(DG47=1,NOT(ISNUMBER(DQ47)),_xlpm.L_=0,_xlpm.inn=0),1,IFERROR(--(c_min*(Uн_лин*1000/SQRT(3))/(DQ47+2*ρкз_Cu*_xlpm.L_/_xlpm.sz)&gt;=GY47*_xlpm.inn),0)),_xlpm.ok,IFERROR((_xlpm.sz&gt;=_xlpm.smin)*(_xlpm.t_&gt;=_xlpm.inn)*IF(_xlpm.L_&gt;0,(_xlpm.du_+DP47&lt;=DV47+0.00001),1)*_xlpm.kz,0),_xlpm.r_,_xlfn._xlws.FILTER(_xlpm.sz,_xlpm.ok,"не подобрано"),INDEX(_xlpm.r_,1)))</f>
        <v>1.5</v>
      </c>
      <c r="DX47">
        <f t="shared" si="48"/>
        <v>1.5</v>
      </c>
      <c r="DY47" cm="1">
        <f t="array" ref="DY47">IF(OR(B47="",BT47="",DM47&lt;&gt;1),"",_xlfn.LET(_xlpm.sz,Iдоп_S,_xlpm.t_,CHOOSE(DL47,Iдоп_1ж,Iдоп_2ж,Iдоп_3ж)*DJ47*DK47,_xlpm.ok,IFERROR((_xlpm.sz&gt;=MAX(1.5,BW47))*(_xlpm.t_&gt;=N(DD47)),0),_xlpm.r_,_xlfn._xlws.FILTER(_xlpm.sz,_xlpm.ok,""),INDEX(_xlpm.r_,1)))</f>
        <v>1.5</v>
      </c>
      <c r="DZ47" s="6" cm="1">
        <f t="array" ref="DZ47">IFERROR(ROUNDUP(N(DT47)*(_xlfn.XLOOKUP(DY47,INDEX(Кабель_сопротивление,0,1),INDEX(Кабель_сопротивление,0,3))*N(Q47)/DY47*N(BY47)+_xlfn.XLOOKUP(DY47,INDEX(Кабель_сопротивление,0,1),INDEX(Кабель_сопротивление,0,2))*N(Q47)*N(DU47)/1000)*N(P47)/((Uн_лин/SQRT(3))*1000)*100,2),"")</f>
        <v>0.26</v>
      </c>
      <c r="EA47">
        <f>IFERROR(2*ρкз_Cu*N(Q47)/DY47,"")</f>
        <v>1.6130666666666666</v>
      </c>
      <c r="EB47">
        <f>IFERROR(VLOOKUP(DX47,Кабель_сопротивление,3,FALSE),"")</f>
        <v>2.2499999999999999E-2</v>
      </c>
      <c r="EC47">
        <f>IFERROR(VLOOKUP(DX47,Кабель_сопротивление,2,FALSE),"")</f>
        <v>0.11</v>
      </c>
      <c r="ED47">
        <f t="shared" si="49"/>
        <v>0</v>
      </c>
      <c r="EE47">
        <f t="shared" si="50"/>
        <v>42</v>
      </c>
      <c r="EF47">
        <f t="shared" si="51"/>
        <v>0.59898747329376401</v>
      </c>
      <c r="EG47" s="6">
        <f>IFERROR(ROUNDUP(EF47/((Uн_лин/SQRT(3))*1000)*100,2),"")</f>
        <v>0.26</v>
      </c>
      <c r="EH47" t="str">
        <f>IFERROR(VLOOKUP(BT47,Кабель_обозначение,2,FALSE),"")</f>
        <v>ВВГнг(А)-LS</v>
      </c>
      <c r="EI47" t="str">
        <f t="shared" si="52"/>
        <v>ВВГнг(А)-LS (3х1,5)</v>
      </c>
      <c r="EJ47" t="str">
        <f t="shared" si="53"/>
        <v>ВВГнг(А)-LS (3х1,5)
L=46-0,26%</v>
      </c>
      <c r="EK47">
        <f>IFERROR(2*ρкз_Cu*Q47/DX47,"")</f>
        <v>1.6130666666666666</v>
      </c>
      <c r="EL47">
        <f t="shared" si="54"/>
        <v>0.53666666666666674</v>
      </c>
      <c r="EM47" s="6" t="str">
        <f>IFERROR(IF(OR(B47="",NOT(ISNUMBER(DX47)),N(Q47)=0),"",_xlfn.XLOOKUP(A47,Щиты[Щит],Щиты[Zпетли на шинах, Ом])+EK47),"")</f>
        <v/>
      </c>
      <c r="EN47" s="6" t="str">
        <f>IF(ISNUMBER(EM47),c_min*(Uн_лин*1000/SQRT(3))/EM47,"")</f>
        <v/>
      </c>
      <c r="EO47" s="6" t="str">
        <f>IFERROR(IF(OR(B47="",NOT(ISNUMBER(DX47))),"",1.05*(Uн_лин*1000/SQRT(3))/(_xlfn.XLOOKUP(A47,Щиты[Щит],Щиты[Zmax на шинах, Ом])+EL47)/1000),"")</f>
        <v/>
      </c>
      <c r="EP47" s="6" t="str">
        <f>IF(B47="","",IF(ISNUMBER(Y47),"Сил",IF(IFERROR(_xlfn.XLOOKUP(AX47,Коды_код,Коды_группа)&amp;"","")="","Быт",_xlfn.XLOOKUP(AX47,Коды_код,Коды_группа)&amp;"")))</f>
        <v>Быт</v>
      </c>
      <c r="EQ47" s="6" t="str">
        <f t="shared" si="55"/>
        <v>Быт</v>
      </c>
      <c r="ER47" s="6">
        <f>IF(EQ47="Щит","щит",IF(EQ47="","",IF(EQ47="Быт",IFERROR(_xlfn.XLOOKUP(A47,Щиты[Щит],Щиты[Кс быт]),1),IF(EQ47="Сил",IF(ISNUMBER(Y47),Y47,IF(Методика="нормы 2026",IFERROR(_xlfn.XLOOKUP(A47,Щиты[Щит],Щиты[Кс силовых (табл. 7.5)]),1),1)),IF(OR(EQ47="Пост",EQ47="Отоп"),1,IF(EQ47="ВНГ",0.7,0))))))</f>
        <v>0.8</v>
      </c>
      <c r="ES47">
        <f t="shared" si="56"/>
        <v>1</v>
      </c>
      <c r="ET47">
        <f t="shared" si="57"/>
        <v>0.1</v>
      </c>
      <c r="EU47">
        <f t="shared" si="58"/>
        <v>0.1</v>
      </c>
      <c r="EV47">
        <f t="shared" si="59"/>
        <v>0</v>
      </c>
      <c r="EW47">
        <f t="shared" si="60"/>
        <v>0</v>
      </c>
      <c r="EX47">
        <f t="shared" si="61"/>
        <v>0</v>
      </c>
      <c r="EY47">
        <f t="shared" si="62"/>
        <v>0</v>
      </c>
      <c r="EZ47">
        <f t="shared" si="63"/>
        <v>0.1</v>
      </c>
      <c r="FA47">
        <f t="shared" si="64"/>
        <v>9.5000000000000001E-2</v>
      </c>
      <c r="FB47">
        <f t="shared" si="65"/>
        <v>0.1</v>
      </c>
      <c r="FC47" t="str">
        <f t="shared" si="66"/>
        <v/>
      </c>
      <c r="FD47" t="str">
        <f>IF(B47="","",IF(CA47=0,IF(AW47=1,"",FF46),IF(OR(N(CV47)&gt;=3,N(BR47)&gt;=3),"L1,L2,L3",IFERROR(_xlfn.TEXTBEFORE(_xlfn.TEXTAFTER(_xlfn.XLOOKUP(A47,Щиты[Щит],Щиты[_фазы авто]),";"&amp;AW47&amp;":"),";"),"L1"))))</f>
        <v>L1</v>
      </c>
      <c r="FE47" t="str">
        <f t="shared" si="67"/>
        <v>L1</v>
      </c>
      <c r="FF47" t="str">
        <f t="shared" si="68"/>
        <v>L1</v>
      </c>
      <c r="FG47" cm="1">
        <f t="array" ref="FG47">IFERROR(IF(BX47=2,_xlfn.IFS(BR47=3,VLOOKUP(BN47,Справочная_двигатели,3,FALSE),BR47=1,VLOOKUP(BN47,Справочная_двигатели,5,TRUE)),0),0)</f>
        <v>0</v>
      </c>
      <c r="FH47">
        <f>IFERROR(IF(BX47=3,VLOOKUP(BN47,Справочная_ЛЭД,2,TRUE),0),0)</f>
        <v>50</v>
      </c>
      <c r="FI47" s="6">
        <f t="shared" si="69"/>
        <v>50</v>
      </c>
      <c r="FJ47" t="str" cm="1">
        <f t="array" ref="FJ47">IF(B47="","",IFERROR(INDEX({"I особая","I","II","III"},MATCH(TRIM(AC47&amp;""),{"I особая","I","II","III"},0)),"III"))</f>
        <v>III</v>
      </c>
      <c r="FK47" t="str">
        <f>IF(B47="","",IF(TRIM(AD47&amp;"")&lt;&gt;"",IF(LOWER(TRIM(AD47&amp;""))="да","да","нет"),IF(IFERROR(_xlfn.XLOOKUP(AX47,Коды_код,Коды_пожарная),"")="да","да","нет")))</f>
        <v>нет</v>
      </c>
      <c r="FL47" t="str">
        <f t="shared" si="70"/>
        <v/>
      </c>
      <c r="FM47" t="str">
        <f t="shared" si="71"/>
        <v>основная</v>
      </c>
      <c r="FN47">
        <f t="shared" si="72"/>
        <v>1</v>
      </c>
      <c r="FO47" t="str" cm="1">
        <f t="array" ref="FO47">IF(B47="","",_xlfn.LET(_xlpm.t,IFERROR(_xlfn.XLOOKUP(1,(Шины[Шина]=FM47)*(((Шины[Щит]=A47)+(Шины[Щит]=""))&gt;0),Шины[Тип]),"")&amp;"",IF(_xlpm.t&lt;&gt;"",_xlpm.t,IF(ISNUMBER(SEARCH("ИБП",FM47)),"ИБП",IF(ISNUMBER(SEARCH("ДГУ",FM47)),"ДГУ","Ввод "&amp;FN47)))))</f>
        <v>Ввод 1</v>
      </c>
      <c r="FP47" t="str">
        <f t="shared" si="73"/>
        <v>Ввод 1</v>
      </c>
      <c r="FQ47" t="str">
        <f>IF(B47="","",IF(OR(FO47="ИБП",FO47="ДГУ"),"I особая",IF(FO47="Одиночная","III",_xlfn.XLOOKUP(A47,Щиты[Щит],Щиты[Категория шины «Ввод»],"III"))))</f>
        <v>II</v>
      </c>
      <c r="FR47">
        <f>IF(B47="",0,IFERROR(MATCH(FJ47,{"III","II","I","I особая"},0),1))</f>
        <v>1</v>
      </c>
      <c r="FS47">
        <f t="shared" si="74"/>
        <v>1</v>
      </c>
      <c r="FT47" t="str">
        <f>IF(B47="","",IF(FR47&gt;IFERROR(MATCH(FQ47,{"III","II","I","I особая"},0),1),"НЕ ОБЕСПЕЧЕНА","ОК"))</f>
        <v>ОК</v>
      </c>
      <c r="FU47" t="str">
        <f>IF(A47="","",_xlfn.XLOOKUP(A47,Щиты[Щит],Щиты[Путь],""))</f>
        <v>|ГРЩ-ЖД|ЩГП|ЩО-001|</v>
      </c>
      <c r="FV47" t="str">
        <f>IF(B47="","",IF(AE47&lt;&gt;"",AE47,IF(IFERROR(_xlfn.XLOOKUP(AX47,Коды_код,Коды_вид)&amp;"","")="","Прочее",_xlfn.XLOOKUP(AX47,Коды_код,Коды_вид)&amp;"")))</f>
        <v>Рабочее освещение</v>
      </c>
      <c r="FW47" t="str">
        <f>IF(BH47="","",INT((BH47-1)/Столбцов_на_лист)+1)</f>
        <v/>
      </c>
      <c r="FX47" t="str">
        <f t="shared" si="75"/>
        <v>ВВГнг(А)-LS (3х1,5) L=46-0,26%</v>
      </c>
      <c r="FY47">
        <f t="shared" si="76"/>
        <v>0.1</v>
      </c>
      <c r="FZ47">
        <f t="shared" si="77"/>
        <v>0.46</v>
      </c>
      <c r="GA47">
        <f t="shared" si="78"/>
        <v>1</v>
      </c>
      <c r="GB47">
        <f t="shared" si="79"/>
        <v>0</v>
      </c>
      <c r="GC47">
        <f t="shared" si="80"/>
        <v>0</v>
      </c>
      <c r="GD47" t="str">
        <f>IF(BH47="","",IF(AND(CA47=1,GC47=1),COUNTIFS(A$3:A47,A47,CA$3:CA47,1,GC$3:GC47,1),IF(OR(OR(AW47=1,A47&lt;&gt;A46),AF47="вручную",GC47=0),"",IF(AW47=1,"",GE46))))</f>
        <v/>
      </c>
      <c r="GE47" t="str">
        <f t="shared" si="81"/>
        <v/>
      </c>
      <c r="GF47">
        <f>IF(B47="","",IFERROR(LOOKUP(INDEX(CHOOSE(DL47,Iдоп_1ж,Iдоп_2ж,Iдоп_3ж),MATCH(DX47,Iдоп_S,0))*DJ47*DK47,{6,10,16,20,25,32,40,50,63,80,100,125,160,200,250,315,400,500,630}),""))</f>
        <v>16</v>
      </c>
      <c r="GG47" t="str">
        <f t="shared" si="82"/>
        <v/>
      </c>
      <c r="GH47" t="str">
        <f t="shared" si="83"/>
        <v/>
      </c>
      <c r="GI47" t="str">
        <f t="shared" si="84"/>
        <v/>
      </c>
      <c r="GJ47">
        <f t="shared" si="85"/>
        <v>0</v>
      </c>
      <c r="GK47" t="str">
        <f>IF(OR(AG47="",AG47="-"),"",IFERROR(VLOOKUP(AG47,Модули_спр,2,FALSE),"R"))</f>
        <v/>
      </c>
      <c r="GL47" t="str">
        <f>IF(GK47="","",GK47&amp;"."&amp;COUNTIFS(A$3:A47,A47,GK$3:GK47,GK47))</f>
        <v/>
      </c>
      <c r="GM47" t="str">
        <f t="shared" si="86"/>
        <v/>
      </c>
      <c r="GN47" t="str">
        <f t="shared" si="87"/>
        <v/>
      </c>
      <c r="GO47" t="str">
        <f t="shared" si="88"/>
        <v/>
      </c>
      <c r="GP47" t="str">
        <f t="shared" si="89"/>
        <v/>
      </c>
      <c r="GQ47">
        <f t="shared" si="90"/>
        <v>1</v>
      </c>
      <c r="GR47" t="str">
        <f>IF(GQ47=1,"XT"&amp;COUNTIFS(A$3:A47,A47,GQ$3:GQ47,1),"")</f>
        <v>XT16</v>
      </c>
      <c r="GS47" t="str">
        <f t="shared" si="91"/>
        <v>XT16</v>
      </c>
      <c r="GT47" t="str">
        <f t="shared" si="92"/>
        <v/>
      </c>
      <c r="GU47" t="str">
        <f t="shared" si="93"/>
        <v/>
      </c>
      <c r="GV47" t="str">
        <f t="shared" si="94"/>
        <v>ok</v>
      </c>
      <c r="GW47" t="str">
        <f>IF(OR(GO47="",GM47=""),"",IF(GO47&gt;IFERROR(VLOOKUP(GN47,Модули_спр,3,FALSE),99),"ЛИШНИЙ КАНАЛ",IF(AND(AH47&lt;&gt;"=",COUNTIFS(Линии[_модуль гр.],GM47,Линии[Канал (итог)],GO47,Линии[Канал],"&lt;&gt;=",Линии[Щит],A47)&gt;1),"ДУБЛЬ КАНАЛА","")))</f>
        <v/>
      </c>
      <c r="GX47" s="6" t="str">
        <f t="shared" si="95"/>
        <v/>
      </c>
      <c r="GY47">
        <f t="shared" si="96"/>
        <v>10</v>
      </c>
      <c r="GZ47" t="str">
        <f t="shared" si="97"/>
        <v/>
      </c>
      <c r="HA47" t="str">
        <f>IF(AND(B47="",GT47=""),"",_xlfn.TEXTJOIN("; ",TRUE,IF(AND(B47&lt;&gt;"",FE47=""),"нет фазы",""),IF(AND(B47&lt;&gt;"",N(FY47)=0,EQ47&lt;&gt;"Нет"),"нет мощности",""),IF(AND(GS47&lt;&gt;"",COUNTIFS(Линии[Щит],A47,Линии[Клемма (итог)],GS47)&gt;1),"дубль клеммы "&amp;GS47,""),IF(AND(GV47&lt;&gt;"",GV47&lt;&gt;"ok"),GV47,""),IF(GW47&lt;&gt;"",GW47,""),IF(AND(N(BV47)&gt;=4,N(BR47)=1),BV47&amp;" жил на 1 фазе",""),IF(AND(AX47="R",CA47=1,OR(N(CK47)=0,N(CK47)&gt;30)),"розетка без дифзащиты до 30 мА",""),IFERROR(IF(AND(ISNUMBER(R47),R47&gt;DV47),"потери "&amp;FIXED(R47,1)&amp;" % &gt; "&amp;DV47&amp;" %",""),""),IFERROR(IF(LEFT(GZ47,4)="мало","Iкз мало — отключение &gt; 0,4 с",""),""),IF(AND(B47&lt;&gt;"",BH47=""),"не на схеме",""),IF(AND(CA47=0,B47&lt;&gt;"",FE47&lt;&gt;"",IF(AW47=1,"",FF46)&lt;&gt;"",FE47&lt;&gt;IF(AW47=1,"",FF46)),"фаза не как у автомата группы ("&amp;IF(AW47=1,"",FF46)&amp;")","")))</f>
        <v>не на схеме</v>
      </c>
      <c r="HB47" s="6">
        <f>IF(OR(CA47=0,DA47=""),"",_xlfn.LET(_xlpm.t,IFERROR(_xlfn.XLOOKUP(DA47,Каталог!$U$4:$U$500,Каталог!$G$4:$G$500),""),_xlpm.k,SEARCH("кА",_xlpm.t),IFERROR(--TRIM(RIGHT(SUBSTITUTE(MID(_xlpm.t,MAX(1,_xlpm.k-4),_xlpm.k-MAX(1,_xlpm.k-4))," ",REPT(" ",9)),5)),"")))</f>
        <v>6</v>
      </c>
      <c r="HC47" t="str">
        <f>IF(OR(HB47="",CA47=0),"",IF(_xlfn.XLOOKUP(A47,Щиты[Щит],Щиты[Iкз max на шинах, кА],"")="","",IF(HB47&lt;_xlfn.XLOOKUP(A47,Щиты[Щит],Щиты[Iкз max на шинах, кА]),"Icu "&amp;HB47&amp;" кА &lt; Iкз max","ok")))</f>
        <v/>
      </c>
      <c r="HD47" t="str">
        <f t="shared" si="98"/>
        <v/>
      </c>
      <c r="HE47" t="str">
        <f t="shared" si="99"/>
        <v/>
      </c>
      <c r="HF47" t="str">
        <f t="shared" si="100"/>
        <v/>
      </c>
      <c r="HG47" t="str" cm="1">
        <f t="array" ref="HG47">IF(HF47="","",_xlfn.LET(_xlpm.nd,_xlfn.TEXTSPLIT(HF47,"|"),IF(COLUMNS(_xlpm.nd)&gt;1,A47&amp;"¦"&amp;INDEX(_xlpm.nd,1)&amp;"¦"&amp;INDEX(_xlpm.nd,2),"")))</f>
        <v/>
      </c>
      <c r="HH47" t="str">
        <f t="shared" si="101"/>
        <v/>
      </c>
      <c r="HI47" t="str" cm="1">
        <f t="array" ref="HI47">IF(HF47="","",_xlfn.LET(_xlpm.nd,_xlfn.TEXTSPLIT(HF47,"|"),IF(COLUMNS(_xlpm.nd)&gt;2,A47&amp;"¦"&amp;INDEX(_xlpm.nd,2)&amp;"¦"&amp;INDEX(_xlpm.nd,3),"")))</f>
        <v/>
      </c>
      <c r="HJ47" t="str">
        <f t="shared" si="102"/>
        <v/>
      </c>
      <c r="HK47" t="str" cm="1">
        <f t="array" ref="HK47">IF(HF47="","",_xlfn.LET(_xlpm.nd,_xlfn.TEXTSPLIT(HF47,"|"),IF(COLUMNS(_xlpm.nd)&gt;3,A47&amp;"¦"&amp;INDEX(_xlpm.nd,3)&amp;"¦"&amp;INDEX(_xlpm.nd,4),"")))</f>
        <v/>
      </c>
      <c r="HL47" t="str">
        <f t="shared" si="103"/>
        <v/>
      </c>
      <c r="HM47" t="str" cm="1">
        <f t="array" ref="HM47">IF(HF47="","",_xlfn.LET(_xlpm.nd,_xlfn.TEXTSPLIT(HF47,"|"),IF(COLUMNS(_xlpm.nd)&gt;4,A47&amp;"¦"&amp;INDEX(_xlpm.nd,4)&amp;"¦"&amp;INDEX(_xlpm.nd,5),"")))</f>
        <v/>
      </c>
      <c r="HN47" t="str">
        <f t="shared" si="104"/>
        <v/>
      </c>
      <c r="HO47" t="str" cm="1">
        <f t="array" ref="HO47">IF(HF47="","",_xlfn.LET(_xlpm.nd,_xlfn.TEXTSPLIT(HF47,"|"),IF(COLUMNS(_xlpm.nd)&gt;5,A47&amp;"¦"&amp;INDEX(_xlpm.nd,5)&amp;"¦"&amp;INDEX(_xlpm.nd,6),"")))</f>
        <v/>
      </c>
      <c r="HP47" t="str">
        <f t="shared" si="105"/>
        <v/>
      </c>
      <c r="HQ47" t="str" cm="1">
        <f t="array" ref="HQ47">IF(HF47="","",_xlfn.LET(_xlpm.nd,_xlfn.TEXTSPLIT(HF47,"|"),IF(COLUMNS(_xlpm.nd)&gt;6,A47&amp;"¦"&amp;INDEX(_xlpm.nd,6)&amp;"¦"&amp;INDEX(_xlpm.nd,7),"")))</f>
        <v/>
      </c>
      <c r="HR47" t="str">
        <f t="shared" si="106"/>
        <v/>
      </c>
      <c r="HS47" t="str">
        <f t="shared" si="107"/>
        <v/>
      </c>
      <c r="HT47" t="str">
        <f t="shared" si="108"/>
        <v>XT16</v>
      </c>
      <c r="HU47">
        <f t="shared" si="109"/>
        <v>0</v>
      </c>
      <c r="HV47">
        <f t="shared" si="110"/>
        <v>0</v>
      </c>
      <c r="HW47" t="str">
        <f t="shared" si="111"/>
        <v/>
      </c>
      <c r="HX47" t="str">
        <f t="shared" si="112"/>
        <v/>
      </c>
      <c r="HY47" t="str">
        <f t="shared" si="113"/>
        <v/>
      </c>
      <c r="HZ47" t="str">
        <f t="shared" si="114"/>
        <v/>
      </c>
      <c r="IA47" t="str">
        <f>IF(B47="","",IFERROR(VLOOKUP(B47,УГО_спр,2,FALSE),IFERROR(VLOOKUP(AX47,УГО_спр,2,FALSE),IFERROR(VLOOKUP(LEFT(AX47,2),УГО_спр,2,FALSE),""))))</f>
        <v>Светильник</v>
      </c>
      <c r="IB47" t="str">
        <f>IF(B47="","",IF(OR(IA47="",IA47=0),"BOX",IFERROR(IF(VLOOKUP(IA47,УГО_блоки,3,FALSE)&amp;""&lt;&gt;"",VLOOKUP(IA47,УГО_блоки,3,FALSE),VLOOKUP(IA47,УГО_блоки,2,FALSE)),IA47)))</f>
        <v>LAMP</v>
      </c>
      <c r="IC47">
        <f t="shared" si="115"/>
        <v>1</v>
      </c>
      <c r="ID47" t="str">
        <f>IF(DA47="","",IF(COUNTIF(DA$3:DA47,DA47)=1,MAX(ID$2:ID46)+1,""))</f>
        <v/>
      </c>
      <c r="IE47" t="str">
        <f>IF(CO47="","",IF(COUNTIF(CO$3:CO47,CO47)+COUNTIF(CP$2:CP46,CO47)+COUNTIF(CQ$2:CQ46,CO47)=1,MAX(IE$2:IG46)+1,""))</f>
        <v/>
      </c>
      <c r="IF47" t="str">
        <f>IF(CP47="","",IF(COUNTIF(CO$3:CO47,CP47)+COUNTIF(CP$3:CP47,CP47)+COUNTIF(CQ$2:CQ46,CP47)=1,MAX(IE$2:IG46,IE47)+1,""))</f>
        <v/>
      </c>
      <c r="IG47" t="str">
        <f>IF(CQ47="","",IF(COUNTIF(CO$3:CO47,CQ47)+COUNTIF(CP$3:CP47,CQ47)+COUNTIF(CQ$3:CQ47,CQ47)=1,MAX(IE$2:IG46,IE47,IF47)+1,""))</f>
        <v/>
      </c>
      <c r="IH47" t="str">
        <f t="shared" si="116"/>
        <v>3х1,5</v>
      </c>
      <c r="II47" t="str">
        <f>IF(IH47="","",IF(COUNTIF(IH$3:IH47,IH47)=1,MAX(II$2:II46)+1,""))</f>
        <v/>
      </c>
      <c r="IJ47" t="str">
        <f>IF(GL47="","",COUNTIF(GL$3:GL47,"?*"))</f>
        <v/>
      </c>
      <c r="IK47" t="str">
        <f>IF(OR(GL47="",GN47=""),"",IF(COUNTIFS(GL$3:GL47,"?*",GN$3:GN47,GN47)=1,MAX(IK$2:IK46)+1,""))</f>
        <v/>
      </c>
      <c r="IL47">
        <f t="shared" si="117"/>
        <v>1</v>
      </c>
      <c r="IM47">
        <f>IF(B47="","",COUNTIF(B$3:B47,"?*"))</f>
        <v>45</v>
      </c>
      <c r="IN47">
        <f>IF(GQ47&lt;&gt;1,0,_xlfn.LET(_xlpm.k,MAX(IFERROR(--VLOOKUP(B47,УГО_спр,5,FALSE),0),IFERROR(--VLOOKUP(AX47,УГО_спр,5,FALSE),0),IFERROR(--VLOOKUP(LEFT(AX47,2),УГО_спр,5,FALSE),0)),IF(_xlpm.k&gt;0,_xlpm.k,IF(IFERROR(--LEFT(SUBSTITUTE(IH47,"x","х"),FIND("х",SUBSTITUTE(IH47,"x","х"))-1),3)&gt;3,Каталог!$S$9,1))))</f>
        <v>1</v>
      </c>
      <c r="IO47">
        <f t="shared" si="118"/>
        <v>0</v>
      </c>
      <c r="IP47" t="str">
        <f t="shared" si="119"/>
        <v>авто</v>
      </c>
      <c r="IQ47" t="str">
        <f t="shared" si="120"/>
        <v/>
      </c>
      <c r="IR47">
        <f t="shared" si="121"/>
        <v>0</v>
      </c>
      <c r="IS47">
        <f t="shared" si="122"/>
        <v>1</v>
      </c>
    </row>
    <row r="48" spans="1:253" x14ac:dyDescent="0.3">
      <c r="A48" t="s">
        <v>1104</v>
      </c>
      <c r="B48" t="s">
        <v>1321</v>
      </c>
      <c r="C48" t="str">
        <f>Линии[[#This Row],[_авто наименование]]</f>
        <v>Осветительная группа, пом. 008T</v>
      </c>
      <c r="D48">
        <v>3</v>
      </c>
      <c r="E48">
        <v>0.1</v>
      </c>
      <c r="G48" t="str">
        <f>Линии[[#This Row],[_авто автомат]]</f>
        <v>1P С10А</v>
      </c>
      <c r="H48" t="str">
        <f>Линии[[#This Row],[_авто утечка]]</f>
        <v/>
      </c>
      <c r="I48" t="str">
        <f>Линии[[#This Row],[_авто управление]]</f>
        <v/>
      </c>
      <c r="J48" t="str">
        <f>Линии[[#This Row],[_авто аппараты]]</f>
        <v/>
      </c>
      <c r="K48">
        <v>1.5</v>
      </c>
      <c r="L48">
        <v>58</v>
      </c>
      <c r="M48" t="str">
        <f>Линии[[#This Row],[_авто фаза]]</f>
        <v>L2</v>
      </c>
      <c r="N48" t="str">
        <f>Линии[[#This Row],[_авто клемма]]</f>
        <v>XT17</v>
      </c>
      <c r="O48" t="str">
        <f t="shared" si="0"/>
        <v>не на схеме</v>
      </c>
      <c r="P48" s="6" cm="1">
        <f t="array" ref="P48">IF(B48="","",IF(BC48&lt;&gt;"",IFERROR(_xlfn.XLOOKUP(BC48,Щиты[Щит],Щиты[Iр, А]),""),IF(BK48=1,IFERROR(_xlfn.XLOOKUP(A48,Щиты[Щит],Щиты[Iр, А]),""),IFERROR(_xlfn.IFS(BR48=1,BN48/((Uн_лин/SQRT(3))*BY48),BR48=3,BN48/(SQRT(3)*Uн_лин*BY48)),""))))</f>
        <v>0.455802844097073</v>
      </c>
      <c r="Q48" s="7">
        <f>IF(B48="","",IFERROR(IF(VLOOKUP(AX48,Потребители_обозначение,4,FALSE)=1,VLOOKUP(AX48,Потребители_обозначение,3,FALSE)*(D48*2-1)+DS48+VLOOKUP(AZ48,Этаж_обозначение,3,FALSE)+VLOOKUP(AZ48,Этаж_обозначение,4,FALSE),VLOOKUP(AX48,Потребители_обозначение,3,FALSE)*(D48*2-1)+DS48),DS48))</f>
        <v>63</v>
      </c>
      <c r="R48" s="6">
        <f t="shared" si="1"/>
        <v>0.53</v>
      </c>
      <c r="S48" t="str">
        <f t="shared" si="2"/>
        <v>ВВГнг(А)-LS (3х1,5)</v>
      </c>
      <c r="T48" t="str">
        <f>IF(BH48="","",IF(BI48="вводной узел","узел ","")&amp;"л."&amp;(INT((BH48-1)/Столбцов_на_лист)+1)&amp;" / "&amp;(MOD(BH48-1,Столбцов_на_лист)+1))</f>
        <v/>
      </c>
      <c r="V48">
        <v>1</v>
      </c>
      <c r="W48">
        <v>230</v>
      </c>
      <c r="X48" t="s">
        <v>564</v>
      </c>
      <c r="AE48" t="s">
        <v>557</v>
      </c>
      <c r="AI48" t="s">
        <v>529</v>
      </c>
      <c r="AJ48" t="s">
        <v>11</v>
      </c>
      <c r="AK48">
        <v>3</v>
      </c>
      <c r="AM48">
        <v>14</v>
      </c>
      <c r="AN48">
        <v>0</v>
      </c>
      <c r="AO48">
        <v>69</v>
      </c>
      <c r="AW48" cm="1">
        <f t="array" ref="AW48">ROW()-ROW(Линии[#Headers])</f>
        <v>46</v>
      </c>
      <c r="AX48" s="6" t="str">
        <f t="shared" si="3"/>
        <v>L</v>
      </c>
      <c r="AY48" t="str">
        <f t="shared" si="4"/>
        <v>00.008T.1</v>
      </c>
      <c r="AZ48" t="str">
        <f t="shared" si="5"/>
        <v>00</v>
      </c>
      <c r="BA48" t="str">
        <f t="shared" si="6"/>
        <v>008T.1</v>
      </c>
      <c r="BB48" t="str">
        <f t="shared" si="7"/>
        <v>008T</v>
      </c>
      <c r="BC48" t="str">
        <f>IF(U48&lt;&gt;"",U48,IF(AND(B48&lt;&gt;"",B48&lt;&gt;A48,ISNUMBER(_xlfn.XMATCH(B48,Щиты[Щит]))),B48,""))</f>
        <v/>
      </c>
      <c r="BD48" t="str" cm="1">
        <f t="array" ref="BD48">IF(B48="","",IF(BC48&lt;&gt;"","Щит "&amp;BC48,_xlfn.LET(_xlpm.nm,IFERROR(_xlfn.XLOOKUP(AX48,Коды_код,Коды_имя)&amp;"",""),_xlpm.md,IFERROR(N(_xlfn.XLOOKUP(AX48,Коды_код,Коды_режим)),1),_xlpm.ex,IF(Имя_режим="по экспликации",IFERROR(_xlfn.XLOOKUP(AZ48&amp;"|"&amp;BB48,Экспликация[Этаж]&amp;"|"&amp;Экспликация[Помещение],Экспликация[Название])&amp;"",""),""),_xlpm.rm,IF(BB48="","",IF(_xlpm.ex&lt;&gt;"",". "&amp;_xlpm.ex&amp;IF(Имя_пом="нет"," ("&amp;BB48&amp;")"," (пом. "&amp;BB48&amp;")"),IF(Имя_пом="нет"," ",", пом. ")&amp;BB48)),IF(_xlpm.nm="","",IF(_xlpm.md=2,_xlpm.nm&amp;" шлейф "&amp;AZ48,_xlpm.nm&amp;_xlpm.rm)))))</f>
        <v>Осветительная группа, пом. 008T</v>
      </c>
      <c r="BE48" t="str">
        <f t="shared" si="8"/>
        <v>Осветительная группа, пом. 008T</v>
      </c>
      <c r="BF48">
        <f>IFERROR(_xlfn.XMATCH(A48,Щиты[Щит]),0)</f>
        <v>3</v>
      </c>
      <c r="BG48">
        <f>_xlfn.LET(_xlpm.k,IFERROR(_xlfn.XLOOKUP(A48,Щиты[Щит],Щиты[Листов под вводной узел]),""),IF(_xlpm.k="",1,N(_xlpm.k))*Столбцов_на_лист)</f>
        <v>17</v>
      </c>
      <c r="BH48" t="str">
        <f t="shared" si="9"/>
        <v/>
      </c>
      <c r="BI48" t="str">
        <f t="shared" si="10"/>
        <v/>
      </c>
      <c r="BJ48" s="6">
        <f>IFERROR(N(_xlfn.XLOOKUP(AX48,Коды_код,Коды_квт)),0)</f>
        <v>0</v>
      </c>
      <c r="BK48">
        <f t="shared" si="11"/>
        <v>0</v>
      </c>
      <c r="BL48" t="str">
        <f>IF(B48="","",IF(BC48&lt;&gt;"",IFERROR(_xlfn.XLOOKUP(BC48,Щиты[Щит],Щиты[Руст, кВт]),0),IF(BK48=1,IFERROR(_xlfn.XLOOKUP(A48,Щиты[Щит],Щиты[Руст, кВт]),0),IF(BJ48&gt;0,ROUND(BJ48*MAX(1,N(D48)),3),""))))</f>
        <v/>
      </c>
      <c r="BM48">
        <f t="shared" si="12"/>
        <v>0.1</v>
      </c>
      <c r="BN48" s="6">
        <f>IF(B48="","",IF(BC48&lt;&gt;"",IFERROR(_xlfn.XLOOKUP(BC48,Щиты[Щит],Щиты[Руст, кВт]),0),N(BM48)))</f>
        <v>0.1</v>
      </c>
      <c r="BO48" t="str">
        <f>IF(B48="","",IFERROR(IF(VLOOKUP(AX48,Потребители_обозначение,8,FALSE)=0,"",VLOOKUP(AX48,Потребители_обозначение,8,FALSE)),""))</f>
        <v/>
      </c>
      <c r="BP48">
        <f t="shared" si="13"/>
        <v>230</v>
      </c>
      <c r="BQ48">
        <f>IF(B48="","",IF(BC48&lt;&gt;"",3,IFERROR(IF(N(VLOOKUP(AX48,Потребители_обозначение,9,FALSE))=0,1,VLOOKUP(AX48,Потребители_обозначение,9,FALSE)),1)))</f>
        <v>1</v>
      </c>
      <c r="BR48">
        <f t="shared" si="14"/>
        <v>1</v>
      </c>
      <c r="BS48" t="str">
        <f>IF(B48="","",_xlfn.LET(_xlpm.bc,IFERROR(IF(VLOOKUP(AX48,Потребители_обозначение,6,FALSE)=0,"",VLOOKUP(AX48,Потребители_обозначение,6,FALSE)&amp;""),""),IF(AND(FK48="да",OR(_xlpm.bc="",_xlpm.bc="мс")),Марка_пож,IF(AND(_xlpm.bc="",BC48&lt;&gt;""),"мс",_xlpm.bc))))</f>
        <v/>
      </c>
      <c r="BT48" t="str">
        <f t="shared" si="15"/>
        <v>мс</v>
      </c>
      <c r="BU48">
        <f>IF(B48="","",_xlfn.LET(_xlpm.cc,IFERROR(N(VLOOKUP(AX48,Потребители_обозначение,7,FALSE)),0),IF(_xlpm.cc&gt;0,_xlpm.cc,IF(BT48="","",IF(N(BR48)=3,5,3)))))</f>
        <v>3</v>
      </c>
      <c r="BV48">
        <f t="shared" si="16"/>
        <v>3</v>
      </c>
      <c r="BW48">
        <f>IFERROR(N(VLOOKUP(AX48,Потребители_обозначение,10,FALSE)),0)</f>
        <v>0</v>
      </c>
      <c r="BX48">
        <f>IFERROR(VLOOKUP(AX48,Потребители_обозначение,5,FALSE),0)</f>
        <v>3</v>
      </c>
      <c r="BY48" s="6" cm="1">
        <f t="array" ref="BY48">IF(B48="","",IF(BC48&lt;&gt;"",IFERROR(_xlfn.XLOOKUP(BC48,Щиты[Щит],Щиты[cos φ]),0.95),IF(BK48=1,IFERROR(_xlfn.XLOOKUP(A48,Щиты[Щит],Щиты[cos φ]),0.95),IF(ISNUMBER(Z48),Z48,IFERROR(IF(BX48=2,_xlfn.IFS(BR48=3,VLOOKUP(BN48,Справочная_двигатели,8,FALSE),BR48=1,VLOOKUP(BN48,Справочная_двигатели,10,TRUE)),IF(AND(Методика="нормы 2026",EQ48="Сил"),0.8,0.95)),0.95)))))</f>
        <v>0.95</v>
      </c>
      <c r="BZ48">
        <f t="shared" si="17"/>
        <v>0</v>
      </c>
      <c r="CA48">
        <f t="shared" si="18"/>
        <v>1</v>
      </c>
      <c r="CB48">
        <f t="shared" si="19"/>
        <v>0</v>
      </c>
      <c r="CC48">
        <f t="shared" si="20"/>
        <v>0</v>
      </c>
      <c r="CD48">
        <f t="shared" si="21"/>
        <v>0</v>
      </c>
      <c r="CE48">
        <f t="shared" si="22"/>
        <v>0</v>
      </c>
      <c r="CF48">
        <f t="shared" si="23"/>
        <v>0</v>
      </c>
      <c r="CG48">
        <f>IF(AX48="",0,_xlfn.LET(_xlpm.v,IFERROR(VLOOKUP(B48,УГО_спр,3,FALSE),IFERROR(VLOOKUP(AX48,УГО_спр,3,FALSE),IFERROR(VLOOKUP(LEFT(AX48,2),УГО_спр,3,FALSE),""))),IF(_xlpm.v="да",30,IF(ISNUMBER(_xlpm.v),_xlpm.v,0))))</f>
        <v>0</v>
      </c>
      <c r="CH48" t="str">
        <f t="shared" si="24"/>
        <v/>
      </c>
      <c r="CI48" t="str">
        <f>_xlfn.LET(_xlpm.k,IFERROR(_xlfn.XLOOKUP(AX48,Коды_код,Коды_утечка)&amp;"",""),IF(_xlpm.k="","дифавтомат",_xlpm.k))</f>
        <v>дифавтомат</v>
      </c>
      <c r="CJ48">
        <f t="shared" si="25"/>
        <v>0</v>
      </c>
      <c r="CK48">
        <f t="shared" si="26"/>
        <v>0</v>
      </c>
      <c r="CL48">
        <f>IF(B48="",0,IFERROR(--VLOOKUP(B48,УГО_спр,4,FALSE),IFERROR(--VLOOKUP(AX48,УГО_спр,4,FALSE),IFERROR(--VLOOKUP(LEFT(AX48,2),УГО_спр,4,FALSE),0))))</f>
        <v>10</v>
      </c>
      <c r="CM48" t="str">
        <f>IF(B48="","",IFERROR(_xlfn.XLOOKUP(AX48,Коды_код,Коды_апп)&amp;"",""))</f>
        <v/>
      </c>
      <c r="CN48" t="str">
        <f t="shared" si="27"/>
        <v/>
      </c>
      <c r="CO48" t="str" cm="1">
        <f t="array" ref="CO48">IF(TRIM(CN48&amp;"")="","",IFERROR(TRIM(INDEX(_xlfn.TEXTSPLIT(CN48&amp;";;;",";"),1)),""))</f>
        <v/>
      </c>
      <c r="CP48" t="str" cm="1">
        <f t="array" ref="CP48">IF(TRIM(CN48&amp;"")="","",IFERROR(TRIM(INDEX(_xlfn.TEXTSPLIT(CN48&amp;";;;",";"),2)),""))</f>
        <v/>
      </c>
      <c r="CQ48" t="str" cm="1">
        <f t="array" ref="CQ48">IF(TRIM(CN48&amp;"")="","",IFERROR(TRIM(INDEX(_xlfn.TEXTSPLIT(CN48&amp;";;;",";"),3)),""))</f>
        <v/>
      </c>
      <c r="CR48">
        <f t="shared" si="28"/>
        <v>0</v>
      </c>
      <c r="CS48" t="str">
        <f>IF(B48="","",_xlfn.LET(_xlpm.t,LOWER(AV48&amp;""),IF(ISNUMBER(SEARCH("dim",_xlpm.t)),"DIM",IF(ISNUMBER(SEARCH("dali",_xlpm.t)),"DALI",IF(OR(ISNUMBER(SEARCH("relay",_xlpm.t)),ISNUMBER(SEARCH("реле",_xlpm.t))),"Relay",IF(ISNUMBER(SEARCH("кнопк",_xlpm.t)),"",IFERROR(_xlfn.XLOOKUP(AX48,Коды_код,Коды_упр)&amp;"","")))))))</f>
        <v/>
      </c>
      <c r="CT48" t="str">
        <f t="shared" si="29"/>
        <v/>
      </c>
      <c r="CU48">
        <f>IF(B48="","",_xlfn.LET(_xlpm.ig,N(P48)+IF(AF48="вручную",0,N(CB48)),_xlpm.n0,IFERROR(VLOOKUP(_xlpm.ig,Автомат_номиналы,2,TRUE),0),_xlpm.mn,MAX(CL48,IF(AF48="вручную",0,N(CE48))),MAX(_xlpm.n0,_xlpm.mn,IF(CR48=1,Мин_автомат_БП,0))))</f>
        <v>10</v>
      </c>
      <c r="CV48">
        <f t="shared" si="30"/>
        <v>1</v>
      </c>
      <c r="CW48" t="str">
        <f t="shared" si="31"/>
        <v>1P</v>
      </c>
      <c r="CX48" t="str">
        <f>_xlfn.LET(_xlpm.cc,UPPER(TRIM(IFERROR(_xlfn.XLOOKUP(AX48,Коды_код,Коды_хар)&amp;"",""))),IF(OR(_xlpm.cc="B",_xlpm.cc="В"),"B",IF(_xlpm.cc="D","D","С")))</f>
        <v>С</v>
      </c>
      <c r="CY48" t="str">
        <f t="shared" si="32"/>
        <v>1P С10А</v>
      </c>
      <c r="CZ48" t="str">
        <f t="shared" si="33"/>
        <v>1P С10А</v>
      </c>
      <c r="DA48" t="str">
        <f t="shared" si="34"/>
        <v>1P С10А</v>
      </c>
      <c r="DB48" cm="1">
        <f t="array" ref="DB48">IF(DA48="","",_xlfn.LET(_xlpm.t,SUBSTITUTE(SUBSTITUTE(SUBSTITUTE(UPPER(DA48),"С","C"),"А","A"),"В","B"),_xlpm.tk,_xlfn.TEXTSPLIT(_xlpm.t,"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8" t="str">
        <f t="shared" si="35"/>
        <v>ok</v>
      </c>
      <c r="DD48">
        <f t="shared" si="36"/>
        <v>10</v>
      </c>
      <c r="DE48" t="str">
        <f t="shared" si="37"/>
        <v>1P С10А</v>
      </c>
      <c r="DF48">
        <f t="shared" si="38"/>
        <v>0</v>
      </c>
      <c r="DG48">
        <f t="shared" si="39"/>
        <v>0</v>
      </c>
      <c r="DH48">
        <f t="shared" si="40"/>
        <v>0</v>
      </c>
      <c r="DI48">
        <f t="shared" si="41"/>
        <v>0.455802844097073</v>
      </c>
      <c r="DJ48">
        <f t="shared" si="42"/>
        <v>1</v>
      </c>
      <c r="DK48">
        <f>IF(ISNUMBER(AL48),AL48,К_прокл)</f>
        <v>1</v>
      </c>
      <c r="DL48">
        <f t="shared" si="43"/>
        <v>2</v>
      </c>
      <c r="DM48">
        <f>IFERROR(N(VLOOKUP(BT48,Кабель_обозначение,3,FALSE)),1)</f>
        <v>1</v>
      </c>
      <c r="DN48">
        <f>IFERROR(N(_xlfn.XLOOKUP(A48,Щиты[Щит],Щиты[ΔU до шин, %])),0)</f>
        <v>0.17</v>
      </c>
      <c r="DO48" t="str">
        <f>IFERROR(_xlfn.XLOOKUP(A48,Щиты[Щит],Щиты[Zпетли на шинах, Ом]),"")</f>
        <v/>
      </c>
      <c r="DP48">
        <f>IFERROR(N(_xlfn.XLOOKUP(A48,Щиты[Щит],Щиты[ΔU до шин (подбор), %])),0)</f>
        <v>0.65</v>
      </c>
      <c r="DQ48" t="str">
        <f>IFERROR(_xlfn.XLOOKUP(A48,Щиты[Щит],Щиты[Zпетли на шинах (подбор), Ом]),"")</f>
        <v/>
      </c>
      <c r="DR48" t="str">
        <f t="shared" si="44"/>
        <v/>
      </c>
      <c r="DS48">
        <f t="shared" si="45"/>
        <v>58</v>
      </c>
      <c r="DT48">
        <f t="shared" si="46"/>
        <v>2</v>
      </c>
      <c r="DU48">
        <f t="shared" si="47"/>
        <v>0.31</v>
      </c>
      <c r="DV48" s="6">
        <f>IF(B48="","",IF(IFERROR(VLOOKUP(AX48,УГО_спр,2,FALSE),"")="Светильник",3,4)+IF(Методика="нормы 2026",MIN(0.5,MAX(0,N(Q48)-100)*0.005),0))</f>
        <v>3</v>
      </c>
      <c r="DW48" cm="1">
        <f t="array" ref="DW48">IF(OR(B48="",BT48="",DM48&lt;&gt;1),"",_xlfn.LET(_xlpm.sz,Iдоп_S,_xlpm.t_,CHOOSE(DL48,Iдоп_1ж,Iдоп_2ж,Iдоп_3ж)*DJ48*DK48,_xlpm.inn,N(DD48),_xlpm.smin,MAX(1.5,BW48),_xlpm.L_,N(Q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48)*(_xlpm.rho*_xlpm.L_/_xlpm.sz*N(BY48)+_xlpm.xx*_xlpm.L_*N(DU48)/1000)*N(P48)/((Uн_лин/SQRT(3))*1000)*100,999),_xlpm.kz,IF(OR(DG48=1,NOT(ISNUMBER(DQ48)),_xlpm.L_=0,_xlpm.inn=0),1,IFERROR(--(c_min*(Uн_лин*1000/SQRT(3))/(DQ48+2*ρкз_Cu*_xlpm.L_/_xlpm.sz)&gt;=GY48*_xlpm.inn),0)),_xlpm.ok,IFERROR((_xlpm.sz&gt;=_xlpm.smin)*(_xlpm.t_&gt;=_xlpm.inn)*IF(_xlpm.L_&gt;0,(_xlpm.du_+DP48&lt;=DV48+0.00001),1)*_xlpm.kz,0),_xlpm.r_,_xlfn._xlws.FILTER(_xlpm.sz,_xlpm.ok,"не подобрано"),INDEX(_xlpm.r_,1)))</f>
        <v>1.5</v>
      </c>
      <c r="DX48">
        <f t="shared" si="48"/>
        <v>1.5</v>
      </c>
      <c r="DY48" cm="1">
        <f t="array" ref="DY48">IF(OR(B48="",BT48="",DM48&lt;&gt;1),"",_xlfn.LET(_xlpm.sz,Iдоп_S,_xlpm.t_,CHOOSE(DL48,Iдоп_1ж,Iдоп_2ж,Iдоп_3ж)*DJ48*DK48,_xlpm.ok,IFERROR((_xlpm.sz&gt;=MAX(1.5,BW48))*(_xlpm.t_&gt;=N(DD48)),0),_xlpm.r_,_xlfn._xlws.FILTER(_xlpm.sz,_xlpm.ok,""),INDEX(_xlpm.r_,1)))</f>
        <v>1.5</v>
      </c>
      <c r="DZ48" s="6" cm="1">
        <f t="array" ref="DZ48">IFERROR(ROUNDUP(N(DT48)*(_xlfn.XLOOKUP(DY48,INDEX(Кабель_сопротивление,0,1),INDEX(Кабель_сопротивление,0,3))*N(Q48)/DY48*N(BY48)+_xlfn.XLOOKUP(DY48,INDEX(Кабель_сопротивление,0,1),INDEX(Кабель_сопротивление,0,2))*N(Q48)*N(DU48)/1000)*N(P48)/((Uн_лин/SQRT(3))*1000)*100,2),"")</f>
        <v>0.36</v>
      </c>
      <c r="EA48">
        <f>IFERROR(2*ρкз_Cu*N(Q48)/DY48,"")</f>
        <v>2.2092000000000001</v>
      </c>
      <c r="EB48">
        <f>IFERROR(VLOOKUP(DX48,Кабель_сопротивление,3,FALSE),"")</f>
        <v>2.2499999999999999E-2</v>
      </c>
      <c r="EC48">
        <f>IFERROR(VLOOKUP(DX48,Кабель_сопротивление,2,FALSE),"")</f>
        <v>0.11</v>
      </c>
      <c r="ED48">
        <f t="shared" si="49"/>
        <v>0</v>
      </c>
      <c r="EE48">
        <f t="shared" si="50"/>
        <v>69</v>
      </c>
      <c r="EF48">
        <f t="shared" si="51"/>
        <v>0.82035240907624196</v>
      </c>
      <c r="EG48" s="6">
        <f>IFERROR(ROUNDUP(EF48/((Uн_лин/SQRT(3))*1000)*100,2),"")</f>
        <v>0.36</v>
      </c>
      <c r="EH48" t="str">
        <f>IFERROR(VLOOKUP(BT48,Кабель_обозначение,2,FALSE),"")</f>
        <v>ВВГнг(А)-LS</v>
      </c>
      <c r="EI48" t="str">
        <f t="shared" si="52"/>
        <v>ВВГнг(А)-LS (3х1,5)</v>
      </c>
      <c r="EJ48" t="str">
        <f t="shared" si="53"/>
        <v>ВВГнг(А)-LS (3х1,5)
L=63-0,36%</v>
      </c>
      <c r="EK48">
        <f>IFERROR(2*ρкз_Cu*Q48/DX48,"")</f>
        <v>2.2092000000000001</v>
      </c>
      <c r="EL48">
        <f t="shared" si="54"/>
        <v>0.73499999999999999</v>
      </c>
      <c r="EM48" s="6" t="str">
        <f>IFERROR(IF(OR(B48="",NOT(ISNUMBER(DX48)),N(Q48)=0),"",_xlfn.XLOOKUP(A48,Щиты[Щит],Щиты[Zпетли на шинах, Ом])+EK48),"")</f>
        <v/>
      </c>
      <c r="EN48" s="6" t="str">
        <f>IF(ISNUMBER(EM48),c_min*(Uн_лин*1000/SQRT(3))/EM48,"")</f>
        <v/>
      </c>
      <c r="EO48" s="6" t="str">
        <f>IFERROR(IF(OR(B48="",NOT(ISNUMBER(DX48))),"",1.05*(Uн_лин*1000/SQRT(3))/(_xlfn.XLOOKUP(A48,Щиты[Щит],Щиты[Zmax на шинах, Ом])+EL48)/1000),"")</f>
        <v/>
      </c>
      <c r="EP48" s="6" t="str">
        <f>IF(B48="","",IF(ISNUMBER(Y48),"Сил",IF(IFERROR(_xlfn.XLOOKUP(AX48,Коды_код,Коды_группа)&amp;"","")="","Быт",_xlfn.XLOOKUP(AX48,Коды_код,Коды_группа)&amp;"")))</f>
        <v>Быт</v>
      </c>
      <c r="EQ48" s="6" t="str">
        <f t="shared" si="55"/>
        <v>Быт</v>
      </c>
      <c r="ER48" s="6">
        <f>IF(EQ48="Щит","щит",IF(EQ48="","",IF(EQ48="Быт",IFERROR(_xlfn.XLOOKUP(A48,Щиты[Щит],Щиты[Кс быт]),1),IF(EQ48="Сил",IF(ISNUMBER(Y48),Y48,IF(Методика="нормы 2026",IFERROR(_xlfn.XLOOKUP(A48,Щиты[Щит],Щиты[Кс силовых (табл. 7.5)]),1),1)),IF(OR(EQ48="Пост",EQ48="Отоп"),1,IF(EQ48="ВНГ",0.7,0))))))</f>
        <v>0.8</v>
      </c>
      <c r="ES48">
        <f t="shared" si="56"/>
        <v>1</v>
      </c>
      <c r="ET48">
        <f t="shared" si="57"/>
        <v>0.1</v>
      </c>
      <c r="EU48">
        <f t="shared" si="58"/>
        <v>0.1</v>
      </c>
      <c r="EV48">
        <f t="shared" si="59"/>
        <v>0</v>
      </c>
      <c r="EW48">
        <f t="shared" si="60"/>
        <v>0</v>
      </c>
      <c r="EX48">
        <f t="shared" si="61"/>
        <v>0</v>
      </c>
      <c r="EY48">
        <f t="shared" si="62"/>
        <v>0</v>
      </c>
      <c r="EZ48">
        <f t="shared" si="63"/>
        <v>0.1</v>
      </c>
      <c r="FA48">
        <f t="shared" si="64"/>
        <v>9.5000000000000001E-2</v>
      </c>
      <c r="FB48">
        <f t="shared" si="65"/>
        <v>0.1</v>
      </c>
      <c r="FC48" t="str">
        <f t="shared" si="66"/>
        <v/>
      </c>
      <c r="FD48" t="str">
        <f>IF(B48="","",IF(CA48=0,IF(AW48=1,"",FF47),IF(OR(N(CV48)&gt;=3,N(BR48)&gt;=3),"L1,L2,L3",IFERROR(_xlfn.TEXTBEFORE(_xlfn.TEXTAFTER(_xlfn.XLOOKUP(A48,Щиты[Щит],Щиты[_фазы авто]),";"&amp;AW48&amp;":"),";"),"L1"))))</f>
        <v>L2</v>
      </c>
      <c r="FE48" t="str">
        <f t="shared" si="67"/>
        <v>L2</v>
      </c>
      <c r="FF48" t="str">
        <f t="shared" si="68"/>
        <v>L2</v>
      </c>
      <c r="FG48" cm="1">
        <f t="array" ref="FG48">IFERROR(IF(BX48=2,_xlfn.IFS(BR48=3,VLOOKUP(BN48,Справочная_двигатели,3,FALSE),BR48=1,VLOOKUP(BN48,Справочная_двигатели,5,TRUE)),0),0)</f>
        <v>0</v>
      </c>
      <c r="FH48">
        <f>IFERROR(IF(BX48=3,VLOOKUP(BN48,Справочная_ЛЭД,2,TRUE),0),0)</f>
        <v>50</v>
      </c>
      <c r="FI48" s="6">
        <f t="shared" si="69"/>
        <v>50</v>
      </c>
      <c r="FJ48" t="str" cm="1">
        <f t="array" ref="FJ48">IF(B48="","",IFERROR(INDEX({"I особая","I","II","III"},MATCH(TRIM(AC48&amp;""),{"I особая","I","II","III"},0)),"III"))</f>
        <v>III</v>
      </c>
      <c r="FK48" t="str">
        <f>IF(B48="","",IF(TRIM(AD48&amp;"")&lt;&gt;"",IF(LOWER(TRIM(AD48&amp;""))="да","да","нет"),IF(IFERROR(_xlfn.XLOOKUP(AX48,Коды_код,Коды_пожарная),"")="да","да","нет")))</f>
        <v>нет</v>
      </c>
      <c r="FL48" t="str">
        <f t="shared" si="70"/>
        <v/>
      </c>
      <c r="FM48" t="str">
        <f t="shared" si="71"/>
        <v>основная</v>
      </c>
      <c r="FN48">
        <f t="shared" si="72"/>
        <v>1</v>
      </c>
      <c r="FO48" t="str" cm="1">
        <f t="array" ref="FO48">IF(B48="","",_xlfn.LET(_xlpm.t,IFERROR(_xlfn.XLOOKUP(1,(Шины[Шина]=FM48)*(((Шины[Щит]=A48)+(Шины[Щит]=""))&gt;0),Шины[Тип]),"")&amp;"",IF(_xlpm.t&lt;&gt;"",_xlpm.t,IF(ISNUMBER(SEARCH("ИБП",FM48)),"ИБП",IF(ISNUMBER(SEARCH("ДГУ",FM48)),"ДГУ","Ввод "&amp;FN48)))))</f>
        <v>Ввод 1</v>
      </c>
      <c r="FP48" t="str">
        <f t="shared" si="73"/>
        <v>Ввод 1</v>
      </c>
      <c r="FQ48" t="str">
        <f>IF(B48="","",IF(OR(FO48="ИБП",FO48="ДГУ"),"I особая",IF(FO48="Одиночная","III",_xlfn.XLOOKUP(A48,Щиты[Щит],Щиты[Категория шины «Ввод»],"III"))))</f>
        <v>II</v>
      </c>
      <c r="FR48">
        <f>IF(B48="",0,IFERROR(MATCH(FJ48,{"III","II","I","I особая"},0),1))</f>
        <v>1</v>
      </c>
      <c r="FS48">
        <f t="shared" si="74"/>
        <v>1</v>
      </c>
      <c r="FT48" t="str">
        <f>IF(B48="","",IF(FR48&gt;IFERROR(MATCH(FQ48,{"III","II","I","I особая"},0),1),"НЕ ОБЕСПЕЧЕНА","ОК"))</f>
        <v>ОК</v>
      </c>
      <c r="FU48" t="str">
        <f>IF(A48="","",_xlfn.XLOOKUP(A48,Щиты[Щит],Щиты[Путь],""))</f>
        <v>|ГРЩ-ЖД|ЩГП|ЩО-001|</v>
      </c>
      <c r="FV48" t="str">
        <f>IF(B48="","",IF(AE48&lt;&gt;"",AE48,IF(IFERROR(_xlfn.XLOOKUP(AX48,Коды_код,Коды_вид)&amp;"","")="","Прочее",_xlfn.XLOOKUP(AX48,Коды_код,Коды_вид)&amp;"")))</f>
        <v>Рабочее освещение</v>
      </c>
      <c r="FW48" t="str">
        <f>IF(BH48="","",INT((BH48-1)/Столбцов_на_лист)+1)</f>
        <v/>
      </c>
      <c r="FX48" t="str">
        <f t="shared" si="75"/>
        <v>ВВГнг(А)-LS (3х1,5) L=63-0,36%</v>
      </c>
      <c r="FY48">
        <f t="shared" si="76"/>
        <v>0.1</v>
      </c>
      <c r="FZ48">
        <f t="shared" si="77"/>
        <v>0.46</v>
      </c>
      <c r="GA48">
        <f t="shared" si="78"/>
        <v>1</v>
      </c>
      <c r="GB48">
        <f t="shared" si="79"/>
        <v>0</v>
      </c>
      <c r="GC48">
        <f t="shared" si="80"/>
        <v>0</v>
      </c>
      <c r="GD48" t="str">
        <f>IF(BH48="","",IF(AND(CA48=1,GC48=1),COUNTIFS(A$3:A48,A48,CA$3:CA48,1,GC$3:GC48,1),IF(OR(OR(AW48=1,A48&lt;&gt;A47),AF48="вручную",GC48=0),"",IF(AW48=1,"",GE47))))</f>
        <v/>
      </c>
      <c r="GE48" t="str">
        <f t="shared" si="81"/>
        <v/>
      </c>
      <c r="GF48">
        <f>IF(B48="","",IFERROR(LOOKUP(INDEX(CHOOSE(DL48,Iдоп_1ж,Iдоп_2ж,Iдоп_3ж),MATCH(DX48,Iдоп_S,0))*DJ48*DK48,{6,10,16,20,25,32,40,50,63,80,100,125,160,200,250,315,400,500,630}),""))</f>
        <v>16</v>
      </c>
      <c r="GG48" t="str">
        <f t="shared" si="82"/>
        <v/>
      </c>
      <c r="GH48" t="str">
        <f t="shared" si="83"/>
        <v/>
      </c>
      <c r="GI48" t="str">
        <f t="shared" si="84"/>
        <v/>
      </c>
      <c r="GJ48">
        <f t="shared" si="85"/>
        <v>0</v>
      </c>
      <c r="GK48" t="str">
        <f>IF(OR(AG48="",AG48="-"),"",IFERROR(VLOOKUP(AG48,Модули_спр,2,FALSE),"R"))</f>
        <v/>
      </c>
      <c r="GL48" t="str">
        <f>IF(GK48="","",GK48&amp;"."&amp;COUNTIFS(A$3:A48,A48,GK$3:GK48,GK48))</f>
        <v/>
      </c>
      <c r="GM48" t="str">
        <f t="shared" si="86"/>
        <v/>
      </c>
      <c r="GN48" t="str">
        <f t="shared" si="87"/>
        <v/>
      </c>
      <c r="GO48" t="str">
        <f t="shared" si="88"/>
        <v/>
      </c>
      <c r="GP48" t="str">
        <f t="shared" si="89"/>
        <v/>
      </c>
      <c r="GQ48">
        <f t="shared" si="90"/>
        <v>1</v>
      </c>
      <c r="GR48" t="str">
        <f>IF(GQ48=1,"XT"&amp;COUNTIFS(A$3:A48,A48,GQ$3:GQ48,1),"")</f>
        <v>XT17</v>
      </c>
      <c r="GS48" t="str">
        <f t="shared" si="91"/>
        <v>XT17</v>
      </c>
      <c r="GT48" t="str">
        <f t="shared" si="92"/>
        <v/>
      </c>
      <c r="GU48" t="str">
        <f t="shared" si="93"/>
        <v/>
      </c>
      <c r="GV48" t="str">
        <f t="shared" si="94"/>
        <v>ok</v>
      </c>
      <c r="GW48" t="str">
        <f>IF(OR(GO48="",GM48=""),"",IF(GO48&gt;IFERROR(VLOOKUP(GN48,Модули_спр,3,FALSE),99),"ЛИШНИЙ КАНАЛ",IF(AND(AH48&lt;&gt;"=",COUNTIFS(Линии[_модуль гр.],GM48,Линии[Канал (итог)],GO48,Линии[Канал],"&lt;&gt;=",Линии[Щит],A48)&gt;1),"ДУБЛЬ КАНАЛА","")))</f>
        <v/>
      </c>
      <c r="GX48" s="6" t="str">
        <f t="shared" si="95"/>
        <v/>
      </c>
      <c r="GY48">
        <f t="shared" si="96"/>
        <v>10</v>
      </c>
      <c r="GZ48" t="str">
        <f t="shared" si="97"/>
        <v/>
      </c>
      <c r="HA48" t="str">
        <f>IF(AND(B48="",GT48=""),"",_xlfn.TEXTJOIN("; ",TRUE,IF(AND(B48&lt;&gt;"",FE48=""),"нет фазы",""),IF(AND(B48&lt;&gt;"",N(FY48)=0,EQ48&lt;&gt;"Нет"),"нет мощности",""),IF(AND(GS48&lt;&gt;"",COUNTIFS(Линии[Щит],A48,Линии[Клемма (итог)],GS48)&gt;1),"дубль клеммы "&amp;GS48,""),IF(AND(GV48&lt;&gt;"",GV48&lt;&gt;"ok"),GV48,""),IF(GW48&lt;&gt;"",GW48,""),IF(AND(N(BV48)&gt;=4,N(BR48)=1),BV48&amp;" жил на 1 фазе",""),IF(AND(AX48="R",CA48=1,OR(N(CK48)=0,N(CK48)&gt;30)),"розетка без дифзащиты до 30 мА",""),IFERROR(IF(AND(ISNUMBER(R48),R48&gt;DV48),"потери "&amp;FIXED(R48,1)&amp;" % &gt; "&amp;DV48&amp;" %",""),""),IFERROR(IF(LEFT(GZ48,4)="мало","Iкз мало — отключение &gt; 0,4 с",""),""),IF(AND(B48&lt;&gt;"",BH48=""),"не на схеме",""),IF(AND(CA48=0,B48&lt;&gt;"",FE48&lt;&gt;"",IF(AW48=1,"",FF47)&lt;&gt;"",FE48&lt;&gt;IF(AW48=1,"",FF47)),"фаза не как у автомата группы ("&amp;IF(AW48=1,"",FF47)&amp;")","")))</f>
        <v>не на схеме</v>
      </c>
      <c r="HB48" s="6">
        <f>IF(OR(CA48=0,DA48=""),"",_xlfn.LET(_xlpm.t,IFERROR(_xlfn.XLOOKUP(DA48,Каталог!$U$4:$U$500,Каталог!$G$4:$G$500),""),_xlpm.k,SEARCH("кА",_xlpm.t),IFERROR(--TRIM(RIGHT(SUBSTITUTE(MID(_xlpm.t,MAX(1,_xlpm.k-4),_xlpm.k-MAX(1,_xlpm.k-4))," ",REPT(" ",9)),5)),"")))</f>
        <v>6</v>
      </c>
      <c r="HC48" t="str">
        <f>IF(OR(HB48="",CA48=0),"",IF(_xlfn.XLOOKUP(A48,Щиты[Щит],Щиты[Iкз max на шинах, кА],"")="","",IF(HB48&lt;_xlfn.XLOOKUP(A48,Щиты[Щит],Щиты[Iкз max на шинах, кА]),"Icu "&amp;HB48&amp;" кА &lt; Iкз max","ok")))</f>
        <v/>
      </c>
      <c r="HD48" t="str">
        <f t="shared" si="98"/>
        <v/>
      </c>
      <c r="HE48" t="str">
        <f t="shared" si="99"/>
        <v/>
      </c>
      <c r="HF48" t="str">
        <f t="shared" si="100"/>
        <v/>
      </c>
      <c r="HG48" t="str" cm="1">
        <f t="array" ref="HG48">IF(HF48="","",_xlfn.LET(_xlpm.nd,_xlfn.TEXTSPLIT(HF48,"|"),IF(COLUMNS(_xlpm.nd)&gt;1,A48&amp;"¦"&amp;INDEX(_xlpm.nd,1)&amp;"¦"&amp;INDEX(_xlpm.nd,2),"")))</f>
        <v/>
      </c>
      <c r="HH48" t="str">
        <f t="shared" si="101"/>
        <v/>
      </c>
      <c r="HI48" t="str" cm="1">
        <f t="array" ref="HI48">IF(HF48="","",_xlfn.LET(_xlpm.nd,_xlfn.TEXTSPLIT(HF48,"|"),IF(COLUMNS(_xlpm.nd)&gt;2,A48&amp;"¦"&amp;INDEX(_xlpm.nd,2)&amp;"¦"&amp;INDEX(_xlpm.nd,3),"")))</f>
        <v/>
      </c>
      <c r="HJ48" t="str">
        <f t="shared" si="102"/>
        <v/>
      </c>
      <c r="HK48" t="str" cm="1">
        <f t="array" ref="HK48">IF(HF48="","",_xlfn.LET(_xlpm.nd,_xlfn.TEXTSPLIT(HF48,"|"),IF(COLUMNS(_xlpm.nd)&gt;3,A48&amp;"¦"&amp;INDEX(_xlpm.nd,3)&amp;"¦"&amp;INDEX(_xlpm.nd,4),"")))</f>
        <v/>
      </c>
      <c r="HL48" t="str">
        <f t="shared" si="103"/>
        <v/>
      </c>
      <c r="HM48" t="str" cm="1">
        <f t="array" ref="HM48">IF(HF48="","",_xlfn.LET(_xlpm.nd,_xlfn.TEXTSPLIT(HF48,"|"),IF(COLUMNS(_xlpm.nd)&gt;4,A48&amp;"¦"&amp;INDEX(_xlpm.nd,4)&amp;"¦"&amp;INDEX(_xlpm.nd,5),"")))</f>
        <v/>
      </c>
      <c r="HN48" t="str">
        <f t="shared" si="104"/>
        <v/>
      </c>
      <c r="HO48" t="str" cm="1">
        <f t="array" ref="HO48">IF(HF48="","",_xlfn.LET(_xlpm.nd,_xlfn.TEXTSPLIT(HF48,"|"),IF(COLUMNS(_xlpm.nd)&gt;5,A48&amp;"¦"&amp;INDEX(_xlpm.nd,5)&amp;"¦"&amp;INDEX(_xlpm.nd,6),"")))</f>
        <v/>
      </c>
      <c r="HP48" t="str">
        <f t="shared" si="105"/>
        <v/>
      </c>
      <c r="HQ48" t="str" cm="1">
        <f t="array" ref="HQ48">IF(HF48="","",_xlfn.LET(_xlpm.nd,_xlfn.TEXTSPLIT(HF48,"|"),IF(COLUMNS(_xlpm.nd)&gt;6,A48&amp;"¦"&amp;INDEX(_xlpm.nd,6)&amp;"¦"&amp;INDEX(_xlpm.nd,7),"")))</f>
        <v/>
      </c>
      <c r="HR48" t="str">
        <f t="shared" si="106"/>
        <v/>
      </c>
      <c r="HS48" t="str">
        <f t="shared" si="107"/>
        <v/>
      </c>
      <c r="HT48" t="str">
        <f t="shared" si="108"/>
        <v>XT17</v>
      </c>
      <c r="HU48">
        <f t="shared" si="109"/>
        <v>0</v>
      </c>
      <c r="HV48">
        <f t="shared" si="110"/>
        <v>0</v>
      </c>
      <c r="HW48" t="str">
        <f t="shared" si="111"/>
        <v/>
      </c>
      <c r="HX48" t="str">
        <f t="shared" si="112"/>
        <v/>
      </c>
      <c r="HY48" t="str">
        <f t="shared" si="113"/>
        <v/>
      </c>
      <c r="HZ48" t="str">
        <f t="shared" si="114"/>
        <v/>
      </c>
      <c r="IA48" t="str">
        <f>IF(B48="","",IFERROR(VLOOKUP(B48,УГО_спр,2,FALSE),IFERROR(VLOOKUP(AX48,УГО_спр,2,FALSE),IFERROR(VLOOKUP(LEFT(AX48,2),УГО_спр,2,FALSE),""))))</f>
        <v>Светильник</v>
      </c>
      <c r="IB48" t="str">
        <f>IF(B48="","",IF(OR(IA48="",IA48=0),"BOX",IFERROR(IF(VLOOKUP(IA48,УГО_блоки,3,FALSE)&amp;""&lt;&gt;"",VLOOKUP(IA48,УГО_блоки,3,FALSE),VLOOKUP(IA48,УГО_блоки,2,FALSE)),IA48)))</f>
        <v>LAMP</v>
      </c>
      <c r="IC48">
        <f t="shared" si="115"/>
        <v>1</v>
      </c>
      <c r="ID48" t="str">
        <f>IF(DA48="","",IF(COUNTIF(DA$3:DA48,DA48)=1,MAX(ID$2:ID47)+1,""))</f>
        <v/>
      </c>
      <c r="IE48" t="str">
        <f>IF(CO48="","",IF(COUNTIF(CO$3:CO48,CO48)+COUNTIF(CP$2:CP47,CO48)+COUNTIF(CQ$2:CQ47,CO48)=1,MAX(IE$2:IG47)+1,""))</f>
        <v/>
      </c>
      <c r="IF48" t="str">
        <f>IF(CP48="","",IF(COUNTIF(CO$3:CO48,CP48)+COUNTIF(CP$3:CP48,CP48)+COUNTIF(CQ$2:CQ47,CP48)=1,MAX(IE$2:IG47,IE48)+1,""))</f>
        <v/>
      </c>
      <c r="IG48" t="str">
        <f>IF(CQ48="","",IF(COUNTIF(CO$3:CO48,CQ48)+COUNTIF(CP$3:CP48,CQ48)+COUNTIF(CQ$3:CQ48,CQ48)=1,MAX(IE$2:IG47,IE48,IF48)+1,""))</f>
        <v/>
      </c>
      <c r="IH48" t="str">
        <f t="shared" si="116"/>
        <v>3х1,5</v>
      </c>
      <c r="II48" t="str">
        <f>IF(IH48="","",IF(COUNTIF(IH$3:IH48,IH48)=1,MAX(II$2:II47)+1,""))</f>
        <v/>
      </c>
      <c r="IJ48" t="str">
        <f>IF(GL48="","",COUNTIF(GL$3:GL48,"?*"))</f>
        <v/>
      </c>
      <c r="IK48" t="str">
        <f>IF(OR(GL48="",GN48=""),"",IF(COUNTIFS(GL$3:GL48,"?*",GN$3:GN48,GN48)=1,MAX(IK$2:IK47)+1,""))</f>
        <v/>
      </c>
      <c r="IL48">
        <f t="shared" si="117"/>
        <v>1</v>
      </c>
      <c r="IM48">
        <f>IF(B48="","",COUNTIF(B$3:B48,"?*"))</f>
        <v>46</v>
      </c>
      <c r="IN48">
        <f>IF(GQ48&lt;&gt;1,0,_xlfn.LET(_xlpm.k,MAX(IFERROR(--VLOOKUP(B48,УГО_спр,5,FALSE),0),IFERROR(--VLOOKUP(AX48,УГО_спр,5,FALSE),0),IFERROR(--VLOOKUP(LEFT(AX48,2),УГО_спр,5,FALSE),0)),IF(_xlpm.k&gt;0,_xlpm.k,IF(IFERROR(--LEFT(SUBSTITUTE(IH48,"x","х"),FIND("х",SUBSTITUTE(IH48,"x","х"))-1),3)&gt;3,Каталог!$S$9,1))))</f>
        <v>1</v>
      </c>
      <c r="IO48">
        <f t="shared" si="118"/>
        <v>0</v>
      </c>
      <c r="IP48" t="str">
        <f t="shared" si="119"/>
        <v>авто</v>
      </c>
      <c r="IQ48" t="str">
        <f t="shared" si="120"/>
        <v/>
      </c>
      <c r="IR48">
        <f t="shared" si="121"/>
        <v>0</v>
      </c>
      <c r="IS48">
        <f t="shared" si="122"/>
        <v>1</v>
      </c>
    </row>
    <row r="49" spans="1:253" x14ac:dyDescent="0.3">
      <c r="A49" t="s">
        <v>1104</v>
      </c>
      <c r="B49" t="s">
        <v>1322</v>
      </c>
      <c r="C49" t="str">
        <f>Линии[[#This Row],[_авто наименование]]</f>
        <v>Осветительная группа, пом. 009Б</v>
      </c>
      <c r="D49">
        <v>3</v>
      </c>
      <c r="E49">
        <v>0.1</v>
      </c>
      <c r="G49" t="str">
        <f>Линии[[#This Row],[_авто автомат]]</f>
        <v>1P С10А</v>
      </c>
      <c r="H49" t="str">
        <f>Линии[[#This Row],[_авто утечка]]</f>
        <v/>
      </c>
      <c r="I49" t="str">
        <f>Линии[[#This Row],[_авто управление]]</f>
        <v/>
      </c>
      <c r="J49" t="str">
        <f>Линии[[#This Row],[_авто аппараты]]</f>
        <v/>
      </c>
      <c r="K49">
        <v>1.5</v>
      </c>
      <c r="L49">
        <v>28</v>
      </c>
      <c r="M49" t="str">
        <f>Линии[[#This Row],[_авто фаза]]</f>
        <v>L3</v>
      </c>
      <c r="N49" t="str">
        <f>Линии[[#This Row],[_авто клемма]]</f>
        <v>XT18</v>
      </c>
      <c r="O49" t="str">
        <f t="shared" si="0"/>
        <v>не на схеме</v>
      </c>
      <c r="P49" s="6" cm="1">
        <f t="array" ref="P49">IF(B49="","",IF(BC49&lt;&gt;"",IFERROR(_xlfn.XLOOKUP(BC49,Щиты[Щит],Щиты[Iр, А]),""),IF(BK49=1,IFERROR(_xlfn.XLOOKUP(A49,Щиты[Щит],Щиты[Iр, А]),""),IFERROR(_xlfn.IFS(BR49=1,BN49/((Uн_лин/SQRT(3))*BY49),BR49=3,BN49/(SQRT(3)*Uн_лин*BY49)),""))))</f>
        <v>0.455802844097073</v>
      </c>
      <c r="Q49" s="7">
        <f>IF(B49="","",IFERROR(IF(VLOOKUP(AX49,Потребители_обозначение,4,FALSE)=1,VLOOKUP(AX49,Потребители_обозначение,3,FALSE)*(D49*2-1)+DS49+VLOOKUP(AZ49,Этаж_обозначение,3,FALSE)+VLOOKUP(AZ49,Этаж_обозначение,4,FALSE),VLOOKUP(AX49,Потребители_обозначение,3,FALSE)*(D49*2-1)+DS49),DS49))</f>
        <v>33</v>
      </c>
      <c r="R49" s="6">
        <f t="shared" si="1"/>
        <v>0.36</v>
      </c>
      <c r="S49" t="str">
        <f t="shared" si="2"/>
        <v>ВВГнг(А)-LS (3х1,5)</v>
      </c>
      <c r="T49" t="str">
        <f>IF(BH49="","",IF(BI49="вводной узел","узел ","")&amp;"л."&amp;(INT((BH49-1)/Столбцов_на_лист)+1)&amp;" / "&amp;(MOD(BH49-1,Столбцов_на_лист)+1))</f>
        <v/>
      </c>
      <c r="V49">
        <v>1</v>
      </c>
      <c r="W49">
        <v>230</v>
      </c>
      <c r="X49" t="s">
        <v>564</v>
      </c>
      <c r="AE49" t="s">
        <v>557</v>
      </c>
      <c r="AI49" t="s">
        <v>529</v>
      </c>
      <c r="AJ49" t="s">
        <v>11</v>
      </c>
      <c r="AK49">
        <v>3</v>
      </c>
      <c r="AM49">
        <v>6</v>
      </c>
      <c r="AN49">
        <v>0</v>
      </c>
      <c r="AO49">
        <v>31</v>
      </c>
      <c r="AW49" cm="1">
        <f t="array" ref="AW49">ROW()-ROW(Линии[#Headers])</f>
        <v>47</v>
      </c>
      <c r="AX49" s="6" t="str">
        <f t="shared" si="3"/>
        <v>L</v>
      </c>
      <c r="AY49" t="str">
        <f t="shared" si="4"/>
        <v>00.009Б.1</v>
      </c>
      <c r="AZ49" t="str">
        <f t="shared" si="5"/>
        <v>00</v>
      </c>
      <c r="BA49" t="str">
        <f t="shared" si="6"/>
        <v>009Б.1</v>
      </c>
      <c r="BB49" t="str">
        <f t="shared" si="7"/>
        <v>009Б</v>
      </c>
      <c r="BC49" t="str">
        <f>IF(U49&lt;&gt;"",U49,IF(AND(B49&lt;&gt;"",B49&lt;&gt;A49,ISNUMBER(_xlfn.XMATCH(B49,Щиты[Щит]))),B49,""))</f>
        <v/>
      </c>
      <c r="BD49" t="str" cm="1">
        <f t="array" ref="BD49">IF(B49="","",IF(BC49&lt;&gt;"","Щит "&amp;BC49,_xlfn.LET(_xlpm.nm,IFERROR(_xlfn.XLOOKUP(AX49,Коды_код,Коды_имя)&amp;"",""),_xlpm.md,IFERROR(N(_xlfn.XLOOKUP(AX49,Коды_код,Коды_режим)),1),_xlpm.ex,IF(Имя_режим="по экспликации",IFERROR(_xlfn.XLOOKUP(AZ49&amp;"|"&amp;BB49,Экспликация[Этаж]&amp;"|"&amp;Экспликация[Помещение],Экспликация[Название])&amp;"",""),""),_xlpm.rm,IF(BB49="","",IF(_xlpm.ex&lt;&gt;"",". "&amp;_xlpm.ex&amp;IF(Имя_пом="нет"," ("&amp;BB49&amp;")"," (пом. "&amp;BB49&amp;")"),IF(Имя_пом="нет"," ",", пом. ")&amp;BB49)),IF(_xlpm.nm="","",IF(_xlpm.md=2,_xlpm.nm&amp;" шлейф "&amp;AZ49,_xlpm.nm&amp;_xlpm.rm)))))</f>
        <v>Осветительная группа, пом. 009Б</v>
      </c>
      <c r="BE49" t="str">
        <f t="shared" si="8"/>
        <v>Осветительная группа, пом. 009Б</v>
      </c>
      <c r="BF49">
        <f>IFERROR(_xlfn.XMATCH(A49,Щиты[Щит]),0)</f>
        <v>3</v>
      </c>
      <c r="BG49">
        <f>_xlfn.LET(_xlpm.k,IFERROR(_xlfn.XLOOKUP(A49,Щиты[Щит],Щиты[Листов под вводной узел]),""),IF(_xlpm.k="",1,N(_xlpm.k))*Столбцов_на_лист)</f>
        <v>17</v>
      </c>
      <c r="BH49" t="str">
        <f t="shared" si="9"/>
        <v/>
      </c>
      <c r="BI49" t="str">
        <f t="shared" si="10"/>
        <v/>
      </c>
      <c r="BJ49" s="6">
        <f>IFERROR(N(_xlfn.XLOOKUP(AX49,Коды_код,Коды_квт)),0)</f>
        <v>0</v>
      </c>
      <c r="BK49">
        <f t="shared" si="11"/>
        <v>0</v>
      </c>
      <c r="BL49" t="str">
        <f>IF(B49="","",IF(BC49&lt;&gt;"",IFERROR(_xlfn.XLOOKUP(BC49,Щиты[Щит],Щиты[Руст, кВт]),0),IF(BK49=1,IFERROR(_xlfn.XLOOKUP(A49,Щиты[Щит],Щиты[Руст, кВт]),0),IF(BJ49&gt;0,ROUND(BJ49*MAX(1,N(D49)),3),""))))</f>
        <v/>
      </c>
      <c r="BM49">
        <f t="shared" si="12"/>
        <v>0.1</v>
      </c>
      <c r="BN49" s="6">
        <f>IF(B49="","",IF(BC49&lt;&gt;"",IFERROR(_xlfn.XLOOKUP(BC49,Щиты[Щит],Щиты[Руст, кВт]),0),N(BM49)))</f>
        <v>0.1</v>
      </c>
      <c r="BO49" t="str">
        <f>IF(B49="","",IFERROR(IF(VLOOKUP(AX49,Потребители_обозначение,8,FALSE)=0,"",VLOOKUP(AX49,Потребители_обозначение,8,FALSE)),""))</f>
        <v/>
      </c>
      <c r="BP49">
        <f t="shared" si="13"/>
        <v>230</v>
      </c>
      <c r="BQ49">
        <f>IF(B49="","",IF(BC49&lt;&gt;"",3,IFERROR(IF(N(VLOOKUP(AX49,Потребители_обозначение,9,FALSE))=0,1,VLOOKUP(AX49,Потребители_обозначение,9,FALSE)),1)))</f>
        <v>1</v>
      </c>
      <c r="BR49">
        <f t="shared" si="14"/>
        <v>1</v>
      </c>
      <c r="BS49" t="str">
        <f>IF(B49="","",_xlfn.LET(_xlpm.bc,IFERROR(IF(VLOOKUP(AX49,Потребители_обозначение,6,FALSE)=0,"",VLOOKUP(AX49,Потребители_обозначение,6,FALSE)&amp;""),""),IF(AND(FK49="да",OR(_xlpm.bc="",_xlpm.bc="мс")),Марка_пож,IF(AND(_xlpm.bc="",BC49&lt;&gt;""),"мс",_xlpm.bc))))</f>
        <v/>
      </c>
      <c r="BT49" t="str">
        <f t="shared" si="15"/>
        <v>мс</v>
      </c>
      <c r="BU49">
        <f>IF(B49="","",_xlfn.LET(_xlpm.cc,IFERROR(N(VLOOKUP(AX49,Потребители_обозначение,7,FALSE)),0),IF(_xlpm.cc&gt;0,_xlpm.cc,IF(BT49="","",IF(N(BR49)=3,5,3)))))</f>
        <v>3</v>
      </c>
      <c r="BV49">
        <f t="shared" si="16"/>
        <v>3</v>
      </c>
      <c r="BW49">
        <f>IFERROR(N(VLOOKUP(AX49,Потребители_обозначение,10,FALSE)),0)</f>
        <v>0</v>
      </c>
      <c r="BX49">
        <f>IFERROR(VLOOKUP(AX49,Потребители_обозначение,5,FALSE),0)</f>
        <v>3</v>
      </c>
      <c r="BY49" s="6" cm="1">
        <f t="array" ref="BY49">IF(B49="","",IF(BC49&lt;&gt;"",IFERROR(_xlfn.XLOOKUP(BC49,Щиты[Щит],Щиты[cos φ]),0.95),IF(BK49=1,IFERROR(_xlfn.XLOOKUP(A49,Щиты[Щит],Щиты[cos φ]),0.95),IF(ISNUMBER(Z49),Z49,IFERROR(IF(BX49=2,_xlfn.IFS(BR49=3,VLOOKUP(BN49,Справочная_двигатели,8,FALSE),BR49=1,VLOOKUP(BN49,Справочная_двигатели,10,TRUE)),IF(AND(Методика="нормы 2026",EQ49="Сил"),0.8,0.95)),0.95)))))</f>
        <v>0.95</v>
      </c>
      <c r="BZ49">
        <f t="shared" si="17"/>
        <v>0</v>
      </c>
      <c r="CA49">
        <f t="shared" si="18"/>
        <v>1</v>
      </c>
      <c r="CB49">
        <f t="shared" si="19"/>
        <v>0</v>
      </c>
      <c r="CC49">
        <f t="shared" si="20"/>
        <v>0</v>
      </c>
      <c r="CD49">
        <f t="shared" si="21"/>
        <v>0</v>
      </c>
      <c r="CE49">
        <f t="shared" si="22"/>
        <v>0</v>
      </c>
      <c r="CF49">
        <f t="shared" si="23"/>
        <v>0</v>
      </c>
      <c r="CG49">
        <f>IF(AX49="",0,_xlfn.LET(_xlpm.v,IFERROR(VLOOKUP(B49,УГО_спр,3,FALSE),IFERROR(VLOOKUP(AX49,УГО_спр,3,FALSE),IFERROR(VLOOKUP(LEFT(AX49,2),УГО_спр,3,FALSE),""))),IF(_xlpm.v="да",30,IF(ISNUMBER(_xlpm.v),_xlpm.v,0))))</f>
        <v>0</v>
      </c>
      <c r="CH49" t="str">
        <f t="shared" si="24"/>
        <v/>
      </c>
      <c r="CI49" t="str">
        <f>_xlfn.LET(_xlpm.k,IFERROR(_xlfn.XLOOKUP(AX49,Коды_код,Коды_утечка)&amp;"",""),IF(_xlpm.k="","дифавтомат",_xlpm.k))</f>
        <v>дифавтомат</v>
      </c>
      <c r="CJ49">
        <f t="shared" si="25"/>
        <v>0</v>
      </c>
      <c r="CK49">
        <f t="shared" si="26"/>
        <v>0</v>
      </c>
      <c r="CL49">
        <f>IF(B49="",0,IFERROR(--VLOOKUP(B49,УГО_спр,4,FALSE),IFERROR(--VLOOKUP(AX49,УГО_спр,4,FALSE),IFERROR(--VLOOKUP(LEFT(AX49,2),УГО_спр,4,FALSE),0))))</f>
        <v>10</v>
      </c>
      <c r="CM49" t="str">
        <f>IF(B49="","",IFERROR(_xlfn.XLOOKUP(AX49,Коды_код,Коды_апп)&amp;"",""))</f>
        <v/>
      </c>
      <c r="CN49" t="str">
        <f t="shared" si="27"/>
        <v/>
      </c>
      <c r="CO49" t="str" cm="1">
        <f t="array" ref="CO49">IF(TRIM(CN49&amp;"")="","",IFERROR(TRIM(INDEX(_xlfn.TEXTSPLIT(CN49&amp;";;;",";"),1)),""))</f>
        <v/>
      </c>
      <c r="CP49" t="str" cm="1">
        <f t="array" ref="CP49">IF(TRIM(CN49&amp;"")="","",IFERROR(TRIM(INDEX(_xlfn.TEXTSPLIT(CN49&amp;";;;",";"),2)),""))</f>
        <v/>
      </c>
      <c r="CQ49" t="str" cm="1">
        <f t="array" ref="CQ49">IF(TRIM(CN49&amp;"")="","",IFERROR(TRIM(INDEX(_xlfn.TEXTSPLIT(CN49&amp;";;;",";"),3)),""))</f>
        <v/>
      </c>
      <c r="CR49">
        <f t="shared" si="28"/>
        <v>0</v>
      </c>
      <c r="CS49" t="str">
        <f>IF(B49="","",_xlfn.LET(_xlpm.t,LOWER(AV49&amp;""),IF(ISNUMBER(SEARCH("dim",_xlpm.t)),"DIM",IF(ISNUMBER(SEARCH("dali",_xlpm.t)),"DALI",IF(OR(ISNUMBER(SEARCH("relay",_xlpm.t)),ISNUMBER(SEARCH("реле",_xlpm.t))),"Relay",IF(ISNUMBER(SEARCH("кнопк",_xlpm.t)),"",IFERROR(_xlfn.XLOOKUP(AX49,Коды_код,Коды_упр)&amp;"","")))))))</f>
        <v/>
      </c>
      <c r="CT49" t="str">
        <f t="shared" si="29"/>
        <v/>
      </c>
      <c r="CU49">
        <f>IF(B49="","",_xlfn.LET(_xlpm.ig,N(P49)+IF(AF49="вручную",0,N(CB49)),_xlpm.n0,IFERROR(VLOOKUP(_xlpm.ig,Автомат_номиналы,2,TRUE),0),_xlpm.mn,MAX(CL49,IF(AF49="вручную",0,N(CE49))),MAX(_xlpm.n0,_xlpm.mn,IF(CR49=1,Мин_автомат_БП,0))))</f>
        <v>10</v>
      </c>
      <c r="CV49">
        <f t="shared" si="30"/>
        <v>1</v>
      </c>
      <c r="CW49" t="str">
        <f t="shared" si="31"/>
        <v>1P</v>
      </c>
      <c r="CX49" t="str">
        <f>_xlfn.LET(_xlpm.cc,UPPER(TRIM(IFERROR(_xlfn.XLOOKUP(AX49,Коды_код,Коды_хар)&amp;"",""))),IF(OR(_xlpm.cc="B",_xlpm.cc="В"),"B",IF(_xlpm.cc="D","D","С")))</f>
        <v>С</v>
      </c>
      <c r="CY49" t="str">
        <f t="shared" si="32"/>
        <v>1P С10А</v>
      </c>
      <c r="CZ49" t="str">
        <f t="shared" si="33"/>
        <v>1P С10А</v>
      </c>
      <c r="DA49" t="str">
        <f t="shared" si="34"/>
        <v>1P С10А</v>
      </c>
      <c r="DB49" cm="1">
        <f t="array" ref="DB49">IF(DA49="","",_xlfn.LET(_xlpm.t,SUBSTITUTE(SUBSTITUTE(SUBSTITUTE(UPPER(DA49),"С","C"),"А","A"),"В","B"),_xlpm.tk,_xlfn.TEXTSPLIT(_xlpm.t,"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9" t="str">
        <f t="shared" si="35"/>
        <v>ok</v>
      </c>
      <c r="DD49">
        <f t="shared" si="36"/>
        <v>10</v>
      </c>
      <c r="DE49" t="str">
        <f t="shared" si="37"/>
        <v>1P С10А</v>
      </c>
      <c r="DF49">
        <f t="shared" si="38"/>
        <v>0</v>
      </c>
      <c r="DG49">
        <f t="shared" si="39"/>
        <v>0</v>
      </c>
      <c r="DH49">
        <f t="shared" si="40"/>
        <v>0</v>
      </c>
      <c r="DI49">
        <f t="shared" si="41"/>
        <v>0.455802844097073</v>
      </c>
      <c r="DJ49">
        <f t="shared" si="42"/>
        <v>1</v>
      </c>
      <c r="DK49">
        <f>IF(ISNUMBER(AL49),AL49,К_прокл)</f>
        <v>1</v>
      </c>
      <c r="DL49">
        <f t="shared" si="43"/>
        <v>2</v>
      </c>
      <c r="DM49">
        <f>IFERROR(N(VLOOKUP(BT49,Кабель_обозначение,3,FALSE)),1)</f>
        <v>1</v>
      </c>
      <c r="DN49">
        <f>IFERROR(N(_xlfn.XLOOKUP(A49,Щиты[Щит],Щиты[ΔU до шин, %])),0)</f>
        <v>0.17</v>
      </c>
      <c r="DO49" t="str">
        <f>IFERROR(_xlfn.XLOOKUP(A49,Щиты[Щит],Щиты[Zпетли на шинах, Ом]),"")</f>
        <v/>
      </c>
      <c r="DP49">
        <f>IFERROR(N(_xlfn.XLOOKUP(A49,Щиты[Щит],Щиты[ΔU до шин (подбор), %])),0)</f>
        <v>0.65</v>
      </c>
      <c r="DQ49" t="str">
        <f>IFERROR(_xlfn.XLOOKUP(A49,Щиты[Щит],Щиты[Zпетли на шинах (подбор), Ом]),"")</f>
        <v/>
      </c>
      <c r="DR49" t="str">
        <f t="shared" si="44"/>
        <v/>
      </c>
      <c r="DS49">
        <f t="shared" si="45"/>
        <v>28</v>
      </c>
      <c r="DT49">
        <f t="shared" si="46"/>
        <v>2</v>
      </c>
      <c r="DU49">
        <f t="shared" si="47"/>
        <v>0.31</v>
      </c>
      <c r="DV49" s="6">
        <f>IF(B49="","",IF(IFERROR(VLOOKUP(AX49,УГО_спр,2,FALSE),"")="Светильник",3,4)+IF(Методика="нормы 2026",MIN(0.5,MAX(0,N(Q49)-100)*0.005),0))</f>
        <v>3</v>
      </c>
      <c r="DW49" cm="1">
        <f t="array" ref="DW49">IF(OR(B49="",BT49="",DM49&lt;&gt;1),"",_xlfn.LET(_xlpm.sz,Iдоп_S,_xlpm.t_,CHOOSE(DL49,Iдоп_1ж,Iдоп_2ж,Iдоп_3ж)*DJ49*DK49,_xlpm.inn,N(DD49),_xlpm.smin,MAX(1.5,BW49),_xlpm.L_,N(Q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49)*(_xlpm.rho*_xlpm.L_/_xlpm.sz*N(BY49)+_xlpm.xx*_xlpm.L_*N(DU49)/1000)*N(P49)/((Uн_лин/SQRT(3))*1000)*100,999),_xlpm.kz,IF(OR(DG49=1,NOT(ISNUMBER(DQ49)),_xlpm.L_=0,_xlpm.inn=0),1,IFERROR(--(c_min*(Uн_лин*1000/SQRT(3))/(DQ49+2*ρкз_Cu*_xlpm.L_/_xlpm.sz)&gt;=GY49*_xlpm.inn),0)),_xlpm.ok,IFERROR((_xlpm.sz&gt;=_xlpm.smin)*(_xlpm.t_&gt;=_xlpm.inn)*IF(_xlpm.L_&gt;0,(_xlpm.du_+DP49&lt;=DV49+0.00001),1)*_xlpm.kz,0),_xlpm.r_,_xlfn._xlws.FILTER(_xlpm.sz,_xlpm.ok,"не подобрано"),INDEX(_xlpm.r_,1)))</f>
        <v>1.5</v>
      </c>
      <c r="DX49">
        <f t="shared" si="48"/>
        <v>1.5</v>
      </c>
      <c r="DY49" cm="1">
        <f t="array" ref="DY49">IF(OR(B49="",BT49="",DM49&lt;&gt;1),"",_xlfn.LET(_xlpm.sz,Iдоп_S,_xlpm.t_,CHOOSE(DL49,Iдоп_1ж,Iдоп_2ж,Iдоп_3ж)*DJ49*DK49,_xlpm.ok,IFERROR((_xlpm.sz&gt;=MAX(1.5,BW49))*(_xlpm.t_&gt;=N(DD49)),0),_xlpm.r_,_xlfn._xlws.FILTER(_xlpm.sz,_xlpm.ok,""),INDEX(_xlpm.r_,1)))</f>
        <v>1.5</v>
      </c>
      <c r="DZ49" s="6" cm="1">
        <f t="array" ref="DZ49">IFERROR(ROUNDUP(N(DT49)*(_xlfn.XLOOKUP(DY49,INDEX(Кабель_сопротивление,0,1),INDEX(Кабель_сопротивление,0,3))*N(Q49)/DY49*N(BY49)+_xlfn.XLOOKUP(DY49,INDEX(Кабель_сопротивление,0,1),INDEX(Кабель_сопротивление,0,2))*N(Q49)*N(DU49)/1000)*N(P49)/((Uн_лин/SQRT(3))*1000)*100,2),"")</f>
        <v>0.19</v>
      </c>
      <c r="EA49">
        <f>IFERROR(2*ρкз_Cu*N(Q49)/DY49,"")</f>
        <v>1.1572</v>
      </c>
      <c r="EB49">
        <f>IFERROR(VLOOKUP(DX49,Кабель_сопротивление,3,FALSE),"")</f>
        <v>2.2499999999999999E-2</v>
      </c>
      <c r="EC49">
        <f>IFERROR(VLOOKUP(DX49,Кабель_сопротивление,2,FALSE),"")</f>
        <v>0.11</v>
      </c>
      <c r="ED49">
        <f t="shared" si="49"/>
        <v>0</v>
      </c>
      <c r="EE49">
        <f t="shared" si="50"/>
        <v>31</v>
      </c>
      <c r="EF49">
        <f t="shared" si="51"/>
        <v>0.42970840475422195</v>
      </c>
      <c r="EG49" s="6">
        <f>IFERROR(ROUNDUP(EF49/((Uн_лин/SQRT(3))*1000)*100,2),"")</f>
        <v>0.19</v>
      </c>
      <c r="EH49" t="str">
        <f>IFERROR(VLOOKUP(BT49,Кабель_обозначение,2,FALSE),"")</f>
        <v>ВВГнг(А)-LS</v>
      </c>
      <c r="EI49" t="str">
        <f t="shared" si="52"/>
        <v>ВВГнг(А)-LS (3х1,5)</v>
      </c>
      <c r="EJ49" t="str">
        <f t="shared" si="53"/>
        <v>ВВГнг(А)-LS (3х1,5)
L=33-0,19%</v>
      </c>
      <c r="EK49">
        <f>IFERROR(2*ρкз_Cu*Q49/DX49,"")</f>
        <v>1.1572</v>
      </c>
      <c r="EL49">
        <f t="shared" si="54"/>
        <v>0.38500000000000001</v>
      </c>
      <c r="EM49" s="6" t="str">
        <f>IFERROR(IF(OR(B49="",NOT(ISNUMBER(DX49)),N(Q49)=0),"",_xlfn.XLOOKUP(A49,Щиты[Щит],Щиты[Zпетли на шинах, Ом])+EK49),"")</f>
        <v/>
      </c>
      <c r="EN49" s="6" t="str">
        <f>IF(ISNUMBER(EM49),c_min*(Uн_лин*1000/SQRT(3))/EM49,"")</f>
        <v/>
      </c>
      <c r="EO49" s="6" t="str">
        <f>IFERROR(IF(OR(B49="",NOT(ISNUMBER(DX49))),"",1.05*(Uн_лин*1000/SQRT(3))/(_xlfn.XLOOKUP(A49,Щиты[Щит],Щиты[Zmax на шинах, Ом])+EL49)/1000),"")</f>
        <v/>
      </c>
      <c r="EP49" s="6" t="str">
        <f>IF(B49="","",IF(ISNUMBER(Y49),"Сил",IF(IFERROR(_xlfn.XLOOKUP(AX49,Коды_код,Коды_группа)&amp;"","")="","Быт",_xlfn.XLOOKUP(AX49,Коды_код,Коды_группа)&amp;"")))</f>
        <v>Быт</v>
      </c>
      <c r="EQ49" s="6" t="str">
        <f t="shared" si="55"/>
        <v>Быт</v>
      </c>
      <c r="ER49" s="6">
        <f>IF(EQ49="Щит","щит",IF(EQ49="","",IF(EQ49="Быт",IFERROR(_xlfn.XLOOKUP(A49,Щиты[Щит],Щиты[Кс быт]),1),IF(EQ49="Сил",IF(ISNUMBER(Y49),Y49,IF(Методика="нормы 2026",IFERROR(_xlfn.XLOOKUP(A49,Щиты[Щит],Щиты[Кс силовых (табл. 7.5)]),1),1)),IF(OR(EQ49="Пост",EQ49="Отоп"),1,IF(EQ49="ВНГ",0.7,0))))))</f>
        <v>0.8</v>
      </c>
      <c r="ES49">
        <f t="shared" si="56"/>
        <v>1</v>
      </c>
      <c r="ET49">
        <f t="shared" si="57"/>
        <v>0.1</v>
      </c>
      <c r="EU49">
        <f t="shared" si="58"/>
        <v>0.1</v>
      </c>
      <c r="EV49">
        <f t="shared" si="59"/>
        <v>0</v>
      </c>
      <c r="EW49">
        <f t="shared" si="60"/>
        <v>0</v>
      </c>
      <c r="EX49">
        <f t="shared" si="61"/>
        <v>0</v>
      </c>
      <c r="EY49">
        <f t="shared" si="62"/>
        <v>0</v>
      </c>
      <c r="EZ49">
        <f t="shared" si="63"/>
        <v>0.1</v>
      </c>
      <c r="FA49">
        <f t="shared" si="64"/>
        <v>9.5000000000000001E-2</v>
      </c>
      <c r="FB49">
        <f t="shared" si="65"/>
        <v>0.1</v>
      </c>
      <c r="FC49" t="str">
        <f t="shared" si="66"/>
        <v/>
      </c>
      <c r="FD49" t="str">
        <f>IF(B49="","",IF(CA49=0,IF(AW49=1,"",FF48),IF(OR(N(CV49)&gt;=3,N(BR49)&gt;=3),"L1,L2,L3",IFERROR(_xlfn.TEXTBEFORE(_xlfn.TEXTAFTER(_xlfn.XLOOKUP(A49,Щиты[Щит],Щиты[_фазы авто]),";"&amp;AW49&amp;":"),";"),"L1"))))</f>
        <v>L3</v>
      </c>
      <c r="FE49" t="str">
        <f t="shared" si="67"/>
        <v>L3</v>
      </c>
      <c r="FF49" t="str">
        <f t="shared" si="68"/>
        <v>L3</v>
      </c>
      <c r="FG49" cm="1">
        <f t="array" ref="FG49">IFERROR(IF(BX49=2,_xlfn.IFS(BR49=3,VLOOKUP(BN49,Справочная_двигатели,3,FALSE),BR49=1,VLOOKUP(BN49,Справочная_двигатели,5,TRUE)),0),0)</f>
        <v>0</v>
      </c>
      <c r="FH49">
        <f>IFERROR(IF(BX49=3,VLOOKUP(BN49,Справочная_ЛЭД,2,TRUE),0),0)</f>
        <v>50</v>
      </c>
      <c r="FI49" s="6">
        <f t="shared" si="69"/>
        <v>50</v>
      </c>
      <c r="FJ49" t="str" cm="1">
        <f t="array" ref="FJ49">IF(B49="","",IFERROR(INDEX({"I особая","I","II","III"},MATCH(TRIM(AC49&amp;""),{"I особая","I","II","III"},0)),"III"))</f>
        <v>III</v>
      </c>
      <c r="FK49" t="str">
        <f>IF(B49="","",IF(TRIM(AD49&amp;"")&lt;&gt;"",IF(LOWER(TRIM(AD49&amp;""))="да","да","нет"),IF(IFERROR(_xlfn.XLOOKUP(AX49,Коды_код,Коды_пожарная),"")="да","да","нет")))</f>
        <v>нет</v>
      </c>
      <c r="FL49" t="str">
        <f t="shared" si="70"/>
        <v/>
      </c>
      <c r="FM49" t="str">
        <f t="shared" si="71"/>
        <v>основная</v>
      </c>
      <c r="FN49">
        <f t="shared" si="72"/>
        <v>1</v>
      </c>
      <c r="FO49" t="str" cm="1">
        <f t="array" ref="FO49">IF(B49="","",_xlfn.LET(_xlpm.t,IFERROR(_xlfn.XLOOKUP(1,(Шины[Шина]=FM49)*(((Шины[Щит]=A49)+(Шины[Щит]=""))&gt;0),Шины[Тип]),"")&amp;"",IF(_xlpm.t&lt;&gt;"",_xlpm.t,IF(ISNUMBER(SEARCH("ИБП",FM49)),"ИБП",IF(ISNUMBER(SEARCH("ДГУ",FM49)),"ДГУ","Ввод "&amp;FN49)))))</f>
        <v>Ввод 1</v>
      </c>
      <c r="FP49" t="str">
        <f t="shared" si="73"/>
        <v>Ввод 1</v>
      </c>
      <c r="FQ49" t="str">
        <f>IF(B49="","",IF(OR(FO49="ИБП",FO49="ДГУ"),"I особая",IF(FO49="Одиночная","III",_xlfn.XLOOKUP(A49,Щиты[Щит],Щиты[Категория шины «Ввод»],"III"))))</f>
        <v>II</v>
      </c>
      <c r="FR49">
        <f>IF(B49="",0,IFERROR(MATCH(FJ49,{"III","II","I","I особая"},0),1))</f>
        <v>1</v>
      </c>
      <c r="FS49">
        <f t="shared" si="74"/>
        <v>1</v>
      </c>
      <c r="FT49" t="str">
        <f>IF(B49="","",IF(FR49&gt;IFERROR(MATCH(FQ49,{"III","II","I","I особая"},0),1),"НЕ ОБЕСПЕЧЕНА","ОК"))</f>
        <v>ОК</v>
      </c>
      <c r="FU49" t="str">
        <f>IF(A49="","",_xlfn.XLOOKUP(A49,Щиты[Щит],Щиты[Путь],""))</f>
        <v>|ГРЩ-ЖД|ЩГП|ЩО-001|</v>
      </c>
      <c r="FV49" t="str">
        <f>IF(B49="","",IF(AE49&lt;&gt;"",AE49,IF(IFERROR(_xlfn.XLOOKUP(AX49,Коды_код,Коды_вид)&amp;"","")="","Прочее",_xlfn.XLOOKUP(AX49,Коды_код,Коды_вид)&amp;"")))</f>
        <v>Рабочее освещение</v>
      </c>
      <c r="FW49" t="str">
        <f>IF(BH49="","",INT((BH49-1)/Столбцов_на_лист)+1)</f>
        <v/>
      </c>
      <c r="FX49" t="str">
        <f t="shared" si="75"/>
        <v>ВВГнг(А)-LS (3х1,5) L=33-0,19%</v>
      </c>
      <c r="FY49">
        <f t="shared" si="76"/>
        <v>0.1</v>
      </c>
      <c r="FZ49">
        <f t="shared" si="77"/>
        <v>0.46</v>
      </c>
      <c r="GA49">
        <f t="shared" si="78"/>
        <v>1</v>
      </c>
      <c r="GB49">
        <f t="shared" si="79"/>
        <v>0</v>
      </c>
      <c r="GC49">
        <f t="shared" si="80"/>
        <v>0</v>
      </c>
      <c r="GD49" t="str">
        <f>IF(BH49="","",IF(AND(CA49=1,GC49=1),COUNTIFS(A$3:A49,A49,CA$3:CA49,1,GC$3:GC49,1),IF(OR(OR(AW49=1,A49&lt;&gt;A48),AF49="вручную",GC49=0),"",IF(AW49=1,"",GE48))))</f>
        <v/>
      </c>
      <c r="GE49" t="str">
        <f t="shared" si="81"/>
        <v/>
      </c>
      <c r="GF49">
        <f>IF(B49="","",IFERROR(LOOKUP(INDEX(CHOOSE(DL49,Iдоп_1ж,Iдоп_2ж,Iдоп_3ж),MATCH(DX49,Iдоп_S,0))*DJ49*DK49,{6,10,16,20,25,32,40,50,63,80,100,125,160,200,250,315,400,500,630}),""))</f>
        <v>16</v>
      </c>
      <c r="GG49" t="str">
        <f t="shared" si="82"/>
        <v/>
      </c>
      <c r="GH49" t="str">
        <f t="shared" si="83"/>
        <v/>
      </c>
      <c r="GI49" t="str">
        <f t="shared" si="84"/>
        <v/>
      </c>
      <c r="GJ49">
        <f t="shared" si="85"/>
        <v>0</v>
      </c>
      <c r="GK49" t="str">
        <f>IF(OR(AG49="",AG49="-"),"",IFERROR(VLOOKUP(AG49,Модули_спр,2,FALSE),"R"))</f>
        <v/>
      </c>
      <c r="GL49" t="str">
        <f>IF(GK49="","",GK49&amp;"."&amp;COUNTIFS(A$3:A49,A49,GK$3:GK49,GK49))</f>
        <v/>
      </c>
      <c r="GM49" t="str">
        <f t="shared" si="86"/>
        <v/>
      </c>
      <c r="GN49" t="str">
        <f t="shared" si="87"/>
        <v/>
      </c>
      <c r="GO49" t="str">
        <f t="shared" si="88"/>
        <v/>
      </c>
      <c r="GP49" t="str">
        <f t="shared" si="89"/>
        <v/>
      </c>
      <c r="GQ49">
        <f t="shared" si="90"/>
        <v>1</v>
      </c>
      <c r="GR49" t="str">
        <f>IF(GQ49=1,"XT"&amp;COUNTIFS(A$3:A49,A49,GQ$3:GQ49,1),"")</f>
        <v>XT18</v>
      </c>
      <c r="GS49" t="str">
        <f t="shared" si="91"/>
        <v>XT18</v>
      </c>
      <c r="GT49" t="str">
        <f t="shared" si="92"/>
        <v/>
      </c>
      <c r="GU49" t="str">
        <f t="shared" si="93"/>
        <v/>
      </c>
      <c r="GV49" t="str">
        <f t="shared" si="94"/>
        <v>ok</v>
      </c>
      <c r="GW49" t="str">
        <f>IF(OR(GO49="",GM49=""),"",IF(GO49&gt;IFERROR(VLOOKUP(GN49,Модули_спр,3,FALSE),99),"ЛИШНИЙ КАНАЛ",IF(AND(AH49&lt;&gt;"=",COUNTIFS(Линии[_модуль гр.],GM49,Линии[Канал (итог)],GO49,Линии[Канал],"&lt;&gt;=",Линии[Щит],A49)&gt;1),"ДУБЛЬ КАНАЛА","")))</f>
        <v/>
      </c>
      <c r="GX49" s="6" t="str">
        <f t="shared" si="95"/>
        <v/>
      </c>
      <c r="GY49">
        <f t="shared" si="96"/>
        <v>10</v>
      </c>
      <c r="GZ49" t="str">
        <f t="shared" si="97"/>
        <v/>
      </c>
      <c r="HA49" t="str">
        <f>IF(AND(B49="",GT49=""),"",_xlfn.TEXTJOIN("; ",TRUE,IF(AND(B49&lt;&gt;"",FE49=""),"нет фазы",""),IF(AND(B49&lt;&gt;"",N(FY49)=0,EQ49&lt;&gt;"Нет"),"нет мощности",""),IF(AND(GS49&lt;&gt;"",COUNTIFS(Линии[Щит],A49,Линии[Клемма (итог)],GS49)&gt;1),"дубль клеммы "&amp;GS49,""),IF(AND(GV49&lt;&gt;"",GV49&lt;&gt;"ok"),GV49,""),IF(GW49&lt;&gt;"",GW49,""),IF(AND(N(BV49)&gt;=4,N(BR49)=1),BV49&amp;" жил на 1 фазе",""),IF(AND(AX49="R",CA49=1,OR(N(CK49)=0,N(CK49)&gt;30)),"розетка без дифзащиты до 30 мА",""),IFERROR(IF(AND(ISNUMBER(R49),R49&gt;DV49),"потери "&amp;FIXED(R49,1)&amp;" % &gt; "&amp;DV49&amp;" %",""),""),IFERROR(IF(LEFT(GZ49,4)="мало","Iкз мало — отключение &gt; 0,4 с",""),""),IF(AND(B49&lt;&gt;"",BH49=""),"не на схеме",""),IF(AND(CA49=0,B49&lt;&gt;"",FE49&lt;&gt;"",IF(AW49=1,"",FF48)&lt;&gt;"",FE49&lt;&gt;IF(AW49=1,"",FF48)),"фаза не как у автомата группы ("&amp;IF(AW49=1,"",FF48)&amp;")","")))</f>
        <v>не на схеме</v>
      </c>
      <c r="HB49" s="6">
        <f>IF(OR(CA49=0,DA49=""),"",_xlfn.LET(_xlpm.t,IFERROR(_xlfn.XLOOKUP(DA49,Каталог!$U$4:$U$500,Каталог!$G$4:$G$500),""),_xlpm.k,SEARCH("кА",_xlpm.t),IFERROR(--TRIM(RIGHT(SUBSTITUTE(MID(_xlpm.t,MAX(1,_xlpm.k-4),_xlpm.k-MAX(1,_xlpm.k-4))," ",REPT(" ",9)),5)),"")))</f>
        <v>6</v>
      </c>
      <c r="HC49" t="str">
        <f>IF(OR(HB49="",CA49=0),"",IF(_xlfn.XLOOKUP(A49,Щиты[Щит],Щиты[Iкз max на шинах, кА],"")="","",IF(HB49&lt;_xlfn.XLOOKUP(A49,Щиты[Щит],Щиты[Iкз max на шинах, кА]),"Icu "&amp;HB49&amp;" кА &lt; Iкз max","ok")))</f>
        <v/>
      </c>
      <c r="HD49" t="str">
        <f t="shared" si="98"/>
        <v/>
      </c>
      <c r="HE49" t="str">
        <f t="shared" si="99"/>
        <v/>
      </c>
      <c r="HF49" t="str">
        <f t="shared" si="100"/>
        <v/>
      </c>
      <c r="HG49" t="str" cm="1">
        <f t="array" ref="HG49">IF(HF49="","",_xlfn.LET(_xlpm.nd,_xlfn.TEXTSPLIT(HF49,"|"),IF(COLUMNS(_xlpm.nd)&gt;1,A49&amp;"¦"&amp;INDEX(_xlpm.nd,1)&amp;"¦"&amp;INDEX(_xlpm.nd,2),"")))</f>
        <v/>
      </c>
      <c r="HH49" t="str">
        <f t="shared" si="101"/>
        <v/>
      </c>
      <c r="HI49" t="str" cm="1">
        <f t="array" ref="HI49">IF(HF49="","",_xlfn.LET(_xlpm.nd,_xlfn.TEXTSPLIT(HF49,"|"),IF(COLUMNS(_xlpm.nd)&gt;2,A49&amp;"¦"&amp;INDEX(_xlpm.nd,2)&amp;"¦"&amp;INDEX(_xlpm.nd,3),"")))</f>
        <v/>
      </c>
      <c r="HJ49" t="str">
        <f t="shared" si="102"/>
        <v/>
      </c>
      <c r="HK49" t="str" cm="1">
        <f t="array" ref="HK49">IF(HF49="","",_xlfn.LET(_xlpm.nd,_xlfn.TEXTSPLIT(HF49,"|"),IF(COLUMNS(_xlpm.nd)&gt;3,A49&amp;"¦"&amp;INDEX(_xlpm.nd,3)&amp;"¦"&amp;INDEX(_xlpm.nd,4),"")))</f>
        <v/>
      </c>
      <c r="HL49" t="str">
        <f t="shared" si="103"/>
        <v/>
      </c>
      <c r="HM49" t="str" cm="1">
        <f t="array" ref="HM49">IF(HF49="","",_xlfn.LET(_xlpm.nd,_xlfn.TEXTSPLIT(HF49,"|"),IF(COLUMNS(_xlpm.nd)&gt;4,A49&amp;"¦"&amp;INDEX(_xlpm.nd,4)&amp;"¦"&amp;INDEX(_xlpm.nd,5),"")))</f>
        <v/>
      </c>
      <c r="HN49" t="str">
        <f t="shared" si="104"/>
        <v/>
      </c>
      <c r="HO49" t="str" cm="1">
        <f t="array" ref="HO49">IF(HF49="","",_xlfn.LET(_xlpm.nd,_xlfn.TEXTSPLIT(HF49,"|"),IF(COLUMNS(_xlpm.nd)&gt;5,A49&amp;"¦"&amp;INDEX(_xlpm.nd,5)&amp;"¦"&amp;INDEX(_xlpm.nd,6),"")))</f>
        <v/>
      </c>
      <c r="HP49" t="str">
        <f t="shared" si="105"/>
        <v/>
      </c>
      <c r="HQ49" t="str" cm="1">
        <f t="array" ref="HQ49">IF(HF49="","",_xlfn.LET(_xlpm.nd,_xlfn.TEXTSPLIT(HF49,"|"),IF(COLUMNS(_xlpm.nd)&gt;6,A49&amp;"¦"&amp;INDEX(_xlpm.nd,6)&amp;"¦"&amp;INDEX(_xlpm.nd,7),"")))</f>
        <v/>
      </c>
      <c r="HR49" t="str">
        <f t="shared" si="106"/>
        <v/>
      </c>
      <c r="HS49" t="str">
        <f t="shared" si="107"/>
        <v/>
      </c>
      <c r="HT49" t="str">
        <f t="shared" si="108"/>
        <v>XT18</v>
      </c>
      <c r="HU49">
        <f t="shared" si="109"/>
        <v>0</v>
      </c>
      <c r="HV49">
        <f t="shared" si="110"/>
        <v>0</v>
      </c>
      <c r="HW49" t="str">
        <f t="shared" si="111"/>
        <v/>
      </c>
      <c r="HX49" t="str">
        <f t="shared" si="112"/>
        <v/>
      </c>
      <c r="HY49" t="str">
        <f t="shared" si="113"/>
        <v/>
      </c>
      <c r="HZ49" t="str">
        <f t="shared" si="114"/>
        <v/>
      </c>
      <c r="IA49" t="str">
        <f>IF(B49="","",IFERROR(VLOOKUP(B49,УГО_спр,2,FALSE),IFERROR(VLOOKUP(AX49,УГО_спр,2,FALSE),IFERROR(VLOOKUP(LEFT(AX49,2),УГО_спр,2,FALSE),""))))</f>
        <v>Светильник</v>
      </c>
      <c r="IB49" t="str">
        <f>IF(B49="","",IF(OR(IA49="",IA49=0),"BOX",IFERROR(IF(VLOOKUP(IA49,УГО_блоки,3,FALSE)&amp;""&lt;&gt;"",VLOOKUP(IA49,УГО_блоки,3,FALSE),VLOOKUP(IA49,УГО_блоки,2,FALSE)),IA49)))</f>
        <v>LAMP</v>
      </c>
      <c r="IC49">
        <f t="shared" si="115"/>
        <v>1</v>
      </c>
      <c r="ID49" t="str">
        <f>IF(DA49="","",IF(COUNTIF(DA$3:DA49,DA49)=1,MAX(ID$2:ID48)+1,""))</f>
        <v/>
      </c>
      <c r="IE49" t="str">
        <f>IF(CO49="","",IF(COUNTIF(CO$3:CO49,CO49)+COUNTIF(CP$2:CP48,CO49)+COUNTIF(CQ$2:CQ48,CO49)=1,MAX(IE$2:IG48)+1,""))</f>
        <v/>
      </c>
      <c r="IF49" t="str">
        <f>IF(CP49="","",IF(COUNTIF(CO$3:CO49,CP49)+COUNTIF(CP$3:CP49,CP49)+COUNTIF(CQ$2:CQ48,CP49)=1,MAX(IE$2:IG48,IE49)+1,""))</f>
        <v/>
      </c>
      <c r="IG49" t="str">
        <f>IF(CQ49="","",IF(COUNTIF(CO$3:CO49,CQ49)+COUNTIF(CP$3:CP49,CQ49)+COUNTIF(CQ$3:CQ49,CQ49)=1,MAX(IE$2:IG48,IE49,IF49)+1,""))</f>
        <v/>
      </c>
      <c r="IH49" t="str">
        <f t="shared" si="116"/>
        <v>3х1,5</v>
      </c>
      <c r="II49" t="str">
        <f>IF(IH49="","",IF(COUNTIF(IH$3:IH49,IH49)=1,MAX(II$2:II48)+1,""))</f>
        <v/>
      </c>
      <c r="IJ49" t="str">
        <f>IF(GL49="","",COUNTIF(GL$3:GL49,"?*"))</f>
        <v/>
      </c>
      <c r="IK49" t="str">
        <f>IF(OR(GL49="",GN49=""),"",IF(COUNTIFS(GL$3:GL49,"?*",GN$3:GN49,GN49)=1,MAX(IK$2:IK48)+1,""))</f>
        <v/>
      </c>
      <c r="IL49">
        <f t="shared" si="117"/>
        <v>1</v>
      </c>
      <c r="IM49">
        <f>IF(B49="","",COUNTIF(B$3:B49,"?*"))</f>
        <v>47</v>
      </c>
      <c r="IN49">
        <f>IF(GQ49&lt;&gt;1,0,_xlfn.LET(_xlpm.k,MAX(IFERROR(--VLOOKUP(B49,УГО_спр,5,FALSE),0),IFERROR(--VLOOKUP(AX49,УГО_спр,5,FALSE),0),IFERROR(--VLOOKUP(LEFT(AX49,2),УГО_спр,5,FALSE),0)),IF(_xlpm.k&gt;0,_xlpm.k,IF(IFERROR(--LEFT(SUBSTITUTE(IH49,"x","х"),FIND("х",SUBSTITUTE(IH49,"x","х"))-1),3)&gt;3,Каталог!$S$9,1))))</f>
        <v>1</v>
      </c>
      <c r="IO49">
        <f t="shared" si="118"/>
        <v>0</v>
      </c>
      <c r="IP49" t="str">
        <f t="shared" si="119"/>
        <v>авто</v>
      </c>
      <c r="IQ49" t="str">
        <f t="shared" si="120"/>
        <v/>
      </c>
      <c r="IR49">
        <f t="shared" si="121"/>
        <v>0</v>
      </c>
      <c r="IS49">
        <f t="shared" si="122"/>
        <v>1</v>
      </c>
    </row>
    <row r="50" spans="1:253" x14ac:dyDescent="0.3">
      <c r="A50" t="s">
        <v>1104</v>
      </c>
      <c r="B50" t="s">
        <v>1323</v>
      </c>
      <c r="C50" t="str">
        <f>Линии[[#This Row],[_авто наименование]]</f>
        <v>Осветительная группа, пом. 008Б</v>
      </c>
      <c r="D50">
        <v>4</v>
      </c>
      <c r="E50" t="str">
        <f>Линии[[#This Row],[_авто Р]]</f>
        <v/>
      </c>
      <c r="G50" t="str">
        <f>Линии[[#This Row],[_авто автомат]]</f>
        <v>1P С10А</v>
      </c>
      <c r="H50" t="str">
        <f>Линии[[#This Row],[_авто утечка]]</f>
        <v/>
      </c>
      <c r="I50" t="str">
        <f>Линии[[#This Row],[_авто управление]]</f>
        <v/>
      </c>
      <c r="J50" t="str">
        <f>Линии[[#This Row],[_авто аппараты]]</f>
        <v/>
      </c>
      <c r="K50" t="str">
        <f>Линии[[#This Row],[_авто сечение]]</f>
        <v/>
      </c>
      <c r="L50">
        <v>5</v>
      </c>
      <c r="M50" t="str">
        <f>Линии[[#This Row],[_авто фаза]]</f>
        <v>L2</v>
      </c>
      <c r="N50" t="str">
        <f>Линии[[#This Row],[_авто клемма]]</f>
        <v/>
      </c>
      <c r="O50" t="str">
        <f t="shared" si="0"/>
        <v>нет мощности; не на схеме</v>
      </c>
      <c r="P50" s="6" cm="1">
        <f t="array" ref="P50">IF(B50="","",IF(BC50&lt;&gt;"",IFERROR(_xlfn.XLOOKUP(BC50,Щиты[Щит],Щиты[Iр, А]),""),IF(BK50=1,IFERROR(_xlfn.XLOOKUP(A50,Щиты[Щит],Щиты[Iр, А]),""),IFERROR(_xlfn.IFS(BR50=1,BN50/((Uн_лин/SQRT(3))*BY50),BR50=3,BN50/(SQRT(3)*Uн_лин*BY50)),""))))</f>
        <v>0</v>
      </c>
      <c r="Q50" s="7">
        <f>IF(B50="","",IFERROR(IF(VLOOKUP(AX50,Потребители_обозначение,4,FALSE)=1,VLOOKUP(AX50,Потребители_обозначение,3,FALSE)*(D50*2-1)+DS50+VLOOKUP(AZ50,Этаж_обозначение,3,FALSE)+VLOOKUP(AZ50,Этаж_обозначение,4,FALSE),VLOOKUP(AX50,Потребители_обозначение,3,FALSE)*(D50*2-1)+DS50),DS50))</f>
        <v>12</v>
      </c>
      <c r="R50" s="6" t="str">
        <f t="shared" si="1"/>
        <v/>
      </c>
      <c r="S50" t="str">
        <f t="shared" si="2"/>
        <v/>
      </c>
      <c r="T50" t="str">
        <f>IF(BH50="","",IF(BI50="вводной узел","узел ","")&amp;"л."&amp;(INT((BH50-1)/Столбцов_на_лист)+1)&amp;" / "&amp;(MOD(BH50-1,Столбцов_на_лист)+1))</f>
        <v/>
      </c>
      <c r="V50">
        <v>1</v>
      </c>
      <c r="W50">
        <v>230</v>
      </c>
      <c r="X50" t="s">
        <v>564</v>
      </c>
      <c r="AE50" t="s">
        <v>557</v>
      </c>
      <c r="AI50" t="s">
        <v>529</v>
      </c>
      <c r="AJ50" t="str">
        <f>Линии[[#This Row],[_авто марка]]</f>
        <v/>
      </c>
      <c r="AK50" t="str">
        <f>Линии[[#This Row],[_авто жил]]</f>
        <v/>
      </c>
      <c r="AW50" cm="1">
        <f t="array" ref="AW50">ROW()-ROW(Линии[#Headers])</f>
        <v>48</v>
      </c>
      <c r="AX50" s="6" t="str">
        <f t="shared" si="3"/>
        <v>L</v>
      </c>
      <c r="AY50" t="str">
        <f t="shared" si="4"/>
        <v>00.008Б.1</v>
      </c>
      <c r="AZ50" t="str">
        <f t="shared" si="5"/>
        <v>00</v>
      </c>
      <c r="BA50" t="str">
        <f t="shared" si="6"/>
        <v>008Б.1</v>
      </c>
      <c r="BB50" t="str">
        <f t="shared" si="7"/>
        <v>008Б</v>
      </c>
      <c r="BC50" t="str">
        <f>IF(U50&lt;&gt;"",U50,IF(AND(B50&lt;&gt;"",B50&lt;&gt;A50,ISNUMBER(_xlfn.XMATCH(B50,Щиты[Щит]))),B50,""))</f>
        <v/>
      </c>
      <c r="BD50" t="str" cm="1">
        <f t="array" ref="BD50">IF(B50="","",IF(BC50&lt;&gt;"","Щит "&amp;BC50,_xlfn.LET(_xlpm.nm,IFERROR(_xlfn.XLOOKUP(AX50,Коды_код,Коды_имя)&amp;"",""),_xlpm.md,IFERROR(N(_xlfn.XLOOKUP(AX50,Коды_код,Коды_режим)),1),_xlpm.ex,IF(Имя_режим="по экспликации",IFERROR(_xlfn.XLOOKUP(AZ50&amp;"|"&amp;BB50,Экспликация[Этаж]&amp;"|"&amp;Экспликация[Помещение],Экспликация[Название])&amp;"",""),""),_xlpm.rm,IF(BB50="","",IF(_xlpm.ex&lt;&gt;"",". "&amp;_xlpm.ex&amp;IF(Имя_пом="нет"," ("&amp;BB50&amp;")"," (пом. "&amp;BB50&amp;")"),IF(Имя_пом="нет"," ",", пом. ")&amp;BB50)),IF(_xlpm.nm="","",IF(_xlpm.md=2,_xlpm.nm&amp;" шлейф "&amp;AZ50,_xlpm.nm&amp;_xlpm.rm)))))</f>
        <v>Осветительная группа, пом. 008Б</v>
      </c>
      <c r="BE50" t="str">
        <f t="shared" si="8"/>
        <v>Осветительная группа, пом. 008Б</v>
      </c>
      <c r="BF50">
        <f>IFERROR(_xlfn.XMATCH(A50,Щиты[Щит]),0)</f>
        <v>3</v>
      </c>
      <c r="BG50">
        <f>_xlfn.LET(_xlpm.k,IFERROR(_xlfn.XLOOKUP(A50,Щиты[Щит],Щиты[Листов под вводной узел]),""),IF(_xlpm.k="",1,N(_xlpm.k))*Столбцов_на_лист)</f>
        <v>17</v>
      </c>
      <c r="BH50" t="str">
        <f t="shared" si="9"/>
        <v/>
      </c>
      <c r="BI50" t="str">
        <f t="shared" si="10"/>
        <v/>
      </c>
      <c r="BJ50" s="6">
        <f>IFERROR(N(_xlfn.XLOOKUP(AX50,Коды_код,Коды_квт)),0)</f>
        <v>0</v>
      </c>
      <c r="BK50">
        <f t="shared" si="11"/>
        <v>0</v>
      </c>
      <c r="BL50" t="str">
        <f>IF(B50="","",IF(BC50&lt;&gt;"",IFERROR(_xlfn.XLOOKUP(BC50,Щиты[Щит],Щиты[Руст, кВт]),0),IF(BK50=1,IFERROR(_xlfn.XLOOKUP(A50,Щиты[Щит],Щиты[Руст, кВт]),0),IF(BJ50&gt;0,ROUND(BJ50*MAX(1,N(D50)),3),""))))</f>
        <v/>
      </c>
      <c r="BM50" t="str">
        <f t="shared" si="12"/>
        <v/>
      </c>
      <c r="BN50" s="6">
        <f>IF(B50="","",IF(BC50&lt;&gt;"",IFERROR(_xlfn.XLOOKUP(BC50,Щиты[Щит],Щиты[Руст, кВт]),0),N(BM50)))</f>
        <v>0</v>
      </c>
      <c r="BO50" t="str">
        <f>IF(B50="","",IFERROR(IF(VLOOKUP(AX50,Потребители_обозначение,8,FALSE)=0,"",VLOOKUP(AX50,Потребители_обозначение,8,FALSE)),""))</f>
        <v/>
      </c>
      <c r="BP50">
        <f t="shared" si="13"/>
        <v>230</v>
      </c>
      <c r="BQ50">
        <f>IF(B50="","",IF(BC50&lt;&gt;"",3,IFERROR(IF(N(VLOOKUP(AX50,Потребители_обозначение,9,FALSE))=0,1,VLOOKUP(AX50,Потребители_обозначение,9,FALSE)),1)))</f>
        <v>1</v>
      </c>
      <c r="BR50">
        <f t="shared" si="14"/>
        <v>1</v>
      </c>
      <c r="BS50" t="str">
        <f>IF(B50="","",_xlfn.LET(_xlpm.bc,IFERROR(IF(VLOOKUP(AX50,Потребители_обозначение,6,FALSE)=0,"",VLOOKUP(AX50,Потребители_обозначение,6,FALSE)&amp;""),""),IF(AND(FK50="да",OR(_xlpm.bc="",_xlpm.bc="мс")),Марка_пож,IF(AND(_xlpm.bc="",BC50&lt;&gt;""),"мс",_xlpm.bc))))</f>
        <v/>
      </c>
      <c r="BT50" t="str">
        <f t="shared" si="15"/>
        <v/>
      </c>
      <c r="BU50" t="str">
        <f>IF(B50="","",_xlfn.LET(_xlpm.cc,IFERROR(N(VLOOKUP(AX50,Потребители_обозначение,7,FALSE)),0),IF(_xlpm.cc&gt;0,_xlpm.cc,IF(BT50="","",IF(N(BR50)=3,5,3)))))</f>
        <v/>
      </c>
      <c r="BV50" t="str">
        <f t="shared" si="16"/>
        <v/>
      </c>
      <c r="BW50">
        <f>IFERROR(N(VLOOKUP(AX50,Потребители_обозначение,10,FALSE)),0)</f>
        <v>0</v>
      </c>
      <c r="BX50">
        <f>IFERROR(VLOOKUP(AX50,Потребители_обозначение,5,FALSE),0)</f>
        <v>3</v>
      </c>
      <c r="BY50" s="6" cm="1">
        <f t="array" ref="BY50">IF(B50="","",IF(BC50&lt;&gt;"",IFERROR(_xlfn.XLOOKUP(BC50,Щиты[Щит],Щиты[cos φ]),0.95),IF(BK50=1,IFERROR(_xlfn.XLOOKUP(A50,Щиты[Щит],Щиты[cos φ]),0.95),IF(ISNUMBER(Z50),Z50,IFERROR(IF(BX50=2,_xlfn.IFS(BR50=3,VLOOKUP(BN50,Справочная_двигатели,8,FALSE),BR50=1,VLOOKUP(BN50,Справочная_двигатели,10,TRUE)),IF(AND(Методика="нормы 2026",EQ50="Сил"),0.8,0.95)),0.95)))))</f>
        <v>0.95</v>
      </c>
      <c r="BZ50">
        <f t="shared" si="17"/>
        <v>0</v>
      </c>
      <c r="CA50">
        <f t="shared" si="18"/>
        <v>1</v>
      </c>
      <c r="CB50">
        <f t="shared" si="19"/>
        <v>0</v>
      </c>
      <c r="CC50">
        <f t="shared" si="20"/>
        <v>0</v>
      </c>
      <c r="CD50">
        <f t="shared" si="21"/>
        <v>0</v>
      </c>
      <c r="CE50">
        <f t="shared" si="22"/>
        <v>0</v>
      </c>
      <c r="CF50">
        <f t="shared" si="23"/>
        <v>0</v>
      </c>
      <c r="CG50">
        <f>IF(AX50="",0,_xlfn.LET(_xlpm.v,IFERROR(VLOOKUP(B50,УГО_спр,3,FALSE),IFERROR(VLOOKUP(AX50,УГО_спр,3,FALSE),IFERROR(VLOOKUP(LEFT(AX50,2),УГО_спр,3,FALSE),""))),IF(_xlpm.v="да",30,IF(ISNUMBER(_xlpm.v),_xlpm.v,0))))</f>
        <v>0</v>
      </c>
      <c r="CH50" t="str">
        <f t="shared" si="24"/>
        <v/>
      </c>
      <c r="CI50" t="str">
        <f>_xlfn.LET(_xlpm.k,IFERROR(_xlfn.XLOOKUP(AX50,Коды_код,Коды_утечка)&amp;"",""),IF(_xlpm.k="","дифавтомат",_xlpm.k))</f>
        <v>дифавтомат</v>
      </c>
      <c r="CJ50">
        <f t="shared" si="25"/>
        <v>0</v>
      </c>
      <c r="CK50">
        <f t="shared" si="26"/>
        <v>0</v>
      </c>
      <c r="CL50">
        <f>IF(B50="",0,IFERROR(--VLOOKUP(B50,УГО_спр,4,FALSE),IFERROR(--VLOOKUP(AX50,УГО_спр,4,FALSE),IFERROR(--VLOOKUP(LEFT(AX50,2),УГО_спр,4,FALSE),0))))</f>
        <v>10</v>
      </c>
      <c r="CM50" t="str">
        <f>IF(B50="","",IFERROR(_xlfn.XLOOKUP(AX50,Коды_код,Коды_апп)&amp;"",""))</f>
        <v/>
      </c>
      <c r="CN50" t="str">
        <f t="shared" si="27"/>
        <v/>
      </c>
      <c r="CO50" t="str" cm="1">
        <f t="array" ref="CO50">IF(TRIM(CN50&amp;"")="","",IFERROR(TRIM(INDEX(_xlfn.TEXTSPLIT(CN50&amp;";;;",";"),1)),""))</f>
        <v/>
      </c>
      <c r="CP50" t="str" cm="1">
        <f t="array" ref="CP50">IF(TRIM(CN50&amp;"")="","",IFERROR(TRIM(INDEX(_xlfn.TEXTSPLIT(CN50&amp;";;;",";"),2)),""))</f>
        <v/>
      </c>
      <c r="CQ50" t="str" cm="1">
        <f t="array" ref="CQ50">IF(TRIM(CN50&amp;"")="","",IFERROR(TRIM(INDEX(_xlfn.TEXTSPLIT(CN50&amp;";;;",";"),3)),""))</f>
        <v/>
      </c>
      <c r="CR50">
        <f t="shared" si="28"/>
        <v>0</v>
      </c>
      <c r="CS50" t="str">
        <f>IF(B50="","",_xlfn.LET(_xlpm.t,LOWER(AV50&amp;""),IF(ISNUMBER(SEARCH("dim",_xlpm.t)),"DIM",IF(ISNUMBER(SEARCH("dali",_xlpm.t)),"DALI",IF(OR(ISNUMBER(SEARCH("relay",_xlpm.t)),ISNUMBER(SEARCH("реле",_xlpm.t))),"Relay",IF(ISNUMBER(SEARCH("кнопк",_xlpm.t)),"",IFERROR(_xlfn.XLOOKUP(AX50,Коды_код,Коды_упр)&amp;"","")))))))</f>
        <v/>
      </c>
      <c r="CT50" t="str">
        <f t="shared" si="29"/>
        <v/>
      </c>
      <c r="CU50">
        <f>IF(B50="","",_xlfn.LET(_xlpm.ig,N(P50)+IF(AF50="вручную",0,N(CB50)),_xlpm.n0,IFERROR(VLOOKUP(_xlpm.ig,Автомат_номиналы,2,TRUE),0),_xlpm.mn,MAX(CL50,IF(AF50="вручную",0,N(CE50))),MAX(_xlpm.n0,_xlpm.mn,IF(CR50=1,Мин_автомат_БП,0))))</f>
        <v>10</v>
      </c>
      <c r="CV50">
        <f t="shared" si="30"/>
        <v>1</v>
      </c>
      <c r="CW50" t="str">
        <f t="shared" si="31"/>
        <v>1P</v>
      </c>
      <c r="CX50" t="str">
        <f>_xlfn.LET(_xlpm.cc,UPPER(TRIM(IFERROR(_xlfn.XLOOKUP(AX50,Коды_код,Коды_хар)&amp;"",""))),IF(OR(_xlpm.cc="B",_xlpm.cc="В"),"B",IF(_xlpm.cc="D","D","С")))</f>
        <v>С</v>
      </c>
      <c r="CY50" t="str">
        <f t="shared" si="32"/>
        <v>1P С10А</v>
      </c>
      <c r="CZ50" t="str">
        <f t="shared" si="33"/>
        <v>1P С10А</v>
      </c>
      <c r="DA50" t="str">
        <f t="shared" si="34"/>
        <v>1P С10А</v>
      </c>
      <c r="DB50" cm="1">
        <f t="array" ref="DB50">IF(DA50="","",_xlfn.LET(_xlpm.t,SUBSTITUTE(SUBSTITUTE(SUBSTITUTE(UPPER(DA50),"С","C"),"А","A"),"В","B"),_xlpm.tk,_xlfn.TEXTSPLIT(_xlpm.t,"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0" t="str">
        <f t="shared" si="35"/>
        <v>ok</v>
      </c>
      <c r="DD50">
        <f t="shared" si="36"/>
        <v>10</v>
      </c>
      <c r="DE50" t="str">
        <f t="shared" si="37"/>
        <v>1P С10А</v>
      </c>
      <c r="DF50">
        <f t="shared" si="38"/>
        <v>0</v>
      </c>
      <c r="DG50">
        <f t="shared" si="39"/>
        <v>0</v>
      </c>
      <c r="DH50">
        <f t="shared" si="40"/>
        <v>0</v>
      </c>
      <c r="DI50">
        <f t="shared" si="41"/>
        <v>0</v>
      </c>
      <c r="DJ50">
        <f t="shared" si="42"/>
        <v>1</v>
      </c>
      <c r="DK50">
        <f>IF(ISNUMBER(AL50),AL50,К_прокл)</f>
        <v>1</v>
      </c>
      <c r="DL50">
        <f t="shared" si="43"/>
        <v>2</v>
      </c>
      <c r="DM50">
        <f>IFERROR(N(VLOOKUP(BT50,Кабель_обозначение,3,FALSE)),1)</f>
        <v>1</v>
      </c>
      <c r="DN50">
        <f>IFERROR(N(_xlfn.XLOOKUP(A50,Щиты[Щит],Щиты[ΔU до шин, %])),0)</f>
        <v>0.17</v>
      </c>
      <c r="DO50" t="str">
        <f>IFERROR(_xlfn.XLOOKUP(A50,Щиты[Щит],Щиты[Zпетли на шинах, Ом]),"")</f>
        <v/>
      </c>
      <c r="DP50">
        <f>IFERROR(N(_xlfn.XLOOKUP(A50,Щиты[Щит],Щиты[ΔU до шин (подбор), %])),0)</f>
        <v>0.65</v>
      </c>
      <c r="DQ50" t="str">
        <f>IFERROR(_xlfn.XLOOKUP(A50,Щиты[Щит],Щиты[Zпетли на шинах (подбор), Ом]),"")</f>
        <v/>
      </c>
      <c r="DR50" t="str">
        <f t="shared" si="44"/>
        <v/>
      </c>
      <c r="DS50">
        <f t="shared" si="45"/>
        <v>5</v>
      </c>
      <c r="DT50">
        <f t="shared" si="46"/>
        <v>2</v>
      </c>
      <c r="DU50">
        <f t="shared" si="47"/>
        <v>0.31</v>
      </c>
      <c r="DV50" s="6">
        <f>IF(B50="","",IF(IFERROR(VLOOKUP(AX50,УГО_спр,2,FALSE),"")="Светильник",3,4)+IF(Методика="нормы 2026",MIN(0.5,MAX(0,N(Q50)-100)*0.005),0))</f>
        <v>3</v>
      </c>
      <c r="DW50" t="str" cm="1">
        <f t="array" ref="DW50">IF(OR(B50="",BT50="",DM50&lt;&gt;1),"",_xlfn.LET(_xlpm.sz,Iдоп_S,_xlpm.t_,CHOOSE(DL50,Iдоп_1ж,Iдоп_2ж,Iдоп_3ж)*DJ50*DK50,_xlpm.inn,N(DD50),_xlpm.smin,MAX(1.5,BW50),_xlpm.L_,N(Q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50)*(_xlpm.rho*_xlpm.L_/_xlpm.sz*N(BY50)+_xlpm.xx*_xlpm.L_*N(DU50)/1000)*N(P50)/((Uн_лин/SQRT(3))*1000)*100,999),_xlpm.kz,IF(OR(DG50=1,NOT(ISNUMBER(DQ50)),_xlpm.L_=0,_xlpm.inn=0),1,IFERROR(--(c_min*(Uн_лин*1000/SQRT(3))/(DQ50+2*ρкз_Cu*_xlpm.L_/_xlpm.sz)&gt;=GY50*_xlpm.inn),0)),_xlpm.ok,IFERROR((_xlpm.sz&gt;=_xlpm.smin)*(_xlpm.t_&gt;=_xlpm.inn)*IF(_xlpm.L_&gt;0,(_xlpm.du_+DP50&lt;=DV50+0.00001),1)*_xlpm.kz,0),_xlpm.r_,_xlfn._xlws.FILTER(_xlpm.sz,_xlpm.ok,"не подобрано"),INDEX(_xlpm.r_,1)))</f>
        <v/>
      </c>
      <c r="DX50" t="str">
        <f t="shared" si="48"/>
        <v/>
      </c>
      <c r="DY50" t="str" cm="1">
        <f t="array" ref="DY50">IF(OR(B50="",BT50="",DM50&lt;&gt;1),"",_xlfn.LET(_xlpm.sz,Iдоп_S,_xlpm.t_,CHOOSE(DL50,Iдоп_1ж,Iдоп_2ж,Iдоп_3ж)*DJ50*DK50,_xlpm.ok,IFERROR((_xlpm.sz&gt;=MAX(1.5,BW50))*(_xlpm.t_&gt;=N(DD50)),0),_xlpm.r_,_xlfn._xlws.FILTER(_xlpm.sz,_xlpm.ok,""),INDEX(_xlpm.r_,1)))</f>
        <v/>
      </c>
      <c r="DZ50" s="6" t="str" cm="1">
        <f t="array" ref="DZ50">IFERROR(ROUNDUP(N(DT50)*(_xlfn.XLOOKUP(DY50,INDEX(Кабель_сопротивление,0,1),INDEX(Кабель_сопротивление,0,3))*N(Q50)/DY50*N(BY50)+_xlfn.XLOOKUP(DY50,INDEX(Кабель_сопротивление,0,1),INDEX(Кабель_сопротивление,0,2))*N(Q50)*N(DU50)/1000)*N(P50)/((Uн_лин/SQRT(3))*1000)*100,2),"")</f>
        <v/>
      </c>
      <c r="EA50" t="str">
        <f>IFERROR(2*ρкз_Cu*N(Q50)/DY50,"")</f>
        <v/>
      </c>
      <c r="EB50" t="str">
        <f>IFERROR(VLOOKUP(DX50,Кабель_сопротивление,3,FALSE),"")</f>
        <v/>
      </c>
      <c r="EC50" t="str">
        <f>IFERROR(VLOOKUP(DX50,Кабель_сопротивление,2,FALSE),"")</f>
        <v/>
      </c>
      <c r="ED50" t="str">
        <f t="shared" si="49"/>
        <v/>
      </c>
      <c r="EE50" t="str">
        <f t="shared" si="50"/>
        <v/>
      </c>
      <c r="EF50" t="str">
        <f t="shared" si="51"/>
        <v/>
      </c>
      <c r="EG50" s="6" t="str">
        <f>IFERROR(ROUNDUP(EF50/((Uн_лин/SQRT(3))*1000)*100,2),"")</f>
        <v/>
      </c>
      <c r="EH50" t="str">
        <f>IFERROR(VLOOKUP(BT50,Кабель_обозначение,2,FALSE),"")</f>
        <v/>
      </c>
      <c r="EI50" t="str">
        <f t="shared" si="52"/>
        <v/>
      </c>
      <c r="EJ50" t="str">
        <f t="shared" si="53"/>
        <v/>
      </c>
      <c r="EK50" t="str">
        <f>IFERROR(2*ρкз_Cu*Q50/DX50,"")</f>
        <v/>
      </c>
      <c r="EL50" t="str">
        <f t="shared" si="54"/>
        <v/>
      </c>
      <c r="EM50" s="6" t="str">
        <f>IFERROR(IF(OR(B50="",NOT(ISNUMBER(DX50)),N(Q50)=0),"",_xlfn.XLOOKUP(A50,Щиты[Щит],Щиты[Zпетли на шинах, Ом])+EK50),"")</f>
        <v/>
      </c>
      <c r="EN50" s="6" t="str">
        <f>IF(ISNUMBER(EM50),c_min*(Uн_лин*1000/SQRT(3))/EM50,"")</f>
        <v/>
      </c>
      <c r="EO50" s="6" t="str">
        <f>IFERROR(IF(OR(B50="",NOT(ISNUMBER(DX50))),"",1.05*(Uн_лин*1000/SQRT(3))/(_xlfn.XLOOKUP(A50,Щиты[Щит],Щиты[Zmax на шинах, Ом])+EL50)/1000),"")</f>
        <v/>
      </c>
      <c r="EP50" s="6" t="str">
        <f>IF(B50="","",IF(ISNUMBER(Y50),"Сил",IF(IFERROR(_xlfn.XLOOKUP(AX50,Коды_код,Коды_группа)&amp;"","")="","Быт",_xlfn.XLOOKUP(AX50,Коды_код,Коды_группа)&amp;"")))</f>
        <v>Быт</v>
      </c>
      <c r="EQ50" s="6" t="str">
        <f t="shared" si="55"/>
        <v>Быт</v>
      </c>
      <c r="ER50" s="6">
        <f>IF(EQ50="Щит","щит",IF(EQ50="","",IF(EQ50="Быт",IFERROR(_xlfn.XLOOKUP(A50,Щиты[Щит],Щиты[Кс быт]),1),IF(EQ50="Сил",IF(ISNUMBER(Y50),Y50,IF(Методика="нормы 2026",IFERROR(_xlfn.XLOOKUP(A50,Щиты[Щит],Щиты[Кс силовых (табл. 7.5)]),1),1)),IF(OR(EQ50="Пост",EQ50="Отоп"),1,IF(EQ50="ВНГ",0.7,0))))))</f>
        <v>0.8</v>
      </c>
      <c r="ES50">
        <f t="shared" si="56"/>
        <v>1</v>
      </c>
      <c r="ET50">
        <f t="shared" si="57"/>
        <v>0</v>
      </c>
      <c r="EU50">
        <f t="shared" si="58"/>
        <v>0</v>
      </c>
      <c r="EV50">
        <f t="shared" si="59"/>
        <v>0</v>
      </c>
      <c r="EW50">
        <f t="shared" si="60"/>
        <v>0</v>
      </c>
      <c r="EX50">
        <f t="shared" si="61"/>
        <v>0</v>
      </c>
      <c r="EY50">
        <f t="shared" si="62"/>
        <v>0</v>
      </c>
      <c r="EZ50">
        <f t="shared" si="63"/>
        <v>0</v>
      </c>
      <c r="FA50">
        <f t="shared" si="64"/>
        <v>0</v>
      </c>
      <c r="FB50">
        <f t="shared" si="65"/>
        <v>0</v>
      </c>
      <c r="FC50" t="str">
        <f t="shared" si="66"/>
        <v/>
      </c>
      <c r="FD50" t="str">
        <f>IF(B50="","",IF(CA50=0,IF(AW50=1,"",FF49),IF(OR(N(CV50)&gt;=3,N(BR50)&gt;=3),"L1,L2,L3",IFERROR(_xlfn.TEXTBEFORE(_xlfn.TEXTAFTER(_xlfn.XLOOKUP(A50,Щиты[Щит],Щиты[_фазы авто]),";"&amp;AW50&amp;":"),";"),"L1"))))</f>
        <v>L2</v>
      </c>
      <c r="FE50" t="str">
        <f t="shared" si="67"/>
        <v>L2</v>
      </c>
      <c r="FF50" t="str">
        <f t="shared" si="68"/>
        <v>L2</v>
      </c>
      <c r="FG50" cm="1">
        <f t="array" ref="FG50">IFERROR(IF(BX50=2,_xlfn.IFS(BR50=3,VLOOKUP(BN50,Справочная_двигатели,3,FALSE),BR50=1,VLOOKUP(BN50,Справочная_двигатели,5,TRUE)),0),0)</f>
        <v>0</v>
      </c>
      <c r="FH50">
        <f>IFERROR(IF(BX50=3,VLOOKUP(BN50,Справочная_ЛЭД,2,TRUE),0),0)</f>
        <v>0</v>
      </c>
      <c r="FI50" s="6">
        <f t="shared" si="69"/>
        <v>0</v>
      </c>
      <c r="FJ50" t="str" cm="1">
        <f t="array" ref="FJ50">IF(B50="","",IFERROR(INDEX({"I особая","I","II","III"},MATCH(TRIM(AC50&amp;""),{"I особая","I","II","III"},0)),"III"))</f>
        <v>III</v>
      </c>
      <c r="FK50" t="str">
        <f>IF(B50="","",IF(TRIM(AD50&amp;"")&lt;&gt;"",IF(LOWER(TRIM(AD50&amp;""))="да","да","нет"),IF(IFERROR(_xlfn.XLOOKUP(AX50,Коды_код,Коды_пожарная),"")="да","да","нет")))</f>
        <v>нет</v>
      </c>
      <c r="FL50" t="str">
        <f t="shared" si="70"/>
        <v/>
      </c>
      <c r="FM50" t="str">
        <f t="shared" si="71"/>
        <v>основная</v>
      </c>
      <c r="FN50">
        <f t="shared" si="72"/>
        <v>1</v>
      </c>
      <c r="FO50" t="str" cm="1">
        <f t="array" ref="FO50">IF(B50="","",_xlfn.LET(_xlpm.t,IFERROR(_xlfn.XLOOKUP(1,(Шины[Шина]=FM50)*(((Шины[Щит]=A50)+(Шины[Щит]=""))&gt;0),Шины[Тип]),"")&amp;"",IF(_xlpm.t&lt;&gt;"",_xlpm.t,IF(ISNUMBER(SEARCH("ИБП",FM50)),"ИБП",IF(ISNUMBER(SEARCH("ДГУ",FM50)),"ДГУ","Ввод "&amp;FN50)))))</f>
        <v>Ввод 1</v>
      </c>
      <c r="FP50" t="str">
        <f t="shared" si="73"/>
        <v>Ввод 1</v>
      </c>
      <c r="FQ50" t="str">
        <f>IF(B50="","",IF(OR(FO50="ИБП",FO50="ДГУ"),"I особая",IF(FO50="Одиночная","III",_xlfn.XLOOKUP(A50,Щиты[Щит],Щиты[Категория шины «Ввод»],"III"))))</f>
        <v>II</v>
      </c>
      <c r="FR50">
        <f>IF(B50="",0,IFERROR(MATCH(FJ50,{"III","II","I","I особая"},0),1))</f>
        <v>1</v>
      </c>
      <c r="FS50">
        <f t="shared" si="74"/>
        <v>1</v>
      </c>
      <c r="FT50" t="str">
        <f>IF(B50="","",IF(FR50&gt;IFERROR(MATCH(FQ50,{"III","II","I","I особая"},0),1),"НЕ ОБЕСПЕЧЕНА","ОК"))</f>
        <v>ОК</v>
      </c>
      <c r="FU50" t="str">
        <f>IF(A50="","",_xlfn.XLOOKUP(A50,Щиты[Щит],Щиты[Путь],""))</f>
        <v>|ГРЩ-ЖД|ЩГП|ЩО-001|</v>
      </c>
      <c r="FV50" t="str">
        <f>IF(B50="","",IF(AE50&lt;&gt;"",AE50,IF(IFERROR(_xlfn.XLOOKUP(AX50,Коды_код,Коды_вид)&amp;"","")="","Прочее",_xlfn.XLOOKUP(AX50,Коды_код,Коды_вид)&amp;"")))</f>
        <v>Рабочее освещение</v>
      </c>
      <c r="FW50" t="str">
        <f>IF(BH50="","",INT((BH50-1)/Столбцов_на_лист)+1)</f>
        <v/>
      </c>
      <c r="FX50" t="str">
        <f t="shared" si="75"/>
        <v/>
      </c>
      <c r="FY50">
        <f t="shared" si="76"/>
        <v>0</v>
      </c>
      <c r="FZ50">
        <f t="shared" si="77"/>
        <v>0</v>
      </c>
      <c r="GA50">
        <f t="shared" si="78"/>
        <v>1</v>
      </c>
      <c r="GB50">
        <f t="shared" si="79"/>
        <v>0</v>
      </c>
      <c r="GC50">
        <f t="shared" si="80"/>
        <v>0</v>
      </c>
      <c r="GD50" t="str">
        <f>IF(BH50="","",IF(AND(CA50=1,GC50=1),COUNTIFS(A$3:A50,A50,CA$3:CA50,1,GC$3:GC50,1),IF(OR(OR(AW50=1,A50&lt;&gt;A49),AF50="вручную",GC50=0),"",IF(AW50=1,"",GE49))))</f>
        <v/>
      </c>
      <c r="GE50" t="str">
        <f t="shared" si="81"/>
        <v/>
      </c>
      <c r="GF50" t="str">
        <f>IF(B50="","",IFERROR(LOOKUP(INDEX(CHOOSE(DL50,Iдоп_1ж,Iдоп_2ж,Iдоп_3ж),MATCH(DX50,Iдоп_S,0))*DJ50*DK50,{6,10,16,20,25,32,40,50,63,80,100,125,160,200,250,315,400,500,630}),""))</f>
        <v/>
      </c>
      <c r="GG50" t="str">
        <f t="shared" si="82"/>
        <v/>
      </c>
      <c r="GH50" t="str">
        <f t="shared" si="83"/>
        <v/>
      </c>
      <c r="GI50" t="str">
        <f t="shared" si="84"/>
        <v/>
      </c>
      <c r="GJ50">
        <f t="shared" si="85"/>
        <v>0</v>
      </c>
      <c r="GK50" t="str">
        <f>IF(OR(AG50="",AG50="-"),"",IFERROR(VLOOKUP(AG50,Модули_спр,2,FALSE),"R"))</f>
        <v/>
      </c>
      <c r="GL50" t="str">
        <f>IF(GK50="","",GK50&amp;"."&amp;COUNTIFS(A$3:A50,A50,GK$3:GK50,GK50))</f>
        <v/>
      </c>
      <c r="GM50" t="str">
        <f t="shared" si="86"/>
        <v/>
      </c>
      <c r="GN50" t="str">
        <f t="shared" si="87"/>
        <v/>
      </c>
      <c r="GO50" t="str">
        <f t="shared" si="88"/>
        <v/>
      </c>
      <c r="GP50" t="str">
        <f t="shared" si="89"/>
        <v/>
      </c>
      <c r="GQ50">
        <f t="shared" si="90"/>
        <v>0</v>
      </c>
      <c r="GR50" t="str">
        <f>IF(GQ50=1,"XT"&amp;COUNTIFS(A$3:A50,A50,GQ$3:GQ50,1),"")</f>
        <v/>
      </c>
      <c r="GS50" t="str">
        <f t="shared" si="91"/>
        <v/>
      </c>
      <c r="GT50" t="str">
        <f t="shared" si="92"/>
        <v/>
      </c>
      <c r="GU50" t="str">
        <f t="shared" si="93"/>
        <v/>
      </c>
      <c r="GV50" t="str">
        <f t="shared" si="94"/>
        <v>ok</v>
      </c>
      <c r="GW50" t="str">
        <f>IF(OR(GO50="",GM50=""),"",IF(GO50&gt;IFERROR(VLOOKUP(GN50,Модули_спр,3,FALSE),99),"ЛИШНИЙ КАНАЛ",IF(AND(AH50&lt;&gt;"=",COUNTIFS(Линии[_модуль гр.],GM50,Линии[Канал (итог)],GO50,Линии[Канал],"&lt;&gt;=",Линии[Щит],A50)&gt;1),"ДУБЛЬ КАНАЛА","")))</f>
        <v/>
      </c>
      <c r="GX50" s="6" t="str">
        <f t="shared" si="95"/>
        <v/>
      </c>
      <c r="GY50">
        <f t="shared" si="96"/>
        <v>10</v>
      </c>
      <c r="GZ50" t="str">
        <f t="shared" si="97"/>
        <v/>
      </c>
      <c r="HA50" t="str">
        <f>IF(AND(B50="",GT50=""),"",_xlfn.TEXTJOIN("; ",TRUE,IF(AND(B50&lt;&gt;"",FE50=""),"нет фазы",""),IF(AND(B50&lt;&gt;"",N(FY50)=0,EQ50&lt;&gt;"Нет"),"нет мощности",""),IF(AND(GS50&lt;&gt;"",COUNTIFS(Линии[Щит],A50,Линии[Клемма (итог)],GS50)&gt;1),"дубль клеммы "&amp;GS50,""),IF(AND(GV50&lt;&gt;"",GV50&lt;&gt;"ok"),GV50,""),IF(GW50&lt;&gt;"",GW50,""),IF(AND(N(BV50)&gt;=4,N(BR50)=1),BV50&amp;" жил на 1 фазе",""),IF(AND(AX50="R",CA50=1,OR(N(CK50)=0,N(CK50)&gt;30)),"розетка без дифзащиты до 30 мА",""),IFERROR(IF(AND(ISNUMBER(R50),R50&gt;DV50),"потери "&amp;FIXED(R50,1)&amp;" % &gt; "&amp;DV50&amp;" %",""),""),IFERROR(IF(LEFT(GZ50,4)="мало","Iкз мало — отключение &gt; 0,4 с",""),""),IF(AND(B50&lt;&gt;"",BH50=""),"не на схеме",""),IF(AND(CA50=0,B50&lt;&gt;"",FE50&lt;&gt;"",IF(AW50=1,"",FF49)&lt;&gt;"",FE50&lt;&gt;IF(AW50=1,"",FF49)),"фаза не как у автомата группы ("&amp;IF(AW50=1,"",FF49)&amp;")","")))</f>
        <v>нет мощности; не на схеме</v>
      </c>
      <c r="HB50" s="6">
        <f>IF(OR(CA50=0,DA50=""),"",_xlfn.LET(_xlpm.t,IFERROR(_xlfn.XLOOKUP(DA50,Каталог!$U$4:$U$500,Каталог!$G$4:$G$500),""),_xlpm.k,SEARCH("кА",_xlpm.t),IFERROR(--TRIM(RIGHT(SUBSTITUTE(MID(_xlpm.t,MAX(1,_xlpm.k-4),_xlpm.k-MAX(1,_xlpm.k-4))," ",REPT(" ",9)),5)),"")))</f>
        <v>6</v>
      </c>
      <c r="HC50" t="str">
        <f>IF(OR(HB50="",CA50=0),"",IF(_xlfn.XLOOKUP(A50,Щиты[Щит],Щиты[Iкз max на шинах, кА],"")="","",IF(HB50&lt;_xlfn.XLOOKUP(A50,Щиты[Щит],Щиты[Iкз max на шинах, кА]),"Icu "&amp;HB50&amp;" кА &lt; Iкз max","ok")))</f>
        <v/>
      </c>
      <c r="HD50" t="str">
        <f t="shared" si="98"/>
        <v/>
      </c>
      <c r="HE50" t="str">
        <f t="shared" si="99"/>
        <v/>
      </c>
      <c r="HF50" t="str">
        <f t="shared" si="100"/>
        <v/>
      </c>
      <c r="HG50" t="str" cm="1">
        <f t="array" ref="HG50">IF(HF50="","",_xlfn.LET(_xlpm.nd,_xlfn.TEXTSPLIT(HF50,"|"),IF(COLUMNS(_xlpm.nd)&gt;1,A50&amp;"¦"&amp;INDEX(_xlpm.nd,1)&amp;"¦"&amp;INDEX(_xlpm.nd,2),"")))</f>
        <v/>
      </c>
      <c r="HH50" t="str">
        <f t="shared" si="101"/>
        <v/>
      </c>
      <c r="HI50" t="str" cm="1">
        <f t="array" ref="HI50">IF(HF50="","",_xlfn.LET(_xlpm.nd,_xlfn.TEXTSPLIT(HF50,"|"),IF(COLUMNS(_xlpm.nd)&gt;2,A50&amp;"¦"&amp;INDEX(_xlpm.nd,2)&amp;"¦"&amp;INDEX(_xlpm.nd,3),"")))</f>
        <v/>
      </c>
      <c r="HJ50" t="str">
        <f t="shared" si="102"/>
        <v/>
      </c>
      <c r="HK50" t="str" cm="1">
        <f t="array" ref="HK50">IF(HF50="","",_xlfn.LET(_xlpm.nd,_xlfn.TEXTSPLIT(HF50,"|"),IF(COLUMNS(_xlpm.nd)&gt;3,A50&amp;"¦"&amp;INDEX(_xlpm.nd,3)&amp;"¦"&amp;INDEX(_xlpm.nd,4),"")))</f>
        <v/>
      </c>
      <c r="HL50" t="str">
        <f t="shared" si="103"/>
        <v/>
      </c>
      <c r="HM50" t="str" cm="1">
        <f t="array" ref="HM50">IF(HF50="","",_xlfn.LET(_xlpm.nd,_xlfn.TEXTSPLIT(HF50,"|"),IF(COLUMNS(_xlpm.nd)&gt;4,A50&amp;"¦"&amp;INDEX(_xlpm.nd,4)&amp;"¦"&amp;INDEX(_xlpm.nd,5),"")))</f>
        <v/>
      </c>
      <c r="HN50" t="str">
        <f t="shared" si="104"/>
        <v/>
      </c>
      <c r="HO50" t="str" cm="1">
        <f t="array" ref="HO50">IF(HF50="","",_xlfn.LET(_xlpm.nd,_xlfn.TEXTSPLIT(HF50,"|"),IF(COLUMNS(_xlpm.nd)&gt;5,A50&amp;"¦"&amp;INDEX(_xlpm.nd,5)&amp;"¦"&amp;INDEX(_xlpm.nd,6),"")))</f>
        <v/>
      </c>
      <c r="HP50" t="str">
        <f t="shared" si="105"/>
        <v/>
      </c>
      <c r="HQ50" t="str" cm="1">
        <f t="array" ref="HQ50">IF(HF50="","",_xlfn.LET(_xlpm.nd,_xlfn.TEXTSPLIT(HF50,"|"),IF(COLUMNS(_xlpm.nd)&gt;6,A50&amp;"¦"&amp;INDEX(_xlpm.nd,6)&amp;"¦"&amp;INDEX(_xlpm.nd,7),"")))</f>
        <v/>
      </c>
      <c r="HR50" t="str">
        <f t="shared" si="106"/>
        <v/>
      </c>
      <c r="HS50" t="str">
        <f t="shared" si="107"/>
        <v/>
      </c>
      <c r="HT50" t="str">
        <f t="shared" si="108"/>
        <v/>
      </c>
      <c r="HU50">
        <f t="shared" si="109"/>
        <v>0</v>
      </c>
      <c r="HV50">
        <f t="shared" si="110"/>
        <v>0</v>
      </c>
      <c r="HW50" t="str">
        <f t="shared" si="111"/>
        <v/>
      </c>
      <c r="HX50" t="str">
        <f t="shared" si="112"/>
        <v/>
      </c>
      <c r="HY50" t="str">
        <f t="shared" si="113"/>
        <v/>
      </c>
      <c r="HZ50" t="str">
        <f t="shared" si="114"/>
        <v/>
      </c>
      <c r="IA50" t="str">
        <f>IF(B50="","",IFERROR(VLOOKUP(B50,УГО_спр,2,FALSE),IFERROR(VLOOKUP(AX50,УГО_спр,2,FALSE),IFERROR(VLOOKUP(LEFT(AX50,2),УГО_спр,2,FALSE),""))))</f>
        <v>Светильник</v>
      </c>
      <c r="IB50" t="str">
        <f>IF(B50="","",IF(OR(IA50="",IA50=0),"BOX",IFERROR(IF(VLOOKUP(IA50,УГО_блоки,3,FALSE)&amp;""&lt;&gt;"",VLOOKUP(IA50,УГО_блоки,3,FALSE),VLOOKUP(IA50,УГО_блоки,2,FALSE)),IA50)))</f>
        <v>LAMP</v>
      </c>
      <c r="IC50">
        <f t="shared" si="115"/>
        <v>1</v>
      </c>
      <c r="ID50" t="str">
        <f>IF(DA50="","",IF(COUNTIF(DA$3:DA50,DA50)=1,MAX(ID$2:ID49)+1,""))</f>
        <v/>
      </c>
      <c r="IE50" t="str">
        <f>IF(CO50="","",IF(COUNTIF(CO$3:CO50,CO50)+COUNTIF(CP$2:CP49,CO50)+COUNTIF(CQ$2:CQ49,CO50)=1,MAX(IE$2:IG49)+1,""))</f>
        <v/>
      </c>
      <c r="IF50" t="str">
        <f>IF(CP50="","",IF(COUNTIF(CO$3:CO50,CP50)+COUNTIF(CP$3:CP50,CP50)+COUNTIF(CQ$2:CQ49,CP50)=1,MAX(IE$2:IG49,IE50)+1,""))</f>
        <v/>
      </c>
      <c r="IG50" t="str">
        <f>IF(CQ50="","",IF(COUNTIF(CO$3:CO50,CQ50)+COUNTIF(CP$3:CP50,CQ50)+COUNTIF(CQ$3:CQ50,CQ50)=1,MAX(IE$2:IG49,IE50,IF50)+1,""))</f>
        <v/>
      </c>
      <c r="IH50" t="str">
        <f t="shared" si="116"/>
        <v/>
      </c>
      <c r="II50" t="str">
        <f>IF(IH50="","",IF(COUNTIF(IH$3:IH50,IH50)=1,MAX(II$2:II49)+1,""))</f>
        <v/>
      </c>
      <c r="IJ50" t="str">
        <f>IF(GL50="","",COUNTIF(GL$3:GL50,"?*"))</f>
        <v/>
      </c>
      <c r="IK50" t="str">
        <f>IF(OR(GL50="",GN50=""),"",IF(COUNTIFS(GL$3:GL50,"?*",GN$3:GN50,GN50)=1,MAX(IK$2:IK49)+1,""))</f>
        <v/>
      </c>
      <c r="IL50">
        <f t="shared" si="117"/>
        <v>1</v>
      </c>
      <c r="IM50">
        <f>IF(B50="","",COUNTIF(B$3:B50,"?*"))</f>
        <v>48</v>
      </c>
      <c r="IN50">
        <f>IF(GQ50&lt;&gt;1,0,_xlfn.LET(_xlpm.k,MAX(IFERROR(--VLOOKUP(B50,УГО_спр,5,FALSE),0),IFERROR(--VLOOKUP(AX50,УГО_спр,5,FALSE),0),IFERROR(--VLOOKUP(LEFT(AX50,2),УГО_спр,5,FALSE),0)),IF(_xlpm.k&gt;0,_xlpm.k,IF(IFERROR(--LEFT(SUBSTITUTE(IH50,"x","х"),FIND("х",SUBSTITUTE(IH50,"x","х"))-1),3)&gt;3,Каталог!$S$9,1))))</f>
        <v>0</v>
      </c>
      <c r="IO50">
        <f t="shared" si="118"/>
        <v>0</v>
      </c>
      <c r="IP50" t="str">
        <f t="shared" si="119"/>
        <v>авто</v>
      </c>
      <c r="IQ50" t="str">
        <f t="shared" si="120"/>
        <v/>
      </c>
      <c r="IR50">
        <f t="shared" si="121"/>
        <v>0</v>
      </c>
      <c r="IS50">
        <f t="shared" si="122"/>
        <v>1</v>
      </c>
    </row>
    <row r="51" spans="1:253" x14ac:dyDescent="0.3">
      <c r="A51" t="s">
        <v>1104</v>
      </c>
      <c r="B51" t="s">
        <v>1324</v>
      </c>
      <c r="C51" t="str">
        <f>Линии[[#This Row],[_авто наименование]]</f>
        <v>Осветительная группа, пом. 010Б</v>
      </c>
      <c r="D51">
        <v>12</v>
      </c>
      <c r="E51" t="str">
        <f>Линии[[#This Row],[_авто Р]]</f>
        <v/>
      </c>
      <c r="G51" t="str">
        <f>Линии[[#This Row],[_авто автомат]]</f>
        <v>1P С10А</v>
      </c>
      <c r="H51" t="str">
        <f>Линии[[#This Row],[_авто утечка]]</f>
        <v/>
      </c>
      <c r="I51" t="str">
        <f>Линии[[#This Row],[_авто управление]]</f>
        <v/>
      </c>
      <c r="J51" t="str">
        <f>Линии[[#This Row],[_авто аппараты]]</f>
        <v/>
      </c>
      <c r="K51">
        <v>1.5</v>
      </c>
      <c r="L51">
        <v>55</v>
      </c>
      <c r="M51" t="str">
        <f>Линии[[#This Row],[_авто фаза]]</f>
        <v>L2</v>
      </c>
      <c r="N51" t="str">
        <f>Линии[[#This Row],[_авто клемма]]</f>
        <v>XT19</v>
      </c>
      <c r="O51" t="str">
        <f t="shared" si="0"/>
        <v>нет мощности; не на схеме</v>
      </c>
      <c r="P51" s="6" cm="1">
        <f t="array" ref="P51">IF(B51="","",IF(BC51&lt;&gt;"",IFERROR(_xlfn.XLOOKUP(BC51,Щиты[Щит],Щиты[Iр, А]),""),IF(BK51=1,IFERROR(_xlfn.XLOOKUP(A51,Щиты[Щит],Щиты[Iр, А]),""),IFERROR(_xlfn.IFS(BR51=1,BN51/((Uн_лин/SQRT(3))*BY51),BR51=3,BN51/(SQRT(3)*Uн_лин*BY51)),""))))</f>
        <v>0</v>
      </c>
      <c r="Q51" s="7">
        <f>IF(B51="","",IFERROR(IF(VLOOKUP(AX51,Потребители_обозначение,4,FALSE)=1,VLOOKUP(AX51,Потребители_обозначение,3,FALSE)*(D51*2-1)+DS51+VLOOKUP(AZ51,Этаж_обозначение,3,FALSE)+VLOOKUP(AZ51,Этаж_обозначение,4,FALSE),VLOOKUP(AX51,Потребители_обозначение,3,FALSE)*(D51*2-1)+DS51),DS51))</f>
        <v>78</v>
      </c>
      <c r="R51" s="6">
        <f t="shared" si="1"/>
        <v>0.17</v>
      </c>
      <c r="S51" t="str">
        <f t="shared" si="2"/>
        <v>ВВГнг(А)-LS (3х1,5)</v>
      </c>
      <c r="T51" t="str">
        <f>IF(BH51="","",IF(BI51="вводной узел","узел ","")&amp;"л."&amp;(INT((BH51-1)/Столбцов_на_лист)+1)&amp;" / "&amp;(MOD(BH51-1,Столбцов_на_лист)+1))</f>
        <v/>
      </c>
      <c r="V51">
        <v>1</v>
      </c>
      <c r="W51">
        <v>230</v>
      </c>
      <c r="X51" t="s">
        <v>564</v>
      </c>
      <c r="AE51" t="s">
        <v>557</v>
      </c>
      <c r="AI51" t="s">
        <v>529</v>
      </c>
      <c r="AJ51" t="s">
        <v>11</v>
      </c>
      <c r="AK51">
        <v>3</v>
      </c>
      <c r="AN51">
        <v>70</v>
      </c>
      <c r="AW51" cm="1">
        <f t="array" ref="AW51">ROW()-ROW(Линии[#Headers])</f>
        <v>49</v>
      </c>
      <c r="AX51" s="6" t="str">
        <f t="shared" si="3"/>
        <v>L</v>
      </c>
      <c r="AY51" t="str">
        <f t="shared" si="4"/>
        <v>00.010Б.1</v>
      </c>
      <c r="AZ51" t="str">
        <f t="shared" si="5"/>
        <v>00</v>
      </c>
      <c r="BA51" t="str">
        <f t="shared" si="6"/>
        <v>010Б.1</v>
      </c>
      <c r="BB51" t="str">
        <f t="shared" si="7"/>
        <v>010Б</v>
      </c>
      <c r="BC51" t="str">
        <f>IF(U51&lt;&gt;"",U51,IF(AND(B51&lt;&gt;"",B51&lt;&gt;A51,ISNUMBER(_xlfn.XMATCH(B51,Щиты[Щит]))),B51,""))</f>
        <v/>
      </c>
      <c r="BD51" t="str" cm="1">
        <f t="array" ref="BD51">IF(B51="","",IF(BC51&lt;&gt;"","Щит "&amp;BC51,_xlfn.LET(_xlpm.nm,IFERROR(_xlfn.XLOOKUP(AX51,Коды_код,Коды_имя)&amp;"",""),_xlpm.md,IFERROR(N(_xlfn.XLOOKUP(AX51,Коды_код,Коды_режим)),1),_xlpm.ex,IF(Имя_режим="по экспликации",IFERROR(_xlfn.XLOOKUP(AZ51&amp;"|"&amp;BB51,Экспликация[Этаж]&amp;"|"&amp;Экспликация[Помещение],Экспликация[Название])&amp;"",""),""),_xlpm.rm,IF(BB51="","",IF(_xlpm.ex&lt;&gt;"",". "&amp;_xlpm.ex&amp;IF(Имя_пом="нет"," ("&amp;BB51&amp;")"," (пом. "&amp;BB51&amp;")"),IF(Имя_пом="нет"," ",", пом. ")&amp;BB51)),IF(_xlpm.nm="","",IF(_xlpm.md=2,_xlpm.nm&amp;" шлейф "&amp;AZ51,_xlpm.nm&amp;_xlpm.rm)))))</f>
        <v>Осветительная группа, пом. 010Б</v>
      </c>
      <c r="BE51" t="str">
        <f t="shared" si="8"/>
        <v>Осветительная группа, пом. 010Б</v>
      </c>
      <c r="BF51">
        <f>IFERROR(_xlfn.XMATCH(A51,Щиты[Щит]),0)</f>
        <v>3</v>
      </c>
      <c r="BG51">
        <f>_xlfn.LET(_xlpm.k,IFERROR(_xlfn.XLOOKUP(A51,Щиты[Щит],Щиты[Листов под вводной узел]),""),IF(_xlpm.k="",1,N(_xlpm.k))*Столбцов_на_лист)</f>
        <v>17</v>
      </c>
      <c r="BH51" t="str">
        <f t="shared" si="9"/>
        <v/>
      </c>
      <c r="BI51" t="str">
        <f t="shared" si="10"/>
        <v/>
      </c>
      <c r="BJ51" s="6">
        <f>IFERROR(N(_xlfn.XLOOKUP(AX51,Коды_код,Коды_квт)),0)</f>
        <v>0</v>
      </c>
      <c r="BK51">
        <f t="shared" si="11"/>
        <v>0</v>
      </c>
      <c r="BL51" t="str">
        <f>IF(B51="","",IF(BC51&lt;&gt;"",IFERROR(_xlfn.XLOOKUP(BC51,Щиты[Щит],Щиты[Руст, кВт]),0),IF(BK51=1,IFERROR(_xlfn.XLOOKUP(A51,Щиты[Щит],Щиты[Руст, кВт]),0),IF(BJ51&gt;0,ROUND(BJ51*MAX(1,N(D51)),3),""))))</f>
        <v/>
      </c>
      <c r="BM51" t="str">
        <f t="shared" si="12"/>
        <v/>
      </c>
      <c r="BN51" s="6">
        <f>IF(B51="","",IF(BC51&lt;&gt;"",IFERROR(_xlfn.XLOOKUP(BC51,Щиты[Щит],Щиты[Руст, кВт]),0),N(BM51)))</f>
        <v>0</v>
      </c>
      <c r="BO51" t="str">
        <f>IF(B51="","",IFERROR(IF(VLOOKUP(AX51,Потребители_обозначение,8,FALSE)=0,"",VLOOKUP(AX51,Потребители_обозначение,8,FALSE)),""))</f>
        <v/>
      </c>
      <c r="BP51">
        <f t="shared" si="13"/>
        <v>230</v>
      </c>
      <c r="BQ51">
        <f>IF(B51="","",IF(BC51&lt;&gt;"",3,IFERROR(IF(N(VLOOKUP(AX51,Потребители_обозначение,9,FALSE))=0,1,VLOOKUP(AX51,Потребители_обозначение,9,FALSE)),1)))</f>
        <v>1</v>
      </c>
      <c r="BR51">
        <f t="shared" si="14"/>
        <v>1</v>
      </c>
      <c r="BS51" t="str">
        <f>IF(B51="","",_xlfn.LET(_xlpm.bc,IFERROR(IF(VLOOKUP(AX51,Потребители_обозначение,6,FALSE)=0,"",VLOOKUP(AX51,Потребители_обозначение,6,FALSE)&amp;""),""),IF(AND(FK51="да",OR(_xlpm.bc="",_xlpm.bc="мс")),Марка_пож,IF(AND(_xlpm.bc="",BC51&lt;&gt;""),"мс",_xlpm.bc))))</f>
        <v/>
      </c>
      <c r="BT51" t="str">
        <f t="shared" si="15"/>
        <v>мс</v>
      </c>
      <c r="BU51">
        <f>IF(B51="","",_xlfn.LET(_xlpm.cc,IFERROR(N(VLOOKUP(AX51,Потребители_обозначение,7,FALSE)),0),IF(_xlpm.cc&gt;0,_xlpm.cc,IF(BT51="","",IF(N(BR51)=3,5,3)))))</f>
        <v>3</v>
      </c>
      <c r="BV51">
        <f t="shared" si="16"/>
        <v>3</v>
      </c>
      <c r="BW51">
        <f>IFERROR(N(VLOOKUP(AX51,Потребители_обозначение,10,FALSE)),0)</f>
        <v>0</v>
      </c>
      <c r="BX51">
        <f>IFERROR(VLOOKUP(AX51,Потребители_обозначение,5,FALSE),0)</f>
        <v>3</v>
      </c>
      <c r="BY51" s="6" cm="1">
        <f t="array" ref="BY51">IF(B51="","",IF(BC51&lt;&gt;"",IFERROR(_xlfn.XLOOKUP(BC51,Щиты[Щит],Щиты[cos φ]),0.95),IF(BK51=1,IFERROR(_xlfn.XLOOKUP(A51,Щиты[Щит],Щиты[cos φ]),0.95),IF(ISNUMBER(Z51),Z51,IFERROR(IF(BX51=2,_xlfn.IFS(BR51=3,VLOOKUP(BN51,Справочная_двигатели,8,FALSE),BR51=1,VLOOKUP(BN51,Справочная_двигатели,10,TRUE)),IF(AND(Методика="нормы 2026",EQ51="Сил"),0.8,0.95)),0.95)))))</f>
        <v>0.95</v>
      </c>
      <c r="BZ51">
        <f t="shared" si="17"/>
        <v>0</v>
      </c>
      <c r="CA51">
        <f t="shared" si="18"/>
        <v>1</v>
      </c>
      <c r="CB51">
        <f t="shared" si="19"/>
        <v>0</v>
      </c>
      <c r="CC51">
        <f t="shared" si="20"/>
        <v>0</v>
      </c>
      <c r="CD51">
        <f t="shared" si="21"/>
        <v>0</v>
      </c>
      <c r="CE51">
        <f t="shared" si="22"/>
        <v>0</v>
      </c>
      <c r="CF51">
        <f t="shared" si="23"/>
        <v>0</v>
      </c>
      <c r="CG51">
        <f>IF(AX51="",0,_xlfn.LET(_xlpm.v,IFERROR(VLOOKUP(B51,УГО_спр,3,FALSE),IFERROR(VLOOKUP(AX51,УГО_спр,3,FALSE),IFERROR(VLOOKUP(LEFT(AX51,2),УГО_спр,3,FALSE),""))),IF(_xlpm.v="да",30,IF(ISNUMBER(_xlpm.v),_xlpm.v,0))))</f>
        <v>0</v>
      </c>
      <c r="CH51" t="str">
        <f t="shared" si="24"/>
        <v/>
      </c>
      <c r="CI51" t="str">
        <f>_xlfn.LET(_xlpm.k,IFERROR(_xlfn.XLOOKUP(AX51,Коды_код,Коды_утечка)&amp;"",""),IF(_xlpm.k="","дифавтомат",_xlpm.k))</f>
        <v>дифавтомат</v>
      </c>
      <c r="CJ51">
        <f t="shared" si="25"/>
        <v>0</v>
      </c>
      <c r="CK51">
        <f t="shared" si="26"/>
        <v>0</v>
      </c>
      <c r="CL51">
        <f>IF(B51="",0,IFERROR(--VLOOKUP(B51,УГО_спр,4,FALSE),IFERROR(--VLOOKUP(AX51,УГО_спр,4,FALSE),IFERROR(--VLOOKUP(LEFT(AX51,2),УГО_спр,4,FALSE),0))))</f>
        <v>10</v>
      </c>
      <c r="CM51" t="str">
        <f>IF(B51="","",IFERROR(_xlfn.XLOOKUP(AX51,Коды_код,Коды_апп)&amp;"",""))</f>
        <v/>
      </c>
      <c r="CN51" t="str">
        <f t="shared" si="27"/>
        <v/>
      </c>
      <c r="CO51" t="str" cm="1">
        <f t="array" ref="CO51">IF(TRIM(CN51&amp;"")="","",IFERROR(TRIM(INDEX(_xlfn.TEXTSPLIT(CN51&amp;";;;",";"),1)),""))</f>
        <v/>
      </c>
      <c r="CP51" t="str" cm="1">
        <f t="array" ref="CP51">IF(TRIM(CN51&amp;"")="","",IFERROR(TRIM(INDEX(_xlfn.TEXTSPLIT(CN51&amp;";;;",";"),2)),""))</f>
        <v/>
      </c>
      <c r="CQ51" t="str" cm="1">
        <f t="array" ref="CQ51">IF(TRIM(CN51&amp;"")="","",IFERROR(TRIM(INDEX(_xlfn.TEXTSPLIT(CN51&amp;";;;",";"),3)),""))</f>
        <v/>
      </c>
      <c r="CR51">
        <f t="shared" si="28"/>
        <v>0</v>
      </c>
      <c r="CS51" t="str">
        <f>IF(B51="","",_xlfn.LET(_xlpm.t,LOWER(AV51&amp;""),IF(ISNUMBER(SEARCH("dim",_xlpm.t)),"DIM",IF(ISNUMBER(SEARCH("dali",_xlpm.t)),"DALI",IF(OR(ISNUMBER(SEARCH("relay",_xlpm.t)),ISNUMBER(SEARCH("реле",_xlpm.t))),"Relay",IF(ISNUMBER(SEARCH("кнопк",_xlpm.t)),"",IFERROR(_xlfn.XLOOKUP(AX51,Коды_код,Коды_упр)&amp;"","")))))))</f>
        <v/>
      </c>
      <c r="CT51" t="str">
        <f t="shared" si="29"/>
        <v/>
      </c>
      <c r="CU51">
        <f>IF(B51="","",_xlfn.LET(_xlpm.ig,N(P51)+IF(AF51="вручную",0,N(CB51)),_xlpm.n0,IFERROR(VLOOKUP(_xlpm.ig,Автомат_номиналы,2,TRUE),0),_xlpm.mn,MAX(CL51,IF(AF51="вручную",0,N(CE51))),MAX(_xlpm.n0,_xlpm.mn,IF(CR51=1,Мин_автомат_БП,0))))</f>
        <v>10</v>
      </c>
      <c r="CV51">
        <f t="shared" si="30"/>
        <v>1</v>
      </c>
      <c r="CW51" t="str">
        <f t="shared" si="31"/>
        <v>1P</v>
      </c>
      <c r="CX51" t="str">
        <f>_xlfn.LET(_xlpm.cc,UPPER(TRIM(IFERROR(_xlfn.XLOOKUP(AX51,Коды_код,Коды_хар)&amp;"",""))),IF(OR(_xlpm.cc="B",_xlpm.cc="В"),"B",IF(_xlpm.cc="D","D","С")))</f>
        <v>С</v>
      </c>
      <c r="CY51" t="str">
        <f t="shared" si="32"/>
        <v>1P С10А</v>
      </c>
      <c r="CZ51" t="str">
        <f t="shared" si="33"/>
        <v>1P С10А</v>
      </c>
      <c r="DA51" t="str">
        <f t="shared" si="34"/>
        <v>1P С10А</v>
      </c>
      <c r="DB51" cm="1">
        <f t="array" ref="DB51">IF(DA51="","",_xlfn.LET(_xlpm.t,SUBSTITUTE(SUBSTITUTE(SUBSTITUTE(UPPER(DA51),"С","C"),"А","A"),"В","B"),_xlpm.tk,_xlfn.TEXTSPLIT(_xlpm.t,"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1" t="str">
        <f t="shared" si="35"/>
        <v>ok</v>
      </c>
      <c r="DD51">
        <f t="shared" si="36"/>
        <v>10</v>
      </c>
      <c r="DE51" t="str">
        <f t="shared" si="37"/>
        <v>1P С10А</v>
      </c>
      <c r="DF51">
        <f t="shared" si="38"/>
        <v>0</v>
      </c>
      <c r="DG51">
        <f t="shared" si="39"/>
        <v>0</v>
      </c>
      <c r="DH51">
        <f t="shared" si="40"/>
        <v>0</v>
      </c>
      <c r="DI51">
        <f t="shared" si="41"/>
        <v>0</v>
      </c>
      <c r="DJ51">
        <f t="shared" si="42"/>
        <v>1</v>
      </c>
      <c r="DK51">
        <f>IF(ISNUMBER(AL51),AL51,К_прокл)</f>
        <v>1</v>
      </c>
      <c r="DL51">
        <f t="shared" si="43"/>
        <v>2</v>
      </c>
      <c r="DM51">
        <f>IFERROR(N(VLOOKUP(BT51,Кабель_обозначение,3,FALSE)),1)</f>
        <v>1</v>
      </c>
      <c r="DN51">
        <f>IFERROR(N(_xlfn.XLOOKUP(A51,Щиты[Щит],Щиты[ΔU до шин, %])),0)</f>
        <v>0.17</v>
      </c>
      <c r="DO51" t="str">
        <f>IFERROR(_xlfn.XLOOKUP(A51,Щиты[Щит],Щиты[Zпетли на шинах, Ом]),"")</f>
        <v/>
      </c>
      <c r="DP51">
        <f>IFERROR(N(_xlfn.XLOOKUP(A51,Щиты[Щит],Щиты[ΔU до шин (подбор), %])),0)</f>
        <v>0.65</v>
      </c>
      <c r="DQ51" t="str">
        <f>IFERROR(_xlfn.XLOOKUP(A51,Щиты[Щит],Щиты[Zпетли на шинах (подбор), Ом]),"")</f>
        <v/>
      </c>
      <c r="DR51" t="str">
        <f t="shared" si="44"/>
        <v/>
      </c>
      <c r="DS51">
        <f t="shared" si="45"/>
        <v>55</v>
      </c>
      <c r="DT51">
        <f t="shared" si="46"/>
        <v>2</v>
      </c>
      <c r="DU51">
        <f t="shared" si="47"/>
        <v>0.31</v>
      </c>
      <c r="DV51" s="6">
        <f>IF(B51="","",IF(IFERROR(VLOOKUP(AX51,УГО_спр,2,FALSE),"")="Светильник",3,4)+IF(Методика="нормы 2026",MIN(0.5,MAX(0,N(Q51)-100)*0.005),0))</f>
        <v>3</v>
      </c>
      <c r="DW51" cm="1">
        <f t="array" ref="DW51">IF(OR(B51="",BT51="",DM51&lt;&gt;1),"",_xlfn.LET(_xlpm.sz,Iдоп_S,_xlpm.t_,CHOOSE(DL51,Iдоп_1ж,Iдоп_2ж,Iдоп_3ж)*DJ51*DK51,_xlpm.inn,N(DD51),_xlpm.smin,MAX(1.5,BW51),_xlpm.L_,N(Q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51)*(_xlpm.rho*_xlpm.L_/_xlpm.sz*N(BY51)+_xlpm.xx*_xlpm.L_*N(DU51)/1000)*N(P51)/((Uн_лин/SQRT(3))*1000)*100,999),_xlpm.kz,IF(OR(DG51=1,NOT(ISNUMBER(DQ51)),_xlpm.L_=0,_xlpm.inn=0),1,IFERROR(--(c_min*(Uн_лин*1000/SQRT(3))/(DQ51+2*ρкз_Cu*_xlpm.L_/_xlpm.sz)&gt;=GY51*_xlpm.inn),0)),_xlpm.ok,IFERROR((_xlpm.sz&gt;=_xlpm.smin)*(_xlpm.t_&gt;=_xlpm.inn)*IF(_xlpm.L_&gt;0,(_xlpm.du_+DP51&lt;=DV51+0.00001),1)*_xlpm.kz,0),_xlpm.r_,_xlfn._xlws.FILTER(_xlpm.sz,_xlpm.ok,"не подобрано"),INDEX(_xlpm.r_,1)))</f>
        <v>1.5</v>
      </c>
      <c r="DX51">
        <f t="shared" si="48"/>
        <v>1.5</v>
      </c>
      <c r="DY51" cm="1">
        <f t="array" ref="DY51">IF(OR(B51="",BT51="",DM51&lt;&gt;1),"",_xlfn.LET(_xlpm.sz,Iдоп_S,_xlpm.t_,CHOOSE(DL51,Iдоп_1ж,Iдоп_2ж,Iдоп_3ж)*DJ51*DK51,_xlpm.ok,IFERROR((_xlpm.sz&gt;=MAX(1.5,BW51))*(_xlpm.t_&gt;=N(DD51)),0),_xlpm.r_,_xlfn._xlws.FILTER(_xlpm.sz,_xlpm.ok,""),INDEX(_xlpm.r_,1)))</f>
        <v>1.5</v>
      </c>
      <c r="DZ51" s="6" cm="1">
        <f t="array" ref="DZ51">IFERROR(ROUNDUP(N(DT51)*(_xlfn.XLOOKUP(DY51,INDEX(Кабель_сопротивление,0,1),INDEX(Кабель_сопротивление,0,3))*N(Q51)/DY51*N(BY51)+_xlfn.XLOOKUP(DY51,INDEX(Кабель_сопротивление,0,1),INDEX(Кабель_сопротивление,0,2))*N(Q51)*N(DU51)/1000)*N(P51)/((Uн_лин/SQRT(3))*1000)*100,2),"")</f>
        <v>0</v>
      </c>
      <c r="EA51">
        <f>IFERROR(2*ρкз_Cu*N(Q51)/DY51,"")</f>
        <v>2.7352000000000003</v>
      </c>
      <c r="EB51">
        <f>IFERROR(VLOOKUP(DX51,Кабель_сопротивление,3,FALSE),"")</f>
        <v>2.2499999999999999E-2</v>
      </c>
      <c r="EC51">
        <f>IFERROR(VLOOKUP(DX51,Кабель_сопротивление,2,FALSE),"")</f>
        <v>0.11</v>
      </c>
      <c r="ED51">
        <f t="shared" si="49"/>
        <v>70</v>
      </c>
      <c r="EE51" t="str">
        <f t="shared" si="50"/>
        <v/>
      </c>
      <c r="EF51">
        <f t="shared" si="51"/>
        <v>0</v>
      </c>
      <c r="EG51" s="6">
        <f>IFERROR(ROUNDUP(EF51/((Uн_лин/SQRT(3))*1000)*100,2),"")</f>
        <v>0</v>
      </c>
      <c r="EH51" t="str">
        <f>IFERROR(VLOOKUP(BT51,Кабель_обозначение,2,FALSE),"")</f>
        <v>ВВГнг(А)-LS</v>
      </c>
      <c r="EI51" t="str">
        <f t="shared" si="52"/>
        <v>ВВГнг(А)-LS (3х1,5)</v>
      </c>
      <c r="EJ51" t="str">
        <f t="shared" si="53"/>
        <v>ВВГнг(А)-LS (3х1,5)
L=78-0%</v>
      </c>
      <c r="EK51">
        <f>IFERROR(2*ρкз_Cu*Q51/DX51,"")</f>
        <v>2.7352000000000003</v>
      </c>
      <c r="EL51">
        <f t="shared" si="54"/>
        <v>0.91000000000000014</v>
      </c>
      <c r="EM51" s="6" t="str">
        <f>IFERROR(IF(OR(B51="",NOT(ISNUMBER(DX51)),N(Q51)=0),"",_xlfn.XLOOKUP(A51,Щиты[Щит],Щиты[Zпетли на шинах, Ом])+EK51),"")</f>
        <v/>
      </c>
      <c r="EN51" s="6" t="str">
        <f>IF(ISNUMBER(EM51),c_min*(Uн_лин*1000/SQRT(3))/EM51,"")</f>
        <v/>
      </c>
      <c r="EO51" s="6" t="str">
        <f>IFERROR(IF(OR(B51="",NOT(ISNUMBER(DX51))),"",1.05*(Uн_лин*1000/SQRT(3))/(_xlfn.XLOOKUP(A51,Щиты[Щит],Щиты[Zmax на шинах, Ом])+EL51)/1000),"")</f>
        <v/>
      </c>
      <c r="EP51" s="6" t="str">
        <f>IF(B51="","",IF(ISNUMBER(Y51),"Сил",IF(IFERROR(_xlfn.XLOOKUP(AX51,Коды_код,Коды_группа)&amp;"","")="","Быт",_xlfn.XLOOKUP(AX51,Коды_код,Коды_группа)&amp;"")))</f>
        <v>Быт</v>
      </c>
      <c r="EQ51" s="6" t="str">
        <f t="shared" si="55"/>
        <v>Быт</v>
      </c>
      <c r="ER51" s="6">
        <f>IF(EQ51="Щит","щит",IF(EQ51="","",IF(EQ51="Быт",IFERROR(_xlfn.XLOOKUP(A51,Щиты[Щит],Щиты[Кс быт]),1),IF(EQ51="Сил",IF(ISNUMBER(Y51),Y51,IF(Методика="нормы 2026",IFERROR(_xlfn.XLOOKUP(A51,Щиты[Щит],Щиты[Кс силовых (табл. 7.5)]),1),1)),IF(OR(EQ51="Пост",EQ51="Отоп"),1,IF(EQ51="ВНГ",0.7,0))))))</f>
        <v>0.8</v>
      </c>
      <c r="ES51">
        <f t="shared" si="56"/>
        <v>1</v>
      </c>
      <c r="ET51">
        <f t="shared" si="57"/>
        <v>0</v>
      </c>
      <c r="EU51">
        <f t="shared" si="58"/>
        <v>0</v>
      </c>
      <c r="EV51">
        <f t="shared" si="59"/>
        <v>0</v>
      </c>
      <c r="EW51">
        <f t="shared" si="60"/>
        <v>0</v>
      </c>
      <c r="EX51">
        <f t="shared" si="61"/>
        <v>0</v>
      </c>
      <c r="EY51">
        <f t="shared" si="62"/>
        <v>0</v>
      </c>
      <c r="EZ51">
        <f t="shared" si="63"/>
        <v>0</v>
      </c>
      <c r="FA51">
        <f t="shared" si="64"/>
        <v>0</v>
      </c>
      <c r="FB51">
        <f t="shared" si="65"/>
        <v>0</v>
      </c>
      <c r="FC51" t="str">
        <f t="shared" si="66"/>
        <v/>
      </c>
      <c r="FD51" t="str">
        <f>IF(B51="","",IF(CA51=0,IF(AW51=1,"",FF50),IF(OR(N(CV51)&gt;=3,N(BR51)&gt;=3),"L1,L2,L3",IFERROR(_xlfn.TEXTBEFORE(_xlfn.TEXTAFTER(_xlfn.XLOOKUP(A51,Щиты[Щит],Щиты[_фазы авто]),";"&amp;AW51&amp;":"),";"),"L1"))))</f>
        <v>L2</v>
      </c>
      <c r="FE51" t="str">
        <f t="shared" si="67"/>
        <v>L2</v>
      </c>
      <c r="FF51" t="str">
        <f t="shared" si="68"/>
        <v>L2</v>
      </c>
      <c r="FG51" cm="1">
        <f t="array" ref="FG51">IFERROR(IF(BX51=2,_xlfn.IFS(BR51=3,VLOOKUP(BN51,Справочная_двигатели,3,FALSE),BR51=1,VLOOKUP(BN51,Справочная_двигатели,5,TRUE)),0),0)</f>
        <v>0</v>
      </c>
      <c r="FH51">
        <f>IFERROR(IF(BX51=3,VLOOKUP(BN51,Справочная_ЛЭД,2,TRUE),0),0)</f>
        <v>0</v>
      </c>
      <c r="FI51" s="6">
        <f t="shared" si="69"/>
        <v>0</v>
      </c>
      <c r="FJ51" t="str" cm="1">
        <f t="array" ref="FJ51">IF(B51="","",IFERROR(INDEX({"I особая","I","II","III"},MATCH(TRIM(AC51&amp;""),{"I особая","I","II","III"},0)),"III"))</f>
        <v>III</v>
      </c>
      <c r="FK51" t="str">
        <f>IF(B51="","",IF(TRIM(AD51&amp;"")&lt;&gt;"",IF(LOWER(TRIM(AD51&amp;""))="да","да","нет"),IF(IFERROR(_xlfn.XLOOKUP(AX51,Коды_код,Коды_пожарная),"")="да","да","нет")))</f>
        <v>нет</v>
      </c>
      <c r="FL51" t="str">
        <f t="shared" si="70"/>
        <v/>
      </c>
      <c r="FM51" t="str">
        <f t="shared" si="71"/>
        <v>основная</v>
      </c>
      <c r="FN51">
        <f t="shared" si="72"/>
        <v>1</v>
      </c>
      <c r="FO51" t="str" cm="1">
        <f t="array" ref="FO51">IF(B51="","",_xlfn.LET(_xlpm.t,IFERROR(_xlfn.XLOOKUP(1,(Шины[Шина]=FM51)*(((Шины[Щит]=A51)+(Шины[Щит]=""))&gt;0),Шины[Тип]),"")&amp;"",IF(_xlpm.t&lt;&gt;"",_xlpm.t,IF(ISNUMBER(SEARCH("ИБП",FM51)),"ИБП",IF(ISNUMBER(SEARCH("ДГУ",FM51)),"ДГУ","Ввод "&amp;FN51)))))</f>
        <v>Ввод 1</v>
      </c>
      <c r="FP51" t="str">
        <f t="shared" si="73"/>
        <v>Ввод 1</v>
      </c>
      <c r="FQ51" t="str">
        <f>IF(B51="","",IF(OR(FO51="ИБП",FO51="ДГУ"),"I особая",IF(FO51="Одиночная","III",_xlfn.XLOOKUP(A51,Щиты[Щит],Щиты[Категория шины «Ввод»],"III"))))</f>
        <v>II</v>
      </c>
      <c r="FR51">
        <f>IF(B51="",0,IFERROR(MATCH(FJ51,{"III","II","I","I особая"},0),1))</f>
        <v>1</v>
      </c>
      <c r="FS51">
        <f t="shared" si="74"/>
        <v>1</v>
      </c>
      <c r="FT51" t="str">
        <f>IF(B51="","",IF(FR51&gt;IFERROR(MATCH(FQ51,{"III","II","I","I особая"},0),1),"НЕ ОБЕСПЕЧЕНА","ОК"))</f>
        <v>ОК</v>
      </c>
      <c r="FU51" t="str">
        <f>IF(A51="","",_xlfn.XLOOKUP(A51,Щиты[Щит],Щиты[Путь],""))</f>
        <v>|ГРЩ-ЖД|ЩГП|ЩО-001|</v>
      </c>
      <c r="FV51" t="str">
        <f>IF(B51="","",IF(AE51&lt;&gt;"",AE51,IF(IFERROR(_xlfn.XLOOKUP(AX51,Коды_код,Коды_вид)&amp;"","")="","Прочее",_xlfn.XLOOKUP(AX51,Коды_код,Коды_вид)&amp;"")))</f>
        <v>Рабочее освещение</v>
      </c>
      <c r="FW51" t="str">
        <f>IF(BH51="","",INT((BH51-1)/Столбцов_на_лист)+1)</f>
        <v/>
      </c>
      <c r="FX51" t="str">
        <f t="shared" si="75"/>
        <v>ВВГнг(А)-LS (3х1,5) L=78-0%</v>
      </c>
      <c r="FY51">
        <f t="shared" si="76"/>
        <v>0</v>
      </c>
      <c r="FZ51">
        <f t="shared" si="77"/>
        <v>0</v>
      </c>
      <c r="GA51">
        <f t="shared" si="78"/>
        <v>1</v>
      </c>
      <c r="GB51">
        <f t="shared" si="79"/>
        <v>0</v>
      </c>
      <c r="GC51">
        <f t="shared" si="80"/>
        <v>0</v>
      </c>
      <c r="GD51" t="str">
        <f>IF(BH51="","",IF(AND(CA51=1,GC51=1),COUNTIFS(A$3:A51,A51,CA$3:CA51,1,GC$3:GC51,1),IF(OR(OR(AW51=1,A51&lt;&gt;A50),AF51="вручную",GC51=0),"",IF(AW51=1,"",GE50))))</f>
        <v/>
      </c>
      <c r="GE51" t="str">
        <f t="shared" si="81"/>
        <v/>
      </c>
      <c r="GF51">
        <f>IF(B51="","",IFERROR(LOOKUP(INDEX(CHOOSE(DL51,Iдоп_1ж,Iдоп_2ж,Iдоп_3ж),MATCH(DX51,Iдоп_S,0))*DJ51*DK51,{6,10,16,20,25,32,40,50,63,80,100,125,160,200,250,315,400,500,630}),""))</f>
        <v>16</v>
      </c>
      <c r="GG51" t="str">
        <f t="shared" si="82"/>
        <v/>
      </c>
      <c r="GH51" t="str">
        <f t="shared" si="83"/>
        <v/>
      </c>
      <c r="GI51" t="str">
        <f t="shared" si="84"/>
        <v/>
      </c>
      <c r="GJ51">
        <f t="shared" si="85"/>
        <v>0</v>
      </c>
      <c r="GK51" t="str">
        <f>IF(OR(AG51="",AG51="-"),"",IFERROR(VLOOKUP(AG51,Модули_спр,2,FALSE),"R"))</f>
        <v/>
      </c>
      <c r="GL51" t="str">
        <f>IF(GK51="","",GK51&amp;"."&amp;COUNTIFS(A$3:A51,A51,GK$3:GK51,GK51))</f>
        <v/>
      </c>
      <c r="GM51" t="str">
        <f t="shared" si="86"/>
        <v/>
      </c>
      <c r="GN51" t="str">
        <f t="shared" si="87"/>
        <v/>
      </c>
      <c r="GO51" t="str">
        <f t="shared" si="88"/>
        <v/>
      </c>
      <c r="GP51" t="str">
        <f t="shared" si="89"/>
        <v/>
      </c>
      <c r="GQ51">
        <f t="shared" si="90"/>
        <v>1</v>
      </c>
      <c r="GR51" t="str">
        <f>IF(GQ51=1,"XT"&amp;COUNTIFS(A$3:A51,A51,GQ$3:GQ51,1),"")</f>
        <v>XT19</v>
      </c>
      <c r="GS51" t="str">
        <f t="shared" si="91"/>
        <v>XT19</v>
      </c>
      <c r="GT51" t="str">
        <f t="shared" si="92"/>
        <v/>
      </c>
      <c r="GU51" t="str">
        <f t="shared" si="93"/>
        <v/>
      </c>
      <c r="GV51" t="str">
        <f t="shared" si="94"/>
        <v>ok</v>
      </c>
      <c r="GW51" t="str">
        <f>IF(OR(GO51="",GM51=""),"",IF(GO51&gt;IFERROR(VLOOKUP(GN51,Модули_спр,3,FALSE),99),"ЛИШНИЙ КАНАЛ",IF(AND(AH51&lt;&gt;"=",COUNTIFS(Линии[_модуль гр.],GM51,Линии[Канал (итог)],GO51,Линии[Канал],"&lt;&gt;=",Линии[Щит],A51)&gt;1),"ДУБЛЬ КАНАЛА","")))</f>
        <v/>
      </c>
      <c r="GX51" s="6" t="str">
        <f t="shared" si="95"/>
        <v/>
      </c>
      <c r="GY51">
        <f t="shared" si="96"/>
        <v>10</v>
      </c>
      <c r="GZ51" t="str">
        <f t="shared" si="97"/>
        <v/>
      </c>
      <c r="HA51" t="str">
        <f>IF(AND(B51="",GT51=""),"",_xlfn.TEXTJOIN("; ",TRUE,IF(AND(B51&lt;&gt;"",FE51=""),"нет фазы",""),IF(AND(B51&lt;&gt;"",N(FY51)=0,EQ51&lt;&gt;"Нет"),"нет мощности",""),IF(AND(GS51&lt;&gt;"",COUNTIFS(Линии[Щит],A51,Линии[Клемма (итог)],GS51)&gt;1),"дубль клеммы "&amp;GS51,""),IF(AND(GV51&lt;&gt;"",GV51&lt;&gt;"ok"),GV51,""),IF(GW51&lt;&gt;"",GW51,""),IF(AND(N(BV51)&gt;=4,N(BR51)=1),BV51&amp;" жил на 1 фазе",""),IF(AND(AX51="R",CA51=1,OR(N(CK51)=0,N(CK51)&gt;30)),"розетка без дифзащиты до 30 мА",""),IFERROR(IF(AND(ISNUMBER(R51),R51&gt;DV51),"потери "&amp;FIXED(R51,1)&amp;" % &gt; "&amp;DV51&amp;" %",""),""),IFERROR(IF(LEFT(GZ51,4)="мало","Iкз мало — отключение &gt; 0,4 с",""),""),IF(AND(B51&lt;&gt;"",BH51=""),"не на схеме",""),IF(AND(CA51=0,B51&lt;&gt;"",FE51&lt;&gt;"",IF(AW51=1,"",FF50)&lt;&gt;"",FE51&lt;&gt;IF(AW51=1,"",FF50)),"фаза не как у автомата группы ("&amp;IF(AW51=1,"",FF50)&amp;")","")))</f>
        <v>нет мощности; не на схеме</v>
      </c>
      <c r="HB51" s="6">
        <f>IF(OR(CA51=0,DA51=""),"",_xlfn.LET(_xlpm.t,IFERROR(_xlfn.XLOOKUP(DA51,Каталог!$U$4:$U$500,Каталог!$G$4:$G$500),""),_xlpm.k,SEARCH("кА",_xlpm.t),IFERROR(--TRIM(RIGHT(SUBSTITUTE(MID(_xlpm.t,MAX(1,_xlpm.k-4),_xlpm.k-MAX(1,_xlpm.k-4))," ",REPT(" ",9)),5)),"")))</f>
        <v>6</v>
      </c>
      <c r="HC51" t="str">
        <f>IF(OR(HB51="",CA51=0),"",IF(_xlfn.XLOOKUP(A51,Щиты[Щит],Щиты[Iкз max на шинах, кА],"")="","",IF(HB51&lt;_xlfn.XLOOKUP(A51,Щиты[Щит],Щиты[Iкз max на шинах, кА]),"Icu "&amp;HB51&amp;" кА &lt; Iкз max","ok")))</f>
        <v/>
      </c>
      <c r="HD51" t="str">
        <f t="shared" si="98"/>
        <v/>
      </c>
      <c r="HE51" t="str">
        <f t="shared" si="99"/>
        <v/>
      </c>
      <c r="HF51" t="str">
        <f t="shared" si="100"/>
        <v/>
      </c>
      <c r="HG51" t="str" cm="1">
        <f t="array" ref="HG51">IF(HF51="","",_xlfn.LET(_xlpm.nd,_xlfn.TEXTSPLIT(HF51,"|"),IF(COLUMNS(_xlpm.nd)&gt;1,A51&amp;"¦"&amp;INDEX(_xlpm.nd,1)&amp;"¦"&amp;INDEX(_xlpm.nd,2),"")))</f>
        <v/>
      </c>
      <c r="HH51" t="str">
        <f t="shared" si="101"/>
        <v/>
      </c>
      <c r="HI51" t="str" cm="1">
        <f t="array" ref="HI51">IF(HF51="","",_xlfn.LET(_xlpm.nd,_xlfn.TEXTSPLIT(HF51,"|"),IF(COLUMNS(_xlpm.nd)&gt;2,A51&amp;"¦"&amp;INDEX(_xlpm.nd,2)&amp;"¦"&amp;INDEX(_xlpm.nd,3),"")))</f>
        <v/>
      </c>
      <c r="HJ51" t="str">
        <f t="shared" si="102"/>
        <v/>
      </c>
      <c r="HK51" t="str" cm="1">
        <f t="array" ref="HK51">IF(HF51="","",_xlfn.LET(_xlpm.nd,_xlfn.TEXTSPLIT(HF51,"|"),IF(COLUMNS(_xlpm.nd)&gt;3,A51&amp;"¦"&amp;INDEX(_xlpm.nd,3)&amp;"¦"&amp;INDEX(_xlpm.nd,4),"")))</f>
        <v/>
      </c>
      <c r="HL51" t="str">
        <f t="shared" si="103"/>
        <v/>
      </c>
      <c r="HM51" t="str" cm="1">
        <f t="array" ref="HM51">IF(HF51="","",_xlfn.LET(_xlpm.nd,_xlfn.TEXTSPLIT(HF51,"|"),IF(COLUMNS(_xlpm.nd)&gt;4,A51&amp;"¦"&amp;INDEX(_xlpm.nd,4)&amp;"¦"&amp;INDEX(_xlpm.nd,5),"")))</f>
        <v/>
      </c>
      <c r="HN51" t="str">
        <f t="shared" si="104"/>
        <v/>
      </c>
      <c r="HO51" t="str" cm="1">
        <f t="array" ref="HO51">IF(HF51="","",_xlfn.LET(_xlpm.nd,_xlfn.TEXTSPLIT(HF51,"|"),IF(COLUMNS(_xlpm.nd)&gt;5,A51&amp;"¦"&amp;INDEX(_xlpm.nd,5)&amp;"¦"&amp;INDEX(_xlpm.nd,6),"")))</f>
        <v/>
      </c>
      <c r="HP51" t="str">
        <f t="shared" si="105"/>
        <v/>
      </c>
      <c r="HQ51" t="str" cm="1">
        <f t="array" ref="HQ51">IF(HF51="","",_xlfn.LET(_xlpm.nd,_xlfn.TEXTSPLIT(HF51,"|"),IF(COLUMNS(_xlpm.nd)&gt;6,A51&amp;"¦"&amp;INDEX(_xlpm.nd,6)&amp;"¦"&amp;INDEX(_xlpm.nd,7),"")))</f>
        <v/>
      </c>
      <c r="HR51" t="str">
        <f t="shared" si="106"/>
        <v/>
      </c>
      <c r="HS51" t="str">
        <f t="shared" si="107"/>
        <v/>
      </c>
      <c r="HT51" t="str">
        <f t="shared" si="108"/>
        <v>XT19</v>
      </c>
      <c r="HU51">
        <f t="shared" si="109"/>
        <v>0</v>
      </c>
      <c r="HV51">
        <f t="shared" si="110"/>
        <v>0</v>
      </c>
      <c r="HW51" t="str">
        <f t="shared" si="111"/>
        <v/>
      </c>
      <c r="HX51" t="str">
        <f t="shared" si="112"/>
        <v/>
      </c>
      <c r="HY51" t="str">
        <f t="shared" si="113"/>
        <v/>
      </c>
      <c r="HZ51" t="str">
        <f t="shared" si="114"/>
        <v/>
      </c>
      <c r="IA51" t="str">
        <f>IF(B51="","",IFERROR(VLOOKUP(B51,УГО_спр,2,FALSE),IFERROR(VLOOKUP(AX51,УГО_спр,2,FALSE),IFERROR(VLOOKUP(LEFT(AX51,2),УГО_спр,2,FALSE),""))))</f>
        <v>Светильник</v>
      </c>
      <c r="IB51" t="str">
        <f>IF(B51="","",IF(OR(IA51="",IA51=0),"BOX",IFERROR(IF(VLOOKUP(IA51,УГО_блоки,3,FALSE)&amp;""&lt;&gt;"",VLOOKUP(IA51,УГО_блоки,3,FALSE),VLOOKUP(IA51,УГО_блоки,2,FALSE)),IA51)))</f>
        <v>LAMP</v>
      </c>
      <c r="IC51">
        <f t="shared" si="115"/>
        <v>1</v>
      </c>
      <c r="ID51" t="str">
        <f>IF(DA51="","",IF(COUNTIF(DA$3:DA51,DA51)=1,MAX(ID$2:ID50)+1,""))</f>
        <v/>
      </c>
      <c r="IE51" t="str">
        <f>IF(CO51="","",IF(COUNTIF(CO$3:CO51,CO51)+COUNTIF(CP$2:CP50,CO51)+COUNTIF(CQ$2:CQ50,CO51)=1,MAX(IE$2:IG50)+1,""))</f>
        <v/>
      </c>
      <c r="IF51" t="str">
        <f>IF(CP51="","",IF(COUNTIF(CO$3:CO51,CP51)+COUNTIF(CP$3:CP51,CP51)+COUNTIF(CQ$2:CQ50,CP51)=1,MAX(IE$2:IG50,IE51)+1,""))</f>
        <v/>
      </c>
      <c r="IG51" t="str">
        <f>IF(CQ51="","",IF(COUNTIF(CO$3:CO51,CQ51)+COUNTIF(CP$3:CP51,CQ51)+COUNTIF(CQ$3:CQ51,CQ51)=1,MAX(IE$2:IG50,IE51,IF51)+1,""))</f>
        <v/>
      </c>
      <c r="IH51" t="str">
        <f t="shared" si="116"/>
        <v>3х1,5</v>
      </c>
      <c r="II51" t="str">
        <f>IF(IH51="","",IF(COUNTIF(IH$3:IH51,IH51)=1,MAX(II$2:II50)+1,""))</f>
        <v/>
      </c>
      <c r="IJ51" t="str">
        <f>IF(GL51="","",COUNTIF(GL$3:GL51,"?*"))</f>
        <v/>
      </c>
      <c r="IK51" t="str">
        <f>IF(OR(GL51="",GN51=""),"",IF(COUNTIFS(GL$3:GL51,"?*",GN$3:GN51,GN51)=1,MAX(IK$2:IK50)+1,""))</f>
        <v/>
      </c>
      <c r="IL51">
        <f t="shared" si="117"/>
        <v>1</v>
      </c>
      <c r="IM51">
        <f>IF(B51="","",COUNTIF(B$3:B51,"?*"))</f>
        <v>49</v>
      </c>
      <c r="IN51">
        <f>IF(GQ51&lt;&gt;1,0,_xlfn.LET(_xlpm.k,MAX(IFERROR(--VLOOKUP(B51,УГО_спр,5,FALSE),0),IFERROR(--VLOOKUP(AX51,УГО_спр,5,FALSE),0),IFERROR(--VLOOKUP(LEFT(AX51,2),УГО_спр,5,FALSE),0)),IF(_xlpm.k&gt;0,_xlpm.k,IF(IFERROR(--LEFT(SUBSTITUTE(IH51,"x","х"),FIND("х",SUBSTITUTE(IH51,"x","х"))-1),3)&gt;3,Каталог!$S$9,1))))</f>
        <v>1</v>
      </c>
      <c r="IO51">
        <f t="shared" si="118"/>
        <v>0</v>
      </c>
      <c r="IP51" t="str">
        <f t="shared" si="119"/>
        <v>авто</v>
      </c>
      <c r="IQ51" t="str">
        <f t="shared" si="120"/>
        <v/>
      </c>
      <c r="IR51">
        <f t="shared" si="121"/>
        <v>0</v>
      </c>
      <c r="IS51">
        <f t="shared" si="122"/>
        <v>1</v>
      </c>
    </row>
    <row r="52" spans="1:253" x14ac:dyDescent="0.3">
      <c r="A52" t="s">
        <v>1104</v>
      </c>
      <c r="B52" t="s">
        <v>1325</v>
      </c>
      <c r="C52" t="str">
        <f>Линии[[#This Row],[_авто наименование]]</f>
        <v>Осветительная группа, пом. 003T</v>
      </c>
      <c r="D52">
        <v>16</v>
      </c>
      <c r="E52">
        <v>0.1</v>
      </c>
      <c r="G52" t="str">
        <f>Линии[[#This Row],[_авто автомат]]</f>
        <v>1P С10А</v>
      </c>
      <c r="H52" t="str">
        <f>Линии[[#This Row],[_авто утечка]]</f>
        <v/>
      </c>
      <c r="I52" t="str">
        <f>Линии[[#This Row],[_авто управление]]</f>
        <v/>
      </c>
      <c r="J52" t="str">
        <f>Линии[[#This Row],[_авто аппараты]]</f>
        <v/>
      </c>
      <c r="K52">
        <v>1.5</v>
      </c>
      <c r="L52">
        <v>56</v>
      </c>
      <c r="M52" t="str">
        <f>Линии[[#This Row],[_авто фаза]]</f>
        <v>L1</v>
      </c>
      <c r="N52" t="str">
        <f>Линии[[#This Row],[_авто клемма]]</f>
        <v>XT20</v>
      </c>
      <c r="O52" t="str">
        <f t="shared" si="0"/>
        <v>не на схеме</v>
      </c>
      <c r="P52" s="6" cm="1">
        <f t="array" ref="P52">IF(B52="","",IF(BC52&lt;&gt;"",IFERROR(_xlfn.XLOOKUP(BC52,Щиты[Щит],Щиты[Iр, А]),""),IF(BK52=1,IFERROR(_xlfn.XLOOKUP(A52,Щиты[Щит],Щиты[Iр, А]),""),IFERROR(_xlfn.IFS(BR52=1,BN52/((Uн_лин/SQRT(3))*BY52),BR52=3,BN52/(SQRT(3)*Uн_лин*BY52)),""))))</f>
        <v>0.455802844097073</v>
      </c>
      <c r="Q52" s="7">
        <f>IF(B52="","",IFERROR(IF(VLOOKUP(AX52,Потребители_обозначение,4,FALSE)=1,VLOOKUP(AX52,Потребители_обозначение,3,FALSE)*(D52*2-1)+DS52+VLOOKUP(AZ52,Этаж_обозначение,3,FALSE)+VLOOKUP(AZ52,Этаж_обозначение,4,FALSE),VLOOKUP(AX52,Потребители_обозначение,3,FALSE)*(D52*2-1)+DS52),DS52))</f>
        <v>87</v>
      </c>
      <c r="R52" s="6">
        <f t="shared" si="1"/>
        <v>0.67</v>
      </c>
      <c r="S52" t="str">
        <f t="shared" si="2"/>
        <v>ВВГнг(А)-LS (3х1,5)</v>
      </c>
      <c r="T52" t="str">
        <f>IF(BH52="","",IF(BI52="вводной узел","узел ","")&amp;"л."&amp;(INT((BH52-1)/Столбцов_на_лист)+1)&amp;" / "&amp;(MOD(BH52-1,Столбцов_на_лист)+1))</f>
        <v/>
      </c>
      <c r="V52">
        <v>1</v>
      </c>
      <c r="W52">
        <v>230</v>
      </c>
      <c r="X52" t="s">
        <v>564</v>
      </c>
      <c r="AE52" t="s">
        <v>557</v>
      </c>
      <c r="AI52" t="s">
        <v>529</v>
      </c>
      <c r="AJ52" t="s">
        <v>11</v>
      </c>
      <c r="AK52">
        <v>3</v>
      </c>
      <c r="AM52">
        <v>8</v>
      </c>
      <c r="AN52">
        <v>71</v>
      </c>
      <c r="AW52" cm="1">
        <f t="array" ref="AW52">ROW()-ROW(Линии[#Headers])</f>
        <v>50</v>
      </c>
      <c r="AX52" s="6" t="str">
        <f t="shared" si="3"/>
        <v>L</v>
      </c>
      <c r="AY52" t="str">
        <f t="shared" si="4"/>
        <v>00.003T.1</v>
      </c>
      <c r="AZ52" t="str">
        <f t="shared" si="5"/>
        <v>00</v>
      </c>
      <c r="BA52" t="str">
        <f t="shared" si="6"/>
        <v>003T.1</v>
      </c>
      <c r="BB52" t="str">
        <f t="shared" si="7"/>
        <v>003T</v>
      </c>
      <c r="BC52" t="str">
        <f>IF(U52&lt;&gt;"",U52,IF(AND(B52&lt;&gt;"",B52&lt;&gt;A52,ISNUMBER(_xlfn.XMATCH(B52,Щиты[Щит]))),B52,""))</f>
        <v/>
      </c>
      <c r="BD52" t="str" cm="1">
        <f t="array" ref="BD52">IF(B52="","",IF(BC52&lt;&gt;"","Щит "&amp;BC52,_xlfn.LET(_xlpm.nm,IFERROR(_xlfn.XLOOKUP(AX52,Коды_код,Коды_имя)&amp;"",""),_xlpm.md,IFERROR(N(_xlfn.XLOOKUP(AX52,Коды_код,Коды_режим)),1),_xlpm.ex,IF(Имя_режим="по экспликации",IFERROR(_xlfn.XLOOKUP(AZ52&amp;"|"&amp;BB52,Экспликация[Этаж]&amp;"|"&amp;Экспликация[Помещение],Экспликация[Название])&amp;"",""),""),_xlpm.rm,IF(BB52="","",IF(_xlpm.ex&lt;&gt;"",". "&amp;_xlpm.ex&amp;IF(Имя_пом="нет"," ("&amp;BB52&amp;")"," (пом. "&amp;BB52&amp;")"),IF(Имя_пом="нет"," ",", пом. ")&amp;BB52)),IF(_xlpm.nm="","",IF(_xlpm.md=2,_xlpm.nm&amp;" шлейф "&amp;AZ52,_xlpm.nm&amp;_xlpm.rm)))))</f>
        <v>Осветительная группа, пом. 003T</v>
      </c>
      <c r="BE52" t="str">
        <f t="shared" si="8"/>
        <v>Осветительная группа, пом. 003T</v>
      </c>
      <c r="BF52">
        <f>IFERROR(_xlfn.XMATCH(A52,Щиты[Щит]),0)</f>
        <v>3</v>
      </c>
      <c r="BG52">
        <f>_xlfn.LET(_xlpm.k,IFERROR(_xlfn.XLOOKUP(A52,Щиты[Щит],Щиты[Листов под вводной узел]),""),IF(_xlpm.k="",1,N(_xlpm.k))*Столбцов_на_лист)</f>
        <v>17</v>
      </c>
      <c r="BH52" t="str">
        <f t="shared" si="9"/>
        <v/>
      </c>
      <c r="BI52" t="str">
        <f t="shared" si="10"/>
        <v/>
      </c>
      <c r="BJ52" s="6">
        <f>IFERROR(N(_xlfn.XLOOKUP(AX52,Коды_код,Коды_квт)),0)</f>
        <v>0</v>
      </c>
      <c r="BK52">
        <f t="shared" si="11"/>
        <v>0</v>
      </c>
      <c r="BL52" t="str">
        <f>IF(B52="","",IF(BC52&lt;&gt;"",IFERROR(_xlfn.XLOOKUP(BC52,Щиты[Щит],Щиты[Руст, кВт]),0),IF(BK52=1,IFERROR(_xlfn.XLOOKUP(A52,Щиты[Щит],Щиты[Руст, кВт]),0),IF(BJ52&gt;0,ROUND(BJ52*MAX(1,N(D52)),3),""))))</f>
        <v/>
      </c>
      <c r="BM52">
        <f t="shared" si="12"/>
        <v>0.1</v>
      </c>
      <c r="BN52" s="6">
        <f>IF(B52="","",IF(BC52&lt;&gt;"",IFERROR(_xlfn.XLOOKUP(BC52,Щиты[Щит],Щиты[Руст, кВт]),0),N(BM52)))</f>
        <v>0.1</v>
      </c>
      <c r="BO52" t="str">
        <f>IF(B52="","",IFERROR(IF(VLOOKUP(AX52,Потребители_обозначение,8,FALSE)=0,"",VLOOKUP(AX52,Потребители_обозначение,8,FALSE)),""))</f>
        <v/>
      </c>
      <c r="BP52">
        <f t="shared" si="13"/>
        <v>230</v>
      </c>
      <c r="BQ52">
        <f>IF(B52="","",IF(BC52&lt;&gt;"",3,IFERROR(IF(N(VLOOKUP(AX52,Потребители_обозначение,9,FALSE))=0,1,VLOOKUP(AX52,Потребители_обозначение,9,FALSE)),1)))</f>
        <v>1</v>
      </c>
      <c r="BR52">
        <f t="shared" si="14"/>
        <v>1</v>
      </c>
      <c r="BS52" t="str">
        <f>IF(B52="","",_xlfn.LET(_xlpm.bc,IFERROR(IF(VLOOKUP(AX52,Потребители_обозначение,6,FALSE)=0,"",VLOOKUP(AX52,Потребители_обозначение,6,FALSE)&amp;""),""),IF(AND(FK52="да",OR(_xlpm.bc="",_xlpm.bc="мс")),Марка_пож,IF(AND(_xlpm.bc="",BC52&lt;&gt;""),"мс",_xlpm.bc))))</f>
        <v/>
      </c>
      <c r="BT52" t="str">
        <f t="shared" si="15"/>
        <v>мс</v>
      </c>
      <c r="BU52">
        <f>IF(B52="","",_xlfn.LET(_xlpm.cc,IFERROR(N(VLOOKUP(AX52,Потребители_обозначение,7,FALSE)),0),IF(_xlpm.cc&gt;0,_xlpm.cc,IF(BT52="","",IF(N(BR52)=3,5,3)))))</f>
        <v>3</v>
      </c>
      <c r="BV52">
        <f t="shared" si="16"/>
        <v>3</v>
      </c>
      <c r="BW52">
        <f>IFERROR(N(VLOOKUP(AX52,Потребители_обозначение,10,FALSE)),0)</f>
        <v>0</v>
      </c>
      <c r="BX52">
        <f>IFERROR(VLOOKUP(AX52,Потребители_обозначение,5,FALSE),0)</f>
        <v>3</v>
      </c>
      <c r="BY52" s="6" cm="1">
        <f t="array" ref="BY52">IF(B52="","",IF(BC52&lt;&gt;"",IFERROR(_xlfn.XLOOKUP(BC52,Щиты[Щит],Щиты[cos φ]),0.95),IF(BK52=1,IFERROR(_xlfn.XLOOKUP(A52,Щиты[Щит],Щиты[cos φ]),0.95),IF(ISNUMBER(Z52),Z52,IFERROR(IF(BX52=2,_xlfn.IFS(BR52=3,VLOOKUP(BN52,Справочная_двигатели,8,FALSE),BR52=1,VLOOKUP(BN52,Справочная_двигатели,10,TRUE)),IF(AND(Методика="нормы 2026",EQ52="Сил"),0.8,0.95)),0.95)))))</f>
        <v>0.95</v>
      </c>
      <c r="BZ52">
        <f t="shared" si="17"/>
        <v>0</v>
      </c>
      <c r="CA52">
        <f t="shared" si="18"/>
        <v>1</v>
      </c>
      <c r="CB52">
        <f t="shared" si="19"/>
        <v>0</v>
      </c>
      <c r="CC52">
        <f t="shared" si="20"/>
        <v>0</v>
      </c>
      <c r="CD52">
        <f t="shared" si="21"/>
        <v>0</v>
      </c>
      <c r="CE52">
        <f t="shared" si="22"/>
        <v>0</v>
      </c>
      <c r="CF52">
        <f t="shared" si="23"/>
        <v>0</v>
      </c>
      <c r="CG52">
        <f>IF(AX52="",0,_xlfn.LET(_xlpm.v,IFERROR(VLOOKUP(B52,УГО_спр,3,FALSE),IFERROR(VLOOKUP(AX52,УГО_спр,3,FALSE),IFERROR(VLOOKUP(LEFT(AX52,2),УГО_спр,3,FALSE),""))),IF(_xlpm.v="да",30,IF(ISNUMBER(_xlpm.v),_xlpm.v,0))))</f>
        <v>0</v>
      </c>
      <c r="CH52" t="str">
        <f t="shared" si="24"/>
        <v/>
      </c>
      <c r="CI52" t="str">
        <f>_xlfn.LET(_xlpm.k,IFERROR(_xlfn.XLOOKUP(AX52,Коды_код,Коды_утечка)&amp;"",""),IF(_xlpm.k="","дифавтомат",_xlpm.k))</f>
        <v>дифавтомат</v>
      </c>
      <c r="CJ52">
        <f t="shared" si="25"/>
        <v>0</v>
      </c>
      <c r="CK52">
        <f t="shared" si="26"/>
        <v>0</v>
      </c>
      <c r="CL52">
        <f>IF(B52="",0,IFERROR(--VLOOKUP(B52,УГО_спр,4,FALSE),IFERROR(--VLOOKUP(AX52,УГО_спр,4,FALSE),IFERROR(--VLOOKUP(LEFT(AX52,2),УГО_спр,4,FALSE),0))))</f>
        <v>10</v>
      </c>
      <c r="CM52" t="str">
        <f>IF(B52="","",IFERROR(_xlfn.XLOOKUP(AX52,Коды_код,Коды_апп)&amp;"",""))</f>
        <v/>
      </c>
      <c r="CN52" t="str">
        <f t="shared" si="27"/>
        <v/>
      </c>
      <c r="CO52" t="str" cm="1">
        <f t="array" ref="CO52">IF(TRIM(CN52&amp;"")="","",IFERROR(TRIM(INDEX(_xlfn.TEXTSPLIT(CN52&amp;";;;",";"),1)),""))</f>
        <v/>
      </c>
      <c r="CP52" t="str" cm="1">
        <f t="array" ref="CP52">IF(TRIM(CN52&amp;"")="","",IFERROR(TRIM(INDEX(_xlfn.TEXTSPLIT(CN52&amp;";;;",";"),2)),""))</f>
        <v/>
      </c>
      <c r="CQ52" t="str" cm="1">
        <f t="array" ref="CQ52">IF(TRIM(CN52&amp;"")="","",IFERROR(TRIM(INDEX(_xlfn.TEXTSPLIT(CN52&amp;";;;",";"),3)),""))</f>
        <v/>
      </c>
      <c r="CR52">
        <f t="shared" si="28"/>
        <v>0</v>
      </c>
      <c r="CS52" t="str">
        <f>IF(B52="","",_xlfn.LET(_xlpm.t,LOWER(AV52&amp;""),IF(ISNUMBER(SEARCH("dim",_xlpm.t)),"DIM",IF(ISNUMBER(SEARCH("dali",_xlpm.t)),"DALI",IF(OR(ISNUMBER(SEARCH("relay",_xlpm.t)),ISNUMBER(SEARCH("реле",_xlpm.t))),"Relay",IF(ISNUMBER(SEARCH("кнопк",_xlpm.t)),"",IFERROR(_xlfn.XLOOKUP(AX52,Коды_код,Коды_упр)&amp;"","")))))))</f>
        <v/>
      </c>
      <c r="CT52" t="str">
        <f t="shared" si="29"/>
        <v/>
      </c>
      <c r="CU52">
        <f>IF(B52="","",_xlfn.LET(_xlpm.ig,N(P52)+IF(AF52="вручную",0,N(CB52)),_xlpm.n0,IFERROR(VLOOKUP(_xlpm.ig,Автомат_номиналы,2,TRUE),0),_xlpm.mn,MAX(CL52,IF(AF52="вручную",0,N(CE52))),MAX(_xlpm.n0,_xlpm.mn,IF(CR52=1,Мин_автомат_БП,0))))</f>
        <v>10</v>
      </c>
      <c r="CV52">
        <f t="shared" si="30"/>
        <v>1</v>
      </c>
      <c r="CW52" t="str">
        <f t="shared" si="31"/>
        <v>1P</v>
      </c>
      <c r="CX52" t="str">
        <f>_xlfn.LET(_xlpm.cc,UPPER(TRIM(IFERROR(_xlfn.XLOOKUP(AX52,Коды_код,Коды_хар)&amp;"",""))),IF(OR(_xlpm.cc="B",_xlpm.cc="В"),"B",IF(_xlpm.cc="D","D","С")))</f>
        <v>С</v>
      </c>
      <c r="CY52" t="str">
        <f t="shared" si="32"/>
        <v>1P С10А</v>
      </c>
      <c r="CZ52" t="str">
        <f t="shared" si="33"/>
        <v>1P С10А</v>
      </c>
      <c r="DA52" t="str">
        <f t="shared" si="34"/>
        <v>1P С10А</v>
      </c>
      <c r="DB52" cm="1">
        <f t="array" ref="DB52">IF(DA52="","",_xlfn.LET(_xlpm.t,SUBSTITUTE(SUBSTITUTE(SUBSTITUTE(UPPER(DA52),"С","C"),"А","A"),"В","B"),_xlpm.tk,_xlfn.TEXTSPLIT(_xlpm.t,"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2" t="str">
        <f t="shared" si="35"/>
        <v>ok</v>
      </c>
      <c r="DD52">
        <f t="shared" si="36"/>
        <v>10</v>
      </c>
      <c r="DE52" t="str">
        <f t="shared" si="37"/>
        <v>1P С10А</v>
      </c>
      <c r="DF52">
        <f t="shared" si="38"/>
        <v>0</v>
      </c>
      <c r="DG52">
        <f t="shared" si="39"/>
        <v>0</v>
      </c>
      <c r="DH52">
        <f t="shared" si="40"/>
        <v>0</v>
      </c>
      <c r="DI52">
        <f t="shared" si="41"/>
        <v>0.455802844097073</v>
      </c>
      <c r="DJ52">
        <f t="shared" si="42"/>
        <v>1</v>
      </c>
      <c r="DK52">
        <f>IF(ISNUMBER(AL52),AL52,К_прокл)</f>
        <v>1</v>
      </c>
      <c r="DL52">
        <f t="shared" si="43"/>
        <v>2</v>
      </c>
      <c r="DM52">
        <f>IFERROR(N(VLOOKUP(BT52,Кабель_обозначение,3,FALSE)),1)</f>
        <v>1</v>
      </c>
      <c r="DN52">
        <f>IFERROR(N(_xlfn.XLOOKUP(A52,Щиты[Щит],Щиты[ΔU до шин, %])),0)</f>
        <v>0.17</v>
      </c>
      <c r="DO52" t="str">
        <f>IFERROR(_xlfn.XLOOKUP(A52,Щиты[Щит],Щиты[Zпетли на шинах, Ом]),"")</f>
        <v/>
      </c>
      <c r="DP52">
        <f>IFERROR(N(_xlfn.XLOOKUP(A52,Щиты[Щит],Щиты[ΔU до шин (подбор), %])),0)</f>
        <v>0.65</v>
      </c>
      <c r="DQ52" t="str">
        <f>IFERROR(_xlfn.XLOOKUP(A52,Щиты[Щит],Щиты[Zпетли на шинах (подбор), Ом]),"")</f>
        <v/>
      </c>
      <c r="DR52" t="str">
        <f t="shared" si="44"/>
        <v/>
      </c>
      <c r="DS52">
        <f t="shared" si="45"/>
        <v>56</v>
      </c>
      <c r="DT52">
        <f t="shared" si="46"/>
        <v>2</v>
      </c>
      <c r="DU52">
        <f t="shared" si="47"/>
        <v>0.31</v>
      </c>
      <c r="DV52" s="6">
        <f>IF(B52="","",IF(IFERROR(VLOOKUP(AX52,УГО_спр,2,FALSE),"")="Светильник",3,4)+IF(Методика="нормы 2026",MIN(0.5,MAX(0,N(Q52)-100)*0.005),0))</f>
        <v>3</v>
      </c>
      <c r="DW52" cm="1">
        <f t="array" ref="DW52">IF(OR(B52="",BT52="",DM52&lt;&gt;1),"",_xlfn.LET(_xlpm.sz,Iдоп_S,_xlpm.t_,CHOOSE(DL52,Iдоп_1ж,Iдоп_2ж,Iдоп_3ж)*DJ52*DK52,_xlpm.inn,N(DD52),_xlpm.smin,MAX(1.5,BW52),_xlpm.L_,N(Q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52)*(_xlpm.rho*_xlpm.L_/_xlpm.sz*N(BY52)+_xlpm.xx*_xlpm.L_*N(DU52)/1000)*N(P52)/((Uн_лин/SQRT(3))*1000)*100,999),_xlpm.kz,IF(OR(DG52=1,NOT(ISNUMBER(DQ52)),_xlpm.L_=0,_xlpm.inn=0),1,IFERROR(--(c_min*(Uн_лин*1000/SQRT(3))/(DQ52+2*ρкз_Cu*_xlpm.L_/_xlpm.sz)&gt;=GY52*_xlpm.inn),0)),_xlpm.ok,IFERROR((_xlpm.sz&gt;=_xlpm.smin)*(_xlpm.t_&gt;=_xlpm.inn)*IF(_xlpm.L_&gt;0,(_xlpm.du_+DP52&lt;=DV52+0.00001),1)*_xlpm.kz,0),_xlpm.r_,_xlfn._xlws.FILTER(_xlpm.sz,_xlpm.ok,"не подобрано"),INDEX(_xlpm.r_,1)))</f>
        <v>1.5</v>
      </c>
      <c r="DX52">
        <f t="shared" si="48"/>
        <v>1.5</v>
      </c>
      <c r="DY52" cm="1">
        <f t="array" ref="DY52">IF(OR(B52="",BT52="",DM52&lt;&gt;1),"",_xlfn.LET(_xlpm.sz,Iдоп_S,_xlpm.t_,CHOOSE(DL52,Iдоп_1ж,Iдоп_2ж,Iдоп_3ж)*DJ52*DK52,_xlpm.ok,IFERROR((_xlpm.sz&gt;=MAX(1.5,BW52))*(_xlpm.t_&gt;=N(DD52)),0),_xlpm.r_,_xlfn._xlws.FILTER(_xlpm.sz,_xlpm.ok,""),INDEX(_xlpm.r_,1)))</f>
        <v>1.5</v>
      </c>
      <c r="DZ52" s="6" cm="1">
        <f t="array" ref="DZ52">IFERROR(ROUNDUP(N(DT52)*(_xlfn.XLOOKUP(DY52,INDEX(Кабель_сопротивление,0,1),INDEX(Кабель_сопротивление,0,3))*N(Q52)/DY52*N(BY52)+_xlfn.XLOOKUP(DY52,INDEX(Кабель_сопротивление,0,1),INDEX(Кабель_сопротивление,0,2))*N(Q52)*N(DU52)/1000)*N(P52)/((Uн_лин/SQRT(3))*1000)*100,2),"")</f>
        <v>0.5</v>
      </c>
      <c r="EA52">
        <f>IFERROR(2*ρкз_Cu*N(Q52)/DY52,"")</f>
        <v>3.0508000000000002</v>
      </c>
      <c r="EB52">
        <f>IFERROR(VLOOKUP(DX52,Кабель_сопротивление,3,FALSE),"")</f>
        <v>2.2499999999999999E-2</v>
      </c>
      <c r="EC52">
        <f>IFERROR(VLOOKUP(DX52,Кабель_сопротивление,2,FALSE),"")</f>
        <v>0.11</v>
      </c>
      <c r="ED52">
        <f t="shared" si="49"/>
        <v>71</v>
      </c>
      <c r="EE52" t="str">
        <f t="shared" si="50"/>
        <v/>
      </c>
      <c r="EF52">
        <f t="shared" si="51"/>
        <v>1.1328676125338579</v>
      </c>
      <c r="EG52" s="6">
        <f>IFERROR(ROUNDUP(EF52/((Uн_лин/SQRT(3))*1000)*100,2),"")</f>
        <v>0.5</v>
      </c>
      <c r="EH52" t="str">
        <f>IFERROR(VLOOKUP(BT52,Кабель_обозначение,2,FALSE),"")</f>
        <v>ВВГнг(А)-LS</v>
      </c>
      <c r="EI52" t="str">
        <f t="shared" si="52"/>
        <v>ВВГнг(А)-LS (3х1,5)</v>
      </c>
      <c r="EJ52" t="str">
        <f t="shared" si="53"/>
        <v>ВВГнг(А)-LS (3х1,5)
L=87-0,5%</v>
      </c>
      <c r="EK52">
        <f>IFERROR(2*ρкз_Cu*Q52/DX52,"")</f>
        <v>3.0508000000000002</v>
      </c>
      <c r="EL52">
        <f t="shared" si="54"/>
        <v>1.0150000000000001</v>
      </c>
      <c r="EM52" s="6" t="str">
        <f>IFERROR(IF(OR(B52="",NOT(ISNUMBER(DX52)),N(Q52)=0),"",_xlfn.XLOOKUP(A52,Щиты[Щит],Щиты[Zпетли на шинах, Ом])+EK52),"")</f>
        <v/>
      </c>
      <c r="EN52" s="6" t="str">
        <f>IF(ISNUMBER(EM52),c_min*(Uн_лин*1000/SQRT(3))/EM52,"")</f>
        <v/>
      </c>
      <c r="EO52" s="6" t="str">
        <f>IFERROR(IF(OR(B52="",NOT(ISNUMBER(DX52))),"",1.05*(Uн_лин*1000/SQRT(3))/(_xlfn.XLOOKUP(A52,Щиты[Щит],Щиты[Zmax на шинах, Ом])+EL52)/1000),"")</f>
        <v/>
      </c>
      <c r="EP52" s="6" t="str">
        <f>IF(B52="","",IF(ISNUMBER(Y52),"Сил",IF(IFERROR(_xlfn.XLOOKUP(AX52,Коды_код,Коды_группа)&amp;"","")="","Быт",_xlfn.XLOOKUP(AX52,Коды_код,Коды_группа)&amp;"")))</f>
        <v>Быт</v>
      </c>
      <c r="EQ52" s="6" t="str">
        <f t="shared" si="55"/>
        <v>Быт</v>
      </c>
      <c r="ER52" s="6">
        <f>IF(EQ52="Щит","щит",IF(EQ52="","",IF(EQ52="Быт",IFERROR(_xlfn.XLOOKUP(A52,Щиты[Щит],Щиты[Кс быт]),1),IF(EQ52="Сил",IF(ISNUMBER(Y52),Y52,IF(Методика="нормы 2026",IFERROR(_xlfn.XLOOKUP(A52,Щиты[Щит],Щиты[Кс силовых (табл. 7.5)]),1),1)),IF(OR(EQ52="Пост",EQ52="Отоп"),1,IF(EQ52="ВНГ",0.7,0))))))</f>
        <v>0.8</v>
      </c>
      <c r="ES52">
        <f t="shared" si="56"/>
        <v>1</v>
      </c>
      <c r="ET52">
        <f t="shared" si="57"/>
        <v>0.1</v>
      </c>
      <c r="EU52">
        <f t="shared" si="58"/>
        <v>0.1</v>
      </c>
      <c r="EV52">
        <f t="shared" si="59"/>
        <v>0</v>
      </c>
      <c r="EW52">
        <f t="shared" si="60"/>
        <v>0</v>
      </c>
      <c r="EX52">
        <f t="shared" si="61"/>
        <v>0</v>
      </c>
      <c r="EY52">
        <f t="shared" si="62"/>
        <v>0</v>
      </c>
      <c r="EZ52">
        <f t="shared" si="63"/>
        <v>0.1</v>
      </c>
      <c r="FA52">
        <f t="shared" si="64"/>
        <v>9.5000000000000001E-2</v>
      </c>
      <c r="FB52">
        <f t="shared" si="65"/>
        <v>0.1</v>
      </c>
      <c r="FC52" t="str">
        <f t="shared" si="66"/>
        <v/>
      </c>
      <c r="FD52" t="str">
        <f>IF(B52="","",IF(CA52=0,IF(AW52=1,"",FF51),IF(OR(N(CV52)&gt;=3,N(BR52)&gt;=3),"L1,L2,L3",IFERROR(_xlfn.TEXTBEFORE(_xlfn.TEXTAFTER(_xlfn.XLOOKUP(A52,Щиты[Щит],Щиты[_фазы авто]),";"&amp;AW52&amp;":"),";"),"L1"))))</f>
        <v>L1</v>
      </c>
      <c r="FE52" t="str">
        <f t="shared" si="67"/>
        <v>L1</v>
      </c>
      <c r="FF52" t="str">
        <f t="shared" si="68"/>
        <v>L1</v>
      </c>
      <c r="FG52" cm="1">
        <f t="array" ref="FG52">IFERROR(IF(BX52=2,_xlfn.IFS(BR52=3,VLOOKUP(BN52,Справочная_двигатели,3,FALSE),BR52=1,VLOOKUP(BN52,Справочная_двигатели,5,TRUE)),0),0)</f>
        <v>0</v>
      </c>
      <c r="FH52">
        <f>IFERROR(IF(BX52=3,VLOOKUP(BN52,Справочная_ЛЭД,2,TRUE),0),0)</f>
        <v>50</v>
      </c>
      <c r="FI52" s="6">
        <f t="shared" si="69"/>
        <v>50</v>
      </c>
      <c r="FJ52" t="str" cm="1">
        <f t="array" ref="FJ52">IF(B52="","",IFERROR(INDEX({"I особая","I","II","III"},MATCH(TRIM(AC52&amp;""),{"I особая","I","II","III"},0)),"III"))</f>
        <v>III</v>
      </c>
      <c r="FK52" t="str">
        <f>IF(B52="","",IF(TRIM(AD52&amp;"")&lt;&gt;"",IF(LOWER(TRIM(AD52&amp;""))="да","да","нет"),IF(IFERROR(_xlfn.XLOOKUP(AX52,Коды_код,Коды_пожарная),"")="да","да","нет")))</f>
        <v>нет</v>
      </c>
      <c r="FL52" t="str">
        <f t="shared" si="70"/>
        <v/>
      </c>
      <c r="FM52" t="str">
        <f t="shared" si="71"/>
        <v>основная</v>
      </c>
      <c r="FN52">
        <f t="shared" si="72"/>
        <v>1</v>
      </c>
      <c r="FO52" t="str" cm="1">
        <f t="array" ref="FO52">IF(B52="","",_xlfn.LET(_xlpm.t,IFERROR(_xlfn.XLOOKUP(1,(Шины[Шина]=FM52)*(((Шины[Щит]=A52)+(Шины[Щит]=""))&gt;0),Шины[Тип]),"")&amp;"",IF(_xlpm.t&lt;&gt;"",_xlpm.t,IF(ISNUMBER(SEARCH("ИБП",FM52)),"ИБП",IF(ISNUMBER(SEARCH("ДГУ",FM52)),"ДГУ","Ввод "&amp;FN52)))))</f>
        <v>Ввод 1</v>
      </c>
      <c r="FP52" t="str">
        <f t="shared" si="73"/>
        <v>Ввод 1</v>
      </c>
      <c r="FQ52" t="str">
        <f>IF(B52="","",IF(OR(FO52="ИБП",FO52="ДГУ"),"I особая",IF(FO52="Одиночная","III",_xlfn.XLOOKUP(A52,Щиты[Щит],Щиты[Категория шины «Ввод»],"III"))))</f>
        <v>II</v>
      </c>
      <c r="FR52">
        <f>IF(B52="",0,IFERROR(MATCH(FJ52,{"III","II","I","I особая"},0),1))</f>
        <v>1</v>
      </c>
      <c r="FS52">
        <f t="shared" si="74"/>
        <v>1</v>
      </c>
      <c r="FT52" t="str">
        <f>IF(B52="","",IF(FR52&gt;IFERROR(MATCH(FQ52,{"III","II","I","I особая"},0),1),"НЕ ОБЕСПЕЧЕНА","ОК"))</f>
        <v>ОК</v>
      </c>
      <c r="FU52" t="str">
        <f>IF(A52="","",_xlfn.XLOOKUP(A52,Щиты[Щит],Щиты[Путь],""))</f>
        <v>|ГРЩ-ЖД|ЩГП|ЩО-001|</v>
      </c>
      <c r="FV52" t="str">
        <f>IF(B52="","",IF(AE52&lt;&gt;"",AE52,IF(IFERROR(_xlfn.XLOOKUP(AX52,Коды_код,Коды_вид)&amp;"","")="","Прочее",_xlfn.XLOOKUP(AX52,Коды_код,Коды_вид)&amp;"")))</f>
        <v>Рабочее освещение</v>
      </c>
      <c r="FW52" t="str">
        <f>IF(BH52="","",INT((BH52-1)/Столбцов_на_лист)+1)</f>
        <v/>
      </c>
      <c r="FX52" t="str">
        <f t="shared" si="75"/>
        <v>ВВГнг(А)-LS (3х1,5) L=87-0,5%</v>
      </c>
      <c r="FY52">
        <f t="shared" si="76"/>
        <v>0.1</v>
      </c>
      <c r="FZ52">
        <f t="shared" si="77"/>
        <v>0.46</v>
      </c>
      <c r="GA52">
        <f t="shared" si="78"/>
        <v>1</v>
      </c>
      <c r="GB52">
        <f t="shared" si="79"/>
        <v>0</v>
      </c>
      <c r="GC52">
        <f t="shared" si="80"/>
        <v>0</v>
      </c>
      <c r="GD52" t="str">
        <f>IF(BH52="","",IF(AND(CA52=1,GC52=1),COUNTIFS(A$3:A52,A52,CA$3:CA52,1,GC$3:GC52,1),IF(OR(OR(AW52=1,A52&lt;&gt;A51),AF52="вручную",GC52=0),"",IF(AW52=1,"",GE51))))</f>
        <v/>
      </c>
      <c r="GE52" t="str">
        <f t="shared" si="81"/>
        <v/>
      </c>
      <c r="GF52">
        <f>IF(B52="","",IFERROR(LOOKUP(INDEX(CHOOSE(DL52,Iдоп_1ж,Iдоп_2ж,Iдоп_3ж),MATCH(DX52,Iдоп_S,0))*DJ52*DK52,{6,10,16,20,25,32,40,50,63,80,100,125,160,200,250,315,400,500,630}),""))</f>
        <v>16</v>
      </c>
      <c r="GG52" t="str">
        <f t="shared" si="82"/>
        <v/>
      </c>
      <c r="GH52" t="str">
        <f t="shared" si="83"/>
        <v/>
      </c>
      <c r="GI52" t="str">
        <f t="shared" si="84"/>
        <v/>
      </c>
      <c r="GJ52">
        <f t="shared" si="85"/>
        <v>0</v>
      </c>
      <c r="GK52" t="str">
        <f>IF(OR(AG52="",AG52="-"),"",IFERROR(VLOOKUP(AG52,Модули_спр,2,FALSE),"R"))</f>
        <v/>
      </c>
      <c r="GL52" t="str">
        <f>IF(GK52="","",GK52&amp;"."&amp;COUNTIFS(A$3:A52,A52,GK$3:GK52,GK52))</f>
        <v/>
      </c>
      <c r="GM52" t="str">
        <f t="shared" si="86"/>
        <v/>
      </c>
      <c r="GN52" t="str">
        <f t="shared" si="87"/>
        <v/>
      </c>
      <c r="GO52" t="str">
        <f t="shared" si="88"/>
        <v/>
      </c>
      <c r="GP52" t="str">
        <f t="shared" si="89"/>
        <v/>
      </c>
      <c r="GQ52">
        <f t="shared" si="90"/>
        <v>1</v>
      </c>
      <c r="GR52" t="str">
        <f>IF(GQ52=1,"XT"&amp;COUNTIFS(A$3:A52,A52,GQ$3:GQ52,1),"")</f>
        <v>XT20</v>
      </c>
      <c r="GS52" t="str">
        <f t="shared" si="91"/>
        <v>XT20</v>
      </c>
      <c r="GT52" t="str">
        <f t="shared" si="92"/>
        <v/>
      </c>
      <c r="GU52" t="str">
        <f t="shared" si="93"/>
        <v/>
      </c>
      <c r="GV52" t="str">
        <f t="shared" si="94"/>
        <v>ok</v>
      </c>
      <c r="GW52" t="str">
        <f>IF(OR(GO52="",GM52=""),"",IF(GO52&gt;IFERROR(VLOOKUP(GN52,Модули_спр,3,FALSE),99),"ЛИШНИЙ КАНАЛ",IF(AND(AH52&lt;&gt;"=",COUNTIFS(Линии[_модуль гр.],GM52,Линии[Канал (итог)],GO52,Линии[Канал],"&lt;&gt;=",Линии[Щит],A52)&gt;1),"ДУБЛЬ КАНАЛА","")))</f>
        <v/>
      </c>
      <c r="GX52" s="6" t="str">
        <f t="shared" si="95"/>
        <v/>
      </c>
      <c r="GY52">
        <f t="shared" si="96"/>
        <v>10</v>
      </c>
      <c r="GZ52" t="str">
        <f t="shared" si="97"/>
        <v/>
      </c>
      <c r="HA52" t="str">
        <f>IF(AND(B52="",GT52=""),"",_xlfn.TEXTJOIN("; ",TRUE,IF(AND(B52&lt;&gt;"",FE52=""),"нет фазы",""),IF(AND(B52&lt;&gt;"",N(FY52)=0,EQ52&lt;&gt;"Нет"),"нет мощности",""),IF(AND(GS52&lt;&gt;"",COUNTIFS(Линии[Щит],A52,Линии[Клемма (итог)],GS52)&gt;1),"дубль клеммы "&amp;GS52,""),IF(AND(GV52&lt;&gt;"",GV52&lt;&gt;"ok"),GV52,""),IF(GW52&lt;&gt;"",GW52,""),IF(AND(N(BV52)&gt;=4,N(BR52)=1),BV52&amp;" жил на 1 фазе",""),IF(AND(AX52="R",CA52=1,OR(N(CK52)=0,N(CK52)&gt;30)),"розетка без дифзащиты до 30 мА",""),IFERROR(IF(AND(ISNUMBER(R52),R52&gt;DV52),"потери "&amp;FIXED(R52,1)&amp;" % &gt; "&amp;DV52&amp;" %",""),""),IFERROR(IF(LEFT(GZ52,4)="мало","Iкз мало — отключение &gt; 0,4 с",""),""),IF(AND(B52&lt;&gt;"",BH52=""),"не на схеме",""),IF(AND(CA52=0,B52&lt;&gt;"",FE52&lt;&gt;"",IF(AW52=1,"",FF51)&lt;&gt;"",FE52&lt;&gt;IF(AW52=1,"",FF51)),"фаза не как у автомата группы ("&amp;IF(AW52=1,"",FF51)&amp;")","")))</f>
        <v>не на схеме</v>
      </c>
      <c r="HB52" s="6">
        <f>IF(OR(CA52=0,DA52=""),"",_xlfn.LET(_xlpm.t,IFERROR(_xlfn.XLOOKUP(DA52,Каталог!$U$4:$U$500,Каталог!$G$4:$G$500),""),_xlpm.k,SEARCH("кА",_xlpm.t),IFERROR(--TRIM(RIGHT(SUBSTITUTE(MID(_xlpm.t,MAX(1,_xlpm.k-4),_xlpm.k-MAX(1,_xlpm.k-4))," ",REPT(" ",9)),5)),"")))</f>
        <v>6</v>
      </c>
      <c r="HC52" t="str">
        <f>IF(OR(HB52="",CA52=0),"",IF(_xlfn.XLOOKUP(A52,Щиты[Щит],Щиты[Iкз max на шинах, кА],"")="","",IF(HB52&lt;_xlfn.XLOOKUP(A52,Щиты[Щит],Щиты[Iкз max на шинах, кА]),"Icu "&amp;HB52&amp;" кА &lt; Iкз max","ok")))</f>
        <v/>
      </c>
      <c r="HD52" t="str">
        <f t="shared" si="98"/>
        <v/>
      </c>
      <c r="HE52" t="str">
        <f t="shared" si="99"/>
        <v/>
      </c>
      <c r="HF52" t="str">
        <f t="shared" si="100"/>
        <v/>
      </c>
      <c r="HG52" t="str" cm="1">
        <f t="array" ref="HG52">IF(HF52="","",_xlfn.LET(_xlpm.nd,_xlfn.TEXTSPLIT(HF52,"|"),IF(COLUMNS(_xlpm.nd)&gt;1,A52&amp;"¦"&amp;INDEX(_xlpm.nd,1)&amp;"¦"&amp;INDEX(_xlpm.nd,2),"")))</f>
        <v/>
      </c>
      <c r="HH52" t="str">
        <f t="shared" si="101"/>
        <v/>
      </c>
      <c r="HI52" t="str" cm="1">
        <f t="array" ref="HI52">IF(HF52="","",_xlfn.LET(_xlpm.nd,_xlfn.TEXTSPLIT(HF52,"|"),IF(COLUMNS(_xlpm.nd)&gt;2,A52&amp;"¦"&amp;INDEX(_xlpm.nd,2)&amp;"¦"&amp;INDEX(_xlpm.nd,3),"")))</f>
        <v/>
      </c>
      <c r="HJ52" t="str">
        <f t="shared" si="102"/>
        <v/>
      </c>
      <c r="HK52" t="str" cm="1">
        <f t="array" ref="HK52">IF(HF52="","",_xlfn.LET(_xlpm.nd,_xlfn.TEXTSPLIT(HF52,"|"),IF(COLUMNS(_xlpm.nd)&gt;3,A52&amp;"¦"&amp;INDEX(_xlpm.nd,3)&amp;"¦"&amp;INDEX(_xlpm.nd,4),"")))</f>
        <v/>
      </c>
      <c r="HL52" t="str">
        <f t="shared" si="103"/>
        <v/>
      </c>
      <c r="HM52" t="str" cm="1">
        <f t="array" ref="HM52">IF(HF52="","",_xlfn.LET(_xlpm.nd,_xlfn.TEXTSPLIT(HF52,"|"),IF(COLUMNS(_xlpm.nd)&gt;4,A52&amp;"¦"&amp;INDEX(_xlpm.nd,4)&amp;"¦"&amp;INDEX(_xlpm.nd,5),"")))</f>
        <v/>
      </c>
      <c r="HN52" t="str">
        <f t="shared" si="104"/>
        <v/>
      </c>
      <c r="HO52" t="str" cm="1">
        <f t="array" ref="HO52">IF(HF52="","",_xlfn.LET(_xlpm.nd,_xlfn.TEXTSPLIT(HF52,"|"),IF(COLUMNS(_xlpm.nd)&gt;5,A52&amp;"¦"&amp;INDEX(_xlpm.nd,5)&amp;"¦"&amp;INDEX(_xlpm.nd,6),"")))</f>
        <v/>
      </c>
      <c r="HP52" t="str">
        <f t="shared" si="105"/>
        <v/>
      </c>
      <c r="HQ52" t="str" cm="1">
        <f t="array" ref="HQ52">IF(HF52="","",_xlfn.LET(_xlpm.nd,_xlfn.TEXTSPLIT(HF52,"|"),IF(COLUMNS(_xlpm.nd)&gt;6,A52&amp;"¦"&amp;INDEX(_xlpm.nd,6)&amp;"¦"&amp;INDEX(_xlpm.nd,7),"")))</f>
        <v/>
      </c>
      <c r="HR52" t="str">
        <f t="shared" si="106"/>
        <v/>
      </c>
      <c r="HS52" t="str">
        <f t="shared" si="107"/>
        <v/>
      </c>
      <c r="HT52" t="str">
        <f t="shared" si="108"/>
        <v>XT20</v>
      </c>
      <c r="HU52">
        <f t="shared" si="109"/>
        <v>0</v>
      </c>
      <c r="HV52">
        <f t="shared" si="110"/>
        <v>0</v>
      </c>
      <c r="HW52" t="str">
        <f t="shared" si="111"/>
        <v/>
      </c>
      <c r="HX52" t="str">
        <f t="shared" si="112"/>
        <v/>
      </c>
      <c r="HY52" t="str">
        <f t="shared" si="113"/>
        <v/>
      </c>
      <c r="HZ52" t="str">
        <f t="shared" si="114"/>
        <v/>
      </c>
      <c r="IA52" t="str">
        <f>IF(B52="","",IFERROR(VLOOKUP(B52,УГО_спр,2,FALSE),IFERROR(VLOOKUP(AX52,УГО_спр,2,FALSE),IFERROR(VLOOKUP(LEFT(AX52,2),УГО_спр,2,FALSE),""))))</f>
        <v>Светильник</v>
      </c>
      <c r="IB52" t="str">
        <f>IF(B52="","",IF(OR(IA52="",IA52=0),"BOX",IFERROR(IF(VLOOKUP(IA52,УГО_блоки,3,FALSE)&amp;""&lt;&gt;"",VLOOKUP(IA52,УГО_блоки,3,FALSE),VLOOKUP(IA52,УГО_блоки,2,FALSE)),IA52)))</f>
        <v>LAMP</v>
      </c>
      <c r="IC52">
        <f t="shared" si="115"/>
        <v>1</v>
      </c>
      <c r="ID52" t="str">
        <f>IF(DA52="","",IF(COUNTIF(DA$3:DA52,DA52)=1,MAX(ID$2:ID51)+1,""))</f>
        <v/>
      </c>
      <c r="IE52" t="str">
        <f>IF(CO52="","",IF(COUNTIF(CO$3:CO52,CO52)+COUNTIF(CP$2:CP51,CO52)+COUNTIF(CQ$2:CQ51,CO52)=1,MAX(IE$2:IG51)+1,""))</f>
        <v/>
      </c>
      <c r="IF52" t="str">
        <f>IF(CP52="","",IF(COUNTIF(CO$3:CO52,CP52)+COUNTIF(CP$3:CP52,CP52)+COUNTIF(CQ$2:CQ51,CP52)=1,MAX(IE$2:IG51,IE52)+1,""))</f>
        <v/>
      </c>
      <c r="IG52" t="str">
        <f>IF(CQ52="","",IF(COUNTIF(CO$3:CO52,CQ52)+COUNTIF(CP$3:CP52,CQ52)+COUNTIF(CQ$3:CQ52,CQ52)=1,MAX(IE$2:IG51,IE52,IF52)+1,""))</f>
        <v/>
      </c>
      <c r="IH52" t="str">
        <f t="shared" si="116"/>
        <v>3х1,5</v>
      </c>
      <c r="II52" t="str">
        <f>IF(IH52="","",IF(COUNTIF(IH$3:IH52,IH52)=1,MAX(II$2:II51)+1,""))</f>
        <v/>
      </c>
      <c r="IJ52" t="str">
        <f>IF(GL52="","",COUNTIF(GL$3:GL52,"?*"))</f>
        <v/>
      </c>
      <c r="IK52" t="str">
        <f>IF(OR(GL52="",GN52=""),"",IF(COUNTIFS(GL$3:GL52,"?*",GN$3:GN52,GN52)=1,MAX(IK$2:IK51)+1,""))</f>
        <v/>
      </c>
      <c r="IL52">
        <f t="shared" si="117"/>
        <v>1</v>
      </c>
      <c r="IM52">
        <f>IF(B52="","",COUNTIF(B$3:B52,"?*"))</f>
        <v>50</v>
      </c>
      <c r="IN52">
        <f>IF(GQ52&lt;&gt;1,0,_xlfn.LET(_xlpm.k,MAX(IFERROR(--VLOOKUP(B52,УГО_спр,5,FALSE),0),IFERROR(--VLOOKUP(AX52,УГО_спр,5,FALSE),0),IFERROR(--VLOOKUP(LEFT(AX52,2),УГО_спр,5,FALSE),0)),IF(_xlpm.k&gt;0,_xlpm.k,IF(IFERROR(--LEFT(SUBSTITUTE(IH52,"x","х"),FIND("х",SUBSTITUTE(IH52,"x","х"))-1),3)&gt;3,Каталог!$S$9,1))))</f>
        <v>1</v>
      </c>
      <c r="IO52">
        <f t="shared" si="118"/>
        <v>0</v>
      </c>
      <c r="IP52" t="str">
        <f t="shared" si="119"/>
        <v>авто</v>
      </c>
      <c r="IQ52" t="str">
        <f t="shared" si="120"/>
        <v/>
      </c>
      <c r="IR52">
        <f t="shared" si="121"/>
        <v>0</v>
      </c>
      <c r="IS52">
        <f t="shared" si="122"/>
        <v>1</v>
      </c>
    </row>
    <row r="53" spans="1:253" x14ac:dyDescent="0.3">
      <c r="A53" t="s">
        <v>749</v>
      </c>
      <c r="B53" t="s">
        <v>743</v>
      </c>
      <c r="C53" t="s">
        <v>55</v>
      </c>
      <c r="D53">
        <v>1</v>
      </c>
      <c r="E53">
        <v>0</v>
      </c>
      <c r="G53">
        <v>320</v>
      </c>
      <c r="H53" t="str">
        <f>Линии[[#This Row],[_авто утечка]]</f>
        <v/>
      </c>
      <c r="I53" t="str">
        <f>Линии[[#This Row],[_авто управление]]</f>
        <v/>
      </c>
      <c r="J53" t="str">
        <f>Линии[[#This Row],[_авто аппараты]]</f>
        <v/>
      </c>
      <c r="K53">
        <v>185</v>
      </c>
      <c r="L53">
        <v>51</v>
      </c>
      <c r="M53" t="str">
        <f>Линии[[#This Row],[_авто фаза]]</f>
        <v>L1,L2,L3</v>
      </c>
      <c r="N53" t="str">
        <f>Линии[[#This Row],[_авто клемма]]</f>
        <v/>
      </c>
      <c r="O53" t="str">
        <f t="shared" si="0"/>
        <v>КАБЕЛЬ НЕ ЗАЩИЩЁН</v>
      </c>
      <c r="P53" s="6" cm="1">
        <f t="array" ref="P53">IF(B53="","",IF(BC53&lt;&gt;"",IFERROR(_xlfn.XLOOKUP(BC53,Щиты[Щит],Щиты[Iр, А]),""),IF(BK53=1,IFERROR(_xlfn.XLOOKUP(A53,Щиты[Щит],Щиты[Iр, А]),""),IFERROR(_xlfn.IFS(BR53=1,BN53/((Uн_лин/SQRT(3))*BY53),BR53=3,BN53/(SQRT(3)*Uн_лин*BY53)),""))))</f>
        <v>190.59775761622515</v>
      </c>
      <c r="Q53" s="7">
        <f>IF(B53="","",IFERROR(IF(VLOOKUP(AX53,Потребители_обозначение,4,FALSE)=1,VLOOKUP(AX53,Потребители_обозначение,3,FALSE)*(D53*2-1)+DS53+VLOOKUP(AZ53,Этаж_обозначение,3,FALSE)+VLOOKUP(AZ53,Этаж_обозначение,4,FALSE),VLOOKUP(AX53,Потребители_обозначение,3,FALSE)*(D53*2-1)+DS53),DS53))</f>
        <v>51</v>
      </c>
      <c r="R53" s="6">
        <f t="shared" si="1"/>
        <v>1.21</v>
      </c>
      <c r="S53" t="str">
        <f t="shared" si="2"/>
        <v>ВВГнг(А)-LS (5х185)</v>
      </c>
      <c r="T53" t="str">
        <f>IF(BH53="","",IF(BI53="вводной узел","узел ","")&amp;"л."&amp;(INT((BH53-1)/Столбцов_на_лист)+1)&amp;" / "&amp;(MOD(BH53-1,Столбцов_на_лист)+1))</f>
        <v>узел л.1 / 2</v>
      </c>
      <c r="V53">
        <v>3</v>
      </c>
      <c r="W53">
        <v>400</v>
      </c>
      <c r="X53" t="s">
        <v>549</v>
      </c>
      <c r="AF53" t="s">
        <v>1303</v>
      </c>
      <c r="AI53">
        <v>2</v>
      </c>
      <c r="AJ53" t="s">
        <v>11</v>
      </c>
      <c r="AK53">
        <v>5</v>
      </c>
      <c r="AM53">
        <v>37</v>
      </c>
      <c r="AN53">
        <v>14</v>
      </c>
      <c r="AP53">
        <v>1</v>
      </c>
      <c r="AW53" cm="1">
        <f t="array" ref="AW53">ROW()-ROW(Линии[#Headers])</f>
        <v>51</v>
      </c>
      <c r="AX53" s="6" t="str">
        <f t="shared" si="3"/>
        <v>Ввод</v>
      </c>
      <c r="AY53" t="str">
        <f t="shared" si="4"/>
        <v>1</v>
      </c>
      <c r="AZ53" t="str">
        <f t="shared" si="5"/>
        <v>1</v>
      </c>
      <c r="BA53" t="str">
        <f t="shared" si="6"/>
        <v/>
      </c>
      <c r="BB53" t="str">
        <f t="shared" si="7"/>
        <v/>
      </c>
      <c r="BC53" t="str">
        <f>IF(U53&lt;&gt;"",U53,IF(AND(B53&lt;&gt;"",B53&lt;&gt;A53,ISNUMBER(_xlfn.XMATCH(B53,Щиты[Щит]))),B53,""))</f>
        <v/>
      </c>
      <c r="BD53" t="str" cm="1">
        <f t="array" ref="BD53">IF(B53="","",IF(BC53&lt;&gt;"","Щит "&amp;BC53,_xlfn.LET(_xlpm.nm,IFERROR(_xlfn.XLOOKUP(AX53,Коды_код,Коды_имя)&amp;"",""),_xlpm.md,IFERROR(N(_xlfn.XLOOKUP(AX53,Коды_код,Коды_режим)),1),_xlpm.ex,IF(Имя_режим="по экспликации",IFERROR(_xlfn.XLOOKUP(AZ53&amp;"|"&amp;BB53,Экспликация[Этаж]&amp;"|"&amp;Экспликация[Помещение],Экспликация[Название])&amp;"",""),""),_xlpm.rm,IF(BB53="","",IF(_xlpm.ex&lt;&gt;"",". "&amp;_xlpm.ex&amp;IF(Имя_пом="нет"," ("&amp;BB53&amp;")"," (пом. "&amp;BB53&amp;")"),IF(Имя_пом="нет"," ",", пом. ")&amp;BB53)),IF(_xlpm.nm="","",IF(_xlpm.md=2,_xlpm.nm&amp;" шлейф "&amp;AZ53,_xlpm.nm&amp;_xlpm.rm)))))</f>
        <v>Вводной кабель шлейф 1</v>
      </c>
      <c r="BE53" t="str">
        <f t="shared" si="8"/>
        <v>Ввод</v>
      </c>
      <c r="BF53">
        <f>IFERROR(_xlfn.XMATCH(A53,Щиты[Щит]),0)</f>
        <v>4</v>
      </c>
      <c r="BG53">
        <f>_xlfn.LET(_xlpm.k,IFERROR(_xlfn.XLOOKUP(A53,Щиты[Щит],Щиты[Листов под вводной узел]),""),IF(_xlpm.k="",1,N(_xlpm.k))*Столбцов_на_лист)</f>
        <v>17</v>
      </c>
      <c r="BH53">
        <f t="shared" si="9"/>
        <v>2</v>
      </c>
      <c r="BI53" t="str">
        <f t="shared" si="10"/>
        <v>вводной узел</v>
      </c>
      <c r="BJ53" s="6">
        <f>IFERROR(N(_xlfn.XLOOKUP(AX53,Коды_код,Коды_квт)),0)</f>
        <v>0</v>
      </c>
      <c r="BK53">
        <f t="shared" si="11"/>
        <v>1</v>
      </c>
      <c r="BL53">
        <f>IF(B53="","",IF(BC53&lt;&gt;"",IFERROR(_xlfn.XLOOKUP(BC53,Щиты[Щит],Щиты[Руст, кВт]),0),IF(BK53=1,IFERROR(_xlfn.XLOOKUP(A53,Щиты[Щит],Щиты[Руст, кВт]),0),IF(BJ53&gt;0,ROUND(BJ53*MAX(1,N(D53)),3),""))))</f>
        <v>211.22</v>
      </c>
      <c r="BM53">
        <f t="shared" si="12"/>
        <v>0</v>
      </c>
      <c r="BN53" s="6">
        <f>IF(B53="","",IF(BC53&lt;&gt;"",IFERROR(_xlfn.XLOOKUP(BC53,Щиты[Щит],Щиты[Руст, кВт]),0),N(BM53)))</f>
        <v>0</v>
      </c>
      <c r="BO53" t="str">
        <f>IF(B53="","",IFERROR(IF(VLOOKUP(AX53,Потребители_обозначение,8,FALSE)=0,"",VLOOKUP(AX53,Потребители_обозначение,8,FALSE)),""))</f>
        <v/>
      </c>
      <c r="BP53">
        <f t="shared" si="13"/>
        <v>400</v>
      </c>
      <c r="BQ53">
        <f>IF(B53="","",IF(BC53&lt;&gt;"",3,IFERROR(IF(N(VLOOKUP(AX53,Потребители_обозначение,9,FALSE))=0,1,VLOOKUP(AX53,Потребители_обозначение,9,FALSE)),1)))</f>
        <v>1</v>
      </c>
      <c r="BR53">
        <f t="shared" si="14"/>
        <v>3</v>
      </c>
      <c r="BS53" t="str">
        <f>IF(B53="","",_xlfn.LET(_xlpm.bc,IFERROR(IF(VLOOKUP(AX53,Потребители_обозначение,6,FALSE)=0,"",VLOOKUP(AX53,Потребители_обозначение,6,FALSE)&amp;""),""),IF(AND(FK53="да",OR(_xlpm.bc="",_xlpm.bc="мс")),Марка_пож,IF(AND(_xlpm.bc="",BC53&lt;&gt;""),"мс",_xlpm.bc))))</f>
        <v/>
      </c>
      <c r="BT53" t="str">
        <f t="shared" si="15"/>
        <v>мс</v>
      </c>
      <c r="BU53">
        <f>IF(B53="","",_xlfn.LET(_xlpm.cc,IFERROR(N(VLOOKUP(AX53,Потребители_обозначение,7,FALSE)),0),IF(_xlpm.cc&gt;0,_xlpm.cc,IF(BT53="","",IF(N(BR53)=3,5,3)))))</f>
        <v>5</v>
      </c>
      <c r="BV53">
        <f t="shared" si="16"/>
        <v>5</v>
      </c>
      <c r="BW53">
        <f>IFERROR(N(VLOOKUP(AX53,Потребители_обозначение,10,FALSE)),0)</f>
        <v>0</v>
      </c>
      <c r="BX53">
        <f>IFERROR(VLOOKUP(AX53,Потребители_обозначение,5,FALSE),0)</f>
        <v>1</v>
      </c>
      <c r="BY53" s="6" cm="1">
        <f t="array" ref="BY53">IF(B53="","",IF(BC53&lt;&gt;"",IFERROR(_xlfn.XLOOKUP(BC53,Щиты[Щит],Щиты[cos φ]),0.95),IF(BK53=1,IFERROR(_xlfn.XLOOKUP(A53,Щиты[Щит],Щиты[cos φ]),0.95),IF(ISNUMBER(Z53),Z53,IFERROR(IF(BX53=2,_xlfn.IFS(BR53=3,VLOOKUP(BN53,Справочная_двигатели,8,FALSE),BR53=1,VLOOKUP(BN53,Справочная_двигатели,10,TRUE)),IF(AND(Методика="нормы 2026",EQ53="Сил"),0.8,0.95)),0.95)))))</f>
        <v>0.8</v>
      </c>
      <c r="BZ53">
        <f t="shared" si="17"/>
        <v>0</v>
      </c>
      <c r="CA53">
        <f t="shared" si="18"/>
        <v>1</v>
      </c>
      <c r="CB53">
        <f t="shared" si="19"/>
        <v>0</v>
      </c>
      <c r="CC53">
        <f t="shared" si="20"/>
        <v>0</v>
      </c>
      <c r="CD53">
        <f t="shared" si="21"/>
        <v>0</v>
      </c>
      <c r="CE53">
        <f t="shared" si="22"/>
        <v>0</v>
      </c>
      <c r="CF53">
        <f t="shared" si="23"/>
        <v>0</v>
      </c>
      <c r="CG53">
        <f>IF(AX53="",0,_xlfn.LET(_xlpm.v,IFERROR(VLOOKUP(B53,УГО_спр,3,FALSE),IFERROR(VLOOKUP(AX53,УГО_спр,3,FALSE),IFERROR(VLOOKUP(LEFT(AX53,2),УГО_спр,3,FALSE),""))),IF(_xlpm.v="да",30,IF(ISNUMBER(_xlpm.v),_xlpm.v,0))))</f>
        <v>0</v>
      </c>
      <c r="CH53" t="str">
        <f t="shared" si="24"/>
        <v/>
      </c>
      <c r="CI53" t="str">
        <f>_xlfn.LET(_xlpm.k,IFERROR(_xlfn.XLOOKUP(AX53,Коды_код,Коды_утечка)&amp;"",""),IF(_xlpm.k="","дифавтомат",_xlpm.k))</f>
        <v>дифавтомат</v>
      </c>
      <c r="CJ53">
        <f t="shared" si="25"/>
        <v>0</v>
      </c>
      <c r="CK53">
        <f t="shared" si="26"/>
        <v>0</v>
      </c>
      <c r="CL53">
        <f>IF(B53="",0,IFERROR(--VLOOKUP(B53,УГО_спр,4,FALSE),IFERROR(--VLOOKUP(AX53,УГО_спр,4,FALSE),IFERROR(--VLOOKUP(LEFT(AX53,2),УГО_спр,4,FALSE),0))))</f>
        <v>0</v>
      </c>
      <c r="CM53" t="str">
        <f>IF(B53="","",IFERROR(_xlfn.XLOOKUP(AX53,Коды_код,Коды_апп)&amp;"",""))</f>
        <v/>
      </c>
      <c r="CN53" t="str">
        <f t="shared" si="27"/>
        <v/>
      </c>
      <c r="CO53" t="str" cm="1">
        <f t="array" ref="CO53">IF(TRIM(CN53&amp;"")="","",IFERROR(TRIM(INDEX(_xlfn.TEXTSPLIT(CN53&amp;";;;",";"),1)),""))</f>
        <v/>
      </c>
      <c r="CP53" t="str" cm="1">
        <f t="array" ref="CP53">IF(TRIM(CN53&amp;"")="","",IFERROR(TRIM(INDEX(_xlfn.TEXTSPLIT(CN53&amp;";;;",";"),2)),""))</f>
        <v/>
      </c>
      <c r="CQ53" t="str" cm="1">
        <f t="array" ref="CQ53">IF(TRIM(CN53&amp;"")="","",IFERROR(TRIM(INDEX(_xlfn.TEXTSPLIT(CN53&amp;";;;",";"),3)),""))</f>
        <v/>
      </c>
      <c r="CR53">
        <f t="shared" si="28"/>
        <v>0</v>
      </c>
      <c r="CS53" t="str">
        <f>IF(B53="","",_xlfn.LET(_xlpm.t,LOWER(AV53&amp;""),IF(ISNUMBER(SEARCH("dim",_xlpm.t)),"DIM",IF(ISNUMBER(SEARCH("dali",_xlpm.t)),"DALI",IF(OR(ISNUMBER(SEARCH("relay",_xlpm.t)),ISNUMBER(SEARCH("реле",_xlpm.t))),"Relay",IF(ISNUMBER(SEARCH("кнопк",_xlpm.t)),"",IFERROR(_xlfn.XLOOKUP(AX53,Коды_код,Коды_упр)&amp;"","")))))))</f>
        <v/>
      </c>
      <c r="CT53" t="str">
        <f t="shared" si="29"/>
        <v/>
      </c>
      <c r="CU53">
        <f>IF(B53="","",_xlfn.LET(_xlpm.ig,N(P53)+IF(AF53="вручную",0,N(CB53)),_xlpm.n0,IFERROR(VLOOKUP(_xlpm.ig,Автомат_номиналы,2,TRUE),0),_xlpm.mn,MAX(CL53,IF(AF53="вручную",0,N(CE53))),MAX(_xlpm.n0,_xlpm.mn,IF(CR53=1,Мин_автомат_БП,0))))</f>
        <v>250</v>
      </c>
      <c r="CV53">
        <f t="shared" si="30"/>
        <v>3</v>
      </c>
      <c r="CW53" t="str">
        <f t="shared" si="31"/>
        <v>3P</v>
      </c>
      <c r="CX53" t="str">
        <f>_xlfn.LET(_xlpm.cc,UPPER(TRIM(IFERROR(_xlfn.XLOOKUP(AX53,Коды_код,Коды_хар)&amp;"",""))),IF(OR(_xlpm.cc="B",_xlpm.cc="В"),"B",IF(_xlpm.cc="D","D","С")))</f>
        <v>С</v>
      </c>
      <c r="CY53" t="str">
        <f t="shared" si="32"/>
        <v>3P С250А</v>
      </c>
      <c r="CZ53">
        <f t="shared" si="33"/>
        <v>320</v>
      </c>
      <c r="DA53" t="str">
        <f t="shared" si="34"/>
        <v>3P С320А</v>
      </c>
      <c r="DB53" cm="1">
        <f t="array" ref="DB53">IF(DA53="","",_xlfn.LET(_xlpm.t,SUBSTITUTE(SUBSTITUTE(SUBSTITUTE(UPPER(DA53),"С","C"),"А","A"),"В","B"),_xlpm.tk,_xlfn.TEXTSPLIT(_xlpm.t,"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320</v>
      </c>
      <c r="DC53" t="str">
        <f t="shared" si="35"/>
        <v>узел</v>
      </c>
      <c r="DD53">
        <f t="shared" si="36"/>
        <v>320</v>
      </c>
      <c r="DE53" t="str">
        <f t="shared" si="37"/>
        <v>3P С320А</v>
      </c>
      <c r="DF53">
        <f t="shared" si="38"/>
        <v>0</v>
      </c>
      <c r="DG53">
        <f t="shared" si="39"/>
        <v>0</v>
      </c>
      <c r="DH53">
        <f t="shared" si="40"/>
        <v>0</v>
      </c>
      <c r="DI53">
        <f t="shared" si="41"/>
        <v>190.59775761622515</v>
      </c>
      <c r="DJ53">
        <f t="shared" si="42"/>
        <v>0.92</v>
      </c>
      <c r="DK53">
        <f>IF(ISNUMBER(AL53),AL53,К_прокл)</f>
        <v>1</v>
      </c>
      <c r="DL53">
        <f t="shared" si="43"/>
        <v>3</v>
      </c>
      <c r="DM53">
        <f>IFERROR(N(VLOOKUP(BT53,Кабель_обозначение,3,FALSE)),1)</f>
        <v>1</v>
      </c>
      <c r="DN53">
        <f>IFERROR(N(_xlfn.XLOOKUP(A53,Щиты[Щит],Щиты[ΔU до шин, %])),0)</f>
        <v>0.64</v>
      </c>
      <c r="DO53" t="str">
        <f>IFERROR(_xlfn.XLOOKUP(A53,Щиты[Щит],Щиты[Zпетли на шинах, Ом]),"")</f>
        <v/>
      </c>
      <c r="DP53">
        <f>IFERROR(N(_xlfn.XLOOKUP(A53,Щиты[Щит],Щиты[ΔU до шин (подбор), %])),0)</f>
        <v>0.75</v>
      </c>
      <c r="DQ53" t="str">
        <f>IFERROR(_xlfn.XLOOKUP(A53,Щиты[Щит],Щиты[Zпетли на шинах (подбор), Ом]),"")</f>
        <v/>
      </c>
      <c r="DR53" t="str">
        <f t="shared" si="44"/>
        <v/>
      </c>
      <c r="DS53">
        <f t="shared" si="45"/>
        <v>51</v>
      </c>
      <c r="DT53">
        <f t="shared" si="46"/>
        <v>1</v>
      </c>
      <c r="DU53">
        <f t="shared" si="47"/>
        <v>0.6</v>
      </c>
      <c r="DV53" s="6">
        <f>IF(B53="","",IF(IFERROR(VLOOKUP(AX53,УГО_спр,2,FALSE),"")="Светильник",3,4)+IF(Методика="нормы 2026",MIN(0.5,MAX(0,N(Q53)-100)*0.005),0))</f>
        <v>4</v>
      </c>
      <c r="DW53" cm="1">
        <f t="array" ref="DW53">IF(OR(B53="",BT53="",DM53&lt;&gt;1),"",_xlfn.LET(_xlpm.sz,Iдоп_S,_xlpm.t_,CHOOSE(DL53,Iдоп_1ж,Iдоп_2ж,Iдоп_3ж)*DJ53*DK53,_xlpm.inn,N(DD53),_xlpm.smin,MAX(1.5,BW53),_xlpm.L_,N(Q53)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53)*(_xlpm.rho*_xlpm.L_/_xlpm.sz*N(BY53)+_xlpm.xx*_xlpm.L_*N(DU53)/1000)*N(P53)/((Uн_лин/SQRT(3))*1000)*100,999),_xlpm.kz,IF(OR(DG53=1,NOT(ISNUMBER(DQ53)),_xlpm.L_=0,_xlpm.inn=0),1,IFERROR(--(c_min*(Uн_лин*1000/SQRT(3))/(DQ53+2*ρкз_Cu*_xlpm.L_/_xlpm.sz)&gt;=GY53*_xlpm.inn),0)),_xlpm.ok,IFERROR((_xlpm.sz&gt;=_xlpm.smin)*(_xlpm.t_&gt;=_xlpm.inn)*IF(_xlpm.L_&gt;0,(_xlpm.du_+DP53&lt;=DV53+0.00001),1)*_xlpm.kz,0),_xlpm.r_,_xlfn._xlws.FILTER(_xlpm.sz,_xlpm.ok,"не подобрано"),INDEX(_xlpm.r_,1)))</f>
        <v>185</v>
      </c>
      <c r="DX53">
        <f t="shared" si="48"/>
        <v>185</v>
      </c>
      <c r="DY53" cm="1">
        <f t="array" ref="DY53">IF(OR(B53="",BT53="",DM53&lt;&gt;1),"",_xlfn.LET(_xlpm.sz,Iдоп_S,_xlpm.t_,CHOOSE(DL53,Iдоп_1ж,Iдоп_2ж,Iдоп_3ж)*DJ53*DK53,_xlpm.ok,IFERROR((_xlpm.sz&gt;=MAX(1.5,BW53))*(_xlpm.t_&gt;=N(DD53)),0),_xlpm.r_,_xlfn._xlws.FILTER(_xlpm.sz,_xlpm.ok,""),INDEX(_xlpm.r_,1)))</f>
        <v>185</v>
      </c>
      <c r="DZ53" s="6" cm="1">
        <f t="array" ref="DZ53">IFERROR(ROUNDUP(N(DT53)*(_xlfn.XLOOKUP(DY53,INDEX(Кабель_сопротивление,0,1),INDEX(Кабель_сопротивление,0,3))*N(Q53)/DY53*N(BY53)+_xlfn.XLOOKUP(DY53,INDEX(Кабель_сопротивление,0,1),INDEX(Кабель_сопротивление,0,2))*N(Q53)*N(DU53)/1000)*N(P53)/((Uн_лин/SQRT(3))*1000)*100,2),"")</f>
        <v>0.57000000000000006</v>
      </c>
      <c r="EA53">
        <f>IFERROR(2*ρкз_Cu*N(Q53)/DY53,"")</f>
        <v>1.450054054054054E-2</v>
      </c>
      <c r="EB53">
        <f>IFERROR(VLOOKUP(DX53,Кабель_сопротивление,3,FALSE),"")</f>
        <v>2.2499999999999999E-2</v>
      </c>
      <c r="EC53">
        <f>IFERROR(VLOOKUP(DX53,Кабель_сопротивление,2,FALSE),"")</f>
        <v>5.96E-2</v>
      </c>
      <c r="ED53">
        <f t="shared" si="49"/>
        <v>14</v>
      </c>
      <c r="EE53">
        <f t="shared" si="50"/>
        <v>0</v>
      </c>
      <c r="EF53">
        <f t="shared" si="51"/>
        <v>1.2933815474663544</v>
      </c>
      <c r="EG53" s="6">
        <f>IFERROR(ROUNDUP(EF53/((Uн_лин/SQRT(3))*1000)*100,2),"")</f>
        <v>0.57000000000000006</v>
      </c>
      <c r="EH53" t="str">
        <f>IFERROR(VLOOKUP(BT53,Кабель_обозначение,2,FALSE),"")</f>
        <v>ВВГнг(А)-LS</v>
      </c>
      <c r="EI53" t="str">
        <f t="shared" si="52"/>
        <v>ВВГнг(А)-LS (5х185)</v>
      </c>
      <c r="EJ53" t="str">
        <f t="shared" si="53"/>
        <v>ВВГнг(А)-LS (5х185)
L=51-0,57%</v>
      </c>
      <c r="EK53">
        <f>IFERROR(2*ρкз_Cu*Q53/DX53,"")</f>
        <v>1.450054054054054E-2</v>
      </c>
      <c r="EL53">
        <f t="shared" si="54"/>
        <v>4.8243243243243248E-3</v>
      </c>
      <c r="EM53" s="6" t="str">
        <f>IFERROR(IF(OR(B53="",NOT(ISNUMBER(DX53)),N(Q53)=0),"",_xlfn.XLOOKUP(A53,Щиты[Щит],Щиты[Zпетли на шинах, Ом])+EK53),"")</f>
        <v/>
      </c>
      <c r="EN53" s="6" t="str">
        <f>IF(ISNUMBER(EM53),c_min*(Uн_лин*1000/SQRT(3))/EM53,"")</f>
        <v/>
      </c>
      <c r="EO53" s="6" t="str">
        <f>IFERROR(IF(OR(B53="",NOT(ISNUMBER(DX53))),"",1.05*(Uн_лин*1000/SQRT(3))/(_xlfn.XLOOKUP(A53,Щиты[Щит],Щиты[Zmax на шинах, Ом])+EL53)/1000),"")</f>
        <v/>
      </c>
      <c r="EP53" s="6" t="str">
        <f>IF(B53="","",IF(ISNUMBER(Y53),"Сил",IF(IFERROR(_xlfn.XLOOKUP(AX53,Коды_код,Коды_группа)&amp;"","")="","Быт",_xlfn.XLOOKUP(AX53,Коды_код,Коды_группа)&amp;"")))</f>
        <v>Быт</v>
      </c>
      <c r="EQ53" s="6" t="str">
        <f t="shared" si="55"/>
        <v>Нет</v>
      </c>
      <c r="ER53" s="6">
        <f>IF(EQ53="Щит","щит",IF(EQ53="","",IF(EQ53="Быт",IFERROR(_xlfn.XLOOKUP(A53,Щиты[Щит],Щиты[Кс быт]),1),IF(EQ53="Сил",IF(ISNUMBER(Y53),Y53,IF(Методика="нормы 2026",IFERROR(_xlfn.XLOOKUP(A53,Щиты[Щит],Щиты[Кс силовых (табл. 7.5)]),1),1)),IF(OR(EQ53="Пост",EQ53="Отоп"),1,IF(EQ53="ВНГ",0.7,0))))))</f>
        <v>0</v>
      </c>
      <c r="ES53">
        <f t="shared" si="56"/>
        <v>1</v>
      </c>
      <c r="ET53">
        <f t="shared" si="57"/>
        <v>0</v>
      </c>
      <c r="EU53">
        <f t="shared" si="58"/>
        <v>0</v>
      </c>
      <c r="EV53">
        <f t="shared" si="59"/>
        <v>0</v>
      </c>
      <c r="EW53">
        <f t="shared" si="60"/>
        <v>0</v>
      </c>
      <c r="EX53">
        <f t="shared" si="61"/>
        <v>0</v>
      </c>
      <c r="EY53">
        <f t="shared" si="62"/>
        <v>0</v>
      </c>
      <c r="EZ53">
        <f t="shared" si="63"/>
        <v>0</v>
      </c>
      <c r="FA53">
        <f t="shared" si="64"/>
        <v>0</v>
      </c>
      <c r="FB53">
        <f t="shared" si="65"/>
        <v>0</v>
      </c>
      <c r="FC53" t="str">
        <f t="shared" si="66"/>
        <v/>
      </c>
      <c r="FD53" t="str">
        <f>IF(B53="","",IF(CA53=0,IF(AW53=1,"",FF52),IF(OR(N(CV53)&gt;=3,N(BR53)&gt;=3),"L1,L2,L3",IFERROR(_xlfn.TEXTBEFORE(_xlfn.TEXTAFTER(_xlfn.XLOOKUP(A53,Щиты[Щит],Щиты[_фазы авто]),";"&amp;AW53&amp;":"),";"),"L1"))))</f>
        <v>L1,L2,L3</v>
      </c>
      <c r="FE53" t="str">
        <f t="shared" si="67"/>
        <v>L1,L2,L3</v>
      </c>
      <c r="FF53" t="str">
        <f t="shared" si="68"/>
        <v>L1,L2,L3</v>
      </c>
      <c r="FG53" cm="1">
        <f t="array" ref="FG53">IFERROR(IF(BX53=2,_xlfn.IFS(BR53=3,VLOOKUP(BN53,Справочная_двигатели,3,FALSE),BR53=1,VLOOKUP(BN53,Справочная_двигатели,5,TRUE)),0),0)</f>
        <v>0</v>
      </c>
      <c r="FH53">
        <f>IFERROR(IF(BX53=3,VLOOKUP(BN53,Справочная_ЛЭД,2,TRUE),0),0)</f>
        <v>0</v>
      </c>
      <c r="FI53" s="6">
        <f t="shared" si="69"/>
        <v>0</v>
      </c>
      <c r="FJ53" t="str" cm="1">
        <f t="array" ref="FJ53">IF(B53="","",IFERROR(INDEX({"I особая","I","II","III"},MATCH(TRIM(AC53&amp;""),{"I особая","I","II","III"},0)),"III"))</f>
        <v>III</v>
      </c>
      <c r="FK53" t="str">
        <f>IF(B53="","",IF(TRIM(AD53&amp;"")&lt;&gt;"",IF(LOWER(TRIM(AD53&amp;""))="да","да","нет"),IF(IFERROR(_xlfn.XLOOKUP(AX53,Коды_код,Коды_пожарная),"")="да","да","нет")))</f>
        <v>нет</v>
      </c>
      <c r="FL53" t="str">
        <f t="shared" si="70"/>
        <v/>
      </c>
      <c r="FM53" t="str">
        <f t="shared" si="71"/>
        <v>основная</v>
      </c>
      <c r="FN53">
        <f t="shared" si="72"/>
        <v>1</v>
      </c>
      <c r="FO53" t="str" cm="1">
        <f t="array" ref="FO53">IF(B53="","",_xlfn.LET(_xlpm.t,IFERROR(_xlfn.XLOOKUP(1,(Шины[Шина]=FM53)*(((Шины[Щит]=A53)+(Шины[Щит]=""))&gt;0),Шины[Тип]),"")&amp;"",IF(_xlpm.t&lt;&gt;"",_xlpm.t,IF(ISNUMBER(SEARCH("ИБП",FM53)),"ИБП",IF(ISNUMBER(SEARCH("ДГУ",FM53)),"ДГУ","Ввод "&amp;FN53)))))</f>
        <v>Ввод 1</v>
      </c>
      <c r="FP53" t="str">
        <f t="shared" si="73"/>
        <v>Ввод 1</v>
      </c>
      <c r="FQ53" t="str">
        <f>IF(B53="","",IF(OR(FO53="ИБП",FO53="ДГУ"),"I особая",IF(FO53="Одиночная","III",_xlfn.XLOOKUP(A53,Щиты[Щит],Щиты[Категория шины «Ввод»],"III"))))</f>
        <v>II</v>
      </c>
      <c r="FR53">
        <f>IF(B53="",0,IFERROR(MATCH(FJ53,{"III","II","I","I особая"},0),1))</f>
        <v>1</v>
      </c>
      <c r="FS53">
        <f t="shared" si="74"/>
        <v>1</v>
      </c>
      <c r="FT53" t="str">
        <f>IF(B53="","",IF(FR53&gt;IFERROR(MATCH(FQ53,{"III","II","I","I особая"},0),1),"НЕ ОБЕСПЕЧЕНА","ОК"))</f>
        <v>ОК</v>
      </c>
      <c r="FU53" t="str">
        <f>IF(A53="","",_xlfn.XLOOKUP(A53,Щиты[Щит],Щиты[Путь],""))</f>
        <v>|ГРЩ-ЖД|ЩОВ-001|</v>
      </c>
      <c r="FV53" t="str">
        <f>IF(B53="","",IF(AE53&lt;&gt;"",AE53,IF(IFERROR(_xlfn.XLOOKUP(AX53,Коды_код,Коды_вид)&amp;"","")="","Прочее",_xlfn.XLOOKUP(AX53,Коды_код,Коды_вид)&amp;"")))</f>
        <v>Прочее</v>
      </c>
      <c r="FW53">
        <f>IF(BH53="","",INT((BH53-1)/Столбцов_на_лист)+1)</f>
        <v>1</v>
      </c>
      <c r="FX53" t="str">
        <f t="shared" si="75"/>
        <v>ВВГнг(А)-LS (5х185) L=51-0,57%</v>
      </c>
      <c r="FY53">
        <f t="shared" si="76"/>
        <v>0</v>
      </c>
      <c r="FZ53">
        <f t="shared" si="77"/>
        <v>190.6</v>
      </c>
      <c r="GA53">
        <f t="shared" si="78"/>
        <v>3</v>
      </c>
      <c r="GB53">
        <f t="shared" si="79"/>
        <v>0</v>
      </c>
      <c r="GC53">
        <f t="shared" si="80"/>
        <v>0</v>
      </c>
      <c r="GD53" t="str">
        <f>IF(BH53="","",IF(AND(CA53=1,GC53=1),COUNTIFS(A$3:A53,A53,CA$3:CA53,1,GC$3:GC53,1),IF(OR(OR(AW53=1,A53&lt;&gt;A52),AF53="вручную",GC53=0),"",IF(AW53=1,"",GE52))))</f>
        <v/>
      </c>
      <c r="GE53" t="str">
        <f t="shared" si="81"/>
        <v/>
      </c>
      <c r="GF53">
        <f>IF(B53="","",IFERROR(LOOKUP(INDEX(CHOOSE(DL53,Iдоп_1ж,Iдоп_2ж,Iдоп_3ж),MATCH(DX53,Iдоп_S,0))*DJ53*DK53,{6,10,16,20,25,32,40,50,63,80,100,125,160,200,250,315,400,500,630}),""))</f>
        <v>315</v>
      </c>
      <c r="GG53" t="str">
        <f t="shared" si="82"/>
        <v/>
      </c>
      <c r="GH53" t="str">
        <f t="shared" si="83"/>
        <v/>
      </c>
      <c r="GI53" t="str">
        <f t="shared" si="84"/>
        <v/>
      </c>
      <c r="GJ53">
        <f t="shared" si="85"/>
        <v>0</v>
      </c>
      <c r="GK53" t="str">
        <f>IF(OR(AG53="",AG53="-"),"",IFERROR(VLOOKUP(AG53,Модули_спр,2,FALSE),"R"))</f>
        <v/>
      </c>
      <c r="GL53" t="str">
        <f>IF(GK53="","",GK53&amp;"."&amp;COUNTIFS(A$3:A53,A53,GK$3:GK53,GK53))</f>
        <v/>
      </c>
      <c r="GM53" t="str">
        <f t="shared" si="86"/>
        <v/>
      </c>
      <c r="GN53" t="str">
        <f t="shared" si="87"/>
        <v/>
      </c>
      <c r="GO53" t="str">
        <f t="shared" si="88"/>
        <v/>
      </c>
      <c r="GP53" t="str">
        <f t="shared" si="89"/>
        <v/>
      </c>
      <c r="GQ53">
        <f t="shared" si="90"/>
        <v>0</v>
      </c>
      <c r="GR53" t="str">
        <f>IF(GQ53=1,"XT"&amp;COUNTIFS(A$3:A53,A53,GQ$3:GQ53,1),"")</f>
        <v/>
      </c>
      <c r="GS53" t="str">
        <f t="shared" si="91"/>
        <v/>
      </c>
      <c r="GT53" t="str">
        <f t="shared" si="92"/>
        <v/>
      </c>
      <c r="GU53" t="str">
        <f t="shared" si="93"/>
        <v/>
      </c>
      <c r="GV53" t="str">
        <f t="shared" si="94"/>
        <v>КАБЕЛЬ НЕ ЗАЩИЩЁН</v>
      </c>
      <c r="GW53" t="str">
        <f>IF(OR(GO53="",GM53=""),"",IF(GO53&gt;IFERROR(VLOOKUP(GN53,Модули_спр,3,FALSE),99),"ЛИШНИЙ КАНАЛ",IF(AND(AH53&lt;&gt;"=",COUNTIFS(Линии[_модуль гр.],GM53,Линии[Канал (итог)],GO53,Линии[Канал],"&lt;&gt;=",Линии[Щит],A53)&gt;1),"ДУБЛЬ КАНАЛА","")))</f>
        <v/>
      </c>
      <c r="GX53" s="6" t="str">
        <f t="shared" si="95"/>
        <v/>
      </c>
      <c r="GY53">
        <f t="shared" si="96"/>
        <v>10</v>
      </c>
      <c r="GZ53" t="str">
        <f t="shared" si="97"/>
        <v/>
      </c>
      <c r="HA53" t="str">
        <f>IF(AND(B53="",GT53=""),"",_xlfn.TEXTJOIN("; ",TRUE,IF(AND(B53&lt;&gt;"",FE53=""),"нет фазы",""),IF(AND(B53&lt;&gt;"",N(FY53)=0,EQ53&lt;&gt;"Нет"),"нет мощности",""),IF(AND(GS53&lt;&gt;"",COUNTIFS(Линии[Щит],A53,Линии[Клемма (итог)],GS53)&gt;1),"дубль клеммы "&amp;GS53,""),IF(AND(GV53&lt;&gt;"",GV53&lt;&gt;"ok"),GV53,""),IF(GW53&lt;&gt;"",GW53,""),IF(AND(N(BV53)&gt;=4,N(BR53)=1),BV53&amp;" жил на 1 фазе",""),IF(AND(AX53="R",CA53=1,OR(N(CK53)=0,N(CK53)&gt;30)),"розетка без дифзащиты до 30 мА",""),IFERROR(IF(AND(ISNUMBER(R53),R53&gt;DV53),"потери "&amp;FIXED(R53,1)&amp;" % &gt; "&amp;DV53&amp;" %",""),""),IFERROR(IF(LEFT(GZ53,4)="мало","Iкз мало — отключение &gt; 0,4 с",""),""),IF(AND(B53&lt;&gt;"",BH53=""),"не на схеме",""),IF(AND(CA53=0,B53&lt;&gt;"",FE53&lt;&gt;"",IF(AW53=1,"",FF52)&lt;&gt;"",FE53&lt;&gt;IF(AW53=1,"",FF52)),"фаза не как у автомата группы ("&amp;IF(AW53=1,"",FF52)&amp;")","")))</f>
        <v>КАБЕЛЬ НЕ ЗАЩИЩЁН</v>
      </c>
      <c r="HB53" s="6" t="str">
        <f>IF(OR(CA53=0,DA53=""),"",_xlfn.LET(_xlpm.t,IFERROR(_xlfn.XLOOKUP(DA53,Каталог!$U$4:$U$500,Каталог!$G$4:$G$500),""),_xlpm.k,SEARCH("кА",_xlpm.t),IFERROR(--TRIM(RIGHT(SUBSTITUTE(MID(_xlpm.t,MAX(1,_xlpm.k-4),_xlpm.k-MAX(1,_xlpm.k-4))," ",REPT(" ",9)),5)),"")))</f>
        <v/>
      </c>
      <c r="HC53" t="str">
        <f>IF(OR(HB53="",CA53=0),"",IF(_xlfn.XLOOKUP(A53,Щиты[Щит],Щиты[Iкз max на шинах, кА],"")="","",IF(HB53&lt;_xlfn.XLOOKUP(A53,Щиты[Щит],Щиты[Iкз max на шинах, кА]),"Icu "&amp;HB53&amp;" кА &lt; Iкз max","ok")))</f>
        <v/>
      </c>
      <c r="HD53" t="str">
        <f t="shared" si="98"/>
        <v/>
      </c>
      <c r="HE53" t="str">
        <f t="shared" si="99"/>
        <v/>
      </c>
      <c r="HF53" t="str">
        <f t="shared" si="100"/>
        <v/>
      </c>
      <c r="HG53" t="str" cm="1">
        <f t="array" ref="HG53">IF(HF53="","",_xlfn.LET(_xlpm.nd,_xlfn.TEXTSPLIT(HF53,"|"),IF(COLUMNS(_xlpm.nd)&gt;1,A53&amp;"¦"&amp;INDEX(_xlpm.nd,1)&amp;"¦"&amp;INDEX(_xlpm.nd,2),"")))</f>
        <v/>
      </c>
      <c r="HH53" t="str">
        <f t="shared" si="101"/>
        <v/>
      </c>
      <c r="HI53" t="str" cm="1">
        <f t="array" ref="HI53">IF(HF53="","",_xlfn.LET(_xlpm.nd,_xlfn.TEXTSPLIT(HF53,"|"),IF(COLUMNS(_xlpm.nd)&gt;2,A53&amp;"¦"&amp;INDEX(_xlpm.nd,2)&amp;"¦"&amp;INDEX(_xlpm.nd,3),"")))</f>
        <v/>
      </c>
      <c r="HJ53" t="str">
        <f t="shared" si="102"/>
        <v/>
      </c>
      <c r="HK53" t="str" cm="1">
        <f t="array" ref="HK53">IF(HF53="","",_xlfn.LET(_xlpm.nd,_xlfn.TEXTSPLIT(HF53,"|"),IF(COLUMNS(_xlpm.nd)&gt;3,A53&amp;"¦"&amp;INDEX(_xlpm.nd,3)&amp;"¦"&amp;INDEX(_xlpm.nd,4),"")))</f>
        <v/>
      </c>
      <c r="HL53" t="str">
        <f t="shared" si="103"/>
        <v/>
      </c>
      <c r="HM53" t="str" cm="1">
        <f t="array" ref="HM53">IF(HF53="","",_xlfn.LET(_xlpm.nd,_xlfn.TEXTSPLIT(HF53,"|"),IF(COLUMNS(_xlpm.nd)&gt;4,A53&amp;"¦"&amp;INDEX(_xlpm.nd,4)&amp;"¦"&amp;INDEX(_xlpm.nd,5),"")))</f>
        <v/>
      </c>
      <c r="HN53" t="str">
        <f t="shared" si="104"/>
        <v/>
      </c>
      <c r="HO53" t="str" cm="1">
        <f t="array" ref="HO53">IF(HF53="","",_xlfn.LET(_xlpm.nd,_xlfn.TEXTSPLIT(HF53,"|"),IF(COLUMNS(_xlpm.nd)&gt;5,A53&amp;"¦"&amp;INDEX(_xlpm.nd,5)&amp;"¦"&amp;INDEX(_xlpm.nd,6),"")))</f>
        <v/>
      </c>
      <c r="HP53" t="str">
        <f t="shared" si="105"/>
        <v/>
      </c>
      <c r="HQ53" t="str" cm="1">
        <f t="array" ref="HQ53">IF(HF53="","",_xlfn.LET(_xlpm.nd,_xlfn.TEXTSPLIT(HF53,"|"),IF(COLUMNS(_xlpm.nd)&gt;6,A53&amp;"¦"&amp;INDEX(_xlpm.nd,6)&amp;"¦"&amp;INDEX(_xlpm.nd,7),"")))</f>
        <v/>
      </c>
      <c r="HR53" t="str">
        <f t="shared" si="106"/>
        <v/>
      </c>
      <c r="HS53" t="str">
        <f t="shared" si="107"/>
        <v/>
      </c>
      <c r="HT53" t="str">
        <f t="shared" si="108"/>
        <v/>
      </c>
      <c r="HU53">
        <f t="shared" si="109"/>
        <v>0</v>
      </c>
      <c r="HV53">
        <f t="shared" si="110"/>
        <v>0</v>
      </c>
      <c r="HW53" t="str">
        <f t="shared" si="111"/>
        <v/>
      </c>
      <c r="HX53" t="str">
        <f t="shared" si="112"/>
        <v/>
      </c>
      <c r="HY53" t="str">
        <f t="shared" si="113"/>
        <v/>
      </c>
      <c r="HZ53" t="str">
        <f t="shared" si="114"/>
        <v/>
      </c>
      <c r="IA53">
        <f>IF(B53="","",IFERROR(VLOOKUP(B53,УГО_спр,2,FALSE),IFERROR(VLOOKUP(AX53,УГО_спр,2,FALSE),IFERROR(VLOOKUP(LEFT(AX53,2),УГО_спр,2,FALSE),""))))</f>
        <v>0</v>
      </c>
      <c r="IB53" t="str">
        <f>IF(B53="","",IF(OR(IA53="",IA53=0),"BOX",IFERROR(IF(VLOOKUP(IA53,УГО_блоки,3,FALSE)&amp;""&lt;&gt;"",VLOOKUP(IA53,УГО_блоки,3,FALSE),VLOOKUP(IA53,УГО_блоки,2,FALSE)),IA53)))</f>
        <v>BOX</v>
      </c>
      <c r="IC53">
        <f t="shared" si="115"/>
        <v>1</v>
      </c>
      <c r="ID53">
        <f>IF(DA53="","",IF(COUNTIF(DA$3:DA53,DA53)=1,MAX(ID$2:ID52)+1,""))</f>
        <v>16</v>
      </c>
      <c r="IE53" t="str">
        <f>IF(CO53="","",IF(COUNTIF(CO$3:CO53,CO53)+COUNTIF(CP$2:CP52,CO53)+COUNTIF(CQ$2:CQ52,CO53)=1,MAX(IE$2:IG52)+1,""))</f>
        <v/>
      </c>
      <c r="IF53" t="str">
        <f>IF(CP53="","",IF(COUNTIF(CO$3:CO53,CP53)+COUNTIF(CP$3:CP53,CP53)+COUNTIF(CQ$2:CQ52,CP53)=1,MAX(IE$2:IG52,IE53)+1,""))</f>
        <v/>
      </c>
      <c r="IG53" t="str">
        <f>IF(CQ53="","",IF(COUNTIF(CO$3:CO53,CQ53)+COUNTIF(CP$3:CP53,CQ53)+COUNTIF(CQ$3:CQ53,CQ53)=1,MAX(IE$2:IG52,IE53,IF53)+1,""))</f>
        <v/>
      </c>
      <c r="IH53" t="str">
        <f t="shared" si="116"/>
        <v/>
      </c>
      <c r="II53" t="str">
        <f>IF(IH53="","",IF(COUNTIF(IH$3:IH53,IH53)=1,MAX(II$2:II52)+1,""))</f>
        <v/>
      </c>
      <c r="IJ53" t="str">
        <f>IF(GL53="","",COUNTIF(GL$3:GL53,"?*"))</f>
        <v/>
      </c>
      <c r="IK53" t="str">
        <f>IF(OR(GL53="",GN53=""),"",IF(COUNTIFS(GL$3:GL53,"?*",GN$3:GN53,GN53)=1,MAX(IK$2:IK52)+1,""))</f>
        <v/>
      </c>
      <c r="IL53">
        <f t="shared" si="117"/>
        <v>2</v>
      </c>
      <c r="IM53">
        <f>IF(B53="","",COUNTIF(B$3:B53,"?*"))</f>
        <v>51</v>
      </c>
      <c r="IN53">
        <f>IF(GQ53&lt;&gt;1,0,_xlfn.LET(_xlpm.k,MAX(IFERROR(--VLOOKUP(B53,УГО_спр,5,FALSE),0),IFERROR(--VLOOKUP(AX53,УГО_спр,5,FALSE),0),IFERROR(--VLOOKUP(LEFT(AX53,2),УГО_спр,5,FALSE),0)),IF(_xlpm.k&gt;0,_xlpm.k,IF(IFERROR(--LEFT(SUBSTITUTE(IH53,"x","х"),FIND("х",SUBSTITUTE(IH53,"x","х"))-1),3)&gt;3,Каталог!$S$9,1))))</f>
        <v>0</v>
      </c>
      <c r="IO53">
        <f t="shared" si="118"/>
        <v>0</v>
      </c>
      <c r="IP53" t="str">
        <f t="shared" si="119"/>
        <v>авто</v>
      </c>
      <c r="IQ53" t="str">
        <f t="shared" si="120"/>
        <v/>
      </c>
      <c r="IR53">
        <f t="shared" si="121"/>
        <v>0</v>
      </c>
      <c r="IS53">
        <f t="shared" si="122"/>
        <v>1</v>
      </c>
    </row>
    <row r="54" spans="1:253" x14ac:dyDescent="0.3">
      <c r="A54" t="s">
        <v>749</v>
      </c>
      <c r="B54" t="s">
        <v>1326</v>
      </c>
      <c r="C54" t="s">
        <v>1614</v>
      </c>
      <c r="D54">
        <v>1</v>
      </c>
      <c r="E54">
        <v>0.1</v>
      </c>
      <c r="G54">
        <v>10</v>
      </c>
      <c r="H54" t="str">
        <f>Линии[[#This Row],[_авто утечка]]</f>
        <v/>
      </c>
      <c r="I54" t="str">
        <f>Линии[[#This Row],[_авто управление]]</f>
        <v/>
      </c>
      <c r="J54" t="str">
        <f>Линии[[#This Row],[_авто аппараты]]</f>
        <v/>
      </c>
      <c r="K54">
        <v>1.5</v>
      </c>
      <c r="L54">
        <v>17</v>
      </c>
      <c r="M54" t="str">
        <f>Линии[[#This Row],[_авто фаза]]</f>
        <v>L1</v>
      </c>
      <c r="N54" t="str">
        <f>Линии[[#This Row],[_авто клемма]]</f>
        <v>XT1</v>
      </c>
      <c r="O54" t="str">
        <f t="shared" si="0"/>
        <v/>
      </c>
      <c r="P54" s="6" cm="1">
        <f t="array" ref="P54">IF(B54="","",IF(BC54&lt;&gt;"",IFERROR(_xlfn.XLOOKUP(BC54,Щиты[Щит],Щиты[Iр, А]),""),IF(BK54=1,IFERROR(_xlfn.XLOOKUP(A54,Щиты[Щит],Щиты[Iр, А]),""),IFERROR(_xlfn.IFS(BR54=1,BN54/((Uн_лин/SQRT(3))*BY54),BR54=3,BN54/(SQRT(3)*Uн_лин*BY54)),""))))</f>
        <v>0.5412658773652741</v>
      </c>
      <c r="Q54" s="7">
        <f>IF(B54="","",IFERROR(IF(VLOOKUP(AX54,Потребители_обозначение,4,FALSE)=1,VLOOKUP(AX54,Потребители_обозначение,3,FALSE)*(D54*2-1)+DS54+VLOOKUP(AZ54,Этаж_обозначение,3,FALSE)+VLOOKUP(AZ54,Этаж_обозначение,4,FALSE),VLOOKUP(AX54,Потребители_обозначение,3,FALSE)*(D54*2-1)+DS54),DS54))</f>
        <v>21</v>
      </c>
      <c r="R54" s="6">
        <f t="shared" si="1"/>
        <v>0.76</v>
      </c>
      <c r="S54" t="str">
        <f t="shared" si="2"/>
        <v>ВВГнг(А)-LS (3х1,5)</v>
      </c>
      <c r="T54" t="str">
        <f>IF(BH54="","",IF(BI54="вводной узел","узел ","")&amp;"л."&amp;(INT((BH54-1)/Столбцов_на_лист)+1)&amp;" / "&amp;(MOD(BH54-1,Столбцов_на_лист)+1))</f>
        <v>л.2 / 1</v>
      </c>
      <c r="V54">
        <v>1</v>
      </c>
      <c r="W54">
        <v>230</v>
      </c>
      <c r="X54" t="s">
        <v>600</v>
      </c>
      <c r="Y54">
        <v>0.5</v>
      </c>
      <c r="AC54" t="s">
        <v>815</v>
      </c>
      <c r="AE54" t="s">
        <v>582</v>
      </c>
      <c r="AI54">
        <v>18</v>
      </c>
      <c r="AJ54" t="s">
        <v>11</v>
      </c>
      <c r="AK54">
        <v>3</v>
      </c>
      <c r="AN54">
        <v>21</v>
      </c>
      <c r="AP54">
        <v>1</v>
      </c>
      <c r="AW54" cm="1">
        <f t="array" ref="AW54">ROW()-ROW(Линии[#Headers])</f>
        <v>52</v>
      </c>
      <c r="AX54" s="6" t="str">
        <f t="shared" si="3"/>
        <v>В</v>
      </c>
      <c r="AY54" t="str">
        <f t="shared" si="4"/>
        <v>3</v>
      </c>
      <c r="AZ54" t="str">
        <f t="shared" si="5"/>
        <v>3</v>
      </c>
      <c r="BA54" t="str">
        <f t="shared" si="6"/>
        <v/>
      </c>
      <c r="BB54" t="str">
        <f t="shared" si="7"/>
        <v/>
      </c>
      <c r="BC54" t="str">
        <f>IF(U54&lt;&gt;"",U54,IF(AND(B54&lt;&gt;"",B54&lt;&gt;A54,ISNUMBER(_xlfn.XMATCH(B54,Щиты[Щит]))),B54,""))</f>
        <v/>
      </c>
      <c r="BD54" t="str" cm="1">
        <f t="array" ref="BD54">IF(B54="","",IF(BC54&lt;&gt;"","Щит "&amp;BC54,_xlfn.LET(_xlpm.nm,IFERROR(_xlfn.XLOOKUP(AX54,Коды_код,Коды_имя)&amp;"",""),_xlpm.md,IFERROR(N(_xlfn.XLOOKUP(AX54,Коды_код,Коды_режим)),1),_xlpm.ex,IF(Имя_режим="по экспликации",IFERROR(_xlfn.XLOOKUP(AZ54&amp;"|"&amp;BB54,Экспликация[Этаж]&amp;"|"&amp;Экспликация[Помещение],Экспликация[Название])&amp;"",""),""),_xlpm.rm,IF(BB54="","",IF(_xlpm.ex&lt;&gt;"",". "&amp;_xlpm.ex&amp;IF(Имя_пом="нет"," ("&amp;BB54&amp;")"," (пом. "&amp;BB54&amp;")"),IF(Имя_пом="нет"," ",", пом. ")&amp;BB54)),IF(_xlpm.nm="","",IF(_xlpm.md=2,_xlpm.nm&amp;" шлейф "&amp;AZ54,_xlpm.nm&amp;_xlpm.rm)))))</f>
        <v>Вытяжная установка шлейф 3</v>
      </c>
      <c r="BE54" t="str">
        <f t="shared" si="8"/>
        <v>Вытяжная установка Пом №006T</v>
      </c>
      <c r="BF54">
        <f>IFERROR(_xlfn.XMATCH(A54,Щиты[Щит]),0)</f>
        <v>4</v>
      </c>
      <c r="BG54">
        <f>_xlfn.LET(_xlpm.k,IFERROR(_xlfn.XLOOKUP(A54,Щиты[Щит],Щиты[Листов под вводной узел]),""),IF(_xlpm.k="",1,N(_xlpm.k))*Столбцов_на_лист)</f>
        <v>17</v>
      </c>
      <c r="BH54">
        <f t="shared" si="9"/>
        <v>18</v>
      </c>
      <c r="BI54" t="str">
        <f t="shared" si="10"/>
        <v>линии</v>
      </c>
      <c r="BJ54" s="6">
        <f>IFERROR(N(_xlfn.XLOOKUP(AX54,Коды_код,Коды_квт)),0)</f>
        <v>0</v>
      </c>
      <c r="BK54">
        <f t="shared" si="11"/>
        <v>0</v>
      </c>
      <c r="BL54" t="str">
        <f>IF(B54="","",IF(BC54&lt;&gt;"",IFERROR(_xlfn.XLOOKUP(BC54,Щиты[Щит],Щиты[Руст, кВт]),0),IF(BK54=1,IFERROR(_xlfn.XLOOKUP(A54,Щиты[Щит],Щиты[Руст, кВт]),0),IF(BJ54&gt;0,ROUND(BJ54*MAX(1,N(D54)),3),""))))</f>
        <v/>
      </c>
      <c r="BM54">
        <f t="shared" si="12"/>
        <v>0.1</v>
      </c>
      <c r="BN54" s="6">
        <f>IF(B54="","",IF(BC54&lt;&gt;"",IFERROR(_xlfn.XLOOKUP(BC54,Щиты[Щит],Щиты[Руст, кВт]),0),N(BM54)))</f>
        <v>0.1</v>
      </c>
      <c r="BO54" t="str">
        <f>IF(B54="","",IFERROR(IF(VLOOKUP(AX54,Потребители_обозначение,8,FALSE)=0,"",VLOOKUP(AX54,Потребители_обозначение,8,FALSE)),""))</f>
        <v/>
      </c>
      <c r="BP54">
        <f t="shared" si="13"/>
        <v>230</v>
      </c>
      <c r="BQ54">
        <f>IF(B54="","",IF(BC54&lt;&gt;"",3,IFERROR(IF(N(VLOOKUP(AX54,Потребители_обозначение,9,FALSE))=0,1,VLOOKUP(AX54,Потребители_обозначение,9,FALSE)),1)))</f>
        <v>1</v>
      </c>
      <c r="BR54">
        <f t="shared" si="14"/>
        <v>1</v>
      </c>
      <c r="BS54" t="str">
        <f>IF(B54="","",_xlfn.LET(_xlpm.bc,IFERROR(IF(VLOOKUP(AX54,Потребители_обозначение,6,FALSE)=0,"",VLOOKUP(AX54,Потребители_обозначение,6,FALSE)&amp;""),""),IF(AND(FK54="да",OR(_xlpm.bc="",_xlpm.bc="мс")),Марка_пож,IF(AND(_xlpm.bc="",BC54&lt;&gt;""),"мс",_xlpm.bc))))</f>
        <v/>
      </c>
      <c r="BT54" t="str">
        <f t="shared" si="15"/>
        <v>мс</v>
      </c>
      <c r="BU54">
        <f>IF(B54="","",_xlfn.LET(_xlpm.cc,IFERROR(N(VLOOKUP(AX54,Потребители_обозначение,7,FALSE)),0),IF(_xlpm.cc&gt;0,_xlpm.cc,IF(BT54="","",IF(N(BR54)=3,5,3)))))</f>
        <v>3</v>
      </c>
      <c r="BV54">
        <f t="shared" si="16"/>
        <v>3</v>
      </c>
      <c r="BW54">
        <f>IFERROR(N(VLOOKUP(AX54,Потребители_обозначение,10,FALSE)),0)</f>
        <v>0</v>
      </c>
      <c r="BX54">
        <f>IFERROR(VLOOKUP(AX54,Потребители_обозначение,5,FALSE),0)</f>
        <v>1</v>
      </c>
      <c r="BY54" s="6" cm="1">
        <f t="array" ref="BY54">IF(B54="","",IF(BC54&lt;&gt;"",IFERROR(_xlfn.XLOOKUP(BC54,Щиты[Щит],Щиты[cos φ]),0.95),IF(BK54=1,IFERROR(_xlfn.XLOOKUP(A54,Щиты[Щит],Щиты[cos φ]),0.95),IF(ISNUMBER(Z54),Z54,IFERROR(IF(BX54=2,_xlfn.IFS(BR54=3,VLOOKUP(BN54,Справочная_двигатели,8,FALSE),BR54=1,VLOOKUP(BN54,Справочная_двигатели,10,TRUE)),IF(AND(Методика="нормы 2026",EQ54="Сил"),0.8,0.95)),0.95)))))</f>
        <v>0.8</v>
      </c>
      <c r="BZ54">
        <f t="shared" si="17"/>
        <v>0</v>
      </c>
      <c r="CA54">
        <f t="shared" si="18"/>
        <v>1</v>
      </c>
      <c r="CB54">
        <f t="shared" si="19"/>
        <v>0</v>
      </c>
      <c r="CC54">
        <f t="shared" si="20"/>
        <v>0</v>
      </c>
      <c r="CD54">
        <f t="shared" si="21"/>
        <v>0</v>
      </c>
      <c r="CE54">
        <f t="shared" si="22"/>
        <v>0</v>
      </c>
      <c r="CF54">
        <f t="shared" si="23"/>
        <v>0</v>
      </c>
      <c r="CG54">
        <f>IF(AX54="",0,_xlfn.LET(_xlpm.v,IFERROR(VLOOKUP(B54,УГО_спр,3,FALSE),IFERROR(VLOOKUP(AX54,УГО_спр,3,FALSE),IFERROR(VLOOKUP(LEFT(AX54,2),УГО_спр,3,FALSE),""))),IF(_xlpm.v="да",30,IF(ISNUMBER(_xlpm.v),_xlpm.v,0))))</f>
        <v>0</v>
      </c>
      <c r="CH54" t="str">
        <f t="shared" si="24"/>
        <v/>
      </c>
      <c r="CI54" t="str">
        <f>_xlfn.LET(_xlpm.k,IFERROR(_xlfn.XLOOKUP(AX54,Коды_код,Коды_утечка)&amp;"",""),IF(_xlpm.k="","дифавтомат",_xlpm.k))</f>
        <v>дифавтомат</v>
      </c>
      <c r="CJ54">
        <f t="shared" si="25"/>
        <v>0</v>
      </c>
      <c r="CK54">
        <f t="shared" si="26"/>
        <v>0</v>
      </c>
      <c r="CL54">
        <f>IF(B54="",0,IFERROR(--VLOOKUP(B54,УГО_спр,4,FALSE),IFERROR(--VLOOKUP(AX54,УГО_спр,4,FALSE),IFERROR(--VLOOKUP(LEFT(AX54,2),УГО_спр,4,FALSE),0))))</f>
        <v>0</v>
      </c>
      <c r="CM54" t="str">
        <f>IF(B54="","",IFERROR(_xlfn.XLOOKUP(AX54,Коды_код,Коды_апп)&amp;"",""))</f>
        <v/>
      </c>
      <c r="CN54" t="str">
        <f t="shared" si="27"/>
        <v/>
      </c>
      <c r="CO54" t="str" cm="1">
        <f t="array" ref="CO54">IF(TRIM(CN54&amp;"")="","",IFERROR(TRIM(INDEX(_xlfn.TEXTSPLIT(CN54&amp;";;;",";"),1)),""))</f>
        <v/>
      </c>
      <c r="CP54" t="str" cm="1">
        <f t="array" ref="CP54">IF(TRIM(CN54&amp;"")="","",IFERROR(TRIM(INDEX(_xlfn.TEXTSPLIT(CN54&amp;";;;",";"),2)),""))</f>
        <v/>
      </c>
      <c r="CQ54" t="str" cm="1">
        <f t="array" ref="CQ54">IF(TRIM(CN54&amp;"")="","",IFERROR(TRIM(INDEX(_xlfn.TEXTSPLIT(CN54&amp;";;;",";"),3)),""))</f>
        <v/>
      </c>
      <c r="CR54">
        <f t="shared" si="28"/>
        <v>0</v>
      </c>
      <c r="CS54" t="str">
        <f>IF(B54="","",_xlfn.LET(_xlpm.t,LOWER(AV54&amp;""),IF(ISNUMBER(SEARCH("dim",_xlpm.t)),"DIM",IF(ISNUMBER(SEARCH("dali",_xlpm.t)),"DALI",IF(OR(ISNUMBER(SEARCH("relay",_xlpm.t)),ISNUMBER(SEARCH("реле",_xlpm.t))),"Relay",IF(ISNUMBER(SEARCH("кнопк",_xlpm.t)),"",IFERROR(_xlfn.XLOOKUP(AX54,Коды_код,Коды_упр)&amp;"","")))))))</f>
        <v/>
      </c>
      <c r="CT54" t="str">
        <f t="shared" si="29"/>
        <v/>
      </c>
      <c r="CU54">
        <f>IF(B54="","",_xlfn.LET(_xlpm.ig,N(P54)+IF(AF54="вручную",0,N(CB54)),_xlpm.n0,IFERROR(VLOOKUP(_xlpm.ig,Автомат_номиналы,2,TRUE),0),_xlpm.mn,MAX(CL54,IF(AF54="вручную",0,N(CE54))),MAX(_xlpm.n0,_xlpm.mn,IF(CR54=1,Мин_автомат_БП,0))))</f>
        <v>6</v>
      </c>
      <c r="CV54">
        <f t="shared" si="30"/>
        <v>1</v>
      </c>
      <c r="CW54" t="str">
        <f t="shared" si="31"/>
        <v>1P</v>
      </c>
      <c r="CX54" t="str">
        <f>_xlfn.LET(_xlpm.cc,UPPER(TRIM(IFERROR(_xlfn.XLOOKUP(AX54,Коды_код,Коды_хар)&amp;"",""))),IF(OR(_xlpm.cc="B",_xlpm.cc="В"),"B",IF(_xlpm.cc="D","D","С")))</f>
        <v>С</v>
      </c>
      <c r="CY54" t="str">
        <f t="shared" si="32"/>
        <v>1P С6А</v>
      </c>
      <c r="CZ54">
        <f t="shared" si="33"/>
        <v>10</v>
      </c>
      <c r="DA54" t="str">
        <f t="shared" si="34"/>
        <v>1P С10А</v>
      </c>
      <c r="DB54" cm="1">
        <f t="array" ref="DB54">IF(DA54="","",_xlfn.LET(_xlpm.t,SUBSTITUTE(SUBSTITUTE(SUBSTITUTE(UPPER(DA54),"С","C"),"А","A"),"В","B"),_xlpm.tk,_xlfn.TEXTSPLIT(_xlpm.t,"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4" t="str">
        <f t="shared" si="35"/>
        <v>ok</v>
      </c>
      <c r="DD54">
        <f t="shared" si="36"/>
        <v>10</v>
      </c>
      <c r="DE54" t="str">
        <f t="shared" si="37"/>
        <v>1P С10А</v>
      </c>
      <c r="DF54">
        <f t="shared" si="38"/>
        <v>0</v>
      </c>
      <c r="DG54">
        <f t="shared" si="39"/>
        <v>0</v>
      </c>
      <c r="DH54">
        <f t="shared" si="40"/>
        <v>0</v>
      </c>
      <c r="DI54">
        <f t="shared" si="41"/>
        <v>0.5412658773652741</v>
      </c>
      <c r="DJ54">
        <f t="shared" si="42"/>
        <v>1</v>
      </c>
      <c r="DK54">
        <f>IF(ISNUMBER(AL54),AL54,К_прокл)</f>
        <v>1</v>
      </c>
      <c r="DL54">
        <f t="shared" si="43"/>
        <v>2</v>
      </c>
      <c r="DM54">
        <f>IFERROR(N(VLOOKUP(BT54,Кабель_обозначение,3,FALSE)),1)</f>
        <v>1</v>
      </c>
      <c r="DN54">
        <f>IFERROR(N(_xlfn.XLOOKUP(A54,Щиты[Щит],Щиты[ΔU до шин, %])),0)</f>
        <v>0.64</v>
      </c>
      <c r="DO54" t="str">
        <f>IFERROR(_xlfn.XLOOKUP(A54,Щиты[Щит],Щиты[Zпетли на шинах, Ом]),"")</f>
        <v/>
      </c>
      <c r="DP54">
        <f>IFERROR(N(_xlfn.XLOOKUP(A54,Щиты[Щит],Щиты[ΔU до шин (подбор), %])),0)</f>
        <v>0.75</v>
      </c>
      <c r="DQ54" t="str">
        <f>IFERROR(_xlfn.XLOOKUP(A54,Щиты[Щит],Щиты[Zпетли на шинах (подбор), Ом]),"")</f>
        <v/>
      </c>
      <c r="DR54" t="str">
        <f t="shared" si="44"/>
        <v/>
      </c>
      <c r="DS54">
        <f t="shared" si="45"/>
        <v>17</v>
      </c>
      <c r="DT54">
        <f t="shared" si="46"/>
        <v>2</v>
      </c>
      <c r="DU54">
        <f t="shared" si="47"/>
        <v>0.6</v>
      </c>
      <c r="DV54" s="6">
        <f>IF(B54="","",IF(IFERROR(VLOOKUP(AX54,УГО_спр,2,FALSE),"")="Светильник",3,4)+IF(Методика="нормы 2026",MIN(0.5,MAX(0,N(Q54)-100)*0.005),0))</f>
        <v>4</v>
      </c>
      <c r="DW54" cm="1">
        <f t="array" ref="DW54">IF(OR(B54="",BT54="",DM54&lt;&gt;1),"",_xlfn.LET(_xlpm.sz,Iдоп_S,_xlpm.t_,CHOOSE(DL54,Iдоп_1ж,Iдоп_2ж,Iдоп_3ж)*DJ54*DK54,_xlpm.inn,N(DD54),_xlpm.smin,MAX(1.5,BW54),_xlpm.L_,N(Q54)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54)*(_xlpm.rho*_xlpm.L_/_xlpm.sz*N(BY54)+_xlpm.xx*_xlpm.L_*N(DU54)/1000)*N(P54)/((Uн_лин/SQRT(3))*1000)*100,999),_xlpm.kz,IF(OR(DG54=1,NOT(ISNUMBER(DQ54)),_xlpm.L_=0,_xlpm.inn=0),1,IFERROR(--(c_min*(Uн_лин*1000/SQRT(3))/(DQ54+2*ρкз_Cu*_xlpm.L_/_xlpm.sz)&gt;=GY54*_xlpm.inn),0)),_xlpm.ok,IFERROR((_xlpm.sz&gt;=_xlpm.smin)*(_xlpm.t_&gt;=_xlpm.inn)*IF(_xlpm.L_&gt;0,(_xlpm.du_+DP54&lt;=DV54+0.00001),1)*_xlpm.kz,0),_xlpm.r_,_xlfn._xlws.FILTER(_xlpm.sz,_xlpm.ok,"не подобрано"),INDEX(_xlpm.r_,1)))</f>
        <v>1.5</v>
      </c>
      <c r="DX54">
        <f t="shared" si="48"/>
        <v>1.5</v>
      </c>
      <c r="DY54" cm="1">
        <f t="array" ref="DY54">IF(OR(B54="",BT54="",DM54&lt;&gt;1),"",_xlfn.LET(_xlpm.sz,Iдоп_S,_xlpm.t_,CHOOSE(DL54,Iдоп_1ж,Iдоп_2ж,Iдоп_3ж)*DJ54*DK54,_xlpm.ok,IFERROR((_xlpm.sz&gt;=MAX(1.5,BW54))*(_xlpm.t_&gt;=N(DD54)),0),_xlpm.r_,_xlfn._xlws.FILTER(_xlpm.sz,_xlpm.ok,""),INDEX(_xlpm.r_,1)))</f>
        <v>1.5</v>
      </c>
      <c r="DZ54" s="6" cm="1">
        <f t="array" ref="DZ54">IFERROR(ROUNDUP(N(DT54)*(_xlfn.XLOOKUP(DY54,INDEX(Кабель_сопротивление,0,1),INDEX(Кабель_сопротивление,0,3))*N(Q54)/DY54*N(BY54)+_xlfn.XLOOKUP(DY54,INDEX(Кабель_сопротивление,0,1),INDEX(Кабель_сопротивление,0,2))*N(Q54)*N(DU54)/1000)*N(P54)/((Uн_лин/SQRT(3))*1000)*100,2),"")</f>
        <v>0.12</v>
      </c>
      <c r="EA54">
        <f>IFERROR(2*ρкз_Cu*N(Q54)/DY54,"")</f>
        <v>0.73640000000000005</v>
      </c>
      <c r="EB54">
        <f>IFERROR(VLOOKUP(DX54,Кабель_сопротивление,3,FALSE),"")</f>
        <v>2.2499999999999999E-2</v>
      </c>
      <c r="EC54">
        <f>IFERROR(VLOOKUP(DX54,Кабель_сопротивление,2,FALSE),"")</f>
        <v>0.11</v>
      </c>
      <c r="ED54">
        <f t="shared" si="49"/>
        <v>21</v>
      </c>
      <c r="EE54">
        <f t="shared" si="50"/>
        <v>0</v>
      </c>
      <c r="EF54">
        <f t="shared" si="51"/>
        <v>0.27429839120415467</v>
      </c>
      <c r="EG54" s="6">
        <f>IFERROR(ROUNDUP(EF54/((Uн_лин/SQRT(3))*1000)*100,2),"")</f>
        <v>0.12</v>
      </c>
      <c r="EH54" t="str">
        <f>IFERROR(VLOOKUP(BT54,Кабель_обозначение,2,FALSE),"")</f>
        <v>ВВГнг(А)-LS</v>
      </c>
      <c r="EI54" t="str">
        <f t="shared" si="52"/>
        <v>ВВГнг(А)-LS (3х1,5)</v>
      </c>
      <c r="EJ54" t="str">
        <f t="shared" si="53"/>
        <v>ВВГнг(А)-LS (3х1,5)
L=21-0,12%</v>
      </c>
      <c r="EK54">
        <f>IFERROR(2*ρкз_Cu*Q54/DX54,"")</f>
        <v>0.73640000000000005</v>
      </c>
      <c r="EL54">
        <f t="shared" si="54"/>
        <v>0.24500000000000002</v>
      </c>
      <c r="EM54" s="6" t="str">
        <f>IFERROR(IF(OR(B54="",NOT(ISNUMBER(DX54)),N(Q54)=0),"",_xlfn.XLOOKUP(A54,Щиты[Щит],Щиты[Zпетли на шинах, Ом])+EK54),"")</f>
        <v/>
      </c>
      <c r="EN54" s="6" t="str">
        <f>IF(ISNUMBER(EM54),c_min*(Uн_лин*1000/SQRT(3))/EM54,"")</f>
        <v/>
      </c>
      <c r="EO54" s="6" t="str">
        <f>IFERROR(IF(OR(B54="",NOT(ISNUMBER(DX54))),"",1.05*(Uн_лин*1000/SQRT(3))/(_xlfn.XLOOKUP(A54,Щиты[Щит],Щиты[Zmax на шинах, Ом])+EL54)/1000),"")</f>
        <v/>
      </c>
      <c r="EP54" s="6" t="str">
        <f>IF(B54="","",IF(ISNUMBER(Y54),"Сил",IF(IFERROR(_xlfn.XLOOKUP(AX54,Коды_код,Коды_группа)&amp;"","")="","Быт",_xlfn.XLOOKUP(AX54,Коды_код,Коды_группа)&amp;"")))</f>
        <v>Сил</v>
      </c>
      <c r="EQ54" s="6" t="str">
        <f t="shared" si="55"/>
        <v>Сил</v>
      </c>
      <c r="ER54" s="6">
        <f>IF(EQ54="Щит","щит",IF(EQ54="","",IF(EQ54="Быт",IFERROR(_xlfn.XLOOKUP(A54,Щиты[Щит],Щиты[Кс быт]),1),IF(EQ54="Сил",IF(ISNUMBER(Y54),Y54,IF(Методика="нормы 2026",IFERROR(_xlfn.XLOOKUP(A54,Щиты[Щит],Щиты[Кс силовых (табл. 7.5)]),1),1)),IF(OR(EQ54="Пост",EQ54="Отоп"),1,IF(EQ54="ВНГ",0.7,0))))))</f>
        <v>0.5</v>
      </c>
      <c r="ES54">
        <f t="shared" si="56"/>
        <v>1</v>
      </c>
      <c r="ET54">
        <f t="shared" si="57"/>
        <v>0.1</v>
      </c>
      <c r="EU54">
        <f t="shared" si="58"/>
        <v>0</v>
      </c>
      <c r="EV54">
        <f t="shared" si="59"/>
        <v>0.05</v>
      </c>
      <c r="EW54">
        <f t="shared" si="60"/>
        <v>0</v>
      </c>
      <c r="EX54">
        <f t="shared" si="61"/>
        <v>0</v>
      </c>
      <c r="EY54">
        <f t="shared" si="62"/>
        <v>0</v>
      </c>
      <c r="EZ54">
        <f t="shared" si="63"/>
        <v>0.1</v>
      </c>
      <c r="FA54">
        <f t="shared" si="64"/>
        <v>8.0000000000000016E-2</v>
      </c>
      <c r="FB54">
        <f t="shared" si="65"/>
        <v>0.1</v>
      </c>
      <c r="FC54" t="str">
        <f t="shared" si="66"/>
        <v/>
      </c>
      <c r="FD54" t="str">
        <f>IF(B54="","",IF(CA54=0,IF(AW54=1,"",FF53),IF(OR(N(CV54)&gt;=3,N(BR54)&gt;=3),"L1,L2,L3",IFERROR(_xlfn.TEXTBEFORE(_xlfn.TEXTAFTER(_xlfn.XLOOKUP(A54,Щиты[Щит],Щиты[_фазы авто]),";"&amp;AW54&amp;":"),";"),"L1"))))</f>
        <v>L1</v>
      </c>
      <c r="FE54" t="str">
        <f t="shared" si="67"/>
        <v>L1</v>
      </c>
      <c r="FF54" t="str">
        <f t="shared" si="68"/>
        <v>L1</v>
      </c>
      <c r="FG54" cm="1">
        <f t="array" ref="FG54">IFERROR(IF(BX54=2,_xlfn.IFS(BR54=3,VLOOKUP(BN54,Справочная_двигатели,3,FALSE),BR54=1,VLOOKUP(BN54,Справочная_двигатели,5,TRUE)),0),0)</f>
        <v>0</v>
      </c>
      <c r="FH54">
        <f>IFERROR(IF(BX54=3,VLOOKUP(BN54,Справочная_ЛЭД,2,TRUE),0),0)</f>
        <v>0</v>
      </c>
      <c r="FI54" s="6">
        <f t="shared" si="69"/>
        <v>0</v>
      </c>
      <c r="FJ54" t="str" cm="1">
        <f t="array" ref="FJ54">IF(B54="","",IFERROR(INDEX({"I особая","I","II","III"},MATCH(TRIM(AC54&amp;""),{"I особая","I","II","III"},0)),"III"))</f>
        <v>II</v>
      </c>
      <c r="FK54" t="str">
        <f>IF(B54="","",IF(TRIM(AD54&amp;"")&lt;&gt;"",IF(LOWER(TRIM(AD54&amp;""))="да","да","нет"),IF(IFERROR(_xlfn.XLOOKUP(AX54,Коды_код,Коды_пожарная),"")="да","да","нет")))</f>
        <v>нет</v>
      </c>
      <c r="FL54" t="str">
        <f t="shared" si="70"/>
        <v/>
      </c>
      <c r="FM54" t="str">
        <f t="shared" si="71"/>
        <v>основная</v>
      </c>
      <c r="FN54">
        <f t="shared" si="72"/>
        <v>1</v>
      </c>
      <c r="FO54" t="str" cm="1">
        <f t="array" ref="FO54">IF(B54="","",_xlfn.LET(_xlpm.t,IFERROR(_xlfn.XLOOKUP(1,(Шины[Шина]=FM54)*(((Шины[Щит]=A54)+(Шины[Щит]=""))&gt;0),Шины[Тип]),"")&amp;"",IF(_xlpm.t&lt;&gt;"",_xlpm.t,IF(ISNUMBER(SEARCH("ИБП",FM54)),"ИБП",IF(ISNUMBER(SEARCH("ДГУ",FM54)),"ДГУ","Ввод "&amp;FN54)))))</f>
        <v>Ввод 1</v>
      </c>
      <c r="FP54" t="str">
        <f t="shared" si="73"/>
        <v>Ввод 1</v>
      </c>
      <c r="FQ54" t="str">
        <f>IF(B54="","",IF(OR(FO54="ИБП",FO54="ДГУ"),"I особая",IF(FO54="Одиночная","III",_xlfn.XLOOKUP(A54,Щиты[Щит],Щиты[Категория шины «Ввод»],"III"))))</f>
        <v>II</v>
      </c>
      <c r="FR54">
        <f>IF(B54="",0,IFERROR(MATCH(FJ54,{"III","II","I","I особая"},0),1))</f>
        <v>2</v>
      </c>
      <c r="FS54">
        <f t="shared" si="74"/>
        <v>2</v>
      </c>
      <c r="FT54" t="str">
        <f>IF(B54="","",IF(FR54&gt;IFERROR(MATCH(FQ54,{"III","II","I","I особая"},0),1),"НЕ ОБЕСПЕЧЕНА","ОК"))</f>
        <v>ОК</v>
      </c>
      <c r="FU54" t="str">
        <f>IF(A54="","",_xlfn.XLOOKUP(A54,Щиты[Щит],Щиты[Путь],""))</f>
        <v>|ГРЩ-ЖД|ЩОВ-001|</v>
      </c>
      <c r="FV54" t="str">
        <f>IF(B54="","",IF(AE54&lt;&gt;"",AE54,IF(IFERROR(_xlfn.XLOOKUP(AX54,Коды_код,Коды_вид)&amp;"","")="","Прочее",_xlfn.XLOOKUP(AX54,Коды_код,Коды_вид)&amp;"")))</f>
        <v>Вентиляция</v>
      </c>
      <c r="FW54">
        <f>IF(BH54="","",INT((BH54-1)/Столбцов_на_лист)+1)</f>
        <v>2</v>
      </c>
      <c r="FX54" t="str">
        <f t="shared" si="75"/>
        <v>ВВГнг(А)-LS (3х1,5) L=21-0,12%</v>
      </c>
      <c r="FY54">
        <f t="shared" si="76"/>
        <v>0.1</v>
      </c>
      <c r="FZ54">
        <f t="shared" si="77"/>
        <v>0.55000000000000004</v>
      </c>
      <c r="GA54">
        <f t="shared" si="78"/>
        <v>1</v>
      </c>
      <c r="GB54">
        <f t="shared" si="79"/>
        <v>0</v>
      </c>
      <c r="GC54">
        <f t="shared" si="80"/>
        <v>1</v>
      </c>
      <c r="GD54">
        <f>IF(BH54="","",IF(AND(CA54=1,GC54=1),COUNTIFS(A$3:A54,A54,CA$3:CA54,1,GC$3:GC54,1),IF(OR(OR(AW54=1,A54&lt;&gt;A53),AF54="вручную",GC54=0),"",IF(AW54=1,"",GE53))))</f>
        <v>1</v>
      </c>
      <c r="GE54">
        <f t="shared" si="81"/>
        <v>1</v>
      </c>
      <c r="GF54">
        <f>IF(B54="","",IFERROR(LOOKUP(INDEX(CHOOSE(DL54,Iдоп_1ж,Iдоп_2ж,Iдоп_3ж),MATCH(DX54,Iдоп_S,0))*DJ54*DK54,{6,10,16,20,25,32,40,50,63,80,100,125,160,200,250,315,400,500,630}),""))</f>
        <v>16</v>
      </c>
      <c r="GG54" t="str">
        <f t="shared" si="82"/>
        <v>QF1</v>
      </c>
      <c r="GH54" t="str">
        <f t="shared" si="83"/>
        <v>QF1</v>
      </c>
      <c r="GI54" t="str">
        <f t="shared" si="84"/>
        <v/>
      </c>
      <c r="GJ54">
        <f t="shared" si="85"/>
        <v>0</v>
      </c>
      <c r="GK54" t="str">
        <f>IF(OR(AG54="",AG54="-"),"",IFERROR(VLOOKUP(AG54,Модули_спр,2,FALSE),"R"))</f>
        <v/>
      </c>
      <c r="GL54" t="str">
        <f>IF(GK54="","",GK54&amp;"."&amp;COUNTIFS(A$3:A54,A54,GK$3:GK54,GK54))</f>
        <v/>
      </c>
      <c r="GM54" t="str">
        <f t="shared" si="86"/>
        <v/>
      </c>
      <c r="GN54" t="str">
        <f t="shared" si="87"/>
        <v/>
      </c>
      <c r="GO54" t="str">
        <f t="shared" si="88"/>
        <v/>
      </c>
      <c r="GP54" t="str">
        <f t="shared" si="89"/>
        <v/>
      </c>
      <c r="GQ54">
        <f t="shared" si="90"/>
        <v>1</v>
      </c>
      <c r="GR54" t="str">
        <f>IF(GQ54=1,"XT"&amp;COUNTIFS(A$3:A54,A54,GQ$3:GQ54,1),"")</f>
        <v>XT1</v>
      </c>
      <c r="GS54" t="str">
        <f t="shared" si="91"/>
        <v>XT1</v>
      </c>
      <c r="GT54" t="str">
        <f t="shared" si="92"/>
        <v>QF1</v>
      </c>
      <c r="GU54" t="str">
        <f t="shared" si="93"/>
        <v/>
      </c>
      <c r="GV54" t="str">
        <f t="shared" si="94"/>
        <v>ok</v>
      </c>
      <c r="GW54" t="str">
        <f>IF(OR(GO54="",GM54=""),"",IF(GO54&gt;IFERROR(VLOOKUP(GN54,Модули_спр,3,FALSE),99),"ЛИШНИЙ КАНАЛ",IF(AND(AH54&lt;&gt;"=",COUNTIFS(Линии[_модуль гр.],GM54,Линии[Канал (итог)],GO54,Линии[Канал],"&lt;&gt;=",Линии[Щит],A54)&gt;1),"ДУБЛЬ КАНАЛА","")))</f>
        <v/>
      </c>
      <c r="GX54" s="6" t="str">
        <f t="shared" si="95"/>
        <v/>
      </c>
      <c r="GY54">
        <f t="shared" si="96"/>
        <v>10</v>
      </c>
      <c r="GZ54" t="str">
        <f t="shared" si="97"/>
        <v/>
      </c>
      <c r="HA54" t="str">
        <f>IF(AND(B54="",GT54=""),"",_xlfn.TEXTJOIN("; ",TRUE,IF(AND(B54&lt;&gt;"",FE54=""),"нет фазы",""),IF(AND(B54&lt;&gt;"",N(FY54)=0,EQ54&lt;&gt;"Нет"),"нет мощности",""),IF(AND(GS54&lt;&gt;"",COUNTIFS(Линии[Щит],A54,Линии[Клемма (итог)],GS54)&gt;1),"дубль клеммы "&amp;GS54,""),IF(AND(GV54&lt;&gt;"",GV54&lt;&gt;"ok"),GV54,""),IF(GW54&lt;&gt;"",GW54,""),IF(AND(N(BV54)&gt;=4,N(BR54)=1),BV54&amp;" жил на 1 фазе",""),IF(AND(AX54="R",CA54=1,OR(N(CK54)=0,N(CK54)&gt;30)),"розетка без дифзащиты до 30 мА",""),IFERROR(IF(AND(ISNUMBER(R54),R54&gt;DV54),"потери "&amp;FIXED(R54,1)&amp;" % &gt; "&amp;DV54&amp;" %",""),""),IFERROR(IF(LEFT(GZ54,4)="мало","Iкз мало — отключение &gt; 0,4 с",""),""),IF(AND(B54&lt;&gt;"",BH54=""),"не на схеме",""),IF(AND(CA54=0,B54&lt;&gt;"",FE54&lt;&gt;"",IF(AW54=1,"",FF53)&lt;&gt;"",FE54&lt;&gt;IF(AW54=1,"",FF53)),"фаза не как у автомата группы ("&amp;IF(AW54=1,"",FF53)&amp;")","")))</f>
        <v/>
      </c>
      <c r="HB54" s="6">
        <f>IF(OR(CA54=0,DA54=""),"",_xlfn.LET(_xlpm.t,IFERROR(_xlfn.XLOOKUP(DA54,Каталог!$U$4:$U$500,Каталог!$G$4:$G$500),""),_xlpm.k,SEARCH("кА",_xlpm.t),IFERROR(--TRIM(RIGHT(SUBSTITUTE(MID(_xlpm.t,MAX(1,_xlpm.k-4),_xlpm.k-MAX(1,_xlpm.k-4))," ",REPT(" ",9)),5)),"")))</f>
        <v>6</v>
      </c>
      <c r="HC54" t="str">
        <f>IF(OR(HB54="",CA54=0),"",IF(_xlfn.XLOOKUP(A54,Щиты[Щит],Щиты[Iкз max на шинах, кА],"")="","",IF(HB54&lt;_xlfn.XLOOKUP(A54,Щиты[Щит],Щиты[Iкз max на шинах, кА]),"Icu "&amp;HB54&amp;" кА &lt; Iкз max","ok")))</f>
        <v/>
      </c>
      <c r="HD54" t="str">
        <f t="shared" si="98"/>
        <v/>
      </c>
      <c r="HE54" t="str">
        <f t="shared" si="99"/>
        <v>QF1|XT1</v>
      </c>
      <c r="HF54" t="str">
        <f t="shared" si="100"/>
        <v>QF1|XT1|кабель ВВГнг(А)-LS (3х1,5) → Вытяжная установка Пом №006T</v>
      </c>
      <c r="HG54" t="str" cm="1">
        <f t="array" ref="HG54">IF(HF54="","",_xlfn.LET(_xlpm.nd,_xlfn.TEXTSPLIT(HF54,"|"),IF(COLUMNS(_xlpm.nd)&gt;1,A54&amp;"¦"&amp;INDEX(_xlpm.nd,1)&amp;"¦"&amp;INDEX(_xlpm.nd,2),"")))</f>
        <v>ЩОВ-001¦QF1¦XT1</v>
      </c>
      <c r="HH54" t="str">
        <f t="shared" si="101"/>
        <v>В.3¦Вытяжная установка Пом №006T</v>
      </c>
      <c r="HI54" t="str" cm="1">
        <f t="array" ref="HI54">IF(HF54="","",_xlfn.LET(_xlpm.nd,_xlfn.TEXTSPLIT(HF54,"|"),IF(COLUMNS(_xlpm.nd)&gt;2,A54&amp;"¦"&amp;INDEX(_xlpm.nd,2)&amp;"¦"&amp;INDEX(_xlpm.nd,3),"")))</f>
        <v>ЩОВ-001¦XT1¦кабель ВВГнг(А)-LS (3х1,5) → Вытяжная установка Пом №006T</v>
      </c>
      <c r="HJ54" t="str">
        <f t="shared" si="102"/>
        <v>В.3¦Вытяжная установка Пом №006T</v>
      </c>
      <c r="HK54" t="str" cm="1">
        <f t="array" ref="HK54">IF(HF54="","",_xlfn.LET(_xlpm.nd,_xlfn.TEXTSPLIT(HF54,"|"),IF(COLUMNS(_xlpm.nd)&gt;3,A54&amp;"¦"&amp;INDEX(_xlpm.nd,3)&amp;"¦"&amp;INDEX(_xlpm.nd,4),"")))</f>
        <v/>
      </c>
      <c r="HL54" t="str">
        <f t="shared" si="103"/>
        <v/>
      </c>
      <c r="HM54" t="str" cm="1">
        <f t="array" ref="HM54">IF(HF54="","",_xlfn.LET(_xlpm.nd,_xlfn.TEXTSPLIT(HF54,"|"),IF(COLUMNS(_xlpm.nd)&gt;4,A54&amp;"¦"&amp;INDEX(_xlpm.nd,4)&amp;"¦"&amp;INDEX(_xlpm.nd,5),"")))</f>
        <v/>
      </c>
      <c r="HN54" t="str">
        <f t="shared" si="104"/>
        <v/>
      </c>
      <c r="HO54" t="str" cm="1">
        <f t="array" ref="HO54">IF(HF54="","",_xlfn.LET(_xlpm.nd,_xlfn.TEXTSPLIT(HF54,"|"),IF(COLUMNS(_xlpm.nd)&gt;5,A54&amp;"¦"&amp;INDEX(_xlpm.nd,5)&amp;"¦"&amp;INDEX(_xlpm.nd,6),"")))</f>
        <v/>
      </c>
      <c r="HP54" t="str">
        <f t="shared" si="105"/>
        <v/>
      </c>
      <c r="HQ54" t="str" cm="1">
        <f t="array" ref="HQ54">IF(HF54="","",_xlfn.LET(_xlpm.nd,_xlfn.TEXTSPLIT(HF54,"|"),IF(COLUMNS(_xlpm.nd)&gt;6,A54&amp;"¦"&amp;INDEX(_xlpm.nd,6)&amp;"¦"&amp;INDEX(_xlpm.nd,7),"")))</f>
        <v/>
      </c>
      <c r="HR54" t="str">
        <f t="shared" si="106"/>
        <v/>
      </c>
      <c r="HS54" t="str">
        <f t="shared" si="107"/>
        <v/>
      </c>
      <c r="HT54" t="str">
        <f t="shared" si="108"/>
        <v>QF1 → XT1</v>
      </c>
      <c r="HU54">
        <f t="shared" si="109"/>
        <v>0</v>
      </c>
      <c r="HV54">
        <f t="shared" si="110"/>
        <v>0</v>
      </c>
      <c r="HW54" t="str">
        <f t="shared" si="111"/>
        <v/>
      </c>
      <c r="HX54" t="str">
        <f t="shared" si="112"/>
        <v/>
      </c>
      <c r="HY54" t="str">
        <f t="shared" si="113"/>
        <v/>
      </c>
      <c r="HZ54" t="str">
        <f t="shared" si="114"/>
        <v/>
      </c>
      <c r="IA54" t="str">
        <f>IF(B54="","",IFERROR(VLOOKUP(B54,УГО_спр,2,FALSE),IFERROR(VLOOKUP(AX54,УГО_спр,2,FALSE),IFERROR(VLOOKUP(LEFT(AX54,2),УГО_спр,2,FALSE),""))))</f>
        <v>Привод (двигатель)</v>
      </c>
      <c r="IB54" t="str">
        <f>IF(B54="","",IF(OR(IA54="",IA54=0),"BOX",IFERROR(IF(VLOOKUP(IA54,УГО_блоки,3,FALSE)&amp;""&lt;&gt;"",VLOOKUP(IA54,УГО_блоки,3,FALSE),VLOOKUP(IA54,УГО_блоки,2,FALSE)),IA54)))</f>
        <v>MOTOR</v>
      </c>
      <c r="IC54">
        <f t="shared" si="115"/>
        <v>1</v>
      </c>
      <c r="ID54" t="str">
        <f>IF(DA54="","",IF(COUNTIF(DA$3:DA54,DA54)=1,MAX(ID$2:ID53)+1,""))</f>
        <v/>
      </c>
      <c r="IE54" t="str">
        <f>IF(CO54="","",IF(COUNTIF(CO$3:CO54,CO54)+COUNTIF(CP$2:CP53,CO54)+COUNTIF(CQ$2:CQ53,CO54)=1,MAX(IE$2:IG53)+1,""))</f>
        <v/>
      </c>
      <c r="IF54" t="str">
        <f>IF(CP54="","",IF(COUNTIF(CO$3:CO54,CP54)+COUNTIF(CP$3:CP54,CP54)+COUNTIF(CQ$2:CQ53,CP54)=1,MAX(IE$2:IG53,IE54)+1,""))</f>
        <v/>
      </c>
      <c r="IG54" t="str">
        <f>IF(CQ54="","",IF(COUNTIF(CO$3:CO54,CQ54)+COUNTIF(CP$3:CP54,CQ54)+COUNTIF(CQ$3:CQ54,CQ54)=1,MAX(IE$2:IG53,IE54,IF54)+1,""))</f>
        <v/>
      </c>
      <c r="IH54" t="str">
        <f t="shared" si="116"/>
        <v>3х1,5</v>
      </c>
      <c r="II54" t="str">
        <f>IF(IH54="","",IF(COUNTIF(IH$3:IH54,IH54)=1,MAX(II$2:II53)+1,""))</f>
        <v/>
      </c>
      <c r="IJ54" t="str">
        <f>IF(GL54="","",COUNTIF(GL$3:GL54,"?*"))</f>
        <v/>
      </c>
      <c r="IK54" t="str">
        <f>IF(OR(GL54="",GN54=""),"",IF(COUNTIFS(GL$3:GL54,"?*",GN$3:GN54,GN54)=1,MAX(IK$2:IK53)+1,""))</f>
        <v/>
      </c>
      <c r="IL54">
        <f t="shared" si="117"/>
        <v>0</v>
      </c>
      <c r="IM54">
        <f>IF(B54="","",COUNTIF(B$3:B54,"?*"))</f>
        <v>52</v>
      </c>
      <c r="IN54">
        <f>IF(GQ54&lt;&gt;1,0,_xlfn.LET(_xlpm.k,MAX(IFERROR(--VLOOKUP(B54,УГО_спр,5,FALSE),0),IFERROR(--VLOOKUP(AX54,УГО_спр,5,FALSE),0),IFERROR(--VLOOKUP(LEFT(AX54,2),УГО_спр,5,FALSE),0)),IF(_xlpm.k&gt;0,_xlpm.k,IF(IFERROR(--LEFT(SUBSTITUTE(IH54,"x","х"),FIND("х",SUBSTITUTE(IH54,"x","х"))-1),3)&gt;3,Каталог!$S$9,1))))</f>
        <v>1</v>
      </c>
      <c r="IO54">
        <f t="shared" si="118"/>
        <v>0</v>
      </c>
      <c r="IP54" t="str">
        <f t="shared" si="119"/>
        <v>авто</v>
      </c>
      <c r="IQ54" t="str">
        <f t="shared" si="120"/>
        <v/>
      </c>
      <c r="IR54">
        <f t="shared" si="121"/>
        <v>0</v>
      </c>
      <c r="IS54">
        <f t="shared" si="122"/>
        <v>1</v>
      </c>
    </row>
    <row r="55" spans="1:253" x14ac:dyDescent="0.3">
      <c r="A55" t="s">
        <v>749</v>
      </c>
      <c r="B55" t="s">
        <v>1327</v>
      </c>
      <c r="C55" t="s">
        <v>1614</v>
      </c>
      <c r="D55">
        <v>1</v>
      </c>
      <c r="E55">
        <v>0.1</v>
      </c>
      <c r="G55">
        <v>10</v>
      </c>
      <c r="H55" t="str">
        <f>Линии[[#This Row],[_авто утечка]]</f>
        <v/>
      </c>
      <c r="I55" t="str">
        <f>Линии[[#This Row],[_авто управление]]</f>
        <v/>
      </c>
      <c r="J55" t="str">
        <f>Линии[[#This Row],[_авто аппараты]]</f>
        <v/>
      </c>
      <c r="K55">
        <v>1.5</v>
      </c>
      <c r="L55">
        <v>13</v>
      </c>
      <c r="M55" t="str">
        <f>Линии[[#This Row],[_авто фаза]]</f>
        <v>L2</v>
      </c>
      <c r="N55" t="str">
        <f>Линии[[#This Row],[_авто клемма]]</f>
        <v>XT2</v>
      </c>
      <c r="O55" t="str">
        <f t="shared" si="0"/>
        <v/>
      </c>
      <c r="P55" s="6" cm="1">
        <f t="array" ref="P55">IF(B55="","",IF(BC55&lt;&gt;"",IFERROR(_xlfn.XLOOKUP(BC55,Щиты[Щит],Щиты[Iр, А]),""),IF(BK55=1,IFERROR(_xlfn.XLOOKUP(A55,Щиты[Щит],Щиты[Iр, А]),""),IFERROR(_xlfn.IFS(BR55=1,BN55/((Uн_лин/SQRT(3))*BY55),BR55=3,BN55/(SQRT(3)*Uн_лин*BY55)),""))))</f>
        <v>0.5412658773652741</v>
      </c>
      <c r="Q55" s="7">
        <f>IF(B55="","",IFERROR(IF(VLOOKUP(AX55,Потребители_обозначение,4,FALSE)=1,VLOOKUP(AX55,Потребители_обозначение,3,FALSE)*(D55*2-1)+DS55+VLOOKUP(AZ55,Этаж_обозначение,3,FALSE)+VLOOKUP(AZ55,Этаж_обозначение,4,FALSE),VLOOKUP(AX55,Потребители_обозначение,3,FALSE)*(D55*2-1)+DS55),DS55))</f>
        <v>17</v>
      </c>
      <c r="R55" s="6">
        <f t="shared" si="1"/>
        <v>0.74</v>
      </c>
      <c r="S55" t="str">
        <f t="shared" si="2"/>
        <v>ВВГнг(А)-LS (3х1,5)</v>
      </c>
      <c r="T55" t="str">
        <f>IF(BH55="","",IF(BI55="вводной узел","узел ","")&amp;"л."&amp;(INT((BH55-1)/Столбцов_на_лист)+1)&amp;" / "&amp;(MOD(BH55-1,Столбцов_на_лист)+1))</f>
        <v>л.2 / 2</v>
      </c>
      <c r="V55">
        <v>1</v>
      </c>
      <c r="W55">
        <v>230</v>
      </c>
      <c r="X55" t="s">
        <v>600</v>
      </c>
      <c r="Y55">
        <v>0.5</v>
      </c>
      <c r="AC55" t="s">
        <v>815</v>
      </c>
      <c r="AE55" t="s">
        <v>582</v>
      </c>
      <c r="AI55">
        <v>19</v>
      </c>
      <c r="AJ55" t="s">
        <v>11</v>
      </c>
      <c r="AK55">
        <v>3</v>
      </c>
      <c r="AN55">
        <v>17</v>
      </c>
      <c r="AP55">
        <v>1</v>
      </c>
      <c r="AW55" cm="1">
        <f t="array" ref="AW55">ROW()-ROW(Линии[#Headers])</f>
        <v>53</v>
      </c>
      <c r="AX55" s="6" t="str">
        <f t="shared" si="3"/>
        <v>В</v>
      </c>
      <c r="AY55" t="str">
        <f t="shared" si="4"/>
        <v>9</v>
      </c>
      <c r="AZ55" t="str">
        <f t="shared" si="5"/>
        <v>9</v>
      </c>
      <c r="BA55" t="str">
        <f t="shared" si="6"/>
        <v/>
      </c>
      <c r="BB55" t="str">
        <f t="shared" si="7"/>
        <v/>
      </c>
      <c r="BC55" t="str">
        <f>IF(U55&lt;&gt;"",U55,IF(AND(B55&lt;&gt;"",B55&lt;&gt;A55,ISNUMBER(_xlfn.XMATCH(B55,Щиты[Щит]))),B55,""))</f>
        <v/>
      </c>
      <c r="BD55" t="str" cm="1">
        <f t="array" ref="BD55">IF(B55="","",IF(BC55&lt;&gt;"","Щит "&amp;BC55,_xlfn.LET(_xlpm.nm,IFERROR(_xlfn.XLOOKUP(AX55,Коды_код,Коды_имя)&amp;"",""),_xlpm.md,IFERROR(N(_xlfn.XLOOKUP(AX55,Коды_код,Коды_режим)),1),_xlpm.ex,IF(Имя_режим="по экспликации",IFERROR(_xlfn.XLOOKUP(AZ55&amp;"|"&amp;BB55,Экспликация[Этаж]&amp;"|"&amp;Экспликация[Помещение],Экспликация[Название])&amp;"",""),""),_xlpm.rm,IF(BB55="","",IF(_xlpm.ex&lt;&gt;"",". "&amp;_xlpm.ex&amp;IF(Имя_пом="нет"," ("&amp;BB55&amp;")"," (пом. "&amp;BB55&amp;")"),IF(Имя_пом="нет"," ",", пом. ")&amp;BB55)),IF(_xlpm.nm="","",IF(_xlpm.md=2,_xlpm.nm&amp;" шлейф "&amp;AZ55,_xlpm.nm&amp;_xlpm.rm)))))</f>
        <v>Вытяжная установка шлейф 9</v>
      </c>
      <c r="BE55" t="str">
        <f t="shared" si="8"/>
        <v>Вытяжная установка Пом №006T</v>
      </c>
      <c r="BF55">
        <f>IFERROR(_xlfn.XMATCH(A55,Щиты[Щит]),0)</f>
        <v>4</v>
      </c>
      <c r="BG55">
        <f>_xlfn.LET(_xlpm.k,IFERROR(_xlfn.XLOOKUP(A55,Щиты[Щит],Щиты[Листов под вводной узел]),""),IF(_xlpm.k="",1,N(_xlpm.k))*Столбцов_на_лист)</f>
        <v>17</v>
      </c>
      <c r="BH55">
        <f t="shared" si="9"/>
        <v>19</v>
      </c>
      <c r="BI55" t="str">
        <f t="shared" si="10"/>
        <v>линии</v>
      </c>
      <c r="BJ55" s="6">
        <f>IFERROR(N(_xlfn.XLOOKUP(AX55,Коды_код,Коды_квт)),0)</f>
        <v>0</v>
      </c>
      <c r="BK55">
        <f t="shared" si="11"/>
        <v>0</v>
      </c>
      <c r="BL55" t="str">
        <f>IF(B55="","",IF(BC55&lt;&gt;"",IFERROR(_xlfn.XLOOKUP(BC55,Щиты[Щит],Щиты[Руст, кВт]),0),IF(BK55=1,IFERROR(_xlfn.XLOOKUP(A55,Щиты[Щит],Щиты[Руст, кВт]),0),IF(BJ55&gt;0,ROUND(BJ55*MAX(1,N(D55)),3),""))))</f>
        <v/>
      </c>
      <c r="BM55">
        <f t="shared" si="12"/>
        <v>0.1</v>
      </c>
      <c r="BN55" s="6">
        <f>IF(B55="","",IF(BC55&lt;&gt;"",IFERROR(_xlfn.XLOOKUP(BC55,Щиты[Щит],Щиты[Руст, кВт]),0),N(BM55)))</f>
        <v>0.1</v>
      </c>
      <c r="BO55" t="str">
        <f>IF(B55="","",IFERROR(IF(VLOOKUP(AX55,Потребители_обозначение,8,FALSE)=0,"",VLOOKUP(AX55,Потребители_обозначение,8,FALSE)),""))</f>
        <v/>
      </c>
      <c r="BP55">
        <f t="shared" si="13"/>
        <v>230</v>
      </c>
      <c r="BQ55">
        <f>IF(B55="","",IF(BC55&lt;&gt;"",3,IFERROR(IF(N(VLOOKUP(AX55,Потребители_обозначение,9,FALSE))=0,1,VLOOKUP(AX55,Потребители_обозначение,9,FALSE)),1)))</f>
        <v>1</v>
      </c>
      <c r="BR55">
        <f t="shared" si="14"/>
        <v>1</v>
      </c>
      <c r="BS55" t="str">
        <f>IF(B55="","",_xlfn.LET(_xlpm.bc,IFERROR(IF(VLOOKUP(AX55,Потребители_обозначение,6,FALSE)=0,"",VLOOKUP(AX55,Потребители_обозначение,6,FALSE)&amp;""),""),IF(AND(FK55="да",OR(_xlpm.bc="",_xlpm.bc="мс")),Марка_пож,IF(AND(_xlpm.bc="",BC55&lt;&gt;""),"мс",_xlpm.bc))))</f>
        <v/>
      </c>
      <c r="BT55" t="str">
        <f t="shared" si="15"/>
        <v>мс</v>
      </c>
      <c r="BU55">
        <f>IF(B55="","",_xlfn.LET(_xlpm.cc,IFERROR(N(VLOOKUP(AX55,Потребители_обозначение,7,FALSE)),0),IF(_xlpm.cc&gt;0,_xlpm.cc,IF(BT55="","",IF(N(BR55)=3,5,3)))))</f>
        <v>3</v>
      </c>
      <c r="BV55">
        <f t="shared" si="16"/>
        <v>3</v>
      </c>
      <c r="BW55">
        <f>IFERROR(N(VLOOKUP(AX55,Потребители_обозначение,10,FALSE)),0)</f>
        <v>0</v>
      </c>
      <c r="BX55">
        <f>IFERROR(VLOOKUP(AX55,Потребители_обозначение,5,FALSE),0)</f>
        <v>1</v>
      </c>
      <c r="BY55" s="6" cm="1">
        <f t="array" ref="BY55">IF(B55="","",IF(BC55&lt;&gt;"",IFERROR(_xlfn.XLOOKUP(BC55,Щиты[Щит],Щиты[cos φ]),0.95),IF(BK55=1,IFERROR(_xlfn.XLOOKUP(A55,Щиты[Щит],Щиты[cos φ]),0.95),IF(ISNUMBER(Z55),Z55,IFERROR(IF(BX55=2,_xlfn.IFS(BR55=3,VLOOKUP(BN55,Справочная_двигатели,8,FALSE),BR55=1,VLOOKUP(BN55,Справочная_двигатели,10,TRUE)),IF(AND(Методика="нормы 2026",EQ55="Сил"),0.8,0.95)),0.95)))))</f>
        <v>0.8</v>
      </c>
      <c r="BZ55">
        <f t="shared" si="17"/>
        <v>0</v>
      </c>
      <c r="CA55">
        <f t="shared" si="18"/>
        <v>1</v>
      </c>
      <c r="CB55">
        <f t="shared" si="19"/>
        <v>0</v>
      </c>
      <c r="CC55">
        <f t="shared" si="20"/>
        <v>0</v>
      </c>
      <c r="CD55">
        <f t="shared" si="21"/>
        <v>0</v>
      </c>
      <c r="CE55">
        <f t="shared" si="22"/>
        <v>0</v>
      </c>
      <c r="CF55">
        <f t="shared" si="23"/>
        <v>0</v>
      </c>
      <c r="CG55">
        <f>IF(AX55="",0,_xlfn.LET(_xlpm.v,IFERROR(VLOOKUP(B55,УГО_спр,3,FALSE),IFERROR(VLOOKUP(AX55,УГО_спр,3,FALSE),IFERROR(VLOOKUP(LEFT(AX55,2),УГО_спр,3,FALSE),""))),IF(_xlpm.v="да",30,IF(ISNUMBER(_xlpm.v),_xlpm.v,0))))</f>
        <v>0</v>
      </c>
      <c r="CH55" t="str">
        <f t="shared" si="24"/>
        <v/>
      </c>
      <c r="CI55" t="str">
        <f>_xlfn.LET(_xlpm.k,IFERROR(_xlfn.XLOOKUP(AX55,Коды_код,Коды_утечка)&amp;"",""),IF(_xlpm.k="","дифавтомат",_xlpm.k))</f>
        <v>дифавтомат</v>
      </c>
      <c r="CJ55">
        <f t="shared" si="25"/>
        <v>0</v>
      </c>
      <c r="CK55">
        <f t="shared" si="26"/>
        <v>0</v>
      </c>
      <c r="CL55">
        <f>IF(B55="",0,IFERROR(--VLOOKUP(B55,УГО_спр,4,FALSE),IFERROR(--VLOOKUP(AX55,УГО_спр,4,FALSE),IFERROR(--VLOOKUP(LEFT(AX55,2),УГО_спр,4,FALSE),0))))</f>
        <v>0</v>
      </c>
      <c r="CM55" t="str">
        <f>IF(B55="","",IFERROR(_xlfn.XLOOKUP(AX55,Коды_код,Коды_апп)&amp;"",""))</f>
        <v/>
      </c>
      <c r="CN55" t="str">
        <f t="shared" si="27"/>
        <v/>
      </c>
      <c r="CO55" t="str" cm="1">
        <f t="array" ref="CO55">IF(TRIM(CN55&amp;"")="","",IFERROR(TRIM(INDEX(_xlfn.TEXTSPLIT(CN55&amp;";;;",";"),1)),""))</f>
        <v/>
      </c>
      <c r="CP55" t="str" cm="1">
        <f t="array" ref="CP55">IF(TRIM(CN55&amp;"")="","",IFERROR(TRIM(INDEX(_xlfn.TEXTSPLIT(CN55&amp;";;;",";"),2)),""))</f>
        <v/>
      </c>
      <c r="CQ55" t="str" cm="1">
        <f t="array" ref="CQ55">IF(TRIM(CN55&amp;"")="","",IFERROR(TRIM(INDEX(_xlfn.TEXTSPLIT(CN55&amp;";;;",";"),3)),""))</f>
        <v/>
      </c>
      <c r="CR55">
        <f t="shared" si="28"/>
        <v>0</v>
      </c>
      <c r="CS55" t="str">
        <f>IF(B55="","",_xlfn.LET(_xlpm.t,LOWER(AV55&amp;""),IF(ISNUMBER(SEARCH("dim",_xlpm.t)),"DIM",IF(ISNUMBER(SEARCH("dali",_xlpm.t)),"DALI",IF(OR(ISNUMBER(SEARCH("relay",_xlpm.t)),ISNUMBER(SEARCH("реле",_xlpm.t))),"Relay",IF(ISNUMBER(SEARCH("кнопк",_xlpm.t)),"",IFERROR(_xlfn.XLOOKUP(AX55,Коды_код,Коды_упр)&amp;"","")))))))</f>
        <v/>
      </c>
      <c r="CT55" t="str">
        <f t="shared" si="29"/>
        <v/>
      </c>
      <c r="CU55">
        <f>IF(B55="","",_xlfn.LET(_xlpm.ig,N(P55)+IF(AF55="вручную",0,N(CB55)),_xlpm.n0,IFERROR(VLOOKUP(_xlpm.ig,Автомат_номиналы,2,TRUE),0),_xlpm.mn,MAX(CL55,IF(AF55="вручную",0,N(CE55))),MAX(_xlpm.n0,_xlpm.mn,IF(CR55=1,Мин_автомат_БП,0))))</f>
        <v>6</v>
      </c>
      <c r="CV55">
        <f t="shared" si="30"/>
        <v>1</v>
      </c>
      <c r="CW55" t="str">
        <f t="shared" si="31"/>
        <v>1P</v>
      </c>
      <c r="CX55" t="str">
        <f>_xlfn.LET(_xlpm.cc,UPPER(TRIM(IFERROR(_xlfn.XLOOKUP(AX55,Коды_код,Коды_хар)&amp;"",""))),IF(OR(_xlpm.cc="B",_xlpm.cc="В"),"B",IF(_xlpm.cc="D","D","С")))</f>
        <v>С</v>
      </c>
      <c r="CY55" t="str">
        <f t="shared" si="32"/>
        <v>1P С6А</v>
      </c>
      <c r="CZ55">
        <f t="shared" si="33"/>
        <v>10</v>
      </c>
      <c r="DA55" t="str">
        <f t="shared" si="34"/>
        <v>1P С10А</v>
      </c>
      <c r="DB55" cm="1">
        <f t="array" ref="DB55">IF(DA55="","",_xlfn.LET(_xlpm.t,SUBSTITUTE(SUBSTITUTE(SUBSTITUTE(UPPER(DA55),"С","C"),"А","A"),"В","B"),_xlpm.tk,_xlfn.TEXTSPLIT(_xlpm.t,"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5" t="str">
        <f t="shared" si="35"/>
        <v>ok</v>
      </c>
      <c r="DD55">
        <f t="shared" si="36"/>
        <v>10</v>
      </c>
      <c r="DE55" t="str">
        <f t="shared" si="37"/>
        <v>1P С10А</v>
      </c>
      <c r="DF55">
        <f t="shared" si="38"/>
        <v>0</v>
      </c>
      <c r="DG55">
        <f t="shared" si="39"/>
        <v>0</v>
      </c>
      <c r="DH55">
        <f t="shared" si="40"/>
        <v>0</v>
      </c>
      <c r="DI55">
        <f t="shared" si="41"/>
        <v>0.5412658773652741</v>
      </c>
      <c r="DJ55">
        <f t="shared" si="42"/>
        <v>1</v>
      </c>
      <c r="DK55">
        <f>IF(ISNUMBER(AL55),AL55,К_прокл)</f>
        <v>1</v>
      </c>
      <c r="DL55">
        <f t="shared" si="43"/>
        <v>2</v>
      </c>
      <c r="DM55">
        <f>IFERROR(N(VLOOKUP(BT55,Кабель_обозначение,3,FALSE)),1)</f>
        <v>1</v>
      </c>
      <c r="DN55">
        <f>IFERROR(N(_xlfn.XLOOKUP(A55,Щиты[Щит],Щиты[ΔU до шин, %])),0)</f>
        <v>0.64</v>
      </c>
      <c r="DO55" t="str">
        <f>IFERROR(_xlfn.XLOOKUP(A55,Щиты[Щит],Щиты[Zпетли на шинах, Ом]),"")</f>
        <v/>
      </c>
      <c r="DP55">
        <f>IFERROR(N(_xlfn.XLOOKUP(A55,Щиты[Щит],Щиты[ΔU до шин (подбор), %])),0)</f>
        <v>0.75</v>
      </c>
      <c r="DQ55" t="str">
        <f>IFERROR(_xlfn.XLOOKUP(A55,Щиты[Щит],Щиты[Zпетли на шинах (подбор), Ом]),"")</f>
        <v/>
      </c>
      <c r="DR55" t="str">
        <f t="shared" si="44"/>
        <v/>
      </c>
      <c r="DS55">
        <f t="shared" si="45"/>
        <v>13</v>
      </c>
      <c r="DT55">
        <f t="shared" si="46"/>
        <v>2</v>
      </c>
      <c r="DU55">
        <f t="shared" si="47"/>
        <v>0.6</v>
      </c>
      <c r="DV55" s="6">
        <f>IF(B55="","",IF(IFERROR(VLOOKUP(AX55,УГО_спр,2,FALSE),"")="Светильник",3,4)+IF(Методика="нормы 2026",MIN(0.5,MAX(0,N(Q55)-100)*0.005),0))</f>
        <v>4</v>
      </c>
      <c r="DW55" cm="1">
        <f t="array" ref="DW55">IF(OR(B55="",BT55="",DM55&lt;&gt;1),"",_xlfn.LET(_xlpm.sz,Iдоп_S,_xlpm.t_,CHOOSE(DL55,Iдоп_1ж,Iдоп_2ж,Iдоп_3ж)*DJ55*DK55,_xlpm.inn,N(DD55),_xlpm.smin,MAX(1.5,BW55),_xlpm.L_,N(Q55)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55)*(_xlpm.rho*_xlpm.L_/_xlpm.sz*N(BY55)+_xlpm.xx*_xlpm.L_*N(DU55)/1000)*N(P55)/((Uн_лин/SQRT(3))*1000)*100,999),_xlpm.kz,IF(OR(DG55=1,NOT(ISNUMBER(DQ55)),_xlpm.L_=0,_xlpm.inn=0),1,IFERROR(--(c_min*(Uн_лин*1000/SQRT(3))/(DQ55+2*ρкз_Cu*_xlpm.L_/_xlpm.sz)&gt;=GY55*_xlpm.inn),0)),_xlpm.ok,IFERROR((_xlpm.sz&gt;=_xlpm.smin)*(_xlpm.t_&gt;=_xlpm.inn)*IF(_xlpm.L_&gt;0,(_xlpm.du_+DP55&lt;=DV55+0.00001),1)*_xlpm.kz,0),_xlpm.r_,_xlfn._xlws.FILTER(_xlpm.sz,_xlpm.ok,"не подобрано"),INDEX(_xlpm.r_,1)))</f>
        <v>1.5</v>
      </c>
      <c r="DX55">
        <f t="shared" si="48"/>
        <v>1.5</v>
      </c>
      <c r="DY55" cm="1">
        <f t="array" ref="DY55">IF(OR(B55="",BT55="",DM55&lt;&gt;1),"",_xlfn.LET(_xlpm.sz,Iдоп_S,_xlpm.t_,CHOOSE(DL55,Iдоп_1ж,Iдоп_2ж,Iдоп_3ж)*DJ55*DK55,_xlpm.ok,IFERROR((_xlpm.sz&gt;=MAX(1.5,BW55))*(_xlpm.t_&gt;=N(DD55)),0),_xlpm.r_,_xlfn._xlws.FILTER(_xlpm.sz,_xlpm.ok,""),INDEX(_xlpm.r_,1)))</f>
        <v>1.5</v>
      </c>
      <c r="DZ55" s="6" cm="1">
        <f t="array" ref="DZ55">IFERROR(ROUNDUP(N(DT55)*(_xlfn.XLOOKUP(DY55,INDEX(Кабель_сопротивление,0,1),INDEX(Кабель_сопротивление,0,3))*N(Q55)/DY55*N(BY55)+_xlfn.XLOOKUP(DY55,INDEX(Кабель_сопротивление,0,1),INDEX(Кабель_сопротивление,0,2))*N(Q55)*N(DU55)/1000)*N(P55)/((Uн_лин/SQRT(3))*1000)*100,2),"")</f>
        <v>9.9999999999999992E-2</v>
      </c>
      <c r="EA55">
        <f>IFERROR(2*ρкз_Cu*N(Q55)/DY55,"")</f>
        <v>0.59613333333333329</v>
      </c>
      <c r="EB55">
        <f>IFERROR(VLOOKUP(DX55,Кабель_сопротивление,3,FALSE),"")</f>
        <v>2.2499999999999999E-2</v>
      </c>
      <c r="EC55">
        <f>IFERROR(VLOOKUP(DX55,Кабель_сопротивление,2,FALSE),"")</f>
        <v>0.11</v>
      </c>
      <c r="ED55">
        <f t="shared" si="49"/>
        <v>17</v>
      </c>
      <c r="EE55">
        <f t="shared" si="50"/>
        <v>0</v>
      </c>
      <c r="EF55">
        <f t="shared" si="51"/>
        <v>0.22205107859383955</v>
      </c>
      <c r="EG55" s="6">
        <f>IFERROR(ROUNDUP(EF55/((Uн_лин/SQRT(3))*1000)*100,2),"")</f>
        <v>9.9999999999999992E-2</v>
      </c>
      <c r="EH55" t="str">
        <f>IFERROR(VLOOKUP(BT55,Кабель_обозначение,2,FALSE),"")</f>
        <v>ВВГнг(А)-LS</v>
      </c>
      <c r="EI55" t="str">
        <f t="shared" si="52"/>
        <v>ВВГнг(А)-LS (3х1,5)</v>
      </c>
      <c r="EJ55" t="str">
        <f t="shared" si="53"/>
        <v>ВВГнг(А)-LS (3х1,5)
L=17-0,1%</v>
      </c>
      <c r="EK55">
        <f>IFERROR(2*ρкз_Cu*Q55/DX55,"")</f>
        <v>0.59613333333333329</v>
      </c>
      <c r="EL55">
        <f t="shared" si="54"/>
        <v>0.19833333333333336</v>
      </c>
      <c r="EM55" s="6" t="str">
        <f>IFERROR(IF(OR(B55="",NOT(ISNUMBER(DX55)),N(Q55)=0),"",_xlfn.XLOOKUP(A55,Щиты[Щит],Щиты[Zпетли на шинах, Ом])+EK55),"")</f>
        <v/>
      </c>
      <c r="EN55" s="6" t="str">
        <f>IF(ISNUMBER(EM55),c_min*(Uн_лин*1000/SQRT(3))/EM55,"")</f>
        <v/>
      </c>
      <c r="EO55" s="6" t="str">
        <f>IFERROR(IF(OR(B55="",NOT(ISNUMBER(DX55))),"",1.05*(Uн_лин*1000/SQRT(3))/(_xlfn.XLOOKUP(A55,Щиты[Щит],Щиты[Zmax на шинах, Ом])+EL55)/1000),"")</f>
        <v/>
      </c>
      <c r="EP55" s="6" t="str">
        <f>IF(B55="","",IF(ISNUMBER(Y55),"Сил",IF(IFERROR(_xlfn.XLOOKUP(AX55,Коды_код,Коды_группа)&amp;"","")="","Быт",_xlfn.XLOOKUP(AX55,Коды_код,Коды_группа)&amp;"")))</f>
        <v>Сил</v>
      </c>
      <c r="EQ55" s="6" t="str">
        <f t="shared" si="55"/>
        <v>Сил</v>
      </c>
      <c r="ER55" s="6">
        <f>IF(EQ55="Щит","щит",IF(EQ55="","",IF(EQ55="Быт",IFERROR(_xlfn.XLOOKUP(A55,Щиты[Щит],Щиты[Кс быт]),1),IF(EQ55="Сил",IF(ISNUMBER(Y55),Y55,IF(Методика="нормы 2026",IFERROR(_xlfn.XLOOKUP(A55,Щиты[Щит],Щиты[Кс силовых (табл. 7.5)]),1),1)),IF(OR(EQ55="Пост",EQ55="Отоп"),1,IF(EQ55="ВНГ",0.7,0))))))</f>
        <v>0.5</v>
      </c>
      <c r="ES55">
        <f t="shared" si="56"/>
        <v>1</v>
      </c>
      <c r="ET55">
        <f t="shared" si="57"/>
        <v>0.1</v>
      </c>
      <c r="EU55">
        <f t="shared" si="58"/>
        <v>0</v>
      </c>
      <c r="EV55">
        <f t="shared" si="59"/>
        <v>0.05</v>
      </c>
      <c r="EW55">
        <f t="shared" si="60"/>
        <v>0</v>
      </c>
      <c r="EX55">
        <f t="shared" si="61"/>
        <v>0</v>
      </c>
      <c r="EY55">
        <f t="shared" si="62"/>
        <v>0</v>
      </c>
      <c r="EZ55">
        <f t="shared" si="63"/>
        <v>0.1</v>
      </c>
      <c r="FA55">
        <f t="shared" si="64"/>
        <v>8.0000000000000016E-2</v>
      </c>
      <c r="FB55">
        <f t="shared" si="65"/>
        <v>0.1</v>
      </c>
      <c r="FC55" t="str">
        <f t="shared" si="66"/>
        <v/>
      </c>
      <c r="FD55" t="str">
        <f>IF(B55="","",IF(CA55=0,IF(AW55=1,"",FF54),IF(OR(N(CV55)&gt;=3,N(BR55)&gt;=3),"L1,L2,L3",IFERROR(_xlfn.TEXTBEFORE(_xlfn.TEXTAFTER(_xlfn.XLOOKUP(A55,Щиты[Щит],Щиты[_фазы авто]),";"&amp;AW55&amp;":"),";"),"L1"))))</f>
        <v>L2</v>
      </c>
      <c r="FE55" t="str">
        <f t="shared" si="67"/>
        <v>L2</v>
      </c>
      <c r="FF55" t="str">
        <f t="shared" si="68"/>
        <v>L2</v>
      </c>
      <c r="FG55" cm="1">
        <f t="array" ref="FG55">IFERROR(IF(BX55=2,_xlfn.IFS(BR55=3,VLOOKUP(BN55,Справочная_двигатели,3,FALSE),BR55=1,VLOOKUP(BN55,Справочная_двигатели,5,TRUE)),0),0)</f>
        <v>0</v>
      </c>
      <c r="FH55">
        <f>IFERROR(IF(BX55=3,VLOOKUP(BN55,Справочная_ЛЭД,2,TRUE),0),0)</f>
        <v>0</v>
      </c>
      <c r="FI55" s="6">
        <f t="shared" si="69"/>
        <v>0</v>
      </c>
      <c r="FJ55" t="str" cm="1">
        <f t="array" ref="FJ55">IF(B55="","",IFERROR(INDEX({"I особая","I","II","III"},MATCH(TRIM(AC55&amp;""),{"I особая","I","II","III"},0)),"III"))</f>
        <v>II</v>
      </c>
      <c r="FK55" t="str">
        <f>IF(B55="","",IF(TRIM(AD55&amp;"")&lt;&gt;"",IF(LOWER(TRIM(AD55&amp;""))="да","да","нет"),IF(IFERROR(_xlfn.XLOOKUP(AX55,Коды_код,Коды_пожарная),"")="да","да","нет")))</f>
        <v>нет</v>
      </c>
      <c r="FL55" t="str">
        <f t="shared" si="70"/>
        <v/>
      </c>
      <c r="FM55" t="str">
        <f t="shared" si="71"/>
        <v>основная</v>
      </c>
      <c r="FN55">
        <f t="shared" si="72"/>
        <v>1</v>
      </c>
      <c r="FO55" t="str" cm="1">
        <f t="array" ref="FO55">IF(B55="","",_xlfn.LET(_xlpm.t,IFERROR(_xlfn.XLOOKUP(1,(Шины[Шина]=FM55)*(((Шины[Щит]=A55)+(Шины[Щит]=""))&gt;0),Шины[Тип]),"")&amp;"",IF(_xlpm.t&lt;&gt;"",_xlpm.t,IF(ISNUMBER(SEARCH("ИБП",FM55)),"ИБП",IF(ISNUMBER(SEARCH("ДГУ",FM55)),"ДГУ","Ввод "&amp;FN55)))))</f>
        <v>Ввод 1</v>
      </c>
      <c r="FP55" t="str">
        <f t="shared" si="73"/>
        <v>Ввод 1</v>
      </c>
      <c r="FQ55" t="str">
        <f>IF(B55="","",IF(OR(FO55="ИБП",FO55="ДГУ"),"I особая",IF(FO55="Одиночная","III",_xlfn.XLOOKUP(A55,Щиты[Щит],Щиты[Категория шины «Ввод»],"III"))))</f>
        <v>II</v>
      </c>
      <c r="FR55">
        <f>IF(B55="",0,IFERROR(MATCH(FJ55,{"III","II","I","I особая"},0),1))</f>
        <v>2</v>
      </c>
      <c r="FS55">
        <f t="shared" si="74"/>
        <v>2</v>
      </c>
      <c r="FT55" t="str">
        <f>IF(B55="","",IF(FR55&gt;IFERROR(MATCH(FQ55,{"III","II","I","I особая"},0),1),"НЕ ОБЕСПЕЧЕНА","ОК"))</f>
        <v>ОК</v>
      </c>
      <c r="FU55" t="str">
        <f>IF(A55="","",_xlfn.XLOOKUP(A55,Щиты[Щит],Щиты[Путь],""))</f>
        <v>|ГРЩ-ЖД|ЩОВ-001|</v>
      </c>
      <c r="FV55" t="str">
        <f>IF(B55="","",IF(AE55&lt;&gt;"",AE55,IF(IFERROR(_xlfn.XLOOKUP(AX55,Коды_код,Коды_вид)&amp;"","")="","Прочее",_xlfn.XLOOKUP(AX55,Коды_код,Коды_вид)&amp;"")))</f>
        <v>Вентиляция</v>
      </c>
      <c r="FW55">
        <f>IF(BH55="","",INT((BH55-1)/Столбцов_на_лист)+1)</f>
        <v>2</v>
      </c>
      <c r="FX55" t="str">
        <f t="shared" si="75"/>
        <v>ВВГнг(А)-LS (3х1,5) L=17-0,1%</v>
      </c>
      <c r="FY55">
        <f t="shared" si="76"/>
        <v>0.1</v>
      </c>
      <c r="FZ55">
        <f t="shared" si="77"/>
        <v>0.55000000000000004</v>
      </c>
      <c r="GA55">
        <f t="shared" si="78"/>
        <v>1</v>
      </c>
      <c r="GB55">
        <f t="shared" si="79"/>
        <v>0</v>
      </c>
      <c r="GC55">
        <f t="shared" si="80"/>
        <v>1</v>
      </c>
      <c r="GD55">
        <f>IF(BH55="","",IF(AND(CA55=1,GC55=1),COUNTIFS(A$3:A55,A55,CA$3:CA55,1,GC$3:GC55,1),IF(OR(OR(AW55=1,A55&lt;&gt;A54),AF55="вручную",GC55=0),"",IF(AW55=1,"",GE54))))</f>
        <v>2</v>
      </c>
      <c r="GE55">
        <f t="shared" si="81"/>
        <v>2</v>
      </c>
      <c r="GF55">
        <f>IF(B55="","",IFERROR(LOOKUP(INDEX(CHOOSE(DL55,Iдоп_1ж,Iдоп_2ж,Iдоп_3ж),MATCH(DX55,Iдоп_S,0))*DJ55*DK55,{6,10,16,20,25,32,40,50,63,80,100,125,160,200,250,315,400,500,630}),""))</f>
        <v>16</v>
      </c>
      <c r="GG55" t="str">
        <f t="shared" si="82"/>
        <v>QF2</v>
      </c>
      <c r="GH55" t="str">
        <f t="shared" si="83"/>
        <v>QF2</v>
      </c>
      <c r="GI55" t="str">
        <f t="shared" si="84"/>
        <v/>
      </c>
      <c r="GJ55">
        <f t="shared" si="85"/>
        <v>0</v>
      </c>
      <c r="GK55" t="str">
        <f>IF(OR(AG55="",AG55="-"),"",IFERROR(VLOOKUP(AG55,Модули_спр,2,FALSE),"R"))</f>
        <v/>
      </c>
      <c r="GL55" t="str">
        <f>IF(GK55="","",GK55&amp;"."&amp;COUNTIFS(A$3:A55,A55,GK$3:GK55,GK55))</f>
        <v/>
      </c>
      <c r="GM55" t="str">
        <f t="shared" si="86"/>
        <v/>
      </c>
      <c r="GN55" t="str">
        <f t="shared" si="87"/>
        <v/>
      </c>
      <c r="GO55" t="str">
        <f t="shared" si="88"/>
        <v/>
      </c>
      <c r="GP55" t="str">
        <f t="shared" si="89"/>
        <v/>
      </c>
      <c r="GQ55">
        <f t="shared" si="90"/>
        <v>1</v>
      </c>
      <c r="GR55" t="str">
        <f>IF(GQ55=1,"XT"&amp;COUNTIFS(A$3:A55,A55,GQ$3:GQ55,1),"")</f>
        <v>XT2</v>
      </c>
      <c r="GS55" t="str">
        <f t="shared" si="91"/>
        <v>XT2</v>
      </c>
      <c r="GT55" t="str">
        <f t="shared" si="92"/>
        <v>QF2</v>
      </c>
      <c r="GU55" t="str">
        <f t="shared" si="93"/>
        <v/>
      </c>
      <c r="GV55" t="str">
        <f t="shared" si="94"/>
        <v>ok</v>
      </c>
      <c r="GW55" t="str">
        <f>IF(OR(GO55="",GM55=""),"",IF(GO55&gt;IFERROR(VLOOKUP(GN55,Модули_спр,3,FALSE),99),"ЛИШНИЙ КАНАЛ",IF(AND(AH55&lt;&gt;"=",COUNTIFS(Линии[_модуль гр.],GM55,Линии[Канал (итог)],GO55,Линии[Канал],"&lt;&gt;=",Линии[Щит],A55)&gt;1),"ДУБЛЬ КАНАЛА","")))</f>
        <v/>
      </c>
      <c r="GX55" s="6" t="str">
        <f t="shared" si="95"/>
        <v/>
      </c>
      <c r="GY55">
        <f t="shared" si="96"/>
        <v>10</v>
      </c>
      <c r="GZ55" t="str">
        <f t="shared" si="97"/>
        <v/>
      </c>
      <c r="HA55" t="str">
        <f>IF(AND(B55="",GT55=""),"",_xlfn.TEXTJOIN("; ",TRUE,IF(AND(B55&lt;&gt;"",FE55=""),"нет фазы",""),IF(AND(B55&lt;&gt;"",N(FY55)=0,EQ55&lt;&gt;"Нет"),"нет мощности",""),IF(AND(GS55&lt;&gt;"",COUNTIFS(Линии[Щит],A55,Линии[Клемма (итог)],GS55)&gt;1),"дубль клеммы "&amp;GS55,""),IF(AND(GV55&lt;&gt;"",GV55&lt;&gt;"ok"),GV55,""),IF(GW55&lt;&gt;"",GW55,""),IF(AND(N(BV55)&gt;=4,N(BR55)=1),BV55&amp;" жил на 1 фазе",""),IF(AND(AX55="R",CA55=1,OR(N(CK55)=0,N(CK55)&gt;30)),"розетка без дифзащиты до 30 мА",""),IFERROR(IF(AND(ISNUMBER(R55),R55&gt;DV55),"потери "&amp;FIXED(R55,1)&amp;" % &gt; "&amp;DV55&amp;" %",""),""),IFERROR(IF(LEFT(GZ55,4)="мало","Iкз мало — отключение &gt; 0,4 с",""),""),IF(AND(B55&lt;&gt;"",BH55=""),"не на схеме",""),IF(AND(CA55=0,B55&lt;&gt;"",FE55&lt;&gt;"",IF(AW55=1,"",FF54)&lt;&gt;"",FE55&lt;&gt;IF(AW55=1,"",FF54)),"фаза не как у автомата группы ("&amp;IF(AW55=1,"",FF54)&amp;")","")))</f>
        <v/>
      </c>
      <c r="HB55" s="6">
        <f>IF(OR(CA55=0,DA55=""),"",_xlfn.LET(_xlpm.t,IFERROR(_xlfn.XLOOKUP(DA55,Каталог!$U$4:$U$500,Каталог!$G$4:$G$500),""),_xlpm.k,SEARCH("кА",_xlpm.t),IFERROR(--TRIM(RIGHT(SUBSTITUTE(MID(_xlpm.t,MAX(1,_xlpm.k-4),_xlpm.k-MAX(1,_xlpm.k-4))," ",REPT(" ",9)),5)),"")))</f>
        <v>6</v>
      </c>
      <c r="HC55" t="str">
        <f>IF(OR(HB55="",CA55=0),"",IF(_xlfn.XLOOKUP(A55,Щиты[Щит],Щиты[Iкз max на шинах, кА],"")="","",IF(HB55&lt;_xlfn.XLOOKUP(A55,Щиты[Щит],Щиты[Iкз max на шинах, кА]),"Icu "&amp;HB55&amp;" кА &lt; Iкз max","ok")))</f>
        <v/>
      </c>
      <c r="HD55" t="str">
        <f t="shared" si="98"/>
        <v/>
      </c>
      <c r="HE55" t="str">
        <f t="shared" si="99"/>
        <v>QF2|XT2</v>
      </c>
      <c r="HF55" t="str">
        <f t="shared" si="100"/>
        <v>QF2|XT2|кабель ВВГнг(А)-LS (3х1,5) → Вытяжная установка Пом №006T</v>
      </c>
      <c r="HG55" t="str" cm="1">
        <f t="array" ref="HG55">IF(HF55="","",_xlfn.LET(_xlpm.nd,_xlfn.TEXTSPLIT(HF55,"|"),IF(COLUMNS(_xlpm.nd)&gt;1,A55&amp;"¦"&amp;INDEX(_xlpm.nd,1)&amp;"¦"&amp;INDEX(_xlpm.nd,2),"")))</f>
        <v>ЩОВ-001¦QF2¦XT2</v>
      </c>
      <c r="HH55" t="str">
        <f t="shared" si="101"/>
        <v>В.9¦Вытяжная установка Пом №006T</v>
      </c>
      <c r="HI55" t="str" cm="1">
        <f t="array" ref="HI55">IF(HF55="","",_xlfn.LET(_xlpm.nd,_xlfn.TEXTSPLIT(HF55,"|"),IF(COLUMNS(_xlpm.nd)&gt;2,A55&amp;"¦"&amp;INDEX(_xlpm.nd,2)&amp;"¦"&amp;INDEX(_xlpm.nd,3),"")))</f>
        <v>ЩОВ-001¦XT2¦кабель ВВГнг(А)-LS (3х1,5) → Вытяжная установка Пом №006T</v>
      </c>
      <c r="HJ55" t="str">
        <f t="shared" si="102"/>
        <v>В.9¦Вытяжная установка Пом №006T</v>
      </c>
      <c r="HK55" t="str" cm="1">
        <f t="array" ref="HK55">IF(HF55="","",_xlfn.LET(_xlpm.nd,_xlfn.TEXTSPLIT(HF55,"|"),IF(COLUMNS(_xlpm.nd)&gt;3,A55&amp;"¦"&amp;INDEX(_xlpm.nd,3)&amp;"¦"&amp;INDEX(_xlpm.nd,4),"")))</f>
        <v/>
      </c>
      <c r="HL55" t="str">
        <f t="shared" si="103"/>
        <v/>
      </c>
      <c r="HM55" t="str" cm="1">
        <f t="array" ref="HM55">IF(HF55="","",_xlfn.LET(_xlpm.nd,_xlfn.TEXTSPLIT(HF55,"|"),IF(COLUMNS(_xlpm.nd)&gt;4,A55&amp;"¦"&amp;INDEX(_xlpm.nd,4)&amp;"¦"&amp;INDEX(_xlpm.nd,5),"")))</f>
        <v/>
      </c>
      <c r="HN55" t="str">
        <f t="shared" si="104"/>
        <v/>
      </c>
      <c r="HO55" t="str" cm="1">
        <f t="array" ref="HO55">IF(HF55="","",_xlfn.LET(_xlpm.nd,_xlfn.TEXTSPLIT(HF55,"|"),IF(COLUMNS(_xlpm.nd)&gt;5,A55&amp;"¦"&amp;INDEX(_xlpm.nd,5)&amp;"¦"&amp;INDEX(_xlpm.nd,6),"")))</f>
        <v/>
      </c>
      <c r="HP55" t="str">
        <f t="shared" si="105"/>
        <v/>
      </c>
      <c r="HQ55" t="str" cm="1">
        <f t="array" ref="HQ55">IF(HF55="","",_xlfn.LET(_xlpm.nd,_xlfn.TEXTSPLIT(HF55,"|"),IF(COLUMNS(_xlpm.nd)&gt;6,A55&amp;"¦"&amp;INDEX(_xlpm.nd,6)&amp;"¦"&amp;INDEX(_xlpm.nd,7),"")))</f>
        <v/>
      </c>
      <c r="HR55" t="str">
        <f t="shared" si="106"/>
        <v/>
      </c>
      <c r="HS55" t="str">
        <f t="shared" si="107"/>
        <v/>
      </c>
      <c r="HT55" t="str">
        <f t="shared" si="108"/>
        <v>QF2 → XT2</v>
      </c>
      <c r="HU55">
        <f t="shared" si="109"/>
        <v>0</v>
      </c>
      <c r="HV55">
        <f t="shared" si="110"/>
        <v>0</v>
      </c>
      <c r="HW55" t="str">
        <f t="shared" si="111"/>
        <v/>
      </c>
      <c r="HX55" t="str">
        <f t="shared" si="112"/>
        <v/>
      </c>
      <c r="HY55" t="str">
        <f t="shared" si="113"/>
        <v/>
      </c>
      <c r="HZ55" t="str">
        <f t="shared" si="114"/>
        <v/>
      </c>
      <c r="IA55" t="str">
        <f>IF(B55="","",IFERROR(VLOOKUP(B55,УГО_спр,2,FALSE),IFERROR(VLOOKUP(AX55,УГО_спр,2,FALSE),IFERROR(VLOOKUP(LEFT(AX55,2),УГО_спр,2,FALSE),""))))</f>
        <v>Привод (двигатель)</v>
      </c>
      <c r="IB55" t="str">
        <f>IF(B55="","",IF(OR(IA55="",IA55=0),"BOX",IFERROR(IF(VLOOKUP(IA55,УГО_блоки,3,FALSE)&amp;""&lt;&gt;"",VLOOKUP(IA55,УГО_блоки,3,FALSE),VLOOKUP(IA55,УГО_блоки,2,FALSE)),IA55)))</f>
        <v>MOTOR</v>
      </c>
      <c r="IC55">
        <f t="shared" si="115"/>
        <v>1</v>
      </c>
      <c r="ID55" t="str">
        <f>IF(DA55="","",IF(COUNTIF(DA$3:DA55,DA55)=1,MAX(ID$2:ID54)+1,""))</f>
        <v/>
      </c>
      <c r="IE55" t="str">
        <f>IF(CO55="","",IF(COUNTIF(CO$3:CO55,CO55)+COUNTIF(CP$2:CP54,CO55)+COUNTIF(CQ$2:CQ54,CO55)=1,MAX(IE$2:IG54)+1,""))</f>
        <v/>
      </c>
      <c r="IF55" t="str">
        <f>IF(CP55="","",IF(COUNTIF(CO$3:CO55,CP55)+COUNTIF(CP$3:CP55,CP55)+COUNTIF(CQ$2:CQ54,CP55)=1,MAX(IE$2:IG54,IE55)+1,""))</f>
        <v/>
      </c>
      <c r="IG55" t="str">
        <f>IF(CQ55="","",IF(COUNTIF(CO$3:CO55,CQ55)+COUNTIF(CP$3:CP55,CQ55)+COUNTIF(CQ$3:CQ55,CQ55)=1,MAX(IE$2:IG54,IE55,IF55)+1,""))</f>
        <v/>
      </c>
      <c r="IH55" t="str">
        <f t="shared" si="116"/>
        <v>3х1,5</v>
      </c>
      <c r="II55" t="str">
        <f>IF(IH55="","",IF(COUNTIF(IH$3:IH55,IH55)=1,MAX(II$2:II54)+1,""))</f>
        <v/>
      </c>
      <c r="IJ55" t="str">
        <f>IF(GL55="","",COUNTIF(GL$3:GL55,"?*"))</f>
        <v/>
      </c>
      <c r="IK55" t="str">
        <f>IF(OR(GL55="",GN55=""),"",IF(COUNTIFS(GL$3:GL55,"?*",GN$3:GN55,GN55)=1,MAX(IK$2:IK54)+1,""))</f>
        <v/>
      </c>
      <c r="IL55">
        <f t="shared" si="117"/>
        <v>0</v>
      </c>
      <c r="IM55">
        <f>IF(B55="","",COUNTIF(B$3:B55,"?*"))</f>
        <v>53</v>
      </c>
      <c r="IN55">
        <f>IF(GQ55&lt;&gt;1,0,_xlfn.LET(_xlpm.k,MAX(IFERROR(--VLOOKUP(B55,УГО_спр,5,FALSE),0),IFERROR(--VLOOKUP(AX55,УГО_спр,5,FALSE),0),IFERROR(--VLOOKUP(LEFT(AX55,2),УГО_спр,5,FALSE),0)),IF(_xlpm.k&gt;0,_xlpm.k,IF(IFERROR(--LEFT(SUBSTITUTE(IH55,"x","х"),FIND("х",SUBSTITUTE(IH55,"x","х"))-1),3)&gt;3,Каталог!$S$9,1))))</f>
        <v>1</v>
      </c>
      <c r="IO55">
        <f t="shared" si="118"/>
        <v>0</v>
      </c>
      <c r="IP55" t="str">
        <f t="shared" si="119"/>
        <v>авто</v>
      </c>
      <c r="IQ55" t="str">
        <f t="shared" si="120"/>
        <v/>
      </c>
      <c r="IR55">
        <f t="shared" si="121"/>
        <v>0</v>
      </c>
      <c r="IS55">
        <f t="shared" si="122"/>
        <v>1</v>
      </c>
    </row>
    <row r="56" spans="1:253" x14ac:dyDescent="0.3">
      <c r="A56" t="s">
        <v>749</v>
      </c>
      <c r="B56" t="s">
        <v>1328</v>
      </c>
      <c r="C56" t="s">
        <v>1615</v>
      </c>
      <c r="D56">
        <v>1</v>
      </c>
      <c r="E56">
        <v>0.1</v>
      </c>
      <c r="G56">
        <v>10</v>
      </c>
      <c r="H56" t="str">
        <f>Линии[[#This Row],[_авто утечка]]</f>
        <v/>
      </c>
      <c r="I56" t="str">
        <f>Линии[[#This Row],[_авто управление]]</f>
        <v/>
      </c>
      <c r="J56" t="str">
        <f>Линии[[#This Row],[_авто аппараты]]</f>
        <v/>
      </c>
      <c r="K56">
        <v>1.5</v>
      </c>
      <c r="L56">
        <v>14</v>
      </c>
      <c r="M56" t="str">
        <f>Линии[[#This Row],[_авто фаза]]</f>
        <v>L1</v>
      </c>
      <c r="N56" t="str">
        <f>Линии[[#This Row],[_авто клемма]]</f>
        <v>XT3</v>
      </c>
      <c r="O56" t="str">
        <f t="shared" si="0"/>
        <v/>
      </c>
      <c r="P56" s="6" cm="1">
        <f t="array" ref="P56">IF(B56="","",IF(BC56&lt;&gt;"",IFERROR(_xlfn.XLOOKUP(BC56,Щиты[Щит],Щиты[Iр, А]),""),IF(BK56=1,IFERROR(_xlfn.XLOOKUP(A56,Щиты[Щит],Щиты[Iр, А]),""),IFERROR(_xlfn.IFS(BR56=1,BN56/((Uн_лин/SQRT(3))*BY56),BR56=3,BN56/(SQRT(3)*Uн_лин*BY56)),""))))</f>
        <v>0.5412658773652741</v>
      </c>
      <c r="Q56" s="7">
        <f>IF(B56="","",IFERROR(IF(VLOOKUP(AX56,Потребители_обозначение,4,FALSE)=1,VLOOKUP(AX56,Потребители_обозначение,3,FALSE)*(D56*2-1)+DS56+VLOOKUP(AZ56,Этаж_обозначение,3,FALSE)+VLOOKUP(AZ56,Этаж_обозначение,4,FALSE),VLOOKUP(AX56,Потребители_обозначение,3,FALSE)*(D56*2-1)+DS56),DS56))</f>
        <v>18</v>
      </c>
      <c r="R56" s="6">
        <f t="shared" si="1"/>
        <v>0.75</v>
      </c>
      <c r="S56" t="str">
        <f t="shared" si="2"/>
        <v>ВВГнг(А)-LS (3х1,5)</v>
      </c>
      <c r="T56" t="str">
        <f>IF(BH56="","",IF(BI56="вводной узел","узел ","")&amp;"л."&amp;(INT((BH56-1)/Столбцов_на_лист)+1)&amp;" / "&amp;(MOD(BH56-1,Столбцов_на_лист)+1))</f>
        <v>л.2 / 3</v>
      </c>
      <c r="V56">
        <v>1</v>
      </c>
      <c r="W56">
        <v>230</v>
      </c>
      <c r="X56" t="s">
        <v>600</v>
      </c>
      <c r="Y56">
        <v>0.5</v>
      </c>
      <c r="AC56" t="s">
        <v>815</v>
      </c>
      <c r="AE56" t="s">
        <v>582</v>
      </c>
      <c r="AI56">
        <v>20</v>
      </c>
      <c r="AJ56" t="s">
        <v>11</v>
      </c>
      <c r="AK56">
        <v>3</v>
      </c>
      <c r="AN56">
        <v>18</v>
      </c>
      <c r="AP56">
        <v>1</v>
      </c>
      <c r="AW56" cm="1">
        <f t="array" ref="AW56">ROW()-ROW(Линии[#Headers])</f>
        <v>54</v>
      </c>
      <c r="AX56" s="6" t="str">
        <f t="shared" si="3"/>
        <v>В</v>
      </c>
      <c r="AY56" t="str">
        <f t="shared" si="4"/>
        <v>11</v>
      </c>
      <c r="AZ56" t="str">
        <f t="shared" si="5"/>
        <v>11</v>
      </c>
      <c r="BA56" t="str">
        <f t="shared" si="6"/>
        <v/>
      </c>
      <c r="BB56" t="str">
        <f t="shared" si="7"/>
        <v/>
      </c>
      <c r="BC56" t="str">
        <f>IF(U56&lt;&gt;"",U56,IF(AND(B56&lt;&gt;"",B56&lt;&gt;A56,ISNUMBER(_xlfn.XMATCH(B56,Щиты[Щит]))),B56,""))</f>
        <v/>
      </c>
      <c r="BD56" t="str" cm="1">
        <f t="array" ref="BD56">IF(B56="","",IF(BC56&lt;&gt;"","Щит "&amp;BC56,_xlfn.LET(_xlpm.nm,IFERROR(_xlfn.XLOOKUP(AX56,Коды_код,Коды_имя)&amp;"",""),_xlpm.md,IFERROR(N(_xlfn.XLOOKUP(AX56,Коды_код,Коды_режим)),1),_xlpm.ex,IF(Имя_режим="по экспликации",IFERROR(_xlfn.XLOOKUP(AZ56&amp;"|"&amp;BB56,Экспликация[Этаж]&amp;"|"&amp;Экспликация[Помещение],Экспликация[Название])&amp;"",""),""),_xlpm.rm,IF(BB56="","",IF(_xlpm.ex&lt;&gt;"",". "&amp;_xlpm.ex&amp;IF(Имя_пом="нет"," ("&amp;BB56&amp;")"," (пом. "&amp;BB56&amp;")"),IF(Имя_пом="нет"," ",", пом. ")&amp;BB56)),IF(_xlpm.nm="","",IF(_xlpm.md=2,_xlpm.nm&amp;" шлейф "&amp;AZ56,_xlpm.nm&amp;_xlpm.rm)))))</f>
        <v>Вытяжная установка шлейф 11</v>
      </c>
      <c r="BE56" t="str">
        <f t="shared" si="8"/>
        <v>Вытяжная установка Подвальный этаж Пом №006T</v>
      </c>
      <c r="BF56">
        <f>IFERROR(_xlfn.XMATCH(A56,Щиты[Щит]),0)</f>
        <v>4</v>
      </c>
      <c r="BG56">
        <f>_xlfn.LET(_xlpm.k,IFERROR(_xlfn.XLOOKUP(A56,Щиты[Щит],Щиты[Листов под вводной узел]),""),IF(_xlpm.k="",1,N(_xlpm.k))*Столбцов_на_лист)</f>
        <v>17</v>
      </c>
      <c r="BH56">
        <f t="shared" si="9"/>
        <v>20</v>
      </c>
      <c r="BI56" t="str">
        <f t="shared" si="10"/>
        <v>линии</v>
      </c>
      <c r="BJ56" s="6">
        <f>IFERROR(N(_xlfn.XLOOKUP(AX56,Коды_код,Коды_квт)),0)</f>
        <v>0</v>
      </c>
      <c r="BK56">
        <f t="shared" si="11"/>
        <v>0</v>
      </c>
      <c r="BL56" t="str">
        <f>IF(B56="","",IF(BC56&lt;&gt;"",IFERROR(_xlfn.XLOOKUP(BC56,Щиты[Щит],Щиты[Руст, кВт]),0),IF(BK56=1,IFERROR(_xlfn.XLOOKUP(A56,Щиты[Щит],Щиты[Руст, кВт]),0),IF(BJ56&gt;0,ROUND(BJ56*MAX(1,N(D56)),3),""))))</f>
        <v/>
      </c>
      <c r="BM56">
        <f t="shared" si="12"/>
        <v>0.1</v>
      </c>
      <c r="BN56" s="6">
        <f>IF(B56="","",IF(BC56&lt;&gt;"",IFERROR(_xlfn.XLOOKUP(BC56,Щиты[Щит],Щиты[Руст, кВт]),0),N(BM56)))</f>
        <v>0.1</v>
      </c>
      <c r="BO56" t="str">
        <f>IF(B56="","",IFERROR(IF(VLOOKUP(AX56,Потребители_обозначение,8,FALSE)=0,"",VLOOKUP(AX56,Потребители_обозначение,8,FALSE)),""))</f>
        <v/>
      </c>
      <c r="BP56">
        <f t="shared" si="13"/>
        <v>230</v>
      </c>
      <c r="BQ56">
        <f>IF(B56="","",IF(BC56&lt;&gt;"",3,IFERROR(IF(N(VLOOKUP(AX56,Потребители_обозначение,9,FALSE))=0,1,VLOOKUP(AX56,Потребители_обозначение,9,FALSE)),1)))</f>
        <v>1</v>
      </c>
      <c r="BR56">
        <f t="shared" si="14"/>
        <v>1</v>
      </c>
      <c r="BS56" t="str">
        <f>IF(B56="","",_xlfn.LET(_xlpm.bc,IFERROR(IF(VLOOKUP(AX56,Потребители_обозначение,6,FALSE)=0,"",VLOOKUP(AX56,Потребители_обозначение,6,FALSE)&amp;""),""),IF(AND(FK56="да",OR(_xlpm.bc="",_xlpm.bc="мс")),Марка_пож,IF(AND(_xlpm.bc="",BC56&lt;&gt;""),"мс",_xlpm.bc))))</f>
        <v/>
      </c>
      <c r="BT56" t="str">
        <f t="shared" si="15"/>
        <v>мс</v>
      </c>
      <c r="BU56">
        <f>IF(B56="","",_xlfn.LET(_xlpm.cc,IFERROR(N(VLOOKUP(AX56,Потребители_обозначение,7,FALSE)),0),IF(_xlpm.cc&gt;0,_xlpm.cc,IF(BT56="","",IF(N(BR56)=3,5,3)))))</f>
        <v>3</v>
      </c>
      <c r="BV56">
        <f t="shared" si="16"/>
        <v>3</v>
      </c>
      <c r="BW56">
        <f>IFERROR(N(VLOOKUP(AX56,Потребители_обозначение,10,FALSE)),0)</f>
        <v>0</v>
      </c>
      <c r="BX56">
        <f>IFERROR(VLOOKUP(AX56,Потребители_обозначение,5,FALSE),0)</f>
        <v>1</v>
      </c>
      <c r="BY56" s="6" cm="1">
        <f t="array" ref="BY56">IF(B56="","",IF(BC56&lt;&gt;"",IFERROR(_xlfn.XLOOKUP(BC56,Щиты[Щит],Щиты[cos φ]),0.95),IF(BK56=1,IFERROR(_xlfn.XLOOKUP(A56,Щиты[Щит],Щиты[cos φ]),0.95),IF(ISNUMBER(Z56),Z56,IFERROR(IF(BX56=2,_xlfn.IFS(BR56=3,VLOOKUP(BN56,Справочная_двигатели,8,FALSE),BR56=1,VLOOKUP(BN56,Справочная_двигатели,10,TRUE)),IF(AND(Методика="нормы 2026",EQ56="Сил"),0.8,0.95)),0.95)))))</f>
        <v>0.8</v>
      </c>
      <c r="BZ56">
        <f t="shared" si="17"/>
        <v>0</v>
      </c>
      <c r="CA56">
        <f t="shared" si="18"/>
        <v>1</v>
      </c>
      <c r="CB56">
        <f t="shared" si="19"/>
        <v>0</v>
      </c>
      <c r="CC56">
        <f t="shared" si="20"/>
        <v>0</v>
      </c>
      <c r="CD56">
        <f t="shared" si="21"/>
        <v>0</v>
      </c>
      <c r="CE56">
        <f t="shared" si="22"/>
        <v>0</v>
      </c>
      <c r="CF56">
        <f t="shared" si="23"/>
        <v>0</v>
      </c>
      <c r="CG56">
        <f>IF(AX56="",0,_xlfn.LET(_xlpm.v,IFERROR(VLOOKUP(B56,УГО_спр,3,FALSE),IFERROR(VLOOKUP(AX56,УГО_спр,3,FALSE),IFERROR(VLOOKUP(LEFT(AX56,2),УГО_спр,3,FALSE),""))),IF(_xlpm.v="да",30,IF(ISNUMBER(_xlpm.v),_xlpm.v,0))))</f>
        <v>0</v>
      </c>
      <c r="CH56" t="str">
        <f t="shared" si="24"/>
        <v/>
      </c>
      <c r="CI56" t="str">
        <f>_xlfn.LET(_xlpm.k,IFERROR(_xlfn.XLOOKUP(AX56,Коды_код,Коды_утечка)&amp;"",""),IF(_xlpm.k="","дифавтомат",_xlpm.k))</f>
        <v>дифавтомат</v>
      </c>
      <c r="CJ56">
        <f t="shared" si="25"/>
        <v>0</v>
      </c>
      <c r="CK56">
        <f t="shared" si="26"/>
        <v>0</v>
      </c>
      <c r="CL56">
        <f>IF(B56="",0,IFERROR(--VLOOKUP(B56,УГО_спр,4,FALSE),IFERROR(--VLOOKUP(AX56,УГО_спр,4,FALSE),IFERROR(--VLOOKUP(LEFT(AX56,2),УГО_спр,4,FALSE),0))))</f>
        <v>0</v>
      </c>
      <c r="CM56" t="str">
        <f>IF(B56="","",IFERROR(_xlfn.XLOOKUP(AX56,Коды_код,Коды_апп)&amp;"",""))</f>
        <v/>
      </c>
      <c r="CN56" t="str">
        <f t="shared" si="27"/>
        <v/>
      </c>
      <c r="CO56" t="str" cm="1">
        <f t="array" ref="CO56">IF(TRIM(CN56&amp;"")="","",IFERROR(TRIM(INDEX(_xlfn.TEXTSPLIT(CN56&amp;";;;",";"),1)),""))</f>
        <v/>
      </c>
      <c r="CP56" t="str" cm="1">
        <f t="array" ref="CP56">IF(TRIM(CN56&amp;"")="","",IFERROR(TRIM(INDEX(_xlfn.TEXTSPLIT(CN56&amp;";;;",";"),2)),""))</f>
        <v/>
      </c>
      <c r="CQ56" t="str" cm="1">
        <f t="array" ref="CQ56">IF(TRIM(CN56&amp;"")="","",IFERROR(TRIM(INDEX(_xlfn.TEXTSPLIT(CN56&amp;";;;",";"),3)),""))</f>
        <v/>
      </c>
      <c r="CR56">
        <f t="shared" si="28"/>
        <v>0</v>
      </c>
      <c r="CS56" t="str">
        <f>IF(B56="","",_xlfn.LET(_xlpm.t,LOWER(AV56&amp;""),IF(ISNUMBER(SEARCH("dim",_xlpm.t)),"DIM",IF(ISNUMBER(SEARCH("dali",_xlpm.t)),"DALI",IF(OR(ISNUMBER(SEARCH("relay",_xlpm.t)),ISNUMBER(SEARCH("реле",_xlpm.t))),"Relay",IF(ISNUMBER(SEARCH("кнопк",_xlpm.t)),"",IFERROR(_xlfn.XLOOKUP(AX56,Коды_код,Коды_упр)&amp;"","")))))))</f>
        <v/>
      </c>
      <c r="CT56" t="str">
        <f t="shared" si="29"/>
        <v/>
      </c>
      <c r="CU56">
        <f>IF(B56="","",_xlfn.LET(_xlpm.ig,N(P56)+IF(AF56="вручную",0,N(CB56)),_xlpm.n0,IFERROR(VLOOKUP(_xlpm.ig,Автомат_номиналы,2,TRUE),0),_xlpm.mn,MAX(CL56,IF(AF56="вручную",0,N(CE56))),MAX(_xlpm.n0,_xlpm.mn,IF(CR56=1,Мин_автомат_БП,0))))</f>
        <v>6</v>
      </c>
      <c r="CV56">
        <f t="shared" si="30"/>
        <v>1</v>
      </c>
      <c r="CW56" t="str">
        <f t="shared" si="31"/>
        <v>1P</v>
      </c>
      <c r="CX56" t="str">
        <f>_xlfn.LET(_xlpm.cc,UPPER(TRIM(IFERROR(_xlfn.XLOOKUP(AX56,Коды_код,Коды_хар)&amp;"",""))),IF(OR(_xlpm.cc="B",_xlpm.cc="В"),"B",IF(_xlpm.cc="D","D","С")))</f>
        <v>С</v>
      </c>
      <c r="CY56" t="str">
        <f t="shared" si="32"/>
        <v>1P С6А</v>
      </c>
      <c r="CZ56">
        <f t="shared" si="33"/>
        <v>10</v>
      </c>
      <c r="DA56" t="str">
        <f t="shared" si="34"/>
        <v>1P С10А</v>
      </c>
      <c r="DB56" cm="1">
        <f t="array" ref="DB56">IF(DA56="","",_xlfn.LET(_xlpm.t,SUBSTITUTE(SUBSTITUTE(SUBSTITUTE(UPPER(DA56),"С","C"),"А","A"),"В","B"),_xlpm.tk,_xlfn.TEXTSPLIT(_xlpm.t,"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6" t="str">
        <f t="shared" si="35"/>
        <v>ok</v>
      </c>
      <c r="DD56">
        <f t="shared" si="36"/>
        <v>10</v>
      </c>
      <c r="DE56" t="str">
        <f t="shared" si="37"/>
        <v>1P С10А</v>
      </c>
      <c r="DF56">
        <f t="shared" si="38"/>
        <v>0</v>
      </c>
      <c r="DG56">
        <f t="shared" si="39"/>
        <v>0</v>
      </c>
      <c r="DH56">
        <f t="shared" si="40"/>
        <v>0</v>
      </c>
      <c r="DI56">
        <f t="shared" si="41"/>
        <v>0.5412658773652741</v>
      </c>
      <c r="DJ56">
        <f t="shared" si="42"/>
        <v>1</v>
      </c>
      <c r="DK56">
        <f>IF(ISNUMBER(AL56),AL56,К_прокл)</f>
        <v>1</v>
      </c>
      <c r="DL56">
        <f t="shared" si="43"/>
        <v>2</v>
      </c>
      <c r="DM56">
        <f>IFERROR(N(VLOOKUP(BT56,Кабель_обозначение,3,FALSE)),1)</f>
        <v>1</v>
      </c>
      <c r="DN56">
        <f>IFERROR(N(_xlfn.XLOOKUP(A56,Щиты[Щит],Щиты[ΔU до шин, %])),0)</f>
        <v>0.64</v>
      </c>
      <c r="DO56" t="str">
        <f>IFERROR(_xlfn.XLOOKUP(A56,Щиты[Щит],Щиты[Zпетли на шинах, Ом]),"")</f>
        <v/>
      </c>
      <c r="DP56">
        <f>IFERROR(N(_xlfn.XLOOKUP(A56,Щиты[Щит],Щиты[ΔU до шин (подбор), %])),0)</f>
        <v>0.75</v>
      </c>
      <c r="DQ56" t="str">
        <f>IFERROR(_xlfn.XLOOKUP(A56,Щиты[Щит],Щиты[Zпетли на шинах (подбор), Ом]),"")</f>
        <v/>
      </c>
      <c r="DR56" t="str">
        <f t="shared" si="44"/>
        <v/>
      </c>
      <c r="DS56">
        <f t="shared" si="45"/>
        <v>14</v>
      </c>
      <c r="DT56">
        <f t="shared" si="46"/>
        <v>2</v>
      </c>
      <c r="DU56">
        <f t="shared" si="47"/>
        <v>0.6</v>
      </c>
      <c r="DV56" s="6">
        <f>IF(B56="","",IF(IFERROR(VLOOKUP(AX56,УГО_спр,2,FALSE),"")="Светильник",3,4)+IF(Методика="нормы 2026",MIN(0.5,MAX(0,N(Q56)-100)*0.005),0))</f>
        <v>4</v>
      </c>
      <c r="DW56" cm="1">
        <f t="array" ref="DW56">IF(OR(B56="",BT56="",DM56&lt;&gt;1),"",_xlfn.LET(_xlpm.sz,Iдоп_S,_xlpm.t_,CHOOSE(DL56,Iдоп_1ж,Iдоп_2ж,Iдоп_3ж)*DJ56*DK56,_xlpm.inn,N(DD56),_xlpm.smin,MAX(1.5,BW56),_xlpm.L_,N(Q56)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56)*(_xlpm.rho*_xlpm.L_/_xlpm.sz*N(BY56)+_xlpm.xx*_xlpm.L_*N(DU56)/1000)*N(P56)/((Uн_лин/SQRT(3))*1000)*100,999),_xlpm.kz,IF(OR(DG56=1,NOT(ISNUMBER(DQ56)),_xlpm.L_=0,_xlpm.inn=0),1,IFERROR(--(c_min*(Uн_лин*1000/SQRT(3))/(DQ56+2*ρкз_Cu*_xlpm.L_/_xlpm.sz)&gt;=GY56*_xlpm.inn),0)),_xlpm.ok,IFERROR((_xlpm.sz&gt;=_xlpm.smin)*(_xlpm.t_&gt;=_xlpm.inn)*IF(_xlpm.L_&gt;0,(_xlpm.du_+DP56&lt;=DV56+0.00001),1)*_xlpm.kz,0),_xlpm.r_,_xlfn._xlws.FILTER(_xlpm.sz,_xlpm.ok,"не подобрано"),INDEX(_xlpm.r_,1)))</f>
        <v>1.5</v>
      </c>
      <c r="DX56">
        <f t="shared" si="48"/>
        <v>1.5</v>
      </c>
      <c r="DY56" cm="1">
        <f t="array" ref="DY56">IF(OR(B56="",BT56="",DM56&lt;&gt;1),"",_xlfn.LET(_xlpm.sz,Iдоп_S,_xlpm.t_,CHOOSE(DL56,Iдоп_1ж,Iдоп_2ж,Iдоп_3ж)*DJ56*DK56,_xlpm.ok,IFERROR((_xlpm.sz&gt;=MAX(1.5,BW56))*(_xlpm.t_&gt;=N(DD56)),0),_xlpm.r_,_xlfn._xlws.FILTER(_xlpm.sz,_xlpm.ok,""),INDEX(_xlpm.r_,1)))</f>
        <v>1.5</v>
      </c>
      <c r="DZ56" s="6" cm="1">
        <f t="array" ref="DZ56">IFERROR(ROUNDUP(N(DT56)*(_xlfn.XLOOKUP(DY56,INDEX(Кабель_сопротивление,0,1),INDEX(Кабель_сопротивление,0,3))*N(Q56)/DY56*N(BY56)+_xlfn.XLOOKUP(DY56,INDEX(Кабель_сопротивление,0,1),INDEX(Кабель_сопротивление,0,2))*N(Q56)*N(DU56)/1000)*N(P56)/((Uн_лин/SQRT(3))*1000)*100,2),"")</f>
        <v>0.11</v>
      </c>
      <c r="EA56">
        <f>IFERROR(2*ρкз_Cu*N(Q56)/DY56,"")</f>
        <v>0.63119999999999998</v>
      </c>
      <c r="EB56">
        <f>IFERROR(VLOOKUP(DX56,Кабель_сопротивление,3,FALSE),"")</f>
        <v>2.2499999999999999E-2</v>
      </c>
      <c r="EC56">
        <f>IFERROR(VLOOKUP(DX56,Кабель_сопротивление,2,FALSE),"")</f>
        <v>0.11</v>
      </c>
      <c r="ED56">
        <f t="shared" si="49"/>
        <v>18</v>
      </c>
      <c r="EE56">
        <f t="shared" si="50"/>
        <v>0</v>
      </c>
      <c r="EF56">
        <f t="shared" si="51"/>
        <v>0.23511290674641827</v>
      </c>
      <c r="EG56" s="6">
        <f>IFERROR(ROUNDUP(EF56/((Uн_лин/SQRT(3))*1000)*100,2),"")</f>
        <v>0.11</v>
      </c>
      <c r="EH56" t="str">
        <f>IFERROR(VLOOKUP(BT56,Кабель_обозначение,2,FALSE),"")</f>
        <v>ВВГнг(А)-LS</v>
      </c>
      <c r="EI56" t="str">
        <f t="shared" si="52"/>
        <v>ВВГнг(А)-LS (3х1,5)</v>
      </c>
      <c r="EJ56" t="str">
        <f t="shared" si="53"/>
        <v>ВВГнг(А)-LS (3х1,5)
L=18-0,11%</v>
      </c>
      <c r="EK56">
        <f>IFERROR(2*ρкз_Cu*Q56/DX56,"")</f>
        <v>0.63119999999999998</v>
      </c>
      <c r="EL56">
        <f t="shared" si="54"/>
        <v>0.21000000000000005</v>
      </c>
      <c r="EM56" s="6" t="str">
        <f>IFERROR(IF(OR(B56="",NOT(ISNUMBER(DX56)),N(Q56)=0),"",_xlfn.XLOOKUP(A56,Щиты[Щит],Щиты[Zпетли на шинах, Ом])+EK56),"")</f>
        <v/>
      </c>
      <c r="EN56" s="6" t="str">
        <f>IF(ISNUMBER(EM56),c_min*(Uн_лин*1000/SQRT(3))/EM56,"")</f>
        <v/>
      </c>
      <c r="EO56" s="6" t="str">
        <f>IFERROR(IF(OR(B56="",NOT(ISNUMBER(DX56))),"",1.05*(Uн_лин*1000/SQRT(3))/(_xlfn.XLOOKUP(A56,Щиты[Щит],Щиты[Zmax на шинах, Ом])+EL56)/1000),"")</f>
        <v/>
      </c>
      <c r="EP56" s="6" t="str">
        <f>IF(B56="","",IF(ISNUMBER(Y56),"Сил",IF(IFERROR(_xlfn.XLOOKUP(AX56,Коды_код,Коды_группа)&amp;"","")="","Быт",_xlfn.XLOOKUP(AX56,Коды_код,Коды_группа)&amp;"")))</f>
        <v>Сил</v>
      </c>
      <c r="EQ56" s="6" t="str">
        <f t="shared" si="55"/>
        <v>Сил</v>
      </c>
      <c r="ER56" s="6">
        <f>IF(EQ56="Щит","щит",IF(EQ56="","",IF(EQ56="Быт",IFERROR(_xlfn.XLOOKUP(A56,Щиты[Щит],Щиты[Кс быт]),1),IF(EQ56="Сил",IF(ISNUMBER(Y56),Y56,IF(Методика="нормы 2026",IFERROR(_xlfn.XLOOKUP(A56,Щиты[Щит],Щиты[Кс силовых (табл. 7.5)]),1),1)),IF(OR(EQ56="Пост",EQ56="Отоп"),1,IF(EQ56="ВНГ",0.7,0))))))</f>
        <v>0.5</v>
      </c>
      <c r="ES56">
        <f t="shared" si="56"/>
        <v>1</v>
      </c>
      <c r="ET56">
        <f t="shared" si="57"/>
        <v>0.1</v>
      </c>
      <c r="EU56">
        <f t="shared" si="58"/>
        <v>0</v>
      </c>
      <c r="EV56">
        <f t="shared" si="59"/>
        <v>0.05</v>
      </c>
      <c r="EW56">
        <f t="shared" si="60"/>
        <v>0</v>
      </c>
      <c r="EX56">
        <f t="shared" si="61"/>
        <v>0</v>
      </c>
      <c r="EY56">
        <f t="shared" si="62"/>
        <v>0</v>
      </c>
      <c r="EZ56">
        <f t="shared" si="63"/>
        <v>0.1</v>
      </c>
      <c r="FA56">
        <f t="shared" si="64"/>
        <v>8.0000000000000016E-2</v>
      </c>
      <c r="FB56">
        <f t="shared" si="65"/>
        <v>0.1</v>
      </c>
      <c r="FC56" t="str">
        <f t="shared" si="66"/>
        <v/>
      </c>
      <c r="FD56" t="str">
        <f>IF(B56="","",IF(CA56=0,IF(AW56=1,"",FF55),IF(OR(N(CV56)&gt;=3,N(BR56)&gt;=3),"L1,L2,L3",IFERROR(_xlfn.TEXTBEFORE(_xlfn.TEXTAFTER(_xlfn.XLOOKUP(A56,Щиты[Щит],Щиты[_фазы авто]),";"&amp;AW56&amp;":"),";"),"L1"))))</f>
        <v>L1</v>
      </c>
      <c r="FE56" t="str">
        <f t="shared" si="67"/>
        <v>L1</v>
      </c>
      <c r="FF56" t="str">
        <f t="shared" si="68"/>
        <v>L1</v>
      </c>
      <c r="FG56" cm="1">
        <f t="array" ref="FG56">IFERROR(IF(BX56=2,_xlfn.IFS(BR56=3,VLOOKUP(BN56,Справочная_двигатели,3,FALSE),BR56=1,VLOOKUP(BN56,Справочная_двигатели,5,TRUE)),0),0)</f>
        <v>0</v>
      </c>
      <c r="FH56">
        <f>IFERROR(IF(BX56=3,VLOOKUP(BN56,Справочная_ЛЭД,2,TRUE),0),0)</f>
        <v>0</v>
      </c>
      <c r="FI56" s="6">
        <f t="shared" si="69"/>
        <v>0</v>
      </c>
      <c r="FJ56" t="str" cm="1">
        <f t="array" ref="FJ56">IF(B56="","",IFERROR(INDEX({"I особая","I","II","III"},MATCH(TRIM(AC56&amp;""),{"I особая","I","II","III"},0)),"III"))</f>
        <v>II</v>
      </c>
      <c r="FK56" t="str">
        <f>IF(B56="","",IF(TRIM(AD56&amp;"")&lt;&gt;"",IF(LOWER(TRIM(AD56&amp;""))="да","да","нет"),IF(IFERROR(_xlfn.XLOOKUP(AX56,Коды_код,Коды_пожарная),"")="да","да","нет")))</f>
        <v>нет</v>
      </c>
      <c r="FL56" t="str">
        <f t="shared" si="70"/>
        <v/>
      </c>
      <c r="FM56" t="str">
        <f t="shared" si="71"/>
        <v>основная</v>
      </c>
      <c r="FN56">
        <f t="shared" si="72"/>
        <v>1</v>
      </c>
      <c r="FO56" t="str" cm="1">
        <f t="array" ref="FO56">IF(B56="","",_xlfn.LET(_xlpm.t,IFERROR(_xlfn.XLOOKUP(1,(Шины[Шина]=FM56)*(((Шины[Щит]=A56)+(Шины[Щит]=""))&gt;0),Шины[Тип]),"")&amp;"",IF(_xlpm.t&lt;&gt;"",_xlpm.t,IF(ISNUMBER(SEARCH("ИБП",FM56)),"ИБП",IF(ISNUMBER(SEARCH("ДГУ",FM56)),"ДГУ","Ввод "&amp;FN56)))))</f>
        <v>Ввод 1</v>
      </c>
      <c r="FP56" t="str">
        <f t="shared" si="73"/>
        <v>Ввод 1</v>
      </c>
      <c r="FQ56" t="str">
        <f>IF(B56="","",IF(OR(FO56="ИБП",FO56="ДГУ"),"I особая",IF(FO56="Одиночная","III",_xlfn.XLOOKUP(A56,Щиты[Щит],Щиты[Категория шины «Ввод»],"III"))))</f>
        <v>II</v>
      </c>
      <c r="FR56">
        <f>IF(B56="",0,IFERROR(MATCH(FJ56,{"III","II","I","I особая"},0),1))</f>
        <v>2</v>
      </c>
      <c r="FS56">
        <f t="shared" si="74"/>
        <v>2</v>
      </c>
      <c r="FT56" t="str">
        <f>IF(B56="","",IF(FR56&gt;IFERROR(MATCH(FQ56,{"III","II","I","I особая"},0),1),"НЕ ОБЕСПЕЧЕНА","ОК"))</f>
        <v>ОК</v>
      </c>
      <c r="FU56" t="str">
        <f>IF(A56="","",_xlfn.XLOOKUP(A56,Щиты[Щит],Щиты[Путь],""))</f>
        <v>|ГРЩ-ЖД|ЩОВ-001|</v>
      </c>
      <c r="FV56" t="str">
        <f>IF(B56="","",IF(AE56&lt;&gt;"",AE56,IF(IFERROR(_xlfn.XLOOKUP(AX56,Коды_код,Коды_вид)&amp;"","")="","Прочее",_xlfn.XLOOKUP(AX56,Коды_код,Коды_вид)&amp;"")))</f>
        <v>Вентиляция</v>
      </c>
      <c r="FW56">
        <f>IF(BH56="","",INT((BH56-1)/Столбцов_на_лист)+1)</f>
        <v>2</v>
      </c>
      <c r="FX56" t="str">
        <f t="shared" si="75"/>
        <v>ВВГнг(А)-LS (3х1,5) L=18-0,11%</v>
      </c>
      <c r="FY56">
        <f t="shared" si="76"/>
        <v>0.1</v>
      </c>
      <c r="FZ56">
        <f t="shared" si="77"/>
        <v>0.55000000000000004</v>
      </c>
      <c r="GA56">
        <f t="shared" si="78"/>
        <v>1</v>
      </c>
      <c r="GB56">
        <f t="shared" si="79"/>
        <v>0</v>
      </c>
      <c r="GC56">
        <f t="shared" si="80"/>
        <v>1</v>
      </c>
      <c r="GD56">
        <f>IF(BH56="","",IF(AND(CA56=1,GC56=1),COUNTIFS(A$3:A56,A56,CA$3:CA56,1,GC$3:GC56,1),IF(OR(OR(AW56=1,A56&lt;&gt;A55),AF56="вручную",GC56=0),"",IF(AW56=1,"",GE55))))</f>
        <v>3</v>
      </c>
      <c r="GE56">
        <f t="shared" si="81"/>
        <v>3</v>
      </c>
      <c r="GF56">
        <f>IF(B56="","",IFERROR(LOOKUP(INDEX(CHOOSE(DL56,Iдоп_1ж,Iдоп_2ж,Iдоп_3ж),MATCH(DX56,Iдоп_S,0))*DJ56*DK56,{6,10,16,20,25,32,40,50,63,80,100,125,160,200,250,315,400,500,630}),""))</f>
        <v>16</v>
      </c>
      <c r="GG56" t="str">
        <f t="shared" si="82"/>
        <v>QF3</v>
      </c>
      <c r="GH56" t="str">
        <f t="shared" si="83"/>
        <v>QF3</v>
      </c>
      <c r="GI56" t="str">
        <f t="shared" si="84"/>
        <v/>
      </c>
      <c r="GJ56">
        <f t="shared" si="85"/>
        <v>0</v>
      </c>
      <c r="GK56" t="str">
        <f>IF(OR(AG56="",AG56="-"),"",IFERROR(VLOOKUP(AG56,Модули_спр,2,FALSE),"R"))</f>
        <v/>
      </c>
      <c r="GL56" t="str">
        <f>IF(GK56="","",GK56&amp;"."&amp;COUNTIFS(A$3:A56,A56,GK$3:GK56,GK56))</f>
        <v/>
      </c>
      <c r="GM56" t="str">
        <f t="shared" si="86"/>
        <v/>
      </c>
      <c r="GN56" t="str">
        <f t="shared" si="87"/>
        <v/>
      </c>
      <c r="GO56" t="str">
        <f t="shared" si="88"/>
        <v/>
      </c>
      <c r="GP56" t="str">
        <f t="shared" si="89"/>
        <v/>
      </c>
      <c r="GQ56">
        <f t="shared" si="90"/>
        <v>1</v>
      </c>
      <c r="GR56" t="str">
        <f>IF(GQ56=1,"XT"&amp;COUNTIFS(A$3:A56,A56,GQ$3:GQ56,1),"")</f>
        <v>XT3</v>
      </c>
      <c r="GS56" t="str">
        <f t="shared" si="91"/>
        <v>XT3</v>
      </c>
      <c r="GT56" t="str">
        <f t="shared" si="92"/>
        <v>QF3</v>
      </c>
      <c r="GU56" t="str">
        <f t="shared" si="93"/>
        <v/>
      </c>
      <c r="GV56" t="str">
        <f t="shared" si="94"/>
        <v>ok</v>
      </c>
      <c r="GW56" t="str">
        <f>IF(OR(GO56="",GM56=""),"",IF(GO56&gt;IFERROR(VLOOKUP(GN56,Модули_спр,3,FALSE),99),"ЛИШНИЙ КАНАЛ",IF(AND(AH56&lt;&gt;"=",COUNTIFS(Линии[_модуль гр.],GM56,Линии[Канал (итог)],GO56,Линии[Канал],"&lt;&gt;=",Линии[Щит],A56)&gt;1),"ДУБЛЬ КАНАЛА","")))</f>
        <v/>
      </c>
      <c r="GX56" s="6" t="str">
        <f t="shared" si="95"/>
        <v/>
      </c>
      <c r="GY56">
        <f t="shared" si="96"/>
        <v>10</v>
      </c>
      <c r="GZ56" t="str">
        <f t="shared" si="97"/>
        <v/>
      </c>
      <c r="HA56" t="str">
        <f>IF(AND(B56="",GT56=""),"",_xlfn.TEXTJOIN("; ",TRUE,IF(AND(B56&lt;&gt;"",FE56=""),"нет фазы",""),IF(AND(B56&lt;&gt;"",N(FY56)=0,EQ56&lt;&gt;"Нет"),"нет мощности",""),IF(AND(GS56&lt;&gt;"",COUNTIFS(Линии[Щит],A56,Линии[Клемма (итог)],GS56)&gt;1),"дубль клеммы "&amp;GS56,""),IF(AND(GV56&lt;&gt;"",GV56&lt;&gt;"ok"),GV56,""),IF(GW56&lt;&gt;"",GW56,""),IF(AND(N(BV56)&gt;=4,N(BR56)=1),BV56&amp;" жил на 1 фазе",""),IF(AND(AX56="R",CA56=1,OR(N(CK56)=0,N(CK56)&gt;30)),"розетка без дифзащиты до 30 мА",""),IFERROR(IF(AND(ISNUMBER(R56),R56&gt;DV56),"потери "&amp;FIXED(R56,1)&amp;" % &gt; "&amp;DV56&amp;" %",""),""),IFERROR(IF(LEFT(GZ56,4)="мало","Iкз мало — отключение &gt; 0,4 с",""),""),IF(AND(B56&lt;&gt;"",BH56=""),"не на схеме",""),IF(AND(CA56=0,B56&lt;&gt;"",FE56&lt;&gt;"",IF(AW56=1,"",FF55)&lt;&gt;"",FE56&lt;&gt;IF(AW56=1,"",FF55)),"фаза не как у автомата группы ("&amp;IF(AW56=1,"",FF55)&amp;")","")))</f>
        <v/>
      </c>
      <c r="HB56" s="6">
        <f>IF(OR(CA56=0,DA56=""),"",_xlfn.LET(_xlpm.t,IFERROR(_xlfn.XLOOKUP(DA56,Каталог!$U$4:$U$500,Каталог!$G$4:$G$500),""),_xlpm.k,SEARCH("кА",_xlpm.t),IFERROR(--TRIM(RIGHT(SUBSTITUTE(MID(_xlpm.t,MAX(1,_xlpm.k-4),_xlpm.k-MAX(1,_xlpm.k-4))," ",REPT(" ",9)),5)),"")))</f>
        <v>6</v>
      </c>
      <c r="HC56" t="str">
        <f>IF(OR(HB56="",CA56=0),"",IF(_xlfn.XLOOKUP(A56,Щиты[Щит],Щиты[Iкз max на шинах, кА],"")="","",IF(HB56&lt;_xlfn.XLOOKUP(A56,Щиты[Щит],Щиты[Iкз max на шинах, кА]),"Icu "&amp;HB56&amp;" кА &lt; Iкз max","ok")))</f>
        <v/>
      </c>
      <c r="HD56" t="str">
        <f t="shared" si="98"/>
        <v/>
      </c>
      <c r="HE56" t="str">
        <f t="shared" si="99"/>
        <v>QF3|XT3</v>
      </c>
      <c r="HF56" t="str">
        <f t="shared" si="100"/>
        <v>QF3|XT3|кабель ВВГнг(А)-LS (3х1,5) → Вытяжная установка Подвальный этаж Пом №006T</v>
      </c>
      <c r="HG56" t="str" cm="1">
        <f t="array" ref="HG56">IF(HF56="","",_xlfn.LET(_xlpm.nd,_xlfn.TEXTSPLIT(HF56,"|"),IF(COLUMNS(_xlpm.nd)&gt;1,A56&amp;"¦"&amp;INDEX(_xlpm.nd,1)&amp;"¦"&amp;INDEX(_xlpm.nd,2),"")))</f>
        <v>ЩОВ-001¦QF3¦XT3</v>
      </c>
      <c r="HH56" t="str">
        <f t="shared" si="101"/>
        <v>В.11¦Вытяжная установка Подвальный этаж Пом №006T</v>
      </c>
      <c r="HI56" t="str" cm="1">
        <f t="array" ref="HI56">IF(HF56="","",_xlfn.LET(_xlpm.nd,_xlfn.TEXTSPLIT(HF56,"|"),IF(COLUMNS(_xlpm.nd)&gt;2,A56&amp;"¦"&amp;INDEX(_xlpm.nd,2)&amp;"¦"&amp;INDEX(_xlpm.nd,3),"")))</f>
        <v>ЩОВ-001¦XT3¦кабель ВВГнг(А)-LS (3х1,5) → Вытяжная установка Подвальный этаж Пом №006T</v>
      </c>
      <c r="HJ56" t="str">
        <f t="shared" si="102"/>
        <v>В.11¦Вытяжная установка Подвальный этаж Пом №006T</v>
      </c>
      <c r="HK56" t="str" cm="1">
        <f t="array" ref="HK56">IF(HF56="","",_xlfn.LET(_xlpm.nd,_xlfn.TEXTSPLIT(HF56,"|"),IF(COLUMNS(_xlpm.nd)&gt;3,A56&amp;"¦"&amp;INDEX(_xlpm.nd,3)&amp;"¦"&amp;INDEX(_xlpm.nd,4),"")))</f>
        <v/>
      </c>
      <c r="HL56" t="str">
        <f t="shared" si="103"/>
        <v/>
      </c>
      <c r="HM56" t="str" cm="1">
        <f t="array" ref="HM56">IF(HF56="","",_xlfn.LET(_xlpm.nd,_xlfn.TEXTSPLIT(HF56,"|"),IF(COLUMNS(_xlpm.nd)&gt;4,A56&amp;"¦"&amp;INDEX(_xlpm.nd,4)&amp;"¦"&amp;INDEX(_xlpm.nd,5),"")))</f>
        <v/>
      </c>
      <c r="HN56" t="str">
        <f t="shared" si="104"/>
        <v/>
      </c>
      <c r="HO56" t="str" cm="1">
        <f t="array" ref="HO56">IF(HF56="","",_xlfn.LET(_xlpm.nd,_xlfn.TEXTSPLIT(HF56,"|"),IF(COLUMNS(_xlpm.nd)&gt;5,A56&amp;"¦"&amp;INDEX(_xlpm.nd,5)&amp;"¦"&amp;INDEX(_xlpm.nd,6),"")))</f>
        <v/>
      </c>
      <c r="HP56" t="str">
        <f t="shared" si="105"/>
        <v/>
      </c>
      <c r="HQ56" t="str" cm="1">
        <f t="array" ref="HQ56">IF(HF56="","",_xlfn.LET(_xlpm.nd,_xlfn.TEXTSPLIT(HF56,"|"),IF(COLUMNS(_xlpm.nd)&gt;6,A56&amp;"¦"&amp;INDEX(_xlpm.nd,6)&amp;"¦"&amp;INDEX(_xlpm.nd,7),"")))</f>
        <v/>
      </c>
      <c r="HR56" t="str">
        <f t="shared" si="106"/>
        <v/>
      </c>
      <c r="HS56" t="str">
        <f t="shared" si="107"/>
        <v/>
      </c>
      <c r="HT56" t="str">
        <f t="shared" si="108"/>
        <v>QF3 → XT3</v>
      </c>
      <c r="HU56">
        <f t="shared" si="109"/>
        <v>0</v>
      </c>
      <c r="HV56">
        <f t="shared" si="110"/>
        <v>0</v>
      </c>
      <c r="HW56" t="str">
        <f t="shared" si="111"/>
        <v/>
      </c>
      <c r="HX56" t="str">
        <f t="shared" si="112"/>
        <v/>
      </c>
      <c r="HY56" t="str">
        <f t="shared" si="113"/>
        <v/>
      </c>
      <c r="HZ56" t="str">
        <f t="shared" si="114"/>
        <v/>
      </c>
      <c r="IA56" t="str">
        <f>IF(B56="","",IFERROR(VLOOKUP(B56,УГО_спр,2,FALSE),IFERROR(VLOOKUP(AX56,УГО_спр,2,FALSE),IFERROR(VLOOKUP(LEFT(AX56,2),УГО_спр,2,FALSE),""))))</f>
        <v>Привод (двигатель)</v>
      </c>
      <c r="IB56" t="str">
        <f>IF(B56="","",IF(OR(IA56="",IA56=0),"BOX",IFERROR(IF(VLOOKUP(IA56,УГО_блоки,3,FALSE)&amp;""&lt;&gt;"",VLOOKUP(IA56,УГО_блоки,3,FALSE),VLOOKUP(IA56,УГО_блоки,2,FALSE)),IA56)))</f>
        <v>MOTOR</v>
      </c>
      <c r="IC56">
        <f t="shared" si="115"/>
        <v>1</v>
      </c>
      <c r="ID56" t="str">
        <f>IF(DA56="","",IF(COUNTIF(DA$3:DA56,DA56)=1,MAX(ID$2:ID55)+1,""))</f>
        <v/>
      </c>
      <c r="IE56" t="str">
        <f>IF(CO56="","",IF(COUNTIF(CO$3:CO56,CO56)+COUNTIF(CP$2:CP55,CO56)+COUNTIF(CQ$2:CQ55,CO56)=1,MAX(IE$2:IG55)+1,""))</f>
        <v/>
      </c>
      <c r="IF56" t="str">
        <f>IF(CP56="","",IF(COUNTIF(CO$3:CO56,CP56)+COUNTIF(CP$3:CP56,CP56)+COUNTIF(CQ$2:CQ55,CP56)=1,MAX(IE$2:IG55,IE56)+1,""))</f>
        <v/>
      </c>
      <c r="IG56" t="str">
        <f>IF(CQ56="","",IF(COUNTIF(CO$3:CO56,CQ56)+COUNTIF(CP$3:CP56,CQ56)+COUNTIF(CQ$3:CQ56,CQ56)=1,MAX(IE$2:IG55,IE56,IF56)+1,""))</f>
        <v/>
      </c>
      <c r="IH56" t="str">
        <f t="shared" si="116"/>
        <v>3х1,5</v>
      </c>
      <c r="II56" t="str">
        <f>IF(IH56="","",IF(COUNTIF(IH$3:IH56,IH56)=1,MAX(II$2:II55)+1,""))</f>
        <v/>
      </c>
      <c r="IJ56" t="str">
        <f>IF(GL56="","",COUNTIF(GL$3:GL56,"?*"))</f>
        <v/>
      </c>
      <c r="IK56" t="str">
        <f>IF(OR(GL56="",GN56=""),"",IF(COUNTIFS(GL$3:GL56,"?*",GN$3:GN56,GN56)=1,MAX(IK$2:IK55)+1,""))</f>
        <v/>
      </c>
      <c r="IL56">
        <f t="shared" si="117"/>
        <v>0</v>
      </c>
      <c r="IM56">
        <f>IF(B56="","",COUNTIF(B$3:B56,"?*"))</f>
        <v>54</v>
      </c>
      <c r="IN56">
        <f>IF(GQ56&lt;&gt;1,0,_xlfn.LET(_xlpm.k,MAX(IFERROR(--VLOOKUP(B56,УГО_спр,5,FALSE),0),IFERROR(--VLOOKUP(AX56,УГО_спр,5,FALSE),0),IFERROR(--VLOOKUP(LEFT(AX56,2),УГО_спр,5,FALSE),0)),IF(_xlpm.k&gt;0,_xlpm.k,IF(IFERROR(--LEFT(SUBSTITUTE(IH56,"x","х"),FIND("х",SUBSTITUTE(IH56,"x","х"))-1),3)&gt;3,Каталог!$S$9,1))))</f>
        <v>1</v>
      </c>
      <c r="IO56">
        <f t="shared" si="118"/>
        <v>0</v>
      </c>
      <c r="IP56" t="str">
        <f t="shared" si="119"/>
        <v>авто</v>
      </c>
      <c r="IQ56" t="str">
        <f t="shared" si="120"/>
        <v/>
      </c>
      <c r="IR56">
        <f t="shared" si="121"/>
        <v>0</v>
      </c>
      <c r="IS56">
        <f t="shared" si="122"/>
        <v>1</v>
      </c>
    </row>
    <row r="57" spans="1:253" x14ac:dyDescent="0.3">
      <c r="A57" t="s">
        <v>749</v>
      </c>
      <c r="B57" t="s">
        <v>1329</v>
      </c>
      <c r="C57" t="s">
        <v>1615</v>
      </c>
      <c r="D57">
        <v>1</v>
      </c>
      <c r="E57">
        <v>0.1</v>
      </c>
      <c r="G57">
        <v>10</v>
      </c>
      <c r="H57" t="str">
        <f>Линии[[#This Row],[_авто утечка]]</f>
        <v/>
      </c>
      <c r="I57" t="str">
        <f>Линии[[#This Row],[_авто управление]]</f>
        <v/>
      </c>
      <c r="J57" t="str">
        <f>Линии[[#This Row],[_авто аппараты]]</f>
        <v/>
      </c>
      <c r="K57">
        <v>1.5</v>
      </c>
      <c r="L57">
        <v>11</v>
      </c>
      <c r="M57" t="str">
        <f>Линии[[#This Row],[_авто фаза]]</f>
        <v>L3</v>
      </c>
      <c r="N57" t="s">
        <v>486</v>
      </c>
      <c r="O57" t="str">
        <f t="shared" si="0"/>
        <v/>
      </c>
      <c r="P57" s="6" cm="1">
        <f t="array" ref="P57">IF(B57="","",IF(BC57&lt;&gt;"",IFERROR(_xlfn.XLOOKUP(BC57,Щиты[Щит],Щиты[Iр, А]),""),IF(BK57=1,IFERROR(_xlfn.XLOOKUP(A57,Щиты[Щит],Щиты[Iр, А]),""),IFERROR(_xlfn.IFS(BR57=1,BN57/((Uн_лин/SQRT(3))*BY57),BR57=3,BN57/(SQRT(3)*Uн_лин*BY57)),""))))</f>
        <v>0.5412658773652741</v>
      </c>
      <c r="Q57" s="7">
        <f>IF(B57="","",IFERROR(IF(VLOOKUP(AX57,Потребители_обозначение,4,FALSE)=1,VLOOKUP(AX57,Потребители_обозначение,3,FALSE)*(D57*2-1)+DS57+VLOOKUP(AZ57,Этаж_обозначение,3,FALSE)+VLOOKUP(AZ57,Этаж_обозначение,4,FALSE),VLOOKUP(AX57,Потребители_обозначение,3,FALSE)*(D57*2-1)+DS57),DS57))</f>
        <v>15</v>
      </c>
      <c r="R57" s="6">
        <f t="shared" si="1"/>
        <v>0.73</v>
      </c>
      <c r="S57" t="str">
        <f t="shared" si="2"/>
        <v>ВВГнг(А)-LS (3х1,5)</v>
      </c>
      <c r="T57" t="str">
        <f>IF(BH57="","",IF(BI57="вводной узел","узел ","")&amp;"л."&amp;(INT((BH57-1)/Столбцов_на_лист)+1)&amp;" / "&amp;(MOD(BH57-1,Столбцов_на_лист)+1))</f>
        <v>л.2 / 6</v>
      </c>
      <c r="V57">
        <v>1</v>
      </c>
      <c r="W57">
        <v>230</v>
      </c>
      <c r="X57" t="s">
        <v>600</v>
      </c>
      <c r="Y57">
        <v>0.5</v>
      </c>
      <c r="AC57" t="s">
        <v>815</v>
      </c>
      <c r="AE57" t="s">
        <v>582</v>
      </c>
      <c r="AI57">
        <v>23</v>
      </c>
      <c r="AJ57" t="s">
        <v>11</v>
      </c>
      <c r="AK57">
        <v>3</v>
      </c>
      <c r="AN57">
        <v>15</v>
      </c>
      <c r="AP57">
        <v>1</v>
      </c>
      <c r="AW57" cm="1">
        <f t="array" ref="AW57">ROW()-ROW(Линии[#Headers])</f>
        <v>55</v>
      </c>
      <c r="AX57" s="6" t="str">
        <f t="shared" si="3"/>
        <v>В</v>
      </c>
      <c r="AY57" t="str">
        <f t="shared" si="4"/>
        <v>12</v>
      </c>
      <c r="AZ57" t="str">
        <f t="shared" si="5"/>
        <v>12</v>
      </c>
      <c r="BA57" t="str">
        <f t="shared" si="6"/>
        <v/>
      </c>
      <c r="BB57" t="str">
        <f t="shared" si="7"/>
        <v/>
      </c>
      <c r="BC57" t="str">
        <f>IF(U57&lt;&gt;"",U57,IF(AND(B57&lt;&gt;"",B57&lt;&gt;A57,ISNUMBER(_xlfn.XMATCH(B57,Щиты[Щит]))),B57,""))</f>
        <v/>
      </c>
      <c r="BD57" t="str" cm="1">
        <f t="array" ref="BD57">IF(B57="","",IF(BC57&lt;&gt;"","Щит "&amp;BC57,_xlfn.LET(_xlpm.nm,IFERROR(_xlfn.XLOOKUP(AX57,Коды_код,Коды_имя)&amp;"",""),_xlpm.md,IFERROR(N(_xlfn.XLOOKUP(AX57,Коды_код,Коды_режим)),1),_xlpm.ex,IF(Имя_режим="по экспликации",IFERROR(_xlfn.XLOOKUP(AZ57&amp;"|"&amp;BB57,Экспликация[Этаж]&amp;"|"&amp;Экспликация[Помещение],Экспликация[Название])&amp;"",""),""),_xlpm.rm,IF(BB57="","",IF(_xlpm.ex&lt;&gt;"",". "&amp;_xlpm.ex&amp;IF(Имя_пом="нет"," ("&amp;BB57&amp;")"," (пом. "&amp;BB57&amp;")"),IF(Имя_пом="нет"," ",", пом. ")&amp;BB57)),IF(_xlpm.nm="","",IF(_xlpm.md=2,_xlpm.nm&amp;" шлейф "&amp;AZ57,_xlpm.nm&amp;_xlpm.rm)))))</f>
        <v>Вытяжная установка шлейф 12</v>
      </c>
      <c r="BE57" t="str">
        <f t="shared" si="8"/>
        <v>Вытяжная установка Подвальный этаж Пом №006T</v>
      </c>
      <c r="BF57">
        <f>IFERROR(_xlfn.XMATCH(A57,Щиты[Щит]),0)</f>
        <v>4</v>
      </c>
      <c r="BG57">
        <f>_xlfn.LET(_xlpm.k,IFERROR(_xlfn.XLOOKUP(A57,Щиты[Щит],Щиты[Листов под вводной узел]),""),IF(_xlpm.k="",1,N(_xlpm.k))*Столбцов_на_лист)</f>
        <v>17</v>
      </c>
      <c r="BH57">
        <f t="shared" si="9"/>
        <v>23</v>
      </c>
      <c r="BI57" t="str">
        <f t="shared" si="10"/>
        <v>линии</v>
      </c>
      <c r="BJ57" s="6">
        <f>IFERROR(N(_xlfn.XLOOKUP(AX57,Коды_код,Коды_квт)),0)</f>
        <v>0</v>
      </c>
      <c r="BK57">
        <f t="shared" si="11"/>
        <v>0</v>
      </c>
      <c r="BL57" t="str">
        <f>IF(B57="","",IF(BC57&lt;&gt;"",IFERROR(_xlfn.XLOOKUP(BC57,Щиты[Щит],Щиты[Руст, кВт]),0),IF(BK57=1,IFERROR(_xlfn.XLOOKUP(A57,Щиты[Щит],Щиты[Руст, кВт]),0),IF(BJ57&gt;0,ROUND(BJ57*MAX(1,N(D57)),3),""))))</f>
        <v/>
      </c>
      <c r="BM57">
        <f t="shared" si="12"/>
        <v>0.1</v>
      </c>
      <c r="BN57" s="6">
        <f>IF(B57="","",IF(BC57&lt;&gt;"",IFERROR(_xlfn.XLOOKUP(BC57,Щиты[Щит],Щиты[Руст, кВт]),0),N(BM57)))</f>
        <v>0.1</v>
      </c>
      <c r="BO57" t="str">
        <f>IF(B57="","",IFERROR(IF(VLOOKUP(AX57,Потребители_обозначение,8,FALSE)=0,"",VLOOKUP(AX57,Потребители_обозначение,8,FALSE)),""))</f>
        <v/>
      </c>
      <c r="BP57">
        <f t="shared" si="13"/>
        <v>230</v>
      </c>
      <c r="BQ57">
        <f>IF(B57="","",IF(BC57&lt;&gt;"",3,IFERROR(IF(N(VLOOKUP(AX57,Потребители_обозначение,9,FALSE))=0,1,VLOOKUP(AX57,Потребители_обозначение,9,FALSE)),1)))</f>
        <v>1</v>
      </c>
      <c r="BR57">
        <f t="shared" si="14"/>
        <v>1</v>
      </c>
      <c r="BS57" t="str">
        <f>IF(B57="","",_xlfn.LET(_xlpm.bc,IFERROR(IF(VLOOKUP(AX57,Потребители_обозначение,6,FALSE)=0,"",VLOOKUP(AX57,Потребители_обозначение,6,FALSE)&amp;""),""),IF(AND(FK57="да",OR(_xlpm.bc="",_xlpm.bc="мс")),Марка_пож,IF(AND(_xlpm.bc="",BC57&lt;&gt;""),"мс",_xlpm.bc))))</f>
        <v/>
      </c>
      <c r="BT57" t="str">
        <f t="shared" si="15"/>
        <v>мс</v>
      </c>
      <c r="BU57">
        <f>IF(B57="","",_xlfn.LET(_xlpm.cc,IFERROR(N(VLOOKUP(AX57,Потребители_обозначение,7,FALSE)),0),IF(_xlpm.cc&gt;0,_xlpm.cc,IF(BT57="","",IF(N(BR57)=3,5,3)))))</f>
        <v>3</v>
      </c>
      <c r="BV57">
        <f t="shared" si="16"/>
        <v>3</v>
      </c>
      <c r="BW57">
        <f>IFERROR(N(VLOOKUP(AX57,Потребители_обозначение,10,FALSE)),0)</f>
        <v>0</v>
      </c>
      <c r="BX57">
        <f>IFERROR(VLOOKUP(AX57,Потребители_обозначение,5,FALSE),0)</f>
        <v>1</v>
      </c>
      <c r="BY57" s="6" cm="1">
        <f t="array" ref="BY57">IF(B57="","",IF(BC57&lt;&gt;"",IFERROR(_xlfn.XLOOKUP(BC57,Щиты[Щит],Щиты[cos φ]),0.95),IF(BK57=1,IFERROR(_xlfn.XLOOKUP(A57,Щиты[Щит],Щиты[cos φ]),0.95),IF(ISNUMBER(Z57),Z57,IFERROR(IF(BX57=2,_xlfn.IFS(BR57=3,VLOOKUP(BN57,Справочная_двигатели,8,FALSE),BR57=1,VLOOKUP(BN57,Справочная_двигатели,10,TRUE)),IF(AND(Методика="нормы 2026",EQ57="Сил"),0.8,0.95)),0.95)))))</f>
        <v>0.8</v>
      </c>
      <c r="BZ57">
        <f t="shared" si="17"/>
        <v>0</v>
      </c>
      <c r="CA57">
        <f t="shared" si="18"/>
        <v>1</v>
      </c>
      <c r="CB57">
        <f t="shared" si="19"/>
        <v>0</v>
      </c>
      <c r="CC57">
        <f t="shared" si="20"/>
        <v>0</v>
      </c>
      <c r="CD57">
        <f t="shared" si="21"/>
        <v>0</v>
      </c>
      <c r="CE57">
        <f t="shared" si="22"/>
        <v>0</v>
      </c>
      <c r="CF57">
        <f t="shared" si="23"/>
        <v>0</v>
      </c>
      <c r="CG57">
        <f>IF(AX57="",0,_xlfn.LET(_xlpm.v,IFERROR(VLOOKUP(B57,УГО_спр,3,FALSE),IFERROR(VLOOKUP(AX57,УГО_спр,3,FALSE),IFERROR(VLOOKUP(LEFT(AX57,2),УГО_спр,3,FALSE),""))),IF(_xlpm.v="да",30,IF(ISNUMBER(_xlpm.v),_xlpm.v,0))))</f>
        <v>0</v>
      </c>
      <c r="CH57" t="str">
        <f t="shared" si="24"/>
        <v/>
      </c>
      <c r="CI57" t="str">
        <f>_xlfn.LET(_xlpm.k,IFERROR(_xlfn.XLOOKUP(AX57,Коды_код,Коды_утечка)&amp;"",""),IF(_xlpm.k="","дифавтомат",_xlpm.k))</f>
        <v>дифавтомат</v>
      </c>
      <c r="CJ57">
        <f t="shared" si="25"/>
        <v>0</v>
      </c>
      <c r="CK57">
        <f t="shared" si="26"/>
        <v>0</v>
      </c>
      <c r="CL57">
        <f>IF(B57="",0,IFERROR(--VLOOKUP(B57,УГО_спр,4,FALSE),IFERROR(--VLOOKUP(AX57,УГО_спр,4,FALSE),IFERROR(--VLOOKUP(LEFT(AX57,2),УГО_спр,4,FALSE),0))))</f>
        <v>0</v>
      </c>
      <c r="CM57" t="str">
        <f>IF(B57="","",IFERROR(_xlfn.XLOOKUP(AX57,Коды_код,Коды_апп)&amp;"",""))</f>
        <v/>
      </c>
      <c r="CN57" t="str">
        <f t="shared" si="27"/>
        <v/>
      </c>
      <c r="CO57" t="str" cm="1">
        <f t="array" ref="CO57">IF(TRIM(CN57&amp;"")="","",IFERROR(TRIM(INDEX(_xlfn.TEXTSPLIT(CN57&amp;";;;",";"),1)),""))</f>
        <v/>
      </c>
      <c r="CP57" t="str" cm="1">
        <f t="array" ref="CP57">IF(TRIM(CN57&amp;"")="","",IFERROR(TRIM(INDEX(_xlfn.TEXTSPLIT(CN57&amp;";;;",";"),2)),""))</f>
        <v/>
      </c>
      <c r="CQ57" t="str" cm="1">
        <f t="array" ref="CQ57">IF(TRIM(CN57&amp;"")="","",IFERROR(TRIM(INDEX(_xlfn.TEXTSPLIT(CN57&amp;";;;",";"),3)),""))</f>
        <v/>
      </c>
      <c r="CR57">
        <f t="shared" si="28"/>
        <v>0</v>
      </c>
      <c r="CS57" t="str">
        <f>IF(B57="","",_xlfn.LET(_xlpm.t,LOWER(AV57&amp;""),IF(ISNUMBER(SEARCH("dim",_xlpm.t)),"DIM",IF(ISNUMBER(SEARCH("dali",_xlpm.t)),"DALI",IF(OR(ISNUMBER(SEARCH("relay",_xlpm.t)),ISNUMBER(SEARCH("реле",_xlpm.t))),"Relay",IF(ISNUMBER(SEARCH("кнопк",_xlpm.t)),"",IFERROR(_xlfn.XLOOKUP(AX57,Коды_код,Коды_упр)&amp;"","")))))))</f>
        <v/>
      </c>
      <c r="CT57" t="str">
        <f t="shared" si="29"/>
        <v/>
      </c>
      <c r="CU57">
        <f>IF(B57="","",_xlfn.LET(_xlpm.ig,N(P57)+IF(AF57="вручную",0,N(CB57)),_xlpm.n0,IFERROR(VLOOKUP(_xlpm.ig,Автомат_номиналы,2,TRUE),0),_xlpm.mn,MAX(CL57,IF(AF57="вручную",0,N(CE57))),MAX(_xlpm.n0,_xlpm.mn,IF(CR57=1,Мин_автомат_БП,0))))</f>
        <v>6</v>
      </c>
      <c r="CV57">
        <f t="shared" si="30"/>
        <v>1</v>
      </c>
      <c r="CW57" t="str">
        <f t="shared" si="31"/>
        <v>1P</v>
      </c>
      <c r="CX57" t="str">
        <f>_xlfn.LET(_xlpm.cc,UPPER(TRIM(IFERROR(_xlfn.XLOOKUP(AX57,Коды_код,Коды_хар)&amp;"",""))),IF(OR(_xlpm.cc="B",_xlpm.cc="В"),"B",IF(_xlpm.cc="D","D","С")))</f>
        <v>С</v>
      </c>
      <c r="CY57" t="str">
        <f t="shared" si="32"/>
        <v>1P С6А</v>
      </c>
      <c r="CZ57">
        <f t="shared" si="33"/>
        <v>10</v>
      </c>
      <c r="DA57" t="str">
        <f t="shared" si="34"/>
        <v>1P С10А</v>
      </c>
      <c r="DB57" cm="1">
        <f t="array" ref="DB57">IF(DA57="","",_xlfn.LET(_xlpm.t,SUBSTITUTE(SUBSTITUTE(SUBSTITUTE(UPPER(DA57),"С","C"),"А","A"),"В","B"),_xlpm.tk,_xlfn.TEXTSPLIT(_xlpm.t,"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7" t="str">
        <f t="shared" si="35"/>
        <v>ok</v>
      </c>
      <c r="DD57">
        <f t="shared" si="36"/>
        <v>10</v>
      </c>
      <c r="DE57" t="str">
        <f t="shared" si="37"/>
        <v>1P С10А</v>
      </c>
      <c r="DF57">
        <f t="shared" si="38"/>
        <v>0</v>
      </c>
      <c r="DG57">
        <f t="shared" si="39"/>
        <v>0</v>
      </c>
      <c r="DH57">
        <f t="shared" si="40"/>
        <v>0</v>
      </c>
      <c r="DI57">
        <f t="shared" si="41"/>
        <v>0.5412658773652741</v>
      </c>
      <c r="DJ57">
        <f t="shared" si="42"/>
        <v>1</v>
      </c>
      <c r="DK57">
        <f>IF(ISNUMBER(AL57),AL57,К_прокл)</f>
        <v>1</v>
      </c>
      <c r="DL57">
        <f t="shared" si="43"/>
        <v>2</v>
      </c>
      <c r="DM57">
        <f>IFERROR(N(VLOOKUP(BT57,Кабель_обозначение,3,FALSE)),1)</f>
        <v>1</v>
      </c>
      <c r="DN57">
        <f>IFERROR(N(_xlfn.XLOOKUP(A57,Щиты[Щит],Щиты[ΔU до шин, %])),0)</f>
        <v>0.64</v>
      </c>
      <c r="DO57" t="str">
        <f>IFERROR(_xlfn.XLOOKUP(A57,Щиты[Щит],Щиты[Zпетли на шинах, Ом]),"")</f>
        <v/>
      </c>
      <c r="DP57">
        <f>IFERROR(N(_xlfn.XLOOKUP(A57,Щиты[Щит],Щиты[ΔU до шин (подбор), %])),0)</f>
        <v>0.75</v>
      </c>
      <c r="DQ57" t="str">
        <f>IFERROR(_xlfn.XLOOKUP(A57,Щиты[Щит],Щиты[Zпетли на шинах (подбор), Ом]),"")</f>
        <v/>
      </c>
      <c r="DR57" t="str">
        <f t="shared" si="44"/>
        <v/>
      </c>
      <c r="DS57">
        <f t="shared" si="45"/>
        <v>11</v>
      </c>
      <c r="DT57">
        <f t="shared" si="46"/>
        <v>2</v>
      </c>
      <c r="DU57">
        <f t="shared" si="47"/>
        <v>0.6</v>
      </c>
      <c r="DV57" s="6">
        <f>IF(B57="","",IF(IFERROR(VLOOKUP(AX57,УГО_спр,2,FALSE),"")="Светильник",3,4)+IF(Методика="нормы 2026",MIN(0.5,MAX(0,N(Q57)-100)*0.005),0))</f>
        <v>4</v>
      </c>
      <c r="DW57" cm="1">
        <f t="array" ref="DW57">IF(OR(B57="",BT57="",DM57&lt;&gt;1),"",_xlfn.LET(_xlpm.sz,Iдоп_S,_xlpm.t_,CHOOSE(DL57,Iдоп_1ж,Iдоп_2ж,Iдоп_3ж)*DJ57*DK57,_xlpm.inn,N(DD57),_xlpm.smin,MAX(1.5,BW57),_xlpm.L_,N(Q57)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57)*(_xlpm.rho*_xlpm.L_/_xlpm.sz*N(BY57)+_xlpm.xx*_xlpm.L_*N(DU57)/1000)*N(P57)/((Uн_лин/SQRT(3))*1000)*100,999),_xlpm.kz,IF(OR(DG57=1,NOT(ISNUMBER(DQ57)),_xlpm.L_=0,_xlpm.inn=0),1,IFERROR(--(c_min*(Uн_лин*1000/SQRT(3))/(DQ57+2*ρкз_Cu*_xlpm.L_/_xlpm.sz)&gt;=GY57*_xlpm.inn),0)),_xlpm.ok,IFERROR((_xlpm.sz&gt;=_xlpm.smin)*(_xlpm.t_&gt;=_xlpm.inn)*IF(_xlpm.L_&gt;0,(_xlpm.du_+DP57&lt;=DV57+0.00001),1)*_xlpm.kz,0),_xlpm.r_,_xlfn._xlws.FILTER(_xlpm.sz,_xlpm.ok,"не подобрано"),INDEX(_xlpm.r_,1)))</f>
        <v>1.5</v>
      </c>
      <c r="DX57">
        <f t="shared" si="48"/>
        <v>1.5</v>
      </c>
      <c r="DY57" cm="1">
        <f t="array" ref="DY57">IF(OR(B57="",BT57="",DM57&lt;&gt;1),"",_xlfn.LET(_xlpm.sz,Iдоп_S,_xlpm.t_,CHOOSE(DL57,Iдоп_1ж,Iдоп_2ж,Iдоп_3ж)*DJ57*DK57,_xlpm.ok,IFERROR((_xlpm.sz&gt;=MAX(1.5,BW57))*(_xlpm.t_&gt;=N(DD57)),0),_xlpm.r_,_xlfn._xlws.FILTER(_xlpm.sz,_xlpm.ok,""),INDEX(_xlpm.r_,1)))</f>
        <v>1.5</v>
      </c>
      <c r="DZ57" s="6" cm="1">
        <f t="array" ref="DZ57">IFERROR(ROUNDUP(N(DT57)*(_xlfn.XLOOKUP(DY57,INDEX(Кабель_сопротивление,0,1),INDEX(Кабель_сопротивление,0,3))*N(Q57)/DY57*N(BY57)+_xlfn.XLOOKUP(DY57,INDEX(Кабель_сопротивление,0,1),INDEX(Кабель_сопротивление,0,2))*N(Q57)*N(DU57)/1000)*N(P57)/((Uн_лин/SQRT(3))*1000)*100,2),"")</f>
        <v>0.09</v>
      </c>
      <c r="EA57">
        <f>IFERROR(2*ρкз_Cu*N(Q57)/DY57,"")</f>
        <v>0.52600000000000002</v>
      </c>
      <c r="EB57">
        <f>IFERROR(VLOOKUP(DX57,Кабель_сопротивление,3,FALSE),"")</f>
        <v>2.2499999999999999E-2</v>
      </c>
      <c r="EC57">
        <f>IFERROR(VLOOKUP(DX57,Кабель_сопротивление,2,FALSE),"")</f>
        <v>0.11</v>
      </c>
      <c r="ED57">
        <f t="shared" si="49"/>
        <v>15</v>
      </c>
      <c r="EE57">
        <f t="shared" si="50"/>
        <v>0</v>
      </c>
      <c r="EF57">
        <f t="shared" si="51"/>
        <v>0.1959274222886819</v>
      </c>
      <c r="EG57" s="6">
        <f>IFERROR(ROUNDUP(EF57/((Uн_лин/SQRT(3))*1000)*100,2),"")</f>
        <v>0.09</v>
      </c>
      <c r="EH57" t="str">
        <f>IFERROR(VLOOKUP(BT57,Кабель_обозначение,2,FALSE),"")</f>
        <v>ВВГнг(А)-LS</v>
      </c>
      <c r="EI57" t="str">
        <f t="shared" si="52"/>
        <v>ВВГнг(А)-LS (3х1,5)</v>
      </c>
      <c r="EJ57" t="str">
        <f t="shared" si="53"/>
        <v>ВВГнг(А)-LS (3х1,5)
L=15-0,09%</v>
      </c>
      <c r="EK57">
        <f>IFERROR(2*ρкз_Cu*Q57/DX57,"")</f>
        <v>0.52600000000000002</v>
      </c>
      <c r="EL57">
        <f t="shared" si="54"/>
        <v>0.17500000000000002</v>
      </c>
      <c r="EM57" s="6" t="str">
        <f>IFERROR(IF(OR(B57="",NOT(ISNUMBER(DX57)),N(Q57)=0),"",_xlfn.XLOOKUP(A57,Щиты[Щит],Щиты[Zпетли на шинах, Ом])+EK57),"")</f>
        <v/>
      </c>
      <c r="EN57" s="6" t="str">
        <f>IF(ISNUMBER(EM57),c_min*(Uн_лин*1000/SQRT(3))/EM57,"")</f>
        <v/>
      </c>
      <c r="EO57" s="6" t="str">
        <f>IFERROR(IF(OR(B57="",NOT(ISNUMBER(DX57))),"",1.05*(Uн_лин*1000/SQRT(3))/(_xlfn.XLOOKUP(A57,Щиты[Щит],Щиты[Zmax на шинах, Ом])+EL57)/1000),"")</f>
        <v/>
      </c>
      <c r="EP57" s="6" t="str">
        <f>IF(B57="","",IF(ISNUMBER(Y57),"Сил",IF(IFERROR(_xlfn.XLOOKUP(AX57,Коды_код,Коды_группа)&amp;"","")="","Быт",_xlfn.XLOOKUP(AX57,Коды_код,Коды_группа)&amp;"")))</f>
        <v>Сил</v>
      </c>
      <c r="EQ57" s="6" t="str">
        <f t="shared" si="55"/>
        <v>Сил</v>
      </c>
      <c r="ER57" s="6">
        <f>IF(EQ57="Щит","щит",IF(EQ57="","",IF(EQ57="Быт",IFERROR(_xlfn.XLOOKUP(A57,Щиты[Щит],Щиты[Кс быт]),1),IF(EQ57="Сил",IF(ISNUMBER(Y57),Y57,IF(Методика="нормы 2026",IFERROR(_xlfn.XLOOKUP(A57,Щиты[Щит],Щиты[Кс силовых (табл. 7.5)]),1),1)),IF(OR(EQ57="Пост",EQ57="Отоп"),1,IF(EQ57="ВНГ",0.7,0))))))</f>
        <v>0.5</v>
      </c>
      <c r="ES57">
        <f t="shared" si="56"/>
        <v>1</v>
      </c>
      <c r="ET57">
        <f t="shared" si="57"/>
        <v>0.1</v>
      </c>
      <c r="EU57">
        <f t="shared" si="58"/>
        <v>0</v>
      </c>
      <c r="EV57">
        <f t="shared" si="59"/>
        <v>0.05</v>
      </c>
      <c r="EW57">
        <f t="shared" si="60"/>
        <v>0</v>
      </c>
      <c r="EX57">
        <f t="shared" si="61"/>
        <v>0</v>
      </c>
      <c r="EY57">
        <f t="shared" si="62"/>
        <v>0</v>
      </c>
      <c r="EZ57">
        <f t="shared" si="63"/>
        <v>0.1</v>
      </c>
      <c r="FA57">
        <f t="shared" si="64"/>
        <v>8.0000000000000016E-2</v>
      </c>
      <c r="FB57">
        <f t="shared" si="65"/>
        <v>0.1</v>
      </c>
      <c r="FC57" t="str">
        <f t="shared" si="66"/>
        <v/>
      </c>
      <c r="FD57" t="str">
        <f>IF(B57="","",IF(CA57=0,IF(AW57=1,"",FF56),IF(OR(N(CV57)&gt;=3,N(BR57)&gt;=3),"L1,L2,L3",IFERROR(_xlfn.TEXTBEFORE(_xlfn.TEXTAFTER(_xlfn.XLOOKUP(A57,Щиты[Щит],Щиты[_фазы авто]),";"&amp;AW57&amp;":"),";"),"L1"))))</f>
        <v>L3</v>
      </c>
      <c r="FE57" t="str">
        <f t="shared" si="67"/>
        <v>L3</v>
      </c>
      <c r="FF57" t="str">
        <f t="shared" si="68"/>
        <v>L3</v>
      </c>
      <c r="FG57" cm="1">
        <f t="array" ref="FG57">IFERROR(IF(BX57=2,_xlfn.IFS(BR57=3,VLOOKUP(BN57,Справочная_двигатели,3,FALSE),BR57=1,VLOOKUP(BN57,Справочная_двигатели,5,TRUE)),0),0)</f>
        <v>0</v>
      </c>
      <c r="FH57">
        <f>IFERROR(IF(BX57=3,VLOOKUP(BN57,Справочная_ЛЭД,2,TRUE),0),0)</f>
        <v>0</v>
      </c>
      <c r="FI57" s="6">
        <f t="shared" si="69"/>
        <v>0</v>
      </c>
      <c r="FJ57" t="str" cm="1">
        <f t="array" ref="FJ57">IF(B57="","",IFERROR(INDEX({"I особая","I","II","III"},MATCH(TRIM(AC57&amp;""),{"I особая","I","II","III"},0)),"III"))</f>
        <v>II</v>
      </c>
      <c r="FK57" t="str">
        <f>IF(B57="","",IF(TRIM(AD57&amp;"")&lt;&gt;"",IF(LOWER(TRIM(AD57&amp;""))="да","да","нет"),IF(IFERROR(_xlfn.XLOOKUP(AX57,Коды_код,Коды_пожарная),"")="да","да","нет")))</f>
        <v>нет</v>
      </c>
      <c r="FL57" t="str">
        <f t="shared" si="70"/>
        <v/>
      </c>
      <c r="FM57" t="str">
        <f t="shared" si="71"/>
        <v>основная</v>
      </c>
      <c r="FN57">
        <f t="shared" si="72"/>
        <v>1</v>
      </c>
      <c r="FO57" t="str" cm="1">
        <f t="array" ref="FO57">IF(B57="","",_xlfn.LET(_xlpm.t,IFERROR(_xlfn.XLOOKUP(1,(Шины[Шина]=FM57)*(((Шины[Щит]=A57)+(Шины[Щит]=""))&gt;0),Шины[Тип]),"")&amp;"",IF(_xlpm.t&lt;&gt;"",_xlpm.t,IF(ISNUMBER(SEARCH("ИБП",FM57)),"ИБП",IF(ISNUMBER(SEARCH("ДГУ",FM57)),"ДГУ","Ввод "&amp;FN57)))))</f>
        <v>Ввод 1</v>
      </c>
      <c r="FP57" t="str">
        <f t="shared" si="73"/>
        <v>Ввод 1</v>
      </c>
      <c r="FQ57" t="str">
        <f>IF(B57="","",IF(OR(FO57="ИБП",FO57="ДГУ"),"I особая",IF(FO57="Одиночная","III",_xlfn.XLOOKUP(A57,Щиты[Щит],Щиты[Категория шины «Ввод»],"III"))))</f>
        <v>II</v>
      </c>
      <c r="FR57">
        <f>IF(B57="",0,IFERROR(MATCH(FJ57,{"III","II","I","I особая"},0),1))</f>
        <v>2</v>
      </c>
      <c r="FS57">
        <f t="shared" si="74"/>
        <v>2</v>
      </c>
      <c r="FT57" t="str">
        <f>IF(B57="","",IF(FR57&gt;IFERROR(MATCH(FQ57,{"III","II","I","I особая"},0),1),"НЕ ОБЕСПЕЧЕНА","ОК"))</f>
        <v>ОК</v>
      </c>
      <c r="FU57" t="str">
        <f>IF(A57="","",_xlfn.XLOOKUP(A57,Щиты[Щит],Щиты[Путь],""))</f>
        <v>|ГРЩ-ЖД|ЩОВ-001|</v>
      </c>
      <c r="FV57" t="str">
        <f>IF(B57="","",IF(AE57&lt;&gt;"",AE57,IF(IFERROR(_xlfn.XLOOKUP(AX57,Коды_код,Коды_вид)&amp;"","")="","Прочее",_xlfn.XLOOKUP(AX57,Коды_код,Коды_вид)&amp;"")))</f>
        <v>Вентиляция</v>
      </c>
      <c r="FW57">
        <f>IF(BH57="","",INT((BH57-1)/Столбцов_на_лист)+1)</f>
        <v>2</v>
      </c>
      <c r="FX57" t="str">
        <f t="shared" si="75"/>
        <v>ВВГнг(А)-LS (3х1,5) L=15-0,09%</v>
      </c>
      <c r="FY57">
        <f t="shared" si="76"/>
        <v>0.1</v>
      </c>
      <c r="FZ57">
        <f t="shared" si="77"/>
        <v>0.55000000000000004</v>
      </c>
      <c r="GA57">
        <f t="shared" si="78"/>
        <v>1</v>
      </c>
      <c r="GB57">
        <f t="shared" si="79"/>
        <v>0</v>
      </c>
      <c r="GC57">
        <f t="shared" si="80"/>
        <v>1</v>
      </c>
      <c r="GD57">
        <f>IF(BH57="","",IF(AND(CA57=1,GC57=1),COUNTIFS(A$3:A57,A57,CA$3:CA57,1,GC$3:GC57,1),IF(OR(OR(AW57=1,A57&lt;&gt;A56),AF57="вручную",GC57=0),"",IF(AW57=1,"",GE56))))</f>
        <v>4</v>
      </c>
      <c r="GE57">
        <f t="shared" si="81"/>
        <v>4</v>
      </c>
      <c r="GF57">
        <f>IF(B57="","",IFERROR(LOOKUP(INDEX(CHOOSE(DL57,Iдоп_1ж,Iдоп_2ж,Iдоп_3ж),MATCH(DX57,Iдоп_S,0))*DJ57*DK57,{6,10,16,20,25,32,40,50,63,80,100,125,160,200,250,315,400,500,630}),""))</f>
        <v>16</v>
      </c>
      <c r="GG57" t="str">
        <f t="shared" si="82"/>
        <v>QF4</v>
      </c>
      <c r="GH57" t="str">
        <f t="shared" si="83"/>
        <v>QF4</v>
      </c>
      <c r="GI57" t="str">
        <f t="shared" si="84"/>
        <v/>
      </c>
      <c r="GJ57">
        <f t="shared" si="85"/>
        <v>0</v>
      </c>
      <c r="GK57" t="str">
        <f>IF(OR(AG57="",AG57="-"),"",IFERROR(VLOOKUP(AG57,Модули_спр,2,FALSE),"R"))</f>
        <v/>
      </c>
      <c r="GL57" t="str">
        <f>IF(GK57="","",GK57&amp;"."&amp;COUNTIFS(A$3:A57,A57,GK$3:GK57,GK57))</f>
        <v/>
      </c>
      <c r="GM57" t="str">
        <f t="shared" si="86"/>
        <v/>
      </c>
      <c r="GN57" t="str">
        <f t="shared" si="87"/>
        <v/>
      </c>
      <c r="GO57" t="str">
        <f t="shared" si="88"/>
        <v/>
      </c>
      <c r="GP57" t="str">
        <f t="shared" si="89"/>
        <v/>
      </c>
      <c r="GQ57">
        <f t="shared" si="90"/>
        <v>1</v>
      </c>
      <c r="GR57" t="str">
        <f>IF(GQ57=1,"XT"&amp;COUNTIFS(A$3:A57,A57,GQ$3:GQ57,1),"")</f>
        <v>XT4</v>
      </c>
      <c r="GS57" t="str">
        <f t="shared" si="91"/>
        <v/>
      </c>
      <c r="GT57" t="str">
        <f t="shared" si="92"/>
        <v>QF4</v>
      </c>
      <c r="GU57" t="str">
        <f t="shared" si="93"/>
        <v/>
      </c>
      <c r="GV57" t="str">
        <f t="shared" si="94"/>
        <v>ok</v>
      </c>
      <c r="GW57" t="str">
        <f>IF(OR(GO57="",GM57=""),"",IF(GO57&gt;IFERROR(VLOOKUP(GN57,Модули_спр,3,FALSE),99),"ЛИШНИЙ КАНАЛ",IF(AND(AH57&lt;&gt;"=",COUNTIFS(Линии[_модуль гр.],GM57,Линии[Канал (итог)],GO57,Линии[Канал],"&lt;&gt;=",Линии[Щит],A57)&gt;1),"ДУБЛЬ КАНАЛА","")))</f>
        <v/>
      </c>
      <c r="GX57" s="6" t="str">
        <f t="shared" si="95"/>
        <v/>
      </c>
      <c r="GY57">
        <f t="shared" si="96"/>
        <v>10</v>
      </c>
      <c r="GZ57" t="str">
        <f t="shared" si="97"/>
        <v/>
      </c>
      <c r="HA57" t="str">
        <f>IF(AND(B57="",GT57=""),"",_xlfn.TEXTJOIN("; ",TRUE,IF(AND(B57&lt;&gt;"",FE57=""),"нет фазы",""),IF(AND(B57&lt;&gt;"",N(FY57)=0,EQ57&lt;&gt;"Нет"),"нет мощности",""),IF(AND(GS57&lt;&gt;"",COUNTIFS(Линии[Щит],A57,Линии[Клемма (итог)],GS57)&gt;1),"дубль клеммы "&amp;GS57,""),IF(AND(GV57&lt;&gt;"",GV57&lt;&gt;"ok"),GV57,""),IF(GW57&lt;&gt;"",GW57,""),IF(AND(N(BV57)&gt;=4,N(BR57)=1),BV57&amp;" жил на 1 фазе",""),IF(AND(AX57="R",CA57=1,OR(N(CK57)=0,N(CK57)&gt;30)),"розетка без дифзащиты до 30 мА",""),IFERROR(IF(AND(ISNUMBER(R57),R57&gt;DV57),"потери "&amp;FIXED(R57,1)&amp;" % &gt; "&amp;DV57&amp;" %",""),""),IFERROR(IF(LEFT(GZ57,4)="мало","Iкз мало — отключение &gt; 0,4 с",""),""),IF(AND(B57&lt;&gt;"",BH57=""),"не на схеме",""),IF(AND(CA57=0,B57&lt;&gt;"",FE57&lt;&gt;"",IF(AW57=1,"",FF56)&lt;&gt;"",FE57&lt;&gt;IF(AW57=1,"",FF56)),"фаза не как у автомата группы ("&amp;IF(AW57=1,"",FF56)&amp;")","")))</f>
        <v/>
      </c>
      <c r="HB57" s="6">
        <f>IF(OR(CA57=0,DA57=""),"",_xlfn.LET(_xlpm.t,IFERROR(_xlfn.XLOOKUP(DA57,Каталог!$U$4:$U$500,Каталог!$G$4:$G$500),""),_xlpm.k,SEARCH("кА",_xlpm.t),IFERROR(--TRIM(RIGHT(SUBSTITUTE(MID(_xlpm.t,MAX(1,_xlpm.k-4),_xlpm.k-MAX(1,_xlpm.k-4))," ",REPT(" ",9)),5)),"")))</f>
        <v>6</v>
      </c>
      <c r="HC57" t="str">
        <f>IF(OR(HB57="",CA57=0),"",IF(_xlfn.XLOOKUP(A57,Щиты[Щит],Щиты[Iкз max на шинах, кА],"")="","",IF(HB57&lt;_xlfn.XLOOKUP(A57,Щиты[Щит],Щиты[Iкз max на шинах, кА]),"Icu "&amp;HB57&amp;" кА &lt; Iкз max","ok")))</f>
        <v/>
      </c>
      <c r="HD57" t="str">
        <f t="shared" si="98"/>
        <v/>
      </c>
      <c r="HE57" t="str">
        <f t="shared" si="99"/>
        <v>QF4</v>
      </c>
      <c r="HF57" t="str">
        <f t="shared" si="100"/>
        <v>QF4|кабель ВВГнг(А)-LS (3х1,5) → Вытяжная установка Подвальный этаж Пом №006T</v>
      </c>
      <c r="HG57" t="str" cm="1">
        <f t="array" ref="HG57">IF(HF57="","",_xlfn.LET(_xlpm.nd,_xlfn.TEXTSPLIT(HF57,"|"),IF(COLUMNS(_xlpm.nd)&gt;1,A57&amp;"¦"&amp;INDEX(_xlpm.nd,1)&amp;"¦"&amp;INDEX(_xlpm.nd,2),"")))</f>
        <v>ЩОВ-001¦QF4¦кабель ВВГнг(А)-LS (3х1,5) → Вытяжная установка Подвальный этаж Пом №006T</v>
      </c>
      <c r="HH57" t="str">
        <f t="shared" si="101"/>
        <v>В.12¦Вытяжная установка Подвальный этаж Пом №006T</v>
      </c>
      <c r="HI57" t="str" cm="1">
        <f t="array" ref="HI57">IF(HF57="","",_xlfn.LET(_xlpm.nd,_xlfn.TEXTSPLIT(HF57,"|"),IF(COLUMNS(_xlpm.nd)&gt;2,A57&amp;"¦"&amp;INDEX(_xlpm.nd,2)&amp;"¦"&amp;INDEX(_xlpm.nd,3),"")))</f>
        <v/>
      </c>
      <c r="HJ57" t="str">
        <f t="shared" si="102"/>
        <v/>
      </c>
      <c r="HK57" t="str" cm="1">
        <f t="array" ref="HK57">IF(HF57="","",_xlfn.LET(_xlpm.nd,_xlfn.TEXTSPLIT(HF57,"|"),IF(COLUMNS(_xlpm.nd)&gt;3,A57&amp;"¦"&amp;INDEX(_xlpm.nd,3)&amp;"¦"&amp;INDEX(_xlpm.nd,4),"")))</f>
        <v/>
      </c>
      <c r="HL57" t="str">
        <f t="shared" si="103"/>
        <v/>
      </c>
      <c r="HM57" t="str" cm="1">
        <f t="array" ref="HM57">IF(HF57="","",_xlfn.LET(_xlpm.nd,_xlfn.TEXTSPLIT(HF57,"|"),IF(COLUMNS(_xlpm.nd)&gt;4,A57&amp;"¦"&amp;INDEX(_xlpm.nd,4)&amp;"¦"&amp;INDEX(_xlpm.nd,5),"")))</f>
        <v/>
      </c>
      <c r="HN57" t="str">
        <f t="shared" si="104"/>
        <v/>
      </c>
      <c r="HO57" t="str" cm="1">
        <f t="array" ref="HO57">IF(HF57="","",_xlfn.LET(_xlpm.nd,_xlfn.TEXTSPLIT(HF57,"|"),IF(COLUMNS(_xlpm.nd)&gt;5,A57&amp;"¦"&amp;INDEX(_xlpm.nd,5)&amp;"¦"&amp;INDEX(_xlpm.nd,6),"")))</f>
        <v/>
      </c>
      <c r="HP57" t="str">
        <f t="shared" si="105"/>
        <v/>
      </c>
      <c r="HQ57" t="str" cm="1">
        <f t="array" ref="HQ57">IF(HF57="","",_xlfn.LET(_xlpm.nd,_xlfn.TEXTSPLIT(HF57,"|"),IF(COLUMNS(_xlpm.nd)&gt;6,A57&amp;"¦"&amp;INDEX(_xlpm.nd,6)&amp;"¦"&amp;INDEX(_xlpm.nd,7),"")))</f>
        <v/>
      </c>
      <c r="HR57" t="str">
        <f t="shared" si="106"/>
        <v/>
      </c>
      <c r="HS57" t="str">
        <f t="shared" si="107"/>
        <v/>
      </c>
      <c r="HT57" t="str">
        <f t="shared" si="108"/>
        <v>QF4</v>
      </c>
      <c r="HU57">
        <f t="shared" si="109"/>
        <v>0</v>
      </c>
      <c r="HV57">
        <f t="shared" si="110"/>
        <v>0</v>
      </c>
      <c r="HW57" t="str">
        <f t="shared" si="111"/>
        <v/>
      </c>
      <c r="HX57" t="str">
        <f t="shared" si="112"/>
        <v/>
      </c>
      <c r="HY57" t="str">
        <f t="shared" si="113"/>
        <v/>
      </c>
      <c r="HZ57" t="str">
        <f t="shared" si="114"/>
        <v/>
      </c>
      <c r="IA57" t="str">
        <f>IF(B57="","",IFERROR(VLOOKUP(B57,УГО_спр,2,FALSE),IFERROR(VLOOKUP(AX57,УГО_спр,2,FALSE),IFERROR(VLOOKUP(LEFT(AX57,2),УГО_спр,2,FALSE),""))))</f>
        <v>Привод (двигатель)</v>
      </c>
      <c r="IB57" t="str">
        <f>IF(B57="","",IF(OR(IA57="",IA57=0),"BOX",IFERROR(IF(VLOOKUP(IA57,УГО_блоки,3,FALSE)&amp;""&lt;&gt;"",VLOOKUP(IA57,УГО_блоки,3,FALSE),VLOOKUP(IA57,УГО_блоки,2,FALSE)),IA57)))</f>
        <v>MOTOR</v>
      </c>
      <c r="IC57">
        <f t="shared" si="115"/>
        <v>1</v>
      </c>
      <c r="ID57" t="str">
        <f>IF(DA57="","",IF(COUNTIF(DA$3:DA57,DA57)=1,MAX(ID$2:ID56)+1,""))</f>
        <v/>
      </c>
      <c r="IE57" t="str">
        <f>IF(CO57="","",IF(COUNTIF(CO$3:CO57,CO57)+COUNTIF(CP$2:CP56,CO57)+COUNTIF(CQ$2:CQ56,CO57)=1,MAX(IE$2:IG56)+1,""))</f>
        <v/>
      </c>
      <c r="IF57" t="str">
        <f>IF(CP57="","",IF(COUNTIF(CO$3:CO57,CP57)+COUNTIF(CP$3:CP57,CP57)+COUNTIF(CQ$2:CQ56,CP57)=1,MAX(IE$2:IG56,IE57)+1,""))</f>
        <v/>
      </c>
      <c r="IG57" t="str">
        <f>IF(CQ57="","",IF(COUNTIF(CO$3:CO57,CQ57)+COUNTIF(CP$3:CP57,CQ57)+COUNTIF(CQ$3:CQ57,CQ57)=1,MAX(IE$2:IG56,IE57,IF57)+1,""))</f>
        <v/>
      </c>
      <c r="IH57" t="str">
        <f t="shared" si="116"/>
        <v>3х1,5</v>
      </c>
      <c r="II57" t="str">
        <f>IF(IH57="","",IF(COUNTIF(IH$3:IH57,IH57)=1,MAX(II$2:II56)+1,""))</f>
        <v/>
      </c>
      <c r="IJ57" t="str">
        <f>IF(GL57="","",COUNTIF(GL$3:GL57,"?*"))</f>
        <v/>
      </c>
      <c r="IK57" t="str">
        <f>IF(OR(GL57="",GN57=""),"",IF(COUNTIFS(GL$3:GL57,"?*",GN$3:GN57,GN57)=1,MAX(IK$2:IK56)+1,""))</f>
        <v/>
      </c>
      <c r="IL57">
        <f t="shared" si="117"/>
        <v>0</v>
      </c>
      <c r="IM57">
        <f>IF(B57="","",COUNTIF(B$3:B57,"?*"))</f>
        <v>55</v>
      </c>
      <c r="IN57">
        <f>IF(GQ57&lt;&gt;1,0,_xlfn.LET(_xlpm.k,MAX(IFERROR(--VLOOKUP(B57,УГО_спр,5,FALSE),0),IFERROR(--VLOOKUP(AX57,УГО_спр,5,FALSE),0),IFERROR(--VLOOKUP(LEFT(AX57,2),УГО_спр,5,FALSE),0)),IF(_xlpm.k&gt;0,_xlpm.k,IF(IFERROR(--LEFT(SUBSTITUTE(IH57,"x","х"),FIND("х",SUBSTITUTE(IH57,"x","х"))-1),3)&gt;3,Каталог!$S$9,1))))</f>
        <v>1</v>
      </c>
      <c r="IO57">
        <f t="shared" si="118"/>
        <v>0</v>
      </c>
      <c r="IP57" t="str">
        <f t="shared" si="119"/>
        <v>авто</v>
      </c>
      <c r="IQ57" t="str">
        <f t="shared" si="120"/>
        <v/>
      </c>
      <c r="IR57">
        <f t="shared" si="121"/>
        <v>0</v>
      </c>
      <c r="IS57">
        <f t="shared" si="122"/>
        <v>1</v>
      </c>
    </row>
    <row r="58" spans="1:253" x14ac:dyDescent="0.3">
      <c r="A58" t="s">
        <v>749</v>
      </c>
      <c r="B58" t="s">
        <v>1330</v>
      </c>
      <c r="C58" t="s">
        <v>1615</v>
      </c>
      <c r="D58">
        <v>1</v>
      </c>
      <c r="E58">
        <v>0.1</v>
      </c>
      <c r="G58">
        <v>10</v>
      </c>
      <c r="H58" t="str">
        <f>Линии[[#This Row],[_авто утечка]]</f>
        <v/>
      </c>
      <c r="I58" t="str">
        <f>Линии[[#This Row],[_авто управление]]</f>
        <v/>
      </c>
      <c r="J58" t="str">
        <f>Линии[[#This Row],[_авто аппараты]]</f>
        <v/>
      </c>
      <c r="K58">
        <v>1.5</v>
      </c>
      <c r="L58">
        <v>12</v>
      </c>
      <c r="M58" t="str">
        <f>Линии[[#This Row],[_авто фаза]]</f>
        <v>L2</v>
      </c>
      <c r="N58" t="str">
        <f>Линии[[#This Row],[_авто клемма]]</f>
        <v>XT5</v>
      </c>
      <c r="O58" t="str">
        <f t="shared" si="0"/>
        <v/>
      </c>
      <c r="P58" s="6" cm="1">
        <f t="array" ref="P58">IF(B58="","",IF(BC58&lt;&gt;"",IFERROR(_xlfn.XLOOKUP(BC58,Щиты[Щит],Щиты[Iр, А]),""),IF(BK58=1,IFERROR(_xlfn.XLOOKUP(A58,Щиты[Щит],Щиты[Iр, А]),""),IFERROR(_xlfn.IFS(BR58=1,BN58/((Uн_лин/SQRT(3))*BY58),BR58=3,BN58/(SQRT(3)*Uн_лин*BY58)),""))))</f>
        <v>0.5412658773652741</v>
      </c>
      <c r="Q58" s="7">
        <f>IF(B58="","",IFERROR(IF(VLOOKUP(AX58,Потребители_обозначение,4,FALSE)=1,VLOOKUP(AX58,Потребители_обозначение,3,FALSE)*(D58*2-1)+DS58+VLOOKUP(AZ58,Этаж_обозначение,3,FALSE)+VLOOKUP(AZ58,Этаж_обозначение,4,FALSE),VLOOKUP(AX58,Потребители_обозначение,3,FALSE)*(D58*2-1)+DS58),DS58))</f>
        <v>16</v>
      </c>
      <c r="R58" s="6">
        <f t="shared" si="1"/>
        <v>0.74</v>
      </c>
      <c r="S58" t="str">
        <f t="shared" si="2"/>
        <v>ВВГнг(А)-LS (3х1,5)</v>
      </c>
      <c r="T58" t="str">
        <f>IF(BH58="","",IF(BI58="вводной узел","узел ","")&amp;"л."&amp;(INT((BH58-1)/Столбцов_на_лист)+1)&amp;" / "&amp;(MOD(BH58-1,Столбцов_на_лист)+1))</f>
        <v>л.2 / 7</v>
      </c>
      <c r="V58">
        <v>1</v>
      </c>
      <c r="W58">
        <v>230</v>
      </c>
      <c r="X58" t="s">
        <v>600</v>
      </c>
      <c r="Y58">
        <v>0.5</v>
      </c>
      <c r="AC58" t="s">
        <v>815</v>
      </c>
      <c r="AE58" t="s">
        <v>582</v>
      </c>
      <c r="AI58">
        <v>24</v>
      </c>
      <c r="AJ58" t="s">
        <v>11</v>
      </c>
      <c r="AK58">
        <v>3</v>
      </c>
      <c r="AN58">
        <v>16</v>
      </c>
      <c r="AP58">
        <v>1</v>
      </c>
      <c r="AW58" cm="1">
        <f t="array" ref="AW58">ROW()-ROW(Линии[#Headers])</f>
        <v>56</v>
      </c>
      <c r="AX58" s="6" t="str">
        <f t="shared" si="3"/>
        <v>В</v>
      </c>
      <c r="AY58" t="str">
        <f t="shared" si="4"/>
        <v>13</v>
      </c>
      <c r="AZ58" t="str">
        <f t="shared" si="5"/>
        <v>13</v>
      </c>
      <c r="BA58" t="str">
        <f t="shared" si="6"/>
        <v/>
      </c>
      <c r="BB58" t="str">
        <f t="shared" si="7"/>
        <v/>
      </c>
      <c r="BC58" t="str">
        <f>IF(U58&lt;&gt;"",U58,IF(AND(B58&lt;&gt;"",B58&lt;&gt;A58,ISNUMBER(_xlfn.XMATCH(B58,Щиты[Щит]))),B58,""))</f>
        <v/>
      </c>
      <c r="BD58" t="str" cm="1">
        <f t="array" ref="BD58">IF(B58="","",IF(BC58&lt;&gt;"","Щит "&amp;BC58,_xlfn.LET(_xlpm.nm,IFERROR(_xlfn.XLOOKUP(AX58,Коды_код,Коды_имя)&amp;"",""),_xlpm.md,IFERROR(N(_xlfn.XLOOKUP(AX58,Коды_код,Коды_режим)),1),_xlpm.ex,IF(Имя_режим="по экспликации",IFERROR(_xlfn.XLOOKUP(AZ58&amp;"|"&amp;BB58,Экспликация[Этаж]&amp;"|"&amp;Экспликация[Помещение],Экспликация[Название])&amp;"",""),""),_xlpm.rm,IF(BB58="","",IF(_xlpm.ex&lt;&gt;"",". "&amp;_xlpm.ex&amp;IF(Имя_пом="нет"," ("&amp;BB58&amp;")"," (пом. "&amp;BB58&amp;")"),IF(Имя_пом="нет"," ",", пом. ")&amp;BB58)),IF(_xlpm.nm="","",IF(_xlpm.md=2,_xlpm.nm&amp;" шлейф "&amp;AZ58,_xlpm.nm&amp;_xlpm.rm)))))</f>
        <v>Вытяжная установка шлейф 13</v>
      </c>
      <c r="BE58" t="str">
        <f t="shared" si="8"/>
        <v>Вытяжная установка Подвальный этаж Пом №006T</v>
      </c>
      <c r="BF58">
        <f>IFERROR(_xlfn.XMATCH(A58,Щиты[Щит]),0)</f>
        <v>4</v>
      </c>
      <c r="BG58">
        <f>_xlfn.LET(_xlpm.k,IFERROR(_xlfn.XLOOKUP(A58,Щиты[Щит],Щиты[Листов под вводной узел]),""),IF(_xlpm.k="",1,N(_xlpm.k))*Столбцов_на_лист)</f>
        <v>17</v>
      </c>
      <c r="BH58">
        <f t="shared" si="9"/>
        <v>24</v>
      </c>
      <c r="BI58" t="str">
        <f t="shared" si="10"/>
        <v>линии</v>
      </c>
      <c r="BJ58" s="6">
        <f>IFERROR(N(_xlfn.XLOOKUP(AX58,Коды_код,Коды_квт)),0)</f>
        <v>0</v>
      </c>
      <c r="BK58">
        <f t="shared" si="11"/>
        <v>0</v>
      </c>
      <c r="BL58" t="str">
        <f>IF(B58="","",IF(BC58&lt;&gt;"",IFERROR(_xlfn.XLOOKUP(BC58,Щиты[Щит],Щиты[Руст, кВт]),0),IF(BK58=1,IFERROR(_xlfn.XLOOKUP(A58,Щиты[Щит],Щиты[Руст, кВт]),0),IF(BJ58&gt;0,ROUND(BJ58*MAX(1,N(D58)),3),""))))</f>
        <v/>
      </c>
      <c r="BM58">
        <f t="shared" si="12"/>
        <v>0.1</v>
      </c>
      <c r="BN58" s="6">
        <f>IF(B58="","",IF(BC58&lt;&gt;"",IFERROR(_xlfn.XLOOKUP(BC58,Щиты[Щит],Щиты[Руст, кВт]),0),N(BM58)))</f>
        <v>0.1</v>
      </c>
      <c r="BO58" t="str">
        <f>IF(B58="","",IFERROR(IF(VLOOKUP(AX58,Потребители_обозначение,8,FALSE)=0,"",VLOOKUP(AX58,Потребители_обозначение,8,FALSE)),""))</f>
        <v/>
      </c>
      <c r="BP58">
        <f t="shared" si="13"/>
        <v>230</v>
      </c>
      <c r="BQ58">
        <f>IF(B58="","",IF(BC58&lt;&gt;"",3,IFERROR(IF(N(VLOOKUP(AX58,Потребители_обозначение,9,FALSE))=0,1,VLOOKUP(AX58,Потребители_обозначение,9,FALSE)),1)))</f>
        <v>1</v>
      </c>
      <c r="BR58">
        <f t="shared" si="14"/>
        <v>1</v>
      </c>
      <c r="BS58" t="str">
        <f>IF(B58="","",_xlfn.LET(_xlpm.bc,IFERROR(IF(VLOOKUP(AX58,Потребители_обозначение,6,FALSE)=0,"",VLOOKUP(AX58,Потребители_обозначение,6,FALSE)&amp;""),""),IF(AND(FK58="да",OR(_xlpm.bc="",_xlpm.bc="мс")),Марка_пож,IF(AND(_xlpm.bc="",BC58&lt;&gt;""),"мс",_xlpm.bc))))</f>
        <v/>
      </c>
      <c r="BT58" t="str">
        <f t="shared" si="15"/>
        <v>мс</v>
      </c>
      <c r="BU58">
        <f>IF(B58="","",_xlfn.LET(_xlpm.cc,IFERROR(N(VLOOKUP(AX58,Потребители_обозначение,7,FALSE)),0),IF(_xlpm.cc&gt;0,_xlpm.cc,IF(BT58="","",IF(N(BR58)=3,5,3)))))</f>
        <v>3</v>
      </c>
      <c r="BV58">
        <f t="shared" si="16"/>
        <v>3</v>
      </c>
      <c r="BW58">
        <f>IFERROR(N(VLOOKUP(AX58,Потребители_обозначение,10,FALSE)),0)</f>
        <v>0</v>
      </c>
      <c r="BX58">
        <f>IFERROR(VLOOKUP(AX58,Потребители_обозначение,5,FALSE),0)</f>
        <v>1</v>
      </c>
      <c r="BY58" s="6" cm="1">
        <f t="array" ref="BY58">IF(B58="","",IF(BC58&lt;&gt;"",IFERROR(_xlfn.XLOOKUP(BC58,Щиты[Щит],Щиты[cos φ]),0.95),IF(BK58=1,IFERROR(_xlfn.XLOOKUP(A58,Щиты[Щит],Щиты[cos φ]),0.95),IF(ISNUMBER(Z58),Z58,IFERROR(IF(BX58=2,_xlfn.IFS(BR58=3,VLOOKUP(BN58,Справочная_двигатели,8,FALSE),BR58=1,VLOOKUP(BN58,Справочная_двигатели,10,TRUE)),IF(AND(Методика="нормы 2026",EQ58="Сил"),0.8,0.95)),0.95)))))</f>
        <v>0.8</v>
      </c>
      <c r="BZ58">
        <f t="shared" si="17"/>
        <v>0</v>
      </c>
      <c r="CA58">
        <f t="shared" si="18"/>
        <v>1</v>
      </c>
      <c r="CB58">
        <f t="shared" si="19"/>
        <v>0</v>
      </c>
      <c r="CC58">
        <f t="shared" si="20"/>
        <v>0</v>
      </c>
      <c r="CD58">
        <f t="shared" si="21"/>
        <v>0</v>
      </c>
      <c r="CE58">
        <f t="shared" si="22"/>
        <v>0</v>
      </c>
      <c r="CF58">
        <f t="shared" si="23"/>
        <v>0</v>
      </c>
      <c r="CG58">
        <f>IF(AX58="",0,_xlfn.LET(_xlpm.v,IFERROR(VLOOKUP(B58,УГО_спр,3,FALSE),IFERROR(VLOOKUP(AX58,УГО_спр,3,FALSE),IFERROR(VLOOKUP(LEFT(AX58,2),УГО_спр,3,FALSE),""))),IF(_xlpm.v="да",30,IF(ISNUMBER(_xlpm.v),_xlpm.v,0))))</f>
        <v>0</v>
      </c>
      <c r="CH58" t="str">
        <f t="shared" si="24"/>
        <v/>
      </c>
      <c r="CI58" t="str">
        <f>_xlfn.LET(_xlpm.k,IFERROR(_xlfn.XLOOKUP(AX58,Коды_код,Коды_утечка)&amp;"",""),IF(_xlpm.k="","дифавтомат",_xlpm.k))</f>
        <v>дифавтомат</v>
      </c>
      <c r="CJ58">
        <f t="shared" si="25"/>
        <v>0</v>
      </c>
      <c r="CK58">
        <f t="shared" si="26"/>
        <v>0</v>
      </c>
      <c r="CL58">
        <f>IF(B58="",0,IFERROR(--VLOOKUP(B58,УГО_спр,4,FALSE),IFERROR(--VLOOKUP(AX58,УГО_спр,4,FALSE),IFERROR(--VLOOKUP(LEFT(AX58,2),УГО_спр,4,FALSE),0))))</f>
        <v>0</v>
      </c>
      <c r="CM58" t="str">
        <f>IF(B58="","",IFERROR(_xlfn.XLOOKUP(AX58,Коды_код,Коды_апп)&amp;"",""))</f>
        <v/>
      </c>
      <c r="CN58" t="str">
        <f t="shared" si="27"/>
        <v/>
      </c>
      <c r="CO58" t="str" cm="1">
        <f t="array" ref="CO58">IF(TRIM(CN58&amp;"")="","",IFERROR(TRIM(INDEX(_xlfn.TEXTSPLIT(CN58&amp;";;;",";"),1)),""))</f>
        <v/>
      </c>
      <c r="CP58" t="str" cm="1">
        <f t="array" ref="CP58">IF(TRIM(CN58&amp;"")="","",IFERROR(TRIM(INDEX(_xlfn.TEXTSPLIT(CN58&amp;";;;",";"),2)),""))</f>
        <v/>
      </c>
      <c r="CQ58" t="str" cm="1">
        <f t="array" ref="CQ58">IF(TRIM(CN58&amp;"")="","",IFERROR(TRIM(INDEX(_xlfn.TEXTSPLIT(CN58&amp;";;;",";"),3)),""))</f>
        <v/>
      </c>
      <c r="CR58">
        <f t="shared" si="28"/>
        <v>0</v>
      </c>
      <c r="CS58" t="str">
        <f>IF(B58="","",_xlfn.LET(_xlpm.t,LOWER(AV58&amp;""),IF(ISNUMBER(SEARCH("dim",_xlpm.t)),"DIM",IF(ISNUMBER(SEARCH("dali",_xlpm.t)),"DALI",IF(OR(ISNUMBER(SEARCH("relay",_xlpm.t)),ISNUMBER(SEARCH("реле",_xlpm.t))),"Relay",IF(ISNUMBER(SEARCH("кнопк",_xlpm.t)),"",IFERROR(_xlfn.XLOOKUP(AX58,Коды_код,Коды_упр)&amp;"","")))))))</f>
        <v/>
      </c>
      <c r="CT58" t="str">
        <f t="shared" si="29"/>
        <v/>
      </c>
      <c r="CU58">
        <f>IF(B58="","",_xlfn.LET(_xlpm.ig,N(P58)+IF(AF58="вручную",0,N(CB58)),_xlpm.n0,IFERROR(VLOOKUP(_xlpm.ig,Автомат_номиналы,2,TRUE),0),_xlpm.mn,MAX(CL58,IF(AF58="вручную",0,N(CE58))),MAX(_xlpm.n0,_xlpm.mn,IF(CR58=1,Мин_автомат_БП,0))))</f>
        <v>6</v>
      </c>
      <c r="CV58">
        <f t="shared" si="30"/>
        <v>1</v>
      </c>
      <c r="CW58" t="str">
        <f t="shared" si="31"/>
        <v>1P</v>
      </c>
      <c r="CX58" t="str">
        <f>_xlfn.LET(_xlpm.cc,UPPER(TRIM(IFERROR(_xlfn.XLOOKUP(AX58,Коды_код,Коды_хар)&amp;"",""))),IF(OR(_xlpm.cc="B",_xlpm.cc="В"),"B",IF(_xlpm.cc="D","D","С")))</f>
        <v>С</v>
      </c>
      <c r="CY58" t="str">
        <f t="shared" si="32"/>
        <v>1P С6А</v>
      </c>
      <c r="CZ58">
        <f t="shared" si="33"/>
        <v>10</v>
      </c>
      <c r="DA58" t="str">
        <f t="shared" si="34"/>
        <v>1P С10А</v>
      </c>
      <c r="DB58" cm="1">
        <f t="array" ref="DB58">IF(DA58="","",_xlfn.LET(_xlpm.t,SUBSTITUTE(SUBSTITUTE(SUBSTITUTE(UPPER(DA58),"С","C"),"А","A"),"В","B"),_xlpm.tk,_xlfn.TEXTSPLIT(_xlpm.t,"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8" t="str">
        <f t="shared" si="35"/>
        <v>ok</v>
      </c>
      <c r="DD58">
        <f t="shared" si="36"/>
        <v>10</v>
      </c>
      <c r="DE58" t="str">
        <f t="shared" si="37"/>
        <v>1P С10А</v>
      </c>
      <c r="DF58">
        <f t="shared" si="38"/>
        <v>0</v>
      </c>
      <c r="DG58">
        <f t="shared" si="39"/>
        <v>0</v>
      </c>
      <c r="DH58">
        <f t="shared" si="40"/>
        <v>0</v>
      </c>
      <c r="DI58">
        <f t="shared" si="41"/>
        <v>0.5412658773652741</v>
      </c>
      <c r="DJ58">
        <f t="shared" si="42"/>
        <v>1</v>
      </c>
      <c r="DK58">
        <f>IF(ISNUMBER(AL58),AL58,К_прокл)</f>
        <v>1</v>
      </c>
      <c r="DL58">
        <f t="shared" si="43"/>
        <v>2</v>
      </c>
      <c r="DM58">
        <f>IFERROR(N(VLOOKUP(BT58,Кабель_обозначение,3,FALSE)),1)</f>
        <v>1</v>
      </c>
      <c r="DN58">
        <f>IFERROR(N(_xlfn.XLOOKUP(A58,Щиты[Щит],Щиты[ΔU до шин, %])),0)</f>
        <v>0.64</v>
      </c>
      <c r="DO58" t="str">
        <f>IFERROR(_xlfn.XLOOKUP(A58,Щиты[Щит],Щиты[Zпетли на шинах, Ом]),"")</f>
        <v/>
      </c>
      <c r="DP58">
        <f>IFERROR(N(_xlfn.XLOOKUP(A58,Щиты[Щит],Щиты[ΔU до шин (подбор), %])),0)</f>
        <v>0.75</v>
      </c>
      <c r="DQ58" t="str">
        <f>IFERROR(_xlfn.XLOOKUP(A58,Щиты[Щит],Щиты[Zпетли на шинах (подбор), Ом]),"")</f>
        <v/>
      </c>
      <c r="DR58" t="str">
        <f t="shared" si="44"/>
        <v/>
      </c>
      <c r="DS58">
        <f t="shared" si="45"/>
        <v>12</v>
      </c>
      <c r="DT58">
        <f t="shared" si="46"/>
        <v>2</v>
      </c>
      <c r="DU58">
        <f t="shared" si="47"/>
        <v>0.6</v>
      </c>
      <c r="DV58" s="6">
        <f>IF(B58="","",IF(IFERROR(VLOOKUP(AX58,УГО_спр,2,FALSE),"")="Светильник",3,4)+IF(Методика="нормы 2026",MIN(0.5,MAX(0,N(Q58)-100)*0.005),0))</f>
        <v>4</v>
      </c>
      <c r="DW58" cm="1">
        <f t="array" ref="DW58">IF(OR(B58="",BT58="",DM58&lt;&gt;1),"",_xlfn.LET(_xlpm.sz,Iдоп_S,_xlpm.t_,CHOOSE(DL58,Iдоп_1ж,Iдоп_2ж,Iдоп_3ж)*DJ58*DK58,_xlpm.inn,N(DD58),_xlpm.smin,MAX(1.5,BW58),_xlpm.L_,N(Q58)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58)*(_xlpm.rho*_xlpm.L_/_xlpm.sz*N(BY58)+_xlpm.xx*_xlpm.L_*N(DU58)/1000)*N(P58)/((Uн_лин/SQRT(3))*1000)*100,999),_xlpm.kz,IF(OR(DG58=1,NOT(ISNUMBER(DQ58)),_xlpm.L_=0,_xlpm.inn=0),1,IFERROR(--(c_min*(Uн_лин*1000/SQRT(3))/(DQ58+2*ρкз_Cu*_xlpm.L_/_xlpm.sz)&gt;=GY58*_xlpm.inn),0)),_xlpm.ok,IFERROR((_xlpm.sz&gt;=_xlpm.smin)*(_xlpm.t_&gt;=_xlpm.inn)*IF(_xlpm.L_&gt;0,(_xlpm.du_+DP58&lt;=DV58+0.00001),1)*_xlpm.kz,0),_xlpm.r_,_xlfn._xlws.FILTER(_xlpm.sz,_xlpm.ok,"не подобрано"),INDEX(_xlpm.r_,1)))</f>
        <v>1.5</v>
      </c>
      <c r="DX58">
        <f t="shared" si="48"/>
        <v>1.5</v>
      </c>
      <c r="DY58" cm="1">
        <f t="array" ref="DY58">IF(OR(B58="",BT58="",DM58&lt;&gt;1),"",_xlfn.LET(_xlpm.sz,Iдоп_S,_xlpm.t_,CHOOSE(DL58,Iдоп_1ж,Iдоп_2ж,Iдоп_3ж)*DJ58*DK58,_xlpm.ok,IFERROR((_xlpm.sz&gt;=MAX(1.5,BW58))*(_xlpm.t_&gt;=N(DD58)),0),_xlpm.r_,_xlfn._xlws.FILTER(_xlpm.sz,_xlpm.ok,""),INDEX(_xlpm.r_,1)))</f>
        <v>1.5</v>
      </c>
      <c r="DZ58" s="6" cm="1">
        <f t="array" ref="DZ58">IFERROR(ROUNDUP(N(DT58)*(_xlfn.XLOOKUP(DY58,INDEX(Кабель_сопротивление,0,1),INDEX(Кабель_сопротивление,0,3))*N(Q58)/DY58*N(BY58)+_xlfn.XLOOKUP(DY58,INDEX(Кабель_сопротивление,0,1),INDEX(Кабель_сопротивление,0,2))*N(Q58)*N(DU58)/1000)*N(P58)/((Uн_лин/SQRT(3))*1000)*100,2),"")</f>
        <v>9.9999999999999992E-2</v>
      </c>
      <c r="EA58">
        <f>IFERROR(2*ρкз_Cu*N(Q58)/DY58,"")</f>
        <v>0.56106666666666671</v>
      </c>
      <c r="EB58">
        <f>IFERROR(VLOOKUP(DX58,Кабель_сопротивление,3,FALSE),"")</f>
        <v>2.2499999999999999E-2</v>
      </c>
      <c r="EC58">
        <f>IFERROR(VLOOKUP(DX58,Кабель_сопротивление,2,FALSE),"")</f>
        <v>0.11</v>
      </c>
      <c r="ED58">
        <f t="shared" si="49"/>
        <v>16</v>
      </c>
      <c r="EE58">
        <f t="shared" si="50"/>
        <v>0</v>
      </c>
      <c r="EF58">
        <f t="shared" si="51"/>
        <v>0.20898925044126071</v>
      </c>
      <c r="EG58" s="6">
        <f>IFERROR(ROUNDUP(EF58/((Uн_лин/SQRT(3))*1000)*100,2),"")</f>
        <v>9.9999999999999992E-2</v>
      </c>
      <c r="EH58" t="str">
        <f>IFERROR(VLOOKUP(BT58,Кабель_обозначение,2,FALSE),"")</f>
        <v>ВВГнг(А)-LS</v>
      </c>
      <c r="EI58" t="str">
        <f t="shared" si="52"/>
        <v>ВВГнг(А)-LS (3х1,5)</v>
      </c>
      <c r="EJ58" t="str">
        <f t="shared" si="53"/>
        <v>ВВГнг(А)-LS (3х1,5)
L=16-0,1%</v>
      </c>
      <c r="EK58">
        <f>IFERROR(2*ρкз_Cu*Q58/DX58,"")</f>
        <v>0.56106666666666671</v>
      </c>
      <c r="EL58">
        <f t="shared" si="54"/>
        <v>0.18666666666666668</v>
      </c>
      <c r="EM58" s="6" t="str">
        <f>IFERROR(IF(OR(B58="",NOT(ISNUMBER(DX58)),N(Q58)=0),"",_xlfn.XLOOKUP(A58,Щиты[Щит],Щиты[Zпетли на шинах, Ом])+EK58),"")</f>
        <v/>
      </c>
      <c r="EN58" s="6" t="str">
        <f>IF(ISNUMBER(EM58),c_min*(Uн_лин*1000/SQRT(3))/EM58,"")</f>
        <v/>
      </c>
      <c r="EO58" s="6" t="str">
        <f>IFERROR(IF(OR(B58="",NOT(ISNUMBER(DX58))),"",1.05*(Uн_лин*1000/SQRT(3))/(_xlfn.XLOOKUP(A58,Щиты[Щит],Щиты[Zmax на шинах, Ом])+EL58)/1000),"")</f>
        <v/>
      </c>
      <c r="EP58" s="6" t="str">
        <f>IF(B58="","",IF(ISNUMBER(Y58),"Сил",IF(IFERROR(_xlfn.XLOOKUP(AX58,Коды_код,Коды_группа)&amp;"","")="","Быт",_xlfn.XLOOKUP(AX58,Коды_код,Коды_группа)&amp;"")))</f>
        <v>Сил</v>
      </c>
      <c r="EQ58" s="6" t="str">
        <f t="shared" si="55"/>
        <v>Сил</v>
      </c>
      <c r="ER58" s="6">
        <f>IF(EQ58="Щит","щит",IF(EQ58="","",IF(EQ58="Быт",IFERROR(_xlfn.XLOOKUP(A58,Щиты[Щит],Щиты[Кс быт]),1),IF(EQ58="Сил",IF(ISNUMBER(Y58),Y58,IF(Методика="нормы 2026",IFERROR(_xlfn.XLOOKUP(A58,Щиты[Щит],Щиты[Кс силовых (табл. 7.5)]),1),1)),IF(OR(EQ58="Пост",EQ58="Отоп"),1,IF(EQ58="ВНГ",0.7,0))))))</f>
        <v>0.5</v>
      </c>
      <c r="ES58">
        <f t="shared" si="56"/>
        <v>1</v>
      </c>
      <c r="ET58">
        <f t="shared" si="57"/>
        <v>0.1</v>
      </c>
      <c r="EU58">
        <f t="shared" si="58"/>
        <v>0</v>
      </c>
      <c r="EV58">
        <f t="shared" si="59"/>
        <v>0.05</v>
      </c>
      <c r="EW58">
        <f t="shared" si="60"/>
        <v>0</v>
      </c>
      <c r="EX58">
        <f t="shared" si="61"/>
        <v>0</v>
      </c>
      <c r="EY58">
        <f t="shared" si="62"/>
        <v>0</v>
      </c>
      <c r="EZ58">
        <f t="shared" si="63"/>
        <v>0.1</v>
      </c>
      <c r="FA58">
        <f t="shared" si="64"/>
        <v>8.0000000000000016E-2</v>
      </c>
      <c r="FB58">
        <f t="shared" si="65"/>
        <v>0.1</v>
      </c>
      <c r="FC58" t="str">
        <f t="shared" si="66"/>
        <v/>
      </c>
      <c r="FD58" t="str">
        <f>IF(B58="","",IF(CA58=0,IF(AW58=1,"",FF57),IF(OR(N(CV58)&gt;=3,N(BR58)&gt;=3),"L1,L2,L3",IFERROR(_xlfn.TEXTBEFORE(_xlfn.TEXTAFTER(_xlfn.XLOOKUP(A58,Щиты[Щит],Щиты[_фазы авто]),";"&amp;AW58&amp;":"),";"),"L1"))))</f>
        <v>L2</v>
      </c>
      <c r="FE58" t="str">
        <f t="shared" si="67"/>
        <v>L2</v>
      </c>
      <c r="FF58" t="str">
        <f t="shared" si="68"/>
        <v>L2</v>
      </c>
      <c r="FG58" cm="1">
        <f t="array" ref="FG58">IFERROR(IF(BX58=2,_xlfn.IFS(BR58=3,VLOOKUP(BN58,Справочная_двигатели,3,FALSE),BR58=1,VLOOKUP(BN58,Справочная_двигатели,5,TRUE)),0),0)</f>
        <v>0</v>
      </c>
      <c r="FH58">
        <f>IFERROR(IF(BX58=3,VLOOKUP(BN58,Справочная_ЛЭД,2,TRUE),0),0)</f>
        <v>0</v>
      </c>
      <c r="FI58" s="6">
        <f t="shared" si="69"/>
        <v>0</v>
      </c>
      <c r="FJ58" t="str" cm="1">
        <f t="array" ref="FJ58">IF(B58="","",IFERROR(INDEX({"I особая","I","II","III"},MATCH(TRIM(AC58&amp;""),{"I особая","I","II","III"},0)),"III"))</f>
        <v>II</v>
      </c>
      <c r="FK58" t="str">
        <f>IF(B58="","",IF(TRIM(AD58&amp;"")&lt;&gt;"",IF(LOWER(TRIM(AD58&amp;""))="да","да","нет"),IF(IFERROR(_xlfn.XLOOKUP(AX58,Коды_код,Коды_пожарная),"")="да","да","нет")))</f>
        <v>нет</v>
      </c>
      <c r="FL58" t="str">
        <f t="shared" si="70"/>
        <v/>
      </c>
      <c r="FM58" t="str">
        <f t="shared" si="71"/>
        <v>основная</v>
      </c>
      <c r="FN58">
        <f t="shared" si="72"/>
        <v>1</v>
      </c>
      <c r="FO58" t="str" cm="1">
        <f t="array" ref="FO58">IF(B58="","",_xlfn.LET(_xlpm.t,IFERROR(_xlfn.XLOOKUP(1,(Шины[Шина]=FM58)*(((Шины[Щит]=A58)+(Шины[Щит]=""))&gt;0),Шины[Тип]),"")&amp;"",IF(_xlpm.t&lt;&gt;"",_xlpm.t,IF(ISNUMBER(SEARCH("ИБП",FM58)),"ИБП",IF(ISNUMBER(SEARCH("ДГУ",FM58)),"ДГУ","Ввод "&amp;FN58)))))</f>
        <v>Ввод 1</v>
      </c>
      <c r="FP58" t="str">
        <f t="shared" si="73"/>
        <v>Ввод 1</v>
      </c>
      <c r="FQ58" t="str">
        <f>IF(B58="","",IF(OR(FO58="ИБП",FO58="ДГУ"),"I особая",IF(FO58="Одиночная","III",_xlfn.XLOOKUP(A58,Щиты[Щит],Щиты[Категория шины «Ввод»],"III"))))</f>
        <v>II</v>
      </c>
      <c r="FR58">
        <f>IF(B58="",0,IFERROR(MATCH(FJ58,{"III","II","I","I особая"},0),1))</f>
        <v>2</v>
      </c>
      <c r="FS58">
        <f t="shared" si="74"/>
        <v>2</v>
      </c>
      <c r="FT58" t="str">
        <f>IF(B58="","",IF(FR58&gt;IFERROR(MATCH(FQ58,{"III","II","I","I особая"},0),1),"НЕ ОБЕСПЕЧЕНА","ОК"))</f>
        <v>ОК</v>
      </c>
      <c r="FU58" t="str">
        <f>IF(A58="","",_xlfn.XLOOKUP(A58,Щиты[Щит],Щиты[Путь],""))</f>
        <v>|ГРЩ-ЖД|ЩОВ-001|</v>
      </c>
      <c r="FV58" t="str">
        <f>IF(B58="","",IF(AE58&lt;&gt;"",AE58,IF(IFERROR(_xlfn.XLOOKUP(AX58,Коды_код,Коды_вид)&amp;"","")="","Прочее",_xlfn.XLOOKUP(AX58,Коды_код,Коды_вид)&amp;"")))</f>
        <v>Вентиляция</v>
      </c>
      <c r="FW58">
        <f>IF(BH58="","",INT((BH58-1)/Столбцов_на_лист)+1)</f>
        <v>2</v>
      </c>
      <c r="FX58" t="str">
        <f t="shared" si="75"/>
        <v>ВВГнг(А)-LS (3х1,5) L=16-0,1%</v>
      </c>
      <c r="FY58">
        <f t="shared" si="76"/>
        <v>0.1</v>
      </c>
      <c r="FZ58">
        <f t="shared" si="77"/>
        <v>0.55000000000000004</v>
      </c>
      <c r="GA58">
        <f t="shared" si="78"/>
        <v>1</v>
      </c>
      <c r="GB58">
        <f t="shared" si="79"/>
        <v>0</v>
      </c>
      <c r="GC58">
        <f t="shared" si="80"/>
        <v>1</v>
      </c>
      <c r="GD58">
        <f>IF(BH58="","",IF(AND(CA58=1,GC58=1),COUNTIFS(A$3:A58,A58,CA$3:CA58,1,GC$3:GC58,1),IF(OR(OR(AW58=1,A58&lt;&gt;A57),AF58="вручную",GC58=0),"",IF(AW58=1,"",GE57))))</f>
        <v>5</v>
      </c>
      <c r="GE58">
        <f t="shared" si="81"/>
        <v>5</v>
      </c>
      <c r="GF58">
        <f>IF(B58="","",IFERROR(LOOKUP(INDEX(CHOOSE(DL58,Iдоп_1ж,Iдоп_2ж,Iдоп_3ж),MATCH(DX58,Iдоп_S,0))*DJ58*DK58,{6,10,16,20,25,32,40,50,63,80,100,125,160,200,250,315,400,500,630}),""))</f>
        <v>16</v>
      </c>
      <c r="GG58" t="str">
        <f t="shared" si="82"/>
        <v>QF5</v>
      </c>
      <c r="GH58" t="str">
        <f t="shared" si="83"/>
        <v>QF5</v>
      </c>
      <c r="GI58" t="str">
        <f t="shared" si="84"/>
        <v/>
      </c>
      <c r="GJ58">
        <f t="shared" si="85"/>
        <v>0</v>
      </c>
      <c r="GK58" t="str">
        <f>IF(OR(AG58="",AG58="-"),"",IFERROR(VLOOKUP(AG58,Модули_спр,2,FALSE),"R"))</f>
        <v/>
      </c>
      <c r="GL58" t="str">
        <f>IF(GK58="","",GK58&amp;"."&amp;COUNTIFS(A$3:A58,A58,GK$3:GK58,GK58))</f>
        <v/>
      </c>
      <c r="GM58" t="str">
        <f t="shared" si="86"/>
        <v/>
      </c>
      <c r="GN58" t="str">
        <f t="shared" si="87"/>
        <v/>
      </c>
      <c r="GO58" t="str">
        <f t="shared" si="88"/>
        <v/>
      </c>
      <c r="GP58" t="str">
        <f t="shared" si="89"/>
        <v/>
      </c>
      <c r="GQ58">
        <f t="shared" si="90"/>
        <v>1</v>
      </c>
      <c r="GR58" t="str">
        <f>IF(GQ58=1,"XT"&amp;COUNTIFS(A$3:A58,A58,GQ$3:GQ58,1),"")</f>
        <v>XT5</v>
      </c>
      <c r="GS58" t="str">
        <f t="shared" si="91"/>
        <v>XT5</v>
      </c>
      <c r="GT58" t="str">
        <f t="shared" si="92"/>
        <v>QF5</v>
      </c>
      <c r="GU58" t="str">
        <f t="shared" si="93"/>
        <v/>
      </c>
      <c r="GV58" t="str">
        <f t="shared" si="94"/>
        <v>ok</v>
      </c>
      <c r="GW58" t="str">
        <f>IF(OR(GO58="",GM58=""),"",IF(GO58&gt;IFERROR(VLOOKUP(GN58,Модули_спр,3,FALSE),99),"ЛИШНИЙ КАНАЛ",IF(AND(AH58&lt;&gt;"=",COUNTIFS(Линии[_модуль гр.],GM58,Линии[Канал (итог)],GO58,Линии[Канал],"&lt;&gt;=",Линии[Щит],A58)&gt;1),"ДУБЛЬ КАНАЛА","")))</f>
        <v/>
      </c>
      <c r="GX58" s="6" t="str">
        <f t="shared" si="95"/>
        <v/>
      </c>
      <c r="GY58">
        <f t="shared" si="96"/>
        <v>10</v>
      </c>
      <c r="GZ58" t="str">
        <f t="shared" si="97"/>
        <v/>
      </c>
      <c r="HA58" t="str">
        <f>IF(AND(B58="",GT58=""),"",_xlfn.TEXTJOIN("; ",TRUE,IF(AND(B58&lt;&gt;"",FE58=""),"нет фазы",""),IF(AND(B58&lt;&gt;"",N(FY58)=0,EQ58&lt;&gt;"Нет"),"нет мощности",""),IF(AND(GS58&lt;&gt;"",COUNTIFS(Линии[Щит],A58,Линии[Клемма (итог)],GS58)&gt;1),"дубль клеммы "&amp;GS58,""),IF(AND(GV58&lt;&gt;"",GV58&lt;&gt;"ok"),GV58,""),IF(GW58&lt;&gt;"",GW58,""),IF(AND(N(BV58)&gt;=4,N(BR58)=1),BV58&amp;" жил на 1 фазе",""),IF(AND(AX58="R",CA58=1,OR(N(CK58)=0,N(CK58)&gt;30)),"розетка без дифзащиты до 30 мА",""),IFERROR(IF(AND(ISNUMBER(R58),R58&gt;DV58),"потери "&amp;FIXED(R58,1)&amp;" % &gt; "&amp;DV58&amp;" %",""),""),IFERROR(IF(LEFT(GZ58,4)="мало","Iкз мало — отключение &gt; 0,4 с",""),""),IF(AND(B58&lt;&gt;"",BH58=""),"не на схеме",""),IF(AND(CA58=0,B58&lt;&gt;"",FE58&lt;&gt;"",IF(AW58=1,"",FF57)&lt;&gt;"",FE58&lt;&gt;IF(AW58=1,"",FF57)),"фаза не как у автомата группы ("&amp;IF(AW58=1,"",FF57)&amp;")","")))</f>
        <v/>
      </c>
      <c r="HB58" s="6">
        <f>IF(OR(CA58=0,DA58=""),"",_xlfn.LET(_xlpm.t,IFERROR(_xlfn.XLOOKUP(DA58,Каталог!$U$4:$U$500,Каталог!$G$4:$G$500),""),_xlpm.k,SEARCH("кА",_xlpm.t),IFERROR(--TRIM(RIGHT(SUBSTITUTE(MID(_xlpm.t,MAX(1,_xlpm.k-4),_xlpm.k-MAX(1,_xlpm.k-4))," ",REPT(" ",9)),5)),"")))</f>
        <v>6</v>
      </c>
      <c r="HC58" t="str">
        <f>IF(OR(HB58="",CA58=0),"",IF(_xlfn.XLOOKUP(A58,Щиты[Щит],Щиты[Iкз max на шинах, кА],"")="","",IF(HB58&lt;_xlfn.XLOOKUP(A58,Щиты[Щит],Щиты[Iкз max на шинах, кА]),"Icu "&amp;HB58&amp;" кА &lt; Iкз max","ok")))</f>
        <v/>
      </c>
      <c r="HD58" t="str">
        <f t="shared" si="98"/>
        <v/>
      </c>
      <c r="HE58" t="str">
        <f t="shared" si="99"/>
        <v>QF5|XT5</v>
      </c>
      <c r="HF58" t="str">
        <f t="shared" si="100"/>
        <v>QF5|XT5|кабель ВВГнг(А)-LS (3х1,5) → Вытяжная установка Подвальный этаж Пом №006T</v>
      </c>
      <c r="HG58" t="str" cm="1">
        <f t="array" ref="HG58">IF(HF58="","",_xlfn.LET(_xlpm.nd,_xlfn.TEXTSPLIT(HF58,"|"),IF(COLUMNS(_xlpm.nd)&gt;1,A58&amp;"¦"&amp;INDEX(_xlpm.nd,1)&amp;"¦"&amp;INDEX(_xlpm.nd,2),"")))</f>
        <v>ЩОВ-001¦QF5¦XT5</v>
      </c>
      <c r="HH58" t="str">
        <f t="shared" si="101"/>
        <v>В.13¦Вытяжная установка Подвальный этаж Пом №006T</v>
      </c>
      <c r="HI58" t="str" cm="1">
        <f t="array" ref="HI58">IF(HF58="","",_xlfn.LET(_xlpm.nd,_xlfn.TEXTSPLIT(HF58,"|"),IF(COLUMNS(_xlpm.nd)&gt;2,A58&amp;"¦"&amp;INDEX(_xlpm.nd,2)&amp;"¦"&amp;INDEX(_xlpm.nd,3),"")))</f>
        <v>ЩОВ-001¦XT5¦кабель ВВГнг(А)-LS (3х1,5) → Вытяжная установка Подвальный этаж Пом №006T</v>
      </c>
      <c r="HJ58" t="str">
        <f t="shared" si="102"/>
        <v>В.13¦Вытяжная установка Подвальный этаж Пом №006T</v>
      </c>
      <c r="HK58" t="str" cm="1">
        <f t="array" ref="HK58">IF(HF58="","",_xlfn.LET(_xlpm.nd,_xlfn.TEXTSPLIT(HF58,"|"),IF(COLUMNS(_xlpm.nd)&gt;3,A58&amp;"¦"&amp;INDEX(_xlpm.nd,3)&amp;"¦"&amp;INDEX(_xlpm.nd,4),"")))</f>
        <v/>
      </c>
      <c r="HL58" t="str">
        <f t="shared" si="103"/>
        <v/>
      </c>
      <c r="HM58" t="str" cm="1">
        <f t="array" ref="HM58">IF(HF58="","",_xlfn.LET(_xlpm.nd,_xlfn.TEXTSPLIT(HF58,"|"),IF(COLUMNS(_xlpm.nd)&gt;4,A58&amp;"¦"&amp;INDEX(_xlpm.nd,4)&amp;"¦"&amp;INDEX(_xlpm.nd,5),"")))</f>
        <v/>
      </c>
      <c r="HN58" t="str">
        <f t="shared" si="104"/>
        <v/>
      </c>
      <c r="HO58" t="str" cm="1">
        <f t="array" ref="HO58">IF(HF58="","",_xlfn.LET(_xlpm.nd,_xlfn.TEXTSPLIT(HF58,"|"),IF(COLUMNS(_xlpm.nd)&gt;5,A58&amp;"¦"&amp;INDEX(_xlpm.nd,5)&amp;"¦"&amp;INDEX(_xlpm.nd,6),"")))</f>
        <v/>
      </c>
      <c r="HP58" t="str">
        <f t="shared" si="105"/>
        <v/>
      </c>
      <c r="HQ58" t="str" cm="1">
        <f t="array" ref="HQ58">IF(HF58="","",_xlfn.LET(_xlpm.nd,_xlfn.TEXTSPLIT(HF58,"|"),IF(COLUMNS(_xlpm.nd)&gt;6,A58&amp;"¦"&amp;INDEX(_xlpm.nd,6)&amp;"¦"&amp;INDEX(_xlpm.nd,7),"")))</f>
        <v/>
      </c>
      <c r="HR58" t="str">
        <f t="shared" si="106"/>
        <v/>
      </c>
      <c r="HS58" t="str">
        <f t="shared" si="107"/>
        <v/>
      </c>
      <c r="HT58" t="str">
        <f t="shared" si="108"/>
        <v>QF5 → XT5</v>
      </c>
      <c r="HU58">
        <f t="shared" si="109"/>
        <v>0</v>
      </c>
      <c r="HV58">
        <f t="shared" si="110"/>
        <v>0</v>
      </c>
      <c r="HW58" t="str">
        <f t="shared" si="111"/>
        <v/>
      </c>
      <c r="HX58" t="str">
        <f t="shared" si="112"/>
        <v/>
      </c>
      <c r="HY58" t="str">
        <f t="shared" si="113"/>
        <v/>
      </c>
      <c r="HZ58" t="str">
        <f t="shared" si="114"/>
        <v/>
      </c>
      <c r="IA58" t="str">
        <f>IF(B58="","",IFERROR(VLOOKUP(B58,УГО_спр,2,FALSE),IFERROR(VLOOKUP(AX58,УГО_спр,2,FALSE),IFERROR(VLOOKUP(LEFT(AX58,2),УГО_спр,2,FALSE),""))))</f>
        <v>Привод (двигатель)</v>
      </c>
      <c r="IB58" t="str">
        <f>IF(B58="","",IF(OR(IA58="",IA58=0),"BOX",IFERROR(IF(VLOOKUP(IA58,УГО_блоки,3,FALSE)&amp;""&lt;&gt;"",VLOOKUP(IA58,УГО_блоки,3,FALSE),VLOOKUP(IA58,УГО_блоки,2,FALSE)),IA58)))</f>
        <v>MOTOR</v>
      </c>
      <c r="IC58">
        <f t="shared" si="115"/>
        <v>1</v>
      </c>
      <c r="ID58" t="str">
        <f>IF(DA58="","",IF(COUNTIF(DA$3:DA58,DA58)=1,MAX(ID$2:ID57)+1,""))</f>
        <v/>
      </c>
      <c r="IE58" t="str">
        <f>IF(CO58="","",IF(COUNTIF(CO$3:CO58,CO58)+COUNTIF(CP$2:CP57,CO58)+COUNTIF(CQ$2:CQ57,CO58)=1,MAX(IE$2:IG57)+1,""))</f>
        <v/>
      </c>
      <c r="IF58" t="str">
        <f>IF(CP58="","",IF(COUNTIF(CO$3:CO58,CP58)+COUNTIF(CP$3:CP58,CP58)+COUNTIF(CQ$2:CQ57,CP58)=1,MAX(IE$2:IG57,IE58)+1,""))</f>
        <v/>
      </c>
      <c r="IG58" t="str">
        <f>IF(CQ58="","",IF(COUNTIF(CO$3:CO58,CQ58)+COUNTIF(CP$3:CP58,CQ58)+COUNTIF(CQ$3:CQ58,CQ58)=1,MAX(IE$2:IG57,IE58,IF58)+1,""))</f>
        <v/>
      </c>
      <c r="IH58" t="str">
        <f t="shared" si="116"/>
        <v>3х1,5</v>
      </c>
      <c r="II58" t="str">
        <f>IF(IH58="","",IF(COUNTIF(IH$3:IH58,IH58)=1,MAX(II$2:II57)+1,""))</f>
        <v/>
      </c>
      <c r="IJ58" t="str">
        <f>IF(GL58="","",COUNTIF(GL$3:GL58,"?*"))</f>
        <v/>
      </c>
      <c r="IK58" t="str">
        <f>IF(OR(GL58="",GN58=""),"",IF(COUNTIFS(GL$3:GL58,"?*",GN$3:GN58,GN58)=1,MAX(IK$2:IK57)+1,""))</f>
        <v/>
      </c>
      <c r="IL58">
        <f t="shared" si="117"/>
        <v>0</v>
      </c>
      <c r="IM58">
        <f>IF(B58="","",COUNTIF(B$3:B58,"?*"))</f>
        <v>56</v>
      </c>
      <c r="IN58">
        <f>IF(GQ58&lt;&gt;1,0,_xlfn.LET(_xlpm.k,MAX(IFERROR(--VLOOKUP(B58,УГО_спр,5,FALSE),0),IFERROR(--VLOOKUP(AX58,УГО_спр,5,FALSE),0),IFERROR(--VLOOKUP(LEFT(AX58,2),УГО_спр,5,FALSE),0)),IF(_xlpm.k&gt;0,_xlpm.k,IF(IFERROR(--LEFT(SUBSTITUTE(IH58,"x","х"),FIND("х",SUBSTITUTE(IH58,"x","х"))-1),3)&gt;3,Каталог!$S$9,1))))</f>
        <v>1</v>
      </c>
      <c r="IO58">
        <f t="shared" si="118"/>
        <v>0</v>
      </c>
      <c r="IP58" t="str">
        <f t="shared" si="119"/>
        <v>авто</v>
      </c>
      <c r="IQ58" t="str">
        <f t="shared" si="120"/>
        <v/>
      </c>
      <c r="IR58">
        <f t="shared" si="121"/>
        <v>0</v>
      </c>
      <c r="IS58">
        <f t="shared" si="122"/>
        <v>1</v>
      </c>
    </row>
    <row r="59" spans="1:253" x14ac:dyDescent="0.3">
      <c r="A59" t="s">
        <v>749</v>
      </c>
      <c r="B59" t="s">
        <v>1331</v>
      </c>
      <c r="C59" t="s">
        <v>1615</v>
      </c>
      <c r="D59">
        <v>1</v>
      </c>
      <c r="E59">
        <v>0.1</v>
      </c>
      <c r="G59">
        <v>10</v>
      </c>
      <c r="H59" t="str">
        <f>Линии[[#This Row],[_авто утечка]]</f>
        <v/>
      </c>
      <c r="I59" t="str">
        <f>Линии[[#This Row],[_авто управление]]</f>
        <v/>
      </c>
      <c r="J59" t="str">
        <f>Линии[[#This Row],[_авто аппараты]]</f>
        <v/>
      </c>
      <c r="K59">
        <v>1.5</v>
      </c>
      <c r="L59">
        <v>16</v>
      </c>
      <c r="M59" t="str">
        <f>Линии[[#This Row],[_авто фаза]]</f>
        <v>L1</v>
      </c>
      <c r="N59" t="s">
        <v>486</v>
      </c>
      <c r="O59" t="str">
        <f t="shared" si="0"/>
        <v/>
      </c>
      <c r="P59" s="6" cm="1">
        <f t="array" ref="P59">IF(B59="","",IF(BC59&lt;&gt;"",IFERROR(_xlfn.XLOOKUP(BC59,Щиты[Щит],Щиты[Iр, А]),""),IF(BK59=1,IFERROR(_xlfn.XLOOKUP(A59,Щиты[Щит],Щиты[Iр, А]),""),IFERROR(_xlfn.IFS(BR59=1,BN59/((Uн_лин/SQRT(3))*BY59),BR59=3,BN59/(SQRT(3)*Uн_лин*BY59)),""))))</f>
        <v>0.5412658773652741</v>
      </c>
      <c r="Q59" s="7">
        <f>IF(B59="","",IFERROR(IF(VLOOKUP(AX59,Потребители_обозначение,4,FALSE)=1,VLOOKUP(AX59,Потребители_обозначение,3,FALSE)*(D59*2-1)+DS59+VLOOKUP(AZ59,Этаж_обозначение,3,FALSE)+VLOOKUP(AZ59,Этаж_обозначение,4,FALSE),VLOOKUP(AX59,Потребители_обозначение,3,FALSE)*(D59*2-1)+DS59),DS59))</f>
        <v>20</v>
      </c>
      <c r="R59" s="6">
        <f t="shared" si="1"/>
        <v>0.76</v>
      </c>
      <c r="S59" t="str">
        <f t="shared" si="2"/>
        <v>ВВГнг(А)-LS (3х1,5)</v>
      </c>
      <c r="T59" t="str">
        <f>IF(BH59="","",IF(BI59="вводной узел","узел ","")&amp;"л."&amp;(INT((BH59-1)/Столбцов_на_лист)+1)&amp;" / "&amp;(MOD(BH59-1,Столбцов_на_лист)+1))</f>
        <v>л.2 / 8</v>
      </c>
      <c r="V59">
        <v>1</v>
      </c>
      <c r="W59">
        <v>230</v>
      </c>
      <c r="X59" t="s">
        <v>600</v>
      </c>
      <c r="Y59">
        <v>0.5</v>
      </c>
      <c r="AC59" t="s">
        <v>815</v>
      </c>
      <c r="AE59" t="s">
        <v>582</v>
      </c>
      <c r="AI59">
        <v>25</v>
      </c>
      <c r="AJ59" t="s">
        <v>11</v>
      </c>
      <c r="AK59">
        <v>3</v>
      </c>
      <c r="AN59">
        <v>20</v>
      </c>
      <c r="AP59">
        <v>1</v>
      </c>
      <c r="AW59" cm="1">
        <f t="array" ref="AW59">ROW()-ROW(Линии[#Headers])</f>
        <v>57</v>
      </c>
      <c r="AX59" s="6" t="str">
        <f t="shared" si="3"/>
        <v>В</v>
      </c>
      <c r="AY59" t="str">
        <f t="shared" si="4"/>
        <v>17</v>
      </c>
      <c r="AZ59" t="str">
        <f t="shared" si="5"/>
        <v>17</v>
      </c>
      <c r="BA59" t="str">
        <f t="shared" si="6"/>
        <v/>
      </c>
      <c r="BB59" t="str">
        <f t="shared" si="7"/>
        <v/>
      </c>
      <c r="BC59" t="str">
        <f>IF(U59&lt;&gt;"",U59,IF(AND(B59&lt;&gt;"",B59&lt;&gt;A59,ISNUMBER(_xlfn.XMATCH(B59,Щиты[Щит]))),B59,""))</f>
        <v/>
      </c>
      <c r="BD59" t="str" cm="1">
        <f t="array" ref="BD59">IF(B59="","",IF(BC59&lt;&gt;"","Щит "&amp;BC59,_xlfn.LET(_xlpm.nm,IFERROR(_xlfn.XLOOKUP(AX59,Коды_код,Коды_имя)&amp;"",""),_xlpm.md,IFERROR(N(_xlfn.XLOOKUP(AX59,Коды_код,Коды_режим)),1),_xlpm.ex,IF(Имя_режим="по экспликации",IFERROR(_xlfn.XLOOKUP(AZ59&amp;"|"&amp;BB59,Экспликация[Этаж]&amp;"|"&amp;Экспликация[Помещение],Экспликация[Название])&amp;"",""),""),_xlpm.rm,IF(BB59="","",IF(_xlpm.ex&lt;&gt;"",". "&amp;_xlpm.ex&amp;IF(Имя_пом="нет"," ("&amp;BB59&amp;")"," (пом. "&amp;BB59&amp;")"),IF(Имя_пом="нет"," ",", пом. ")&amp;BB59)),IF(_xlpm.nm="","",IF(_xlpm.md=2,_xlpm.nm&amp;" шлейф "&amp;AZ59,_xlpm.nm&amp;_xlpm.rm)))))</f>
        <v>Вытяжная установка шлейф 17</v>
      </c>
      <c r="BE59" t="str">
        <f t="shared" si="8"/>
        <v>Вытяжная установка Подвальный этаж Пом №006T</v>
      </c>
      <c r="BF59">
        <f>IFERROR(_xlfn.XMATCH(A59,Щиты[Щит]),0)</f>
        <v>4</v>
      </c>
      <c r="BG59">
        <f>_xlfn.LET(_xlpm.k,IFERROR(_xlfn.XLOOKUP(A59,Щиты[Щит],Щиты[Листов под вводной узел]),""),IF(_xlpm.k="",1,N(_xlpm.k))*Столбцов_на_лист)</f>
        <v>17</v>
      </c>
      <c r="BH59">
        <f t="shared" si="9"/>
        <v>25</v>
      </c>
      <c r="BI59" t="str">
        <f t="shared" si="10"/>
        <v>линии</v>
      </c>
      <c r="BJ59" s="6">
        <f>IFERROR(N(_xlfn.XLOOKUP(AX59,Коды_код,Коды_квт)),0)</f>
        <v>0</v>
      </c>
      <c r="BK59">
        <f t="shared" si="11"/>
        <v>0</v>
      </c>
      <c r="BL59" t="str">
        <f>IF(B59="","",IF(BC59&lt;&gt;"",IFERROR(_xlfn.XLOOKUP(BC59,Щиты[Щит],Щиты[Руст, кВт]),0),IF(BK59=1,IFERROR(_xlfn.XLOOKUP(A59,Щиты[Щит],Щиты[Руст, кВт]),0),IF(BJ59&gt;0,ROUND(BJ59*MAX(1,N(D59)),3),""))))</f>
        <v/>
      </c>
      <c r="BM59">
        <f t="shared" si="12"/>
        <v>0.1</v>
      </c>
      <c r="BN59" s="6">
        <f>IF(B59="","",IF(BC59&lt;&gt;"",IFERROR(_xlfn.XLOOKUP(BC59,Щиты[Щит],Щиты[Руст, кВт]),0),N(BM59)))</f>
        <v>0.1</v>
      </c>
      <c r="BO59" t="str">
        <f>IF(B59="","",IFERROR(IF(VLOOKUP(AX59,Потребители_обозначение,8,FALSE)=0,"",VLOOKUP(AX59,Потребители_обозначение,8,FALSE)),""))</f>
        <v/>
      </c>
      <c r="BP59">
        <f t="shared" si="13"/>
        <v>230</v>
      </c>
      <c r="BQ59">
        <f>IF(B59="","",IF(BC59&lt;&gt;"",3,IFERROR(IF(N(VLOOKUP(AX59,Потребители_обозначение,9,FALSE))=0,1,VLOOKUP(AX59,Потребители_обозначение,9,FALSE)),1)))</f>
        <v>1</v>
      </c>
      <c r="BR59">
        <f t="shared" si="14"/>
        <v>1</v>
      </c>
      <c r="BS59" t="str">
        <f>IF(B59="","",_xlfn.LET(_xlpm.bc,IFERROR(IF(VLOOKUP(AX59,Потребители_обозначение,6,FALSE)=0,"",VLOOKUP(AX59,Потребители_обозначение,6,FALSE)&amp;""),""),IF(AND(FK59="да",OR(_xlpm.bc="",_xlpm.bc="мс")),Марка_пож,IF(AND(_xlpm.bc="",BC59&lt;&gt;""),"мс",_xlpm.bc))))</f>
        <v/>
      </c>
      <c r="BT59" t="str">
        <f t="shared" si="15"/>
        <v>мс</v>
      </c>
      <c r="BU59">
        <f>IF(B59="","",_xlfn.LET(_xlpm.cc,IFERROR(N(VLOOKUP(AX59,Потребители_обозначение,7,FALSE)),0),IF(_xlpm.cc&gt;0,_xlpm.cc,IF(BT59="","",IF(N(BR59)=3,5,3)))))</f>
        <v>3</v>
      </c>
      <c r="BV59">
        <f t="shared" si="16"/>
        <v>3</v>
      </c>
      <c r="BW59">
        <f>IFERROR(N(VLOOKUP(AX59,Потребители_обозначение,10,FALSE)),0)</f>
        <v>0</v>
      </c>
      <c r="BX59">
        <f>IFERROR(VLOOKUP(AX59,Потребители_обозначение,5,FALSE),0)</f>
        <v>1</v>
      </c>
      <c r="BY59" s="6" cm="1">
        <f t="array" ref="BY59">IF(B59="","",IF(BC59&lt;&gt;"",IFERROR(_xlfn.XLOOKUP(BC59,Щиты[Щит],Щиты[cos φ]),0.95),IF(BK59=1,IFERROR(_xlfn.XLOOKUP(A59,Щиты[Щит],Щиты[cos φ]),0.95),IF(ISNUMBER(Z59),Z59,IFERROR(IF(BX59=2,_xlfn.IFS(BR59=3,VLOOKUP(BN59,Справочная_двигатели,8,FALSE),BR59=1,VLOOKUP(BN59,Справочная_двигатели,10,TRUE)),IF(AND(Методика="нормы 2026",EQ59="Сил"),0.8,0.95)),0.95)))))</f>
        <v>0.8</v>
      </c>
      <c r="BZ59">
        <f t="shared" si="17"/>
        <v>0</v>
      </c>
      <c r="CA59">
        <f t="shared" si="18"/>
        <v>1</v>
      </c>
      <c r="CB59">
        <f t="shared" si="19"/>
        <v>0</v>
      </c>
      <c r="CC59">
        <f t="shared" si="20"/>
        <v>0</v>
      </c>
      <c r="CD59">
        <f t="shared" si="21"/>
        <v>0</v>
      </c>
      <c r="CE59">
        <f t="shared" si="22"/>
        <v>0</v>
      </c>
      <c r="CF59">
        <f t="shared" si="23"/>
        <v>0</v>
      </c>
      <c r="CG59">
        <f>IF(AX59="",0,_xlfn.LET(_xlpm.v,IFERROR(VLOOKUP(B59,УГО_спр,3,FALSE),IFERROR(VLOOKUP(AX59,УГО_спр,3,FALSE),IFERROR(VLOOKUP(LEFT(AX59,2),УГО_спр,3,FALSE),""))),IF(_xlpm.v="да",30,IF(ISNUMBER(_xlpm.v),_xlpm.v,0))))</f>
        <v>0</v>
      </c>
      <c r="CH59" t="str">
        <f t="shared" si="24"/>
        <v/>
      </c>
      <c r="CI59" t="str">
        <f>_xlfn.LET(_xlpm.k,IFERROR(_xlfn.XLOOKUP(AX59,Коды_код,Коды_утечка)&amp;"",""),IF(_xlpm.k="","дифавтомат",_xlpm.k))</f>
        <v>дифавтомат</v>
      </c>
      <c r="CJ59">
        <f t="shared" si="25"/>
        <v>0</v>
      </c>
      <c r="CK59">
        <f t="shared" si="26"/>
        <v>0</v>
      </c>
      <c r="CL59">
        <f>IF(B59="",0,IFERROR(--VLOOKUP(B59,УГО_спр,4,FALSE),IFERROR(--VLOOKUP(AX59,УГО_спр,4,FALSE),IFERROR(--VLOOKUP(LEFT(AX59,2),УГО_спр,4,FALSE),0))))</f>
        <v>0</v>
      </c>
      <c r="CM59" t="str">
        <f>IF(B59="","",IFERROR(_xlfn.XLOOKUP(AX59,Коды_код,Коды_апп)&amp;"",""))</f>
        <v/>
      </c>
      <c r="CN59" t="str">
        <f t="shared" si="27"/>
        <v/>
      </c>
      <c r="CO59" t="str" cm="1">
        <f t="array" ref="CO59">IF(TRIM(CN59&amp;"")="","",IFERROR(TRIM(INDEX(_xlfn.TEXTSPLIT(CN59&amp;";;;",";"),1)),""))</f>
        <v/>
      </c>
      <c r="CP59" t="str" cm="1">
        <f t="array" ref="CP59">IF(TRIM(CN59&amp;"")="","",IFERROR(TRIM(INDEX(_xlfn.TEXTSPLIT(CN59&amp;";;;",";"),2)),""))</f>
        <v/>
      </c>
      <c r="CQ59" t="str" cm="1">
        <f t="array" ref="CQ59">IF(TRIM(CN59&amp;"")="","",IFERROR(TRIM(INDEX(_xlfn.TEXTSPLIT(CN59&amp;";;;",";"),3)),""))</f>
        <v/>
      </c>
      <c r="CR59">
        <f t="shared" si="28"/>
        <v>0</v>
      </c>
      <c r="CS59" t="str">
        <f>IF(B59="","",_xlfn.LET(_xlpm.t,LOWER(AV59&amp;""),IF(ISNUMBER(SEARCH("dim",_xlpm.t)),"DIM",IF(ISNUMBER(SEARCH("dali",_xlpm.t)),"DALI",IF(OR(ISNUMBER(SEARCH("relay",_xlpm.t)),ISNUMBER(SEARCH("реле",_xlpm.t))),"Relay",IF(ISNUMBER(SEARCH("кнопк",_xlpm.t)),"",IFERROR(_xlfn.XLOOKUP(AX59,Коды_код,Коды_упр)&amp;"","")))))))</f>
        <v/>
      </c>
      <c r="CT59" t="str">
        <f t="shared" si="29"/>
        <v/>
      </c>
      <c r="CU59">
        <f>IF(B59="","",_xlfn.LET(_xlpm.ig,N(P59)+IF(AF59="вручную",0,N(CB59)),_xlpm.n0,IFERROR(VLOOKUP(_xlpm.ig,Автомат_номиналы,2,TRUE),0),_xlpm.mn,MAX(CL59,IF(AF59="вручную",0,N(CE59))),MAX(_xlpm.n0,_xlpm.mn,IF(CR59=1,Мин_автомат_БП,0))))</f>
        <v>6</v>
      </c>
      <c r="CV59">
        <f t="shared" si="30"/>
        <v>1</v>
      </c>
      <c r="CW59" t="str">
        <f t="shared" si="31"/>
        <v>1P</v>
      </c>
      <c r="CX59" t="str">
        <f>_xlfn.LET(_xlpm.cc,UPPER(TRIM(IFERROR(_xlfn.XLOOKUP(AX59,Коды_код,Коды_хар)&amp;"",""))),IF(OR(_xlpm.cc="B",_xlpm.cc="В"),"B",IF(_xlpm.cc="D","D","С")))</f>
        <v>С</v>
      </c>
      <c r="CY59" t="str">
        <f t="shared" si="32"/>
        <v>1P С6А</v>
      </c>
      <c r="CZ59">
        <f t="shared" si="33"/>
        <v>10</v>
      </c>
      <c r="DA59" t="str">
        <f t="shared" si="34"/>
        <v>1P С10А</v>
      </c>
      <c r="DB59" cm="1">
        <f t="array" ref="DB59">IF(DA59="","",_xlfn.LET(_xlpm.t,SUBSTITUTE(SUBSTITUTE(SUBSTITUTE(UPPER(DA59),"С","C"),"А","A"),"В","B"),_xlpm.tk,_xlfn.TEXTSPLIT(_xlpm.t,"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9" t="str">
        <f t="shared" si="35"/>
        <v>ok</v>
      </c>
      <c r="DD59">
        <f t="shared" si="36"/>
        <v>10</v>
      </c>
      <c r="DE59" t="str">
        <f t="shared" si="37"/>
        <v>1P С10А</v>
      </c>
      <c r="DF59">
        <f t="shared" si="38"/>
        <v>0</v>
      </c>
      <c r="DG59">
        <f t="shared" si="39"/>
        <v>0</v>
      </c>
      <c r="DH59">
        <f t="shared" si="40"/>
        <v>0</v>
      </c>
      <c r="DI59">
        <f t="shared" si="41"/>
        <v>0.5412658773652741</v>
      </c>
      <c r="DJ59">
        <f t="shared" si="42"/>
        <v>1</v>
      </c>
      <c r="DK59">
        <f>IF(ISNUMBER(AL59),AL59,К_прокл)</f>
        <v>1</v>
      </c>
      <c r="DL59">
        <f t="shared" si="43"/>
        <v>2</v>
      </c>
      <c r="DM59">
        <f>IFERROR(N(VLOOKUP(BT59,Кабель_обозначение,3,FALSE)),1)</f>
        <v>1</v>
      </c>
      <c r="DN59">
        <f>IFERROR(N(_xlfn.XLOOKUP(A59,Щиты[Щит],Щиты[ΔU до шин, %])),0)</f>
        <v>0.64</v>
      </c>
      <c r="DO59" t="str">
        <f>IFERROR(_xlfn.XLOOKUP(A59,Щиты[Щит],Щиты[Zпетли на шинах, Ом]),"")</f>
        <v/>
      </c>
      <c r="DP59">
        <f>IFERROR(N(_xlfn.XLOOKUP(A59,Щиты[Щит],Щиты[ΔU до шин (подбор), %])),0)</f>
        <v>0.75</v>
      </c>
      <c r="DQ59" t="str">
        <f>IFERROR(_xlfn.XLOOKUP(A59,Щиты[Щит],Щиты[Zпетли на шинах (подбор), Ом]),"")</f>
        <v/>
      </c>
      <c r="DR59" t="str">
        <f t="shared" si="44"/>
        <v/>
      </c>
      <c r="DS59">
        <f t="shared" si="45"/>
        <v>16</v>
      </c>
      <c r="DT59">
        <f t="shared" si="46"/>
        <v>2</v>
      </c>
      <c r="DU59">
        <f t="shared" si="47"/>
        <v>0.6</v>
      </c>
      <c r="DV59" s="6">
        <f>IF(B59="","",IF(IFERROR(VLOOKUP(AX59,УГО_спр,2,FALSE),"")="Светильник",3,4)+IF(Методика="нормы 2026",MIN(0.5,MAX(0,N(Q59)-100)*0.005),0))</f>
        <v>4</v>
      </c>
      <c r="DW59" cm="1">
        <f t="array" ref="DW59">IF(OR(B59="",BT59="",DM59&lt;&gt;1),"",_xlfn.LET(_xlpm.sz,Iдоп_S,_xlpm.t_,CHOOSE(DL59,Iдоп_1ж,Iдоп_2ж,Iдоп_3ж)*DJ59*DK59,_xlpm.inn,N(DD59),_xlpm.smin,MAX(1.5,BW59),_xlpm.L_,N(Q59)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59)*(_xlpm.rho*_xlpm.L_/_xlpm.sz*N(BY59)+_xlpm.xx*_xlpm.L_*N(DU59)/1000)*N(P59)/((Uн_лин/SQRT(3))*1000)*100,999),_xlpm.kz,IF(OR(DG59=1,NOT(ISNUMBER(DQ59)),_xlpm.L_=0,_xlpm.inn=0),1,IFERROR(--(c_min*(Uн_лин*1000/SQRT(3))/(DQ59+2*ρкз_Cu*_xlpm.L_/_xlpm.sz)&gt;=GY59*_xlpm.inn),0)),_xlpm.ok,IFERROR((_xlpm.sz&gt;=_xlpm.smin)*(_xlpm.t_&gt;=_xlpm.inn)*IF(_xlpm.L_&gt;0,(_xlpm.du_+DP59&lt;=DV59+0.00001),1)*_xlpm.kz,0),_xlpm.r_,_xlfn._xlws.FILTER(_xlpm.sz,_xlpm.ok,"не подобрано"),INDEX(_xlpm.r_,1)))</f>
        <v>1.5</v>
      </c>
      <c r="DX59">
        <f t="shared" si="48"/>
        <v>1.5</v>
      </c>
      <c r="DY59" cm="1">
        <f t="array" ref="DY59">IF(OR(B59="",BT59="",DM59&lt;&gt;1),"",_xlfn.LET(_xlpm.sz,Iдоп_S,_xlpm.t_,CHOOSE(DL59,Iдоп_1ж,Iдоп_2ж,Iдоп_3ж)*DJ59*DK59,_xlpm.ok,IFERROR((_xlpm.sz&gt;=MAX(1.5,BW59))*(_xlpm.t_&gt;=N(DD59)),0),_xlpm.r_,_xlfn._xlws.FILTER(_xlpm.sz,_xlpm.ok,""),INDEX(_xlpm.r_,1)))</f>
        <v>1.5</v>
      </c>
      <c r="DZ59" s="6" cm="1">
        <f t="array" ref="DZ59">IFERROR(ROUNDUP(N(DT59)*(_xlfn.XLOOKUP(DY59,INDEX(Кабель_сопротивление,0,1),INDEX(Кабель_сопротивление,0,3))*N(Q59)/DY59*N(BY59)+_xlfn.XLOOKUP(DY59,INDEX(Кабель_сопротивление,0,1),INDEX(Кабель_сопротивление,0,2))*N(Q59)*N(DU59)/1000)*N(P59)/((Uн_лин/SQRT(3))*1000)*100,2),"")</f>
        <v>0.12</v>
      </c>
      <c r="EA59">
        <f>IFERROR(2*ρкз_Cu*N(Q59)/DY59,"")</f>
        <v>0.70133333333333336</v>
      </c>
      <c r="EB59">
        <f>IFERROR(VLOOKUP(DX59,Кабель_сопротивление,3,FALSE),"")</f>
        <v>2.2499999999999999E-2</v>
      </c>
      <c r="EC59">
        <f>IFERROR(VLOOKUP(DX59,Кабель_сопротивление,2,FALSE),"")</f>
        <v>0.11</v>
      </c>
      <c r="ED59">
        <f t="shared" si="49"/>
        <v>20</v>
      </c>
      <c r="EE59">
        <f t="shared" si="50"/>
        <v>0</v>
      </c>
      <c r="EF59">
        <f t="shared" si="51"/>
        <v>0.26123656305157589</v>
      </c>
      <c r="EG59" s="6">
        <f>IFERROR(ROUNDUP(EF59/((Uн_лин/SQRT(3))*1000)*100,2),"")</f>
        <v>0.12</v>
      </c>
      <c r="EH59" t="str">
        <f>IFERROR(VLOOKUP(BT59,Кабель_обозначение,2,FALSE),"")</f>
        <v>ВВГнг(А)-LS</v>
      </c>
      <c r="EI59" t="str">
        <f t="shared" si="52"/>
        <v>ВВГнг(А)-LS (3х1,5)</v>
      </c>
      <c r="EJ59" t="str">
        <f t="shared" si="53"/>
        <v>ВВГнг(А)-LS (3х1,5)
L=20-0,12%</v>
      </c>
      <c r="EK59">
        <f>IFERROR(2*ρкз_Cu*Q59/DX59,"")</f>
        <v>0.70133333333333336</v>
      </c>
      <c r="EL59">
        <f t="shared" si="54"/>
        <v>0.23333333333333336</v>
      </c>
      <c r="EM59" s="6" t="str">
        <f>IFERROR(IF(OR(B59="",NOT(ISNUMBER(DX59)),N(Q59)=0),"",_xlfn.XLOOKUP(A59,Щиты[Щит],Щиты[Zпетли на шинах, Ом])+EK59),"")</f>
        <v/>
      </c>
      <c r="EN59" s="6" t="str">
        <f>IF(ISNUMBER(EM59),c_min*(Uн_лин*1000/SQRT(3))/EM59,"")</f>
        <v/>
      </c>
      <c r="EO59" s="6" t="str">
        <f>IFERROR(IF(OR(B59="",NOT(ISNUMBER(DX59))),"",1.05*(Uн_лин*1000/SQRT(3))/(_xlfn.XLOOKUP(A59,Щиты[Щит],Щиты[Zmax на шинах, Ом])+EL59)/1000),"")</f>
        <v/>
      </c>
      <c r="EP59" s="6" t="str">
        <f>IF(B59="","",IF(ISNUMBER(Y59),"Сил",IF(IFERROR(_xlfn.XLOOKUP(AX59,Коды_код,Коды_группа)&amp;"","")="","Быт",_xlfn.XLOOKUP(AX59,Коды_код,Коды_группа)&amp;"")))</f>
        <v>Сил</v>
      </c>
      <c r="EQ59" s="6" t="str">
        <f t="shared" si="55"/>
        <v>Сил</v>
      </c>
      <c r="ER59" s="6">
        <f>IF(EQ59="Щит","щит",IF(EQ59="","",IF(EQ59="Быт",IFERROR(_xlfn.XLOOKUP(A59,Щиты[Щит],Щиты[Кс быт]),1),IF(EQ59="Сил",IF(ISNUMBER(Y59),Y59,IF(Методика="нормы 2026",IFERROR(_xlfn.XLOOKUP(A59,Щиты[Щит],Щиты[Кс силовых (табл. 7.5)]),1),1)),IF(OR(EQ59="Пост",EQ59="Отоп"),1,IF(EQ59="ВНГ",0.7,0))))))</f>
        <v>0.5</v>
      </c>
      <c r="ES59">
        <f t="shared" si="56"/>
        <v>1</v>
      </c>
      <c r="ET59">
        <f t="shared" si="57"/>
        <v>0.1</v>
      </c>
      <c r="EU59">
        <f t="shared" si="58"/>
        <v>0</v>
      </c>
      <c r="EV59">
        <f t="shared" si="59"/>
        <v>0.05</v>
      </c>
      <c r="EW59">
        <f t="shared" si="60"/>
        <v>0</v>
      </c>
      <c r="EX59">
        <f t="shared" si="61"/>
        <v>0</v>
      </c>
      <c r="EY59">
        <f t="shared" si="62"/>
        <v>0</v>
      </c>
      <c r="EZ59">
        <f t="shared" si="63"/>
        <v>0.1</v>
      </c>
      <c r="FA59">
        <f t="shared" si="64"/>
        <v>8.0000000000000016E-2</v>
      </c>
      <c r="FB59">
        <f t="shared" si="65"/>
        <v>0.1</v>
      </c>
      <c r="FC59" t="str">
        <f t="shared" si="66"/>
        <v/>
      </c>
      <c r="FD59" t="str">
        <f>IF(B59="","",IF(CA59=0,IF(AW59=1,"",FF58),IF(OR(N(CV59)&gt;=3,N(BR59)&gt;=3),"L1,L2,L3",IFERROR(_xlfn.TEXTBEFORE(_xlfn.TEXTAFTER(_xlfn.XLOOKUP(A59,Щиты[Щит],Щиты[_фазы авто]),";"&amp;AW59&amp;":"),";"),"L1"))))</f>
        <v>L1</v>
      </c>
      <c r="FE59" t="str">
        <f t="shared" si="67"/>
        <v>L1</v>
      </c>
      <c r="FF59" t="str">
        <f t="shared" si="68"/>
        <v>L1</v>
      </c>
      <c r="FG59" cm="1">
        <f t="array" ref="FG59">IFERROR(IF(BX59=2,_xlfn.IFS(BR59=3,VLOOKUP(BN59,Справочная_двигатели,3,FALSE),BR59=1,VLOOKUP(BN59,Справочная_двигатели,5,TRUE)),0),0)</f>
        <v>0</v>
      </c>
      <c r="FH59">
        <f>IFERROR(IF(BX59=3,VLOOKUP(BN59,Справочная_ЛЭД,2,TRUE),0),0)</f>
        <v>0</v>
      </c>
      <c r="FI59" s="6">
        <f t="shared" si="69"/>
        <v>0</v>
      </c>
      <c r="FJ59" t="str" cm="1">
        <f t="array" ref="FJ59">IF(B59="","",IFERROR(INDEX({"I особая","I","II","III"},MATCH(TRIM(AC59&amp;""),{"I особая","I","II","III"},0)),"III"))</f>
        <v>II</v>
      </c>
      <c r="FK59" t="str">
        <f>IF(B59="","",IF(TRIM(AD59&amp;"")&lt;&gt;"",IF(LOWER(TRIM(AD59&amp;""))="да","да","нет"),IF(IFERROR(_xlfn.XLOOKUP(AX59,Коды_код,Коды_пожарная),"")="да","да","нет")))</f>
        <v>нет</v>
      </c>
      <c r="FL59" t="str">
        <f t="shared" si="70"/>
        <v/>
      </c>
      <c r="FM59" t="str">
        <f t="shared" si="71"/>
        <v>основная</v>
      </c>
      <c r="FN59">
        <f t="shared" si="72"/>
        <v>1</v>
      </c>
      <c r="FO59" t="str" cm="1">
        <f t="array" ref="FO59">IF(B59="","",_xlfn.LET(_xlpm.t,IFERROR(_xlfn.XLOOKUP(1,(Шины[Шина]=FM59)*(((Шины[Щит]=A59)+(Шины[Щит]=""))&gt;0),Шины[Тип]),"")&amp;"",IF(_xlpm.t&lt;&gt;"",_xlpm.t,IF(ISNUMBER(SEARCH("ИБП",FM59)),"ИБП",IF(ISNUMBER(SEARCH("ДГУ",FM59)),"ДГУ","Ввод "&amp;FN59)))))</f>
        <v>Ввод 1</v>
      </c>
      <c r="FP59" t="str">
        <f t="shared" si="73"/>
        <v>Ввод 1</v>
      </c>
      <c r="FQ59" t="str">
        <f>IF(B59="","",IF(OR(FO59="ИБП",FO59="ДГУ"),"I особая",IF(FO59="Одиночная","III",_xlfn.XLOOKUP(A59,Щиты[Щит],Щиты[Категория шины «Ввод»],"III"))))</f>
        <v>II</v>
      </c>
      <c r="FR59">
        <f>IF(B59="",0,IFERROR(MATCH(FJ59,{"III","II","I","I особая"},0),1))</f>
        <v>2</v>
      </c>
      <c r="FS59">
        <f t="shared" si="74"/>
        <v>2</v>
      </c>
      <c r="FT59" t="str">
        <f>IF(B59="","",IF(FR59&gt;IFERROR(MATCH(FQ59,{"III","II","I","I особая"},0),1),"НЕ ОБЕСПЕЧЕНА","ОК"))</f>
        <v>ОК</v>
      </c>
      <c r="FU59" t="str">
        <f>IF(A59="","",_xlfn.XLOOKUP(A59,Щиты[Щит],Щиты[Путь],""))</f>
        <v>|ГРЩ-ЖД|ЩОВ-001|</v>
      </c>
      <c r="FV59" t="str">
        <f>IF(B59="","",IF(AE59&lt;&gt;"",AE59,IF(IFERROR(_xlfn.XLOOKUP(AX59,Коды_код,Коды_вид)&amp;"","")="","Прочее",_xlfn.XLOOKUP(AX59,Коды_код,Коды_вид)&amp;"")))</f>
        <v>Вентиляция</v>
      </c>
      <c r="FW59">
        <f>IF(BH59="","",INT((BH59-1)/Столбцов_на_лист)+1)</f>
        <v>2</v>
      </c>
      <c r="FX59" t="str">
        <f t="shared" si="75"/>
        <v>ВВГнг(А)-LS (3х1,5) L=20-0,12%</v>
      </c>
      <c r="FY59">
        <f t="shared" si="76"/>
        <v>0.1</v>
      </c>
      <c r="FZ59">
        <f t="shared" si="77"/>
        <v>0.55000000000000004</v>
      </c>
      <c r="GA59">
        <f t="shared" si="78"/>
        <v>1</v>
      </c>
      <c r="GB59">
        <f t="shared" si="79"/>
        <v>0</v>
      </c>
      <c r="GC59">
        <f t="shared" si="80"/>
        <v>1</v>
      </c>
      <c r="GD59">
        <f>IF(BH59="","",IF(AND(CA59=1,GC59=1),COUNTIFS(A$3:A59,A59,CA$3:CA59,1,GC$3:GC59,1),IF(OR(OR(AW59=1,A59&lt;&gt;A58),AF59="вручную",GC59=0),"",IF(AW59=1,"",GE58))))</f>
        <v>6</v>
      </c>
      <c r="GE59">
        <f t="shared" si="81"/>
        <v>6</v>
      </c>
      <c r="GF59">
        <f>IF(B59="","",IFERROR(LOOKUP(INDEX(CHOOSE(DL59,Iдоп_1ж,Iдоп_2ж,Iдоп_3ж),MATCH(DX59,Iдоп_S,0))*DJ59*DK59,{6,10,16,20,25,32,40,50,63,80,100,125,160,200,250,315,400,500,630}),""))</f>
        <v>16</v>
      </c>
      <c r="GG59" t="str">
        <f t="shared" si="82"/>
        <v>QF6</v>
      </c>
      <c r="GH59" t="str">
        <f t="shared" si="83"/>
        <v>QF6</v>
      </c>
      <c r="GI59" t="str">
        <f t="shared" si="84"/>
        <v/>
      </c>
      <c r="GJ59">
        <f t="shared" si="85"/>
        <v>0</v>
      </c>
      <c r="GK59" t="str">
        <f>IF(OR(AG59="",AG59="-"),"",IFERROR(VLOOKUP(AG59,Модули_спр,2,FALSE),"R"))</f>
        <v/>
      </c>
      <c r="GL59" t="str">
        <f>IF(GK59="","",GK59&amp;"."&amp;COUNTIFS(A$3:A59,A59,GK$3:GK59,GK59))</f>
        <v/>
      </c>
      <c r="GM59" t="str">
        <f t="shared" si="86"/>
        <v/>
      </c>
      <c r="GN59" t="str">
        <f t="shared" si="87"/>
        <v/>
      </c>
      <c r="GO59" t="str">
        <f t="shared" si="88"/>
        <v/>
      </c>
      <c r="GP59" t="str">
        <f t="shared" si="89"/>
        <v/>
      </c>
      <c r="GQ59">
        <f t="shared" si="90"/>
        <v>1</v>
      </c>
      <c r="GR59" t="str">
        <f>IF(GQ59=1,"XT"&amp;COUNTIFS(A$3:A59,A59,GQ$3:GQ59,1),"")</f>
        <v>XT6</v>
      </c>
      <c r="GS59" t="str">
        <f t="shared" si="91"/>
        <v/>
      </c>
      <c r="GT59" t="str">
        <f t="shared" si="92"/>
        <v>QF6</v>
      </c>
      <c r="GU59" t="str">
        <f t="shared" si="93"/>
        <v/>
      </c>
      <c r="GV59" t="str">
        <f t="shared" si="94"/>
        <v>ok</v>
      </c>
      <c r="GW59" t="str">
        <f>IF(OR(GO59="",GM59=""),"",IF(GO59&gt;IFERROR(VLOOKUP(GN59,Модули_спр,3,FALSE),99),"ЛИШНИЙ КАНАЛ",IF(AND(AH59&lt;&gt;"=",COUNTIFS(Линии[_модуль гр.],GM59,Линии[Канал (итог)],GO59,Линии[Канал],"&lt;&gt;=",Линии[Щит],A59)&gt;1),"ДУБЛЬ КАНАЛА","")))</f>
        <v/>
      </c>
      <c r="GX59" s="6" t="str">
        <f t="shared" si="95"/>
        <v/>
      </c>
      <c r="GY59">
        <f t="shared" si="96"/>
        <v>10</v>
      </c>
      <c r="GZ59" t="str">
        <f t="shared" si="97"/>
        <v/>
      </c>
      <c r="HA59" t="str">
        <f>IF(AND(B59="",GT59=""),"",_xlfn.TEXTJOIN("; ",TRUE,IF(AND(B59&lt;&gt;"",FE59=""),"нет фазы",""),IF(AND(B59&lt;&gt;"",N(FY59)=0,EQ59&lt;&gt;"Нет"),"нет мощности",""),IF(AND(GS59&lt;&gt;"",COUNTIFS(Линии[Щит],A59,Линии[Клемма (итог)],GS59)&gt;1),"дубль клеммы "&amp;GS59,""),IF(AND(GV59&lt;&gt;"",GV59&lt;&gt;"ok"),GV59,""),IF(GW59&lt;&gt;"",GW59,""),IF(AND(N(BV59)&gt;=4,N(BR59)=1),BV59&amp;" жил на 1 фазе",""),IF(AND(AX59="R",CA59=1,OR(N(CK59)=0,N(CK59)&gt;30)),"розетка без дифзащиты до 30 мА",""),IFERROR(IF(AND(ISNUMBER(R59),R59&gt;DV59),"потери "&amp;FIXED(R59,1)&amp;" % &gt; "&amp;DV59&amp;" %",""),""),IFERROR(IF(LEFT(GZ59,4)="мало","Iкз мало — отключение &gt; 0,4 с",""),""),IF(AND(B59&lt;&gt;"",BH59=""),"не на схеме",""),IF(AND(CA59=0,B59&lt;&gt;"",FE59&lt;&gt;"",IF(AW59=1,"",FF58)&lt;&gt;"",FE59&lt;&gt;IF(AW59=1,"",FF58)),"фаза не как у автомата группы ("&amp;IF(AW59=1,"",FF58)&amp;")","")))</f>
        <v/>
      </c>
      <c r="HB59" s="6">
        <f>IF(OR(CA59=0,DA59=""),"",_xlfn.LET(_xlpm.t,IFERROR(_xlfn.XLOOKUP(DA59,Каталог!$U$4:$U$500,Каталог!$G$4:$G$500),""),_xlpm.k,SEARCH("кА",_xlpm.t),IFERROR(--TRIM(RIGHT(SUBSTITUTE(MID(_xlpm.t,MAX(1,_xlpm.k-4),_xlpm.k-MAX(1,_xlpm.k-4))," ",REPT(" ",9)),5)),"")))</f>
        <v>6</v>
      </c>
      <c r="HC59" t="str">
        <f>IF(OR(HB59="",CA59=0),"",IF(_xlfn.XLOOKUP(A59,Щиты[Щит],Щиты[Iкз max на шинах, кА],"")="","",IF(HB59&lt;_xlfn.XLOOKUP(A59,Щиты[Щит],Щиты[Iкз max на шинах, кА]),"Icu "&amp;HB59&amp;" кА &lt; Iкз max","ok")))</f>
        <v/>
      </c>
      <c r="HD59" t="str">
        <f t="shared" si="98"/>
        <v/>
      </c>
      <c r="HE59" t="str">
        <f t="shared" si="99"/>
        <v>QF6</v>
      </c>
      <c r="HF59" t="str">
        <f t="shared" si="100"/>
        <v>QF6|кабель ВВГнг(А)-LS (3х1,5) → Вытяжная установка Подвальный этаж Пом №006T</v>
      </c>
      <c r="HG59" t="str" cm="1">
        <f t="array" ref="HG59">IF(HF59="","",_xlfn.LET(_xlpm.nd,_xlfn.TEXTSPLIT(HF59,"|"),IF(COLUMNS(_xlpm.nd)&gt;1,A59&amp;"¦"&amp;INDEX(_xlpm.nd,1)&amp;"¦"&amp;INDEX(_xlpm.nd,2),"")))</f>
        <v>ЩОВ-001¦QF6¦кабель ВВГнг(А)-LS (3х1,5) → Вытяжная установка Подвальный этаж Пом №006T</v>
      </c>
      <c r="HH59" t="str">
        <f t="shared" si="101"/>
        <v>В.17¦Вытяжная установка Подвальный этаж Пом №006T</v>
      </c>
      <c r="HI59" t="str" cm="1">
        <f t="array" ref="HI59">IF(HF59="","",_xlfn.LET(_xlpm.nd,_xlfn.TEXTSPLIT(HF59,"|"),IF(COLUMNS(_xlpm.nd)&gt;2,A59&amp;"¦"&amp;INDEX(_xlpm.nd,2)&amp;"¦"&amp;INDEX(_xlpm.nd,3),"")))</f>
        <v/>
      </c>
      <c r="HJ59" t="str">
        <f t="shared" si="102"/>
        <v/>
      </c>
      <c r="HK59" t="str" cm="1">
        <f t="array" ref="HK59">IF(HF59="","",_xlfn.LET(_xlpm.nd,_xlfn.TEXTSPLIT(HF59,"|"),IF(COLUMNS(_xlpm.nd)&gt;3,A59&amp;"¦"&amp;INDEX(_xlpm.nd,3)&amp;"¦"&amp;INDEX(_xlpm.nd,4),"")))</f>
        <v/>
      </c>
      <c r="HL59" t="str">
        <f t="shared" si="103"/>
        <v/>
      </c>
      <c r="HM59" t="str" cm="1">
        <f t="array" ref="HM59">IF(HF59="","",_xlfn.LET(_xlpm.nd,_xlfn.TEXTSPLIT(HF59,"|"),IF(COLUMNS(_xlpm.nd)&gt;4,A59&amp;"¦"&amp;INDEX(_xlpm.nd,4)&amp;"¦"&amp;INDEX(_xlpm.nd,5),"")))</f>
        <v/>
      </c>
      <c r="HN59" t="str">
        <f t="shared" si="104"/>
        <v/>
      </c>
      <c r="HO59" t="str" cm="1">
        <f t="array" ref="HO59">IF(HF59="","",_xlfn.LET(_xlpm.nd,_xlfn.TEXTSPLIT(HF59,"|"),IF(COLUMNS(_xlpm.nd)&gt;5,A59&amp;"¦"&amp;INDEX(_xlpm.nd,5)&amp;"¦"&amp;INDEX(_xlpm.nd,6),"")))</f>
        <v/>
      </c>
      <c r="HP59" t="str">
        <f t="shared" si="105"/>
        <v/>
      </c>
      <c r="HQ59" t="str" cm="1">
        <f t="array" ref="HQ59">IF(HF59="","",_xlfn.LET(_xlpm.nd,_xlfn.TEXTSPLIT(HF59,"|"),IF(COLUMNS(_xlpm.nd)&gt;6,A59&amp;"¦"&amp;INDEX(_xlpm.nd,6)&amp;"¦"&amp;INDEX(_xlpm.nd,7),"")))</f>
        <v/>
      </c>
      <c r="HR59" t="str">
        <f t="shared" si="106"/>
        <v/>
      </c>
      <c r="HS59" t="str">
        <f t="shared" si="107"/>
        <v/>
      </c>
      <c r="HT59" t="str">
        <f t="shared" si="108"/>
        <v>QF6</v>
      </c>
      <c r="HU59">
        <f t="shared" si="109"/>
        <v>0</v>
      </c>
      <c r="HV59">
        <f t="shared" si="110"/>
        <v>0</v>
      </c>
      <c r="HW59" t="str">
        <f t="shared" si="111"/>
        <v/>
      </c>
      <c r="HX59" t="str">
        <f t="shared" si="112"/>
        <v/>
      </c>
      <c r="HY59" t="str">
        <f t="shared" si="113"/>
        <v/>
      </c>
      <c r="HZ59" t="str">
        <f t="shared" si="114"/>
        <v/>
      </c>
      <c r="IA59" t="str">
        <f>IF(B59="","",IFERROR(VLOOKUP(B59,УГО_спр,2,FALSE),IFERROR(VLOOKUP(AX59,УГО_спр,2,FALSE),IFERROR(VLOOKUP(LEFT(AX59,2),УГО_спр,2,FALSE),""))))</f>
        <v>Привод (двигатель)</v>
      </c>
      <c r="IB59" t="str">
        <f>IF(B59="","",IF(OR(IA59="",IA59=0),"BOX",IFERROR(IF(VLOOKUP(IA59,УГО_блоки,3,FALSE)&amp;""&lt;&gt;"",VLOOKUP(IA59,УГО_блоки,3,FALSE),VLOOKUP(IA59,УГО_блоки,2,FALSE)),IA59)))</f>
        <v>MOTOR</v>
      </c>
      <c r="IC59">
        <f t="shared" si="115"/>
        <v>1</v>
      </c>
      <c r="ID59" t="str">
        <f>IF(DA59="","",IF(COUNTIF(DA$3:DA59,DA59)=1,MAX(ID$2:ID58)+1,""))</f>
        <v/>
      </c>
      <c r="IE59" t="str">
        <f>IF(CO59="","",IF(COUNTIF(CO$3:CO59,CO59)+COUNTIF(CP$2:CP58,CO59)+COUNTIF(CQ$2:CQ58,CO59)=1,MAX(IE$2:IG58)+1,""))</f>
        <v/>
      </c>
      <c r="IF59" t="str">
        <f>IF(CP59="","",IF(COUNTIF(CO$3:CO59,CP59)+COUNTIF(CP$3:CP59,CP59)+COUNTIF(CQ$2:CQ58,CP59)=1,MAX(IE$2:IG58,IE59)+1,""))</f>
        <v/>
      </c>
      <c r="IG59" t="str">
        <f>IF(CQ59="","",IF(COUNTIF(CO$3:CO59,CQ59)+COUNTIF(CP$3:CP59,CQ59)+COUNTIF(CQ$3:CQ59,CQ59)=1,MAX(IE$2:IG58,IE59,IF59)+1,""))</f>
        <v/>
      </c>
      <c r="IH59" t="str">
        <f t="shared" si="116"/>
        <v>3х1,5</v>
      </c>
      <c r="II59" t="str">
        <f>IF(IH59="","",IF(COUNTIF(IH$3:IH59,IH59)=1,MAX(II$2:II58)+1,""))</f>
        <v/>
      </c>
      <c r="IJ59" t="str">
        <f>IF(GL59="","",COUNTIF(GL$3:GL59,"?*"))</f>
        <v/>
      </c>
      <c r="IK59" t="str">
        <f>IF(OR(GL59="",GN59=""),"",IF(COUNTIFS(GL$3:GL59,"?*",GN$3:GN59,GN59)=1,MAX(IK$2:IK58)+1,""))</f>
        <v/>
      </c>
      <c r="IL59">
        <f t="shared" si="117"/>
        <v>0</v>
      </c>
      <c r="IM59">
        <f>IF(B59="","",COUNTIF(B$3:B59,"?*"))</f>
        <v>57</v>
      </c>
      <c r="IN59">
        <f>IF(GQ59&lt;&gt;1,0,_xlfn.LET(_xlpm.k,MAX(IFERROR(--VLOOKUP(B59,УГО_спр,5,FALSE),0),IFERROR(--VLOOKUP(AX59,УГО_спр,5,FALSE),0),IFERROR(--VLOOKUP(LEFT(AX59,2),УГО_спр,5,FALSE),0)),IF(_xlpm.k&gt;0,_xlpm.k,IF(IFERROR(--LEFT(SUBSTITUTE(IH59,"x","х"),FIND("х",SUBSTITUTE(IH59,"x","х"))-1),3)&gt;3,Каталог!$S$9,1))))</f>
        <v>1</v>
      </c>
      <c r="IO59">
        <f t="shared" si="118"/>
        <v>0</v>
      </c>
      <c r="IP59" t="str">
        <f t="shared" si="119"/>
        <v>авто</v>
      </c>
      <c r="IQ59" t="str">
        <f t="shared" si="120"/>
        <v/>
      </c>
      <c r="IR59">
        <f t="shared" si="121"/>
        <v>0</v>
      </c>
      <c r="IS59">
        <f t="shared" si="122"/>
        <v>1</v>
      </c>
    </row>
    <row r="60" spans="1:253" x14ac:dyDescent="0.3">
      <c r="A60" t="s">
        <v>749</v>
      </c>
      <c r="B60" t="s">
        <v>1332</v>
      </c>
      <c r="C60" t="s">
        <v>1615</v>
      </c>
      <c r="D60">
        <v>1</v>
      </c>
      <c r="E60">
        <v>0.1</v>
      </c>
      <c r="G60">
        <v>10</v>
      </c>
      <c r="H60" t="str">
        <f>Линии[[#This Row],[_авто утечка]]</f>
        <v/>
      </c>
      <c r="I60" t="str">
        <f>Линии[[#This Row],[_авто управление]]</f>
        <v/>
      </c>
      <c r="J60" t="str">
        <f>Линии[[#This Row],[_авто аппараты]]</f>
        <v/>
      </c>
      <c r="K60">
        <v>1.5</v>
      </c>
      <c r="L60">
        <v>19</v>
      </c>
      <c r="M60" t="str">
        <f>Линии[[#This Row],[_авто фаза]]</f>
        <v>L3</v>
      </c>
      <c r="N60" t="s">
        <v>486</v>
      </c>
      <c r="O60" t="str">
        <f t="shared" si="0"/>
        <v/>
      </c>
      <c r="P60" s="6" cm="1">
        <f t="array" ref="P60">IF(B60="","",IF(BC60&lt;&gt;"",IFERROR(_xlfn.XLOOKUP(BC60,Щиты[Щит],Щиты[Iр, А]),""),IF(BK60=1,IFERROR(_xlfn.XLOOKUP(A60,Щиты[Щит],Щиты[Iр, А]),""),IFERROR(_xlfn.IFS(BR60=1,BN60/((Uн_лин/SQRT(3))*BY60),BR60=3,BN60/(SQRT(3)*Uн_лин*BY60)),""))))</f>
        <v>0.5412658773652741</v>
      </c>
      <c r="Q60" s="7">
        <f>IF(B60="","",IFERROR(IF(VLOOKUP(AX60,Потребители_обозначение,4,FALSE)=1,VLOOKUP(AX60,Потребители_обозначение,3,FALSE)*(D60*2-1)+DS60+VLOOKUP(AZ60,Этаж_обозначение,3,FALSE)+VLOOKUP(AZ60,Этаж_обозначение,4,FALSE),VLOOKUP(AX60,Потребители_обозначение,3,FALSE)*(D60*2-1)+DS60),DS60))</f>
        <v>23</v>
      </c>
      <c r="R60" s="6">
        <f t="shared" si="1"/>
        <v>0.78</v>
      </c>
      <c r="S60" t="str">
        <f t="shared" si="2"/>
        <v>ВВГнг(А)-LS (3х1,5)</v>
      </c>
      <c r="T60" t="str">
        <f>IF(BH60="","",IF(BI60="вводной узел","узел ","")&amp;"л."&amp;(INT((BH60-1)/Столбцов_на_лист)+1)&amp;" / "&amp;(MOD(BH60-1,Столбцов_на_лист)+1))</f>
        <v>л.2 / 9</v>
      </c>
      <c r="V60">
        <v>1</v>
      </c>
      <c r="W60">
        <v>230</v>
      </c>
      <c r="X60" t="s">
        <v>600</v>
      </c>
      <c r="Y60">
        <v>0.5</v>
      </c>
      <c r="AC60" t="s">
        <v>815</v>
      </c>
      <c r="AE60" t="s">
        <v>582</v>
      </c>
      <c r="AI60">
        <v>26</v>
      </c>
      <c r="AJ60" t="s">
        <v>11</v>
      </c>
      <c r="AK60">
        <v>3</v>
      </c>
      <c r="AN60">
        <v>23</v>
      </c>
      <c r="AP60">
        <v>1</v>
      </c>
      <c r="AW60" cm="1">
        <f t="array" ref="AW60">ROW()-ROW(Линии[#Headers])</f>
        <v>58</v>
      </c>
      <c r="AX60" s="6" t="str">
        <f t="shared" si="3"/>
        <v>В</v>
      </c>
      <c r="AY60" t="str">
        <f t="shared" si="4"/>
        <v>18</v>
      </c>
      <c r="AZ60" t="str">
        <f t="shared" si="5"/>
        <v>18</v>
      </c>
      <c r="BA60" t="str">
        <f t="shared" si="6"/>
        <v/>
      </c>
      <c r="BB60" t="str">
        <f t="shared" si="7"/>
        <v/>
      </c>
      <c r="BC60" t="str">
        <f>IF(U60&lt;&gt;"",U60,IF(AND(B60&lt;&gt;"",B60&lt;&gt;A60,ISNUMBER(_xlfn.XMATCH(B60,Щиты[Щит]))),B60,""))</f>
        <v/>
      </c>
      <c r="BD60" t="str" cm="1">
        <f t="array" ref="BD60">IF(B60="","",IF(BC60&lt;&gt;"","Щит "&amp;BC60,_xlfn.LET(_xlpm.nm,IFERROR(_xlfn.XLOOKUP(AX60,Коды_код,Коды_имя)&amp;"",""),_xlpm.md,IFERROR(N(_xlfn.XLOOKUP(AX60,Коды_код,Коды_режим)),1),_xlpm.ex,IF(Имя_режим="по экспликации",IFERROR(_xlfn.XLOOKUP(AZ60&amp;"|"&amp;BB60,Экспликация[Этаж]&amp;"|"&amp;Экспликация[Помещение],Экспликация[Название])&amp;"",""),""),_xlpm.rm,IF(BB60="","",IF(_xlpm.ex&lt;&gt;"",". "&amp;_xlpm.ex&amp;IF(Имя_пом="нет"," ("&amp;BB60&amp;")"," (пом. "&amp;BB60&amp;")"),IF(Имя_пом="нет"," ",", пом. ")&amp;BB60)),IF(_xlpm.nm="","",IF(_xlpm.md=2,_xlpm.nm&amp;" шлейф "&amp;AZ60,_xlpm.nm&amp;_xlpm.rm)))))</f>
        <v>Вытяжная установка шлейф 18</v>
      </c>
      <c r="BE60" t="str">
        <f t="shared" si="8"/>
        <v>Вытяжная установка Подвальный этаж Пом №006T</v>
      </c>
      <c r="BF60">
        <f>IFERROR(_xlfn.XMATCH(A60,Щиты[Щит]),0)</f>
        <v>4</v>
      </c>
      <c r="BG60">
        <f>_xlfn.LET(_xlpm.k,IFERROR(_xlfn.XLOOKUP(A60,Щиты[Щит],Щиты[Листов под вводной узел]),""),IF(_xlpm.k="",1,N(_xlpm.k))*Столбцов_на_лист)</f>
        <v>17</v>
      </c>
      <c r="BH60">
        <f t="shared" si="9"/>
        <v>26</v>
      </c>
      <c r="BI60" t="str">
        <f t="shared" si="10"/>
        <v>линии</v>
      </c>
      <c r="BJ60" s="6">
        <f>IFERROR(N(_xlfn.XLOOKUP(AX60,Коды_код,Коды_квт)),0)</f>
        <v>0</v>
      </c>
      <c r="BK60">
        <f t="shared" si="11"/>
        <v>0</v>
      </c>
      <c r="BL60" t="str">
        <f>IF(B60="","",IF(BC60&lt;&gt;"",IFERROR(_xlfn.XLOOKUP(BC60,Щиты[Щит],Щиты[Руст, кВт]),0),IF(BK60=1,IFERROR(_xlfn.XLOOKUP(A60,Щиты[Щит],Щиты[Руст, кВт]),0),IF(BJ60&gt;0,ROUND(BJ60*MAX(1,N(D60)),3),""))))</f>
        <v/>
      </c>
      <c r="BM60">
        <f t="shared" si="12"/>
        <v>0.1</v>
      </c>
      <c r="BN60" s="6">
        <f>IF(B60="","",IF(BC60&lt;&gt;"",IFERROR(_xlfn.XLOOKUP(BC60,Щиты[Щит],Щиты[Руст, кВт]),0),N(BM60)))</f>
        <v>0.1</v>
      </c>
      <c r="BO60" t="str">
        <f>IF(B60="","",IFERROR(IF(VLOOKUP(AX60,Потребители_обозначение,8,FALSE)=0,"",VLOOKUP(AX60,Потребители_обозначение,8,FALSE)),""))</f>
        <v/>
      </c>
      <c r="BP60">
        <f t="shared" si="13"/>
        <v>230</v>
      </c>
      <c r="BQ60">
        <f>IF(B60="","",IF(BC60&lt;&gt;"",3,IFERROR(IF(N(VLOOKUP(AX60,Потребители_обозначение,9,FALSE))=0,1,VLOOKUP(AX60,Потребители_обозначение,9,FALSE)),1)))</f>
        <v>1</v>
      </c>
      <c r="BR60">
        <f t="shared" si="14"/>
        <v>1</v>
      </c>
      <c r="BS60" t="str">
        <f>IF(B60="","",_xlfn.LET(_xlpm.bc,IFERROR(IF(VLOOKUP(AX60,Потребители_обозначение,6,FALSE)=0,"",VLOOKUP(AX60,Потребители_обозначение,6,FALSE)&amp;""),""),IF(AND(FK60="да",OR(_xlpm.bc="",_xlpm.bc="мс")),Марка_пож,IF(AND(_xlpm.bc="",BC60&lt;&gt;""),"мс",_xlpm.bc))))</f>
        <v/>
      </c>
      <c r="BT60" t="str">
        <f t="shared" si="15"/>
        <v>мс</v>
      </c>
      <c r="BU60">
        <f>IF(B60="","",_xlfn.LET(_xlpm.cc,IFERROR(N(VLOOKUP(AX60,Потребители_обозначение,7,FALSE)),0),IF(_xlpm.cc&gt;0,_xlpm.cc,IF(BT60="","",IF(N(BR60)=3,5,3)))))</f>
        <v>3</v>
      </c>
      <c r="BV60">
        <f t="shared" si="16"/>
        <v>3</v>
      </c>
      <c r="BW60">
        <f>IFERROR(N(VLOOKUP(AX60,Потребители_обозначение,10,FALSE)),0)</f>
        <v>0</v>
      </c>
      <c r="BX60">
        <f>IFERROR(VLOOKUP(AX60,Потребители_обозначение,5,FALSE),0)</f>
        <v>1</v>
      </c>
      <c r="BY60" s="6" cm="1">
        <f t="array" ref="BY60">IF(B60="","",IF(BC60&lt;&gt;"",IFERROR(_xlfn.XLOOKUP(BC60,Щиты[Щит],Щиты[cos φ]),0.95),IF(BK60=1,IFERROR(_xlfn.XLOOKUP(A60,Щиты[Щит],Щиты[cos φ]),0.95),IF(ISNUMBER(Z60),Z60,IFERROR(IF(BX60=2,_xlfn.IFS(BR60=3,VLOOKUP(BN60,Справочная_двигатели,8,FALSE),BR60=1,VLOOKUP(BN60,Справочная_двигатели,10,TRUE)),IF(AND(Методика="нормы 2026",EQ60="Сил"),0.8,0.95)),0.95)))))</f>
        <v>0.8</v>
      </c>
      <c r="BZ60">
        <f t="shared" si="17"/>
        <v>0</v>
      </c>
      <c r="CA60">
        <f t="shared" si="18"/>
        <v>1</v>
      </c>
      <c r="CB60">
        <f t="shared" si="19"/>
        <v>0</v>
      </c>
      <c r="CC60">
        <f t="shared" si="20"/>
        <v>0</v>
      </c>
      <c r="CD60">
        <f t="shared" si="21"/>
        <v>0</v>
      </c>
      <c r="CE60">
        <f t="shared" si="22"/>
        <v>0</v>
      </c>
      <c r="CF60">
        <f t="shared" si="23"/>
        <v>0</v>
      </c>
      <c r="CG60">
        <f>IF(AX60="",0,_xlfn.LET(_xlpm.v,IFERROR(VLOOKUP(B60,УГО_спр,3,FALSE),IFERROR(VLOOKUP(AX60,УГО_спр,3,FALSE),IFERROR(VLOOKUP(LEFT(AX60,2),УГО_спр,3,FALSE),""))),IF(_xlpm.v="да",30,IF(ISNUMBER(_xlpm.v),_xlpm.v,0))))</f>
        <v>0</v>
      </c>
      <c r="CH60" t="str">
        <f t="shared" si="24"/>
        <v/>
      </c>
      <c r="CI60" t="str">
        <f>_xlfn.LET(_xlpm.k,IFERROR(_xlfn.XLOOKUP(AX60,Коды_код,Коды_утечка)&amp;"",""),IF(_xlpm.k="","дифавтомат",_xlpm.k))</f>
        <v>дифавтомат</v>
      </c>
      <c r="CJ60">
        <f t="shared" si="25"/>
        <v>0</v>
      </c>
      <c r="CK60">
        <f t="shared" si="26"/>
        <v>0</v>
      </c>
      <c r="CL60">
        <f>IF(B60="",0,IFERROR(--VLOOKUP(B60,УГО_спр,4,FALSE),IFERROR(--VLOOKUP(AX60,УГО_спр,4,FALSE),IFERROR(--VLOOKUP(LEFT(AX60,2),УГО_спр,4,FALSE),0))))</f>
        <v>0</v>
      </c>
      <c r="CM60" t="str">
        <f>IF(B60="","",IFERROR(_xlfn.XLOOKUP(AX60,Коды_код,Коды_апп)&amp;"",""))</f>
        <v/>
      </c>
      <c r="CN60" t="str">
        <f t="shared" si="27"/>
        <v/>
      </c>
      <c r="CO60" t="str" cm="1">
        <f t="array" ref="CO60">IF(TRIM(CN60&amp;"")="","",IFERROR(TRIM(INDEX(_xlfn.TEXTSPLIT(CN60&amp;";;;",";"),1)),""))</f>
        <v/>
      </c>
      <c r="CP60" t="str" cm="1">
        <f t="array" ref="CP60">IF(TRIM(CN60&amp;"")="","",IFERROR(TRIM(INDEX(_xlfn.TEXTSPLIT(CN60&amp;";;;",";"),2)),""))</f>
        <v/>
      </c>
      <c r="CQ60" t="str" cm="1">
        <f t="array" ref="CQ60">IF(TRIM(CN60&amp;"")="","",IFERROR(TRIM(INDEX(_xlfn.TEXTSPLIT(CN60&amp;";;;",";"),3)),""))</f>
        <v/>
      </c>
      <c r="CR60">
        <f t="shared" si="28"/>
        <v>0</v>
      </c>
      <c r="CS60" t="str">
        <f>IF(B60="","",_xlfn.LET(_xlpm.t,LOWER(AV60&amp;""),IF(ISNUMBER(SEARCH("dim",_xlpm.t)),"DIM",IF(ISNUMBER(SEARCH("dali",_xlpm.t)),"DALI",IF(OR(ISNUMBER(SEARCH("relay",_xlpm.t)),ISNUMBER(SEARCH("реле",_xlpm.t))),"Relay",IF(ISNUMBER(SEARCH("кнопк",_xlpm.t)),"",IFERROR(_xlfn.XLOOKUP(AX60,Коды_код,Коды_упр)&amp;"","")))))))</f>
        <v/>
      </c>
      <c r="CT60" t="str">
        <f t="shared" si="29"/>
        <v/>
      </c>
      <c r="CU60">
        <f>IF(B60="","",_xlfn.LET(_xlpm.ig,N(P60)+IF(AF60="вручную",0,N(CB60)),_xlpm.n0,IFERROR(VLOOKUP(_xlpm.ig,Автомат_номиналы,2,TRUE),0),_xlpm.mn,MAX(CL60,IF(AF60="вручную",0,N(CE60))),MAX(_xlpm.n0,_xlpm.mn,IF(CR60=1,Мин_автомат_БП,0))))</f>
        <v>6</v>
      </c>
      <c r="CV60">
        <f t="shared" si="30"/>
        <v>1</v>
      </c>
      <c r="CW60" t="str">
        <f t="shared" si="31"/>
        <v>1P</v>
      </c>
      <c r="CX60" t="str">
        <f>_xlfn.LET(_xlpm.cc,UPPER(TRIM(IFERROR(_xlfn.XLOOKUP(AX60,Коды_код,Коды_хар)&amp;"",""))),IF(OR(_xlpm.cc="B",_xlpm.cc="В"),"B",IF(_xlpm.cc="D","D","С")))</f>
        <v>С</v>
      </c>
      <c r="CY60" t="str">
        <f t="shared" si="32"/>
        <v>1P С6А</v>
      </c>
      <c r="CZ60">
        <f t="shared" si="33"/>
        <v>10</v>
      </c>
      <c r="DA60" t="str">
        <f t="shared" si="34"/>
        <v>1P С10А</v>
      </c>
      <c r="DB60" cm="1">
        <f t="array" ref="DB60">IF(DA60="","",_xlfn.LET(_xlpm.t,SUBSTITUTE(SUBSTITUTE(SUBSTITUTE(UPPER(DA60),"С","C"),"А","A"),"В","B"),_xlpm.tk,_xlfn.TEXTSPLIT(_xlpm.t,"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0" t="str">
        <f t="shared" si="35"/>
        <v>ok</v>
      </c>
      <c r="DD60">
        <f t="shared" si="36"/>
        <v>10</v>
      </c>
      <c r="DE60" t="str">
        <f t="shared" si="37"/>
        <v>1P С10А</v>
      </c>
      <c r="DF60">
        <f t="shared" si="38"/>
        <v>0</v>
      </c>
      <c r="DG60">
        <f t="shared" si="39"/>
        <v>0</v>
      </c>
      <c r="DH60">
        <f t="shared" si="40"/>
        <v>0</v>
      </c>
      <c r="DI60">
        <f t="shared" si="41"/>
        <v>0.5412658773652741</v>
      </c>
      <c r="DJ60">
        <f t="shared" si="42"/>
        <v>1</v>
      </c>
      <c r="DK60">
        <f>IF(ISNUMBER(AL60),AL60,К_прокл)</f>
        <v>1</v>
      </c>
      <c r="DL60">
        <f t="shared" si="43"/>
        <v>2</v>
      </c>
      <c r="DM60">
        <f>IFERROR(N(VLOOKUP(BT60,Кабель_обозначение,3,FALSE)),1)</f>
        <v>1</v>
      </c>
      <c r="DN60">
        <f>IFERROR(N(_xlfn.XLOOKUP(A60,Щиты[Щит],Щиты[ΔU до шин, %])),0)</f>
        <v>0.64</v>
      </c>
      <c r="DO60" t="str">
        <f>IFERROR(_xlfn.XLOOKUP(A60,Щиты[Щит],Щиты[Zпетли на шинах, Ом]),"")</f>
        <v/>
      </c>
      <c r="DP60">
        <f>IFERROR(N(_xlfn.XLOOKUP(A60,Щиты[Щит],Щиты[ΔU до шин (подбор), %])),0)</f>
        <v>0.75</v>
      </c>
      <c r="DQ60" t="str">
        <f>IFERROR(_xlfn.XLOOKUP(A60,Щиты[Щит],Щиты[Zпетли на шинах (подбор), Ом]),"")</f>
        <v/>
      </c>
      <c r="DR60" t="str">
        <f t="shared" si="44"/>
        <v/>
      </c>
      <c r="DS60">
        <f t="shared" si="45"/>
        <v>19</v>
      </c>
      <c r="DT60">
        <f t="shared" si="46"/>
        <v>2</v>
      </c>
      <c r="DU60">
        <f t="shared" si="47"/>
        <v>0.6</v>
      </c>
      <c r="DV60" s="6">
        <f>IF(B60="","",IF(IFERROR(VLOOKUP(AX60,УГО_спр,2,FALSE),"")="Светильник",3,4)+IF(Методика="нормы 2026",MIN(0.5,MAX(0,N(Q60)-100)*0.005),0))</f>
        <v>4</v>
      </c>
      <c r="DW60" cm="1">
        <f t="array" ref="DW60">IF(OR(B60="",BT60="",DM60&lt;&gt;1),"",_xlfn.LET(_xlpm.sz,Iдоп_S,_xlpm.t_,CHOOSE(DL60,Iдоп_1ж,Iдоп_2ж,Iдоп_3ж)*DJ60*DK60,_xlpm.inn,N(DD60),_xlpm.smin,MAX(1.5,BW60),_xlpm.L_,N(Q60)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60)*(_xlpm.rho*_xlpm.L_/_xlpm.sz*N(BY60)+_xlpm.xx*_xlpm.L_*N(DU60)/1000)*N(P60)/((Uн_лин/SQRT(3))*1000)*100,999),_xlpm.kz,IF(OR(DG60=1,NOT(ISNUMBER(DQ60)),_xlpm.L_=0,_xlpm.inn=0),1,IFERROR(--(c_min*(Uн_лин*1000/SQRT(3))/(DQ60+2*ρкз_Cu*_xlpm.L_/_xlpm.sz)&gt;=GY60*_xlpm.inn),0)),_xlpm.ok,IFERROR((_xlpm.sz&gt;=_xlpm.smin)*(_xlpm.t_&gt;=_xlpm.inn)*IF(_xlpm.L_&gt;0,(_xlpm.du_+DP60&lt;=DV60+0.00001),1)*_xlpm.kz,0),_xlpm.r_,_xlfn._xlws.FILTER(_xlpm.sz,_xlpm.ok,"не подобрано"),INDEX(_xlpm.r_,1)))</f>
        <v>1.5</v>
      </c>
      <c r="DX60">
        <f t="shared" si="48"/>
        <v>1.5</v>
      </c>
      <c r="DY60" cm="1">
        <f t="array" ref="DY60">IF(OR(B60="",BT60="",DM60&lt;&gt;1),"",_xlfn.LET(_xlpm.sz,Iдоп_S,_xlpm.t_,CHOOSE(DL60,Iдоп_1ж,Iдоп_2ж,Iдоп_3ж)*DJ60*DK60,_xlpm.ok,IFERROR((_xlpm.sz&gt;=MAX(1.5,BW60))*(_xlpm.t_&gt;=N(DD60)),0),_xlpm.r_,_xlfn._xlws.FILTER(_xlpm.sz,_xlpm.ok,""),INDEX(_xlpm.r_,1)))</f>
        <v>1.5</v>
      </c>
      <c r="DZ60" s="6" cm="1">
        <f t="array" ref="DZ60">IFERROR(ROUNDUP(N(DT60)*(_xlfn.XLOOKUP(DY60,INDEX(Кабель_сопротивление,0,1),INDEX(Кабель_сопротивление,0,3))*N(Q60)/DY60*N(BY60)+_xlfn.XLOOKUP(DY60,INDEX(Кабель_сопротивление,0,1),INDEX(Кабель_сопротивление,0,2))*N(Q60)*N(DU60)/1000)*N(P60)/((Uн_лин/SQRT(3))*1000)*100,2),"")</f>
        <v>0.14000000000000001</v>
      </c>
      <c r="EA60">
        <f>IFERROR(2*ρкз_Cu*N(Q60)/DY60,"")</f>
        <v>0.80653333333333332</v>
      </c>
      <c r="EB60">
        <f>IFERROR(VLOOKUP(DX60,Кабель_сопротивление,3,FALSE),"")</f>
        <v>2.2499999999999999E-2</v>
      </c>
      <c r="EC60">
        <f>IFERROR(VLOOKUP(DX60,Кабель_сопротивление,2,FALSE),"")</f>
        <v>0.11</v>
      </c>
      <c r="ED60">
        <f t="shared" si="49"/>
        <v>23</v>
      </c>
      <c r="EE60">
        <f t="shared" si="50"/>
        <v>0</v>
      </c>
      <c r="EF60">
        <f t="shared" si="51"/>
        <v>0.30042204750931228</v>
      </c>
      <c r="EG60" s="6">
        <f>IFERROR(ROUNDUP(EF60/((Uн_лин/SQRT(3))*1000)*100,2),"")</f>
        <v>0.14000000000000001</v>
      </c>
      <c r="EH60" t="str">
        <f>IFERROR(VLOOKUP(BT60,Кабель_обозначение,2,FALSE),"")</f>
        <v>ВВГнг(А)-LS</v>
      </c>
      <c r="EI60" t="str">
        <f t="shared" si="52"/>
        <v>ВВГнг(А)-LS (3х1,5)</v>
      </c>
      <c r="EJ60" t="str">
        <f t="shared" si="53"/>
        <v>ВВГнг(А)-LS (3х1,5)
L=23-0,14%</v>
      </c>
      <c r="EK60">
        <f>IFERROR(2*ρкз_Cu*Q60/DX60,"")</f>
        <v>0.80653333333333332</v>
      </c>
      <c r="EL60">
        <f t="shared" si="54"/>
        <v>0.26833333333333337</v>
      </c>
      <c r="EM60" s="6" t="str">
        <f>IFERROR(IF(OR(B60="",NOT(ISNUMBER(DX60)),N(Q60)=0),"",_xlfn.XLOOKUP(A60,Щиты[Щит],Щиты[Zпетли на шинах, Ом])+EK60),"")</f>
        <v/>
      </c>
      <c r="EN60" s="6" t="str">
        <f>IF(ISNUMBER(EM60),c_min*(Uн_лин*1000/SQRT(3))/EM60,"")</f>
        <v/>
      </c>
      <c r="EO60" s="6" t="str">
        <f>IFERROR(IF(OR(B60="",NOT(ISNUMBER(DX60))),"",1.05*(Uн_лин*1000/SQRT(3))/(_xlfn.XLOOKUP(A60,Щиты[Щит],Щиты[Zmax на шинах, Ом])+EL60)/1000),"")</f>
        <v/>
      </c>
      <c r="EP60" s="6" t="str">
        <f>IF(B60="","",IF(ISNUMBER(Y60),"Сил",IF(IFERROR(_xlfn.XLOOKUP(AX60,Коды_код,Коды_группа)&amp;"","")="","Быт",_xlfn.XLOOKUP(AX60,Коды_код,Коды_группа)&amp;"")))</f>
        <v>Сил</v>
      </c>
      <c r="EQ60" s="6" t="str">
        <f t="shared" si="55"/>
        <v>Сил</v>
      </c>
      <c r="ER60" s="6">
        <f>IF(EQ60="Щит","щит",IF(EQ60="","",IF(EQ60="Быт",IFERROR(_xlfn.XLOOKUP(A60,Щиты[Щит],Щиты[Кс быт]),1),IF(EQ60="Сил",IF(ISNUMBER(Y60),Y60,IF(Методика="нормы 2026",IFERROR(_xlfn.XLOOKUP(A60,Щиты[Щит],Щиты[Кс силовых (табл. 7.5)]),1),1)),IF(OR(EQ60="Пост",EQ60="Отоп"),1,IF(EQ60="ВНГ",0.7,0))))))</f>
        <v>0.5</v>
      </c>
      <c r="ES60">
        <f t="shared" si="56"/>
        <v>1</v>
      </c>
      <c r="ET60">
        <f t="shared" si="57"/>
        <v>0.1</v>
      </c>
      <c r="EU60">
        <f t="shared" si="58"/>
        <v>0</v>
      </c>
      <c r="EV60">
        <f t="shared" si="59"/>
        <v>0.05</v>
      </c>
      <c r="EW60">
        <f t="shared" si="60"/>
        <v>0</v>
      </c>
      <c r="EX60">
        <f t="shared" si="61"/>
        <v>0</v>
      </c>
      <c r="EY60">
        <f t="shared" si="62"/>
        <v>0</v>
      </c>
      <c r="EZ60">
        <f t="shared" si="63"/>
        <v>0.1</v>
      </c>
      <c r="FA60">
        <f t="shared" si="64"/>
        <v>8.0000000000000016E-2</v>
      </c>
      <c r="FB60">
        <f t="shared" si="65"/>
        <v>0.1</v>
      </c>
      <c r="FC60" t="str">
        <f t="shared" si="66"/>
        <v/>
      </c>
      <c r="FD60" t="str">
        <f>IF(B60="","",IF(CA60=0,IF(AW60=1,"",FF59),IF(OR(N(CV60)&gt;=3,N(BR60)&gt;=3),"L1,L2,L3",IFERROR(_xlfn.TEXTBEFORE(_xlfn.TEXTAFTER(_xlfn.XLOOKUP(A60,Щиты[Щит],Щиты[_фазы авто]),";"&amp;AW60&amp;":"),";"),"L1"))))</f>
        <v>L3</v>
      </c>
      <c r="FE60" t="str">
        <f t="shared" si="67"/>
        <v>L3</v>
      </c>
      <c r="FF60" t="str">
        <f t="shared" si="68"/>
        <v>L3</v>
      </c>
      <c r="FG60" cm="1">
        <f t="array" ref="FG60">IFERROR(IF(BX60=2,_xlfn.IFS(BR60=3,VLOOKUP(BN60,Справочная_двигатели,3,FALSE),BR60=1,VLOOKUP(BN60,Справочная_двигатели,5,TRUE)),0),0)</f>
        <v>0</v>
      </c>
      <c r="FH60">
        <f>IFERROR(IF(BX60=3,VLOOKUP(BN60,Справочная_ЛЭД,2,TRUE),0),0)</f>
        <v>0</v>
      </c>
      <c r="FI60" s="6">
        <f t="shared" si="69"/>
        <v>0</v>
      </c>
      <c r="FJ60" t="str" cm="1">
        <f t="array" ref="FJ60">IF(B60="","",IFERROR(INDEX({"I особая","I","II","III"},MATCH(TRIM(AC60&amp;""),{"I особая","I","II","III"},0)),"III"))</f>
        <v>II</v>
      </c>
      <c r="FK60" t="str">
        <f>IF(B60="","",IF(TRIM(AD60&amp;"")&lt;&gt;"",IF(LOWER(TRIM(AD60&amp;""))="да","да","нет"),IF(IFERROR(_xlfn.XLOOKUP(AX60,Коды_код,Коды_пожарная),"")="да","да","нет")))</f>
        <v>нет</v>
      </c>
      <c r="FL60" t="str">
        <f t="shared" si="70"/>
        <v/>
      </c>
      <c r="FM60" t="str">
        <f t="shared" si="71"/>
        <v>основная</v>
      </c>
      <c r="FN60">
        <f t="shared" si="72"/>
        <v>1</v>
      </c>
      <c r="FO60" t="str" cm="1">
        <f t="array" ref="FO60">IF(B60="","",_xlfn.LET(_xlpm.t,IFERROR(_xlfn.XLOOKUP(1,(Шины[Шина]=FM60)*(((Шины[Щит]=A60)+(Шины[Щит]=""))&gt;0),Шины[Тип]),"")&amp;"",IF(_xlpm.t&lt;&gt;"",_xlpm.t,IF(ISNUMBER(SEARCH("ИБП",FM60)),"ИБП",IF(ISNUMBER(SEARCH("ДГУ",FM60)),"ДГУ","Ввод "&amp;FN60)))))</f>
        <v>Ввод 1</v>
      </c>
      <c r="FP60" t="str">
        <f t="shared" si="73"/>
        <v>Ввод 1</v>
      </c>
      <c r="FQ60" t="str">
        <f>IF(B60="","",IF(OR(FO60="ИБП",FO60="ДГУ"),"I особая",IF(FO60="Одиночная","III",_xlfn.XLOOKUP(A60,Щиты[Щит],Щиты[Категория шины «Ввод»],"III"))))</f>
        <v>II</v>
      </c>
      <c r="FR60">
        <f>IF(B60="",0,IFERROR(MATCH(FJ60,{"III","II","I","I особая"},0),1))</f>
        <v>2</v>
      </c>
      <c r="FS60">
        <f t="shared" si="74"/>
        <v>2</v>
      </c>
      <c r="FT60" t="str">
        <f>IF(B60="","",IF(FR60&gt;IFERROR(MATCH(FQ60,{"III","II","I","I особая"},0),1),"НЕ ОБЕСПЕЧЕНА","ОК"))</f>
        <v>ОК</v>
      </c>
      <c r="FU60" t="str">
        <f>IF(A60="","",_xlfn.XLOOKUP(A60,Щиты[Щит],Щиты[Путь],""))</f>
        <v>|ГРЩ-ЖД|ЩОВ-001|</v>
      </c>
      <c r="FV60" t="str">
        <f>IF(B60="","",IF(AE60&lt;&gt;"",AE60,IF(IFERROR(_xlfn.XLOOKUP(AX60,Коды_код,Коды_вид)&amp;"","")="","Прочее",_xlfn.XLOOKUP(AX60,Коды_код,Коды_вид)&amp;"")))</f>
        <v>Вентиляция</v>
      </c>
      <c r="FW60">
        <f>IF(BH60="","",INT((BH60-1)/Столбцов_на_лист)+1)</f>
        <v>2</v>
      </c>
      <c r="FX60" t="str">
        <f t="shared" si="75"/>
        <v>ВВГнг(А)-LS (3х1,5) L=23-0,14%</v>
      </c>
      <c r="FY60">
        <f t="shared" si="76"/>
        <v>0.1</v>
      </c>
      <c r="FZ60">
        <f t="shared" si="77"/>
        <v>0.55000000000000004</v>
      </c>
      <c r="GA60">
        <f t="shared" si="78"/>
        <v>1</v>
      </c>
      <c r="GB60">
        <f t="shared" si="79"/>
        <v>0</v>
      </c>
      <c r="GC60">
        <f t="shared" si="80"/>
        <v>1</v>
      </c>
      <c r="GD60">
        <f>IF(BH60="","",IF(AND(CA60=1,GC60=1),COUNTIFS(A$3:A60,A60,CA$3:CA60,1,GC$3:GC60,1),IF(OR(OR(AW60=1,A60&lt;&gt;A59),AF60="вручную",GC60=0),"",IF(AW60=1,"",GE59))))</f>
        <v>7</v>
      </c>
      <c r="GE60">
        <f t="shared" si="81"/>
        <v>7</v>
      </c>
      <c r="GF60">
        <f>IF(B60="","",IFERROR(LOOKUP(INDEX(CHOOSE(DL60,Iдоп_1ж,Iдоп_2ж,Iдоп_3ж),MATCH(DX60,Iдоп_S,0))*DJ60*DK60,{6,10,16,20,25,32,40,50,63,80,100,125,160,200,250,315,400,500,630}),""))</f>
        <v>16</v>
      </c>
      <c r="GG60" t="str">
        <f t="shared" si="82"/>
        <v>QF7</v>
      </c>
      <c r="GH60" t="str">
        <f t="shared" si="83"/>
        <v>QF7</v>
      </c>
      <c r="GI60" t="str">
        <f t="shared" si="84"/>
        <v/>
      </c>
      <c r="GJ60">
        <f t="shared" si="85"/>
        <v>0</v>
      </c>
      <c r="GK60" t="str">
        <f>IF(OR(AG60="",AG60="-"),"",IFERROR(VLOOKUP(AG60,Модули_спр,2,FALSE),"R"))</f>
        <v/>
      </c>
      <c r="GL60" t="str">
        <f>IF(GK60="","",GK60&amp;"."&amp;COUNTIFS(A$3:A60,A60,GK$3:GK60,GK60))</f>
        <v/>
      </c>
      <c r="GM60" t="str">
        <f t="shared" si="86"/>
        <v/>
      </c>
      <c r="GN60" t="str">
        <f t="shared" si="87"/>
        <v/>
      </c>
      <c r="GO60" t="str">
        <f t="shared" si="88"/>
        <v/>
      </c>
      <c r="GP60" t="str">
        <f t="shared" si="89"/>
        <v/>
      </c>
      <c r="GQ60">
        <f t="shared" si="90"/>
        <v>1</v>
      </c>
      <c r="GR60" t="str">
        <f>IF(GQ60=1,"XT"&amp;COUNTIFS(A$3:A60,A60,GQ$3:GQ60,1),"")</f>
        <v>XT7</v>
      </c>
      <c r="GS60" t="str">
        <f t="shared" si="91"/>
        <v/>
      </c>
      <c r="GT60" t="str">
        <f t="shared" si="92"/>
        <v>QF7</v>
      </c>
      <c r="GU60" t="str">
        <f t="shared" si="93"/>
        <v/>
      </c>
      <c r="GV60" t="str">
        <f t="shared" si="94"/>
        <v>ok</v>
      </c>
      <c r="GW60" t="str">
        <f>IF(OR(GO60="",GM60=""),"",IF(GO60&gt;IFERROR(VLOOKUP(GN60,Модули_спр,3,FALSE),99),"ЛИШНИЙ КАНАЛ",IF(AND(AH60&lt;&gt;"=",COUNTIFS(Линии[_модуль гр.],GM60,Линии[Канал (итог)],GO60,Линии[Канал],"&lt;&gt;=",Линии[Щит],A60)&gt;1),"ДУБЛЬ КАНАЛА","")))</f>
        <v/>
      </c>
      <c r="GX60" s="6" t="str">
        <f t="shared" si="95"/>
        <v/>
      </c>
      <c r="GY60">
        <f t="shared" si="96"/>
        <v>10</v>
      </c>
      <c r="GZ60" t="str">
        <f t="shared" si="97"/>
        <v/>
      </c>
      <c r="HA60" t="str">
        <f>IF(AND(B60="",GT60=""),"",_xlfn.TEXTJOIN("; ",TRUE,IF(AND(B60&lt;&gt;"",FE60=""),"нет фазы",""),IF(AND(B60&lt;&gt;"",N(FY60)=0,EQ60&lt;&gt;"Нет"),"нет мощности",""),IF(AND(GS60&lt;&gt;"",COUNTIFS(Линии[Щит],A60,Линии[Клемма (итог)],GS60)&gt;1),"дубль клеммы "&amp;GS60,""),IF(AND(GV60&lt;&gt;"",GV60&lt;&gt;"ok"),GV60,""),IF(GW60&lt;&gt;"",GW60,""),IF(AND(N(BV60)&gt;=4,N(BR60)=1),BV60&amp;" жил на 1 фазе",""),IF(AND(AX60="R",CA60=1,OR(N(CK60)=0,N(CK60)&gt;30)),"розетка без дифзащиты до 30 мА",""),IFERROR(IF(AND(ISNUMBER(R60),R60&gt;DV60),"потери "&amp;FIXED(R60,1)&amp;" % &gt; "&amp;DV60&amp;" %",""),""),IFERROR(IF(LEFT(GZ60,4)="мало","Iкз мало — отключение &gt; 0,4 с",""),""),IF(AND(B60&lt;&gt;"",BH60=""),"не на схеме",""),IF(AND(CA60=0,B60&lt;&gt;"",FE60&lt;&gt;"",IF(AW60=1,"",FF59)&lt;&gt;"",FE60&lt;&gt;IF(AW60=1,"",FF59)),"фаза не как у автомата группы ("&amp;IF(AW60=1,"",FF59)&amp;")","")))</f>
        <v/>
      </c>
      <c r="HB60" s="6">
        <f>IF(OR(CA60=0,DA60=""),"",_xlfn.LET(_xlpm.t,IFERROR(_xlfn.XLOOKUP(DA60,Каталог!$U$4:$U$500,Каталог!$G$4:$G$500),""),_xlpm.k,SEARCH("кА",_xlpm.t),IFERROR(--TRIM(RIGHT(SUBSTITUTE(MID(_xlpm.t,MAX(1,_xlpm.k-4),_xlpm.k-MAX(1,_xlpm.k-4))," ",REPT(" ",9)),5)),"")))</f>
        <v>6</v>
      </c>
      <c r="HC60" t="str">
        <f>IF(OR(HB60="",CA60=0),"",IF(_xlfn.XLOOKUP(A60,Щиты[Щит],Щиты[Iкз max на шинах, кА],"")="","",IF(HB60&lt;_xlfn.XLOOKUP(A60,Щиты[Щит],Щиты[Iкз max на шинах, кА]),"Icu "&amp;HB60&amp;" кА &lt; Iкз max","ok")))</f>
        <v/>
      </c>
      <c r="HD60" t="str">
        <f t="shared" si="98"/>
        <v/>
      </c>
      <c r="HE60" t="str">
        <f t="shared" si="99"/>
        <v>QF7</v>
      </c>
      <c r="HF60" t="str">
        <f t="shared" si="100"/>
        <v>QF7|кабель ВВГнг(А)-LS (3х1,5) → Вытяжная установка Подвальный этаж Пом №006T</v>
      </c>
      <c r="HG60" t="str" cm="1">
        <f t="array" ref="HG60">IF(HF60="","",_xlfn.LET(_xlpm.nd,_xlfn.TEXTSPLIT(HF60,"|"),IF(COLUMNS(_xlpm.nd)&gt;1,A60&amp;"¦"&amp;INDEX(_xlpm.nd,1)&amp;"¦"&amp;INDEX(_xlpm.nd,2),"")))</f>
        <v>ЩОВ-001¦QF7¦кабель ВВГнг(А)-LS (3х1,5) → Вытяжная установка Подвальный этаж Пом №006T</v>
      </c>
      <c r="HH60" t="str">
        <f t="shared" si="101"/>
        <v>В.18¦Вытяжная установка Подвальный этаж Пом №006T</v>
      </c>
      <c r="HI60" t="str" cm="1">
        <f t="array" ref="HI60">IF(HF60="","",_xlfn.LET(_xlpm.nd,_xlfn.TEXTSPLIT(HF60,"|"),IF(COLUMNS(_xlpm.nd)&gt;2,A60&amp;"¦"&amp;INDEX(_xlpm.nd,2)&amp;"¦"&amp;INDEX(_xlpm.nd,3),"")))</f>
        <v/>
      </c>
      <c r="HJ60" t="str">
        <f t="shared" si="102"/>
        <v/>
      </c>
      <c r="HK60" t="str" cm="1">
        <f t="array" ref="HK60">IF(HF60="","",_xlfn.LET(_xlpm.nd,_xlfn.TEXTSPLIT(HF60,"|"),IF(COLUMNS(_xlpm.nd)&gt;3,A60&amp;"¦"&amp;INDEX(_xlpm.nd,3)&amp;"¦"&amp;INDEX(_xlpm.nd,4),"")))</f>
        <v/>
      </c>
      <c r="HL60" t="str">
        <f t="shared" si="103"/>
        <v/>
      </c>
      <c r="HM60" t="str" cm="1">
        <f t="array" ref="HM60">IF(HF60="","",_xlfn.LET(_xlpm.nd,_xlfn.TEXTSPLIT(HF60,"|"),IF(COLUMNS(_xlpm.nd)&gt;4,A60&amp;"¦"&amp;INDEX(_xlpm.nd,4)&amp;"¦"&amp;INDEX(_xlpm.nd,5),"")))</f>
        <v/>
      </c>
      <c r="HN60" t="str">
        <f t="shared" si="104"/>
        <v/>
      </c>
      <c r="HO60" t="str" cm="1">
        <f t="array" ref="HO60">IF(HF60="","",_xlfn.LET(_xlpm.nd,_xlfn.TEXTSPLIT(HF60,"|"),IF(COLUMNS(_xlpm.nd)&gt;5,A60&amp;"¦"&amp;INDEX(_xlpm.nd,5)&amp;"¦"&amp;INDEX(_xlpm.nd,6),"")))</f>
        <v/>
      </c>
      <c r="HP60" t="str">
        <f t="shared" si="105"/>
        <v/>
      </c>
      <c r="HQ60" t="str" cm="1">
        <f t="array" ref="HQ60">IF(HF60="","",_xlfn.LET(_xlpm.nd,_xlfn.TEXTSPLIT(HF60,"|"),IF(COLUMNS(_xlpm.nd)&gt;6,A60&amp;"¦"&amp;INDEX(_xlpm.nd,6)&amp;"¦"&amp;INDEX(_xlpm.nd,7),"")))</f>
        <v/>
      </c>
      <c r="HR60" t="str">
        <f t="shared" si="106"/>
        <v/>
      </c>
      <c r="HS60" t="str">
        <f t="shared" si="107"/>
        <v/>
      </c>
      <c r="HT60" t="str">
        <f t="shared" si="108"/>
        <v>QF7</v>
      </c>
      <c r="HU60">
        <f t="shared" si="109"/>
        <v>0</v>
      </c>
      <c r="HV60">
        <f t="shared" si="110"/>
        <v>0</v>
      </c>
      <c r="HW60" t="str">
        <f t="shared" si="111"/>
        <v/>
      </c>
      <c r="HX60" t="str">
        <f t="shared" si="112"/>
        <v/>
      </c>
      <c r="HY60" t="str">
        <f t="shared" si="113"/>
        <v/>
      </c>
      <c r="HZ60" t="str">
        <f t="shared" si="114"/>
        <v/>
      </c>
      <c r="IA60" t="str">
        <f>IF(B60="","",IFERROR(VLOOKUP(B60,УГО_спр,2,FALSE),IFERROR(VLOOKUP(AX60,УГО_спр,2,FALSE),IFERROR(VLOOKUP(LEFT(AX60,2),УГО_спр,2,FALSE),""))))</f>
        <v>Привод (двигатель)</v>
      </c>
      <c r="IB60" t="str">
        <f>IF(B60="","",IF(OR(IA60="",IA60=0),"BOX",IFERROR(IF(VLOOKUP(IA60,УГО_блоки,3,FALSE)&amp;""&lt;&gt;"",VLOOKUP(IA60,УГО_блоки,3,FALSE),VLOOKUP(IA60,УГО_блоки,2,FALSE)),IA60)))</f>
        <v>MOTOR</v>
      </c>
      <c r="IC60">
        <f t="shared" si="115"/>
        <v>1</v>
      </c>
      <c r="ID60" t="str">
        <f>IF(DA60="","",IF(COUNTIF(DA$3:DA60,DA60)=1,MAX(ID$2:ID59)+1,""))</f>
        <v/>
      </c>
      <c r="IE60" t="str">
        <f>IF(CO60="","",IF(COUNTIF(CO$3:CO60,CO60)+COUNTIF(CP$2:CP59,CO60)+COUNTIF(CQ$2:CQ59,CO60)=1,MAX(IE$2:IG59)+1,""))</f>
        <v/>
      </c>
      <c r="IF60" t="str">
        <f>IF(CP60="","",IF(COUNTIF(CO$3:CO60,CP60)+COUNTIF(CP$3:CP60,CP60)+COUNTIF(CQ$2:CQ59,CP60)=1,MAX(IE$2:IG59,IE60)+1,""))</f>
        <v/>
      </c>
      <c r="IG60" t="str">
        <f>IF(CQ60="","",IF(COUNTIF(CO$3:CO60,CQ60)+COUNTIF(CP$3:CP60,CQ60)+COUNTIF(CQ$3:CQ60,CQ60)=1,MAX(IE$2:IG59,IE60,IF60)+1,""))</f>
        <v/>
      </c>
      <c r="IH60" t="str">
        <f t="shared" si="116"/>
        <v>3х1,5</v>
      </c>
      <c r="II60" t="str">
        <f>IF(IH60="","",IF(COUNTIF(IH$3:IH60,IH60)=1,MAX(II$2:II59)+1,""))</f>
        <v/>
      </c>
      <c r="IJ60" t="str">
        <f>IF(GL60="","",COUNTIF(GL$3:GL60,"?*"))</f>
        <v/>
      </c>
      <c r="IK60" t="str">
        <f>IF(OR(GL60="",GN60=""),"",IF(COUNTIFS(GL$3:GL60,"?*",GN$3:GN60,GN60)=1,MAX(IK$2:IK59)+1,""))</f>
        <v/>
      </c>
      <c r="IL60">
        <f t="shared" si="117"/>
        <v>0</v>
      </c>
      <c r="IM60">
        <f>IF(B60="","",COUNTIF(B$3:B60,"?*"))</f>
        <v>58</v>
      </c>
      <c r="IN60">
        <f>IF(GQ60&lt;&gt;1,0,_xlfn.LET(_xlpm.k,MAX(IFERROR(--VLOOKUP(B60,УГО_спр,5,FALSE),0),IFERROR(--VLOOKUP(AX60,УГО_спр,5,FALSE),0),IFERROR(--VLOOKUP(LEFT(AX60,2),УГО_спр,5,FALSE),0)),IF(_xlpm.k&gt;0,_xlpm.k,IF(IFERROR(--LEFT(SUBSTITUTE(IH60,"x","х"),FIND("х",SUBSTITUTE(IH60,"x","х"))-1),3)&gt;3,Каталог!$S$9,1))))</f>
        <v>1</v>
      </c>
      <c r="IO60">
        <f t="shared" si="118"/>
        <v>0</v>
      </c>
      <c r="IP60" t="str">
        <f t="shared" si="119"/>
        <v>авто</v>
      </c>
      <c r="IQ60" t="str">
        <f t="shared" si="120"/>
        <v/>
      </c>
      <c r="IR60">
        <f t="shared" si="121"/>
        <v>0</v>
      </c>
      <c r="IS60">
        <f t="shared" si="122"/>
        <v>1</v>
      </c>
    </row>
    <row r="61" spans="1:253" x14ac:dyDescent="0.3">
      <c r="A61" t="s">
        <v>749</v>
      </c>
      <c r="B61" t="s">
        <v>1333</v>
      </c>
      <c r="C61" t="s">
        <v>1616</v>
      </c>
      <c r="D61">
        <v>1</v>
      </c>
      <c r="E61">
        <v>0.27</v>
      </c>
      <c r="G61">
        <v>10</v>
      </c>
      <c r="H61" t="str">
        <f>Линии[[#This Row],[_авто утечка]]</f>
        <v/>
      </c>
      <c r="I61" t="str">
        <f>Линии[[#This Row],[_авто управление]]</f>
        <v/>
      </c>
      <c r="J61" t="str">
        <f>Линии[[#This Row],[_авто аппараты]]</f>
        <v/>
      </c>
      <c r="K61">
        <v>1.5</v>
      </c>
      <c r="L61">
        <v>11</v>
      </c>
      <c r="M61" t="str">
        <f>Линии[[#This Row],[_авто фаза]]</f>
        <v>L3</v>
      </c>
      <c r="N61" t="s">
        <v>486</v>
      </c>
      <c r="O61" t="str">
        <f t="shared" si="0"/>
        <v/>
      </c>
      <c r="P61" s="6" cm="1">
        <f t="array" ref="P61">IF(B61="","",IF(BC61&lt;&gt;"",IFERROR(_xlfn.XLOOKUP(BC61,Щиты[Щит],Щиты[Iр, А]),""),IF(BK61=1,IFERROR(_xlfn.XLOOKUP(A61,Щиты[Щит],Щиты[Iр, А]),""),IFERROR(_xlfn.IFS(BR61=1,BN61/((Uн_лин/SQRT(3))*BY61),BR61=3,BN61/(SQRT(3)*Uн_лин*BY61)),""))))</f>
        <v>1.46141786888624</v>
      </c>
      <c r="Q61" s="7">
        <f>IF(B61="","",IFERROR(IF(VLOOKUP(AX61,Потребители_обозначение,4,FALSE)=1,VLOOKUP(AX61,Потребители_обозначение,3,FALSE)*(D61*2-1)+DS61+VLOOKUP(AZ61,Этаж_обозначение,3,FALSE)+VLOOKUP(AZ61,Этаж_обозначение,4,FALSE),VLOOKUP(AX61,Потребители_обозначение,3,FALSE)*(D61*2-1)+DS61),DS61))</f>
        <v>15</v>
      </c>
      <c r="R61" s="6">
        <f t="shared" si="1"/>
        <v>0.87</v>
      </c>
      <c r="S61" t="str">
        <f t="shared" si="2"/>
        <v>ВВГнг(А)-LS (3х1,5)</v>
      </c>
      <c r="T61" t="str">
        <f>IF(BH61="","",IF(BI61="вводной узел","узел ","")&amp;"л."&amp;(INT((BH61-1)/Столбцов_на_лист)+1)&amp;" / "&amp;(MOD(BH61-1,Столбцов_на_лист)+1))</f>
        <v>л.2 / 10</v>
      </c>
      <c r="V61">
        <v>1</v>
      </c>
      <c r="W61">
        <v>230</v>
      </c>
      <c r="X61" t="s">
        <v>600</v>
      </c>
      <c r="Y61">
        <v>0.5</v>
      </c>
      <c r="AC61" t="s">
        <v>815</v>
      </c>
      <c r="AE61" t="s">
        <v>582</v>
      </c>
      <c r="AI61">
        <v>27</v>
      </c>
      <c r="AJ61" t="s">
        <v>11</v>
      </c>
      <c r="AK61">
        <v>3</v>
      </c>
      <c r="AN61">
        <v>15</v>
      </c>
      <c r="AP61">
        <v>1</v>
      </c>
      <c r="AW61" cm="1">
        <f t="array" ref="AW61">ROW()-ROW(Линии[#Headers])</f>
        <v>59</v>
      </c>
      <c r="AX61" s="6" t="str">
        <f t="shared" si="3"/>
        <v>П</v>
      </c>
      <c r="AY61" t="str">
        <f t="shared" si="4"/>
        <v>1</v>
      </c>
      <c r="AZ61" t="str">
        <f t="shared" si="5"/>
        <v>1</v>
      </c>
      <c r="BA61" t="str">
        <f t="shared" si="6"/>
        <v/>
      </c>
      <c r="BB61" t="str">
        <f t="shared" si="7"/>
        <v/>
      </c>
      <c r="BC61" t="str">
        <f>IF(U61&lt;&gt;"",U61,IF(AND(B61&lt;&gt;"",B61&lt;&gt;A61,ISNUMBER(_xlfn.XMATCH(B61,Щиты[Щит]))),B61,""))</f>
        <v/>
      </c>
      <c r="BD61" t="str" cm="1">
        <f t="array" ref="BD61">IF(B61="","",IF(BC61&lt;&gt;"","Щит "&amp;BC61,_xlfn.LET(_xlpm.nm,IFERROR(_xlfn.XLOOKUP(AX61,Коды_код,Коды_имя)&amp;"",""),_xlpm.md,IFERROR(N(_xlfn.XLOOKUP(AX61,Коды_код,Коды_режим)),1),_xlpm.ex,IF(Имя_режим="по экспликации",IFERROR(_xlfn.XLOOKUP(AZ61&amp;"|"&amp;BB61,Экспликация[Этаж]&amp;"|"&amp;Экспликация[Помещение],Экспликация[Название])&amp;"",""),""),_xlpm.rm,IF(BB61="","",IF(_xlpm.ex&lt;&gt;"",". "&amp;_xlpm.ex&amp;IF(Имя_пом="нет"," ("&amp;BB61&amp;")"," (пом. "&amp;BB61&amp;")"),IF(Имя_пом="нет"," ",", пом. ")&amp;BB61)),IF(_xlpm.nm="","",IF(_xlpm.md=2,_xlpm.nm&amp;" шлейф "&amp;AZ61,_xlpm.nm&amp;_xlpm.rm)))))</f>
        <v>Приточная установка шлейф 1</v>
      </c>
      <c r="BE61" t="str">
        <f t="shared" si="8"/>
        <v>Приточная установка Пом №006Т</v>
      </c>
      <c r="BF61">
        <f>IFERROR(_xlfn.XMATCH(A61,Щиты[Щит]),0)</f>
        <v>4</v>
      </c>
      <c r="BG61">
        <f>_xlfn.LET(_xlpm.k,IFERROR(_xlfn.XLOOKUP(A61,Щиты[Щит],Щиты[Листов под вводной узел]),""),IF(_xlpm.k="",1,N(_xlpm.k))*Столбцов_на_лист)</f>
        <v>17</v>
      </c>
      <c r="BH61">
        <f t="shared" si="9"/>
        <v>27</v>
      </c>
      <c r="BI61" t="str">
        <f t="shared" si="10"/>
        <v>линии</v>
      </c>
      <c r="BJ61" s="6">
        <f>IFERROR(N(_xlfn.XLOOKUP(AX61,Коды_код,Коды_квт)),0)</f>
        <v>0</v>
      </c>
      <c r="BK61">
        <f t="shared" si="11"/>
        <v>0</v>
      </c>
      <c r="BL61" t="str">
        <f>IF(B61="","",IF(BC61&lt;&gt;"",IFERROR(_xlfn.XLOOKUP(BC61,Щиты[Щит],Щиты[Руст, кВт]),0),IF(BK61=1,IFERROR(_xlfn.XLOOKUP(A61,Щиты[Щит],Щиты[Руст, кВт]),0),IF(BJ61&gt;0,ROUND(BJ61*MAX(1,N(D61)),3),""))))</f>
        <v/>
      </c>
      <c r="BM61">
        <f t="shared" si="12"/>
        <v>0.27</v>
      </c>
      <c r="BN61" s="6">
        <f>IF(B61="","",IF(BC61&lt;&gt;"",IFERROR(_xlfn.XLOOKUP(BC61,Щиты[Щит],Щиты[Руст, кВт]),0),N(BM61)))</f>
        <v>0.27</v>
      </c>
      <c r="BO61" t="str">
        <f>IF(B61="","",IFERROR(IF(VLOOKUP(AX61,Потребители_обозначение,8,FALSE)=0,"",VLOOKUP(AX61,Потребители_обозначение,8,FALSE)),""))</f>
        <v/>
      </c>
      <c r="BP61">
        <f t="shared" si="13"/>
        <v>230</v>
      </c>
      <c r="BQ61">
        <f>IF(B61="","",IF(BC61&lt;&gt;"",3,IFERROR(IF(N(VLOOKUP(AX61,Потребители_обозначение,9,FALSE))=0,1,VLOOKUP(AX61,Потребители_обозначение,9,FALSE)),1)))</f>
        <v>1</v>
      </c>
      <c r="BR61">
        <f t="shared" si="14"/>
        <v>1</v>
      </c>
      <c r="BS61" t="str">
        <f>IF(B61="","",_xlfn.LET(_xlpm.bc,IFERROR(IF(VLOOKUP(AX61,Потребители_обозначение,6,FALSE)=0,"",VLOOKUP(AX61,Потребители_обозначение,6,FALSE)&amp;""),""),IF(AND(FK61="да",OR(_xlpm.bc="",_xlpm.bc="мс")),Марка_пож,IF(AND(_xlpm.bc="",BC61&lt;&gt;""),"мс",_xlpm.bc))))</f>
        <v/>
      </c>
      <c r="BT61" t="str">
        <f t="shared" si="15"/>
        <v>мс</v>
      </c>
      <c r="BU61">
        <f>IF(B61="","",_xlfn.LET(_xlpm.cc,IFERROR(N(VLOOKUP(AX61,Потребители_обозначение,7,FALSE)),0),IF(_xlpm.cc&gt;0,_xlpm.cc,IF(BT61="","",IF(N(BR61)=3,5,3)))))</f>
        <v>3</v>
      </c>
      <c r="BV61">
        <f t="shared" si="16"/>
        <v>3</v>
      </c>
      <c r="BW61">
        <f>IFERROR(N(VLOOKUP(AX61,Потребители_обозначение,10,FALSE)),0)</f>
        <v>0</v>
      </c>
      <c r="BX61">
        <f>IFERROR(VLOOKUP(AX61,Потребители_обозначение,5,FALSE),0)</f>
        <v>1</v>
      </c>
      <c r="BY61" s="6" cm="1">
        <f t="array" ref="BY61">IF(B61="","",IF(BC61&lt;&gt;"",IFERROR(_xlfn.XLOOKUP(BC61,Щиты[Щит],Щиты[cos φ]),0.95),IF(BK61=1,IFERROR(_xlfn.XLOOKUP(A61,Щиты[Щит],Щиты[cos φ]),0.95),IF(ISNUMBER(Z61),Z61,IFERROR(IF(BX61=2,_xlfn.IFS(BR61=3,VLOOKUP(BN61,Справочная_двигатели,8,FALSE),BR61=1,VLOOKUP(BN61,Справочная_двигатели,10,TRUE)),IF(AND(Методика="нормы 2026",EQ61="Сил"),0.8,0.95)),0.95)))))</f>
        <v>0.8</v>
      </c>
      <c r="BZ61">
        <f t="shared" si="17"/>
        <v>0</v>
      </c>
      <c r="CA61">
        <f t="shared" si="18"/>
        <v>1</v>
      </c>
      <c r="CB61">
        <f t="shared" si="19"/>
        <v>0</v>
      </c>
      <c r="CC61">
        <f t="shared" si="20"/>
        <v>0</v>
      </c>
      <c r="CD61">
        <f t="shared" si="21"/>
        <v>0</v>
      </c>
      <c r="CE61">
        <f t="shared" si="22"/>
        <v>0</v>
      </c>
      <c r="CF61">
        <f t="shared" si="23"/>
        <v>0</v>
      </c>
      <c r="CG61">
        <f>IF(AX61="",0,_xlfn.LET(_xlpm.v,IFERROR(VLOOKUP(B61,УГО_спр,3,FALSE),IFERROR(VLOOKUP(AX61,УГО_спр,3,FALSE),IFERROR(VLOOKUP(LEFT(AX61,2),УГО_спр,3,FALSE),""))),IF(_xlpm.v="да",30,IF(ISNUMBER(_xlpm.v),_xlpm.v,0))))</f>
        <v>0</v>
      </c>
      <c r="CH61" t="str">
        <f t="shared" si="24"/>
        <v/>
      </c>
      <c r="CI61" t="str">
        <f>_xlfn.LET(_xlpm.k,IFERROR(_xlfn.XLOOKUP(AX61,Коды_код,Коды_утечка)&amp;"",""),IF(_xlpm.k="","дифавтомат",_xlpm.k))</f>
        <v>дифавтомат</v>
      </c>
      <c r="CJ61">
        <f t="shared" si="25"/>
        <v>0</v>
      </c>
      <c r="CK61">
        <f t="shared" si="26"/>
        <v>0</v>
      </c>
      <c r="CL61">
        <f>IF(B61="",0,IFERROR(--VLOOKUP(B61,УГО_спр,4,FALSE),IFERROR(--VLOOKUP(AX61,УГО_спр,4,FALSE),IFERROR(--VLOOKUP(LEFT(AX61,2),УГО_спр,4,FALSE),0))))</f>
        <v>0</v>
      </c>
      <c r="CM61" t="str">
        <f>IF(B61="","",IFERROR(_xlfn.XLOOKUP(AX61,Коды_код,Коды_апп)&amp;"",""))</f>
        <v/>
      </c>
      <c r="CN61" t="str">
        <f t="shared" si="27"/>
        <v/>
      </c>
      <c r="CO61" t="str" cm="1">
        <f t="array" ref="CO61">IF(TRIM(CN61&amp;"")="","",IFERROR(TRIM(INDEX(_xlfn.TEXTSPLIT(CN61&amp;";;;",";"),1)),""))</f>
        <v/>
      </c>
      <c r="CP61" t="str" cm="1">
        <f t="array" ref="CP61">IF(TRIM(CN61&amp;"")="","",IFERROR(TRIM(INDEX(_xlfn.TEXTSPLIT(CN61&amp;";;;",";"),2)),""))</f>
        <v/>
      </c>
      <c r="CQ61" t="str" cm="1">
        <f t="array" ref="CQ61">IF(TRIM(CN61&amp;"")="","",IFERROR(TRIM(INDEX(_xlfn.TEXTSPLIT(CN61&amp;";;;",";"),3)),""))</f>
        <v/>
      </c>
      <c r="CR61">
        <f t="shared" si="28"/>
        <v>0</v>
      </c>
      <c r="CS61" t="str">
        <f>IF(B61="","",_xlfn.LET(_xlpm.t,LOWER(AV61&amp;""),IF(ISNUMBER(SEARCH("dim",_xlpm.t)),"DIM",IF(ISNUMBER(SEARCH("dali",_xlpm.t)),"DALI",IF(OR(ISNUMBER(SEARCH("relay",_xlpm.t)),ISNUMBER(SEARCH("реле",_xlpm.t))),"Relay",IF(ISNUMBER(SEARCH("кнопк",_xlpm.t)),"",IFERROR(_xlfn.XLOOKUP(AX61,Коды_код,Коды_упр)&amp;"","")))))))</f>
        <v/>
      </c>
      <c r="CT61" t="str">
        <f t="shared" si="29"/>
        <v/>
      </c>
      <c r="CU61">
        <f>IF(B61="","",_xlfn.LET(_xlpm.ig,N(P61)+IF(AF61="вручную",0,N(CB61)),_xlpm.n0,IFERROR(VLOOKUP(_xlpm.ig,Автомат_номиналы,2,TRUE),0),_xlpm.mn,MAX(CL61,IF(AF61="вручную",0,N(CE61))),MAX(_xlpm.n0,_xlpm.mn,IF(CR61=1,Мин_автомат_БП,0))))</f>
        <v>6</v>
      </c>
      <c r="CV61">
        <f t="shared" si="30"/>
        <v>1</v>
      </c>
      <c r="CW61" t="str">
        <f t="shared" si="31"/>
        <v>1P</v>
      </c>
      <c r="CX61" t="str">
        <f>_xlfn.LET(_xlpm.cc,UPPER(TRIM(IFERROR(_xlfn.XLOOKUP(AX61,Коды_код,Коды_хар)&amp;"",""))),IF(OR(_xlpm.cc="B",_xlpm.cc="В"),"B",IF(_xlpm.cc="D","D","С")))</f>
        <v>С</v>
      </c>
      <c r="CY61" t="str">
        <f t="shared" si="32"/>
        <v>1P С6А</v>
      </c>
      <c r="CZ61">
        <f t="shared" si="33"/>
        <v>10</v>
      </c>
      <c r="DA61" t="str">
        <f t="shared" si="34"/>
        <v>1P С10А</v>
      </c>
      <c r="DB61" cm="1">
        <f t="array" ref="DB61">IF(DA61="","",_xlfn.LET(_xlpm.t,SUBSTITUTE(SUBSTITUTE(SUBSTITUTE(UPPER(DA61),"С","C"),"А","A"),"В","B"),_xlpm.tk,_xlfn.TEXTSPLIT(_xlpm.t,"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1" t="str">
        <f t="shared" si="35"/>
        <v>ok</v>
      </c>
      <c r="DD61">
        <f t="shared" si="36"/>
        <v>10</v>
      </c>
      <c r="DE61" t="str">
        <f t="shared" si="37"/>
        <v>1P С10А</v>
      </c>
      <c r="DF61">
        <f t="shared" si="38"/>
        <v>0</v>
      </c>
      <c r="DG61">
        <f t="shared" si="39"/>
        <v>0</v>
      </c>
      <c r="DH61">
        <f t="shared" si="40"/>
        <v>0</v>
      </c>
      <c r="DI61">
        <f t="shared" si="41"/>
        <v>1.46141786888624</v>
      </c>
      <c r="DJ61">
        <f t="shared" si="42"/>
        <v>1</v>
      </c>
      <c r="DK61">
        <f>IF(ISNUMBER(AL61),AL61,К_прокл)</f>
        <v>1</v>
      </c>
      <c r="DL61">
        <f t="shared" si="43"/>
        <v>2</v>
      </c>
      <c r="DM61">
        <f>IFERROR(N(VLOOKUP(BT61,Кабель_обозначение,3,FALSE)),1)</f>
        <v>1</v>
      </c>
      <c r="DN61">
        <f>IFERROR(N(_xlfn.XLOOKUP(A61,Щиты[Щит],Щиты[ΔU до шин, %])),0)</f>
        <v>0.64</v>
      </c>
      <c r="DO61" t="str">
        <f>IFERROR(_xlfn.XLOOKUP(A61,Щиты[Щит],Щиты[Zпетли на шинах, Ом]),"")</f>
        <v/>
      </c>
      <c r="DP61">
        <f>IFERROR(N(_xlfn.XLOOKUP(A61,Щиты[Щит],Щиты[ΔU до шин (подбор), %])),0)</f>
        <v>0.75</v>
      </c>
      <c r="DQ61" t="str">
        <f>IFERROR(_xlfn.XLOOKUP(A61,Щиты[Щит],Щиты[Zпетли на шинах (подбор), Ом]),"")</f>
        <v/>
      </c>
      <c r="DR61" t="str">
        <f t="shared" si="44"/>
        <v/>
      </c>
      <c r="DS61">
        <f t="shared" si="45"/>
        <v>11</v>
      </c>
      <c r="DT61">
        <f t="shared" si="46"/>
        <v>2</v>
      </c>
      <c r="DU61">
        <f t="shared" si="47"/>
        <v>0.6</v>
      </c>
      <c r="DV61" s="6">
        <f>IF(B61="","",IF(IFERROR(VLOOKUP(AX61,УГО_спр,2,FALSE),"")="Светильник",3,4)+IF(Методика="нормы 2026",MIN(0.5,MAX(0,N(Q61)-100)*0.005),0))</f>
        <v>4</v>
      </c>
      <c r="DW61" cm="1">
        <f t="array" ref="DW61">IF(OR(B61="",BT61="",DM61&lt;&gt;1),"",_xlfn.LET(_xlpm.sz,Iдоп_S,_xlpm.t_,CHOOSE(DL61,Iдоп_1ж,Iдоп_2ж,Iдоп_3ж)*DJ61*DK61,_xlpm.inn,N(DD61),_xlpm.smin,MAX(1.5,BW61),_xlpm.L_,N(Q61)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61)*(_xlpm.rho*_xlpm.L_/_xlpm.sz*N(BY61)+_xlpm.xx*_xlpm.L_*N(DU61)/1000)*N(P61)/((Uн_лин/SQRT(3))*1000)*100,999),_xlpm.kz,IF(OR(DG61=1,NOT(ISNUMBER(DQ61)),_xlpm.L_=0,_xlpm.inn=0),1,IFERROR(--(c_min*(Uн_лин*1000/SQRT(3))/(DQ61+2*ρкз_Cu*_xlpm.L_/_xlpm.sz)&gt;=GY61*_xlpm.inn),0)),_xlpm.ok,IFERROR((_xlpm.sz&gt;=_xlpm.smin)*(_xlpm.t_&gt;=_xlpm.inn)*IF(_xlpm.L_&gt;0,(_xlpm.du_+DP61&lt;=DV61+0.00001),1)*_xlpm.kz,0),_xlpm.r_,_xlfn._xlws.FILTER(_xlpm.sz,_xlpm.ok,"не подобрано"),INDEX(_xlpm.r_,1)))</f>
        <v>1.5</v>
      </c>
      <c r="DX61">
        <f t="shared" si="48"/>
        <v>1.5</v>
      </c>
      <c r="DY61" cm="1">
        <f t="array" ref="DY61">IF(OR(B61="",BT61="",DM61&lt;&gt;1),"",_xlfn.LET(_xlpm.sz,Iдоп_S,_xlpm.t_,CHOOSE(DL61,Iдоп_1ж,Iдоп_2ж,Iдоп_3ж)*DJ61*DK61,_xlpm.ok,IFERROR((_xlpm.sz&gt;=MAX(1.5,BW61))*(_xlpm.t_&gt;=N(DD61)),0),_xlpm.r_,_xlfn._xlws.FILTER(_xlpm.sz,_xlpm.ok,""),INDEX(_xlpm.r_,1)))</f>
        <v>1.5</v>
      </c>
      <c r="DZ61" s="6" cm="1">
        <f t="array" ref="DZ61">IFERROR(ROUNDUP(N(DT61)*(_xlfn.XLOOKUP(DY61,INDEX(Кабель_сопротивление,0,1),INDEX(Кабель_сопротивление,0,3))*N(Q61)/DY61*N(BY61)+_xlfn.XLOOKUP(DY61,INDEX(Кабель_сопротивление,0,1),INDEX(Кабель_сопротивление,0,2))*N(Q61)*N(DU61)/1000)*N(P61)/((Uн_лин/SQRT(3))*1000)*100,2),"")</f>
        <v>0.23</v>
      </c>
      <c r="EA61">
        <f>IFERROR(2*ρкз_Cu*N(Q61)/DY61,"")</f>
        <v>0.52600000000000002</v>
      </c>
      <c r="EB61">
        <f>IFERROR(VLOOKUP(DX61,Кабель_сопротивление,3,FALSE),"")</f>
        <v>2.2499999999999999E-2</v>
      </c>
      <c r="EC61">
        <f>IFERROR(VLOOKUP(DX61,Кабель_сопротивление,2,FALSE),"")</f>
        <v>0.11</v>
      </c>
      <c r="ED61">
        <f t="shared" si="49"/>
        <v>15</v>
      </c>
      <c r="EE61">
        <f t="shared" si="50"/>
        <v>0</v>
      </c>
      <c r="EF61">
        <f t="shared" si="51"/>
        <v>0.52900404017944114</v>
      </c>
      <c r="EG61" s="6">
        <f>IFERROR(ROUNDUP(EF61/((Uн_лин/SQRT(3))*1000)*100,2),"")</f>
        <v>0.23</v>
      </c>
      <c r="EH61" t="str">
        <f>IFERROR(VLOOKUP(BT61,Кабель_обозначение,2,FALSE),"")</f>
        <v>ВВГнг(А)-LS</v>
      </c>
      <c r="EI61" t="str">
        <f t="shared" si="52"/>
        <v>ВВГнг(А)-LS (3х1,5)</v>
      </c>
      <c r="EJ61" t="str">
        <f t="shared" si="53"/>
        <v>ВВГнг(А)-LS (3х1,5)
L=15-0,23%</v>
      </c>
      <c r="EK61">
        <f>IFERROR(2*ρкз_Cu*Q61/DX61,"")</f>
        <v>0.52600000000000002</v>
      </c>
      <c r="EL61">
        <f t="shared" si="54"/>
        <v>0.17500000000000002</v>
      </c>
      <c r="EM61" s="6" t="str">
        <f>IFERROR(IF(OR(B61="",NOT(ISNUMBER(DX61)),N(Q61)=0),"",_xlfn.XLOOKUP(A61,Щиты[Щит],Щиты[Zпетли на шинах, Ом])+EK61),"")</f>
        <v/>
      </c>
      <c r="EN61" s="6" t="str">
        <f>IF(ISNUMBER(EM61),c_min*(Uн_лин*1000/SQRT(3))/EM61,"")</f>
        <v/>
      </c>
      <c r="EO61" s="6" t="str">
        <f>IFERROR(IF(OR(B61="",NOT(ISNUMBER(DX61))),"",1.05*(Uн_лин*1000/SQRT(3))/(_xlfn.XLOOKUP(A61,Щиты[Щит],Щиты[Zmax на шинах, Ом])+EL61)/1000),"")</f>
        <v/>
      </c>
      <c r="EP61" s="6" t="str">
        <f>IF(B61="","",IF(ISNUMBER(Y61),"Сил",IF(IFERROR(_xlfn.XLOOKUP(AX61,Коды_код,Коды_группа)&amp;"","")="","Быт",_xlfn.XLOOKUP(AX61,Коды_код,Коды_группа)&amp;"")))</f>
        <v>Сил</v>
      </c>
      <c r="EQ61" s="6" t="str">
        <f t="shared" si="55"/>
        <v>Сил</v>
      </c>
      <c r="ER61" s="6">
        <f>IF(EQ61="Щит","щит",IF(EQ61="","",IF(EQ61="Быт",IFERROR(_xlfn.XLOOKUP(A61,Щиты[Щит],Щиты[Кс быт]),1),IF(EQ61="Сил",IF(ISNUMBER(Y61),Y61,IF(Методика="нормы 2026",IFERROR(_xlfn.XLOOKUP(A61,Щиты[Щит],Щиты[Кс силовых (табл. 7.5)]),1),1)),IF(OR(EQ61="Пост",EQ61="Отоп"),1,IF(EQ61="ВНГ",0.7,0))))))</f>
        <v>0.5</v>
      </c>
      <c r="ES61">
        <f t="shared" si="56"/>
        <v>1</v>
      </c>
      <c r="ET61">
        <f t="shared" si="57"/>
        <v>0.27</v>
      </c>
      <c r="EU61">
        <f t="shared" si="58"/>
        <v>0</v>
      </c>
      <c r="EV61">
        <f t="shared" si="59"/>
        <v>0.13500000000000001</v>
      </c>
      <c r="EW61">
        <f t="shared" si="60"/>
        <v>0</v>
      </c>
      <c r="EX61">
        <f t="shared" si="61"/>
        <v>0</v>
      </c>
      <c r="EY61">
        <f t="shared" si="62"/>
        <v>0</v>
      </c>
      <c r="EZ61">
        <f t="shared" si="63"/>
        <v>0.27</v>
      </c>
      <c r="FA61">
        <f t="shared" si="64"/>
        <v>0.21600000000000003</v>
      </c>
      <c r="FB61">
        <f t="shared" si="65"/>
        <v>0.27</v>
      </c>
      <c r="FC61" t="str">
        <f t="shared" si="66"/>
        <v/>
      </c>
      <c r="FD61" t="str">
        <f>IF(B61="","",IF(CA61=0,IF(AW61=1,"",FF60),IF(OR(N(CV61)&gt;=3,N(BR61)&gt;=3),"L1,L2,L3",IFERROR(_xlfn.TEXTBEFORE(_xlfn.TEXTAFTER(_xlfn.XLOOKUP(A61,Щиты[Щит],Щиты[_фазы авто]),";"&amp;AW61&amp;":"),";"),"L1"))))</f>
        <v>L3</v>
      </c>
      <c r="FE61" t="str">
        <f t="shared" si="67"/>
        <v>L3</v>
      </c>
      <c r="FF61" t="str">
        <f t="shared" si="68"/>
        <v>L3</v>
      </c>
      <c r="FG61" cm="1">
        <f t="array" ref="FG61">IFERROR(IF(BX61=2,_xlfn.IFS(BR61=3,VLOOKUP(BN61,Справочная_двигатели,3,FALSE),BR61=1,VLOOKUP(BN61,Справочная_двигатели,5,TRUE)),0),0)</f>
        <v>0</v>
      </c>
      <c r="FH61">
        <f>IFERROR(IF(BX61=3,VLOOKUP(BN61,Справочная_ЛЭД,2,TRUE),0),0)</f>
        <v>0</v>
      </c>
      <c r="FI61" s="6">
        <f t="shared" si="69"/>
        <v>0</v>
      </c>
      <c r="FJ61" t="str" cm="1">
        <f t="array" ref="FJ61">IF(B61="","",IFERROR(INDEX({"I особая","I","II","III"},MATCH(TRIM(AC61&amp;""),{"I особая","I","II","III"},0)),"III"))</f>
        <v>II</v>
      </c>
      <c r="FK61" t="str">
        <f>IF(B61="","",IF(TRIM(AD61&amp;"")&lt;&gt;"",IF(LOWER(TRIM(AD61&amp;""))="да","да","нет"),IF(IFERROR(_xlfn.XLOOKUP(AX61,Коды_код,Коды_пожарная),"")="да","да","нет")))</f>
        <v>нет</v>
      </c>
      <c r="FL61" t="str">
        <f t="shared" si="70"/>
        <v/>
      </c>
      <c r="FM61" t="str">
        <f t="shared" si="71"/>
        <v>основная</v>
      </c>
      <c r="FN61">
        <f t="shared" si="72"/>
        <v>1</v>
      </c>
      <c r="FO61" t="str" cm="1">
        <f t="array" ref="FO61">IF(B61="","",_xlfn.LET(_xlpm.t,IFERROR(_xlfn.XLOOKUP(1,(Шины[Шина]=FM61)*(((Шины[Щит]=A61)+(Шины[Щит]=""))&gt;0),Шины[Тип]),"")&amp;"",IF(_xlpm.t&lt;&gt;"",_xlpm.t,IF(ISNUMBER(SEARCH("ИБП",FM61)),"ИБП",IF(ISNUMBER(SEARCH("ДГУ",FM61)),"ДГУ","Ввод "&amp;FN61)))))</f>
        <v>Ввод 1</v>
      </c>
      <c r="FP61" t="str">
        <f t="shared" si="73"/>
        <v>Ввод 1</v>
      </c>
      <c r="FQ61" t="str">
        <f>IF(B61="","",IF(OR(FO61="ИБП",FO61="ДГУ"),"I особая",IF(FO61="Одиночная","III",_xlfn.XLOOKUP(A61,Щиты[Щит],Щиты[Категория шины «Ввод»],"III"))))</f>
        <v>II</v>
      </c>
      <c r="FR61">
        <f>IF(B61="",0,IFERROR(MATCH(FJ61,{"III","II","I","I особая"},0),1))</f>
        <v>2</v>
      </c>
      <c r="FS61">
        <f t="shared" si="74"/>
        <v>2</v>
      </c>
      <c r="FT61" t="str">
        <f>IF(B61="","",IF(FR61&gt;IFERROR(MATCH(FQ61,{"III","II","I","I особая"},0),1),"НЕ ОБЕСПЕЧЕНА","ОК"))</f>
        <v>ОК</v>
      </c>
      <c r="FU61" t="str">
        <f>IF(A61="","",_xlfn.XLOOKUP(A61,Щиты[Щит],Щиты[Путь],""))</f>
        <v>|ГРЩ-ЖД|ЩОВ-001|</v>
      </c>
      <c r="FV61" t="str">
        <f>IF(B61="","",IF(AE61&lt;&gt;"",AE61,IF(IFERROR(_xlfn.XLOOKUP(AX61,Коды_код,Коды_вид)&amp;"","")="","Прочее",_xlfn.XLOOKUP(AX61,Коды_код,Коды_вид)&amp;"")))</f>
        <v>Вентиляция</v>
      </c>
      <c r="FW61">
        <f>IF(BH61="","",INT((BH61-1)/Столбцов_на_лист)+1)</f>
        <v>2</v>
      </c>
      <c r="FX61" t="str">
        <f t="shared" si="75"/>
        <v>ВВГнг(А)-LS (3х1,5) L=15-0,23%</v>
      </c>
      <c r="FY61">
        <f t="shared" si="76"/>
        <v>0.27</v>
      </c>
      <c r="FZ61">
        <f t="shared" si="77"/>
        <v>1.47</v>
      </c>
      <c r="GA61">
        <f t="shared" si="78"/>
        <v>1</v>
      </c>
      <c r="GB61">
        <f t="shared" si="79"/>
        <v>0</v>
      </c>
      <c r="GC61">
        <f t="shared" si="80"/>
        <v>1</v>
      </c>
      <c r="GD61">
        <f>IF(BH61="","",IF(AND(CA61=1,GC61=1),COUNTIFS(A$3:A61,A61,CA$3:CA61,1,GC$3:GC61,1),IF(OR(OR(AW61=1,A61&lt;&gt;A60),AF61="вручную",GC61=0),"",IF(AW61=1,"",GE60))))</f>
        <v>8</v>
      </c>
      <c r="GE61">
        <f t="shared" si="81"/>
        <v>8</v>
      </c>
      <c r="GF61">
        <f>IF(B61="","",IFERROR(LOOKUP(INDEX(CHOOSE(DL61,Iдоп_1ж,Iдоп_2ж,Iдоп_3ж),MATCH(DX61,Iдоп_S,0))*DJ61*DK61,{6,10,16,20,25,32,40,50,63,80,100,125,160,200,250,315,400,500,630}),""))</f>
        <v>16</v>
      </c>
      <c r="GG61" t="str">
        <f t="shared" si="82"/>
        <v>QF8</v>
      </c>
      <c r="GH61" t="str">
        <f t="shared" si="83"/>
        <v>QF8</v>
      </c>
      <c r="GI61" t="str">
        <f t="shared" si="84"/>
        <v/>
      </c>
      <c r="GJ61">
        <f t="shared" si="85"/>
        <v>0</v>
      </c>
      <c r="GK61" t="str">
        <f>IF(OR(AG61="",AG61="-"),"",IFERROR(VLOOKUP(AG61,Модули_спр,2,FALSE),"R"))</f>
        <v/>
      </c>
      <c r="GL61" t="str">
        <f>IF(GK61="","",GK61&amp;"."&amp;COUNTIFS(A$3:A61,A61,GK$3:GK61,GK61))</f>
        <v/>
      </c>
      <c r="GM61" t="str">
        <f t="shared" si="86"/>
        <v/>
      </c>
      <c r="GN61" t="str">
        <f t="shared" si="87"/>
        <v/>
      </c>
      <c r="GO61" t="str">
        <f t="shared" si="88"/>
        <v/>
      </c>
      <c r="GP61" t="str">
        <f t="shared" si="89"/>
        <v/>
      </c>
      <c r="GQ61">
        <f t="shared" si="90"/>
        <v>1</v>
      </c>
      <c r="GR61" t="str">
        <f>IF(GQ61=1,"XT"&amp;COUNTIFS(A$3:A61,A61,GQ$3:GQ61,1),"")</f>
        <v>XT8</v>
      </c>
      <c r="GS61" t="str">
        <f t="shared" si="91"/>
        <v/>
      </c>
      <c r="GT61" t="str">
        <f t="shared" si="92"/>
        <v>QF8</v>
      </c>
      <c r="GU61" t="str">
        <f t="shared" si="93"/>
        <v/>
      </c>
      <c r="GV61" t="str">
        <f t="shared" si="94"/>
        <v>ok</v>
      </c>
      <c r="GW61" t="str">
        <f>IF(OR(GO61="",GM61=""),"",IF(GO61&gt;IFERROR(VLOOKUP(GN61,Модули_спр,3,FALSE),99),"ЛИШНИЙ КАНАЛ",IF(AND(AH61&lt;&gt;"=",COUNTIFS(Линии[_модуль гр.],GM61,Линии[Канал (итог)],GO61,Линии[Канал],"&lt;&gt;=",Линии[Щит],A61)&gt;1),"ДУБЛЬ КАНАЛА","")))</f>
        <v/>
      </c>
      <c r="GX61" s="6" t="str">
        <f t="shared" si="95"/>
        <v/>
      </c>
      <c r="GY61">
        <f t="shared" si="96"/>
        <v>10</v>
      </c>
      <c r="GZ61" t="str">
        <f t="shared" si="97"/>
        <v/>
      </c>
      <c r="HA61" t="str">
        <f>IF(AND(B61="",GT61=""),"",_xlfn.TEXTJOIN("; ",TRUE,IF(AND(B61&lt;&gt;"",FE61=""),"нет фазы",""),IF(AND(B61&lt;&gt;"",N(FY61)=0,EQ61&lt;&gt;"Нет"),"нет мощности",""),IF(AND(GS61&lt;&gt;"",COUNTIFS(Линии[Щит],A61,Линии[Клемма (итог)],GS61)&gt;1),"дубль клеммы "&amp;GS61,""),IF(AND(GV61&lt;&gt;"",GV61&lt;&gt;"ok"),GV61,""),IF(GW61&lt;&gt;"",GW61,""),IF(AND(N(BV61)&gt;=4,N(BR61)=1),BV61&amp;" жил на 1 фазе",""),IF(AND(AX61="R",CA61=1,OR(N(CK61)=0,N(CK61)&gt;30)),"розетка без дифзащиты до 30 мА",""),IFERROR(IF(AND(ISNUMBER(R61),R61&gt;DV61),"потери "&amp;FIXED(R61,1)&amp;" % &gt; "&amp;DV61&amp;" %",""),""),IFERROR(IF(LEFT(GZ61,4)="мало","Iкз мало — отключение &gt; 0,4 с",""),""),IF(AND(B61&lt;&gt;"",BH61=""),"не на схеме",""),IF(AND(CA61=0,B61&lt;&gt;"",FE61&lt;&gt;"",IF(AW61=1,"",FF60)&lt;&gt;"",FE61&lt;&gt;IF(AW61=1,"",FF60)),"фаза не как у автомата группы ("&amp;IF(AW61=1,"",FF60)&amp;")","")))</f>
        <v/>
      </c>
      <c r="HB61" s="6">
        <f>IF(OR(CA61=0,DA61=""),"",_xlfn.LET(_xlpm.t,IFERROR(_xlfn.XLOOKUP(DA61,Каталог!$U$4:$U$500,Каталог!$G$4:$G$500),""),_xlpm.k,SEARCH("кА",_xlpm.t),IFERROR(--TRIM(RIGHT(SUBSTITUTE(MID(_xlpm.t,MAX(1,_xlpm.k-4),_xlpm.k-MAX(1,_xlpm.k-4))," ",REPT(" ",9)),5)),"")))</f>
        <v>6</v>
      </c>
      <c r="HC61" t="str">
        <f>IF(OR(HB61="",CA61=0),"",IF(_xlfn.XLOOKUP(A61,Щиты[Щит],Щиты[Iкз max на шинах, кА],"")="","",IF(HB61&lt;_xlfn.XLOOKUP(A61,Щиты[Щит],Щиты[Iкз max на шинах, кА]),"Icu "&amp;HB61&amp;" кА &lt; Iкз max","ok")))</f>
        <v/>
      </c>
      <c r="HD61" t="str">
        <f t="shared" si="98"/>
        <v/>
      </c>
      <c r="HE61" t="str">
        <f t="shared" si="99"/>
        <v>QF8</v>
      </c>
      <c r="HF61" t="str">
        <f t="shared" si="100"/>
        <v>QF8|кабель ВВГнг(А)-LS (3х1,5) → Приточная установка Пом №006Т</v>
      </c>
      <c r="HG61" t="str" cm="1">
        <f t="array" ref="HG61">IF(HF61="","",_xlfn.LET(_xlpm.nd,_xlfn.TEXTSPLIT(HF61,"|"),IF(COLUMNS(_xlpm.nd)&gt;1,A61&amp;"¦"&amp;INDEX(_xlpm.nd,1)&amp;"¦"&amp;INDEX(_xlpm.nd,2),"")))</f>
        <v>ЩОВ-001¦QF8¦кабель ВВГнг(А)-LS (3х1,5) → Приточная установка Пом №006Т</v>
      </c>
      <c r="HH61" t="str">
        <f t="shared" si="101"/>
        <v>П.1¦Приточная установка Пом №006Т</v>
      </c>
      <c r="HI61" t="str" cm="1">
        <f t="array" ref="HI61">IF(HF61="","",_xlfn.LET(_xlpm.nd,_xlfn.TEXTSPLIT(HF61,"|"),IF(COLUMNS(_xlpm.nd)&gt;2,A61&amp;"¦"&amp;INDEX(_xlpm.nd,2)&amp;"¦"&amp;INDEX(_xlpm.nd,3),"")))</f>
        <v/>
      </c>
      <c r="HJ61" t="str">
        <f t="shared" si="102"/>
        <v/>
      </c>
      <c r="HK61" t="str" cm="1">
        <f t="array" ref="HK61">IF(HF61="","",_xlfn.LET(_xlpm.nd,_xlfn.TEXTSPLIT(HF61,"|"),IF(COLUMNS(_xlpm.nd)&gt;3,A61&amp;"¦"&amp;INDEX(_xlpm.nd,3)&amp;"¦"&amp;INDEX(_xlpm.nd,4),"")))</f>
        <v/>
      </c>
      <c r="HL61" t="str">
        <f t="shared" si="103"/>
        <v/>
      </c>
      <c r="HM61" t="str" cm="1">
        <f t="array" ref="HM61">IF(HF61="","",_xlfn.LET(_xlpm.nd,_xlfn.TEXTSPLIT(HF61,"|"),IF(COLUMNS(_xlpm.nd)&gt;4,A61&amp;"¦"&amp;INDEX(_xlpm.nd,4)&amp;"¦"&amp;INDEX(_xlpm.nd,5),"")))</f>
        <v/>
      </c>
      <c r="HN61" t="str">
        <f t="shared" si="104"/>
        <v/>
      </c>
      <c r="HO61" t="str" cm="1">
        <f t="array" ref="HO61">IF(HF61="","",_xlfn.LET(_xlpm.nd,_xlfn.TEXTSPLIT(HF61,"|"),IF(COLUMNS(_xlpm.nd)&gt;5,A61&amp;"¦"&amp;INDEX(_xlpm.nd,5)&amp;"¦"&amp;INDEX(_xlpm.nd,6),"")))</f>
        <v/>
      </c>
      <c r="HP61" t="str">
        <f t="shared" si="105"/>
        <v/>
      </c>
      <c r="HQ61" t="str" cm="1">
        <f t="array" ref="HQ61">IF(HF61="","",_xlfn.LET(_xlpm.nd,_xlfn.TEXTSPLIT(HF61,"|"),IF(COLUMNS(_xlpm.nd)&gt;6,A61&amp;"¦"&amp;INDEX(_xlpm.nd,6)&amp;"¦"&amp;INDEX(_xlpm.nd,7),"")))</f>
        <v/>
      </c>
      <c r="HR61" t="str">
        <f t="shared" si="106"/>
        <v/>
      </c>
      <c r="HS61" t="str">
        <f t="shared" si="107"/>
        <v/>
      </c>
      <c r="HT61" t="str">
        <f t="shared" si="108"/>
        <v>QF8</v>
      </c>
      <c r="HU61">
        <f t="shared" si="109"/>
        <v>0</v>
      </c>
      <c r="HV61">
        <f t="shared" si="110"/>
        <v>0</v>
      </c>
      <c r="HW61" t="str">
        <f t="shared" si="111"/>
        <v/>
      </c>
      <c r="HX61" t="str">
        <f t="shared" si="112"/>
        <v/>
      </c>
      <c r="HY61" t="str">
        <f t="shared" si="113"/>
        <v/>
      </c>
      <c r="HZ61" t="str">
        <f t="shared" si="114"/>
        <v/>
      </c>
      <c r="IA61" t="str">
        <f>IF(B61="","",IFERROR(VLOOKUP(B61,УГО_спр,2,FALSE),IFERROR(VLOOKUP(AX61,УГО_спр,2,FALSE),IFERROR(VLOOKUP(LEFT(AX61,2),УГО_спр,2,FALSE),""))))</f>
        <v>Привод (двигатель)</v>
      </c>
      <c r="IB61" t="str">
        <f>IF(B61="","",IF(OR(IA61="",IA61=0),"BOX",IFERROR(IF(VLOOKUP(IA61,УГО_блоки,3,FALSE)&amp;""&lt;&gt;"",VLOOKUP(IA61,УГО_блоки,3,FALSE),VLOOKUP(IA61,УГО_блоки,2,FALSE)),IA61)))</f>
        <v>MOTOR</v>
      </c>
      <c r="IC61">
        <f t="shared" si="115"/>
        <v>1</v>
      </c>
      <c r="ID61" t="str">
        <f>IF(DA61="","",IF(COUNTIF(DA$3:DA61,DA61)=1,MAX(ID$2:ID60)+1,""))</f>
        <v/>
      </c>
      <c r="IE61" t="str">
        <f>IF(CO61="","",IF(COUNTIF(CO$3:CO61,CO61)+COUNTIF(CP$2:CP60,CO61)+COUNTIF(CQ$2:CQ60,CO61)=1,MAX(IE$2:IG60)+1,""))</f>
        <v/>
      </c>
      <c r="IF61" t="str">
        <f>IF(CP61="","",IF(COUNTIF(CO$3:CO61,CP61)+COUNTIF(CP$3:CP61,CP61)+COUNTIF(CQ$2:CQ60,CP61)=1,MAX(IE$2:IG60,IE61)+1,""))</f>
        <v/>
      </c>
      <c r="IG61" t="str">
        <f>IF(CQ61="","",IF(COUNTIF(CO$3:CO61,CQ61)+COUNTIF(CP$3:CP61,CQ61)+COUNTIF(CQ$3:CQ61,CQ61)=1,MAX(IE$2:IG60,IE61,IF61)+1,""))</f>
        <v/>
      </c>
      <c r="IH61" t="str">
        <f t="shared" si="116"/>
        <v>3х1,5</v>
      </c>
      <c r="II61" t="str">
        <f>IF(IH61="","",IF(COUNTIF(IH$3:IH61,IH61)=1,MAX(II$2:II60)+1,""))</f>
        <v/>
      </c>
      <c r="IJ61" t="str">
        <f>IF(GL61="","",COUNTIF(GL$3:GL61,"?*"))</f>
        <v/>
      </c>
      <c r="IK61" t="str">
        <f>IF(OR(GL61="",GN61=""),"",IF(COUNTIFS(GL$3:GL61,"?*",GN$3:GN61,GN61)=1,MAX(IK$2:IK60)+1,""))</f>
        <v/>
      </c>
      <c r="IL61">
        <f t="shared" si="117"/>
        <v>0</v>
      </c>
      <c r="IM61">
        <f>IF(B61="","",COUNTIF(B$3:B61,"?*"))</f>
        <v>59</v>
      </c>
      <c r="IN61">
        <f>IF(GQ61&lt;&gt;1,0,_xlfn.LET(_xlpm.k,MAX(IFERROR(--VLOOKUP(B61,УГО_спр,5,FALSE),0),IFERROR(--VLOOKUP(AX61,УГО_спр,5,FALSE),0),IFERROR(--VLOOKUP(LEFT(AX61,2),УГО_спр,5,FALSE),0)),IF(_xlpm.k&gt;0,_xlpm.k,IF(IFERROR(--LEFT(SUBSTITUTE(IH61,"x","х"),FIND("х",SUBSTITUTE(IH61,"x","х"))-1),3)&gt;3,Каталог!$S$9,1))))</f>
        <v>1</v>
      </c>
      <c r="IO61">
        <f t="shared" si="118"/>
        <v>0</v>
      </c>
      <c r="IP61" t="str">
        <f t="shared" si="119"/>
        <v>авто</v>
      </c>
      <c r="IQ61" t="str">
        <f t="shared" si="120"/>
        <v/>
      </c>
      <c r="IR61">
        <f t="shared" si="121"/>
        <v>0</v>
      </c>
      <c r="IS61">
        <f t="shared" si="122"/>
        <v>1</v>
      </c>
    </row>
    <row r="62" spans="1:253" x14ac:dyDescent="0.3">
      <c r="A62" t="s">
        <v>749</v>
      </c>
      <c r="B62" t="s">
        <v>1334</v>
      </c>
      <c r="C62" t="s">
        <v>1616</v>
      </c>
      <c r="D62">
        <v>1</v>
      </c>
      <c r="E62">
        <v>0.12</v>
      </c>
      <c r="G62">
        <v>10</v>
      </c>
      <c r="H62" t="str">
        <f>Линии[[#This Row],[_авто утечка]]</f>
        <v/>
      </c>
      <c r="I62" t="str">
        <f>Линии[[#This Row],[_авто управление]]</f>
        <v/>
      </c>
      <c r="J62" t="str">
        <f>Линии[[#This Row],[_авто аппараты]]</f>
        <v/>
      </c>
      <c r="K62">
        <v>1.5</v>
      </c>
      <c r="L62">
        <v>22</v>
      </c>
      <c r="M62" t="str">
        <f>Линии[[#This Row],[_авто фаза]]</f>
        <v>L2</v>
      </c>
      <c r="N62" t="s">
        <v>486</v>
      </c>
      <c r="O62" t="str">
        <f t="shared" si="0"/>
        <v/>
      </c>
      <c r="P62" s="6" cm="1">
        <f t="array" ref="P62">IF(B62="","",IF(BC62&lt;&gt;"",IFERROR(_xlfn.XLOOKUP(BC62,Щиты[Щит],Щиты[Iр, А]),""),IF(BK62=1,IFERROR(_xlfn.XLOOKUP(A62,Щиты[Щит],Щиты[Iр, А]),""),IFERROR(_xlfn.IFS(BR62=1,BN62/((Uн_лин/SQRT(3))*BY62),BR62=3,BN62/(SQRT(3)*Uн_лин*BY62)),""))))</f>
        <v>0.64951905283832878</v>
      </c>
      <c r="Q62" s="7">
        <f>IF(B62="","",IFERROR(IF(VLOOKUP(AX62,Потребители_обозначение,4,FALSE)=1,VLOOKUP(AX62,Потребители_обозначение,3,FALSE)*(D62*2-1)+DS62+VLOOKUP(AZ62,Этаж_обозначение,3,FALSE)+VLOOKUP(AZ62,Этаж_обозначение,4,FALSE),VLOOKUP(AX62,Потребители_обозначение,3,FALSE)*(D62*2-1)+DS62),DS62))</f>
        <v>26</v>
      </c>
      <c r="R62" s="6">
        <f t="shared" si="1"/>
        <v>0.82000000000000006</v>
      </c>
      <c r="S62" t="str">
        <f t="shared" si="2"/>
        <v>ВВГнг(А)-LS (3х1,5)</v>
      </c>
      <c r="T62" t="str">
        <f>IF(BH62="","",IF(BI62="вводной узел","узел ","")&amp;"л."&amp;(INT((BH62-1)/Столбцов_на_лист)+1)&amp;" / "&amp;(MOD(BH62-1,Столбцов_на_лист)+1))</f>
        <v>л.2 / 11</v>
      </c>
      <c r="V62">
        <v>1</v>
      </c>
      <c r="W62">
        <v>230</v>
      </c>
      <c r="X62" t="s">
        <v>600</v>
      </c>
      <c r="Y62">
        <v>0.5</v>
      </c>
      <c r="AC62" t="s">
        <v>815</v>
      </c>
      <c r="AE62" t="s">
        <v>582</v>
      </c>
      <c r="AI62">
        <v>28</v>
      </c>
      <c r="AJ62" t="s">
        <v>11</v>
      </c>
      <c r="AK62">
        <v>3</v>
      </c>
      <c r="AN62">
        <v>26</v>
      </c>
      <c r="AP62">
        <v>1</v>
      </c>
      <c r="AW62" cm="1">
        <f t="array" ref="AW62">ROW()-ROW(Линии[#Headers])</f>
        <v>60</v>
      </c>
      <c r="AX62" s="6" t="str">
        <f t="shared" si="3"/>
        <v>П</v>
      </c>
      <c r="AY62" t="str">
        <f t="shared" si="4"/>
        <v>2</v>
      </c>
      <c r="AZ62" t="str">
        <f t="shared" si="5"/>
        <v>2</v>
      </c>
      <c r="BA62" t="str">
        <f t="shared" si="6"/>
        <v/>
      </c>
      <c r="BB62" t="str">
        <f t="shared" si="7"/>
        <v/>
      </c>
      <c r="BC62" t="str">
        <f>IF(U62&lt;&gt;"",U62,IF(AND(B62&lt;&gt;"",B62&lt;&gt;A62,ISNUMBER(_xlfn.XMATCH(B62,Щиты[Щит]))),B62,""))</f>
        <v/>
      </c>
      <c r="BD62" t="str" cm="1">
        <f t="array" ref="BD62">IF(B62="","",IF(BC62&lt;&gt;"","Щит "&amp;BC62,_xlfn.LET(_xlpm.nm,IFERROR(_xlfn.XLOOKUP(AX62,Коды_код,Коды_имя)&amp;"",""),_xlpm.md,IFERROR(N(_xlfn.XLOOKUP(AX62,Коды_код,Коды_режим)),1),_xlpm.ex,IF(Имя_режим="по экспликации",IFERROR(_xlfn.XLOOKUP(AZ62&amp;"|"&amp;BB62,Экспликация[Этаж]&amp;"|"&amp;Экспликация[Помещение],Экспликация[Название])&amp;"",""),""),_xlpm.rm,IF(BB62="","",IF(_xlpm.ex&lt;&gt;"",". "&amp;_xlpm.ex&amp;IF(Имя_пом="нет"," ("&amp;BB62&amp;")"," (пом. "&amp;BB62&amp;")"),IF(Имя_пом="нет"," ",", пом. ")&amp;BB62)),IF(_xlpm.nm="","",IF(_xlpm.md=2,_xlpm.nm&amp;" шлейф "&amp;AZ62,_xlpm.nm&amp;_xlpm.rm)))))</f>
        <v>Приточная установка шлейф 2</v>
      </c>
      <c r="BE62" t="str">
        <f t="shared" si="8"/>
        <v>Приточная установка Пом №006Т</v>
      </c>
      <c r="BF62">
        <f>IFERROR(_xlfn.XMATCH(A62,Щиты[Щит]),0)</f>
        <v>4</v>
      </c>
      <c r="BG62">
        <f>_xlfn.LET(_xlpm.k,IFERROR(_xlfn.XLOOKUP(A62,Щиты[Щит],Щиты[Листов под вводной узел]),""),IF(_xlpm.k="",1,N(_xlpm.k))*Столбцов_на_лист)</f>
        <v>17</v>
      </c>
      <c r="BH62">
        <f t="shared" si="9"/>
        <v>28</v>
      </c>
      <c r="BI62" t="str">
        <f t="shared" si="10"/>
        <v>линии</v>
      </c>
      <c r="BJ62" s="6">
        <f>IFERROR(N(_xlfn.XLOOKUP(AX62,Коды_код,Коды_квт)),0)</f>
        <v>0</v>
      </c>
      <c r="BK62">
        <f t="shared" si="11"/>
        <v>0</v>
      </c>
      <c r="BL62" t="str">
        <f>IF(B62="","",IF(BC62&lt;&gt;"",IFERROR(_xlfn.XLOOKUP(BC62,Щиты[Щит],Щиты[Руст, кВт]),0),IF(BK62=1,IFERROR(_xlfn.XLOOKUP(A62,Щиты[Щит],Щиты[Руст, кВт]),0),IF(BJ62&gt;0,ROUND(BJ62*MAX(1,N(D62)),3),""))))</f>
        <v/>
      </c>
      <c r="BM62">
        <f t="shared" si="12"/>
        <v>0.12</v>
      </c>
      <c r="BN62" s="6">
        <f>IF(B62="","",IF(BC62&lt;&gt;"",IFERROR(_xlfn.XLOOKUP(BC62,Щиты[Щит],Щиты[Руст, кВт]),0),N(BM62)))</f>
        <v>0.12</v>
      </c>
      <c r="BO62" t="str">
        <f>IF(B62="","",IFERROR(IF(VLOOKUP(AX62,Потребители_обозначение,8,FALSE)=0,"",VLOOKUP(AX62,Потребители_обозначение,8,FALSE)),""))</f>
        <v/>
      </c>
      <c r="BP62">
        <f t="shared" si="13"/>
        <v>230</v>
      </c>
      <c r="BQ62">
        <f>IF(B62="","",IF(BC62&lt;&gt;"",3,IFERROR(IF(N(VLOOKUP(AX62,Потребители_обозначение,9,FALSE))=0,1,VLOOKUP(AX62,Потребители_обозначение,9,FALSE)),1)))</f>
        <v>1</v>
      </c>
      <c r="BR62">
        <f t="shared" si="14"/>
        <v>1</v>
      </c>
      <c r="BS62" t="str">
        <f>IF(B62="","",_xlfn.LET(_xlpm.bc,IFERROR(IF(VLOOKUP(AX62,Потребители_обозначение,6,FALSE)=0,"",VLOOKUP(AX62,Потребители_обозначение,6,FALSE)&amp;""),""),IF(AND(FK62="да",OR(_xlpm.bc="",_xlpm.bc="мс")),Марка_пож,IF(AND(_xlpm.bc="",BC62&lt;&gt;""),"мс",_xlpm.bc))))</f>
        <v/>
      </c>
      <c r="BT62" t="str">
        <f t="shared" si="15"/>
        <v>мс</v>
      </c>
      <c r="BU62">
        <f>IF(B62="","",_xlfn.LET(_xlpm.cc,IFERROR(N(VLOOKUP(AX62,Потребители_обозначение,7,FALSE)),0),IF(_xlpm.cc&gt;0,_xlpm.cc,IF(BT62="","",IF(N(BR62)=3,5,3)))))</f>
        <v>3</v>
      </c>
      <c r="BV62">
        <f t="shared" si="16"/>
        <v>3</v>
      </c>
      <c r="BW62">
        <f>IFERROR(N(VLOOKUP(AX62,Потребители_обозначение,10,FALSE)),0)</f>
        <v>0</v>
      </c>
      <c r="BX62">
        <f>IFERROR(VLOOKUP(AX62,Потребители_обозначение,5,FALSE),0)</f>
        <v>1</v>
      </c>
      <c r="BY62" s="6" cm="1">
        <f t="array" ref="BY62">IF(B62="","",IF(BC62&lt;&gt;"",IFERROR(_xlfn.XLOOKUP(BC62,Щиты[Щит],Щиты[cos φ]),0.95),IF(BK62=1,IFERROR(_xlfn.XLOOKUP(A62,Щиты[Щит],Щиты[cos φ]),0.95),IF(ISNUMBER(Z62),Z62,IFERROR(IF(BX62=2,_xlfn.IFS(BR62=3,VLOOKUP(BN62,Справочная_двигатели,8,FALSE),BR62=1,VLOOKUP(BN62,Справочная_двигатели,10,TRUE)),IF(AND(Методика="нормы 2026",EQ62="Сил"),0.8,0.95)),0.95)))))</f>
        <v>0.8</v>
      </c>
      <c r="BZ62">
        <f t="shared" si="17"/>
        <v>0</v>
      </c>
      <c r="CA62">
        <f t="shared" si="18"/>
        <v>1</v>
      </c>
      <c r="CB62">
        <f t="shared" si="19"/>
        <v>0</v>
      </c>
      <c r="CC62">
        <f t="shared" si="20"/>
        <v>0</v>
      </c>
      <c r="CD62">
        <f t="shared" si="21"/>
        <v>0</v>
      </c>
      <c r="CE62">
        <f t="shared" si="22"/>
        <v>0</v>
      </c>
      <c r="CF62">
        <f t="shared" si="23"/>
        <v>0</v>
      </c>
      <c r="CG62">
        <f>IF(AX62="",0,_xlfn.LET(_xlpm.v,IFERROR(VLOOKUP(B62,УГО_спр,3,FALSE),IFERROR(VLOOKUP(AX62,УГО_спр,3,FALSE),IFERROR(VLOOKUP(LEFT(AX62,2),УГО_спр,3,FALSE),""))),IF(_xlpm.v="да",30,IF(ISNUMBER(_xlpm.v),_xlpm.v,0))))</f>
        <v>0</v>
      </c>
      <c r="CH62" t="str">
        <f t="shared" si="24"/>
        <v/>
      </c>
      <c r="CI62" t="str">
        <f>_xlfn.LET(_xlpm.k,IFERROR(_xlfn.XLOOKUP(AX62,Коды_код,Коды_утечка)&amp;"",""),IF(_xlpm.k="","дифавтомат",_xlpm.k))</f>
        <v>дифавтомат</v>
      </c>
      <c r="CJ62">
        <f t="shared" si="25"/>
        <v>0</v>
      </c>
      <c r="CK62">
        <f t="shared" si="26"/>
        <v>0</v>
      </c>
      <c r="CL62">
        <f>IF(B62="",0,IFERROR(--VLOOKUP(B62,УГО_спр,4,FALSE),IFERROR(--VLOOKUP(AX62,УГО_спр,4,FALSE),IFERROR(--VLOOKUP(LEFT(AX62,2),УГО_спр,4,FALSE),0))))</f>
        <v>0</v>
      </c>
      <c r="CM62" t="str">
        <f>IF(B62="","",IFERROR(_xlfn.XLOOKUP(AX62,Коды_код,Коды_апп)&amp;"",""))</f>
        <v/>
      </c>
      <c r="CN62" t="str">
        <f t="shared" si="27"/>
        <v/>
      </c>
      <c r="CO62" t="str" cm="1">
        <f t="array" ref="CO62">IF(TRIM(CN62&amp;"")="","",IFERROR(TRIM(INDEX(_xlfn.TEXTSPLIT(CN62&amp;";;;",";"),1)),""))</f>
        <v/>
      </c>
      <c r="CP62" t="str" cm="1">
        <f t="array" ref="CP62">IF(TRIM(CN62&amp;"")="","",IFERROR(TRIM(INDEX(_xlfn.TEXTSPLIT(CN62&amp;";;;",";"),2)),""))</f>
        <v/>
      </c>
      <c r="CQ62" t="str" cm="1">
        <f t="array" ref="CQ62">IF(TRIM(CN62&amp;"")="","",IFERROR(TRIM(INDEX(_xlfn.TEXTSPLIT(CN62&amp;";;;",";"),3)),""))</f>
        <v/>
      </c>
      <c r="CR62">
        <f t="shared" si="28"/>
        <v>0</v>
      </c>
      <c r="CS62" t="str">
        <f>IF(B62="","",_xlfn.LET(_xlpm.t,LOWER(AV62&amp;""),IF(ISNUMBER(SEARCH("dim",_xlpm.t)),"DIM",IF(ISNUMBER(SEARCH("dali",_xlpm.t)),"DALI",IF(OR(ISNUMBER(SEARCH("relay",_xlpm.t)),ISNUMBER(SEARCH("реле",_xlpm.t))),"Relay",IF(ISNUMBER(SEARCH("кнопк",_xlpm.t)),"",IFERROR(_xlfn.XLOOKUP(AX62,Коды_код,Коды_упр)&amp;"","")))))))</f>
        <v/>
      </c>
      <c r="CT62" t="str">
        <f t="shared" si="29"/>
        <v/>
      </c>
      <c r="CU62">
        <f>IF(B62="","",_xlfn.LET(_xlpm.ig,N(P62)+IF(AF62="вручную",0,N(CB62)),_xlpm.n0,IFERROR(VLOOKUP(_xlpm.ig,Автомат_номиналы,2,TRUE),0),_xlpm.mn,MAX(CL62,IF(AF62="вручную",0,N(CE62))),MAX(_xlpm.n0,_xlpm.mn,IF(CR62=1,Мин_автомат_БП,0))))</f>
        <v>6</v>
      </c>
      <c r="CV62">
        <f t="shared" si="30"/>
        <v>1</v>
      </c>
      <c r="CW62" t="str">
        <f t="shared" si="31"/>
        <v>1P</v>
      </c>
      <c r="CX62" t="str">
        <f>_xlfn.LET(_xlpm.cc,UPPER(TRIM(IFERROR(_xlfn.XLOOKUP(AX62,Коды_код,Коды_хар)&amp;"",""))),IF(OR(_xlpm.cc="B",_xlpm.cc="В"),"B",IF(_xlpm.cc="D","D","С")))</f>
        <v>С</v>
      </c>
      <c r="CY62" t="str">
        <f t="shared" si="32"/>
        <v>1P С6А</v>
      </c>
      <c r="CZ62">
        <f t="shared" si="33"/>
        <v>10</v>
      </c>
      <c r="DA62" t="str">
        <f t="shared" si="34"/>
        <v>1P С10А</v>
      </c>
      <c r="DB62" cm="1">
        <f t="array" ref="DB62">IF(DA62="","",_xlfn.LET(_xlpm.t,SUBSTITUTE(SUBSTITUTE(SUBSTITUTE(UPPER(DA62),"С","C"),"А","A"),"В","B"),_xlpm.tk,_xlfn.TEXTSPLIT(_xlpm.t,"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2" t="str">
        <f t="shared" si="35"/>
        <v>ok</v>
      </c>
      <c r="DD62">
        <f t="shared" si="36"/>
        <v>10</v>
      </c>
      <c r="DE62" t="str">
        <f t="shared" si="37"/>
        <v>1P С10А</v>
      </c>
      <c r="DF62">
        <f t="shared" si="38"/>
        <v>0</v>
      </c>
      <c r="DG62">
        <f t="shared" si="39"/>
        <v>0</v>
      </c>
      <c r="DH62">
        <f t="shared" si="40"/>
        <v>0</v>
      </c>
      <c r="DI62">
        <f t="shared" si="41"/>
        <v>0.64951905283832878</v>
      </c>
      <c r="DJ62">
        <f t="shared" si="42"/>
        <v>1</v>
      </c>
      <c r="DK62">
        <f>IF(ISNUMBER(AL62),AL62,К_прокл)</f>
        <v>1</v>
      </c>
      <c r="DL62">
        <f t="shared" si="43"/>
        <v>2</v>
      </c>
      <c r="DM62">
        <f>IFERROR(N(VLOOKUP(BT62,Кабель_обозначение,3,FALSE)),1)</f>
        <v>1</v>
      </c>
      <c r="DN62">
        <f>IFERROR(N(_xlfn.XLOOKUP(A62,Щиты[Щит],Щиты[ΔU до шин, %])),0)</f>
        <v>0.64</v>
      </c>
      <c r="DO62" t="str">
        <f>IFERROR(_xlfn.XLOOKUP(A62,Щиты[Щит],Щиты[Zпетли на шинах, Ом]),"")</f>
        <v/>
      </c>
      <c r="DP62">
        <f>IFERROR(N(_xlfn.XLOOKUP(A62,Щиты[Щит],Щиты[ΔU до шин (подбор), %])),0)</f>
        <v>0.75</v>
      </c>
      <c r="DQ62" t="str">
        <f>IFERROR(_xlfn.XLOOKUP(A62,Щиты[Щит],Щиты[Zпетли на шинах (подбор), Ом]),"")</f>
        <v/>
      </c>
      <c r="DR62" t="str">
        <f t="shared" si="44"/>
        <v/>
      </c>
      <c r="DS62">
        <f t="shared" si="45"/>
        <v>22</v>
      </c>
      <c r="DT62">
        <f t="shared" si="46"/>
        <v>2</v>
      </c>
      <c r="DU62">
        <f t="shared" si="47"/>
        <v>0.6</v>
      </c>
      <c r="DV62" s="6">
        <f>IF(B62="","",IF(IFERROR(VLOOKUP(AX62,УГО_спр,2,FALSE),"")="Светильник",3,4)+IF(Методика="нормы 2026",MIN(0.5,MAX(0,N(Q62)-100)*0.005),0))</f>
        <v>4</v>
      </c>
      <c r="DW62" cm="1">
        <f t="array" ref="DW62">IF(OR(B62="",BT62="",DM62&lt;&gt;1),"",_xlfn.LET(_xlpm.sz,Iдоп_S,_xlpm.t_,CHOOSE(DL62,Iдоп_1ж,Iдоп_2ж,Iдоп_3ж)*DJ62*DK62,_xlpm.inn,N(DD62),_xlpm.smin,MAX(1.5,BW62),_xlpm.L_,N(Q62)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62)*(_xlpm.rho*_xlpm.L_/_xlpm.sz*N(BY62)+_xlpm.xx*_xlpm.L_*N(DU62)/1000)*N(P62)/((Uн_лин/SQRT(3))*1000)*100,999),_xlpm.kz,IF(OR(DG62=1,NOT(ISNUMBER(DQ62)),_xlpm.L_=0,_xlpm.inn=0),1,IFERROR(--(c_min*(Uн_лин*1000/SQRT(3))/(DQ62+2*ρкз_Cu*_xlpm.L_/_xlpm.sz)&gt;=GY62*_xlpm.inn),0)),_xlpm.ok,IFERROR((_xlpm.sz&gt;=_xlpm.smin)*(_xlpm.t_&gt;=_xlpm.inn)*IF(_xlpm.L_&gt;0,(_xlpm.du_+DP62&lt;=DV62+0.00001),1)*_xlpm.kz,0),_xlpm.r_,_xlfn._xlws.FILTER(_xlpm.sz,_xlpm.ok,"не подобрано"),INDEX(_xlpm.r_,1)))</f>
        <v>1.5</v>
      </c>
      <c r="DX62">
        <f t="shared" si="48"/>
        <v>1.5</v>
      </c>
      <c r="DY62" cm="1">
        <f t="array" ref="DY62">IF(OR(B62="",BT62="",DM62&lt;&gt;1),"",_xlfn.LET(_xlpm.sz,Iдоп_S,_xlpm.t_,CHOOSE(DL62,Iдоп_1ж,Iдоп_2ж,Iдоп_3ж)*DJ62*DK62,_xlpm.ok,IFERROR((_xlpm.sz&gt;=MAX(1.5,BW62))*(_xlpm.t_&gt;=N(DD62)),0),_xlpm.r_,_xlfn._xlws.FILTER(_xlpm.sz,_xlpm.ok,""),INDEX(_xlpm.r_,1)))</f>
        <v>1.5</v>
      </c>
      <c r="DZ62" s="6" cm="1">
        <f t="array" ref="DZ62">IFERROR(ROUNDUP(N(DT62)*(_xlfn.XLOOKUP(DY62,INDEX(Кабель_сопротивление,0,1),INDEX(Кабель_сопротивление,0,3))*N(Q62)/DY62*N(BY62)+_xlfn.XLOOKUP(DY62,INDEX(Кабель_сопротивление,0,1),INDEX(Кабель_сопротивление,0,2))*N(Q62)*N(DU62)/1000)*N(P62)/((Uн_лин/SQRT(3))*1000)*100,2),"")</f>
        <v>0.18000000000000002</v>
      </c>
      <c r="EA62">
        <f>IFERROR(2*ρкз_Cu*N(Q62)/DY62,"")</f>
        <v>0.91173333333333328</v>
      </c>
      <c r="EB62">
        <f>IFERROR(VLOOKUP(DX62,Кабель_сопротивление,3,FALSE),"")</f>
        <v>2.2499999999999999E-2</v>
      </c>
      <c r="EC62">
        <f>IFERROR(VLOOKUP(DX62,Кабель_сопротивление,2,FALSE),"")</f>
        <v>0.11</v>
      </c>
      <c r="ED62">
        <f t="shared" si="49"/>
        <v>26</v>
      </c>
      <c r="EE62">
        <f t="shared" si="50"/>
        <v>0</v>
      </c>
      <c r="EF62">
        <f t="shared" si="51"/>
        <v>0.40752903836045828</v>
      </c>
      <c r="EG62" s="6">
        <f>IFERROR(ROUNDUP(EF62/((Uн_лин/SQRT(3))*1000)*100,2),"")</f>
        <v>0.18000000000000002</v>
      </c>
      <c r="EH62" t="str">
        <f>IFERROR(VLOOKUP(BT62,Кабель_обозначение,2,FALSE),"")</f>
        <v>ВВГнг(А)-LS</v>
      </c>
      <c r="EI62" t="str">
        <f t="shared" si="52"/>
        <v>ВВГнг(А)-LS (3х1,5)</v>
      </c>
      <c r="EJ62" t="str">
        <f t="shared" si="53"/>
        <v>ВВГнг(А)-LS (3х1,5)
L=26-0,18%</v>
      </c>
      <c r="EK62">
        <f>IFERROR(2*ρкз_Cu*Q62/DX62,"")</f>
        <v>0.91173333333333328</v>
      </c>
      <c r="EL62">
        <f t="shared" si="54"/>
        <v>0.3033333333333334</v>
      </c>
      <c r="EM62" s="6" t="str">
        <f>IFERROR(IF(OR(B62="",NOT(ISNUMBER(DX62)),N(Q62)=0),"",_xlfn.XLOOKUP(A62,Щиты[Щит],Щиты[Zпетли на шинах, Ом])+EK62),"")</f>
        <v/>
      </c>
      <c r="EN62" s="6" t="str">
        <f>IF(ISNUMBER(EM62),c_min*(Uн_лин*1000/SQRT(3))/EM62,"")</f>
        <v/>
      </c>
      <c r="EO62" s="6" t="str">
        <f>IFERROR(IF(OR(B62="",NOT(ISNUMBER(DX62))),"",1.05*(Uн_лин*1000/SQRT(3))/(_xlfn.XLOOKUP(A62,Щиты[Щит],Щиты[Zmax на шинах, Ом])+EL62)/1000),"")</f>
        <v/>
      </c>
      <c r="EP62" s="6" t="str">
        <f>IF(B62="","",IF(ISNUMBER(Y62),"Сил",IF(IFERROR(_xlfn.XLOOKUP(AX62,Коды_код,Коды_группа)&amp;"","")="","Быт",_xlfn.XLOOKUP(AX62,Коды_код,Коды_группа)&amp;"")))</f>
        <v>Сил</v>
      </c>
      <c r="EQ62" s="6" t="str">
        <f t="shared" si="55"/>
        <v>Сил</v>
      </c>
      <c r="ER62" s="6">
        <f>IF(EQ62="Щит","щит",IF(EQ62="","",IF(EQ62="Быт",IFERROR(_xlfn.XLOOKUP(A62,Щиты[Щит],Щиты[Кс быт]),1),IF(EQ62="Сил",IF(ISNUMBER(Y62),Y62,IF(Методика="нормы 2026",IFERROR(_xlfn.XLOOKUP(A62,Щиты[Щит],Щиты[Кс силовых (табл. 7.5)]),1),1)),IF(OR(EQ62="Пост",EQ62="Отоп"),1,IF(EQ62="ВНГ",0.7,0))))))</f>
        <v>0.5</v>
      </c>
      <c r="ES62">
        <f t="shared" si="56"/>
        <v>1</v>
      </c>
      <c r="ET62">
        <f t="shared" si="57"/>
        <v>0.12</v>
      </c>
      <c r="EU62">
        <f t="shared" si="58"/>
        <v>0</v>
      </c>
      <c r="EV62">
        <f t="shared" si="59"/>
        <v>0.06</v>
      </c>
      <c r="EW62">
        <f t="shared" si="60"/>
        <v>0</v>
      </c>
      <c r="EX62">
        <f t="shared" si="61"/>
        <v>0</v>
      </c>
      <c r="EY62">
        <f t="shared" si="62"/>
        <v>0</v>
      </c>
      <c r="EZ62">
        <f t="shared" si="63"/>
        <v>0.12</v>
      </c>
      <c r="FA62">
        <f t="shared" si="64"/>
        <v>9.6000000000000002E-2</v>
      </c>
      <c r="FB62">
        <f t="shared" si="65"/>
        <v>0.12</v>
      </c>
      <c r="FC62" t="str">
        <f t="shared" si="66"/>
        <v/>
      </c>
      <c r="FD62" t="str">
        <f>IF(B62="","",IF(CA62=0,IF(AW62=1,"",FF61),IF(OR(N(CV62)&gt;=3,N(BR62)&gt;=3),"L1,L2,L3",IFERROR(_xlfn.TEXTBEFORE(_xlfn.TEXTAFTER(_xlfn.XLOOKUP(A62,Щиты[Щит],Щиты[_фазы авто]),";"&amp;AW62&amp;":"),";"),"L1"))))</f>
        <v>L2</v>
      </c>
      <c r="FE62" t="str">
        <f t="shared" si="67"/>
        <v>L2</v>
      </c>
      <c r="FF62" t="str">
        <f t="shared" si="68"/>
        <v>L2</v>
      </c>
      <c r="FG62" cm="1">
        <f t="array" ref="FG62">IFERROR(IF(BX62=2,_xlfn.IFS(BR62=3,VLOOKUP(BN62,Справочная_двигатели,3,FALSE),BR62=1,VLOOKUP(BN62,Справочная_двигатели,5,TRUE)),0),0)</f>
        <v>0</v>
      </c>
      <c r="FH62">
        <f>IFERROR(IF(BX62=3,VLOOKUP(BN62,Справочная_ЛЭД,2,TRUE),0),0)</f>
        <v>0</v>
      </c>
      <c r="FI62" s="6">
        <f t="shared" si="69"/>
        <v>0</v>
      </c>
      <c r="FJ62" t="str" cm="1">
        <f t="array" ref="FJ62">IF(B62="","",IFERROR(INDEX({"I особая","I","II","III"},MATCH(TRIM(AC62&amp;""),{"I особая","I","II","III"},0)),"III"))</f>
        <v>II</v>
      </c>
      <c r="FK62" t="str">
        <f>IF(B62="","",IF(TRIM(AD62&amp;"")&lt;&gt;"",IF(LOWER(TRIM(AD62&amp;""))="да","да","нет"),IF(IFERROR(_xlfn.XLOOKUP(AX62,Коды_код,Коды_пожарная),"")="да","да","нет")))</f>
        <v>нет</v>
      </c>
      <c r="FL62" t="str">
        <f t="shared" si="70"/>
        <v/>
      </c>
      <c r="FM62" t="str">
        <f t="shared" si="71"/>
        <v>основная</v>
      </c>
      <c r="FN62">
        <f t="shared" si="72"/>
        <v>1</v>
      </c>
      <c r="FO62" t="str" cm="1">
        <f t="array" ref="FO62">IF(B62="","",_xlfn.LET(_xlpm.t,IFERROR(_xlfn.XLOOKUP(1,(Шины[Шина]=FM62)*(((Шины[Щит]=A62)+(Шины[Щит]=""))&gt;0),Шины[Тип]),"")&amp;"",IF(_xlpm.t&lt;&gt;"",_xlpm.t,IF(ISNUMBER(SEARCH("ИБП",FM62)),"ИБП",IF(ISNUMBER(SEARCH("ДГУ",FM62)),"ДГУ","Ввод "&amp;FN62)))))</f>
        <v>Ввод 1</v>
      </c>
      <c r="FP62" t="str">
        <f t="shared" si="73"/>
        <v>Ввод 1</v>
      </c>
      <c r="FQ62" t="str">
        <f>IF(B62="","",IF(OR(FO62="ИБП",FO62="ДГУ"),"I особая",IF(FO62="Одиночная","III",_xlfn.XLOOKUP(A62,Щиты[Щит],Щиты[Категория шины «Ввод»],"III"))))</f>
        <v>II</v>
      </c>
      <c r="FR62">
        <f>IF(B62="",0,IFERROR(MATCH(FJ62,{"III","II","I","I особая"},0),1))</f>
        <v>2</v>
      </c>
      <c r="FS62">
        <f t="shared" si="74"/>
        <v>2</v>
      </c>
      <c r="FT62" t="str">
        <f>IF(B62="","",IF(FR62&gt;IFERROR(MATCH(FQ62,{"III","II","I","I особая"},0),1),"НЕ ОБЕСПЕЧЕНА","ОК"))</f>
        <v>ОК</v>
      </c>
      <c r="FU62" t="str">
        <f>IF(A62="","",_xlfn.XLOOKUP(A62,Щиты[Щит],Щиты[Путь],""))</f>
        <v>|ГРЩ-ЖД|ЩОВ-001|</v>
      </c>
      <c r="FV62" t="str">
        <f>IF(B62="","",IF(AE62&lt;&gt;"",AE62,IF(IFERROR(_xlfn.XLOOKUP(AX62,Коды_код,Коды_вид)&amp;"","")="","Прочее",_xlfn.XLOOKUP(AX62,Коды_код,Коды_вид)&amp;"")))</f>
        <v>Вентиляция</v>
      </c>
      <c r="FW62">
        <f>IF(BH62="","",INT((BH62-1)/Столбцов_на_лист)+1)</f>
        <v>2</v>
      </c>
      <c r="FX62" t="str">
        <f t="shared" si="75"/>
        <v>ВВГнг(А)-LS (3х1,5) L=26-0,18%</v>
      </c>
      <c r="FY62">
        <f t="shared" si="76"/>
        <v>0.12</v>
      </c>
      <c r="FZ62">
        <f t="shared" si="77"/>
        <v>0.65</v>
      </c>
      <c r="GA62">
        <f t="shared" si="78"/>
        <v>1</v>
      </c>
      <c r="GB62">
        <f t="shared" si="79"/>
        <v>0</v>
      </c>
      <c r="GC62">
        <f t="shared" si="80"/>
        <v>1</v>
      </c>
      <c r="GD62">
        <f>IF(BH62="","",IF(AND(CA62=1,GC62=1),COUNTIFS(A$3:A62,A62,CA$3:CA62,1,GC$3:GC62,1),IF(OR(OR(AW62=1,A62&lt;&gt;A61),AF62="вручную",GC62=0),"",IF(AW62=1,"",GE61))))</f>
        <v>9</v>
      </c>
      <c r="GE62">
        <f t="shared" si="81"/>
        <v>9</v>
      </c>
      <c r="GF62">
        <f>IF(B62="","",IFERROR(LOOKUP(INDEX(CHOOSE(DL62,Iдоп_1ж,Iдоп_2ж,Iдоп_3ж),MATCH(DX62,Iдоп_S,0))*DJ62*DK62,{6,10,16,20,25,32,40,50,63,80,100,125,160,200,250,315,400,500,630}),""))</f>
        <v>16</v>
      </c>
      <c r="GG62" t="str">
        <f t="shared" si="82"/>
        <v>QF9</v>
      </c>
      <c r="GH62" t="str">
        <f t="shared" si="83"/>
        <v>QF9</v>
      </c>
      <c r="GI62" t="str">
        <f t="shared" si="84"/>
        <v/>
      </c>
      <c r="GJ62">
        <f t="shared" si="85"/>
        <v>0</v>
      </c>
      <c r="GK62" t="str">
        <f>IF(OR(AG62="",AG62="-"),"",IFERROR(VLOOKUP(AG62,Модули_спр,2,FALSE),"R"))</f>
        <v/>
      </c>
      <c r="GL62" t="str">
        <f>IF(GK62="","",GK62&amp;"."&amp;COUNTIFS(A$3:A62,A62,GK$3:GK62,GK62))</f>
        <v/>
      </c>
      <c r="GM62" t="str">
        <f t="shared" si="86"/>
        <v/>
      </c>
      <c r="GN62" t="str">
        <f t="shared" si="87"/>
        <v/>
      </c>
      <c r="GO62" t="str">
        <f t="shared" si="88"/>
        <v/>
      </c>
      <c r="GP62" t="str">
        <f t="shared" si="89"/>
        <v/>
      </c>
      <c r="GQ62">
        <f t="shared" si="90"/>
        <v>1</v>
      </c>
      <c r="GR62" t="str">
        <f>IF(GQ62=1,"XT"&amp;COUNTIFS(A$3:A62,A62,GQ$3:GQ62,1),"")</f>
        <v>XT9</v>
      </c>
      <c r="GS62" t="str">
        <f t="shared" si="91"/>
        <v/>
      </c>
      <c r="GT62" t="str">
        <f t="shared" si="92"/>
        <v>QF9</v>
      </c>
      <c r="GU62" t="str">
        <f t="shared" si="93"/>
        <v/>
      </c>
      <c r="GV62" t="str">
        <f t="shared" si="94"/>
        <v>ok</v>
      </c>
      <c r="GW62" t="str">
        <f>IF(OR(GO62="",GM62=""),"",IF(GO62&gt;IFERROR(VLOOKUP(GN62,Модули_спр,3,FALSE),99),"ЛИШНИЙ КАНАЛ",IF(AND(AH62&lt;&gt;"=",COUNTIFS(Линии[_модуль гр.],GM62,Линии[Канал (итог)],GO62,Линии[Канал],"&lt;&gt;=",Линии[Щит],A62)&gt;1),"ДУБЛЬ КАНАЛА","")))</f>
        <v/>
      </c>
      <c r="GX62" s="6" t="str">
        <f t="shared" si="95"/>
        <v/>
      </c>
      <c r="GY62">
        <f t="shared" si="96"/>
        <v>10</v>
      </c>
      <c r="GZ62" t="str">
        <f t="shared" si="97"/>
        <v/>
      </c>
      <c r="HA62" t="str">
        <f>IF(AND(B62="",GT62=""),"",_xlfn.TEXTJOIN("; ",TRUE,IF(AND(B62&lt;&gt;"",FE62=""),"нет фазы",""),IF(AND(B62&lt;&gt;"",N(FY62)=0,EQ62&lt;&gt;"Нет"),"нет мощности",""),IF(AND(GS62&lt;&gt;"",COUNTIFS(Линии[Щит],A62,Линии[Клемма (итог)],GS62)&gt;1),"дубль клеммы "&amp;GS62,""),IF(AND(GV62&lt;&gt;"",GV62&lt;&gt;"ok"),GV62,""),IF(GW62&lt;&gt;"",GW62,""),IF(AND(N(BV62)&gt;=4,N(BR62)=1),BV62&amp;" жил на 1 фазе",""),IF(AND(AX62="R",CA62=1,OR(N(CK62)=0,N(CK62)&gt;30)),"розетка без дифзащиты до 30 мА",""),IFERROR(IF(AND(ISNUMBER(R62),R62&gt;DV62),"потери "&amp;FIXED(R62,1)&amp;" % &gt; "&amp;DV62&amp;" %",""),""),IFERROR(IF(LEFT(GZ62,4)="мало","Iкз мало — отключение &gt; 0,4 с",""),""),IF(AND(B62&lt;&gt;"",BH62=""),"не на схеме",""),IF(AND(CA62=0,B62&lt;&gt;"",FE62&lt;&gt;"",IF(AW62=1,"",FF61)&lt;&gt;"",FE62&lt;&gt;IF(AW62=1,"",FF61)),"фаза не как у автомата группы ("&amp;IF(AW62=1,"",FF61)&amp;")","")))</f>
        <v/>
      </c>
      <c r="HB62" s="6">
        <f>IF(OR(CA62=0,DA62=""),"",_xlfn.LET(_xlpm.t,IFERROR(_xlfn.XLOOKUP(DA62,Каталог!$U$4:$U$500,Каталог!$G$4:$G$500),""),_xlpm.k,SEARCH("кА",_xlpm.t),IFERROR(--TRIM(RIGHT(SUBSTITUTE(MID(_xlpm.t,MAX(1,_xlpm.k-4),_xlpm.k-MAX(1,_xlpm.k-4))," ",REPT(" ",9)),5)),"")))</f>
        <v>6</v>
      </c>
      <c r="HC62" t="str">
        <f>IF(OR(HB62="",CA62=0),"",IF(_xlfn.XLOOKUP(A62,Щиты[Щит],Щиты[Iкз max на шинах, кА],"")="","",IF(HB62&lt;_xlfn.XLOOKUP(A62,Щиты[Щит],Щиты[Iкз max на шинах, кА]),"Icu "&amp;HB62&amp;" кА &lt; Iкз max","ok")))</f>
        <v/>
      </c>
      <c r="HD62" t="str">
        <f t="shared" si="98"/>
        <v/>
      </c>
      <c r="HE62" t="str">
        <f t="shared" si="99"/>
        <v>QF9</v>
      </c>
      <c r="HF62" t="str">
        <f t="shared" si="100"/>
        <v>QF9|кабель ВВГнг(А)-LS (3х1,5) → Приточная установка Пом №006Т</v>
      </c>
      <c r="HG62" t="str" cm="1">
        <f t="array" ref="HG62">IF(HF62="","",_xlfn.LET(_xlpm.nd,_xlfn.TEXTSPLIT(HF62,"|"),IF(COLUMNS(_xlpm.nd)&gt;1,A62&amp;"¦"&amp;INDEX(_xlpm.nd,1)&amp;"¦"&amp;INDEX(_xlpm.nd,2),"")))</f>
        <v>ЩОВ-001¦QF9¦кабель ВВГнг(А)-LS (3х1,5) → Приточная установка Пом №006Т</v>
      </c>
      <c r="HH62" t="str">
        <f t="shared" si="101"/>
        <v>П.2¦Приточная установка Пом №006Т</v>
      </c>
      <c r="HI62" t="str" cm="1">
        <f t="array" ref="HI62">IF(HF62="","",_xlfn.LET(_xlpm.nd,_xlfn.TEXTSPLIT(HF62,"|"),IF(COLUMNS(_xlpm.nd)&gt;2,A62&amp;"¦"&amp;INDEX(_xlpm.nd,2)&amp;"¦"&amp;INDEX(_xlpm.nd,3),"")))</f>
        <v/>
      </c>
      <c r="HJ62" t="str">
        <f t="shared" si="102"/>
        <v/>
      </c>
      <c r="HK62" t="str" cm="1">
        <f t="array" ref="HK62">IF(HF62="","",_xlfn.LET(_xlpm.nd,_xlfn.TEXTSPLIT(HF62,"|"),IF(COLUMNS(_xlpm.nd)&gt;3,A62&amp;"¦"&amp;INDEX(_xlpm.nd,3)&amp;"¦"&amp;INDEX(_xlpm.nd,4),"")))</f>
        <v/>
      </c>
      <c r="HL62" t="str">
        <f t="shared" si="103"/>
        <v/>
      </c>
      <c r="HM62" t="str" cm="1">
        <f t="array" ref="HM62">IF(HF62="","",_xlfn.LET(_xlpm.nd,_xlfn.TEXTSPLIT(HF62,"|"),IF(COLUMNS(_xlpm.nd)&gt;4,A62&amp;"¦"&amp;INDEX(_xlpm.nd,4)&amp;"¦"&amp;INDEX(_xlpm.nd,5),"")))</f>
        <v/>
      </c>
      <c r="HN62" t="str">
        <f t="shared" si="104"/>
        <v/>
      </c>
      <c r="HO62" t="str" cm="1">
        <f t="array" ref="HO62">IF(HF62="","",_xlfn.LET(_xlpm.nd,_xlfn.TEXTSPLIT(HF62,"|"),IF(COLUMNS(_xlpm.nd)&gt;5,A62&amp;"¦"&amp;INDEX(_xlpm.nd,5)&amp;"¦"&amp;INDEX(_xlpm.nd,6),"")))</f>
        <v/>
      </c>
      <c r="HP62" t="str">
        <f t="shared" si="105"/>
        <v/>
      </c>
      <c r="HQ62" t="str" cm="1">
        <f t="array" ref="HQ62">IF(HF62="","",_xlfn.LET(_xlpm.nd,_xlfn.TEXTSPLIT(HF62,"|"),IF(COLUMNS(_xlpm.nd)&gt;6,A62&amp;"¦"&amp;INDEX(_xlpm.nd,6)&amp;"¦"&amp;INDEX(_xlpm.nd,7),"")))</f>
        <v/>
      </c>
      <c r="HR62" t="str">
        <f t="shared" si="106"/>
        <v/>
      </c>
      <c r="HS62" t="str">
        <f t="shared" si="107"/>
        <v/>
      </c>
      <c r="HT62" t="str">
        <f t="shared" si="108"/>
        <v>QF9</v>
      </c>
      <c r="HU62">
        <f t="shared" si="109"/>
        <v>0</v>
      </c>
      <c r="HV62">
        <f t="shared" si="110"/>
        <v>0</v>
      </c>
      <c r="HW62" t="str">
        <f t="shared" si="111"/>
        <v/>
      </c>
      <c r="HX62" t="str">
        <f t="shared" si="112"/>
        <v/>
      </c>
      <c r="HY62" t="str">
        <f t="shared" si="113"/>
        <v/>
      </c>
      <c r="HZ62" t="str">
        <f t="shared" si="114"/>
        <v/>
      </c>
      <c r="IA62" t="str">
        <f>IF(B62="","",IFERROR(VLOOKUP(B62,УГО_спр,2,FALSE),IFERROR(VLOOKUP(AX62,УГО_спр,2,FALSE),IFERROR(VLOOKUP(LEFT(AX62,2),УГО_спр,2,FALSE),""))))</f>
        <v>Привод (двигатель)</v>
      </c>
      <c r="IB62" t="str">
        <f>IF(B62="","",IF(OR(IA62="",IA62=0),"BOX",IFERROR(IF(VLOOKUP(IA62,УГО_блоки,3,FALSE)&amp;""&lt;&gt;"",VLOOKUP(IA62,УГО_блоки,3,FALSE),VLOOKUP(IA62,УГО_блоки,2,FALSE)),IA62)))</f>
        <v>MOTOR</v>
      </c>
      <c r="IC62">
        <f t="shared" si="115"/>
        <v>1</v>
      </c>
      <c r="ID62" t="str">
        <f>IF(DA62="","",IF(COUNTIF(DA$3:DA62,DA62)=1,MAX(ID$2:ID61)+1,""))</f>
        <v/>
      </c>
      <c r="IE62" t="str">
        <f>IF(CO62="","",IF(COUNTIF(CO$3:CO62,CO62)+COUNTIF(CP$2:CP61,CO62)+COUNTIF(CQ$2:CQ61,CO62)=1,MAX(IE$2:IG61)+1,""))</f>
        <v/>
      </c>
      <c r="IF62" t="str">
        <f>IF(CP62="","",IF(COUNTIF(CO$3:CO62,CP62)+COUNTIF(CP$3:CP62,CP62)+COUNTIF(CQ$2:CQ61,CP62)=1,MAX(IE$2:IG61,IE62)+1,""))</f>
        <v/>
      </c>
      <c r="IG62" t="str">
        <f>IF(CQ62="","",IF(COUNTIF(CO$3:CO62,CQ62)+COUNTIF(CP$3:CP62,CQ62)+COUNTIF(CQ$3:CQ62,CQ62)=1,MAX(IE$2:IG61,IE62,IF62)+1,""))</f>
        <v/>
      </c>
      <c r="IH62" t="str">
        <f t="shared" si="116"/>
        <v>3х1,5</v>
      </c>
      <c r="II62" t="str">
        <f>IF(IH62="","",IF(COUNTIF(IH$3:IH62,IH62)=1,MAX(II$2:II61)+1,""))</f>
        <v/>
      </c>
      <c r="IJ62" t="str">
        <f>IF(GL62="","",COUNTIF(GL$3:GL62,"?*"))</f>
        <v/>
      </c>
      <c r="IK62" t="str">
        <f>IF(OR(GL62="",GN62=""),"",IF(COUNTIFS(GL$3:GL62,"?*",GN$3:GN62,GN62)=1,MAX(IK$2:IK61)+1,""))</f>
        <v/>
      </c>
      <c r="IL62">
        <f t="shared" si="117"/>
        <v>0</v>
      </c>
      <c r="IM62">
        <f>IF(B62="","",COUNTIF(B$3:B62,"?*"))</f>
        <v>60</v>
      </c>
      <c r="IN62">
        <f>IF(GQ62&lt;&gt;1,0,_xlfn.LET(_xlpm.k,MAX(IFERROR(--VLOOKUP(B62,УГО_спр,5,FALSE),0),IFERROR(--VLOOKUP(AX62,УГО_спр,5,FALSE),0),IFERROR(--VLOOKUP(LEFT(AX62,2),УГО_спр,5,FALSE),0)),IF(_xlpm.k&gt;0,_xlpm.k,IF(IFERROR(--LEFT(SUBSTITUTE(IH62,"x","х"),FIND("х",SUBSTITUTE(IH62,"x","х"))-1),3)&gt;3,Каталог!$S$9,1))))</f>
        <v>1</v>
      </c>
      <c r="IO62">
        <f t="shared" si="118"/>
        <v>0</v>
      </c>
      <c r="IP62" t="str">
        <f t="shared" si="119"/>
        <v>авто</v>
      </c>
      <c r="IQ62" t="str">
        <f t="shared" si="120"/>
        <v/>
      </c>
      <c r="IR62">
        <f t="shared" si="121"/>
        <v>0</v>
      </c>
      <c r="IS62">
        <f t="shared" si="122"/>
        <v>1</v>
      </c>
    </row>
    <row r="63" spans="1:253" x14ac:dyDescent="0.3">
      <c r="A63" t="s">
        <v>749</v>
      </c>
      <c r="B63" t="s">
        <v>1335</v>
      </c>
      <c r="C63" t="s">
        <v>1616</v>
      </c>
      <c r="D63">
        <v>1</v>
      </c>
      <c r="E63">
        <v>1</v>
      </c>
      <c r="G63">
        <v>10</v>
      </c>
      <c r="H63" t="str">
        <f>Линии[[#This Row],[_авто утечка]]</f>
        <v/>
      </c>
      <c r="I63" t="str">
        <f>Линии[[#This Row],[_авто управление]]</f>
        <v/>
      </c>
      <c r="J63" t="str">
        <f>Линии[[#This Row],[_авто аппараты]]</f>
        <v/>
      </c>
      <c r="K63">
        <v>1.5</v>
      </c>
      <c r="L63">
        <v>19</v>
      </c>
      <c r="M63" t="str">
        <f>Линии[[#This Row],[_авто фаза]]</f>
        <v>L3</v>
      </c>
      <c r="N63" t="s">
        <v>486</v>
      </c>
      <c r="O63" t="str">
        <f t="shared" si="0"/>
        <v/>
      </c>
      <c r="P63" s="6" cm="1">
        <f t="array" ref="P63">IF(B63="","",IF(BC63&lt;&gt;"",IFERROR(_xlfn.XLOOKUP(BC63,Щиты[Щит],Щиты[Iр, А]),""),IF(BK63=1,IFERROR(_xlfn.XLOOKUP(A63,Щиты[Щит],Щиты[Iр, А]),""),IFERROR(_xlfn.IFS(BR63=1,BN63/((Uн_лин/SQRT(3))*BY63),BR63=3,BN63/(SQRT(3)*Uн_лин*BY63)),""))))</f>
        <v>5.4126587736527405</v>
      </c>
      <c r="Q63" s="7">
        <f>IF(B63="","",IFERROR(IF(VLOOKUP(AX63,Потребители_обозначение,4,FALSE)=1,VLOOKUP(AX63,Потребители_обозначение,3,FALSE)*(D63*2-1)+DS63+VLOOKUP(AZ63,Этаж_обозначение,3,FALSE)+VLOOKUP(AZ63,Этаж_обозначение,4,FALSE),VLOOKUP(AX63,Потребители_обозначение,3,FALSE)*(D63*2-1)+DS63),DS63))</f>
        <v>23</v>
      </c>
      <c r="R63" s="6">
        <f t="shared" si="1"/>
        <v>1.9500000000000002</v>
      </c>
      <c r="S63" t="str">
        <f t="shared" si="2"/>
        <v>ВВГнг(А)-LS (3х1,5)</v>
      </c>
      <c r="T63" t="str">
        <f>IF(BH63="","",IF(BI63="вводной узел","узел ","")&amp;"л."&amp;(INT((BH63-1)/Столбцов_на_лист)+1)&amp;" / "&amp;(MOD(BH63-1,Столбцов_на_лист)+1))</f>
        <v>л.2 / 12</v>
      </c>
      <c r="V63">
        <v>1</v>
      </c>
      <c r="W63">
        <v>230</v>
      </c>
      <c r="X63" t="s">
        <v>600</v>
      </c>
      <c r="Y63">
        <v>0.5</v>
      </c>
      <c r="AC63" t="s">
        <v>815</v>
      </c>
      <c r="AE63" t="s">
        <v>582</v>
      </c>
      <c r="AI63">
        <v>29</v>
      </c>
      <c r="AJ63" t="s">
        <v>11</v>
      </c>
      <c r="AK63">
        <v>3</v>
      </c>
      <c r="AN63">
        <v>23</v>
      </c>
      <c r="AP63">
        <v>1</v>
      </c>
      <c r="AW63" cm="1">
        <f t="array" ref="AW63">ROW()-ROW(Линии[#Headers])</f>
        <v>61</v>
      </c>
      <c r="AX63" s="6" t="str">
        <f t="shared" si="3"/>
        <v>П</v>
      </c>
      <c r="AY63" t="str">
        <f t="shared" si="4"/>
        <v>4</v>
      </c>
      <c r="AZ63" t="str">
        <f t="shared" si="5"/>
        <v>4</v>
      </c>
      <c r="BA63" t="str">
        <f t="shared" si="6"/>
        <v/>
      </c>
      <c r="BB63" t="str">
        <f t="shared" si="7"/>
        <v/>
      </c>
      <c r="BC63" t="str">
        <f>IF(U63&lt;&gt;"",U63,IF(AND(B63&lt;&gt;"",B63&lt;&gt;A63,ISNUMBER(_xlfn.XMATCH(B63,Щиты[Щит]))),B63,""))</f>
        <v/>
      </c>
      <c r="BD63" t="str" cm="1">
        <f t="array" ref="BD63">IF(B63="","",IF(BC63&lt;&gt;"","Щит "&amp;BC63,_xlfn.LET(_xlpm.nm,IFERROR(_xlfn.XLOOKUP(AX63,Коды_код,Коды_имя)&amp;"",""),_xlpm.md,IFERROR(N(_xlfn.XLOOKUP(AX63,Коды_код,Коды_режим)),1),_xlpm.ex,IF(Имя_режим="по экспликации",IFERROR(_xlfn.XLOOKUP(AZ63&amp;"|"&amp;BB63,Экспликация[Этаж]&amp;"|"&amp;Экспликация[Помещение],Экспликация[Название])&amp;"",""),""),_xlpm.rm,IF(BB63="","",IF(_xlpm.ex&lt;&gt;"",". "&amp;_xlpm.ex&amp;IF(Имя_пом="нет"," ("&amp;BB63&amp;")"," (пом. "&amp;BB63&amp;")"),IF(Имя_пом="нет"," ",", пом. ")&amp;BB63)),IF(_xlpm.nm="","",IF(_xlpm.md=2,_xlpm.nm&amp;" шлейф "&amp;AZ63,_xlpm.nm&amp;_xlpm.rm)))))</f>
        <v>Приточная установка шлейф 4</v>
      </c>
      <c r="BE63" t="str">
        <f t="shared" si="8"/>
        <v>Приточная установка Пом №006Т</v>
      </c>
      <c r="BF63">
        <f>IFERROR(_xlfn.XMATCH(A63,Щиты[Щит]),0)</f>
        <v>4</v>
      </c>
      <c r="BG63">
        <f>_xlfn.LET(_xlpm.k,IFERROR(_xlfn.XLOOKUP(A63,Щиты[Щит],Щиты[Листов под вводной узел]),""),IF(_xlpm.k="",1,N(_xlpm.k))*Столбцов_на_лист)</f>
        <v>17</v>
      </c>
      <c r="BH63">
        <f t="shared" si="9"/>
        <v>29</v>
      </c>
      <c r="BI63" t="str">
        <f t="shared" si="10"/>
        <v>линии</v>
      </c>
      <c r="BJ63" s="6">
        <f>IFERROR(N(_xlfn.XLOOKUP(AX63,Коды_код,Коды_квт)),0)</f>
        <v>0</v>
      </c>
      <c r="BK63">
        <f t="shared" si="11"/>
        <v>0</v>
      </c>
      <c r="BL63" t="str">
        <f>IF(B63="","",IF(BC63&lt;&gt;"",IFERROR(_xlfn.XLOOKUP(BC63,Щиты[Щит],Щиты[Руст, кВт]),0),IF(BK63=1,IFERROR(_xlfn.XLOOKUP(A63,Щиты[Щит],Щиты[Руст, кВт]),0),IF(BJ63&gt;0,ROUND(BJ63*MAX(1,N(D63)),3),""))))</f>
        <v/>
      </c>
      <c r="BM63">
        <f t="shared" si="12"/>
        <v>1</v>
      </c>
      <c r="BN63" s="6">
        <f>IF(B63="","",IF(BC63&lt;&gt;"",IFERROR(_xlfn.XLOOKUP(BC63,Щиты[Щит],Щиты[Руст, кВт]),0),N(BM63)))</f>
        <v>1</v>
      </c>
      <c r="BO63" t="str">
        <f>IF(B63="","",IFERROR(IF(VLOOKUP(AX63,Потребители_обозначение,8,FALSE)=0,"",VLOOKUP(AX63,Потребители_обозначение,8,FALSE)),""))</f>
        <v/>
      </c>
      <c r="BP63">
        <f t="shared" si="13"/>
        <v>230</v>
      </c>
      <c r="BQ63">
        <f>IF(B63="","",IF(BC63&lt;&gt;"",3,IFERROR(IF(N(VLOOKUP(AX63,Потребители_обозначение,9,FALSE))=0,1,VLOOKUP(AX63,Потребители_обозначение,9,FALSE)),1)))</f>
        <v>1</v>
      </c>
      <c r="BR63">
        <f t="shared" si="14"/>
        <v>1</v>
      </c>
      <c r="BS63" t="str">
        <f>IF(B63="","",_xlfn.LET(_xlpm.bc,IFERROR(IF(VLOOKUP(AX63,Потребители_обозначение,6,FALSE)=0,"",VLOOKUP(AX63,Потребители_обозначение,6,FALSE)&amp;""),""),IF(AND(FK63="да",OR(_xlpm.bc="",_xlpm.bc="мс")),Марка_пож,IF(AND(_xlpm.bc="",BC63&lt;&gt;""),"мс",_xlpm.bc))))</f>
        <v/>
      </c>
      <c r="BT63" t="str">
        <f t="shared" si="15"/>
        <v>мс</v>
      </c>
      <c r="BU63">
        <f>IF(B63="","",_xlfn.LET(_xlpm.cc,IFERROR(N(VLOOKUP(AX63,Потребители_обозначение,7,FALSE)),0),IF(_xlpm.cc&gt;0,_xlpm.cc,IF(BT63="","",IF(N(BR63)=3,5,3)))))</f>
        <v>3</v>
      </c>
      <c r="BV63">
        <f t="shared" si="16"/>
        <v>3</v>
      </c>
      <c r="BW63">
        <f>IFERROR(N(VLOOKUP(AX63,Потребители_обозначение,10,FALSE)),0)</f>
        <v>0</v>
      </c>
      <c r="BX63">
        <f>IFERROR(VLOOKUP(AX63,Потребители_обозначение,5,FALSE),0)</f>
        <v>1</v>
      </c>
      <c r="BY63" s="6" cm="1">
        <f t="array" ref="BY63">IF(B63="","",IF(BC63&lt;&gt;"",IFERROR(_xlfn.XLOOKUP(BC63,Щиты[Щит],Щиты[cos φ]),0.95),IF(BK63=1,IFERROR(_xlfn.XLOOKUP(A63,Щиты[Щит],Щиты[cos φ]),0.95),IF(ISNUMBER(Z63),Z63,IFERROR(IF(BX63=2,_xlfn.IFS(BR63=3,VLOOKUP(BN63,Справочная_двигатели,8,FALSE),BR63=1,VLOOKUP(BN63,Справочная_двигатели,10,TRUE)),IF(AND(Методика="нормы 2026",EQ63="Сил"),0.8,0.95)),0.95)))))</f>
        <v>0.8</v>
      </c>
      <c r="BZ63">
        <f t="shared" si="17"/>
        <v>0</v>
      </c>
      <c r="CA63">
        <f t="shared" si="18"/>
        <v>1</v>
      </c>
      <c r="CB63">
        <f t="shared" si="19"/>
        <v>0</v>
      </c>
      <c r="CC63">
        <f t="shared" si="20"/>
        <v>0</v>
      </c>
      <c r="CD63">
        <f t="shared" si="21"/>
        <v>0</v>
      </c>
      <c r="CE63">
        <f t="shared" si="22"/>
        <v>0</v>
      </c>
      <c r="CF63">
        <f t="shared" si="23"/>
        <v>0</v>
      </c>
      <c r="CG63">
        <f>IF(AX63="",0,_xlfn.LET(_xlpm.v,IFERROR(VLOOKUP(B63,УГО_спр,3,FALSE),IFERROR(VLOOKUP(AX63,УГО_спр,3,FALSE),IFERROR(VLOOKUP(LEFT(AX63,2),УГО_спр,3,FALSE),""))),IF(_xlpm.v="да",30,IF(ISNUMBER(_xlpm.v),_xlpm.v,0))))</f>
        <v>0</v>
      </c>
      <c r="CH63" t="str">
        <f t="shared" si="24"/>
        <v/>
      </c>
      <c r="CI63" t="str">
        <f>_xlfn.LET(_xlpm.k,IFERROR(_xlfn.XLOOKUP(AX63,Коды_код,Коды_утечка)&amp;"",""),IF(_xlpm.k="","дифавтомат",_xlpm.k))</f>
        <v>дифавтомат</v>
      </c>
      <c r="CJ63">
        <f t="shared" si="25"/>
        <v>0</v>
      </c>
      <c r="CK63">
        <f t="shared" si="26"/>
        <v>0</v>
      </c>
      <c r="CL63">
        <f>IF(B63="",0,IFERROR(--VLOOKUP(B63,УГО_спр,4,FALSE),IFERROR(--VLOOKUP(AX63,УГО_спр,4,FALSE),IFERROR(--VLOOKUP(LEFT(AX63,2),УГО_спр,4,FALSE),0))))</f>
        <v>0</v>
      </c>
      <c r="CM63" t="str">
        <f>IF(B63="","",IFERROR(_xlfn.XLOOKUP(AX63,Коды_код,Коды_апп)&amp;"",""))</f>
        <v/>
      </c>
      <c r="CN63" t="str">
        <f t="shared" si="27"/>
        <v/>
      </c>
      <c r="CO63" t="str" cm="1">
        <f t="array" ref="CO63">IF(TRIM(CN63&amp;"")="","",IFERROR(TRIM(INDEX(_xlfn.TEXTSPLIT(CN63&amp;";;;",";"),1)),""))</f>
        <v/>
      </c>
      <c r="CP63" t="str" cm="1">
        <f t="array" ref="CP63">IF(TRIM(CN63&amp;"")="","",IFERROR(TRIM(INDEX(_xlfn.TEXTSPLIT(CN63&amp;";;;",";"),2)),""))</f>
        <v/>
      </c>
      <c r="CQ63" t="str" cm="1">
        <f t="array" ref="CQ63">IF(TRIM(CN63&amp;"")="","",IFERROR(TRIM(INDEX(_xlfn.TEXTSPLIT(CN63&amp;";;;",";"),3)),""))</f>
        <v/>
      </c>
      <c r="CR63">
        <f t="shared" si="28"/>
        <v>0</v>
      </c>
      <c r="CS63" t="str">
        <f>IF(B63="","",_xlfn.LET(_xlpm.t,LOWER(AV63&amp;""),IF(ISNUMBER(SEARCH("dim",_xlpm.t)),"DIM",IF(ISNUMBER(SEARCH("dali",_xlpm.t)),"DALI",IF(OR(ISNUMBER(SEARCH("relay",_xlpm.t)),ISNUMBER(SEARCH("реле",_xlpm.t))),"Relay",IF(ISNUMBER(SEARCH("кнопк",_xlpm.t)),"",IFERROR(_xlfn.XLOOKUP(AX63,Коды_код,Коды_упр)&amp;"","")))))))</f>
        <v/>
      </c>
      <c r="CT63" t="str">
        <f t="shared" si="29"/>
        <v/>
      </c>
      <c r="CU63">
        <f>IF(B63="","",_xlfn.LET(_xlpm.ig,N(P63)+IF(AF63="вручную",0,N(CB63)),_xlpm.n0,IFERROR(VLOOKUP(_xlpm.ig,Автомат_номиналы,2,TRUE),0),_xlpm.mn,MAX(CL63,IF(AF63="вручную",0,N(CE63))),MAX(_xlpm.n0,_xlpm.mn,IF(CR63=1,Мин_автомат_БП,0))))</f>
        <v>10</v>
      </c>
      <c r="CV63">
        <f t="shared" si="30"/>
        <v>1</v>
      </c>
      <c r="CW63" t="str">
        <f t="shared" si="31"/>
        <v>1P</v>
      </c>
      <c r="CX63" t="str">
        <f>_xlfn.LET(_xlpm.cc,UPPER(TRIM(IFERROR(_xlfn.XLOOKUP(AX63,Коды_код,Коды_хар)&amp;"",""))),IF(OR(_xlpm.cc="B",_xlpm.cc="В"),"B",IF(_xlpm.cc="D","D","С")))</f>
        <v>С</v>
      </c>
      <c r="CY63" t="str">
        <f t="shared" si="32"/>
        <v>1P С10А</v>
      </c>
      <c r="CZ63">
        <f t="shared" si="33"/>
        <v>10</v>
      </c>
      <c r="DA63" t="str">
        <f t="shared" si="34"/>
        <v>1P С10А</v>
      </c>
      <c r="DB63" cm="1">
        <f t="array" ref="DB63">IF(DA63="","",_xlfn.LET(_xlpm.t,SUBSTITUTE(SUBSTITUTE(SUBSTITUTE(UPPER(DA63),"С","C"),"А","A"),"В","B"),_xlpm.tk,_xlfn.TEXTSPLIT(_xlpm.t,"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3" t="str">
        <f t="shared" si="35"/>
        <v>ok</v>
      </c>
      <c r="DD63">
        <f t="shared" si="36"/>
        <v>10</v>
      </c>
      <c r="DE63" t="str">
        <f t="shared" si="37"/>
        <v>1P С10А</v>
      </c>
      <c r="DF63">
        <f t="shared" si="38"/>
        <v>0</v>
      </c>
      <c r="DG63">
        <f t="shared" si="39"/>
        <v>0</v>
      </c>
      <c r="DH63">
        <f t="shared" si="40"/>
        <v>0</v>
      </c>
      <c r="DI63">
        <f t="shared" si="41"/>
        <v>5.4126587736527405</v>
      </c>
      <c r="DJ63">
        <f t="shared" si="42"/>
        <v>1</v>
      </c>
      <c r="DK63">
        <f>IF(ISNUMBER(AL63),AL63,К_прокл)</f>
        <v>1</v>
      </c>
      <c r="DL63">
        <f t="shared" si="43"/>
        <v>2</v>
      </c>
      <c r="DM63">
        <f>IFERROR(N(VLOOKUP(BT63,Кабель_обозначение,3,FALSE)),1)</f>
        <v>1</v>
      </c>
      <c r="DN63">
        <f>IFERROR(N(_xlfn.XLOOKUP(A63,Щиты[Щит],Щиты[ΔU до шин, %])),0)</f>
        <v>0.64</v>
      </c>
      <c r="DO63" t="str">
        <f>IFERROR(_xlfn.XLOOKUP(A63,Щиты[Щит],Щиты[Zпетли на шинах, Ом]),"")</f>
        <v/>
      </c>
      <c r="DP63">
        <f>IFERROR(N(_xlfn.XLOOKUP(A63,Щиты[Щит],Щиты[ΔU до шин (подбор), %])),0)</f>
        <v>0.75</v>
      </c>
      <c r="DQ63" t="str">
        <f>IFERROR(_xlfn.XLOOKUP(A63,Щиты[Щит],Щиты[Zпетли на шинах (подбор), Ом]),"")</f>
        <v/>
      </c>
      <c r="DR63" t="str">
        <f t="shared" si="44"/>
        <v/>
      </c>
      <c r="DS63">
        <f t="shared" si="45"/>
        <v>19</v>
      </c>
      <c r="DT63">
        <f t="shared" si="46"/>
        <v>2</v>
      </c>
      <c r="DU63">
        <f t="shared" si="47"/>
        <v>0.6</v>
      </c>
      <c r="DV63" s="6">
        <f>IF(B63="","",IF(IFERROR(VLOOKUP(AX63,УГО_спр,2,FALSE),"")="Светильник",3,4)+IF(Методика="нормы 2026",MIN(0.5,MAX(0,N(Q63)-100)*0.005),0))</f>
        <v>4</v>
      </c>
      <c r="DW63" cm="1">
        <f t="array" ref="DW63">IF(OR(B63="",BT63="",DM63&lt;&gt;1),"",_xlfn.LET(_xlpm.sz,Iдоп_S,_xlpm.t_,CHOOSE(DL63,Iдоп_1ж,Iдоп_2ж,Iдоп_3ж)*DJ63*DK63,_xlpm.inn,N(DD63),_xlpm.smin,MAX(1.5,BW63),_xlpm.L_,N(Q63)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63)*(_xlpm.rho*_xlpm.L_/_xlpm.sz*N(BY63)+_xlpm.xx*_xlpm.L_*N(DU63)/1000)*N(P63)/((Uн_лин/SQRT(3))*1000)*100,999),_xlpm.kz,IF(OR(DG63=1,NOT(ISNUMBER(DQ63)),_xlpm.L_=0,_xlpm.inn=0),1,IFERROR(--(c_min*(Uн_лин*1000/SQRT(3))/(DQ63+2*ρкз_Cu*_xlpm.L_/_xlpm.sz)&gt;=GY63*_xlpm.inn),0)),_xlpm.ok,IFERROR((_xlpm.sz&gt;=_xlpm.smin)*(_xlpm.t_&gt;=_xlpm.inn)*IF(_xlpm.L_&gt;0,(_xlpm.du_+DP63&lt;=DV63+0.00001),1)*_xlpm.kz,0),_xlpm.r_,_xlfn._xlws.FILTER(_xlpm.sz,_xlpm.ok,"не подобрано"),INDEX(_xlpm.r_,1)))</f>
        <v>1.5</v>
      </c>
      <c r="DX63">
        <f t="shared" si="48"/>
        <v>1.5</v>
      </c>
      <c r="DY63" cm="1">
        <f t="array" ref="DY63">IF(OR(B63="",BT63="",DM63&lt;&gt;1),"",_xlfn.LET(_xlpm.sz,Iдоп_S,_xlpm.t_,CHOOSE(DL63,Iдоп_1ж,Iдоп_2ж,Iдоп_3ж)*DJ63*DK63,_xlpm.ok,IFERROR((_xlpm.sz&gt;=MAX(1.5,BW63))*(_xlpm.t_&gt;=N(DD63)),0),_xlpm.r_,_xlfn._xlws.FILTER(_xlpm.sz,_xlpm.ok,""),INDEX(_xlpm.r_,1)))</f>
        <v>1.5</v>
      </c>
      <c r="DZ63" s="6" cm="1">
        <f t="array" ref="DZ63">IFERROR(ROUNDUP(N(DT63)*(_xlfn.XLOOKUP(DY63,INDEX(Кабель_сопротивление,0,1),INDEX(Кабель_сопротивление,0,3))*N(Q63)/DY63*N(BY63)+_xlfn.XLOOKUP(DY63,INDEX(Кабель_сопротивление,0,1),INDEX(Кабель_сопротивление,0,2))*N(Q63)*N(DU63)/1000)*N(P63)/((Uн_лин/SQRT(3))*1000)*100,2),"")</f>
        <v>1.31</v>
      </c>
      <c r="EA63">
        <f>IFERROR(2*ρкз_Cu*N(Q63)/DY63,"")</f>
        <v>0.80653333333333332</v>
      </c>
      <c r="EB63">
        <f>IFERROR(VLOOKUP(DX63,Кабель_сопротивление,3,FALSE),"")</f>
        <v>2.2499999999999999E-2</v>
      </c>
      <c r="EC63">
        <f>IFERROR(VLOOKUP(DX63,Кабель_сопротивление,2,FALSE),"")</f>
        <v>0.11</v>
      </c>
      <c r="ED63">
        <f t="shared" si="49"/>
        <v>23</v>
      </c>
      <c r="EE63">
        <f t="shared" si="50"/>
        <v>0</v>
      </c>
      <c r="EF63">
        <f t="shared" si="51"/>
        <v>3.0042204750931223</v>
      </c>
      <c r="EG63" s="6">
        <f>IFERROR(ROUNDUP(EF63/((Uн_лин/SQRT(3))*1000)*100,2),"")</f>
        <v>1.31</v>
      </c>
      <c r="EH63" t="str">
        <f>IFERROR(VLOOKUP(BT63,Кабель_обозначение,2,FALSE),"")</f>
        <v>ВВГнг(А)-LS</v>
      </c>
      <c r="EI63" t="str">
        <f t="shared" si="52"/>
        <v>ВВГнг(А)-LS (3х1,5)</v>
      </c>
      <c r="EJ63" t="str">
        <f t="shared" si="53"/>
        <v>ВВГнг(А)-LS (3х1,5)
L=23-1,31%</v>
      </c>
      <c r="EK63">
        <f>IFERROR(2*ρкз_Cu*Q63/DX63,"")</f>
        <v>0.80653333333333332</v>
      </c>
      <c r="EL63">
        <f t="shared" si="54"/>
        <v>0.26833333333333337</v>
      </c>
      <c r="EM63" s="6" t="str">
        <f>IFERROR(IF(OR(B63="",NOT(ISNUMBER(DX63)),N(Q63)=0),"",_xlfn.XLOOKUP(A63,Щиты[Щит],Щиты[Zпетли на шинах, Ом])+EK63),"")</f>
        <v/>
      </c>
      <c r="EN63" s="6" t="str">
        <f>IF(ISNUMBER(EM63),c_min*(Uн_лин*1000/SQRT(3))/EM63,"")</f>
        <v/>
      </c>
      <c r="EO63" s="6" t="str">
        <f>IFERROR(IF(OR(B63="",NOT(ISNUMBER(DX63))),"",1.05*(Uн_лин*1000/SQRT(3))/(_xlfn.XLOOKUP(A63,Щиты[Щит],Щиты[Zmax на шинах, Ом])+EL63)/1000),"")</f>
        <v/>
      </c>
      <c r="EP63" s="6" t="str">
        <f>IF(B63="","",IF(ISNUMBER(Y63),"Сил",IF(IFERROR(_xlfn.XLOOKUP(AX63,Коды_код,Коды_группа)&amp;"","")="","Быт",_xlfn.XLOOKUP(AX63,Коды_код,Коды_группа)&amp;"")))</f>
        <v>Сил</v>
      </c>
      <c r="EQ63" s="6" t="str">
        <f t="shared" si="55"/>
        <v>Сил</v>
      </c>
      <c r="ER63" s="6">
        <f>IF(EQ63="Щит","щит",IF(EQ63="","",IF(EQ63="Быт",IFERROR(_xlfn.XLOOKUP(A63,Щиты[Щит],Щиты[Кс быт]),1),IF(EQ63="Сил",IF(ISNUMBER(Y63),Y63,IF(Методика="нормы 2026",IFERROR(_xlfn.XLOOKUP(A63,Щиты[Щит],Щиты[Кс силовых (табл. 7.5)]),1),1)),IF(OR(EQ63="Пост",EQ63="Отоп"),1,IF(EQ63="ВНГ",0.7,0))))))</f>
        <v>0.5</v>
      </c>
      <c r="ES63">
        <f t="shared" si="56"/>
        <v>1</v>
      </c>
      <c r="ET63">
        <f t="shared" si="57"/>
        <v>1</v>
      </c>
      <c r="EU63">
        <f t="shared" si="58"/>
        <v>0</v>
      </c>
      <c r="EV63">
        <f t="shared" si="59"/>
        <v>0.5</v>
      </c>
      <c r="EW63">
        <f t="shared" si="60"/>
        <v>0</v>
      </c>
      <c r="EX63">
        <f t="shared" si="61"/>
        <v>0</v>
      </c>
      <c r="EY63">
        <f t="shared" si="62"/>
        <v>0</v>
      </c>
      <c r="EZ63">
        <f t="shared" si="63"/>
        <v>1</v>
      </c>
      <c r="FA63">
        <f t="shared" si="64"/>
        <v>0.8</v>
      </c>
      <c r="FB63">
        <f t="shared" si="65"/>
        <v>1</v>
      </c>
      <c r="FC63" t="str">
        <f t="shared" si="66"/>
        <v/>
      </c>
      <c r="FD63" t="str">
        <f>IF(B63="","",IF(CA63=0,IF(AW63=1,"",FF62),IF(OR(N(CV63)&gt;=3,N(BR63)&gt;=3),"L1,L2,L3",IFERROR(_xlfn.TEXTBEFORE(_xlfn.TEXTAFTER(_xlfn.XLOOKUP(A63,Щиты[Щит],Щиты[_фазы авто]),";"&amp;AW63&amp;":"),";"),"L1"))))</f>
        <v>L3</v>
      </c>
      <c r="FE63" t="str">
        <f t="shared" si="67"/>
        <v>L3</v>
      </c>
      <c r="FF63" t="str">
        <f t="shared" si="68"/>
        <v>L3</v>
      </c>
      <c r="FG63" cm="1">
        <f t="array" ref="FG63">IFERROR(IF(BX63=2,_xlfn.IFS(BR63=3,VLOOKUP(BN63,Справочная_двигатели,3,FALSE),BR63=1,VLOOKUP(BN63,Справочная_двигатели,5,TRUE)),0),0)</f>
        <v>0</v>
      </c>
      <c r="FH63">
        <f>IFERROR(IF(BX63=3,VLOOKUP(BN63,Справочная_ЛЭД,2,TRUE),0),0)</f>
        <v>0</v>
      </c>
      <c r="FI63" s="6">
        <f t="shared" si="69"/>
        <v>0</v>
      </c>
      <c r="FJ63" t="str" cm="1">
        <f t="array" ref="FJ63">IF(B63="","",IFERROR(INDEX({"I особая","I","II","III"},MATCH(TRIM(AC63&amp;""),{"I особая","I","II","III"},0)),"III"))</f>
        <v>II</v>
      </c>
      <c r="FK63" t="str">
        <f>IF(B63="","",IF(TRIM(AD63&amp;"")&lt;&gt;"",IF(LOWER(TRIM(AD63&amp;""))="да","да","нет"),IF(IFERROR(_xlfn.XLOOKUP(AX63,Коды_код,Коды_пожарная),"")="да","да","нет")))</f>
        <v>нет</v>
      </c>
      <c r="FL63" t="str">
        <f t="shared" si="70"/>
        <v/>
      </c>
      <c r="FM63" t="str">
        <f t="shared" si="71"/>
        <v>основная</v>
      </c>
      <c r="FN63">
        <f t="shared" si="72"/>
        <v>1</v>
      </c>
      <c r="FO63" t="str" cm="1">
        <f t="array" ref="FO63">IF(B63="","",_xlfn.LET(_xlpm.t,IFERROR(_xlfn.XLOOKUP(1,(Шины[Шина]=FM63)*(((Шины[Щит]=A63)+(Шины[Щит]=""))&gt;0),Шины[Тип]),"")&amp;"",IF(_xlpm.t&lt;&gt;"",_xlpm.t,IF(ISNUMBER(SEARCH("ИБП",FM63)),"ИБП",IF(ISNUMBER(SEARCH("ДГУ",FM63)),"ДГУ","Ввод "&amp;FN63)))))</f>
        <v>Ввод 1</v>
      </c>
      <c r="FP63" t="str">
        <f t="shared" si="73"/>
        <v>Ввод 1</v>
      </c>
      <c r="FQ63" t="str">
        <f>IF(B63="","",IF(OR(FO63="ИБП",FO63="ДГУ"),"I особая",IF(FO63="Одиночная","III",_xlfn.XLOOKUP(A63,Щиты[Щит],Щиты[Категория шины «Ввод»],"III"))))</f>
        <v>II</v>
      </c>
      <c r="FR63">
        <f>IF(B63="",0,IFERROR(MATCH(FJ63,{"III","II","I","I особая"},0),1))</f>
        <v>2</v>
      </c>
      <c r="FS63">
        <f t="shared" si="74"/>
        <v>2</v>
      </c>
      <c r="FT63" t="str">
        <f>IF(B63="","",IF(FR63&gt;IFERROR(MATCH(FQ63,{"III","II","I","I особая"},0),1),"НЕ ОБЕСПЕЧЕНА","ОК"))</f>
        <v>ОК</v>
      </c>
      <c r="FU63" t="str">
        <f>IF(A63="","",_xlfn.XLOOKUP(A63,Щиты[Щит],Щиты[Путь],""))</f>
        <v>|ГРЩ-ЖД|ЩОВ-001|</v>
      </c>
      <c r="FV63" t="str">
        <f>IF(B63="","",IF(AE63&lt;&gt;"",AE63,IF(IFERROR(_xlfn.XLOOKUP(AX63,Коды_код,Коды_вид)&amp;"","")="","Прочее",_xlfn.XLOOKUP(AX63,Коды_код,Коды_вид)&amp;"")))</f>
        <v>Вентиляция</v>
      </c>
      <c r="FW63">
        <f>IF(BH63="","",INT((BH63-1)/Столбцов_на_лист)+1)</f>
        <v>2</v>
      </c>
      <c r="FX63" t="str">
        <f t="shared" si="75"/>
        <v>ВВГнг(А)-LS (3х1,5) L=23-1,31%</v>
      </c>
      <c r="FY63">
        <f t="shared" si="76"/>
        <v>1</v>
      </c>
      <c r="FZ63">
        <f t="shared" si="77"/>
        <v>5.42</v>
      </c>
      <c r="GA63">
        <f t="shared" si="78"/>
        <v>1</v>
      </c>
      <c r="GB63">
        <f t="shared" si="79"/>
        <v>0</v>
      </c>
      <c r="GC63">
        <f t="shared" si="80"/>
        <v>1</v>
      </c>
      <c r="GD63">
        <f>IF(BH63="","",IF(AND(CA63=1,GC63=1),COUNTIFS(A$3:A63,A63,CA$3:CA63,1,GC$3:GC63,1),IF(OR(OR(AW63=1,A63&lt;&gt;A62),AF63="вручную",GC63=0),"",IF(AW63=1,"",GE62))))</f>
        <v>10</v>
      </c>
      <c r="GE63">
        <f t="shared" si="81"/>
        <v>10</v>
      </c>
      <c r="GF63">
        <f>IF(B63="","",IFERROR(LOOKUP(INDEX(CHOOSE(DL63,Iдоп_1ж,Iдоп_2ж,Iдоп_3ж),MATCH(DX63,Iдоп_S,0))*DJ63*DK63,{6,10,16,20,25,32,40,50,63,80,100,125,160,200,250,315,400,500,630}),""))</f>
        <v>16</v>
      </c>
      <c r="GG63" t="str">
        <f t="shared" si="82"/>
        <v>QF10</v>
      </c>
      <c r="GH63" t="str">
        <f t="shared" si="83"/>
        <v>QF10</v>
      </c>
      <c r="GI63" t="str">
        <f t="shared" si="84"/>
        <v/>
      </c>
      <c r="GJ63">
        <f t="shared" si="85"/>
        <v>0</v>
      </c>
      <c r="GK63" t="str">
        <f>IF(OR(AG63="",AG63="-"),"",IFERROR(VLOOKUP(AG63,Модули_спр,2,FALSE),"R"))</f>
        <v/>
      </c>
      <c r="GL63" t="str">
        <f>IF(GK63="","",GK63&amp;"."&amp;COUNTIFS(A$3:A63,A63,GK$3:GK63,GK63))</f>
        <v/>
      </c>
      <c r="GM63" t="str">
        <f t="shared" si="86"/>
        <v/>
      </c>
      <c r="GN63" t="str">
        <f t="shared" si="87"/>
        <v/>
      </c>
      <c r="GO63" t="str">
        <f t="shared" si="88"/>
        <v/>
      </c>
      <c r="GP63" t="str">
        <f t="shared" si="89"/>
        <v/>
      </c>
      <c r="GQ63">
        <f t="shared" si="90"/>
        <v>1</v>
      </c>
      <c r="GR63" t="str">
        <f>IF(GQ63=1,"XT"&amp;COUNTIFS(A$3:A63,A63,GQ$3:GQ63,1),"")</f>
        <v>XT10</v>
      </c>
      <c r="GS63" t="str">
        <f t="shared" si="91"/>
        <v/>
      </c>
      <c r="GT63" t="str">
        <f t="shared" si="92"/>
        <v>QF10</v>
      </c>
      <c r="GU63" t="str">
        <f t="shared" si="93"/>
        <v/>
      </c>
      <c r="GV63" t="str">
        <f t="shared" si="94"/>
        <v>ok</v>
      </c>
      <c r="GW63" t="str">
        <f>IF(OR(GO63="",GM63=""),"",IF(GO63&gt;IFERROR(VLOOKUP(GN63,Модули_спр,3,FALSE),99),"ЛИШНИЙ КАНАЛ",IF(AND(AH63&lt;&gt;"=",COUNTIFS(Линии[_модуль гр.],GM63,Линии[Канал (итог)],GO63,Линии[Канал],"&lt;&gt;=",Линии[Щит],A63)&gt;1),"ДУБЛЬ КАНАЛА","")))</f>
        <v/>
      </c>
      <c r="GX63" s="6" t="str">
        <f t="shared" si="95"/>
        <v/>
      </c>
      <c r="GY63">
        <f t="shared" si="96"/>
        <v>10</v>
      </c>
      <c r="GZ63" t="str">
        <f t="shared" si="97"/>
        <v/>
      </c>
      <c r="HA63" t="str">
        <f>IF(AND(B63="",GT63=""),"",_xlfn.TEXTJOIN("; ",TRUE,IF(AND(B63&lt;&gt;"",FE63=""),"нет фазы",""),IF(AND(B63&lt;&gt;"",N(FY63)=0,EQ63&lt;&gt;"Нет"),"нет мощности",""),IF(AND(GS63&lt;&gt;"",COUNTIFS(Линии[Щит],A63,Линии[Клемма (итог)],GS63)&gt;1),"дубль клеммы "&amp;GS63,""),IF(AND(GV63&lt;&gt;"",GV63&lt;&gt;"ok"),GV63,""),IF(GW63&lt;&gt;"",GW63,""),IF(AND(N(BV63)&gt;=4,N(BR63)=1),BV63&amp;" жил на 1 фазе",""),IF(AND(AX63="R",CA63=1,OR(N(CK63)=0,N(CK63)&gt;30)),"розетка без дифзащиты до 30 мА",""),IFERROR(IF(AND(ISNUMBER(R63),R63&gt;DV63),"потери "&amp;FIXED(R63,1)&amp;" % &gt; "&amp;DV63&amp;" %",""),""),IFERROR(IF(LEFT(GZ63,4)="мало","Iкз мало — отключение &gt; 0,4 с",""),""),IF(AND(B63&lt;&gt;"",BH63=""),"не на схеме",""),IF(AND(CA63=0,B63&lt;&gt;"",FE63&lt;&gt;"",IF(AW63=1,"",FF62)&lt;&gt;"",FE63&lt;&gt;IF(AW63=1,"",FF62)),"фаза не как у автомата группы ("&amp;IF(AW63=1,"",FF62)&amp;")","")))</f>
        <v/>
      </c>
      <c r="HB63" s="6">
        <f>IF(OR(CA63=0,DA63=""),"",_xlfn.LET(_xlpm.t,IFERROR(_xlfn.XLOOKUP(DA63,Каталог!$U$4:$U$500,Каталог!$G$4:$G$500),""),_xlpm.k,SEARCH("кА",_xlpm.t),IFERROR(--TRIM(RIGHT(SUBSTITUTE(MID(_xlpm.t,MAX(1,_xlpm.k-4),_xlpm.k-MAX(1,_xlpm.k-4))," ",REPT(" ",9)),5)),"")))</f>
        <v>6</v>
      </c>
      <c r="HC63" t="str">
        <f>IF(OR(HB63="",CA63=0),"",IF(_xlfn.XLOOKUP(A63,Щиты[Щит],Щиты[Iкз max на шинах, кА],"")="","",IF(HB63&lt;_xlfn.XLOOKUP(A63,Щиты[Щит],Щиты[Iкз max на шинах, кА]),"Icu "&amp;HB63&amp;" кА &lt; Iкз max","ok")))</f>
        <v/>
      </c>
      <c r="HD63" t="str">
        <f t="shared" si="98"/>
        <v/>
      </c>
      <c r="HE63" t="str">
        <f t="shared" si="99"/>
        <v>QF10</v>
      </c>
      <c r="HF63" t="str">
        <f t="shared" si="100"/>
        <v>QF10|кабель ВВГнг(А)-LS (3х1,5) → Приточная установка Пом №006Т</v>
      </c>
      <c r="HG63" t="str" cm="1">
        <f t="array" ref="HG63">IF(HF63="","",_xlfn.LET(_xlpm.nd,_xlfn.TEXTSPLIT(HF63,"|"),IF(COLUMNS(_xlpm.nd)&gt;1,A63&amp;"¦"&amp;INDEX(_xlpm.nd,1)&amp;"¦"&amp;INDEX(_xlpm.nd,2),"")))</f>
        <v>ЩОВ-001¦QF10¦кабель ВВГнг(А)-LS (3х1,5) → Приточная установка Пом №006Т</v>
      </c>
      <c r="HH63" t="str">
        <f t="shared" si="101"/>
        <v>П.4¦Приточная установка Пом №006Т</v>
      </c>
      <c r="HI63" t="str" cm="1">
        <f t="array" ref="HI63">IF(HF63="","",_xlfn.LET(_xlpm.nd,_xlfn.TEXTSPLIT(HF63,"|"),IF(COLUMNS(_xlpm.nd)&gt;2,A63&amp;"¦"&amp;INDEX(_xlpm.nd,2)&amp;"¦"&amp;INDEX(_xlpm.nd,3),"")))</f>
        <v/>
      </c>
      <c r="HJ63" t="str">
        <f t="shared" si="102"/>
        <v/>
      </c>
      <c r="HK63" t="str" cm="1">
        <f t="array" ref="HK63">IF(HF63="","",_xlfn.LET(_xlpm.nd,_xlfn.TEXTSPLIT(HF63,"|"),IF(COLUMNS(_xlpm.nd)&gt;3,A63&amp;"¦"&amp;INDEX(_xlpm.nd,3)&amp;"¦"&amp;INDEX(_xlpm.nd,4),"")))</f>
        <v/>
      </c>
      <c r="HL63" t="str">
        <f t="shared" si="103"/>
        <v/>
      </c>
      <c r="HM63" t="str" cm="1">
        <f t="array" ref="HM63">IF(HF63="","",_xlfn.LET(_xlpm.nd,_xlfn.TEXTSPLIT(HF63,"|"),IF(COLUMNS(_xlpm.nd)&gt;4,A63&amp;"¦"&amp;INDEX(_xlpm.nd,4)&amp;"¦"&amp;INDEX(_xlpm.nd,5),"")))</f>
        <v/>
      </c>
      <c r="HN63" t="str">
        <f t="shared" si="104"/>
        <v/>
      </c>
      <c r="HO63" t="str" cm="1">
        <f t="array" ref="HO63">IF(HF63="","",_xlfn.LET(_xlpm.nd,_xlfn.TEXTSPLIT(HF63,"|"),IF(COLUMNS(_xlpm.nd)&gt;5,A63&amp;"¦"&amp;INDEX(_xlpm.nd,5)&amp;"¦"&amp;INDEX(_xlpm.nd,6),"")))</f>
        <v/>
      </c>
      <c r="HP63" t="str">
        <f t="shared" si="105"/>
        <v/>
      </c>
      <c r="HQ63" t="str" cm="1">
        <f t="array" ref="HQ63">IF(HF63="","",_xlfn.LET(_xlpm.nd,_xlfn.TEXTSPLIT(HF63,"|"),IF(COLUMNS(_xlpm.nd)&gt;6,A63&amp;"¦"&amp;INDEX(_xlpm.nd,6)&amp;"¦"&amp;INDEX(_xlpm.nd,7),"")))</f>
        <v/>
      </c>
      <c r="HR63" t="str">
        <f t="shared" si="106"/>
        <v/>
      </c>
      <c r="HS63" t="str">
        <f t="shared" si="107"/>
        <v/>
      </c>
      <c r="HT63" t="str">
        <f t="shared" si="108"/>
        <v>QF10</v>
      </c>
      <c r="HU63">
        <f t="shared" si="109"/>
        <v>0</v>
      </c>
      <c r="HV63">
        <f t="shared" si="110"/>
        <v>0</v>
      </c>
      <c r="HW63" t="str">
        <f t="shared" si="111"/>
        <v/>
      </c>
      <c r="HX63" t="str">
        <f t="shared" si="112"/>
        <v/>
      </c>
      <c r="HY63" t="str">
        <f t="shared" si="113"/>
        <v/>
      </c>
      <c r="HZ63" t="str">
        <f t="shared" si="114"/>
        <v/>
      </c>
      <c r="IA63" t="str">
        <f>IF(B63="","",IFERROR(VLOOKUP(B63,УГО_спр,2,FALSE),IFERROR(VLOOKUP(AX63,УГО_спр,2,FALSE),IFERROR(VLOOKUP(LEFT(AX63,2),УГО_спр,2,FALSE),""))))</f>
        <v>Привод (двигатель)</v>
      </c>
      <c r="IB63" t="str">
        <f>IF(B63="","",IF(OR(IA63="",IA63=0),"BOX",IFERROR(IF(VLOOKUP(IA63,УГО_блоки,3,FALSE)&amp;""&lt;&gt;"",VLOOKUP(IA63,УГО_блоки,3,FALSE),VLOOKUP(IA63,УГО_блоки,2,FALSE)),IA63)))</f>
        <v>MOTOR</v>
      </c>
      <c r="IC63">
        <f t="shared" si="115"/>
        <v>1</v>
      </c>
      <c r="ID63" t="str">
        <f>IF(DA63="","",IF(COUNTIF(DA$3:DA63,DA63)=1,MAX(ID$2:ID62)+1,""))</f>
        <v/>
      </c>
      <c r="IE63" t="str">
        <f>IF(CO63="","",IF(COUNTIF(CO$3:CO63,CO63)+COUNTIF(CP$2:CP62,CO63)+COUNTIF(CQ$2:CQ62,CO63)=1,MAX(IE$2:IG62)+1,""))</f>
        <v/>
      </c>
      <c r="IF63" t="str">
        <f>IF(CP63="","",IF(COUNTIF(CO$3:CO63,CP63)+COUNTIF(CP$3:CP63,CP63)+COUNTIF(CQ$2:CQ62,CP63)=1,MAX(IE$2:IG62,IE63)+1,""))</f>
        <v/>
      </c>
      <c r="IG63" t="str">
        <f>IF(CQ63="","",IF(COUNTIF(CO$3:CO63,CQ63)+COUNTIF(CP$3:CP63,CQ63)+COUNTIF(CQ$3:CQ63,CQ63)=1,MAX(IE$2:IG62,IE63,IF63)+1,""))</f>
        <v/>
      </c>
      <c r="IH63" t="str">
        <f t="shared" si="116"/>
        <v>3х1,5</v>
      </c>
      <c r="II63" t="str">
        <f>IF(IH63="","",IF(COUNTIF(IH$3:IH63,IH63)=1,MAX(II$2:II62)+1,""))</f>
        <v/>
      </c>
      <c r="IJ63" t="str">
        <f>IF(GL63="","",COUNTIF(GL$3:GL63,"?*"))</f>
        <v/>
      </c>
      <c r="IK63" t="str">
        <f>IF(OR(GL63="",GN63=""),"",IF(COUNTIFS(GL$3:GL63,"?*",GN$3:GN63,GN63)=1,MAX(IK$2:IK62)+1,""))</f>
        <v/>
      </c>
      <c r="IL63">
        <f t="shared" si="117"/>
        <v>0</v>
      </c>
      <c r="IM63">
        <f>IF(B63="","",COUNTIF(B$3:B63,"?*"))</f>
        <v>61</v>
      </c>
      <c r="IN63">
        <f>IF(GQ63&lt;&gt;1,0,_xlfn.LET(_xlpm.k,MAX(IFERROR(--VLOOKUP(B63,УГО_спр,5,FALSE),0),IFERROR(--VLOOKUP(AX63,УГО_спр,5,FALSE),0),IFERROR(--VLOOKUP(LEFT(AX63,2),УГО_спр,5,FALSE),0)),IF(_xlpm.k&gt;0,_xlpm.k,IF(IFERROR(--LEFT(SUBSTITUTE(IH63,"x","х"),FIND("х",SUBSTITUTE(IH63,"x","х"))-1),3)&gt;3,Каталог!$S$9,1))))</f>
        <v>1</v>
      </c>
      <c r="IO63">
        <f t="shared" si="118"/>
        <v>0</v>
      </c>
      <c r="IP63" t="str">
        <f t="shared" si="119"/>
        <v>авто</v>
      </c>
      <c r="IQ63" t="str">
        <f t="shared" si="120"/>
        <v/>
      </c>
      <c r="IR63">
        <f t="shared" si="121"/>
        <v>0</v>
      </c>
      <c r="IS63">
        <f t="shared" si="122"/>
        <v>1</v>
      </c>
    </row>
    <row r="64" spans="1:253" x14ac:dyDescent="0.3">
      <c r="A64" t="s">
        <v>749</v>
      </c>
      <c r="B64" t="s">
        <v>1336</v>
      </c>
      <c r="C64" t="s">
        <v>1617</v>
      </c>
      <c r="D64">
        <v>1</v>
      </c>
      <c r="E64">
        <v>2.1</v>
      </c>
      <c r="G64">
        <v>16</v>
      </c>
      <c r="H64" t="str">
        <f>Линии[[#This Row],[_авто утечка]]</f>
        <v/>
      </c>
      <c r="I64" t="str">
        <f>Линии[[#This Row],[_авто управление]]</f>
        <v/>
      </c>
      <c r="J64" t="str">
        <f>Линии[[#This Row],[_авто аппараты]]</f>
        <v/>
      </c>
      <c r="K64">
        <v>2.5</v>
      </c>
      <c r="L64">
        <v>23</v>
      </c>
      <c r="M64" t="str">
        <f>Линии[[#This Row],[_авто фаза]]</f>
        <v>L1</v>
      </c>
      <c r="N64" t="s">
        <v>486</v>
      </c>
      <c r="O64" t="str">
        <f t="shared" si="0"/>
        <v/>
      </c>
      <c r="P64" s="6" cm="1">
        <f t="array" ref="P64">IF(B64="","",IF(BC64&lt;&gt;"",IFERROR(_xlfn.XLOOKUP(BC64,Щиты[Щит],Щиты[Iр, А]),""),IF(BK64=1,IFERROR(_xlfn.XLOOKUP(A64,Щиты[Щит],Щиты[Iр, А]),""),IFERROR(_xlfn.IFS(BR64=1,BN64/((Uн_лин/SQRT(3))*BY64),BR64=3,BN64/(SQRT(3)*Uн_лин*BY64)),""))))</f>
        <v>11.366583424670756</v>
      </c>
      <c r="Q64" s="7">
        <f>IF(B64="","",IFERROR(IF(VLOOKUP(AX64,Потребители_обозначение,4,FALSE)=1,VLOOKUP(AX64,Потребители_обозначение,3,FALSE)*(D64*2-1)+DS64+VLOOKUP(AZ64,Этаж_обозначение,3,FALSE)+VLOOKUP(AZ64,Этаж_обозначение,4,FALSE),VLOOKUP(AX64,Потребители_обозначение,3,FALSE)*(D64*2-1)+DS64),DS64))</f>
        <v>27</v>
      </c>
      <c r="R64" s="6">
        <f t="shared" si="1"/>
        <v>2.57</v>
      </c>
      <c r="S64" t="str">
        <f t="shared" si="2"/>
        <v>ВВГнг(А)-LS (3х2,5)</v>
      </c>
      <c r="T64" t="str">
        <f>IF(BH64="","",IF(BI64="вводной узел","узел ","")&amp;"л."&amp;(INT((BH64-1)/Столбцов_на_лист)+1)&amp;" / "&amp;(MOD(BH64-1,Столбцов_на_лист)+1))</f>
        <v>л.2 / 13</v>
      </c>
      <c r="V64">
        <v>1</v>
      </c>
      <c r="W64">
        <v>230</v>
      </c>
      <c r="X64" t="s">
        <v>600</v>
      </c>
      <c r="Y64">
        <v>0.5</v>
      </c>
      <c r="AC64" t="s">
        <v>815</v>
      </c>
      <c r="AE64" t="s">
        <v>582</v>
      </c>
      <c r="AI64">
        <v>30</v>
      </c>
      <c r="AJ64" t="s">
        <v>11</v>
      </c>
      <c r="AK64">
        <v>3</v>
      </c>
      <c r="AN64">
        <v>27</v>
      </c>
      <c r="AP64">
        <v>1</v>
      </c>
      <c r="AW64" cm="1">
        <f t="array" ref="AW64">ROW()-ROW(Линии[#Headers])</f>
        <v>62</v>
      </c>
      <c r="AX64" s="6" t="str">
        <f t="shared" si="3"/>
        <v>ПВ</v>
      </c>
      <c r="AY64" t="str">
        <f t="shared" si="4"/>
        <v>2</v>
      </c>
      <c r="AZ64" t="str">
        <f t="shared" si="5"/>
        <v>2</v>
      </c>
      <c r="BA64" t="str">
        <f t="shared" si="6"/>
        <v/>
      </c>
      <c r="BB64" t="str">
        <f t="shared" si="7"/>
        <v/>
      </c>
      <c r="BC64" t="str">
        <f>IF(U64&lt;&gt;"",U64,IF(AND(B64&lt;&gt;"",B64&lt;&gt;A64,ISNUMBER(_xlfn.XMATCH(B64,Щиты[Щит]))),B64,""))</f>
        <v/>
      </c>
      <c r="BD64" t="str" cm="1">
        <f t="array" ref="BD64">IF(B64="","",IF(BC64&lt;&gt;"","Щит "&amp;BC64,_xlfn.LET(_xlpm.nm,IFERROR(_xlfn.XLOOKUP(AX64,Коды_код,Коды_имя)&amp;"",""),_xlpm.md,IFERROR(N(_xlfn.XLOOKUP(AX64,Коды_код,Коды_режим)),1),_xlpm.ex,IF(Имя_режим="по экспликации",IFERROR(_xlfn.XLOOKUP(AZ64&amp;"|"&amp;BB64,Экспликация[Этаж]&amp;"|"&amp;Экспликация[Помещение],Экспликация[Название])&amp;"",""),""),_xlpm.rm,IF(BB64="","",IF(_xlpm.ex&lt;&gt;"",". "&amp;_xlpm.ex&amp;IF(Имя_пом="нет"," ("&amp;BB64&amp;")"," (пом. "&amp;BB64&amp;")"),IF(Имя_пом="нет"," ",", пом. ")&amp;BB64)),IF(_xlpm.nm="","",IF(_xlpm.md=2,_xlpm.nm&amp;" шлейф "&amp;AZ64,_xlpm.nm&amp;_xlpm.rm)))))</f>
        <v>Приточно-вытяжная установка шлейф 2</v>
      </c>
      <c r="BE64" t="str">
        <f t="shared" si="8"/>
        <v>Приточно-вытяжная установка Подвальный этаж Пом. №006Т</v>
      </c>
      <c r="BF64">
        <f>IFERROR(_xlfn.XMATCH(A64,Щиты[Щит]),0)</f>
        <v>4</v>
      </c>
      <c r="BG64">
        <f>_xlfn.LET(_xlpm.k,IFERROR(_xlfn.XLOOKUP(A64,Щиты[Щит],Щиты[Листов под вводной узел]),""),IF(_xlpm.k="",1,N(_xlpm.k))*Столбцов_на_лист)</f>
        <v>17</v>
      </c>
      <c r="BH64">
        <f t="shared" si="9"/>
        <v>30</v>
      </c>
      <c r="BI64" t="str">
        <f t="shared" si="10"/>
        <v>линии</v>
      </c>
      <c r="BJ64" s="6">
        <f>IFERROR(N(_xlfn.XLOOKUP(AX64,Коды_код,Коды_квт)),0)</f>
        <v>0</v>
      </c>
      <c r="BK64">
        <f t="shared" si="11"/>
        <v>0</v>
      </c>
      <c r="BL64" t="str">
        <f>IF(B64="","",IF(BC64&lt;&gt;"",IFERROR(_xlfn.XLOOKUP(BC64,Щиты[Щит],Щиты[Руст, кВт]),0),IF(BK64=1,IFERROR(_xlfn.XLOOKUP(A64,Щиты[Щит],Щиты[Руст, кВт]),0),IF(BJ64&gt;0,ROUND(BJ64*MAX(1,N(D64)),3),""))))</f>
        <v/>
      </c>
      <c r="BM64">
        <f t="shared" si="12"/>
        <v>2.1</v>
      </c>
      <c r="BN64" s="6">
        <f>IF(B64="","",IF(BC64&lt;&gt;"",IFERROR(_xlfn.XLOOKUP(BC64,Щиты[Щит],Щиты[Руст, кВт]),0),N(BM64)))</f>
        <v>2.1</v>
      </c>
      <c r="BO64" t="str">
        <f>IF(B64="","",IFERROR(IF(VLOOKUP(AX64,Потребители_обозначение,8,FALSE)=0,"",VLOOKUP(AX64,Потребители_обозначение,8,FALSE)),""))</f>
        <v/>
      </c>
      <c r="BP64">
        <f t="shared" si="13"/>
        <v>230</v>
      </c>
      <c r="BQ64">
        <f>IF(B64="","",IF(BC64&lt;&gt;"",3,IFERROR(IF(N(VLOOKUP(AX64,Потребители_обозначение,9,FALSE))=0,1,VLOOKUP(AX64,Потребители_обозначение,9,FALSE)),1)))</f>
        <v>1</v>
      </c>
      <c r="BR64">
        <f t="shared" si="14"/>
        <v>1</v>
      </c>
      <c r="BS64" t="str">
        <f>IF(B64="","",_xlfn.LET(_xlpm.bc,IFERROR(IF(VLOOKUP(AX64,Потребители_обозначение,6,FALSE)=0,"",VLOOKUP(AX64,Потребители_обозначение,6,FALSE)&amp;""),""),IF(AND(FK64="да",OR(_xlpm.bc="",_xlpm.bc="мс")),Марка_пож,IF(AND(_xlpm.bc="",BC64&lt;&gt;""),"мс",_xlpm.bc))))</f>
        <v/>
      </c>
      <c r="BT64" t="str">
        <f t="shared" si="15"/>
        <v>мс</v>
      </c>
      <c r="BU64">
        <f>IF(B64="","",_xlfn.LET(_xlpm.cc,IFERROR(N(VLOOKUP(AX64,Потребители_обозначение,7,FALSE)),0),IF(_xlpm.cc&gt;0,_xlpm.cc,IF(BT64="","",IF(N(BR64)=3,5,3)))))</f>
        <v>3</v>
      </c>
      <c r="BV64">
        <f t="shared" si="16"/>
        <v>3</v>
      </c>
      <c r="BW64">
        <f>IFERROR(N(VLOOKUP(AX64,Потребители_обозначение,10,FALSE)),0)</f>
        <v>0</v>
      </c>
      <c r="BX64">
        <f>IFERROR(VLOOKUP(AX64,Потребители_обозначение,5,FALSE),0)</f>
        <v>1</v>
      </c>
      <c r="BY64" s="6" cm="1">
        <f t="array" ref="BY64">IF(B64="","",IF(BC64&lt;&gt;"",IFERROR(_xlfn.XLOOKUP(BC64,Щиты[Щит],Щиты[cos φ]),0.95),IF(BK64=1,IFERROR(_xlfn.XLOOKUP(A64,Щиты[Щит],Щиты[cos φ]),0.95),IF(ISNUMBER(Z64),Z64,IFERROR(IF(BX64=2,_xlfn.IFS(BR64=3,VLOOKUP(BN64,Справочная_двигатели,8,FALSE),BR64=1,VLOOKUP(BN64,Справочная_двигатели,10,TRUE)),IF(AND(Методика="нормы 2026",EQ64="Сил"),0.8,0.95)),0.95)))))</f>
        <v>0.8</v>
      </c>
      <c r="BZ64">
        <f t="shared" si="17"/>
        <v>0</v>
      </c>
      <c r="CA64">
        <f t="shared" si="18"/>
        <v>1</v>
      </c>
      <c r="CB64">
        <f t="shared" si="19"/>
        <v>0</v>
      </c>
      <c r="CC64">
        <f t="shared" si="20"/>
        <v>0</v>
      </c>
      <c r="CD64">
        <f t="shared" si="21"/>
        <v>0</v>
      </c>
      <c r="CE64">
        <f t="shared" si="22"/>
        <v>0</v>
      </c>
      <c r="CF64">
        <f t="shared" si="23"/>
        <v>0</v>
      </c>
      <c r="CG64">
        <f>IF(AX64="",0,_xlfn.LET(_xlpm.v,IFERROR(VLOOKUP(B64,УГО_спр,3,FALSE),IFERROR(VLOOKUP(AX64,УГО_спр,3,FALSE),IFERROR(VLOOKUP(LEFT(AX64,2),УГО_спр,3,FALSE),""))),IF(_xlpm.v="да",30,IF(ISNUMBER(_xlpm.v),_xlpm.v,0))))</f>
        <v>0</v>
      </c>
      <c r="CH64" t="str">
        <f t="shared" si="24"/>
        <v/>
      </c>
      <c r="CI64" t="str">
        <f>_xlfn.LET(_xlpm.k,IFERROR(_xlfn.XLOOKUP(AX64,Коды_код,Коды_утечка)&amp;"",""),IF(_xlpm.k="","дифавтомат",_xlpm.k))</f>
        <v>дифавтомат</v>
      </c>
      <c r="CJ64">
        <f t="shared" si="25"/>
        <v>0</v>
      </c>
      <c r="CK64">
        <f t="shared" si="26"/>
        <v>0</v>
      </c>
      <c r="CL64">
        <f>IF(B64="",0,IFERROR(--VLOOKUP(B64,УГО_спр,4,FALSE),IFERROR(--VLOOKUP(AX64,УГО_спр,4,FALSE),IFERROR(--VLOOKUP(LEFT(AX64,2),УГО_спр,4,FALSE),0))))</f>
        <v>0</v>
      </c>
      <c r="CM64" t="str">
        <f>IF(B64="","",IFERROR(_xlfn.XLOOKUP(AX64,Коды_код,Коды_апп)&amp;"",""))</f>
        <v/>
      </c>
      <c r="CN64" t="str">
        <f t="shared" si="27"/>
        <v/>
      </c>
      <c r="CO64" t="str" cm="1">
        <f t="array" ref="CO64">IF(TRIM(CN64&amp;"")="","",IFERROR(TRIM(INDEX(_xlfn.TEXTSPLIT(CN64&amp;";;;",";"),1)),""))</f>
        <v/>
      </c>
      <c r="CP64" t="str" cm="1">
        <f t="array" ref="CP64">IF(TRIM(CN64&amp;"")="","",IFERROR(TRIM(INDEX(_xlfn.TEXTSPLIT(CN64&amp;";;;",";"),2)),""))</f>
        <v/>
      </c>
      <c r="CQ64" t="str" cm="1">
        <f t="array" ref="CQ64">IF(TRIM(CN64&amp;"")="","",IFERROR(TRIM(INDEX(_xlfn.TEXTSPLIT(CN64&amp;";;;",";"),3)),""))</f>
        <v/>
      </c>
      <c r="CR64">
        <f t="shared" si="28"/>
        <v>0</v>
      </c>
      <c r="CS64" t="str">
        <f>IF(B64="","",_xlfn.LET(_xlpm.t,LOWER(AV64&amp;""),IF(ISNUMBER(SEARCH("dim",_xlpm.t)),"DIM",IF(ISNUMBER(SEARCH("dali",_xlpm.t)),"DALI",IF(OR(ISNUMBER(SEARCH("relay",_xlpm.t)),ISNUMBER(SEARCH("реле",_xlpm.t))),"Relay",IF(ISNUMBER(SEARCH("кнопк",_xlpm.t)),"",IFERROR(_xlfn.XLOOKUP(AX64,Коды_код,Коды_упр)&amp;"","")))))))</f>
        <v/>
      </c>
      <c r="CT64" t="str">
        <f t="shared" si="29"/>
        <v/>
      </c>
      <c r="CU64">
        <f>IF(B64="","",_xlfn.LET(_xlpm.ig,N(P64)+IF(AF64="вручную",0,N(CB64)),_xlpm.n0,IFERROR(VLOOKUP(_xlpm.ig,Автомат_номиналы,2,TRUE),0),_xlpm.mn,MAX(CL64,IF(AF64="вручную",0,N(CE64))),MAX(_xlpm.n0,_xlpm.mn,IF(CR64=1,Мин_автомат_БП,0))))</f>
        <v>16</v>
      </c>
      <c r="CV64">
        <f t="shared" si="30"/>
        <v>1</v>
      </c>
      <c r="CW64" t="str">
        <f t="shared" si="31"/>
        <v>1P</v>
      </c>
      <c r="CX64" t="str">
        <f>_xlfn.LET(_xlpm.cc,UPPER(TRIM(IFERROR(_xlfn.XLOOKUP(AX64,Коды_код,Коды_хар)&amp;"",""))),IF(OR(_xlpm.cc="B",_xlpm.cc="В"),"B",IF(_xlpm.cc="D","D","С")))</f>
        <v>С</v>
      </c>
      <c r="CY64" t="str">
        <f t="shared" si="32"/>
        <v>1P С16А</v>
      </c>
      <c r="CZ64">
        <f t="shared" si="33"/>
        <v>16</v>
      </c>
      <c r="DA64" t="str">
        <f t="shared" si="34"/>
        <v>1P С16А</v>
      </c>
      <c r="DB64" cm="1">
        <f t="array" ref="DB64">IF(DA64="","",_xlfn.LET(_xlpm.t,SUBSTITUTE(SUBSTITUTE(SUBSTITUTE(UPPER(DA64),"С","C"),"А","A"),"В","B"),_xlpm.tk,_xlfn.TEXTSPLIT(_xlpm.t,"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64" t="str">
        <f t="shared" si="35"/>
        <v>ok</v>
      </c>
      <c r="DD64">
        <f t="shared" si="36"/>
        <v>16</v>
      </c>
      <c r="DE64" t="str">
        <f t="shared" si="37"/>
        <v>1P С16А</v>
      </c>
      <c r="DF64">
        <f t="shared" si="38"/>
        <v>0</v>
      </c>
      <c r="DG64">
        <f t="shared" si="39"/>
        <v>0</v>
      </c>
      <c r="DH64">
        <f t="shared" si="40"/>
        <v>0</v>
      </c>
      <c r="DI64">
        <f t="shared" si="41"/>
        <v>11.366583424670756</v>
      </c>
      <c r="DJ64">
        <f t="shared" si="42"/>
        <v>1</v>
      </c>
      <c r="DK64">
        <f>IF(ISNUMBER(AL64),AL64,К_прокл)</f>
        <v>1</v>
      </c>
      <c r="DL64">
        <f t="shared" si="43"/>
        <v>2</v>
      </c>
      <c r="DM64">
        <f>IFERROR(N(VLOOKUP(BT64,Кабель_обозначение,3,FALSE)),1)</f>
        <v>1</v>
      </c>
      <c r="DN64">
        <f>IFERROR(N(_xlfn.XLOOKUP(A64,Щиты[Щит],Щиты[ΔU до шин, %])),0)</f>
        <v>0.64</v>
      </c>
      <c r="DO64" t="str">
        <f>IFERROR(_xlfn.XLOOKUP(A64,Щиты[Щит],Щиты[Zпетли на шинах, Ом]),"")</f>
        <v/>
      </c>
      <c r="DP64">
        <f>IFERROR(N(_xlfn.XLOOKUP(A64,Щиты[Щит],Щиты[ΔU до шин (подбор), %])),0)</f>
        <v>0.75</v>
      </c>
      <c r="DQ64" t="str">
        <f>IFERROR(_xlfn.XLOOKUP(A64,Щиты[Щит],Щиты[Zпетли на шинах (подбор), Ом]),"")</f>
        <v/>
      </c>
      <c r="DR64" t="str">
        <f t="shared" si="44"/>
        <v/>
      </c>
      <c r="DS64">
        <f t="shared" si="45"/>
        <v>23</v>
      </c>
      <c r="DT64">
        <f t="shared" si="46"/>
        <v>2</v>
      </c>
      <c r="DU64">
        <f t="shared" si="47"/>
        <v>0.6</v>
      </c>
      <c r="DV64" s="6">
        <f>IF(B64="","",IF(IFERROR(VLOOKUP(AX64,УГО_спр,2,FALSE),"")="Светильник",3,4)+IF(Методика="нормы 2026",MIN(0.5,MAX(0,N(Q64)-100)*0.005),0))</f>
        <v>4</v>
      </c>
      <c r="DW64" cm="1">
        <f t="array" ref="DW64">IF(OR(B64="",BT64="",DM64&lt;&gt;1),"",_xlfn.LET(_xlpm.sz,Iдоп_S,_xlpm.t_,CHOOSE(DL64,Iдоп_1ж,Iдоп_2ж,Iдоп_3ж)*DJ64*DK64,_xlpm.inn,N(DD64),_xlpm.smin,MAX(1.5,BW64),_xlpm.L_,N(Q64)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64)*(_xlpm.rho*_xlpm.L_/_xlpm.sz*N(BY64)+_xlpm.xx*_xlpm.L_*N(DU64)/1000)*N(P64)/((Uн_лин/SQRT(3))*1000)*100,999),_xlpm.kz,IF(OR(DG64=1,NOT(ISNUMBER(DQ64)),_xlpm.L_=0,_xlpm.inn=0),1,IFERROR(--(c_min*(Uн_лин*1000/SQRT(3))/(DQ64+2*ρкз_Cu*_xlpm.L_/_xlpm.sz)&gt;=GY64*_xlpm.inn),0)),_xlpm.ok,IFERROR((_xlpm.sz&gt;=_xlpm.smin)*(_xlpm.t_&gt;=_xlpm.inn)*IF(_xlpm.L_&gt;0,(_xlpm.du_+DP64&lt;=DV64+0.00001),1)*_xlpm.kz,0),_xlpm.r_,_xlfn._xlws.FILTER(_xlpm.sz,_xlpm.ok,"не подобрано"),INDEX(_xlpm.r_,1)))</f>
        <v>1.5</v>
      </c>
      <c r="DX64">
        <f t="shared" si="48"/>
        <v>2.5</v>
      </c>
      <c r="DY64" cm="1">
        <f t="array" ref="DY64">IF(OR(B64="",BT64="",DM64&lt;&gt;1),"",_xlfn.LET(_xlpm.sz,Iдоп_S,_xlpm.t_,CHOOSE(DL64,Iдоп_1ж,Iдоп_2ж,Iдоп_3ж)*DJ64*DK64,_xlpm.ok,IFERROR((_xlpm.sz&gt;=MAX(1.5,BW64))*(_xlpm.t_&gt;=N(DD64)),0),_xlpm.r_,_xlfn._xlws.FILTER(_xlpm.sz,_xlpm.ok,""),INDEX(_xlpm.r_,1)))</f>
        <v>1.5</v>
      </c>
      <c r="DZ64" s="6" cm="1">
        <f t="array" ref="DZ64">IFERROR(ROUNDUP(N(DT64)*(_xlfn.XLOOKUP(DY64,INDEX(Кабель_сопротивление,0,1),INDEX(Кабель_сопротивление,0,3))*N(Q64)/DY64*N(BY64)+_xlfn.XLOOKUP(DY64,INDEX(Кабель_сопротивление,0,1),INDEX(Кабель_сопротивление,0,2))*N(Q64)*N(DU64)/1000)*N(P64)/((Uн_лин/SQRT(3))*1000)*100,2),"")</f>
        <v>3.21</v>
      </c>
      <c r="EA64">
        <f>IFERROR(2*ρкз_Cu*N(Q64)/DY64,"")</f>
        <v>0.94680000000000009</v>
      </c>
      <c r="EB64">
        <f>IFERROR(VLOOKUP(DX64,Кабель_сопротивление,3,FALSE),"")</f>
        <v>2.2499999999999999E-2</v>
      </c>
      <c r="EC64">
        <f>IFERROR(VLOOKUP(DX64,Кабель_сопротивление,2,FALSE),"")</f>
        <v>0.1</v>
      </c>
      <c r="ED64">
        <f t="shared" si="49"/>
        <v>27</v>
      </c>
      <c r="EE64">
        <f t="shared" si="50"/>
        <v>0</v>
      </c>
      <c r="EF64">
        <f t="shared" si="51"/>
        <v>4.4561553658079234</v>
      </c>
      <c r="EG64" s="6">
        <f>IFERROR(ROUNDUP(EF64/((Uн_лин/SQRT(3))*1000)*100,2),"")</f>
        <v>1.93</v>
      </c>
      <c r="EH64" t="str">
        <f>IFERROR(VLOOKUP(BT64,Кабель_обозначение,2,FALSE),"")</f>
        <v>ВВГнг(А)-LS</v>
      </c>
      <c r="EI64" t="str">
        <f t="shared" si="52"/>
        <v>ВВГнг(А)-LS (3х2,5)</v>
      </c>
      <c r="EJ64" t="str">
        <f t="shared" si="53"/>
        <v>ВВГнг(А)-LS (3х2,5)
L=27-1,93%</v>
      </c>
      <c r="EK64">
        <f>IFERROR(2*ρкз_Cu*Q64/DX64,"")</f>
        <v>0.56808000000000003</v>
      </c>
      <c r="EL64">
        <f t="shared" si="54"/>
        <v>0.189</v>
      </c>
      <c r="EM64" s="6" t="str">
        <f>IFERROR(IF(OR(B64="",NOT(ISNUMBER(DX64)),N(Q64)=0),"",_xlfn.XLOOKUP(A64,Щиты[Щит],Щиты[Zпетли на шинах, Ом])+EK64),"")</f>
        <v/>
      </c>
      <c r="EN64" s="6" t="str">
        <f>IF(ISNUMBER(EM64),c_min*(Uн_лин*1000/SQRT(3))/EM64,"")</f>
        <v/>
      </c>
      <c r="EO64" s="6" t="str">
        <f>IFERROR(IF(OR(B64="",NOT(ISNUMBER(DX64))),"",1.05*(Uн_лин*1000/SQRT(3))/(_xlfn.XLOOKUP(A64,Щиты[Щит],Щиты[Zmax на шинах, Ом])+EL64)/1000),"")</f>
        <v/>
      </c>
      <c r="EP64" s="6" t="str">
        <f>IF(B64="","",IF(ISNUMBER(Y64),"Сил",IF(IFERROR(_xlfn.XLOOKUP(AX64,Коды_код,Коды_группа)&amp;"","")="","Быт",_xlfn.XLOOKUP(AX64,Коды_код,Коды_группа)&amp;"")))</f>
        <v>Сил</v>
      </c>
      <c r="EQ64" s="6" t="str">
        <f t="shared" si="55"/>
        <v>Сил</v>
      </c>
      <c r="ER64" s="6">
        <f>IF(EQ64="Щит","щит",IF(EQ64="","",IF(EQ64="Быт",IFERROR(_xlfn.XLOOKUP(A64,Щиты[Щит],Щиты[Кс быт]),1),IF(EQ64="Сил",IF(ISNUMBER(Y64),Y64,IF(Методика="нормы 2026",IFERROR(_xlfn.XLOOKUP(A64,Щиты[Щит],Щиты[Кс силовых (табл. 7.5)]),1),1)),IF(OR(EQ64="Пост",EQ64="Отоп"),1,IF(EQ64="ВНГ",0.7,0))))))</f>
        <v>0.5</v>
      </c>
      <c r="ES64">
        <f t="shared" si="56"/>
        <v>1</v>
      </c>
      <c r="ET64">
        <f t="shared" si="57"/>
        <v>2.1</v>
      </c>
      <c r="EU64">
        <f t="shared" si="58"/>
        <v>0</v>
      </c>
      <c r="EV64">
        <f t="shared" si="59"/>
        <v>1.05</v>
      </c>
      <c r="EW64">
        <f t="shared" si="60"/>
        <v>0</v>
      </c>
      <c r="EX64">
        <f t="shared" si="61"/>
        <v>0</v>
      </c>
      <c r="EY64">
        <f t="shared" si="62"/>
        <v>0</v>
      </c>
      <c r="EZ64">
        <f t="shared" si="63"/>
        <v>2.1</v>
      </c>
      <c r="FA64">
        <f t="shared" si="64"/>
        <v>1.6800000000000002</v>
      </c>
      <c r="FB64">
        <f t="shared" si="65"/>
        <v>2.1</v>
      </c>
      <c r="FC64" t="str">
        <f t="shared" si="66"/>
        <v/>
      </c>
      <c r="FD64" t="str">
        <f>IF(B64="","",IF(CA64=0,IF(AW64=1,"",FF63),IF(OR(N(CV64)&gt;=3,N(BR64)&gt;=3),"L1,L2,L3",IFERROR(_xlfn.TEXTBEFORE(_xlfn.TEXTAFTER(_xlfn.XLOOKUP(A64,Щиты[Щит],Щиты[_фазы авто]),";"&amp;AW64&amp;":"),";"),"L1"))))</f>
        <v>L1</v>
      </c>
      <c r="FE64" t="str">
        <f t="shared" si="67"/>
        <v>L1</v>
      </c>
      <c r="FF64" t="str">
        <f t="shared" si="68"/>
        <v>L1</v>
      </c>
      <c r="FG64" cm="1">
        <f t="array" ref="FG64">IFERROR(IF(BX64=2,_xlfn.IFS(BR64=3,VLOOKUP(BN64,Справочная_двигатели,3,FALSE),BR64=1,VLOOKUP(BN64,Справочная_двигатели,5,TRUE)),0),0)</f>
        <v>0</v>
      </c>
      <c r="FH64">
        <f>IFERROR(IF(BX64=3,VLOOKUP(BN64,Справочная_ЛЭД,2,TRUE),0),0)</f>
        <v>0</v>
      </c>
      <c r="FI64" s="6">
        <f t="shared" si="69"/>
        <v>0</v>
      </c>
      <c r="FJ64" t="str" cm="1">
        <f t="array" ref="FJ64">IF(B64="","",IFERROR(INDEX({"I особая","I","II","III"},MATCH(TRIM(AC64&amp;""),{"I особая","I","II","III"},0)),"III"))</f>
        <v>II</v>
      </c>
      <c r="FK64" t="str">
        <f>IF(B64="","",IF(TRIM(AD64&amp;"")&lt;&gt;"",IF(LOWER(TRIM(AD64&amp;""))="да","да","нет"),IF(IFERROR(_xlfn.XLOOKUP(AX64,Коды_код,Коды_пожарная),"")="да","да","нет")))</f>
        <v>нет</v>
      </c>
      <c r="FL64" t="str">
        <f t="shared" si="70"/>
        <v/>
      </c>
      <c r="FM64" t="str">
        <f t="shared" si="71"/>
        <v>основная</v>
      </c>
      <c r="FN64">
        <f t="shared" si="72"/>
        <v>1</v>
      </c>
      <c r="FO64" t="str" cm="1">
        <f t="array" ref="FO64">IF(B64="","",_xlfn.LET(_xlpm.t,IFERROR(_xlfn.XLOOKUP(1,(Шины[Шина]=FM64)*(((Шины[Щит]=A64)+(Шины[Щит]=""))&gt;0),Шины[Тип]),"")&amp;"",IF(_xlpm.t&lt;&gt;"",_xlpm.t,IF(ISNUMBER(SEARCH("ИБП",FM64)),"ИБП",IF(ISNUMBER(SEARCH("ДГУ",FM64)),"ДГУ","Ввод "&amp;FN64)))))</f>
        <v>Ввод 1</v>
      </c>
      <c r="FP64" t="str">
        <f t="shared" si="73"/>
        <v>Ввод 1</v>
      </c>
      <c r="FQ64" t="str">
        <f>IF(B64="","",IF(OR(FO64="ИБП",FO64="ДГУ"),"I особая",IF(FO64="Одиночная","III",_xlfn.XLOOKUP(A64,Щиты[Щит],Щиты[Категория шины «Ввод»],"III"))))</f>
        <v>II</v>
      </c>
      <c r="FR64">
        <f>IF(B64="",0,IFERROR(MATCH(FJ64,{"III","II","I","I особая"},0),1))</f>
        <v>2</v>
      </c>
      <c r="FS64">
        <f t="shared" si="74"/>
        <v>2</v>
      </c>
      <c r="FT64" t="str">
        <f>IF(B64="","",IF(FR64&gt;IFERROR(MATCH(FQ64,{"III","II","I","I особая"},0),1),"НЕ ОБЕСПЕЧЕНА","ОК"))</f>
        <v>ОК</v>
      </c>
      <c r="FU64" t="str">
        <f>IF(A64="","",_xlfn.XLOOKUP(A64,Щиты[Щит],Щиты[Путь],""))</f>
        <v>|ГРЩ-ЖД|ЩОВ-001|</v>
      </c>
      <c r="FV64" t="str">
        <f>IF(B64="","",IF(AE64&lt;&gt;"",AE64,IF(IFERROR(_xlfn.XLOOKUP(AX64,Коды_код,Коды_вид)&amp;"","")="","Прочее",_xlfn.XLOOKUP(AX64,Коды_код,Коды_вид)&amp;"")))</f>
        <v>Вентиляция</v>
      </c>
      <c r="FW64">
        <f>IF(BH64="","",INT((BH64-1)/Столбцов_на_лист)+1)</f>
        <v>2</v>
      </c>
      <c r="FX64" t="str">
        <f t="shared" si="75"/>
        <v>ВВГнг(А)-LS (3х2,5) L=27-1,93%</v>
      </c>
      <c r="FY64">
        <f t="shared" si="76"/>
        <v>2.1</v>
      </c>
      <c r="FZ64">
        <f t="shared" si="77"/>
        <v>11.37</v>
      </c>
      <c r="GA64">
        <f t="shared" si="78"/>
        <v>1</v>
      </c>
      <c r="GB64">
        <f t="shared" si="79"/>
        <v>0</v>
      </c>
      <c r="GC64">
        <f t="shared" si="80"/>
        <v>1</v>
      </c>
      <c r="GD64">
        <f>IF(BH64="","",IF(AND(CA64=1,GC64=1),COUNTIFS(A$3:A64,A64,CA$3:CA64,1,GC$3:GC64,1),IF(OR(OR(AW64=1,A64&lt;&gt;A63),AF64="вручную",GC64=0),"",IF(AW64=1,"",GE63))))</f>
        <v>11</v>
      </c>
      <c r="GE64">
        <f t="shared" si="81"/>
        <v>11</v>
      </c>
      <c r="GF64">
        <f>IF(B64="","",IFERROR(LOOKUP(INDEX(CHOOSE(DL64,Iдоп_1ж,Iдоп_2ж,Iдоп_3ж),MATCH(DX64,Iдоп_S,0))*DJ64*DK64,{6,10,16,20,25,32,40,50,63,80,100,125,160,200,250,315,400,500,630}),""))</f>
        <v>25</v>
      </c>
      <c r="GG64" t="str">
        <f t="shared" si="82"/>
        <v>QF11</v>
      </c>
      <c r="GH64" t="str">
        <f t="shared" si="83"/>
        <v>QF11</v>
      </c>
      <c r="GI64" t="str">
        <f t="shared" si="84"/>
        <v/>
      </c>
      <c r="GJ64">
        <f t="shared" si="85"/>
        <v>0</v>
      </c>
      <c r="GK64" t="str">
        <f>IF(OR(AG64="",AG64="-"),"",IFERROR(VLOOKUP(AG64,Модули_спр,2,FALSE),"R"))</f>
        <v/>
      </c>
      <c r="GL64" t="str">
        <f>IF(GK64="","",GK64&amp;"."&amp;COUNTIFS(A$3:A64,A64,GK$3:GK64,GK64))</f>
        <v/>
      </c>
      <c r="GM64" t="str">
        <f t="shared" si="86"/>
        <v/>
      </c>
      <c r="GN64" t="str">
        <f t="shared" si="87"/>
        <v/>
      </c>
      <c r="GO64" t="str">
        <f t="shared" si="88"/>
        <v/>
      </c>
      <c r="GP64" t="str">
        <f t="shared" si="89"/>
        <v/>
      </c>
      <c r="GQ64">
        <f t="shared" si="90"/>
        <v>1</v>
      </c>
      <c r="GR64" t="str">
        <f>IF(GQ64=1,"XT"&amp;COUNTIFS(A$3:A64,A64,GQ$3:GQ64,1),"")</f>
        <v>XT11</v>
      </c>
      <c r="GS64" t="str">
        <f t="shared" si="91"/>
        <v/>
      </c>
      <c r="GT64" t="str">
        <f t="shared" si="92"/>
        <v>QF11</v>
      </c>
      <c r="GU64" t="str">
        <f t="shared" si="93"/>
        <v/>
      </c>
      <c r="GV64" t="str">
        <f t="shared" si="94"/>
        <v>ok</v>
      </c>
      <c r="GW64" t="str">
        <f>IF(OR(GO64="",GM64=""),"",IF(GO64&gt;IFERROR(VLOOKUP(GN64,Модули_спр,3,FALSE),99),"ЛИШНИЙ КАНАЛ",IF(AND(AH64&lt;&gt;"=",COUNTIFS(Линии[_модуль гр.],GM64,Линии[Канал (итог)],GO64,Линии[Канал],"&lt;&gt;=",Линии[Щит],A64)&gt;1),"ДУБЛЬ КАНАЛА","")))</f>
        <v/>
      </c>
      <c r="GX64" s="6" t="str">
        <f t="shared" si="95"/>
        <v/>
      </c>
      <c r="GY64">
        <f t="shared" si="96"/>
        <v>10</v>
      </c>
      <c r="GZ64" t="str">
        <f t="shared" si="97"/>
        <v/>
      </c>
      <c r="HA64" t="str">
        <f>IF(AND(B64="",GT64=""),"",_xlfn.TEXTJOIN("; ",TRUE,IF(AND(B64&lt;&gt;"",FE64=""),"нет фазы",""),IF(AND(B64&lt;&gt;"",N(FY64)=0,EQ64&lt;&gt;"Нет"),"нет мощности",""),IF(AND(GS64&lt;&gt;"",COUNTIFS(Линии[Щит],A64,Линии[Клемма (итог)],GS64)&gt;1),"дубль клеммы "&amp;GS64,""),IF(AND(GV64&lt;&gt;"",GV64&lt;&gt;"ok"),GV64,""),IF(GW64&lt;&gt;"",GW64,""),IF(AND(N(BV64)&gt;=4,N(BR64)=1),BV64&amp;" жил на 1 фазе",""),IF(AND(AX64="R",CA64=1,OR(N(CK64)=0,N(CK64)&gt;30)),"розетка без дифзащиты до 30 мА",""),IFERROR(IF(AND(ISNUMBER(R64),R64&gt;DV64),"потери "&amp;FIXED(R64,1)&amp;" % &gt; "&amp;DV64&amp;" %",""),""),IFERROR(IF(LEFT(GZ64,4)="мало","Iкз мало — отключение &gt; 0,4 с",""),""),IF(AND(B64&lt;&gt;"",BH64=""),"не на схеме",""),IF(AND(CA64=0,B64&lt;&gt;"",FE64&lt;&gt;"",IF(AW64=1,"",FF63)&lt;&gt;"",FE64&lt;&gt;IF(AW64=1,"",FF63)),"фаза не как у автомата группы ("&amp;IF(AW64=1,"",FF63)&amp;")","")))</f>
        <v/>
      </c>
      <c r="HB64" s="6">
        <f>IF(OR(CA64=0,DA64=""),"",_xlfn.LET(_xlpm.t,IFERROR(_xlfn.XLOOKUP(DA64,Каталог!$U$4:$U$500,Каталог!$G$4:$G$500),""),_xlpm.k,SEARCH("кА",_xlpm.t),IFERROR(--TRIM(RIGHT(SUBSTITUTE(MID(_xlpm.t,MAX(1,_xlpm.k-4),_xlpm.k-MAX(1,_xlpm.k-4))," ",REPT(" ",9)),5)),"")))</f>
        <v>6</v>
      </c>
      <c r="HC64" t="str">
        <f>IF(OR(HB64="",CA64=0),"",IF(_xlfn.XLOOKUP(A64,Щиты[Щит],Щиты[Iкз max на шинах, кА],"")="","",IF(HB64&lt;_xlfn.XLOOKUP(A64,Щиты[Щит],Щиты[Iкз max на шинах, кА]),"Icu "&amp;HB64&amp;" кА &lt; Iкз max","ok")))</f>
        <v/>
      </c>
      <c r="HD64" t="str">
        <f t="shared" si="98"/>
        <v/>
      </c>
      <c r="HE64" t="str">
        <f t="shared" si="99"/>
        <v>QF11</v>
      </c>
      <c r="HF64" t="str">
        <f t="shared" si="100"/>
        <v>QF11|кабель ВВГнг(А)-LS (3х2,5) → Приточно-вытяжная установка Подвальный этаж Пом. №006Т</v>
      </c>
      <c r="HG64" t="str" cm="1">
        <f t="array" ref="HG64">IF(HF64="","",_xlfn.LET(_xlpm.nd,_xlfn.TEXTSPLIT(HF64,"|"),IF(COLUMNS(_xlpm.nd)&gt;1,A64&amp;"¦"&amp;INDEX(_xlpm.nd,1)&amp;"¦"&amp;INDEX(_xlpm.nd,2),"")))</f>
        <v>ЩОВ-001¦QF11¦кабель ВВГнг(А)-LS (3х2,5) → Приточно-вытяжная установка Подвальный этаж Пом. №006Т</v>
      </c>
      <c r="HH64" t="str">
        <f t="shared" si="101"/>
        <v>ПВ.2¦Приточно-вытяжная установка Подвальный этаж Пом. №006Т</v>
      </c>
      <c r="HI64" t="str" cm="1">
        <f t="array" ref="HI64">IF(HF64="","",_xlfn.LET(_xlpm.nd,_xlfn.TEXTSPLIT(HF64,"|"),IF(COLUMNS(_xlpm.nd)&gt;2,A64&amp;"¦"&amp;INDEX(_xlpm.nd,2)&amp;"¦"&amp;INDEX(_xlpm.nd,3),"")))</f>
        <v/>
      </c>
      <c r="HJ64" t="str">
        <f t="shared" si="102"/>
        <v/>
      </c>
      <c r="HK64" t="str" cm="1">
        <f t="array" ref="HK64">IF(HF64="","",_xlfn.LET(_xlpm.nd,_xlfn.TEXTSPLIT(HF64,"|"),IF(COLUMNS(_xlpm.nd)&gt;3,A64&amp;"¦"&amp;INDEX(_xlpm.nd,3)&amp;"¦"&amp;INDEX(_xlpm.nd,4),"")))</f>
        <v/>
      </c>
      <c r="HL64" t="str">
        <f t="shared" si="103"/>
        <v/>
      </c>
      <c r="HM64" t="str" cm="1">
        <f t="array" ref="HM64">IF(HF64="","",_xlfn.LET(_xlpm.nd,_xlfn.TEXTSPLIT(HF64,"|"),IF(COLUMNS(_xlpm.nd)&gt;4,A64&amp;"¦"&amp;INDEX(_xlpm.nd,4)&amp;"¦"&amp;INDEX(_xlpm.nd,5),"")))</f>
        <v/>
      </c>
      <c r="HN64" t="str">
        <f t="shared" si="104"/>
        <v/>
      </c>
      <c r="HO64" t="str" cm="1">
        <f t="array" ref="HO64">IF(HF64="","",_xlfn.LET(_xlpm.nd,_xlfn.TEXTSPLIT(HF64,"|"),IF(COLUMNS(_xlpm.nd)&gt;5,A64&amp;"¦"&amp;INDEX(_xlpm.nd,5)&amp;"¦"&amp;INDEX(_xlpm.nd,6),"")))</f>
        <v/>
      </c>
      <c r="HP64" t="str">
        <f t="shared" si="105"/>
        <v/>
      </c>
      <c r="HQ64" t="str" cm="1">
        <f t="array" ref="HQ64">IF(HF64="","",_xlfn.LET(_xlpm.nd,_xlfn.TEXTSPLIT(HF64,"|"),IF(COLUMNS(_xlpm.nd)&gt;6,A64&amp;"¦"&amp;INDEX(_xlpm.nd,6)&amp;"¦"&amp;INDEX(_xlpm.nd,7),"")))</f>
        <v/>
      </c>
      <c r="HR64" t="str">
        <f t="shared" si="106"/>
        <v/>
      </c>
      <c r="HS64" t="str">
        <f t="shared" si="107"/>
        <v/>
      </c>
      <c r="HT64" t="str">
        <f t="shared" si="108"/>
        <v>QF11</v>
      </c>
      <c r="HU64">
        <f t="shared" si="109"/>
        <v>0</v>
      </c>
      <c r="HV64">
        <f t="shared" si="110"/>
        <v>0</v>
      </c>
      <c r="HW64" t="str">
        <f t="shared" si="111"/>
        <v/>
      </c>
      <c r="HX64" t="str">
        <f t="shared" si="112"/>
        <v/>
      </c>
      <c r="HY64" t="str">
        <f t="shared" si="113"/>
        <v/>
      </c>
      <c r="HZ64" t="str">
        <f t="shared" si="114"/>
        <v/>
      </c>
      <c r="IA64" t="str">
        <f>IF(B64="","",IFERROR(VLOOKUP(B64,УГО_спр,2,FALSE),IFERROR(VLOOKUP(AX64,УГО_спр,2,FALSE),IFERROR(VLOOKUP(LEFT(AX64,2),УГО_спр,2,FALSE),""))))</f>
        <v>Привод (двигатель)</v>
      </c>
      <c r="IB64" t="str">
        <f>IF(B64="","",IF(OR(IA64="",IA64=0),"BOX",IFERROR(IF(VLOOKUP(IA64,УГО_блоки,3,FALSE)&amp;""&lt;&gt;"",VLOOKUP(IA64,УГО_блоки,3,FALSE),VLOOKUP(IA64,УГО_блоки,2,FALSE)),IA64)))</f>
        <v>MOTOR</v>
      </c>
      <c r="IC64">
        <f t="shared" si="115"/>
        <v>1</v>
      </c>
      <c r="ID64" t="str">
        <f>IF(DA64="","",IF(COUNTIF(DA$3:DA64,DA64)=1,MAX(ID$2:ID63)+1,""))</f>
        <v/>
      </c>
      <c r="IE64" t="str">
        <f>IF(CO64="","",IF(COUNTIF(CO$3:CO64,CO64)+COUNTIF(CP$2:CP63,CO64)+COUNTIF(CQ$2:CQ63,CO64)=1,MAX(IE$2:IG63)+1,""))</f>
        <v/>
      </c>
      <c r="IF64" t="str">
        <f>IF(CP64="","",IF(COUNTIF(CO$3:CO64,CP64)+COUNTIF(CP$3:CP64,CP64)+COUNTIF(CQ$2:CQ63,CP64)=1,MAX(IE$2:IG63,IE64)+1,""))</f>
        <v/>
      </c>
      <c r="IG64" t="str">
        <f>IF(CQ64="","",IF(COUNTIF(CO$3:CO64,CQ64)+COUNTIF(CP$3:CP64,CQ64)+COUNTIF(CQ$3:CQ64,CQ64)=1,MAX(IE$2:IG63,IE64,IF64)+1,""))</f>
        <v/>
      </c>
      <c r="IH64" t="str">
        <f t="shared" si="116"/>
        <v>3х2,5</v>
      </c>
      <c r="II64" t="str">
        <f>IF(IH64="","",IF(COUNTIF(IH$3:IH64,IH64)=1,MAX(II$2:II63)+1,""))</f>
        <v/>
      </c>
      <c r="IJ64" t="str">
        <f>IF(GL64="","",COUNTIF(GL$3:GL64,"?*"))</f>
        <v/>
      </c>
      <c r="IK64" t="str">
        <f>IF(OR(GL64="",GN64=""),"",IF(COUNTIFS(GL$3:GL64,"?*",GN$3:GN64,GN64)=1,MAX(IK$2:IK63)+1,""))</f>
        <v/>
      </c>
      <c r="IL64">
        <f t="shared" si="117"/>
        <v>0</v>
      </c>
      <c r="IM64">
        <f>IF(B64="","",COUNTIF(B$3:B64,"?*"))</f>
        <v>62</v>
      </c>
      <c r="IN64">
        <f>IF(GQ64&lt;&gt;1,0,_xlfn.LET(_xlpm.k,MAX(IFERROR(--VLOOKUP(B64,УГО_спр,5,FALSE),0),IFERROR(--VLOOKUP(AX64,УГО_спр,5,FALSE),0),IFERROR(--VLOOKUP(LEFT(AX64,2),УГО_спр,5,FALSE),0)),IF(_xlpm.k&gt;0,_xlpm.k,IF(IFERROR(--LEFT(SUBSTITUTE(IH64,"x","х"),FIND("х",SUBSTITUTE(IH64,"x","х"))-1),3)&gt;3,Каталог!$S$9,1))))</f>
        <v>1</v>
      </c>
      <c r="IO64">
        <f t="shared" si="118"/>
        <v>0</v>
      </c>
      <c r="IP64" t="str">
        <f t="shared" si="119"/>
        <v>авто</v>
      </c>
      <c r="IQ64" t="str">
        <f t="shared" si="120"/>
        <v/>
      </c>
      <c r="IR64">
        <f t="shared" si="121"/>
        <v>0</v>
      </c>
      <c r="IS64">
        <f t="shared" si="122"/>
        <v>1</v>
      </c>
    </row>
    <row r="65" spans="1:253" x14ac:dyDescent="0.3">
      <c r="A65" t="s">
        <v>749</v>
      </c>
      <c r="B65" t="s">
        <v>1337</v>
      </c>
      <c r="C65" t="s">
        <v>1617</v>
      </c>
      <c r="D65">
        <v>1</v>
      </c>
      <c r="E65">
        <v>0.36</v>
      </c>
      <c r="G65">
        <v>10</v>
      </c>
      <c r="H65" t="str">
        <f>Линии[[#This Row],[_авто утечка]]</f>
        <v/>
      </c>
      <c r="I65" t="str">
        <f>Линии[[#This Row],[_авто управление]]</f>
        <v/>
      </c>
      <c r="J65" t="str">
        <f>Линии[[#This Row],[_авто аппараты]]</f>
        <v/>
      </c>
      <c r="K65">
        <v>1.5</v>
      </c>
      <c r="L65">
        <v>24</v>
      </c>
      <c r="M65" t="str">
        <f>Линии[[#This Row],[_авто фаза]]</f>
        <v>L1</v>
      </c>
      <c r="N65" t="s">
        <v>486</v>
      </c>
      <c r="O65" t="str">
        <f t="shared" si="0"/>
        <v/>
      </c>
      <c r="P65" s="6" cm="1">
        <f t="array" ref="P65">IF(B65="","",IF(BC65&lt;&gt;"",IFERROR(_xlfn.XLOOKUP(BC65,Щиты[Щит],Щиты[Iр, А]),""),IF(BK65=1,IFERROR(_xlfn.XLOOKUP(A65,Щиты[Щит],Щиты[Iр, А]),""),IFERROR(_xlfn.IFS(BR65=1,BN65/((Uн_лин/SQRT(3))*BY65),BR65=3,BN65/(SQRT(3)*Uн_лин*BY65)),""))))</f>
        <v>1.9485571585149866</v>
      </c>
      <c r="Q65" s="7">
        <f>IF(B65="","",IFERROR(IF(VLOOKUP(AX65,Потребители_обозначение,4,FALSE)=1,VLOOKUP(AX65,Потребители_обозначение,3,FALSE)*(D65*2-1)+DS65+VLOOKUP(AZ65,Этаж_обозначение,3,FALSE)+VLOOKUP(AZ65,Этаж_обозначение,4,FALSE),VLOOKUP(AX65,Потребители_обозначение,3,FALSE)*(D65*2-1)+DS65),DS65))</f>
        <v>28</v>
      </c>
      <c r="R65" s="6">
        <f t="shared" si="1"/>
        <v>1.22</v>
      </c>
      <c r="S65" t="str">
        <f t="shared" si="2"/>
        <v>ВВГнг(А)-LS (3х1,5)</v>
      </c>
      <c r="T65" t="str">
        <f>IF(BH65="","",IF(BI65="вводной узел","узел ","")&amp;"л."&amp;(INT((BH65-1)/Столбцов_на_лист)+1)&amp;" / "&amp;(MOD(BH65-1,Столбцов_на_лист)+1))</f>
        <v>л.2 / 14</v>
      </c>
      <c r="V65">
        <v>1</v>
      </c>
      <c r="W65">
        <v>230</v>
      </c>
      <c r="X65" t="s">
        <v>600</v>
      </c>
      <c r="Y65">
        <v>0.5</v>
      </c>
      <c r="AC65" t="s">
        <v>815</v>
      </c>
      <c r="AE65" t="s">
        <v>582</v>
      </c>
      <c r="AI65">
        <v>31</v>
      </c>
      <c r="AJ65" t="s">
        <v>11</v>
      </c>
      <c r="AK65">
        <v>3</v>
      </c>
      <c r="AN65">
        <v>28</v>
      </c>
      <c r="AP65">
        <v>1</v>
      </c>
      <c r="AW65" cm="1">
        <f t="array" ref="AW65">ROW()-ROW(Линии[#Headers])</f>
        <v>63</v>
      </c>
      <c r="AX65" s="6" t="str">
        <f t="shared" si="3"/>
        <v>ПВ</v>
      </c>
      <c r="AY65" t="str">
        <f t="shared" si="4"/>
        <v>3</v>
      </c>
      <c r="AZ65" t="str">
        <f t="shared" si="5"/>
        <v>3</v>
      </c>
      <c r="BA65" t="str">
        <f t="shared" si="6"/>
        <v/>
      </c>
      <c r="BB65" t="str">
        <f t="shared" si="7"/>
        <v/>
      </c>
      <c r="BC65" t="str">
        <f>IF(U65&lt;&gt;"",U65,IF(AND(B65&lt;&gt;"",B65&lt;&gt;A65,ISNUMBER(_xlfn.XMATCH(B65,Щиты[Щит]))),B65,""))</f>
        <v/>
      </c>
      <c r="BD65" t="str" cm="1">
        <f t="array" ref="BD65">IF(B65="","",IF(BC65&lt;&gt;"","Щит "&amp;BC65,_xlfn.LET(_xlpm.nm,IFERROR(_xlfn.XLOOKUP(AX65,Коды_код,Коды_имя)&amp;"",""),_xlpm.md,IFERROR(N(_xlfn.XLOOKUP(AX65,Коды_код,Коды_режим)),1),_xlpm.ex,IF(Имя_режим="по экспликации",IFERROR(_xlfn.XLOOKUP(AZ65&amp;"|"&amp;BB65,Экспликация[Этаж]&amp;"|"&amp;Экспликация[Помещение],Экспликация[Название])&amp;"",""),""),_xlpm.rm,IF(BB65="","",IF(_xlpm.ex&lt;&gt;"",". "&amp;_xlpm.ex&amp;IF(Имя_пом="нет"," ("&amp;BB65&amp;")"," (пом. "&amp;BB65&amp;")"),IF(Имя_пом="нет"," ",", пом. ")&amp;BB65)),IF(_xlpm.nm="","",IF(_xlpm.md=2,_xlpm.nm&amp;" шлейф "&amp;AZ65,_xlpm.nm&amp;_xlpm.rm)))))</f>
        <v>Приточно-вытяжная установка шлейф 3</v>
      </c>
      <c r="BE65" t="str">
        <f t="shared" si="8"/>
        <v>Приточно-вытяжная установка Подвальный этаж Пом. №006Т</v>
      </c>
      <c r="BF65">
        <f>IFERROR(_xlfn.XMATCH(A65,Щиты[Щит]),0)</f>
        <v>4</v>
      </c>
      <c r="BG65">
        <f>_xlfn.LET(_xlpm.k,IFERROR(_xlfn.XLOOKUP(A65,Щиты[Щит],Щиты[Листов под вводной узел]),""),IF(_xlpm.k="",1,N(_xlpm.k))*Столбцов_на_лист)</f>
        <v>17</v>
      </c>
      <c r="BH65">
        <f t="shared" si="9"/>
        <v>31</v>
      </c>
      <c r="BI65" t="str">
        <f t="shared" si="10"/>
        <v>линии</v>
      </c>
      <c r="BJ65" s="6">
        <f>IFERROR(N(_xlfn.XLOOKUP(AX65,Коды_код,Коды_квт)),0)</f>
        <v>0</v>
      </c>
      <c r="BK65">
        <f t="shared" si="11"/>
        <v>0</v>
      </c>
      <c r="BL65" t="str">
        <f>IF(B65="","",IF(BC65&lt;&gt;"",IFERROR(_xlfn.XLOOKUP(BC65,Щиты[Щит],Щиты[Руст, кВт]),0),IF(BK65=1,IFERROR(_xlfn.XLOOKUP(A65,Щиты[Щит],Щиты[Руст, кВт]),0),IF(BJ65&gt;0,ROUND(BJ65*MAX(1,N(D65)),3),""))))</f>
        <v/>
      </c>
      <c r="BM65">
        <f t="shared" si="12"/>
        <v>0.36</v>
      </c>
      <c r="BN65" s="6">
        <f>IF(B65="","",IF(BC65&lt;&gt;"",IFERROR(_xlfn.XLOOKUP(BC65,Щиты[Щит],Щиты[Руст, кВт]),0),N(BM65)))</f>
        <v>0.36</v>
      </c>
      <c r="BO65" t="str">
        <f>IF(B65="","",IFERROR(IF(VLOOKUP(AX65,Потребители_обозначение,8,FALSE)=0,"",VLOOKUP(AX65,Потребители_обозначение,8,FALSE)),""))</f>
        <v/>
      </c>
      <c r="BP65">
        <f t="shared" si="13"/>
        <v>230</v>
      </c>
      <c r="BQ65">
        <f>IF(B65="","",IF(BC65&lt;&gt;"",3,IFERROR(IF(N(VLOOKUP(AX65,Потребители_обозначение,9,FALSE))=0,1,VLOOKUP(AX65,Потребители_обозначение,9,FALSE)),1)))</f>
        <v>1</v>
      </c>
      <c r="BR65">
        <f t="shared" si="14"/>
        <v>1</v>
      </c>
      <c r="BS65" t="str">
        <f>IF(B65="","",_xlfn.LET(_xlpm.bc,IFERROR(IF(VLOOKUP(AX65,Потребители_обозначение,6,FALSE)=0,"",VLOOKUP(AX65,Потребители_обозначение,6,FALSE)&amp;""),""),IF(AND(FK65="да",OR(_xlpm.bc="",_xlpm.bc="мс")),Марка_пож,IF(AND(_xlpm.bc="",BC65&lt;&gt;""),"мс",_xlpm.bc))))</f>
        <v/>
      </c>
      <c r="BT65" t="str">
        <f t="shared" si="15"/>
        <v>мс</v>
      </c>
      <c r="BU65">
        <f>IF(B65="","",_xlfn.LET(_xlpm.cc,IFERROR(N(VLOOKUP(AX65,Потребители_обозначение,7,FALSE)),0),IF(_xlpm.cc&gt;0,_xlpm.cc,IF(BT65="","",IF(N(BR65)=3,5,3)))))</f>
        <v>3</v>
      </c>
      <c r="BV65">
        <f t="shared" si="16"/>
        <v>3</v>
      </c>
      <c r="BW65">
        <f>IFERROR(N(VLOOKUP(AX65,Потребители_обозначение,10,FALSE)),0)</f>
        <v>0</v>
      </c>
      <c r="BX65">
        <f>IFERROR(VLOOKUP(AX65,Потребители_обозначение,5,FALSE),0)</f>
        <v>1</v>
      </c>
      <c r="BY65" s="6" cm="1">
        <f t="array" ref="BY65">IF(B65="","",IF(BC65&lt;&gt;"",IFERROR(_xlfn.XLOOKUP(BC65,Щиты[Щит],Щиты[cos φ]),0.95),IF(BK65=1,IFERROR(_xlfn.XLOOKUP(A65,Щиты[Щит],Щиты[cos φ]),0.95),IF(ISNUMBER(Z65),Z65,IFERROR(IF(BX65=2,_xlfn.IFS(BR65=3,VLOOKUP(BN65,Справочная_двигатели,8,FALSE),BR65=1,VLOOKUP(BN65,Справочная_двигатели,10,TRUE)),IF(AND(Методика="нормы 2026",EQ65="Сил"),0.8,0.95)),0.95)))))</f>
        <v>0.8</v>
      </c>
      <c r="BZ65">
        <f t="shared" si="17"/>
        <v>0</v>
      </c>
      <c r="CA65">
        <f t="shared" si="18"/>
        <v>1</v>
      </c>
      <c r="CB65">
        <f t="shared" si="19"/>
        <v>0</v>
      </c>
      <c r="CC65">
        <f t="shared" si="20"/>
        <v>0</v>
      </c>
      <c r="CD65">
        <f t="shared" si="21"/>
        <v>0</v>
      </c>
      <c r="CE65">
        <f t="shared" si="22"/>
        <v>0</v>
      </c>
      <c r="CF65">
        <f t="shared" si="23"/>
        <v>0</v>
      </c>
      <c r="CG65">
        <f>IF(AX65="",0,_xlfn.LET(_xlpm.v,IFERROR(VLOOKUP(B65,УГО_спр,3,FALSE),IFERROR(VLOOKUP(AX65,УГО_спр,3,FALSE),IFERROR(VLOOKUP(LEFT(AX65,2),УГО_спр,3,FALSE),""))),IF(_xlpm.v="да",30,IF(ISNUMBER(_xlpm.v),_xlpm.v,0))))</f>
        <v>0</v>
      </c>
      <c r="CH65" t="str">
        <f t="shared" si="24"/>
        <v/>
      </c>
      <c r="CI65" t="str">
        <f>_xlfn.LET(_xlpm.k,IFERROR(_xlfn.XLOOKUP(AX65,Коды_код,Коды_утечка)&amp;"",""),IF(_xlpm.k="","дифавтомат",_xlpm.k))</f>
        <v>дифавтомат</v>
      </c>
      <c r="CJ65">
        <f t="shared" si="25"/>
        <v>0</v>
      </c>
      <c r="CK65">
        <f t="shared" si="26"/>
        <v>0</v>
      </c>
      <c r="CL65">
        <f>IF(B65="",0,IFERROR(--VLOOKUP(B65,УГО_спр,4,FALSE),IFERROR(--VLOOKUP(AX65,УГО_спр,4,FALSE),IFERROR(--VLOOKUP(LEFT(AX65,2),УГО_спр,4,FALSE),0))))</f>
        <v>0</v>
      </c>
      <c r="CM65" t="str">
        <f>IF(B65="","",IFERROR(_xlfn.XLOOKUP(AX65,Коды_код,Коды_апп)&amp;"",""))</f>
        <v/>
      </c>
      <c r="CN65" t="str">
        <f t="shared" si="27"/>
        <v/>
      </c>
      <c r="CO65" t="str" cm="1">
        <f t="array" ref="CO65">IF(TRIM(CN65&amp;"")="","",IFERROR(TRIM(INDEX(_xlfn.TEXTSPLIT(CN65&amp;";;;",";"),1)),""))</f>
        <v/>
      </c>
      <c r="CP65" t="str" cm="1">
        <f t="array" ref="CP65">IF(TRIM(CN65&amp;"")="","",IFERROR(TRIM(INDEX(_xlfn.TEXTSPLIT(CN65&amp;";;;",";"),2)),""))</f>
        <v/>
      </c>
      <c r="CQ65" t="str" cm="1">
        <f t="array" ref="CQ65">IF(TRIM(CN65&amp;"")="","",IFERROR(TRIM(INDEX(_xlfn.TEXTSPLIT(CN65&amp;";;;",";"),3)),""))</f>
        <v/>
      </c>
      <c r="CR65">
        <f t="shared" si="28"/>
        <v>0</v>
      </c>
      <c r="CS65" t="str">
        <f>IF(B65="","",_xlfn.LET(_xlpm.t,LOWER(AV65&amp;""),IF(ISNUMBER(SEARCH("dim",_xlpm.t)),"DIM",IF(ISNUMBER(SEARCH("dali",_xlpm.t)),"DALI",IF(OR(ISNUMBER(SEARCH("relay",_xlpm.t)),ISNUMBER(SEARCH("реле",_xlpm.t))),"Relay",IF(ISNUMBER(SEARCH("кнопк",_xlpm.t)),"",IFERROR(_xlfn.XLOOKUP(AX65,Коды_код,Коды_упр)&amp;"","")))))))</f>
        <v/>
      </c>
      <c r="CT65" t="str">
        <f t="shared" si="29"/>
        <v/>
      </c>
      <c r="CU65">
        <f>IF(B65="","",_xlfn.LET(_xlpm.ig,N(P65)+IF(AF65="вручную",0,N(CB65)),_xlpm.n0,IFERROR(VLOOKUP(_xlpm.ig,Автомат_номиналы,2,TRUE),0),_xlpm.mn,MAX(CL65,IF(AF65="вручную",0,N(CE65))),MAX(_xlpm.n0,_xlpm.mn,IF(CR65=1,Мин_автомат_БП,0))))</f>
        <v>6</v>
      </c>
      <c r="CV65">
        <f t="shared" si="30"/>
        <v>1</v>
      </c>
      <c r="CW65" t="str">
        <f t="shared" si="31"/>
        <v>1P</v>
      </c>
      <c r="CX65" t="str">
        <f>_xlfn.LET(_xlpm.cc,UPPER(TRIM(IFERROR(_xlfn.XLOOKUP(AX65,Коды_код,Коды_хар)&amp;"",""))),IF(OR(_xlpm.cc="B",_xlpm.cc="В"),"B",IF(_xlpm.cc="D","D","С")))</f>
        <v>С</v>
      </c>
      <c r="CY65" t="str">
        <f t="shared" si="32"/>
        <v>1P С6А</v>
      </c>
      <c r="CZ65">
        <f t="shared" si="33"/>
        <v>10</v>
      </c>
      <c r="DA65" t="str">
        <f t="shared" si="34"/>
        <v>1P С10А</v>
      </c>
      <c r="DB65" cm="1">
        <f t="array" ref="DB65">IF(DA65="","",_xlfn.LET(_xlpm.t,SUBSTITUTE(SUBSTITUTE(SUBSTITUTE(UPPER(DA65),"С","C"),"А","A"),"В","B"),_xlpm.tk,_xlfn.TEXTSPLIT(_xlpm.t,"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5" t="str">
        <f t="shared" si="35"/>
        <v>ok</v>
      </c>
      <c r="DD65">
        <f t="shared" si="36"/>
        <v>10</v>
      </c>
      <c r="DE65" t="str">
        <f t="shared" si="37"/>
        <v>1P С10А</v>
      </c>
      <c r="DF65">
        <f t="shared" si="38"/>
        <v>0</v>
      </c>
      <c r="DG65">
        <f t="shared" si="39"/>
        <v>0</v>
      </c>
      <c r="DH65">
        <f t="shared" si="40"/>
        <v>0</v>
      </c>
      <c r="DI65">
        <f t="shared" si="41"/>
        <v>1.9485571585149866</v>
      </c>
      <c r="DJ65">
        <f t="shared" si="42"/>
        <v>1</v>
      </c>
      <c r="DK65">
        <f>IF(ISNUMBER(AL65),AL65,К_прокл)</f>
        <v>1</v>
      </c>
      <c r="DL65">
        <f t="shared" si="43"/>
        <v>2</v>
      </c>
      <c r="DM65">
        <f>IFERROR(N(VLOOKUP(BT65,Кабель_обозначение,3,FALSE)),1)</f>
        <v>1</v>
      </c>
      <c r="DN65">
        <f>IFERROR(N(_xlfn.XLOOKUP(A65,Щиты[Щит],Щиты[ΔU до шин, %])),0)</f>
        <v>0.64</v>
      </c>
      <c r="DO65" t="str">
        <f>IFERROR(_xlfn.XLOOKUP(A65,Щиты[Щит],Щиты[Zпетли на шинах, Ом]),"")</f>
        <v/>
      </c>
      <c r="DP65">
        <f>IFERROR(N(_xlfn.XLOOKUP(A65,Щиты[Щит],Щиты[ΔU до шин (подбор), %])),0)</f>
        <v>0.75</v>
      </c>
      <c r="DQ65" t="str">
        <f>IFERROR(_xlfn.XLOOKUP(A65,Щиты[Щит],Щиты[Zпетли на шинах (подбор), Ом]),"")</f>
        <v/>
      </c>
      <c r="DR65" t="str">
        <f t="shared" si="44"/>
        <v/>
      </c>
      <c r="DS65">
        <f t="shared" si="45"/>
        <v>24</v>
      </c>
      <c r="DT65">
        <f t="shared" si="46"/>
        <v>2</v>
      </c>
      <c r="DU65">
        <f t="shared" si="47"/>
        <v>0.6</v>
      </c>
      <c r="DV65" s="6">
        <f>IF(B65="","",IF(IFERROR(VLOOKUP(AX65,УГО_спр,2,FALSE),"")="Светильник",3,4)+IF(Методика="нормы 2026",MIN(0.5,MAX(0,N(Q65)-100)*0.005),0))</f>
        <v>4</v>
      </c>
      <c r="DW65" cm="1">
        <f t="array" ref="DW65">IF(OR(B65="",BT65="",DM65&lt;&gt;1),"",_xlfn.LET(_xlpm.sz,Iдоп_S,_xlpm.t_,CHOOSE(DL65,Iдоп_1ж,Iдоп_2ж,Iдоп_3ж)*DJ65*DK65,_xlpm.inn,N(DD65),_xlpm.smin,MAX(1.5,BW65),_xlpm.L_,N(Q65)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65)*(_xlpm.rho*_xlpm.L_/_xlpm.sz*N(BY65)+_xlpm.xx*_xlpm.L_*N(DU65)/1000)*N(P65)/((Uн_лин/SQRT(3))*1000)*100,999),_xlpm.kz,IF(OR(DG65=1,NOT(ISNUMBER(DQ65)),_xlpm.L_=0,_xlpm.inn=0),1,IFERROR(--(c_min*(Uн_лин*1000/SQRT(3))/(DQ65+2*ρкз_Cu*_xlpm.L_/_xlpm.sz)&gt;=GY65*_xlpm.inn),0)),_xlpm.ok,IFERROR((_xlpm.sz&gt;=_xlpm.smin)*(_xlpm.t_&gt;=_xlpm.inn)*IF(_xlpm.L_&gt;0,(_xlpm.du_+DP65&lt;=DV65+0.00001),1)*_xlpm.kz,0),_xlpm.r_,_xlfn._xlws.FILTER(_xlpm.sz,_xlpm.ok,"не подобрано"),INDEX(_xlpm.r_,1)))</f>
        <v>1.5</v>
      </c>
      <c r="DX65">
        <f t="shared" si="48"/>
        <v>1.5</v>
      </c>
      <c r="DY65" cm="1">
        <f t="array" ref="DY65">IF(OR(B65="",BT65="",DM65&lt;&gt;1),"",_xlfn.LET(_xlpm.sz,Iдоп_S,_xlpm.t_,CHOOSE(DL65,Iдоп_1ж,Iдоп_2ж,Iдоп_3ж)*DJ65*DK65,_xlpm.ok,IFERROR((_xlpm.sz&gt;=MAX(1.5,BW65))*(_xlpm.t_&gt;=N(DD65)),0),_xlpm.r_,_xlfn._xlws.FILTER(_xlpm.sz,_xlpm.ok,""),INDEX(_xlpm.r_,1)))</f>
        <v>1.5</v>
      </c>
      <c r="DZ65" s="6" cm="1">
        <f t="array" ref="DZ65">IFERROR(ROUNDUP(N(DT65)*(_xlfn.XLOOKUP(DY65,INDEX(Кабель_сопротивление,0,1),INDEX(Кабель_сопротивление,0,3))*N(Q65)/DY65*N(BY65)+_xlfn.XLOOKUP(DY65,INDEX(Кабель_сопротивление,0,1),INDEX(Кабель_сопротивление,0,2))*N(Q65)*N(DU65)/1000)*N(P65)/((Uн_лин/SQRT(3))*1000)*100,2),"")</f>
        <v>0.57999999999999996</v>
      </c>
      <c r="EA65">
        <f>IFERROR(2*ρкз_Cu*N(Q65)/DY65,"")</f>
        <v>0.98186666666666678</v>
      </c>
      <c r="EB65">
        <f>IFERROR(VLOOKUP(DX65,Кабель_сопротивление,3,FALSE),"")</f>
        <v>2.2499999999999999E-2</v>
      </c>
      <c r="EC65">
        <f>IFERROR(VLOOKUP(DX65,Кабель_сопротивление,2,FALSE),"")</f>
        <v>0.11</v>
      </c>
      <c r="ED65">
        <f t="shared" si="49"/>
        <v>28</v>
      </c>
      <c r="EE65">
        <f t="shared" si="50"/>
        <v>0</v>
      </c>
      <c r="EF65">
        <f t="shared" si="51"/>
        <v>1.3166322777799424</v>
      </c>
      <c r="EG65" s="6">
        <f>IFERROR(ROUNDUP(EF65/((Uн_лин/SQRT(3))*1000)*100,2),"")</f>
        <v>0.57999999999999996</v>
      </c>
      <c r="EH65" t="str">
        <f>IFERROR(VLOOKUP(BT65,Кабель_обозначение,2,FALSE),"")</f>
        <v>ВВГнг(А)-LS</v>
      </c>
      <c r="EI65" t="str">
        <f t="shared" si="52"/>
        <v>ВВГнг(А)-LS (3х1,5)</v>
      </c>
      <c r="EJ65" t="str">
        <f t="shared" si="53"/>
        <v>ВВГнг(А)-LS (3х1,5)
L=28-0,58%</v>
      </c>
      <c r="EK65">
        <f>IFERROR(2*ρкз_Cu*Q65/DX65,"")</f>
        <v>0.98186666666666678</v>
      </c>
      <c r="EL65">
        <f t="shared" si="54"/>
        <v>0.32666666666666672</v>
      </c>
      <c r="EM65" s="6" t="str">
        <f>IFERROR(IF(OR(B65="",NOT(ISNUMBER(DX65)),N(Q65)=0),"",_xlfn.XLOOKUP(A65,Щиты[Щит],Щиты[Zпетли на шинах, Ом])+EK65),"")</f>
        <v/>
      </c>
      <c r="EN65" s="6" t="str">
        <f>IF(ISNUMBER(EM65),c_min*(Uн_лин*1000/SQRT(3))/EM65,"")</f>
        <v/>
      </c>
      <c r="EO65" s="6" t="str">
        <f>IFERROR(IF(OR(B65="",NOT(ISNUMBER(DX65))),"",1.05*(Uн_лин*1000/SQRT(3))/(_xlfn.XLOOKUP(A65,Щиты[Щит],Щиты[Zmax на шинах, Ом])+EL65)/1000),"")</f>
        <v/>
      </c>
      <c r="EP65" s="6" t="str">
        <f>IF(B65="","",IF(ISNUMBER(Y65),"Сил",IF(IFERROR(_xlfn.XLOOKUP(AX65,Коды_код,Коды_группа)&amp;"","")="","Быт",_xlfn.XLOOKUP(AX65,Коды_код,Коды_группа)&amp;"")))</f>
        <v>Сил</v>
      </c>
      <c r="EQ65" s="6" t="str">
        <f t="shared" si="55"/>
        <v>Сил</v>
      </c>
      <c r="ER65" s="6">
        <f>IF(EQ65="Щит","щит",IF(EQ65="","",IF(EQ65="Быт",IFERROR(_xlfn.XLOOKUP(A65,Щиты[Щит],Щиты[Кс быт]),1),IF(EQ65="Сил",IF(ISNUMBER(Y65),Y65,IF(Методика="нормы 2026",IFERROR(_xlfn.XLOOKUP(A65,Щиты[Щит],Щиты[Кс силовых (табл. 7.5)]),1),1)),IF(OR(EQ65="Пост",EQ65="Отоп"),1,IF(EQ65="ВНГ",0.7,0))))))</f>
        <v>0.5</v>
      </c>
      <c r="ES65">
        <f t="shared" si="56"/>
        <v>1</v>
      </c>
      <c r="ET65">
        <f t="shared" si="57"/>
        <v>0.36</v>
      </c>
      <c r="EU65">
        <f t="shared" si="58"/>
        <v>0</v>
      </c>
      <c r="EV65">
        <f t="shared" si="59"/>
        <v>0.18</v>
      </c>
      <c r="EW65">
        <f t="shared" si="60"/>
        <v>0</v>
      </c>
      <c r="EX65">
        <f t="shared" si="61"/>
        <v>0</v>
      </c>
      <c r="EY65">
        <f t="shared" si="62"/>
        <v>0</v>
      </c>
      <c r="EZ65">
        <f t="shared" si="63"/>
        <v>0.36</v>
      </c>
      <c r="FA65">
        <f t="shared" si="64"/>
        <v>0.28799999999999998</v>
      </c>
      <c r="FB65">
        <f t="shared" si="65"/>
        <v>0.36</v>
      </c>
      <c r="FC65" t="str">
        <f t="shared" si="66"/>
        <v/>
      </c>
      <c r="FD65" t="str">
        <f>IF(B65="","",IF(CA65=0,IF(AW65=1,"",FF64),IF(OR(N(CV65)&gt;=3,N(BR65)&gt;=3),"L1,L2,L3",IFERROR(_xlfn.TEXTBEFORE(_xlfn.TEXTAFTER(_xlfn.XLOOKUP(A65,Щиты[Щит],Щиты[_фазы авто]),";"&amp;AW65&amp;":"),";"),"L1"))))</f>
        <v>L1</v>
      </c>
      <c r="FE65" t="str">
        <f t="shared" si="67"/>
        <v>L1</v>
      </c>
      <c r="FF65" t="str">
        <f t="shared" si="68"/>
        <v>L1</v>
      </c>
      <c r="FG65" cm="1">
        <f t="array" ref="FG65">IFERROR(IF(BX65=2,_xlfn.IFS(BR65=3,VLOOKUP(BN65,Справочная_двигатели,3,FALSE),BR65=1,VLOOKUP(BN65,Справочная_двигатели,5,TRUE)),0),0)</f>
        <v>0</v>
      </c>
      <c r="FH65">
        <f>IFERROR(IF(BX65=3,VLOOKUP(BN65,Справочная_ЛЭД,2,TRUE),0),0)</f>
        <v>0</v>
      </c>
      <c r="FI65" s="6">
        <f t="shared" si="69"/>
        <v>0</v>
      </c>
      <c r="FJ65" t="str" cm="1">
        <f t="array" ref="FJ65">IF(B65="","",IFERROR(INDEX({"I особая","I","II","III"},MATCH(TRIM(AC65&amp;""),{"I особая","I","II","III"},0)),"III"))</f>
        <v>II</v>
      </c>
      <c r="FK65" t="str">
        <f>IF(B65="","",IF(TRIM(AD65&amp;"")&lt;&gt;"",IF(LOWER(TRIM(AD65&amp;""))="да","да","нет"),IF(IFERROR(_xlfn.XLOOKUP(AX65,Коды_код,Коды_пожарная),"")="да","да","нет")))</f>
        <v>нет</v>
      </c>
      <c r="FL65" t="str">
        <f t="shared" si="70"/>
        <v/>
      </c>
      <c r="FM65" t="str">
        <f t="shared" si="71"/>
        <v>основная</v>
      </c>
      <c r="FN65">
        <f t="shared" si="72"/>
        <v>1</v>
      </c>
      <c r="FO65" t="str" cm="1">
        <f t="array" ref="FO65">IF(B65="","",_xlfn.LET(_xlpm.t,IFERROR(_xlfn.XLOOKUP(1,(Шины[Шина]=FM65)*(((Шины[Щит]=A65)+(Шины[Щит]=""))&gt;0),Шины[Тип]),"")&amp;"",IF(_xlpm.t&lt;&gt;"",_xlpm.t,IF(ISNUMBER(SEARCH("ИБП",FM65)),"ИБП",IF(ISNUMBER(SEARCH("ДГУ",FM65)),"ДГУ","Ввод "&amp;FN65)))))</f>
        <v>Ввод 1</v>
      </c>
      <c r="FP65" t="str">
        <f t="shared" si="73"/>
        <v>Ввод 1</v>
      </c>
      <c r="FQ65" t="str">
        <f>IF(B65="","",IF(OR(FO65="ИБП",FO65="ДГУ"),"I особая",IF(FO65="Одиночная","III",_xlfn.XLOOKUP(A65,Щиты[Щит],Щиты[Категория шины «Ввод»],"III"))))</f>
        <v>II</v>
      </c>
      <c r="FR65">
        <f>IF(B65="",0,IFERROR(MATCH(FJ65,{"III","II","I","I особая"},0),1))</f>
        <v>2</v>
      </c>
      <c r="FS65">
        <f t="shared" si="74"/>
        <v>2</v>
      </c>
      <c r="FT65" t="str">
        <f>IF(B65="","",IF(FR65&gt;IFERROR(MATCH(FQ65,{"III","II","I","I особая"},0),1),"НЕ ОБЕСПЕЧЕНА","ОК"))</f>
        <v>ОК</v>
      </c>
      <c r="FU65" t="str">
        <f>IF(A65="","",_xlfn.XLOOKUP(A65,Щиты[Щит],Щиты[Путь],""))</f>
        <v>|ГРЩ-ЖД|ЩОВ-001|</v>
      </c>
      <c r="FV65" t="str">
        <f>IF(B65="","",IF(AE65&lt;&gt;"",AE65,IF(IFERROR(_xlfn.XLOOKUP(AX65,Коды_код,Коды_вид)&amp;"","")="","Прочее",_xlfn.XLOOKUP(AX65,Коды_код,Коды_вид)&amp;"")))</f>
        <v>Вентиляция</v>
      </c>
      <c r="FW65">
        <f>IF(BH65="","",INT((BH65-1)/Столбцов_на_лист)+1)</f>
        <v>2</v>
      </c>
      <c r="FX65" t="str">
        <f t="shared" si="75"/>
        <v>ВВГнг(А)-LS (3х1,5) L=28-0,58%</v>
      </c>
      <c r="FY65">
        <f t="shared" si="76"/>
        <v>0.36</v>
      </c>
      <c r="FZ65">
        <f t="shared" si="77"/>
        <v>1.95</v>
      </c>
      <c r="GA65">
        <f t="shared" si="78"/>
        <v>1</v>
      </c>
      <c r="GB65">
        <f t="shared" si="79"/>
        <v>0</v>
      </c>
      <c r="GC65">
        <f t="shared" si="80"/>
        <v>1</v>
      </c>
      <c r="GD65">
        <f>IF(BH65="","",IF(AND(CA65=1,GC65=1),COUNTIFS(A$3:A65,A65,CA$3:CA65,1,GC$3:GC65,1),IF(OR(OR(AW65=1,A65&lt;&gt;A64),AF65="вручную",GC65=0),"",IF(AW65=1,"",GE64))))</f>
        <v>12</v>
      </c>
      <c r="GE65">
        <f t="shared" si="81"/>
        <v>12</v>
      </c>
      <c r="GF65">
        <f>IF(B65="","",IFERROR(LOOKUP(INDEX(CHOOSE(DL65,Iдоп_1ж,Iдоп_2ж,Iдоп_3ж),MATCH(DX65,Iдоп_S,0))*DJ65*DK65,{6,10,16,20,25,32,40,50,63,80,100,125,160,200,250,315,400,500,630}),""))</f>
        <v>16</v>
      </c>
      <c r="GG65" t="str">
        <f t="shared" si="82"/>
        <v>QF12</v>
      </c>
      <c r="GH65" t="str">
        <f t="shared" si="83"/>
        <v>QF12</v>
      </c>
      <c r="GI65" t="str">
        <f t="shared" si="84"/>
        <v/>
      </c>
      <c r="GJ65">
        <f t="shared" si="85"/>
        <v>0</v>
      </c>
      <c r="GK65" t="str">
        <f>IF(OR(AG65="",AG65="-"),"",IFERROR(VLOOKUP(AG65,Модули_спр,2,FALSE),"R"))</f>
        <v/>
      </c>
      <c r="GL65" t="str">
        <f>IF(GK65="","",GK65&amp;"."&amp;COUNTIFS(A$3:A65,A65,GK$3:GK65,GK65))</f>
        <v/>
      </c>
      <c r="GM65" t="str">
        <f t="shared" si="86"/>
        <v/>
      </c>
      <c r="GN65" t="str">
        <f t="shared" si="87"/>
        <v/>
      </c>
      <c r="GO65" t="str">
        <f t="shared" si="88"/>
        <v/>
      </c>
      <c r="GP65" t="str">
        <f t="shared" si="89"/>
        <v/>
      </c>
      <c r="GQ65">
        <f t="shared" si="90"/>
        <v>1</v>
      </c>
      <c r="GR65" t="str">
        <f>IF(GQ65=1,"XT"&amp;COUNTIFS(A$3:A65,A65,GQ$3:GQ65,1),"")</f>
        <v>XT12</v>
      </c>
      <c r="GS65" t="str">
        <f t="shared" si="91"/>
        <v/>
      </c>
      <c r="GT65" t="str">
        <f t="shared" si="92"/>
        <v>QF12</v>
      </c>
      <c r="GU65" t="str">
        <f t="shared" si="93"/>
        <v/>
      </c>
      <c r="GV65" t="str">
        <f t="shared" si="94"/>
        <v>ok</v>
      </c>
      <c r="GW65" t="str">
        <f>IF(OR(GO65="",GM65=""),"",IF(GO65&gt;IFERROR(VLOOKUP(GN65,Модули_спр,3,FALSE),99),"ЛИШНИЙ КАНАЛ",IF(AND(AH65&lt;&gt;"=",COUNTIFS(Линии[_модуль гр.],GM65,Линии[Канал (итог)],GO65,Линии[Канал],"&lt;&gt;=",Линии[Щит],A65)&gt;1),"ДУБЛЬ КАНАЛА","")))</f>
        <v/>
      </c>
      <c r="GX65" s="6" t="str">
        <f t="shared" si="95"/>
        <v/>
      </c>
      <c r="GY65">
        <f t="shared" si="96"/>
        <v>10</v>
      </c>
      <c r="GZ65" t="str">
        <f t="shared" si="97"/>
        <v/>
      </c>
      <c r="HA65" t="str">
        <f>IF(AND(B65="",GT65=""),"",_xlfn.TEXTJOIN("; ",TRUE,IF(AND(B65&lt;&gt;"",FE65=""),"нет фазы",""),IF(AND(B65&lt;&gt;"",N(FY65)=0,EQ65&lt;&gt;"Нет"),"нет мощности",""),IF(AND(GS65&lt;&gt;"",COUNTIFS(Линии[Щит],A65,Линии[Клемма (итог)],GS65)&gt;1),"дубль клеммы "&amp;GS65,""),IF(AND(GV65&lt;&gt;"",GV65&lt;&gt;"ok"),GV65,""),IF(GW65&lt;&gt;"",GW65,""),IF(AND(N(BV65)&gt;=4,N(BR65)=1),BV65&amp;" жил на 1 фазе",""),IF(AND(AX65="R",CA65=1,OR(N(CK65)=0,N(CK65)&gt;30)),"розетка без дифзащиты до 30 мА",""),IFERROR(IF(AND(ISNUMBER(R65),R65&gt;DV65),"потери "&amp;FIXED(R65,1)&amp;" % &gt; "&amp;DV65&amp;" %",""),""),IFERROR(IF(LEFT(GZ65,4)="мало","Iкз мало — отключение &gt; 0,4 с",""),""),IF(AND(B65&lt;&gt;"",BH65=""),"не на схеме",""),IF(AND(CA65=0,B65&lt;&gt;"",FE65&lt;&gt;"",IF(AW65=1,"",FF64)&lt;&gt;"",FE65&lt;&gt;IF(AW65=1,"",FF64)),"фаза не как у автомата группы ("&amp;IF(AW65=1,"",FF64)&amp;")","")))</f>
        <v/>
      </c>
      <c r="HB65" s="6">
        <f>IF(OR(CA65=0,DA65=""),"",_xlfn.LET(_xlpm.t,IFERROR(_xlfn.XLOOKUP(DA65,Каталог!$U$4:$U$500,Каталог!$G$4:$G$500),""),_xlpm.k,SEARCH("кА",_xlpm.t),IFERROR(--TRIM(RIGHT(SUBSTITUTE(MID(_xlpm.t,MAX(1,_xlpm.k-4),_xlpm.k-MAX(1,_xlpm.k-4))," ",REPT(" ",9)),5)),"")))</f>
        <v>6</v>
      </c>
      <c r="HC65" t="str">
        <f>IF(OR(HB65="",CA65=0),"",IF(_xlfn.XLOOKUP(A65,Щиты[Щит],Щиты[Iкз max на шинах, кА],"")="","",IF(HB65&lt;_xlfn.XLOOKUP(A65,Щиты[Щит],Щиты[Iкз max на шинах, кА]),"Icu "&amp;HB65&amp;" кА &lt; Iкз max","ok")))</f>
        <v/>
      </c>
      <c r="HD65" t="str">
        <f t="shared" si="98"/>
        <v/>
      </c>
      <c r="HE65" t="str">
        <f t="shared" si="99"/>
        <v>QF12</v>
      </c>
      <c r="HF65" t="str">
        <f t="shared" si="100"/>
        <v>QF12|кабель ВВГнг(А)-LS (3х1,5) → Приточно-вытяжная установка Подвальный этаж Пом. №006Т</v>
      </c>
      <c r="HG65" t="str" cm="1">
        <f t="array" ref="HG65">IF(HF65="","",_xlfn.LET(_xlpm.nd,_xlfn.TEXTSPLIT(HF65,"|"),IF(COLUMNS(_xlpm.nd)&gt;1,A65&amp;"¦"&amp;INDEX(_xlpm.nd,1)&amp;"¦"&amp;INDEX(_xlpm.nd,2),"")))</f>
        <v>ЩОВ-001¦QF12¦кабель ВВГнг(А)-LS (3х1,5) → Приточно-вытяжная установка Подвальный этаж Пом. №006Т</v>
      </c>
      <c r="HH65" t="str">
        <f t="shared" si="101"/>
        <v>ПВ.3¦Приточно-вытяжная установка Подвальный этаж Пом. №006Т</v>
      </c>
      <c r="HI65" t="str" cm="1">
        <f t="array" ref="HI65">IF(HF65="","",_xlfn.LET(_xlpm.nd,_xlfn.TEXTSPLIT(HF65,"|"),IF(COLUMNS(_xlpm.nd)&gt;2,A65&amp;"¦"&amp;INDEX(_xlpm.nd,2)&amp;"¦"&amp;INDEX(_xlpm.nd,3),"")))</f>
        <v/>
      </c>
      <c r="HJ65" t="str">
        <f t="shared" si="102"/>
        <v/>
      </c>
      <c r="HK65" t="str" cm="1">
        <f t="array" ref="HK65">IF(HF65="","",_xlfn.LET(_xlpm.nd,_xlfn.TEXTSPLIT(HF65,"|"),IF(COLUMNS(_xlpm.nd)&gt;3,A65&amp;"¦"&amp;INDEX(_xlpm.nd,3)&amp;"¦"&amp;INDEX(_xlpm.nd,4),"")))</f>
        <v/>
      </c>
      <c r="HL65" t="str">
        <f t="shared" si="103"/>
        <v/>
      </c>
      <c r="HM65" t="str" cm="1">
        <f t="array" ref="HM65">IF(HF65="","",_xlfn.LET(_xlpm.nd,_xlfn.TEXTSPLIT(HF65,"|"),IF(COLUMNS(_xlpm.nd)&gt;4,A65&amp;"¦"&amp;INDEX(_xlpm.nd,4)&amp;"¦"&amp;INDEX(_xlpm.nd,5),"")))</f>
        <v/>
      </c>
      <c r="HN65" t="str">
        <f t="shared" si="104"/>
        <v/>
      </c>
      <c r="HO65" t="str" cm="1">
        <f t="array" ref="HO65">IF(HF65="","",_xlfn.LET(_xlpm.nd,_xlfn.TEXTSPLIT(HF65,"|"),IF(COLUMNS(_xlpm.nd)&gt;5,A65&amp;"¦"&amp;INDEX(_xlpm.nd,5)&amp;"¦"&amp;INDEX(_xlpm.nd,6),"")))</f>
        <v/>
      </c>
      <c r="HP65" t="str">
        <f t="shared" si="105"/>
        <v/>
      </c>
      <c r="HQ65" t="str" cm="1">
        <f t="array" ref="HQ65">IF(HF65="","",_xlfn.LET(_xlpm.nd,_xlfn.TEXTSPLIT(HF65,"|"),IF(COLUMNS(_xlpm.nd)&gt;6,A65&amp;"¦"&amp;INDEX(_xlpm.nd,6)&amp;"¦"&amp;INDEX(_xlpm.nd,7),"")))</f>
        <v/>
      </c>
      <c r="HR65" t="str">
        <f t="shared" si="106"/>
        <v/>
      </c>
      <c r="HS65" t="str">
        <f t="shared" si="107"/>
        <v/>
      </c>
      <c r="HT65" t="str">
        <f t="shared" si="108"/>
        <v>QF12</v>
      </c>
      <c r="HU65">
        <f t="shared" si="109"/>
        <v>0</v>
      </c>
      <c r="HV65">
        <f t="shared" si="110"/>
        <v>0</v>
      </c>
      <c r="HW65" t="str">
        <f t="shared" si="111"/>
        <v/>
      </c>
      <c r="HX65" t="str">
        <f t="shared" si="112"/>
        <v/>
      </c>
      <c r="HY65" t="str">
        <f t="shared" si="113"/>
        <v/>
      </c>
      <c r="HZ65" t="str">
        <f t="shared" si="114"/>
        <v/>
      </c>
      <c r="IA65" t="str">
        <f>IF(B65="","",IFERROR(VLOOKUP(B65,УГО_спр,2,FALSE),IFERROR(VLOOKUP(AX65,УГО_спр,2,FALSE),IFERROR(VLOOKUP(LEFT(AX65,2),УГО_спр,2,FALSE),""))))</f>
        <v>Привод (двигатель)</v>
      </c>
      <c r="IB65" t="str">
        <f>IF(B65="","",IF(OR(IA65="",IA65=0),"BOX",IFERROR(IF(VLOOKUP(IA65,УГО_блоки,3,FALSE)&amp;""&lt;&gt;"",VLOOKUP(IA65,УГО_блоки,3,FALSE),VLOOKUP(IA65,УГО_блоки,2,FALSE)),IA65)))</f>
        <v>MOTOR</v>
      </c>
      <c r="IC65">
        <f t="shared" si="115"/>
        <v>1</v>
      </c>
      <c r="ID65" t="str">
        <f>IF(DA65="","",IF(COUNTIF(DA$3:DA65,DA65)=1,MAX(ID$2:ID64)+1,""))</f>
        <v/>
      </c>
      <c r="IE65" t="str">
        <f>IF(CO65="","",IF(COUNTIF(CO$3:CO65,CO65)+COUNTIF(CP$2:CP64,CO65)+COUNTIF(CQ$2:CQ64,CO65)=1,MAX(IE$2:IG64)+1,""))</f>
        <v/>
      </c>
      <c r="IF65" t="str">
        <f>IF(CP65="","",IF(COUNTIF(CO$3:CO65,CP65)+COUNTIF(CP$3:CP65,CP65)+COUNTIF(CQ$2:CQ64,CP65)=1,MAX(IE$2:IG64,IE65)+1,""))</f>
        <v/>
      </c>
      <c r="IG65" t="str">
        <f>IF(CQ65="","",IF(COUNTIF(CO$3:CO65,CQ65)+COUNTIF(CP$3:CP65,CQ65)+COUNTIF(CQ$3:CQ65,CQ65)=1,MAX(IE$2:IG64,IE65,IF65)+1,""))</f>
        <v/>
      </c>
      <c r="IH65" t="str">
        <f t="shared" si="116"/>
        <v>3х1,5</v>
      </c>
      <c r="II65" t="str">
        <f>IF(IH65="","",IF(COUNTIF(IH$3:IH65,IH65)=1,MAX(II$2:II64)+1,""))</f>
        <v/>
      </c>
      <c r="IJ65" t="str">
        <f>IF(GL65="","",COUNTIF(GL$3:GL65,"?*"))</f>
        <v/>
      </c>
      <c r="IK65" t="str">
        <f>IF(OR(GL65="",GN65=""),"",IF(COUNTIFS(GL$3:GL65,"?*",GN$3:GN65,GN65)=1,MAX(IK$2:IK64)+1,""))</f>
        <v/>
      </c>
      <c r="IL65">
        <f t="shared" si="117"/>
        <v>0</v>
      </c>
      <c r="IM65">
        <f>IF(B65="","",COUNTIF(B$3:B65,"?*"))</f>
        <v>63</v>
      </c>
      <c r="IN65">
        <f>IF(GQ65&lt;&gt;1,0,_xlfn.LET(_xlpm.k,MAX(IFERROR(--VLOOKUP(B65,УГО_спр,5,FALSE),0),IFERROR(--VLOOKUP(AX65,УГО_спр,5,FALSE),0),IFERROR(--VLOOKUP(LEFT(AX65,2),УГО_спр,5,FALSE),0)),IF(_xlpm.k&gt;0,_xlpm.k,IF(IFERROR(--LEFT(SUBSTITUTE(IH65,"x","х"),FIND("х",SUBSTITUTE(IH65,"x","х"))-1),3)&gt;3,Каталог!$S$9,1))))</f>
        <v>1</v>
      </c>
      <c r="IO65">
        <f t="shared" si="118"/>
        <v>0</v>
      </c>
      <c r="IP65" t="str">
        <f t="shared" si="119"/>
        <v>авто</v>
      </c>
      <c r="IQ65" t="str">
        <f t="shared" si="120"/>
        <v/>
      </c>
      <c r="IR65">
        <f t="shared" si="121"/>
        <v>0</v>
      </c>
      <c r="IS65">
        <f t="shared" si="122"/>
        <v>1</v>
      </c>
    </row>
    <row r="66" spans="1:253" x14ac:dyDescent="0.3">
      <c r="A66" t="s">
        <v>749</v>
      </c>
      <c r="B66" t="s">
        <v>1338</v>
      </c>
      <c r="C66" t="s">
        <v>1617</v>
      </c>
      <c r="D66">
        <v>1</v>
      </c>
      <c r="E66">
        <v>1.1000000000000001</v>
      </c>
      <c r="G66">
        <v>10</v>
      </c>
      <c r="H66" t="str">
        <f>Линии[[#This Row],[_авто утечка]]</f>
        <v/>
      </c>
      <c r="I66" t="str">
        <f>Линии[[#This Row],[_авто управление]]</f>
        <v/>
      </c>
      <c r="J66" t="str">
        <f>Линии[[#This Row],[_авто аппараты]]</f>
        <v/>
      </c>
      <c r="K66">
        <v>1.5</v>
      </c>
      <c r="L66">
        <v>23</v>
      </c>
      <c r="M66" t="str">
        <f>Линии[[#This Row],[_авто фаза]]</f>
        <v>L2</v>
      </c>
      <c r="N66" t="s">
        <v>486</v>
      </c>
      <c r="O66" t="str">
        <f t="shared" si="0"/>
        <v/>
      </c>
      <c r="P66" s="6" cm="1">
        <f t="array" ref="P66">IF(B66="","",IF(BC66&lt;&gt;"",IFERROR(_xlfn.XLOOKUP(BC66,Щиты[Щит],Щиты[Iр, А]),""),IF(BK66=1,IFERROR(_xlfn.XLOOKUP(A66,Щиты[Щит],Щиты[Iр, А]),""),IFERROR(_xlfn.IFS(BR66=1,BN66/((Uн_лин/SQRT(3))*BY66),BR66=3,BN66/(SQRT(3)*Uн_лин*BY66)),""))))</f>
        <v>5.9539246510180153</v>
      </c>
      <c r="Q66" s="7">
        <f>IF(B66="","",IFERROR(IF(VLOOKUP(AX66,Потребители_обозначение,4,FALSE)=1,VLOOKUP(AX66,Потребители_обозначение,3,FALSE)*(D66*2-1)+DS66+VLOOKUP(AZ66,Этаж_обозначение,3,FALSE)+VLOOKUP(AZ66,Этаж_обозначение,4,FALSE),VLOOKUP(AX66,Потребители_обозначение,3,FALSE)*(D66*2-1)+DS66),DS66))</f>
        <v>27</v>
      </c>
      <c r="R66" s="6">
        <f t="shared" si="1"/>
        <v>2.3199999999999998</v>
      </c>
      <c r="S66" t="str">
        <f t="shared" si="2"/>
        <v>ВВГнг(А)-LS (3х1,5)</v>
      </c>
      <c r="T66" t="str">
        <f>IF(BH66="","",IF(BI66="вводной узел","узел ","")&amp;"л."&amp;(INT((BH66-1)/Столбцов_на_лист)+1)&amp;" / "&amp;(MOD(BH66-1,Столбцов_на_лист)+1))</f>
        <v>л.2 / 15</v>
      </c>
      <c r="V66">
        <v>1</v>
      </c>
      <c r="W66">
        <v>230</v>
      </c>
      <c r="X66" t="s">
        <v>600</v>
      </c>
      <c r="Y66">
        <v>0.5</v>
      </c>
      <c r="AC66" t="s">
        <v>815</v>
      </c>
      <c r="AE66" t="s">
        <v>582</v>
      </c>
      <c r="AI66">
        <v>32</v>
      </c>
      <c r="AJ66" t="s">
        <v>11</v>
      </c>
      <c r="AK66">
        <v>3</v>
      </c>
      <c r="AN66">
        <v>27</v>
      </c>
      <c r="AP66">
        <v>1</v>
      </c>
      <c r="AW66" cm="1">
        <f t="array" ref="AW66">ROW()-ROW(Линии[#Headers])</f>
        <v>64</v>
      </c>
      <c r="AX66" s="6" t="str">
        <f t="shared" si="3"/>
        <v>ПВ</v>
      </c>
      <c r="AY66" t="str">
        <f t="shared" si="4"/>
        <v>4</v>
      </c>
      <c r="AZ66" t="str">
        <f t="shared" si="5"/>
        <v>4</v>
      </c>
      <c r="BA66" t="str">
        <f t="shared" si="6"/>
        <v/>
      </c>
      <c r="BB66" t="str">
        <f t="shared" si="7"/>
        <v/>
      </c>
      <c r="BC66" t="str">
        <f>IF(U66&lt;&gt;"",U66,IF(AND(B66&lt;&gt;"",B66&lt;&gt;A66,ISNUMBER(_xlfn.XMATCH(B66,Щиты[Щит]))),B66,""))</f>
        <v/>
      </c>
      <c r="BD66" t="str" cm="1">
        <f t="array" ref="BD66">IF(B66="","",IF(BC66&lt;&gt;"","Щит "&amp;BC66,_xlfn.LET(_xlpm.nm,IFERROR(_xlfn.XLOOKUP(AX66,Коды_код,Коды_имя)&amp;"",""),_xlpm.md,IFERROR(N(_xlfn.XLOOKUP(AX66,Коды_код,Коды_режим)),1),_xlpm.ex,IF(Имя_режим="по экспликации",IFERROR(_xlfn.XLOOKUP(AZ66&amp;"|"&amp;BB66,Экспликация[Этаж]&amp;"|"&amp;Экспликация[Помещение],Экспликация[Название])&amp;"",""),""),_xlpm.rm,IF(BB66="","",IF(_xlpm.ex&lt;&gt;"",". "&amp;_xlpm.ex&amp;IF(Имя_пом="нет"," ("&amp;BB66&amp;")"," (пом. "&amp;BB66&amp;")"),IF(Имя_пом="нет"," ",", пом. ")&amp;BB66)),IF(_xlpm.nm="","",IF(_xlpm.md=2,_xlpm.nm&amp;" шлейф "&amp;AZ66,_xlpm.nm&amp;_xlpm.rm)))))</f>
        <v>Приточно-вытяжная установка шлейф 4</v>
      </c>
      <c r="BE66" t="str">
        <f t="shared" si="8"/>
        <v>Приточно-вытяжная установка Подвальный этаж Пом. №006Т</v>
      </c>
      <c r="BF66">
        <f>IFERROR(_xlfn.XMATCH(A66,Щиты[Щит]),0)</f>
        <v>4</v>
      </c>
      <c r="BG66">
        <f>_xlfn.LET(_xlpm.k,IFERROR(_xlfn.XLOOKUP(A66,Щиты[Щит],Щиты[Листов под вводной узел]),""),IF(_xlpm.k="",1,N(_xlpm.k))*Столбцов_на_лист)</f>
        <v>17</v>
      </c>
      <c r="BH66">
        <f t="shared" si="9"/>
        <v>32</v>
      </c>
      <c r="BI66" t="str">
        <f t="shared" si="10"/>
        <v>линии</v>
      </c>
      <c r="BJ66" s="6">
        <f>IFERROR(N(_xlfn.XLOOKUP(AX66,Коды_код,Коды_квт)),0)</f>
        <v>0</v>
      </c>
      <c r="BK66">
        <f t="shared" si="11"/>
        <v>0</v>
      </c>
      <c r="BL66" t="str">
        <f>IF(B66="","",IF(BC66&lt;&gt;"",IFERROR(_xlfn.XLOOKUP(BC66,Щиты[Щит],Щиты[Руст, кВт]),0),IF(BK66=1,IFERROR(_xlfn.XLOOKUP(A66,Щиты[Щит],Щиты[Руст, кВт]),0),IF(BJ66&gt;0,ROUND(BJ66*MAX(1,N(D66)),3),""))))</f>
        <v/>
      </c>
      <c r="BM66">
        <f t="shared" si="12"/>
        <v>1.1000000000000001</v>
      </c>
      <c r="BN66" s="6">
        <f>IF(B66="","",IF(BC66&lt;&gt;"",IFERROR(_xlfn.XLOOKUP(BC66,Щиты[Щит],Щиты[Руст, кВт]),0),N(BM66)))</f>
        <v>1.1000000000000001</v>
      </c>
      <c r="BO66" t="str">
        <f>IF(B66="","",IFERROR(IF(VLOOKUP(AX66,Потребители_обозначение,8,FALSE)=0,"",VLOOKUP(AX66,Потребители_обозначение,8,FALSE)),""))</f>
        <v/>
      </c>
      <c r="BP66">
        <f t="shared" si="13"/>
        <v>230</v>
      </c>
      <c r="BQ66">
        <f>IF(B66="","",IF(BC66&lt;&gt;"",3,IFERROR(IF(N(VLOOKUP(AX66,Потребители_обозначение,9,FALSE))=0,1,VLOOKUP(AX66,Потребители_обозначение,9,FALSE)),1)))</f>
        <v>1</v>
      </c>
      <c r="BR66">
        <f t="shared" si="14"/>
        <v>1</v>
      </c>
      <c r="BS66" t="str">
        <f>IF(B66="","",_xlfn.LET(_xlpm.bc,IFERROR(IF(VLOOKUP(AX66,Потребители_обозначение,6,FALSE)=0,"",VLOOKUP(AX66,Потребители_обозначение,6,FALSE)&amp;""),""),IF(AND(FK66="да",OR(_xlpm.bc="",_xlpm.bc="мс")),Марка_пож,IF(AND(_xlpm.bc="",BC66&lt;&gt;""),"мс",_xlpm.bc))))</f>
        <v/>
      </c>
      <c r="BT66" t="str">
        <f t="shared" si="15"/>
        <v>мс</v>
      </c>
      <c r="BU66">
        <f>IF(B66="","",_xlfn.LET(_xlpm.cc,IFERROR(N(VLOOKUP(AX66,Потребители_обозначение,7,FALSE)),0),IF(_xlpm.cc&gt;0,_xlpm.cc,IF(BT66="","",IF(N(BR66)=3,5,3)))))</f>
        <v>3</v>
      </c>
      <c r="BV66">
        <f t="shared" si="16"/>
        <v>3</v>
      </c>
      <c r="BW66">
        <f>IFERROR(N(VLOOKUP(AX66,Потребители_обозначение,10,FALSE)),0)</f>
        <v>0</v>
      </c>
      <c r="BX66">
        <f>IFERROR(VLOOKUP(AX66,Потребители_обозначение,5,FALSE),0)</f>
        <v>1</v>
      </c>
      <c r="BY66" s="6" cm="1">
        <f t="array" ref="BY66">IF(B66="","",IF(BC66&lt;&gt;"",IFERROR(_xlfn.XLOOKUP(BC66,Щиты[Щит],Щиты[cos φ]),0.95),IF(BK66=1,IFERROR(_xlfn.XLOOKUP(A66,Щиты[Щит],Щиты[cos φ]),0.95),IF(ISNUMBER(Z66),Z66,IFERROR(IF(BX66=2,_xlfn.IFS(BR66=3,VLOOKUP(BN66,Справочная_двигатели,8,FALSE),BR66=1,VLOOKUP(BN66,Справочная_двигатели,10,TRUE)),IF(AND(Методика="нормы 2026",EQ66="Сил"),0.8,0.95)),0.95)))))</f>
        <v>0.8</v>
      </c>
      <c r="BZ66">
        <f t="shared" si="17"/>
        <v>0</v>
      </c>
      <c r="CA66">
        <f t="shared" si="18"/>
        <v>1</v>
      </c>
      <c r="CB66">
        <f t="shared" si="19"/>
        <v>0</v>
      </c>
      <c r="CC66">
        <f t="shared" si="20"/>
        <v>0</v>
      </c>
      <c r="CD66">
        <f t="shared" si="21"/>
        <v>0</v>
      </c>
      <c r="CE66">
        <f t="shared" si="22"/>
        <v>0</v>
      </c>
      <c r="CF66">
        <f t="shared" si="23"/>
        <v>0</v>
      </c>
      <c r="CG66">
        <f>IF(AX66="",0,_xlfn.LET(_xlpm.v,IFERROR(VLOOKUP(B66,УГО_спр,3,FALSE),IFERROR(VLOOKUP(AX66,УГО_спр,3,FALSE),IFERROR(VLOOKUP(LEFT(AX66,2),УГО_спр,3,FALSE),""))),IF(_xlpm.v="да",30,IF(ISNUMBER(_xlpm.v),_xlpm.v,0))))</f>
        <v>0</v>
      </c>
      <c r="CH66" t="str">
        <f t="shared" si="24"/>
        <v/>
      </c>
      <c r="CI66" t="str">
        <f>_xlfn.LET(_xlpm.k,IFERROR(_xlfn.XLOOKUP(AX66,Коды_код,Коды_утечка)&amp;"",""),IF(_xlpm.k="","дифавтомат",_xlpm.k))</f>
        <v>дифавтомат</v>
      </c>
      <c r="CJ66">
        <f t="shared" si="25"/>
        <v>0</v>
      </c>
      <c r="CK66">
        <f t="shared" si="26"/>
        <v>0</v>
      </c>
      <c r="CL66">
        <f>IF(B66="",0,IFERROR(--VLOOKUP(B66,УГО_спр,4,FALSE),IFERROR(--VLOOKUP(AX66,УГО_спр,4,FALSE),IFERROR(--VLOOKUP(LEFT(AX66,2),УГО_спр,4,FALSE),0))))</f>
        <v>0</v>
      </c>
      <c r="CM66" t="str">
        <f>IF(B66="","",IFERROR(_xlfn.XLOOKUP(AX66,Коды_код,Коды_апп)&amp;"",""))</f>
        <v/>
      </c>
      <c r="CN66" t="str">
        <f t="shared" si="27"/>
        <v/>
      </c>
      <c r="CO66" t="str" cm="1">
        <f t="array" ref="CO66">IF(TRIM(CN66&amp;"")="","",IFERROR(TRIM(INDEX(_xlfn.TEXTSPLIT(CN66&amp;";;;",";"),1)),""))</f>
        <v/>
      </c>
      <c r="CP66" t="str" cm="1">
        <f t="array" ref="CP66">IF(TRIM(CN66&amp;"")="","",IFERROR(TRIM(INDEX(_xlfn.TEXTSPLIT(CN66&amp;";;;",";"),2)),""))</f>
        <v/>
      </c>
      <c r="CQ66" t="str" cm="1">
        <f t="array" ref="CQ66">IF(TRIM(CN66&amp;"")="","",IFERROR(TRIM(INDEX(_xlfn.TEXTSPLIT(CN66&amp;";;;",";"),3)),""))</f>
        <v/>
      </c>
      <c r="CR66">
        <f t="shared" si="28"/>
        <v>0</v>
      </c>
      <c r="CS66" t="str">
        <f>IF(B66="","",_xlfn.LET(_xlpm.t,LOWER(AV66&amp;""),IF(ISNUMBER(SEARCH("dim",_xlpm.t)),"DIM",IF(ISNUMBER(SEARCH("dali",_xlpm.t)),"DALI",IF(OR(ISNUMBER(SEARCH("relay",_xlpm.t)),ISNUMBER(SEARCH("реле",_xlpm.t))),"Relay",IF(ISNUMBER(SEARCH("кнопк",_xlpm.t)),"",IFERROR(_xlfn.XLOOKUP(AX66,Коды_код,Коды_упр)&amp;"","")))))))</f>
        <v/>
      </c>
      <c r="CT66" t="str">
        <f t="shared" si="29"/>
        <v/>
      </c>
      <c r="CU66">
        <f>IF(B66="","",_xlfn.LET(_xlpm.ig,N(P66)+IF(AF66="вручную",0,N(CB66)),_xlpm.n0,IFERROR(VLOOKUP(_xlpm.ig,Автомат_номиналы,2,TRUE),0),_xlpm.mn,MAX(CL66,IF(AF66="вручную",0,N(CE66))),MAX(_xlpm.n0,_xlpm.mn,IF(CR66=1,Мин_автомат_БП,0))))</f>
        <v>10</v>
      </c>
      <c r="CV66">
        <f t="shared" si="30"/>
        <v>1</v>
      </c>
      <c r="CW66" t="str">
        <f t="shared" si="31"/>
        <v>1P</v>
      </c>
      <c r="CX66" t="str">
        <f>_xlfn.LET(_xlpm.cc,UPPER(TRIM(IFERROR(_xlfn.XLOOKUP(AX66,Коды_код,Коды_хар)&amp;"",""))),IF(OR(_xlpm.cc="B",_xlpm.cc="В"),"B",IF(_xlpm.cc="D","D","С")))</f>
        <v>С</v>
      </c>
      <c r="CY66" t="str">
        <f t="shared" si="32"/>
        <v>1P С10А</v>
      </c>
      <c r="CZ66">
        <f t="shared" si="33"/>
        <v>10</v>
      </c>
      <c r="DA66" t="str">
        <f t="shared" si="34"/>
        <v>1P С10А</v>
      </c>
      <c r="DB66" cm="1">
        <f t="array" ref="DB66">IF(DA66="","",_xlfn.LET(_xlpm.t,SUBSTITUTE(SUBSTITUTE(SUBSTITUTE(UPPER(DA66),"С","C"),"А","A"),"В","B"),_xlpm.tk,_xlfn.TEXTSPLIT(_xlpm.t,"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6" t="str">
        <f t="shared" si="35"/>
        <v>ok</v>
      </c>
      <c r="DD66">
        <f t="shared" si="36"/>
        <v>10</v>
      </c>
      <c r="DE66" t="str">
        <f t="shared" si="37"/>
        <v>1P С10А</v>
      </c>
      <c r="DF66">
        <f t="shared" si="38"/>
        <v>0</v>
      </c>
      <c r="DG66">
        <f t="shared" si="39"/>
        <v>0</v>
      </c>
      <c r="DH66">
        <f t="shared" si="40"/>
        <v>0</v>
      </c>
      <c r="DI66">
        <f t="shared" si="41"/>
        <v>5.9539246510180153</v>
      </c>
      <c r="DJ66">
        <f t="shared" si="42"/>
        <v>1</v>
      </c>
      <c r="DK66">
        <f>IF(ISNUMBER(AL66),AL66,К_прокл)</f>
        <v>1</v>
      </c>
      <c r="DL66">
        <f t="shared" si="43"/>
        <v>2</v>
      </c>
      <c r="DM66">
        <f>IFERROR(N(VLOOKUP(BT66,Кабель_обозначение,3,FALSE)),1)</f>
        <v>1</v>
      </c>
      <c r="DN66">
        <f>IFERROR(N(_xlfn.XLOOKUP(A66,Щиты[Щит],Щиты[ΔU до шин, %])),0)</f>
        <v>0.64</v>
      </c>
      <c r="DO66" t="str">
        <f>IFERROR(_xlfn.XLOOKUP(A66,Щиты[Щит],Щиты[Zпетли на шинах, Ом]),"")</f>
        <v/>
      </c>
      <c r="DP66">
        <f>IFERROR(N(_xlfn.XLOOKUP(A66,Щиты[Щит],Щиты[ΔU до шин (подбор), %])),0)</f>
        <v>0.75</v>
      </c>
      <c r="DQ66" t="str">
        <f>IFERROR(_xlfn.XLOOKUP(A66,Щиты[Щит],Щиты[Zпетли на шинах (подбор), Ом]),"")</f>
        <v/>
      </c>
      <c r="DR66" t="str">
        <f t="shared" si="44"/>
        <v/>
      </c>
      <c r="DS66">
        <f t="shared" si="45"/>
        <v>23</v>
      </c>
      <c r="DT66">
        <f t="shared" si="46"/>
        <v>2</v>
      </c>
      <c r="DU66">
        <f t="shared" si="47"/>
        <v>0.6</v>
      </c>
      <c r="DV66" s="6">
        <f>IF(B66="","",IF(IFERROR(VLOOKUP(AX66,УГО_спр,2,FALSE),"")="Светильник",3,4)+IF(Методика="нормы 2026",MIN(0.5,MAX(0,N(Q66)-100)*0.005),0))</f>
        <v>4</v>
      </c>
      <c r="DW66" cm="1">
        <f t="array" ref="DW66">IF(OR(B66="",BT66="",DM66&lt;&gt;1),"",_xlfn.LET(_xlpm.sz,Iдоп_S,_xlpm.t_,CHOOSE(DL66,Iдоп_1ж,Iдоп_2ж,Iдоп_3ж)*DJ66*DK66,_xlpm.inn,N(DD66),_xlpm.smin,MAX(1.5,BW66),_xlpm.L_,N(Q66)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66)*(_xlpm.rho*_xlpm.L_/_xlpm.sz*N(BY66)+_xlpm.xx*_xlpm.L_*N(DU66)/1000)*N(P66)/((Uн_лин/SQRT(3))*1000)*100,999),_xlpm.kz,IF(OR(DG66=1,NOT(ISNUMBER(DQ66)),_xlpm.L_=0,_xlpm.inn=0),1,IFERROR(--(c_min*(Uн_лин*1000/SQRT(3))/(DQ66+2*ρкз_Cu*_xlpm.L_/_xlpm.sz)&gt;=GY66*_xlpm.inn),0)),_xlpm.ok,IFERROR((_xlpm.sz&gt;=_xlpm.smin)*(_xlpm.t_&gt;=_xlpm.inn)*IF(_xlpm.L_&gt;0,(_xlpm.du_+DP66&lt;=DV66+0.00001),1)*_xlpm.kz,0),_xlpm.r_,_xlfn._xlws.FILTER(_xlpm.sz,_xlpm.ok,"не подобрано"),INDEX(_xlpm.r_,1)))</f>
        <v>1.5</v>
      </c>
      <c r="DX66">
        <f t="shared" si="48"/>
        <v>1.5</v>
      </c>
      <c r="DY66" cm="1">
        <f t="array" ref="DY66">IF(OR(B66="",BT66="",DM66&lt;&gt;1),"",_xlfn.LET(_xlpm.sz,Iдоп_S,_xlpm.t_,CHOOSE(DL66,Iдоп_1ж,Iдоп_2ж,Iдоп_3ж)*DJ66*DK66,_xlpm.ok,IFERROR((_xlpm.sz&gt;=MAX(1.5,BW66))*(_xlpm.t_&gt;=N(DD66)),0),_xlpm.r_,_xlfn._xlws.FILTER(_xlpm.sz,_xlpm.ok,""),INDEX(_xlpm.r_,1)))</f>
        <v>1.5</v>
      </c>
      <c r="DZ66" s="6" cm="1">
        <f t="array" ref="DZ66">IFERROR(ROUNDUP(N(DT66)*(_xlfn.XLOOKUP(DY66,INDEX(Кабель_сопротивление,0,1),INDEX(Кабель_сопротивление,0,3))*N(Q66)/DY66*N(BY66)+_xlfn.XLOOKUP(DY66,INDEX(Кабель_сопротивление,0,1),INDEX(Кабель_сопротивление,0,2))*N(Q66)*N(DU66)/1000)*N(P66)/((Uн_лин/SQRT(3))*1000)*100,2),"")</f>
        <v>1.68</v>
      </c>
      <c r="EA66">
        <f>IFERROR(2*ρкз_Cu*N(Q66)/DY66,"")</f>
        <v>0.94680000000000009</v>
      </c>
      <c r="EB66">
        <f>IFERROR(VLOOKUP(DX66,Кабель_сопротивление,3,FALSE),"")</f>
        <v>2.2499999999999999E-2</v>
      </c>
      <c r="EC66">
        <f>IFERROR(VLOOKUP(DX66,Кабель_сопротивление,2,FALSE),"")</f>
        <v>0.11</v>
      </c>
      <c r="ED66">
        <f t="shared" si="49"/>
        <v>27</v>
      </c>
      <c r="EE66">
        <f t="shared" si="50"/>
        <v>0</v>
      </c>
      <c r="EF66">
        <f t="shared" si="51"/>
        <v>3.8793629613159024</v>
      </c>
      <c r="EG66" s="6">
        <f>IFERROR(ROUNDUP(EF66/((Uн_лин/SQRT(3))*1000)*100,2),"")</f>
        <v>1.68</v>
      </c>
      <c r="EH66" t="str">
        <f>IFERROR(VLOOKUP(BT66,Кабель_обозначение,2,FALSE),"")</f>
        <v>ВВГнг(А)-LS</v>
      </c>
      <c r="EI66" t="str">
        <f t="shared" si="52"/>
        <v>ВВГнг(А)-LS (3х1,5)</v>
      </c>
      <c r="EJ66" t="str">
        <f t="shared" si="53"/>
        <v>ВВГнг(А)-LS (3х1,5)
L=27-1,68%</v>
      </c>
      <c r="EK66">
        <f>IFERROR(2*ρкз_Cu*Q66/DX66,"")</f>
        <v>0.94680000000000009</v>
      </c>
      <c r="EL66">
        <f t="shared" si="54"/>
        <v>0.315</v>
      </c>
      <c r="EM66" s="6" t="str">
        <f>IFERROR(IF(OR(B66="",NOT(ISNUMBER(DX66)),N(Q66)=0),"",_xlfn.XLOOKUP(A66,Щиты[Щит],Щиты[Zпетли на шинах, Ом])+EK66),"")</f>
        <v/>
      </c>
      <c r="EN66" s="6" t="str">
        <f>IF(ISNUMBER(EM66),c_min*(Uн_лин*1000/SQRT(3))/EM66,"")</f>
        <v/>
      </c>
      <c r="EO66" s="6" t="str">
        <f>IFERROR(IF(OR(B66="",NOT(ISNUMBER(DX66))),"",1.05*(Uн_лин*1000/SQRT(3))/(_xlfn.XLOOKUP(A66,Щиты[Щит],Щиты[Zmax на шинах, Ом])+EL66)/1000),"")</f>
        <v/>
      </c>
      <c r="EP66" s="6" t="str">
        <f>IF(B66="","",IF(ISNUMBER(Y66),"Сил",IF(IFERROR(_xlfn.XLOOKUP(AX66,Коды_код,Коды_группа)&amp;"","")="","Быт",_xlfn.XLOOKUP(AX66,Коды_код,Коды_группа)&amp;"")))</f>
        <v>Сил</v>
      </c>
      <c r="EQ66" s="6" t="str">
        <f t="shared" si="55"/>
        <v>Сил</v>
      </c>
      <c r="ER66" s="6">
        <f>IF(EQ66="Щит","щит",IF(EQ66="","",IF(EQ66="Быт",IFERROR(_xlfn.XLOOKUP(A66,Щиты[Щит],Щиты[Кс быт]),1),IF(EQ66="Сил",IF(ISNUMBER(Y66),Y66,IF(Методика="нормы 2026",IFERROR(_xlfn.XLOOKUP(A66,Щиты[Щит],Щиты[Кс силовых (табл. 7.5)]),1),1)),IF(OR(EQ66="Пост",EQ66="Отоп"),1,IF(EQ66="ВНГ",0.7,0))))))</f>
        <v>0.5</v>
      </c>
      <c r="ES66">
        <f t="shared" si="56"/>
        <v>1</v>
      </c>
      <c r="ET66">
        <f t="shared" si="57"/>
        <v>1.1000000000000001</v>
      </c>
      <c r="EU66">
        <f t="shared" si="58"/>
        <v>0</v>
      </c>
      <c r="EV66">
        <f t="shared" si="59"/>
        <v>0.55000000000000004</v>
      </c>
      <c r="EW66">
        <f t="shared" si="60"/>
        <v>0</v>
      </c>
      <c r="EX66">
        <f t="shared" si="61"/>
        <v>0</v>
      </c>
      <c r="EY66">
        <f t="shared" si="62"/>
        <v>0</v>
      </c>
      <c r="EZ66">
        <f t="shared" si="63"/>
        <v>1.1000000000000001</v>
      </c>
      <c r="FA66">
        <f t="shared" si="64"/>
        <v>0.88000000000000012</v>
      </c>
      <c r="FB66">
        <f t="shared" si="65"/>
        <v>1.1000000000000001</v>
      </c>
      <c r="FC66" t="str">
        <f t="shared" si="66"/>
        <v/>
      </c>
      <c r="FD66" t="str">
        <f>IF(B66="","",IF(CA66=0,IF(AW66=1,"",FF65),IF(OR(N(CV66)&gt;=3,N(BR66)&gt;=3),"L1,L2,L3",IFERROR(_xlfn.TEXTBEFORE(_xlfn.TEXTAFTER(_xlfn.XLOOKUP(A66,Щиты[Щит],Щиты[_фазы авто]),";"&amp;AW66&amp;":"),";"),"L1"))))</f>
        <v>L2</v>
      </c>
      <c r="FE66" t="str">
        <f t="shared" si="67"/>
        <v>L2</v>
      </c>
      <c r="FF66" t="str">
        <f t="shared" si="68"/>
        <v>L2</v>
      </c>
      <c r="FG66" cm="1">
        <f t="array" ref="FG66">IFERROR(IF(BX66=2,_xlfn.IFS(BR66=3,VLOOKUP(BN66,Справочная_двигатели,3,FALSE),BR66=1,VLOOKUP(BN66,Справочная_двигатели,5,TRUE)),0),0)</f>
        <v>0</v>
      </c>
      <c r="FH66">
        <f>IFERROR(IF(BX66=3,VLOOKUP(BN66,Справочная_ЛЭД,2,TRUE),0),0)</f>
        <v>0</v>
      </c>
      <c r="FI66" s="6">
        <f t="shared" si="69"/>
        <v>0</v>
      </c>
      <c r="FJ66" t="str" cm="1">
        <f t="array" ref="FJ66">IF(B66="","",IFERROR(INDEX({"I особая","I","II","III"},MATCH(TRIM(AC66&amp;""),{"I особая","I","II","III"},0)),"III"))</f>
        <v>II</v>
      </c>
      <c r="FK66" t="str">
        <f>IF(B66="","",IF(TRIM(AD66&amp;"")&lt;&gt;"",IF(LOWER(TRIM(AD66&amp;""))="да","да","нет"),IF(IFERROR(_xlfn.XLOOKUP(AX66,Коды_код,Коды_пожарная),"")="да","да","нет")))</f>
        <v>нет</v>
      </c>
      <c r="FL66" t="str">
        <f t="shared" si="70"/>
        <v/>
      </c>
      <c r="FM66" t="str">
        <f t="shared" si="71"/>
        <v>основная</v>
      </c>
      <c r="FN66">
        <f t="shared" si="72"/>
        <v>1</v>
      </c>
      <c r="FO66" t="str" cm="1">
        <f t="array" ref="FO66">IF(B66="","",_xlfn.LET(_xlpm.t,IFERROR(_xlfn.XLOOKUP(1,(Шины[Шина]=FM66)*(((Шины[Щит]=A66)+(Шины[Щит]=""))&gt;0),Шины[Тип]),"")&amp;"",IF(_xlpm.t&lt;&gt;"",_xlpm.t,IF(ISNUMBER(SEARCH("ИБП",FM66)),"ИБП",IF(ISNUMBER(SEARCH("ДГУ",FM66)),"ДГУ","Ввод "&amp;FN66)))))</f>
        <v>Ввод 1</v>
      </c>
      <c r="FP66" t="str">
        <f t="shared" si="73"/>
        <v>Ввод 1</v>
      </c>
      <c r="FQ66" t="str">
        <f>IF(B66="","",IF(OR(FO66="ИБП",FO66="ДГУ"),"I особая",IF(FO66="Одиночная","III",_xlfn.XLOOKUP(A66,Щиты[Щит],Щиты[Категория шины «Ввод»],"III"))))</f>
        <v>II</v>
      </c>
      <c r="FR66">
        <f>IF(B66="",0,IFERROR(MATCH(FJ66,{"III","II","I","I особая"},0),1))</f>
        <v>2</v>
      </c>
      <c r="FS66">
        <f t="shared" si="74"/>
        <v>2</v>
      </c>
      <c r="FT66" t="str">
        <f>IF(B66="","",IF(FR66&gt;IFERROR(MATCH(FQ66,{"III","II","I","I особая"},0),1),"НЕ ОБЕСПЕЧЕНА","ОК"))</f>
        <v>ОК</v>
      </c>
      <c r="FU66" t="str">
        <f>IF(A66="","",_xlfn.XLOOKUP(A66,Щиты[Щит],Щиты[Путь],""))</f>
        <v>|ГРЩ-ЖД|ЩОВ-001|</v>
      </c>
      <c r="FV66" t="str">
        <f>IF(B66="","",IF(AE66&lt;&gt;"",AE66,IF(IFERROR(_xlfn.XLOOKUP(AX66,Коды_код,Коды_вид)&amp;"","")="","Прочее",_xlfn.XLOOKUP(AX66,Коды_код,Коды_вид)&amp;"")))</f>
        <v>Вентиляция</v>
      </c>
      <c r="FW66">
        <f>IF(BH66="","",INT((BH66-1)/Столбцов_на_лист)+1)</f>
        <v>2</v>
      </c>
      <c r="FX66" t="str">
        <f t="shared" si="75"/>
        <v>ВВГнг(А)-LS (3х1,5) L=27-1,68%</v>
      </c>
      <c r="FY66">
        <f t="shared" si="76"/>
        <v>1.1000000000000001</v>
      </c>
      <c r="FZ66">
        <f t="shared" si="77"/>
        <v>5.96</v>
      </c>
      <c r="GA66">
        <f t="shared" si="78"/>
        <v>1</v>
      </c>
      <c r="GB66">
        <f t="shared" si="79"/>
        <v>0</v>
      </c>
      <c r="GC66">
        <f t="shared" si="80"/>
        <v>1</v>
      </c>
      <c r="GD66">
        <f>IF(BH66="","",IF(AND(CA66=1,GC66=1),COUNTIFS(A$3:A66,A66,CA$3:CA66,1,GC$3:GC66,1),IF(OR(OR(AW66=1,A66&lt;&gt;A65),AF66="вручную",GC66=0),"",IF(AW66=1,"",GE65))))</f>
        <v>13</v>
      </c>
      <c r="GE66">
        <f t="shared" si="81"/>
        <v>13</v>
      </c>
      <c r="GF66">
        <f>IF(B66="","",IFERROR(LOOKUP(INDEX(CHOOSE(DL66,Iдоп_1ж,Iдоп_2ж,Iдоп_3ж),MATCH(DX66,Iдоп_S,0))*DJ66*DK66,{6,10,16,20,25,32,40,50,63,80,100,125,160,200,250,315,400,500,630}),""))</f>
        <v>16</v>
      </c>
      <c r="GG66" t="str">
        <f t="shared" si="82"/>
        <v>QF13</v>
      </c>
      <c r="GH66" t="str">
        <f t="shared" si="83"/>
        <v>QF13</v>
      </c>
      <c r="GI66" t="str">
        <f t="shared" si="84"/>
        <v/>
      </c>
      <c r="GJ66">
        <f t="shared" si="85"/>
        <v>0</v>
      </c>
      <c r="GK66" t="str">
        <f>IF(OR(AG66="",AG66="-"),"",IFERROR(VLOOKUP(AG66,Модули_спр,2,FALSE),"R"))</f>
        <v/>
      </c>
      <c r="GL66" t="str">
        <f>IF(GK66="","",GK66&amp;"."&amp;COUNTIFS(A$3:A66,A66,GK$3:GK66,GK66))</f>
        <v/>
      </c>
      <c r="GM66" t="str">
        <f t="shared" si="86"/>
        <v/>
      </c>
      <c r="GN66" t="str">
        <f t="shared" si="87"/>
        <v/>
      </c>
      <c r="GO66" t="str">
        <f t="shared" si="88"/>
        <v/>
      </c>
      <c r="GP66" t="str">
        <f t="shared" si="89"/>
        <v/>
      </c>
      <c r="GQ66">
        <f t="shared" si="90"/>
        <v>1</v>
      </c>
      <c r="GR66" t="str">
        <f>IF(GQ66=1,"XT"&amp;COUNTIFS(A$3:A66,A66,GQ$3:GQ66,1),"")</f>
        <v>XT13</v>
      </c>
      <c r="GS66" t="str">
        <f t="shared" si="91"/>
        <v/>
      </c>
      <c r="GT66" t="str">
        <f t="shared" si="92"/>
        <v>QF13</v>
      </c>
      <c r="GU66" t="str">
        <f t="shared" si="93"/>
        <v/>
      </c>
      <c r="GV66" t="str">
        <f t="shared" si="94"/>
        <v>ok</v>
      </c>
      <c r="GW66" t="str">
        <f>IF(OR(GO66="",GM66=""),"",IF(GO66&gt;IFERROR(VLOOKUP(GN66,Модули_спр,3,FALSE),99),"ЛИШНИЙ КАНАЛ",IF(AND(AH66&lt;&gt;"=",COUNTIFS(Линии[_модуль гр.],GM66,Линии[Канал (итог)],GO66,Линии[Канал],"&lt;&gt;=",Линии[Щит],A66)&gt;1),"ДУБЛЬ КАНАЛА","")))</f>
        <v/>
      </c>
      <c r="GX66" s="6" t="str">
        <f t="shared" si="95"/>
        <v/>
      </c>
      <c r="GY66">
        <f t="shared" si="96"/>
        <v>10</v>
      </c>
      <c r="GZ66" t="str">
        <f t="shared" si="97"/>
        <v/>
      </c>
      <c r="HA66" t="str">
        <f>IF(AND(B66="",GT66=""),"",_xlfn.TEXTJOIN("; ",TRUE,IF(AND(B66&lt;&gt;"",FE66=""),"нет фазы",""),IF(AND(B66&lt;&gt;"",N(FY66)=0,EQ66&lt;&gt;"Нет"),"нет мощности",""),IF(AND(GS66&lt;&gt;"",COUNTIFS(Линии[Щит],A66,Линии[Клемма (итог)],GS66)&gt;1),"дубль клеммы "&amp;GS66,""),IF(AND(GV66&lt;&gt;"",GV66&lt;&gt;"ok"),GV66,""),IF(GW66&lt;&gt;"",GW66,""),IF(AND(N(BV66)&gt;=4,N(BR66)=1),BV66&amp;" жил на 1 фазе",""),IF(AND(AX66="R",CA66=1,OR(N(CK66)=0,N(CK66)&gt;30)),"розетка без дифзащиты до 30 мА",""),IFERROR(IF(AND(ISNUMBER(R66),R66&gt;DV66),"потери "&amp;FIXED(R66,1)&amp;" % &gt; "&amp;DV66&amp;" %",""),""),IFERROR(IF(LEFT(GZ66,4)="мало","Iкз мало — отключение &gt; 0,4 с",""),""),IF(AND(B66&lt;&gt;"",BH66=""),"не на схеме",""),IF(AND(CA66=0,B66&lt;&gt;"",FE66&lt;&gt;"",IF(AW66=1,"",FF65)&lt;&gt;"",FE66&lt;&gt;IF(AW66=1,"",FF65)),"фаза не как у автомата группы ("&amp;IF(AW66=1,"",FF65)&amp;")","")))</f>
        <v/>
      </c>
      <c r="HB66" s="6">
        <f>IF(OR(CA66=0,DA66=""),"",_xlfn.LET(_xlpm.t,IFERROR(_xlfn.XLOOKUP(DA66,Каталог!$U$4:$U$500,Каталог!$G$4:$G$500),""),_xlpm.k,SEARCH("кА",_xlpm.t),IFERROR(--TRIM(RIGHT(SUBSTITUTE(MID(_xlpm.t,MAX(1,_xlpm.k-4),_xlpm.k-MAX(1,_xlpm.k-4))," ",REPT(" ",9)),5)),"")))</f>
        <v>6</v>
      </c>
      <c r="HC66" t="str">
        <f>IF(OR(HB66="",CA66=0),"",IF(_xlfn.XLOOKUP(A66,Щиты[Щит],Щиты[Iкз max на шинах, кА],"")="","",IF(HB66&lt;_xlfn.XLOOKUP(A66,Щиты[Щит],Щиты[Iкз max на шинах, кА]),"Icu "&amp;HB66&amp;" кА &lt; Iкз max","ok")))</f>
        <v/>
      </c>
      <c r="HD66" t="str">
        <f t="shared" si="98"/>
        <v/>
      </c>
      <c r="HE66" t="str">
        <f t="shared" si="99"/>
        <v>QF13</v>
      </c>
      <c r="HF66" t="str">
        <f t="shared" si="100"/>
        <v>QF13|кабель ВВГнг(А)-LS (3х1,5) → Приточно-вытяжная установка Подвальный этаж Пом. №006Т</v>
      </c>
      <c r="HG66" t="str" cm="1">
        <f t="array" ref="HG66">IF(HF66="","",_xlfn.LET(_xlpm.nd,_xlfn.TEXTSPLIT(HF66,"|"),IF(COLUMNS(_xlpm.nd)&gt;1,A66&amp;"¦"&amp;INDEX(_xlpm.nd,1)&amp;"¦"&amp;INDEX(_xlpm.nd,2),"")))</f>
        <v>ЩОВ-001¦QF13¦кабель ВВГнг(А)-LS (3х1,5) → Приточно-вытяжная установка Подвальный этаж Пом. №006Т</v>
      </c>
      <c r="HH66" t="str">
        <f t="shared" si="101"/>
        <v>ПВ.4¦Приточно-вытяжная установка Подвальный этаж Пом. №006Т</v>
      </c>
      <c r="HI66" t="str" cm="1">
        <f t="array" ref="HI66">IF(HF66="","",_xlfn.LET(_xlpm.nd,_xlfn.TEXTSPLIT(HF66,"|"),IF(COLUMNS(_xlpm.nd)&gt;2,A66&amp;"¦"&amp;INDEX(_xlpm.nd,2)&amp;"¦"&amp;INDEX(_xlpm.nd,3),"")))</f>
        <v/>
      </c>
      <c r="HJ66" t="str">
        <f t="shared" si="102"/>
        <v/>
      </c>
      <c r="HK66" t="str" cm="1">
        <f t="array" ref="HK66">IF(HF66="","",_xlfn.LET(_xlpm.nd,_xlfn.TEXTSPLIT(HF66,"|"),IF(COLUMNS(_xlpm.nd)&gt;3,A66&amp;"¦"&amp;INDEX(_xlpm.nd,3)&amp;"¦"&amp;INDEX(_xlpm.nd,4),"")))</f>
        <v/>
      </c>
      <c r="HL66" t="str">
        <f t="shared" si="103"/>
        <v/>
      </c>
      <c r="HM66" t="str" cm="1">
        <f t="array" ref="HM66">IF(HF66="","",_xlfn.LET(_xlpm.nd,_xlfn.TEXTSPLIT(HF66,"|"),IF(COLUMNS(_xlpm.nd)&gt;4,A66&amp;"¦"&amp;INDEX(_xlpm.nd,4)&amp;"¦"&amp;INDEX(_xlpm.nd,5),"")))</f>
        <v/>
      </c>
      <c r="HN66" t="str">
        <f t="shared" si="104"/>
        <v/>
      </c>
      <c r="HO66" t="str" cm="1">
        <f t="array" ref="HO66">IF(HF66="","",_xlfn.LET(_xlpm.nd,_xlfn.TEXTSPLIT(HF66,"|"),IF(COLUMNS(_xlpm.nd)&gt;5,A66&amp;"¦"&amp;INDEX(_xlpm.nd,5)&amp;"¦"&amp;INDEX(_xlpm.nd,6),"")))</f>
        <v/>
      </c>
      <c r="HP66" t="str">
        <f t="shared" si="105"/>
        <v/>
      </c>
      <c r="HQ66" t="str" cm="1">
        <f t="array" ref="HQ66">IF(HF66="","",_xlfn.LET(_xlpm.nd,_xlfn.TEXTSPLIT(HF66,"|"),IF(COLUMNS(_xlpm.nd)&gt;6,A66&amp;"¦"&amp;INDEX(_xlpm.nd,6)&amp;"¦"&amp;INDEX(_xlpm.nd,7),"")))</f>
        <v/>
      </c>
      <c r="HR66" t="str">
        <f t="shared" si="106"/>
        <v/>
      </c>
      <c r="HS66" t="str">
        <f t="shared" si="107"/>
        <v/>
      </c>
      <c r="HT66" t="str">
        <f t="shared" si="108"/>
        <v>QF13</v>
      </c>
      <c r="HU66">
        <f t="shared" si="109"/>
        <v>0</v>
      </c>
      <c r="HV66">
        <f t="shared" si="110"/>
        <v>0</v>
      </c>
      <c r="HW66" t="str">
        <f t="shared" si="111"/>
        <v/>
      </c>
      <c r="HX66" t="str">
        <f t="shared" si="112"/>
        <v/>
      </c>
      <c r="HY66" t="str">
        <f t="shared" si="113"/>
        <v/>
      </c>
      <c r="HZ66" t="str">
        <f t="shared" si="114"/>
        <v/>
      </c>
      <c r="IA66" t="str">
        <f>IF(B66="","",IFERROR(VLOOKUP(B66,УГО_спр,2,FALSE),IFERROR(VLOOKUP(AX66,УГО_спр,2,FALSE),IFERROR(VLOOKUP(LEFT(AX66,2),УГО_спр,2,FALSE),""))))</f>
        <v>Привод (двигатель)</v>
      </c>
      <c r="IB66" t="str">
        <f>IF(B66="","",IF(OR(IA66="",IA66=0),"BOX",IFERROR(IF(VLOOKUP(IA66,УГО_блоки,3,FALSE)&amp;""&lt;&gt;"",VLOOKUP(IA66,УГО_блоки,3,FALSE),VLOOKUP(IA66,УГО_блоки,2,FALSE)),IA66)))</f>
        <v>MOTOR</v>
      </c>
      <c r="IC66">
        <f t="shared" si="115"/>
        <v>1</v>
      </c>
      <c r="ID66" t="str">
        <f>IF(DA66="","",IF(COUNTIF(DA$3:DA66,DA66)=1,MAX(ID$2:ID65)+1,""))</f>
        <v/>
      </c>
      <c r="IE66" t="str">
        <f>IF(CO66="","",IF(COUNTIF(CO$3:CO66,CO66)+COUNTIF(CP$2:CP65,CO66)+COUNTIF(CQ$2:CQ65,CO66)=1,MAX(IE$2:IG65)+1,""))</f>
        <v/>
      </c>
      <c r="IF66" t="str">
        <f>IF(CP66="","",IF(COUNTIF(CO$3:CO66,CP66)+COUNTIF(CP$3:CP66,CP66)+COUNTIF(CQ$2:CQ65,CP66)=1,MAX(IE$2:IG65,IE66)+1,""))</f>
        <v/>
      </c>
      <c r="IG66" t="str">
        <f>IF(CQ66="","",IF(COUNTIF(CO$3:CO66,CQ66)+COUNTIF(CP$3:CP66,CQ66)+COUNTIF(CQ$3:CQ66,CQ66)=1,MAX(IE$2:IG65,IE66,IF66)+1,""))</f>
        <v/>
      </c>
      <c r="IH66" t="str">
        <f t="shared" si="116"/>
        <v>3х1,5</v>
      </c>
      <c r="II66" t="str">
        <f>IF(IH66="","",IF(COUNTIF(IH$3:IH66,IH66)=1,MAX(II$2:II65)+1,""))</f>
        <v/>
      </c>
      <c r="IJ66" t="str">
        <f>IF(GL66="","",COUNTIF(GL$3:GL66,"?*"))</f>
        <v/>
      </c>
      <c r="IK66" t="str">
        <f>IF(OR(GL66="",GN66=""),"",IF(COUNTIFS(GL$3:GL66,"?*",GN$3:GN66,GN66)=1,MAX(IK$2:IK65)+1,""))</f>
        <v/>
      </c>
      <c r="IL66">
        <f t="shared" si="117"/>
        <v>0</v>
      </c>
      <c r="IM66">
        <f>IF(B66="","",COUNTIF(B$3:B66,"?*"))</f>
        <v>64</v>
      </c>
      <c r="IN66">
        <f>IF(GQ66&lt;&gt;1,0,_xlfn.LET(_xlpm.k,MAX(IFERROR(--VLOOKUP(B66,УГО_спр,5,FALSE),0),IFERROR(--VLOOKUP(AX66,УГО_спр,5,FALSE),0),IFERROR(--VLOOKUP(LEFT(AX66,2),УГО_спр,5,FALSE),0)),IF(_xlpm.k&gt;0,_xlpm.k,IF(IFERROR(--LEFT(SUBSTITUTE(IH66,"x","х"),FIND("х",SUBSTITUTE(IH66,"x","х"))-1),3)&gt;3,Каталог!$S$9,1))))</f>
        <v>1</v>
      </c>
      <c r="IO66">
        <f t="shared" si="118"/>
        <v>0</v>
      </c>
      <c r="IP66" t="str">
        <f t="shared" si="119"/>
        <v>авто</v>
      </c>
      <c r="IQ66" t="str">
        <f t="shared" si="120"/>
        <v/>
      </c>
      <c r="IR66">
        <f t="shared" si="121"/>
        <v>0</v>
      </c>
      <c r="IS66">
        <f t="shared" si="122"/>
        <v>1</v>
      </c>
    </row>
    <row r="67" spans="1:253" x14ac:dyDescent="0.3">
      <c r="A67" t="s">
        <v>749</v>
      </c>
      <c r="B67" t="s">
        <v>1339</v>
      </c>
      <c r="C67" t="s">
        <v>1618</v>
      </c>
      <c r="D67">
        <v>1</v>
      </c>
      <c r="E67">
        <v>0.3</v>
      </c>
      <c r="G67">
        <v>10</v>
      </c>
      <c r="H67" t="str">
        <f>Линии[[#This Row],[_авто утечка]]</f>
        <v/>
      </c>
      <c r="I67" t="str">
        <f>Линии[[#This Row],[_авто управление]]</f>
        <v/>
      </c>
      <c r="J67" t="str">
        <f>Линии[[#This Row],[_авто аппараты]]</f>
        <v/>
      </c>
      <c r="K67">
        <v>1.5</v>
      </c>
      <c r="L67">
        <v>14</v>
      </c>
      <c r="M67" t="str">
        <f>Линии[[#This Row],[_авто фаза]]</f>
        <v>L1</v>
      </c>
      <c r="N67" t="s">
        <v>486</v>
      </c>
      <c r="O67" t="str">
        <f t="shared" ref="O67:O130" si="123">_xlfn.TEXTJOIN("; ",TRUE,HD67,HA67,IF(FT67="НЕ ОБЕСПЕЧЕНА","категория "&amp;FJ67&amp;" не обеспечена (есть "&amp;FQ67&amp;")",""),IF(LEFT(HC67,3)="Icu",HC67,""),IF(AND(B67&lt;&gt;"",DX67="не подобрано"),"сечение не подобрано: проверьте длину и автомат или впишите сечение",""))</f>
        <v/>
      </c>
      <c r="P67" s="6" cm="1">
        <f t="array" ref="P67">IF(B67="","",IF(BC67&lt;&gt;"",IFERROR(_xlfn.XLOOKUP(BC67,Щиты[Щит],Щиты[Iр, А]),""),IF(BK67=1,IFERROR(_xlfn.XLOOKUP(A67,Щиты[Щит],Щиты[Iр, А]),""),IFERROR(_xlfn.IFS(BR67=1,BN67/((Uн_лин/SQRT(3))*BY67),BR67=3,BN67/(SQRT(3)*Uн_лин*BY67)),""))))</f>
        <v>1.6237976320958221</v>
      </c>
      <c r="Q67" s="7">
        <f>IF(B67="","",IFERROR(IF(VLOOKUP(AX67,Потребители_обозначение,4,FALSE)=1,VLOOKUP(AX67,Потребители_обозначение,3,FALSE)*(D67*2-1)+DS67+VLOOKUP(AZ67,Этаж_обозначение,3,FALSE)+VLOOKUP(AZ67,Этаж_обозначение,4,FALSE),VLOOKUP(AX67,Потребители_обозначение,3,FALSE)*(D67*2-1)+DS67),DS67))</f>
        <v>16</v>
      </c>
      <c r="R67" s="6">
        <f t="shared" ref="R67:R130" si="124">IF(ISNUMBER(EG67),EG67+DN67,"")</f>
        <v>0.92</v>
      </c>
      <c r="S67" t="str">
        <f t="shared" ref="S67:S130" si="125">IF(OR(B67="",EH67=""),"",IF(DX67="не подобрано",EH67&amp;" — сечение не подобрано",EI67))</f>
        <v>ВВГнг(А)-LS (3х1,5)</v>
      </c>
      <c r="T67" t="str">
        <f>IF(BH67="","",IF(BI67="вводной узел","узел ","")&amp;"л."&amp;(INT((BH67-1)/Столбцов_на_лист)+1)&amp;" / "&amp;(MOD(BH67-1,Столбцов_на_лист)+1))</f>
        <v>л.2 / 16</v>
      </c>
      <c r="V67">
        <v>1</v>
      </c>
      <c r="W67">
        <v>230</v>
      </c>
      <c r="X67" t="s">
        <v>600</v>
      </c>
      <c r="Y67">
        <v>0.5</v>
      </c>
      <c r="AC67" t="s">
        <v>815</v>
      </c>
      <c r="AE67" t="s">
        <v>578</v>
      </c>
      <c r="AI67">
        <v>33</v>
      </c>
      <c r="AJ67" t="s">
        <v>11</v>
      </c>
      <c r="AK67">
        <v>3</v>
      </c>
      <c r="AN67">
        <v>16</v>
      </c>
      <c r="AP67">
        <v>1</v>
      </c>
      <c r="AW67" cm="1">
        <f t="array" ref="AW67">ROW()-ROW(Линии[#Headers])</f>
        <v>65</v>
      </c>
      <c r="AX67" s="6" t="str">
        <f t="shared" ref="AX67:AX130" si="126">IF(B67="","",IFERROR(LEFT(B67,SEARCH(".",B67)-1),B67))</f>
        <v>К</v>
      </c>
      <c r="AY67" t="str">
        <f t="shared" ref="AY67:AY130" si="127">IFERROR(RIGHT(B67,LEN(B67)-SEARCH(".",B67)),"")</f>
        <v>1.017А.1</v>
      </c>
      <c r="AZ67" t="str">
        <f t="shared" ref="AZ67:AZ130" si="128">IFERROR(LEFT(AY67,SEARCH(".",AY67)-1),AY67)</f>
        <v>1</v>
      </c>
      <c r="BA67" t="str">
        <f t="shared" ref="BA67:BA130" si="129">IFERROR(RIGHT(AY67,LEN(AY67)-SEARCH(".",AY67)),"")</f>
        <v>017А.1</v>
      </c>
      <c r="BB67" t="str">
        <f t="shared" ref="BB67:BB130" si="130">IFERROR(LEFT(BA67,SEARCH(".",BA67)-1),BA67)</f>
        <v>017А</v>
      </c>
      <c r="BC67" t="str">
        <f>IF(U67&lt;&gt;"",U67,IF(AND(B67&lt;&gt;"",B67&lt;&gt;A67,ISNUMBER(_xlfn.XMATCH(B67,Щиты[Щит]))),B67,""))</f>
        <v/>
      </c>
      <c r="BD67" t="str" cm="1">
        <f t="array" ref="BD67">IF(B67="","",IF(BC67&lt;&gt;"","Щит "&amp;BC67,_xlfn.LET(_xlpm.nm,IFERROR(_xlfn.XLOOKUP(AX67,Коды_код,Коды_имя)&amp;"",""),_xlpm.md,IFERROR(N(_xlfn.XLOOKUP(AX67,Коды_код,Коды_режим)),1),_xlpm.ex,IF(Имя_режим="по экспликации",IFERROR(_xlfn.XLOOKUP(AZ67&amp;"|"&amp;BB67,Экспликация[Этаж]&amp;"|"&amp;Экспликация[Помещение],Экспликация[Название])&amp;"",""),""),_xlpm.rm,IF(BB67="","",IF(_xlpm.ex&lt;&gt;"",". "&amp;_xlpm.ex&amp;IF(Имя_пом="нет"," ("&amp;BB67&amp;")"," (пом. "&amp;BB67&amp;")"),IF(Имя_пом="нет"," ",", пом. ")&amp;BB67)),IF(_xlpm.nm="","",IF(_xlpm.md=2,_xlpm.nm&amp;" шлейф "&amp;AZ67,_xlpm.nm&amp;_xlpm.rm)))))</f>
        <v>Внутренний блок кондиционирования, пом. 017А</v>
      </c>
      <c r="BE67" t="str">
        <f t="shared" ref="BE67:BE130" si="131">IF(TRIM(C67&amp;"")="",BD67,C67)</f>
        <v>Внутренний блок кондиционера Подвальный этаж Пом. №006Т</v>
      </c>
      <c r="BF67">
        <f>IFERROR(_xlfn.XMATCH(A67,Щиты[Щит]),0)</f>
        <v>4</v>
      </c>
      <c r="BG67">
        <f>_xlfn.LET(_xlpm.k,IFERROR(_xlfn.XLOOKUP(A67,Щиты[Щит],Щиты[Листов под вводной узел]),""),IF(_xlpm.k="",1,N(_xlpm.k))*Столбцов_на_лист)</f>
        <v>17</v>
      </c>
      <c r="BH67">
        <f t="shared" ref="BH67:BH130" si="132">IF(AI67="-","",IF(ISNUMBER(AI67),AI67,_xlfn.LET(_xlpm.prev,IF(OR(AW67=1,A67&lt;&gt;A66),0,N(IF(AW67=1,"",BH66))),_xlpm.nx,_xlpm.prev+1,IF(AND(AF67&lt;&gt;"вручную",_xlpm.nx&lt;=BG67),BG67+1,_xlpm.nx))))</f>
        <v>33</v>
      </c>
      <c r="BI67" t="str">
        <f t="shared" ref="BI67:BI130" si="133">IF(BH67="","",IF(BH67&lt;=BG67,"вводной узел","линии"))</f>
        <v>линии</v>
      </c>
      <c r="BJ67" s="6">
        <f>IFERROR(N(_xlfn.XLOOKUP(AX67,Коды_код,Коды_квт)),0)</f>
        <v>0</v>
      </c>
      <c r="BK67">
        <f t="shared" ref="BK67:BK130" si="134">IF(AND(B67&lt;&gt;"",AX67="Ввод"),1,0)</f>
        <v>0</v>
      </c>
      <c r="BL67" t="str">
        <f>IF(B67="","",IF(BC67&lt;&gt;"",IFERROR(_xlfn.XLOOKUP(BC67,Щиты[Щит],Щиты[Руст, кВт]),0),IF(BK67=1,IFERROR(_xlfn.XLOOKUP(A67,Щиты[Щит],Щиты[Руст, кВт]),0),IF(BJ67&gt;0,ROUND(BJ67*MAX(1,N(D67)),3),""))))</f>
        <v/>
      </c>
      <c r="BM67">
        <f t="shared" ref="BM67:BM130" si="135">IF(TRIM(E67&amp;"")="",BL67,E67)</f>
        <v>0.3</v>
      </c>
      <c r="BN67" s="6">
        <f>IF(B67="","",IF(BC67&lt;&gt;"",IFERROR(_xlfn.XLOOKUP(BC67,Щиты[Щит],Щиты[Руст, кВт]),0),N(BM67)))</f>
        <v>0.3</v>
      </c>
      <c r="BO67" t="str">
        <f>IF(B67="","",IFERROR(IF(VLOOKUP(AX67,Потребители_обозначение,8,FALSE)=0,"",VLOOKUP(AX67,Потребители_обозначение,8,FALSE)),""))</f>
        <v/>
      </c>
      <c r="BP67">
        <f t="shared" ref="BP67:BP130" si="136">IF(TRIM(W67&amp;"")="",BO67,W67)</f>
        <v>230</v>
      </c>
      <c r="BQ67">
        <f>IF(B67="","",IF(BC67&lt;&gt;"",3,IFERROR(IF(N(VLOOKUP(AX67,Потребители_обозначение,9,FALSE))=0,1,VLOOKUP(AX67,Потребители_обозначение,9,FALSE)),1)))</f>
        <v>1</v>
      </c>
      <c r="BR67">
        <f t="shared" ref="BR67:BR130" si="137">IF(B67="","",IF(TRIM(V67&amp;"")="",BQ67,N(V67)))</f>
        <v>1</v>
      </c>
      <c r="BS67" t="str">
        <f>IF(B67="","",_xlfn.LET(_xlpm.bc,IFERROR(IF(VLOOKUP(AX67,Потребители_обозначение,6,FALSE)=0,"",VLOOKUP(AX67,Потребители_обозначение,6,FALSE)&amp;""),""),IF(AND(FK67="да",OR(_xlpm.bc="",_xlpm.bc="мс")),Марка_пож,IF(AND(_xlpm.bc="",BC67&lt;&gt;""),"мс",_xlpm.bc))))</f>
        <v/>
      </c>
      <c r="BT67" t="str">
        <f t="shared" ref="BT67:BT130" si="138">IF(TRIM(AJ67&amp;"")="",BS67,AJ67)</f>
        <v>мс</v>
      </c>
      <c r="BU67">
        <f>IF(B67="","",_xlfn.LET(_xlpm.cc,IFERROR(N(VLOOKUP(AX67,Потребители_обозначение,7,FALSE)),0),IF(_xlpm.cc&gt;0,_xlpm.cc,IF(BT67="","",IF(N(BR67)=3,5,3)))))</f>
        <v>3</v>
      </c>
      <c r="BV67">
        <f t="shared" ref="BV67:BV130" si="139">IF(TRIM(AK67&amp;"")="",BU67,AK67)</f>
        <v>3</v>
      </c>
      <c r="BW67">
        <f>IFERROR(N(VLOOKUP(AX67,Потребители_обозначение,10,FALSE)),0)</f>
        <v>0</v>
      </c>
      <c r="BX67">
        <f>IFERROR(VLOOKUP(AX67,Потребители_обозначение,5,FALSE),0)</f>
        <v>1</v>
      </c>
      <c r="BY67" s="6" cm="1">
        <f t="array" ref="BY67">IF(B67="","",IF(BC67&lt;&gt;"",IFERROR(_xlfn.XLOOKUP(BC67,Щиты[Щит],Щиты[cos φ]),0.95),IF(BK67=1,IFERROR(_xlfn.XLOOKUP(A67,Щиты[Щит],Щиты[cos φ]),0.95),IF(ISNUMBER(Z67),Z67,IFERROR(IF(BX67=2,_xlfn.IFS(BR67=3,VLOOKUP(BN67,Справочная_двигатели,8,FALSE),BR67=1,VLOOKUP(BN67,Справочная_двигатели,10,TRUE)),IF(AND(Методика="нормы 2026",EQ67="Сил"),0.8,0.95)),0.95)))))</f>
        <v>0.8</v>
      </c>
      <c r="BZ67">
        <f t="shared" ref="BZ67:BZ130" si="140">IF(OR(TRIM(F67&amp;"")="гр",TRIM(F67&amp;"")="=",TRIM(F67&amp;"")="^",TRIM(F67&amp;"")="↑"),1,0)</f>
        <v>0</v>
      </c>
      <c r="CA67">
        <f t="shared" ref="CA67:CA130" si="141">IF(AND(B67&lt;&gt;"",BZ67=0),1,0)</f>
        <v>1</v>
      </c>
      <c r="CB67">
        <f t="shared" ref="CB67:CB130" si="142">IF(AND(A68=A67,AF68&lt;&gt;"вручную",OR(B68="",BZ68=1)),IF(B68="",0,N(P68))+N(CB68),0)</f>
        <v>0</v>
      </c>
      <c r="CC67">
        <f t="shared" ref="CC67:CC130" si="143">IF(AND(A68=A67,AF68&lt;&gt;"вручную",OR(B68="",BZ68=1)),IF(B68="",0,N(BN68))+N(CC68),0)</f>
        <v>0</v>
      </c>
      <c r="CD67">
        <f t="shared" ref="CD67:CD130" si="144">IF(AND(A68=A67,AF68&lt;&gt;"вручную",OR(B68="",BZ68=1)),MAX(IF(B68="",0,N(BR68)),N(CD68)),0)</f>
        <v>0</v>
      </c>
      <c r="CE67">
        <f t="shared" ref="CE67:CE130" si="145">IF(AND(A68=A67,AF68&lt;&gt;"вручную",OR(B68="",BZ68=1)),MAX(IF(B68="",0,N(CL68)),N(CE68)),0)</f>
        <v>0</v>
      </c>
      <c r="CF67">
        <f t="shared" ref="CF67:CF130" si="146">IF(AND(A68=A67,AF68&lt;&gt;"вручную",OR(B68="",BZ68=1)),_xlfn.LET(_xlpm.a_,IF(B68="",0,N(CJ68)),_xlpm.b_,N(CF68),IF(_xlpm.a_=0,_xlpm.b_,IF(_xlpm.b_=0,_xlpm.a_,MIN(_xlpm.a_,_xlpm.b_)))),0)</f>
        <v>0</v>
      </c>
      <c r="CG67">
        <f>IF(AX67="",0,_xlfn.LET(_xlpm.v,IFERROR(VLOOKUP(B67,УГО_спр,3,FALSE),IFERROR(VLOOKUP(AX67,УГО_спр,3,FALSE),IFERROR(VLOOKUP(LEFT(AX67,2),УГО_спр,3,FALSE),""))),IF(_xlpm.v="да",30,IF(ISNUMBER(_xlpm.v),_xlpm.v,0))))</f>
        <v>0</v>
      </c>
      <c r="CH67" t="str">
        <f t="shared" ref="CH67:CH130" si="147">IF(B67="","",IF(N(CG67)&gt;0,CG67,""))</f>
        <v/>
      </c>
      <c r="CI67" t="str">
        <f>_xlfn.LET(_xlpm.k,IFERROR(_xlfn.XLOOKUP(AX67,Коды_код,Коды_утечка)&amp;"",""),IF(_xlpm.k="","дифавтомат",_xlpm.k))</f>
        <v>дифавтомат</v>
      </c>
      <c r="CJ67">
        <f t="shared" ref="CJ67:CJ130" si="148">IF(B67="",0,_xlfn.LET(_xlpm.v,IF(TRIM(H67&amp;"")="",CH67,H67),_xlpm.nm,IF(_xlpm.v&amp;""="нет",0,IF(_xlpm.v&amp;""="да",30,IFERROR(--_xlpm.v,0))),IF(CI67="УЗО на группу",0,_xlpm.nm)))</f>
        <v>0</v>
      </c>
      <c r="CK67">
        <f t="shared" ref="CK67:CK130" si="149">IF(CA67=0,"",_xlfn.LET(_xlpm.a_,N(CJ67),_xlpm.b_,IF(AF67="вручную",0,N(CF67)),IF(_xlpm.a_=0,_xlpm.b_,IF(_xlpm.b_=0,_xlpm.a_,MIN(_xlpm.a_,_xlpm.b_)))))</f>
        <v>0</v>
      </c>
      <c r="CL67">
        <f>IF(B67="",0,IFERROR(--VLOOKUP(B67,УГО_спр,4,FALSE),IFERROR(--VLOOKUP(AX67,УГО_спр,4,FALSE),IFERROR(--VLOOKUP(LEFT(AX67,2),УГО_спр,4,FALSE),0))))</f>
        <v>0</v>
      </c>
      <c r="CM67" t="str">
        <f>IF(B67="","",IFERROR(_xlfn.XLOOKUP(AX67,Коды_код,Коды_апп)&amp;"",""))</f>
        <v/>
      </c>
      <c r="CN67" t="str">
        <f t="shared" ref="CN67:CN130" si="150">IF(TRIM(J67&amp;"")="",CM67,J67)</f>
        <v/>
      </c>
      <c r="CO67" t="str" cm="1">
        <f t="array" ref="CO67">IF(TRIM(CN67&amp;"")="","",IFERROR(TRIM(INDEX(_xlfn.TEXTSPLIT(CN67&amp;";;;",";"),1)),""))</f>
        <v/>
      </c>
      <c r="CP67" t="str" cm="1">
        <f t="array" ref="CP67">IF(TRIM(CN67&amp;"")="","",IFERROR(TRIM(INDEX(_xlfn.TEXTSPLIT(CN67&amp;";;;",";"),2)),""))</f>
        <v/>
      </c>
      <c r="CQ67" t="str" cm="1">
        <f t="array" ref="CQ67">IF(TRIM(CN67&amp;"")="","",IFERROR(TRIM(INDEX(_xlfn.TEXTSPLIT(CN67&amp;";;;",";"),3)),""))</f>
        <v/>
      </c>
      <c r="CR67">
        <f t="shared" ref="CR67:CR130" si="151">IF(CN67="",0,IF(OR(LEFT(CO67,2)="T ",LEFT(CO67,2)="Т ",ISNUMBER(SEARCH("БП",CN67)),ISNUMBER(SEARCH("; T ",CN67)),ISNUMBER(SEARCH("; Т ",CN67))),1,0))</f>
        <v>0</v>
      </c>
      <c r="CS67" t="str">
        <f>IF(B67="","",_xlfn.LET(_xlpm.t,LOWER(AV67&amp;""),IF(ISNUMBER(SEARCH("dim",_xlpm.t)),"DIM",IF(ISNUMBER(SEARCH("dali",_xlpm.t)),"DALI",IF(OR(ISNUMBER(SEARCH("relay",_xlpm.t)),ISNUMBER(SEARCH("реле",_xlpm.t))),"Relay",IF(ISNUMBER(SEARCH("кнопк",_xlpm.t)),"",IFERROR(_xlfn.XLOOKUP(AX67,Коды_код,Коды_упр)&amp;"","")))))))</f>
        <v/>
      </c>
      <c r="CT67" t="str">
        <f t="shared" ref="CT67:CT130" si="152">IF(TRIM(I67&amp;"")="",CS67,I67)</f>
        <v/>
      </c>
      <c r="CU67">
        <f>IF(B67="","",_xlfn.LET(_xlpm.ig,N(P67)+IF(AF67="вручную",0,N(CB67)),_xlpm.n0,IFERROR(VLOOKUP(_xlpm.ig,Автомат_номиналы,2,TRUE),0),_xlpm.mn,MAX(CL67,IF(AF67="вручную",0,N(CE67))),MAX(_xlpm.n0,_xlpm.mn,IF(CR67=1,Мин_автомат_БП,0))))</f>
        <v>6</v>
      </c>
      <c r="CV67">
        <f t="shared" ref="CV67:CV130" si="153">IF(B67="","",MAX(N(BR67),IF(AF67="вручную",0,N(CD67))))</f>
        <v>1</v>
      </c>
      <c r="CW67" t="str">
        <f t="shared" ref="CW67:CW130" si="154">IF(B67="","",IF(N(CV67)&gt;=3,IF(N(CK67)&gt;0,"4P","3P"),IF(N(CK67)&gt;0,"2P","1P")))</f>
        <v>1P</v>
      </c>
      <c r="CX67" t="str">
        <f>_xlfn.LET(_xlpm.cc,UPPER(TRIM(IFERROR(_xlfn.XLOOKUP(AX67,Коды_код,Коды_хар)&amp;"",""))),IF(OR(_xlpm.cc="B",_xlpm.cc="В"),"B",IF(_xlpm.cc="D","D","С")))</f>
        <v>С</v>
      </c>
      <c r="CY67" t="str">
        <f t="shared" ref="CY67:CY130" si="155">IF(B67="","",IF(CA67=0,IF(AND(AND(NOT(OR(AW67=1,A67&lt;&gt;A66)),AF67&lt;&gt;"вручную",IF(AW67=1,"",DC66)="ok"),IF(AW67=1,"",DE66)&lt;&gt;""),"↑ "&amp;IF(AW67=1,"",DE66),""),IF(N(CU67)=0,"",CW67&amp;" "&amp;CX67&amp;CU67&amp;"А"&amp;IF(N(CK67)&gt;0," "&amp;CK67&amp;"мА",""))))</f>
        <v>1P С6А</v>
      </c>
      <c r="CZ67">
        <f t="shared" ref="CZ67:CZ130" si="156">IF(TRIM(G67&amp;"")="",CY67,G67)</f>
        <v>10</v>
      </c>
      <c r="DA67" t="str">
        <f t="shared" ref="DA67:DA130" si="157">IF(CA67=0,"",_xlfn.LET(_xlpm.v,TRIM(CZ67&amp;""),IF(_xlpm.v="","",IF(ISNUMBER(--_xlpm.v),CW67&amp;" "&amp;CX67&amp;(--_xlpm.v)&amp;"А"&amp;IF(N(CK67)&gt;0," "&amp;CK67&amp;"мА",""),IF(ISNUMBER(SEARCH("P",UPPER(_xlpm.v))),_xlpm.v,CW67&amp;" "&amp;_xlpm.v)))))</f>
        <v>1P С10А</v>
      </c>
      <c r="DB67" cm="1">
        <f t="array" ref="DB67">IF(DA67="","",_xlfn.LET(_xlpm.t,SUBSTITUTE(SUBSTITUTE(SUBSTITUTE(UPPER(DA67),"С","C"),"А","A"),"В","B"),_xlpm.tk,_xlfn.TEXTSPLIT(_xlpm.t,"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7" t="str">
        <f t="shared" ref="DC67:DC130" si="158">IF(CA67=1,IF(AF67="вручную","узел","ok"),IF(OR(OR(AW67=1,A67&lt;&gt;A66),AF67="вручную"),"",IF(AW67=1,"",DC66)))</f>
        <v>ok</v>
      </c>
      <c r="DD67">
        <f t="shared" ref="DD67:DD130" si="159">IF(CA67=1,DB67,IF(AND(NOT(OR(AW67=1,A67&lt;&gt;A66)),AF67&lt;&gt;"вручную",IF(AW67=1,"",DC66)="ok"),IF(AW67=1,"",DD66),""))</f>
        <v>10</v>
      </c>
      <c r="DE67" t="str">
        <f t="shared" ref="DE67:DE130" si="160">IF(CA67=1,DA67,IF(AND(NOT(OR(AW67=1,A67&lt;&gt;A66)),AF67&lt;&gt;"вручную",IF(AW67=1,"",DC66)="ok"),IF(AW67=1,"",DE66),""))</f>
        <v>1P С10А</v>
      </c>
      <c r="DF67">
        <f t="shared" ref="DF67:DF130" si="161">IF(CA67=1,CK67,IF(AND(NOT(OR(AW67=1,A67&lt;&gt;A66)),AF67&lt;&gt;"вручную",IF(AW67=1,"",DC66)="ok"),IF(AW67=1,"",DF66),""))</f>
        <v>0</v>
      </c>
      <c r="DG67">
        <f t="shared" ref="DG67:DG130" si="162">IF(N(DF67)&gt;0,1,0)</f>
        <v>0</v>
      </c>
      <c r="DH67">
        <f t="shared" ref="DH67:DH130" si="163">IF(CA67=1,CR67,IF(AND(NOT(OR(AW67=1,A67&lt;&gt;A66)),AF67&lt;&gt;"вручную",IF(AW67=1,"",DC66)="ok"),N(IF(AW67=1,"",DH66)),0))</f>
        <v>0</v>
      </c>
      <c r="DI67">
        <f t="shared" ref="DI67:DI130" si="164">IF(CA67=1,N(P67)+IF(AF67="вручную",0,N(CB67)),"")</f>
        <v>1.6237976320958221</v>
      </c>
      <c r="DJ67">
        <f t="shared" ref="DJ67:DJ130" si="165">IF(N(BV67)=1,1,IF(BR67=1,1,IF(N(BV67)&gt;=4,0.92,1)))</f>
        <v>1</v>
      </c>
      <c r="DK67">
        <f>IF(ISNUMBER(AL67),AL67,К_прокл)</f>
        <v>1</v>
      </c>
      <c r="DL67">
        <f t="shared" ref="DL67:DL130" si="166">IF(N(BV67)=1,1,IF(BR67=1,2,3))</f>
        <v>2</v>
      </c>
      <c r="DM67">
        <f>IFERROR(N(VLOOKUP(BT67,Кабель_обозначение,3,FALSE)),1)</f>
        <v>1</v>
      </c>
      <c r="DN67">
        <f>IFERROR(N(_xlfn.XLOOKUP(A67,Щиты[Щит],Щиты[ΔU до шин, %])),0)</f>
        <v>0.64</v>
      </c>
      <c r="DO67" t="str">
        <f>IFERROR(_xlfn.XLOOKUP(A67,Щиты[Щит],Щиты[Zпетли на шинах, Ом]),"")</f>
        <v/>
      </c>
      <c r="DP67">
        <f>IFERROR(N(_xlfn.XLOOKUP(A67,Щиты[Щит],Щиты[ΔU до шин (подбор), %])),0)</f>
        <v>0.75</v>
      </c>
      <c r="DQ67" t="str">
        <f>IFERROR(_xlfn.XLOOKUP(A67,Щиты[Щит],Щиты[Zпетли на шинах (подбор), Ом]),"")</f>
        <v/>
      </c>
      <c r="DR67" t="str">
        <f t="shared" ref="DR67:DR130" si="167">IF(COUNT(AR67,AS67)=0,"",ROUNDUP(SUM(AR67,AS67),0))</f>
        <v/>
      </c>
      <c r="DS67">
        <f t="shared" ref="DS67:DS130" si="168">IF(TRIM(L67&amp;"")="",DR67,L67)</f>
        <v>14</v>
      </c>
      <c r="DT67">
        <f t="shared" ref="DT67:DT130" si="169">IF(BR67=1,2,IF(BR67=3,1,""))</f>
        <v>2</v>
      </c>
      <c r="DU67">
        <f t="shared" ref="DU67:DU130" si="170">IFERROR(ROUND(SIN(ACOS(BY67)),2),"")</f>
        <v>0.6</v>
      </c>
      <c r="DV67" s="6">
        <f>IF(B67="","",IF(IFERROR(VLOOKUP(AX67,УГО_спр,2,FALSE),"")="Светильник",3,4)+IF(Методика="нормы 2026",MIN(0.5,MAX(0,N(Q67)-100)*0.005),0))</f>
        <v>4</v>
      </c>
      <c r="DW67" cm="1">
        <f t="array" ref="DW67">IF(OR(B67="",BT67="",DM67&lt;&gt;1),"",_xlfn.LET(_xlpm.sz,Iдоп_S,_xlpm.t_,CHOOSE(DL67,Iдоп_1ж,Iдоп_2ж,Iдоп_3ж)*DJ67*DK67,_xlpm.inn,N(DD67),_xlpm.smin,MAX(1.5,BW67),_xlpm.L_,N(Q67)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67)*(_xlpm.rho*_xlpm.L_/_xlpm.sz*N(BY67)+_xlpm.xx*_xlpm.L_*N(DU67)/1000)*N(P67)/((Uн_лин/SQRT(3))*1000)*100,999),_xlpm.kz,IF(OR(DG67=1,NOT(ISNUMBER(DQ67)),_xlpm.L_=0,_xlpm.inn=0),1,IFERROR(--(c_min*(Uн_лин*1000/SQRT(3))/(DQ67+2*ρкз_Cu*_xlpm.L_/_xlpm.sz)&gt;=GY67*_xlpm.inn),0)),_xlpm.ok,IFERROR((_xlpm.sz&gt;=_xlpm.smin)*(_xlpm.t_&gt;=_xlpm.inn)*IF(_xlpm.L_&gt;0,(_xlpm.du_+DP67&lt;=DV67+0.00001),1)*_xlpm.kz,0),_xlpm.r_,_xlfn._xlws.FILTER(_xlpm.sz,_xlpm.ok,"не подобрано"),INDEX(_xlpm.r_,1)))</f>
        <v>1.5</v>
      </c>
      <c r="DX67">
        <f t="shared" ref="DX67:DX130" si="171">IF(B67="","",IF(TRIM(K67&amp;"")="",DW67,K67))</f>
        <v>1.5</v>
      </c>
      <c r="DY67" cm="1">
        <f t="array" ref="DY67">IF(OR(B67="",BT67="",DM67&lt;&gt;1),"",_xlfn.LET(_xlpm.sz,Iдоп_S,_xlpm.t_,CHOOSE(DL67,Iдоп_1ж,Iдоп_2ж,Iдоп_3ж)*DJ67*DK67,_xlpm.ok,IFERROR((_xlpm.sz&gt;=MAX(1.5,BW67))*(_xlpm.t_&gt;=N(DD67)),0),_xlpm.r_,_xlfn._xlws.FILTER(_xlpm.sz,_xlpm.ok,""),INDEX(_xlpm.r_,1)))</f>
        <v>1.5</v>
      </c>
      <c r="DZ67" s="6" cm="1">
        <f t="array" ref="DZ67">IFERROR(ROUNDUP(N(DT67)*(_xlfn.XLOOKUP(DY67,INDEX(Кабель_сопротивление,0,1),INDEX(Кабель_сопротивление,0,3))*N(Q67)/DY67*N(BY67)+_xlfn.XLOOKUP(DY67,INDEX(Кабель_сопротивление,0,1),INDEX(Кабель_сопротивление,0,2))*N(Q67)*N(DU67)/1000)*N(P67)/((Uн_лин/SQRT(3))*1000)*100,2),"")</f>
        <v>0.28000000000000003</v>
      </c>
      <c r="EA67">
        <f>IFERROR(2*ρкз_Cu*N(Q67)/DY67,"")</f>
        <v>0.56106666666666671</v>
      </c>
      <c r="EB67">
        <f>IFERROR(VLOOKUP(DX67,Кабель_сопротивление,3,FALSE),"")</f>
        <v>2.2499999999999999E-2</v>
      </c>
      <c r="EC67">
        <f>IFERROR(VLOOKUP(DX67,Кабель_сопротивление,2,FALSE),"")</f>
        <v>0.11</v>
      </c>
      <c r="ED67">
        <f t="shared" ref="ED67:ED130" si="172">IF(AN67&lt;&gt;"",AN67,IF(OR(DS67="",AP67=""),"",IF(AP67=1,MAX(0,Q67-ROUNDUP(N(AS67),0)-4),ROUNDUP(N(AR67),0))))</f>
        <v>16</v>
      </c>
      <c r="EE67">
        <f t="shared" ref="EE67:EE130" si="173">IF(AO67&lt;&gt;"",AO67,IF(OR(DS67="",AP67=""),"",IF(AP67=2,MAX(0,Q67-ROUNDUP(N(AR67),0)-4),ROUNDUP(N(AS67),0))))</f>
        <v>0</v>
      </c>
      <c r="EF67">
        <f t="shared" ref="EF67:EF130" si="174">IFERROR(DT67*(EB67*Q67/DX67*BY67+EC67*Q67*DU67/1000)*P67,"")</f>
        <v>0.62696775132378202</v>
      </c>
      <c r="EG67" s="6">
        <f>IFERROR(ROUNDUP(EF67/((Uн_лин/SQRT(3))*1000)*100,2),"")</f>
        <v>0.28000000000000003</v>
      </c>
      <c r="EH67" t="str">
        <f>IFERROR(VLOOKUP(BT67,Кабель_обозначение,2,FALSE),"")</f>
        <v>ВВГнг(А)-LS</v>
      </c>
      <c r="EI67" t="str">
        <f t="shared" ref="EI67:EI130" si="175">IFERROR(IF(DM67=1,IF(ISNUMBER(DX67),EH67&amp;" ("&amp;BV67&amp;"х"&amp;DX67&amp;")",EH67),EH67),"")</f>
        <v>ВВГнг(А)-LS (3х1,5)</v>
      </c>
      <c r="EJ67" t="str">
        <f t="shared" ref="EJ67:EJ130" si="176">IF(OR(B67="",EH67="",AND(BM67&lt;&gt;"",NOT(ISNUMBER(BM67)))),"",IF(N(DX67)=0,EH67,EI67&amp;CHAR(10)&amp;"L="&amp;Q67&amp;"-"&amp;EG67&amp;"%"))</f>
        <v>ВВГнг(А)-LS (3х1,5)
L=16-0,28%</v>
      </c>
      <c r="EK67">
        <f>IFERROR(2*ρкз_Cu*Q67/DX67,"")</f>
        <v>0.56106666666666671</v>
      </c>
      <c r="EL67">
        <f t="shared" ref="EL67:EL130" si="177">IFERROR(0.0175*N(Q67)/DX67,"")</f>
        <v>0.18666666666666668</v>
      </c>
      <c r="EM67" s="6" t="str">
        <f>IFERROR(IF(OR(B67="",NOT(ISNUMBER(DX67)),N(Q67)=0),"",_xlfn.XLOOKUP(A67,Щиты[Щит],Щиты[Zпетли на шинах, Ом])+EK67),"")</f>
        <v/>
      </c>
      <c r="EN67" s="6" t="str">
        <f>IF(ISNUMBER(EM67),c_min*(Uн_лин*1000/SQRT(3))/EM67,"")</f>
        <v/>
      </c>
      <c r="EO67" s="6" t="str">
        <f>IFERROR(IF(OR(B67="",NOT(ISNUMBER(DX67))),"",1.05*(Uн_лин*1000/SQRT(3))/(_xlfn.XLOOKUP(A67,Щиты[Щит],Щиты[Zmax на шинах, Ом])+EL67)/1000),"")</f>
        <v/>
      </c>
      <c r="EP67" s="6" t="str">
        <f>IF(B67="","",IF(ISNUMBER(Y67),"Сил",IF(IFERROR(_xlfn.XLOOKUP(AX67,Коды_код,Коды_группа)&amp;"","")="","Быт",_xlfn.XLOOKUP(AX67,Коды_код,Коды_группа)&amp;"")))</f>
        <v>Сил</v>
      </c>
      <c r="EQ67" s="6" t="str">
        <f t="shared" ref="EQ67:EQ130" si="178">IF(B67="","",IF(BC67&lt;&gt;"","Щит",IF(TRIM(X67&amp;"")="",EP67,X67)))</f>
        <v>Сил</v>
      </c>
      <c r="ER67" s="6">
        <f>IF(EQ67="Щит","щит",IF(EQ67="","",IF(EQ67="Быт",IFERROR(_xlfn.XLOOKUP(A67,Щиты[Щит],Щиты[Кс быт]),1),IF(EQ67="Сил",IF(ISNUMBER(Y67),Y67,IF(Методика="нормы 2026",IFERROR(_xlfn.XLOOKUP(A67,Щиты[Щит],Щиты[Кс силовых (табл. 7.5)]),1),1)),IF(OR(EQ67="Пост",EQ67="Отоп"),1,IF(EQ67="ВНГ",0.7,0))))))</f>
        <v>0.5</v>
      </c>
      <c r="ES67">
        <f t="shared" ref="ES67:ES130" si="179">IF(EQ67="","",IFERROR(MIN(3,MAX(1,INT(--AA67))),1))</f>
        <v>1</v>
      </c>
      <c r="ET67">
        <f t="shared" ref="ET67:ET130" si="180">IF(OR(EQ67="",EQ67="Нет",EQ67="Щит"),0,N(BN67))</f>
        <v>0.3</v>
      </c>
      <c r="EU67">
        <f t="shared" ref="EU67:EU130" si="181">IF(EQ67="Быт",N(BN67),0)</f>
        <v>0</v>
      </c>
      <c r="EV67">
        <f t="shared" ref="EV67:EV130" si="182">IF(EQ67="Сил",N(BN67)*N(ER67),0)</f>
        <v>0.15</v>
      </c>
      <c r="EW67">
        <f t="shared" ref="EW67:EW130" si="183">IF(EQ67="Пост",N(BN67),0)</f>
        <v>0</v>
      </c>
      <c r="EX67">
        <f t="shared" ref="EX67:EX130" si="184">IF(EQ67="Отоп",N(BN67),0)</f>
        <v>0</v>
      </c>
      <c r="EY67">
        <f t="shared" ref="EY67:EY130" si="185">IF(EQ67="ВНГ",N(BN67)*0.7,0)</f>
        <v>0</v>
      </c>
      <c r="EZ67">
        <f t="shared" ref="EZ67:EZ130" si="186">IF(OR(B67="",EQ67="Щит",EQ67="Нет"),0,N(BN67))</f>
        <v>0.3</v>
      </c>
      <c r="FA67">
        <f t="shared" ref="FA67:FA130" si="187">IF(OR(B67="",EQ67="Щит",EQ67="Нет"),0,N(BN67)*N(BY67))</f>
        <v>0.24</v>
      </c>
      <c r="FB67">
        <f t="shared" ref="FB67:FB130" si="188">IF(CA67=1,N(BN67)+IF(AF67="вручную",0,N(CC67)),0)</f>
        <v>0.3</v>
      </c>
      <c r="FC67" t="str">
        <f t="shared" ref="FC67:FC130" si="189">IF(B67="","",IF(_xlfn.ISFORMULA(M67),"",_xlfn.LET(_xlpm.v,UPPER(SUBSTITUTE(TRIM(M67&amp;"")," ","")),IF(_xlpm.v="","",IF(OR(_xlpm.v="1,2,3",_xlpm.v="L1,L2,L3",_xlpm.v="123",_xlpm.v="3Ф"),"L1,L2,L3",IF(OR(_xlpm.v="1",_xlpm.v="2",_xlpm.v="3"),"L"&amp;_xlpm.v,IF(OR(_xlpm.v="L1",_xlpm.v="L2",_xlpm.v="L3"),_xlpm.v,"")))))))</f>
        <v/>
      </c>
      <c r="FD67" t="str">
        <f>IF(B67="","",IF(CA67=0,IF(AW67=1,"",FF66),IF(OR(N(CV67)&gt;=3,N(BR67)&gt;=3),"L1,L2,L3",IFERROR(_xlfn.TEXTBEFORE(_xlfn.TEXTAFTER(_xlfn.XLOOKUP(A67,Щиты[Щит],Щиты[_фазы авто]),";"&amp;AW67&amp;":"),";"),"L1"))))</f>
        <v>L1</v>
      </c>
      <c r="FE67" t="str">
        <f t="shared" ref="FE67:FE130" si="190">IF(B67="","",_xlfn.LET(_xlpm.v,UPPER(SUBSTITUTE(TRIM(M67&amp;"")," ","")),IF(_xlpm.v="",FD67,IF(OR(_xlpm.v="1,2,3",_xlpm.v="L1,L2,L3",_xlpm.v="123",_xlpm.v="3Ф"),"L1,L2,L3",IF(OR(_xlpm.v="1",_xlpm.v="2",_xlpm.v="3"),"L"&amp;_xlpm.v,IF(OR(_xlpm.v="L1",_xlpm.v="L2",_xlpm.v="L3"),_xlpm.v,IF(_xlpm.v="УПР","",_xlpm.v)))))))</f>
        <v>L1</v>
      </c>
      <c r="FF67" t="str">
        <f t="shared" ref="FF67:FF130" si="191">IF(CA67=1,FE67,IF(AND(NOT(OR(AW67=1,A67&lt;&gt;A66)),AF67&lt;&gt;"вручную",IF(AW67=1,"",DC66)="ok"),IF(AW67=1,"",FF66),""))</f>
        <v>L1</v>
      </c>
      <c r="FG67" cm="1">
        <f t="array" ref="FG67">IFERROR(IF(BX67=2,_xlfn.IFS(BR67=3,VLOOKUP(BN67,Справочная_двигатели,3,FALSE),BR67=1,VLOOKUP(BN67,Справочная_двигатели,5,TRUE)),0),0)</f>
        <v>0</v>
      </c>
      <c r="FH67">
        <f>IFERROR(IF(BX67=3,VLOOKUP(BN67,Справочная_ЛЭД,2,TRUE),0),0)</f>
        <v>0</v>
      </c>
      <c r="FI67" s="6">
        <f t="shared" ref="FI67:FI130" si="192">IF(B67="","",IF(FG67=0,FH67,FG67))</f>
        <v>0</v>
      </c>
      <c r="FJ67" t="str" cm="1">
        <f t="array" ref="FJ67">IF(B67="","",IFERROR(INDEX({"I особая","I","II","III"},MATCH(TRIM(AC67&amp;""),{"I особая","I","II","III"},0)),"III"))</f>
        <v>II</v>
      </c>
      <c r="FK67" t="str">
        <f>IF(B67="","",IF(TRIM(AD67&amp;"")&lt;&gt;"",IF(LOWER(TRIM(AD67&amp;""))="да","да","нет"),IF(IFERROR(_xlfn.XLOOKUP(AX67,Коды_код,Коды_пожарная),"")="да","да","нет")))</f>
        <v>нет</v>
      </c>
      <c r="FL67" t="str">
        <f t="shared" ref="FL67:FL130" si="193">IF(AB67&lt;&gt;"",AB67,IF(CA67=1,"",IF(GH67="","",IF(AW67=1,"",FL66))))</f>
        <v/>
      </c>
      <c r="FM67" t="str">
        <f t="shared" ref="FM67:FM130" si="194">IF(B67="","",IF(FL67="","основная",FL67))</f>
        <v>основная</v>
      </c>
      <c r="FN67">
        <f t="shared" ref="FN67:FN130" si="195">IFERROR(MIN(3,MAX(1,INT(--AA67))),1)</f>
        <v>1</v>
      </c>
      <c r="FO67" t="str" cm="1">
        <f t="array" ref="FO67">IF(B67="","",_xlfn.LET(_xlpm.t,IFERROR(_xlfn.XLOOKUP(1,(Шины[Шина]=FM67)*(((Шины[Щит]=A67)+(Шины[Щит]=""))&gt;0),Шины[Тип]),"")&amp;"",IF(_xlpm.t&lt;&gt;"",_xlpm.t,IF(ISNUMBER(SEARCH("ИБП",FM67)),"ИБП",IF(ISNUMBER(SEARCH("ДГУ",FM67)),"ДГУ","Ввод "&amp;FN67)))))</f>
        <v>Ввод 1</v>
      </c>
      <c r="FP67" t="str">
        <f t="shared" ref="FP67:FP130" si="196">IF(B67="","",IF(OR(FO67="ИБП",FO67="ДГУ"),FO67,IF(LEFT(FO67,5)="Ввод ",FO67,"Ввод "&amp;FN67)))</f>
        <v>Ввод 1</v>
      </c>
      <c r="FQ67" t="str">
        <f>IF(B67="","",IF(OR(FO67="ИБП",FO67="ДГУ"),"I особая",IF(FO67="Одиночная","III",_xlfn.XLOOKUP(A67,Щиты[Щит],Щиты[Категория шины «Ввод»],"III"))))</f>
        <v>II</v>
      </c>
      <c r="FR67">
        <f>IF(B67="",0,IFERROR(MATCH(FJ67,{"III","II","I","I особая"},0),1))</f>
        <v>2</v>
      </c>
      <c r="FS67">
        <f t="shared" ref="FS67:FS130" si="197">IF(OR(FO67="ИБП",FO67="ДГУ"),MIN(FR67,3),FR67)</f>
        <v>2</v>
      </c>
      <c r="FT67" t="str">
        <f>IF(B67="","",IF(FR67&gt;IFERROR(MATCH(FQ67,{"III","II","I","I особая"},0),1),"НЕ ОБЕСПЕЧЕНА","ОК"))</f>
        <v>ОК</v>
      </c>
      <c r="FU67" t="str">
        <f>IF(A67="","",_xlfn.XLOOKUP(A67,Щиты[Щит],Щиты[Путь],""))</f>
        <v>|ГРЩ-ЖД|ЩОВ-001|</v>
      </c>
      <c r="FV67" t="str">
        <f>IF(B67="","",IF(AE67&lt;&gt;"",AE67,IF(IFERROR(_xlfn.XLOOKUP(AX67,Коды_код,Коды_вид)&amp;"","")="","Прочее",_xlfn.XLOOKUP(AX67,Коды_код,Коды_вид)&amp;"")))</f>
        <v>Кондиционирование и увлажнение</v>
      </c>
      <c r="FW67">
        <f>IF(BH67="","",INT((BH67-1)/Столбцов_на_лист)+1)</f>
        <v>2</v>
      </c>
      <c r="FX67" t="str">
        <f t="shared" ref="FX67:FX130" si="198">IF(B67="","",SUBSTITUTE(EJ67,CHAR(10)," "))</f>
        <v>ВВГнг(А)-LS (3х1,5) L=16-0,28%</v>
      </c>
      <c r="FY67">
        <f t="shared" ref="FY67:FY130" si="199">IF(B67="","",IFERROR(--BN67,""))</f>
        <v>0.3</v>
      </c>
      <c r="FZ67">
        <f t="shared" ref="FZ67:FZ130" si="200">IF(B67="","",IFERROR(ROUNDUP(P67,2),""))</f>
        <v>1.6300000000000001</v>
      </c>
      <c r="GA67">
        <f t="shared" ref="GA67:GA130" si="201">IF(B67="","",IFERROR(--BR67,1))</f>
        <v>1</v>
      </c>
      <c r="GB67">
        <f t="shared" ref="GB67:GB130" si="202">IF(OR(AH67="+",AND(B67&lt;&gt;"",B67=IF(AW67=1,"",B66))),1,0)</f>
        <v>0</v>
      </c>
      <c r="GC67">
        <f t="shared" ref="GC67:GC130" si="203">IF(OR(BH67="",AF67="вручную",AND(BI67="вводной узел",AF67&lt;&gt;"рисовать")),0,1)</f>
        <v>1</v>
      </c>
      <c r="GD67">
        <f>IF(BH67="","",IF(AND(CA67=1,GC67=1),COUNTIFS(A$3:A67,A67,CA$3:CA67,1,GC$3:GC67,1),IF(OR(OR(AW67=1,A67&lt;&gt;A66),AF67="вручную",GC67=0),"",IF(AW67=1,"",GE66))))</f>
        <v>14</v>
      </c>
      <c r="GE67">
        <f t="shared" ref="GE67:GE130" si="204">IF(BH67="",IF(OR(AW67=1,A67&lt;&gt;A66),"",IF(AW67=1,"",GE66)),GD67)</f>
        <v>14</v>
      </c>
      <c r="GF67">
        <f>IF(B67="","",IFERROR(LOOKUP(INDEX(CHOOSE(DL67,Iдоп_1ж,Iдоп_2ж,Iдоп_3ж),MATCH(DX67,Iдоп_S,0))*DJ67*DK67,{6,10,16,20,25,32,40,50,63,80,100,125,160,200,250,315,400,500,630}),""))</f>
        <v>16</v>
      </c>
      <c r="GG67" t="str">
        <f t="shared" ref="GG67:GG130" si="205">IF(AND(CA67=1,GC67=1,GD67&lt;&gt;""),IF(N(CK67)&gt;0,"QFD","QF")&amp;GD67,"")</f>
        <v>QF14</v>
      </c>
      <c r="GH67" t="str">
        <f t="shared" ref="GH67:GH130" si="206">IF(GG67&lt;&gt;"",GG67,IF(OR(OR(AW67=1,A67&lt;&gt;A66),AF67="вручную"),"",IF(AW67=1,"",GH66)))</f>
        <v>QF14</v>
      </c>
      <c r="GI67" t="str">
        <f t="shared" ref="GI67:GI130" si="207">IF(GG67&lt;&gt;"",_xlfn.TEXTJOIN(" → ",TRUE,CO67,CP67,CQ67),IF(GH67="","",IF(AW67=1,"",GI66)))</f>
        <v/>
      </c>
      <c r="GJ67">
        <f t="shared" ref="GJ67:GJ130" si="208">IF(GI67="",0,IF(OR(LEFT(GI67,2)="T ",LEFT(GI67,2)="Т ",ISNUMBER(SEARCH("→ T ",GI67)),ISNUMBER(SEARCH("→ Т ",GI67)),ISNUMBER(SEARCH("БП",GI67))),1,0))</f>
        <v>0</v>
      </c>
      <c r="GK67" t="str">
        <f>IF(OR(AG67="",AG67="-"),"",IFERROR(VLOOKUP(AG67,Модули_спр,2,FALSE),"R"))</f>
        <v/>
      </c>
      <c r="GL67" t="str">
        <f>IF(GK67="","",GK67&amp;"."&amp;COUNTIFS(A$3:A67,A67,GK$3:GK67,GK67))</f>
        <v/>
      </c>
      <c r="GM67" t="str">
        <f t="shared" ref="GM67:GM130" si="209">IF(AG67="-","",IF(GL67&lt;&gt;"",GL67,IF(OR(AW67=1,A67&lt;&gt;A66),"",IF(AW67=1,"",GM66))))</f>
        <v/>
      </c>
      <c r="GN67" t="str">
        <f t="shared" ref="GN67:GN130" si="210">IF(GM67="","",IF(AND(AG67&lt;&gt;"",AG67&lt;&gt;"-"),AG67,IF(AW67=1,"",GN66)))</f>
        <v/>
      </c>
      <c r="GO67" t="str">
        <f t="shared" ref="GO67:GO130" si="211">IF(AH67="=",IF(AW67=1,"",GP66),IF(ISNUMBER(AH67),AH67,IF(GM67="","",IF(OR(B67&lt;&gt;"",AH67="+",AH67="р"),IF(OR(GL67&lt;&gt;"",IF(AW67=1,"",GP66)=""),1,IF(AW67=1,"",GP66)+1),""))))</f>
        <v/>
      </c>
      <c r="GP67" t="str">
        <f t="shared" ref="GP67:GP130" si="212">IF(GO67&lt;&gt;"",GO67,IF(OR(OR(AW67=1,A67&lt;&gt;A66),AG67="-",GL67&lt;&gt;""),"",IF(AW67=1,"",GP66)))</f>
        <v/>
      </c>
      <c r="GQ67">
        <f t="shared" ref="GQ67:GQ130" si="213">IF(OR(AH67="б/к",AF67="вручную"),0,IF(OR(ISNUMBER(SEARCH("L=",EJ67)),AH67="+",AH67="="),1,0))</f>
        <v>1</v>
      </c>
      <c r="GR67" t="str">
        <f>IF(GQ67=1,"XT"&amp;COUNTIFS(A$3:A67,A67,GQ$3:GQ67,1),"")</f>
        <v>XT14</v>
      </c>
      <c r="GS67" t="str">
        <f t="shared" ref="GS67:GS130" si="214">_xlfn.LET(_xlpm.v,TRIM(N67&amp;""),IF(_xlpm.v="нет","",IF(_xlpm.v="",GR67,_xlpm.v)))</f>
        <v/>
      </c>
      <c r="GT67" t="str">
        <f t="shared" ref="GT67:GT130" si="215">IF(OR(B67&lt;&gt;"",GO67&lt;&gt;"",GQ67=1),GH67,"")</f>
        <v>QF14</v>
      </c>
      <c r="GU67" t="str">
        <f t="shared" ref="GU67:GU130" si="216">IF(OR(GO67&lt;&gt;"",AND(AG67&lt;&gt;"",AG67&lt;&gt;"-")),GM67,"")</f>
        <v/>
      </c>
      <c r="GV67" t="str">
        <f t="shared" ref="GV67:GV130" si="217">IF(B67="","",IF(AND(CA67=1,DA67&lt;&gt;"",DB67=""),"номинал автомата не распознан",IF(DD67="",IF(BZ67=1,"«гр»: нет автомата выше",""),IF(AND(CA67=1,N(DI67)&gt;N(DD67)),"ПЕРЕГРУЗ",IF(AND(N(DH67)=0,ISNUMBER(GF67),N(GF67)&lt;N(DD67)),"КАБЕЛЬ НЕ ЗАЩИЩЁН","ok")))))</f>
        <v>ok</v>
      </c>
      <c r="GW67" t="str">
        <f>IF(OR(GO67="",GM67=""),"",IF(GO67&gt;IFERROR(VLOOKUP(GN67,Модули_спр,3,FALSE),99),"ЛИШНИЙ КАНАЛ",IF(AND(AH67&lt;&gt;"=",COUNTIFS(Линии[_модуль гр.],GM67,Линии[Канал (итог)],GO67,Линии[Канал],"&lt;&gt;=",Линии[Щит],A67)&gt;1),"ДУБЛЬ КАНАЛА","")))</f>
        <v/>
      </c>
      <c r="GX67" s="6" t="str">
        <f t="shared" ref="GX67:GX130" si="218">IFERROR(IF(ISNUMBER(EN67),EN67/N(DD67),""),"")</f>
        <v/>
      </c>
      <c r="GY67">
        <f t="shared" ref="GY67:GY130" si="219">IF(OR(ISNUMBER(SEARCH(" B"," "&amp;DE67)),ISNUMBER(SEARCH(" В"," "&amp;DE67))),5,IF(ISNUMBER(SEARCH(" D"," "&amp;DE67)),20,10))</f>
        <v>10</v>
      </c>
      <c r="GZ67" t="str">
        <f t="shared" ref="GZ67:GZ130" si="220">IF(NOT(ISNUMBER(GX67)),"",IF(GX67&gt;=GY67,"ok",IF(N(DG67)=1,"ok (дифзащита "&amp;DF67&amp;" мА)","мало: Iкз &lt; "&amp;GY67&amp;"·In")))</f>
        <v/>
      </c>
      <c r="HA67" t="str">
        <f>IF(AND(B67="",GT67=""),"",_xlfn.TEXTJOIN("; ",TRUE,IF(AND(B67&lt;&gt;"",FE67=""),"нет фазы",""),IF(AND(B67&lt;&gt;"",N(FY67)=0,EQ67&lt;&gt;"Нет"),"нет мощности",""),IF(AND(GS67&lt;&gt;"",COUNTIFS(Линии[Щит],A67,Линии[Клемма (итог)],GS67)&gt;1),"дубль клеммы "&amp;GS67,""),IF(AND(GV67&lt;&gt;"",GV67&lt;&gt;"ok"),GV67,""),IF(GW67&lt;&gt;"",GW67,""),IF(AND(N(BV67)&gt;=4,N(BR67)=1),BV67&amp;" жил на 1 фазе",""),IF(AND(AX67="R",CA67=1,OR(N(CK67)=0,N(CK67)&gt;30)),"розетка без дифзащиты до 30 мА",""),IFERROR(IF(AND(ISNUMBER(R67),R67&gt;DV67),"потери "&amp;FIXED(R67,1)&amp;" % &gt; "&amp;DV67&amp;" %",""),""),IFERROR(IF(LEFT(GZ67,4)="мало","Iкз мало — отключение &gt; 0,4 с",""),""),IF(AND(B67&lt;&gt;"",BH67=""),"не на схеме",""),IF(AND(CA67=0,B67&lt;&gt;"",FE67&lt;&gt;"",IF(AW67=1,"",FF66)&lt;&gt;"",FE67&lt;&gt;IF(AW67=1,"",FF66)),"фаза не как у автомата группы ("&amp;IF(AW67=1,"",FF66)&amp;")","")))</f>
        <v/>
      </c>
      <c r="HB67" s="6">
        <f>IF(OR(CA67=0,DA67=""),"",_xlfn.LET(_xlpm.t,IFERROR(_xlfn.XLOOKUP(DA67,Каталог!$U$4:$U$500,Каталог!$G$4:$G$500),""),_xlpm.k,SEARCH("кА",_xlpm.t),IFERROR(--TRIM(RIGHT(SUBSTITUTE(MID(_xlpm.t,MAX(1,_xlpm.k-4),_xlpm.k-MAX(1,_xlpm.k-4))," ",REPT(" ",9)),5)),"")))</f>
        <v>6</v>
      </c>
      <c r="HC67" t="str">
        <f>IF(OR(HB67="",CA67=0),"",IF(_xlfn.XLOOKUP(A67,Щиты[Щит],Щиты[Iкз max на шинах, кА],"")="","",IF(HB67&lt;_xlfn.XLOOKUP(A67,Щиты[Щит],Щиты[Iкз max на шинах, кА]),"Icu "&amp;HB67&amp;" кА &lt; Iкз max","ok")))</f>
        <v/>
      </c>
      <c r="HD67" t="str">
        <f t="shared" ref="HD67:HD130" si="221">IF(OR(AND(AW67&gt;1,N(AW66)&lt;&gt;AW67-1),AND(AW68&lt;&gt;"",N(AW68)&lt;&gt;AW67+1)),"строки сдвинуты (вставка или удаление) — нажмите «Починить формулы»","")</f>
        <v/>
      </c>
      <c r="HE67" t="str">
        <f t="shared" ref="HE67:HE130" si="222">IF(OR(AF67="вручную",BH67="",AND(B67="",GS67="")),"",_xlfn.TEXTJOIN("|",TRUE,GH67,SUBSTITUTE(GI67," → ","|"),IF(GM67&lt;&gt;"",GM67&amp;IF(GO67&lt;&gt;""," к."&amp;GO67,""),""),GS67))</f>
        <v>QF14</v>
      </c>
      <c r="HF67" t="str">
        <f t="shared" ref="HF67:HF130" si="223">IF(HE67="","",HE67&amp;IF(B67&lt;&gt;"","|кабель "&amp;EI67&amp;" → "&amp;BE67,""))</f>
        <v>QF14|кабель ВВГнг(А)-LS (3х1,5) → Внутренний блок кондиционера Подвальный этаж Пом. №006Т</v>
      </c>
      <c r="HG67" t="str" cm="1">
        <f t="array" ref="HG67">IF(HF67="","",_xlfn.LET(_xlpm.nd,_xlfn.TEXTSPLIT(HF67,"|"),IF(COLUMNS(_xlpm.nd)&gt;1,A67&amp;"¦"&amp;INDEX(_xlpm.nd,1)&amp;"¦"&amp;INDEX(_xlpm.nd,2),"")))</f>
        <v>ЩОВ-001¦QF14¦кабель ВВГнг(А)-LS (3х1,5) → Внутренний блок кондиционера Подвальный этаж Пом. №006Т</v>
      </c>
      <c r="HH67" t="str">
        <f t="shared" ref="HH67:HH130" si="224">IF(HG67="","",B67&amp;"¦"&amp;BE67)</f>
        <v>К.1.017А.1¦Внутренний блок кондиционера Подвальный этаж Пом. №006Т</v>
      </c>
      <c r="HI67" t="str" cm="1">
        <f t="array" ref="HI67">IF(HF67="","",_xlfn.LET(_xlpm.nd,_xlfn.TEXTSPLIT(HF67,"|"),IF(COLUMNS(_xlpm.nd)&gt;2,A67&amp;"¦"&amp;INDEX(_xlpm.nd,2)&amp;"¦"&amp;INDEX(_xlpm.nd,3),"")))</f>
        <v/>
      </c>
      <c r="HJ67" t="str">
        <f t="shared" ref="HJ67:HJ130" si="225">IF(HI67="","",B67&amp;"¦"&amp;BE67)</f>
        <v/>
      </c>
      <c r="HK67" t="str" cm="1">
        <f t="array" ref="HK67">IF(HF67="","",_xlfn.LET(_xlpm.nd,_xlfn.TEXTSPLIT(HF67,"|"),IF(COLUMNS(_xlpm.nd)&gt;3,A67&amp;"¦"&amp;INDEX(_xlpm.nd,3)&amp;"¦"&amp;INDEX(_xlpm.nd,4),"")))</f>
        <v/>
      </c>
      <c r="HL67" t="str">
        <f t="shared" ref="HL67:HL130" si="226">IF(HK67="","",B67&amp;"¦"&amp;BE67)</f>
        <v/>
      </c>
      <c r="HM67" t="str" cm="1">
        <f t="array" ref="HM67">IF(HF67="","",_xlfn.LET(_xlpm.nd,_xlfn.TEXTSPLIT(HF67,"|"),IF(COLUMNS(_xlpm.nd)&gt;4,A67&amp;"¦"&amp;INDEX(_xlpm.nd,4)&amp;"¦"&amp;INDEX(_xlpm.nd,5),"")))</f>
        <v/>
      </c>
      <c r="HN67" t="str">
        <f t="shared" ref="HN67:HN130" si="227">IF(HM67="","",B67&amp;"¦"&amp;BE67)</f>
        <v/>
      </c>
      <c r="HO67" t="str" cm="1">
        <f t="array" ref="HO67">IF(HF67="","",_xlfn.LET(_xlpm.nd,_xlfn.TEXTSPLIT(HF67,"|"),IF(COLUMNS(_xlpm.nd)&gt;5,A67&amp;"¦"&amp;INDEX(_xlpm.nd,5)&amp;"¦"&amp;INDEX(_xlpm.nd,6),"")))</f>
        <v/>
      </c>
      <c r="HP67" t="str">
        <f t="shared" ref="HP67:HP130" si="228">IF(HO67="","",B67&amp;"¦"&amp;BE67)</f>
        <v/>
      </c>
      <c r="HQ67" t="str" cm="1">
        <f t="array" ref="HQ67">IF(HF67="","",_xlfn.LET(_xlpm.nd,_xlfn.TEXTSPLIT(HF67,"|"),IF(COLUMNS(_xlpm.nd)&gt;6,A67&amp;"¦"&amp;INDEX(_xlpm.nd,6)&amp;"¦"&amp;INDEX(_xlpm.nd,7),"")))</f>
        <v/>
      </c>
      <c r="HR67" t="str">
        <f t="shared" ref="HR67:HR130" si="229">IF(HQ67="","",B67&amp;"¦"&amp;BE67)</f>
        <v/>
      </c>
      <c r="HS67" t="str">
        <f t="shared" ref="HS67:HS130" si="230">IF(GU67="","",GN67)</f>
        <v/>
      </c>
      <c r="HT67" t="str">
        <f t="shared" ref="HT67:HT130" si="231">IF(AND(B67="",GO67="",GS67=""),"",_xlfn.TEXTJOIN(" → ",TRUE,GH67,GI67,IF(GM67&lt;&gt;"",GM67&amp;IF(GO67&lt;&gt;""," к."&amp;GO67,""),IF(GO67&lt;&gt;"","к."&amp;GO67,"")),GS67,IF(GB67=1,"(в кабель выше)","")))</f>
        <v>QF14</v>
      </c>
      <c r="HU67">
        <f t="shared" ref="HU67:HU130" si="232">IF(AB67="",0,1)</f>
        <v>0</v>
      </c>
      <c r="HV67">
        <f t="shared" ref="HV67:HV130" si="233">IF(GG67="",0,IF(LEFT(GG67,3)="QFD",1,0))</f>
        <v>0</v>
      </c>
      <c r="HW67" t="str">
        <f t="shared" ref="HW67:HW130" si="234">IF(AH67="=","=",IF(AH67="+","+",IF(AH67="р","R","")))</f>
        <v/>
      </c>
      <c r="HX67" t="str">
        <f t="shared" ref="HX67:HX130" si="235">IF(CO67="","",IF(OR(LEFT(CO67,1)="T",LEFT(CO67,1)="Т"),"T",IF(LEFT(UPPER(CO67),2)="БП","PS",IF(OR(LEFT(UPPER(CO67),2)="МК",LEFT(UPPER(CO67),2)="MK"),"MK",IF(OR(LEFT(UPPER(CO67),2)="КМ",LEFT(UPPER(CO67),2)="KM"),"KM","X")))))</f>
        <v/>
      </c>
      <c r="HY67" t="str">
        <f t="shared" ref="HY67:HY130" si="236">IF(CP67="","",IF(OR(LEFT(CP67,1)="T",LEFT(CP67,1)="Т"),"T",IF(LEFT(UPPER(CP67),2)="БП","PS",IF(OR(LEFT(UPPER(CP67),2)="МК",LEFT(UPPER(CP67),2)="MK"),"MK",IF(OR(LEFT(UPPER(CP67),2)="КМ",LEFT(UPPER(CP67),2)="KM"),"KM","X")))))</f>
        <v/>
      </c>
      <c r="HZ67" t="str">
        <f t="shared" ref="HZ67:HZ130" si="237">IF(CQ67="","",IF(OR(LEFT(CQ67,1)="T",LEFT(CQ67,1)="Т"),"T",IF(LEFT(UPPER(CQ67),2)="БП","PS",IF(OR(LEFT(UPPER(CQ67),2)="МК",LEFT(UPPER(CQ67),2)="MK"),"MK",IF(OR(LEFT(UPPER(CQ67),2)="КМ",LEFT(UPPER(CQ67),2)="KM"),"KM","X")))))</f>
        <v/>
      </c>
      <c r="IA67" t="str">
        <f>IF(B67="","",IFERROR(VLOOKUP(B67,УГО_спр,2,FALSE),IFERROR(VLOOKUP(AX67,УГО_спр,2,FALSE),IFERROR(VLOOKUP(LEFT(AX67,2),УГО_спр,2,FALSE),""))))</f>
        <v>Привод (двигатель)</v>
      </c>
      <c r="IB67" t="str">
        <f>IF(B67="","",IF(OR(IA67="",IA67=0),"BOX",IFERROR(IF(VLOOKUP(IA67,УГО_блоки,3,FALSE)&amp;""&lt;&gt;"",VLOOKUP(IA67,УГО_блоки,3,FALSE),VLOOKUP(IA67,УГО_блоки,2,FALSE)),IA67)))</f>
        <v>MOTOR</v>
      </c>
      <c r="IC67">
        <f t="shared" ref="IC67:IC130" si="238">IF(B67="",0,1)</f>
        <v>1</v>
      </c>
      <c r="ID67" t="str">
        <f>IF(DA67="","",IF(COUNTIF(DA$3:DA67,DA67)=1,MAX(ID$2:ID66)+1,""))</f>
        <v/>
      </c>
      <c r="IE67" t="str">
        <f>IF(CO67="","",IF(COUNTIF(CO$3:CO67,CO67)+COUNTIF(CP$2:CP66,CO67)+COUNTIF(CQ$2:CQ66,CO67)=1,MAX(IE$2:IG66)+1,""))</f>
        <v/>
      </c>
      <c r="IF67" t="str">
        <f>IF(CP67="","",IF(COUNTIF(CO$3:CO67,CP67)+COUNTIF(CP$3:CP67,CP67)+COUNTIF(CQ$2:CQ66,CP67)=1,MAX(IE$2:IG66,IE67)+1,""))</f>
        <v/>
      </c>
      <c r="IG67" t="str">
        <f>IF(CQ67="","",IF(COUNTIF(CO$3:CO67,CQ67)+COUNTIF(CP$3:CP67,CQ67)+COUNTIF(CQ$3:CQ67,CQ67)=1,MAX(IE$2:IG66,IE67,IF67)+1,""))</f>
        <v/>
      </c>
      <c r="IH67" t="str">
        <f t="shared" ref="IH67:IH130" si="239">IF(GQ67=1,IFERROR(MID(FX67,FIND(" (",FX67)+2,FIND(")",FX67,FIND(" (",FX67))-FIND(" (",FX67)-2),"?"),"")</f>
        <v>3х1,5</v>
      </c>
      <c r="II67" t="str">
        <f>IF(IH67="","",IF(COUNTIF(IH$3:IH67,IH67)=1,MAX(II$2:II66)+1,""))</f>
        <v/>
      </c>
      <c r="IJ67" t="str">
        <f>IF(GL67="","",COUNTIF(GL$3:GL67,"?*"))</f>
        <v/>
      </c>
      <c r="IK67" t="str">
        <f>IF(OR(GL67="",GN67=""),"",IF(COUNTIFS(GL$3:GL67,"?*",GN$3:GN67,GN67)=1,MAX(IK$2:IK66)+1,""))</f>
        <v/>
      </c>
      <c r="IL67">
        <f t="shared" ref="IL67:IL130" si="240">IF(HA67="",0,IF(OR(ISNUMBER(SEARCH("дубль",HA67)),ISNUMBER(SEARCH("ПЕРЕГРУЗ",HA67)),ISNUMBER(SEARCH("ЗАЩИЩ",HA67)),ISNUMBER(SEARCH("КАНАЛ",HA67)),ISNUMBER(SEARCH("без диф",HA67))),2,1))</f>
        <v>0</v>
      </c>
      <c r="IM67">
        <f>IF(B67="","",COUNTIF(B$3:B67,"?*"))</f>
        <v>65</v>
      </c>
      <c r="IN67">
        <f>IF(GQ67&lt;&gt;1,0,_xlfn.LET(_xlpm.k,MAX(IFERROR(--VLOOKUP(B67,УГО_спр,5,FALSE),0),IFERROR(--VLOOKUP(AX67,УГО_спр,5,FALSE),0),IFERROR(--VLOOKUP(LEFT(AX67,2),УГО_спр,5,FALSE),0)),IF(_xlpm.k&gt;0,_xlpm.k,IF(IFERROR(--LEFT(SUBSTITUTE(IH67,"x","х"),FIND("х",SUBSTITUTE(IH67,"x","х"))-1),3)&gt;3,Каталог!$S$9,1))))</f>
        <v>1</v>
      </c>
      <c r="IO67">
        <f t="shared" ref="IO67:IO130" si="241">IF(GQ67&lt;&gt;1,0,MAX(0,IFERROR(--LEFT(SUBSTITUTE(IH67,"x","х"),FIND("х",SUBSTITUTE(IH67,"x","х"))-1),3)-3*IN67))</f>
        <v>0</v>
      </c>
      <c r="IP67" t="str">
        <f t="shared" ref="IP67:IP130" si="242">IF(CA67=1,"авто","")</f>
        <v>авто</v>
      </c>
      <c r="IQ67" t="str">
        <f t="shared" ref="IQ67:IQ130" si="243">IF(CA67=1,IF(N(CK67)&gt;0,CK67,""),"")</f>
        <v/>
      </c>
      <c r="IR67">
        <f t="shared" ref="IR67:IR130" si="244">IF(CA67=1,IF(N(CK67)&gt;0,1,0),"")</f>
        <v>0</v>
      </c>
      <c r="IS67">
        <f t="shared" ref="IS67:IS130" si="245">SUBTOTAL(103,A67)</f>
        <v>1</v>
      </c>
    </row>
    <row r="68" spans="1:253" x14ac:dyDescent="0.3">
      <c r="A68" t="s">
        <v>749</v>
      </c>
      <c r="B68" t="s">
        <v>1340</v>
      </c>
      <c r="C68" t="s">
        <v>1618</v>
      </c>
      <c r="D68">
        <v>1</v>
      </c>
      <c r="E68">
        <v>0.3</v>
      </c>
      <c r="G68">
        <v>10</v>
      </c>
      <c r="H68" t="str">
        <f>Линии[[#This Row],[_авто утечка]]</f>
        <v/>
      </c>
      <c r="I68" t="str">
        <f>Линии[[#This Row],[_авто управление]]</f>
        <v/>
      </c>
      <c r="J68" t="str">
        <f>Линии[[#This Row],[_авто аппараты]]</f>
        <v/>
      </c>
      <c r="K68">
        <v>1.5</v>
      </c>
      <c r="L68">
        <v>14</v>
      </c>
      <c r="M68" t="str">
        <f>Линии[[#This Row],[_авто фаза]]</f>
        <v>L1</v>
      </c>
      <c r="N68" t="s">
        <v>486</v>
      </c>
      <c r="O68" t="str">
        <f t="shared" si="123"/>
        <v/>
      </c>
      <c r="P68" s="6" cm="1">
        <f t="array" ref="P68">IF(B68="","",IF(BC68&lt;&gt;"",IFERROR(_xlfn.XLOOKUP(BC68,Щиты[Щит],Щиты[Iр, А]),""),IF(BK68=1,IFERROR(_xlfn.XLOOKUP(A68,Щиты[Щит],Щиты[Iр, А]),""),IFERROR(_xlfn.IFS(BR68=1,BN68/((Uн_лин/SQRT(3))*BY68),BR68=3,BN68/(SQRT(3)*Uн_лин*BY68)),""))))</f>
        <v>1.6237976320958221</v>
      </c>
      <c r="Q68" s="7">
        <f>IF(B68="","",IFERROR(IF(VLOOKUP(AX68,Потребители_обозначение,4,FALSE)=1,VLOOKUP(AX68,Потребители_обозначение,3,FALSE)*(D68*2-1)+DS68+VLOOKUP(AZ68,Этаж_обозначение,3,FALSE)+VLOOKUP(AZ68,Этаж_обозначение,4,FALSE),VLOOKUP(AX68,Потребители_обозначение,3,FALSE)*(D68*2-1)+DS68),DS68))</f>
        <v>16</v>
      </c>
      <c r="R68" s="6">
        <f t="shared" si="124"/>
        <v>0.92</v>
      </c>
      <c r="S68" t="str">
        <f t="shared" si="125"/>
        <v>ВВГнг(А)-LS (3х1,5)</v>
      </c>
      <c r="T68" t="str">
        <f>IF(BH68="","",IF(BI68="вводной узел","узел ","")&amp;"л."&amp;(INT((BH68-1)/Столбцов_на_лист)+1)&amp;" / "&amp;(MOD(BH68-1,Столбцов_на_лист)+1))</f>
        <v>л.2 / 17</v>
      </c>
      <c r="V68">
        <v>1</v>
      </c>
      <c r="W68">
        <v>230</v>
      </c>
      <c r="X68" t="s">
        <v>600</v>
      </c>
      <c r="Y68">
        <v>0.5</v>
      </c>
      <c r="AC68" t="s">
        <v>815</v>
      </c>
      <c r="AE68" t="s">
        <v>578</v>
      </c>
      <c r="AI68">
        <v>34</v>
      </c>
      <c r="AJ68" t="s">
        <v>11</v>
      </c>
      <c r="AK68">
        <v>3</v>
      </c>
      <c r="AN68">
        <v>16</v>
      </c>
      <c r="AP68">
        <v>1</v>
      </c>
      <c r="AW68" cm="1">
        <f t="array" ref="AW68">ROW()-ROW(Линии[#Headers])</f>
        <v>66</v>
      </c>
      <c r="AX68" s="6" t="str">
        <f t="shared" si="126"/>
        <v>К</v>
      </c>
      <c r="AY68" t="str">
        <f t="shared" si="127"/>
        <v>1.021А.1</v>
      </c>
      <c r="AZ68" t="str">
        <f t="shared" si="128"/>
        <v>1</v>
      </c>
      <c r="BA68" t="str">
        <f t="shared" si="129"/>
        <v>021А.1</v>
      </c>
      <c r="BB68" t="str">
        <f t="shared" si="130"/>
        <v>021А</v>
      </c>
      <c r="BC68" t="str">
        <f>IF(U68&lt;&gt;"",U68,IF(AND(B68&lt;&gt;"",B68&lt;&gt;A68,ISNUMBER(_xlfn.XMATCH(B68,Щиты[Щит]))),B68,""))</f>
        <v/>
      </c>
      <c r="BD68" t="str" cm="1">
        <f t="array" ref="BD68">IF(B68="","",IF(BC68&lt;&gt;"","Щит "&amp;BC68,_xlfn.LET(_xlpm.nm,IFERROR(_xlfn.XLOOKUP(AX68,Коды_код,Коды_имя)&amp;"",""),_xlpm.md,IFERROR(N(_xlfn.XLOOKUP(AX68,Коды_код,Коды_режим)),1),_xlpm.ex,IF(Имя_режим="по экспликации",IFERROR(_xlfn.XLOOKUP(AZ68&amp;"|"&amp;BB68,Экспликация[Этаж]&amp;"|"&amp;Экспликация[Помещение],Экспликация[Название])&amp;"",""),""),_xlpm.rm,IF(BB68="","",IF(_xlpm.ex&lt;&gt;"",". "&amp;_xlpm.ex&amp;IF(Имя_пом="нет"," ("&amp;BB68&amp;")"," (пом. "&amp;BB68&amp;")"),IF(Имя_пом="нет"," ",", пом. ")&amp;BB68)),IF(_xlpm.nm="","",IF(_xlpm.md=2,_xlpm.nm&amp;" шлейф "&amp;AZ68,_xlpm.nm&amp;_xlpm.rm)))))</f>
        <v>Внутренний блок кондиционирования, пом. 021А</v>
      </c>
      <c r="BE68" t="str">
        <f t="shared" si="131"/>
        <v>Внутренний блок кондиционера Подвальный этаж Пом. №006Т</v>
      </c>
      <c r="BF68">
        <f>IFERROR(_xlfn.XMATCH(A68,Щиты[Щит]),0)</f>
        <v>4</v>
      </c>
      <c r="BG68">
        <f>_xlfn.LET(_xlpm.k,IFERROR(_xlfn.XLOOKUP(A68,Щиты[Щит],Щиты[Листов под вводной узел]),""),IF(_xlpm.k="",1,N(_xlpm.k))*Столбцов_на_лист)</f>
        <v>17</v>
      </c>
      <c r="BH68">
        <f t="shared" si="132"/>
        <v>34</v>
      </c>
      <c r="BI68" t="str">
        <f t="shared" si="133"/>
        <v>линии</v>
      </c>
      <c r="BJ68" s="6">
        <f>IFERROR(N(_xlfn.XLOOKUP(AX68,Коды_код,Коды_квт)),0)</f>
        <v>0</v>
      </c>
      <c r="BK68">
        <f t="shared" si="134"/>
        <v>0</v>
      </c>
      <c r="BL68" t="str">
        <f>IF(B68="","",IF(BC68&lt;&gt;"",IFERROR(_xlfn.XLOOKUP(BC68,Щиты[Щит],Щиты[Руст, кВт]),0),IF(BK68=1,IFERROR(_xlfn.XLOOKUP(A68,Щиты[Щит],Щиты[Руст, кВт]),0),IF(BJ68&gt;0,ROUND(BJ68*MAX(1,N(D68)),3),""))))</f>
        <v/>
      </c>
      <c r="BM68">
        <f t="shared" si="135"/>
        <v>0.3</v>
      </c>
      <c r="BN68" s="6">
        <f>IF(B68="","",IF(BC68&lt;&gt;"",IFERROR(_xlfn.XLOOKUP(BC68,Щиты[Щит],Щиты[Руст, кВт]),0),N(BM68)))</f>
        <v>0.3</v>
      </c>
      <c r="BO68" t="str">
        <f>IF(B68="","",IFERROR(IF(VLOOKUP(AX68,Потребители_обозначение,8,FALSE)=0,"",VLOOKUP(AX68,Потребители_обозначение,8,FALSE)),""))</f>
        <v/>
      </c>
      <c r="BP68">
        <f t="shared" si="136"/>
        <v>230</v>
      </c>
      <c r="BQ68">
        <f>IF(B68="","",IF(BC68&lt;&gt;"",3,IFERROR(IF(N(VLOOKUP(AX68,Потребители_обозначение,9,FALSE))=0,1,VLOOKUP(AX68,Потребители_обозначение,9,FALSE)),1)))</f>
        <v>1</v>
      </c>
      <c r="BR68">
        <f t="shared" si="137"/>
        <v>1</v>
      </c>
      <c r="BS68" t="str">
        <f>IF(B68="","",_xlfn.LET(_xlpm.bc,IFERROR(IF(VLOOKUP(AX68,Потребители_обозначение,6,FALSE)=0,"",VLOOKUP(AX68,Потребители_обозначение,6,FALSE)&amp;""),""),IF(AND(FK68="да",OR(_xlpm.bc="",_xlpm.bc="мс")),Марка_пож,IF(AND(_xlpm.bc="",BC68&lt;&gt;""),"мс",_xlpm.bc))))</f>
        <v/>
      </c>
      <c r="BT68" t="str">
        <f t="shared" si="138"/>
        <v>мс</v>
      </c>
      <c r="BU68">
        <f>IF(B68="","",_xlfn.LET(_xlpm.cc,IFERROR(N(VLOOKUP(AX68,Потребители_обозначение,7,FALSE)),0),IF(_xlpm.cc&gt;0,_xlpm.cc,IF(BT68="","",IF(N(BR68)=3,5,3)))))</f>
        <v>3</v>
      </c>
      <c r="BV68">
        <f t="shared" si="139"/>
        <v>3</v>
      </c>
      <c r="BW68">
        <f>IFERROR(N(VLOOKUP(AX68,Потребители_обозначение,10,FALSE)),0)</f>
        <v>0</v>
      </c>
      <c r="BX68">
        <f>IFERROR(VLOOKUP(AX68,Потребители_обозначение,5,FALSE),0)</f>
        <v>1</v>
      </c>
      <c r="BY68" s="6" cm="1">
        <f t="array" ref="BY68">IF(B68="","",IF(BC68&lt;&gt;"",IFERROR(_xlfn.XLOOKUP(BC68,Щиты[Щит],Щиты[cos φ]),0.95),IF(BK68=1,IFERROR(_xlfn.XLOOKUP(A68,Щиты[Щит],Щиты[cos φ]),0.95),IF(ISNUMBER(Z68),Z68,IFERROR(IF(BX68=2,_xlfn.IFS(BR68=3,VLOOKUP(BN68,Справочная_двигатели,8,FALSE),BR68=1,VLOOKUP(BN68,Справочная_двигатели,10,TRUE)),IF(AND(Методика="нормы 2026",EQ68="Сил"),0.8,0.95)),0.95)))))</f>
        <v>0.8</v>
      </c>
      <c r="BZ68">
        <f t="shared" si="140"/>
        <v>0</v>
      </c>
      <c r="CA68">
        <f t="shared" si="141"/>
        <v>1</v>
      </c>
      <c r="CB68">
        <f t="shared" si="142"/>
        <v>0</v>
      </c>
      <c r="CC68">
        <f t="shared" si="143"/>
        <v>0</v>
      </c>
      <c r="CD68">
        <f t="shared" si="144"/>
        <v>0</v>
      </c>
      <c r="CE68">
        <f t="shared" si="145"/>
        <v>0</v>
      </c>
      <c r="CF68">
        <f t="shared" si="146"/>
        <v>0</v>
      </c>
      <c r="CG68">
        <f>IF(AX68="",0,_xlfn.LET(_xlpm.v,IFERROR(VLOOKUP(B68,УГО_спр,3,FALSE),IFERROR(VLOOKUP(AX68,УГО_спр,3,FALSE),IFERROR(VLOOKUP(LEFT(AX68,2),УГО_спр,3,FALSE),""))),IF(_xlpm.v="да",30,IF(ISNUMBER(_xlpm.v),_xlpm.v,0))))</f>
        <v>0</v>
      </c>
      <c r="CH68" t="str">
        <f t="shared" si="147"/>
        <v/>
      </c>
      <c r="CI68" t="str">
        <f>_xlfn.LET(_xlpm.k,IFERROR(_xlfn.XLOOKUP(AX68,Коды_код,Коды_утечка)&amp;"",""),IF(_xlpm.k="","дифавтомат",_xlpm.k))</f>
        <v>дифавтомат</v>
      </c>
      <c r="CJ68">
        <f t="shared" si="148"/>
        <v>0</v>
      </c>
      <c r="CK68">
        <f t="shared" si="149"/>
        <v>0</v>
      </c>
      <c r="CL68">
        <f>IF(B68="",0,IFERROR(--VLOOKUP(B68,УГО_спр,4,FALSE),IFERROR(--VLOOKUP(AX68,УГО_спр,4,FALSE),IFERROR(--VLOOKUP(LEFT(AX68,2),УГО_спр,4,FALSE),0))))</f>
        <v>0</v>
      </c>
      <c r="CM68" t="str">
        <f>IF(B68="","",IFERROR(_xlfn.XLOOKUP(AX68,Коды_код,Коды_апп)&amp;"",""))</f>
        <v/>
      </c>
      <c r="CN68" t="str">
        <f t="shared" si="150"/>
        <v/>
      </c>
      <c r="CO68" t="str" cm="1">
        <f t="array" ref="CO68">IF(TRIM(CN68&amp;"")="","",IFERROR(TRIM(INDEX(_xlfn.TEXTSPLIT(CN68&amp;";;;",";"),1)),""))</f>
        <v/>
      </c>
      <c r="CP68" t="str" cm="1">
        <f t="array" ref="CP68">IF(TRIM(CN68&amp;"")="","",IFERROR(TRIM(INDEX(_xlfn.TEXTSPLIT(CN68&amp;";;;",";"),2)),""))</f>
        <v/>
      </c>
      <c r="CQ68" t="str" cm="1">
        <f t="array" ref="CQ68">IF(TRIM(CN68&amp;"")="","",IFERROR(TRIM(INDEX(_xlfn.TEXTSPLIT(CN68&amp;";;;",";"),3)),""))</f>
        <v/>
      </c>
      <c r="CR68">
        <f t="shared" si="151"/>
        <v>0</v>
      </c>
      <c r="CS68" t="str">
        <f>IF(B68="","",_xlfn.LET(_xlpm.t,LOWER(AV68&amp;""),IF(ISNUMBER(SEARCH("dim",_xlpm.t)),"DIM",IF(ISNUMBER(SEARCH("dali",_xlpm.t)),"DALI",IF(OR(ISNUMBER(SEARCH("relay",_xlpm.t)),ISNUMBER(SEARCH("реле",_xlpm.t))),"Relay",IF(ISNUMBER(SEARCH("кнопк",_xlpm.t)),"",IFERROR(_xlfn.XLOOKUP(AX68,Коды_код,Коды_упр)&amp;"","")))))))</f>
        <v/>
      </c>
      <c r="CT68" t="str">
        <f t="shared" si="152"/>
        <v/>
      </c>
      <c r="CU68">
        <f>IF(B68="","",_xlfn.LET(_xlpm.ig,N(P68)+IF(AF68="вручную",0,N(CB68)),_xlpm.n0,IFERROR(VLOOKUP(_xlpm.ig,Автомат_номиналы,2,TRUE),0),_xlpm.mn,MAX(CL68,IF(AF68="вручную",0,N(CE68))),MAX(_xlpm.n0,_xlpm.mn,IF(CR68=1,Мин_автомат_БП,0))))</f>
        <v>6</v>
      </c>
      <c r="CV68">
        <f t="shared" si="153"/>
        <v>1</v>
      </c>
      <c r="CW68" t="str">
        <f t="shared" si="154"/>
        <v>1P</v>
      </c>
      <c r="CX68" t="str">
        <f>_xlfn.LET(_xlpm.cc,UPPER(TRIM(IFERROR(_xlfn.XLOOKUP(AX68,Коды_код,Коды_хар)&amp;"",""))),IF(OR(_xlpm.cc="B",_xlpm.cc="В"),"B",IF(_xlpm.cc="D","D","С")))</f>
        <v>С</v>
      </c>
      <c r="CY68" t="str">
        <f t="shared" si="155"/>
        <v>1P С6А</v>
      </c>
      <c r="CZ68">
        <f t="shared" si="156"/>
        <v>10</v>
      </c>
      <c r="DA68" t="str">
        <f t="shared" si="157"/>
        <v>1P С10А</v>
      </c>
      <c r="DB68" cm="1">
        <f t="array" ref="DB68">IF(DA68="","",_xlfn.LET(_xlpm.t,SUBSTITUTE(SUBSTITUTE(SUBSTITUTE(UPPER(DA68),"С","C"),"А","A"),"В","B"),_xlpm.tk,_xlfn.TEXTSPLIT(_xlpm.t,"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8" t="str">
        <f t="shared" si="158"/>
        <v>ok</v>
      </c>
      <c r="DD68">
        <f t="shared" si="159"/>
        <v>10</v>
      </c>
      <c r="DE68" t="str">
        <f t="shared" si="160"/>
        <v>1P С10А</v>
      </c>
      <c r="DF68">
        <f t="shared" si="161"/>
        <v>0</v>
      </c>
      <c r="DG68">
        <f t="shared" si="162"/>
        <v>0</v>
      </c>
      <c r="DH68">
        <f t="shared" si="163"/>
        <v>0</v>
      </c>
      <c r="DI68">
        <f t="shared" si="164"/>
        <v>1.6237976320958221</v>
      </c>
      <c r="DJ68">
        <f t="shared" si="165"/>
        <v>1</v>
      </c>
      <c r="DK68">
        <f>IF(ISNUMBER(AL68),AL68,К_прокл)</f>
        <v>1</v>
      </c>
      <c r="DL68">
        <f t="shared" si="166"/>
        <v>2</v>
      </c>
      <c r="DM68">
        <f>IFERROR(N(VLOOKUP(BT68,Кабель_обозначение,3,FALSE)),1)</f>
        <v>1</v>
      </c>
      <c r="DN68">
        <f>IFERROR(N(_xlfn.XLOOKUP(A68,Щиты[Щит],Щиты[ΔU до шин, %])),0)</f>
        <v>0.64</v>
      </c>
      <c r="DO68" t="str">
        <f>IFERROR(_xlfn.XLOOKUP(A68,Щиты[Щит],Щиты[Zпетли на шинах, Ом]),"")</f>
        <v/>
      </c>
      <c r="DP68">
        <f>IFERROR(N(_xlfn.XLOOKUP(A68,Щиты[Щит],Щиты[ΔU до шин (подбор), %])),0)</f>
        <v>0.75</v>
      </c>
      <c r="DQ68" t="str">
        <f>IFERROR(_xlfn.XLOOKUP(A68,Щиты[Щит],Щиты[Zпетли на шинах (подбор), Ом]),"")</f>
        <v/>
      </c>
      <c r="DR68" t="str">
        <f t="shared" si="167"/>
        <v/>
      </c>
      <c r="DS68">
        <f t="shared" si="168"/>
        <v>14</v>
      </c>
      <c r="DT68">
        <f t="shared" si="169"/>
        <v>2</v>
      </c>
      <c r="DU68">
        <f t="shared" si="170"/>
        <v>0.6</v>
      </c>
      <c r="DV68" s="6">
        <f>IF(B68="","",IF(IFERROR(VLOOKUP(AX68,УГО_спр,2,FALSE),"")="Светильник",3,4)+IF(Методика="нормы 2026",MIN(0.5,MAX(0,N(Q68)-100)*0.005),0))</f>
        <v>4</v>
      </c>
      <c r="DW68" cm="1">
        <f t="array" ref="DW68">IF(OR(B68="",BT68="",DM68&lt;&gt;1),"",_xlfn.LET(_xlpm.sz,Iдоп_S,_xlpm.t_,CHOOSE(DL68,Iдоп_1ж,Iдоп_2ж,Iдоп_3ж)*DJ68*DK68,_xlpm.inn,N(DD68),_xlpm.smin,MAX(1.5,BW68),_xlpm.L_,N(Q68)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68)*(_xlpm.rho*_xlpm.L_/_xlpm.sz*N(BY68)+_xlpm.xx*_xlpm.L_*N(DU68)/1000)*N(P68)/((Uн_лин/SQRT(3))*1000)*100,999),_xlpm.kz,IF(OR(DG68=1,NOT(ISNUMBER(DQ68)),_xlpm.L_=0,_xlpm.inn=0),1,IFERROR(--(c_min*(Uн_лин*1000/SQRT(3))/(DQ68+2*ρкз_Cu*_xlpm.L_/_xlpm.sz)&gt;=GY68*_xlpm.inn),0)),_xlpm.ok,IFERROR((_xlpm.sz&gt;=_xlpm.smin)*(_xlpm.t_&gt;=_xlpm.inn)*IF(_xlpm.L_&gt;0,(_xlpm.du_+DP68&lt;=DV68+0.00001),1)*_xlpm.kz,0),_xlpm.r_,_xlfn._xlws.FILTER(_xlpm.sz,_xlpm.ok,"не подобрано"),INDEX(_xlpm.r_,1)))</f>
        <v>1.5</v>
      </c>
      <c r="DX68">
        <f t="shared" si="171"/>
        <v>1.5</v>
      </c>
      <c r="DY68" cm="1">
        <f t="array" ref="DY68">IF(OR(B68="",BT68="",DM68&lt;&gt;1),"",_xlfn.LET(_xlpm.sz,Iдоп_S,_xlpm.t_,CHOOSE(DL68,Iдоп_1ж,Iдоп_2ж,Iдоп_3ж)*DJ68*DK68,_xlpm.ok,IFERROR((_xlpm.sz&gt;=MAX(1.5,BW68))*(_xlpm.t_&gt;=N(DD68)),0),_xlpm.r_,_xlfn._xlws.FILTER(_xlpm.sz,_xlpm.ok,""),INDEX(_xlpm.r_,1)))</f>
        <v>1.5</v>
      </c>
      <c r="DZ68" s="6" cm="1">
        <f t="array" ref="DZ68">IFERROR(ROUNDUP(N(DT68)*(_xlfn.XLOOKUP(DY68,INDEX(Кабель_сопротивление,0,1),INDEX(Кабель_сопротивление,0,3))*N(Q68)/DY68*N(BY68)+_xlfn.XLOOKUP(DY68,INDEX(Кабель_сопротивление,0,1),INDEX(Кабель_сопротивление,0,2))*N(Q68)*N(DU68)/1000)*N(P68)/((Uн_лин/SQRT(3))*1000)*100,2),"")</f>
        <v>0.28000000000000003</v>
      </c>
      <c r="EA68">
        <f>IFERROR(2*ρкз_Cu*N(Q68)/DY68,"")</f>
        <v>0.56106666666666671</v>
      </c>
      <c r="EB68">
        <f>IFERROR(VLOOKUP(DX68,Кабель_сопротивление,3,FALSE),"")</f>
        <v>2.2499999999999999E-2</v>
      </c>
      <c r="EC68">
        <f>IFERROR(VLOOKUP(DX68,Кабель_сопротивление,2,FALSE),"")</f>
        <v>0.11</v>
      </c>
      <c r="ED68">
        <f t="shared" si="172"/>
        <v>16</v>
      </c>
      <c r="EE68">
        <f t="shared" si="173"/>
        <v>0</v>
      </c>
      <c r="EF68">
        <f t="shared" si="174"/>
        <v>0.62696775132378202</v>
      </c>
      <c r="EG68" s="6">
        <f>IFERROR(ROUNDUP(EF68/((Uн_лин/SQRT(3))*1000)*100,2),"")</f>
        <v>0.28000000000000003</v>
      </c>
      <c r="EH68" t="str">
        <f>IFERROR(VLOOKUP(BT68,Кабель_обозначение,2,FALSE),"")</f>
        <v>ВВГнг(А)-LS</v>
      </c>
      <c r="EI68" t="str">
        <f t="shared" si="175"/>
        <v>ВВГнг(А)-LS (3х1,5)</v>
      </c>
      <c r="EJ68" t="str">
        <f t="shared" si="176"/>
        <v>ВВГнг(А)-LS (3х1,5)
L=16-0,28%</v>
      </c>
      <c r="EK68">
        <f>IFERROR(2*ρкз_Cu*Q68/DX68,"")</f>
        <v>0.56106666666666671</v>
      </c>
      <c r="EL68">
        <f t="shared" si="177"/>
        <v>0.18666666666666668</v>
      </c>
      <c r="EM68" s="6" t="str">
        <f>IFERROR(IF(OR(B68="",NOT(ISNUMBER(DX68)),N(Q68)=0),"",_xlfn.XLOOKUP(A68,Щиты[Щит],Щиты[Zпетли на шинах, Ом])+EK68),"")</f>
        <v/>
      </c>
      <c r="EN68" s="6" t="str">
        <f>IF(ISNUMBER(EM68),c_min*(Uн_лин*1000/SQRT(3))/EM68,"")</f>
        <v/>
      </c>
      <c r="EO68" s="6" t="str">
        <f>IFERROR(IF(OR(B68="",NOT(ISNUMBER(DX68))),"",1.05*(Uн_лин*1000/SQRT(3))/(_xlfn.XLOOKUP(A68,Щиты[Щит],Щиты[Zmax на шинах, Ом])+EL68)/1000),"")</f>
        <v/>
      </c>
      <c r="EP68" s="6" t="str">
        <f>IF(B68="","",IF(ISNUMBER(Y68),"Сил",IF(IFERROR(_xlfn.XLOOKUP(AX68,Коды_код,Коды_группа)&amp;"","")="","Быт",_xlfn.XLOOKUP(AX68,Коды_код,Коды_группа)&amp;"")))</f>
        <v>Сил</v>
      </c>
      <c r="EQ68" s="6" t="str">
        <f t="shared" si="178"/>
        <v>Сил</v>
      </c>
      <c r="ER68" s="6">
        <f>IF(EQ68="Щит","щит",IF(EQ68="","",IF(EQ68="Быт",IFERROR(_xlfn.XLOOKUP(A68,Щиты[Щит],Щиты[Кс быт]),1),IF(EQ68="Сил",IF(ISNUMBER(Y68),Y68,IF(Методика="нормы 2026",IFERROR(_xlfn.XLOOKUP(A68,Щиты[Щит],Щиты[Кс силовых (табл. 7.5)]),1),1)),IF(OR(EQ68="Пост",EQ68="Отоп"),1,IF(EQ68="ВНГ",0.7,0))))))</f>
        <v>0.5</v>
      </c>
      <c r="ES68">
        <f t="shared" si="179"/>
        <v>1</v>
      </c>
      <c r="ET68">
        <f t="shared" si="180"/>
        <v>0.3</v>
      </c>
      <c r="EU68">
        <f t="shared" si="181"/>
        <v>0</v>
      </c>
      <c r="EV68">
        <f t="shared" si="182"/>
        <v>0.15</v>
      </c>
      <c r="EW68">
        <f t="shared" si="183"/>
        <v>0</v>
      </c>
      <c r="EX68">
        <f t="shared" si="184"/>
        <v>0</v>
      </c>
      <c r="EY68">
        <f t="shared" si="185"/>
        <v>0</v>
      </c>
      <c r="EZ68">
        <f t="shared" si="186"/>
        <v>0.3</v>
      </c>
      <c r="FA68">
        <f t="shared" si="187"/>
        <v>0.24</v>
      </c>
      <c r="FB68">
        <f t="shared" si="188"/>
        <v>0.3</v>
      </c>
      <c r="FC68" t="str">
        <f t="shared" si="189"/>
        <v/>
      </c>
      <c r="FD68" t="str">
        <f>IF(B68="","",IF(CA68=0,IF(AW68=1,"",FF67),IF(OR(N(CV68)&gt;=3,N(BR68)&gt;=3),"L1,L2,L3",IFERROR(_xlfn.TEXTBEFORE(_xlfn.TEXTAFTER(_xlfn.XLOOKUP(A68,Щиты[Щит],Щиты[_фазы авто]),";"&amp;AW68&amp;":"),";"),"L1"))))</f>
        <v>L1</v>
      </c>
      <c r="FE68" t="str">
        <f t="shared" si="190"/>
        <v>L1</v>
      </c>
      <c r="FF68" t="str">
        <f t="shared" si="191"/>
        <v>L1</v>
      </c>
      <c r="FG68" cm="1">
        <f t="array" ref="FG68">IFERROR(IF(BX68=2,_xlfn.IFS(BR68=3,VLOOKUP(BN68,Справочная_двигатели,3,FALSE),BR68=1,VLOOKUP(BN68,Справочная_двигатели,5,TRUE)),0),0)</f>
        <v>0</v>
      </c>
      <c r="FH68">
        <f>IFERROR(IF(BX68=3,VLOOKUP(BN68,Справочная_ЛЭД,2,TRUE),0),0)</f>
        <v>0</v>
      </c>
      <c r="FI68" s="6">
        <f t="shared" si="192"/>
        <v>0</v>
      </c>
      <c r="FJ68" t="str" cm="1">
        <f t="array" ref="FJ68">IF(B68="","",IFERROR(INDEX({"I особая","I","II","III"},MATCH(TRIM(AC68&amp;""),{"I особая","I","II","III"},0)),"III"))</f>
        <v>II</v>
      </c>
      <c r="FK68" t="str">
        <f>IF(B68="","",IF(TRIM(AD68&amp;"")&lt;&gt;"",IF(LOWER(TRIM(AD68&amp;""))="да","да","нет"),IF(IFERROR(_xlfn.XLOOKUP(AX68,Коды_код,Коды_пожарная),"")="да","да","нет")))</f>
        <v>нет</v>
      </c>
      <c r="FL68" t="str">
        <f t="shared" si="193"/>
        <v/>
      </c>
      <c r="FM68" t="str">
        <f t="shared" si="194"/>
        <v>основная</v>
      </c>
      <c r="FN68">
        <f t="shared" si="195"/>
        <v>1</v>
      </c>
      <c r="FO68" t="str" cm="1">
        <f t="array" ref="FO68">IF(B68="","",_xlfn.LET(_xlpm.t,IFERROR(_xlfn.XLOOKUP(1,(Шины[Шина]=FM68)*(((Шины[Щит]=A68)+(Шины[Щит]=""))&gt;0),Шины[Тип]),"")&amp;"",IF(_xlpm.t&lt;&gt;"",_xlpm.t,IF(ISNUMBER(SEARCH("ИБП",FM68)),"ИБП",IF(ISNUMBER(SEARCH("ДГУ",FM68)),"ДГУ","Ввод "&amp;FN68)))))</f>
        <v>Ввод 1</v>
      </c>
      <c r="FP68" t="str">
        <f t="shared" si="196"/>
        <v>Ввод 1</v>
      </c>
      <c r="FQ68" t="str">
        <f>IF(B68="","",IF(OR(FO68="ИБП",FO68="ДГУ"),"I особая",IF(FO68="Одиночная","III",_xlfn.XLOOKUP(A68,Щиты[Щит],Щиты[Категория шины «Ввод»],"III"))))</f>
        <v>II</v>
      </c>
      <c r="FR68">
        <f>IF(B68="",0,IFERROR(MATCH(FJ68,{"III","II","I","I особая"},0),1))</f>
        <v>2</v>
      </c>
      <c r="FS68">
        <f t="shared" si="197"/>
        <v>2</v>
      </c>
      <c r="FT68" t="str">
        <f>IF(B68="","",IF(FR68&gt;IFERROR(MATCH(FQ68,{"III","II","I","I особая"},0),1),"НЕ ОБЕСПЕЧЕНА","ОК"))</f>
        <v>ОК</v>
      </c>
      <c r="FU68" t="str">
        <f>IF(A68="","",_xlfn.XLOOKUP(A68,Щиты[Щит],Щиты[Путь],""))</f>
        <v>|ГРЩ-ЖД|ЩОВ-001|</v>
      </c>
      <c r="FV68" t="str">
        <f>IF(B68="","",IF(AE68&lt;&gt;"",AE68,IF(IFERROR(_xlfn.XLOOKUP(AX68,Коды_код,Коды_вид)&amp;"","")="","Прочее",_xlfn.XLOOKUP(AX68,Коды_код,Коды_вид)&amp;"")))</f>
        <v>Кондиционирование и увлажнение</v>
      </c>
      <c r="FW68">
        <f>IF(BH68="","",INT((BH68-1)/Столбцов_на_лист)+1)</f>
        <v>2</v>
      </c>
      <c r="FX68" t="str">
        <f t="shared" si="198"/>
        <v>ВВГнг(А)-LS (3х1,5) L=16-0,28%</v>
      </c>
      <c r="FY68">
        <f t="shared" si="199"/>
        <v>0.3</v>
      </c>
      <c r="FZ68">
        <f t="shared" si="200"/>
        <v>1.6300000000000001</v>
      </c>
      <c r="GA68">
        <f t="shared" si="201"/>
        <v>1</v>
      </c>
      <c r="GB68">
        <f t="shared" si="202"/>
        <v>0</v>
      </c>
      <c r="GC68">
        <f t="shared" si="203"/>
        <v>1</v>
      </c>
      <c r="GD68">
        <f>IF(BH68="","",IF(AND(CA68=1,GC68=1),COUNTIFS(A$3:A68,A68,CA$3:CA68,1,GC$3:GC68,1),IF(OR(OR(AW68=1,A68&lt;&gt;A67),AF68="вручную",GC68=0),"",IF(AW68=1,"",GE67))))</f>
        <v>15</v>
      </c>
      <c r="GE68">
        <f t="shared" si="204"/>
        <v>15</v>
      </c>
      <c r="GF68">
        <f>IF(B68="","",IFERROR(LOOKUP(INDEX(CHOOSE(DL68,Iдоп_1ж,Iдоп_2ж,Iдоп_3ж),MATCH(DX68,Iдоп_S,0))*DJ68*DK68,{6,10,16,20,25,32,40,50,63,80,100,125,160,200,250,315,400,500,630}),""))</f>
        <v>16</v>
      </c>
      <c r="GG68" t="str">
        <f t="shared" si="205"/>
        <v>QF15</v>
      </c>
      <c r="GH68" t="str">
        <f t="shared" si="206"/>
        <v>QF15</v>
      </c>
      <c r="GI68" t="str">
        <f t="shared" si="207"/>
        <v/>
      </c>
      <c r="GJ68">
        <f t="shared" si="208"/>
        <v>0</v>
      </c>
      <c r="GK68" t="str">
        <f>IF(OR(AG68="",AG68="-"),"",IFERROR(VLOOKUP(AG68,Модули_спр,2,FALSE),"R"))</f>
        <v/>
      </c>
      <c r="GL68" t="str">
        <f>IF(GK68="","",GK68&amp;"."&amp;COUNTIFS(A$3:A68,A68,GK$3:GK68,GK68))</f>
        <v/>
      </c>
      <c r="GM68" t="str">
        <f t="shared" si="209"/>
        <v/>
      </c>
      <c r="GN68" t="str">
        <f t="shared" si="210"/>
        <v/>
      </c>
      <c r="GO68" t="str">
        <f t="shared" si="211"/>
        <v/>
      </c>
      <c r="GP68" t="str">
        <f t="shared" si="212"/>
        <v/>
      </c>
      <c r="GQ68">
        <f t="shared" si="213"/>
        <v>1</v>
      </c>
      <c r="GR68" t="str">
        <f>IF(GQ68=1,"XT"&amp;COUNTIFS(A$3:A68,A68,GQ$3:GQ68,1),"")</f>
        <v>XT15</v>
      </c>
      <c r="GS68" t="str">
        <f t="shared" si="214"/>
        <v/>
      </c>
      <c r="GT68" t="str">
        <f t="shared" si="215"/>
        <v>QF15</v>
      </c>
      <c r="GU68" t="str">
        <f t="shared" si="216"/>
        <v/>
      </c>
      <c r="GV68" t="str">
        <f t="shared" si="217"/>
        <v>ok</v>
      </c>
      <c r="GW68" t="str">
        <f>IF(OR(GO68="",GM68=""),"",IF(GO68&gt;IFERROR(VLOOKUP(GN68,Модули_спр,3,FALSE),99),"ЛИШНИЙ КАНАЛ",IF(AND(AH68&lt;&gt;"=",COUNTIFS(Линии[_модуль гр.],GM68,Линии[Канал (итог)],GO68,Линии[Канал],"&lt;&gt;=",Линии[Щит],A68)&gt;1),"ДУБЛЬ КАНАЛА","")))</f>
        <v/>
      </c>
      <c r="GX68" s="6" t="str">
        <f t="shared" si="218"/>
        <v/>
      </c>
      <c r="GY68">
        <f t="shared" si="219"/>
        <v>10</v>
      </c>
      <c r="GZ68" t="str">
        <f t="shared" si="220"/>
        <v/>
      </c>
      <c r="HA68" t="str">
        <f>IF(AND(B68="",GT68=""),"",_xlfn.TEXTJOIN("; ",TRUE,IF(AND(B68&lt;&gt;"",FE68=""),"нет фазы",""),IF(AND(B68&lt;&gt;"",N(FY68)=0,EQ68&lt;&gt;"Нет"),"нет мощности",""),IF(AND(GS68&lt;&gt;"",COUNTIFS(Линии[Щит],A68,Линии[Клемма (итог)],GS68)&gt;1),"дубль клеммы "&amp;GS68,""),IF(AND(GV68&lt;&gt;"",GV68&lt;&gt;"ok"),GV68,""),IF(GW68&lt;&gt;"",GW68,""),IF(AND(N(BV68)&gt;=4,N(BR68)=1),BV68&amp;" жил на 1 фазе",""),IF(AND(AX68="R",CA68=1,OR(N(CK68)=0,N(CK68)&gt;30)),"розетка без дифзащиты до 30 мА",""),IFERROR(IF(AND(ISNUMBER(R68),R68&gt;DV68),"потери "&amp;FIXED(R68,1)&amp;" % &gt; "&amp;DV68&amp;" %",""),""),IFERROR(IF(LEFT(GZ68,4)="мало","Iкз мало — отключение &gt; 0,4 с",""),""),IF(AND(B68&lt;&gt;"",BH68=""),"не на схеме",""),IF(AND(CA68=0,B68&lt;&gt;"",FE68&lt;&gt;"",IF(AW68=1,"",FF67)&lt;&gt;"",FE68&lt;&gt;IF(AW68=1,"",FF67)),"фаза не как у автомата группы ("&amp;IF(AW68=1,"",FF67)&amp;")","")))</f>
        <v/>
      </c>
      <c r="HB68" s="6">
        <f>IF(OR(CA68=0,DA68=""),"",_xlfn.LET(_xlpm.t,IFERROR(_xlfn.XLOOKUP(DA68,Каталог!$U$4:$U$500,Каталог!$G$4:$G$500),""),_xlpm.k,SEARCH("кА",_xlpm.t),IFERROR(--TRIM(RIGHT(SUBSTITUTE(MID(_xlpm.t,MAX(1,_xlpm.k-4),_xlpm.k-MAX(1,_xlpm.k-4))," ",REPT(" ",9)),5)),"")))</f>
        <v>6</v>
      </c>
      <c r="HC68" t="str">
        <f>IF(OR(HB68="",CA68=0),"",IF(_xlfn.XLOOKUP(A68,Щиты[Щит],Щиты[Iкз max на шинах, кА],"")="","",IF(HB68&lt;_xlfn.XLOOKUP(A68,Щиты[Щит],Щиты[Iкз max на шинах, кА]),"Icu "&amp;HB68&amp;" кА &lt; Iкз max","ok")))</f>
        <v/>
      </c>
      <c r="HD68" t="str">
        <f t="shared" si="221"/>
        <v/>
      </c>
      <c r="HE68" t="str">
        <f t="shared" si="222"/>
        <v>QF15</v>
      </c>
      <c r="HF68" t="str">
        <f t="shared" si="223"/>
        <v>QF15|кабель ВВГнг(А)-LS (3х1,5) → Внутренний блок кондиционера Подвальный этаж Пом. №006Т</v>
      </c>
      <c r="HG68" t="str" cm="1">
        <f t="array" ref="HG68">IF(HF68="","",_xlfn.LET(_xlpm.nd,_xlfn.TEXTSPLIT(HF68,"|"),IF(COLUMNS(_xlpm.nd)&gt;1,A68&amp;"¦"&amp;INDEX(_xlpm.nd,1)&amp;"¦"&amp;INDEX(_xlpm.nd,2),"")))</f>
        <v>ЩОВ-001¦QF15¦кабель ВВГнг(А)-LS (3х1,5) → Внутренний блок кондиционера Подвальный этаж Пом. №006Т</v>
      </c>
      <c r="HH68" t="str">
        <f t="shared" si="224"/>
        <v>К.1.021А.1¦Внутренний блок кондиционера Подвальный этаж Пом. №006Т</v>
      </c>
      <c r="HI68" t="str" cm="1">
        <f t="array" ref="HI68">IF(HF68="","",_xlfn.LET(_xlpm.nd,_xlfn.TEXTSPLIT(HF68,"|"),IF(COLUMNS(_xlpm.nd)&gt;2,A68&amp;"¦"&amp;INDEX(_xlpm.nd,2)&amp;"¦"&amp;INDEX(_xlpm.nd,3),"")))</f>
        <v/>
      </c>
      <c r="HJ68" t="str">
        <f t="shared" si="225"/>
        <v/>
      </c>
      <c r="HK68" t="str" cm="1">
        <f t="array" ref="HK68">IF(HF68="","",_xlfn.LET(_xlpm.nd,_xlfn.TEXTSPLIT(HF68,"|"),IF(COLUMNS(_xlpm.nd)&gt;3,A68&amp;"¦"&amp;INDEX(_xlpm.nd,3)&amp;"¦"&amp;INDEX(_xlpm.nd,4),"")))</f>
        <v/>
      </c>
      <c r="HL68" t="str">
        <f t="shared" si="226"/>
        <v/>
      </c>
      <c r="HM68" t="str" cm="1">
        <f t="array" ref="HM68">IF(HF68="","",_xlfn.LET(_xlpm.nd,_xlfn.TEXTSPLIT(HF68,"|"),IF(COLUMNS(_xlpm.nd)&gt;4,A68&amp;"¦"&amp;INDEX(_xlpm.nd,4)&amp;"¦"&amp;INDEX(_xlpm.nd,5),"")))</f>
        <v/>
      </c>
      <c r="HN68" t="str">
        <f t="shared" si="227"/>
        <v/>
      </c>
      <c r="HO68" t="str" cm="1">
        <f t="array" ref="HO68">IF(HF68="","",_xlfn.LET(_xlpm.nd,_xlfn.TEXTSPLIT(HF68,"|"),IF(COLUMNS(_xlpm.nd)&gt;5,A68&amp;"¦"&amp;INDEX(_xlpm.nd,5)&amp;"¦"&amp;INDEX(_xlpm.nd,6),"")))</f>
        <v/>
      </c>
      <c r="HP68" t="str">
        <f t="shared" si="228"/>
        <v/>
      </c>
      <c r="HQ68" t="str" cm="1">
        <f t="array" ref="HQ68">IF(HF68="","",_xlfn.LET(_xlpm.nd,_xlfn.TEXTSPLIT(HF68,"|"),IF(COLUMNS(_xlpm.nd)&gt;6,A68&amp;"¦"&amp;INDEX(_xlpm.nd,6)&amp;"¦"&amp;INDEX(_xlpm.nd,7),"")))</f>
        <v/>
      </c>
      <c r="HR68" t="str">
        <f t="shared" si="229"/>
        <v/>
      </c>
      <c r="HS68" t="str">
        <f t="shared" si="230"/>
        <v/>
      </c>
      <c r="HT68" t="str">
        <f t="shared" si="231"/>
        <v>QF15</v>
      </c>
      <c r="HU68">
        <f t="shared" si="232"/>
        <v>0</v>
      </c>
      <c r="HV68">
        <f t="shared" si="233"/>
        <v>0</v>
      </c>
      <c r="HW68" t="str">
        <f t="shared" si="234"/>
        <v/>
      </c>
      <c r="HX68" t="str">
        <f t="shared" si="235"/>
        <v/>
      </c>
      <c r="HY68" t="str">
        <f t="shared" si="236"/>
        <v/>
      </c>
      <c r="HZ68" t="str">
        <f t="shared" si="237"/>
        <v/>
      </c>
      <c r="IA68" t="str">
        <f>IF(B68="","",IFERROR(VLOOKUP(B68,УГО_спр,2,FALSE),IFERROR(VLOOKUP(AX68,УГО_спр,2,FALSE),IFERROR(VLOOKUP(LEFT(AX68,2),УГО_спр,2,FALSE),""))))</f>
        <v>Привод (двигатель)</v>
      </c>
      <c r="IB68" t="str">
        <f>IF(B68="","",IF(OR(IA68="",IA68=0),"BOX",IFERROR(IF(VLOOKUP(IA68,УГО_блоки,3,FALSE)&amp;""&lt;&gt;"",VLOOKUP(IA68,УГО_блоки,3,FALSE),VLOOKUP(IA68,УГО_блоки,2,FALSE)),IA68)))</f>
        <v>MOTOR</v>
      </c>
      <c r="IC68">
        <f t="shared" si="238"/>
        <v>1</v>
      </c>
      <c r="ID68" t="str">
        <f>IF(DA68="","",IF(COUNTIF(DA$3:DA68,DA68)=1,MAX(ID$2:ID67)+1,""))</f>
        <v/>
      </c>
      <c r="IE68" t="str">
        <f>IF(CO68="","",IF(COUNTIF(CO$3:CO68,CO68)+COUNTIF(CP$2:CP67,CO68)+COUNTIF(CQ$2:CQ67,CO68)=1,MAX(IE$2:IG67)+1,""))</f>
        <v/>
      </c>
      <c r="IF68" t="str">
        <f>IF(CP68="","",IF(COUNTIF(CO$3:CO68,CP68)+COUNTIF(CP$3:CP68,CP68)+COUNTIF(CQ$2:CQ67,CP68)=1,MAX(IE$2:IG67,IE68)+1,""))</f>
        <v/>
      </c>
      <c r="IG68" t="str">
        <f>IF(CQ68="","",IF(COUNTIF(CO$3:CO68,CQ68)+COUNTIF(CP$3:CP68,CQ68)+COUNTIF(CQ$3:CQ68,CQ68)=1,MAX(IE$2:IG67,IE68,IF68)+1,""))</f>
        <v/>
      </c>
      <c r="IH68" t="str">
        <f t="shared" si="239"/>
        <v>3х1,5</v>
      </c>
      <c r="II68" t="str">
        <f>IF(IH68="","",IF(COUNTIF(IH$3:IH68,IH68)=1,MAX(II$2:II67)+1,""))</f>
        <v/>
      </c>
      <c r="IJ68" t="str">
        <f>IF(GL68="","",COUNTIF(GL$3:GL68,"?*"))</f>
        <v/>
      </c>
      <c r="IK68" t="str">
        <f>IF(OR(GL68="",GN68=""),"",IF(COUNTIFS(GL$3:GL68,"?*",GN$3:GN68,GN68)=1,MAX(IK$2:IK67)+1,""))</f>
        <v/>
      </c>
      <c r="IL68">
        <f t="shared" si="240"/>
        <v>0</v>
      </c>
      <c r="IM68">
        <f>IF(B68="","",COUNTIF(B$3:B68,"?*"))</f>
        <v>66</v>
      </c>
      <c r="IN68">
        <f>IF(GQ68&lt;&gt;1,0,_xlfn.LET(_xlpm.k,MAX(IFERROR(--VLOOKUP(B68,УГО_спр,5,FALSE),0),IFERROR(--VLOOKUP(AX68,УГО_спр,5,FALSE),0),IFERROR(--VLOOKUP(LEFT(AX68,2),УГО_спр,5,FALSE),0)),IF(_xlpm.k&gt;0,_xlpm.k,IF(IFERROR(--LEFT(SUBSTITUTE(IH68,"x","х"),FIND("х",SUBSTITUTE(IH68,"x","х"))-1),3)&gt;3,Каталог!$S$9,1))))</f>
        <v>1</v>
      </c>
      <c r="IO68">
        <f t="shared" si="241"/>
        <v>0</v>
      </c>
      <c r="IP68" t="str">
        <f t="shared" si="242"/>
        <v>авто</v>
      </c>
      <c r="IQ68" t="str">
        <f t="shared" si="243"/>
        <v/>
      </c>
      <c r="IR68">
        <f t="shared" si="244"/>
        <v>0</v>
      </c>
      <c r="IS68">
        <f t="shared" si="245"/>
        <v>1</v>
      </c>
    </row>
    <row r="69" spans="1:253" x14ac:dyDescent="0.3">
      <c r="A69" t="s">
        <v>749</v>
      </c>
      <c r="B69" t="s">
        <v>1341</v>
      </c>
      <c r="C69" t="s">
        <v>1619</v>
      </c>
      <c r="D69">
        <v>1</v>
      </c>
      <c r="E69">
        <v>1.9</v>
      </c>
      <c r="G69">
        <v>16</v>
      </c>
      <c r="H69" t="str">
        <f>Линии[[#This Row],[_авто утечка]]</f>
        <v/>
      </c>
      <c r="I69" t="str">
        <f>Линии[[#This Row],[_авто управление]]</f>
        <v/>
      </c>
      <c r="J69" t="str">
        <f>Линии[[#This Row],[_авто аппараты]]</f>
        <v/>
      </c>
      <c r="K69">
        <v>2.5</v>
      </c>
      <c r="L69">
        <v>36</v>
      </c>
      <c r="M69" t="str">
        <f>Линии[[#This Row],[_авто фаза]]</f>
        <v>L2</v>
      </c>
      <c r="N69" t="s">
        <v>486</v>
      </c>
      <c r="O69" t="str">
        <f t="shared" si="123"/>
        <v/>
      </c>
      <c r="P69" s="6" cm="1">
        <f t="array" ref="P69">IF(B69="","",IF(BC69&lt;&gt;"",IFERROR(_xlfn.XLOOKUP(BC69,Щиты[Щит],Щиты[Iр, А]),""),IF(BK69=1,IFERROR(_xlfn.XLOOKUP(A69,Щиты[Щит],Щиты[Iр, А]),""),IFERROR(_xlfn.IFS(BR69=1,BN69/((Uн_лин/SQRT(3))*BY69),BR69=3,BN69/(SQRT(3)*Uн_лин*BY69)),""))))</f>
        <v>10.284051669940206</v>
      </c>
      <c r="Q69" s="7">
        <f>IF(B69="","",IFERROR(IF(VLOOKUP(AX69,Потребители_обозначение,4,FALSE)=1,VLOOKUP(AX69,Потребители_обозначение,3,FALSE)*(D69*2-1)+DS69+VLOOKUP(AZ69,Этаж_обозначение,3,FALSE)+VLOOKUP(AZ69,Этаж_обозначение,4,FALSE),VLOOKUP(AX69,Потребители_обозначение,3,FALSE)*(D69*2-1)+DS69),DS69))</f>
        <v>38</v>
      </c>
      <c r="R69" s="6">
        <f t="shared" si="124"/>
        <v>3.1</v>
      </c>
      <c r="S69" t="str">
        <f t="shared" si="125"/>
        <v>ВВГнг(А)-LS (3х2,5)</v>
      </c>
      <c r="T69" t="str">
        <f>IF(BH69="","",IF(BI69="вводной узел","узел ","")&amp;"л."&amp;(INT((BH69-1)/Столбцов_на_лист)+1)&amp;" / "&amp;(MOD(BH69-1,Столбцов_на_лист)+1))</f>
        <v>л.3 / 1</v>
      </c>
      <c r="V69">
        <v>1</v>
      </c>
      <c r="W69">
        <v>230</v>
      </c>
      <c r="X69" t="s">
        <v>600</v>
      </c>
      <c r="Y69">
        <v>0.5</v>
      </c>
      <c r="AC69" t="s">
        <v>815</v>
      </c>
      <c r="AE69" t="s">
        <v>578</v>
      </c>
      <c r="AI69">
        <v>35</v>
      </c>
      <c r="AJ69" t="s">
        <v>11</v>
      </c>
      <c r="AK69">
        <v>3</v>
      </c>
      <c r="AN69">
        <v>35</v>
      </c>
      <c r="AP69">
        <v>1</v>
      </c>
      <c r="AW69" cm="1">
        <f t="array" ref="AW69">ROW()-ROW(Линии[#Headers])</f>
        <v>67</v>
      </c>
      <c r="AX69" s="6" t="str">
        <f t="shared" si="126"/>
        <v>K</v>
      </c>
      <c r="AY69" t="str">
        <f t="shared" si="127"/>
        <v>1</v>
      </c>
      <c r="AZ69" t="str">
        <f t="shared" si="128"/>
        <v>1</v>
      </c>
      <c r="BA69" t="str">
        <f t="shared" si="129"/>
        <v/>
      </c>
      <c r="BB69" t="str">
        <f t="shared" si="130"/>
        <v/>
      </c>
      <c r="BC69" t="str">
        <f>IF(U69&lt;&gt;"",U69,IF(AND(B69&lt;&gt;"",B69&lt;&gt;A69,ISNUMBER(_xlfn.XMATCH(B69,Щиты[Щит]))),B69,""))</f>
        <v/>
      </c>
      <c r="BD69" t="str" cm="1">
        <f t="array" ref="BD69">IF(B69="","",IF(BC69&lt;&gt;"","Щит "&amp;BC69,_xlfn.LET(_xlpm.nm,IFERROR(_xlfn.XLOOKUP(AX69,Коды_код,Коды_имя)&amp;"",""),_xlpm.md,IFERROR(N(_xlfn.XLOOKUP(AX69,Коды_код,Коды_режим)),1),_xlpm.ex,IF(Имя_режим="по экспликации",IFERROR(_xlfn.XLOOKUP(AZ69&amp;"|"&amp;BB69,Экспликация[Этаж]&amp;"|"&amp;Экспликация[Помещение],Экспликация[Название])&amp;"",""),""),_xlpm.rm,IF(BB69="","",IF(_xlpm.ex&lt;&gt;"",". "&amp;_xlpm.ex&amp;IF(Имя_пом="нет"," ("&amp;BB69&amp;")"," (пом. "&amp;BB69&amp;")"),IF(Имя_пом="нет"," ",", пом. ")&amp;BB69)),IF(_xlpm.nm="","",IF(_xlpm.md=2,_xlpm.nm&amp;" шлейф "&amp;AZ69,_xlpm.nm&amp;_xlpm.rm)))))</f>
        <v>Внутренний блок кондиционирования</v>
      </c>
      <c r="BE69" t="str">
        <f t="shared" si="131"/>
        <v>Внешний блок кондиционирования Пом. Венткиосок</v>
      </c>
      <c r="BF69">
        <f>IFERROR(_xlfn.XMATCH(A69,Щиты[Щит]),0)</f>
        <v>4</v>
      </c>
      <c r="BG69">
        <f>_xlfn.LET(_xlpm.k,IFERROR(_xlfn.XLOOKUP(A69,Щиты[Щит],Щиты[Листов под вводной узел]),""),IF(_xlpm.k="",1,N(_xlpm.k))*Столбцов_на_лист)</f>
        <v>17</v>
      </c>
      <c r="BH69">
        <f t="shared" si="132"/>
        <v>35</v>
      </c>
      <c r="BI69" t="str">
        <f t="shared" si="133"/>
        <v>линии</v>
      </c>
      <c r="BJ69" s="6">
        <f>IFERROR(N(_xlfn.XLOOKUP(AX69,Коды_код,Коды_квт)),0)</f>
        <v>0</v>
      </c>
      <c r="BK69">
        <f t="shared" si="134"/>
        <v>0</v>
      </c>
      <c r="BL69" t="str">
        <f>IF(B69="","",IF(BC69&lt;&gt;"",IFERROR(_xlfn.XLOOKUP(BC69,Щиты[Щит],Щиты[Руст, кВт]),0),IF(BK69=1,IFERROR(_xlfn.XLOOKUP(A69,Щиты[Щит],Щиты[Руст, кВт]),0),IF(BJ69&gt;0,ROUND(BJ69*MAX(1,N(D69)),3),""))))</f>
        <v/>
      </c>
      <c r="BM69">
        <f t="shared" si="135"/>
        <v>1.9</v>
      </c>
      <c r="BN69" s="6">
        <f>IF(B69="","",IF(BC69&lt;&gt;"",IFERROR(_xlfn.XLOOKUP(BC69,Щиты[Щит],Щиты[Руст, кВт]),0),N(BM69)))</f>
        <v>1.9</v>
      </c>
      <c r="BO69" t="str">
        <f>IF(B69="","",IFERROR(IF(VLOOKUP(AX69,Потребители_обозначение,8,FALSE)=0,"",VLOOKUP(AX69,Потребители_обозначение,8,FALSE)),""))</f>
        <v/>
      </c>
      <c r="BP69">
        <f t="shared" si="136"/>
        <v>230</v>
      </c>
      <c r="BQ69">
        <f>IF(B69="","",IF(BC69&lt;&gt;"",3,IFERROR(IF(N(VLOOKUP(AX69,Потребители_обозначение,9,FALSE))=0,1,VLOOKUP(AX69,Потребители_обозначение,9,FALSE)),1)))</f>
        <v>1</v>
      </c>
      <c r="BR69">
        <f t="shared" si="137"/>
        <v>1</v>
      </c>
      <c r="BS69" t="str">
        <f>IF(B69="","",_xlfn.LET(_xlpm.bc,IFERROR(IF(VLOOKUP(AX69,Потребители_обозначение,6,FALSE)=0,"",VLOOKUP(AX69,Потребители_обозначение,6,FALSE)&amp;""),""),IF(AND(FK69="да",OR(_xlpm.bc="",_xlpm.bc="мс")),Марка_пож,IF(AND(_xlpm.bc="",BC69&lt;&gt;""),"мс",_xlpm.bc))))</f>
        <v/>
      </c>
      <c r="BT69" t="str">
        <f t="shared" si="138"/>
        <v>мс</v>
      </c>
      <c r="BU69">
        <f>IF(B69="","",_xlfn.LET(_xlpm.cc,IFERROR(N(VLOOKUP(AX69,Потребители_обозначение,7,FALSE)),0),IF(_xlpm.cc&gt;0,_xlpm.cc,IF(BT69="","",IF(N(BR69)=3,5,3)))))</f>
        <v>3</v>
      </c>
      <c r="BV69">
        <f t="shared" si="139"/>
        <v>3</v>
      </c>
      <c r="BW69">
        <f>IFERROR(N(VLOOKUP(AX69,Потребители_обозначение,10,FALSE)),0)</f>
        <v>0</v>
      </c>
      <c r="BX69">
        <f>IFERROR(VLOOKUP(AX69,Потребители_обозначение,5,FALSE),0)</f>
        <v>1</v>
      </c>
      <c r="BY69" s="6" cm="1">
        <f t="array" ref="BY69">IF(B69="","",IF(BC69&lt;&gt;"",IFERROR(_xlfn.XLOOKUP(BC69,Щиты[Щит],Щиты[cos φ]),0.95),IF(BK69=1,IFERROR(_xlfn.XLOOKUP(A69,Щиты[Щит],Щиты[cos φ]),0.95),IF(ISNUMBER(Z69),Z69,IFERROR(IF(BX69=2,_xlfn.IFS(BR69=3,VLOOKUP(BN69,Справочная_двигатели,8,FALSE),BR69=1,VLOOKUP(BN69,Справочная_двигатели,10,TRUE)),IF(AND(Методика="нормы 2026",EQ69="Сил"),0.8,0.95)),0.95)))))</f>
        <v>0.8</v>
      </c>
      <c r="BZ69">
        <f t="shared" si="140"/>
        <v>0</v>
      </c>
      <c r="CA69">
        <f t="shared" si="141"/>
        <v>1</v>
      </c>
      <c r="CB69">
        <f t="shared" si="142"/>
        <v>0</v>
      </c>
      <c r="CC69">
        <f t="shared" si="143"/>
        <v>0</v>
      </c>
      <c r="CD69">
        <f t="shared" si="144"/>
        <v>0</v>
      </c>
      <c r="CE69">
        <f t="shared" si="145"/>
        <v>0</v>
      </c>
      <c r="CF69">
        <f t="shared" si="146"/>
        <v>0</v>
      </c>
      <c r="CG69">
        <f>IF(AX69="",0,_xlfn.LET(_xlpm.v,IFERROR(VLOOKUP(B69,УГО_спр,3,FALSE),IFERROR(VLOOKUP(AX69,УГО_спр,3,FALSE),IFERROR(VLOOKUP(LEFT(AX69,2),УГО_спр,3,FALSE),""))),IF(_xlpm.v="да",30,IF(ISNUMBER(_xlpm.v),_xlpm.v,0))))</f>
        <v>0</v>
      </c>
      <c r="CH69" t="str">
        <f t="shared" si="147"/>
        <v/>
      </c>
      <c r="CI69" t="str">
        <f>_xlfn.LET(_xlpm.k,IFERROR(_xlfn.XLOOKUP(AX69,Коды_код,Коды_утечка)&amp;"",""),IF(_xlpm.k="","дифавтомат",_xlpm.k))</f>
        <v>дифавтомат</v>
      </c>
      <c r="CJ69">
        <f t="shared" si="148"/>
        <v>0</v>
      </c>
      <c r="CK69">
        <f t="shared" si="149"/>
        <v>0</v>
      </c>
      <c r="CL69">
        <f>IF(B69="",0,IFERROR(--VLOOKUP(B69,УГО_спр,4,FALSE),IFERROR(--VLOOKUP(AX69,УГО_спр,4,FALSE),IFERROR(--VLOOKUP(LEFT(AX69,2),УГО_спр,4,FALSE),0))))</f>
        <v>0</v>
      </c>
      <c r="CM69" t="str">
        <f>IF(B69="","",IFERROR(_xlfn.XLOOKUP(AX69,Коды_код,Коды_апп)&amp;"",""))</f>
        <v/>
      </c>
      <c r="CN69" t="str">
        <f t="shared" si="150"/>
        <v/>
      </c>
      <c r="CO69" t="str" cm="1">
        <f t="array" ref="CO69">IF(TRIM(CN69&amp;"")="","",IFERROR(TRIM(INDEX(_xlfn.TEXTSPLIT(CN69&amp;";;;",";"),1)),""))</f>
        <v/>
      </c>
      <c r="CP69" t="str" cm="1">
        <f t="array" ref="CP69">IF(TRIM(CN69&amp;"")="","",IFERROR(TRIM(INDEX(_xlfn.TEXTSPLIT(CN69&amp;";;;",";"),2)),""))</f>
        <v/>
      </c>
      <c r="CQ69" t="str" cm="1">
        <f t="array" ref="CQ69">IF(TRIM(CN69&amp;"")="","",IFERROR(TRIM(INDEX(_xlfn.TEXTSPLIT(CN69&amp;";;;",";"),3)),""))</f>
        <v/>
      </c>
      <c r="CR69">
        <f t="shared" si="151"/>
        <v>0</v>
      </c>
      <c r="CS69" t="str">
        <f>IF(B69="","",_xlfn.LET(_xlpm.t,LOWER(AV69&amp;""),IF(ISNUMBER(SEARCH("dim",_xlpm.t)),"DIM",IF(ISNUMBER(SEARCH("dali",_xlpm.t)),"DALI",IF(OR(ISNUMBER(SEARCH("relay",_xlpm.t)),ISNUMBER(SEARCH("реле",_xlpm.t))),"Relay",IF(ISNUMBER(SEARCH("кнопк",_xlpm.t)),"",IFERROR(_xlfn.XLOOKUP(AX69,Коды_код,Коды_упр)&amp;"","")))))))</f>
        <v/>
      </c>
      <c r="CT69" t="str">
        <f t="shared" si="152"/>
        <v/>
      </c>
      <c r="CU69">
        <f>IF(B69="","",_xlfn.LET(_xlpm.ig,N(P69)+IF(AF69="вручную",0,N(CB69)),_xlpm.n0,IFERROR(VLOOKUP(_xlpm.ig,Автомат_номиналы,2,TRUE),0),_xlpm.mn,MAX(CL69,IF(AF69="вручную",0,N(CE69))),MAX(_xlpm.n0,_xlpm.mn,IF(CR69=1,Мин_автомат_БП,0))))</f>
        <v>16</v>
      </c>
      <c r="CV69">
        <f t="shared" si="153"/>
        <v>1</v>
      </c>
      <c r="CW69" t="str">
        <f t="shared" si="154"/>
        <v>1P</v>
      </c>
      <c r="CX69" t="str">
        <f>_xlfn.LET(_xlpm.cc,UPPER(TRIM(IFERROR(_xlfn.XLOOKUP(AX69,Коды_код,Коды_хар)&amp;"",""))),IF(OR(_xlpm.cc="B",_xlpm.cc="В"),"B",IF(_xlpm.cc="D","D","С")))</f>
        <v>С</v>
      </c>
      <c r="CY69" t="str">
        <f t="shared" si="155"/>
        <v>1P С16А</v>
      </c>
      <c r="CZ69">
        <f t="shared" si="156"/>
        <v>16</v>
      </c>
      <c r="DA69" t="str">
        <f t="shared" si="157"/>
        <v>1P С16А</v>
      </c>
      <c r="DB69" cm="1">
        <f t="array" ref="DB69">IF(DA69="","",_xlfn.LET(_xlpm.t,SUBSTITUTE(SUBSTITUTE(SUBSTITUTE(UPPER(DA69),"С","C"),"А","A"),"В","B"),_xlpm.tk,_xlfn.TEXTSPLIT(_xlpm.t,"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69" t="str">
        <f t="shared" si="158"/>
        <v>ok</v>
      </c>
      <c r="DD69">
        <f t="shared" si="159"/>
        <v>16</v>
      </c>
      <c r="DE69" t="str">
        <f t="shared" si="160"/>
        <v>1P С16А</v>
      </c>
      <c r="DF69">
        <f t="shared" si="161"/>
        <v>0</v>
      </c>
      <c r="DG69">
        <f t="shared" si="162"/>
        <v>0</v>
      </c>
      <c r="DH69">
        <f t="shared" si="163"/>
        <v>0</v>
      </c>
      <c r="DI69">
        <f t="shared" si="164"/>
        <v>10.284051669940206</v>
      </c>
      <c r="DJ69">
        <f t="shared" si="165"/>
        <v>1</v>
      </c>
      <c r="DK69">
        <f>IF(ISNUMBER(AL69),AL69,К_прокл)</f>
        <v>1</v>
      </c>
      <c r="DL69">
        <f t="shared" si="166"/>
        <v>2</v>
      </c>
      <c r="DM69">
        <f>IFERROR(N(VLOOKUP(BT69,Кабель_обозначение,3,FALSE)),1)</f>
        <v>1</v>
      </c>
      <c r="DN69">
        <f>IFERROR(N(_xlfn.XLOOKUP(A69,Щиты[Щит],Щиты[ΔU до шин, %])),0)</f>
        <v>0.64</v>
      </c>
      <c r="DO69" t="str">
        <f>IFERROR(_xlfn.XLOOKUP(A69,Щиты[Щит],Щиты[Zпетли на шинах, Ом]),"")</f>
        <v/>
      </c>
      <c r="DP69">
        <f>IFERROR(N(_xlfn.XLOOKUP(A69,Щиты[Щит],Щиты[ΔU до шин (подбор), %])),0)</f>
        <v>0.75</v>
      </c>
      <c r="DQ69" t="str">
        <f>IFERROR(_xlfn.XLOOKUP(A69,Щиты[Щит],Щиты[Zпетли на шинах (подбор), Ом]),"")</f>
        <v/>
      </c>
      <c r="DR69" t="str">
        <f t="shared" si="167"/>
        <v/>
      </c>
      <c r="DS69">
        <f t="shared" si="168"/>
        <v>36</v>
      </c>
      <c r="DT69">
        <f t="shared" si="169"/>
        <v>2</v>
      </c>
      <c r="DU69">
        <f t="shared" si="170"/>
        <v>0.6</v>
      </c>
      <c r="DV69" s="6">
        <f>IF(B69="","",IF(IFERROR(VLOOKUP(AX69,УГО_спр,2,FALSE),"")="Светильник",3,4)+IF(Методика="нормы 2026",MIN(0.5,MAX(0,N(Q69)-100)*0.005),0))</f>
        <v>4</v>
      </c>
      <c r="DW69" cm="1">
        <f t="array" ref="DW69">IF(OR(B69="",BT69="",DM69&lt;&gt;1),"",_xlfn.LET(_xlpm.sz,Iдоп_S,_xlpm.t_,CHOOSE(DL69,Iдоп_1ж,Iдоп_2ж,Iдоп_3ж)*DJ69*DK69,_xlpm.inn,N(DD69),_xlpm.smin,MAX(1.5,BW69),_xlpm.L_,N(Q69)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69)*(_xlpm.rho*_xlpm.L_/_xlpm.sz*N(BY69)+_xlpm.xx*_xlpm.L_*N(DU69)/1000)*N(P69)/((Uн_лин/SQRT(3))*1000)*100,999),_xlpm.kz,IF(OR(DG69=1,NOT(ISNUMBER(DQ69)),_xlpm.L_=0,_xlpm.inn=0),1,IFERROR(--(c_min*(Uн_лин*1000/SQRT(3))/(DQ69+2*ρкз_Cu*_xlpm.L_/_xlpm.sz)&gt;=GY69*_xlpm.inn),0)),_xlpm.ok,IFERROR((_xlpm.sz&gt;=_xlpm.smin)*(_xlpm.t_&gt;=_xlpm.inn)*IF(_xlpm.L_&gt;0,(_xlpm.du_+DP69&lt;=DV69+0.00001),1)*_xlpm.kz,0),_xlpm.r_,_xlfn._xlws.FILTER(_xlpm.sz,_xlpm.ok,"не подобрано"),INDEX(_xlpm.r_,1)))</f>
        <v>2.5</v>
      </c>
      <c r="DX69">
        <f t="shared" si="171"/>
        <v>2.5</v>
      </c>
      <c r="DY69" cm="1">
        <f t="array" ref="DY69">IF(OR(B69="",BT69="",DM69&lt;&gt;1),"",_xlfn.LET(_xlpm.sz,Iдоп_S,_xlpm.t_,CHOOSE(DL69,Iдоп_1ж,Iдоп_2ж,Iдоп_3ж)*DJ69*DK69,_xlpm.ok,IFERROR((_xlpm.sz&gt;=MAX(1.5,BW69))*(_xlpm.t_&gt;=N(DD69)),0),_xlpm.r_,_xlfn._xlws.FILTER(_xlpm.sz,_xlpm.ok,""),INDEX(_xlpm.r_,1)))</f>
        <v>1.5</v>
      </c>
      <c r="DZ69" s="6" cm="1">
        <f t="array" ref="DZ69">IFERROR(ROUNDUP(N(DT69)*(_xlfn.XLOOKUP(DY69,INDEX(Кабель_сопротивление,0,1),INDEX(Кабель_сопротивление,0,3))*N(Q69)/DY69*N(BY69)+_xlfn.XLOOKUP(DY69,INDEX(Кабель_сопротивление,0,1),INDEX(Кабель_сопротивление,0,2))*N(Q69)*N(DU69)/1000)*N(P69)/((Uн_лин/SQRT(3))*1000)*100,2),"")</f>
        <v>4.09</v>
      </c>
      <c r="EA69">
        <f>IFERROR(2*ρкз_Cu*N(Q69)/DY69,"")</f>
        <v>1.3325333333333333</v>
      </c>
      <c r="EB69">
        <f>IFERROR(VLOOKUP(DX69,Кабель_сопротивление,3,FALSE),"")</f>
        <v>2.2499999999999999E-2</v>
      </c>
      <c r="EC69">
        <f>IFERROR(VLOOKUP(DX69,Кабель_сопротивление,2,FALSE),"")</f>
        <v>0.1</v>
      </c>
      <c r="ED69">
        <f t="shared" si="172"/>
        <v>35</v>
      </c>
      <c r="EE69">
        <f t="shared" si="173"/>
        <v>0</v>
      </c>
      <c r="EF69">
        <f t="shared" si="174"/>
        <v>5.6743283494062089</v>
      </c>
      <c r="EG69" s="6">
        <f>IFERROR(ROUNDUP(EF69/((Uн_лин/SQRT(3))*1000)*100,2),"")</f>
        <v>2.46</v>
      </c>
      <c r="EH69" t="str">
        <f>IFERROR(VLOOKUP(BT69,Кабель_обозначение,2,FALSE),"")</f>
        <v>ВВГнг(А)-LS</v>
      </c>
      <c r="EI69" t="str">
        <f t="shared" si="175"/>
        <v>ВВГнг(А)-LS (3х2,5)</v>
      </c>
      <c r="EJ69" t="str">
        <f t="shared" si="176"/>
        <v>ВВГнг(А)-LS (3х2,5)
L=38-2,46%</v>
      </c>
      <c r="EK69">
        <f>IFERROR(2*ρкз_Cu*Q69/DX69,"")</f>
        <v>0.79952000000000001</v>
      </c>
      <c r="EL69">
        <f t="shared" si="177"/>
        <v>0.26600000000000001</v>
      </c>
      <c r="EM69" s="6" t="str">
        <f>IFERROR(IF(OR(B69="",NOT(ISNUMBER(DX69)),N(Q69)=0),"",_xlfn.XLOOKUP(A69,Щиты[Щит],Щиты[Zпетли на шинах, Ом])+EK69),"")</f>
        <v/>
      </c>
      <c r="EN69" s="6" t="str">
        <f>IF(ISNUMBER(EM69),c_min*(Uн_лин*1000/SQRT(3))/EM69,"")</f>
        <v/>
      </c>
      <c r="EO69" s="6" t="str">
        <f>IFERROR(IF(OR(B69="",NOT(ISNUMBER(DX69))),"",1.05*(Uн_лин*1000/SQRT(3))/(_xlfn.XLOOKUP(A69,Щиты[Щит],Щиты[Zmax на шинах, Ом])+EL69)/1000),"")</f>
        <v/>
      </c>
      <c r="EP69" s="6" t="str">
        <f>IF(B69="","",IF(ISNUMBER(Y69),"Сил",IF(IFERROR(_xlfn.XLOOKUP(AX69,Коды_код,Коды_группа)&amp;"","")="","Быт",_xlfn.XLOOKUP(AX69,Коды_код,Коды_группа)&amp;"")))</f>
        <v>Сил</v>
      </c>
      <c r="EQ69" s="6" t="str">
        <f t="shared" si="178"/>
        <v>Сил</v>
      </c>
      <c r="ER69" s="6">
        <f>IF(EQ69="Щит","щит",IF(EQ69="","",IF(EQ69="Быт",IFERROR(_xlfn.XLOOKUP(A69,Щиты[Щит],Щиты[Кс быт]),1),IF(EQ69="Сил",IF(ISNUMBER(Y69),Y69,IF(Методика="нормы 2026",IFERROR(_xlfn.XLOOKUP(A69,Щиты[Щит],Щиты[Кс силовых (табл. 7.5)]),1),1)),IF(OR(EQ69="Пост",EQ69="Отоп"),1,IF(EQ69="ВНГ",0.7,0))))))</f>
        <v>0.5</v>
      </c>
      <c r="ES69">
        <f t="shared" si="179"/>
        <v>1</v>
      </c>
      <c r="ET69">
        <f t="shared" si="180"/>
        <v>1.9</v>
      </c>
      <c r="EU69">
        <f t="shared" si="181"/>
        <v>0</v>
      </c>
      <c r="EV69">
        <f t="shared" si="182"/>
        <v>0.95</v>
      </c>
      <c r="EW69">
        <f t="shared" si="183"/>
        <v>0</v>
      </c>
      <c r="EX69">
        <f t="shared" si="184"/>
        <v>0</v>
      </c>
      <c r="EY69">
        <f t="shared" si="185"/>
        <v>0</v>
      </c>
      <c r="EZ69">
        <f t="shared" si="186"/>
        <v>1.9</v>
      </c>
      <c r="FA69">
        <f t="shared" si="187"/>
        <v>1.52</v>
      </c>
      <c r="FB69">
        <f t="shared" si="188"/>
        <v>1.9</v>
      </c>
      <c r="FC69" t="str">
        <f t="shared" si="189"/>
        <v/>
      </c>
      <c r="FD69" t="str">
        <f>IF(B69="","",IF(CA69=0,IF(AW69=1,"",FF68),IF(OR(N(CV69)&gt;=3,N(BR69)&gt;=3),"L1,L2,L3",IFERROR(_xlfn.TEXTBEFORE(_xlfn.TEXTAFTER(_xlfn.XLOOKUP(A69,Щиты[Щит],Щиты[_фазы авто]),";"&amp;AW69&amp;":"),";"),"L1"))))</f>
        <v>L2</v>
      </c>
      <c r="FE69" t="str">
        <f t="shared" si="190"/>
        <v>L2</v>
      </c>
      <c r="FF69" t="str">
        <f t="shared" si="191"/>
        <v>L2</v>
      </c>
      <c r="FG69" cm="1">
        <f t="array" ref="FG69">IFERROR(IF(BX69=2,_xlfn.IFS(BR69=3,VLOOKUP(BN69,Справочная_двигатели,3,FALSE),BR69=1,VLOOKUP(BN69,Справочная_двигатели,5,TRUE)),0),0)</f>
        <v>0</v>
      </c>
      <c r="FH69">
        <f>IFERROR(IF(BX69=3,VLOOKUP(BN69,Справочная_ЛЭД,2,TRUE),0),0)</f>
        <v>0</v>
      </c>
      <c r="FI69" s="6">
        <f t="shared" si="192"/>
        <v>0</v>
      </c>
      <c r="FJ69" t="str" cm="1">
        <f t="array" ref="FJ69">IF(B69="","",IFERROR(INDEX({"I особая","I","II","III"},MATCH(TRIM(AC69&amp;""),{"I особая","I","II","III"},0)),"III"))</f>
        <v>II</v>
      </c>
      <c r="FK69" t="str">
        <f>IF(B69="","",IF(TRIM(AD69&amp;"")&lt;&gt;"",IF(LOWER(TRIM(AD69&amp;""))="да","да","нет"),IF(IFERROR(_xlfn.XLOOKUP(AX69,Коды_код,Коды_пожарная),"")="да","да","нет")))</f>
        <v>нет</v>
      </c>
      <c r="FL69" t="str">
        <f t="shared" si="193"/>
        <v/>
      </c>
      <c r="FM69" t="str">
        <f t="shared" si="194"/>
        <v>основная</v>
      </c>
      <c r="FN69">
        <f t="shared" si="195"/>
        <v>1</v>
      </c>
      <c r="FO69" t="str" cm="1">
        <f t="array" ref="FO69">IF(B69="","",_xlfn.LET(_xlpm.t,IFERROR(_xlfn.XLOOKUP(1,(Шины[Шина]=FM69)*(((Шины[Щит]=A69)+(Шины[Щит]=""))&gt;0),Шины[Тип]),"")&amp;"",IF(_xlpm.t&lt;&gt;"",_xlpm.t,IF(ISNUMBER(SEARCH("ИБП",FM69)),"ИБП",IF(ISNUMBER(SEARCH("ДГУ",FM69)),"ДГУ","Ввод "&amp;FN69)))))</f>
        <v>Ввод 1</v>
      </c>
      <c r="FP69" t="str">
        <f t="shared" si="196"/>
        <v>Ввод 1</v>
      </c>
      <c r="FQ69" t="str">
        <f>IF(B69="","",IF(OR(FO69="ИБП",FO69="ДГУ"),"I особая",IF(FO69="Одиночная","III",_xlfn.XLOOKUP(A69,Щиты[Щит],Щиты[Категория шины «Ввод»],"III"))))</f>
        <v>II</v>
      </c>
      <c r="FR69">
        <f>IF(B69="",0,IFERROR(MATCH(FJ69,{"III","II","I","I особая"},0),1))</f>
        <v>2</v>
      </c>
      <c r="FS69">
        <f t="shared" si="197"/>
        <v>2</v>
      </c>
      <c r="FT69" t="str">
        <f>IF(B69="","",IF(FR69&gt;IFERROR(MATCH(FQ69,{"III","II","I","I особая"},0),1),"НЕ ОБЕСПЕЧЕНА","ОК"))</f>
        <v>ОК</v>
      </c>
      <c r="FU69" t="str">
        <f>IF(A69="","",_xlfn.XLOOKUP(A69,Щиты[Щит],Щиты[Путь],""))</f>
        <v>|ГРЩ-ЖД|ЩОВ-001|</v>
      </c>
      <c r="FV69" t="str">
        <f>IF(B69="","",IF(AE69&lt;&gt;"",AE69,IF(IFERROR(_xlfn.XLOOKUP(AX69,Коды_код,Коды_вид)&amp;"","")="","Прочее",_xlfn.XLOOKUP(AX69,Коды_код,Коды_вид)&amp;"")))</f>
        <v>Кондиционирование и увлажнение</v>
      </c>
      <c r="FW69">
        <f>IF(BH69="","",INT((BH69-1)/Столбцов_на_лист)+1)</f>
        <v>3</v>
      </c>
      <c r="FX69" t="str">
        <f t="shared" si="198"/>
        <v>ВВГнг(А)-LS (3х2,5) L=38-2,46%</v>
      </c>
      <c r="FY69">
        <f t="shared" si="199"/>
        <v>1.9</v>
      </c>
      <c r="FZ69">
        <f t="shared" si="200"/>
        <v>10.29</v>
      </c>
      <c r="GA69">
        <f t="shared" si="201"/>
        <v>1</v>
      </c>
      <c r="GB69">
        <f t="shared" si="202"/>
        <v>0</v>
      </c>
      <c r="GC69">
        <f t="shared" si="203"/>
        <v>1</v>
      </c>
      <c r="GD69">
        <f>IF(BH69="","",IF(AND(CA69=1,GC69=1),COUNTIFS(A$3:A69,A69,CA$3:CA69,1,GC$3:GC69,1),IF(OR(OR(AW69=1,A69&lt;&gt;A68),AF69="вручную",GC69=0),"",IF(AW69=1,"",GE68))))</f>
        <v>16</v>
      </c>
      <c r="GE69">
        <f t="shared" si="204"/>
        <v>16</v>
      </c>
      <c r="GF69">
        <f>IF(B69="","",IFERROR(LOOKUP(INDEX(CHOOSE(DL69,Iдоп_1ж,Iдоп_2ж,Iдоп_3ж),MATCH(DX69,Iдоп_S,0))*DJ69*DK69,{6,10,16,20,25,32,40,50,63,80,100,125,160,200,250,315,400,500,630}),""))</f>
        <v>25</v>
      </c>
      <c r="GG69" t="str">
        <f t="shared" si="205"/>
        <v>QF16</v>
      </c>
      <c r="GH69" t="str">
        <f t="shared" si="206"/>
        <v>QF16</v>
      </c>
      <c r="GI69" t="str">
        <f t="shared" si="207"/>
        <v/>
      </c>
      <c r="GJ69">
        <f t="shared" si="208"/>
        <v>0</v>
      </c>
      <c r="GK69" t="str">
        <f>IF(OR(AG69="",AG69="-"),"",IFERROR(VLOOKUP(AG69,Модули_спр,2,FALSE),"R"))</f>
        <v/>
      </c>
      <c r="GL69" t="str">
        <f>IF(GK69="","",GK69&amp;"."&amp;COUNTIFS(A$3:A69,A69,GK$3:GK69,GK69))</f>
        <v/>
      </c>
      <c r="GM69" t="str">
        <f t="shared" si="209"/>
        <v/>
      </c>
      <c r="GN69" t="str">
        <f t="shared" si="210"/>
        <v/>
      </c>
      <c r="GO69" t="str">
        <f t="shared" si="211"/>
        <v/>
      </c>
      <c r="GP69" t="str">
        <f t="shared" si="212"/>
        <v/>
      </c>
      <c r="GQ69">
        <f t="shared" si="213"/>
        <v>1</v>
      </c>
      <c r="GR69" t="str">
        <f>IF(GQ69=1,"XT"&amp;COUNTIFS(A$3:A69,A69,GQ$3:GQ69,1),"")</f>
        <v>XT16</v>
      </c>
      <c r="GS69" t="str">
        <f t="shared" si="214"/>
        <v/>
      </c>
      <c r="GT69" t="str">
        <f t="shared" si="215"/>
        <v>QF16</v>
      </c>
      <c r="GU69" t="str">
        <f t="shared" si="216"/>
        <v/>
      </c>
      <c r="GV69" t="str">
        <f t="shared" si="217"/>
        <v>ok</v>
      </c>
      <c r="GW69" t="str">
        <f>IF(OR(GO69="",GM69=""),"",IF(GO69&gt;IFERROR(VLOOKUP(GN69,Модули_спр,3,FALSE),99),"ЛИШНИЙ КАНАЛ",IF(AND(AH69&lt;&gt;"=",COUNTIFS(Линии[_модуль гр.],GM69,Линии[Канал (итог)],GO69,Линии[Канал],"&lt;&gt;=",Линии[Щит],A69)&gt;1),"ДУБЛЬ КАНАЛА","")))</f>
        <v/>
      </c>
      <c r="GX69" s="6" t="str">
        <f t="shared" si="218"/>
        <v/>
      </c>
      <c r="GY69">
        <f t="shared" si="219"/>
        <v>10</v>
      </c>
      <c r="GZ69" t="str">
        <f t="shared" si="220"/>
        <v/>
      </c>
      <c r="HA69" t="str">
        <f>IF(AND(B69="",GT69=""),"",_xlfn.TEXTJOIN("; ",TRUE,IF(AND(B69&lt;&gt;"",FE69=""),"нет фазы",""),IF(AND(B69&lt;&gt;"",N(FY69)=0,EQ69&lt;&gt;"Нет"),"нет мощности",""),IF(AND(GS69&lt;&gt;"",COUNTIFS(Линии[Щит],A69,Линии[Клемма (итог)],GS69)&gt;1),"дубль клеммы "&amp;GS69,""),IF(AND(GV69&lt;&gt;"",GV69&lt;&gt;"ok"),GV69,""),IF(GW69&lt;&gt;"",GW69,""),IF(AND(N(BV69)&gt;=4,N(BR69)=1),BV69&amp;" жил на 1 фазе",""),IF(AND(AX69="R",CA69=1,OR(N(CK69)=0,N(CK69)&gt;30)),"розетка без дифзащиты до 30 мА",""),IFERROR(IF(AND(ISNUMBER(R69),R69&gt;DV69),"потери "&amp;FIXED(R69,1)&amp;" % &gt; "&amp;DV69&amp;" %",""),""),IFERROR(IF(LEFT(GZ69,4)="мало","Iкз мало — отключение &gt; 0,4 с",""),""),IF(AND(B69&lt;&gt;"",BH69=""),"не на схеме",""),IF(AND(CA69=0,B69&lt;&gt;"",FE69&lt;&gt;"",IF(AW69=1,"",FF68)&lt;&gt;"",FE69&lt;&gt;IF(AW69=1,"",FF68)),"фаза не как у автомата группы ("&amp;IF(AW69=1,"",FF68)&amp;")","")))</f>
        <v/>
      </c>
      <c r="HB69" s="6">
        <f>IF(OR(CA69=0,DA69=""),"",_xlfn.LET(_xlpm.t,IFERROR(_xlfn.XLOOKUP(DA69,Каталог!$U$4:$U$500,Каталог!$G$4:$G$500),""),_xlpm.k,SEARCH("кА",_xlpm.t),IFERROR(--TRIM(RIGHT(SUBSTITUTE(MID(_xlpm.t,MAX(1,_xlpm.k-4),_xlpm.k-MAX(1,_xlpm.k-4))," ",REPT(" ",9)),5)),"")))</f>
        <v>6</v>
      </c>
      <c r="HC69" t="str">
        <f>IF(OR(HB69="",CA69=0),"",IF(_xlfn.XLOOKUP(A69,Щиты[Щит],Щиты[Iкз max на шинах, кА],"")="","",IF(HB69&lt;_xlfn.XLOOKUP(A69,Щиты[Щит],Щиты[Iкз max на шинах, кА]),"Icu "&amp;HB69&amp;" кА &lt; Iкз max","ok")))</f>
        <v/>
      </c>
      <c r="HD69" t="str">
        <f t="shared" si="221"/>
        <v/>
      </c>
      <c r="HE69" t="str">
        <f t="shared" si="222"/>
        <v>QF16</v>
      </c>
      <c r="HF69" t="str">
        <f t="shared" si="223"/>
        <v>QF16|кабель ВВГнг(А)-LS (3х2,5) → Внешний блок кондиционирования Пом. Венткиосок</v>
      </c>
      <c r="HG69" t="str" cm="1">
        <f t="array" ref="HG69">IF(HF69="","",_xlfn.LET(_xlpm.nd,_xlfn.TEXTSPLIT(HF69,"|"),IF(COLUMNS(_xlpm.nd)&gt;1,A69&amp;"¦"&amp;INDEX(_xlpm.nd,1)&amp;"¦"&amp;INDEX(_xlpm.nd,2),"")))</f>
        <v>ЩОВ-001¦QF16¦кабель ВВГнг(А)-LS (3х2,5) → Внешний блок кондиционирования Пом. Венткиосок</v>
      </c>
      <c r="HH69" t="str">
        <f t="shared" si="224"/>
        <v>K.1¦Внешний блок кондиционирования Пом. Венткиосок</v>
      </c>
      <c r="HI69" t="str" cm="1">
        <f t="array" ref="HI69">IF(HF69="","",_xlfn.LET(_xlpm.nd,_xlfn.TEXTSPLIT(HF69,"|"),IF(COLUMNS(_xlpm.nd)&gt;2,A69&amp;"¦"&amp;INDEX(_xlpm.nd,2)&amp;"¦"&amp;INDEX(_xlpm.nd,3),"")))</f>
        <v/>
      </c>
      <c r="HJ69" t="str">
        <f t="shared" si="225"/>
        <v/>
      </c>
      <c r="HK69" t="str" cm="1">
        <f t="array" ref="HK69">IF(HF69="","",_xlfn.LET(_xlpm.nd,_xlfn.TEXTSPLIT(HF69,"|"),IF(COLUMNS(_xlpm.nd)&gt;3,A69&amp;"¦"&amp;INDEX(_xlpm.nd,3)&amp;"¦"&amp;INDEX(_xlpm.nd,4),"")))</f>
        <v/>
      </c>
      <c r="HL69" t="str">
        <f t="shared" si="226"/>
        <v/>
      </c>
      <c r="HM69" t="str" cm="1">
        <f t="array" ref="HM69">IF(HF69="","",_xlfn.LET(_xlpm.nd,_xlfn.TEXTSPLIT(HF69,"|"),IF(COLUMNS(_xlpm.nd)&gt;4,A69&amp;"¦"&amp;INDEX(_xlpm.nd,4)&amp;"¦"&amp;INDEX(_xlpm.nd,5),"")))</f>
        <v/>
      </c>
      <c r="HN69" t="str">
        <f t="shared" si="227"/>
        <v/>
      </c>
      <c r="HO69" t="str" cm="1">
        <f t="array" ref="HO69">IF(HF69="","",_xlfn.LET(_xlpm.nd,_xlfn.TEXTSPLIT(HF69,"|"),IF(COLUMNS(_xlpm.nd)&gt;5,A69&amp;"¦"&amp;INDEX(_xlpm.nd,5)&amp;"¦"&amp;INDEX(_xlpm.nd,6),"")))</f>
        <v/>
      </c>
      <c r="HP69" t="str">
        <f t="shared" si="228"/>
        <v/>
      </c>
      <c r="HQ69" t="str" cm="1">
        <f t="array" ref="HQ69">IF(HF69="","",_xlfn.LET(_xlpm.nd,_xlfn.TEXTSPLIT(HF69,"|"),IF(COLUMNS(_xlpm.nd)&gt;6,A69&amp;"¦"&amp;INDEX(_xlpm.nd,6)&amp;"¦"&amp;INDEX(_xlpm.nd,7),"")))</f>
        <v/>
      </c>
      <c r="HR69" t="str">
        <f t="shared" si="229"/>
        <v/>
      </c>
      <c r="HS69" t="str">
        <f t="shared" si="230"/>
        <v/>
      </c>
      <c r="HT69" t="str">
        <f t="shared" si="231"/>
        <v>QF16</v>
      </c>
      <c r="HU69">
        <f t="shared" si="232"/>
        <v>0</v>
      </c>
      <c r="HV69">
        <f t="shared" si="233"/>
        <v>0</v>
      </c>
      <c r="HW69" t="str">
        <f t="shared" si="234"/>
        <v/>
      </c>
      <c r="HX69" t="str">
        <f t="shared" si="235"/>
        <v/>
      </c>
      <c r="HY69" t="str">
        <f t="shared" si="236"/>
        <v/>
      </c>
      <c r="HZ69" t="str">
        <f t="shared" si="237"/>
        <v/>
      </c>
      <c r="IA69">
        <f>IF(B69="","",IFERROR(VLOOKUP(B69,УГО_спр,2,FALSE),IFERROR(VLOOKUP(AX69,УГО_спр,2,FALSE),IFERROR(VLOOKUP(LEFT(AX69,2),УГО_спр,2,FALSE),""))))</f>
        <v>0</v>
      </c>
      <c r="IB69" t="str">
        <f>IF(B69="","",IF(OR(IA69="",IA69=0),"BOX",IFERROR(IF(VLOOKUP(IA69,УГО_блоки,3,FALSE)&amp;""&lt;&gt;"",VLOOKUP(IA69,УГО_блоки,3,FALSE),VLOOKUP(IA69,УГО_блоки,2,FALSE)),IA69)))</f>
        <v>BOX</v>
      </c>
      <c r="IC69">
        <f t="shared" si="238"/>
        <v>1</v>
      </c>
      <c r="ID69" t="str">
        <f>IF(DA69="","",IF(COUNTIF(DA$3:DA69,DA69)=1,MAX(ID$2:ID68)+1,""))</f>
        <v/>
      </c>
      <c r="IE69" t="str">
        <f>IF(CO69="","",IF(COUNTIF(CO$3:CO69,CO69)+COUNTIF(CP$2:CP68,CO69)+COUNTIF(CQ$2:CQ68,CO69)=1,MAX(IE$2:IG68)+1,""))</f>
        <v/>
      </c>
      <c r="IF69" t="str">
        <f>IF(CP69="","",IF(COUNTIF(CO$3:CO69,CP69)+COUNTIF(CP$3:CP69,CP69)+COUNTIF(CQ$2:CQ68,CP69)=1,MAX(IE$2:IG68,IE69)+1,""))</f>
        <v/>
      </c>
      <c r="IG69" t="str">
        <f>IF(CQ69="","",IF(COUNTIF(CO$3:CO69,CQ69)+COUNTIF(CP$3:CP69,CQ69)+COUNTIF(CQ$3:CQ69,CQ69)=1,MAX(IE$2:IG68,IE69,IF69)+1,""))</f>
        <v/>
      </c>
      <c r="IH69" t="str">
        <f t="shared" si="239"/>
        <v>3х2,5</v>
      </c>
      <c r="II69" t="str">
        <f>IF(IH69="","",IF(COUNTIF(IH$3:IH69,IH69)=1,MAX(II$2:II68)+1,""))</f>
        <v/>
      </c>
      <c r="IJ69" t="str">
        <f>IF(GL69="","",COUNTIF(GL$3:GL69,"?*"))</f>
        <v/>
      </c>
      <c r="IK69" t="str">
        <f>IF(OR(GL69="",GN69=""),"",IF(COUNTIFS(GL$3:GL69,"?*",GN$3:GN69,GN69)=1,MAX(IK$2:IK68)+1,""))</f>
        <v/>
      </c>
      <c r="IL69">
        <f t="shared" si="240"/>
        <v>0</v>
      </c>
      <c r="IM69">
        <f>IF(B69="","",COUNTIF(B$3:B69,"?*"))</f>
        <v>67</v>
      </c>
      <c r="IN69">
        <f>IF(GQ69&lt;&gt;1,0,_xlfn.LET(_xlpm.k,MAX(IFERROR(--VLOOKUP(B69,УГО_спр,5,FALSE),0),IFERROR(--VLOOKUP(AX69,УГО_спр,5,FALSE),0),IFERROR(--VLOOKUP(LEFT(AX69,2),УГО_спр,5,FALSE),0)),IF(_xlpm.k&gt;0,_xlpm.k,IF(IFERROR(--LEFT(SUBSTITUTE(IH69,"x","х"),FIND("х",SUBSTITUTE(IH69,"x","х"))-1),3)&gt;3,Каталог!$S$9,1))))</f>
        <v>1</v>
      </c>
      <c r="IO69">
        <f t="shared" si="241"/>
        <v>0</v>
      </c>
      <c r="IP69" t="str">
        <f t="shared" si="242"/>
        <v>авто</v>
      </c>
      <c r="IQ69" t="str">
        <f t="shared" si="243"/>
        <v/>
      </c>
      <c r="IR69">
        <f t="shared" si="244"/>
        <v>0</v>
      </c>
      <c r="IS69">
        <f t="shared" si="245"/>
        <v>1</v>
      </c>
    </row>
    <row r="70" spans="1:253" x14ac:dyDescent="0.3">
      <c r="A70" t="s">
        <v>749</v>
      </c>
      <c r="B70" t="s">
        <v>1342</v>
      </c>
      <c r="C70" t="s">
        <v>1619</v>
      </c>
      <c r="D70">
        <v>1</v>
      </c>
      <c r="E70">
        <v>1.9</v>
      </c>
      <c r="G70">
        <v>16</v>
      </c>
      <c r="H70" t="str">
        <f>Линии[[#This Row],[_авто утечка]]</f>
        <v/>
      </c>
      <c r="I70" t="str">
        <f>Линии[[#This Row],[_авто управление]]</f>
        <v/>
      </c>
      <c r="J70" t="str">
        <f>Линии[[#This Row],[_авто аппараты]]</f>
        <v/>
      </c>
      <c r="K70">
        <v>2.5</v>
      </c>
      <c r="L70">
        <v>36</v>
      </c>
      <c r="M70" t="str">
        <f>Линии[[#This Row],[_авто фаза]]</f>
        <v>L3</v>
      </c>
      <c r="N70" t="s">
        <v>486</v>
      </c>
      <c r="O70" t="str">
        <f t="shared" si="123"/>
        <v/>
      </c>
      <c r="P70" s="6" cm="1">
        <f t="array" ref="P70">IF(B70="","",IF(BC70&lt;&gt;"",IFERROR(_xlfn.XLOOKUP(BC70,Щиты[Щит],Щиты[Iр, А]),""),IF(BK70=1,IFERROR(_xlfn.XLOOKUP(A70,Щиты[Щит],Щиты[Iр, А]),""),IFERROR(_xlfn.IFS(BR70=1,BN70/((Uн_лин/SQRT(3))*BY70),BR70=3,BN70/(SQRT(3)*Uн_лин*BY70)),""))))</f>
        <v>10.284051669940206</v>
      </c>
      <c r="Q70" s="7">
        <f>IF(B70="","",IFERROR(IF(VLOOKUP(AX70,Потребители_обозначение,4,FALSE)=1,VLOOKUP(AX70,Потребители_обозначение,3,FALSE)*(D70*2-1)+DS70+VLOOKUP(AZ70,Этаж_обозначение,3,FALSE)+VLOOKUP(AZ70,Этаж_обозначение,4,FALSE),VLOOKUP(AX70,Потребители_обозначение,3,FALSE)*(D70*2-1)+DS70),DS70))</f>
        <v>38</v>
      </c>
      <c r="R70" s="6">
        <f t="shared" si="124"/>
        <v>3.1</v>
      </c>
      <c r="S70" t="str">
        <f t="shared" si="125"/>
        <v>ВВГнг(А)-LS (3х2,5)</v>
      </c>
      <c r="T70" t="str">
        <f>IF(BH70="","",IF(BI70="вводной узел","узел ","")&amp;"л."&amp;(INT((BH70-1)/Столбцов_на_лист)+1)&amp;" / "&amp;(MOD(BH70-1,Столбцов_на_лист)+1))</f>
        <v>л.3 / 2</v>
      </c>
      <c r="V70">
        <v>1</v>
      </c>
      <c r="W70">
        <v>230</v>
      </c>
      <c r="X70" t="s">
        <v>600</v>
      </c>
      <c r="Y70">
        <v>0.5</v>
      </c>
      <c r="AC70" t="s">
        <v>815</v>
      </c>
      <c r="AE70" t="s">
        <v>578</v>
      </c>
      <c r="AI70">
        <v>36</v>
      </c>
      <c r="AJ70" t="s">
        <v>11</v>
      </c>
      <c r="AK70">
        <v>3</v>
      </c>
      <c r="AN70">
        <v>35</v>
      </c>
      <c r="AP70">
        <v>1</v>
      </c>
      <c r="AW70" cm="1">
        <f t="array" ref="AW70">ROW()-ROW(Линии[#Headers])</f>
        <v>68</v>
      </c>
      <c r="AX70" s="6" t="str">
        <f t="shared" si="126"/>
        <v>K</v>
      </c>
      <c r="AY70" t="str">
        <f t="shared" si="127"/>
        <v>2</v>
      </c>
      <c r="AZ70" t="str">
        <f t="shared" si="128"/>
        <v>2</v>
      </c>
      <c r="BA70" t="str">
        <f t="shared" si="129"/>
        <v/>
      </c>
      <c r="BB70" t="str">
        <f t="shared" si="130"/>
        <v/>
      </c>
      <c r="BC70" t="str">
        <f>IF(U70&lt;&gt;"",U70,IF(AND(B70&lt;&gt;"",B70&lt;&gt;A70,ISNUMBER(_xlfn.XMATCH(B70,Щиты[Щит]))),B70,""))</f>
        <v/>
      </c>
      <c r="BD70" t="str" cm="1">
        <f t="array" ref="BD70">IF(B70="","",IF(BC70&lt;&gt;"","Щит "&amp;BC70,_xlfn.LET(_xlpm.nm,IFERROR(_xlfn.XLOOKUP(AX70,Коды_код,Коды_имя)&amp;"",""),_xlpm.md,IFERROR(N(_xlfn.XLOOKUP(AX70,Коды_код,Коды_режим)),1),_xlpm.ex,IF(Имя_режим="по экспликации",IFERROR(_xlfn.XLOOKUP(AZ70&amp;"|"&amp;BB70,Экспликация[Этаж]&amp;"|"&amp;Экспликация[Помещение],Экспликация[Название])&amp;"",""),""),_xlpm.rm,IF(BB70="","",IF(_xlpm.ex&lt;&gt;"",". "&amp;_xlpm.ex&amp;IF(Имя_пом="нет"," ("&amp;BB70&amp;")"," (пом. "&amp;BB70&amp;")"),IF(Имя_пом="нет"," ",", пом. ")&amp;BB70)),IF(_xlpm.nm="","",IF(_xlpm.md=2,_xlpm.nm&amp;" шлейф "&amp;AZ70,_xlpm.nm&amp;_xlpm.rm)))))</f>
        <v>Внутренний блок кондиционирования</v>
      </c>
      <c r="BE70" t="str">
        <f t="shared" si="131"/>
        <v>Внешний блок кондиционирования Пом. Венткиосок</v>
      </c>
      <c r="BF70">
        <f>IFERROR(_xlfn.XMATCH(A70,Щиты[Щит]),0)</f>
        <v>4</v>
      </c>
      <c r="BG70">
        <f>_xlfn.LET(_xlpm.k,IFERROR(_xlfn.XLOOKUP(A70,Щиты[Щит],Щиты[Листов под вводной узел]),""),IF(_xlpm.k="",1,N(_xlpm.k))*Столбцов_на_лист)</f>
        <v>17</v>
      </c>
      <c r="BH70">
        <f t="shared" si="132"/>
        <v>36</v>
      </c>
      <c r="BI70" t="str">
        <f t="shared" si="133"/>
        <v>линии</v>
      </c>
      <c r="BJ70" s="6">
        <f>IFERROR(N(_xlfn.XLOOKUP(AX70,Коды_код,Коды_квт)),0)</f>
        <v>0</v>
      </c>
      <c r="BK70">
        <f t="shared" si="134"/>
        <v>0</v>
      </c>
      <c r="BL70" t="str">
        <f>IF(B70="","",IF(BC70&lt;&gt;"",IFERROR(_xlfn.XLOOKUP(BC70,Щиты[Щит],Щиты[Руст, кВт]),0),IF(BK70=1,IFERROR(_xlfn.XLOOKUP(A70,Щиты[Щит],Щиты[Руст, кВт]),0),IF(BJ70&gt;0,ROUND(BJ70*MAX(1,N(D70)),3),""))))</f>
        <v/>
      </c>
      <c r="BM70">
        <f t="shared" si="135"/>
        <v>1.9</v>
      </c>
      <c r="BN70" s="6">
        <f>IF(B70="","",IF(BC70&lt;&gt;"",IFERROR(_xlfn.XLOOKUP(BC70,Щиты[Щит],Щиты[Руст, кВт]),0),N(BM70)))</f>
        <v>1.9</v>
      </c>
      <c r="BO70" t="str">
        <f>IF(B70="","",IFERROR(IF(VLOOKUP(AX70,Потребители_обозначение,8,FALSE)=0,"",VLOOKUP(AX70,Потребители_обозначение,8,FALSE)),""))</f>
        <v/>
      </c>
      <c r="BP70">
        <f t="shared" si="136"/>
        <v>230</v>
      </c>
      <c r="BQ70">
        <f>IF(B70="","",IF(BC70&lt;&gt;"",3,IFERROR(IF(N(VLOOKUP(AX70,Потребители_обозначение,9,FALSE))=0,1,VLOOKUP(AX70,Потребители_обозначение,9,FALSE)),1)))</f>
        <v>1</v>
      </c>
      <c r="BR70">
        <f t="shared" si="137"/>
        <v>1</v>
      </c>
      <c r="BS70" t="str">
        <f>IF(B70="","",_xlfn.LET(_xlpm.bc,IFERROR(IF(VLOOKUP(AX70,Потребители_обозначение,6,FALSE)=0,"",VLOOKUP(AX70,Потребители_обозначение,6,FALSE)&amp;""),""),IF(AND(FK70="да",OR(_xlpm.bc="",_xlpm.bc="мс")),Марка_пож,IF(AND(_xlpm.bc="",BC70&lt;&gt;""),"мс",_xlpm.bc))))</f>
        <v/>
      </c>
      <c r="BT70" t="str">
        <f t="shared" si="138"/>
        <v>мс</v>
      </c>
      <c r="BU70">
        <f>IF(B70="","",_xlfn.LET(_xlpm.cc,IFERROR(N(VLOOKUP(AX70,Потребители_обозначение,7,FALSE)),0),IF(_xlpm.cc&gt;0,_xlpm.cc,IF(BT70="","",IF(N(BR70)=3,5,3)))))</f>
        <v>3</v>
      </c>
      <c r="BV70">
        <f t="shared" si="139"/>
        <v>3</v>
      </c>
      <c r="BW70">
        <f>IFERROR(N(VLOOKUP(AX70,Потребители_обозначение,10,FALSE)),0)</f>
        <v>0</v>
      </c>
      <c r="BX70">
        <f>IFERROR(VLOOKUP(AX70,Потребители_обозначение,5,FALSE),0)</f>
        <v>1</v>
      </c>
      <c r="BY70" s="6" cm="1">
        <f t="array" ref="BY70">IF(B70="","",IF(BC70&lt;&gt;"",IFERROR(_xlfn.XLOOKUP(BC70,Щиты[Щит],Щиты[cos φ]),0.95),IF(BK70=1,IFERROR(_xlfn.XLOOKUP(A70,Щиты[Щит],Щиты[cos φ]),0.95),IF(ISNUMBER(Z70),Z70,IFERROR(IF(BX70=2,_xlfn.IFS(BR70=3,VLOOKUP(BN70,Справочная_двигатели,8,FALSE),BR70=1,VLOOKUP(BN70,Справочная_двигатели,10,TRUE)),IF(AND(Методика="нормы 2026",EQ70="Сил"),0.8,0.95)),0.95)))))</f>
        <v>0.8</v>
      </c>
      <c r="BZ70">
        <f t="shared" si="140"/>
        <v>0</v>
      </c>
      <c r="CA70">
        <f t="shared" si="141"/>
        <v>1</v>
      </c>
      <c r="CB70">
        <f t="shared" si="142"/>
        <v>0</v>
      </c>
      <c r="CC70">
        <f t="shared" si="143"/>
        <v>0</v>
      </c>
      <c r="CD70">
        <f t="shared" si="144"/>
        <v>0</v>
      </c>
      <c r="CE70">
        <f t="shared" si="145"/>
        <v>0</v>
      </c>
      <c r="CF70">
        <f t="shared" si="146"/>
        <v>0</v>
      </c>
      <c r="CG70">
        <f>IF(AX70="",0,_xlfn.LET(_xlpm.v,IFERROR(VLOOKUP(B70,УГО_спр,3,FALSE),IFERROR(VLOOKUP(AX70,УГО_спр,3,FALSE),IFERROR(VLOOKUP(LEFT(AX70,2),УГО_спр,3,FALSE),""))),IF(_xlpm.v="да",30,IF(ISNUMBER(_xlpm.v),_xlpm.v,0))))</f>
        <v>0</v>
      </c>
      <c r="CH70" t="str">
        <f t="shared" si="147"/>
        <v/>
      </c>
      <c r="CI70" t="str">
        <f>_xlfn.LET(_xlpm.k,IFERROR(_xlfn.XLOOKUP(AX70,Коды_код,Коды_утечка)&amp;"",""),IF(_xlpm.k="","дифавтомат",_xlpm.k))</f>
        <v>дифавтомат</v>
      </c>
      <c r="CJ70">
        <f t="shared" si="148"/>
        <v>0</v>
      </c>
      <c r="CK70">
        <f t="shared" si="149"/>
        <v>0</v>
      </c>
      <c r="CL70">
        <f>IF(B70="",0,IFERROR(--VLOOKUP(B70,УГО_спр,4,FALSE),IFERROR(--VLOOKUP(AX70,УГО_спр,4,FALSE),IFERROR(--VLOOKUP(LEFT(AX70,2),УГО_спр,4,FALSE),0))))</f>
        <v>0</v>
      </c>
      <c r="CM70" t="str">
        <f>IF(B70="","",IFERROR(_xlfn.XLOOKUP(AX70,Коды_код,Коды_апп)&amp;"",""))</f>
        <v/>
      </c>
      <c r="CN70" t="str">
        <f t="shared" si="150"/>
        <v/>
      </c>
      <c r="CO70" t="str" cm="1">
        <f t="array" ref="CO70">IF(TRIM(CN70&amp;"")="","",IFERROR(TRIM(INDEX(_xlfn.TEXTSPLIT(CN70&amp;";;;",";"),1)),""))</f>
        <v/>
      </c>
      <c r="CP70" t="str" cm="1">
        <f t="array" ref="CP70">IF(TRIM(CN70&amp;"")="","",IFERROR(TRIM(INDEX(_xlfn.TEXTSPLIT(CN70&amp;";;;",";"),2)),""))</f>
        <v/>
      </c>
      <c r="CQ70" t="str" cm="1">
        <f t="array" ref="CQ70">IF(TRIM(CN70&amp;"")="","",IFERROR(TRIM(INDEX(_xlfn.TEXTSPLIT(CN70&amp;";;;",";"),3)),""))</f>
        <v/>
      </c>
      <c r="CR70">
        <f t="shared" si="151"/>
        <v>0</v>
      </c>
      <c r="CS70" t="str">
        <f>IF(B70="","",_xlfn.LET(_xlpm.t,LOWER(AV70&amp;""),IF(ISNUMBER(SEARCH("dim",_xlpm.t)),"DIM",IF(ISNUMBER(SEARCH("dali",_xlpm.t)),"DALI",IF(OR(ISNUMBER(SEARCH("relay",_xlpm.t)),ISNUMBER(SEARCH("реле",_xlpm.t))),"Relay",IF(ISNUMBER(SEARCH("кнопк",_xlpm.t)),"",IFERROR(_xlfn.XLOOKUP(AX70,Коды_код,Коды_упр)&amp;"","")))))))</f>
        <v/>
      </c>
      <c r="CT70" t="str">
        <f t="shared" si="152"/>
        <v/>
      </c>
      <c r="CU70">
        <f>IF(B70="","",_xlfn.LET(_xlpm.ig,N(P70)+IF(AF70="вручную",0,N(CB70)),_xlpm.n0,IFERROR(VLOOKUP(_xlpm.ig,Автомат_номиналы,2,TRUE),0),_xlpm.mn,MAX(CL70,IF(AF70="вручную",0,N(CE70))),MAX(_xlpm.n0,_xlpm.mn,IF(CR70=1,Мин_автомат_БП,0))))</f>
        <v>16</v>
      </c>
      <c r="CV70">
        <f t="shared" si="153"/>
        <v>1</v>
      </c>
      <c r="CW70" t="str">
        <f t="shared" si="154"/>
        <v>1P</v>
      </c>
      <c r="CX70" t="str">
        <f>_xlfn.LET(_xlpm.cc,UPPER(TRIM(IFERROR(_xlfn.XLOOKUP(AX70,Коды_код,Коды_хар)&amp;"",""))),IF(OR(_xlpm.cc="B",_xlpm.cc="В"),"B",IF(_xlpm.cc="D","D","С")))</f>
        <v>С</v>
      </c>
      <c r="CY70" t="str">
        <f t="shared" si="155"/>
        <v>1P С16А</v>
      </c>
      <c r="CZ70">
        <f t="shared" si="156"/>
        <v>16</v>
      </c>
      <c r="DA70" t="str">
        <f t="shared" si="157"/>
        <v>1P С16А</v>
      </c>
      <c r="DB70" cm="1">
        <f t="array" ref="DB70">IF(DA70="","",_xlfn.LET(_xlpm.t,SUBSTITUTE(SUBSTITUTE(SUBSTITUTE(UPPER(DA70),"С","C"),"А","A"),"В","B"),_xlpm.tk,_xlfn.TEXTSPLIT(_xlpm.t,"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0" t="str">
        <f t="shared" si="158"/>
        <v>ok</v>
      </c>
      <c r="DD70">
        <f t="shared" si="159"/>
        <v>16</v>
      </c>
      <c r="DE70" t="str">
        <f t="shared" si="160"/>
        <v>1P С16А</v>
      </c>
      <c r="DF70">
        <f t="shared" si="161"/>
        <v>0</v>
      </c>
      <c r="DG70">
        <f t="shared" si="162"/>
        <v>0</v>
      </c>
      <c r="DH70">
        <f t="shared" si="163"/>
        <v>0</v>
      </c>
      <c r="DI70">
        <f t="shared" si="164"/>
        <v>10.284051669940206</v>
      </c>
      <c r="DJ70">
        <f t="shared" si="165"/>
        <v>1</v>
      </c>
      <c r="DK70">
        <f>IF(ISNUMBER(AL70),AL70,К_прокл)</f>
        <v>1</v>
      </c>
      <c r="DL70">
        <f t="shared" si="166"/>
        <v>2</v>
      </c>
      <c r="DM70">
        <f>IFERROR(N(VLOOKUP(BT70,Кабель_обозначение,3,FALSE)),1)</f>
        <v>1</v>
      </c>
      <c r="DN70">
        <f>IFERROR(N(_xlfn.XLOOKUP(A70,Щиты[Щит],Щиты[ΔU до шин, %])),0)</f>
        <v>0.64</v>
      </c>
      <c r="DO70" t="str">
        <f>IFERROR(_xlfn.XLOOKUP(A70,Щиты[Щит],Щиты[Zпетли на шинах, Ом]),"")</f>
        <v/>
      </c>
      <c r="DP70">
        <f>IFERROR(N(_xlfn.XLOOKUP(A70,Щиты[Щит],Щиты[ΔU до шин (подбор), %])),0)</f>
        <v>0.75</v>
      </c>
      <c r="DQ70" t="str">
        <f>IFERROR(_xlfn.XLOOKUP(A70,Щиты[Щит],Щиты[Zпетли на шинах (подбор), Ом]),"")</f>
        <v/>
      </c>
      <c r="DR70" t="str">
        <f t="shared" si="167"/>
        <v/>
      </c>
      <c r="DS70">
        <f t="shared" si="168"/>
        <v>36</v>
      </c>
      <c r="DT70">
        <f t="shared" si="169"/>
        <v>2</v>
      </c>
      <c r="DU70">
        <f t="shared" si="170"/>
        <v>0.6</v>
      </c>
      <c r="DV70" s="6">
        <f>IF(B70="","",IF(IFERROR(VLOOKUP(AX70,УГО_спр,2,FALSE),"")="Светильник",3,4)+IF(Методика="нормы 2026",MIN(0.5,MAX(0,N(Q70)-100)*0.005),0))</f>
        <v>4</v>
      </c>
      <c r="DW70" cm="1">
        <f t="array" ref="DW70">IF(OR(B70="",BT70="",DM70&lt;&gt;1),"",_xlfn.LET(_xlpm.sz,Iдоп_S,_xlpm.t_,CHOOSE(DL70,Iдоп_1ж,Iдоп_2ж,Iдоп_3ж)*DJ70*DK70,_xlpm.inn,N(DD70),_xlpm.smin,MAX(1.5,BW70),_xlpm.L_,N(Q70)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70)*(_xlpm.rho*_xlpm.L_/_xlpm.sz*N(BY70)+_xlpm.xx*_xlpm.L_*N(DU70)/1000)*N(P70)/((Uн_лин/SQRT(3))*1000)*100,999),_xlpm.kz,IF(OR(DG70=1,NOT(ISNUMBER(DQ70)),_xlpm.L_=0,_xlpm.inn=0),1,IFERROR(--(c_min*(Uн_лин*1000/SQRT(3))/(DQ70+2*ρкз_Cu*_xlpm.L_/_xlpm.sz)&gt;=GY70*_xlpm.inn),0)),_xlpm.ok,IFERROR((_xlpm.sz&gt;=_xlpm.smin)*(_xlpm.t_&gt;=_xlpm.inn)*IF(_xlpm.L_&gt;0,(_xlpm.du_+DP70&lt;=DV70+0.00001),1)*_xlpm.kz,0),_xlpm.r_,_xlfn._xlws.FILTER(_xlpm.sz,_xlpm.ok,"не подобрано"),INDEX(_xlpm.r_,1)))</f>
        <v>2.5</v>
      </c>
      <c r="DX70">
        <f t="shared" si="171"/>
        <v>2.5</v>
      </c>
      <c r="DY70" cm="1">
        <f t="array" ref="DY70">IF(OR(B70="",BT70="",DM70&lt;&gt;1),"",_xlfn.LET(_xlpm.sz,Iдоп_S,_xlpm.t_,CHOOSE(DL70,Iдоп_1ж,Iдоп_2ж,Iдоп_3ж)*DJ70*DK70,_xlpm.ok,IFERROR((_xlpm.sz&gt;=MAX(1.5,BW70))*(_xlpm.t_&gt;=N(DD70)),0),_xlpm.r_,_xlfn._xlws.FILTER(_xlpm.sz,_xlpm.ok,""),INDEX(_xlpm.r_,1)))</f>
        <v>1.5</v>
      </c>
      <c r="DZ70" s="6" cm="1">
        <f t="array" ref="DZ70">IFERROR(ROUNDUP(N(DT70)*(_xlfn.XLOOKUP(DY70,INDEX(Кабель_сопротивление,0,1),INDEX(Кабель_сопротивление,0,3))*N(Q70)/DY70*N(BY70)+_xlfn.XLOOKUP(DY70,INDEX(Кабель_сопротивление,0,1),INDEX(Кабель_сопротивление,0,2))*N(Q70)*N(DU70)/1000)*N(P70)/((Uн_лин/SQRT(3))*1000)*100,2),"")</f>
        <v>4.09</v>
      </c>
      <c r="EA70">
        <f>IFERROR(2*ρкз_Cu*N(Q70)/DY70,"")</f>
        <v>1.3325333333333333</v>
      </c>
      <c r="EB70">
        <f>IFERROR(VLOOKUP(DX70,Кабель_сопротивление,3,FALSE),"")</f>
        <v>2.2499999999999999E-2</v>
      </c>
      <c r="EC70">
        <f>IFERROR(VLOOKUP(DX70,Кабель_сопротивление,2,FALSE),"")</f>
        <v>0.1</v>
      </c>
      <c r="ED70">
        <f t="shared" si="172"/>
        <v>35</v>
      </c>
      <c r="EE70">
        <f t="shared" si="173"/>
        <v>0</v>
      </c>
      <c r="EF70">
        <f t="shared" si="174"/>
        <v>5.6743283494062089</v>
      </c>
      <c r="EG70" s="6">
        <f>IFERROR(ROUNDUP(EF70/((Uн_лин/SQRT(3))*1000)*100,2),"")</f>
        <v>2.46</v>
      </c>
      <c r="EH70" t="str">
        <f>IFERROR(VLOOKUP(BT70,Кабель_обозначение,2,FALSE),"")</f>
        <v>ВВГнг(А)-LS</v>
      </c>
      <c r="EI70" t="str">
        <f t="shared" si="175"/>
        <v>ВВГнг(А)-LS (3х2,5)</v>
      </c>
      <c r="EJ70" t="str">
        <f t="shared" si="176"/>
        <v>ВВГнг(А)-LS (3х2,5)
L=38-2,46%</v>
      </c>
      <c r="EK70">
        <f>IFERROR(2*ρкз_Cu*Q70/DX70,"")</f>
        <v>0.79952000000000001</v>
      </c>
      <c r="EL70">
        <f t="shared" si="177"/>
        <v>0.26600000000000001</v>
      </c>
      <c r="EM70" s="6" t="str">
        <f>IFERROR(IF(OR(B70="",NOT(ISNUMBER(DX70)),N(Q70)=0),"",_xlfn.XLOOKUP(A70,Щиты[Щит],Щиты[Zпетли на шинах, Ом])+EK70),"")</f>
        <v/>
      </c>
      <c r="EN70" s="6" t="str">
        <f>IF(ISNUMBER(EM70),c_min*(Uн_лин*1000/SQRT(3))/EM70,"")</f>
        <v/>
      </c>
      <c r="EO70" s="6" t="str">
        <f>IFERROR(IF(OR(B70="",NOT(ISNUMBER(DX70))),"",1.05*(Uн_лин*1000/SQRT(3))/(_xlfn.XLOOKUP(A70,Щиты[Щит],Щиты[Zmax на шинах, Ом])+EL70)/1000),"")</f>
        <v/>
      </c>
      <c r="EP70" s="6" t="str">
        <f>IF(B70="","",IF(ISNUMBER(Y70),"Сил",IF(IFERROR(_xlfn.XLOOKUP(AX70,Коды_код,Коды_группа)&amp;"","")="","Быт",_xlfn.XLOOKUP(AX70,Коды_код,Коды_группа)&amp;"")))</f>
        <v>Сил</v>
      </c>
      <c r="EQ70" s="6" t="str">
        <f t="shared" si="178"/>
        <v>Сил</v>
      </c>
      <c r="ER70" s="6">
        <f>IF(EQ70="Щит","щит",IF(EQ70="","",IF(EQ70="Быт",IFERROR(_xlfn.XLOOKUP(A70,Щиты[Щит],Щиты[Кс быт]),1),IF(EQ70="Сил",IF(ISNUMBER(Y70),Y70,IF(Методика="нормы 2026",IFERROR(_xlfn.XLOOKUP(A70,Щиты[Щит],Щиты[Кс силовых (табл. 7.5)]),1),1)),IF(OR(EQ70="Пост",EQ70="Отоп"),1,IF(EQ70="ВНГ",0.7,0))))))</f>
        <v>0.5</v>
      </c>
      <c r="ES70">
        <f t="shared" si="179"/>
        <v>1</v>
      </c>
      <c r="ET70">
        <f t="shared" si="180"/>
        <v>1.9</v>
      </c>
      <c r="EU70">
        <f t="shared" si="181"/>
        <v>0</v>
      </c>
      <c r="EV70">
        <f t="shared" si="182"/>
        <v>0.95</v>
      </c>
      <c r="EW70">
        <f t="shared" si="183"/>
        <v>0</v>
      </c>
      <c r="EX70">
        <f t="shared" si="184"/>
        <v>0</v>
      </c>
      <c r="EY70">
        <f t="shared" si="185"/>
        <v>0</v>
      </c>
      <c r="EZ70">
        <f t="shared" si="186"/>
        <v>1.9</v>
      </c>
      <c r="FA70">
        <f t="shared" si="187"/>
        <v>1.52</v>
      </c>
      <c r="FB70">
        <f t="shared" si="188"/>
        <v>1.9</v>
      </c>
      <c r="FC70" t="str">
        <f t="shared" si="189"/>
        <v/>
      </c>
      <c r="FD70" t="str">
        <f>IF(B70="","",IF(CA70=0,IF(AW70=1,"",FF69),IF(OR(N(CV70)&gt;=3,N(BR70)&gt;=3),"L1,L2,L3",IFERROR(_xlfn.TEXTBEFORE(_xlfn.TEXTAFTER(_xlfn.XLOOKUP(A70,Щиты[Щит],Щиты[_фазы авто]),";"&amp;AW70&amp;":"),";"),"L1"))))</f>
        <v>L3</v>
      </c>
      <c r="FE70" t="str">
        <f t="shared" si="190"/>
        <v>L3</v>
      </c>
      <c r="FF70" t="str">
        <f t="shared" si="191"/>
        <v>L3</v>
      </c>
      <c r="FG70" cm="1">
        <f t="array" ref="FG70">IFERROR(IF(BX70=2,_xlfn.IFS(BR70=3,VLOOKUP(BN70,Справочная_двигатели,3,FALSE),BR70=1,VLOOKUP(BN70,Справочная_двигатели,5,TRUE)),0),0)</f>
        <v>0</v>
      </c>
      <c r="FH70">
        <f>IFERROR(IF(BX70=3,VLOOKUP(BN70,Справочная_ЛЭД,2,TRUE),0),0)</f>
        <v>0</v>
      </c>
      <c r="FI70" s="6">
        <f t="shared" si="192"/>
        <v>0</v>
      </c>
      <c r="FJ70" t="str" cm="1">
        <f t="array" ref="FJ70">IF(B70="","",IFERROR(INDEX({"I особая","I","II","III"},MATCH(TRIM(AC70&amp;""),{"I особая","I","II","III"},0)),"III"))</f>
        <v>II</v>
      </c>
      <c r="FK70" t="str">
        <f>IF(B70="","",IF(TRIM(AD70&amp;"")&lt;&gt;"",IF(LOWER(TRIM(AD70&amp;""))="да","да","нет"),IF(IFERROR(_xlfn.XLOOKUP(AX70,Коды_код,Коды_пожарная),"")="да","да","нет")))</f>
        <v>нет</v>
      </c>
      <c r="FL70" t="str">
        <f t="shared" si="193"/>
        <v/>
      </c>
      <c r="FM70" t="str">
        <f t="shared" si="194"/>
        <v>основная</v>
      </c>
      <c r="FN70">
        <f t="shared" si="195"/>
        <v>1</v>
      </c>
      <c r="FO70" t="str" cm="1">
        <f t="array" ref="FO70">IF(B70="","",_xlfn.LET(_xlpm.t,IFERROR(_xlfn.XLOOKUP(1,(Шины[Шина]=FM70)*(((Шины[Щит]=A70)+(Шины[Щит]=""))&gt;0),Шины[Тип]),"")&amp;"",IF(_xlpm.t&lt;&gt;"",_xlpm.t,IF(ISNUMBER(SEARCH("ИБП",FM70)),"ИБП",IF(ISNUMBER(SEARCH("ДГУ",FM70)),"ДГУ","Ввод "&amp;FN70)))))</f>
        <v>Ввод 1</v>
      </c>
      <c r="FP70" t="str">
        <f t="shared" si="196"/>
        <v>Ввод 1</v>
      </c>
      <c r="FQ70" t="str">
        <f>IF(B70="","",IF(OR(FO70="ИБП",FO70="ДГУ"),"I особая",IF(FO70="Одиночная","III",_xlfn.XLOOKUP(A70,Щиты[Щит],Щиты[Категория шины «Ввод»],"III"))))</f>
        <v>II</v>
      </c>
      <c r="FR70">
        <f>IF(B70="",0,IFERROR(MATCH(FJ70,{"III","II","I","I особая"},0),1))</f>
        <v>2</v>
      </c>
      <c r="FS70">
        <f t="shared" si="197"/>
        <v>2</v>
      </c>
      <c r="FT70" t="str">
        <f>IF(B70="","",IF(FR70&gt;IFERROR(MATCH(FQ70,{"III","II","I","I особая"},0),1),"НЕ ОБЕСПЕЧЕНА","ОК"))</f>
        <v>ОК</v>
      </c>
      <c r="FU70" t="str">
        <f>IF(A70="","",_xlfn.XLOOKUP(A70,Щиты[Щит],Щиты[Путь],""))</f>
        <v>|ГРЩ-ЖД|ЩОВ-001|</v>
      </c>
      <c r="FV70" t="str">
        <f>IF(B70="","",IF(AE70&lt;&gt;"",AE70,IF(IFERROR(_xlfn.XLOOKUP(AX70,Коды_код,Коды_вид)&amp;"","")="","Прочее",_xlfn.XLOOKUP(AX70,Коды_код,Коды_вид)&amp;"")))</f>
        <v>Кондиционирование и увлажнение</v>
      </c>
      <c r="FW70">
        <f>IF(BH70="","",INT((BH70-1)/Столбцов_на_лист)+1)</f>
        <v>3</v>
      </c>
      <c r="FX70" t="str">
        <f t="shared" si="198"/>
        <v>ВВГнг(А)-LS (3х2,5) L=38-2,46%</v>
      </c>
      <c r="FY70">
        <f t="shared" si="199"/>
        <v>1.9</v>
      </c>
      <c r="FZ70">
        <f t="shared" si="200"/>
        <v>10.29</v>
      </c>
      <c r="GA70">
        <f t="shared" si="201"/>
        <v>1</v>
      </c>
      <c r="GB70">
        <f t="shared" si="202"/>
        <v>0</v>
      </c>
      <c r="GC70">
        <f t="shared" si="203"/>
        <v>1</v>
      </c>
      <c r="GD70">
        <f>IF(BH70="","",IF(AND(CA70=1,GC70=1),COUNTIFS(A$3:A70,A70,CA$3:CA70,1,GC$3:GC70,1),IF(OR(OR(AW70=1,A70&lt;&gt;A69),AF70="вручную",GC70=0),"",IF(AW70=1,"",GE69))))</f>
        <v>17</v>
      </c>
      <c r="GE70">
        <f t="shared" si="204"/>
        <v>17</v>
      </c>
      <c r="GF70">
        <f>IF(B70="","",IFERROR(LOOKUP(INDEX(CHOOSE(DL70,Iдоп_1ж,Iдоп_2ж,Iдоп_3ж),MATCH(DX70,Iдоп_S,0))*DJ70*DK70,{6,10,16,20,25,32,40,50,63,80,100,125,160,200,250,315,400,500,630}),""))</f>
        <v>25</v>
      </c>
      <c r="GG70" t="str">
        <f t="shared" si="205"/>
        <v>QF17</v>
      </c>
      <c r="GH70" t="str">
        <f t="shared" si="206"/>
        <v>QF17</v>
      </c>
      <c r="GI70" t="str">
        <f t="shared" si="207"/>
        <v/>
      </c>
      <c r="GJ70">
        <f t="shared" si="208"/>
        <v>0</v>
      </c>
      <c r="GK70" t="str">
        <f>IF(OR(AG70="",AG70="-"),"",IFERROR(VLOOKUP(AG70,Модули_спр,2,FALSE),"R"))</f>
        <v/>
      </c>
      <c r="GL70" t="str">
        <f>IF(GK70="","",GK70&amp;"."&amp;COUNTIFS(A$3:A70,A70,GK$3:GK70,GK70))</f>
        <v/>
      </c>
      <c r="GM70" t="str">
        <f t="shared" si="209"/>
        <v/>
      </c>
      <c r="GN70" t="str">
        <f t="shared" si="210"/>
        <v/>
      </c>
      <c r="GO70" t="str">
        <f t="shared" si="211"/>
        <v/>
      </c>
      <c r="GP70" t="str">
        <f t="shared" si="212"/>
        <v/>
      </c>
      <c r="GQ70">
        <f t="shared" si="213"/>
        <v>1</v>
      </c>
      <c r="GR70" t="str">
        <f>IF(GQ70=1,"XT"&amp;COUNTIFS(A$3:A70,A70,GQ$3:GQ70,1),"")</f>
        <v>XT17</v>
      </c>
      <c r="GS70" t="str">
        <f t="shared" si="214"/>
        <v/>
      </c>
      <c r="GT70" t="str">
        <f t="shared" si="215"/>
        <v>QF17</v>
      </c>
      <c r="GU70" t="str">
        <f t="shared" si="216"/>
        <v/>
      </c>
      <c r="GV70" t="str">
        <f t="shared" si="217"/>
        <v>ok</v>
      </c>
      <c r="GW70" t="str">
        <f>IF(OR(GO70="",GM70=""),"",IF(GO70&gt;IFERROR(VLOOKUP(GN70,Модули_спр,3,FALSE),99),"ЛИШНИЙ КАНАЛ",IF(AND(AH70&lt;&gt;"=",COUNTIFS(Линии[_модуль гр.],GM70,Линии[Канал (итог)],GO70,Линии[Канал],"&lt;&gt;=",Линии[Щит],A70)&gt;1),"ДУБЛЬ КАНАЛА","")))</f>
        <v/>
      </c>
      <c r="GX70" s="6" t="str">
        <f t="shared" si="218"/>
        <v/>
      </c>
      <c r="GY70">
        <f t="shared" si="219"/>
        <v>10</v>
      </c>
      <c r="GZ70" t="str">
        <f t="shared" si="220"/>
        <v/>
      </c>
      <c r="HA70" t="str">
        <f>IF(AND(B70="",GT70=""),"",_xlfn.TEXTJOIN("; ",TRUE,IF(AND(B70&lt;&gt;"",FE70=""),"нет фазы",""),IF(AND(B70&lt;&gt;"",N(FY70)=0,EQ70&lt;&gt;"Нет"),"нет мощности",""),IF(AND(GS70&lt;&gt;"",COUNTIFS(Линии[Щит],A70,Линии[Клемма (итог)],GS70)&gt;1),"дубль клеммы "&amp;GS70,""),IF(AND(GV70&lt;&gt;"",GV70&lt;&gt;"ok"),GV70,""),IF(GW70&lt;&gt;"",GW70,""),IF(AND(N(BV70)&gt;=4,N(BR70)=1),BV70&amp;" жил на 1 фазе",""),IF(AND(AX70="R",CA70=1,OR(N(CK70)=0,N(CK70)&gt;30)),"розетка без дифзащиты до 30 мА",""),IFERROR(IF(AND(ISNUMBER(R70),R70&gt;DV70),"потери "&amp;FIXED(R70,1)&amp;" % &gt; "&amp;DV70&amp;" %",""),""),IFERROR(IF(LEFT(GZ70,4)="мало","Iкз мало — отключение &gt; 0,4 с",""),""),IF(AND(B70&lt;&gt;"",BH70=""),"не на схеме",""),IF(AND(CA70=0,B70&lt;&gt;"",FE70&lt;&gt;"",IF(AW70=1,"",FF69)&lt;&gt;"",FE70&lt;&gt;IF(AW70=1,"",FF69)),"фаза не как у автомата группы ("&amp;IF(AW70=1,"",FF69)&amp;")","")))</f>
        <v/>
      </c>
      <c r="HB70" s="6">
        <f>IF(OR(CA70=0,DA70=""),"",_xlfn.LET(_xlpm.t,IFERROR(_xlfn.XLOOKUP(DA70,Каталог!$U$4:$U$500,Каталог!$G$4:$G$500),""),_xlpm.k,SEARCH("кА",_xlpm.t),IFERROR(--TRIM(RIGHT(SUBSTITUTE(MID(_xlpm.t,MAX(1,_xlpm.k-4),_xlpm.k-MAX(1,_xlpm.k-4))," ",REPT(" ",9)),5)),"")))</f>
        <v>6</v>
      </c>
      <c r="HC70" t="str">
        <f>IF(OR(HB70="",CA70=0),"",IF(_xlfn.XLOOKUP(A70,Щиты[Щит],Щиты[Iкз max на шинах, кА],"")="","",IF(HB70&lt;_xlfn.XLOOKUP(A70,Щиты[Щит],Щиты[Iкз max на шинах, кА]),"Icu "&amp;HB70&amp;" кА &lt; Iкз max","ok")))</f>
        <v/>
      </c>
      <c r="HD70" t="str">
        <f t="shared" si="221"/>
        <v/>
      </c>
      <c r="HE70" t="str">
        <f t="shared" si="222"/>
        <v>QF17</v>
      </c>
      <c r="HF70" t="str">
        <f t="shared" si="223"/>
        <v>QF17|кабель ВВГнг(А)-LS (3х2,5) → Внешний блок кондиционирования Пом. Венткиосок</v>
      </c>
      <c r="HG70" t="str" cm="1">
        <f t="array" ref="HG70">IF(HF70="","",_xlfn.LET(_xlpm.nd,_xlfn.TEXTSPLIT(HF70,"|"),IF(COLUMNS(_xlpm.nd)&gt;1,A70&amp;"¦"&amp;INDEX(_xlpm.nd,1)&amp;"¦"&amp;INDEX(_xlpm.nd,2),"")))</f>
        <v>ЩОВ-001¦QF17¦кабель ВВГнг(А)-LS (3х2,5) → Внешний блок кондиционирования Пом. Венткиосок</v>
      </c>
      <c r="HH70" t="str">
        <f t="shared" si="224"/>
        <v>K.2¦Внешний блок кондиционирования Пом. Венткиосок</v>
      </c>
      <c r="HI70" t="str" cm="1">
        <f t="array" ref="HI70">IF(HF70="","",_xlfn.LET(_xlpm.nd,_xlfn.TEXTSPLIT(HF70,"|"),IF(COLUMNS(_xlpm.nd)&gt;2,A70&amp;"¦"&amp;INDEX(_xlpm.nd,2)&amp;"¦"&amp;INDEX(_xlpm.nd,3),"")))</f>
        <v/>
      </c>
      <c r="HJ70" t="str">
        <f t="shared" si="225"/>
        <v/>
      </c>
      <c r="HK70" t="str" cm="1">
        <f t="array" ref="HK70">IF(HF70="","",_xlfn.LET(_xlpm.nd,_xlfn.TEXTSPLIT(HF70,"|"),IF(COLUMNS(_xlpm.nd)&gt;3,A70&amp;"¦"&amp;INDEX(_xlpm.nd,3)&amp;"¦"&amp;INDEX(_xlpm.nd,4),"")))</f>
        <v/>
      </c>
      <c r="HL70" t="str">
        <f t="shared" si="226"/>
        <v/>
      </c>
      <c r="HM70" t="str" cm="1">
        <f t="array" ref="HM70">IF(HF70="","",_xlfn.LET(_xlpm.nd,_xlfn.TEXTSPLIT(HF70,"|"),IF(COLUMNS(_xlpm.nd)&gt;4,A70&amp;"¦"&amp;INDEX(_xlpm.nd,4)&amp;"¦"&amp;INDEX(_xlpm.nd,5),"")))</f>
        <v/>
      </c>
      <c r="HN70" t="str">
        <f t="shared" si="227"/>
        <v/>
      </c>
      <c r="HO70" t="str" cm="1">
        <f t="array" ref="HO70">IF(HF70="","",_xlfn.LET(_xlpm.nd,_xlfn.TEXTSPLIT(HF70,"|"),IF(COLUMNS(_xlpm.nd)&gt;5,A70&amp;"¦"&amp;INDEX(_xlpm.nd,5)&amp;"¦"&amp;INDEX(_xlpm.nd,6),"")))</f>
        <v/>
      </c>
      <c r="HP70" t="str">
        <f t="shared" si="228"/>
        <v/>
      </c>
      <c r="HQ70" t="str" cm="1">
        <f t="array" ref="HQ70">IF(HF70="","",_xlfn.LET(_xlpm.nd,_xlfn.TEXTSPLIT(HF70,"|"),IF(COLUMNS(_xlpm.nd)&gt;6,A70&amp;"¦"&amp;INDEX(_xlpm.nd,6)&amp;"¦"&amp;INDEX(_xlpm.nd,7),"")))</f>
        <v/>
      </c>
      <c r="HR70" t="str">
        <f t="shared" si="229"/>
        <v/>
      </c>
      <c r="HS70" t="str">
        <f t="shared" si="230"/>
        <v/>
      </c>
      <c r="HT70" t="str">
        <f t="shared" si="231"/>
        <v>QF17</v>
      </c>
      <c r="HU70">
        <f t="shared" si="232"/>
        <v>0</v>
      </c>
      <c r="HV70">
        <f t="shared" si="233"/>
        <v>0</v>
      </c>
      <c r="HW70" t="str">
        <f t="shared" si="234"/>
        <v/>
      </c>
      <c r="HX70" t="str">
        <f t="shared" si="235"/>
        <v/>
      </c>
      <c r="HY70" t="str">
        <f t="shared" si="236"/>
        <v/>
      </c>
      <c r="HZ70" t="str">
        <f t="shared" si="237"/>
        <v/>
      </c>
      <c r="IA70">
        <f>IF(B70="","",IFERROR(VLOOKUP(B70,УГО_спр,2,FALSE),IFERROR(VLOOKUP(AX70,УГО_спр,2,FALSE),IFERROR(VLOOKUP(LEFT(AX70,2),УГО_спр,2,FALSE),""))))</f>
        <v>0</v>
      </c>
      <c r="IB70" t="str">
        <f>IF(B70="","",IF(OR(IA70="",IA70=0),"BOX",IFERROR(IF(VLOOKUP(IA70,УГО_блоки,3,FALSE)&amp;""&lt;&gt;"",VLOOKUP(IA70,УГО_блоки,3,FALSE),VLOOKUP(IA70,УГО_блоки,2,FALSE)),IA70)))</f>
        <v>BOX</v>
      </c>
      <c r="IC70">
        <f t="shared" si="238"/>
        <v>1</v>
      </c>
      <c r="ID70" t="str">
        <f>IF(DA70="","",IF(COUNTIF(DA$3:DA70,DA70)=1,MAX(ID$2:ID69)+1,""))</f>
        <v/>
      </c>
      <c r="IE70" t="str">
        <f>IF(CO70="","",IF(COUNTIF(CO$3:CO70,CO70)+COUNTIF(CP$2:CP69,CO70)+COUNTIF(CQ$2:CQ69,CO70)=1,MAX(IE$2:IG69)+1,""))</f>
        <v/>
      </c>
      <c r="IF70" t="str">
        <f>IF(CP70="","",IF(COUNTIF(CO$3:CO70,CP70)+COUNTIF(CP$3:CP70,CP70)+COUNTIF(CQ$2:CQ69,CP70)=1,MAX(IE$2:IG69,IE70)+1,""))</f>
        <v/>
      </c>
      <c r="IG70" t="str">
        <f>IF(CQ70="","",IF(COUNTIF(CO$3:CO70,CQ70)+COUNTIF(CP$3:CP70,CQ70)+COUNTIF(CQ$3:CQ70,CQ70)=1,MAX(IE$2:IG69,IE70,IF70)+1,""))</f>
        <v/>
      </c>
      <c r="IH70" t="str">
        <f t="shared" si="239"/>
        <v>3х2,5</v>
      </c>
      <c r="II70" t="str">
        <f>IF(IH70="","",IF(COUNTIF(IH$3:IH70,IH70)=1,MAX(II$2:II69)+1,""))</f>
        <v/>
      </c>
      <c r="IJ70" t="str">
        <f>IF(GL70="","",COUNTIF(GL$3:GL70,"?*"))</f>
        <v/>
      </c>
      <c r="IK70" t="str">
        <f>IF(OR(GL70="",GN70=""),"",IF(COUNTIFS(GL$3:GL70,"?*",GN$3:GN70,GN70)=1,MAX(IK$2:IK69)+1,""))</f>
        <v/>
      </c>
      <c r="IL70">
        <f t="shared" si="240"/>
        <v>0</v>
      </c>
      <c r="IM70">
        <f>IF(B70="","",COUNTIF(B$3:B70,"?*"))</f>
        <v>68</v>
      </c>
      <c r="IN70">
        <f>IF(GQ70&lt;&gt;1,0,_xlfn.LET(_xlpm.k,MAX(IFERROR(--VLOOKUP(B70,УГО_спр,5,FALSE),0),IFERROR(--VLOOKUP(AX70,УГО_спр,5,FALSE),0),IFERROR(--VLOOKUP(LEFT(AX70,2),УГО_спр,5,FALSE),0)),IF(_xlpm.k&gt;0,_xlpm.k,IF(IFERROR(--LEFT(SUBSTITUTE(IH70,"x","х"),FIND("х",SUBSTITUTE(IH70,"x","х"))-1),3)&gt;3,Каталог!$S$9,1))))</f>
        <v>1</v>
      </c>
      <c r="IO70">
        <f t="shared" si="241"/>
        <v>0</v>
      </c>
      <c r="IP70" t="str">
        <f t="shared" si="242"/>
        <v>авто</v>
      </c>
      <c r="IQ70" t="str">
        <f t="shared" si="243"/>
        <v/>
      </c>
      <c r="IR70">
        <f t="shared" si="244"/>
        <v>0</v>
      </c>
      <c r="IS70">
        <f t="shared" si="245"/>
        <v>1</v>
      </c>
    </row>
    <row r="71" spans="1:253" x14ac:dyDescent="0.3">
      <c r="A71" t="s">
        <v>749</v>
      </c>
      <c r="B71" t="s">
        <v>1343</v>
      </c>
      <c r="C71" t="s">
        <v>1619</v>
      </c>
      <c r="D71">
        <v>1</v>
      </c>
      <c r="E71">
        <v>1.9</v>
      </c>
      <c r="G71">
        <v>16</v>
      </c>
      <c r="H71" t="str">
        <f>Линии[[#This Row],[_авто утечка]]</f>
        <v/>
      </c>
      <c r="I71" t="str">
        <f>Линии[[#This Row],[_авто управление]]</f>
        <v/>
      </c>
      <c r="J71" t="str">
        <f>Линии[[#This Row],[_авто аппараты]]</f>
        <v/>
      </c>
      <c r="K71">
        <v>2.5</v>
      </c>
      <c r="L71">
        <v>36</v>
      </c>
      <c r="M71" t="str">
        <f>Линии[[#This Row],[_авто фаза]]</f>
        <v>L2</v>
      </c>
      <c r="N71" t="s">
        <v>486</v>
      </c>
      <c r="O71" t="str">
        <f t="shared" si="123"/>
        <v/>
      </c>
      <c r="P71" s="6" cm="1">
        <f t="array" ref="P71">IF(B71="","",IF(BC71&lt;&gt;"",IFERROR(_xlfn.XLOOKUP(BC71,Щиты[Щит],Щиты[Iр, А]),""),IF(BK71=1,IFERROR(_xlfn.XLOOKUP(A71,Щиты[Щит],Щиты[Iр, А]),""),IFERROR(_xlfn.IFS(BR71=1,BN71/((Uн_лин/SQRT(3))*BY71),BR71=3,BN71/(SQRT(3)*Uн_лин*BY71)),""))))</f>
        <v>10.284051669940206</v>
      </c>
      <c r="Q71" s="7">
        <f>IF(B71="","",IFERROR(IF(VLOOKUP(AX71,Потребители_обозначение,4,FALSE)=1,VLOOKUP(AX71,Потребители_обозначение,3,FALSE)*(D71*2-1)+DS71+VLOOKUP(AZ71,Этаж_обозначение,3,FALSE)+VLOOKUP(AZ71,Этаж_обозначение,4,FALSE),VLOOKUP(AX71,Потребители_обозначение,3,FALSE)*(D71*2-1)+DS71),DS71))</f>
        <v>38</v>
      </c>
      <c r="R71" s="6">
        <f t="shared" si="124"/>
        <v>3.1</v>
      </c>
      <c r="S71" t="str">
        <f t="shared" si="125"/>
        <v>ВВГнг(А)-LS (3х2,5)</v>
      </c>
      <c r="T71" t="str">
        <f>IF(BH71="","",IF(BI71="вводной узел","узел ","")&amp;"л."&amp;(INT((BH71-1)/Столбцов_на_лист)+1)&amp;" / "&amp;(MOD(BH71-1,Столбцов_на_лист)+1))</f>
        <v>л.3 / 3</v>
      </c>
      <c r="V71">
        <v>1</v>
      </c>
      <c r="W71">
        <v>230</v>
      </c>
      <c r="X71" t="s">
        <v>600</v>
      </c>
      <c r="Y71">
        <v>0.5</v>
      </c>
      <c r="AC71" t="s">
        <v>815</v>
      </c>
      <c r="AE71" t="s">
        <v>578</v>
      </c>
      <c r="AI71">
        <v>37</v>
      </c>
      <c r="AJ71" t="s">
        <v>11</v>
      </c>
      <c r="AK71">
        <v>3</v>
      </c>
      <c r="AN71">
        <v>35</v>
      </c>
      <c r="AP71">
        <v>1</v>
      </c>
      <c r="AW71" cm="1">
        <f t="array" ref="AW71">ROW()-ROW(Линии[#Headers])</f>
        <v>69</v>
      </c>
      <c r="AX71" s="6" t="str">
        <f t="shared" si="126"/>
        <v>K</v>
      </c>
      <c r="AY71" t="str">
        <f t="shared" si="127"/>
        <v>3</v>
      </c>
      <c r="AZ71" t="str">
        <f t="shared" si="128"/>
        <v>3</v>
      </c>
      <c r="BA71" t="str">
        <f t="shared" si="129"/>
        <v/>
      </c>
      <c r="BB71" t="str">
        <f t="shared" si="130"/>
        <v/>
      </c>
      <c r="BC71" t="str">
        <f>IF(U71&lt;&gt;"",U71,IF(AND(B71&lt;&gt;"",B71&lt;&gt;A71,ISNUMBER(_xlfn.XMATCH(B71,Щиты[Щит]))),B71,""))</f>
        <v/>
      </c>
      <c r="BD71" t="str" cm="1">
        <f t="array" ref="BD71">IF(B71="","",IF(BC71&lt;&gt;"","Щит "&amp;BC71,_xlfn.LET(_xlpm.nm,IFERROR(_xlfn.XLOOKUP(AX71,Коды_код,Коды_имя)&amp;"",""),_xlpm.md,IFERROR(N(_xlfn.XLOOKUP(AX71,Коды_код,Коды_режим)),1),_xlpm.ex,IF(Имя_режим="по экспликации",IFERROR(_xlfn.XLOOKUP(AZ71&amp;"|"&amp;BB71,Экспликация[Этаж]&amp;"|"&amp;Экспликация[Помещение],Экспликация[Название])&amp;"",""),""),_xlpm.rm,IF(BB71="","",IF(_xlpm.ex&lt;&gt;"",". "&amp;_xlpm.ex&amp;IF(Имя_пом="нет"," ("&amp;BB71&amp;")"," (пом. "&amp;BB71&amp;")"),IF(Имя_пом="нет"," ",", пом. ")&amp;BB71)),IF(_xlpm.nm="","",IF(_xlpm.md=2,_xlpm.nm&amp;" шлейф "&amp;AZ71,_xlpm.nm&amp;_xlpm.rm)))))</f>
        <v>Внутренний блок кондиционирования</v>
      </c>
      <c r="BE71" t="str">
        <f t="shared" si="131"/>
        <v>Внешний блок кондиционирования Пом. Венткиосок</v>
      </c>
      <c r="BF71">
        <f>IFERROR(_xlfn.XMATCH(A71,Щиты[Щит]),0)</f>
        <v>4</v>
      </c>
      <c r="BG71">
        <f>_xlfn.LET(_xlpm.k,IFERROR(_xlfn.XLOOKUP(A71,Щиты[Щит],Щиты[Листов под вводной узел]),""),IF(_xlpm.k="",1,N(_xlpm.k))*Столбцов_на_лист)</f>
        <v>17</v>
      </c>
      <c r="BH71">
        <f t="shared" si="132"/>
        <v>37</v>
      </c>
      <c r="BI71" t="str">
        <f t="shared" si="133"/>
        <v>линии</v>
      </c>
      <c r="BJ71" s="6">
        <f>IFERROR(N(_xlfn.XLOOKUP(AX71,Коды_код,Коды_квт)),0)</f>
        <v>0</v>
      </c>
      <c r="BK71">
        <f t="shared" si="134"/>
        <v>0</v>
      </c>
      <c r="BL71" t="str">
        <f>IF(B71="","",IF(BC71&lt;&gt;"",IFERROR(_xlfn.XLOOKUP(BC71,Щиты[Щит],Щиты[Руст, кВт]),0),IF(BK71=1,IFERROR(_xlfn.XLOOKUP(A71,Щиты[Щит],Щиты[Руст, кВт]),0),IF(BJ71&gt;0,ROUND(BJ71*MAX(1,N(D71)),3),""))))</f>
        <v/>
      </c>
      <c r="BM71">
        <f t="shared" si="135"/>
        <v>1.9</v>
      </c>
      <c r="BN71" s="6">
        <f>IF(B71="","",IF(BC71&lt;&gt;"",IFERROR(_xlfn.XLOOKUP(BC71,Щиты[Щит],Щиты[Руст, кВт]),0),N(BM71)))</f>
        <v>1.9</v>
      </c>
      <c r="BO71" t="str">
        <f>IF(B71="","",IFERROR(IF(VLOOKUP(AX71,Потребители_обозначение,8,FALSE)=0,"",VLOOKUP(AX71,Потребители_обозначение,8,FALSE)),""))</f>
        <v/>
      </c>
      <c r="BP71">
        <f t="shared" si="136"/>
        <v>230</v>
      </c>
      <c r="BQ71">
        <f>IF(B71="","",IF(BC71&lt;&gt;"",3,IFERROR(IF(N(VLOOKUP(AX71,Потребители_обозначение,9,FALSE))=0,1,VLOOKUP(AX71,Потребители_обозначение,9,FALSE)),1)))</f>
        <v>1</v>
      </c>
      <c r="BR71">
        <f t="shared" si="137"/>
        <v>1</v>
      </c>
      <c r="BS71" t="str">
        <f>IF(B71="","",_xlfn.LET(_xlpm.bc,IFERROR(IF(VLOOKUP(AX71,Потребители_обозначение,6,FALSE)=0,"",VLOOKUP(AX71,Потребители_обозначение,6,FALSE)&amp;""),""),IF(AND(FK71="да",OR(_xlpm.bc="",_xlpm.bc="мс")),Марка_пож,IF(AND(_xlpm.bc="",BC71&lt;&gt;""),"мс",_xlpm.bc))))</f>
        <v/>
      </c>
      <c r="BT71" t="str">
        <f t="shared" si="138"/>
        <v>мс</v>
      </c>
      <c r="BU71">
        <f>IF(B71="","",_xlfn.LET(_xlpm.cc,IFERROR(N(VLOOKUP(AX71,Потребители_обозначение,7,FALSE)),0),IF(_xlpm.cc&gt;0,_xlpm.cc,IF(BT71="","",IF(N(BR71)=3,5,3)))))</f>
        <v>3</v>
      </c>
      <c r="BV71">
        <f t="shared" si="139"/>
        <v>3</v>
      </c>
      <c r="BW71">
        <f>IFERROR(N(VLOOKUP(AX71,Потребители_обозначение,10,FALSE)),0)</f>
        <v>0</v>
      </c>
      <c r="BX71">
        <f>IFERROR(VLOOKUP(AX71,Потребители_обозначение,5,FALSE),0)</f>
        <v>1</v>
      </c>
      <c r="BY71" s="6" cm="1">
        <f t="array" ref="BY71">IF(B71="","",IF(BC71&lt;&gt;"",IFERROR(_xlfn.XLOOKUP(BC71,Щиты[Щит],Щиты[cos φ]),0.95),IF(BK71=1,IFERROR(_xlfn.XLOOKUP(A71,Щиты[Щит],Щиты[cos φ]),0.95),IF(ISNUMBER(Z71),Z71,IFERROR(IF(BX71=2,_xlfn.IFS(BR71=3,VLOOKUP(BN71,Справочная_двигатели,8,FALSE),BR71=1,VLOOKUP(BN71,Справочная_двигатели,10,TRUE)),IF(AND(Методика="нормы 2026",EQ71="Сил"),0.8,0.95)),0.95)))))</f>
        <v>0.8</v>
      </c>
      <c r="BZ71">
        <f t="shared" si="140"/>
        <v>0</v>
      </c>
      <c r="CA71">
        <f t="shared" si="141"/>
        <v>1</v>
      </c>
      <c r="CB71">
        <f t="shared" si="142"/>
        <v>0</v>
      </c>
      <c r="CC71">
        <f t="shared" si="143"/>
        <v>0</v>
      </c>
      <c r="CD71">
        <f t="shared" si="144"/>
        <v>0</v>
      </c>
      <c r="CE71">
        <f t="shared" si="145"/>
        <v>0</v>
      </c>
      <c r="CF71">
        <f t="shared" si="146"/>
        <v>0</v>
      </c>
      <c r="CG71">
        <f>IF(AX71="",0,_xlfn.LET(_xlpm.v,IFERROR(VLOOKUP(B71,УГО_спр,3,FALSE),IFERROR(VLOOKUP(AX71,УГО_спр,3,FALSE),IFERROR(VLOOKUP(LEFT(AX71,2),УГО_спр,3,FALSE),""))),IF(_xlpm.v="да",30,IF(ISNUMBER(_xlpm.v),_xlpm.v,0))))</f>
        <v>0</v>
      </c>
      <c r="CH71" t="str">
        <f t="shared" si="147"/>
        <v/>
      </c>
      <c r="CI71" t="str">
        <f>_xlfn.LET(_xlpm.k,IFERROR(_xlfn.XLOOKUP(AX71,Коды_код,Коды_утечка)&amp;"",""),IF(_xlpm.k="","дифавтомат",_xlpm.k))</f>
        <v>дифавтомат</v>
      </c>
      <c r="CJ71">
        <f t="shared" si="148"/>
        <v>0</v>
      </c>
      <c r="CK71">
        <f t="shared" si="149"/>
        <v>0</v>
      </c>
      <c r="CL71">
        <f>IF(B71="",0,IFERROR(--VLOOKUP(B71,УГО_спр,4,FALSE),IFERROR(--VLOOKUP(AX71,УГО_спр,4,FALSE),IFERROR(--VLOOKUP(LEFT(AX71,2),УГО_спр,4,FALSE),0))))</f>
        <v>0</v>
      </c>
      <c r="CM71" t="str">
        <f>IF(B71="","",IFERROR(_xlfn.XLOOKUP(AX71,Коды_код,Коды_апп)&amp;"",""))</f>
        <v/>
      </c>
      <c r="CN71" t="str">
        <f t="shared" si="150"/>
        <v/>
      </c>
      <c r="CO71" t="str" cm="1">
        <f t="array" ref="CO71">IF(TRIM(CN71&amp;"")="","",IFERROR(TRIM(INDEX(_xlfn.TEXTSPLIT(CN71&amp;";;;",";"),1)),""))</f>
        <v/>
      </c>
      <c r="CP71" t="str" cm="1">
        <f t="array" ref="CP71">IF(TRIM(CN71&amp;"")="","",IFERROR(TRIM(INDEX(_xlfn.TEXTSPLIT(CN71&amp;";;;",";"),2)),""))</f>
        <v/>
      </c>
      <c r="CQ71" t="str" cm="1">
        <f t="array" ref="CQ71">IF(TRIM(CN71&amp;"")="","",IFERROR(TRIM(INDEX(_xlfn.TEXTSPLIT(CN71&amp;";;;",";"),3)),""))</f>
        <v/>
      </c>
      <c r="CR71">
        <f t="shared" si="151"/>
        <v>0</v>
      </c>
      <c r="CS71" t="str">
        <f>IF(B71="","",_xlfn.LET(_xlpm.t,LOWER(AV71&amp;""),IF(ISNUMBER(SEARCH("dim",_xlpm.t)),"DIM",IF(ISNUMBER(SEARCH("dali",_xlpm.t)),"DALI",IF(OR(ISNUMBER(SEARCH("relay",_xlpm.t)),ISNUMBER(SEARCH("реле",_xlpm.t))),"Relay",IF(ISNUMBER(SEARCH("кнопк",_xlpm.t)),"",IFERROR(_xlfn.XLOOKUP(AX71,Коды_код,Коды_упр)&amp;"","")))))))</f>
        <v/>
      </c>
      <c r="CT71" t="str">
        <f t="shared" si="152"/>
        <v/>
      </c>
      <c r="CU71">
        <f>IF(B71="","",_xlfn.LET(_xlpm.ig,N(P71)+IF(AF71="вручную",0,N(CB71)),_xlpm.n0,IFERROR(VLOOKUP(_xlpm.ig,Автомат_номиналы,2,TRUE),0),_xlpm.mn,MAX(CL71,IF(AF71="вручную",0,N(CE71))),MAX(_xlpm.n0,_xlpm.mn,IF(CR71=1,Мин_автомат_БП,0))))</f>
        <v>16</v>
      </c>
      <c r="CV71">
        <f t="shared" si="153"/>
        <v>1</v>
      </c>
      <c r="CW71" t="str">
        <f t="shared" si="154"/>
        <v>1P</v>
      </c>
      <c r="CX71" t="str">
        <f>_xlfn.LET(_xlpm.cc,UPPER(TRIM(IFERROR(_xlfn.XLOOKUP(AX71,Коды_код,Коды_хар)&amp;"",""))),IF(OR(_xlpm.cc="B",_xlpm.cc="В"),"B",IF(_xlpm.cc="D","D","С")))</f>
        <v>С</v>
      </c>
      <c r="CY71" t="str">
        <f t="shared" si="155"/>
        <v>1P С16А</v>
      </c>
      <c r="CZ71">
        <f t="shared" si="156"/>
        <v>16</v>
      </c>
      <c r="DA71" t="str">
        <f t="shared" si="157"/>
        <v>1P С16А</v>
      </c>
      <c r="DB71" cm="1">
        <f t="array" ref="DB71">IF(DA71="","",_xlfn.LET(_xlpm.t,SUBSTITUTE(SUBSTITUTE(SUBSTITUTE(UPPER(DA71),"С","C"),"А","A"),"В","B"),_xlpm.tk,_xlfn.TEXTSPLIT(_xlpm.t,"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1" t="str">
        <f t="shared" si="158"/>
        <v>ok</v>
      </c>
      <c r="DD71">
        <f t="shared" si="159"/>
        <v>16</v>
      </c>
      <c r="DE71" t="str">
        <f t="shared" si="160"/>
        <v>1P С16А</v>
      </c>
      <c r="DF71">
        <f t="shared" si="161"/>
        <v>0</v>
      </c>
      <c r="DG71">
        <f t="shared" si="162"/>
        <v>0</v>
      </c>
      <c r="DH71">
        <f t="shared" si="163"/>
        <v>0</v>
      </c>
      <c r="DI71">
        <f t="shared" si="164"/>
        <v>10.284051669940206</v>
      </c>
      <c r="DJ71">
        <f t="shared" si="165"/>
        <v>1</v>
      </c>
      <c r="DK71">
        <f>IF(ISNUMBER(AL71),AL71,К_прокл)</f>
        <v>1</v>
      </c>
      <c r="DL71">
        <f t="shared" si="166"/>
        <v>2</v>
      </c>
      <c r="DM71">
        <f>IFERROR(N(VLOOKUP(BT71,Кабель_обозначение,3,FALSE)),1)</f>
        <v>1</v>
      </c>
      <c r="DN71">
        <f>IFERROR(N(_xlfn.XLOOKUP(A71,Щиты[Щит],Щиты[ΔU до шин, %])),0)</f>
        <v>0.64</v>
      </c>
      <c r="DO71" t="str">
        <f>IFERROR(_xlfn.XLOOKUP(A71,Щиты[Щит],Щиты[Zпетли на шинах, Ом]),"")</f>
        <v/>
      </c>
      <c r="DP71">
        <f>IFERROR(N(_xlfn.XLOOKUP(A71,Щиты[Щит],Щиты[ΔU до шин (подбор), %])),0)</f>
        <v>0.75</v>
      </c>
      <c r="DQ71" t="str">
        <f>IFERROR(_xlfn.XLOOKUP(A71,Щиты[Щит],Щиты[Zпетли на шинах (подбор), Ом]),"")</f>
        <v/>
      </c>
      <c r="DR71" t="str">
        <f t="shared" si="167"/>
        <v/>
      </c>
      <c r="DS71">
        <f t="shared" si="168"/>
        <v>36</v>
      </c>
      <c r="DT71">
        <f t="shared" si="169"/>
        <v>2</v>
      </c>
      <c r="DU71">
        <f t="shared" si="170"/>
        <v>0.6</v>
      </c>
      <c r="DV71" s="6">
        <f>IF(B71="","",IF(IFERROR(VLOOKUP(AX71,УГО_спр,2,FALSE),"")="Светильник",3,4)+IF(Методика="нормы 2026",MIN(0.5,MAX(0,N(Q71)-100)*0.005),0))</f>
        <v>4</v>
      </c>
      <c r="DW71" cm="1">
        <f t="array" ref="DW71">IF(OR(B71="",BT71="",DM71&lt;&gt;1),"",_xlfn.LET(_xlpm.sz,Iдоп_S,_xlpm.t_,CHOOSE(DL71,Iдоп_1ж,Iдоп_2ж,Iдоп_3ж)*DJ71*DK71,_xlpm.inn,N(DD71),_xlpm.smin,MAX(1.5,BW71),_xlpm.L_,N(Q71)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71)*(_xlpm.rho*_xlpm.L_/_xlpm.sz*N(BY71)+_xlpm.xx*_xlpm.L_*N(DU71)/1000)*N(P71)/((Uн_лин/SQRT(3))*1000)*100,999),_xlpm.kz,IF(OR(DG71=1,NOT(ISNUMBER(DQ71)),_xlpm.L_=0,_xlpm.inn=0),1,IFERROR(--(c_min*(Uн_лин*1000/SQRT(3))/(DQ71+2*ρкз_Cu*_xlpm.L_/_xlpm.sz)&gt;=GY71*_xlpm.inn),0)),_xlpm.ok,IFERROR((_xlpm.sz&gt;=_xlpm.smin)*(_xlpm.t_&gt;=_xlpm.inn)*IF(_xlpm.L_&gt;0,(_xlpm.du_+DP71&lt;=DV71+0.00001),1)*_xlpm.kz,0),_xlpm.r_,_xlfn._xlws.FILTER(_xlpm.sz,_xlpm.ok,"не подобрано"),INDEX(_xlpm.r_,1)))</f>
        <v>2.5</v>
      </c>
      <c r="DX71">
        <f t="shared" si="171"/>
        <v>2.5</v>
      </c>
      <c r="DY71" cm="1">
        <f t="array" ref="DY71">IF(OR(B71="",BT71="",DM71&lt;&gt;1),"",_xlfn.LET(_xlpm.sz,Iдоп_S,_xlpm.t_,CHOOSE(DL71,Iдоп_1ж,Iдоп_2ж,Iдоп_3ж)*DJ71*DK71,_xlpm.ok,IFERROR((_xlpm.sz&gt;=MAX(1.5,BW71))*(_xlpm.t_&gt;=N(DD71)),0),_xlpm.r_,_xlfn._xlws.FILTER(_xlpm.sz,_xlpm.ok,""),INDEX(_xlpm.r_,1)))</f>
        <v>1.5</v>
      </c>
      <c r="DZ71" s="6" cm="1">
        <f t="array" ref="DZ71">IFERROR(ROUNDUP(N(DT71)*(_xlfn.XLOOKUP(DY71,INDEX(Кабель_сопротивление,0,1),INDEX(Кабель_сопротивление,0,3))*N(Q71)/DY71*N(BY71)+_xlfn.XLOOKUP(DY71,INDEX(Кабель_сопротивление,0,1),INDEX(Кабель_сопротивление,0,2))*N(Q71)*N(DU71)/1000)*N(P71)/((Uн_лин/SQRT(3))*1000)*100,2),"")</f>
        <v>4.09</v>
      </c>
      <c r="EA71">
        <f>IFERROR(2*ρкз_Cu*N(Q71)/DY71,"")</f>
        <v>1.3325333333333333</v>
      </c>
      <c r="EB71">
        <f>IFERROR(VLOOKUP(DX71,Кабель_сопротивление,3,FALSE),"")</f>
        <v>2.2499999999999999E-2</v>
      </c>
      <c r="EC71">
        <f>IFERROR(VLOOKUP(DX71,Кабель_сопротивление,2,FALSE),"")</f>
        <v>0.1</v>
      </c>
      <c r="ED71">
        <f t="shared" si="172"/>
        <v>35</v>
      </c>
      <c r="EE71">
        <f t="shared" si="173"/>
        <v>0</v>
      </c>
      <c r="EF71">
        <f t="shared" si="174"/>
        <v>5.6743283494062089</v>
      </c>
      <c r="EG71" s="6">
        <f>IFERROR(ROUNDUP(EF71/((Uн_лин/SQRT(3))*1000)*100,2),"")</f>
        <v>2.46</v>
      </c>
      <c r="EH71" t="str">
        <f>IFERROR(VLOOKUP(BT71,Кабель_обозначение,2,FALSE),"")</f>
        <v>ВВГнг(А)-LS</v>
      </c>
      <c r="EI71" t="str">
        <f t="shared" si="175"/>
        <v>ВВГнг(А)-LS (3х2,5)</v>
      </c>
      <c r="EJ71" t="str">
        <f t="shared" si="176"/>
        <v>ВВГнг(А)-LS (3х2,5)
L=38-2,46%</v>
      </c>
      <c r="EK71">
        <f>IFERROR(2*ρкз_Cu*Q71/DX71,"")</f>
        <v>0.79952000000000001</v>
      </c>
      <c r="EL71">
        <f t="shared" si="177"/>
        <v>0.26600000000000001</v>
      </c>
      <c r="EM71" s="6" t="str">
        <f>IFERROR(IF(OR(B71="",NOT(ISNUMBER(DX71)),N(Q71)=0),"",_xlfn.XLOOKUP(A71,Щиты[Щит],Щиты[Zпетли на шинах, Ом])+EK71),"")</f>
        <v/>
      </c>
      <c r="EN71" s="6" t="str">
        <f>IF(ISNUMBER(EM71),c_min*(Uн_лин*1000/SQRT(3))/EM71,"")</f>
        <v/>
      </c>
      <c r="EO71" s="6" t="str">
        <f>IFERROR(IF(OR(B71="",NOT(ISNUMBER(DX71))),"",1.05*(Uн_лин*1000/SQRT(3))/(_xlfn.XLOOKUP(A71,Щиты[Щит],Щиты[Zmax на шинах, Ом])+EL71)/1000),"")</f>
        <v/>
      </c>
      <c r="EP71" s="6" t="str">
        <f>IF(B71="","",IF(ISNUMBER(Y71),"Сил",IF(IFERROR(_xlfn.XLOOKUP(AX71,Коды_код,Коды_группа)&amp;"","")="","Быт",_xlfn.XLOOKUP(AX71,Коды_код,Коды_группа)&amp;"")))</f>
        <v>Сил</v>
      </c>
      <c r="EQ71" s="6" t="str">
        <f t="shared" si="178"/>
        <v>Сил</v>
      </c>
      <c r="ER71" s="6">
        <f>IF(EQ71="Щит","щит",IF(EQ71="","",IF(EQ71="Быт",IFERROR(_xlfn.XLOOKUP(A71,Щиты[Щит],Щиты[Кс быт]),1),IF(EQ71="Сил",IF(ISNUMBER(Y71),Y71,IF(Методика="нормы 2026",IFERROR(_xlfn.XLOOKUP(A71,Щиты[Щит],Щиты[Кс силовых (табл. 7.5)]),1),1)),IF(OR(EQ71="Пост",EQ71="Отоп"),1,IF(EQ71="ВНГ",0.7,0))))))</f>
        <v>0.5</v>
      </c>
      <c r="ES71">
        <f t="shared" si="179"/>
        <v>1</v>
      </c>
      <c r="ET71">
        <f t="shared" si="180"/>
        <v>1.9</v>
      </c>
      <c r="EU71">
        <f t="shared" si="181"/>
        <v>0</v>
      </c>
      <c r="EV71">
        <f t="shared" si="182"/>
        <v>0.95</v>
      </c>
      <c r="EW71">
        <f t="shared" si="183"/>
        <v>0</v>
      </c>
      <c r="EX71">
        <f t="shared" si="184"/>
        <v>0</v>
      </c>
      <c r="EY71">
        <f t="shared" si="185"/>
        <v>0</v>
      </c>
      <c r="EZ71">
        <f t="shared" si="186"/>
        <v>1.9</v>
      </c>
      <c r="FA71">
        <f t="shared" si="187"/>
        <v>1.52</v>
      </c>
      <c r="FB71">
        <f t="shared" si="188"/>
        <v>1.9</v>
      </c>
      <c r="FC71" t="str">
        <f t="shared" si="189"/>
        <v/>
      </c>
      <c r="FD71" t="str">
        <f>IF(B71="","",IF(CA71=0,IF(AW71=1,"",FF70),IF(OR(N(CV71)&gt;=3,N(BR71)&gt;=3),"L1,L2,L3",IFERROR(_xlfn.TEXTBEFORE(_xlfn.TEXTAFTER(_xlfn.XLOOKUP(A71,Щиты[Щит],Щиты[_фазы авто]),";"&amp;AW71&amp;":"),";"),"L1"))))</f>
        <v>L2</v>
      </c>
      <c r="FE71" t="str">
        <f t="shared" si="190"/>
        <v>L2</v>
      </c>
      <c r="FF71" t="str">
        <f t="shared" si="191"/>
        <v>L2</v>
      </c>
      <c r="FG71" cm="1">
        <f t="array" ref="FG71">IFERROR(IF(BX71=2,_xlfn.IFS(BR71=3,VLOOKUP(BN71,Справочная_двигатели,3,FALSE),BR71=1,VLOOKUP(BN71,Справочная_двигатели,5,TRUE)),0),0)</f>
        <v>0</v>
      </c>
      <c r="FH71">
        <f>IFERROR(IF(BX71=3,VLOOKUP(BN71,Справочная_ЛЭД,2,TRUE),0),0)</f>
        <v>0</v>
      </c>
      <c r="FI71" s="6">
        <f t="shared" si="192"/>
        <v>0</v>
      </c>
      <c r="FJ71" t="str" cm="1">
        <f t="array" ref="FJ71">IF(B71="","",IFERROR(INDEX({"I особая","I","II","III"},MATCH(TRIM(AC71&amp;""),{"I особая","I","II","III"},0)),"III"))</f>
        <v>II</v>
      </c>
      <c r="FK71" t="str">
        <f>IF(B71="","",IF(TRIM(AD71&amp;"")&lt;&gt;"",IF(LOWER(TRIM(AD71&amp;""))="да","да","нет"),IF(IFERROR(_xlfn.XLOOKUP(AX71,Коды_код,Коды_пожарная),"")="да","да","нет")))</f>
        <v>нет</v>
      </c>
      <c r="FL71" t="str">
        <f t="shared" si="193"/>
        <v/>
      </c>
      <c r="FM71" t="str">
        <f t="shared" si="194"/>
        <v>основная</v>
      </c>
      <c r="FN71">
        <f t="shared" si="195"/>
        <v>1</v>
      </c>
      <c r="FO71" t="str" cm="1">
        <f t="array" ref="FO71">IF(B71="","",_xlfn.LET(_xlpm.t,IFERROR(_xlfn.XLOOKUP(1,(Шины[Шина]=FM71)*(((Шины[Щит]=A71)+(Шины[Щит]=""))&gt;0),Шины[Тип]),"")&amp;"",IF(_xlpm.t&lt;&gt;"",_xlpm.t,IF(ISNUMBER(SEARCH("ИБП",FM71)),"ИБП",IF(ISNUMBER(SEARCH("ДГУ",FM71)),"ДГУ","Ввод "&amp;FN71)))))</f>
        <v>Ввод 1</v>
      </c>
      <c r="FP71" t="str">
        <f t="shared" si="196"/>
        <v>Ввод 1</v>
      </c>
      <c r="FQ71" t="str">
        <f>IF(B71="","",IF(OR(FO71="ИБП",FO71="ДГУ"),"I особая",IF(FO71="Одиночная","III",_xlfn.XLOOKUP(A71,Щиты[Щит],Щиты[Категория шины «Ввод»],"III"))))</f>
        <v>II</v>
      </c>
      <c r="FR71">
        <f>IF(B71="",0,IFERROR(MATCH(FJ71,{"III","II","I","I особая"},0),1))</f>
        <v>2</v>
      </c>
      <c r="FS71">
        <f t="shared" si="197"/>
        <v>2</v>
      </c>
      <c r="FT71" t="str">
        <f>IF(B71="","",IF(FR71&gt;IFERROR(MATCH(FQ71,{"III","II","I","I особая"},0),1),"НЕ ОБЕСПЕЧЕНА","ОК"))</f>
        <v>ОК</v>
      </c>
      <c r="FU71" t="str">
        <f>IF(A71="","",_xlfn.XLOOKUP(A71,Щиты[Щит],Щиты[Путь],""))</f>
        <v>|ГРЩ-ЖД|ЩОВ-001|</v>
      </c>
      <c r="FV71" t="str">
        <f>IF(B71="","",IF(AE71&lt;&gt;"",AE71,IF(IFERROR(_xlfn.XLOOKUP(AX71,Коды_код,Коды_вид)&amp;"","")="","Прочее",_xlfn.XLOOKUP(AX71,Коды_код,Коды_вид)&amp;"")))</f>
        <v>Кондиционирование и увлажнение</v>
      </c>
      <c r="FW71">
        <f>IF(BH71="","",INT((BH71-1)/Столбцов_на_лист)+1)</f>
        <v>3</v>
      </c>
      <c r="FX71" t="str">
        <f t="shared" si="198"/>
        <v>ВВГнг(А)-LS (3х2,5) L=38-2,46%</v>
      </c>
      <c r="FY71">
        <f t="shared" si="199"/>
        <v>1.9</v>
      </c>
      <c r="FZ71">
        <f t="shared" si="200"/>
        <v>10.29</v>
      </c>
      <c r="GA71">
        <f t="shared" si="201"/>
        <v>1</v>
      </c>
      <c r="GB71">
        <f t="shared" si="202"/>
        <v>0</v>
      </c>
      <c r="GC71">
        <f t="shared" si="203"/>
        <v>1</v>
      </c>
      <c r="GD71">
        <f>IF(BH71="","",IF(AND(CA71=1,GC71=1),COUNTIFS(A$3:A71,A71,CA$3:CA71,1,GC$3:GC71,1),IF(OR(OR(AW71=1,A71&lt;&gt;A70),AF71="вручную",GC71=0),"",IF(AW71=1,"",GE70))))</f>
        <v>18</v>
      </c>
      <c r="GE71">
        <f t="shared" si="204"/>
        <v>18</v>
      </c>
      <c r="GF71">
        <f>IF(B71="","",IFERROR(LOOKUP(INDEX(CHOOSE(DL71,Iдоп_1ж,Iдоп_2ж,Iдоп_3ж),MATCH(DX71,Iдоп_S,0))*DJ71*DK71,{6,10,16,20,25,32,40,50,63,80,100,125,160,200,250,315,400,500,630}),""))</f>
        <v>25</v>
      </c>
      <c r="GG71" t="str">
        <f t="shared" si="205"/>
        <v>QF18</v>
      </c>
      <c r="GH71" t="str">
        <f t="shared" si="206"/>
        <v>QF18</v>
      </c>
      <c r="GI71" t="str">
        <f t="shared" si="207"/>
        <v/>
      </c>
      <c r="GJ71">
        <f t="shared" si="208"/>
        <v>0</v>
      </c>
      <c r="GK71" t="str">
        <f>IF(OR(AG71="",AG71="-"),"",IFERROR(VLOOKUP(AG71,Модули_спр,2,FALSE),"R"))</f>
        <v/>
      </c>
      <c r="GL71" t="str">
        <f>IF(GK71="","",GK71&amp;"."&amp;COUNTIFS(A$3:A71,A71,GK$3:GK71,GK71))</f>
        <v/>
      </c>
      <c r="GM71" t="str">
        <f t="shared" si="209"/>
        <v/>
      </c>
      <c r="GN71" t="str">
        <f t="shared" si="210"/>
        <v/>
      </c>
      <c r="GO71" t="str">
        <f t="shared" si="211"/>
        <v/>
      </c>
      <c r="GP71" t="str">
        <f t="shared" si="212"/>
        <v/>
      </c>
      <c r="GQ71">
        <f t="shared" si="213"/>
        <v>1</v>
      </c>
      <c r="GR71" t="str">
        <f>IF(GQ71=1,"XT"&amp;COUNTIFS(A$3:A71,A71,GQ$3:GQ71,1),"")</f>
        <v>XT18</v>
      </c>
      <c r="GS71" t="str">
        <f t="shared" si="214"/>
        <v/>
      </c>
      <c r="GT71" t="str">
        <f t="shared" si="215"/>
        <v>QF18</v>
      </c>
      <c r="GU71" t="str">
        <f t="shared" si="216"/>
        <v/>
      </c>
      <c r="GV71" t="str">
        <f t="shared" si="217"/>
        <v>ok</v>
      </c>
      <c r="GW71" t="str">
        <f>IF(OR(GO71="",GM71=""),"",IF(GO71&gt;IFERROR(VLOOKUP(GN71,Модули_спр,3,FALSE),99),"ЛИШНИЙ КАНАЛ",IF(AND(AH71&lt;&gt;"=",COUNTIFS(Линии[_модуль гр.],GM71,Линии[Канал (итог)],GO71,Линии[Канал],"&lt;&gt;=",Линии[Щит],A71)&gt;1),"ДУБЛЬ КАНАЛА","")))</f>
        <v/>
      </c>
      <c r="GX71" s="6" t="str">
        <f t="shared" si="218"/>
        <v/>
      </c>
      <c r="GY71">
        <f t="shared" si="219"/>
        <v>10</v>
      </c>
      <c r="GZ71" t="str">
        <f t="shared" si="220"/>
        <v/>
      </c>
      <c r="HA71" t="str">
        <f>IF(AND(B71="",GT71=""),"",_xlfn.TEXTJOIN("; ",TRUE,IF(AND(B71&lt;&gt;"",FE71=""),"нет фазы",""),IF(AND(B71&lt;&gt;"",N(FY71)=0,EQ71&lt;&gt;"Нет"),"нет мощности",""),IF(AND(GS71&lt;&gt;"",COUNTIFS(Линии[Щит],A71,Линии[Клемма (итог)],GS71)&gt;1),"дубль клеммы "&amp;GS71,""),IF(AND(GV71&lt;&gt;"",GV71&lt;&gt;"ok"),GV71,""),IF(GW71&lt;&gt;"",GW71,""),IF(AND(N(BV71)&gt;=4,N(BR71)=1),BV71&amp;" жил на 1 фазе",""),IF(AND(AX71="R",CA71=1,OR(N(CK71)=0,N(CK71)&gt;30)),"розетка без дифзащиты до 30 мА",""),IFERROR(IF(AND(ISNUMBER(R71),R71&gt;DV71),"потери "&amp;FIXED(R71,1)&amp;" % &gt; "&amp;DV71&amp;" %",""),""),IFERROR(IF(LEFT(GZ71,4)="мало","Iкз мало — отключение &gt; 0,4 с",""),""),IF(AND(B71&lt;&gt;"",BH71=""),"не на схеме",""),IF(AND(CA71=0,B71&lt;&gt;"",FE71&lt;&gt;"",IF(AW71=1,"",FF70)&lt;&gt;"",FE71&lt;&gt;IF(AW71=1,"",FF70)),"фаза не как у автомата группы ("&amp;IF(AW71=1,"",FF70)&amp;")","")))</f>
        <v/>
      </c>
      <c r="HB71" s="6">
        <f>IF(OR(CA71=0,DA71=""),"",_xlfn.LET(_xlpm.t,IFERROR(_xlfn.XLOOKUP(DA71,Каталог!$U$4:$U$500,Каталог!$G$4:$G$500),""),_xlpm.k,SEARCH("кА",_xlpm.t),IFERROR(--TRIM(RIGHT(SUBSTITUTE(MID(_xlpm.t,MAX(1,_xlpm.k-4),_xlpm.k-MAX(1,_xlpm.k-4))," ",REPT(" ",9)),5)),"")))</f>
        <v>6</v>
      </c>
      <c r="HC71" t="str">
        <f>IF(OR(HB71="",CA71=0),"",IF(_xlfn.XLOOKUP(A71,Щиты[Щит],Щиты[Iкз max на шинах, кА],"")="","",IF(HB71&lt;_xlfn.XLOOKUP(A71,Щиты[Щит],Щиты[Iкз max на шинах, кА]),"Icu "&amp;HB71&amp;" кА &lt; Iкз max","ok")))</f>
        <v/>
      </c>
      <c r="HD71" t="str">
        <f t="shared" si="221"/>
        <v/>
      </c>
      <c r="HE71" t="str">
        <f t="shared" si="222"/>
        <v>QF18</v>
      </c>
      <c r="HF71" t="str">
        <f t="shared" si="223"/>
        <v>QF18|кабель ВВГнг(А)-LS (3х2,5) → Внешний блок кондиционирования Пом. Венткиосок</v>
      </c>
      <c r="HG71" t="str" cm="1">
        <f t="array" ref="HG71">IF(HF71="","",_xlfn.LET(_xlpm.nd,_xlfn.TEXTSPLIT(HF71,"|"),IF(COLUMNS(_xlpm.nd)&gt;1,A71&amp;"¦"&amp;INDEX(_xlpm.nd,1)&amp;"¦"&amp;INDEX(_xlpm.nd,2),"")))</f>
        <v>ЩОВ-001¦QF18¦кабель ВВГнг(А)-LS (3х2,5) → Внешний блок кондиционирования Пом. Венткиосок</v>
      </c>
      <c r="HH71" t="str">
        <f t="shared" si="224"/>
        <v>K.3¦Внешний блок кондиционирования Пом. Венткиосок</v>
      </c>
      <c r="HI71" t="str" cm="1">
        <f t="array" ref="HI71">IF(HF71="","",_xlfn.LET(_xlpm.nd,_xlfn.TEXTSPLIT(HF71,"|"),IF(COLUMNS(_xlpm.nd)&gt;2,A71&amp;"¦"&amp;INDEX(_xlpm.nd,2)&amp;"¦"&amp;INDEX(_xlpm.nd,3),"")))</f>
        <v/>
      </c>
      <c r="HJ71" t="str">
        <f t="shared" si="225"/>
        <v/>
      </c>
      <c r="HK71" t="str" cm="1">
        <f t="array" ref="HK71">IF(HF71="","",_xlfn.LET(_xlpm.nd,_xlfn.TEXTSPLIT(HF71,"|"),IF(COLUMNS(_xlpm.nd)&gt;3,A71&amp;"¦"&amp;INDEX(_xlpm.nd,3)&amp;"¦"&amp;INDEX(_xlpm.nd,4),"")))</f>
        <v/>
      </c>
      <c r="HL71" t="str">
        <f t="shared" si="226"/>
        <v/>
      </c>
      <c r="HM71" t="str" cm="1">
        <f t="array" ref="HM71">IF(HF71="","",_xlfn.LET(_xlpm.nd,_xlfn.TEXTSPLIT(HF71,"|"),IF(COLUMNS(_xlpm.nd)&gt;4,A71&amp;"¦"&amp;INDEX(_xlpm.nd,4)&amp;"¦"&amp;INDEX(_xlpm.nd,5),"")))</f>
        <v/>
      </c>
      <c r="HN71" t="str">
        <f t="shared" si="227"/>
        <v/>
      </c>
      <c r="HO71" t="str" cm="1">
        <f t="array" ref="HO71">IF(HF71="","",_xlfn.LET(_xlpm.nd,_xlfn.TEXTSPLIT(HF71,"|"),IF(COLUMNS(_xlpm.nd)&gt;5,A71&amp;"¦"&amp;INDEX(_xlpm.nd,5)&amp;"¦"&amp;INDEX(_xlpm.nd,6),"")))</f>
        <v/>
      </c>
      <c r="HP71" t="str">
        <f t="shared" si="228"/>
        <v/>
      </c>
      <c r="HQ71" t="str" cm="1">
        <f t="array" ref="HQ71">IF(HF71="","",_xlfn.LET(_xlpm.nd,_xlfn.TEXTSPLIT(HF71,"|"),IF(COLUMNS(_xlpm.nd)&gt;6,A71&amp;"¦"&amp;INDEX(_xlpm.nd,6)&amp;"¦"&amp;INDEX(_xlpm.nd,7),"")))</f>
        <v/>
      </c>
      <c r="HR71" t="str">
        <f t="shared" si="229"/>
        <v/>
      </c>
      <c r="HS71" t="str">
        <f t="shared" si="230"/>
        <v/>
      </c>
      <c r="HT71" t="str">
        <f t="shared" si="231"/>
        <v>QF18</v>
      </c>
      <c r="HU71">
        <f t="shared" si="232"/>
        <v>0</v>
      </c>
      <c r="HV71">
        <f t="shared" si="233"/>
        <v>0</v>
      </c>
      <c r="HW71" t="str">
        <f t="shared" si="234"/>
        <v/>
      </c>
      <c r="HX71" t="str">
        <f t="shared" si="235"/>
        <v/>
      </c>
      <c r="HY71" t="str">
        <f t="shared" si="236"/>
        <v/>
      </c>
      <c r="HZ71" t="str">
        <f t="shared" si="237"/>
        <v/>
      </c>
      <c r="IA71">
        <f>IF(B71="","",IFERROR(VLOOKUP(B71,УГО_спр,2,FALSE),IFERROR(VLOOKUP(AX71,УГО_спр,2,FALSE),IFERROR(VLOOKUP(LEFT(AX71,2),УГО_спр,2,FALSE),""))))</f>
        <v>0</v>
      </c>
      <c r="IB71" t="str">
        <f>IF(B71="","",IF(OR(IA71="",IA71=0),"BOX",IFERROR(IF(VLOOKUP(IA71,УГО_блоки,3,FALSE)&amp;""&lt;&gt;"",VLOOKUP(IA71,УГО_блоки,3,FALSE),VLOOKUP(IA71,УГО_блоки,2,FALSE)),IA71)))</f>
        <v>BOX</v>
      </c>
      <c r="IC71">
        <f t="shared" si="238"/>
        <v>1</v>
      </c>
      <c r="ID71" t="str">
        <f>IF(DA71="","",IF(COUNTIF(DA$3:DA71,DA71)=1,MAX(ID$2:ID70)+1,""))</f>
        <v/>
      </c>
      <c r="IE71" t="str">
        <f>IF(CO71="","",IF(COUNTIF(CO$3:CO71,CO71)+COUNTIF(CP$2:CP70,CO71)+COUNTIF(CQ$2:CQ70,CO71)=1,MAX(IE$2:IG70)+1,""))</f>
        <v/>
      </c>
      <c r="IF71" t="str">
        <f>IF(CP71="","",IF(COUNTIF(CO$3:CO71,CP71)+COUNTIF(CP$3:CP71,CP71)+COUNTIF(CQ$2:CQ70,CP71)=1,MAX(IE$2:IG70,IE71)+1,""))</f>
        <v/>
      </c>
      <c r="IG71" t="str">
        <f>IF(CQ71="","",IF(COUNTIF(CO$3:CO71,CQ71)+COUNTIF(CP$3:CP71,CQ71)+COUNTIF(CQ$3:CQ71,CQ71)=1,MAX(IE$2:IG70,IE71,IF71)+1,""))</f>
        <v/>
      </c>
      <c r="IH71" t="str">
        <f t="shared" si="239"/>
        <v>3х2,5</v>
      </c>
      <c r="II71" t="str">
        <f>IF(IH71="","",IF(COUNTIF(IH$3:IH71,IH71)=1,MAX(II$2:II70)+1,""))</f>
        <v/>
      </c>
      <c r="IJ71" t="str">
        <f>IF(GL71="","",COUNTIF(GL$3:GL71,"?*"))</f>
        <v/>
      </c>
      <c r="IK71" t="str">
        <f>IF(OR(GL71="",GN71=""),"",IF(COUNTIFS(GL$3:GL71,"?*",GN$3:GN71,GN71)=1,MAX(IK$2:IK70)+1,""))</f>
        <v/>
      </c>
      <c r="IL71">
        <f t="shared" si="240"/>
        <v>0</v>
      </c>
      <c r="IM71">
        <f>IF(B71="","",COUNTIF(B$3:B71,"?*"))</f>
        <v>69</v>
      </c>
      <c r="IN71">
        <f>IF(GQ71&lt;&gt;1,0,_xlfn.LET(_xlpm.k,MAX(IFERROR(--VLOOKUP(B71,УГО_спр,5,FALSE),0),IFERROR(--VLOOKUP(AX71,УГО_спр,5,FALSE),0),IFERROR(--VLOOKUP(LEFT(AX71,2),УГО_спр,5,FALSE),0)),IF(_xlpm.k&gt;0,_xlpm.k,IF(IFERROR(--LEFT(SUBSTITUTE(IH71,"x","х"),FIND("х",SUBSTITUTE(IH71,"x","х"))-1),3)&gt;3,Каталог!$S$9,1))))</f>
        <v>1</v>
      </c>
      <c r="IO71">
        <f t="shared" si="241"/>
        <v>0</v>
      </c>
      <c r="IP71" t="str">
        <f t="shared" si="242"/>
        <v>авто</v>
      </c>
      <c r="IQ71" t="str">
        <f t="shared" si="243"/>
        <v/>
      </c>
      <c r="IR71">
        <f t="shared" si="244"/>
        <v>0</v>
      </c>
      <c r="IS71">
        <f t="shared" si="245"/>
        <v>1</v>
      </c>
    </row>
    <row r="72" spans="1:253" x14ac:dyDescent="0.3">
      <c r="A72" t="s">
        <v>749</v>
      </c>
      <c r="B72" t="s">
        <v>1344</v>
      </c>
      <c r="C72" t="s">
        <v>1619</v>
      </c>
      <c r="D72">
        <v>1</v>
      </c>
      <c r="E72">
        <v>1.9</v>
      </c>
      <c r="G72">
        <v>16</v>
      </c>
      <c r="H72" t="str">
        <f>Линии[[#This Row],[_авто утечка]]</f>
        <v/>
      </c>
      <c r="I72" t="str">
        <f>Линии[[#This Row],[_авто управление]]</f>
        <v/>
      </c>
      <c r="J72" t="str">
        <f>Линии[[#This Row],[_авто аппараты]]</f>
        <v/>
      </c>
      <c r="K72">
        <v>2.5</v>
      </c>
      <c r="L72">
        <v>36</v>
      </c>
      <c r="M72" t="str">
        <f>Линии[[#This Row],[_авто фаза]]</f>
        <v>L3</v>
      </c>
      <c r="N72" t="str">
        <f>Линии[[#This Row],[_авто клемма]]</f>
        <v>XT19</v>
      </c>
      <c r="O72" t="str">
        <f t="shared" si="123"/>
        <v/>
      </c>
      <c r="P72" s="6" cm="1">
        <f t="array" ref="P72">IF(B72="","",IF(BC72&lt;&gt;"",IFERROR(_xlfn.XLOOKUP(BC72,Щиты[Щит],Щиты[Iр, А]),""),IF(BK72=1,IFERROR(_xlfn.XLOOKUP(A72,Щиты[Щит],Щиты[Iр, А]),""),IFERROR(_xlfn.IFS(BR72=1,BN72/((Uн_лин/SQRT(3))*BY72),BR72=3,BN72/(SQRT(3)*Uн_лин*BY72)),""))))</f>
        <v>10.284051669940206</v>
      </c>
      <c r="Q72" s="7">
        <f>IF(B72="","",IFERROR(IF(VLOOKUP(AX72,Потребители_обозначение,4,FALSE)=1,VLOOKUP(AX72,Потребители_обозначение,3,FALSE)*(D72*2-1)+DS72+VLOOKUP(AZ72,Этаж_обозначение,3,FALSE)+VLOOKUP(AZ72,Этаж_обозначение,4,FALSE),VLOOKUP(AX72,Потребители_обозначение,3,FALSE)*(D72*2-1)+DS72),DS72))</f>
        <v>38</v>
      </c>
      <c r="R72" s="6">
        <f t="shared" si="124"/>
        <v>3.1</v>
      </c>
      <c r="S72" t="str">
        <f t="shared" si="125"/>
        <v>ВВГнг(А)-LS (3х2,5)</v>
      </c>
      <c r="T72" t="str">
        <f>IF(BH72="","",IF(BI72="вводной узел","узел ","")&amp;"л."&amp;(INT((BH72-1)/Столбцов_на_лист)+1)&amp;" / "&amp;(MOD(BH72-1,Столбцов_на_лист)+1))</f>
        <v>л.3 / 6</v>
      </c>
      <c r="V72">
        <v>1</v>
      </c>
      <c r="W72">
        <v>230</v>
      </c>
      <c r="X72" t="s">
        <v>600</v>
      </c>
      <c r="Y72">
        <v>0.5</v>
      </c>
      <c r="AC72" t="s">
        <v>815</v>
      </c>
      <c r="AE72" t="s">
        <v>578</v>
      </c>
      <c r="AI72">
        <v>40</v>
      </c>
      <c r="AJ72" t="s">
        <v>11</v>
      </c>
      <c r="AK72">
        <v>3</v>
      </c>
      <c r="AN72">
        <v>35</v>
      </c>
      <c r="AP72">
        <v>1</v>
      </c>
      <c r="AW72" cm="1">
        <f t="array" ref="AW72">ROW()-ROW(Линии[#Headers])</f>
        <v>70</v>
      </c>
      <c r="AX72" s="6" t="str">
        <f t="shared" si="126"/>
        <v>K</v>
      </c>
      <c r="AY72" t="str">
        <f t="shared" si="127"/>
        <v>4</v>
      </c>
      <c r="AZ72" t="str">
        <f t="shared" si="128"/>
        <v>4</v>
      </c>
      <c r="BA72" t="str">
        <f t="shared" si="129"/>
        <v/>
      </c>
      <c r="BB72" t="str">
        <f t="shared" si="130"/>
        <v/>
      </c>
      <c r="BC72" t="str">
        <f>IF(U72&lt;&gt;"",U72,IF(AND(B72&lt;&gt;"",B72&lt;&gt;A72,ISNUMBER(_xlfn.XMATCH(B72,Щиты[Щит]))),B72,""))</f>
        <v/>
      </c>
      <c r="BD72" t="str" cm="1">
        <f t="array" ref="BD72">IF(B72="","",IF(BC72&lt;&gt;"","Щит "&amp;BC72,_xlfn.LET(_xlpm.nm,IFERROR(_xlfn.XLOOKUP(AX72,Коды_код,Коды_имя)&amp;"",""),_xlpm.md,IFERROR(N(_xlfn.XLOOKUP(AX72,Коды_код,Коды_режим)),1),_xlpm.ex,IF(Имя_режим="по экспликации",IFERROR(_xlfn.XLOOKUP(AZ72&amp;"|"&amp;BB72,Экспликация[Этаж]&amp;"|"&amp;Экспликация[Помещение],Экспликация[Название])&amp;"",""),""),_xlpm.rm,IF(BB72="","",IF(_xlpm.ex&lt;&gt;"",". "&amp;_xlpm.ex&amp;IF(Имя_пом="нет"," ("&amp;BB72&amp;")"," (пом. "&amp;BB72&amp;")"),IF(Имя_пом="нет"," ",", пом. ")&amp;BB72)),IF(_xlpm.nm="","",IF(_xlpm.md=2,_xlpm.nm&amp;" шлейф "&amp;AZ72,_xlpm.nm&amp;_xlpm.rm)))))</f>
        <v>Внутренний блок кондиционирования</v>
      </c>
      <c r="BE72" t="str">
        <f t="shared" si="131"/>
        <v>Внешний блок кондиционирования Пом. Венткиосок</v>
      </c>
      <c r="BF72">
        <f>IFERROR(_xlfn.XMATCH(A72,Щиты[Щит]),0)</f>
        <v>4</v>
      </c>
      <c r="BG72">
        <f>_xlfn.LET(_xlpm.k,IFERROR(_xlfn.XLOOKUP(A72,Щиты[Щит],Щиты[Листов под вводной узел]),""),IF(_xlpm.k="",1,N(_xlpm.k))*Столбцов_на_лист)</f>
        <v>17</v>
      </c>
      <c r="BH72">
        <f t="shared" si="132"/>
        <v>40</v>
      </c>
      <c r="BI72" t="str">
        <f t="shared" si="133"/>
        <v>линии</v>
      </c>
      <c r="BJ72" s="6">
        <f>IFERROR(N(_xlfn.XLOOKUP(AX72,Коды_код,Коды_квт)),0)</f>
        <v>0</v>
      </c>
      <c r="BK72">
        <f t="shared" si="134"/>
        <v>0</v>
      </c>
      <c r="BL72" t="str">
        <f>IF(B72="","",IF(BC72&lt;&gt;"",IFERROR(_xlfn.XLOOKUP(BC72,Щиты[Щит],Щиты[Руст, кВт]),0),IF(BK72=1,IFERROR(_xlfn.XLOOKUP(A72,Щиты[Щит],Щиты[Руст, кВт]),0),IF(BJ72&gt;0,ROUND(BJ72*MAX(1,N(D72)),3),""))))</f>
        <v/>
      </c>
      <c r="BM72">
        <f t="shared" si="135"/>
        <v>1.9</v>
      </c>
      <c r="BN72" s="6">
        <f>IF(B72="","",IF(BC72&lt;&gt;"",IFERROR(_xlfn.XLOOKUP(BC72,Щиты[Щит],Щиты[Руст, кВт]),0),N(BM72)))</f>
        <v>1.9</v>
      </c>
      <c r="BO72" t="str">
        <f>IF(B72="","",IFERROR(IF(VLOOKUP(AX72,Потребители_обозначение,8,FALSE)=0,"",VLOOKUP(AX72,Потребители_обозначение,8,FALSE)),""))</f>
        <v/>
      </c>
      <c r="BP72">
        <f t="shared" si="136"/>
        <v>230</v>
      </c>
      <c r="BQ72">
        <f>IF(B72="","",IF(BC72&lt;&gt;"",3,IFERROR(IF(N(VLOOKUP(AX72,Потребители_обозначение,9,FALSE))=0,1,VLOOKUP(AX72,Потребители_обозначение,9,FALSE)),1)))</f>
        <v>1</v>
      </c>
      <c r="BR72">
        <f t="shared" si="137"/>
        <v>1</v>
      </c>
      <c r="BS72" t="str">
        <f>IF(B72="","",_xlfn.LET(_xlpm.bc,IFERROR(IF(VLOOKUP(AX72,Потребители_обозначение,6,FALSE)=0,"",VLOOKUP(AX72,Потребители_обозначение,6,FALSE)&amp;""),""),IF(AND(FK72="да",OR(_xlpm.bc="",_xlpm.bc="мс")),Марка_пож,IF(AND(_xlpm.bc="",BC72&lt;&gt;""),"мс",_xlpm.bc))))</f>
        <v/>
      </c>
      <c r="BT72" t="str">
        <f t="shared" si="138"/>
        <v>мс</v>
      </c>
      <c r="BU72">
        <f>IF(B72="","",_xlfn.LET(_xlpm.cc,IFERROR(N(VLOOKUP(AX72,Потребители_обозначение,7,FALSE)),0),IF(_xlpm.cc&gt;0,_xlpm.cc,IF(BT72="","",IF(N(BR72)=3,5,3)))))</f>
        <v>3</v>
      </c>
      <c r="BV72">
        <f t="shared" si="139"/>
        <v>3</v>
      </c>
      <c r="BW72">
        <f>IFERROR(N(VLOOKUP(AX72,Потребители_обозначение,10,FALSE)),0)</f>
        <v>0</v>
      </c>
      <c r="BX72">
        <f>IFERROR(VLOOKUP(AX72,Потребители_обозначение,5,FALSE),0)</f>
        <v>1</v>
      </c>
      <c r="BY72" s="6" cm="1">
        <f t="array" ref="BY72">IF(B72="","",IF(BC72&lt;&gt;"",IFERROR(_xlfn.XLOOKUP(BC72,Щиты[Щит],Щиты[cos φ]),0.95),IF(BK72=1,IFERROR(_xlfn.XLOOKUP(A72,Щиты[Щит],Щиты[cos φ]),0.95),IF(ISNUMBER(Z72),Z72,IFERROR(IF(BX72=2,_xlfn.IFS(BR72=3,VLOOKUP(BN72,Справочная_двигатели,8,FALSE),BR72=1,VLOOKUP(BN72,Справочная_двигатели,10,TRUE)),IF(AND(Методика="нормы 2026",EQ72="Сил"),0.8,0.95)),0.95)))))</f>
        <v>0.8</v>
      </c>
      <c r="BZ72">
        <f t="shared" si="140"/>
        <v>0</v>
      </c>
      <c r="CA72">
        <f t="shared" si="141"/>
        <v>1</v>
      </c>
      <c r="CB72">
        <f t="shared" si="142"/>
        <v>0</v>
      </c>
      <c r="CC72">
        <f t="shared" si="143"/>
        <v>0</v>
      </c>
      <c r="CD72">
        <f t="shared" si="144"/>
        <v>0</v>
      </c>
      <c r="CE72">
        <f t="shared" si="145"/>
        <v>0</v>
      </c>
      <c r="CF72">
        <f t="shared" si="146"/>
        <v>0</v>
      </c>
      <c r="CG72">
        <f>IF(AX72="",0,_xlfn.LET(_xlpm.v,IFERROR(VLOOKUP(B72,УГО_спр,3,FALSE),IFERROR(VLOOKUP(AX72,УГО_спр,3,FALSE),IFERROR(VLOOKUP(LEFT(AX72,2),УГО_спр,3,FALSE),""))),IF(_xlpm.v="да",30,IF(ISNUMBER(_xlpm.v),_xlpm.v,0))))</f>
        <v>0</v>
      </c>
      <c r="CH72" t="str">
        <f t="shared" si="147"/>
        <v/>
      </c>
      <c r="CI72" t="str">
        <f>_xlfn.LET(_xlpm.k,IFERROR(_xlfn.XLOOKUP(AX72,Коды_код,Коды_утечка)&amp;"",""),IF(_xlpm.k="","дифавтомат",_xlpm.k))</f>
        <v>дифавтомат</v>
      </c>
      <c r="CJ72">
        <f t="shared" si="148"/>
        <v>0</v>
      </c>
      <c r="CK72">
        <f t="shared" si="149"/>
        <v>0</v>
      </c>
      <c r="CL72">
        <f>IF(B72="",0,IFERROR(--VLOOKUP(B72,УГО_спр,4,FALSE),IFERROR(--VLOOKUP(AX72,УГО_спр,4,FALSE),IFERROR(--VLOOKUP(LEFT(AX72,2),УГО_спр,4,FALSE),0))))</f>
        <v>0</v>
      </c>
      <c r="CM72" t="str">
        <f>IF(B72="","",IFERROR(_xlfn.XLOOKUP(AX72,Коды_код,Коды_апп)&amp;"",""))</f>
        <v/>
      </c>
      <c r="CN72" t="str">
        <f t="shared" si="150"/>
        <v/>
      </c>
      <c r="CO72" t="str" cm="1">
        <f t="array" ref="CO72">IF(TRIM(CN72&amp;"")="","",IFERROR(TRIM(INDEX(_xlfn.TEXTSPLIT(CN72&amp;";;;",";"),1)),""))</f>
        <v/>
      </c>
      <c r="CP72" t="str" cm="1">
        <f t="array" ref="CP72">IF(TRIM(CN72&amp;"")="","",IFERROR(TRIM(INDEX(_xlfn.TEXTSPLIT(CN72&amp;";;;",";"),2)),""))</f>
        <v/>
      </c>
      <c r="CQ72" t="str" cm="1">
        <f t="array" ref="CQ72">IF(TRIM(CN72&amp;"")="","",IFERROR(TRIM(INDEX(_xlfn.TEXTSPLIT(CN72&amp;";;;",";"),3)),""))</f>
        <v/>
      </c>
      <c r="CR72">
        <f t="shared" si="151"/>
        <v>0</v>
      </c>
      <c r="CS72" t="str">
        <f>IF(B72="","",_xlfn.LET(_xlpm.t,LOWER(AV72&amp;""),IF(ISNUMBER(SEARCH("dim",_xlpm.t)),"DIM",IF(ISNUMBER(SEARCH("dali",_xlpm.t)),"DALI",IF(OR(ISNUMBER(SEARCH("relay",_xlpm.t)),ISNUMBER(SEARCH("реле",_xlpm.t))),"Relay",IF(ISNUMBER(SEARCH("кнопк",_xlpm.t)),"",IFERROR(_xlfn.XLOOKUP(AX72,Коды_код,Коды_упр)&amp;"","")))))))</f>
        <v/>
      </c>
      <c r="CT72" t="str">
        <f t="shared" si="152"/>
        <v/>
      </c>
      <c r="CU72">
        <f>IF(B72="","",_xlfn.LET(_xlpm.ig,N(P72)+IF(AF72="вручную",0,N(CB72)),_xlpm.n0,IFERROR(VLOOKUP(_xlpm.ig,Автомат_номиналы,2,TRUE),0),_xlpm.mn,MAX(CL72,IF(AF72="вручную",0,N(CE72))),MAX(_xlpm.n0,_xlpm.mn,IF(CR72=1,Мин_автомат_БП,0))))</f>
        <v>16</v>
      </c>
      <c r="CV72">
        <f t="shared" si="153"/>
        <v>1</v>
      </c>
      <c r="CW72" t="str">
        <f t="shared" si="154"/>
        <v>1P</v>
      </c>
      <c r="CX72" t="str">
        <f>_xlfn.LET(_xlpm.cc,UPPER(TRIM(IFERROR(_xlfn.XLOOKUP(AX72,Коды_код,Коды_хар)&amp;"",""))),IF(OR(_xlpm.cc="B",_xlpm.cc="В"),"B",IF(_xlpm.cc="D","D","С")))</f>
        <v>С</v>
      </c>
      <c r="CY72" t="str">
        <f t="shared" si="155"/>
        <v>1P С16А</v>
      </c>
      <c r="CZ72">
        <f t="shared" si="156"/>
        <v>16</v>
      </c>
      <c r="DA72" t="str">
        <f t="shared" si="157"/>
        <v>1P С16А</v>
      </c>
      <c r="DB72" cm="1">
        <f t="array" ref="DB72">IF(DA72="","",_xlfn.LET(_xlpm.t,SUBSTITUTE(SUBSTITUTE(SUBSTITUTE(UPPER(DA72),"С","C"),"А","A"),"В","B"),_xlpm.tk,_xlfn.TEXTSPLIT(_xlpm.t,"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2" t="str">
        <f t="shared" si="158"/>
        <v>ok</v>
      </c>
      <c r="DD72">
        <f t="shared" si="159"/>
        <v>16</v>
      </c>
      <c r="DE72" t="str">
        <f t="shared" si="160"/>
        <v>1P С16А</v>
      </c>
      <c r="DF72">
        <f t="shared" si="161"/>
        <v>0</v>
      </c>
      <c r="DG72">
        <f t="shared" si="162"/>
        <v>0</v>
      </c>
      <c r="DH72">
        <f t="shared" si="163"/>
        <v>0</v>
      </c>
      <c r="DI72">
        <f t="shared" si="164"/>
        <v>10.284051669940206</v>
      </c>
      <c r="DJ72">
        <f t="shared" si="165"/>
        <v>1</v>
      </c>
      <c r="DK72">
        <f>IF(ISNUMBER(AL72),AL72,К_прокл)</f>
        <v>1</v>
      </c>
      <c r="DL72">
        <f t="shared" si="166"/>
        <v>2</v>
      </c>
      <c r="DM72">
        <f>IFERROR(N(VLOOKUP(BT72,Кабель_обозначение,3,FALSE)),1)</f>
        <v>1</v>
      </c>
      <c r="DN72">
        <f>IFERROR(N(_xlfn.XLOOKUP(A72,Щиты[Щит],Щиты[ΔU до шин, %])),0)</f>
        <v>0.64</v>
      </c>
      <c r="DO72" t="str">
        <f>IFERROR(_xlfn.XLOOKUP(A72,Щиты[Щит],Щиты[Zпетли на шинах, Ом]),"")</f>
        <v/>
      </c>
      <c r="DP72">
        <f>IFERROR(N(_xlfn.XLOOKUP(A72,Щиты[Щит],Щиты[ΔU до шин (подбор), %])),0)</f>
        <v>0.75</v>
      </c>
      <c r="DQ72" t="str">
        <f>IFERROR(_xlfn.XLOOKUP(A72,Щиты[Щит],Щиты[Zпетли на шинах (подбор), Ом]),"")</f>
        <v/>
      </c>
      <c r="DR72" t="str">
        <f t="shared" si="167"/>
        <v/>
      </c>
      <c r="DS72">
        <f t="shared" si="168"/>
        <v>36</v>
      </c>
      <c r="DT72">
        <f t="shared" si="169"/>
        <v>2</v>
      </c>
      <c r="DU72">
        <f t="shared" si="170"/>
        <v>0.6</v>
      </c>
      <c r="DV72" s="6">
        <f>IF(B72="","",IF(IFERROR(VLOOKUP(AX72,УГО_спр,2,FALSE),"")="Светильник",3,4)+IF(Методика="нормы 2026",MIN(0.5,MAX(0,N(Q72)-100)*0.005),0))</f>
        <v>4</v>
      </c>
      <c r="DW72" cm="1">
        <f t="array" ref="DW72">IF(OR(B72="",BT72="",DM72&lt;&gt;1),"",_xlfn.LET(_xlpm.sz,Iдоп_S,_xlpm.t_,CHOOSE(DL72,Iдоп_1ж,Iдоп_2ж,Iдоп_3ж)*DJ72*DK72,_xlpm.inn,N(DD72),_xlpm.smin,MAX(1.5,BW72),_xlpm.L_,N(Q72)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72)*(_xlpm.rho*_xlpm.L_/_xlpm.sz*N(BY72)+_xlpm.xx*_xlpm.L_*N(DU72)/1000)*N(P72)/((Uн_лин/SQRT(3))*1000)*100,999),_xlpm.kz,IF(OR(DG72=1,NOT(ISNUMBER(DQ72)),_xlpm.L_=0,_xlpm.inn=0),1,IFERROR(--(c_min*(Uн_лин*1000/SQRT(3))/(DQ72+2*ρкз_Cu*_xlpm.L_/_xlpm.sz)&gt;=GY72*_xlpm.inn),0)),_xlpm.ok,IFERROR((_xlpm.sz&gt;=_xlpm.smin)*(_xlpm.t_&gt;=_xlpm.inn)*IF(_xlpm.L_&gt;0,(_xlpm.du_+DP72&lt;=DV72+0.00001),1)*_xlpm.kz,0),_xlpm.r_,_xlfn._xlws.FILTER(_xlpm.sz,_xlpm.ok,"не подобрано"),INDEX(_xlpm.r_,1)))</f>
        <v>2.5</v>
      </c>
      <c r="DX72">
        <f t="shared" si="171"/>
        <v>2.5</v>
      </c>
      <c r="DY72" cm="1">
        <f t="array" ref="DY72">IF(OR(B72="",BT72="",DM72&lt;&gt;1),"",_xlfn.LET(_xlpm.sz,Iдоп_S,_xlpm.t_,CHOOSE(DL72,Iдоп_1ж,Iдоп_2ж,Iдоп_3ж)*DJ72*DK72,_xlpm.ok,IFERROR((_xlpm.sz&gt;=MAX(1.5,BW72))*(_xlpm.t_&gt;=N(DD72)),0),_xlpm.r_,_xlfn._xlws.FILTER(_xlpm.sz,_xlpm.ok,""),INDEX(_xlpm.r_,1)))</f>
        <v>1.5</v>
      </c>
      <c r="DZ72" s="6" cm="1">
        <f t="array" ref="DZ72">IFERROR(ROUNDUP(N(DT72)*(_xlfn.XLOOKUP(DY72,INDEX(Кабель_сопротивление,0,1),INDEX(Кабель_сопротивление,0,3))*N(Q72)/DY72*N(BY72)+_xlfn.XLOOKUP(DY72,INDEX(Кабель_сопротивление,0,1),INDEX(Кабель_сопротивление,0,2))*N(Q72)*N(DU72)/1000)*N(P72)/((Uн_лин/SQRT(3))*1000)*100,2),"")</f>
        <v>4.09</v>
      </c>
      <c r="EA72">
        <f>IFERROR(2*ρкз_Cu*N(Q72)/DY72,"")</f>
        <v>1.3325333333333333</v>
      </c>
      <c r="EB72">
        <f>IFERROR(VLOOKUP(DX72,Кабель_сопротивление,3,FALSE),"")</f>
        <v>2.2499999999999999E-2</v>
      </c>
      <c r="EC72">
        <f>IFERROR(VLOOKUP(DX72,Кабель_сопротивление,2,FALSE),"")</f>
        <v>0.1</v>
      </c>
      <c r="ED72">
        <f t="shared" si="172"/>
        <v>35</v>
      </c>
      <c r="EE72">
        <f t="shared" si="173"/>
        <v>0</v>
      </c>
      <c r="EF72">
        <f t="shared" si="174"/>
        <v>5.6743283494062089</v>
      </c>
      <c r="EG72" s="6">
        <f>IFERROR(ROUNDUP(EF72/((Uн_лин/SQRT(3))*1000)*100,2),"")</f>
        <v>2.46</v>
      </c>
      <c r="EH72" t="str">
        <f>IFERROR(VLOOKUP(BT72,Кабель_обозначение,2,FALSE),"")</f>
        <v>ВВГнг(А)-LS</v>
      </c>
      <c r="EI72" t="str">
        <f t="shared" si="175"/>
        <v>ВВГнг(А)-LS (3х2,5)</v>
      </c>
      <c r="EJ72" t="str">
        <f t="shared" si="176"/>
        <v>ВВГнг(А)-LS (3х2,5)
L=38-2,46%</v>
      </c>
      <c r="EK72">
        <f>IFERROR(2*ρкз_Cu*Q72/DX72,"")</f>
        <v>0.79952000000000001</v>
      </c>
      <c r="EL72">
        <f t="shared" si="177"/>
        <v>0.26600000000000001</v>
      </c>
      <c r="EM72" s="6" t="str">
        <f>IFERROR(IF(OR(B72="",NOT(ISNUMBER(DX72)),N(Q72)=0),"",_xlfn.XLOOKUP(A72,Щиты[Щит],Щиты[Zпетли на шинах, Ом])+EK72),"")</f>
        <v/>
      </c>
      <c r="EN72" s="6" t="str">
        <f>IF(ISNUMBER(EM72),c_min*(Uн_лин*1000/SQRT(3))/EM72,"")</f>
        <v/>
      </c>
      <c r="EO72" s="6" t="str">
        <f>IFERROR(IF(OR(B72="",NOT(ISNUMBER(DX72))),"",1.05*(Uн_лин*1000/SQRT(3))/(_xlfn.XLOOKUP(A72,Щиты[Щит],Щиты[Zmax на шинах, Ом])+EL72)/1000),"")</f>
        <v/>
      </c>
      <c r="EP72" s="6" t="str">
        <f>IF(B72="","",IF(ISNUMBER(Y72),"Сил",IF(IFERROR(_xlfn.XLOOKUP(AX72,Коды_код,Коды_группа)&amp;"","")="","Быт",_xlfn.XLOOKUP(AX72,Коды_код,Коды_группа)&amp;"")))</f>
        <v>Сил</v>
      </c>
      <c r="EQ72" s="6" t="str">
        <f t="shared" si="178"/>
        <v>Сил</v>
      </c>
      <c r="ER72" s="6">
        <f>IF(EQ72="Щит","щит",IF(EQ72="","",IF(EQ72="Быт",IFERROR(_xlfn.XLOOKUP(A72,Щиты[Щит],Щиты[Кс быт]),1),IF(EQ72="Сил",IF(ISNUMBER(Y72),Y72,IF(Методика="нормы 2026",IFERROR(_xlfn.XLOOKUP(A72,Щиты[Щит],Щиты[Кс силовых (табл. 7.5)]),1),1)),IF(OR(EQ72="Пост",EQ72="Отоп"),1,IF(EQ72="ВНГ",0.7,0))))))</f>
        <v>0.5</v>
      </c>
      <c r="ES72">
        <f t="shared" si="179"/>
        <v>1</v>
      </c>
      <c r="ET72">
        <f t="shared" si="180"/>
        <v>1.9</v>
      </c>
      <c r="EU72">
        <f t="shared" si="181"/>
        <v>0</v>
      </c>
      <c r="EV72">
        <f t="shared" si="182"/>
        <v>0.95</v>
      </c>
      <c r="EW72">
        <f t="shared" si="183"/>
        <v>0</v>
      </c>
      <c r="EX72">
        <f t="shared" si="184"/>
        <v>0</v>
      </c>
      <c r="EY72">
        <f t="shared" si="185"/>
        <v>0</v>
      </c>
      <c r="EZ72">
        <f t="shared" si="186"/>
        <v>1.9</v>
      </c>
      <c r="FA72">
        <f t="shared" si="187"/>
        <v>1.52</v>
      </c>
      <c r="FB72">
        <f t="shared" si="188"/>
        <v>1.9</v>
      </c>
      <c r="FC72" t="str">
        <f t="shared" si="189"/>
        <v/>
      </c>
      <c r="FD72" t="str">
        <f>IF(B72="","",IF(CA72=0,IF(AW72=1,"",FF71),IF(OR(N(CV72)&gt;=3,N(BR72)&gt;=3),"L1,L2,L3",IFERROR(_xlfn.TEXTBEFORE(_xlfn.TEXTAFTER(_xlfn.XLOOKUP(A72,Щиты[Щит],Щиты[_фазы авто]),";"&amp;AW72&amp;":"),";"),"L1"))))</f>
        <v>L3</v>
      </c>
      <c r="FE72" t="str">
        <f t="shared" si="190"/>
        <v>L3</v>
      </c>
      <c r="FF72" t="str">
        <f t="shared" si="191"/>
        <v>L3</v>
      </c>
      <c r="FG72" cm="1">
        <f t="array" ref="FG72">IFERROR(IF(BX72=2,_xlfn.IFS(BR72=3,VLOOKUP(BN72,Справочная_двигатели,3,FALSE),BR72=1,VLOOKUP(BN72,Справочная_двигатели,5,TRUE)),0),0)</f>
        <v>0</v>
      </c>
      <c r="FH72">
        <f>IFERROR(IF(BX72=3,VLOOKUP(BN72,Справочная_ЛЭД,2,TRUE),0),0)</f>
        <v>0</v>
      </c>
      <c r="FI72" s="6">
        <f t="shared" si="192"/>
        <v>0</v>
      </c>
      <c r="FJ72" t="str" cm="1">
        <f t="array" ref="FJ72">IF(B72="","",IFERROR(INDEX({"I особая","I","II","III"},MATCH(TRIM(AC72&amp;""),{"I особая","I","II","III"},0)),"III"))</f>
        <v>II</v>
      </c>
      <c r="FK72" t="str">
        <f>IF(B72="","",IF(TRIM(AD72&amp;"")&lt;&gt;"",IF(LOWER(TRIM(AD72&amp;""))="да","да","нет"),IF(IFERROR(_xlfn.XLOOKUP(AX72,Коды_код,Коды_пожарная),"")="да","да","нет")))</f>
        <v>нет</v>
      </c>
      <c r="FL72" t="str">
        <f t="shared" si="193"/>
        <v/>
      </c>
      <c r="FM72" t="str">
        <f t="shared" si="194"/>
        <v>основная</v>
      </c>
      <c r="FN72">
        <f t="shared" si="195"/>
        <v>1</v>
      </c>
      <c r="FO72" t="str" cm="1">
        <f t="array" ref="FO72">IF(B72="","",_xlfn.LET(_xlpm.t,IFERROR(_xlfn.XLOOKUP(1,(Шины[Шина]=FM72)*(((Шины[Щит]=A72)+(Шины[Щит]=""))&gt;0),Шины[Тип]),"")&amp;"",IF(_xlpm.t&lt;&gt;"",_xlpm.t,IF(ISNUMBER(SEARCH("ИБП",FM72)),"ИБП",IF(ISNUMBER(SEARCH("ДГУ",FM72)),"ДГУ","Ввод "&amp;FN72)))))</f>
        <v>Ввод 1</v>
      </c>
      <c r="FP72" t="str">
        <f t="shared" si="196"/>
        <v>Ввод 1</v>
      </c>
      <c r="FQ72" t="str">
        <f>IF(B72="","",IF(OR(FO72="ИБП",FO72="ДГУ"),"I особая",IF(FO72="Одиночная","III",_xlfn.XLOOKUP(A72,Щиты[Щит],Щиты[Категория шины «Ввод»],"III"))))</f>
        <v>II</v>
      </c>
      <c r="FR72">
        <f>IF(B72="",0,IFERROR(MATCH(FJ72,{"III","II","I","I особая"},0),1))</f>
        <v>2</v>
      </c>
      <c r="FS72">
        <f t="shared" si="197"/>
        <v>2</v>
      </c>
      <c r="FT72" t="str">
        <f>IF(B72="","",IF(FR72&gt;IFERROR(MATCH(FQ72,{"III","II","I","I особая"},0),1),"НЕ ОБЕСПЕЧЕНА","ОК"))</f>
        <v>ОК</v>
      </c>
      <c r="FU72" t="str">
        <f>IF(A72="","",_xlfn.XLOOKUP(A72,Щиты[Щит],Щиты[Путь],""))</f>
        <v>|ГРЩ-ЖД|ЩОВ-001|</v>
      </c>
      <c r="FV72" t="str">
        <f>IF(B72="","",IF(AE72&lt;&gt;"",AE72,IF(IFERROR(_xlfn.XLOOKUP(AX72,Коды_код,Коды_вид)&amp;"","")="","Прочее",_xlfn.XLOOKUP(AX72,Коды_код,Коды_вид)&amp;"")))</f>
        <v>Кондиционирование и увлажнение</v>
      </c>
      <c r="FW72">
        <f>IF(BH72="","",INT((BH72-1)/Столбцов_на_лист)+1)</f>
        <v>3</v>
      </c>
      <c r="FX72" t="str">
        <f t="shared" si="198"/>
        <v>ВВГнг(А)-LS (3х2,5) L=38-2,46%</v>
      </c>
      <c r="FY72">
        <f t="shared" si="199"/>
        <v>1.9</v>
      </c>
      <c r="FZ72">
        <f t="shared" si="200"/>
        <v>10.29</v>
      </c>
      <c r="GA72">
        <f t="shared" si="201"/>
        <v>1</v>
      </c>
      <c r="GB72">
        <f t="shared" si="202"/>
        <v>0</v>
      </c>
      <c r="GC72">
        <f t="shared" si="203"/>
        <v>1</v>
      </c>
      <c r="GD72">
        <f>IF(BH72="","",IF(AND(CA72=1,GC72=1),COUNTIFS(A$3:A72,A72,CA$3:CA72,1,GC$3:GC72,1),IF(OR(OR(AW72=1,A72&lt;&gt;A71),AF72="вручную",GC72=0),"",IF(AW72=1,"",GE71))))</f>
        <v>19</v>
      </c>
      <c r="GE72">
        <f t="shared" si="204"/>
        <v>19</v>
      </c>
      <c r="GF72">
        <f>IF(B72="","",IFERROR(LOOKUP(INDEX(CHOOSE(DL72,Iдоп_1ж,Iдоп_2ж,Iдоп_3ж),MATCH(DX72,Iдоп_S,0))*DJ72*DK72,{6,10,16,20,25,32,40,50,63,80,100,125,160,200,250,315,400,500,630}),""))</f>
        <v>25</v>
      </c>
      <c r="GG72" t="str">
        <f t="shared" si="205"/>
        <v>QF19</v>
      </c>
      <c r="GH72" t="str">
        <f t="shared" si="206"/>
        <v>QF19</v>
      </c>
      <c r="GI72" t="str">
        <f t="shared" si="207"/>
        <v/>
      </c>
      <c r="GJ72">
        <f t="shared" si="208"/>
        <v>0</v>
      </c>
      <c r="GK72" t="str">
        <f>IF(OR(AG72="",AG72="-"),"",IFERROR(VLOOKUP(AG72,Модули_спр,2,FALSE),"R"))</f>
        <v/>
      </c>
      <c r="GL72" t="str">
        <f>IF(GK72="","",GK72&amp;"."&amp;COUNTIFS(A$3:A72,A72,GK$3:GK72,GK72))</f>
        <v/>
      </c>
      <c r="GM72" t="str">
        <f t="shared" si="209"/>
        <v/>
      </c>
      <c r="GN72" t="str">
        <f t="shared" si="210"/>
        <v/>
      </c>
      <c r="GO72" t="str">
        <f t="shared" si="211"/>
        <v/>
      </c>
      <c r="GP72" t="str">
        <f t="shared" si="212"/>
        <v/>
      </c>
      <c r="GQ72">
        <f t="shared" si="213"/>
        <v>1</v>
      </c>
      <c r="GR72" t="str">
        <f>IF(GQ72=1,"XT"&amp;COUNTIFS(A$3:A72,A72,GQ$3:GQ72,1),"")</f>
        <v>XT19</v>
      </c>
      <c r="GS72" t="str">
        <f t="shared" si="214"/>
        <v>XT19</v>
      </c>
      <c r="GT72" t="str">
        <f t="shared" si="215"/>
        <v>QF19</v>
      </c>
      <c r="GU72" t="str">
        <f t="shared" si="216"/>
        <v/>
      </c>
      <c r="GV72" t="str">
        <f t="shared" si="217"/>
        <v>ok</v>
      </c>
      <c r="GW72" t="str">
        <f>IF(OR(GO72="",GM72=""),"",IF(GO72&gt;IFERROR(VLOOKUP(GN72,Модули_спр,3,FALSE),99),"ЛИШНИЙ КАНАЛ",IF(AND(AH72&lt;&gt;"=",COUNTIFS(Линии[_модуль гр.],GM72,Линии[Канал (итог)],GO72,Линии[Канал],"&lt;&gt;=",Линии[Щит],A72)&gt;1),"ДУБЛЬ КАНАЛА","")))</f>
        <v/>
      </c>
      <c r="GX72" s="6" t="str">
        <f t="shared" si="218"/>
        <v/>
      </c>
      <c r="GY72">
        <f t="shared" si="219"/>
        <v>10</v>
      </c>
      <c r="GZ72" t="str">
        <f t="shared" si="220"/>
        <v/>
      </c>
      <c r="HA72" t="str">
        <f>IF(AND(B72="",GT72=""),"",_xlfn.TEXTJOIN("; ",TRUE,IF(AND(B72&lt;&gt;"",FE72=""),"нет фазы",""),IF(AND(B72&lt;&gt;"",N(FY72)=0,EQ72&lt;&gt;"Нет"),"нет мощности",""),IF(AND(GS72&lt;&gt;"",COUNTIFS(Линии[Щит],A72,Линии[Клемма (итог)],GS72)&gt;1),"дубль клеммы "&amp;GS72,""),IF(AND(GV72&lt;&gt;"",GV72&lt;&gt;"ok"),GV72,""),IF(GW72&lt;&gt;"",GW72,""),IF(AND(N(BV72)&gt;=4,N(BR72)=1),BV72&amp;" жил на 1 фазе",""),IF(AND(AX72="R",CA72=1,OR(N(CK72)=0,N(CK72)&gt;30)),"розетка без дифзащиты до 30 мА",""),IFERROR(IF(AND(ISNUMBER(R72),R72&gt;DV72),"потери "&amp;FIXED(R72,1)&amp;" % &gt; "&amp;DV72&amp;" %",""),""),IFERROR(IF(LEFT(GZ72,4)="мало","Iкз мало — отключение &gt; 0,4 с",""),""),IF(AND(B72&lt;&gt;"",BH72=""),"не на схеме",""),IF(AND(CA72=0,B72&lt;&gt;"",FE72&lt;&gt;"",IF(AW72=1,"",FF71)&lt;&gt;"",FE72&lt;&gt;IF(AW72=1,"",FF71)),"фаза не как у автомата группы ("&amp;IF(AW72=1,"",FF71)&amp;")","")))</f>
        <v/>
      </c>
      <c r="HB72" s="6">
        <f>IF(OR(CA72=0,DA72=""),"",_xlfn.LET(_xlpm.t,IFERROR(_xlfn.XLOOKUP(DA72,Каталог!$U$4:$U$500,Каталог!$G$4:$G$500),""),_xlpm.k,SEARCH("кА",_xlpm.t),IFERROR(--TRIM(RIGHT(SUBSTITUTE(MID(_xlpm.t,MAX(1,_xlpm.k-4),_xlpm.k-MAX(1,_xlpm.k-4))," ",REPT(" ",9)),5)),"")))</f>
        <v>6</v>
      </c>
      <c r="HC72" t="str">
        <f>IF(OR(HB72="",CA72=0),"",IF(_xlfn.XLOOKUP(A72,Щиты[Щит],Щиты[Iкз max на шинах, кА],"")="","",IF(HB72&lt;_xlfn.XLOOKUP(A72,Щиты[Щит],Щиты[Iкз max на шинах, кА]),"Icu "&amp;HB72&amp;" кА &lt; Iкз max","ok")))</f>
        <v/>
      </c>
      <c r="HD72" t="str">
        <f t="shared" si="221"/>
        <v/>
      </c>
      <c r="HE72" t="str">
        <f t="shared" si="222"/>
        <v>QF19|XT19</v>
      </c>
      <c r="HF72" t="str">
        <f t="shared" si="223"/>
        <v>QF19|XT19|кабель ВВГнг(А)-LS (3х2,5) → Внешний блок кондиционирования Пом. Венткиосок</v>
      </c>
      <c r="HG72" t="str" cm="1">
        <f t="array" ref="HG72">IF(HF72="","",_xlfn.LET(_xlpm.nd,_xlfn.TEXTSPLIT(HF72,"|"),IF(COLUMNS(_xlpm.nd)&gt;1,A72&amp;"¦"&amp;INDEX(_xlpm.nd,1)&amp;"¦"&amp;INDEX(_xlpm.nd,2),"")))</f>
        <v>ЩОВ-001¦QF19¦XT19</v>
      </c>
      <c r="HH72" t="str">
        <f t="shared" si="224"/>
        <v>K.4¦Внешний блок кондиционирования Пом. Венткиосок</v>
      </c>
      <c r="HI72" t="str" cm="1">
        <f t="array" ref="HI72">IF(HF72="","",_xlfn.LET(_xlpm.nd,_xlfn.TEXTSPLIT(HF72,"|"),IF(COLUMNS(_xlpm.nd)&gt;2,A72&amp;"¦"&amp;INDEX(_xlpm.nd,2)&amp;"¦"&amp;INDEX(_xlpm.nd,3),"")))</f>
        <v>ЩОВ-001¦XT19¦кабель ВВГнг(А)-LS (3х2,5) → Внешний блок кондиционирования Пом. Венткиосок</v>
      </c>
      <c r="HJ72" t="str">
        <f t="shared" si="225"/>
        <v>K.4¦Внешний блок кондиционирования Пом. Венткиосок</v>
      </c>
      <c r="HK72" t="str" cm="1">
        <f t="array" ref="HK72">IF(HF72="","",_xlfn.LET(_xlpm.nd,_xlfn.TEXTSPLIT(HF72,"|"),IF(COLUMNS(_xlpm.nd)&gt;3,A72&amp;"¦"&amp;INDEX(_xlpm.nd,3)&amp;"¦"&amp;INDEX(_xlpm.nd,4),"")))</f>
        <v/>
      </c>
      <c r="HL72" t="str">
        <f t="shared" si="226"/>
        <v/>
      </c>
      <c r="HM72" t="str" cm="1">
        <f t="array" ref="HM72">IF(HF72="","",_xlfn.LET(_xlpm.nd,_xlfn.TEXTSPLIT(HF72,"|"),IF(COLUMNS(_xlpm.nd)&gt;4,A72&amp;"¦"&amp;INDEX(_xlpm.nd,4)&amp;"¦"&amp;INDEX(_xlpm.nd,5),"")))</f>
        <v/>
      </c>
      <c r="HN72" t="str">
        <f t="shared" si="227"/>
        <v/>
      </c>
      <c r="HO72" t="str" cm="1">
        <f t="array" ref="HO72">IF(HF72="","",_xlfn.LET(_xlpm.nd,_xlfn.TEXTSPLIT(HF72,"|"),IF(COLUMNS(_xlpm.nd)&gt;5,A72&amp;"¦"&amp;INDEX(_xlpm.nd,5)&amp;"¦"&amp;INDEX(_xlpm.nd,6),"")))</f>
        <v/>
      </c>
      <c r="HP72" t="str">
        <f t="shared" si="228"/>
        <v/>
      </c>
      <c r="HQ72" t="str" cm="1">
        <f t="array" ref="HQ72">IF(HF72="","",_xlfn.LET(_xlpm.nd,_xlfn.TEXTSPLIT(HF72,"|"),IF(COLUMNS(_xlpm.nd)&gt;6,A72&amp;"¦"&amp;INDEX(_xlpm.nd,6)&amp;"¦"&amp;INDEX(_xlpm.nd,7),"")))</f>
        <v/>
      </c>
      <c r="HR72" t="str">
        <f t="shared" si="229"/>
        <v/>
      </c>
      <c r="HS72" t="str">
        <f t="shared" si="230"/>
        <v/>
      </c>
      <c r="HT72" t="str">
        <f t="shared" si="231"/>
        <v>QF19 → XT19</v>
      </c>
      <c r="HU72">
        <f t="shared" si="232"/>
        <v>0</v>
      </c>
      <c r="HV72">
        <f t="shared" si="233"/>
        <v>0</v>
      </c>
      <c r="HW72" t="str">
        <f t="shared" si="234"/>
        <v/>
      </c>
      <c r="HX72" t="str">
        <f t="shared" si="235"/>
        <v/>
      </c>
      <c r="HY72" t="str">
        <f t="shared" si="236"/>
        <v/>
      </c>
      <c r="HZ72" t="str">
        <f t="shared" si="237"/>
        <v/>
      </c>
      <c r="IA72">
        <f>IF(B72="","",IFERROR(VLOOKUP(B72,УГО_спр,2,FALSE),IFERROR(VLOOKUP(AX72,УГО_спр,2,FALSE),IFERROR(VLOOKUP(LEFT(AX72,2),УГО_спр,2,FALSE),""))))</f>
        <v>0</v>
      </c>
      <c r="IB72" t="str">
        <f>IF(B72="","",IF(OR(IA72="",IA72=0),"BOX",IFERROR(IF(VLOOKUP(IA72,УГО_блоки,3,FALSE)&amp;""&lt;&gt;"",VLOOKUP(IA72,УГО_блоки,3,FALSE),VLOOKUP(IA72,УГО_блоки,2,FALSE)),IA72)))</f>
        <v>BOX</v>
      </c>
      <c r="IC72">
        <f t="shared" si="238"/>
        <v>1</v>
      </c>
      <c r="ID72" t="str">
        <f>IF(DA72="","",IF(COUNTIF(DA$3:DA72,DA72)=1,MAX(ID$2:ID71)+1,""))</f>
        <v/>
      </c>
      <c r="IE72" t="str">
        <f>IF(CO72="","",IF(COUNTIF(CO$3:CO72,CO72)+COUNTIF(CP$2:CP71,CO72)+COUNTIF(CQ$2:CQ71,CO72)=1,MAX(IE$2:IG71)+1,""))</f>
        <v/>
      </c>
      <c r="IF72" t="str">
        <f>IF(CP72="","",IF(COUNTIF(CO$3:CO72,CP72)+COUNTIF(CP$3:CP72,CP72)+COUNTIF(CQ$2:CQ71,CP72)=1,MAX(IE$2:IG71,IE72)+1,""))</f>
        <v/>
      </c>
      <c r="IG72" t="str">
        <f>IF(CQ72="","",IF(COUNTIF(CO$3:CO72,CQ72)+COUNTIF(CP$3:CP72,CQ72)+COUNTIF(CQ$3:CQ72,CQ72)=1,MAX(IE$2:IG71,IE72,IF72)+1,""))</f>
        <v/>
      </c>
      <c r="IH72" t="str">
        <f t="shared" si="239"/>
        <v>3х2,5</v>
      </c>
      <c r="II72" t="str">
        <f>IF(IH72="","",IF(COUNTIF(IH$3:IH72,IH72)=1,MAX(II$2:II71)+1,""))</f>
        <v/>
      </c>
      <c r="IJ72" t="str">
        <f>IF(GL72="","",COUNTIF(GL$3:GL72,"?*"))</f>
        <v/>
      </c>
      <c r="IK72" t="str">
        <f>IF(OR(GL72="",GN72=""),"",IF(COUNTIFS(GL$3:GL72,"?*",GN$3:GN72,GN72)=1,MAX(IK$2:IK71)+1,""))</f>
        <v/>
      </c>
      <c r="IL72">
        <f t="shared" si="240"/>
        <v>0</v>
      </c>
      <c r="IM72">
        <f>IF(B72="","",COUNTIF(B$3:B72,"?*"))</f>
        <v>70</v>
      </c>
      <c r="IN72">
        <f>IF(GQ72&lt;&gt;1,0,_xlfn.LET(_xlpm.k,MAX(IFERROR(--VLOOKUP(B72,УГО_спр,5,FALSE),0),IFERROR(--VLOOKUP(AX72,УГО_спр,5,FALSE),0),IFERROR(--VLOOKUP(LEFT(AX72,2),УГО_спр,5,FALSE),0)),IF(_xlpm.k&gt;0,_xlpm.k,IF(IFERROR(--LEFT(SUBSTITUTE(IH72,"x","х"),FIND("х",SUBSTITUTE(IH72,"x","х"))-1),3)&gt;3,Каталог!$S$9,1))))</f>
        <v>1</v>
      </c>
      <c r="IO72">
        <f t="shared" si="241"/>
        <v>0</v>
      </c>
      <c r="IP72" t="str">
        <f t="shared" si="242"/>
        <v>авто</v>
      </c>
      <c r="IQ72" t="str">
        <f t="shared" si="243"/>
        <v/>
      </c>
      <c r="IR72">
        <f t="shared" si="244"/>
        <v>0</v>
      </c>
      <c r="IS72">
        <f t="shared" si="245"/>
        <v>1</v>
      </c>
    </row>
    <row r="73" spans="1:253" x14ac:dyDescent="0.3">
      <c r="A73" t="s">
        <v>749</v>
      </c>
      <c r="B73" t="s">
        <v>1345</v>
      </c>
      <c r="C73" t="s">
        <v>1619</v>
      </c>
      <c r="D73">
        <v>1</v>
      </c>
      <c r="E73">
        <v>1.9</v>
      </c>
      <c r="G73">
        <v>16</v>
      </c>
      <c r="H73" t="str">
        <f>Линии[[#This Row],[_авто утечка]]</f>
        <v/>
      </c>
      <c r="I73" t="str">
        <f>Линии[[#This Row],[_авто управление]]</f>
        <v/>
      </c>
      <c r="J73" t="str">
        <f>Линии[[#This Row],[_авто аппараты]]</f>
        <v/>
      </c>
      <c r="K73">
        <v>2.5</v>
      </c>
      <c r="L73">
        <v>35</v>
      </c>
      <c r="M73" t="str">
        <f>Линии[[#This Row],[_авто фаза]]</f>
        <v>L1</v>
      </c>
      <c r="N73" t="str">
        <f>Линии[[#This Row],[_авто клемма]]</f>
        <v>XT20</v>
      </c>
      <c r="O73" t="str">
        <f t="shared" si="123"/>
        <v/>
      </c>
      <c r="P73" s="6" cm="1">
        <f t="array" ref="P73">IF(B73="","",IF(BC73&lt;&gt;"",IFERROR(_xlfn.XLOOKUP(BC73,Щиты[Щит],Щиты[Iр, А]),""),IF(BK73=1,IFERROR(_xlfn.XLOOKUP(A73,Щиты[Щит],Щиты[Iр, А]),""),IFERROR(_xlfn.IFS(BR73=1,BN73/((Uн_лин/SQRT(3))*BY73),BR73=3,BN73/(SQRT(3)*Uн_лин*BY73)),""))))</f>
        <v>10.284051669940206</v>
      </c>
      <c r="Q73" s="7">
        <f>IF(B73="","",IFERROR(IF(VLOOKUP(AX73,Потребители_обозначение,4,FALSE)=1,VLOOKUP(AX73,Потребители_обозначение,3,FALSE)*(D73*2-1)+DS73+VLOOKUP(AZ73,Этаж_обозначение,3,FALSE)+VLOOKUP(AZ73,Этаж_обозначение,4,FALSE),VLOOKUP(AX73,Потребители_обозначение,3,FALSE)*(D73*2-1)+DS73),DS73))</f>
        <v>35</v>
      </c>
      <c r="R73" s="6">
        <f t="shared" si="124"/>
        <v>2.9099999999999997</v>
      </c>
      <c r="S73" t="str">
        <f t="shared" si="125"/>
        <v>ВВГнг(А)-LS (3х2,5)</v>
      </c>
      <c r="T73" t="str">
        <f>IF(BH73="","",IF(BI73="вводной узел","узел ","")&amp;"л."&amp;(INT((BH73-1)/Столбцов_на_лист)+1)&amp;" / "&amp;(MOD(BH73-1,Столбцов_на_лист)+1))</f>
        <v>л.3 / 7</v>
      </c>
      <c r="V73">
        <v>1</v>
      </c>
      <c r="W73">
        <v>230</v>
      </c>
      <c r="X73" t="s">
        <v>600</v>
      </c>
      <c r="Y73">
        <v>0.5</v>
      </c>
      <c r="AC73" t="s">
        <v>815</v>
      </c>
      <c r="AE73" t="s">
        <v>578</v>
      </c>
      <c r="AI73">
        <v>41</v>
      </c>
      <c r="AJ73" t="s">
        <v>11</v>
      </c>
      <c r="AK73">
        <v>3</v>
      </c>
      <c r="AN73">
        <v>31</v>
      </c>
      <c r="AP73">
        <v>1</v>
      </c>
      <c r="AW73" cm="1">
        <f t="array" ref="AW73">ROW()-ROW(Линии[#Headers])</f>
        <v>71</v>
      </c>
      <c r="AX73" s="6" t="str">
        <f t="shared" si="126"/>
        <v>K</v>
      </c>
      <c r="AY73" t="str">
        <f t="shared" si="127"/>
        <v>5</v>
      </c>
      <c r="AZ73" t="str">
        <f t="shared" si="128"/>
        <v>5</v>
      </c>
      <c r="BA73" t="str">
        <f t="shared" si="129"/>
        <v/>
      </c>
      <c r="BB73" t="str">
        <f t="shared" si="130"/>
        <v/>
      </c>
      <c r="BC73" t="str">
        <f>IF(U73&lt;&gt;"",U73,IF(AND(B73&lt;&gt;"",B73&lt;&gt;A73,ISNUMBER(_xlfn.XMATCH(B73,Щиты[Щит]))),B73,""))</f>
        <v/>
      </c>
      <c r="BD73" t="str" cm="1">
        <f t="array" ref="BD73">IF(B73="","",IF(BC73&lt;&gt;"","Щит "&amp;BC73,_xlfn.LET(_xlpm.nm,IFERROR(_xlfn.XLOOKUP(AX73,Коды_код,Коды_имя)&amp;"",""),_xlpm.md,IFERROR(N(_xlfn.XLOOKUP(AX73,Коды_код,Коды_режим)),1),_xlpm.ex,IF(Имя_режим="по экспликации",IFERROR(_xlfn.XLOOKUP(AZ73&amp;"|"&amp;BB73,Экспликация[Этаж]&amp;"|"&amp;Экспликация[Помещение],Экспликация[Название])&amp;"",""),""),_xlpm.rm,IF(BB73="","",IF(_xlpm.ex&lt;&gt;"",". "&amp;_xlpm.ex&amp;IF(Имя_пом="нет"," ("&amp;BB73&amp;")"," (пом. "&amp;BB73&amp;")"),IF(Имя_пом="нет"," ",", пом. ")&amp;BB73)),IF(_xlpm.nm="","",IF(_xlpm.md=2,_xlpm.nm&amp;" шлейф "&amp;AZ73,_xlpm.nm&amp;_xlpm.rm)))))</f>
        <v>Внутренний блок кондиционирования</v>
      </c>
      <c r="BE73" t="str">
        <f t="shared" si="131"/>
        <v>Внешний блок кондиционирования Пом. Венткиосок</v>
      </c>
      <c r="BF73">
        <f>IFERROR(_xlfn.XMATCH(A73,Щиты[Щит]),0)</f>
        <v>4</v>
      </c>
      <c r="BG73">
        <f>_xlfn.LET(_xlpm.k,IFERROR(_xlfn.XLOOKUP(A73,Щиты[Щит],Щиты[Листов под вводной узел]),""),IF(_xlpm.k="",1,N(_xlpm.k))*Столбцов_на_лист)</f>
        <v>17</v>
      </c>
      <c r="BH73">
        <f t="shared" si="132"/>
        <v>41</v>
      </c>
      <c r="BI73" t="str">
        <f t="shared" si="133"/>
        <v>линии</v>
      </c>
      <c r="BJ73" s="6">
        <f>IFERROR(N(_xlfn.XLOOKUP(AX73,Коды_код,Коды_квт)),0)</f>
        <v>0</v>
      </c>
      <c r="BK73">
        <f t="shared" si="134"/>
        <v>0</v>
      </c>
      <c r="BL73" t="str">
        <f>IF(B73="","",IF(BC73&lt;&gt;"",IFERROR(_xlfn.XLOOKUP(BC73,Щиты[Щит],Щиты[Руст, кВт]),0),IF(BK73=1,IFERROR(_xlfn.XLOOKUP(A73,Щиты[Щит],Щиты[Руст, кВт]),0),IF(BJ73&gt;0,ROUND(BJ73*MAX(1,N(D73)),3),""))))</f>
        <v/>
      </c>
      <c r="BM73">
        <f t="shared" si="135"/>
        <v>1.9</v>
      </c>
      <c r="BN73" s="6">
        <f>IF(B73="","",IF(BC73&lt;&gt;"",IFERROR(_xlfn.XLOOKUP(BC73,Щиты[Щит],Щиты[Руст, кВт]),0),N(BM73)))</f>
        <v>1.9</v>
      </c>
      <c r="BO73" t="str">
        <f>IF(B73="","",IFERROR(IF(VLOOKUP(AX73,Потребители_обозначение,8,FALSE)=0,"",VLOOKUP(AX73,Потребители_обозначение,8,FALSE)),""))</f>
        <v/>
      </c>
      <c r="BP73">
        <f t="shared" si="136"/>
        <v>230</v>
      </c>
      <c r="BQ73">
        <f>IF(B73="","",IF(BC73&lt;&gt;"",3,IFERROR(IF(N(VLOOKUP(AX73,Потребители_обозначение,9,FALSE))=0,1,VLOOKUP(AX73,Потребители_обозначение,9,FALSE)),1)))</f>
        <v>1</v>
      </c>
      <c r="BR73">
        <f t="shared" si="137"/>
        <v>1</v>
      </c>
      <c r="BS73" t="str">
        <f>IF(B73="","",_xlfn.LET(_xlpm.bc,IFERROR(IF(VLOOKUP(AX73,Потребители_обозначение,6,FALSE)=0,"",VLOOKUP(AX73,Потребители_обозначение,6,FALSE)&amp;""),""),IF(AND(FK73="да",OR(_xlpm.bc="",_xlpm.bc="мс")),Марка_пож,IF(AND(_xlpm.bc="",BC73&lt;&gt;""),"мс",_xlpm.bc))))</f>
        <v/>
      </c>
      <c r="BT73" t="str">
        <f t="shared" si="138"/>
        <v>мс</v>
      </c>
      <c r="BU73">
        <f>IF(B73="","",_xlfn.LET(_xlpm.cc,IFERROR(N(VLOOKUP(AX73,Потребители_обозначение,7,FALSE)),0),IF(_xlpm.cc&gt;0,_xlpm.cc,IF(BT73="","",IF(N(BR73)=3,5,3)))))</f>
        <v>3</v>
      </c>
      <c r="BV73">
        <f t="shared" si="139"/>
        <v>3</v>
      </c>
      <c r="BW73">
        <f>IFERROR(N(VLOOKUP(AX73,Потребители_обозначение,10,FALSE)),0)</f>
        <v>0</v>
      </c>
      <c r="BX73">
        <f>IFERROR(VLOOKUP(AX73,Потребители_обозначение,5,FALSE),0)</f>
        <v>1</v>
      </c>
      <c r="BY73" s="6" cm="1">
        <f t="array" ref="BY73">IF(B73="","",IF(BC73&lt;&gt;"",IFERROR(_xlfn.XLOOKUP(BC73,Щиты[Щит],Щиты[cos φ]),0.95),IF(BK73=1,IFERROR(_xlfn.XLOOKUP(A73,Щиты[Щит],Щиты[cos φ]),0.95),IF(ISNUMBER(Z73),Z73,IFERROR(IF(BX73=2,_xlfn.IFS(BR73=3,VLOOKUP(BN73,Справочная_двигатели,8,FALSE),BR73=1,VLOOKUP(BN73,Справочная_двигатели,10,TRUE)),IF(AND(Методика="нормы 2026",EQ73="Сил"),0.8,0.95)),0.95)))))</f>
        <v>0.8</v>
      </c>
      <c r="BZ73">
        <f t="shared" si="140"/>
        <v>0</v>
      </c>
      <c r="CA73">
        <f t="shared" si="141"/>
        <v>1</v>
      </c>
      <c r="CB73">
        <f t="shared" si="142"/>
        <v>0</v>
      </c>
      <c r="CC73">
        <f t="shared" si="143"/>
        <v>0</v>
      </c>
      <c r="CD73">
        <f t="shared" si="144"/>
        <v>0</v>
      </c>
      <c r="CE73">
        <f t="shared" si="145"/>
        <v>0</v>
      </c>
      <c r="CF73">
        <f t="shared" si="146"/>
        <v>0</v>
      </c>
      <c r="CG73">
        <f>IF(AX73="",0,_xlfn.LET(_xlpm.v,IFERROR(VLOOKUP(B73,УГО_спр,3,FALSE),IFERROR(VLOOKUP(AX73,УГО_спр,3,FALSE),IFERROR(VLOOKUP(LEFT(AX73,2),УГО_спр,3,FALSE),""))),IF(_xlpm.v="да",30,IF(ISNUMBER(_xlpm.v),_xlpm.v,0))))</f>
        <v>0</v>
      </c>
      <c r="CH73" t="str">
        <f t="shared" si="147"/>
        <v/>
      </c>
      <c r="CI73" t="str">
        <f>_xlfn.LET(_xlpm.k,IFERROR(_xlfn.XLOOKUP(AX73,Коды_код,Коды_утечка)&amp;"",""),IF(_xlpm.k="","дифавтомат",_xlpm.k))</f>
        <v>дифавтомат</v>
      </c>
      <c r="CJ73">
        <f t="shared" si="148"/>
        <v>0</v>
      </c>
      <c r="CK73">
        <f t="shared" si="149"/>
        <v>0</v>
      </c>
      <c r="CL73">
        <f>IF(B73="",0,IFERROR(--VLOOKUP(B73,УГО_спр,4,FALSE),IFERROR(--VLOOKUP(AX73,УГО_спр,4,FALSE),IFERROR(--VLOOKUP(LEFT(AX73,2),УГО_спр,4,FALSE),0))))</f>
        <v>0</v>
      </c>
      <c r="CM73" t="str">
        <f>IF(B73="","",IFERROR(_xlfn.XLOOKUP(AX73,Коды_код,Коды_апп)&amp;"",""))</f>
        <v/>
      </c>
      <c r="CN73" t="str">
        <f t="shared" si="150"/>
        <v/>
      </c>
      <c r="CO73" t="str" cm="1">
        <f t="array" ref="CO73">IF(TRIM(CN73&amp;"")="","",IFERROR(TRIM(INDEX(_xlfn.TEXTSPLIT(CN73&amp;";;;",";"),1)),""))</f>
        <v/>
      </c>
      <c r="CP73" t="str" cm="1">
        <f t="array" ref="CP73">IF(TRIM(CN73&amp;"")="","",IFERROR(TRIM(INDEX(_xlfn.TEXTSPLIT(CN73&amp;";;;",";"),2)),""))</f>
        <v/>
      </c>
      <c r="CQ73" t="str" cm="1">
        <f t="array" ref="CQ73">IF(TRIM(CN73&amp;"")="","",IFERROR(TRIM(INDEX(_xlfn.TEXTSPLIT(CN73&amp;";;;",";"),3)),""))</f>
        <v/>
      </c>
      <c r="CR73">
        <f t="shared" si="151"/>
        <v>0</v>
      </c>
      <c r="CS73" t="str">
        <f>IF(B73="","",_xlfn.LET(_xlpm.t,LOWER(AV73&amp;""),IF(ISNUMBER(SEARCH("dim",_xlpm.t)),"DIM",IF(ISNUMBER(SEARCH("dali",_xlpm.t)),"DALI",IF(OR(ISNUMBER(SEARCH("relay",_xlpm.t)),ISNUMBER(SEARCH("реле",_xlpm.t))),"Relay",IF(ISNUMBER(SEARCH("кнопк",_xlpm.t)),"",IFERROR(_xlfn.XLOOKUP(AX73,Коды_код,Коды_упр)&amp;"","")))))))</f>
        <v/>
      </c>
      <c r="CT73" t="str">
        <f t="shared" si="152"/>
        <v/>
      </c>
      <c r="CU73">
        <f>IF(B73="","",_xlfn.LET(_xlpm.ig,N(P73)+IF(AF73="вручную",0,N(CB73)),_xlpm.n0,IFERROR(VLOOKUP(_xlpm.ig,Автомат_номиналы,2,TRUE),0),_xlpm.mn,MAX(CL73,IF(AF73="вручную",0,N(CE73))),MAX(_xlpm.n0,_xlpm.mn,IF(CR73=1,Мин_автомат_БП,0))))</f>
        <v>16</v>
      </c>
      <c r="CV73">
        <f t="shared" si="153"/>
        <v>1</v>
      </c>
      <c r="CW73" t="str">
        <f t="shared" si="154"/>
        <v>1P</v>
      </c>
      <c r="CX73" t="str">
        <f>_xlfn.LET(_xlpm.cc,UPPER(TRIM(IFERROR(_xlfn.XLOOKUP(AX73,Коды_код,Коды_хар)&amp;"",""))),IF(OR(_xlpm.cc="B",_xlpm.cc="В"),"B",IF(_xlpm.cc="D","D","С")))</f>
        <v>С</v>
      </c>
      <c r="CY73" t="str">
        <f t="shared" si="155"/>
        <v>1P С16А</v>
      </c>
      <c r="CZ73">
        <f t="shared" si="156"/>
        <v>16</v>
      </c>
      <c r="DA73" t="str">
        <f t="shared" si="157"/>
        <v>1P С16А</v>
      </c>
      <c r="DB73" cm="1">
        <f t="array" ref="DB73">IF(DA73="","",_xlfn.LET(_xlpm.t,SUBSTITUTE(SUBSTITUTE(SUBSTITUTE(UPPER(DA73),"С","C"),"А","A"),"В","B"),_xlpm.tk,_xlfn.TEXTSPLIT(_xlpm.t,"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3" t="str">
        <f t="shared" si="158"/>
        <v>ok</v>
      </c>
      <c r="DD73">
        <f t="shared" si="159"/>
        <v>16</v>
      </c>
      <c r="DE73" t="str">
        <f t="shared" si="160"/>
        <v>1P С16А</v>
      </c>
      <c r="DF73">
        <f t="shared" si="161"/>
        <v>0</v>
      </c>
      <c r="DG73">
        <f t="shared" si="162"/>
        <v>0</v>
      </c>
      <c r="DH73">
        <f t="shared" si="163"/>
        <v>0</v>
      </c>
      <c r="DI73">
        <f t="shared" si="164"/>
        <v>10.284051669940206</v>
      </c>
      <c r="DJ73">
        <f t="shared" si="165"/>
        <v>1</v>
      </c>
      <c r="DK73">
        <f>IF(ISNUMBER(AL73),AL73,К_прокл)</f>
        <v>1</v>
      </c>
      <c r="DL73">
        <f t="shared" si="166"/>
        <v>2</v>
      </c>
      <c r="DM73">
        <f>IFERROR(N(VLOOKUP(BT73,Кабель_обозначение,3,FALSE)),1)</f>
        <v>1</v>
      </c>
      <c r="DN73">
        <f>IFERROR(N(_xlfn.XLOOKUP(A73,Щиты[Щит],Щиты[ΔU до шин, %])),0)</f>
        <v>0.64</v>
      </c>
      <c r="DO73" t="str">
        <f>IFERROR(_xlfn.XLOOKUP(A73,Щиты[Щит],Щиты[Zпетли на шинах, Ом]),"")</f>
        <v/>
      </c>
      <c r="DP73">
        <f>IFERROR(N(_xlfn.XLOOKUP(A73,Щиты[Щит],Щиты[ΔU до шин (подбор), %])),0)</f>
        <v>0.75</v>
      </c>
      <c r="DQ73" t="str">
        <f>IFERROR(_xlfn.XLOOKUP(A73,Щиты[Щит],Щиты[Zпетли на шинах (подбор), Ом]),"")</f>
        <v/>
      </c>
      <c r="DR73" t="str">
        <f t="shared" si="167"/>
        <v/>
      </c>
      <c r="DS73">
        <f t="shared" si="168"/>
        <v>35</v>
      </c>
      <c r="DT73">
        <f t="shared" si="169"/>
        <v>2</v>
      </c>
      <c r="DU73">
        <f t="shared" si="170"/>
        <v>0.6</v>
      </c>
      <c r="DV73" s="6">
        <f>IF(B73="","",IF(IFERROR(VLOOKUP(AX73,УГО_спр,2,FALSE),"")="Светильник",3,4)+IF(Методика="нормы 2026",MIN(0.5,MAX(0,N(Q73)-100)*0.005),0))</f>
        <v>4</v>
      </c>
      <c r="DW73" cm="1">
        <f t="array" ref="DW73">IF(OR(B73="",BT73="",DM73&lt;&gt;1),"",_xlfn.LET(_xlpm.sz,Iдоп_S,_xlpm.t_,CHOOSE(DL73,Iдоп_1ж,Iдоп_2ж,Iдоп_3ж)*DJ73*DK73,_xlpm.inn,N(DD73),_xlpm.smin,MAX(1.5,BW73),_xlpm.L_,N(Q73)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73)*(_xlpm.rho*_xlpm.L_/_xlpm.sz*N(BY73)+_xlpm.xx*_xlpm.L_*N(DU73)/1000)*N(P73)/((Uн_лин/SQRT(3))*1000)*100,999),_xlpm.kz,IF(OR(DG73=1,NOT(ISNUMBER(DQ73)),_xlpm.L_=0,_xlpm.inn=0),1,IFERROR(--(c_min*(Uн_лин*1000/SQRT(3))/(DQ73+2*ρкз_Cu*_xlpm.L_/_xlpm.sz)&gt;=GY73*_xlpm.inn),0)),_xlpm.ok,IFERROR((_xlpm.sz&gt;=_xlpm.smin)*(_xlpm.t_&gt;=_xlpm.inn)*IF(_xlpm.L_&gt;0,(_xlpm.du_+DP73&lt;=DV73+0.00001),1)*_xlpm.kz,0),_xlpm.r_,_xlfn._xlws.FILTER(_xlpm.sz,_xlpm.ok,"не подобрано"),INDEX(_xlpm.r_,1)))</f>
        <v>2.5</v>
      </c>
      <c r="DX73">
        <f t="shared" si="171"/>
        <v>2.5</v>
      </c>
      <c r="DY73" cm="1">
        <f t="array" ref="DY73">IF(OR(B73="",BT73="",DM73&lt;&gt;1),"",_xlfn.LET(_xlpm.sz,Iдоп_S,_xlpm.t_,CHOOSE(DL73,Iдоп_1ж,Iдоп_2ж,Iдоп_3ж)*DJ73*DK73,_xlpm.ok,IFERROR((_xlpm.sz&gt;=MAX(1.5,BW73))*(_xlpm.t_&gt;=N(DD73)),0),_xlpm.r_,_xlfn._xlws.FILTER(_xlpm.sz,_xlpm.ok,""),INDEX(_xlpm.r_,1)))</f>
        <v>1.5</v>
      </c>
      <c r="DZ73" s="6" cm="1">
        <f t="array" ref="DZ73">IFERROR(ROUNDUP(N(DT73)*(_xlfn.XLOOKUP(DY73,INDEX(Кабель_сопротивление,0,1),INDEX(Кабель_сопротивление,0,3))*N(Q73)/DY73*N(BY73)+_xlfn.XLOOKUP(DY73,INDEX(Кабель_сопротивление,0,1),INDEX(Кабель_сопротивление,0,2))*N(Q73)*N(DU73)/1000)*N(P73)/((Uн_лин/SQRT(3))*1000)*100,2),"")</f>
        <v>3.7699999999999996</v>
      </c>
      <c r="EA73">
        <f>IFERROR(2*ρкз_Cu*N(Q73)/DY73,"")</f>
        <v>1.2273333333333334</v>
      </c>
      <c r="EB73">
        <f>IFERROR(VLOOKUP(DX73,Кабель_сопротивление,3,FALSE),"")</f>
        <v>2.2499999999999999E-2</v>
      </c>
      <c r="EC73">
        <f>IFERROR(VLOOKUP(DX73,Кабель_сопротивление,2,FALSE),"")</f>
        <v>0.1</v>
      </c>
      <c r="ED73">
        <f t="shared" si="172"/>
        <v>31</v>
      </c>
      <c r="EE73">
        <f t="shared" si="173"/>
        <v>0</v>
      </c>
      <c r="EF73">
        <f t="shared" si="174"/>
        <v>5.2263550586636125</v>
      </c>
      <c r="EG73" s="6">
        <f>IFERROR(ROUNDUP(EF73/((Uн_лин/SQRT(3))*1000)*100,2),"")</f>
        <v>2.2699999999999996</v>
      </c>
      <c r="EH73" t="str">
        <f>IFERROR(VLOOKUP(BT73,Кабель_обозначение,2,FALSE),"")</f>
        <v>ВВГнг(А)-LS</v>
      </c>
      <c r="EI73" t="str">
        <f t="shared" si="175"/>
        <v>ВВГнг(А)-LS (3х2,5)</v>
      </c>
      <c r="EJ73" t="str">
        <f t="shared" si="176"/>
        <v>ВВГнг(А)-LS (3х2,5)
L=35-2,27%</v>
      </c>
      <c r="EK73">
        <f>IFERROR(2*ρкз_Cu*Q73/DX73,"")</f>
        <v>0.73639999999999994</v>
      </c>
      <c r="EL73">
        <f t="shared" si="177"/>
        <v>0.24500000000000002</v>
      </c>
      <c r="EM73" s="6" t="str">
        <f>IFERROR(IF(OR(B73="",NOT(ISNUMBER(DX73)),N(Q73)=0),"",_xlfn.XLOOKUP(A73,Щиты[Щит],Щиты[Zпетли на шинах, Ом])+EK73),"")</f>
        <v/>
      </c>
      <c r="EN73" s="6" t="str">
        <f>IF(ISNUMBER(EM73),c_min*(Uн_лин*1000/SQRT(3))/EM73,"")</f>
        <v/>
      </c>
      <c r="EO73" s="6" t="str">
        <f>IFERROR(IF(OR(B73="",NOT(ISNUMBER(DX73))),"",1.05*(Uн_лин*1000/SQRT(3))/(_xlfn.XLOOKUP(A73,Щиты[Щит],Щиты[Zmax на шинах, Ом])+EL73)/1000),"")</f>
        <v/>
      </c>
      <c r="EP73" s="6" t="str">
        <f>IF(B73="","",IF(ISNUMBER(Y73),"Сил",IF(IFERROR(_xlfn.XLOOKUP(AX73,Коды_код,Коды_группа)&amp;"","")="","Быт",_xlfn.XLOOKUP(AX73,Коды_код,Коды_группа)&amp;"")))</f>
        <v>Сил</v>
      </c>
      <c r="EQ73" s="6" t="str">
        <f t="shared" si="178"/>
        <v>Сил</v>
      </c>
      <c r="ER73" s="6">
        <f>IF(EQ73="Щит","щит",IF(EQ73="","",IF(EQ73="Быт",IFERROR(_xlfn.XLOOKUP(A73,Щиты[Щит],Щиты[Кс быт]),1),IF(EQ73="Сил",IF(ISNUMBER(Y73),Y73,IF(Методика="нормы 2026",IFERROR(_xlfn.XLOOKUP(A73,Щиты[Щит],Щиты[Кс силовых (табл. 7.5)]),1),1)),IF(OR(EQ73="Пост",EQ73="Отоп"),1,IF(EQ73="ВНГ",0.7,0))))))</f>
        <v>0.5</v>
      </c>
      <c r="ES73">
        <f t="shared" si="179"/>
        <v>1</v>
      </c>
      <c r="ET73">
        <f t="shared" si="180"/>
        <v>1.9</v>
      </c>
      <c r="EU73">
        <f t="shared" si="181"/>
        <v>0</v>
      </c>
      <c r="EV73">
        <f t="shared" si="182"/>
        <v>0.95</v>
      </c>
      <c r="EW73">
        <f t="shared" si="183"/>
        <v>0</v>
      </c>
      <c r="EX73">
        <f t="shared" si="184"/>
        <v>0</v>
      </c>
      <c r="EY73">
        <f t="shared" si="185"/>
        <v>0</v>
      </c>
      <c r="EZ73">
        <f t="shared" si="186"/>
        <v>1.9</v>
      </c>
      <c r="FA73">
        <f t="shared" si="187"/>
        <v>1.52</v>
      </c>
      <c r="FB73">
        <f t="shared" si="188"/>
        <v>1.9</v>
      </c>
      <c r="FC73" t="str">
        <f t="shared" si="189"/>
        <v/>
      </c>
      <c r="FD73" t="str">
        <f>IF(B73="","",IF(CA73=0,IF(AW73=1,"",FF72),IF(OR(N(CV73)&gt;=3,N(BR73)&gt;=3),"L1,L2,L3",IFERROR(_xlfn.TEXTBEFORE(_xlfn.TEXTAFTER(_xlfn.XLOOKUP(A73,Щиты[Щит],Щиты[_фазы авто]),";"&amp;AW73&amp;":"),";"),"L1"))))</f>
        <v>L1</v>
      </c>
      <c r="FE73" t="str">
        <f t="shared" si="190"/>
        <v>L1</v>
      </c>
      <c r="FF73" t="str">
        <f t="shared" si="191"/>
        <v>L1</v>
      </c>
      <c r="FG73" cm="1">
        <f t="array" ref="FG73">IFERROR(IF(BX73=2,_xlfn.IFS(BR73=3,VLOOKUP(BN73,Справочная_двигатели,3,FALSE),BR73=1,VLOOKUP(BN73,Справочная_двигатели,5,TRUE)),0),0)</f>
        <v>0</v>
      </c>
      <c r="FH73">
        <f>IFERROR(IF(BX73=3,VLOOKUP(BN73,Справочная_ЛЭД,2,TRUE),0),0)</f>
        <v>0</v>
      </c>
      <c r="FI73" s="6">
        <f t="shared" si="192"/>
        <v>0</v>
      </c>
      <c r="FJ73" t="str" cm="1">
        <f t="array" ref="FJ73">IF(B73="","",IFERROR(INDEX({"I особая","I","II","III"},MATCH(TRIM(AC73&amp;""),{"I особая","I","II","III"},0)),"III"))</f>
        <v>II</v>
      </c>
      <c r="FK73" t="str">
        <f>IF(B73="","",IF(TRIM(AD73&amp;"")&lt;&gt;"",IF(LOWER(TRIM(AD73&amp;""))="да","да","нет"),IF(IFERROR(_xlfn.XLOOKUP(AX73,Коды_код,Коды_пожарная),"")="да","да","нет")))</f>
        <v>нет</v>
      </c>
      <c r="FL73" t="str">
        <f t="shared" si="193"/>
        <v/>
      </c>
      <c r="FM73" t="str">
        <f t="shared" si="194"/>
        <v>основная</v>
      </c>
      <c r="FN73">
        <f t="shared" si="195"/>
        <v>1</v>
      </c>
      <c r="FO73" t="str" cm="1">
        <f t="array" ref="FO73">IF(B73="","",_xlfn.LET(_xlpm.t,IFERROR(_xlfn.XLOOKUP(1,(Шины[Шина]=FM73)*(((Шины[Щит]=A73)+(Шины[Щит]=""))&gt;0),Шины[Тип]),"")&amp;"",IF(_xlpm.t&lt;&gt;"",_xlpm.t,IF(ISNUMBER(SEARCH("ИБП",FM73)),"ИБП",IF(ISNUMBER(SEARCH("ДГУ",FM73)),"ДГУ","Ввод "&amp;FN73)))))</f>
        <v>Ввод 1</v>
      </c>
      <c r="FP73" t="str">
        <f t="shared" si="196"/>
        <v>Ввод 1</v>
      </c>
      <c r="FQ73" t="str">
        <f>IF(B73="","",IF(OR(FO73="ИБП",FO73="ДГУ"),"I особая",IF(FO73="Одиночная","III",_xlfn.XLOOKUP(A73,Щиты[Щит],Щиты[Категория шины «Ввод»],"III"))))</f>
        <v>II</v>
      </c>
      <c r="FR73">
        <f>IF(B73="",0,IFERROR(MATCH(FJ73,{"III","II","I","I особая"},0),1))</f>
        <v>2</v>
      </c>
      <c r="FS73">
        <f t="shared" si="197"/>
        <v>2</v>
      </c>
      <c r="FT73" t="str">
        <f>IF(B73="","",IF(FR73&gt;IFERROR(MATCH(FQ73,{"III","II","I","I особая"},0),1),"НЕ ОБЕСПЕЧЕНА","ОК"))</f>
        <v>ОК</v>
      </c>
      <c r="FU73" t="str">
        <f>IF(A73="","",_xlfn.XLOOKUP(A73,Щиты[Щит],Щиты[Путь],""))</f>
        <v>|ГРЩ-ЖД|ЩОВ-001|</v>
      </c>
      <c r="FV73" t="str">
        <f>IF(B73="","",IF(AE73&lt;&gt;"",AE73,IF(IFERROR(_xlfn.XLOOKUP(AX73,Коды_код,Коды_вид)&amp;"","")="","Прочее",_xlfn.XLOOKUP(AX73,Коды_код,Коды_вид)&amp;"")))</f>
        <v>Кондиционирование и увлажнение</v>
      </c>
      <c r="FW73">
        <f>IF(BH73="","",INT((BH73-1)/Столбцов_на_лист)+1)</f>
        <v>3</v>
      </c>
      <c r="FX73" t="str">
        <f t="shared" si="198"/>
        <v>ВВГнг(А)-LS (3х2,5) L=35-2,27%</v>
      </c>
      <c r="FY73">
        <f t="shared" si="199"/>
        <v>1.9</v>
      </c>
      <c r="FZ73">
        <f t="shared" si="200"/>
        <v>10.29</v>
      </c>
      <c r="GA73">
        <f t="shared" si="201"/>
        <v>1</v>
      </c>
      <c r="GB73">
        <f t="shared" si="202"/>
        <v>0</v>
      </c>
      <c r="GC73">
        <f t="shared" si="203"/>
        <v>1</v>
      </c>
      <c r="GD73">
        <f>IF(BH73="","",IF(AND(CA73=1,GC73=1),COUNTIFS(A$3:A73,A73,CA$3:CA73,1,GC$3:GC73,1),IF(OR(OR(AW73=1,A73&lt;&gt;A72),AF73="вручную",GC73=0),"",IF(AW73=1,"",GE72))))</f>
        <v>20</v>
      </c>
      <c r="GE73">
        <f t="shared" si="204"/>
        <v>20</v>
      </c>
      <c r="GF73">
        <f>IF(B73="","",IFERROR(LOOKUP(INDEX(CHOOSE(DL73,Iдоп_1ж,Iдоп_2ж,Iдоп_3ж),MATCH(DX73,Iдоп_S,0))*DJ73*DK73,{6,10,16,20,25,32,40,50,63,80,100,125,160,200,250,315,400,500,630}),""))</f>
        <v>25</v>
      </c>
      <c r="GG73" t="str">
        <f t="shared" si="205"/>
        <v>QF20</v>
      </c>
      <c r="GH73" t="str">
        <f t="shared" si="206"/>
        <v>QF20</v>
      </c>
      <c r="GI73" t="str">
        <f t="shared" si="207"/>
        <v/>
      </c>
      <c r="GJ73">
        <f t="shared" si="208"/>
        <v>0</v>
      </c>
      <c r="GK73" t="str">
        <f>IF(OR(AG73="",AG73="-"),"",IFERROR(VLOOKUP(AG73,Модули_спр,2,FALSE),"R"))</f>
        <v/>
      </c>
      <c r="GL73" t="str">
        <f>IF(GK73="","",GK73&amp;"."&amp;COUNTIFS(A$3:A73,A73,GK$3:GK73,GK73))</f>
        <v/>
      </c>
      <c r="GM73" t="str">
        <f t="shared" si="209"/>
        <v/>
      </c>
      <c r="GN73" t="str">
        <f t="shared" si="210"/>
        <v/>
      </c>
      <c r="GO73" t="str">
        <f t="shared" si="211"/>
        <v/>
      </c>
      <c r="GP73" t="str">
        <f t="shared" si="212"/>
        <v/>
      </c>
      <c r="GQ73">
        <f t="shared" si="213"/>
        <v>1</v>
      </c>
      <c r="GR73" t="str">
        <f>IF(GQ73=1,"XT"&amp;COUNTIFS(A$3:A73,A73,GQ$3:GQ73,1),"")</f>
        <v>XT20</v>
      </c>
      <c r="GS73" t="str">
        <f t="shared" si="214"/>
        <v>XT20</v>
      </c>
      <c r="GT73" t="str">
        <f t="shared" si="215"/>
        <v>QF20</v>
      </c>
      <c r="GU73" t="str">
        <f t="shared" si="216"/>
        <v/>
      </c>
      <c r="GV73" t="str">
        <f t="shared" si="217"/>
        <v>ok</v>
      </c>
      <c r="GW73" t="str">
        <f>IF(OR(GO73="",GM73=""),"",IF(GO73&gt;IFERROR(VLOOKUP(GN73,Модули_спр,3,FALSE),99),"ЛИШНИЙ КАНАЛ",IF(AND(AH73&lt;&gt;"=",COUNTIFS(Линии[_модуль гр.],GM73,Линии[Канал (итог)],GO73,Линии[Канал],"&lt;&gt;=",Линии[Щит],A73)&gt;1),"ДУБЛЬ КАНАЛА","")))</f>
        <v/>
      </c>
      <c r="GX73" s="6" t="str">
        <f t="shared" si="218"/>
        <v/>
      </c>
      <c r="GY73">
        <f t="shared" si="219"/>
        <v>10</v>
      </c>
      <c r="GZ73" t="str">
        <f t="shared" si="220"/>
        <v/>
      </c>
      <c r="HA73" t="str">
        <f>IF(AND(B73="",GT73=""),"",_xlfn.TEXTJOIN("; ",TRUE,IF(AND(B73&lt;&gt;"",FE73=""),"нет фазы",""),IF(AND(B73&lt;&gt;"",N(FY73)=0,EQ73&lt;&gt;"Нет"),"нет мощности",""),IF(AND(GS73&lt;&gt;"",COUNTIFS(Линии[Щит],A73,Линии[Клемма (итог)],GS73)&gt;1),"дубль клеммы "&amp;GS73,""),IF(AND(GV73&lt;&gt;"",GV73&lt;&gt;"ok"),GV73,""),IF(GW73&lt;&gt;"",GW73,""),IF(AND(N(BV73)&gt;=4,N(BR73)=1),BV73&amp;" жил на 1 фазе",""),IF(AND(AX73="R",CA73=1,OR(N(CK73)=0,N(CK73)&gt;30)),"розетка без дифзащиты до 30 мА",""),IFERROR(IF(AND(ISNUMBER(R73),R73&gt;DV73),"потери "&amp;FIXED(R73,1)&amp;" % &gt; "&amp;DV73&amp;" %",""),""),IFERROR(IF(LEFT(GZ73,4)="мало","Iкз мало — отключение &gt; 0,4 с",""),""),IF(AND(B73&lt;&gt;"",BH73=""),"не на схеме",""),IF(AND(CA73=0,B73&lt;&gt;"",FE73&lt;&gt;"",IF(AW73=1,"",FF72)&lt;&gt;"",FE73&lt;&gt;IF(AW73=1,"",FF72)),"фаза не как у автомата группы ("&amp;IF(AW73=1,"",FF72)&amp;")","")))</f>
        <v/>
      </c>
      <c r="HB73" s="6">
        <f>IF(OR(CA73=0,DA73=""),"",_xlfn.LET(_xlpm.t,IFERROR(_xlfn.XLOOKUP(DA73,Каталог!$U$4:$U$500,Каталог!$G$4:$G$500),""),_xlpm.k,SEARCH("кА",_xlpm.t),IFERROR(--TRIM(RIGHT(SUBSTITUTE(MID(_xlpm.t,MAX(1,_xlpm.k-4),_xlpm.k-MAX(1,_xlpm.k-4))," ",REPT(" ",9)),5)),"")))</f>
        <v>6</v>
      </c>
      <c r="HC73" t="str">
        <f>IF(OR(HB73="",CA73=0),"",IF(_xlfn.XLOOKUP(A73,Щиты[Щит],Щиты[Iкз max на шинах, кА],"")="","",IF(HB73&lt;_xlfn.XLOOKUP(A73,Щиты[Щит],Щиты[Iкз max на шинах, кА]),"Icu "&amp;HB73&amp;" кА &lt; Iкз max","ok")))</f>
        <v/>
      </c>
      <c r="HD73" t="str">
        <f t="shared" si="221"/>
        <v/>
      </c>
      <c r="HE73" t="str">
        <f t="shared" si="222"/>
        <v>QF20|XT20</v>
      </c>
      <c r="HF73" t="str">
        <f t="shared" si="223"/>
        <v>QF20|XT20|кабель ВВГнг(А)-LS (3х2,5) → Внешний блок кондиционирования Пом. Венткиосок</v>
      </c>
      <c r="HG73" t="str" cm="1">
        <f t="array" ref="HG73">IF(HF73="","",_xlfn.LET(_xlpm.nd,_xlfn.TEXTSPLIT(HF73,"|"),IF(COLUMNS(_xlpm.nd)&gt;1,A73&amp;"¦"&amp;INDEX(_xlpm.nd,1)&amp;"¦"&amp;INDEX(_xlpm.nd,2),"")))</f>
        <v>ЩОВ-001¦QF20¦XT20</v>
      </c>
      <c r="HH73" t="str">
        <f t="shared" si="224"/>
        <v>K.5¦Внешний блок кондиционирования Пом. Венткиосок</v>
      </c>
      <c r="HI73" t="str" cm="1">
        <f t="array" ref="HI73">IF(HF73="","",_xlfn.LET(_xlpm.nd,_xlfn.TEXTSPLIT(HF73,"|"),IF(COLUMNS(_xlpm.nd)&gt;2,A73&amp;"¦"&amp;INDEX(_xlpm.nd,2)&amp;"¦"&amp;INDEX(_xlpm.nd,3),"")))</f>
        <v>ЩОВ-001¦XT20¦кабель ВВГнг(А)-LS (3х2,5) → Внешний блок кондиционирования Пом. Венткиосок</v>
      </c>
      <c r="HJ73" t="str">
        <f t="shared" si="225"/>
        <v>K.5¦Внешний блок кондиционирования Пом. Венткиосок</v>
      </c>
      <c r="HK73" t="str" cm="1">
        <f t="array" ref="HK73">IF(HF73="","",_xlfn.LET(_xlpm.nd,_xlfn.TEXTSPLIT(HF73,"|"),IF(COLUMNS(_xlpm.nd)&gt;3,A73&amp;"¦"&amp;INDEX(_xlpm.nd,3)&amp;"¦"&amp;INDEX(_xlpm.nd,4),"")))</f>
        <v/>
      </c>
      <c r="HL73" t="str">
        <f t="shared" si="226"/>
        <v/>
      </c>
      <c r="HM73" t="str" cm="1">
        <f t="array" ref="HM73">IF(HF73="","",_xlfn.LET(_xlpm.nd,_xlfn.TEXTSPLIT(HF73,"|"),IF(COLUMNS(_xlpm.nd)&gt;4,A73&amp;"¦"&amp;INDEX(_xlpm.nd,4)&amp;"¦"&amp;INDEX(_xlpm.nd,5),"")))</f>
        <v/>
      </c>
      <c r="HN73" t="str">
        <f t="shared" si="227"/>
        <v/>
      </c>
      <c r="HO73" t="str" cm="1">
        <f t="array" ref="HO73">IF(HF73="","",_xlfn.LET(_xlpm.nd,_xlfn.TEXTSPLIT(HF73,"|"),IF(COLUMNS(_xlpm.nd)&gt;5,A73&amp;"¦"&amp;INDEX(_xlpm.nd,5)&amp;"¦"&amp;INDEX(_xlpm.nd,6),"")))</f>
        <v/>
      </c>
      <c r="HP73" t="str">
        <f t="shared" si="228"/>
        <v/>
      </c>
      <c r="HQ73" t="str" cm="1">
        <f t="array" ref="HQ73">IF(HF73="","",_xlfn.LET(_xlpm.nd,_xlfn.TEXTSPLIT(HF73,"|"),IF(COLUMNS(_xlpm.nd)&gt;6,A73&amp;"¦"&amp;INDEX(_xlpm.nd,6)&amp;"¦"&amp;INDEX(_xlpm.nd,7),"")))</f>
        <v/>
      </c>
      <c r="HR73" t="str">
        <f t="shared" si="229"/>
        <v/>
      </c>
      <c r="HS73" t="str">
        <f t="shared" si="230"/>
        <v/>
      </c>
      <c r="HT73" t="str">
        <f t="shared" si="231"/>
        <v>QF20 → XT20</v>
      </c>
      <c r="HU73">
        <f t="shared" si="232"/>
        <v>0</v>
      </c>
      <c r="HV73">
        <f t="shared" si="233"/>
        <v>0</v>
      </c>
      <c r="HW73" t="str">
        <f t="shared" si="234"/>
        <v/>
      </c>
      <c r="HX73" t="str">
        <f t="shared" si="235"/>
        <v/>
      </c>
      <c r="HY73" t="str">
        <f t="shared" si="236"/>
        <v/>
      </c>
      <c r="HZ73" t="str">
        <f t="shared" si="237"/>
        <v/>
      </c>
      <c r="IA73">
        <f>IF(B73="","",IFERROR(VLOOKUP(B73,УГО_спр,2,FALSE),IFERROR(VLOOKUP(AX73,УГО_спр,2,FALSE),IFERROR(VLOOKUP(LEFT(AX73,2),УГО_спр,2,FALSE),""))))</f>
        <v>0</v>
      </c>
      <c r="IB73" t="str">
        <f>IF(B73="","",IF(OR(IA73="",IA73=0),"BOX",IFERROR(IF(VLOOKUP(IA73,УГО_блоки,3,FALSE)&amp;""&lt;&gt;"",VLOOKUP(IA73,УГО_блоки,3,FALSE),VLOOKUP(IA73,УГО_блоки,2,FALSE)),IA73)))</f>
        <v>BOX</v>
      </c>
      <c r="IC73">
        <f t="shared" si="238"/>
        <v>1</v>
      </c>
      <c r="ID73" t="str">
        <f>IF(DA73="","",IF(COUNTIF(DA$3:DA73,DA73)=1,MAX(ID$2:ID72)+1,""))</f>
        <v/>
      </c>
      <c r="IE73" t="str">
        <f>IF(CO73="","",IF(COUNTIF(CO$3:CO73,CO73)+COUNTIF(CP$2:CP72,CO73)+COUNTIF(CQ$2:CQ72,CO73)=1,MAX(IE$2:IG72)+1,""))</f>
        <v/>
      </c>
      <c r="IF73" t="str">
        <f>IF(CP73="","",IF(COUNTIF(CO$3:CO73,CP73)+COUNTIF(CP$3:CP73,CP73)+COUNTIF(CQ$2:CQ72,CP73)=1,MAX(IE$2:IG72,IE73)+1,""))</f>
        <v/>
      </c>
      <c r="IG73" t="str">
        <f>IF(CQ73="","",IF(COUNTIF(CO$3:CO73,CQ73)+COUNTIF(CP$3:CP73,CQ73)+COUNTIF(CQ$3:CQ73,CQ73)=1,MAX(IE$2:IG72,IE73,IF73)+1,""))</f>
        <v/>
      </c>
      <c r="IH73" t="str">
        <f t="shared" si="239"/>
        <v>3х2,5</v>
      </c>
      <c r="II73" t="str">
        <f>IF(IH73="","",IF(COUNTIF(IH$3:IH73,IH73)=1,MAX(II$2:II72)+1,""))</f>
        <v/>
      </c>
      <c r="IJ73" t="str">
        <f>IF(GL73="","",COUNTIF(GL$3:GL73,"?*"))</f>
        <v/>
      </c>
      <c r="IK73" t="str">
        <f>IF(OR(GL73="",GN73=""),"",IF(COUNTIFS(GL$3:GL73,"?*",GN$3:GN73,GN73)=1,MAX(IK$2:IK72)+1,""))</f>
        <v/>
      </c>
      <c r="IL73">
        <f t="shared" si="240"/>
        <v>0</v>
      </c>
      <c r="IM73">
        <f>IF(B73="","",COUNTIF(B$3:B73,"?*"))</f>
        <v>71</v>
      </c>
      <c r="IN73">
        <f>IF(GQ73&lt;&gt;1,0,_xlfn.LET(_xlpm.k,MAX(IFERROR(--VLOOKUP(B73,УГО_спр,5,FALSE),0),IFERROR(--VLOOKUP(AX73,УГО_спр,5,FALSE),0),IFERROR(--VLOOKUP(LEFT(AX73,2),УГО_спр,5,FALSE),0)),IF(_xlpm.k&gt;0,_xlpm.k,IF(IFERROR(--LEFT(SUBSTITUTE(IH73,"x","х"),FIND("х",SUBSTITUTE(IH73,"x","х"))-1),3)&gt;3,Каталог!$S$9,1))))</f>
        <v>1</v>
      </c>
      <c r="IO73">
        <f t="shared" si="241"/>
        <v>0</v>
      </c>
      <c r="IP73" t="str">
        <f t="shared" si="242"/>
        <v>авто</v>
      </c>
      <c r="IQ73" t="str">
        <f t="shared" si="243"/>
        <v/>
      </c>
      <c r="IR73">
        <f t="shared" si="244"/>
        <v>0</v>
      </c>
      <c r="IS73">
        <f t="shared" si="245"/>
        <v>1</v>
      </c>
    </row>
    <row r="74" spans="1:253" x14ac:dyDescent="0.3">
      <c r="A74" t="s">
        <v>749</v>
      </c>
      <c r="B74" t="s">
        <v>1346</v>
      </c>
      <c r="C74" t="s">
        <v>1619</v>
      </c>
      <c r="D74">
        <v>1</v>
      </c>
      <c r="E74">
        <v>1.9</v>
      </c>
      <c r="G74">
        <v>16</v>
      </c>
      <c r="H74" t="str">
        <f>Линии[[#This Row],[_авто утечка]]</f>
        <v/>
      </c>
      <c r="I74" t="str">
        <f>Линии[[#This Row],[_авто управление]]</f>
        <v/>
      </c>
      <c r="J74" t="str">
        <f>Линии[[#This Row],[_авто аппараты]]</f>
        <v/>
      </c>
      <c r="K74">
        <v>2.5</v>
      </c>
      <c r="L74">
        <v>35</v>
      </c>
      <c r="M74" t="str">
        <f>Линии[[#This Row],[_авто фаза]]</f>
        <v>L2</v>
      </c>
      <c r="N74" t="s">
        <v>486</v>
      </c>
      <c r="O74" t="str">
        <f t="shared" si="123"/>
        <v/>
      </c>
      <c r="P74" s="6" cm="1">
        <f t="array" ref="P74">IF(B74="","",IF(BC74&lt;&gt;"",IFERROR(_xlfn.XLOOKUP(BC74,Щиты[Щит],Щиты[Iр, А]),""),IF(BK74=1,IFERROR(_xlfn.XLOOKUP(A74,Щиты[Щит],Щиты[Iр, А]),""),IFERROR(_xlfn.IFS(BR74=1,BN74/((Uн_лин/SQRT(3))*BY74),BR74=3,BN74/(SQRT(3)*Uн_лин*BY74)),""))))</f>
        <v>10.284051669940206</v>
      </c>
      <c r="Q74" s="7">
        <f>IF(B74="","",IFERROR(IF(VLOOKUP(AX74,Потребители_обозначение,4,FALSE)=1,VLOOKUP(AX74,Потребители_обозначение,3,FALSE)*(D74*2-1)+DS74+VLOOKUP(AZ74,Этаж_обозначение,3,FALSE)+VLOOKUP(AZ74,Этаж_обозначение,4,FALSE),VLOOKUP(AX74,Потребители_обозначение,3,FALSE)*(D74*2-1)+DS74),DS74))</f>
        <v>35</v>
      </c>
      <c r="R74" s="6">
        <f t="shared" si="124"/>
        <v>2.9099999999999997</v>
      </c>
      <c r="S74" t="str">
        <f t="shared" si="125"/>
        <v>ВВГнг(А)-LS (3х2,5)</v>
      </c>
      <c r="T74" t="str">
        <f>IF(BH74="","",IF(BI74="вводной узел","узел ","")&amp;"л."&amp;(INT((BH74-1)/Столбцов_на_лист)+1)&amp;" / "&amp;(MOD(BH74-1,Столбцов_на_лист)+1))</f>
        <v>л.3 / 8</v>
      </c>
      <c r="V74">
        <v>1</v>
      </c>
      <c r="W74">
        <v>230</v>
      </c>
      <c r="X74" t="s">
        <v>600</v>
      </c>
      <c r="Y74">
        <v>0.5</v>
      </c>
      <c r="AC74" t="s">
        <v>815</v>
      </c>
      <c r="AE74" t="s">
        <v>578</v>
      </c>
      <c r="AI74">
        <v>42</v>
      </c>
      <c r="AJ74" t="s">
        <v>11</v>
      </c>
      <c r="AK74">
        <v>3</v>
      </c>
      <c r="AN74">
        <v>31</v>
      </c>
      <c r="AP74">
        <v>1</v>
      </c>
      <c r="AW74" cm="1">
        <f t="array" ref="AW74">ROW()-ROW(Линии[#Headers])</f>
        <v>72</v>
      </c>
      <c r="AX74" s="6" t="str">
        <f t="shared" si="126"/>
        <v>K</v>
      </c>
      <c r="AY74" t="str">
        <f t="shared" si="127"/>
        <v>6</v>
      </c>
      <c r="AZ74" t="str">
        <f t="shared" si="128"/>
        <v>6</v>
      </c>
      <c r="BA74" t="str">
        <f t="shared" si="129"/>
        <v/>
      </c>
      <c r="BB74" t="str">
        <f t="shared" si="130"/>
        <v/>
      </c>
      <c r="BC74" t="str">
        <f>IF(U74&lt;&gt;"",U74,IF(AND(B74&lt;&gt;"",B74&lt;&gt;A74,ISNUMBER(_xlfn.XMATCH(B74,Щиты[Щит]))),B74,""))</f>
        <v/>
      </c>
      <c r="BD74" t="str" cm="1">
        <f t="array" ref="BD74">IF(B74="","",IF(BC74&lt;&gt;"","Щит "&amp;BC74,_xlfn.LET(_xlpm.nm,IFERROR(_xlfn.XLOOKUP(AX74,Коды_код,Коды_имя)&amp;"",""),_xlpm.md,IFERROR(N(_xlfn.XLOOKUP(AX74,Коды_код,Коды_режим)),1),_xlpm.ex,IF(Имя_режим="по экспликации",IFERROR(_xlfn.XLOOKUP(AZ74&amp;"|"&amp;BB74,Экспликация[Этаж]&amp;"|"&amp;Экспликация[Помещение],Экспликация[Название])&amp;"",""),""),_xlpm.rm,IF(BB74="","",IF(_xlpm.ex&lt;&gt;"",". "&amp;_xlpm.ex&amp;IF(Имя_пом="нет"," ("&amp;BB74&amp;")"," (пом. "&amp;BB74&amp;")"),IF(Имя_пом="нет"," ",", пом. ")&amp;BB74)),IF(_xlpm.nm="","",IF(_xlpm.md=2,_xlpm.nm&amp;" шлейф "&amp;AZ74,_xlpm.nm&amp;_xlpm.rm)))))</f>
        <v>Внутренний блок кондиционирования</v>
      </c>
      <c r="BE74" t="str">
        <f t="shared" si="131"/>
        <v>Внешний блок кондиционирования Пом. Венткиосок</v>
      </c>
      <c r="BF74">
        <f>IFERROR(_xlfn.XMATCH(A74,Щиты[Щит]),0)</f>
        <v>4</v>
      </c>
      <c r="BG74">
        <f>_xlfn.LET(_xlpm.k,IFERROR(_xlfn.XLOOKUP(A74,Щиты[Щит],Щиты[Листов под вводной узел]),""),IF(_xlpm.k="",1,N(_xlpm.k))*Столбцов_на_лист)</f>
        <v>17</v>
      </c>
      <c r="BH74">
        <f t="shared" si="132"/>
        <v>42</v>
      </c>
      <c r="BI74" t="str">
        <f t="shared" si="133"/>
        <v>линии</v>
      </c>
      <c r="BJ74" s="6">
        <f>IFERROR(N(_xlfn.XLOOKUP(AX74,Коды_код,Коды_квт)),0)</f>
        <v>0</v>
      </c>
      <c r="BK74">
        <f t="shared" si="134"/>
        <v>0</v>
      </c>
      <c r="BL74" t="str">
        <f>IF(B74="","",IF(BC74&lt;&gt;"",IFERROR(_xlfn.XLOOKUP(BC74,Щиты[Щит],Щиты[Руст, кВт]),0),IF(BK74=1,IFERROR(_xlfn.XLOOKUP(A74,Щиты[Щит],Щиты[Руст, кВт]),0),IF(BJ74&gt;0,ROUND(BJ74*MAX(1,N(D74)),3),""))))</f>
        <v/>
      </c>
      <c r="BM74">
        <f t="shared" si="135"/>
        <v>1.9</v>
      </c>
      <c r="BN74" s="6">
        <f>IF(B74="","",IF(BC74&lt;&gt;"",IFERROR(_xlfn.XLOOKUP(BC74,Щиты[Щит],Щиты[Руст, кВт]),0),N(BM74)))</f>
        <v>1.9</v>
      </c>
      <c r="BO74" t="str">
        <f>IF(B74="","",IFERROR(IF(VLOOKUP(AX74,Потребители_обозначение,8,FALSE)=0,"",VLOOKUP(AX74,Потребители_обозначение,8,FALSE)),""))</f>
        <v/>
      </c>
      <c r="BP74">
        <f t="shared" si="136"/>
        <v>230</v>
      </c>
      <c r="BQ74">
        <f>IF(B74="","",IF(BC74&lt;&gt;"",3,IFERROR(IF(N(VLOOKUP(AX74,Потребители_обозначение,9,FALSE))=0,1,VLOOKUP(AX74,Потребители_обозначение,9,FALSE)),1)))</f>
        <v>1</v>
      </c>
      <c r="BR74">
        <f t="shared" si="137"/>
        <v>1</v>
      </c>
      <c r="BS74" t="str">
        <f>IF(B74="","",_xlfn.LET(_xlpm.bc,IFERROR(IF(VLOOKUP(AX74,Потребители_обозначение,6,FALSE)=0,"",VLOOKUP(AX74,Потребители_обозначение,6,FALSE)&amp;""),""),IF(AND(FK74="да",OR(_xlpm.bc="",_xlpm.bc="мс")),Марка_пож,IF(AND(_xlpm.bc="",BC74&lt;&gt;""),"мс",_xlpm.bc))))</f>
        <v/>
      </c>
      <c r="BT74" t="str">
        <f t="shared" si="138"/>
        <v>мс</v>
      </c>
      <c r="BU74">
        <f>IF(B74="","",_xlfn.LET(_xlpm.cc,IFERROR(N(VLOOKUP(AX74,Потребители_обозначение,7,FALSE)),0),IF(_xlpm.cc&gt;0,_xlpm.cc,IF(BT74="","",IF(N(BR74)=3,5,3)))))</f>
        <v>3</v>
      </c>
      <c r="BV74">
        <f t="shared" si="139"/>
        <v>3</v>
      </c>
      <c r="BW74">
        <f>IFERROR(N(VLOOKUP(AX74,Потребители_обозначение,10,FALSE)),0)</f>
        <v>0</v>
      </c>
      <c r="BX74">
        <f>IFERROR(VLOOKUP(AX74,Потребители_обозначение,5,FALSE),0)</f>
        <v>1</v>
      </c>
      <c r="BY74" s="6" cm="1">
        <f t="array" ref="BY74">IF(B74="","",IF(BC74&lt;&gt;"",IFERROR(_xlfn.XLOOKUP(BC74,Щиты[Щит],Щиты[cos φ]),0.95),IF(BK74=1,IFERROR(_xlfn.XLOOKUP(A74,Щиты[Щит],Щиты[cos φ]),0.95),IF(ISNUMBER(Z74),Z74,IFERROR(IF(BX74=2,_xlfn.IFS(BR74=3,VLOOKUP(BN74,Справочная_двигатели,8,FALSE),BR74=1,VLOOKUP(BN74,Справочная_двигатели,10,TRUE)),IF(AND(Методика="нормы 2026",EQ74="Сил"),0.8,0.95)),0.95)))))</f>
        <v>0.8</v>
      </c>
      <c r="BZ74">
        <f t="shared" si="140"/>
        <v>0</v>
      </c>
      <c r="CA74">
        <f t="shared" si="141"/>
        <v>1</v>
      </c>
      <c r="CB74">
        <f t="shared" si="142"/>
        <v>0</v>
      </c>
      <c r="CC74">
        <f t="shared" si="143"/>
        <v>0</v>
      </c>
      <c r="CD74">
        <f t="shared" si="144"/>
        <v>0</v>
      </c>
      <c r="CE74">
        <f t="shared" si="145"/>
        <v>0</v>
      </c>
      <c r="CF74">
        <f t="shared" si="146"/>
        <v>0</v>
      </c>
      <c r="CG74">
        <f>IF(AX74="",0,_xlfn.LET(_xlpm.v,IFERROR(VLOOKUP(B74,УГО_спр,3,FALSE),IFERROR(VLOOKUP(AX74,УГО_спр,3,FALSE),IFERROR(VLOOKUP(LEFT(AX74,2),УГО_спр,3,FALSE),""))),IF(_xlpm.v="да",30,IF(ISNUMBER(_xlpm.v),_xlpm.v,0))))</f>
        <v>0</v>
      </c>
      <c r="CH74" t="str">
        <f t="shared" si="147"/>
        <v/>
      </c>
      <c r="CI74" t="str">
        <f>_xlfn.LET(_xlpm.k,IFERROR(_xlfn.XLOOKUP(AX74,Коды_код,Коды_утечка)&amp;"",""),IF(_xlpm.k="","дифавтомат",_xlpm.k))</f>
        <v>дифавтомат</v>
      </c>
      <c r="CJ74">
        <f t="shared" si="148"/>
        <v>0</v>
      </c>
      <c r="CK74">
        <f t="shared" si="149"/>
        <v>0</v>
      </c>
      <c r="CL74">
        <f>IF(B74="",0,IFERROR(--VLOOKUP(B74,УГО_спр,4,FALSE),IFERROR(--VLOOKUP(AX74,УГО_спр,4,FALSE),IFERROR(--VLOOKUP(LEFT(AX74,2),УГО_спр,4,FALSE),0))))</f>
        <v>0</v>
      </c>
      <c r="CM74" t="str">
        <f>IF(B74="","",IFERROR(_xlfn.XLOOKUP(AX74,Коды_код,Коды_апп)&amp;"",""))</f>
        <v/>
      </c>
      <c r="CN74" t="str">
        <f t="shared" si="150"/>
        <v/>
      </c>
      <c r="CO74" t="str" cm="1">
        <f t="array" ref="CO74">IF(TRIM(CN74&amp;"")="","",IFERROR(TRIM(INDEX(_xlfn.TEXTSPLIT(CN74&amp;";;;",";"),1)),""))</f>
        <v/>
      </c>
      <c r="CP74" t="str" cm="1">
        <f t="array" ref="CP74">IF(TRIM(CN74&amp;"")="","",IFERROR(TRIM(INDEX(_xlfn.TEXTSPLIT(CN74&amp;";;;",";"),2)),""))</f>
        <v/>
      </c>
      <c r="CQ74" t="str" cm="1">
        <f t="array" ref="CQ74">IF(TRIM(CN74&amp;"")="","",IFERROR(TRIM(INDEX(_xlfn.TEXTSPLIT(CN74&amp;";;;",";"),3)),""))</f>
        <v/>
      </c>
      <c r="CR74">
        <f t="shared" si="151"/>
        <v>0</v>
      </c>
      <c r="CS74" t="str">
        <f>IF(B74="","",_xlfn.LET(_xlpm.t,LOWER(AV74&amp;""),IF(ISNUMBER(SEARCH("dim",_xlpm.t)),"DIM",IF(ISNUMBER(SEARCH("dali",_xlpm.t)),"DALI",IF(OR(ISNUMBER(SEARCH("relay",_xlpm.t)),ISNUMBER(SEARCH("реле",_xlpm.t))),"Relay",IF(ISNUMBER(SEARCH("кнопк",_xlpm.t)),"",IFERROR(_xlfn.XLOOKUP(AX74,Коды_код,Коды_упр)&amp;"","")))))))</f>
        <v/>
      </c>
      <c r="CT74" t="str">
        <f t="shared" si="152"/>
        <v/>
      </c>
      <c r="CU74">
        <f>IF(B74="","",_xlfn.LET(_xlpm.ig,N(P74)+IF(AF74="вручную",0,N(CB74)),_xlpm.n0,IFERROR(VLOOKUP(_xlpm.ig,Автомат_номиналы,2,TRUE),0),_xlpm.mn,MAX(CL74,IF(AF74="вручную",0,N(CE74))),MAX(_xlpm.n0,_xlpm.mn,IF(CR74=1,Мин_автомат_БП,0))))</f>
        <v>16</v>
      </c>
      <c r="CV74">
        <f t="shared" si="153"/>
        <v>1</v>
      </c>
      <c r="CW74" t="str">
        <f t="shared" si="154"/>
        <v>1P</v>
      </c>
      <c r="CX74" t="str">
        <f>_xlfn.LET(_xlpm.cc,UPPER(TRIM(IFERROR(_xlfn.XLOOKUP(AX74,Коды_код,Коды_хар)&amp;"",""))),IF(OR(_xlpm.cc="B",_xlpm.cc="В"),"B",IF(_xlpm.cc="D","D","С")))</f>
        <v>С</v>
      </c>
      <c r="CY74" t="str">
        <f t="shared" si="155"/>
        <v>1P С16А</v>
      </c>
      <c r="CZ74">
        <f t="shared" si="156"/>
        <v>16</v>
      </c>
      <c r="DA74" t="str">
        <f t="shared" si="157"/>
        <v>1P С16А</v>
      </c>
      <c r="DB74" cm="1">
        <f t="array" ref="DB74">IF(DA74="","",_xlfn.LET(_xlpm.t,SUBSTITUTE(SUBSTITUTE(SUBSTITUTE(UPPER(DA74),"С","C"),"А","A"),"В","B"),_xlpm.tk,_xlfn.TEXTSPLIT(_xlpm.t,"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4" t="str">
        <f t="shared" si="158"/>
        <v>ok</v>
      </c>
      <c r="DD74">
        <f t="shared" si="159"/>
        <v>16</v>
      </c>
      <c r="DE74" t="str">
        <f t="shared" si="160"/>
        <v>1P С16А</v>
      </c>
      <c r="DF74">
        <f t="shared" si="161"/>
        <v>0</v>
      </c>
      <c r="DG74">
        <f t="shared" si="162"/>
        <v>0</v>
      </c>
      <c r="DH74">
        <f t="shared" si="163"/>
        <v>0</v>
      </c>
      <c r="DI74">
        <f t="shared" si="164"/>
        <v>10.284051669940206</v>
      </c>
      <c r="DJ74">
        <f t="shared" si="165"/>
        <v>1</v>
      </c>
      <c r="DK74">
        <f>IF(ISNUMBER(AL74),AL74,К_прокл)</f>
        <v>1</v>
      </c>
      <c r="DL74">
        <f t="shared" si="166"/>
        <v>2</v>
      </c>
      <c r="DM74">
        <f>IFERROR(N(VLOOKUP(BT74,Кабель_обозначение,3,FALSE)),1)</f>
        <v>1</v>
      </c>
      <c r="DN74">
        <f>IFERROR(N(_xlfn.XLOOKUP(A74,Щиты[Щит],Щиты[ΔU до шин, %])),0)</f>
        <v>0.64</v>
      </c>
      <c r="DO74" t="str">
        <f>IFERROR(_xlfn.XLOOKUP(A74,Щиты[Щит],Щиты[Zпетли на шинах, Ом]),"")</f>
        <v/>
      </c>
      <c r="DP74">
        <f>IFERROR(N(_xlfn.XLOOKUP(A74,Щиты[Щит],Щиты[ΔU до шин (подбор), %])),0)</f>
        <v>0.75</v>
      </c>
      <c r="DQ74" t="str">
        <f>IFERROR(_xlfn.XLOOKUP(A74,Щиты[Щит],Щиты[Zпетли на шинах (подбор), Ом]),"")</f>
        <v/>
      </c>
      <c r="DR74" t="str">
        <f t="shared" si="167"/>
        <v/>
      </c>
      <c r="DS74">
        <f t="shared" si="168"/>
        <v>35</v>
      </c>
      <c r="DT74">
        <f t="shared" si="169"/>
        <v>2</v>
      </c>
      <c r="DU74">
        <f t="shared" si="170"/>
        <v>0.6</v>
      </c>
      <c r="DV74" s="6">
        <f>IF(B74="","",IF(IFERROR(VLOOKUP(AX74,УГО_спр,2,FALSE),"")="Светильник",3,4)+IF(Методика="нормы 2026",MIN(0.5,MAX(0,N(Q74)-100)*0.005),0))</f>
        <v>4</v>
      </c>
      <c r="DW74" cm="1">
        <f t="array" ref="DW74">IF(OR(B74="",BT74="",DM74&lt;&gt;1),"",_xlfn.LET(_xlpm.sz,Iдоп_S,_xlpm.t_,CHOOSE(DL74,Iдоп_1ж,Iдоп_2ж,Iдоп_3ж)*DJ74*DK74,_xlpm.inn,N(DD74),_xlpm.smin,MAX(1.5,BW74),_xlpm.L_,N(Q74)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74)*(_xlpm.rho*_xlpm.L_/_xlpm.sz*N(BY74)+_xlpm.xx*_xlpm.L_*N(DU74)/1000)*N(P74)/((Uн_лин/SQRT(3))*1000)*100,999),_xlpm.kz,IF(OR(DG74=1,NOT(ISNUMBER(DQ74)),_xlpm.L_=0,_xlpm.inn=0),1,IFERROR(--(c_min*(Uн_лин*1000/SQRT(3))/(DQ74+2*ρкз_Cu*_xlpm.L_/_xlpm.sz)&gt;=GY74*_xlpm.inn),0)),_xlpm.ok,IFERROR((_xlpm.sz&gt;=_xlpm.smin)*(_xlpm.t_&gt;=_xlpm.inn)*IF(_xlpm.L_&gt;0,(_xlpm.du_+DP74&lt;=DV74+0.00001),1)*_xlpm.kz,0),_xlpm.r_,_xlfn._xlws.FILTER(_xlpm.sz,_xlpm.ok,"не подобрано"),INDEX(_xlpm.r_,1)))</f>
        <v>2.5</v>
      </c>
      <c r="DX74">
        <f t="shared" si="171"/>
        <v>2.5</v>
      </c>
      <c r="DY74" cm="1">
        <f t="array" ref="DY74">IF(OR(B74="",BT74="",DM74&lt;&gt;1),"",_xlfn.LET(_xlpm.sz,Iдоп_S,_xlpm.t_,CHOOSE(DL74,Iдоп_1ж,Iдоп_2ж,Iдоп_3ж)*DJ74*DK74,_xlpm.ok,IFERROR((_xlpm.sz&gt;=MAX(1.5,BW74))*(_xlpm.t_&gt;=N(DD74)),0),_xlpm.r_,_xlfn._xlws.FILTER(_xlpm.sz,_xlpm.ok,""),INDEX(_xlpm.r_,1)))</f>
        <v>1.5</v>
      </c>
      <c r="DZ74" s="6" cm="1">
        <f t="array" ref="DZ74">IFERROR(ROUNDUP(N(DT74)*(_xlfn.XLOOKUP(DY74,INDEX(Кабель_сопротивление,0,1),INDEX(Кабель_сопротивление,0,3))*N(Q74)/DY74*N(BY74)+_xlfn.XLOOKUP(DY74,INDEX(Кабель_сопротивление,0,1),INDEX(Кабель_сопротивление,0,2))*N(Q74)*N(DU74)/1000)*N(P74)/((Uн_лин/SQRT(3))*1000)*100,2),"")</f>
        <v>3.7699999999999996</v>
      </c>
      <c r="EA74">
        <f>IFERROR(2*ρкз_Cu*N(Q74)/DY74,"")</f>
        <v>1.2273333333333334</v>
      </c>
      <c r="EB74">
        <f>IFERROR(VLOOKUP(DX74,Кабель_сопротивление,3,FALSE),"")</f>
        <v>2.2499999999999999E-2</v>
      </c>
      <c r="EC74">
        <f>IFERROR(VLOOKUP(DX74,Кабель_сопротивление,2,FALSE),"")</f>
        <v>0.1</v>
      </c>
      <c r="ED74">
        <f t="shared" si="172"/>
        <v>31</v>
      </c>
      <c r="EE74">
        <f t="shared" si="173"/>
        <v>0</v>
      </c>
      <c r="EF74">
        <f t="shared" si="174"/>
        <v>5.2263550586636125</v>
      </c>
      <c r="EG74" s="6">
        <f>IFERROR(ROUNDUP(EF74/((Uн_лин/SQRT(3))*1000)*100,2),"")</f>
        <v>2.2699999999999996</v>
      </c>
      <c r="EH74" t="str">
        <f>IFERROR(VLOOKUP(BT74,Кабель_обозначение,2,FALSE),"")</f>
        <v>ВВГнг(А)-LS</v>
      </c>
      <c r="EI74" t="str">
        <f t="shared" si="175"/>
        <v>ВВГнг(А)-LS (3х2,5)</v>
      </c>
      <c r="EJ74" t="str">
        <f t="shared" si="176"/>
        <v>ВВГнг(А)-LS (3х2,5)
L=35-2,27%</v>
      </c>
      <c r="EK74">
        <f>IFERROR(2*ρкз_Cu*Q74/DX74,"")</f>
        <v>0.73639999999999994</v>
      </c>
      <c r="EL74">
        <f t="shared" si="177"/>
        <v>0.24500000000000002</v>
      </c>
      <c r="EM74" s="6" t="str">
        <f>IFERROR(IF(OR(B74="",NOT(ISNUMBER(DX74)),N(Q74)=0),"",_xlfn.XLOOKUP(A74,Щиты[Щит],Щиты[Zпетли на шинах, Ом])+EK74),"")</f>
        <v/>
      </c>
      <c r="EN74" s="6" t="str">
        <f>IF(ISNUMBER(EM74),c_min*(Uн_лин*1000/SQRT(3))/EM74,"")</f>
        <v/>
      </c>
      <c r="EO74" s="6" t="str">
        <f>IFERROR(IF(OR(B74="",NOT(ISNUMBER(DX74))),"",1.05*(Uн_лин*1000/SQRT(3))/(_xlfn.XLOOKUP(A74,Щиты[Щит],Щиты[Zmax на шинах, Ом])+EL74)/1000),"")</f>
        <v/>
      </c>
      <c r="EP74" s="6" t="str">
        <f>IF(B74="","",IF(ISNUMBER(Y74),"Сил",IF(IFERROR(_xlfn.XLOOKUP(AX74,Коды_код,Коды_группа)&amp;"","")="","Быт",_xlfn.XLOOKUP(AX74,Коды_код,Коды_группа)&amp;"")))</f>
        <v>Сил</v>
      </c>
      <c r="EQ74" s="6" t="str">
        <f t="shared" si="178"/>
        <v>Сил</v>
      </c>
      <c r="ER74" s="6">
        <f>IF(EQ74="Щит","щит",IF(EQ74="","",IF(EQ74="Быт",IFERROR(_xlfn.XLOOKUP(A74,Щиты[Щит],Щиты[Кс быт]),1),IF(EQ74="Сил",IF(ISNUMBER(Y74),Y74,IF(Методика="нормы 2026",IFERROR(_xlfn.XLOOKUP(A74,Щиты[Щит],Щиты[Кс силовых (табл. 7.5)]),1),1)),IF(OR(EQ74="Пост",EQ74="Отоп"),1,IF(EQ74="ВНГ",0.7,0))))))</f>
        <v>0.5</v>
      </c>
      <c r="ES74">
        <f t="shared" si="179"/>
        <v>1</v>
      </c>
      <c r="ET74">
        <f t="shared" si="180"/>
        <v>1.9</v>
      </c>
      <c r="EU74">
        <f t="shared" si="181"/>
        <v>0</v>
      </c>
      <c r="EV74">
        <f t="shared" si="182"/>
        <v>0.95</v>
      </c>
      <c r="EW74">
        <f t="shared" si="183"/>
        <v>0</v>
      </c>
      <c r="EX74">
        <f t="shared" si="184"/>
        <v>0</v>
      </c>
      <c r="EY74">
        <f t="shared" si="185"/>
        <v>0</v>
      </c>
      <c r="EZ74">
        <f t="shared" si="186"/>
        <v>1.9</v>
      </c>
      <c r="FA74">
        <f t="shared" si="187"/>
        <v>1.52</v>
      </c>
      <c r="FB74">
        <f t="shared" si="188"/>
        <v>1.9</v>
      </c>
      <c r="FC74" t="str">
        <f t="shared" si="189"/>
        <v/>
      </c>
      <c r="FD74" t="str">
        <f>IF(B74="","",IF(CA74=0,IF(AW74=1,"",FF73),IF(OR(N(CV74)&gt;=3,N(BR74)&gt;=3),"L1,L2,L3",IFERROR(_xlfn.TEXTBEFORE(_xlfn.TEXTAFTER(_xlfn.XLOOKUP(A74,Щиты[Щит],Щиты[_фазы авто]),";"&amp;AW74&amp;":"),";"),"L1"))))</f>
        <v>L2</v>
      </c>
      <c r="FE74" t="str">
        <f t="shared" si="190"/>
        <v>L2</v>
      </c>
      <c r="FF74" t="str">
        <f t="shared" si="191"/>
        <v>L2</v>
      </c>
      <c r="FG74" cm="1">
        <f t="array" ref="FG74">IFERROR(IF(BX74=2,_xlfn.IFS(BR74=3,VLOOKUP(BN74,Справочная_двигатели,3,FALSE),BR74=1,VLOOKUP(BN74,Справочная_двигатели,5,TRUE)),0),0)</f>
        <v>0</v>
      </c>
      <c r="FH74">
        <f>IFERROR(IF(BX74=3,VLOOKUP(BN74,Справочная_ЛЭД,2,TRUE),0),0)</f>
        <v>0</v>
      </c>
      <c r="FI74" s="6">
        <f t="shared" si="192"/>
        <v>0</v>
      </c>
      <c r="FJ74" t="str" cm="1">
        <f t="array" ref="FJ74">IF(B74="","",IFERROR(INDEX({"I особая","I","II","III"},MATCH(TRIM(AC74&amp;""),{"I особая","I","II","III"},0)),"III"))</f>
        <v>II</v>
      </c>
      <c r="FK74" t="str">
        <f>IF(B74="","",IF(TRIM(AD74&amp;"")&lt;&gt;"",IF(LOWER(TRIM(AD74&amp;""))="да","да","нет"),IF(IFERROR(_xlfn.XLOOKUP(AX74,Коды_код,Коды_пожарная),"")="да","да","нет")))</f>
        <v>нет</v>
      </c>
      <c r="FL74" t="str">
        <f t="shared" si="193"/>
        <v/>
      </c>
      <c r="FM74" t="str">
        <f t="shared" si="194"/>
        <v>основная</v>
      </c>
      <c r="FN74">
        <f t="shared" si="195"/>
        <v>1</v>
      </c>
      <c r="FO74" t="str" cm="1">
        <f t="array" ref="FO74">IF(B74="","",_xlfn.LET(_xlpm.t,IFERROR(_xlfn.XLOOKUP(1,(Шины[Шина]=FM74)*(((Шины[Щит]=A74)+(Шины[Щит]=""))&gt;0),Шины[Тип]),"")&amp;"",IF(_xlpm.t&lt;&gt;"",_xlpm.t,IF(ISNUMBER(SEARCH("ИБП",FM74)),"ИБП",IF(ISNUMBER(SEARCH("ДГУ",FM74)),"ДГУ","Ввод "&amp;FN74)))))</f>
        <v>Ввод 1</v>
      </c>
      <c r="FP74" t="str">
        <f t="shared" si="196"/>
        <v>Ввод 1</v>
      </c>
      <c r="FQ74" t="str">
        <f>IF(B74="","",IF(OR(FO74="ИБП",FO74="ДГУ"),"I особая",IF(FO74="Одиночная","III",_xlfn.XLOOKUP(A74,Щиты[Щит],Щиты[Категория шины «Ввод»],"III"))))</f>
        <v>II</v>
      </c>
      <c r="FR74">
        <f>IF(B74="",0,IFERROR(MATCH(FJ74,{"III","II","I","I особая"},0),1))</f>
        <v>2</v>
      </c>
      <c r="FS74">
        <f t="shared" si="197"/>
        <v>2</v>
      </c>
      <c r="FT74" t="str">
        <f>IF(B74="","",IF(FR74&gt;IFERROR(MATCH(FQ74,{"III","II","I","I особая"},0),1),"НЕ ОБЕСПЕЧЕНА","ОК"))</f>
        <v>ОК</v>
      </c>
      <c r="FU74" t="str">
        <f>IF(A74="","",_xlfn.XLOOKUP(A74,Щиты[Щит],Щиты[Путь],""))</f>
        <v>|ГРЩ-ЖД|ЩОВ-001|</v>
      </c>
      <c r="FV74" t="str">
        <f>IF(B74="","",IF(AE74&lt;&gt;"",AE74,IF(IFERROR(_xlfn.XLOOKUP(AX74,Коды_код,Коды_вид)&amp;"","")="","Прочее",_xlfn.XLOOKUP(AX74,Коды_код,Коды_вид)&amp;"")))</f>
        <v>Кондиционирование и увлажнение</v>
      </c>
      <c r="FW74">
        <f>IF(BH74="","",INT((BH74-1)/Столбцов_на_лист)+1)</f>
        <v>3</v>
      </c>
      <c r="FX74" t="str">
        <f t="shared" si="198"/>
        <v>ВВГнг(А)-LS (3х2,5) L=35-2,27%</v>
      </c>
      <c r="FY74">
        <f t="shared" si="199"/>
        <v>1.9</v>
      </c>
      <c r="FZ74">
        <f t="shared" si="200"/>
        <v>10.29</v>
      </c>
      <c r="GA74">
        <f t="shared" si="201"/>
        <v>1</v>
      </c>
      <c r="GB74">
        <f t="shared" si="202"/>
        <v>0</v>
      </c>
      <c r="GC74">
        <f t="shared" si="203"/>
        <v>1</v>
      </c>
      <c r="GD74">
        <f>IF(BH74="","",IF(AND(CA74=1,GC74=1),COUNTIFS(A$3:A74,A74,CA$3:CA74,1,GC$3:GC74,1),IF(OR(OR(AW74=1,A74&lt;&gt;A73),AF74="вручную",GC74=0),"",IF(AW74=1,"",GE73))))</f>
        <v>21</v>
      </c>
      <c r="GE74">
        <f t="shared" si="204"/>
        <v>21</v>
      </c>
      <c r="GF74">
        <f>IF(B74="","",IFERROR(LOOKUP(INDEX(CHOOSE(DL74,Iдоп_1ж,Iдоп_2ж,Iдоп_3ж),MATCH(DX74,Iдоп_S,0))*DJ74*DK74,{6,10,16,20,25,32,40,50,63,80,100,125,160,200,250,315,400,500,630}),""))</f>
        <v>25</v>
      </c>
      <c r="GG74" t="str">
        <f t="shared" si="205"/>
        <v>QF21</v>
      </c>
      <c r="GH74" t="str">
        <f t="shared" si="206"/>
        <v>QF21</v>
      </c>
      <c r="GI74" t="str">
        <f t="shared" si="207"/>
        <v/>
      </c>
      <c r="GJ74">
        <f t="shared" si="208"/>
        <v>0</v>
      </c>
      <c r="GK74" t="str">
        <f>IF(OR(AG74="",AG74="-"),"",IFERROR(VLOOKUP(AG74,Модули_спр,2,FALSE),"R"))</f>
        <v/>
      </c>
      <c r="GL74" t="str">
        <f>IF(GK74="","",GK74&amp;"."&amp;COUNTIFS(A$3:A74,A74,GK$3:GK74,GK74))</f>
        <v/>
      </c>
      <c r="GM74" t="str">
        <f t="shared" si="209"/>
        <v/>
      </c>
      <c r="GN74" t="str">
        <f t="shared" si="210"/>
        <v/>
      </c>
      <c r="GO74" t="str">
        <f t="shared" si="211"/>
        <v/>
      </c>
      <c r="GP74" t="str">
        <f t="shared" si="212"/>
        <v/>
      </c>
      <c r="GQ74">
        <f t="shared" si="213"/>
        <v>1</v>
      </c>
      <c r="GR74" t="str">
        <f>IF(GQ74=1,"XT"&amp;COUNTIFS(A$3:A74,A74,GQ$3:GQ74,1),"")</f>
        <v>XT21</v>
      </c>
      <c r="GS74" t="str">
        <f t="shared" si="214"/>
        <v/>
      </c>
      <c r="GT74" t="str">
        <f t="shared" si="215"/>
        <v>QF21</v>
      </c>
      <c r="GU74" t="str">
        <f t="shared" si="216"/>
        <v/>
      </c>
      <c r="GV74" t="str">
        <f t="shared" si="217"/>
        <v>ok</v>
      </c>
      <c r="GW74" t="str">
        <f>IF(OR(GO74="",GM74=""),"",IF(GO74&gt;IFERROR(VLOOKUP(GN74,Модули_спр,3,FALSE),99),"ЛИШНИЙ КАНАЛ",IF(AND(AH74&lt;&gt;"=",COUNTIFS(Линии[_модуль гр.],GM74,Линии[Канал (итог)],GO74,Линии[Канал],"&lt;&gt;=",Линии[Щит],A74)&gt;1),"ДУБЛЬ КАНАЛА","")))</f>
        <v/>
      </c>
      <c r="GX74" s="6" t="str">
        <f t="shared" si="218"/>
        <v/>
      </c>
      <c r="GY74">
        <f t="shared" si="219"/>
        <v>10</v>
      </c>
      <c r="GZ74" t="str">
        <f t="shared" si="220"/>
        <v/>
      </c>
      <c r="HA74" t="str">
        <f>IF(AND(B74="",GT74=""),"",_xlfn.TEXTJOIN("; ",TRUE,IF(AND(B74&lt;&gt;"",FE74=""),"нет фазы",""),IF(AND(B74&lt;&gt;"",N(FY74)=0,EQ74&lt;&gt;"Нет"),"нет мощности",""),IF(AND(GS74&lt;&gt;"",COUNTIFS(Линии[Щит],A74,Линии[Клемма (итог)],GS74)&gt;1),"дубль клеммы "&amp;GS74,""),IF(AND(GV74&lt;&gt;"",GV74&lt;&gt;"ok"),GV74,""),IF(GW74&lt;&gt;"",GW74,""),IF(AND(N(BV74)&gt;=4,N(BR74)=1),BV74&amp;" жил на 1 фазе",""),IF(AND(AX74="R",CA74=1,OR(N(CK74)=0,N(CK74)&gt;30)),"розетка без дифзащиты до 30 мА",""),IFERROR(IF(AND(ISNUMBER(R74),R74&gt;DV74),"потери "&amp;FIXED(R74,1)&amp;" % &gt; "&amp;DV74&amp;" %",""),""),IFERROR(IF(LEFT(GZ74,4)="мало","Iкз мало — отключение &gt; 0,4 с",""),""),IF(AND(B74&lt;&gt;"",BH74=""),"не на схеме",""),IF(AND(CA74=0,B74&lt;&gt;"",FE74&lt;&gt;"",IF(AW74=1,"",FF73)&lt;&gt;"",FE74&lt;&gt;IF(AW74=1,"",FF73)),"фаза не как у автомата группы ("&amp;IF(AW74=1,"",FF73)&amp;")","")))</f>
        <v/>
      </c>
      <c r="HB74" s="6">
        <f>IF(OR(CA74=0,DA74=""),"",_xlfn.LET(_xlpm.t,IFERROR(_xlfn.XLOOKUP(DA74,Каталог!$U$4:$U$500,Каталог!$G$4:$G$500),""),_xlpm.k,SEARCH("кА",_xlpm.t),IFERROR(--TRIM(RIGHT(SUBSTITUTE(MID(_xlpm.t,MAX(1,_xlpm.k-4),_xlpm.k-MAX(1,_xlpm.k-4))," ",REPT(" ",9)),5)),"")))</f>
        <v>6</v>
      </c>
      <c r="HC74" t="str">
        <f>IF(OR(HB74="",CA74=0),"",IF(_xlfn.XLOOKUP(A74,Щиты[Щит],Щиты[Iкз max на шинах, кА],"")="","",IF(HB74&lt;_xlfn.XLOOKUP(A74,Щиты[Щит],Щиты[Iкз max на шинах, кА]),"Icu "&amp;HB74&amp;" кА &lt; Iкз max","ok")))</f>
        <v/>
      </c>
      <c r="HD74" t="str">
        <f t="shared" si="221"/>
        <v/>
      </c>
      <c r="HE74" t="str">
        <f t="shared" si="222"/>
        <v>QF21</v>
      </c>
      <c r="HF74" t="str">
        <f t="shared" si="223"/>
        <v>QF21|кабель ВВГнг(А)-LS (3х2,5) → Внешний блок кондиционирования Пом. Венткиосок</v>
      </c>
      <c r="HG74" t="str" cm="1">
        <f t="array" ref="HG74">IF(HF74="","",_xlfn.LET(_xlpm.nd,_xlfn.TEXTSPLIT(HF74,"|"),IF(COLUMNS(_xlpm.nd)&gt;1,A74&amp;"¦"&amp;INDEX(_xlpm.nd,1)&amp;"¦"&amp;INDEX(_xlpm.nd,2),"")))</f>
        <v>ЩОВ-001¦QF21¦кабель ВВГнг(А)-LS (3х2,5) → Внешний блок кондиционирования Пом. Венткиосок</v>
      </c>
      <c r="HH74" t="str">
        <f t="shared" si="224"/>
        <v>K.6¦Внешний блок кондиционирования Пом. Венткиосок</v>
      </c>
      <c r="HI74" t="str" cm="1">
        <f t="array" ref="HI74">IF(HF74="","",_xlfn.LET(_xlpm.nd,_xlfn.TEXTSPLIT(HF74,"|"),IF(COLUMNS(_xlpm.nd)&gt;2,A74&amp;"¦"&amp;INDEX(_xlpm.nd,2)&amp;"¦"&amp;INDEX(_xlpm.nd,3),"")))</f>
        <v/>
      </c>
      <c r="HJ74" t="str">
        <f t="shared" si="225"/>
        <v/>
      </c>
      <c r="HK74" t="str" cm="1">
        <f t="array" ref="HK74">IF(HF74="","",_xlfn.LET(_xlpm.nd,_xlfn.TEXTSPLIT(HF74,"|"),IF(COLUMNS(_xlpm.nd)&gt;3,A74&amp;"¦"&amp;INDEX(_xlpm.nd,3)&amp;"¦"&amp;INDEX(_xlpm.nd,4),"")))</f>
        <v/>
      </c>
      <c r="HL74" t="str">
        <f t="shared" si="226"/>
        <v/>
      </c>
      <c r="HM74" t="str" cm="1">
        <f t="array" ref="HM74">IF(HF74="","",_xlfn.LET(_xlpm.nd,_xlfn.TEXTSPLIT(HF74,"|"),IF(COLUMNS(_xlpm.nd)&gt;4,A74&amp;"¦"&amp;INDEX(_xlpm.nd,4)&amp;"¦"&amp;INDEX(_xlpm.nd,5),"")))</f>
        <v/>
      </c>
      <c r="HN74" t="str">
        <f t="shared" si="227"/>
        <v/>
      </c>
      <c r="HO74" t="str" cm="1">
        <f t="array" ref="HO74">IF(HF74="","",_xlfn.LET(_xlpm.nd,_xlfn.TEXTSPLIT(HF74,"|"),IF(COLUMNS(_xlpm.nd)&gt;5,A74&amp;"¦"&amp;INDEX(_xlpm.nd,5)&amp;"¦"&amp;INDEX(_xlpm.nd,6),"")))</f>
        <v/>
      </c>
      <c r="HP74" t="str">
        <f t="shared" si="228"/>
        <v/>
      </c>
      <c r="HQ74" t="str" cm="1">
        <f t="array" ref="HQ74">IF(HF74="","",_xlfn.LET(_xlpm.nd,_xlfn.TEXTSPLIT(HF74,"|"),IF(COLUMNS(_xlpm.nd)&gt;6,A74&amp;"¦"&amp;INDEX(_xlpm.nd,6)&amp;"¦"&amp;INDEX(_xlpm.nd,7),"")))</f>
        <v/>
      </c>
      <c r="HR74" t="str">
        <f t="shared" si="229"/>
        <v/>
      </c>
      <c r="HS74" t="str">
        <f t="shared" si="230"/>
        <v/>
      </c>
      <c r="HT74" t="str">
        <f t="shared" si="231"/>
        <v>QF21</v>
      </c>
      <c r="HU74">
        <f t="shared" si="232"/>
        <v>0</v>
      </c>
      <c r="HV74">
        <f t="shared" si="233"/>
        <v>0</v>
      </c>
      <c r="HW74" t="str">
        <f t="shared" si="234"/>
        <v/>
      </c>
      <c r="HX74" t="str">
        <f t="shared" si="235"/>
        <v/>
      </c>
      <c r="HY74" t="str">
        <f t="shared" si="236"/>
        <v/>
      </c>
      <c r="HZ74" t="str">
        <f t="shared" si="237"/>
        <v/>
      </c>
      <c r="IA74">
        <f>IF(B74="","",IFERROR(VLOOKUP(B74,УГО_спр,2,FALSE),IFERROR(VLOOKUP(AX74,УГО_спр,2,FALSE),IFERROR(VLOOKUP(LEFT(AX74,2),УГО_спр,2,FALSE),""))))</f>
        <v>0</v>
      </c>
      <c r="IB74" t="str">
        <f>IF(B74="","",IF(OR(IA74="",IA74=0),"BOX",IFERROR(IF(VLOOKUP(IA74,УГО_блоки,3,FALSE)&amp;""&lt;&gt;"",VLOOKUP(IA74,УГО_блоки,3,FALSE),VLOOKUP(IA74,УГО_блоки,2,FALSE)),IA74)))</f>
        <v>BOX</v>
      </c>
      <c r="IC74">
        <f t="shared" si="238"/>
        <v>1</v>
      </c>
      <c r="ID74" t="str">
        <f>IF(DA74="","",IF(COUNTIF(DA$3:DA74,DA74)=1,MAX(ID$2:ID73)+1,""))</f>
        <v/>
      </c>
      <c r="IE74" t="str">
        <f>IF(CO74="","",IF(COUNTIF(CO$3:CO74,CO74)+COUNTIF(CP$2:CP73,CO74)+COUNTIF(CQ$2:CQ73,CO74)=1,MAX(IE$2:IG73)+1,""))</f>
        <v/>
      </c>
      <c r="IF74" t="str">
        <f>IF(CP74="","",IF(COUNTIF(CO$3:CO74,CP74)+COUNTIF(CP$3:CP74,CP74)+COUNTIF(CQ$2:CQ73,CP74)=1,MAX(IE$2:IG73,IE74)+1,""))</f>
        <v/>
      </c>
      <c r="IG74" t="str">
        <f>IF(CQ74="","",IF(COUNTIF(CO$3:CO74,CQ74)+COUNTIF(CP$3:CP74,CQ74)+COUNTIF(CQ$3:CQ74,CQ74)=1,MAX(IE$2:IG73,IE74,IF74)+1,""))</f>
        <v/>
      </c>
      <c r="IH74" t="str">
        <f t="shared" si="239"/>
        <v>3х2,5</v>
      </c>
      <c r="II74" t="str">
        <f>IF(IH74="","",IF(COUNTIF(IH$3:IH74,IH74)=1,MAX(II$2:II73)+1,""))</f>
        <v/>
      </c>
      <c r="IJ74" t="str">
        <f>IF(GL74="","",COUNTIF(GL$3:GL74,"?*"))</f>
        <v/>
      </c>
      <c r="IK74" t="str">
        <f>IF(OR(GL74="",GN74=""),"",IF(COUNTIFS(GL$3:GL74,"?*",GN$3:GN74,GN74)=1,MAX(IK$2:IK73)+1,""))</f>
        <v/>
      </c>
      <c r="IL74">
        <f t="shared" si="240"/>
        <v>0</v>
      </c>
      <c r="IM74">
        <f>IF(B74="","",COUNTIF(B$3:B74,"?*"))</f>
        <v>72</v>
      </c>
      <c r="IN74">
        <f>IF(GQ74&lt;&gt;1,0,_xlfn.LET(_xlpm.k,MAX(IFERROR(--VLOOKUP(B74,УГО_спр,5,FALSE),0),IFERROR(--VLOOKUP(AX74,УГО_спр,5,FALSE),0),IFERROR(--VLOOKUP(LEFT(AX74,2),УГО_спр,5,FALSE),0)),IF(_xlpm.k&gt;0,_xlpm.k,IF(IFERROR(--LEFT(SUBSTITUTE(IH74,"x","х"),FIND("х",SUBSTITUTE(IH74,"x","х"))-1),3)&gt;3,Каталог!$S$9,1))))</f>
        <v>1</v>
      </c>
      <c r="IO74">
        <f t="shared" si="241"/>
        <v>0</v>
      </c>
      <c r="IP74" t="str">
        <f t="shared" si="242"/>
        <v>авто</v>
      </c>
      <c r="IQ74" t="str">
        <f t="shared" si="243"/>
        <v/>
      </c>
      <c r="IR74">
        <f t="shared" si="244"/>
        <v>0</v>
      </c>
      <c r="IS74">
        <f t="shared" si="245"/>
        <v>1</v>
      </c>
    </row>
    <row r="75" spans="1:253" x14ac:dyDescent="0.3">
      <c r="A75" t="s">
        <v>749</v>
      </c>
      <c r="B75" t="s">
        <v>1347</v>
      </c>
      <c r="C75" t="s">
        <v>1619</v>
      </c>
      <c r="D75">
        <v>1</v>
      </c>
      <c r="E75">
        <v>1.9</v>
      </c>
      <c r="G75">
        <v>16</v>
      </c>
      <c r="H75" t="str">
        <f>Линии[[#This Row],[_авто утечка]]</f>
        <v/>
      </c>
      <c r="I75" t="str">
        <f>Линии[[#This Row],[_авто управление]]</f>
        <v/>
      </c>
      <c r="J75" t="str">
        <f>Линии[[#This Row],[_авто аппараты]]</f>
        <v/>
      </c>
      <c r="K75">
        <v>2.5</v>
      </c>
      <c r="L75">
        <v>35</v>
      </c>
      <c r="M75" t="str">
        <f>Линии[[#This Row],[_авто фаза]]</f>
        <v>L3</v>
      </c>
      <c r="N75" t="s">
        <v>486</v>
      </c>
      <c r="O75" t="str">
        <f t="shared" si="123"/>
        <v/>
      </c>
      <c r="P75" s="6" cm="1">
        <f t="array" ref="P75">IF(B75="","",IF(BC75&lt;&gt;"",IFERROR(_xlfn.XLOOKUP(BC75,Щиты[Щит],Щиты[Iр, А]),""),IF(BK75=1,IFERROR(_xlfn.XLOOKUP(A75,Щиты[Щит],Щиты[Iр, А]),""),IFERROR(_xlfn.IFS(BR75=1,BN75/((Uн_лин/SQRT(3))*BY75),BR75=3,BN75/(SQRT(3)*Uн_лин*BY75)),""))))</f>
        <v>10.284051669940206</v>
      </c>
      <c r="Q75" s="7">
        <f>IF(B75="","",IFERROR(IF(VLOOKUP(AX75,Потребители_обозначение,4,FALSE)=1,VLOOKUP(AX75,Потребители_обозначение,3,FALSE)*(D75*2-1)+DS75+VLOOKUP(AZ75,Этаж_обозначение,3,FALSE)+VLOOKUP(AZ75,Этаж_обозначение,4,FALSE),VLOOKUP(AX75,Потребители_обозначение,3,FALSE)*(D75*2-1)+DS75),DS75))</f>
        <v>35</v>
      </c>
      <c r="R75" s="6">
        <f t="shared" si="124"/>
        <v>2.9099999999999997</v>
      </c>
      <c r="S75" t="str">
        <f t="shared" si="125"/>
        <v>ВВГнг(А)-LS (3х2,5)</v>
      </c>
      <c r="T75" t="str">
        <f>IF(BH75="","",IF(BI75="вводной узел","узел ","")&amp;"л."&amp;(INT((BH75-1)/Столбцов_на_лист)+1)&amp;" / "&amp;(MOD(BH75-1,Столбцов_на_лист)+1))</f>
        <v>л.3 / 9</v>
      </c>
      <c r="V75">
        <v>1</v>
      </c>
      <c r="W75">
        <v>230</v>
      </c>
      <c r="X75" t="s">
        <v>600</v>
      </c>
      <c r="Y75">
        <v>0.5</v>
      </c>
      <c r="AC75" t="s">
        <v>815</v>
      </c>
      <c r="AE75" t="s">
        <v>578</v>
      </c>
      <c r="AI75">
        <v>43</v>
      </c>
      <c r="AJ75" t="s">
        <v>11</v>
      </c>
      <c r="AK75">
        <v>3</v>
      </c>
      <c r="AN75">
        <v>31</v>
      </c>
      <c r="AP75">
        <v>1</v>
      </c>
      <c r="AW75" cm="1">
        <f t="array" ref="AW75">ROW()-ROW(Линии[#Headers])</f>
        <v>73</v>
      </c>
      <c r="AX75" s="6" t="str">
        <f t="shared" si="126"/>
        <v>K</v>
      </c>
      <c r="AY75" t="str">
        <f t="shared" si="127"/>
        <v>7</v>
      </c>
      <c r="AZ75" t="str">
        <f t="shared" si="128"/>
        <v>7</v>
      </c>
      <c r="BA75" t="str">
        <f t="shared" si="129"/>
        <v/>
      </c>
      <c r="BB75" t="str">
        <f t="shared" si="130"/>
        <v/>
      </c>
      <c r="BC75" t="str">
        <f>IF(U75&lt;&gt;"",U75,IF(AND(B75&lt;&gt;"",B75&lt;&gt;A75,ISNUMBER(_xlfn.XMATCH(B75,Щиты[Щит]))),B75,""))</f>
        <v/>
      </c>
      <c r="BD75" t="str" cm="1">
        <f t="array" ref="BD75">IF(B75="","",IF(BC75&lt;&gt;"","Щит "&amp;BC75,_xlfn.LET(_xlpm.nm,IFERROR(_xlfn.XLOOKUP(AX75,Коды_код,Коды_имя)&amp;"",""),_xlpm.md,IFERROR(N(_xlfn.XLOOKUP(AX75,Коды_код,Коды_режим)),1),_xlpm.ex,IF(Имя_режим="по экспликации",IFERROR(_xlfn.XLOOKUP(AZ75&amp;"|"&amp;BB75,Экспликация[Этаж]&amp;"|"&amp;Экспликация[Помещение],Экспликация[Название])&amp;"",""),""),_xlpm.rm,IF(BB75="","",IF(_xlpm.ex&lt;&gt;"",". "&amp;_xlpm.ex&amp;IF(Имя_пом="нет"," ("&amp;BB75&amp;")"," (пом. "&amp;BB75&amp;")"),IF(Имя_пом="нет"," ",", пом. ")&amp;BB75)),IF(_xlpm.nm="","",IF(_xlpm.md=2,_xlpm.nm&amp;" шлейф "&amp;AZ75,_xlpm.nm&amp;_xlpm.rm)))))</f>
        <v>Внутренний блок кондиционирования</v>
      </c>
      <c r="BE75" t="str">
        <f t="shared" si="131"/>
        <v>Внешний блок кондиционирования Пом. Венткиосок</v>
      </c>
      <c r="BF75">
        <f>IFERROR(_xlfn.XMATCH(A75,Щиты[Щит]),0)</f>
        <v>4</v>
      </c>
      <c r="BG75">
        <f>_xlfn.LET(_xlpm.k,IFERROR(_xlfn.XLOOKUP(A75,Щиты[Щит],Щиты[Листов под вводной узел]),""),IF(_xlpm.k="",1,N(_xlpm.k))*Столбцов_на_лист)</f>
        <v>17</v>
      </c>
      <c r="BH75">
        <f t="shared" si="132"/>
        <v>43</v>
      </c>
      <c r="BI75" t="str">
        <f t="shared" si="133"/>
        <v>линии</v>
      </c>
      <c r="BJ75" s="6">
        <f>IFERROR(N(_xlfn.XLOOKUP(AX75,Коды_код,Коды_квт)),0)</f>
        <v>0</v>
      </c>
      <c r="BK75">
        <f t="shared" si="134"/>
        <v>0</v>
      </c>
      <c r="BL75" t="str">
        <f>IF(B75="","",IF(BC75&lt;&gt;"",IFERROR(_xlfn.XLOOKUP(BC75,Щиты[Щит],Щиты[Руст, кВт]),0),IF(BK75=1,IFERROR(_xlfn.XLOOKUP(A75,Щиты[Щит],Щиты[Руст, кВт]),0),IF(BJ75&gt;0,ROUND(BJ75*MAX(1,N(D75)),3),""))))</f>
        <v/>
      </c>
      <c r="BM75">
        <f t="shared" si="135"/>
        <v>1.9</v>
      </c>
      <c r="BN75" s="6">
        <f>IF(B75="","",IF(BC75&lt;&gt;"",IFERROR(_xlfn.XLOOKUP(BC75,Щиты[Щит],Щиты[Руст, кВт]),0),N(BM75)))</f>
        <v>1.9</v>
      </c>
      <c r="BO75" t="str">
        <f>IF(B75="","",IFERROR(IF(VLOOKUP(AX75,Потребители_обозначение,8,FALSE)=0,"",VLOOKUP(AX75,Потребители_обозначение,8,FALSE)),""))</f>
        <v/>
      </c>
      <c r="BP75">
        <f t="shared" si="136"/>
        <v>230</v>
      </c>
      <c r="BQ75">
        <f>IF(B75="","",IF(BC75&lt;&gt;"",3,IFERROR(IF(N(VLOOKUP(AX75,Потребители_обозначение,9,FALSE))=0,1,VLOOKUP(AX75,Потребители_обозначение,9,FALSE)),1)))</f>
        <v>1</v>
      </c>
      <c r="BR75">
        <f t="shared" si="137"/>
        <v>1</v>
      </c>
      <c r="BS75" t="str">
        <f>IF(B75="","",_xlfn.LET(_xlpm.bc,IFERROR(IF(VLOOKUP(AX75,Потребители_обозначение,6,FALSE)=0,"",VLOOKUP(AX75,Потребители_обозначение,6,FALSE)&amp;""),""),IF(AND(FK75="да",OR(_xlpm.bc="",_xlpm.bc="мс")),Марка_пож,IF(AND(_xlpm.bc="",BC75&lt;&gt;""),"мс",_xlpm.bc))))</f>
        <v/>
      </c>
      <c r="BT75" t="str">
        <f t="shared" si="138"/>
        <v>мс</v>
      </c>
      <c r="BU75">
        <f>IF(B75="","",_xlfn.LET(_xlpm.cc,IFERROR(N(VLOOKUP(AX75,Потребители_обозначение,7,FALSE)),0),IF(_xlpm.cc&gt;0,_xlpm.cc,IF(BT75="","",IF(N(BR75)=3,5,3)))))</f>
        <v>3</v>
      </c>
      <c r="BV75">
        <f t="shared" si="139"/>
        <v>3</v>
      </c>
      <c r="BW75">
        <f>IFERROR(N(VLOOKUP(AX75,Потребители_обозначение,10,FALSE)),0)</f>
        <v>0</v>
      </c>
      <c r="BX75">
        <f>IFERROR(VLOOKUP(AX75,Потребители_обозначение,5,FALSE),0)</f>
        <v>1</v>
      </c>
      <c r="BY75" s="6" cm="1">
        <f t="array" ref="BY75">IF(B75="","",IF(BC75&lt;&gt;"",IFERROR(_xlfn.XLOOKUP(BC75,Щиты[Щит],Щиты[cos φ]),0.95),IF(BK75=1,IFERROR(_xlfn.XLOOKUP(A75,Щиты[Щит],Щиты[cos φ]),0.95),IF(ISNUMBER(Z75),Z75,IFERROR(IF(BX75=2,_xlfn.IFS(BR75=3,VLOOKUP(BN75,Справочная_двигатели,8,FALSE),BR75=1,VLOOKUP(BN75,Справочная_двигатели,10,TRUE)),IF(AND(Методика="нормы 2026",EQ75="Сил"),0.8,0.95)),0.95)))))</f>
        <v>0.8</v>
      </c>
      <c r="BZ75">
        <f t="shared" si="140"/>
        <v>0</v>
      </c>
      <c r="CA75">
        <f t="shared" si="141"/>
        <v>1</v>
      </c>
      <c r="CB75">
        <f t="shared" si="142"/>
        <v>0</v>
      </c>
      <c r="CC75">
        <f t="shared" si="143"/>
        <v>0</v>
      </c>
      <c r="CD75">
        <f t="shared" si="144"/>
        <v>0</v>
      </c>
      <c r="CE75">
        <f t="shared" si="145"/>
        <v>0</v>
      </c>
      <c r="CF75">
        <f t="shared" si="146"/>
        <v>0</v>
      </c>
      <c r="CG75">
        <f>IF(AX75="",0,_xlfn.LET(_xlpm.v,IFERROR(VLOOKUP(B75,УГО_спр,3,FALSE),IFERROR(VLOOKUP(AX75,УГО_спр,3,FALSE),IFERROR(VLOOKUP(LEFT(AX75,2),УГО_спр,3,FALSE),""))),IF(_xlpm.v="да",30,IF(ISNUMBER(_xlpm.v),_xlpm.v,0))))</f>
        <v>0</v>
      </c>
      <c r="CH75" t="str">
        <f t="shared" si="147"/>
        <v/>
      </c>
      <c r="CI75" t="str">
        <f>_xlfn.LET(_xlpm.k,IFERROR(_xlfn.XLOOKUP(AX75,Коды_код,Коды_утечка)&amp;"",""),IF(_xlpm.k="","дифавтомат",_xlpm.k))</f>
        <v>дифавтомат</v>
      </c>
      <c r="CJ75">
        <f t="shared" si="148"/>
        <v>0</v>
      </c>
      <c r="CK75">
        <f t="shared" si="149"/>
        <v>0</v>
      </c>
      <c r="CL75">
        <f>IF(B75="",0,IFERROR(--VLOOKUP(B75,УГО_спр,4,FALSE),IFERROR(--VLOOKUP(AX75,УГО_спр,4,FALSE),IFERROR(--VLOOKUP(LEFT(AX75,2),УГО_спр,4,FALSE),0))))</f>
        <v>0</v>
      </c>
      <c r="CM75" t="str">
        <f>IF(B75="","",IFERROR(_xlfn.XLOOKUP(AX75,Коды_код,Коды_апп)&amp;"",""))</f>
        <v/>
      </c>
      <c r="CN75" t="str">
        <f t="shared" si="150"/>
        <v/>
      </c>
      <c r="CO75" t="str" cm="1">
        <f t="array" ref="CO75">IF(TRIM(CN75&amp;"")="","",IFERROR(TRIM(INDEX(_xlfn.TEXTSPLIT(CN75&amp;";;;",";"),1)),""))</f>
        <v/>
      </c>
      <c r="CP75" t="str" cm="1">
        <f t="array" ref="CP75">IF(TRIM(CN75&amp;"")="","",IFERROR(TRIM(INDEX(_xlfn.TEXTSPLIT(CN75&amp;";;;",";"),2)),""))</f>
        <v/>
      </c>
      <c r="CQ75" t="str" cm="1">
        <f t="array" ref="CQ75">IF(TRIM(CN75&amp;"")="","",IFERROR(TRIM(INDEX(_xlfn.TEXTSPLIT(CN75&amp;";;;",";"),3)),""))</f>
        <v/>
      </c>
      <c r="CR75">
        <f t="shared" si="151"/>
        <v>0</v>
      </c>
      <c r="CS75" t="str">
        <f>IF(B75="","",_xlfn.LET(_xlpm.t,LOWER(AV75&amp;""),IF(ISNUMBER(SEARCH("dim",_xlpm.t)),"DIM",IF(ISNUMBER(SEARCH("dali",_xlpm.t)),"DALI",IF(OR(ISNUMBER(SEARCH("relay",_xlpm.t)),ISNUMBER(SEARCH("реле",_xlpm.t))),"Relay",IF(ISNUMBER(SEARCH("кнопк",_xlpm.t)),"",IFERROR(_xlfn.XLOOKUP(AX75,Коды_код,Коды_упр)&amp;"","")))))))</f>
        <v/>
      </c>
      <c r="CT75" t="str">
        <f t="shared" si="152"/>
        <v/>
      </c>
      <c r="CU75">
        <f>IF(B75="","",_xlfn.LET(_xlpm.ig,N(P75)+IF(AF75="вручную",0,N(CB75)),_xlpm.n0,IFERROR(VLOOKUP(_xlpm.ig,Автомат_номиналы,2,TRUE),0),_xlpm.mn,MAX(CL75,IF(AF75="вручную",0,N(CE75))),MAX(_xlpm.n0,_xlpm.mn,IF(CR75=1,Мин_автомат_БП,0))))</f>
        <v>16</v>
      </c>
      <c r="CV75">
        <f t="shared" si="153"/>
        <v>1</v>
      </c>
      <c r="CW75" t="str">
        <f t="shared" si="154"/>
        <v>1P</v>
      </c>
      <c r="CX75" t="str">
        <f>_xlfn.LET(_xlpm.cc,UPPER(TRIM(IFERROR(_xlfn.XLOOKUP(AX75,Коды_код,Коды_хар)&amp;"",""))),IF(OR(_xlpm.cc="B",_xlpm.cc="В"),"B",IF(_xlpm.cc="D","D","С")))</f>
        <v>С</v>
      </c>
      <c r="CY75" t="str">
        <f t="shared" si="155"/>
        <v>1P С16А</v>
      </c>
      <c r="CZ75">
        <f t="shared" si="156"/>
        <v>16</v>
      </c>
      <c r="DA75" t="str">
        <f t="shared" si="157"/>
        <v>1P С16А</v>
      </c>
      <c r="DB75" cm="1">
        <f t="array" ref="DB75">IF(DA75="","",_xlfn.LET(_xlpm.t,SUBSTITUTE(SUBSTITUTE(SUBSTITUTE(UPPER(DA75),"С","C"),"А","A"),"В","B"),_xlpm.tk,_xlfn.TEXTSPLIT(_xlpm.t,"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5" t="str">
        <f t="shared" si="158"/>
        <v>ok</v>
      </c>
      <c r="DD75">
        <f t="shared" si="159"/>
        <v>16</v>
      </c>
      <c r="DE75" t="str">
        <f t="shared" si="160"/>
        <v>1P С16А</v>
      </c>
      <c r="DF75">
        <f t="shared" si="161"/>
        <v>0</v>
      </c>
      <c r="DG75">
        <f t="shared" si="162"/>
        <v>0</v>
      </c>
      <c r="DH75">
        <f t="shared" si="163"/>
        <v>0</v>
      </c>
      <c r="DI75">
        <f t="shared" si="164"/>
        <v>10.284051669940206</v>
      </c>
      <c r="DJ75">
        <f t="shared" si="165"/>
        <v>1</v>
      </c>
      <c r="DK75">
        <f>IF(ISNUMBER(AL75),AL75,К_прокл)</f>
        <v>1</v>
      </c>
      <c r="DL75">
        <f t="shared" si="166"/>
        <v>2</v>
      </c>
      <c r="DM75">
        <f>IFERROR(N(VLOOKUP(BT75,Кабель_обозначение,3,FALSE)),1)</f>
        <v>1</v>
      </c>
      <c r="DN75">
        <f>IFERROR(N(_xlfn.XLOOKUP(A75,Щиты[Щит],Щиты[ΔU до шин, %])),0)</f>
        <v>0.64</v>
      </c>
      <c r="DO75" t="str">
        <f>IFERROR(_xlfn.XLOOKUP(A75,Щиты[Щит],Щиты[Zпетли на шинах, Ом]),"")</f>
        <v/>
      </c>
      <c r="DP75">
        <f>IFERROR(N(_xlfn.XLOOKUP(A75,Щиты[Щит],Щиты[ΔU до шин (подбор), %])),0)</f>
        <v>0.75</v>
      </c>
      <c r="DQ75" t="str">
        <f>IFERROR(_xlfn.XLOOKUP(A75,Щиты[Щит],Щиты[Zпетли на шинах (подбор), Ом]),"")</f>
        <v/>
      </c>
      <c r="DR75" t="str">
        <f t="shared" si="167"/>
        <v/>
      </c>
      <c r="DS75">
        <f t="shared" si="168"/>
        <v>35</v>
      </c>
      <c r="DT75">
        <f t="shared" si="169"/>
        <v>2</v>
      </c>
      <c r="DU75">
        <f t="shared" si="170"/>
        <v>0.6</v>
      </c>
      <c r="DV75" s="6">
        <f>IF(B75="","",IF(IFERROR(VLOOKUP(AX75,УГО_спр,2,FALSE),"")="Светильник",3,4)+IF(Методика="нормы 2026",MIN(0.5,MAX(0,N(Q75)-100)*0.005),0))</f>
        <v>4</v>
      </c>
      <c r="DW75" cm="1">
        <f t="array" ref="DW75">IF(OR(B75="",BT75="",DM75&lt;&gt;1),"",_xlfn.LET(_xlpm.sz,Iдоп_S,_xlpm.t_,CHOOSE(DL75,Iдоп_1ж,Iдоп_2ж,Iдоп_3ж)*DJ75*DK75,_xlpm.inn,N(DD75),_xlpm.smin,MAX(1.5,BW75),_xlpm.L_,N(Q75)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75)*(_xlpm.rho*_xlpm.L_/_xlpm.sz*N(BY75)+_xlpm.xx*_xlpm.L_*N(DU75)/1000)*N(P75)/((Uн_лин/SQRT(3))*1000)*100,999),_xlpm.kz,IF(OR(DG75=1,NOT(ISNUMBER(DQ75)),_xlpm.L_=0,_xlpm.inn=0),1,IFERROR(--(c_min*(Uн_лин*1000/SQRT(3))/(DQ75+2*ρкз_Cu*_xlpm.L_/_xlpm.sz)&gt;=GY75*_xlpm.inn),0)),_xlpm.ok,IFERROR((_xlpm.sz&gt;=_xlpm.smin)*(_xlpm.t_&gt;=_xlpm.inn)*IF(_xlpm.L_&gt;0,(_xlpm.du_+DP75&lt;=DV75+0.00001),1)*_xlpm.kz,0),_xlpm.r_,_xlfn._xlws.FILTER(_xlpm.sz,_xlpm.ok,"не подобрано"),INDEX(_xlpm.r_,1)))</f>
        <v>2.5</v>
      </c>
      <c r="DX75">
        <f t="shared" si="171"/>
        <v>2.5</v>
      </c>
      <c r="DY75" cm="1">
        <f t="array" ref="DY75">IF(OR(B75="",BT75="",DM75&lt;&gt;1),"",_xlfn.LET(_xlpm.sz,Iдоп_S,_xlpm.t_,CHOOSE(DL75,Iдоп_1ж,Iдоп_2ж,Iдоп_3ж)*DJ75*DK75,_xlpm.ok,IFERROR((_xlpm.sz&gt;=MAX(1.5,BW75))*(_xlpm.t_&gt;=N(DD75)),0),_xlpm.r_,_xlfn._xlws.FILTER(_xlpm.sz,_xlpm.ok,""),INDEX(_xlpm.r_,1)))</f>
        <v>1.5</v>
      </c>
      <c r="DZ75" s="6" cm="1">
        <f t="array" ref="DZ75">IFERROR(ROUNDUP(N(DT75)*(_xlfn.XLOOKUP(DY75,INDEX(Кабель_сопротивление,0,1),INDEX(Кабель_сопротивление,0,3))*N(Q75)/DY75*N(BY75)+_xlfn.XLOOKUP(DY75,INDEX(Кабель_сопротивление,0,1),INDEX(Кабель_сопротивление,0,2))*N(Q75)*N(DU75)/1000)*N(P75)/((Uн_лин/SQRT(3))*1000)*100,2),"")</f>
        <v>3.7699999999999996</v>
      </c>
      <c r="EA75">
        <f>IFERROR(2*ρкз_Cu*N(Q75)/DY75,"")</f>
        <v>1.2273333333333334</v>
      </c>
      <c r="EB75">
        <f>IFERROR(VLOOKUP(DX75,Кабель_сопротивление,3,FALSE),"")</f>
        <v>2.2499999999999999E-2</v>
      </c>
      <c r="EC75">
        <f>IFERROR(VLOOKUP(DX75,Кабель_сопротивление,2,FALSE),"")</f>
        <v>0.1</v>
      </c>
      <c r="ED75">
        <f t="shared" si="172"/>
        <v>31</v>
      </c>
      <c r="EE75">
        <f t="shared" si="173"/>
        <v>0</v>
      </c>
      <c r="EF75">
        <f t="shared" si="174"/>
        <v>5.2263550586636125</v>
      </c>
      <c r="EG75" s="6">
        <f>IFERROR(ROUNDUP(EF75/((Uн_лин/SQRT(3))*1000)*100,2),"")</f>
        <v>2.2699999999999996</v>
      </c>
      <c r="EH75" t="str">
        <f>IFERROR(VLOOKUP(BT75,Кабель_обозначение,2,FALSE),"")</f>
        <v>ВВГнг(А)-LS</v>
      </c>
      <c r="EI75" t="str">
        <f t="shared" si="175"/>
        <v>ВВГнг(А)-LS (3х2,5)</v>
      </c>
      <c r="EJ75" t="str">
        <f t="shared" si="176"/>
        <v>ВВГнг(А)-LS (3х2,5)
L=35-2,27%</v>
      </c>
      <c r="EK75">
        <f>IFERROR(2*ρкз_Cu*Q75/DX75,"")</f>
        <v>0.73639999999999994</v>
      </c>
      <c r="EL75">
        <f t="shared" si="177"/>
        <v>0.24500000000000002</v>
      </c>
      <c r="EM75" s="6" t="str">
        <f>IFERROR(IF(OR(B75="",NOT(ISNUMBER(DX75)),N(Q75)=0),"",_xlfn.XLOOKUP(A75,Щиты[Щит],Щиты[Zпетли на шинах, Ом])+EK75),"")</f>
        <v/>
      </c>
      <c r="EN75" s="6" t="str">
        <f>IF(ISNUMBER(EM75),c_min*(Uн_лин*1000/SQRT(3))/EM75,"")</f>
        <v/>
      </c>
      <c r="EO75" s="6" t="str">
        <f>IFERROR(IF(OR(B75="",NOT(ISNUMBER(DX75))),"",1.05*(Uн_лин*1000/SQRT(3))/(_xlfn.XLOOKUP(A75,Щиты[Щит],Щиты[Zmax на шинах, Ом])+EL75)/1000),"")</f>
        <v/>
      </c>
      <c r="EP75" s="6" t="str">
        <f>IF(B75="","",IF(ISNUMBER(Y75),"Сил",IF(IFERROR(_xlfn.XLOOKUP(AX75,Коды_код,Коды_группа)&amp;"","")="","Быт",_xlfn.XLOOKUP(AX75,Коды_код,Коды_группа)&amp;"")))</f>
        <v>Сил</v>
      </c>
      <c r="EQ75" s="6" t="str">
        <f t="shared" si="178"/>
        <v>Сил</v>
      </c>
      <c r="ER75" s="6">
        <f>IF(EQ75="Щит","щит",IF(EQ75="","",IF(EQ75="Быт",IFERROR(_xlfn.XLOOKUP(A75,Щиты[Щит],Щиты[Кс быт]),1),IF(EQ75="Сил",IF(ISNUMBER(Y75),Y75,IF(Методика="нормы 2026",IFERROR(_xlfn.XLOOKUP(A75,Щиты[Щит],Щиты[Кс силовых (табл. 7.5)]),1),1)),IF(OR(EQ75="Пост",EQ75="Отоп"),1,IF(EQ75="ВНГ",0.7,0))))))</f>
        <v>0.5</v>
      </c>
      <c r="ES75">
        <f t="shared" si="179"/>
        <v>1</v>
      </c>
      <c r="ET75">
        <f t="shared" si="180"/>
        <v>1.9</v>
      </c>
      <c r="EU75">
        <f t="shared" si="181"/>
        <v>0</v>
      </c>
      <c r="EV75">
        <f t="shared" si="182"/>
        <v>0.95</v>
      </c>
      <c r="EW75">
        <f t="shared" si="183"/>
        <v>0</v>
      </c>
      <c r="EX75">
        <f t="shared" si="184"/>
        <v>0</v>
      </c>
      <c r="EY75">
        <f t="shared" si="185"/>
        <v>0</v>
      </c>
      <c r="EZ75">
        <f t="shared" si="186"/>
        <v>1.9</v>
      </c>
      <c r="FA75">
        <f t="shared" si="187"/>
        <v>1.52</v>
      </c>
      <c r="FB75">
        <f t="shared" si="188"/>
        <v>1.9</v>
      </c>
      <c r="FC75" t="str">
        <f t="shared" si="189"/>
        <v/>
      </c>
      <c r="FD75" t="str">
        <f>IF(B75="","",IF(CA75=0,IF(AW75=1,"",FF74),IF(OR(N(CV75)&gt;=3,N(BR75)&gt;=3),"L1,L2,L3",IFERROR(_xlfn.TEXTBEFORE(_xlfn.TEXTAFTER(_xlfn.XLOOKUP(A75,Щиты[Щит],Щиты[_фазы авто]),";"&amp;AW75&amp;":"),";"),"L1"))))</f>
        <v>L3</v>
      </c>
      <c r="FE75" t="str">
        <f t="shared" si="190"/>
        <v>L3</v>
      </c>
      <c r="FF75" t="str">
        <f t="shared" si="191"/>
        <v>L3</v>
      </c>
      <c r="FG75" cm="1">
        <f t="array" ref="FG75">IFERROR(IF(BX75=2,_xlfn.IFS(BR75=3,VLOOKUP(BN75,Справочная_двигатели,3,FALSE),BR75=1,VLOOKUP(BN75,Справочная_двигатели,5,TRUE)),0),0)</f>
        <v>0</v>
      </c>
      <c r="FH75">
        <f>IFERROR(IF(BX75=3,VLOOKUP(BN75,Справочная_ЛЭД,2,TRUE),0),0)</f>
        <v>0</v>
      </c>
      <c r="FI75" s="6">
        <f t="shared" si="192"/>
        <v>0</v>
      </c>
      <c r="FJ75" t="str" cm="1">
        <f t="array" ref="FJ75">IF(B75="","",IFERROR(INDEX({"I особая","I","II","III"},MATCH(TRIM(AC75&amp;""),{"I особая","I","II","III"},0)),"III"))</f>
        <v>II</v>
      </c>
      <c r="FK75" t="str">
        <f>IF(B75="","",IF(TRIM(AD75&amp;"")&lt;&gt;"",IF(LOWER(TRIM(AD75&amp;""))="да","да","нет"),IF(IFERROR(_xlfn.XLOOKUP(AX75,Коды_код,Коды_пожарная),"")="да","да","нет")))</f>
        <v>нет</v>
      </c>
      <c r="FL75" t="str">
        <f t="shared" si="193"/>
        <v/>
      </c>
      <c r="FM75" t="str">
        <f t="shared" si="194"/>
        <v>основная</v>
      </c>
      <c r="FN75">
        <f t="shared" si="195"/>
        <v>1</v>
      </c>
      <c r="FO75" t="str" cm="1">
        <f t="array" ref="FO75">IF(B75="","",_xlfn.LET(_xlpm.t,IFERROR(_xlfn.XLOOKUP(1,(Шины[Шина]=FM75)*(((Шины[Щит]=A75)+(Шины[Щит]=""))&gt;0),Шины[Тип]),"")&amp;"",IF(_xlpm.t&lt;&gt;"",_xlpm.t,IF(ISNUMBER(SEARCH("ИБП",FM75)),"ИБП",IF(ISNUMBER(SEARCH("ДГУ",FM75)),"ДГУ","Ввод "&amp;FN75)))))</f>
        <v>Ввод 1</v>
      </c>
      <c r="FP75" t="str">
        <f t="shared" si="196"/>
        <v>Ввод 1</v>
      </c>
      <c r="FQ75" t="str">
        <f>IF(B75="","",IF(OR(FO75="ИБП",FO75="ДГУ"),"I особая",IF(FO75="Одиночная","III",_xlfn.XLOOKUP(A75,Щиты[Щит],Щиты[Категория шины «Ввод»],"III"))))</f>
        <v>II</v>
      </c>
      <c r="FR75">
        <f>IF(B75="",0,IFERROR(MATCH(FJ75,{"III","II","I","I особая"},0),1))</f>
        <v>2</v>
      </c>
      <c r="FS75">
        <f t="shared" si="197"/>
        <v>2</v>
      </c>
      <c r="FT75" t="str">
        <f>IF(B75="","",IF(FR75&gt;IFERROR(MATCH(FQ75,{"III","II","I","I особая"},0),1),"НЕ ОБЕСПЕЧЕНА","ОК"))</f>
        <v>ОК</v>
      </c>
      <c r="FU75" t="str">
        <f>IF(A75="","",_xlfn.XLOOKUP(A75,Щиты[Щит],Щиты[Путь],""))</f>
        <v>|ГРЩ-ЖД|ЩОВ-001|</v>
      </c>
      <c r="FV75" t="str">
        <f>IF(B75="","",IF(AE75&lt;&gt;"",AE75,IF(IFERROR(_xlfn.XLOOKUP(AX75,Коды_код,Коды_вид)&amp;"","")="","Прочее",_xlfn.XLOOKUP(AX75,Коды_код,Коды_вид)&amp;"")))</f>
        <v>Кондиционирование и увлажнение</v>
      </c>
      <c r="FW75">
        <f>IF(BH75="","",INT((BH75-1)/Столбцов_на_лист)+1)</f>
        <v>3</v>
      </c>
      <c r="FX75" t="str">
        <f t="shared" si="198"/>
        <v>ВВГнг(А)-LS (3х2,5) L=35-2,27%</v>
      </c>
      <c r="FY75">
        <f t="shared" si="199"/>
        <v>1.9</v>
      </c>
      <c r="FZ75">
        <f t="shared" si="200"/>
        <v>10.29</v>
      </c>
      <c r="GA75">
        <f t="shared" si="201"/>
        <v>1</v>
      </c>
      <c r="GB75">
        <f t="shared" si="202"/>
        <v>0</v>
      </c>
      <c r="GC75">
        <f t="shared" si="203"/>
        <v>1</v>
      </c>
      <c r="GD75">
        <f>IF(BH75="","",IF(AND(CA75=1,GC75=1),COUNTIFS(A$3:A75,A75,CA$3:CA75,1,GC$3:GC75,1),IF(OR(OR(AW75=1,A75&lt;&gt;A74),AF75="вручную",GC75=0),"",IF(AW75=1,"",GE74))))</f>
        <v>22</v>
      </c>
      <c r="GE75">
        <f t="shared" si="204"/>
        <v>22</v>
      </c>
      <c r="GF75">
        <f>IF(B75="","",IFERROR(LOOKUP(INDEX(CHOOSE(DL75,Iдоп_1ж,Iдоп_2ж,Iдоп_3ж),MATCH(DX75,Iдоп_S,0))*DJ75*DK75,{6,10,16,20,25,32,40,50,63,80,100,125,160,200,250,315,400,500,630}),""))</f>
        <v>25</v>
      </c>
      <c r="GG75" t="str">
        <f t="shared" si="205"/>
        <v>QF22</v>
      </c>
      <c r="GH75" t="str">
        <f t="shared" si="206"/>
        <v>QF22</v>
      </c>
      <c r="GI75" t="str">
        <f t="shared" si="207"/>
        <v/>
      </c>
      <c r="GJ75">
        <f t="shared" si="208"/>
        <v>0</v>
      </c>
      <c r="GK75" t="str">
        <f>IF(OR(AG75="",AG75="-"),"",IFERROR(VLOOKUP(AG75,Модули_спр,2,FALSE),"R"))</f>
        <v/>
      </c>
      <c r="GL75" t="str">
        <f>IF(GK75="","",GK75&amp;"."&amp;COUNTIFS(A$3:A75,A75,GK$3:GK75,GK75))</f>
        <v/>
      </c>
      <c r="GM75" t="str">
        <f t="shared" si="209"/>
        <v/>
      </c>
      <c r="GN75" t="str">
        <f t="shared" si="210"/>
        <v/>
      </c>
      <c r="GO75" t="str">
        <f t="shared" si="211"/>
        <v/>
      </c>
      <c r="GP75" t="str">
        <f t="shared" si="212"/>
        <v/>
      </c>
      <c r="GQ75">
        <f t="shared" si="213"/>
        <v>1</v>
      </c>
      <c r="GR75" t="str">
        <f>IF(GQ75=1,"XT"&amp;COUNTIFS(A$3:A75,A75,GQ$3:GQ75,1),"")</f>
        <v>XT22</v>
      </c>
      <c r="GS75" t="str">
        <f t="shared" si="214"/>
        <v/>
      </c>
      <c r="GT75" t="str">
        <f t="shared" si="215"/>
        <v>QF22</v>
      </c>
      <c r="GU75" t="str">
        <f t="shared" si="216"/>
        <v/>
      </c>
      <c r="GV75" t="str">
        <f t="shared" si="217"/>
        <v>ok</v>
      </c>
      <c r="GW75" t="str">
        <f>IF(OR(GO75="",GM75=""),"",IF(GO75&gt;IFERROR(VLOOKUP(GN75,Модули_спр,3,FALSE),99),"ЛИШНИЙ КАНАЛ",IF(AND(AH75&lt;&gt;"=",COUNTIFS(Линии[_модуль гр.],GM75,Линии[Канал (итог)],GO75,Линии[Канал],"&lt;&gt;=",Линии[Щит],A75)&gt;1),"ДУБЛЬ КАНАЛА","")))</f>
        <v/>
      </c>
      <c r="GX75" s="6" t="str">
        <f t="shared" si="218"/>
        <v/>
      </c>
      <c r="GY75">
        <f t="shared" si="219"/>
        <v>10</v>
      </c>
      <c r="GZ75" t="str">
        <f t="shared" si="220"/>
        <v/>
      </c>
      <c r="HA75" t="str">
        <f>IF(AND(B75="",GT75=""),"",_xlfn.TEXTJOIN("; ",TRUE,IF(AND(B75&lt;&gt;"",FE75=""),"нет фазы",""),IF(AND(B75&lt;&gt;"",N(FY75)=0,EQ75&lt;&gt;"Нет"),"нет мощности",""),IF(AND(GS75&lt;&gt;"",COUNTIFS(Линии[Щит],A75,Линии[Клемма (итог)],GS75)&gt;1),"дубль клеммы "&amp;GS75,""),IF(AND(GV75&lt;&gt;"",GV75&lt;&gt;"ok"),GV75,""),IF(GW75&lt;&gt;"",GW75,""),IF(AND(N(BV75)&gt;=4,N(BR75)=1),BV75&amp;" жил на 1 фазе",""),IF(AND(AX75="R",CA75=1,OR(N(CK75)=0,N(CK75)&gt;30)),"розетка без дифзащиты до 30 мА",""),IFERROR(IF(AND(ISNUMBER(R75),R75&gt;DV75),"потери "&amp;FIXED(R75,1)&amp;" % &gt; "&amp;DV75&amp;" %",""),""),IFERROR(IF(LEFT(GZ75,4)="мало","Iкз мало — отключение &gt; 0,4 с",""),""),IF(AND(B75&lt;&gt;"",BH75=""),"не на схеме",""),IF(AND(CA75=0,B75&lt;&gt;"",FE75&lt;&gt;"",IF(AW75=1,"",FF74)&lt;&gt;"",FE75&lt;&gt;IF(AW75=1,"",FF74)),"фаза не как у автомата группы ("&amp;IF(AW75=1,"",FF74)&amp;")","")))</f>
        <v/>
      </c>
      <c r="HB75" s="6">
        <f>IF(OR(CA75=0,DA75=""),"",_xlfn.LET(_xlpm.t,IFERROR(_xlfn.XLOOKUP(DA75,Каталог!$U$4:$U$500,Каталог!$G$4:$G$500),""),_xlpm.k,SEARCH("кА",_xlpm.t),IFERROR(--TRIM(RIGHT(SUBSTITUTE(MID(_xlpm.t,MAX(1,_xlpm.k-4),_xlpm.k-MAX(1,_xlpm.k-4))," ",REPT(" ",9)),5)),"")))</f>
        <v>6</v>
      </c>
      <c r="HC75" t="str">
        <f>IF(OR(HB75="",CA75=0),"",IF(_xlfn.XLOOKUP(A75,Щиты[Щит],Щиты[Iкз max на шинах, кА],"")="","",IF(HB75&lt;_xlfn.XLOOKUP(A75,Щиты[Щит],Щиты[Iкз max на шинах, кА]),"Icu "&amp;HB75&amp;" кА &lt; Iкз max","ok")))</f>
        <v/>
      </c>
      <c r="HD75" t="str">
        <f t="shared" si="221"/>
        <v/>
      </c>
      <c r="HE75" t="str">
        <f t="shared" si="222"/>
        <v>QF22</v>
      </c>
      <c r="HF75" t="str">
        <f t="shared" si="223"/>
        <v>QF22|кабель ВВГнг(А)-LS (3х2,5) → Внешний блок кондиционирования Пом. Венткиосок</v>
      </c>
      <c r="HG75" t="str" cm="1">
        <f t="array" ref="HG75">IF(HF75="","",_xlfn.LET(_xlpm.nd,_xlfn.TEXTSPLIT(HF75,"|"),IF(COLUMNS(_xlpm.nd)&gt;1,A75&amp;"¦"&amp;INDEX(_xlpm.nd,1)&amp;"¦"&amp;INDEX(_xlpm.nd,2),"")))</f>
        <v>ЩОВ-001¦QF22¦кабель ВВГнг(А)-LS (3х2,5) → Внешний блок кондиционирования Пом. Венткиосок</v>
      </c>
      <c r="HH75" t="str">
        <f t="shared" si="224"/>
        <v>K.7¦Внешний блок кондиционирования Пом. Венткиосок</v>
      </c>
      <c r="HI75" t="str" cm="1">
        <f t="array" ref="HI75">IF(HF75="","",_xlfn.LET(_xlpm.nd,_xlfn.TEXTSPLIT(HF75,"|"),IF(COLUMNS(_xlpm.nd)&gt;2,A75&amp;"¦"&amp;INDEX(_xlpm.nd,2)&amp;"¦"&amp;INDEX(_xlpm.nd,3),"")))</f>
        <v/>
      </c>
      <c r="HJ75" t="str">
        <f t="shared" si="225"/>
        <v/>
      </c>
      <c r="HK75" t="str" cm="1">
        <f t="array" ref="HK75">IF(HF75="","",_xlfn.LET(_xlpm.nd,_xlfn.TEXTSPLIT(HF75,"|"),IF(COLUMNS(_xlpm.nd)&gt;3,A75&amp;"¦"&amp;INDEX(_xlpm.nd,3)&amp;"¦"&amp;INDEX(_xlpm.nd,4),"")))</f>
        <v/>
      </c>
      <c r="HL75" t="str">
        <f t="shared" si="226"/>
        <v/>
      </c>
      <c r="HM75" t="str" cm="1">
        <f t="array" ref="HM75">IF(HF75="","",_xlfn.LET(_xlpm.nd,_xlfn.TEXTSPLIT(HF75,"|"),IF(COLUMNS(_xlpm.nd)&gt;4,A75&amp;"¦"&amp;INDEX(_xlpm.nd,4)&amp;"¦"&amp;INDEX(_xlpm.nd,5),"")))</f>
        <v/>
      </c>
      <c r="HN75" t="str">
        <f t="shared" si="227"/>
        <v/>
      </c>
      <c r="HO75" t="str" cm="1">
        <f t="array" ref="HO75">IF(HF75="","",_xlfn.LET(_xlpm.nd,_xlfn.TEXTSPLIT(HF75,"|"),IF(COLUMNS(_xlpm.nd)&gt;5,A75&amp;"¦"&amp;INDEX(_xlpm.nd,5)&amp;"¦"&amp;INDEX(_xlpm.nd,6),"")))</f>
        <v/>
      </c>
      <c r="HP75" t="str">
        <f t="shared" si="228"/>
        <v/>
      </c>
      <c r="HQ75" t="str" cm="1">
        <f t="array" ref="HQ75">IF(HF75="","",_xlfn.LET(_xlpm.nd,_xlfn.TEXTSPLIT(HF75,"|"),IF(COLUMNS(_xlpm.nd)&gt;6,A75&amp;"¦"&amp;INDEX(_xlpm.nd,6)&amp;"¦"&amp;INDEX(_xlpm.nd,7),"")))</f>
        <v/>
      </c>
      <c r="HR75" t="str">
        <f t="shared" si="229"/>
        <v/>
      </c>
      <c r="HS75" t="str">
        <f t="shared" si="230"/>
        <v/>
      </c>
      <c r="HT75" t="str">
        <f t="shared" si="231"/>
        <v>QF22</v>
      </c>
      <c r="HU75">
        <f t="shared" si="232"/>
        <v>0</v>
      </c>
      <c r="HV75">
        <f t="shared" si="233"/>
        <v>0</v>
      </c>
      <c r="HW75" t="str">
        <f t="shared" si="234"/>
        <v/>
      </c>
      <c r="HX75" t="str">
        <f t="shared" si="235"/>
        <v/>
      </c>
      <c r="HY75" t="str">
        <f t="shared" si="236"/>
        <v/>
      </c>
      <c r="HZ75" t="str">
        <f t="shared" si="237"/>
        <v/>
      </c>
      <c r="IA75">
        <f>IF(B75="","",IFERROR(VLOOKUP(B75,УГО_спр,2,FALSE),IFERROR(VLOOKUP(AX75,УГО_спр,2,FALSE),IFERROR(VLOOKUP(LEFT(AX75,2),УГО_спр,2,FALSE),""))))</f>
        <v>0</v>
      </c>
      <c r="IB75" t="str">
        <f>IF(B75="","",IF(OR(IA75="",IA75=0),"BOX",IFERROR(IF(VLOOKUP(IA75,УГО_блоки,3,FALSE)&amp;""&lt;&gt;"",VLOOKUP(IA75,УГО_блоки,3,FALSE),VLOOKUP(IA75,УГО_блоки,2,FALSE)),IA75)))</f>
        <v>BOX</v>
      </c>
      <c r="IC75">
        <f t="shared" si="238"/>
        <v>1</v>
      </c>
      <c r="ID75" t="str">
        <f>IF(DA75="","",IF(COUNTIF(DA$3:DA75,DA75)=1,MAX(ID$2:ID74)+1,""))</f>
        <v/>
      </c>
      <c r="IE75" t="str">
        <f>IF(CO75="","",IF(COUNTIF(CO$3:CO75,CO75)+COUNTIF(CP$2:CP74,CO75)+COUNTIF(CQ$2:CQ74,CO75)=1,MAX(IE$2:IG74)+1,""))</f>
        <v/>
      </c>
      <c r="IF75" t="str">
        <f>IF(CP75="","",IF(COUNTIF(CO$3:CO75,CP75)+COUNTIF(CP$3:CP75,CP75)+COUNTIF(CQ$2:CQ74,CP75)=1,MAX(IE$2:IG74,IE75)+1,""))</f>
        <v/>
      </c>
      <c r="IG75" t="str">
        <f>IF(CQ75="","",IF(COUNTIF(CO$3:CO75,CQ75)+COUNTIF(CP$3:CP75,CQ75)+COUNTIF(CQ$3:CQ75,CQ75)=1,MAX(IE$2:IG74,IE75,IF75)+1,""))</f>
        <v/>
      </c>
      <c r="IH75" t="str">
        <f t="shared" si="239"/>
        <v>3х2,5</v>
      </c>
      <c r="II75" t="str">
        <f>IF(IH75="","",IF(COUNTIF(IH$3:IH75,IH75)=1,MAX(II$2:II74)+1,""))</f>
        <v/>
      </c>
      <c r="IJ75" t="str">
        <f>IF(GL75="","",COUNTIF(GL$3:GL75,"?*"))</f>
        <v/>
      </c>
      <c r="IK75" t="str">
        <f>IF(OR(GL75="",GN75=""),"",IF(COUNTIFS(GL$3:GL75,"?*",GN$3:GN75,GN75)=1,MAX(IK$2:IK74)+1,""))</f>
        <v/>
      </c>
      <c r="IL75">
        <f t="shared" si="240"/>
        <v>0</v>
      </c>
      <c r="IM75">
        <f>IF(B75="","",COUNTIF(B$3:B75,"?*"))</f>
        <v>73</v>
      </c>
      <c r="IN75">
        <f>IF(GQ75&lt;&gt;1,0,_xlfn.LET(_xlpm.k,MAX(IFERROR(--VLOOKUP(B75,УГО_спр,5,FALSE),0),IFERROR(--VLOOKUP(AX75,УГО_спр,5,FALSE),0),IFERROR(--VLOOKUP(LEFT(AX75,2),УГО_спр,5,FALSE),0)),IF(_xlpm.k&gt;0,_xlpm.k,IF(IFERROR(--LEFT(SUBSTITUTE(IH75,"x","х"),FIND("х",SUBSTITUTE(IH75,"x","х"))-1),3)&gt;3,Каталог!$S$9,1))))</f>
        <v>1</v>
      </c>
      <c r="IO75">
        <f t="shared" si="241"/>
        <v>0</v>
      </c>
      <c r="IP75" t="str">
        <f t="shared" si="242"/>
        <v>авто</v>
      </c>
      <c r="IQ75" t="str">
        <f t="shared" si="243"/>
        <v/>
      </c>
      <c r="IR75">
        <f t="shared" si="244"/>
        <v>0</v>
      </c>
      <c r="IS75">
        <f t="shared" si="245"/>
        <v>1</v>
      </c>
    </row>
    <row r="76" spans="1:253" x14ac:dyDescent="0.3">
      <c r="A76" t="s">
        <v>749</v>
      </c>
      <c r="B76" t="s">
        <v>1348</v>
      </c>
      <c r="C76" t="s">
        <v>1619</v>
      </c>
      <c r="D76">
        <v>1</v>
      </c>
      <c r="E76">
        <v>1.9</v>
      </c>
      <c r="G76">
        <v>16</v>
      </c>
      <c r="H76" t="str">
        <f>Линии[[#This Row],[_авто утечка]]</f>
        <v/>
      </c>
      <c r="I76" t="str">
        <f>Линии[[#This Row],[_авто управление]]</f>
        <v/>
      </c>
      <c r="J76" t="str">
        <f>Линии[[#This Row],[_авто аппараты]]</f>
        <v/>
      </c>
      <c r="K76">
        <v>2.5</v>
      </c>
      <c r="L76">
        <v>35</v>
      </c>
      <c r="M76" t="str">
        <f>Линии[[#This Row],[_авто фаза]]</f>
        <v>L1</v>
      </c>
      <c r="N76" t="s">
        <v>486</v>
      </c>
      <c r="O76" t="str">
        <f t="shared" si="123"/>
        <v/>
      </c>
      <c r="P76" s="6" cm="1">
        <f t="array" ref="P76">IF(B76="","",IF(BC76&lt;&gt;"",IFERROR(_xlfn.XLOOKUP(BC76,Щиты[Щит],Щиты[Iр, А]),""),IF(BK76=1,IFERROR(_xlfn.XLOOKUP(A76,Щиты[Щит],Щиты[Iр, А]),""),IFERROR(_xlfn.IFS(BR76=1,BN76/((Uн_лин/SQRT(3))*BY76),BR76=3,BN76/(SQRT(3)*Uн_лин*BY76)),""))))</f>
        <v>10.284051669940206</v>
      </c>
      <c r="Q76" s="7">
        <f>IF(B76="","",IFERROR(IF(VLOOKUP(AX76,Потребители_обозначение,4,FALSE)=1,VLOOKUP(AX76,Потребители_обозначение,3,FALSE)*(D76*2-1)+DS76+VLOOKUP(AZ76,Этаж_обозначение,3,FALSE)+VLOOKUP(AZ76,Этаж_обозначение,4,FALSE),VLOOKUP(AX76,Потребители_обозначение,3,FALSE)*(D76*2-1)+DS76),DS76))</f>
        <v>35</v>
      </c>
      <c r="R76" s="6">
        <f t="shared" si="124"/>
        <v>2.9099999999999997</v>
      </c>
      <c r="S76" t="str">
        <f t="shared" si="125"/>
        <v>ВВГнг(А)-LS (3х2,5)</v>
      </c>
      <c r="T76" t="str">
        <f>IF(BH76="","",IF(BI76="вводной узел","узел ","")&amp;"л."&amp;(INT((BH76-1)/Столбцов_на_лист)+1)&amp;" / "&amp;(MOD(BH76-1,Столбцов_на_лист)+1))</f>
        <v>л.3 / 10</v>
      </c>
      <c r="V76">
        <v>1</v>
      </c>
      <c r="W76">
        <v>230</v>
      </c>
      <c r="X76" t="s">
        <v>600</v>
      </c>
      <c r="Y76">
        <v>0.5</v>
      </c>
      <c r="AC76" t="s">
        <v>815</v>
      </c>
      <c r="AE76" t="s">
        <v>578</v>
      </c>
      <c r="AI76">
        <v>44</v>
      </c>
      <c r="AJ76" t="s">
        <v>11</v>
      </c>
      <c r="AK76">
        <v>3</v>
      </c>
      <c r="AN76">
        <v>31</v>
      </c>
      <c r="AP76">
        <v>1</v>
      </c>
      <c r="AW76" cm="1">
        <f t="array" ref="AW76">ROW()-ROW(Линии[#Headers])</f>
        <v>74</v>
      </c>
      <c r="AX76" s="6" t="str">
        <f t="shared" si="126"/>
        <v>K</v>
      </c>
      <c r="AY76" t="str">
        <f t="shared" si="127"/>
        <v>8</v>
      </c>
      <c r="AZ76" t="str">
        <f t="shared" si="128"/>
        <v>8</v>
      </c>
      <c r="BA76" t="str">
        <f t="shared" si="129"/>
        <v/>
      </c>
      <c r="BB76" t="str">
        <f t="shared" si="130"/>
        <v/>
      </c>
      <c r="BC76" t="str">
        <f>IF(U76&lt;&gt;"",U76,IF(AND(B76&lt;&gt;"",B76&lt;&gt;A76,ISNUMBER(_xlfn.XMATCH(B76,Щиты[Щит]))),B76,""))</f>
        <v/>
      </c>
      <c r="BD76" t="str" cm="1">
        <f t="array" ref="BD76">IF(B76="","",IF(BC76&lt;&gt;"","Щит "&amp;BC76,_xlfn.LET(_xlpm.nm,IFERROR(_xlfn.XLOOKUP(AX76,Коды_код,Коды_имя)&amp;"",""),_xlpm.md,IFERROR(N(_xlfn.XLOOKUP(AX76,Коды_код,Коды_режим)),1),_xlpm.ex,IF(Имя_режим="по экспликации",IFERROR(_xlfn.XLOOKUP(AZ76&amp;"|"&amp;BB76,Экспликация[Этаж]&amp;"|"&amp;Экспликация[Помещение],Экспликация[Название])&amp;"",""),""),_xlpm.rm,IF(BB76="","",IF(_xlpm.ex&lt;&gt;"",". "&amp;_xlpm.ex&amp;IF(Имя_пом="нет"," ("&amp;BB76&amp;")"," (пом. "&amp;BB76&amp;")"),IF(Имя_пом="нет"," ",", пом. ")&amp;BB76)),IF(_xlpm.nm="","",IF(_xlpm.md=2,_xlpm.nm&amp;" шлейф "&amp;AZ76,_xlpm.nm&amp;_xlpm.rm)))))</f>
        <v>Внутренний блок кондиционирования</v>
      </c>
      <c r="BE76" t="str">
        <f t="shared" si="131"/>
        <v>Внешний блок кондиционирования Пом. Венткиосок</v>
      </c>
      <c r="BF76">
        <f>IFERROR(_xlfn.XMATCH(A76,Щиты[Щит]),0)</f>
        <v>4</v>
      </c>
      <c r="BG76">
        <f>_xlfn.LET(_xlpm.k,IFERROR(_xlfn.XLOOKUP(A76,Щиты[Щит],Щиты[Листов под вводной узел]),""),IF(_xlpm.k="",1,N(_xlpm.k))*Столбцов_на_лист)</f>
        <v>17</v>
      </c>
      <c r="BH76">
        <f t="shared" si="132"/>
        <v>44</v>
      </c>
      <c r="BI76" t="str">
        <f t="shared" si="133"/>
        <v>линии</v>
      </c>
      <c r="BJ76" s="6">
        <f>IFERROR(N(_xlfn.XLOOKUP(AX76,Коды_код,Коды_квт)),0)</f>
        <v>0</v>
      </c>
      <c r="BK76">
        <f t="shared" si="134"/>
        <v>0</v>
      </c>
      <c r="BL76" t="str">
        <f>IF(B76="","",IF(BC76&lt;&gt;"",IFERROR(_xlfn.XLOOKUP(BC76,Щиты[Щит],Щиты[Руст, кВт]),0),IF(BK76=1,IFERROR(_xlfn.XLOOKUP(A76,Щиты[Щит],Щиты[Руст, кВт]),0),IF(BJ76&gt;0,ROUND(BJ76*MAX(1,N(D76)),3),""))))</f>
        <v/>
      </c>
      <c r="BM76">
        <f t="shared" si="135"/>
        <v>1.9</v>
      </c>
      <c r="BN76" s="6">
        <f>IF(B76="","",IF(BC76&lt;&gt;"",IFERROR(_xlfn.XLOOKUP(BC76,Щиты[Щит],Щиты[Руст, кВт]),0),N(BM76)))</f>
        <v>1.9</v>
      </c>
      <c r="BO76" t="str">
        <f>IF(B76="","",IFERROR(IF(VLOOKUP(AX76,Потребители_обозначение,8,FALSE)=0,"",VLOOKUP(AX76,Потребители_обозначение,8,FALSE)),""))</f>
        <v/>
      </c>
      <c r="BP76">
        <f t="shared" si="136"/>
        <v>230</v>
      </c>
      <c r="BQ76">
        <f>IF(B76="","",IF(BC76&lt;&gt;"",3,IFERROR(IF(N(VLOOKUP(AX76,Потребители_обозначение,9,FALSE))=0,1,VLOOKUP(AX76,Потребители_обозначение,9,FALSE)),1)))</f>
        <v>1</v>
      </c>
      <c r="BR76">
        <f t="shared" si="137"/>
        <v>1</v>
      </c>
      <c r="BS76" t="str">
        <f>IF(B76="","",_xlfn.LET(_xlpm.bc,IFERROR(IF(VLOOKUP(AX76,Потребители_обозначение,6,FALSE)=0,"",VLOOKUP(AX76,Потребители_обозначение,6,FALSE)&amp;""),""),IF(AND(FK76="да",OR(_xlpm.bc="",_xlpm.bc="мс")),Марка_пож,IF(AND(_xlpm.bc="",BC76&lt;&gt;""),"мс",_xlpm.bc))))</f>
        <v/>
      </c>
      <c r="BT76" t="str">
        <f t="shared" si="138"/>
        <v>мс</v>
      </c>
      <c r="BU76">
        <f>IF(B76="","",_xlfn.LET(_xlpm.cc,IFERROR(N(VLOOKUP(AX76,Потребители_обозначение,7,FALSE)),0),IF(_xlpm.cc&gt;0,_xlpm.cc,IF(BT76="","",IF(N(BR76)=3,5,3)))))</f>
        <v>3</v>
      </c>
      <c r="BV76">
        <f t="shared" si="139"/>
        <v>3</v>
      </c>
      <c r="BW76">
        <f>IFERROR(N(VLOOKUP(AX76,Потребители_обозначение,10,FALSE)),0)</f>
        <v>0</v>
      </c>
      <c r="BX76">
        <f>IFERROR(VLOOKUP(AX76,Потребители_обозначение,5,FALSE),0)</f>
        <v>1</v>
      </c>
      <c r="BY76" s="6" cm="1">
        <f t="array" ref="BY76">IF(B76="","",IF(BC76&lt;&gt;"",IFERROR(_xlfn.XLOOKUP(BC76,Щиты[Щит],Щиты[cos φ]),0.95),IF(BK76=1,IFERROR(_xlfn.XLOOKUP(A76,Щиты[Щит],Щиты[cos φ]),0.95),IF(ISNUMBER(Z76),Z76,IFERROR(IF(BX76=2,_xlfn.IFS(BR76=3,VLOOKUP(BN76,Справочная_двигатели,8,FALSE),BR76=1,VLOOKUP(BN76,Справочная_двигатели,10,TRUE)),IF(AND(Методика="нормы 2026",EQ76="Сил"),0.8,0.95)),0.95)))))</f>
        <v>0.8</v>
      </c>
      <c r="BZ76">
        <f t="shared" si="140"/>
        <v>0</v>
      </c>
      <c r="CA76">
        <f t="shared" si="141"/>
        <v>1</v>
      </c>
      <c r="CB76">
        <f t="shared" si="142"/>
        <v>0</v>
      </c>
      <c r="CC76">
        <f t="shared" si="143"/>
        <v>0</v>
      </c>
      <c r="CD76">
        <f t="shared" si="144"/>
        <v>0</v>
      </c>
      <c r="CE76">
        <f t="shared" si="145"/>
        <v>0</v>
      </c>
      <c r="CF76">
        <f t="shared" si="146"/>
        <v>0</v>
      </c>
      <c r="CG76">
        <f>IF(AX76="",0,_xlfn.LET(_xlpm.v,IFERROR(VLOOKUP(B76,УГО_спр,3,FALSE),IFERROR(VLOOKUP(AX76,УГО_спр,3,FALSE),IFERROR(VLOOKUP(LEFT(AX76,2),УГО_спр,3,FALSE),""))),IF(_xlpm.v="да",30,IF(ISNUMBER(_xlpm.v),_xlpm.v,0))))</f>
        <v>0</v>
      </c>
      <c r="CH76" t="str">
        <f t="shared" si="147"/>
        <v/>
      </c>
      <c r="CI76" t="str">
        <f>_xlfn.LET(_xlpm.k,IFERROR(_xlfn.XLOOKUP(AX76,Коды_код,Коды_утечка)&amp;"",""),IF(_xlpm.k="","дифавтомат",_xlpm.k))</f>
        <v>дифавтомат</v>
      </c>
      <c r="CJ76">
        <f t="shared" si="148"/>
        <v>0</v>
      </c>
      <c r="CK76">
        <f t="shared" si="149"/>
        <v>0</v>
      </c>
      <c r="CL76">
        <f>IF(B76="",0,IFERROR(--VLOOKUP(B76,УГО_спр,4,FALSE),IFERROR(--VLOOKUP(AX76,УГО_спр,4,FALSE),IFERROR(--VLOOKUP(LEFT(AX76,2),УГО_спр,4,FALSE),0))))</f>
        <v>0</v>
      </c>
      <c r="CM76" t="str">
        <f>IF(B76="","",IFERROR(_xlfn.XLOOKUP(AX76,Коды_код,Коды_апп)&amp;"",""))</f>
        <v/>
      </c>
      <c r="CN76" t="str">
        <f t="shared" si="150"/>
        <v/>
      </c>
      <c r="CO76" t="str" cm="1">
        <f t="array" ref="CO76">IF(TRIM(CN76&amp;"")="","",IFERROR(TRIM(INDEX(_xlfn.TEXTSPLIT(CN76&amp;";;;",";"),1)),""))</f>
        <v/>
      </c>
      <c r="CP76" t="str" cm="1">
        <f t="array" ref="CP76">IF(TRIM(CN76&amp;"")="","",IFERROR(TRIM(INDEX(_xlfn.TEXTSPLIT(CN76&amp;";;;",";"),2)),""))</f>
        <v/>
      </c>
      <c r="CQ76" t="str" cm="1">
        <f t="array" ref="CQ76">IF(TRIM(CN76&amp;"")="","",IFERROR(TRIM(INDEX(_xlfn.TEXTSPLIT(CN76&amp;";;;",";"),3)),""))</f>
        <v/>
      </c>
      <c r="CR76">
        <f t="shared" si="151"/>
        <v>0</v>
      </c>
      <c r="CS76" t="str">
        <f>IF(B76="","",_xlfn.LET(_xlpm.t,LOWER(AV76&amp;""),IF(ISNUMBER(SEARCH("dim",_xlpm.t)),"DIM",IF(ISNUMBER(SEARCH("dali",_xlpm.t)),"DALI",IF(OR(ISNUMBER(SEARCH("relay",_xlpm.t)),ISNUMBER(SEARCH("реле",_xlpm.t))),"Relay",IF(ISNUMBER(SEARCH("кнопк",_xlpm.t)),"",IFERROR(_xlfn.XLOOKUP(AX76,Коды_код,Коды_упр)&amp;"","")))))))</f>
        <v/>
      </c>
      <c r="CT76" t="str">
        <f t="shared" si="152"/>
        <v/>
      </c>
      <c r="CU76">
        <f>IF(B76="","",_xlfn.LET(_xlpm.ig,N(P76)+IF(AF76="вручную",0,N(CB76)),_xlpm.n0,IFERROR(VLOOKUP(_xlpm.ig,Автомат_номиналы,2,TRUE),0),_xlpm.mn,MAX(CL76,IF(AF76="вручную",0,N(CE76))),MAX(_xlpm.n0,_xlpm.mn,IF(CR76=1,Мин_автомат_БП,0))))</f>
        <v>16</v>
      </c>
      <c r="CV76">
        <f t="shared" si="153"/>
        <v>1</v>
      </c>
      <c r="CW76" t="str">
        <f t="shared" si="154"/>
        <v>1P</v>
      </c>
      <c r="CX76" t="str">
        <f>_xlfn.LET(_xlpm.cc,UPPER(TRIM(IFERROR(_xlfn.XLOOKUP(AX76,Коды_код,Коды_хар)&amp;"",""))),IF(OR(_xlpm.cc="B",_xlpm.cc="В"),"B",IF(_xlpm.cc="D","D","С")))</f>
        <v>С</v>
      </c>
      <c r="CY76" t="str">
        <f t="shared" si="155"/>
        <v>1P С16А</v>
      </c>
      <c r="CZ76">
        <f t="shared" si="156"/>
        <v>16</v>
      </c>
      <c r="DA76" t="str">
        <f t="shared" si="157"/>
        <v>1P С16А</v>
      </c>
      <c r="DB76" cm="1">
        <f t="array" ref="DB76">IF(DA76="","",_xlfn.LET(_xlpm.t,SUBSTITUTE(SUBSTITUTE(SUBSTITUTE(UPPER(DA76),"С","C"),"А","A"),"В","B"),_xlpm.tk,_xlfn.TEXTSPLIT(_xlpm.t,"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6" t="str">
        <f t="shared" si="158"/>
        <v>ok</v>
      </c>
      <c r="DD76">
        <f t="shared" si="159"/>
        <v>16</v>
      </c>
      <c r="DE76" t="str">
        <f t="shared" si="160"/>
        <v>1P С16А</v>
      </c>
      <c r="DF76">
        <f t="shared" si="161"/>
        <v>0</v>
      </c>
      <c r="DG76">
        <f t="shared" si="162"/>
        <v>0</v>
      </c>
      <c r="DH76">
        <f t="shared" si="163"/>
        <v>0</v>
      </c>
      <c r="DI76">
        <f t="shared" si="164"/>
        <v>10.284051669940206</v>
      </c>
      <c r="DJ76">
        <f t="shared" si="165"/>
        <v>1</v>
      </c>
      <c r="DK76">
        <f>IF(ISNUMBER(AL76),AL76,К_прокл)</f>
        <v>1</v>
      </c>
      <c r="DL76">
        <f t="shared" si="166"/>
        <v>2</v>
      </c>
      <c r="DM76">
        <f>IFERROR(N(VLOOKUP(BT76,Кабель_обозначение,3,FALSE)),1)</f>
        <v>1</v>
      </c>
      <c r="DN76">
        <f>IFERROR(N(_xlfn.XLOOKUP(A76,Щиты[Щит],Щиты[ΔU до шин, %])),0)</f>
        <v>0.64</v>
      </c>
      <c r="DO76" t="str">
        <f>IFERROR(_xlfn.XLOOKUP(A76,Щиты[Щит],Щиты[Zпетли на шинах, Ом]),"")</f>
        <v/>
      </c>
      <c r="DP76">
        <f>IFERROR(N(_xlfn.XLOOKUP(A76,Щиты[Щит],Щиты[ΔU до шин (подбор), %])),0)</f>
        <v>0.75</v>
      </c>
      <c r="DQ76" t="str">
        <f>IFERROR(_xlfn.XLOOKUP(A76,Щиты[Щит],Щиты[Zпетли на шинах (подбор), Ом]),"")</f>
        <v/>
      </c>
      <c r="DR76" t="str">
        <f t="shared" si="167"/>
        <v/>
      </c>
      <c r="DS76">
        <f t="shared" si="168"/>
        <v>35</v>
      </c>
      <c r="DT76">
        <f t="shared" si="169"/>
        <v>2</v>
      </c>
      <c r="DU76">
        <f t="shared" si="170"/>
        <v>0.6</v>
      </c>
      <c r="DV76" s="6">
        <f>IF(B76="","",IF(IFERROR(VLOOKUP(AX76,УГО_спр,2,FALSE),"")="Светильник",3,4)+IF(Методика="нормы 2026",MIN(0.5,MAX(0,N(Q76)-100)*0.005),0))</f>
        <v>4</v>
      </c>
      <c r="DW76" cm="1">
        <f t="array" ref="DW76">IF(OR(B76="",BT76="",DM76&lt;&gt;1),"",_xlfn.LET(_xlpm.sz,Iдоп_S,_xlpm.t_,CHOOSE(DL76,Iдоп_1ж,Iдоп_2ж,Iдоп_3ж)*DJ76*DK76,_xlpm.inn,N(DD76),_xlpm.smin,MAX(1.5,BW76),_xlpm.L_,N(Q76)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76)*(_xlpm.rho*_xlpm.L_/_xlpm.sz*N(BY76)+_xlpm.xx*_xlpm.L_*N(DU76)/1000)*N(P76)/((Uн_лин/SQRT(3))*1000)*100,999),_xlpm.kz,IF(OR(DG76=1,NOT(ISNUMBER(DQ76)),_xlpm.L_=0,_xlpm.inn=0),1,IFERROR(--(c_min*(Uн_лин*1000/SQRT(3))/(DQ76+2*ρкз_Cu*_xlpm.L_/_xlpm.sz)&gt;=GY76*_xlpm.inn),0)),_xlpm.ok,IFERROR((_xlpm.sz&gt;=_xlpm.smin)*(_xlpm.t_&gt;=_xlpm.inn)*IF(_xlpm.L_&gt;0,(_xlpm.du_+DP76&lt;=DV76+0.00001),1)*_xlpm.kz,0),_xlpm.r_,_xlfn._xlws.FILTER(_xlpm.sz,_xlpm.ok,"не подобрано"),INDEX(_xlpm.r_,1)))</f>
        <v>2.5</v>
      </c>
      <c r="DX76">
        <f t="shared" si="171"/>
        <v>2.5</v>
      </c>
      <c r="DY76" cm="1">
        <f t="array" ref="DY76">IF(OR(B76="",BT76="",DM76&lt;&gt;1),"",_xlfn.LET(_xlpm.sz,Iдоп_S,_xlpm.t_,CHOOSE(DL76,Iдоп_1ж,Iдоп_2ж,Iдоп_3ж)*DJ76*DK76,_xlpm.ok,IFERROR((_xlpm.sz&gt;=MAX(1.5,BW76))*(_xlpm.t_&gt;=N(DD76)),0),_xlpm.r_,_xlfn._xlws.FILTER(_xlpm.sz,_xlpm.ok,""),INDEX(_xlpm.r_,1)))</f>
        <v>1.5</v>
      </c>
      <c r="DZ76" s="6" cm="1">
        <f t="array" ref="DZ76">IFERROR(ROUNDUP(N(DT76)*(_xlfn.XLOOKUP(DY76,INDEX(Кабель_сопротивление,0,1),INDEX(Кабель_сопротивление,0,3))*N(Q76)/DY76*N(BY76)+_xlfn.XLOOKUP(DY76,INDEX(Кабель_сопротивление,0,1),INDEX(Кабель_сопротивление,0,2))*N(Q76)*N(DU76)/1000)*N(P76)/((Uн_лин/SQRT(3))*1000)*100,2),"")</f>
        <v>3.7699999999999996</v>
      </c>
      <c r="EA76">
        <f>IFERROR(2*ρкз_Cu*N(Q76)/DY76,"")</f>
        <v>1.2273333333333334</v>
      </c>
      <c r="EB76">
        <f>IFERROR(VLOOKUP(DX76,Кабель_сопротивление,3,FALSE),"")</f>
        <v>2.2499999999999999E-2</v>
      </c>
      <c r="EC76">
        <f>IFERROR(VLOOKUP(DX76,Кабель_сопротивление,2,FALSE),"")</f>
        <v>0.1</v>
      </c>
      <c r="ED76">
        <f t="shared" si="172"/>
        <v>31</v>
      </c>
      <c r="EE76">
        <f t="shared" si="173"/>
        <v>0</v>
      </c>
      <c r="EF76">
        <f t="shared" si="174"/>
        <v>5.2263550586636125</v>
      </c>
      <c r="EG76" s="6">
        <f>IFERROR(ROUNDUP(EF76/((Uн_лин/SQRT(3))*1000)*100,2),"")</f>
        <v>2.2699999999999996</v>
      </c>
      <c r="EH76" t="str">
        <f>IFERROR(VLOOKUP(BT76,Кабель_обозначение,2,FALSE),"")</f>
        <v>ВВГнг(А)-LS</v>
      </c>
      <c r="EI76" t="str">
        <f t="shared" si="175"/>
        <v>ВВГнг(А)-LS (3х2,5)</v>
      </c>
      <c r="EJ76" t="str">
        <f t="shared" si="176"/>
        <v>ВВГнг(А)-LS (3х2,5)
L=35-2,27%</v>
      </c>
      <c r="EK76">
        <f>IFERROR(2*ρкз_Cu*Q76/DX76,"")</f>
        <v>0.73639999999999994</v>
      </c>
      <c r="EL76">
        <f t="shared" si="177"/>
        <v>0.24500000000000002</v>
      </c>
      <c r="EM76" s="6" t="str">
        <f>IFERROR(IF(OR(B76="",NOT(ISNUMBER(DX76)),N(Q76)=0),"",_xlfn.XLOOKUP(A76,Щиты[Щит],Щиты[Zпетли на шинах, Ом])+EK76),"")</f>
        <v/>
      </c>
      <c r="EN76" s="6" t="str">
        <f>IF(ISNUMBER(EM76),c_min*(Uн_лин*1000/SQRT(3))/EM76,"")</f>
        <v/>
      </c>
      <c r="EO76" s="6" t="str">
        <f>IFERROR(IF(OR(B76="",NOT(ISNUMBER(DX76))),"",1.05*(Uн_лин*1000/SQRT(3))/(_xlfn.XLOOKUP(A76,Щиты[Щит],Щиты[Zmax на шинах, Ом])+EL76)/1000),"")</f>
        <v/>
      </c>
      <c r="EP76" s="6" t="str">
        <f>IF(B76="","",IF(ISNUMBER(Y76),"Сил",IF(IFERROR(_xlfn.XLOOKUP(AX76,Коды_код,Коды_группа)&amp;"","")="","Быт",_xlfn.XLOOKUP(AX76,Коды_код,Коды_группа)&amp;"")))</f>
        <v>Сил</v>
      </c>
      <c r="EQ76" s="6" t="str">
        <f t="shared" si="178"/>
        <v>Сил</v>
      </c>
      <c r="ER76" s="6">
        <f>IF(EQ76="Щит","щит",IF(EQ76="","",IF(EQ76="Быт",IFERROR(_xlfn.XLOOKUP(A76,Щиты[Щит],Щиты[Кс быт]),1),IF(EQ76="Сил",IF(ISNUMBER(Y76),Y76,IF(Методика="нормы 2026",IFERROR(_xlfn.XLOOKUP(A76,Щиты[Щит],Щиты[Кс силовых (табл. 7.5)]),1),1)),IF(OR(EQ76="Пост",EQ76="Отоп"),1,IF(EQ76="ВНГ",0.7,0))))))</f>
        <v>0.5</v>
      </c>
      <c r="ES76">
        <f t="shared" si="179"/>
        <v>1</v>
      </c>
      <c r="ET76">
        <f t="shared" si="180"/>
        <v>1.9</v>
      </c>
      <c r="EU76">
        <f t="shared" si="181"/>
        <v>0</v>
      </c>
      <c r="EV76">
        <f t="shared" si="182"/>
        <v>0.95</v>
      </c>
      <c r="EW76">
        <f t="shared" si="183"/>
        <v>0</v>
      </c>
      <c r="EX76">
        <f t="shared" si="184"/>
        <v>0</v>
      </c>
      <c r="EY76">
        <f t="shared" si="185"/>
        <v>0</v>
      </c>
      <c r="EZ76">
        <f t="shared" si="186"/>
        <v>1.9</v>
      </c>
      <c r="FA76">
        <f t="shared" si="187"/>
        <v>1.52</v>
      </c>
      <c r="FB76">
        <f t="shared" si="188"/>
        <v>1.9</v>
      </c>
      <c r="FC76" t="str">
        <f t="shared" si="189"/>
        <v/>
      </c>
      <c r="FD76" t="str">
        <f>IF(B76="","",IF(CA76=0,IF(AW76=1,"",FF75),IF(OR(N(CV76)&gt;=3,N(BR76)&gt;=3),"L1,L2,L3",IFERROR(_xlfn.TEXTBEFORE(_xlfn.TEXTAFTER(_xlfn.XLOOKUP(A76,Щиты[Щит],Щиты[_фазы авто]),";"&amp;AW76&amp;":"),";"),"L1"))))</f>
        <v>L1</v>
      </c>
      <c r="FE76" t="str">
        <f t="shared" si="190"/>
        <v>L1</v>
      </c>
      <c r="FF76" t="str">
        <f t="shared" si="191"/>
        <v>L1</v>
      </c>
      <c r="FG76" cm="1">
        <f t="array" ref="FG76">IFERROR(IF(BX76=2,_xlfn.IFS(BR76=3,VLOOKUP(BN76,Справочная_двигатели,3,FALSE),BR76=1,VLOOKUP(BN76,Справочная_двигатели,5,TRUE)),0),0)</f>
        <v>0</v>
      </c>
      <c r="FH76">
        <f>IFERROR(IF(BX76=3,VLOOKUP(BN76,Справочная_ЛЭД,2,TRUE),0),0)</f>
        <v>0</v>
      </c>
      <c r="FI76" s="6">
        <f t="shared" si="192"/>
        <v>0</v>
      </c>
      <c r="FJ76" t="str" cm="1">
        <f t="array" ref="FJ76">IF(B76="","",IFERROR(INDEX({"I особая","I","II","III"},MATCH(TRIM(AC76&amp;""),{"I особая","I","II","III"},0)),"III"))</f>
        <v>II</v>
      </c>
      <c r="FK76" t="str">
        <f>IF(B76="","",IF(TRIM(AD76&amp;"")&lt;&gt;"",IF(LOWER(TRIM(AD76&amp;""))="да","да","нет"),IF(IFERROR(_xlfn.XLOOKUP(AX76,Коды_код,Коды_пожарная),"")="да","да","нет")))</f>
        <v>нет</v>
      </c>
      <c r="FL76" t="str">
        <f t="shared" si="193"/>
        <v/>
      </c>
      <c r="FM76" t="str">
        <f t="shared" si="194"/>
        <v>основная</v>
      </c>
      <c r="FN76">
        <f t="shared" si="195"/>
        <v>1</v>
      </c>
      <c r="FO76" t="str" cm="1">
        <f t="array" ref="FO76">IF(B76="","",_xlfn.LET(_xlpm.t,IFERROR(_xlfn.XLOOKUP(1,(Шины[Шина]=FM76)*(((Шины[Щит]=A76)+(Шины[Щит]=""))&gt;0),Шины[Тип]),"")&amp;"",IF(_xlpm.t&lt;&gt;"",_xlpm.t,IF(ISNUMBER(SEARCH("ИБП",FM76)),"ИБП",IF(ISNUMBER(SEARCH("ДГУ",FM76)),"ДГУ","Ввод "&amp;FN76)))))</f>
        <v>Ввод 1</v>
      </c>
      <c r="FP76" t="str">
        <f t="shared" si="196"/>
        <v>Ввод 1</v>
      </c>
      <c r="FQ76" t="str">
        <f>IF(B76="","",IF(OR(FO76="ИБП",FO76="ДГУ"),"I особая",IF(FO76="Одиночная","III",_xlfn.XLOOKUP(A76,Щиты[Щит],Щиты[Категория шины «Ввод»],"III"))))</f>
        <v>II</v>
      </c>
      <c r="FR76">
        <f>IF(B76="",0,IFERROR(MATCH(FJ76,{"III","II","I","I особая"},0),1))</f>
        <v>2</v>
      </c>
      <c r="FS76">
        <f t="shared" si="197"/>
        <v>2</v>
      </c>
      <c r="FT76" t="str">
        <f>IF(B76="","",IF(FR76&gt;IFERROR(MATCH(FQ76,{"III","II","I","I особая"},0),1),"НЕ ОБЕСПЕЧЕНА","ОК"))</f>
        <v>ОК</v>
      </c>
      <c r="FU76" t="str">
        <f>IF(A76="","",_xlfn.XLOOKUP(A76,Щиты[Щит],Щиты[Путь],""))</f>
        <v>|ГРЩ-ЖД|ЩОВ-001|</v>
      </c>
      <c r="FV76" t="str">
        <f>IF(B76="","",IF(AE76&lt;&gt;"",AE76,IF(IFERROR(_xlfn.XLOOKUP(AX76,Коды_код,Коды_вид)&amp;"","")="","Прочее",_xlfn.XLOOKUP(AX76,Коды_код,Коды_вид)&amp;"")))</f>
        <v>Кондиционирование и увлажнение</v>
      </c>
      <c r="FW76">
        <f>IF(BH76="","",INT((BH76-1)/Столбцов_на_лист)+1)</f>
        <v>3</v>
      </c>
      <c r="FX76" t="str">
        <f t="shared" si="198"/>
        <v>ВВГнг(А)-LS (3х2,5) L=35-2,27%</v>
      </c>
      <c r="FY76">
        <f t="shared" si="199"/>
        <v>1.9</v>
      </c>
      <c r="FZ76">
        <f t="shared" si="200"/>
        <v>10.29</v>
      </c>
      <c r="GA76">
        <f t="shared" si="201"/>
        <v>1</v>
      </c>
      <c r="GB76">
        <f t="shared" si="202"/>
        <v>0</v>
      </c>
      <c r="GC76">
        <f t="shared" si="203"/>
        <v>1</v>
      </c>
      <c r="GD76">
        <f>IF(BH76="","",IF(AND(CA76=1,GC76=1),COUNTIFS(A$3:A76,A76,CA$3:CA76,1,GC$3:GC76,1),IF(OR(OR(AW76=1,A76&lt;&gt;A75),AF76="вручную",GC76=0),"",IF(AW76=1,"",GE75))))</f>
        <v>23</v>
      </c>
      <c r="GE76">
        <f t="shared" si="204"/>
        <v>23</v>
      </c>
      <c r="GF76">
        <f>IF(B76="","",IFERROR(LOOKUP(INDEX(CHOOSE(DL76,Iдоп_1ж,Iдоп_2ж,Iдоп_3ж),MATCH(DX76,Iдоп_S,0))*DJ76*DK76,{6,10,16,20,25,32,40,50,63,80,100,125,160,200,250,315,400,500,630}),""))</f>
        <v>25</v>
      </c>
      <c r="GG76" t="str">
        <f t="shared" si="205"/>
        <v>QF23</v>
      </c>
      <c r="GH76" t="str">
        <f t="shared" si="206"/>
        <v>QF23</v>
      </c>
      <c r="GI76" t="str">
        <f t="shared" si="207"/>
        <v/>
      </c>
      <c r="GJ76">
        <f t="shared" si="208"/>
        <v>0</v>
      </c>
      <c r="GK76" t="str">
        <f>IF(OR(AG76="",AG76="-"),"",IFERROR(VLOOKUP(AG76,Модули_спр,2,FALSE),"R"))</f>
        <v/>
      </c>
      <c r="GL76" t="str">
        <f>IF(GK76="","",GK76&amp;"."&amp;COUNTIFS(A$3:A76,A76,GK$3:GK76,GK76))</f>
        <v/>
      </c>
      <c r="GM76" t="str">
        <f t="shared" si="209"/>
        <v/>
      </c>
      <c r="GN76" t="str">
        <f t="shared" si="210"/>
        <v/>
      </c>
      <c r="GO76" t="str">
        <f t="shared" si="211"/>
        <v/>
      </c>
      <c r="GP76" t="str">
        <f t="shared" si="212"/>
        <v/>
      </c>
      <c r="GQ76">
        <f t="shared" si="213"/>
        <v>1</v>
      </c>
      <c r="GR76" t="str">
        <f>IF(GQ76=1,"XT"&amp;COUNTIFS(A$3:A76,A76,GQ$3:GQ76,1),"")</f>
        <v>XT23</v>
      </c>
      <c r="GS76" t="str">
        <f t="shared" si="214"/>
        <v/>
      </c>
      <c r="GT76" t="str">
        <f t="shared" si="215"/>
        <v>QF23</v>
      </c>
      <c r="GU76" t="str">
        <f t="shared" si="216"/>
        <v/>
      </c>
      <c r="GV76" t="str">
        <f t="shared" si="217"/>
        <v>ok</v>
      </c>
      <c r="GW76" t="str">
        <f>IF(OR(GO76="",GM76=""),"",IF(GO76&gt;IFERROR(VLOOKUP(GN76,Модули_спр,3,FALSE),99),"ЛИШНИЙ КАНАЛ",IF(AND(AH76&lt;&gt;"=",COUNTIFS(Линии[_модуль гр.],GM76,Линии[Канал (итог)],GO76,Линии[Канал],"&lt;&gt;=",Линии[Щит],A76)&gt;1),"ДУБЛЬ КАНАЛА","")))</f>
        <v/>
      </c>
      <c r="GX76" s="6" t="str">
        <f t="shared" si="218"/>
        <v/>
      </c>
      <c r="GY76">
        <f t="shared" si="219"/>
        <v>10</v>
      </c>
      <c r="GZ76" t="str">
        <f t="shared" si="220"/>
        <v/>
      </c>
      <c r="HA76" t="str">
        <f>IF(AND(B76="",GT76=""),"",_xlfn.TEXTJOIN("; ",TRUE,IF(AND(B76&lt;&gt;"",FE76=""),"нет фазы",""),IF(AND(B76&lt;&gt;"",N(FY76)=0,EQ76&lt;&gt;"Нет"),"нет мощности",""),IF(AND(GS76&lt;&gt;"",COUNTIFS(Линии[Щит],A76,Линии[Клемма (итог)],GS76)&gt;1),"дубль клеммы "&amp;GS76,""),IF(AND(GV76&lt;&gt;"",GV76&lt;&gt;"ok"),GV76,""),IF(GW76&lt;&gt;"",GW76,""),IF(AND(N(BV76)&gt;=4,N(BR76)=1),BV76&amp;" жил на 1 фазе",""),IF(AND(AX76="R",CA76=1,OR(N(CK76)=0,N(CK76)&gt;30)),"розетка без дифзащиты до 30 мА",""),IFERROR(IF(AND(ISNUMBER(R76),R76&gt;DV76),"потери "&amp;FIXED(R76,1)&amp;" % &gt; "&amp;DV76&amp;" %",""),""),IFERROR(IF(LEFT(GZ76,4)="мало","Iкз мало — отключение &gt; 0,4 с",""),""),IF(AND(B76&lt;&gt;"",BH76=""),"не на схеме",""),IF(AND(CA76=0,B76&lt;&gt;"",FE76&lt;&gt;"",IF(AW76=1,"",FF75)&lt;&gt;"",FE76&lt;&gt;IF(AW76=1,"",FF75)),"фаза не как у автомата группы ("&amp;IF(AW76=1,"",FF75)&amp;")","")))</f>
        <v/>
      </c>
      <c r="HB76" s="6">
        <f>IF(OR(CA76=0,DA76=""),"",_xlfn.LET(_xlpm.t,IFERROR(_xlfn.XLOOKUP(DA76,Каталог!$U$4:$U$500,Каталог!$G$4:$G$500),""),_xlpm.k,SEARCH("кА",_xlpm.t),IFERROR(--TRIM(RIGHT(SUBSTITUTE(MID(_xlpm.t,MAX(1,_xlpm.k-4),_xlpm.k-MAX(1,_xlpm.k-4))," ",REPT(" ",9)),5)),"")))</f>
        <v>6</v>
      </c>
      <c r="HC76" t="str">
        <f>IF(OR(HB76="",CA76=0),"",IF(_xlfn.XLOOKUP(A76,Щиты[Щит],Щиты[Iкз max на шинах, кА],"")="","",IF(HB76&lt;_xlfn.XLOOKUP(A76,Щиты[Щит],Щиты[Iкз max на шинах, кА]),"Icu "&amp;HB76&amp;" кА &lt; Iкз max","ok")))</f>
        <v/>
      </c>
      <c r="HD76" t="str">
        <f t="shared" si="221"/>
        <v/>
      </c>
      <c r="HE76" t="str">
        <f t="shared" si="222"/>
        <v>QF23</v>
      </c>
      <c r="HF76" t="str">
        <f t="shared" si="223"/>
        <v>QF23|кабель ВВГнг(А)-LS (3х2,5) → Внешний блок кондиционирования Пом. Венткиосок</v>
      </c>
      <c r="HG76" t="str" cm="1">
        <f t="array" ref="HG76">IF(HF76="","",_xlfn.LET(_xlpm.nd,_xlfn.TEXTSPLIT(HF76,"|"),IF(COLUMNS(_xlpm.nd)&gt;1,A76&amp;"¦"&amp;INDEX(_xlpm.nd,1)&amp;"¦"&amp;INDEX(_xlpm.nd,2),"")))</f>
        <v>ЩОВ-001¦QF23¦кабель ВВГнг(А)-LS (3х2,5) → Внешний блок кондиционирования Пом. Венткиосок</v>
      </c>
      <c r="HH76" t="str">
        <f t="shared" si="224"/>
        <v>K.8¦Внешний блок кондиционирования Пом. Венткиосок</v>
      </c>
      <c r="HI76" t="str" cm="1">
        <f t="array" ref="HI76">IF(HF76="","",_xlfn.LET(_xlpm.nd,_xlfn.TEXTSPLIT(HF76,"|"),IF(COLUMNS(_xlpm.nd)&gt;2,A76&amp;"¦"&amp;INDEX(_xlpm.nd,2)&amp;"¦"&amp;INDEX(_xlpm.nd,3),"")))</f>
        <v/>
      </c>
      <c r="HJ76" t="str">
        <f t="shared" si="225"/>
        <v/>
      </c>
      <c r="HK76" t="str" cm="1">
        <f t="array" ref="HK76">IF(HF76="","",_xlfn.LET(_xlpm.nd,_xlfn.TEXTSPLIT(HF76,"|"),IF(COLUMNS(_xlpm.nd)&gt;3,A76&amp;"¦"&amp;INDEX(_xlpm.nd,3)&amp;"¦"&amp;INDEX(_xlpm.nd,4),"")))</f>
        <v/>
      </c>
      <c r="HL76" t="str">
        <f t="shared" si="226"/>
        <v/>
      </c>
      <c r="HM76" t="str" cm="1">
        <f t="array" ref="HM76">IF(HF76="","",_xlfn.LET(_xlpm.nd,_xlfn.TEXTSPLIT(HF76,"|"),IF(COLUMNS(_xlpm.nd)&gt;4,A76&amp;"¦"&amp;INDEX(_xlpm.nd,4)&amp;"¦"&amp;INDEX(_xlpm.nd,5),"")))</f>
        <v/>
      </c>
      <c r="HN76" t="str">
        <f t="shared" si="227"/>
        <v/>
      </c>
      <c r="HO76" t="str" cm="1">
        <f t="array" ref="HO76">IF(HF76="","",_xlfn.LET(_xlpm.nd,_xlfn.TEXTSPLIT(HF76,"|"),IF(COLUMNS(_xlpm.nd)&gt;5,A76&amp;"¦"&amp;INDEX(_xlpm.nd,5)&amp;"¦"&amp;INDEX(_xlpm.nd,6),"")))</f>
        <v/>
      </c>
      <c r="HP76" t="str">
        <f t="shared" si="228"/>
        <v/>
      </c>
      <c r="HQ76" t="str" cm="1">
        <f t="array" ref="HQ76">IF(HF76="","",_xlfn.LET(_xlpm.nd,_xlfn.TEXTSPLIT(HF76,"|"),IF(COLUMNS(_xlpm.nd)&gt;6,A76&amp;"¦"&amp;INDEX(_xlpm.nd,6)&amp;"¦"&amp;INDEX(_xlpm.nd,7),"")))</f>
        <v/>
      </c>
      <c r="HR76" t="str">
        <f t="shared" si="229"/>
        <v/>
      </c>
      <c r="HS76" t="str">
        <f t="shared" si="230"/>
        <v/>
      </c>
      <c r="HT76" t="str">
        <f t="shared" si="231"/>
        <v>QF23</v>
      </c>
      <c r="HU76">
        <f t="shared" si="232"/>
        <v>0</v>
      </c>
      <c r="HV76">
        <f t="shared" si="233"/>
        <v>0</v>
      </c>
      <c r="HW76" t="str">
        <f t="shared" si="234"/>
        <v/>
      </c>
      <c r="HX76" t="str">
        <f t="shared" si="235"/>
        <v/>
      </c>
      <c r="HY76" t="str">
        <f t="shared" si="236"/>
        <v/>
      </c>
      <c r="HZ76" t="str">
        <f t="shared" si="237"/>
        <v/>
      </c>
      <c r="IA76">
        <f>IF(B76="","",IFERROR(VLOOKUP(B76,УГО_спр,2,FALSE),IFERROR(VLOOKUP(AX76,УГО_спр,2,FALSE),IFERROR(VLOOKUP(LEFT(AX76,2),УГО_спр,2,FALSE),""))))</f>
        <v>0</v>
      </c>
      <c r="IB76" t="str">
        <f>IF(B76="","",IF(OR(IA76="",IA76=0),"BOX",IFERROR(IF(VLOOKUP(IA76,УГО_блоки,3,FALSE)&amp;""&lt;&gt;"",VLOOKUP(IA76,УГО_блоки,3,FALSE),VLOOKUP(IA76,УГО_блоки,2,FALSE)),IA76)))</f>
        <v>BOX</v>
      </c>
      <c r="IC76">
        <f t="shared" si="238"/>
        <v>1</v>
      </c>
      <c r="ID76" t="str">
        <f>IF(DA76="","",IF(COUNTIF(DA$3:DA76,DA76)=1,MAX(ID$2:ID75)+1,""))</f>
        <v/>
      </c>
      <c r="IE76" t="str">
        <f>IF(CO76="","",IF(COUNTIF(CO$3:CO76,CO76)+COUNTIF(CP$2:CP75,CO76)+COUNTIF(CQ$2:CQ75,CO76)=1,MAX(IE$2:IG75)+1,""))</f>
        <v/>
      </c>
      <c r="IF76" t="str">
        <f>IF(CP76="","",IF(COUNTIF(CO$3:CO76,CP76)+COUNTIF(CP$3:CP76,CP76)+COUNTIF(CQ$2:CQ75,CP76)=1,MAX(IE$2:IG75,IE76)+1,""))</f>
        <v/>
      </c>
      <c r="IG76" t="str">
        <f>IF(CQ76="","",IF(COUNTIF(CO$3:CO76,CQ76)+COUNTIF(CP$3:CP76,CQ76)+COUNTIF(CQ$3:CQ76,CQ76)=1,MAX(IE$2:IG75,IE76,IF76)+1,""))</f>
        <v/>
      </c>
      <c r="IH76" t="str">
        <f t="shared" si="239"/>
        <v>3х2,5</v>
      </c>
      <c r="II76" t="str">
        <f>IF(IH76="","",IF(COUNTIF(IH$3:IH76,IH76)=1,MAX(II$2:II75)+1,""))</f>
        <v/>
      </c>
      <c r="IJ76" t="str">
        <f>IF(GL76="","",COUNTIF(GL$3:GL76,"?*"))</f>
        <v/>
      </c>
      <c r="IK76" t="str">
        <f>IF(OR(GL76="",GN76=""),"",IF(COUNTIFS(GL$3:GL76,"?*",GN$3:GN76,GN76)=1,MAX(IK$2:IK75)+1,""))</f>
        <v/>
      </c>
      <c r="IL76">
        <f t="shared" si="240"/>
        <v>0</v>
      </c>
      <c r="IM76">
        <f>IF(B76="","",COUNTIF(B$3:B76,"?*"))</f>
        <v>74</v>
      </c>
      <c r="IN76">
        <f>IF(GQ76&lt;&gt;1,0,_xlfn.LET(_xlpm.k,MAX(IFERROR(--VLOOKUP(B76,УГО_спр,5,FALSE),0),IFERROR(--VLOOKUP(AX76,УГО_спр,5,FALSE),0),IFERROR(--VLOOKUP(LEFT(AX76,2),УГО_спр,5,FALSE),0)),IF(_xlpm.k&gt;0,_xlpm.k,IF(IFERROR(--LEFT(SUBSTITUTE(IH76,"x","х"),FIND("х",SUBSTITUTE(IH76,"x","х"))-1),3)&gt;3,Каталог!$S$9,1))))</f>
        <v>1</v>
      </c>
      <c r="IO76">
        <f t="shared" si="241"/>
        <v>0</v>
      </c>
      <c r="IP76" t="str">
        <f t="shared" si="242"/>
        <v>авто</v>
      </c>
      <c r="IQ76" t="str">
        <f t="shared" si="243"/>
        <v/>
      </c>
      <c r="IR76">
        <f t="shared" si="244"/>
        <v>0</v>
      </c>
      <c r="IS76">
        <f t="shared" si="245"/>
        <v>1</v>
      </c>
    </row>
    <row r="77" spans="1:253" x14ac:dyDescent="0.3">
      <c r="A77" t="s">
        <v>749</v>
      </c>
      <c r="B77" t="s">
        <v>1349</v>
      </c>
      <c r="C77" t="s">
        <v>1619</v>
      </c>
      <c r="D77">
        <v>1</v>
      </c>
      <c r="E77">
        <v>1.9</v>
      </c>
      <c r="G77">
        <v>16</v>
      </c>
      <c r="H77" t="str">
        <f>Линии[[#This Row],[_авто утечка]]</f>
        <v/>
      </c>
      <c r="I77" t="str">
        <f>Линии[[#This Row],[_авто управление]]</f>
        <v/>
      </c>
      <c r="J77" t="str">
        <f>Линии[[#This Row],[_авто аппараты]]</f>
        <v/>
      </c>
      <c r="K77">
        <v>2.5</v>
      </c>
      <c r="L77">
        <v>32</v>
      </c>
      <c r="M77" t="str">
        <f>Линии[[#This Row],[_авто фаза]]</f>
        <v>L2</v>
      </c>
      <c r="N77" t="s">
        <v>486</v>
      </c>
      <c r="O77" t="str">
        <f t="shared" si="123"/>
        <v/>
      </c>
      <c r="P77" s="6" cm="1">
        <f t="array" ref="P77">IF(B77="","",IF(BC77&lt;&gt;"",IFERROR(_xlfn.XLOOKUP(BC77,Щиты[Щит],Щиты[Iр, А]),""),IF(BK77=1,IFERROR(_xlfn.XLOOKUP(A77,Щиты[Щит],Щиты[Iр, А]),""),IFERROR(_xlfn.IFS(BR77=1,BN77/((Uн_лин/SQRT(3))*BY77),BR77=3,BN77/(SQRT(3)*Uн_лин*BY77)),""))))</f>
        <v>10.284051669940206</v>
      </c>
      <c r="Q77" s="7">
        <f>IF(B77="","",IFERROR(IF(VLOOKUP(AX77,Потребители_обозначение,4,FALSE)=1,VLOOKUP(AX77,Потребители_обозначение,3,FALSE)*(D77*2-1)+DS77+VLOOKUP(AZ77,Этаж_обозначение,3,FALSE)+VLOOKUP(AZ77,Этаж_обозначение,4,FALSE),VLOOKUP(AX77,Потребители_обозначение,3,FALSE)*(D77*2-1)+DS77),DS77))</f>
        <v>32</v>
      </c>
      <c r="R77" s="6">
        <f t="shared" si="124"/>
        <v>2.71</v>
      </c>
      <c r="S77" t="str">
        <f t="shared" si="125"/>
        <v>ВВГнг(А)-LS (3х2,5)</v>
      </c>
      <c r="T77" t="str">
        <f>IF(BH77="","",IF(BI77="вводной узел","узел ","")&amp;"л."&amp;(INT((BH77-1)/Столбцов_на_лист)+1)&amp;" / "&amp;(MOD(BH77-1,Столбцов_на_лист)+1))</f>
        <v>л.3 / 11</v>
      </c>
      <c r="V77">
        <v>1</v>
      </c>
      <c r="W77">
        <v>230</v>
      </c>
      <c r="X77" t="s">
        <v>600</v>
      </c>
      <c r="Y77">
        <v>0.5</v>
      </c>
      <c r="AC77" t="s">
        <v>815</v>
      </c>
      <c r="AE77" t="s">
        <v>578</v>
      </c>
      <c r="AI77">
        <v>45</v>
      </c>
      <c r="AJ77" t="s">
        <v>11</v>
      </c>
      <c r="AK77">
        <v>3</v>
      </c>
      <c r="AN77">
        <v>28</v>
      </c>
      <c r="AP77">
        <v>1</v>
      </c>
      <c r="AW77" cm="1">
        <f t="array" ref="AW77">ROW()-ROW(Линии[#Headers])</f>
        <v>75</v>
      </c>
      <c r="AX77" s="6" t="str">
        <f t="shared" si="126"/>
        <v>K</v>
      </c>
      <c r="AY77" t="str">
        <f t="shared" si="127"/>
        <v>9</v>
      </c>
      <c r="AZ77" t="str">
        <f t="shared" si="128"/>
        <v>9</v>
      </c>
      <c r="BA77" t="str">
        <f t="shared" si="129"/>
        <v/>
      </c>
      <c r="BB77" t="str">
        <f t="shared" si="130"/>
        <v/>
      </c>
      <c r="BC77" t="str">
        <f>IF(U77&lt;&gt;"",U77,IF(AND(B77&lt;&gt;"",B77&lt;&gt;A77,ISNUMBER(_xlfn.XMATCH(B77,Щиты[Щит]))),B77,""))</f>
        <v/>
      </c>
      <c r="BD77" t="str" cm="1">
        <f t="array" ref="BD77">IF(B77="","",IF(BC77&lt;&gt;"","Щит "&amp;BC77,_xlfn.LET(_xlpm.nm,IFERROR(_xlfn.XLOOKUP(AX77,Коды_код,Коды_имя)&amp;"",""),_xlpm.md,IFERROR(N(_xlfn.XLOOKUP(AX77,Коды_код,Коды_режим)),1),_xlpm.ex,IF(Имя_режим="по экспликации",IFERROR(_xlfn.XLOOKUP(AZ77&amp;"|"&amp;BB77,Экспликация[Этаж]&amp;"|"&amp;Экспликация[Помещение],Экспликация[Название])&amp;"",""),""),_xlpm.rm,IF(BB77="","",IF(_xlpm.ex&lt;&gt;"",". "&amp;_xlpm.ex&amp;IF(Имя_пом="нет"," ("&amp;BB77&amp;")"," (пом. "&amp;BB77&amp;")"),IF(Имя_пом="нет"," ",", пом. ")&amp;BB77)),IF(_xlpm.nm="","",IF(_xlpm.md=2,_xlpm.nm&amp;" шлейф "&amp;AZ77,_xlpm.nm&amp;_xlpm.rm)))))</f>
        <v>Внутренний блок кондиционирования</v>
      </c>
      <c r="BE77" t="str">
        <f t="shared" si="131"/>
        <v>Внешний блок кондиционирования Пом. Венткиосок</v>
      </c>
      <c r="BF77">
        <f>IFERROR(_xlfn.XMATCH(A77,Щиты[Щит]),0)</f>
        <v>4</v>
      </c>
      <c r="BG77">
        <f>_xlfn.LET(_xlpm.k,IFERROR(_xlfn.XLOOKUP(A77,Щиты[Щит],Щиты[Листов под вводной узел]),""),IF(_xlpm.k="",1,N(_xlpm.k))*Столбцов_на_лист)</f>
        <v>17</v>
      </c>
      <c r="BH77">
        <f t="shared" si="132"/>
        <v>45</v>
      </c>
      <c r="BI77" t="str">
        <f t="shared" si="133"/>
        <v>линии</v>
      </c>
      <c r="BJ77" s="6">
        <f>IFERROR(N(_xlfn.XLOOKUP(AX77,Коды_код,Коды_квт)),0)</f>
        <v>0</v>
      </c>
      <c r="BK77">
        <f t="shared" si="134"/>
        <v>0</v>
      </c>
      <c r="BL77" t="str">
        <f>IF(B77="","",IF(BC77&lt;&gt;"",IFERROR(_xlfn.XLOOKUP(BC77,Щиты[Щит],Щиты[Руст, кВт]),0),IF(BK77=1,IFERROR(_xlfn.XLOOKUP(A77,Щиты[Щит],Щиты[Руст, кВт]),0),IF(BJ77&gt;0,ROUND(BJ77*MAX(1,N(D77)),3),""))))</f>
        <v/>
      </c>
      <c r="BM77">
        <f t="shared" si="135"/>
        <v>1.9</v>
      </c>
      <c r="BN77" s="6">
        <f>IF(B77="","",IF(BC77&lt;&gt;"",IFERROR(_xlfn.XLOOKUP(BC77,Щиты[Щит],Щиты[Руст, кВт]),0),N(BM77)))</f>
        <v>1.9</v>
      </c>
      <c r="BO77" t="str">
        <f>IF(B77="","",IFERROR(IF(VLOOKUP(AX77,Потребители_обозначение,8,FALSE)=0,"",VLOOKUP(AX77,Потребители_обозначение,8,FALSE)),""))</f>
        <v/>
      </c>
      <c r="BP77">
        <f t="shared" si="136"/>
        <v>230</v>
      </c>
      <c r="BQ77">
        <f>IF(B77="","",IF(BC77&lt;&gt;"",3,IFERROR(IF(N(VLOOKUP(AX77,Потребители_обозначение,9,FALSE))=0,1,VLOOKUP(AX77,Потребители_обозначение,9,FALSE)),1)))</f>
        <v>1</v>
      </c>
      <c r="BR77">
        <f t="shared" si="137"/>
        <v>1</v>
      </c>
      <c r="BS77" t="str">
        <f>IF(B77="","",_xlfn.LET(_xlpm.bc,IFERROR(IF(VLOOKUP(AX77,Потребители_обозначение,6,FALSE)=0,"",VLOOKUP(AX77,Потребители_обозначение,6,FALSE)&amp;""),""),IF(AND(FK77="да",OR(_xlpm.bc="",_xlpm.bc="мс")),Марка_пож,IF(AND(_xlpm.bc="",BC77&lt;&gt;""),"мс",_xlpm.bc))))</f>
        <v/>
      </c>
      <c r="BT77" t="str">
        <f t="shared" si="138"/>
        <v>мс</v>
      </c>
      <c r="BU77">
        <f>IF(B77="","",_xlfn.LET(_xlpm.cc,IFERROR(N(VLOOKUP(AX77,Потребители_обозначение,7,FALSE)),0),IF(_xlpm.cc&gt;0,_xlpm.cc,IF(BT77="","",IF(N(BR77)=3,5,3)))))</f>
        <v>3</v>
      </c>
      <c r="BV77">
        <f t="shared" si="139"/>
        <v>3</v>
      </c>
      <c r="BW77">
        <f>IFERROR(N(VLOOKUP(AX77,Потребители_обозначение,10,FALSE)),0)</f>
        <v>0</v>
      </c>
      <c r="BX77">
        <f>IFERROR(VLOOKUP(AX77,Потребители_обозначение,5,FALSE),0)</f>
        <v>1</v>
      </c>
      <c r="BY77" s="6" cm="1">
        <f t="array" ref="BY77">IF(B77="","",IF(BC77&lt;&gt;"",IFERROR(_xlfn.XLOOKUP(BC77,Щиты[Щит],Щиты[cos φ]),0.95),IF(BK77=1,IFERROR(_xlfn.XLOOKUP(A77,Щиты[Щит],Щиты[cos φ]),0.95),IF(ISNUMBER(Z77),Z77,IFERROR(IF(BX77=2,_xlfn.IFS(BR77=3,VLOOKUP(BN77,Справочная_двигатели,8,FALSE),BR77=1,VLOOKUP(BN77,Справочная_двигатели,10,TRUE)),IF(AND(Методика="нормы 2026",EQ77="Сил"),0.8,0.95)),0.95)))))</f>
        <v>0.8</v>
      </c>
      <c r="BZ77">
        <f t="shared" si="140"/>
        <v>0</v>
      </c>
      <c r="CA77">
        <f t="shared" si="141"/>
        <v>1</v>
      </c>
      <c r="CB77">
        <f t="shared" si="142"/>
        <v>0</v>
      </c>
      <c r="CC77">
        <f t="shared" si="143"/>
        <v>0</v>
      </c>
      <c r="CD77">
        <f t="shared" si="144"/>
        <v>0</v>
      </c>
      <c r="CE77">
        <f t="shared" si="145"/>
        <v>0</v>
      </c>
      <c r="CF77">
        <f t="shared" si="146"/>
        <v>0</v>
      </c>
      <c r="CG77">
        <f>IF(AX77="",0,_xlfn.LET(_xlpm.v,IFERROR(VLOOKUP(B77,УГО_спр,3,FALSE),IFERROR(VLOOKUP(AX77,УГО_спр,3,FALSE),IFERROR(VLOOKUP(LEFT(AX77,2),УГО_спр,3,FALSE),""))),IF(_xlpm.v="да",30,IF(ISNUMBER(_xlpm.v),_xlpm.v,0))))</f>
        <v>0</v>
      </c>
      <c r="CH77" t="str">
        <f t="shared" si="147"/>
        <v/>
      </c>
      <c r="CI77" t="str">
        <f>_xlfn.LET(_xlpm.k,IFERROR(_xlfn.XLOOKUP(AX77,Коды_код,Коды_утечка)&amp;"",""),IF(_xlpm.k="","дифавтомат",_xlpm.k))</f>
        <v>дифавтомат</v>
      </c>
      <c r="CJ77">
        <f t="shared" si="148"/>
        <v>0</v>
      </c>
      <c r="CK77">
        <f t="shared" si="149"/>
        <v>0</v>
      </c>
      <c r="CL77">
        <f>IF(B77="",0,IFERROR(--VLOOKUP(B77,УГО_спр,4,FALSE),IFERROR(--VLOOKUP(AX77,УГО_спр,4,FALSE),IFERROR(--VLOOKUP(LEFT(AX77,2),УГО_спр,4,FALSE),0))))</f>
        <v>0</v>
      </c>
      <c r="CM77" t="str">
        <f>IF(B77="","",IFERROR(_xlfn.XLOOKUP(AX77,Коды_код,Коды_апп)&amp;"",""))</f>
        <v/>
      </c>
      <c r="CN77" t="str">
        <f t="shared" si="150"/>
        <v/>
      </c>
      <c r="CO77" t="str" cm="1">
        <f t="array" ref="CO77">IF(TRIM(CN77&amp;"")="","",IFERROR(TRIM(INDEX(_xlfn.TEXTSPLIT(CN77&amp;";;;",";"),1)),""))</f>
        <v/>
      </c>
      <c r="CP77" t="str" cm="1">
        <f t="array" ref="CP77">IF(TRIM(CN77&amp;"")="","",IFERROR(TRIM(INDEX(_xlfn.TEXTSPLIT(CN77&amp;";;;",";"),2)),""))</f>
        <v/>
      </c>
      <c r="CQ77" t="str" cm="1">
        <f t="array" ref="CQ77">IF(TRIM(CN77&amp;"")="","",IFERROR(TRIM(INDEX(_xlfn.TEXTSPLIT(CN77&amp;";;;",";"),3)),""))</f>
        <v/>
      </c>
      <c r="CR77">
        <f t="shared" si="151"/>
        <v>0</v>
      </c>
      <c r="CS77" t="str">
        <f>IF(B77="","",_xlfn.LET(_xlpm.t,LOWER(AV77&amp;""),IF(ISNUMBER(SEARCH("dim",_xlpm.t)),"DIM",IF(ISNUMBER(SEARCH("dali",_xlpm.t)),"DALI",IF(OR(ISNUMBER(SEARCH("relay",_xlpm.t)),ISNUMBER(SEARCH("реле",_xlpm.t))),"Relay",IF(ISNUMBER(SEARCH("кнопк",_xlpm.t)),"",IFERROR(_xlfn.XLOOKUP(AX77,Коды_код,Коды_упр)&amp;"","")))))))</f>
        <v/>
      </c>
      <c r="CT77" t="str">
        <f t="shared" si="152"/>
        <v/>
      </c>
      <c r="CU77">
        <f>IF(B77="","",_xlfn.LET(_xlpm.ig,N(P77)+IF(AF77="вручную",0,N(CB77)),_xlpm.n0,IFERROR(VLOOKUP(_xlpm.ig,Автомат_номиналы,2,TRUE),0),_xlpm.mn,MAX(CL77,IF(AF77="вручную",0,N(CE77))),MAX(_xlpm.n0,_xlpm.mn,IF(CR77=1,Мин_автомат_БП,0))))</f>
        <v>16</v>
      </c>
      <c r="CV77">
        <f t="shared" si="153"/>
        <v>1</v>
      </c>
      <c r="CW77" t="str">
        <f t="shared" si="154"/>
        <v>1P</v>
      </c>
      <c r="CX77" t="str">
        <f>_xlfn.LET(_xlpm.cc,UPPER(TRIM(IFERROR(_xlfn.XLOOKUP(AX77,Коды_код,Коды_хар)&amp;"",""))),IF(OR(_xlpm.cc="B",_xlpm.cc="В"),"B",IF(_xlpm.cc="D","D","С")))</f>
        <v>С</v>
      </c>
      <c r="CY77" t="str">
        <f t="shared" si="155"/>
        <v>1P С16А</v>
      </c>
      <c r="CZ77">
        <f t="shared" si="156"/>
        <v>16</v>
      </c>
      <c r="DA77" t="str">
        <f t="shared" si="157"/>
        <v>1P С16А</v>
      </c>
      <c r="DB77" cm="1">
        <f t="array" ref="DB77">IF(DA77="","",_xlfn.LET(_xlpm.t,SUBSTITUTE(SUBSTITUTE(SUBSTITUTE(UPPER(DA77),"С","C"),"А","A"),"В","B"),_xlpm.tk,_xlfn.TEXTSPLIT(_xlpm.t,"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7" t="str">
        <f t="shared" si="158"/>
        <v>ok</v>
      </c>
      <c r="DD77">
        <f t="shared" si="159"/>
        <v>16</v>
      </c>
      <c r="DE77" t="str">
        <f t="shared" si="160"/>
        <v>1P С16А</v>
      </c>
      <c r="DF77">
        <f t="shared" si="161"/>
        <v>0</v>
      </c>
      <c r="DG77">
        <f t="shared" si="162"/>
        <v>0</v>
      </c>
      <c r="DH77">
        <f t="shared" si="163"/>
        <v>0</v>
      </c>
      <c r="DI77">
        <f t="shared" si="164"/>
        <v>10.284051669940206</v>
      </c>
      <c r="DJ77">
        <f t="shared" si="165"/>
        <v>1</v>
      </c>
      <c r="DK77">
        <f>IF(ISNUMBER(AL77),AL77,К_прокл)</f>
        <v>1</v>
      </c>
      <c r="DL77">
        <f t="shared" si="166"/>
        <v>2</v>
      </c>
      <c r="DM77">
        <f>IFERROR(N(VLOOKUP(BT77,Кабель_обозначение,3,FALSE)),1)</f>
        <v>1</v>
      </c>
      <c r="DN77">
        <f>IFERROR(N(_xlfn.XLOOKUP(A77,Щиты[Щит],Щиты[ΔU до шин, %])),0)</f>
        <v>0.64</v>
      </c>
      <c r="DO77" t="str">
        <f>IFERROR(_xlfn.XLOOKUP(A77,Щиты[Щит],Щиты[Zпетли на шинах, Ом]),"")</f>
        <v/>
      </c>
      <c r="DP77">
        <f>IFERROR(N(_xlfn.XLOOKUP(A77,Щиты[Щит],Щиты[ΔU до шин (подбор), %])),0)</f>
        <v>0.75</v>
      </c>
      <c r="DQ77" t="str">
        <f>IFERROR(_xlfn.XLOOKUP(A77,Щиты[Щит],Щиты[Zпетли на шинах (подбор), Ом]),"")</f>
        <v/>
      </c>
      <c r="DR77" t="str">
        <f t="shared" si="167"/>
        <v/>
      </c>
      <c r="DS77">
        <f t="shared" si="168"/>
        <v>32</v>
      </c>
      <c r="DT77">
        <f t="shared" si="169"/>
        <v>2</v>
      </c>
      <c r="DU77">
        <f t="shared" si="170"/>
        <v>0.6</v>
      </c>
      <c r="DV77" s="6">
        <f>IF(B77="","",IF(IFERROR(VLOOKUP(AX77,УГО_спр,2,FALSE),"")="Светильник",3,4)+IF(Методика="нормы 2026",MIN(0.5,MAX(0,N(Q77)-100)*0.005),0))</f>
        <v>4</v>
      </c>
      <c r="DW77" cm="1">
        <f t="array" ref="DW77">IF(OR(B77="",BT77="",DM77&lt;&gt;1),"",_xlfn.LET(_xlpm.sz,Iдоп_S,_xlpm.t_,CHOOSE(DL77,Iдоп_1ж,Iдоп_2ж,Iдоп_3ж)*DJ77*DK77,_xlpm.inn,N(DD77),_xlpm.smin,MAX(1.5,BW77),_xlpm.L_,N(Q77)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77)*(_xlpm.rho*_xlpm.L_/_xlpm.sz*N(BY77)+_xlpm.xx*_xlpm.L_*N(DU77)/1000)*N(P77)/((Uн_лин/SQRT(3))*1000)*100,999),_xlpm.kz,IF(OR(DG77=1,NOT(ISNUMBER(DQ77)),_xlpm.L_=0,_xlpm.inn=0),1,IFERROR(--(c_min*(Uн_лин*1000/SQRT(3))/(DQ77+2*ρкз_Cu*_xlpm.L_/_xlpm.sz)&gt;=GY77*_xlpm.inn),0)),_xlpm.ok,IFERROR((_xlpm.sz&gt;=_xlpm.smin)*(_xlpm.t_&gt;=_xlpm.inn)*IF(_xlpm.L_&gt;0,(_xlpm.du_+DP77&lt;=DV77+0.00001),1)*_xlpm.kz,0),_xlpm.r_,_xlfn._xlws.FILTER(_xlpm.sz,_xlpm.ok,"не подобрано"),INDEX(_xlpm.r_,1)))</f>
        <v>2.5</v>
      </c>
      <c r="DX77">
        <f t="shared" si="171"/>
        <v>2.5</v>
      </c>
      <c r="DY77" cm="1">
        <f t="array" ref="DY77">IF(OR(B77="",BT77="",DM77&lt;&gt;1),"",_xlfn.LET(_xlpm.sz,Iдоп_S,_xlpm.t_,CHOOSE(DL77,Iдоп_1ж,Iдоп_2ж,Iдоп_3ж)*DJ77*DK77,_xlpm.ok,IFERROR((_xlpm.sz&gt;=MAX(1.5,BW77))*(_xlpm.t_&gt;=N(DD77)),0),_xlpm.r_,_xlfn._xlws.FILTER(_xlpm.sz,_xlpm.ok,""),INDEX(_xlpm.r_,1)))</f>
        <v>1.5</v>
      </c>
      <c r="DZ77" s="6" cm="1">
        <f t="array" ref="DZ77">IFERROR(ROUNDUP(N(DT77)*(_xlfn.XLOOKUP(DY77,INDEX(Кабель_сопротивление,0,1),INDEX(Кабель_сопротивление,0,3))*N(Q77)/DY77*N(BY77)+_xlfn.XLOOKUP(DY77,INDEX(Кабель_сопротивление,0,1),INDEX(Кабель_сопротивление,0,2))*N(Q77)*N(DU77)/1000)*N(P77)/((Uн_лин/SQRT(3))*1000)*100,2),"")</f>
        <v>3.44</v>
      </c>
      <c r="EA77">
        <f>IFERROR(2*ρкз_Cu*N(Q77)/DY77,"")</f>
        <v>1.1221333333333334</v>
      </c>
      <c r="EB77">
        <f>IFERROR(VLOOKUP(DX77,Кабель_сопротивление,3,FALSE),"")</f>
        <v>2.2499999999999999E-2</v>
      </c>
      <c r="EC77">
        <f>IFERROR(VLOOKUP(DX77,Кабель_сопротивление,2,FALSE),"")</f>
        <v>0.1</v>
      </c>
      <c r="ED77">
        <f t="shared" si="172"/>
        <v>28</v>
      </c>
      <c r="EE77">
        <f t="shared" si="173"/>
        <v>0</v>
      </c>
      <c r="EF77">
        <f t="shared" si="174"/>
        <v>4.778381767921017</v>
      </c>
      <c r="EG77" s="6">
        <f>IFERROR(ROUNDUP(EF77/((Uн_лин/SQRT(3))*1000)*100,2),"")</f>
        <v>2.0699999999999998</v>
      </c>
      <c r="EH77" t="str">
        <f>IFERROR(VLOOKUP(BT77,Кабель_обозначение,2,FALSE),"")</f>
        <v>ВВГнг(А)-LS</v>
      </c>
      <c r="EI77" t="str">
        <f t="shared" si="175"/>
        <v>ВВГнг(А)-LS (3х2,5)</v>
      </c>
      <c r="EJ77" t="str">
        <f t="shared" si="176"/>
        <v>ВВГнг(А)-LS (3х2,5)
L=32-2,07%</v>
      </c>
      <c r="EK77">
        <f>IFERROR(2*ρкз_Cu*Q77/DX77,"")</f>
        <v>0.67327999999999999</v>
      </c>
      <c r="EL77">
        <f t="shared" si="177"/>
        <v>0.22400000000000003</v>
      </c>
      <c r="EM77" s="6" t="str">
        <f>IFERROR(IF(OR(B77="",NOT(ISNUMBER(DX77)),N(Q77)=0),"",_xlfn.XLOOKUP(A77,Щиты[Щит],Щиты[Zпетли на шинах, Ом])+EK77),"")</f>
        <v/>
      </c>
      <c r="EN77" s="6" t="str">
        <f>IF(ISNUMBER(EM77),c_min*(Uн_лин*1000/SQRT(3))/EM77,"")</f>
        <v/>
      </c>
      <c r="EO77" s="6" t="str">
        <f>IFERROR(IF(OR(B77="",NOT(ISNUMBER(DX77))),"",1.05*(Uн_лин*1000/SQRT(3))/(_xlfn.XLOOKUP(A77,Щиты[Щит],Щиты[Zmax на шинах, Ом])+EL77)/1000),"")</f>
        <v/>
      </c>
      <c r="EP77" s="6" t="str">
        <f>IF(B77="","",IF(ISNUMBER(Y77),"Сил",IF(IFERROR(_xlfn.XLOOKUP(AX77,Коды_код,Коды_группа)&amp;"","")="","Быт",_xlfn.XLOOKUP(AX77,Коды_код,Коды_группа)&amp;"")))</f>
        <v>Сил</v>
      </c>
      <c r="EQ77" s="6" t="str">
        <f t="shared" si="178"/>
        <v>Сил</v>
      </c>
      <c r="ER77" s="6">
        <f>IF(EQ77="Щит","щит",IF(EQ77="","",IF(EQ77="Быт",IFERROR(_xlfn.XLOOKUP(A77,Щиты[Щит],Щиты[Кс быт]),1),IF(EQ77="Сил",IF(ISNUMBER(Y77),Y77,IF(Методика="нормы 2026",IFERROR(_xlfn.XLOOKUP(A77,Щиты[Щит],Щиты[Кс силовых (табл. 7.5)]),1),1)),IF(OR(EQ77="Пост",EQ77="Отоп"),1,IF(EQ77="ВНГ",0.7,0))))))</f>
        <v>0.5</v>
      </c>
      <c r="ES77">
        <f t="shared" si="179"/>
        <v>1</v>
      </c>
      <c r="ET77">
        <f t="shared" si="180"/>
        <v>1.9</v>
      </c>
      <c r="EU77">
        <f t="shared" si="181"/>
        <v>0</v>
      </c>
      <c r="EV77">
        <f t="shared" si="182"/>
        <v>0.95</v>
      </c>
      <c r="EW77">
        <f t="shared" si="183"/>
        <v>0</v>
      </c>
      <c r="EX77">
        <f t="shared" si="184"/>
        <v>0</v>
      </c>
      <c r="EY77">
        <f t="shared" si="185"/>
        <v>0</v>
      </c>
      <c r="EZ77">
        <f t="shared" si="186"/>
        <v>1.9</v>
      </c>
      <c r="FA77">
        <f t="shared" si="187"/>
        <v>1.52</v>
      </c>
      <c r="FB77">
        <f t="shared" si="188"/>
        <v>1.9</v>
      </c>
      <c r="FC77" t="str">
        <f t="shared" si="189"/>
        <v/>
      </c>
      <c r="FD77" t="str">
        <f>IF(B77="","",IF(CA77=0,IF(AW77=1,"",FF76),IF(OR(N(CV77)&gt;=3,N(BR77)&gt;=3),"L1,L2,L3",IFERROR(_xlfn.TEXTBEFORE(_xlfn.TEXTAFTER(_xlfn.XLOOKUP(A77,Щиты[Щит],Щиты[_фазы авто]),";"&amp;AW77&amp;":"),";"),"L1"))))</f>
        <v>L2</v>
      </c>
      <c r="FE77" t="str">
        <f t="shared" si="190"/>
        <v>L2</v>
      </c>
      <c r="FF77" t="str">
        <f t="shared" si="191"/>
        <v>L2</v>
      </c>
      <c r="FG77" cm="1">
        <f t="array" ref="FG77">IFERROR(IF(BX77=2,_xlfn.IFS(BR77=3,VLOOKUP(BN77,Справочная_двигатели,3,FALSE),BR77=1,VLOOKUP(BN77,Справочная_двигатели,5,TRUE)),0),0)</f>
        <v>0</v>
      </c>
      <c r="FH77">
        <f>IFERROR(IF(BX77=3,VLOOKUP(BN77,Справочная_ЛЭД,2,TRUE),0),0)</f>
        <v>0</v>
      </c>
      <c r="FI77" s="6">
        <f t="shared" si="192"/>
        <v>0</v>
      </c>
      <c r="FJ77" t="str" cm="1">
        <f t="array" ref="FJ77">IF(B77="","",IFERROR(INDEX({"I особая","I","II","III"},MATCH(TRIM(AC77&amp;""),{"I особая","I","II","III"},0)),"III"))</f>
        <v>II</v>
      </c>
      <c r="FK77" t="str">
        <f>IF(B77="","",IF(TRIM(AD77&amp;"")&lt;&gt;"",IF(LOWER(TRIM(AD77&amp;""))="да","да","нет"),IF(IFERROR(_xlfn.XLOOKUP(AX77,Коды_код,Коды_пожарная),"")="да","да","нет")))</f>
        <v>нет</v>
      </c>
      <c r="FL77" t="str">
        <f t="shared" si="193"/>
        <v/>
      </c>
      <c r="FM77" t="str">
        <f t="shared" si="194"/>
        <v>основная</v>
      </c>
      <c r="FN77">
        <f t="shared" si="195"/>
        <v>1</v>
      </c>
      <c r="FO77" t="str" cm="1">
        <f t="array" ref="FO77">IF(B77="","",_xlfn.LET(_xlpm.t,IFERROR(_xlfn.XLOOKUP(1,(Шины[Шина]=FM77)*(((Шины[Щит]=A77)+(Шины[Щит]=""))&gt;0),Шины[Тип]),"")&amp;"",IF(_xlpm.t&lt;&gt;"",_xlpm.t,IF(ISNUMBER(SEARCH("ИБП",FM77)),"ИБП",IF(ISNUMBER(SEARCH("ДГУ",FM77)),"ДГУ","Ввод "&amp;FN77)))))</f>
        <v>Ввод 1</v>
      </c>
      <c r="FP77" t="str">
        <f t="shared" si="196"/>
        <v>Ввод 1</v>
      </c>
      <c r="FQ77" t="str">
        <f>IF(B77="","",IF(OR(FO77="ИБП",FO77="ДГУ"),"I особая",IF(FO77="Одиночная","III",_xlfn.XLOOKUP(A77,Щиты[Щит],Щиты[Категория шины «Ввод»],"III"))))</f>
        <v>II</v>
      </c>
      <c r="FR77">
        <f>IF(B77="",0,IFERROR(MATCH(FJ77,{"III","II","I","I особая"},0),1))</f>
        <v>2</v>
      </c>
      <c r="FS77">
        <f t="shared" si="197"/>
        <v>2</v>
      </c>
      <c r="FT77" t="str">
        <f>IF(B77="","",IF(FR77&gt;IFERROR(MATCH(FQ77,{"III","II","I","I особая"},0),1),"НЕ ОБЕСПЕЧЕНА","ОК"))</f>
        <v>ОК</v>
      </c>
      <c r="FU77" t="str">
        <f>IF(A77="","",_xlfn.XLOOKUP(A77,Щиты[Щит],Щиты[Путь],""))</f>
        <v>|ГРЩ-ЖД|ЩОВ-001|</v>
      </c>
      <c r="FV77" t="str">
        <f>IF(B77="","",IF(AE77&lt;&gt;"",AE77,IF(IFERROR(_xlfn.XLOOKUP(AX77,Коды_код,Коды_вид)&amp;"","")="","Прочее",_xlfn.XLOOKUP(AX77,Коды_код,Коды_вид)&amp;"")))</f>
        <v>Кондиционирование и увлажнение</v>
      </c>
      <c r="FW77">
        <f>IF(BH77="","",INT((BH77-1)/Столбцов_на_лист)+1)</f>
        <v>3</v>
      </c>
      <c r="FX77" t="str">
        <f t="shared" si="198"/>
        <v>ВВГнг(А)-LS (3х2,5) L=32-2,07%</v>
      </c>
      <c r="FY77">
        <f t="shared" si="199"/>
        <v>1.9</v>
      </c>
      <c r="FZ77">
        <f t="shared" si="200"/>
        <v>10.29</v>
      </c>
      <c r="GA77">
        <f t="shared" si="201"/>
        <v>1</v>
      </c>
      <c r="GB77">
        <f t="shared" si="202"/>
        <v>0</v>
      </c>
      <c r="GC77">
        <f t="shared" si="203"/>
        <v>1</v>
      </c>
      <c r="GD77">
        <f>IF(BH77="","",IF(AND(CA77=1,GC77=1),COUNTIFS(A$3:A77,A77,CA$3:CA77,1,GC$3:GC77,1),IF(OR(OR(AW77=1,A77&lt;&gt;A76),AF77="вручную",GC77=0),"",IF(AW77=1,"",GE76))))</f>
        <v>24</v>
      </c>
      <c r="GE77">
        <f t="shared" si="204"/>
        <v>24</v>
      </c>
      <c r="GF77">
        <f>IF(B77="","",IFERROR(LOOKUP(INDEX(CHOOSE(DL77,Iдоп_1ж,Iдоп_2ж,Iдоп_3ж),MATCH(DX77,Iдоп_S,0))*DJ77*DK77,{6,10,16,20,25,32,40,50,63,80,100,125,160,200,250,315,400,500,630}),""))</f>
        <v>25</v>
      </c>
      <c r="GG77" t="str">
        <f t="shared" si="205"/>
        <v>QF24</v>
      </c>
      <c r="GH77" t="str">
        <f t="shared" si="206"/>
        <v>QF24</v>
      </c>
      <c r="GI77" t="str">
        <f t="shared" si="207"/>
        <v/>
      </c>
      <c r="GJ77">
        <f t="shared" si="208"/>
        <v>0</v>
      </c>
      <c r="GK77" t="str">
        <f>IF(OR(AG77="",AG77="-"),"",IFERROR(VLOOKUP(AG77,Модули_спр,2,FALSE),"R"))</f>
        <v/>
      </c>
      <c r="GL77" t="str">
        <f>IF(GK77="","",GK77&amp;"."&amp;COUNTIFS(A$3:A77,A77,GK$3:GK77,GK77))</f>
        <v/>
      </c>
      <c r="GM77" t="str">
        <f t="shared" si="209"/>
        <v/>
      </c>
      <c r="GN77" t="str">
        <f t="shared" si="210"/>
        <v/>
      </c>
      <c r="GO77" t="str">
        <f t="shared" si="211"/>
        <v/>
      </c>
      <c r="GP77" t="str">
        <f t="shared" si="212"/>
        <v/>
      </c>
      <c r="GQ77">
        <f t="shared" si="213"/>
        <v>1</v>
      </c>
      <c r="GR77" t="str">
        <f>IF(GQ77=1,"XT"&amp;COUNTIFS(A$3:A77,A77,GQ$3:GQ77,1),"")</f>
        <v>XT24</v>
      </c>
      <c r="GS77" t="str">
        <f t="shared" si="214"/>
        <v/>
      </c>
      <c r="GT77" t="str">
        <f t="shared" si="215"/>
        <v>QF24</v>
      </c>
      <c r="GU77" t="str">
        <f t="shared" si="216"/>
        <v/>
      </c>
      <c r="GV77" t="str">
        <f t="shared" si="217"/>
        <v>ok</v>
      </c>
      <c r="GW77" t="str">
        <f>IF(OR(GO77="",GM77=""),"",IF(GO77&gt;IFERROR(VLOOKUP(GN77,Модули_спр,3,FALSE),99),"ЛИШНИЙ КАНАЛ",IF(AND(AH77&lt;&gt;"=",COUNTIFS(Линии[_модуль гр.],GM77,Линии[Канал (итог)],GO77,Линии[Канал],"&lt;&gt;=",Линии[Щит],A77)&gt;1),"ДУБЛЬ КАНАЛА","")))</f>
        <v/>
      </c>
      <c r="GX77" s="6" t="str">
        <f t="shared" si="218"/>
        <v/>
      </c>
      <c r="GY77">
        <f t="shared" si="219"/>
        <v>10</v>
      </c>
      <c r="GZ77" t="str">
        <f t="shared" si="220"/>
        <v/>
      </c>
      <c r="HA77" t="str">
        <f>IF(AND(B77="",GT77=""),"",_xlfn.TEXTJOIN("; ",TRUE,IF(AND(B77&lt;&gt;"",FE77=""),"нет фазы",""),IF(AND(B77&lt;&gt;"",N(FY77)=0,EQ77&lt;&gt;"Нет"),"нет мощности",""),IF(AND(GS77&lt;&gt;"",COUNTIFS(Линии[Щит],A77,Линии[Клемма (итог)],GS77)&gt;1),"дубль клеммы "&amp;GS77,""),IF(AND(GV77&lt;&gt;"",GV77&lt;&gt;"ok"),GV77,""),IF(GW77&lt;&gt;"",GW77,""),IF(AND(N(BV77)&gt;=4,N(BR77)=1),BV77&amp;" жил на 1 фазе",""),IF(AND(AX77="R",CA77=1,OR(N(CK77)=0,N(CK77)&gt;30)),"розетка без дифзащиты до 30 мА",""),IFERROR(IF(AND(ISNUMBER(R77),R77&gt;DV77),"потери "&amp;FIXED(R77,1)&amp;" % &gt; "&amp;DV77&amp;" %",""),""),IFERROR(IF(LEFT(GZ77,4)="мало","Iкз мало — отключение &gt; 0,4 с",""),""),IF(AND(B77&lt;&gt;"",BH77=""),"не на схеме",""),IF(AND(CA77=0,B77&lt;&gt;"",FE77&lt;&gt;"",IF(AW77=1,"",FF76)&lt;&gt;"",FE77&lt;&gt;IF(AW77=1,"",FF76)),"фаза не как у автомата группы ("&amp;IF(AW77=1,"",FF76)&amp;")","")))</f>
        <v/>
      </c>
      <c r="HB77" s="6">
        <f>IF(OR(CA77=0,DA77=""),"",_xlfn.LET(_xlpm.t,IFERROR(_xlfn.XLOOKUP(DA77,Каталог!$U$4:$U$500,Каталог!$G$4:$G$500),""),_xlpm.k,SEARCH("кА",_xlpm.t),IFERROR(--TRIM(RIGHT(SUBSTITUTE(MID(_xlpm.t,MAX(1,_xlpm.k-4),_xlpm.k-MAX(1,_xlpm.k-4))," ",REPT(" ",9)),5)),"")))</f>
        <v>6</v>
      </c>
      <c r="HC77" t="str">
        <f>IF(OR(HB77="",CA77=0),"",IF(_xlfn.XLOOKUP(A77,Щиты[Щит],Щиты[Iкз max на шинах, кА],"")="","",IF(HB77&lt;_xlfn.XLOOKUP(A77,Щиты[Щит],Щиты[Iкз max на шинах, кА]),"Icu "&amp;HB77&amp;" кА &lt; Iкз max","ok")))</f>
        <v/>
      </c>
      <c r="HD77" t="str">
        <f t="shared" si="221"/>
        <v/>
      </c>
      <c r="HE77" t="str">
        <f t="shared" si="222"/>
        <v>QF24</v>
      </c>
      <c r="HF77" t="str">
        <f t="shared" si="223"/>
        <v>QF24|кабель ВВГнг(А)-LS (3х2,5) → Внешний блок кондиционирования Пом. Венткиосок</v>
      </c>
      <c r="HG77" t="str" cm="1">
        <f t="array" ref="HG77">IF(HF77="","",_xlfn.LET(_xlpm.nd,_xlfn.TEXTSPLIT(HF77,"|"),IF(COLUMNS(_xlpm.nd)&gt;1,A77&amp;"¦"&amp;INDEX(_xlpm.nd,1)&amp;"¦"&amp;INDEX(_xlpm.nd,2),"")))</f>
        <v>ЩОВ-001¦QF24¦кабель ВВГнг(А)-LS (3х2,5) → Внешний блок кондиционирования Пом. Венткиосок</v>
      </c>
      <c r="HH77" t="str">
        <f t="shared" si="224"/>
        <v>K.9¦Внешний блок кондиционирования Пом. Венткиосок</v>
      </c>
      <c r="HI77" t="str" cm="1">
        <f t="array" ref="HI77">IF(HF77="","",_xlfn.LET(_xlpm.nd,_xlfn.TEXTSPLIT(HF77,"|"),IF(COLUMNS(_xlpm.nd)&gt;2,A77&amp;"¦"&amp;INDEX(_xlpm.nd,2)&amp;"¦"&amp;INDEX(_xlpm.nd,3),"")))</f>
        <v/>
      </c>
      <c r="HJ77" t="str">
        <f t="shared" si="225"/>
        <v/>
      </c>
      <c r="HK77" t="str" cm="1">
        <f t="array" ref="HK77">IF(HF77="","",_xlfn.LET(_xlpm.nd,_xlfn.TEXTSPLIT(HF77,"|"),IF(COLUMNS(_xlpm.nd)&gt;3,A77&amp;"¦"&amp;INDEX(_xlpm.nd,3)&amp;"¦"&amp;INDEX(_xlpm.nd,4),"")))</f>
        <v/>
      </c>
      <c r="HL77" t="str">
        <f t="shared" si="226"/>
        <v/>
      </c>
      <c r="HM77" t="str" cm="1">
        <f t="array" ref="HM77">IF(HF77="","",_xlfn.LET(_xlpm.nd,_xlfn.TEXTSPLIT(HF77,"|"),IF(COLUMNS(_xlpm.nd)&gt;4,A77&amp;"¦"&amp;INDEX(_xlpm.nd,4)&amp;"¦"&amp;INDEX(_xlpm.nd,5),"")))</f>
        <v/>
      </c>
      <c r="HN77" t="str">
        <f t="shared" si="227"/>
        <v/>
      </c>
      <c r="HO77" t="str" cm="1">
        <f t="array" ref="HO77">IF(HF77="","",_xlfn.LET(_xlpm.nd,_xlfn.TEXTSPLIT(HF77,"|"),IF(COLUMNS(_xlpm.nd)&gt;5,A77&amp;"¦"&amp;INDEX(_xlpm.nd,5)&amp;"¦"&amp;INDEX(_xlpm.nd,6),"")))</f>
        <v/>
      </c>
      <c r="HP77" t="str">
        <f t="shared" si="228"/>
        <v/>
      </c>
      <c r="HQ77" t="str" cm="1">
        <f t="array" ref="HQ77">IF(HF77="","",_xlfn.LET(_xlpm.nd,_xlfn.TEXTSPLIT(HF77,"|"),IF(COLUMNS(_xlpm.nd)&gt;6,A77&amp;"¦"&amp;INDEX(_xlpm.nd,6)&amp;"¦"&amp;INDEX(_xlpm.nd,7),"")))</f>
        <v/>
      </c>
      <c r="HR77" t="str">
        <f t="shared" si="229"/>
        <v/>
      </c>
      <c r="HS77" t="str">
        <f t="shared" si="230"/>
        <v/>
      </c>
      <c r="HT77" t="str">
        <f t="shared" si="231"/>
        <v>QF24</v>
      </c>
      <c r="HU77">
        <f t="shared" si="232"/>
        <v>0</v>
      </c>
      <c r="HV77">
        <f t="shared" si="233"/>
        <v>0</v>
      </c>
      <c r="HW77" t="str">
        <f t="shared" si="234"/>
        <v/>
      </c>
      <c r="HX77" t="str">
        <f t="shared" si="235"/>
        <v/>
      </c>
      <c r="HY77" t="str">
        <f t="shared" si="236"/>
        <v/>
      </c>
      <c r="HZ77" t="str">
        <f t="shared" si="237"/>
        <v/>
      </c>
      <c r="IA77">
        <f>IF(B77="","",IFERROR(VLOOKUP(B77,УГО_спр,2,FALSE),IFERROR(VLOOKUP(AX77,УГО_спр,2,FALSE),IFERROR(VLOOKUP(LEFT(AX77,2),УГО_спр,2,FALSE),""))))</f>
        <v>0</v>
      </c>
      <c r="IB77" t="str">
        <f>IF(B77="","",IF(OR(IA77="",IA77=0),"BOX",IFERROR(IF(VLOOKUP(IA77,УГО_блоки,3,FALSE)&amp;""&lt;&gt;"",VLOOKUP(IA77,УГО_блоки,3,FALSE),VLOOKUP(IA77,УГО_блоки,2,FALSE)),IA77)))</f>
        <v>BOX</v>
      </c>
      <c r="IC77">
        <f t="shared" si="238"/>
        <v>1</v>
      </c>
      <c r="ID77" t="str">
        <f>IF(DA77="","",IF(COUNTIF(DA$3:DA77,DA77)=1,MAX(ID$2:ID76)+1,""))</f>
        <v/>
      </c>
      <c r="IE77" t="str">
        <f>IF(CO77="","",IF(COUNTIF(CO$3:CO77,CO77)+COUNTIF(CP$2:CP76,CO77)+COUNTIF(CQ$2:CQ76,CO77)=1,MAX(IE$2:IG76)+1,""))</f>
        <v/>
      </c>
      <c r="IF77" t="str">
        <f>IF(CP77="","",IF(COUNTIF(CO$3:CO77,CP77)+COUNTIF(CP$3:CP77,CP77)+COUNTIF(CQ$2:CQ76,CP77)=1,MAX(IE$2:IG76,IE77)+1,""))</f>
        <v/>
      </c>
      <c r="IG77" t="str">
        <f>IF(CQ77="","",IF(COUNTIF(CO$3:CO77,CQ77)+COUNTIF(CP$3:CP77,CQ77)+COUNTIF(CQ$3:CQ77,CQ77)=1,MAX(IE$2:IG76,IE77,IF77)+1,""))</f>
        <v/>
      </c>
      <c r="IH77" t="str">
        <f t="shared" si="239"/>
        <v>3х2,5</v>
      </c>
      <c r="II77" t="str">
        <f>IF(IH77="","",IF(COUNTIF(IH$3:IH77,IH77)=1,MAX(II$2:II76)+1,""))</f>
        <v/>
      </c>
      <c r="IJ77" t="str">
        <f>IF(GL77="","",COUNTIF(GL$3:GL77,"?*"))</f>
        <v/>
      </c>
      <c r="IK77" t="str">
        <f>IF(OR(GL77="",GN77=""),"",IF(COUNTIFS(GL$3:GL77,"?*",GN$3:GN77,GN77)=1,MAX(IK$2:IK76)+1,""))</f>
        <v/>
      </c>
      <c r="IL77">
        <f t="shared" si="240"/>
        <v>0</v>
      </c>
      <c r="IM77">
        <f>IF(B77="","",COUNTIF(B$3:B77,"?*"))</f>
        <v>75</v>
      </c>
      <c r="IN77">
        <f>IF(GQ77&lt;&gt;1,0,_xlfn.LET(_xlpm.k,MAX(IFERROR(--VLOOKUP(B77,УГО_спр,5,FALSE),0),IFERROR(--VLOOKUP(AX77,УГО_спр,5,FALSE),0),IFERROR(--VLOOKUP(LEFT(AX77,2),УГО_спр,5,FALSE),0)),IF(_xlpm.k&gt;0,_xlpm.k,IF(IFERROR(--LEFT(SUBSTITUTE(IH77,"x","х"),FIND("х",SUBSTITUTE(IH77,"x","х"))-1),3)&gt;3,Каталог!$S$9,1))))</f>
        <v>1</v>
      </c>
      <c r="IO77">
        <f t="shared" si="241"/>
        <v>0</v>
      </c>
      <c r="IP77" t="str">
        <f t="shared" si="242"/>
        <v>авто</v>
      </c>
      <c r="IQ77" t="str">
        <f t="shared" si="243"/>
        <v/>
      </c>
      <c r="IR77">
        <f t="shared" si="244"/>
        <v>0</v>
      </c>
      <c r="IS77">
        <f t="shared" si="245"/>
        <v>1</v>
      </c>
    </row>
    <row r="78" spans="1:253" x14ac:dyDescent="0.3">
      <c r="A78" t="s">
        <v>749</v>
      </c>
      <c r="B78" t="s">
        <v>1350</v>
      </c>
      <c r="C78" t="s">
        <v>1619</v>
      </c>
      <c r="D78">
        <v>1</v>
      </c>
      <c r="E78">
        <v>1.9</v>
      </c>
      <c r="G78">
        <v>16</v>
      </c>
      <c r="H78" t="str">
        <f>Линии[[#This Row],[_авто утечка]]</f>
        <v/>
      </c>
      <c r="I78" t="str">
        <f>Линии[[#This Row],[_авто управление]]</f>
        <v/>
      </c>
      <c r="J78" t="str">
        <f>Линии[[#This Row],[_авто аппараты]]</f>
        <v/>
      </c>
      <c r="K78">
        <v>2.5</v>
      </c>
      <c r="L78">
        <v>32</v>
      </c>
      <c r="M78" t="str">
        <f>Линии[[#This Row],[_авто фаза]]</f>
        <v>L3</v>
      </c>
      <c r="N78" t="s">
        <v>486</v>
      </c>
      <c r="O78" t="str">
        <f t="shared" si="123"/>
        <v/>
      </c>
      <c r="P78" s="6" cm="1">
        <f t="array" ref="P78">IF(B78="","",IF(BC78&lt;&gt;"",IFERROR(_xlfn.XLOOKUP(BC78,Щиты[Щит],Щиты[Iр, А]),""),IF(BK78=1,IFERROR(_xlfn.XLOOKUP(A78,Щиты[Щит],Щиты[Iр, А]),""),IFERROR(_xlfn.IFS(BR78=1,BN78/((Uн_лин/SQRT(3))*BY78),BR78=3,BN78/(SQRT(3)*Uн_лин*BY78)),""))))</f>
        <v>10.284051669940206</v>
      </c>
      <c r="Q78" s="7">
        <f>IF(B78="","",IFERROR(IF(VLOOKUP(AX78,Потребители_обозначение,4,FALSE)=1,VLOOKUP(AX78,Потребители_обозначение,3,FALSE)*(D78*2-1)+DS78+VLOOKUP(AZ78,Этаж_обозначение,3,FALSE)+VLOOKUP(AZ78,Этаж_обозначение,4,FALSE),VLOOKUP(AX78,Потребители_обозначение,3,FALSE)*(D78*2-1)+DS78),DS78))</f>
        <v>32</v>
      </c>
      <c r="R78" s="6">
        <f t="shared" si="124"/>
        <v>2.71</v>
      </c>
      <c r="S78" t="str">
        <f t="shared" si="125"/>
        <v>ВВГнг(А)-LS (3х2,5)</v>
      </c>
      <c r="T78" t="str">
        <f>IF(BH78="","",IF(BI78="вводной узел","узел ","")&amp;"л."&amp;(INT((BH78-1)/Столбцов_на_лист)+1)&amp;" / "&amp;(MOD(BH78-1,Столбцов_на_лист)+1))</f>
        <v>л.3 / 12</v>
      </c>
      <c r="V78">
        <v>1</v>
      </c>
      <c r="W78">
        <v>230</v>
      </c>
      <c r="X78" t="s">
        <v>600</v>
      </c>
      <c r="Y78">
        <v>0.5</v>
      </c>
      <c r="AC78" t="s">
        <v>815</v>
      </c>
      <c r="AE78" t="s">
        <v>578</v>
      </c>
      <c r="AI78">
        <v>46</v>
      </c>
      <c r="AJ78" t="s">
        <v>11</v>
      </c>
      <c r="AK78">
        <v>3</v>
      </c>
      <c r="AN78">
        <v>28</v>
      </c>
      <c r="AP78">
        <v>1</v>
      </c>
      <c r="AW78" cm="1">
        <f t="array" ref="AW78">ROW()-ROW(Линии[#Headers])</f>
        <v>76</v>
      </c>
      <c r="AX78" s="6" t="str">
        <f t="shared" si="126"/>
        <v>K</v>
      </c>
      <c r="AY78" t="str">
        <f t="shared" si="127"/>
        <v>10</v>
      </c>
      <c r="AZ78" t="str">
        <f t="shared" si="128"/>
        <v>10</v>
      </c>
      <c r="BA78" t="str">
        <f t="shared" si="129"/>
        <v/>
      </c>
      <c r="BB78" t="str">
        <f t="shared" si="130"/>
        <v/>
      </c>
      <c r="BC78" t="str">
        <f>IF(U78&lt;&gt;"",U78,IF(AND(B78&lt;&gt;"",B78&lt;&gt;A78,ISNUMBER(_xlfn.XMATCH(B78,Щиты[Щит]))),B78,""))</f>
        <v/>
      </c>
      <c r="BD78" t="str" cm="1">
        <f t="array" ref="BD78">IF(B78="","",IF(BC78&lt;&gt;"","Щит "&amp;BC78,_xlfn.LET(_xlpm.nm,IFERROR(_xlfn.XLOOKUP(AX78,Коды_код,Коды_имя)&amp;"",""),_xlpm.md,IFERROR(N(_xlfn.XLOOKUP(AX78,Коды_код,Коды_режим)),1),_xlpm.ex,IF(Имя_режим="по экспликации",IFERROR(_xlfn.XLOOKUP(AZ78&amp;"|"&amp;BB78,Экспликация[Этаж]&amp;"|"&amp;Экспликация[Помещение],Экспликация[Название])&amp;"",""),""),_xlpm.rm,IF(BB78="","",IF(_xlpm.ex&lt;&gt;"",". "&amp;_xlpm.ex&amp;IF(Имя_пом="нет"," ("&amp;BB78&amp;")"," (пом. "&amp;BB78&amp;")"),IF(Имя_пом="нет"," ",", пом. ")&amp;BB78)),IF(_xlpm.nm="","",IF(_xlpm.md=2,_xlpm.nm&amp;" шлейф "&amp;AZ78,_xlpm.nm&amp;_xlpm.rm)))))</f>
        <v>Внутренний блок кондиционирования</v>
      </c>
      <c r="BE78" t="str">
        <f t="shared" si="131"/>
        <v>Внешний блок кондиционирования Пом. Венткиосок</v>
      </c>
      <c r="BF78">
        <f>IFERROR(_xlfn.XMATCH(A78,Щиты[Щит]),0)</f>
        <v>4</v>
      </c>
      <c r="BG78">
        <f>_xlfn.LET(_xlpm.k,IFERROR(_xlfn.XLOOKUP(A78,Щиты[Щит],Щиты[Листов под вводной узел]),""),IF(_xlpm.k="",1,N(_xlpm.k))*Столбцов_на_лист)</f>
        <v>17</v>
      </c>
      <c r="BH78">
        <f t="shared" si="132"/>
        <v>46</v>
      </c>
      <c r="BI78" t="str">
        <f t="shared" si="133"/>
        <v>линии</v>
      </c>
      <c r="BJ78" s="6">
        <f>IFERROR(N(_xlfn.XLOOKUP(AX78,Коды_код,Коды_квт)),0)</f>
        <v>0</v>
      </c>
      <c r="BK78">
        <f t="shared" si="134"/>
        <v>0</v>
      </c>
      <c r="BL78" t="str">
        <f>IF(B78="","",IF(BC78&lt;&gt;"",IFERROR(_xlfn.XLOOKUP(BC78,Щиты[Щит],Щиты[Руст, кВт]),0),IF(BK78=1,IFERROR(_xlfn.XLOOKUP(A78,Щиты[Щит],Щиты[Руст, кВт]),0),IF(BJ78&gt;0,ROUND(BJ78*MAX(1,N(D78)),3),""))))</f>
        <v/>
      </c>
      <c r="BM78">
        <f t="shared" si="135"/>
        <v>1.9</v>
      </c>
      <c r="BN78" s="6">
        <f>IF(B78="","",IF(BC78&lt;&gt;"",IFERROR(_xlfn.XLOOKUP(BC78,Щиты[Щит],Щиты[Руст, кВт]),0),N(BM78)))</f>
        <v>1.9</v>
      </c>
      <c r="BO78" t="str">
        <f>IF(B78="","",IFERROR(IF(VLOOKUP(AX78,Потребители_обозначение,8,FALSE)=0,"",VLOOKUP(AX78,Потребители_обозначение,8,FALSE)),""))</f>
        <v/>
      </c>
      <c r="BP78">
        <f t="shared" si="136"/>
        <v>230</v>
      </c>
      <c r="BQ78">
        <f>IF(B78="","",IF(BC78&lt;&gt;"",3,IFERROR(IF(N(VLOOKUP(AX78,Потребители_обозначение,9,FALSE))=0,1,VLOOKUP(AX78,Потребители_обозначение,9,FALSE)),1)))</f>
        <v>1</v>
      </c>
      <c r="BR78">
        <f t="shared" si="137"/>
        <v>1</v>
      </c>
      <c r="BS78" t="str">
        <f>IF(B78="","",_xlfn.LET(_xlpm.bc,IFERROR(IF(VLOOKUP(AX78,Потребители_обозначение,6,FALSE)=0,"",VLOOKUP(AX78,Потребители_обозначение,6,FALSE)&amp;""),""),IF(AND(FK78="да",OR(_xlpm.bc="",_xlpm.bc="мс")),Марка_пож,IF(AND(_xlpm.bc="",BC78&lt;&gt;""),"мс",_xlpm.bc))))</f>
        <v/>
      </c>
      <c r="BT78" t="str">
        <f t="shared" si="138"/>
        <v>мс</v>
      </c>
      <c r="BU78">
        <f>IF(B78="","",_xlfn.LET(_xlpm.cc,IFERROR(N(VLOOKUP(AX78,Потребители_обозначение,7,FALSE)),0),IF(_xlpm.cc&gt;0,_xlpm.cc,IF(BT78="","",IF(N(BR78)=3,5,3)))))</f>
        <v>3</v>
      </c>
      <c r="BV78">
        <f t="shared" si="139"/>
        <v>3</v>
      </c>
      <c r="BW78">
        <f>IFERROR(N(VLOOKUP(AX78,Потребители_обозначение,10,FALSE)),0)</f>
        <v>0</v>
      </c>
      <c r="BX78">
        <f>IFERROR(VLOOKUP(AX78,Потребители_обозначение,5,FALSE),0)</f>
        <v>1</v>
      </c>
      <c r="BY78" s="6" cm="1">
        <f t="array" ref="BY78">IF(B78="","",IF(BC78&lt;&gt;"",IFERROR(_xlfn.XLOOKUP(BC78,Щиты[Щит],Щиты[cos φ]),0.95),IF(BK78=1,IFERROR(_xlfn.XLOOKUP(A78,Щиты[Щит],Щиты[cos φ]),0.95),IF(ISNUMBER(Z78),Z78,IFERROR(IF(BX78=2,_xlfn.IFS(BR78=3,VLOOKUP(BN78,Справочная_двигатели,8,FALSE),BR78=1,VLOOKUP(BN78,Справочная_двигатели,10,TRUE)),IF(AND(Методика="нормы 2026",EQ78="Сил"),0.8,0.95)),0.95)))))</f>
        <v>0.8</v>
      </c>
      <c r="BZ78">
        <f t="shared" si="140"/>
        <v>0</v>
      </c>
      <c r="CA78">
        <f t="shared" si="141"/>
        <v>1</v>
      </c>
      <c r="CB78">
        <f t="shared" si="142"/>
        <v>0</v>
      </c>
      <c r="CC78">
        <f t="shared" si="143"/>
        <v>0</v>
      </c>
      <c r="CD78">
        <f t="shared" si="144"/>
        <v>0</v>
      </c>
      <c r="CE78">
        <f t="shared" si="145"/>
        <v>0</v>
      </c>
      <c r="CF78">
        <f t="shared" si="146"/>
        <v>0</v>
      </c>
      <c r="CG78">
        <f>IF(AX78="",0,_xlfn.LET(_xlpm.v,IFERROR(VLOOKUP(B78,УГО_спр,3,FALSE),IFERROR(VLOOKUP(AX78,УГО_спр,3,FALSE),IFERROR(VLOOKUP(LEFT(AX78,2),УГО_спр,3,FALSE),""))),IF(_xlpm.v="да",30,IF(ISNUMBER(_xlpm.v),_xlpm.v,0))))</f>
        <v>0</v>
      </c>
      <c r="CH78" t="str">
        <f t="shared" si="147"/>
        <v/>
      </c>
      <c r="CI78" t="str">
        <f>_xlfn.LET(_xlpm.k,IFERROR(_xlfn.XLOOKUP(AX78,Коды_код,Коды_утечка)&amp;"",""),IF(_xlpm.k="","дифавтомат",_xlpm.k))</f>
        <v>дифавтомат</v>
      </c>
      <c r="CJ78">
        <f t="shared" si="148"/>
        <v>0</v>
      </c>
      <c r="CK78">
        <f t="shared" si="149"/>
        <v>0</v>
      </c>
      <c r="CL78">
        <f>IF(B78="",0,IFERROR(--VLOOKUP(B78,УГО_спр,4,FALSE),IFERROR(--VLOOKUP(AX78,УГО_спр,4,FALSE),IFERROR(--VLOOKUP(LEFT(AX78,2),УГО_спр,4,FALSE),0))))</f>
        <v>0</v>
      </c>
      <c r="CM78" t="str">
        <f>IF(B78="","",IFERROR(_xlfn.XLOOKUP(AX78,Коды_код,Коды_апп)&amp;"",""))</f>
        <v/>
      </c>
      <c r="CN78" t="str">
        <f t="shared" si="150"/>
        <v/>
      </c>
      <c r="CO78" t="str" cm="1">
        <f t="array" ref="CO78">IF(TRIM(CN78&amp;"")="","",IFERROR(TRIM(INDEX(_xlfn.TEXTSPLIT(CN78&amp;";;;",";"),1)),""))</f>
        <v/>
      </c>
      <c r="CP78" t="str" cm="1">
        <f t="array" ref="CP78">IF(TRIM(CN78&amp;"")="","",IFERROR(TRIM(INDEX(_xlfn.TEXTSPLIT(CN78&amp;";;;",";"),2)),""))</f>
        <v/>
      </c>
      <c r="CQ78" t="str" cm="1">
        <f t="array" ref="CQ78">IF(TRIM(CN78&amp;"")="","",IFERROR(TRIM(INDEX(_xlfn.TEXTSPLIT(CN78&amp;";;;",";"),3)),""))</f>
        <v/>
      </c>
      <c r="CR78">
        <f t="shared" si="151"/>
        <v>0</v>
      </c>
      <c r="CS78" t="str">
        <f>IF(B78="","",_xlfn.LET(_xlpm.t,LOWER(AV78&amp;""),IF(ISNUMBER(SEARCH("dim",_xlpm.t)),"DIM",IF(ISNUMBER(SEARCH("dali",_xlpm.t)),"DALI",IF(OR(ISNUMBER(SEARCH("relay",_xlpm.t)),ISNUMBER(SEARCH("реле",_xlpm.t))),"Relay",IF(ISNUMBER(SEARCH("кнопк",_xlpm.t)),"",IFERROR(_xlfn.XLOOKUP(AX78,Коды_код,Коды_упр)&amp;"","")))))))</f>
        <v/>
      </c>
      <c r="CT78" t="str">
        <f t="shared" si="152"/>
        <v/>
      </c>
      <c r="CU78">
        <f>IF(B78="","",_xlfn.LET(_xlpm.ig,N(P78)+IF(AF78="вручную",0,N(CB78)),_xlpm.n0,IFERROR(VLOOKUP(_xlpm.ig,Автомат_номиналы,2,TRUE),0),_xlpm.mn,MAX(CL78,IF(AF78="вручную",0,N(CE78))),MAX(_xlpm.n0,_xlpm.mn,IF(CR78=1,Мин_автомат_БП,0))))</f>
        <v>16</v>
      </c>
      <c r="CV78">
        <f t="shared" si="153"/>
        <v>1</v>
      </c>
      <c r="CW78" t="str">
        <f t="shared" si="154"/>
        <v>1P</v>
      </c>
      <c r="CX78" t="str">
        <f>_xlfn.LET(_xlpm.cc,UPPER(TRIM(IFERROR(_xlfn.XLOOKUP(AX78,Коды_код,Коды_хар)&amp;"",""))),IF(OR(_xlpm.cc="B",_xlpm.cc="В"),"B",IF(_xlpm.cc="D","D","С")))</f>
        <v>С</v>
      </c>
      <c r="CY78" t="str">
        <f t="shared" si="155"/>
        <v>1P С16А</v>
      </c>
      <c r="CZ78">
        <f t="shared" si="156"/>
        <v>16</v>
      </c>
      <c r="DA78" t="str">
        <f t="shared" si="157"/>
        <v>1P С16А</v>
      </c>
      <c r="DB78" cm="1">
        <f t="array" ref="DB78">IF(DA78="","",_xlfn.LET(_xlpm.t,SUBSTITUTE(SUBSTITUTE(SUBSTITUTE(UPPER(DA78),"С","C"),"А","A"),"В","B"),_xlpm.tk,_xlfn.TEXTSPLIT(_xlpm.t,"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8" t="str">
        <f t="shared" si="158"/>
        <v>ok</v>
      </c>
      <c r="DD78">
        <f t="shared" si="159"/>
        <v>16</v>
      </c>
      <c r="DE78" t="str">
        <f t="shared" si="160"/>
        <v>1P С16А</v>
      </c>
      <c r="DF78">
        <f t="shared" si="161"/>
        <v>0</v>
      </c>
      <c r="DG78">
        <f t="shared" si="162"/>
        <v>0</v>
      </c>
      <c r="DH78">
        <f t="shared" si="163"/>
        <v>0</v>
      </c>
      <c r="DI78">
        <f t="shared" si="164"/>
        <v>10.284051669940206</v>
      </c>
      <c r="DJ78">
        <f t="shared" si="165"/>
        <v>1</v>
      </c>
      <c r="DK78">
        <f>IF(ISNUMBER(AL78),AL78,К_прокл)</f>
        <v>1</v>
      </c>
      <c r="DL78">
        <f t="shared" si="166"/>
        <v>2</v>
      </c>
      <c r="DM78">
        <f>IFERROR(N(VLOOKUP(BT78,Кабель_обозначение,3,FALSE)),1)</f>
        <v>1</v>
      </c>
      <c r="DN78">
        <f>IFERROR(N(_xlfn.XLOOKUP(A78,Щиты[Щит],Щиты[ΔU до шин, %])),0)</f>
        <v>0.64</v>
      </c>
      <c r="DO78" t="str">
        <f>IFERROR(_xlfn.XLOOKUP(A78,Щиты[Щит],Щиты[Zпетли на шинах, Ом]),"")</f>
        <v/>
      </c>
      <c r="DP78">
        <f>IFERROR(N(_xlfn.XLOOKUP(A78,Щиты[Щит],Щиты[ΔU до шин (подбор), %])),0)</f>
        <v>0.75</v>
      </c>
      <c r="DQ78" t="str">
        <f>IFERROR(_xlfn.XLOOKUP(A78,Щиты[Щит],Щиты[Zпетли на шинах (подбор), Ом]),"")</f>
        <v/>
      </c>
      <c r="DR78" t="str">
        <f t="shared" si="167"/>
        <v/>
      </c>
      <c r="DS78">
        <f t="shared" si="168"/>
        <v>32</v>
      </c>
      <c r="DT78">
        <f t="shared" si="169"/>
        <v>2</v>
      </c>
      <c r="DU78">
        <f t="shared" si="170"/>
        <v>0.6</v>
      </c>
      <c r="DV78" s="6">
        <f>IF(B78="","",IF(IFERROR(VLOOKUP(AX78,УГО_спр,2,FALSE),"")="Светильник",3,4)+IF(Методика="нормы 2026",MIN(0.5,MAX(0,N(Q78)-100)*0.005),0))</f>
        <v>4</v>
      </c>
      <c r="DW78" cm="1">
        <f t="array" ref="DW78">IF(OR(B78="",BT78="",DM78&lt;&gt;1),"",_xlfn.LET(_xlpm.sz,Iдоп_S,_xlpm.t_,CHOOSE(DL78,Iдоп_1ж,Iдоп_2ж,Iдоп_3ж)*DJ78*DK78,_xlpm.inn,N(DD78),_xlpm.smin,MAX(1.5,BW78),_xlpm.L_,N(Q78)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78)*(_xlpm.rho*_xlpm.L_/_xlpm.sz*N(BY78)+_xlpm.xx*_xlpm.L_*N(DU78)/1000)*N(P78)/((Uн_лин/SQRT(3))*1000)*100,999),_xlpm.kz,IF(OR(DG78=1,NOT(ISNUMBER(DQ78)),_xlpm.L_=0,_xlpm.inn=0),1,IFERROR(--(c_min*(Uн_лин*1000/SQRT(3))/(DQ78+2*ρкз_Cu*_xlpm.L_/_xlpm.sz)&gt;=GY78*_xlpm.inn),0)),_xlpm.ok,IFERROR((_xlpm.sz&gt;=_xlpm.smin)*(_xlpm.t_&gt;=_xlpm.inn)*IF(_xlpm.L_&gt;0,(_xlpm.du_+DP78&lt;=DV78+0.00001),1)*_xlpm.kz,0),_xlpm.r_,_xlfn._xlws.FILTER(_xlpm.sz,_xlpm.ok,"не подобрано"),INDEX(_xlpm.r_,1)))</f>
        <v>2.5</v>
      </c>
      <c r="DX78">
        <f t="shared" si="171"/>
        <v>2.5</v>
      </c>
      <c r="DY78" cm="1">
        <f t="array" ref="DY78">IF(OR(B78="",BT78="",DM78&lt;&gt;1),"",_xlfn.LET(_xlpm.sz,Iдоп_S,_xlpm.t_,CHOOSE(DL78,Iдоп_1ж,Iдоп_2ж,Iдоп_3ж)*DJ78*DK78,_xlpm.ok,IFERROR((_xlpm.sz&gt;=MAX(1.5,BW78))*(_xlpm.t_&gt;=N(DD78)),0),_xlpm.r_,_xlfn._xlws.FILTER(_xlpm.sz,_xlpm.ok,""),INDEX(_xlpm.r_,1)))</f>
        <v>1.5</v>
      </c>
      <c r="DZ78" s="6" cm="1">
        <f t="array" ref="DZ78">IFERROR(ROUNDUP(N(DT78)*(_xlfn.XLOOKUP(DY78,INDEX(Кабель_сопротивление,0,1),INDEX(Кабель_сопротивление,0,3))*N(Q78)/DY78*N(BY78)+_xlfn.XLOOKUP(DY78,INDEX(Кабель_сопротивление,0,1),INDEX(Кабель_сопротивление,0,2))*N(Q78)*N(DU78)/1000)*N(P78)/((Uн_лин/SQRT(3))*1000)*100,2),"")</f>
        <v>3.44</v>
      </c>
      <c r="EA78">
        <f>IFERROR(2*ρкз_Cu*N(Q78)/DY78,"")</f>
        <v>1.1221333333333334</v>
      </c>
      <c r="EB78">
        <f>IFERROR(VLOOKUP(DX78,Кабель_сопротивление,3,FALSE),"")</f>
        <v>2.2499999999999999E-2</v>
      </c>
      <c r="EC78">
        <f>IFERROR(VLOOKUP(DX78,Кабель_сопротивление,2,FALSE),"")</f>
        <v>0.1</v>
      </c>
      <c r="ED78">
        <f t="shared" si="172"/>
        <v>28</v>
      </c>
      <c r="EE78">
        <f t="shared" si="173"/>
        <v>0</v>
      </c>
      <c r="EF78">
        <f t="shared" si="174"/>
        <v>4.778381767921017</v>
      </c>
      <c r="EG78" s="6">
        <f>IFERROR(ROUNDUP(EF78/((Uн_лин/SQRT(3))*1000)*100,2),"")</f>
        <v>2.0699999999999998</v>
      </c>
      <c r="EH78" t="str">
        <f>IFERROR(VLOOKUP(BT78,Кабель_обозначение,2,FALSE),"")</f>
        <v>ВВГнг(А)-LS</v>
      </c>
      <c r="EI78" t="str">
        <f t="shared" si="175"/>
        <v>ВВГнг(А)-LS (3х2,5)</v>
      </c>
      <c r="EJ78" t="str">
        <f t="shared" si="176"/>
        <v>ВВГнг(А)-LS (3х2,5)
L=32-2,07%</v>
      </c>
      <c r="EK78">
        <f>IFERROR(2*ρкз_Cu*Q78/DX78,"")</f>
        <v>0.67327999999999999</v>
      </c>
      <c r="EL78">
        <f t="shared" si="177"/>
        <v>0.22400000000000003</v>
      </c>
      <c r="EM78" s="6" t="str">
        <f>IFERROR(IF(OR(B78="",NOT(ISNUMBER(DX78)),N(Q78)=0),"",_xlfn.XLOOKUP(A78,Щиты[Щит],Щиты[Zпетли на шинах, Ом])+EK78),"")</f>
        <v/>
      </c>
      <c r="EN78" s="6" t="str">
        <f>IF(ISNUMBER(EM78),c_min*(Uн_лин*1000/SQRT(3))/EM78,"")</f>
        <v/>
      </c>
      <c r="EO78" s="6" t="str">
        <f>IFERROR(IF(OR(B78="",NOT(ISNUMBER(DX78))),"",1.05*(Uн_лин*1000/SQRT(3))/(_xlfn.XLOOKUP(A78,Щиты[Щит],Щиты[Zmax на шинах, Ом])+EL78)/1000),"")</f>
        <v/>
      </c>
      <c r="EP78" s="6" t="str">
        <f>IF(B78="","",IF(ISNUMBER(Y78),"Сил",IF(IFERROR(_xlfn.XLOOKUP(AX78,Коды_код,Коды_группа)&amp;"","")="","Быт",_xlfn.XLOOKUP(AX78,Коды_код,Коды_группа)&amp;"")))</f>
        <v>Сил</v>
      </c>
      <c r="EQ78" s="6" t="str">
        <f t="shared" si="178"/>
        <v>Сил</v>
      </c>
      <c r="ER78" s="6">
        <f>IF(EQ78="Щит","щит",IF(EQ78="","",IF(EQ78="Быт",IFERROR(_xlfn.XLOOKUP(A78,Щиты[Щит],Щиты[Кс быт]),1),IF(EQ78="Сил",IF(ISNUMBER(Y78),Y78,IF(Методика="нормы 2026",IFERROR(_xlfn.XLOOKUP(A78,Щиты[Щит],Щиты[Кс силовых (табл. 7.5)]),1),1)),IF(OR(EQ78="Пост",EQ78="Отоп"),1,IF(EQ78="ВНГ",0.7,0))))))</f>
        <v>0.5</v>
      </c>
      <c r="ES78">
        <f t="shared" si="179"/>
        <v>1</v>
      </c>
      <c r="ET78">
        <f t="shared" si="180"/>
        <v>1.9</v>
      </c>
      <c r="EU78">
        <f t="shared" si="181"/>
        <v>0</v>
      </c>
      <c r="EV78">
        <f t="shared" si="182"/>
        <v>0.95</v>
      </c>
      <c r="EW78">
        <f t="shared" si="183"/>
        <v>0</v>
      </c>
      <c r="EX78">
        <f t="shared" si="184"/>
        <v>0</v>
      </c>
      <c r="EY78">
        <f t="shared" si="185"/>
        <v>0</v>
      </c>
      <c r="EZ78">
        <f t="shared" si="186"/>
        <v>1.9</v>
      </c>
      <c r="FA78">
        <f t="shared" si="187"/>
        <v>1.52</v>
      </c>
      <c r="FB78">
        <f t="shared" si="188"/>
        <v>1.9</v>
      </c>
      <c r="FC78" t="str">
        <f t="shared" si="189"/>
        <v/>
      </c>
      <c r="FD78" t="str">
        <f>IF(B78="","",IF(CA78=0,IF(AW78=1,"",FF77),IF(OR(N(CV78)&gt;=3,N(BR78)&gt;=3),"L1,L2,L3",IFERROR(_xlfn.TEXTBEFORE(_xlfn.TEXTAFTER(_xlfn.XLOOKUP(A78,Щиты[Щит],Щиты[_фазы авто]),";"&amp;AW78&amp;":"),";"),"L1"))))</f>
        <v>L3</v>
      </c>
      <c r="FE78" t="str">
        <f t="shared" si="190"/>
        <v>L3</v>
      </c>
      <c r="FF78" t="str">
        <f t="shared" si="191"/>
        <v>L3</v>
      </c>
      <c r="FG78" cm="1">
        <f t="array" ref="FG78">IFERROR(IF(BX78=2,_xlfn.IFS(BR78=3,VLOOKUP(BN78,Справочная_двигатели,3,FALSE),BR78=1,VLOOKUP(BN78,Справочная_двигатели,5,TRUE)),0),0)</f>
        <v>0</v>
      </c>
      <c r="FH78">
        <f>IFERROR(IF(BX78=3,VLOOKUP(BN78,Справочная_ЛЭД,2,TRUE),0),0)</f>
        <v>0</v>
      </c>
      <c r="FI78" s="6">
        <f t="shared" si="192"/>
        <v>0</v>
      </c>
      <c r="FJ78" t="str" cm="1">
        <f t="array" ref="FJ78">IF(B78="","",IFERROR(INDEX({"I особая","I","II","III"},MATCH(TRIM(AC78&amp;""),{"I особая","I","II","III"},0)),"III"))</f>
        <v>II</v>
      </c>
      <c r="FK78" t="str">
        <f>IF(B78="","",IF(TRIM(AD78&amp;"")&lt;&gt;"",IF(LOWER(TRIM(AD78&amp;""))="да","да","нет"),IF(IFERROR(_xlfn.XLOOKUP(AX78,Коды_код,Коды_пожарная),"")="да","да","нет")))</f>
        <v>нет</v>
      </c>
      <c r="FL78" t="str">
        <f t="shared" si="193"/>
        <v/>
      </c>
      <c r="FM78" t="str">
        <f t="shared" si="194"/>
        <v>основная</v>
      </c>
      <c r="FN78">
        <f t="shared" si="195"/>
        <v>1</v>
      </c>
      <c r="FO78" t="str" cm="1">
        <f t="array" ref="FO78">IF(B78="","",_xlfn.LET(_xlpm.t,IFERROR(_xlfn.XLOOKUP(1,(Шины[Шина]=FM78)*(((Шины[Щит]=A78)+(Шины[Щит]=""))&gt;0),Шины[Тип]),"")&amp;"",IF(_xlpm.t&lt;&gt;"",_xlpm.t,IF(ISNUMBER(SEARCH("ИБП",FM78)),"ИБП",IF(ISNUMBER(SEARCH("ДГУ",FM78)),"ДГУ","Ввод "&amp;FN78)))))</f>
        <v>Ввод 1</v>
      </c>
      <c r="FP78" t="str">
        <f t="shared" si="196"/>
        <v>Ввод 1</v>
      </c>
      <c r="FQ78" t="str">
        <f>IF(B78="","",IF(OR(FO78="ИБП",FO78="ДГУ"),"I особая",IF(FO78="Одиночная","III",_xlfn.XLOOKUP(A78,Щиты[Щит],Щиты[Категория шины «Ввод»],"III"))))</f>
        <v>II</v>
      </c>
      <c r="FR78">
        <f>IF(B78="",0,IFERROR(MATCH(FJ78,{"III","II","I","I особая"},0),1))</f>
        <v>2</v>
      </c>
      <c r="FS78">
        <f t="shared" si="197"/>
        <v>2</v>
      </c>
      <c r="FT78" t="str">
        <f>IF(B78="","",IF(FR78&gt;IFERROR(MATCH(FQ78,{"III","II","I","I особая"},0),1),"НЕ ОБЕСПЕЧЕНА","ОК"))</f>
        <v>ОК</v>
      </c>
      <c r="FU78" t="str">
        <f>IF(A78="","",_xlfn.XLOOKUP(A78,Щиты[Щит],Щиты[Путь],""))</f>
        <v>|ГРЩ-ЖД|ЩОВ-001|</v>
      </c>
      <c r="FV78" t="str">
        <f>IF(B78="","",IF(AE78&lt;&gt;"",AE78,IF(IFERROR(_xlfn.XLOOKUP(AX78,Коды_код,Коды_вид)&amp;"","")="","Прочее",_xlfn.XLOOKUP(AX78,Коды_код,Коды_вид)&amp;"")))</f>
        <v>Кондиционирование и увлажнение</v>
      </c>
      <c r="FW78">
        <f>IF(BH78="","",INT((BH78-1)/Столбцов_на_лист)+1)</f>
        <v>3</v>
      </c>
      <c r="FX78" t="str">
        <f t="shared" si="198"/>
        <v>ВВГнг(А)-LS (3х2,5) L=32-2,07%</v>
      </c>
      <c r="FY78">
        <f t="shared" si="199"/>
        <v>1.9</v>
      </c>
      <c r="FZ78">
        <f t="shared" si="200"/>
        <v>10.29</v>
      </c>
      <c r="GA78">
        <f t="shared" si="201"/>
        <v>1</v>
      </c>
      <c r="GB78">
        <f t="shared" si="202"/>
        <v>0</v>
      </c>
      <c r="GC78">
        <f t="shared" si="203"/>
        <v>1</v>
      </c>
      <c r="GD78">
        <f>IF(BH78="","",IF(AND(CA78=1,GC78=1),COUNTIFS(A$3:A78,A78,CA$3:CA78,1,GC$3:GC78,1),IF(OR(OR(AW78=1,A78&lt;&gt;A77),AF78="вручную",GC78=0),"",IF(AW78=1,"",GE77))))</f>
        <v>25</v>
      </c>
      <c r="GE78">
        <f t="shared" si="204"/>
        <v>25</v>
      </c>
      <c r="GF78">
        <f>IF(B78="","",IFERROR(LOOKUP(INDEX(CHOOSE(DL78,Iдоп_1ж,Iдоп_2ж,Iдоп_3ж),MATCH(DX78,Iдоп_S,0))*DJ78*DK78,{6,10,16,20,25,32,40,50,63,80,100,125,160,200,250,315,400,500,630}),""))</f>
        <v>25</v>
      </c>
      <c r="GG78" t="str">
        <f t="shared" si="205"/>
        <v>QF25</v>
      </c>
      <c r="GH78" t="str">
        <f t="shared" si="206"/>
        <v>QF25</v>
      </c>
      <c r="GI78" t="str">
        <f t="shared" si="207"/>
        <v/>
      </c>
      <c r="GJ78">
        <f t="shared" si="208"/>
        <v>0</v>
      </c>
      <c r="GK78" t="str">
        <f>IF(OR(AG78="",AG78="-"),"",IFERROR(VLOOKUP(AG78,Модули_спр,2,FALSE),"R"))</f>
        <v/>
      </c>
      <c r="GL78" t="str">
        <f>IF(GK78="","",GK78&amp;"."&amp;COUNTIFS(A$3:A78,A78,GK$3:GK78,GK78))</f>
        <v/>
      </c>
      <c r="GM78" t="str">
        <f t="shared" si="209"/>
        <v/>
      </c>
      <c r="GN78" t="str">
        <f t="shared" si="210"/>
        <v/>
      </c>
      <c r="GO78" t="str">
        <f t="shared" si="211"/>
        <v/>
      </c>
      <c r="GP78" t="str">
        <f t="shared" si="212"/>
        <v/>
      </c>
      <c r="GQ78">
        <f t="shared" si="213"/>
        <v>1</v>
      </c>
      <c r="GR78" t="str">
        <f>IF(GQ78=1,"XT"&amp;COUNTIFS(A$3:A78,A78,GQ$3:GQ78,1),"")</f>
        <v>XT25</v>
      </c>
      <c r="GS78" t="str">
        <f t="shared" si="214"/>
        <v/>
      </c>
      <c r="GT78" t="str">
        <f t="shared" si="215"/>
        <v>QF25</v>
      </c>
      <c r="GU78" t="str">
        <f t="shared" si="216"/>
        <v/>
      </c>
      <c r="GV78" t="str">
        <f t="shared" si="217"/>
        <v>ok</v>
      </c>
      <c r="GW78" t="str">
        <f>IF(OR(GO78="",GM78=""),"",IF(GO78&gt;IFERROR(VLOOKUP(GN78,Модули_спр,3,FALSE),99),"ЛИШНИЙ КАНАЛ",IF(AND(AH78&lt;&gt;"=",COUNTIFS(Линии[_модуль гр.],GM78,Линии[Канал (итог)],GO78,Линии[Канал],"&lt;&gt;=",Линии[Щит],A78)&gt;1),"ДУБЛЬ КАНАЛА","")))</f>
        <v/>
      </c>
      <c r="GX78" s="6" t="str">
        <f t="shared" si="218"/>
        <v/>
      </c>
      <c r="GY78">
        <f t="shared" si="219"/>
        <v>10</v>
      </c>
      <c r="GZ78" t="str">
        <f t="shared" si="220"/>
        <v/>
      </c>
      <c r="HA78" t="str">
        <f>IF(AND(B78="",GT78=""),"",_xlfn.TEXTJOIN("; ",TRUE,IF(AND(B78&lt;&gt;"",FE78=""),"нет фазы",""),IF(AND(B78&lt;&gt;"",N(FY78)=0,EQ78&lt;&gt;"Нет"),"нет мощности",""),IF(AND(GS78&lt;&gt;"",COUNTIFS(Линии[Щит],A78,Линии[Клемма (итог)],GS78)&gt;1),"дубль клеммы "&amp;GS78,""),IF(AND(GV78&lt;&gt;"",GV78&lt;&gt;"ok"),GV78,""),IF(GW78&lt;&gt;"",GW78,""),IF(AND(N(BV78)&gt;=4,N(BR78)=1),BV78&amp;" жил на 1 фазе",""),IF(AND(AX78="R",CA78=1,OR(N(CK78)=0,N(CK78)&gt;30)),"розетка без дифзащиты до 30 мА",""),IFERROR(IF(AND(ISNUMBER(R78),R78&gt;DV78),"потери "&amp;FIXED(R78,1)&amp;" % &gt; "&amp;DV78&amp;" %",""),""),IFERROR(IF(LEFT(GZ78,4)="мало","Iкз мало — отключение &gt; 0,4 с",""),""),IF(AND(B78&lt;&gt;"",BH78=""),"не на схеме",""),IF(AND(CA78=0,B78&lt;&gt;"",FE78&lt;&gt;"",IF(AW78=1,"",FF77)&lt;&gt;"",FE78&lt;&gt;IF(AW78=1,"",FF77)),"фаза не как у автомата группы ("&amp;IF(AW78=1,"",FF77)&amp;")","")))</f>
        <v/>
      </c>
      <c r="HB78" s="6">
        <f>IF(OR(CA78=0,DA78=""),"",_xlfn.LET(_xlpm.t,IFERROR(_xlfn.XLOOKUP(DA78,Каталог!$U$4:$U$500,Каталог!$G$4:$G$500),""),_xlpm.k,SEARCH("кА",_xlpm.t),IFERROR(--TRIM(RIGHT(SUBSTITUTE(MID(_xlpm.t,MAX(1,_xlpm.k-4),_xlpm.k-MAX(1,_xlpm.k-4))," ",REPT(" ",9)),5)),"")))</f>
        <v>6</v>
      </c>
      <c r="HC78" t="str">
        <f>IF(OR(HB78="",CA78=0),"",IF(_xlfn.XLOOKUP(A78,Щиты[Щит],Щиты[Iкз max на шинах, кА],"")="","",IF(HB78&lt;_xlfn.XLOOKUP(A78,Щиты[Щит],Щиты[Iкз max на шинах, кА]),"Icu "&amp;HB78&amp;" кА &lt; Iкз max","ok")))</f>
        <v/>
      </c>
      <c r="HD78" t="str">
        <f t="shared" si="221"/>
        <v/>
      </c>
      <c r="HE78" t="str">
        <f t="shared" si="222"/>
        <v>QF25</v>
      </c>
      <c r="HF78" t="str">
        <f t="shared" si="223"/>
        <v>QF25|кабель ВВГнг(А)-LS (3х2,5) → Внешний блок кондиционирования Пом. Венткиосок</v>
      </c>
      <c r="HG78" t="str" cm="1">
        <f t="array" ref="HG78">IF(HF78="","",_xlfn.LET(_xlpm.nd,_xlfn.TEXTSPLIT(HF78,"|"),IF(COLUMNS(_xlpm.nd)&gt;1,A78&amp;"¦"&amp;INDEX(_xlpm.nd,1)&amp;"¦"&amp;INDEX(_xlpm.nd,2),"")))</f>
        <v>ЩОВ-001¦QF25¦кабель ВВГнг(А)-LS (3х2,5) → Внешний блок кондиционирования Пом. Венткиосок</v>
      </c>
      <c r="HH78" t="str">
        <f t="shared" si="224"/>
        <v>K.10¦Внешний блок кондиционирования Пом. Венткиосок</v>
      </c>
      <c r="HI78" t="str" cm="1">
        <f t="array" ref="HI78">IF(HF78="","",_xlfn.LET(_xlpm.nd,_xlfn.TEXTSPLIT(HF78,"|"),IF(COLUMNS(_xlpm.nd)&gt;2,A78&amp;"¦"&amp;INDEX(_xlpm.nd,2)&amp;"¦"&amp;INDEX(_xlpm.nd,3),"")))</f>
        <v/>
      </c>
      <c r="HJ78" t="str">
        <f t="shared" si="225"/>
        <v/>
      </c>
      <c r="HK78" t="str" cm="1">
        <f t="array" ref="HK78">IF(HF78="","",_xlfn.LET(_xlpm.nd,_xlfn.TEXTSPLIT(HF78,"|"),IF(COLUMNS(_xlpm.nd)&gt;3,A78&amp;"¦"&amp;INDEX(_xlpm.nd,3)&amp;"¦"&amp;INDEX(_xlpm.nd,4),"")))</f>
        <v/>
      </c>
      <c r="HL78" t="str">
        <f t="shared" si="226"/>
        <v/>
      </c>
      <c r="HM78" t="str" cm="1">
        <f t="array" ref="HM78">IF(HF78="","",_xlfn.LET(_xlpm.nd,_xlfn.TEXTSPLIT(HF78,"|"),IF(COLUMNS(_xlpm.nd)&gt;4,A78&amp;"¦"&amp;INDEX(_xlpm.nd,4)&amp;"¦"&amp;INDEX(_xlpm.nd,5),"")))</f>
        <v/>
      </c>
      <c r="HN78" t="str">
        <f t="shared" si="227"/>
        <v/>
      </c>
      <c r="HO78" t="str" cm="1">
        <f t="array" ref="HO78">IF(HF78="","",_xlfn.LET(_xlpm.nd,_xlfn.TEXTSPLIT(HF78,"|"),IF(COLUMNS(_xlpm.nd)&gt;5,A78&amp;"¦"&amp;INDEX(_xlpm.nd,5)&amp;"¦"&amp;INDEX(_xlpm.nd,6),"")))</f>
        <v/>
      </c>
      <c r="HP78" t="str">
        <f t="shared" si="228"/>
        <v/>
      </c>
      <c r="HQ78" t="str" cm="1">
        <f t="array" ref="HQ78">IF(HF78="","",_xlfn.LET(_xlpm.nd,_xlfn.TEXTSPLIT(HF78,"|"),IF(COLUMNS(_xlpm.nd)&gt;6,A78&amp;"¦"&amp;INDEX(_xlpm.nd,6)&amp;"¦"&amp;INDEX(_xlpm.nd,7),"")))</f>
        <v/>
      </c>
      <c r="HR78" t="str">
        <f t="shared" si="229"/>
        <v/>
      </c>
      <c r="HS78" t="str">
        <f t="shared" si="230"/>
        <v/>
      </c>
      <c r="HT78" t="str">
        <f t="shared" si="231"/>
        <v>QF25</v>
      </c>
      <c r="HU78">
        <f t="shared" si="232"/>
        <v>0</v>
      </c>
      <c r="HV78">
        <f t="shared" si="233"/>
        <v>0</v>
      </c>
      <c r="HW78" t="str">
        <f t="shared" si="234"/>
        <v/>
      </c>
      <c r="HX78" t="str">
        <f t="shared" si="235"/>
        <v/>
      </c>
      <c r="HY78" t="str">
        <f t="shared" si="236"/>
        <v/>
      </c>
      <c r="HZ78" t="str">
        <f t="shared" si="237"/>
        <v/>
      </c>
      <c r="IA78">
        <f>IF(B78="","",IFERROR(VLOOKUP(B78,УГО_спр,2,FALSE),IFERROR(VLOOKUP(AX78,УГО_спр,2,FALSE),IFERROR(VLOOKUP(LEFT(AX78,2),УГО_спр,2,FALSE),""))))</f>
        <v>0</v>
      </c>
      <c r="IB78" t="str">
        <f>IF(B78="","",IF(OR(IA78="",IA78=0),"BOX",IFERROR(IF(VLOOKUP(IA78,УГО_блоки,3,FALSE)&amp;""&lt;&gt;"",VLOOKUP(IA78,УГО_блоки,3,FALSE),VLOOKUP(IA78,УГО_блоки,2,FALSE)),IA78)))</f>
        <v>BOX</v>
      </c>
      <c r="IC78">
        <f t="shared" si="238"/>
        <v>1</v>
      </c>
      <c r="ID78" t="str">
        <f>IF(DA78="","",IF(COUNTIF(DA$3:DA78,DA78)=1,MAX(ID$2:ID77)+1,""))</f>
        <v/>
      </c>
      <c r="IE78" t="str">
        <f>IF(CO78="","",IF(COUNTIF(CO$3:CO78,CO78)+COUNTIF(CP$2:CP77,CO78)+COUNTIF(CQ$2:CQ77,CO78)=1,MAX(IE$2:IG77)+1,""))</f>
        <v/>
      </c>
      <c r="IF78" t="str">
        <f>IF(CP78="","",IF(COUNTIF(CO$3:CO78,CP78)+COUNTIF(CP$3:CP78,CP78)+COUNTIF(CQ$2:CQ77,CP78)=1,MAX(IE$2:IG77,IE78)+1,""))</f>
        <v/>
      </c>
      <c r="IG78" t="str">
        <f>IF(CQ78="","",IF(COUNTIF(CO$3:CO78,CQ78)+COUNTIF(CP$3:CP78,CQ78)+COUNTIF(CQ$3:CQ78,CQ78)=1,MAX(IE$2:IG77,IE78,IF78)+1,""))</f>
        <v/>
      </c>
      <c r="IH78" t="str">
        <f t="shared" si="239"/>
        <v>3х2,5</v>
      </c>
      <c r="II78" t="str">
        <f>IF(IH78="","",IF(COUNTIF(IH$3:IH78,IH78)=1,MAX(II$2:II77)+1,""))</f>
        <v/>
      </c>
      <c r="IJ78" t="str">
        <f>IF(GL78="","",COUNTIF(GL$3:GL78,"?*"))</f>
        <v/>
      </c>
      <c r="IK78" t="str">
        <f>IF(OR(GL78="",GN78=""),"",IF(COUNTIFS(GL$3:GL78,"?*",GN$3:GN78,GN78)=1,MAX(IK$2:IK77)+1,""))</f>
        <v/>
      </c>
      <c r="IL78">
        <f t="shared" si="240"/>
        <v>0</v>
      </c>
      <c r="IM78">
        <f>IF(B78="","",COUNTIF(B$3:B78,"?*"))</f>
        <v>76</v>
      </c>
      <c r="IN78">
        <f>IF(GQ78&lt;&gt;1,0,_xlfn.LET(_xlpm.k,MAX(IFERROR(--VLOOKUP(B78,УГО_спр,5,FALSE),0),IFERROR(--VLOOKUP(AX78,УГО_спр,5,FALSE),0),IFERROR(--VLOOKUP(LEFT(AX78,2),УГО_спр,5,FALSE),0)),IF(_xlpm.k&gt;0,_xlpm.k,IF(IFERROR(--LEFT(SUBSTITUTE(IH78,"x","х"),FIND("х",SUBSTITUTE(IH78,"x","х"))-1),3)&gt;3,Каталог!$S$9,1))))</f>
        <v>1</v>
      </c>
      <c r="IO78">
        <f t="shared" si="241"/>
        <v>0</v>
      </c>
      <c r="IP78" t="str">
        <f t="shared" si="242"/>
        <v>авто</v>
      </c>
      <c r="IQ78" t="str">
        <f t="shared" si="243"/>
        <v/>
      </c>
      <c r="IR78">
        <f t="shared" si="244"/>
        <v>0</v>
      </c>
      <c r="IS78">
        <f t="shared" si="245"/>
        <v>1</v>
      </c>
    </row>
    <row r="79" spans="1:253" x14ac:dyDescent="0.3">
      <c r="A79" t="s">
        <v>749</v>
      </c>
      <c r="B79" t="s">
        <v>1351</v>
      </c>
      <c r="C79" t="s">
        <v>1619</v>
      </c>
      <c r="D79">
        <v>1</v>
      </c>
      <c r="E79">
        <v>1.9</v>
      </c>
      <c r="G79">
        <v>16</v>
      </c>
      <c r="H79" t="str">
        <f>Линии[[#This Row],[_авто утечка]]</f>
        <v/>
      </c>
      <c r="I79" t="str">
        <f>Линии[[#This Row],[_авто управление]]</f>
        <v/>
      </c>
      <c r="J79" t="str">
        <f>Линии[[#This Row],[_авто аппараты]]</f>
        <v/>
      </c>
      <c r="K79">
        <v>2.5</v>
      </c>
      <c r="L79">
        <v>32</v>
      </c>
      <c r="M79" t="str">
        <f>Линии[[#This Row],[_авто фаза]]</f>
        <v>L1</v>
      </c>
      <c r="N79" t="s">
        <v>486</v>
      </c>
      <c r="O79" t="str">
        <f t="shared" si="123"/>
        <v/>
      </c>
      <c r="P79" s="6" cm="1">
        <f t="array" ref="P79">IF(B79="","",IF(BC79&lt;&gt;"",IFERROR(_xlfn.XLOOKUP(BC79,Щиты[Щит],Щиты[Iр, А]),""),IF(BK79=1,IFERROR(_xlfn.XLOOKUP(A79,Щиты[Щит],Щиты[Iр, А]),""),IFERROR(_xlfn.IFS(BR79=1,BN79/((Uн_лин/SQRT(3))*BY79),BR79=3,BN79/(SQRT(3)*Uн_лин*BY79)),""))))</f>
        <v>10.284051669940206</v>
      </c>
      <c r="Q79" s="7">
        <f>IF(B79="","",IFERROR(IF(VLOOKUP(AX79,Потребители_обозначение,4,FALSE)=1,VLOOKUP(AX79,Потребители_обозначение,3,FALSE)*(D79*2-1)+DS79+VLOOKUP(AZ79,Этаж_обозначение,3,FALSE)+VLOOKUP(AZ79,Этаж_обозначение,4,FALSE),VLOOKUP(AX79,Потребители_обозначение,3,FALSE)*(D79*2-1)+DS79),DS79))</f>
        <v>32</v>
      </c>
      <c r="R79" s="6">
        <f t="shared" si="124"/>
        <v>2.71</v>
      </c>
      <c r="S79" t="str">
        <f t="shared" si="125"/>
        <v>ВВГнг(А)-LS (3х2,5)</v>
      </c>
      <c r="T79" t="str">
        <f>IF(BH79="","",IF(BI79="вводной узел","узел ","")&amp;"л."&amp;(INT((BH79-1)/Столбцов_на_лист)+1)&amp;" / "&amp;(MOD(BH79-1,Столбцов_на_лист)+1))</f>
        <v>л.3 / 13</v>
      </c>
      <c r="V79">
        <v>1</v>
      </c>
      <c r="W79">
        <v>230</v>
      </c>
      <c r="X79" t="s">
        <v>600</v>
      </c>
      <c r="Y79">
        <v>0.5</v>
      </c>
      <c r="AC79" t="s">
        <v>815</v>
      </c>
      <c r="AE79" t="s">
        <v>578</v>
      </c>
      <c r="AI79">
        <v>47</v>
      </c>
      <c r="AJ79" t="s">
        <v>11</v>
      </c>
      <c r="AK79">
        <v>3</v>
      </c>
      <c r="AN79">
        <v>28</v>
      </c>
      <c r="AP79">
        <v>1</v>
      </c>
      <c r="AW79" cm="1">
        <f t="array" ref="AW79">ROW()-ROW(Линии[#Headers])</f>
        <v>77</v>
      </c>
      <c r="AX79" s="6" t="str">
        <f t="shared" si="126"/>
        <v>K</v>
      </c>
      <c r="AY79" t="str">
        <f t="shared" si="127"/>
        <v>11</v>
      </c>
      <c r="AZ79" t="str">
        <f t="shared" si="128"/>
        <v>11</v>
      </c>
      <c r="BA79" t="str">
        <f t="shared" si="129"/>
        <v/>
      </c>
      <c r="BB79" t="str">
        <f t="shared" si="130"/>
        <v/>
      </c>
      <c r="BC79" t="str">
        <f>IF(U79&lt;&gt;"",U79,IF(AND(B79&lt;&gt;"",B79&lt;&gt;A79,ISNUMBER(_xlfn.XMATCH(B79,Щиты[Щит]))),B79,""))</f>
        <v/>
      </c>
      <c r="BD79" t="str" cm="1">
        <f t="array" ref="BD79">IF(B79="","",IF(BC79&lt;&gt;"","Щит "&amp;BC79,_xlfn.LET(_xlpm.nm,IFERROR(_xlfn.XLOOKUP(AX79,Коды_код,Коды_имя)&amp;"",""),_xlpm.md,IFERROR(N(_xlfn.XLOOKUP(AX79,Коды_код,Коды_режим)),1),_xlpm.ex,IF(Имя_режим="по экспликации",IFERROR(_xlfn.XLOOKUP(AZ79&amp;"|"&amp;BB79,Экспликация[Этаж]&amp;"|"&amp;Экспликация[Помещение],Экспликация[Название])&amp;"",""),""),_xlpm.rm,IF(BB79="","",IF(_xlpm.ex&lt;&gt;"",". "&amp;_xlpm.ex&amp;IF(Имя_пом="нет"," ("&amp;BB79&amp;")"," (пом. "&amp;BB79&amp;")"),IF(Имя_пом="нет"," ",", пом. ")&amp;BB79)),IF(_xlpm.nm="","",IF(_xlpm.md=2,_xlpm.nm&amp;" шлейф "&amp;AZ79,_xlpm.nm&amp;_xlpm.rm)))))</f>
        <v>Внутренний блок кондиционирования</v>
      </c>
      <c r="BE79" t="str">
        <f t="shared" si="131"/>
        <v>Внешний блок кондиционирования Пом. Венткиосок</v>
      </c>
      <c r="BF79">
        <f>IFERROR(_xlfn.XMATCH(A79,Щиты[Щит]),0)</f>
        <v>4</v>
      </c>
      <c r="BG79">
        <f>_xlfn.LET(_xlpm.k,IFERROR(_xlfn.XLOOKUP(A79,Щиты[Щит],Щиты[Листов под вводной узел]),""),IF(_xlpm.k="",1,N(_xlpm.k))*Столбцов_на_лист)</f>
        <v>17</v>
      </c>
      <c r="BH79">
        <f t="shared" si="132"/>
        <v>47</v>
      </c>
      <c r="BI79" t="str">
        <f t="shared" si="133"/>
        <v>линии</v>
      </c>
      <c r="BJ79" s="6">
        <f>IFERROR(N(_xlfn.XLOOKUP(AX79,Коды_код,Коды_квт)),0)</f>
        <v>0</v>
      </c>
      <c r="BK79">
        <f t="shared" si="134"/>
        <v>0</v>
      </c>
      <c r="BL79" t="str">
        <f>IF(B79="","",IF(BC79&lt;&gt;"",IFERROR(_xlfn.XLOOKUP(BC79,Щиты[Щит],Щиты[Руст, кВт]),0),IF(BK79=1,IFERROR(_xlfn.XLOOKUP(A79,Щиты[Щит],Щиты[Руст, кВт]),0),IF(BJ79&gt;0,ROUND(BJ79*MAX(1,N(D79)),3),""))))</f>
        <v/>
      </c>
      <c r="BM79">
        <f t="shared" si="135"/>
        <v>1.9</v>
      </c>
      <c r="BN79" s="6">
        <f>IF(B79="","",IF(BC79&lt;&gt;"",IFERROR(_xlfn.XLOOKUP(BC79,Щиты[Щит],Щиты[Руст, кВт]),0),N(BM79)))</f>
        <v>1.9</v>
      </c>
      <c r="BO79" t="str">
        <f>IF(B79="","",IFERROR(IF(VLOOKUP(AX79,Потребители_обозначение,8,FALSE)=0,"",VLOOKUP(AX79,Потребители_обозначение,8,FALSE)),""))</f>
        <v/>
      </c>
      <c r="BP79">
        <f t="shared" si="136"/>
        <v>230</v>
      </c>
      <c r="BQ79">
        <f>IF(B79="","",IF(BC79&lt;&gt;"",3,IFERROR(IF(N(VLOOKUP(AX79,Потребители_обозначение,9,FALSE))=0,1,VLOOKUP(AX79,Потребители_обозначение,9,FALSE)),1)))</f>
        <v>1</v>
      </c>
      <c r="BR79">
        <f t="shared" si="137"/>
        <v>1</v>
      </c>
      <c r="BS79" t="str">
        <f>IF(B79="","",_xlfn.LET(_xlpm.bc,IFERROR(IF(VLOOKUP(AX79,Потребители_обозначение,6,FALSE)=0,"",VLOOKUP(AX79,Потребители_обозначение,6,FALSE)&amp;""),""),IF(AND(FK79="да",OR(_xlpm.bc="",_xlpm.bc="мс")),Марка_пож,IF(AND(_xlpm.bc="",BC79&lt;&gt;""),"мс",_xlpm.bc))))</f>
        <v/>
      </c>
      <c r="BT79" t="str">
        <f t="shared" si="138"/>
        <v>мс</v>
      </c>
      <c r="BU79">
        <f>IF(B79="","",_xlfn.LET(_xlpm.cc,IFERROR(N(VLOOKUP(AX79,Потребители_обозначение,7,FALSE)),0),IF(_xlpm.cc&gt;0,_xlpm.cc,IF(BT79="","",IF(N(BR79)=3,5,3)))))</f>
        <v>3</v>
      </c>
      <c r="BV79">
        <f t="shared" si="139"/>
        <v>3</v>
      </c>
      <c r="BW79">
        <f>IFERROR(N(VLOOKUP(AX79,Потребители_обозначение,10,FALSE)),0)</f>
        <v>0</v>
      </c>
      <c r="BX79">
        <f>IFERROR(VLOOKUP(AX79,Потребители_обозначение,5,FALSE),0)</f>
        <v>1</v>
      </c>
      <c r="BY79" s="6" cm="1">
        <f t="array" ref="BY79">IF(B79="","",IF(BC79&lt;&gt;"",IFERROR(_xlfn.XLOOKUP(BC79,Щиты[Щит],Щиты[cos φ]),0.95),IF(BK79=1,IFERROR(_xlfn.XLOOKUP(A79,Щиты[Щит],Щиты[cos φ]),0.95),IF(ISNUMBER(Z79),Z79,IFERROR(IF(BX79=2,_xlfn.IFS(BR79=3,VLOOKUP(BN79,Справочная_двигатели,8,FALSE),BR79=1,VLOOKUP(BN79,Справочная_двигатели,10,TRUE)),IF(AND(Методика="нормы 2026",EQ79="Сил"),0.8,0.95)),0.95)))))</f>
        <v>0.8</v>
      </c>
      <c r="BZ79">
        <f t="shared" si="140"/>
        <v>0</v>
      </c>
      <c r="CA79">
        <f t="shared" si="141"/>
        <v>1</v>
      </c>
      <c r="CB79">
        <f t="shared" si="142"/>
        <v>0</v>
      </c>
      <c r="CC79">
        <f t="shared" si="143"/>
        <v>0</v>
      </c>
      <c r="CD79">
        <f t="shared" si="144"/>
        <v>0</v>
      </c>
      <c r="CE79">
        <f t="shared" si="145"/>
        <v>0</v>
      </c>
      <c r="CF79">
        <f t="shared" si="146"/>
        <v>0</v>
      </c>
      <c r="CG79">
        <f>IF(AX79="",0,_xlfn.LET(_xlpm.v,IFERROR(VLOOKUP(B79,УГО_спр,3,FALSE),IFERROR(VLOOKUP(AX79,УГО_спр,3,FALSE),IFERROR(VLOOKUP(LEFT(AX79,2),УГО_спр,3,FALSE),""))),IF(_xlpm.v="да",30,IF(ISNUMBER(_xlpm.v),_xlpm.v,0))))</f>
        <v>0</v>
      </c>
      <c r="CH79" t="str">
        <f t="shared" si="147"/>
        <v/>
      </c>
      <c r="CI79" t="str">
        <f>_xlfn.LET(_xlpm.k,IFERROR(_xlfn.XLOOKUP(AX79,Коды_код,Коды_утечка)&amp;"",""),IF(_xlpm.k="","дифавтомат",_xlpm.k))</f>
        <v>дифавтомат</v>
      </c>
      <c r="CJ79">
        <f t="shared" si="148"/>
        <v>0</v>
      </c>
      <c r="CK79">
        <f t="shared" si="149"/>
        <v>0</v>
      </c>
      <c r="CL79">
        <f>IF(B79="",0,IFERROR(--VLOOKUP(B79,УГО_спр,4,FALSE),IFERROR(--VLOOKUP(AX79,УГО_спр,4,FALSE),IFERROR(--VLOOKUP(LEFT(AX79,2),УГО_спр,4,FALSE),0))))</f>
        <v>0</v>
      </c>
      <c r="CM79" t="str">
        <f>IF(B79="","",IFERROR(_xlfn.XLOOKUP(AX79,Коды_код,Коды_апп)&amp;"",""))</f>
        <v/>
      </c>
      <c r="CN79" t="str">
        <f t="shared" si="150"/>
        <v/>
      </c>
      <c r="CO79" t="str" cm="1">
        <f t="array" ref="CO79">IF(TRIM(CN79&amp;"")="","",IFERROR(TRIM(INDEX(_xlfn.TEXTSPLIT(CN79&amp;";;;",";"),1)),""))</f>
        <v/>
      </c>
      <c r="CP79" t="str" cm="1">
        <f t="array" ref="CP79">IF(TRIM(CN79&amp;"")="","",IFERROR(TRIM(INDEX(_xlfn.TEXTSPLIT(CN79&amp;";;;",";"),2)),""))</f>
        <v/>
      </c>
      <c r="CQ79" t="str" cm="1">
        <f t="array" ref="CQ79">IF(TRIM(CN79&amp;"")="","",IFERROR(TRIM(INDEX(_xlfn.TEXTSPLIT(CN79&amp;";;;",";"),3)),""))</f>
        <v/>
      </c>
      <c r="CR79">
        <f t="shared" si="151"/>
        <v>0</v>
      </c>
      <c r="CS79" t="str">
        <f>IF(B79="","",_xlfn.LET(_xlpm.t,LOWER(AV79&amp;""),IF(ISNUMBER(SEARCH("dim",_xlpm.t)),"DIM",IF(ISNUMBER(SEARCH("dali",_xlpm.t)),"DALI",IF(OR(ISNUMBER(SEARCH("relay",_xlpm.t)),ISNUMBER(SEARCH("реле",_xlpm.t))),"Relay",IF(ISNUMBER(SEARCH("кнопк",_xlpm.t)),"",IFERROR(_xlfn.XLOOKUP(AX79,Коды_код,Коды_упр)&amp;"","")))))))</f>
        <v/>
      </c>
      <c r="CT79" t="str">
        <f t="shared" si="152"/>
        <v/>
      </c>
      <c r="CU79">
        <f>IF(B79="","",_xlfn.LET(_xlpm.ig,N(P79)+IF(AF79="вручную",0,N(CB79)),_xlpm.n0,IFERROR(VLOOKUP(_xlpm.ig,Автомат_номиналы,2,TRUE),0),_xlpm.mn,MAX(CL79,IF(AF79="вручную",0,N(CE79))),MAX(_xlpm.n0,_xlpm.mn,IF(CR79=1,Мин_автомат_БП,0))))</f>
        <v>16</v>
      </c>
      <c r="CV79">
        <f t="shared" si="153"/>
        <v>1</v>
      </c>
      <c r="CW79" t="str">
        <f t="shared" si="154"/>
        <v>1P</v>
      </c>
      <c r="CX79" t="str">
        <f>_xlfn.LET(_xlpm.cc,UPPER(TRIM(IFERROR(_xlfn.XLOOKUP(AX79,Коды_код,Коды_хар)&amp;"",""))),IF(OR(_xlpm.cc="B",_xlpm.cc="В"),"B",IF(_xlpm.cc="D","D","С")))</f>
        <v>С</v>
      </c>
      <c r="CY79" t="str">
        <f t="shared" si="155"/>
        <v>1P С16А</v>
      </c>
      <c r="CZ79">
        <f t="shared" si="156"/>
        <v>16</v>
      </c>
      <c r="DA79" t="str">
        <f t="shared" si="157"/>
        <v>1P С16А</v>
      </c>
      <c r="DB79" cm="1">
        <f t="array" ref="DB79">IF(DA79="","",_xlfn.LET(_xlpm.t,SUBSTITUTE(SUBSTITUTE(SUBSTITUTE(UPPER(DA79),"С","C"),"А","A"),"В","B"),_xlpm.tk,_xlfn.TEXTSPLIT(_xlpm.t,"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9" t="str">
        <f t="shared" si="158"/>
        <v>ok</v>
      </c>
      <c r="DD79">
        <f t="shared" si="159"/>
        <v>16</v>
      </c>
      <c r="DE79" t="str">
        <f t="shared" si="160"/>
        <v>1P С16А</v>
      </c>
      <c r="DF79">
        <f t="shared" si="161"/>
        <v>0</v>
      </c>
      <c r="DG79">
        <f t="shared" si="162"/>
        <v>0</v>
      </c>
      <c r="DH79">
        <f t="shared" si="163"/>
        <v>0</v>
      </c>
      <c r="DI79">
        <f t="shared" si="164"/>
        <v>10.284051669940206</v>
      </c>
      <c r="DJ79">
        <f t="shared" si="165"/>
        <v>1</v>
      </c>
      <c r="DK79">
        <f>IF(ISNUMBER(AL79),AL79,К_прокл)</f>
        <v>1</v>
      </c>
      <c r="DL79">
        <f t="shared" si="166"/>
        <v>2</v>
      </c>
      <c r="DM79">
        <f>IFERROR(N(VLOOKUP(BT79,Кабель_обозначение,3,FALSE)),1)</f>
        <v>1</v>
      </c>
      <c r="DN79">
        <f>IFERROR(N(_xlfn.XLOOKUP(A79,Щиты[Щит],Щиты[ΔU до шин, %])),0)</f>
        <v>0.64</v>
      </c>
      <c r="DO79" t="str">
        <f>IFERROR(_xlfn.XLOOKUP(A79,Щиты[Щит],Щиты[Zпетли на шинах, Ом]),"")</f>
        <v/>
      </c>
      <c r="DP79">
        <f>IFERROR(N(_xlfn.XLOOKUP(A79,Щиты[Щит],Щиты[ΔU до шин (подбор), %])),0)</f>
        <v>0.75</v>
      </c>
      <c r="DQ79" t="str">
        <f>IFERROR(_xlfn.XLOOKUP(A79,Щиты[Щит],Щиты[Zпетли на шинах (подбор), Ом]),"")</f>
        <v/>
      </c>
      <c r="DR79" t="str">
        <f t="shared" si="167"/>
        <v/>
      </c>
      <c r="DS79">
        <f t="shared" si="168"/>
        <v>32</v>
      </c>
      <c r="DT79">
        <f t="shared" si="169"/>
        <v>2</v>
      </c>
      <c r="DU79">
        <f t="shared" si="170"/>
        <v>0.6</v>
      </c>
      <c r="DV79" s="6">
        <f>IF(B79="","",IF(IFERROR(VLOOKUP(AX79,УГО_спр,2,FALSE),"")="Светильник",3,4)+IF(Методика="нормы 2026",MIN(0.5,MAX(0,N(Q79)-100)*0.005),0))</f>
        <v>4</v>
      </c>
      <c r="DW79" cm="1">
        <f t="array" ref="DW79">IF(OR(B79="",BT79="",DM79&lt;&gt;1),"",_xlfn.LET(_xlpm.sz,Iдоп_S,_xlpm.t_,CHOOSE(DL79,Iдоп_1ж,Iдоп_2ж,Iдоп_3ж)*DJ79*DK79,_xlpm.inn,N(DD79),_xlpm.smin,MAX(1.5,BW79),_xlpm.L_,N(Q79)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79)*(_xlpm.rho*_xlpm.L_/_xlpm.sz*N(BY79)+_xlpm.xx*_xlpm.L_*N(DU79)/1000)*N(P79)/((Uн_лин/SQRT(3))*1000)*100,999),_xlpm.kz,IF(OR(DG79=1,NOT(ISNUMBER(DQ79)),_xlpm.L_=0,_xlpm.inn=0),1,IFERROR(--(c_min*(Uн_лин*1000/SQRT(3))/(DQ79+2*ρкз_Cu*_xlpm.L_/_xlpm.sz)&gt;=GY79*_xlpm.inn),0)),_xlpm.ok,IFERROR((_xlpm.sz&gt;=_xlpm.smin)*(_xlpm.t_&gt;=_xlpm.inn)*IF(_xlpm.L_&gt;0,(_xlpm.du_+DP79&lt;=DV79+0.00001),1)*_xlpm.kz,0),_xlpm.r_,_xlfn._xlws.FILTER(_xlpm.sz,_xlpm.ok,"не подобрано"),INDEX(_xlpm.r_,1)))</f>
        <v>2.5</v>
      </c>
      <c r="DX79">
        <f t="shared" si="171"/>
        <v>2.5</v>
      </c>
      <c r="DY79" cm="1">
        <f t="array" ref="DY79">IF(OR(B79="",BT79="",DM79&lt;&gt;1),"",_xlfn.LET(_xlpm.sz,Iдоп_S,_xlpm.t_,CHOOSE(DL79,Iдоп_1ж,Iдоп_2ж,Iдоп_3ж)*DJ79*DK79,_xlpm.ok,IFERROR((_xlpm.sz&gt;=MAX(1.5,BW79))*(_xlpm.t_&gt;=N(DD79)),0),_xlpm.r_,_xlfn._xlws.FILTER(_xlpm.sz,_xlpm.ok,""),INDEX(_xlpm.r_,1)))</f>
        <v>1.5</v>
      </c>
      <c r="DZ79" s="6" cm="1">
        <f t="array" ref="DZ79">IFERROR(ROUNDUP(N(DT79)*(_xlfn.XLOOKUP(DY79,INDEX(Кабель_сопротивление,0,1),INDEX(Кабель_сопротивление,0,3))*N(Q79)/DY79*N(BY79)+_xlfn.XLOOKUP(DY79,INDEX(Кабель_сопротивление,0,1),INDEX(Кабель_сопротивление,0,2))*N(Q79)*N(DU79)/1000)*N(P79)/((Uн_лин/SQRT(3))*1000)*100,2),"")</f>
        <v>3.44</v>
      </c>
      <c r="EA79">
        <f>IFERROR(2*ρкз_Cu*N(Q79)/DY79,"")</f>
        <v>1.1221333333333334</v>
      </c>
      <c r="EB79">
        <f>IFERROR(VLOOKUP(DX79,Кабель_сопротивление,3,FALSE),"")</f>
        <v>2.2499999999999999E-2</v>
      </c>
      <c r="EC79">
        <f>IFERROR(VLOOKUP(DX79,Кабель_сопротивление,2,FALSE),"")</f>
        <v>0.1</v>
      </c>
      <c r="ED79">
        <f t="shared" si="172"/>
        <v>28</v>
      </c>
      <c r="EE79">
        <f t="shared" si="173"/>
        <v>0</v>
      </c>
      <c r="EF79">
        <f t="shared" si="174"/>
        <v>4.778381767921017</v>
      </c>
      <c r="EG79" s="6">
        <f>IFERROR(ROUNDUP(EF79/((Uн_лин/SQRT(3))*1000)*100,2),"")</f>
        <v>2.0699999999999998</v>
      </c>
      <c r="EH79" t="str">
        <f>IFERROR(VLOOKUP(BT79,Кабель_обозначение,2,FALSE),"")</f>
        <v>ВВГнг(А)-LS</v>
      </c>
      <c r="EI79" t="str">
        <f t="shared" si="175"/>
        <v>ВВГнг(А)-LS (3х2,5)</v>
      </c>
      <c r="EJ79" t="str">
        <f t="shared" si="176"/>
        <v>ВВГнг(А)-LS (3х2,5)
L=32-2,07%</v>
      </c>
      <c r="EK79">
        <f>IFERROR(2*ρкз_Cu*Q79/DX79,"")</f>
        <v>0.67327999999999999</v>
      </c>
      <c r="EL79">
        <f t="shared" si="177"/>
        <v>0.22400000000000003</v>
      </c>
      <c r="EM79" s="6" t="str">
        <f>IFERROR(IF(OR(B79="",NOT(ISNUMBER(DX79)),N(Q79)=0),"",_xlfn.XLOOKUP(A79,Щиты[Щит],Щиты[Zпетли на шинах, Ом])+EK79),"")</f>
        <v/>
      </c>
      <c r="EN79" s="6" t="str">
        <f>IF(ISNUMBER(EM79),c_min*(Uн_лин*1000/SQRT(3))/EM79,"")</f>
        <v/>
      </c>
      <c r="EO79" s="6" t="str">
        <f>IFERROR(IF(OR(B79="",NOT(ISNUMBER(DX79))),"",1.05*(Uн_лин*1000/SQRT(3))/(_xlfn.XLOOKUP(A79,Щиты[Щит],Щиты[Zmax на шинах, Ом])+EL79)/1000),"")</f>
        <v/>
      </c>
      <c r="EP79" s="6" t="str">
        <f>IF(B79="","",IF(ISNUMBER(Y79),"Сил",IF(IFERROR(_xlfn.XLOOKUP(AX79,Коды_код,Коды_группа)&amp;"","")="","Быт",_xlfn.XLOOKUP(AX79,Коды_код,Коды_группа)&amp;"")))</f>
        <v>Сил</v>
      </c>
      <c r="EQ79" s="6" t="str">
        <f t="shared" si="178"/>
        <v>Сил</v>
      </c>
      <c r="ER79" s="6">
        <f>IF(EQ79="Щит","щит",IF(EQ79="","",IF(EQ79="Быт",IFERROR(_xlfn.XLOOKUP(A79,Щиты[Щит],Щиты[Кс быт]),1),IF(EQ79="Сил",IF(ISNUMBER(Y79),Y79,IF(Методика="нормы 2026",IFERROR(_xlfn.XLOOKUP(A79,Щиты[Щит],Щиты[Кс силовых (табл. 7.5)]),1),1)),IF(OR(EQ79="Пост",EQ79="Отоп"),1,IF(EQ79="ВНГ",0.7,0))))))</f>
        <v>0.5</v>
      </c>
      <c r="ES79">
        <f t="shared" si="179"/>
        <v>1</v>
      </c>
      <c r="ET79">
        <f t="shared" si="180"/>
        <v>1.9</v>
      </c>
      <c r="EU79">
        <f t="shared" si="181"/>
        <v>0</v>
      </c>
      <c r="EV79">
        <f t="shared" si="182"/>
        <v>0.95</v>
      </c>
      <c r="EW79">
        <f t="shared" si="183"/>
        <v>0</v>
      </c>
      <c r="EX79">
        <f t="shared" si="184"/>
        <v>0</v>
      </c>
      <c r="EY79">
        <f t="shared" si="185"/>
        <v>0</v>
      </c>
      <c r="EZ79">
        <f t="shared" si="186"/>
        <v>1.9</v>
      </c>
      <c r="FA79">
        <f t="shared" si="187"/>
        <v>1.52</v>
      </c>
      <c r="FB79">
        <f t="shared" si="188"/>
        <v>1.9</v>
      </c>
      <c r="FC79" t="str">
        <f t="shared" si="189"/>
        <v/>
      </c>
      <c r="FD79" t="str">
        <f>IF(B79="","",IF(CA79=0,IF(AW79=1,"",FF78),IF(OR(N(CV79)&gt;=3,N(BR79)&gt;=3),"L1,L2,L3",IFERROR(_xlfn.TEXTBEFORE(_xlfn.TEXTAFTER(_xlfn.XLOOKUP(A79,Щиты[Щит],Щиты[_фазы авто]),";"&amp;AW79&amp;":"),";"),"L1"))))</f>
        <v>L1</v>
      </c>
      <c r="FE79" t="str">
        <f t="shared" si="190"/>
        <v>L1</v>
      </c>
      <c r="FF79" t="str">
        <f t="shared" si="191"/>
        <v>L1</v>
      </c>
      <c r="FG79" cm="1">
        <f t="array" ref="FG79">IFERROR(IF(BX79=2,_xlfn.IFS(BR79=3,VLOOKUP(BN79,Справочная_двигатели,3,FALSE),BR79=1,VLOOKUP(BN79,Справочная_двигатели,5,TRUE)),0),0)</f>
        <v>0</v>
      </c>
      <c r="FH79">
        <f>IFERROR(IF(BX79=3,VLOOKUP(BN79,Справочная_ЛЭД,2,TRUE),0),0)</f>
        <v>0</v>
      </c>
      <c r="FI79" s="6">
        <f t="shared" si="192"/>
        <v>0</v>
      </c>
      <c r="FJ79" t="str" cm="1">
        <f t="array" ref="FJ79">IF(B79="","",IFERROR(INDEX({"I особая","I","II","III"},MATCH(TRIM(AC79&amp;""),{"I особая","I","II","III"},0)),"III"))</f>
        <v>II</v>
      </c>
      <c r="FK79" t="str">
        <f>IF(B79="","",IF(TRIM(AD79&amp;"")&lt;&gt;"",IF(LOWER(TRIM(AD79&amp;""))="да","да","нет"),IF(IFERROR(_xlfn.XLOOKUP(AX79,Коды_код,Коды_пожарная),"")="да","да","нет")))</f>
        <v>нет</v>
      </c>
      <c r="FL79" t="str">
        <f t="shared" si="193"/>
        <v/>
      </c>
      <c r="FM79" t="str">
        <f t="shared" si="194"/>
        <v>основная</v>
      </c>
      <c r="FN79">
        <f t="shared" si="195"/>
        <v>1</v>
      </c>
      <c r="FO79" t="str" cm="1">
        <f t="array" ref="FO79">IF(B79="","",_xlfn.LET(_xlpm.t,IFERROR(_xlfn.XLOOKUP(1,(Шины[Шина]=FM79)*(((Шины[Щит]=A79)+(Шины[Щит]=""))&gt;0),Шины[Тип]),"")&amp;"",IF(_xlpm.t&lt;&gt;"",_xlpm.t,IF(ISNUMBER(SEARCH("ИБП",FM79)),"ИБП",IF(ISNUMBER(SEARCH("ДГУ",FM79)),"ДГУ","Ввод "&amp;FN79)))))</f>
        <v>Ввод 1</v>
      </c>
      <c r="FP79" t="str">
        <f t="shared" si="196"/>
        <v>Ввод 1</v>
      </c>
      <c r="FQ79" t="str">
        <f>IF(B79="","",IF(OR(FO79="ИБП",FO79="ДГУ"),"I особая",IF(FO79="Одиночная","III",_xlfn.XLOOKUP(A79,Щиты[Щит],Щиты[Категория шины «Ввод»],"III"))))</f>
        <v>II</v>
      </c>
      <c r="FR79">
        <f>IF(B79="",0,IFERROR(MATCH(FJ79,{"III","II","I","I особая"},0),1))</f>
        <v>2</v>
      </c>
      <c r="FS79">
        <f t="shared" si="197"/>
        <v>2</v>
      </c>
      <c r="FT79" t="str">
        <f>IF(B79="","",IF(FR79&gt;IFERROR(MATCH(FQ79,{"III","II","I","I особая"},0),1),"НЕ ОБЕСПЕЧЕНА","ОК"))</f>
        <v>ОК</v>
      </c>
      <c r="FU79" t="str">
        <f>IF(A79="","",_xlfn.XLOOKUP(A79,Щиты[Щит],Щиты[Путь],""))</f>
        <v>|ГРЩ-ЖД|ЩОВ-001|</v>
      </c>
      <c r="FV79" t="str">
        <f>IF(B79="","",IF(AE79&lt;&gt;"",AE79,IF(IFERROR(_xlfn.XLOOKUP(AX79,Коды_код,Коды_вид)&amp;"","")="","Прочее",_xlfn.XLOOKUP(AX79,Коды_код,Коды_вид)&amp;"")))</f>
        <v>Кондиционирование и увлажнение</v>
      </c>
      <c r="FW79">
        <f>IF(BH79="","",INT((BH79-1)/Столбцов_на_лист)+1)</f>
        <v>3</v>
      </c>
      <c r="FX79" t="str">
        <f t="shared" si="198"/>
        <v>ВВГнг(А)-LS (3х2,5) L=32-2,07%</v>
      </c>
      <c r="FY79">
        <f t="shared" si="199"/>
        <v>1.9</v>
      </c>
      <c r="FZ79">
        <f t="shared" si="200"/>
        <v>10.29</v>
      </c>
      <c r="GA79">
        <f t="shared" si="201"/>
        <v>1</v>
      </c>
      <c r="GB79">
        <f t="shared" si="202"/>
        <v>0</v>
      </c>
      <c r="GC79">
        <f t="shared" si="203"/>
        <v>1</v>
      </c>
      <c r="GD79">
        <f>IF(BH79="","",IF(AND(CA79=1,GC79=1),COUNTIFS(A$3:A79,A79,CA$3:CA79,1,GC$3:GC79,1),IF(OR(OR(AW79=1,A79&lt;&gt;A78),AF79="вручную",GC79=0),"",IF(AW79=1,"",GE78))))</f>
        <v>26</v>
      </c>
      <c r="GE79">
        <f t="shared" si="204"/>
        <v>26</v>
      </c>
      <c r="GF79">
        <f>IF(B79="","",IFERROR(LOOKUP(INDEX(CHOOSE(DL79,Iдоп_1ж,Iдоп_2ж,Iдоп_3ж),MATCH(DX79,Iдоп_S,0))*DJ79*DK79,{6,10,16,20,25,32,40,50,63,80,100,125,160,200,250,315,400,500,630}),""))</f>
        <v>25</v>
      </c>
      <c r="GG79" t="str">
        <f t="shared" si="205"/>
        <v>QF26</v>
      </c>
      <c r="GH79" t="str">
        <f t="shared" si="206"/>
        <v>QF26</v>
      </c>
      <c r="GI79" t="str">
        <f t="shared" si="207"/>
        <v/>
      </c>
      <c r="GJ79">
        <f t="shared" si="208"/>
        <v>0</v>
      </c>
      <c r="GK79" t="str">
        <f>IF(OR(AG79="",AG79="-"),"",IFERROR(VLOOKUP(AG79,Модули_спр,2,FALSE),"R"))</f>
        <v/>
      </c>
      <c r="GL79" t="str">
        <f>IF(GK79="","",GK79&amp;"."&amp;COUNTIFS(A$3:A79,A79,GK$3:GK79,GK79))</f>
        <v/>
      </c>
      <c r="GM79" t="str">
        <f t="shared" si="209"/>
        <v/>
      </c>
      <c r="GN79" t="str">
        <f t="shared" si="210"/>
        <v/>
      </c>
      <c r="GO79" t="str">
        <f t="shared" si="211"/>
        <v/>
      </c>
      <c r="GP79" t="str">
        <f t="shared" si="212"/>
        <v/>
      </c>
      <c r="GQ79">
        <f t="shared" si="213"/>
        <v>1</v>
      </c>
      <c r="GR79" t="str">
        <f>IF(GQ79=1,"XT"&amp;COUNTIFS(A$3:A79,A79,GQ$3:GQ79,1),"")</f>
        <v>XT26</v>
      </c>
      <c r="GS79" t="str">
        <f t="shared" si="214"/>
        <v/>
      </c>
      <c r="GT79" t="str">
        <f t="shared" si="215"/>
        <v>QF26</v>
      </c>
      <c r="GU79" t="str">
        <f t="shared" si="216"/>
        <v/>
      </c>
      <c r="GV79" t="str">
        <f t="shared" si="217"/>
        <v>ok</v>
      </c>
      <c r="GW79" t="str">
        <f>IF(OR(GO79="",GM79=""),"",IF(GO79&gt;IFERROR(VLOOKUP(GN79,Модули_спр,3,FALSE),99),"ЛИШНИЙ КАНАЛ",IF(AND(AH79&lt;&gt;"=",COUNTIFS(Линии[_модуль гр.],GM79,Линии[Канал (итог)],GO79,Линии[Канал],"&lt;&gt;=",Линии[Щит],A79)&gt;1),"ДУБЛЬ КАНАЛА","")))</f>
        <v/>
      </c>
      <c r="GX79" s="6" t="str">
        <f t="shared" si="218"/>
        <v/>
      </c>
      <c r="GY79">
        <f t="shared" si="219"/>
        <v>10</v>
      </c>
      <c r="GZ79" t="str">
        <f t="shared" si="220"/>
        <v/>
      </c>
      <c r="HA79" t="str">
        <f>IF(AND(B79="",GT79=""),"",_xlfn.TEXTJOIN("; ",TRUE,IF(AND(B79&lt;&gt;"",FE79=""),"нет фазы",""),IF(AND(B79&lt;&gt;"",N(FY79)=0,EQ79&lt;&gt;"Нет"),"нет мощности",""),IF(AND(GS79&lt;&gt;"",COUNTIFS(Линии[Щит],A79,Линии[Клемма (итог)],GS79)&gt;1),"дубль клеммы "&amp;GS79,""),IF(AND(GV79&lt;&gt;"",GV79&lt;&gt;"ok"),GV79,""),IF(GW79&lt;&gt;"",GW79,""),IF(AND(N(BV79)&gt;=4,N(BR79)=1),BV79&amp;" жил на 1 фазе",""),IF(AND(AX79="R",CA79=1,OR(N(CK79)=0,N(CK79)&gt;30)),"розетка без дифзащиты до 30 мА",""),IFERROR(IF(AND(ISNUMBER(R79),R79&gt;DV79),"потери "&amp;FIXED(R79,1)&amp;" % &gt; "&amp;DV79&amp;" %",""),""),IFERROR(IF(LEFT(GZ79,4)="мало","Iкз мало — отключение &gt; 0,4 с",""),""),IF(AND(B79&lt;&gt;"",BH79=""),"не на схеме",""),IF(AND(CA79=0,B79&lt;&gt;"",FE79&lt;&gt;"",IF(AW79=1,"",FF78)&lt;&gt;"",FE79&lt;&gt;IF(AW79=1,"",FF78)),"фаза не как у автомата группы ("&amp;IF(AW79=1,"",FF78)&amp;")","")))</f>
        <v/>
      </c>
      <c r="HB79" s="6">
        <f>IF(OR(CA79=0,DA79=""),"",_xlfn.LET(_xlpm.t,IFERROR(_xlfn.XLOOKUP(DA79,Каталог!$U$4:$U$500,Каталог!$G$4:$G$500),""),_xlpm.k,SEARCH("кА",_xlpm.t),IFERROR(--TRIM(RIGHT(SUBSTITUTE(MID(_xlpm.t,MAX(1,_xlpm.k-4),_xlpm.k-MAX(1,_xlpm.k-4))," ",REPT(" ",9)),5)),"")))</f>
        <v>6</v>
      </c>
      <c r="HC79" t="str">
        <f>IF(OR(HB79="",CA79=0),"",IF(_xlfn.XLOOKUP(A79,Щиты[Щит],Щиты[Iкз max на шинах, кА],"")="","",IF(HB79&lt;_xlfn.XLOOKUP(A79,Щиты[Щит],Щиты[Iкз max на шинах, кА]),"Icu "&amp;HB79&amp;" кА &lt; Iкз max","ok")))</f>
        <v/>
      </c>
      <c r="HD79" t="str">
        <f t="shared" si="221"/>
        <v/>
      </c>
      <c r="HE79" t="str">
        <f t="shared" si="222"/>
        <v>QF26</v>
      </c>
      <c r="HF79" t="str">
        <f t="shared" si="223"/>
        <v>QF26|кабель ВВГнг(А)-LS (3х2,5) → Внешний блок кондиционирования Пом. Венткиосок</v>
      </c>
      <c r="HG79" t="str" cm="1">
        <f t="array" ref="HG79">IF(HF79="","",_xlfn.LET(_xlpm.nd,_xlfn.TEXTSPLIT(HF79,"|"),IF(COLUMNS(_xlpm.nd)&gt;1,A79&amp;"¦"&amp;INDEX(_xlpm.nd,1)&amp;"¦"&amp;INDEX(_xlpm.nd,2),"")))</f>
        <v>ЩОВ-001¦QF26¦кабель ВВГнг(А)-LS (3х2,5) → Внешний блок кондиционирования Пом. Венткиосок</v>
      </c>
      <c r="HH79" t="str">
        <f t="shared" si="224"/>
        <v>K.11¦Внешний блок кондиционирования Пом. Венткиосок</v>
      </c>
      <c r="HI79" t="str" cm="1">
        <f t="array" ref="HI79">IF(HF79="","",_xlfn.LET(_xlpm.nd,_xlfn.TEXTSPLIT(HF79,"|"),IF(COLUMNS(_xlpm.nd)&gt;2,A79&amp;"¦"&amp;INDEX(_xlpm.nd,2)&amp;"¦"&amp;INDEX(_xlpm.nd,3),"")))</f>
        <v/>
      </c>
      <c r="HJ79" t="str">
        <f t="shared" si="225"/>
        <v/>
      </c>
      <c r="HK79" t="str" cm="1">
        <f t="array" ref="HK79">IF(HF79="","",_xlfn.LET(_xlpm.nd,_xlfn.TEXTSPLIT(HF79,"|"),IF(COLUMNS(_xlpm.nd)&gt;3,A79&amp;"¦"&amp;INDEX(_xlpm.nd,3)&amp;"¦"&amp;INDEX(_xlpm.nd,4),"")))</f>
        <v/>
      </c>
      <c r="HL79" t="str">
        <f t="shared" si="226"/>
        <v/>
      </c>
      <c r="HM79" t="str" cm="1">
        <f t="array" ref="HM79">IF(HF79="","",_xlfn.LET(_xlpm.nd,_xlfn.TEXTSPLIT(HF79,"|"),IF(COLUMNS(_xlpm.nd)&gt;4,A79&amp;"¦"&amp;INDEX(_xlpm.nd,4)&amp;"¦"&amp;INDEX(_xlpm.nd,5),"")))</f>
        <v/>
      </c>
      <c r="HN79" t="str">
        <f t="shared" si="227"/>
        <v/>
      </c>
      <c r="HO79" t="str" cm="1">
        <f t="array" ref="HO79">IF(HF79="","",_xlfn.LET(_xlpm.nd,_xlfn.TEXTSPLIT(HF79,"|"),IF(COLUMNS(_xlpm.nd)&gt;5,A79&amp;"¦"&amp;INDEX(_xlpm.nd,5)&amp;"¦"&amp;INDEX(_xlpm.nd,6),"")))</f>
        <v/>
      </c>
      <c r="HP79" t="str">
        <f t="shared" si="228"/>
        <v/>
      </c>
      <c r="HQ79" t="str" cm="1">
        <f t="array" ref="HQ79">IF(HF79="","",_xlfn.LET(_xlpm.nd,_xlfn.TEXTSPLIT(HF79,"|"),IF(COLUMNS(_xlpm.nd)&gt;6,A79&amp;"¦"&amp;INDEX(_xlpm.nd,6)&amp;"¦"&amp;INDEX(_xlpm.nd,7),"")))</f>
        <v/>
      </c>
      <c r="HR79" t="str">
        <f t="shared" si="229"/>
        <v/>
      </c>
      <c r="HS79" t="str">
        <f t="shared" si="230"/>
        <v/>
      </c>
      <c r="HT79" t="str">
        <f t="shared" si="231"/>
        <v>QF26</v>
      </c>
      <c r="HU79">
        <f t="shared" si="232"/>
        <v>0</v>
      </c>
      <c r="HV79">
        <f t="shared" si="233"/>
        <v>0</v>
      </c>
      <c r="HW79" t="str">
        <f t="shared" si="234"/>
        <v/>
      </c>
      <c r="HX79" t="str">
        <f t="shared" si="235"/>
        <v/>
      </c>
      <c r="HY79" t="str">
        <f t="shared" si="236"/>
        <v/>
      </c>
      <c r="HZ79" t="str">
        <f t="shared" si="237"/>
        <v/>
      </c>
      <c r="IA79">
        <f>IF(B79="","",IFERROR(VLOOKUP(B79,УГО_спр,2,FALSE),IFERROR(VLOOKUP(AX79,УГО_спр,2,FALSE),IFERROR(VLOOKUP(LEFT(AX79,2),УГО_спр,2,FALSE),""))))</f>
        <v>0</v>
      </c>
      <c r="IB79" t="str">
        <f>IF(B79="","",IF(OR(IA79="",IA79=0),"BOX",IFERROR(IF(VLOOKUP(IA79,УГО_блоки,3,FALSE)&amp;""&lt;&gt;"",VLOOKUP(IA79,УГО_блоки,3,FALSE),VLOOKUP(IA79,УГО_блоки,2,FALSE)),IA79)))</f>
        <v>BOX</v>
      </c>
      <c r="IC79">
        <f t="shared" si="238"/>
        <v>1</v>
      </c>
      <c r="ID79" t="str">
        <f>IF(DA79="","",IF(COUNTIF(DA$3:DA79,DA79)=1,MAX(ID$2:ID78)+1,""))</f>
        <v/>
      </c>
      <c r="IE79" t="str">
        <f>IF(CO79="","",IF(COUNTIF(CO$3:CO79,CO79)+COUNTIF(CP$2:CP78,CO79)+COUNTIF(CQ$2:CQ78,CO79)=1,MAX(IE$2:IG78)+1,""))</f>
        <v/>
      </c>
      <c r="IF79" t="str">
        <f>IF(CP79="","",IF(COUNTIF(CO$3:CO79,CP79)+COUNTIF(CP$3:CP79,CP79)+COUNTIF(CQ$2:CQ78,CP79)=1,MAX(IE$2:IG78,IE79)+1,""))</f>
        <v/>
      </c>
      <c r="IG79" t="str">
        <f>IF(CQ79="","",IF(COUNTIF(CO$3:CO79,CQ79)+COUNTIF(CP$3:CP79,CQ79)+COUNTIF(CQ$3:CQ79,CQ79)=1,MAX(IE$2:IG78,IE79,IF79)+1,""))</f>
        <v/>
      </c>
      <c r="IH79" t="str">
        <f t="shared" si="239"/>
        <v>3х2,5</v>
      </c>
      <c r="II79" t="str">
        <f>IF(IH79="","",IF(COUNTIF(IH$3:IH79,IH79)=1,MAX(II$2:II78)+1,""))</f>
        <v/>
      </c>
      <c r="IJ79" t="str">
        <f>IF(GL79="","",COUNTIF(GL$3:GL79,"?*"))</f>
        <v/>
      </c>
      <c r="IK79" t="str">
        <f>IF(OR(GL79="",GN79=""),"",IF(COUNTIFS(GL$3:GL79,"?*",GN$3:GN79,GN79)=1,MAX(IK$2:IK78)+1,""))</f>
        <v/>
      </c>
      <c r="IL79">
        <f t="shared" si="240"/>
        <v>0</v>
      </c>
      <c r="IM79">
        <f>IF(B79="","",COUNTIF(B$3:B79,"?*"))</f>
        <v>77</v>
      </c>
      <c r="IN79">
        <f>IF(GQ79&lt;&gt;1,0,_xlfn.LET(_xlpm.k,MAX(IFERROR(--VLOOKUP(B79,УГО_спр,5,FALSE),0),IFERROR(--VLOOKUP(AX79,УГО_спр,5,FALSE),0),IFERROR(--VLOOKUP(LEFT(AX79,2),УГО_спр,5,FALSE),0)),IF(_xlpm.k&gt;0,_xlpm.k,IF(IFERROR(--LEFT(SUBSTITUTE(IH79,"x","х"),FIND("х",SUBSTITUTE(IH79,"x","х"))-1),3)&gt;3,Каталог!$S$9,1))))</f>
        <v>1</v>
      </c>
      <c r="IO79">
        <f t="shared" si="241"/>
        <v>0</v>
      </c>
      <c r="IP79" t="str">
        <f t="shared" si="242"/>
        <v>авто</v>
      </c>
      <c r="IQ79" t="str">
        <f t="shared" si="243"/>
        <v/>
      </c>
      <c r="IR79">
        <f t="shared" si="244"/>
        <v>0</v>
      </c>
      <c r="IS79">
        <f t="shared" si="245"/>
        <v>1</v>
      </c>
    </row>
    <row r="80" spans="1:253" x14ac:dyDescent="0.3">
      <c r="A80" t="s">
        <v>749</v>
      </c>
      <c r="B80" t="s">
        <v>1352</v>
      </c>
      <c r="C80" t="s">
        <v>1619</v>
      </c>
      <c r="D80">
        <v>1</v>
      </c>
      <c r="E80">
        <v>28</v>
      </c>
      <c r="G80">
        <v>63</v>
      </c>
      <c r="H80" t="str">
        <f>Линии[[#This Row],[_авто утечка]]</f>
        <v/>
      </c>
      <c r="I80" t="str">
        <f>Линии[[#This Row],[_авто управление]]</f>
        <v/>
      </c>
      <c r="J80" t="str">
        <f>Линии[[#This Row],[_авто аппараты]]</f>
        <v/>
      </c>
      <c r="K80">
        <v>25</v>
      </c>
      <c r="L80">
        <v>34</v>
      </c>
      <c r="M80" t="str">
        <f>Линии[[#This Row],[_авто фаза]]</f>
        <v>L1,L2,L3</v>
      </c>
      <c r="N80" t="s">
        <v>486</v>
      </c>
      <c r="O80" t="str">
        <f t="shared" si="123"/>
        <v/>
      </c>
      <c r="P80" s="6" cm="1">
        <f t="array" ref="P80">IF(B80="","",IF(BC80&lt;&gt;"",IFERROR(_xlfn.XLOOKUP(BC80,Щиты[Щит],Щиты[Iр, А]),""),IF(BK80=1,IFERROR(_xlfn.XLOOKUP(A80,Щиты[Щит],Щиты[Iр, А]),""),IFERROR(_xlfn.IFS(BR80=1,BN80/((Uн_лин/SQRT(3))*BY80),BR80=3,BN80/(SQRT(3)*Uн_лин*BY80)),""))))</f>
        <v>50.518148554092257</v>
      </c>
      <c r="Q80" s="7">
        <f>IF(B80="","",IFERROR(IF(VLOOKUP(AX80,Потребители_обозначение,4,FALSE)=1,VLOOKUP(AX80,Потребители_обозначение,3,FALSE)*(D80*2-1)+DS80+VLOOKUP(AZ80,Этаж_обозначение,3,FALSE)+VLOOKUP(AZ80,Этаж_обозначение,4,FALSE),VLOOKUP(AX80,Потребители_обозначение,3,FALSE)*(D80*2-1)+DS80),DS80))</f>
        <v>34</v>
      </c>
      <c r="R80" s="6">
        <f t="shared" si="124"/>
        <v>1.21</v>
      </c>
      <c r="S80" t="str">
        <f t="shared" si="125"/>
        <v>ВВГнг(А)-LS (5х25)</v>
      </c>
      <c r="T80" t="str">
        <f>IF(BH80="","",IF(BI80="вводной узел","узел ","")&amp;"л."&amp;(INT((BH80-1)/Столбцов_на_лист)+1)&amp;" / "&amp;(MOD(BH80-1,Столбцов_на_лист)+1))</f>
        <v>л.3 / 17</v>
      </c>
      <c r="V80">
        <v>3</v>
      </c>
      <c r="W80">
        <v>400</v>
      </c>
      <c r="X80" t="s">
        <v>600</v>
      </c>
      <c r="Y80">
        <v>0.5</v>
      </c>
      <c r="AC80" t="s">
        <v>815</v>
      </c>
      <c r="AE80" t="s">
        <v>578</v>
      </c>
      <c r="AI80">
        <v>51</v>
      </c>
      <c r="AJ80" t="s">
        <v>11</v>
      </c>
      <c r="AK80">
        <v>5</v>
      </c>
      <c r="AM80">
        <v>0</v>
      </c>
      <c r="AN80">
        <v>30</v>
      </c>
      <c r="AO80">
        <v>0</v>
      </c>
      <c r="AP80">
        <v>1</v>
      </c>
      <c r="AW80" cm="1">
        <f t="array" ref="AW80">ROW()-ROW(Линии[#Headers])</f>
        <v>78</v>
      </c>
      <c r="AX80" s="6" t="str">
        <f t="shared" si="126"/>
        <v>ККБ-1</v>
      </c>
      <c r="AY80" t="str">
        <f t="shared" si="127"/>
        <v/>
      </c>
      <c r="AZ80" t="str">
        <f t="shared" si="128"/>
        <v/>
      </c>
      <c r="BA80" t="str">
        <f t="shared" si="129"/>
        <v/>
      </c>
      <c r="BB80" t="str">
        <f t="shared" si="130"/>
        <v/>
      </c>
      <c r="BC80" t="str">
        <f>IF(U80&lt;&gt;"",U80,IF(AND(B80&lt;&gt;"",B80&lt;&gt;A80,ISNUMBER(_xlfn.XMATCH(B80,Щиты[Щит]))),B80,""))</f>
        <v/>
      </c>
      <c r="BD80" t="str" cm="1">
        <f t="array" ref="BD80">IF(B80="","",IF(BC80&lt;&gt;"","Щит "&amp;BC80,_xlfn.LET(_xlpm.nm,IFERROR(_xlfn.XLOOKUP(AX80,Коды_код,Коды_имя)&amp;"",""),_xlpm.md,IFERROR(N(_xlfn.XLOOKUP(AX80,Коды_код,Коды_режим)),1),_xlpm.ex,IF(Имя_режим="по экспликации",IFERROR(_xlfn.XLOOKUP(AZ80&amp;"|"&amp;BB80,Экспликация[Этаж]&amp;"|"&amp;Экспликация[Помещение],Экспликация[Название])&amp;"",""),""),_xlpm.rm,IF(BB80="","",IF(_xlpm.ex&lt;&gt;"",". "&amp;_xlpm.ex&amp;IF(Имя_пом="нет"," ("&amp;BB80&amp;")"," (пом. "&amp;BB80&amp;")"),IF(Имя_пом="нет"," ",", пом. ")&amp;BB80)),IF(_xlpm.nm="","",IF(_xlpm.md=2,_xlpm.nm&amp;" шлейф "&amp;AZ80,_xlpm.nm&amp;_xlpm.rm)))))</f>
        <v/>
      </c>
      <c r="BE80" t="str">
        <f t="shared" si="131"/>
        <v>Внешний блок кондиционирования Пом. Венткиосок</v>
      </c>
      <c r="BF80">
        <f>IFERROR(_xlfn.XMATCH(A80,Щиты[Щит]),0)</f>
        <v>4</v>
      </c>
      <c r="BG80">
        <f>_xlfn.LET(_xlpm.k,IFERROR(_xlfn.XLOOKUP(A80,Щиты[Щит],Щиты[Листов под вводной узел]),""),IF(_xlpm.k="",1,N(_xlpm.k))*Столбцов_на_лист)</f>
        <v>17</v>
      </c>
      <c r="BH80">
        <f t="shared" si="132"/>
        <v>51</v>
      </c>
      <c r="BI80" t="str">
        <f t="shared" si="133"/>
        <v>линии</v>
      </c>
      <c r="BJ80" s="6">
        <f>IFERROR(N(_xlfn.XLOOKUP(AX80,Коды_код,Коды_квт)),0)</f>
        <v>0</v>
      </c>
      <c r="BK80">
        <f t="shared" si="134"/>
        <v>0</v>
      </c>
      <c r="BL80" t="str">
        <f>IF(B80="","",IF(BC80&lt;&gt;"",IFERROR(_xlfn.XLOOKUP(BC80,Щиты[Щит],Щиты[Руст, кВт]),0),IF(BK80=1,IFERROR(_xlfn.XLOOKUP(A80,Щиты[Щит],Щиты[Руст, кВт]),0),IF(BJ80&gt;0,ROUND(BJ80*MAX(1,N(D80)),3),""))))</f>
        <v/>
      </c>
      <c r="BM80">
        <f t="shared" si="135"/>
        <v>28</v>
      </c>
      <c r="BN80" s="6">
        <f>IF(B80="","",IF(BC80&lt;&gt;"",IFERROR(_xlfn.XLOOKUP(BC80,Щиты[Щит],Щиты[Руст, кВт]),0),N(BM80)))</f>
        <v>28</v>
      </c>
      <c r="BO80" t="str">
        <f>IF(B80="","",IFERROR(IF(VLOOKUP(AX80,Потребители_обозначение,8,FALSE)=0,"",VLOOKUP(AX80,Потребители_обозначение,8,FALSE)),""))</f>
        <v/>
      </c>
      <c r="BP80">
        <f t="shared" si="136"/>
        <v>400</v>
      </c>
      <c r="BQ80">
        <f>IF(B80="","",IF(BC80&lt;&gt;"",3,IFERROR(IF(N(VLOOKUP(AX80,Потребители_обозначение,9,FALSE))=0,1,VLOOKUP(AX80,Потребители_обозначение,9,FALSE)),1)))</f>
        <v>1</v>
      </c>
      <c r="BR80">
        <f t="shared" si="137"/>
        <v>3</v>
      </c>
      <c r="BS80" t="str">
        <f>IF(B80="","",_xlfn.LET(_xlpm.bc,IFERROR(IF(VLOOKUP(AX80,Потребители_обозначение,6,FALSE)=0,"",VLOOKUP(AX80,Потребители_обозначение,6,FALSE)&amp;""),""),IF(AND(FK80="да",OR(_xlpm.bc="",_xlpm.bc="мс")),Марка_пож,IF(AND(_xlpm.bc="",BC80&lt;&gt;""),"мс",_xlpm.bc))))</f>
        <v/>
      </c>
      <c r="BT80" t="str">
        <f t="shared" si="138"/>
        <v>мс</v>
      </c>
      <c r="BU80">
        <f>IF(B80="","",_xlfn.LET(_xlpm.cc,IFERROR(N(VLOOKUP(AX80,Потребители_обозначение,7,FALSE)),0),IF(_xlpm.cc&gt;0,_xlpm.cc,IF(BT80="","",IF(N(BR80)=3,5,3)))))</f>
        <v>5</v>
      </c>
      <c r="BV80">
        <f t="shared" si="139"/>
        <v>5</v>
      </c>
      <c r="BW80">
        <f>IFERROR(N(VLOOKUP(AX80,Потребители_обозначение,10,FALSE)),0)</f>
        <v>0</v>
      </c>
      <c r="BX80">
        <f>IFERROR(VLOOKUP(AX80,Потребители_обозначение,5,FALSE),0)</f>
        <v>0</v>
      </c>
      <c r="BY80" s="6" cm="1">
        <f t="array" ref="BY80">IF(B80="","",IF(BC80&lt;&gt;"",IFERROR(_xlfn.XLOOKUP(BC80,Щиты[Щит],Щиты[cos φ]),0.95),IF(BK80=1,IFERROR(_xlfn.XLOOKUP(A80,Щиты[Щит],Щиты[cos φ]),0.95),IF(ISNUMBER(Z80),Z80,IFERROR(IF(BX80=2,_xlfn.IFS(BR80=3,VLOOKUP(BN80,Справочная_двигатели,8,FALSE),BR80=1,VLOOKUP(BN80,Справочная_двигатели,10,TRUE)),IF(AND(Методика="нормы 2026",EQ80="Сил"),0.8,0.95)),0.95)))))</f>
        <v>0.8</v>
      </c>
      <c r="BZ80">
        <f t="shared" si="140"/>
        <v>0</v>
      </c>
      <c r="CA80">
        <f t="shared" si="141"/>
        <v>1</v>
      </c>
      <c r="CB80">
        <f t="shared" si="142"/>
        <v>0</v>
      </c>
      <c r="CC80">
        <f t="shared" si="143"/>
        <v>0</v>
      </c>
      <c r="CD80">
        <f t="shared" si="144"/>
        <v>0</v>
      </c>
      <c r="CE80">
        <f t="shared" si="145"/>
        <v>0</v>
      </c>
      <c r="CF80">
        <f t="shared" si="146"/>
        <v>0</v>
      </c>
      <c r="CG80">
        <f>IF(AX80="",0,_xlfn.LET(_xlpm.v,IFERROR(VLOOKUP(B80,УГО_спр,3,FALSE),IFERROR(VLOOKUP(AX80,УГО_спр,3,FALSE),IFERROR(VLOOKUP(LEFT(AX80,2),УГО_спр,3,FALSE),""))),IF(_xlpm.v="да",30,IF(ISNUMBER(_xlpm.v),_xlpm.v,0))))</f>
        <v>0</v>
      </c>
      <c r="CH80" t="str">
        <f t="shared" si="147"/>
        <v/>
      </c>
      <c r="CI80" t="str">
        <f>_xlfn.LET(_xlpm.k,IFERROR(_xlfn.XLOOKUP(AX80,Коды_код,Коды_утечка)&amp;"",""),IF(_xlpm.k="","дифавтомат",_xlpm.k))</f>
        <v>дифавтомат</v>
      </c>
      <c r="CJ80">
        <f t="shared" si="148"/>
        <v>0</v>
      </c>
      <c r="CK80">
        <f t="shared" si="149"/>
        <v>0</v>
      </c>
      <c r="CL80">
        <f>IF(B80="",0,IFERROR(--VLOOKUP(B80,УГО_спр,4,FALSE),IFERROR(--VLOOKUP(AX80,УГО_спр,4,FALSE),IFERROR(--VLOOKUP(LEFT(AX80,2),УГО_спр,4,FALSE),0))))</f>
        <v>0</v>
      </c>
      <c r="CM80" t="str">
        <f>IF(B80="","",IFERROR(_xlfn.XLOOKUP(AX80,Коды_код,Коды_апп)&amp;"",""))</f>
        <v/>
      </c>
      <c r="CN80" t="str">
        <f t="shared" si="150"/>
        <v/>
      </c>
      <c r="CO80" t="str" cm="1">
        <f t="array" ref="CO80">IF(TRIM(CN80&amp;"")="","",IFERROR(TRIM(INDEX(_xlfn.TEXTSPLIT(CN80&amp;";;;",";"),1)),""))</f>
        <v/>
      </c>
      <c r="CP80" t="str" cm="1">
        <f t="array" ref="CP80">IF(TRIM(CN80&amp;"")="","",IFERROR(TRIM(INDEX(_xlfn.TEXTSPLIT(CN80&amp;";;;",";"),2)),""))</f>
        <v/>
      </c>
      <c r="CQ80" t="str" cm="1">
        <f t="array" ref="CQ80">IF(TRIM(CN80&amp;"")="","",IFERROR(TRIM(INDEX(_xlfn.TEXTSPLIT(CN80&amp;";;;",";"),3)),""))</f>
        <v/>
      </c>
      <c r="CR80">
        <f t="shared" si="151"/>
        <v>0</v>
      </c>
      <c r="CS80" t="str">
        <f>IF(B80="","",_xlfn.LET(_xlpm.t,LOWER(AV80&amp;""),IF(ISNUMBER(SEARCH("dim",_xlpm.t)),"DIM",IF(ISNUMBER(SEARCH("dali",_xlpm.t)),"DALI",IF(OR(ISNUMBER(SEARCH("relay",_xlpm.t)),ISNUMBER(SEARCH("реле",_xlpm.t))),"Relay",IF(ISNUMBER(SEARCH("кнопк",_xlpm.t)),"",IFERROR(_xlfn.XLOOKUP(AX80,Коды_код,Коды_упр)&amp;"","")))))))</f>
        <v/>
      </c>
      <c r="CT80" t="str">
        <f t="shared" si="152"/>
        <v/>
      </c>
      <c r="CU80">
        <f>IF(B80="","",_xlfn.LET(_xlpm.ig,N(P80)+IF(AF80="вручную",0,N(CB80)),_xlpm.n0,IFERROR(VLOOKUP(_xlpm.ig,Автомат_номиналы,2,TRUE),0),_xlpm.mn,MAX(CL80,IF(AF80="вручную",0,N(CE80))),MAX(_xlpm.n0,_xlpm.mn,IF(CR80=1,Мин_автомат_БП,0))))</f>
        <v>63</v>
      </c>
      <c r="CV80">
        <f t="shared" si="153"/>
        <v>3</v>
      </c>
      <c r="CW80" t="str">
        <f t="shared" si="154"/>
        <v>3P</v>
      </c>
      <c r="CX80" t="str">
        <f>_xlfn.LET(_xlpm.cc,UPPER(TRIM(IFERROR(_xlfn.XLOOKUP(AX80,Коды_код,Коды_хар)&amp;"",""))),IF(OR(_xlpm.cc="B",_xlpm.cc="В"),"B",IF(_xlpm.cc="D","D","С")))</f>
        <v>С</v>
      </c>
      <c r="CY80" t="str">
        <f t="shared" si="155"/>
        <v>3P С63А</v>
      </c>
      <c r="CZ80">
        <f t="shared" si="156"/>
        <v>63</v>
      </c>
      <c r="DA80" t="str">
        <f t="shared" si="157"/>
        <v>3P С63А</v>
      </c>
      <c r="DB80" cm="1">
        <f t="array" ref="DB80">IF(DA80="","",_xlfn.LET(_xlpm.t,SUBSTITUTE(SUBSTITUTE(SUBSTITUTE(UPPER(DA80),"С","C"),"А","A"),"В","B"),_xlpm.tk,_xlfn.TEXTSPLIT(_xlpm.t,"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0" t="str">
        <f t="shared" si="158"/>
        <v>ok</v>
      </c>
      <c r="DD80">
        <f t="shared" si="159"/>
        <v>63</v>
      </c>
      <c r="DE80" t="str">
        <f t="shared" si="160"/>
        <v>3P С63А</v>
      </c>
      <c r="DF80">
        <f t="shared" si="161"/>
        <v>0</v>
      </c>
      <c r="DG80">
        <f t="shared" si="162"/>
        <v>0</v>
      </c>
      <c r="DH80">
        <f t="shared" si="163"/>
        <v>0</v>
      </c>
      <c r="DI80">
        <f t="shared" si="164"/>
        <v>50.518148554092257</v>
      </c>
      <c r="DJ80">
        <f t="shared" si="165"/>
        <v>0.92</v>
      </c>
      <c r="DK80">
        <f>IF(ISNUMBER(AL80),AL80,К_прокл)</f>
        <v>1</v>
      </c>
      <c r="DL80">
        <f t="shared" si="166"/>
        <v>3</v>
      </c>
      <c r="DM80">
        <f>IFERROR(N(VLOOKUP(BT80,Кабель_обозначение,3,FALSE)),1)</f>
        <v>1</v>
      </c>
      <c r="DN80">
        <f>IFERROR(N(_xlfn.XLOOKUP(A80,Щиты[Щит],Щиты[ΔU до шин, %])),0)</f>
        <v>0.64</v>
      </c>
      <c r="DO80" t="str">
        <f>IFERROR(_xlfn.XLOOKUP(A80,Щиты[Щит],Щиты[Zпетли на шинах, Ом]),"")</f>
        <v/>
      </c>
      <c r="DP80">
        <f>IFERROR(N(_xlfn.XLOOKUP(A80,Щиты[Щит],Щиты[ΔU до шин (подбор), %])),0)</f>
        <v>0.75</v>
      </c>
      <c r="DQ80" t="str">
        <f>IFERROR(_xlfn.XLOOKUP(A80,Щиты[Щит],Щиты[Zпетли на шинах (подбор), Ом]),"")</f>
        <v/>
      </c>
      <c r="DR80" t="str">
        <f t="shared" si="167"/>
        <v/>
      </c>
      <c r="DS80">
        <f t="shared" si="168"/>
        <v>34</v>
      </c>
      <c r="DT80">
        <f t="shared" si="169"/>
        <v>1</v>
      </c>
      <c r="DU80">
        <f t="shared" si="170"/>
        <v>0.6</v>
      </c>
      <c r="DV80" s="6">
        <f>IF(B80="","",IF(IFERROR(VLOOKUP(AX80,УГО_спр,2,FALSE),"")="Светильник",3,4)+IF(Методика="нормы 2026",MIN(0.5,MAX(0,N(Q80)-100)*0.005),0))</f>
        <v>4</v>
      </c>
      <c r="DW80" cm="1">
        <f t="array" ref="DW80">IF(OR(B80="",BT80="",DM80&lt;&gt;1),"",_xlfn.LET(_xlpm.sz,Iдоп_S,_xlpm.t_,CHOOSE(DL80,Iдоп_1ж,Iдоп_2ж,Iдоп_3ж)*DJ80*DK80,_xlpm.inn,N(DD80),_xlpm.smin,MAX(1.5,BW80),_xlpm.L_,N(Q80)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80)*(_xlpm.rho*_xlpm.L_/_xlpm.sz*N(BY80)+_xlpm.xx*_xlpm.L_*N(DU80)/1000)*N(P80)/((Uн_лин/SQRT(3))*1000)*100,999),_xlpm.kz,IF(OR(DG80=1,NOT(ISNUMBER(DQ80)),_xlpm.L_=0,_xlpm.inn=0),1,IFERROR(--(c_min*(Uн_лин*1000/SQRT(3))/(DQ80+2*ρкз_Cu*_xlpm.L_/_xlpm.sz)&gt;=GY80*_xlpm.inn),0)),_xlpm.ok,IFERROR((_xlpm.sz&gt;=_xlpm.smin)*(_xlpm.t_&gt;=_xlpm.inn)*IF(_xlpm.L_&gt;0,(_xlpm.du_+DP80&lt;=DV80+0.00001),1)*_xlpm.kz,0),_xlpm.r_,_xlfn._xlws.FILTER(_xlpm.sz,_xlpm.ok,"не подобрано"),INDEX(_xlpm.r_,1)))</f>
        <v>16</v>
      </c>
      <c r="DX80">
        <f t="shared" si="171"/>
        <v>25</v>
      </c>
      <c r="DY80" cm="1">
        <f t="array" ref="DY80">IF(OR(B80="",BT80="",DM80&lt;&gt;1),"",_xlfn.LET(_xlpm.sz,Iдоп_S,_xlpm.t_,CHOOSE(DL80,Iдоп_1ж,Iдоп_2ж,Iдоп_3ж)*DJ80*DK80,_xlpm.ok,IFERROR((_xlpm.sz&gt;=MAX(1.5,BW80))*(_xlpm.t_&gt;=N(DD80)),0),_xlpm.r_,_xlfn._xlws.FILTER(_xlpm.sz,_xlpm.ok,""),INDEX(_xlpm.r_,1)))</f>
        <v>16</v>
      </c>
      <c r="DZ80" s="6" cm="1">
        <f t="array" ref="DZ80">IFERROR(ROUNDUP(N(DT80)*(_xlfn.XLOOKUP(DY80,INDEX(Кабель_сопротивление,0,1),INDEX(Кабель_сопротивление,0,3))*N(Q80)/DY80*N(BY80)+_xlfn.XLOOKUP(DY80,INDEX(Кабель_сопротивление,0,1),INDEX(Кабель_сопротивление,0,2))*N(Q80)*N(DU80)/1000)*N(P80)/((Uн_лин/SQRT(3))*1000)*100,2),"")</f>
        <v>0.87</v>
      </c>
      <c r="EA80">
        <f>IFERROR(2*ρкз_Cu*N(Q80)/DY80,"")</f>
        <v>0.111775</v>
      </c>
      <c r="EB80">
        <f>IFERROR(VLOOKUP(DX80,Кабель_сопротивление,3,FALSE),"")</f>
        <v>2.2499999999999999E-2</v>
      </c>
      <c r="EC80">
        <f>IFERROR(VLOOKUP(DX80,Кабель_сопротивление,2,FALSE),"")</f>
        <v>6.6199999999999995E-2</v>
      </c>
      <c r="ED80">
        <f t="shared" si="172"/>
        <v>30</v>
      </c>
      <c r="EE80">
        <f t="shared" si="173"/>
        <v>0</v>
      </c>
      <c r="EF80">
        <f t="shared" si="174"/>
        <v>1.3049080258635091</v>
      </c>
      <c r="EG80" s="6">
        <f>IFERROR(ROUNDUP(EF80/((Uн_лин/SQRT(3))*1000)*100,2),"")</f>
        <v>0.57000000000000006</v>
      </c>
      <c r="EH80" t="str">
        <f>IFERROR(VLOOKUP(BT80,Кабель_обозначение,2,FALSE),"")</f>
        <v>ВВГнг(А)-LS</v>
      </c>
      <c r="EI80" t="str">
        <f t="shared" si="175"/>
        <v>ВВГнг(А)-LS (5х25)</v>
      </c>
      <c r="EJ80" t="str">
        <f t="shared" si="176"/>
        <v>ВВГнг(А)-LS (5х25)
L=34-0,57%</v>
      </c>
      <c r="EK80">
        <f>IFERROR(2*ρкз_Cu*Q80/DX80,"")</f>
        <v>7.1536000000000002E-2</v>
      </c>
      <c r="EL80">
        <f t="shared" si="177"/>
        <v>2.3800000000000002E-2</v>
      </c>
      <c r="EM80" s="6" t="str">
        <f>IFERROR(IF(OR(B80="",NOT(ISNUMBER(DX80)),N(Q80)=0),"",_xlfn.XLOOKUP(A80,Щиты[Щит],Щиты[Zпетли на шинах, Ом])+EK80),"")</f>
        <v/>
      </c>
      <c r="EN80" s="6" t="str">
        <f>IF(ISNUMBER(EM80),c_min*(Uн_лин*1000/SQRT(3))/EM80,"")</f>
        <v/>
      </c>
      <c r="EO80" s="6" t="str">
        <f>IFERROR(IF(OR(B80="",NOT(ISNUMBER(DX80))),"",1.05*(Uн_лин*1000/SQRT(3))/(_xlfn.XLOOKUP(A80,Щиты[Щит],Щиты[Zmax на шинах, Ом])+EL80)/1000),"")</f>
        <v/>
      </c>
      <c r="EP80" s="6" t="str">
        <f>IF(B80="","",IF(ISNUMBER(Y80),"Сил",IF(IFERROR(_xlfn.XLOOKUP(AX80,Коды_код,Коды_группа)&amp;"","")="","Быт",_xlfn.XLOOKUP(AX80,Коды_код,Коды_группа)&amp;"")))</f>
        <v>Сил</v>
      </c>
      <c r="EQ80" s="6" t="str">
        <f t="shared" si="178"/>
        <v>Сил</v>
      </c>
      <c r="ER80" s="6">
        <f>IF(EQ80="Щит","щит",IF(EQ80="","",IF(EQ80="Быт",IFERROR(_xlfn.XLOOKUP(A80,Щиты[Щит],Щиты[Кс быт]),1),IF(EQ80="Сил",IF(ISNUMBER(Y80),Y80,IF(Методика="нормы 2026",IFERROR(_xlfn.XLOOKUP(A80,Щиты[Щит],Щиты[Кс силовых (табл. 7.5)]),1),1)),IF(OR(EQ80="Пост",EQ80="Отоп"),1,IF(EQ80="ВНГ",0.7,0))))))</f>
        <v>0.5</v>
      </c>
      <c r="ES80">
        <f t="shared" si="179"/>
        <v>1</v>
      </c>
      <c r="ET80">
        <f t="shared" si="180"/>
        <v>28</v>
      </c>
      <c r="EU80">
        <f t="shared" si="181"/>
        <v>0</v>
      </c>
      <c r="EV80">
        <f t="shared" si="182"/>
        <v>14</v>
      </c>
      <c r="EW80">
        <f t="shared" si="183"/>
        <v>0</v>
      </c>
      <c r="EX80">
        <f t="shared" si="184"/>
        <v>0</v>
      </c>
      <c r="EY80">
        <f t="shared" si="185"/>
        <v>0</v>
      </c>
      <c r="EZ80">
        <f t="shared" si="186"/>
        <v>28</v>
      </c>
      <c r="FA80">
        <f t="shared" si="187"/>
        <v>22.400000000000002</v>
      </c>
      <c r="FB80">
        <f t="shared" si="188"/>
        <v>28</v>
      </c>
      <c r="FC80" t="str">
        <f t="shared" si="189"/>
        <v/>
      </c>
      <c r="FD80" t="str">
        <f>IF(B80="","",IF(CA80=0,IF(AW80=1,"",FF79),IF(OR(N(CV80)&gt;=3,N(BR80)&gt;=3),"L1,L2,L3",IFERROR(_xlfn.TEXTBEFORE(_xlfn.TEXTAFTER(_xlfn.XLOOKUP(A80,Щиты[Щит],Щиты[_фазы авто]),";"&amp;AW80&amp;":"),";"),"L1"))))</f>
        <v>L1,L2,L3</v>
      </c>
      <c r="FE80" t="str">
        <f t="shared" si="190"/>
        <v>L1,L2,L3</v>
      </c>
      <c r="FF80" t="str">
        <f t="shared" si="191"/>
        <v>L1,L2,L3</v>
      </c>
      <c r="FG80" cm="1">
        <f t="array" ref="FG80">IFERROR(IF(BX80=2,_xlfn.IFS(BR80=3,VLOOKUP(BN80,Справочная_двигатели,3,FALSE),BR80=1,VLOOKUP(BN80,Справочная_двигатели,5,TRUE)),0),0)</f>
        <v>0</v>
      </c>
      <c r="FH80">
        <f>IFERROR(IF(BX80=3,VLOOKUP(BN80,Справочная_ЛЭД,2,TRUE),0),0)</f>
        <v>0</v>
      </c>
      <c r="FI80" s="6">
        <f t="shared" si="192"/>
        <v>0</v>
      </c>
      <c r="FJ80" t="str" cm="1">
        <f t="array" ref="FJ80">IF(B80="","",IFERROR(INDEX({"I особая","I","II","III"},MATCH(TRIM(AC80&amp;""),{"I особая","I","II","III"},0)),"III"))</f>
        <v>II</v>
      </c>
      <c r="FK80" t="str">
        <f>IF(B80="","",IF(TRIM(AD80&amp;"")&lt;&gt;"",IF(LOWER(TRIM(AD80&amp;""))="да","да","нет"),IF(IFERROR(_xlfn.XLOOKUP(AX80,Коды_код,Коды_пожарная),"")="да","да","нет")))</f>
        <v>нет</v>
      </c>
      <c r="FL80" t="str">
        <f t="shared" si="193"/>
        <v/>
      </c>
      <c r="FM80" t="str">
        <f t="shared" si="194"/>
        <v>основная</v>
      </c>
      <c r="FN80">
        <f t="shared" si="195"/>
        <v>1</v>
      </c>
      <c r="FO80" t="str" cm="1">
        <f t="array" ref="FO80">IF(B80="","",_xlfn.LET(_xlpm.t,IFERROR(_xlfn.XLOOKUP(1,(Шины[Шина]=FM80)*(((Шины[Щит]=A80)+(Шины[Щит]=""))&gt;0),Шины[Тип]),"")&amp;"",IF(_xlpm.t&lt;&gt;"",_xlpm.t,IF(ISNUMBER(SEARCH("ИБП",FM80)),"ИБП",IF(ISNUMBER(SEARCH("ДГУ",FM80)),"ДГУ","Ввод "&amp;FN80)))))</f>
        <v>Ввод 1</v>
      </c>
      <c r="FP80" t="str">
        <f t="shared" si="196"/>
        <v>Ввод 1</v>
      </c>
      <c r="FQ80" t="str">
        <f>IF(B80="","",IF(OR(FO80="ИБП",FO80="ДГУ"),"I особая",IF(FO80="Одиночная","III",_xlfn.XLOOKUP(A80,Щиты[Щит],Щиты[Категория шины «Ввод»],"III"))))</f>
        <v>II</v>
      </c>
      <c r="FR80">
        <f>IF(B80="",0,IFERROR(MATCH(FJ80,{"III","II","I","I особая"},0),1))</f>
        <v>2</v>
      </c>
      <c r="FS80">
        <f t="shared" si="197"/>
        <v>2</v>
      </c>
      <c r="FT80" t="str">
        <f>IF(B80="","",IF(FR80&gt;IFERROR(MATCH(FQ80,{"III","II","I","I особая"},0),1),"НЕ ОБЕСПЕЧЕНА","ОК"))</f>
        <v>ОК</v>
      </c>
      <c r="FU80" t="str">
        <f>IF(A80="","",_xlfn.XLOOKUP(A80,Щиты[Щит],Щиты[Путь],""))</f>
        <v>|ГРЩ-ЖД|ЩОВ-001|</v>
      </c>
      <c r="FV80" t="str">
        <f>IF(B80="","",IF(AE80&lt;&gt;"",AE80,IF(IFERROR(_xlfn.XLOOKUP(AX80,Коды_код,Коды_вид)&amp;"","")="","Прочее",_xlfn.XLOOKUP(AX80,Коды_код,Коды_вид)&amp;"")))</f>
        <v>Кондиционирование и увлажнение</v>
      </c>
      <c r="FW80">
        <f>IF(BH80="","",INT((BH80-1)/Столбцов_на_лист)+1)</f>
        <v>3</v>
      </c>
      <c r="FX80" t="str">
        <f t="shared" si="198"/>
        <v>ВВГнг(А)-LS (5х25) L=34-0,57%</v>
      </c>
      <c r="FY80">
        <f t="shared" si="199"/>
        <v>28</v>
      </c>
      <c r="FZ80">
        <f t="shared" si="200"/>
        <v>50.519999999999996</v>
      </c>
      <c r="GA80">
        <f t="shared" si="201"/>
        <v>3</v>
      </c>
      <c r="GB80">
        <f t="shared" si="202"/>
        <v>0</v>
      </c>
      <c r="GC80">
        <f t="shared" si="203"/>
        <v>1</v>
      </c>
      <c r="GD80">
        <f>IF(BH80="","",IF(AND(CA80=1,GC80=1),COUNTIFS(A$3:A80,A80,CA$3:CA80,1,GC$3:GC80,1),IF(OR(OR(AW80=1,A80&lt;&gt;A79),AF80="вручную",GC80=0),"",IF(AW80=1,"",GE79))))</f>
        <v>27</v>
      </c>
      <c r="GE80">
        <f t="shared" si="204"/>
        <v>27</v>
      </c>
      <c r="GF80">
        <f>IF(B80="","",IFERROR(LOOKUP(INDEX(CHOOSE(DL80,Iдоп_1ж,Iдоп_2ж,Iдоп_3ж),MATCH(DX80,Iдоп_S,0))*DJ80*DK80,{6,10,16,20,25,32,40,50,63,80,100,125,160,200,250,315,400,500,630}),""))</f>
        <v>80</v>
      </c>
      <c r="GG80" t="str">
        <f t="shared" si="205"/>
        <v>QF27</v>
      </c>
      <c r="GH80" t="str">
        <f t="shared" si="206"/>
        <v>QF27</v>
      </c>
      <c r="GI80" t="str">
        <f t="shared" si="207"/>
        <v/>
      </c>
      <c r="GJ80">
        <f t="shared" si="208"/>
        <v>0</v>
      </c>
      <c r="GK80" t="str">
        <f>IF(OR(AG80="",AG80="-"),"",IFERROR(VLOOKUP(AG80,Модули_спр,2,FALSE),"R"))</f>
        <v/>
      </c>
      <c r="GL80" t="str">
        <f>IF(GK80="","",GK80&amp;"."&amp;COUNTIFS(A$3:A80,A80,GK$3:GK80,GK80))</f>
        <v/>
      </c>
      <c r="GM80" t="str">
        <f t="shared" si="209"/>
        <v/>
      </c>
      <c r="GN80" t="str">
        <f t="shared" si="210"/>
        <v/>
      </c>
      <c r="GO80" t="str">
        <f t="shared" si="211"/>
        <v/>
      </c>
      <c r="GP80" t="str">
        <f t="shared" si="212"/>
        <v/>
      </c>
      <c r="GQ80">
        <f t="shared" si="213"/>
        <v>1</v>
      </c>
      <c r="GR80" t="str">
        <f>IF(GQ80=1,"XT"&amp;COUNTIFS(A$3:A80,A80,GQ$3:GQ80,1),"")</f>
        <v>XT27</v>
      </c>
      <c r="GS80" t="str">
        <f t="shared" si="214"/>
        <v/>
      </c>
      <c r="GT80" t="str">
        <f t="shared" si="215"/>
        <v>QF27</v>
      </c>
      <c r="GU80" t="str">
        <f t="shared" si="216"/>
        <v/>
      </c>
      <c r="GV80" t="str">
        <f t="shared" si="217"/>
        <v>ok</v>
      </c>
      <c r="GW80" t="str">
        <f>IF(OR(GO80="",GM80=""),"",IF(GO80&gt;IFERROR(VLOOKUP(GN80,Модули_спр,3,FALSE),99),"ЛИШНИЙ КАНАЛ",IF(AND(AH80&lt;&gt;"=",COUNTIFS(Линии[_модуль гр.],GM80,Линии[Канал (итог)],GO80,Линии[Канал],"&lt;&gt;=",Линии[Щит],A80)&gt;1),"ДУБЛЬ КАНАЛА","")))</f>
        <v/>
      </c>
      <c r="GX80" s="6" t="str">
        <f t="shared" si="218"/>
        <v/>
      </c>
      <c r="GY80">
        <f t="shared" si="219"/>
        <v>10</v>
      </c>
      <c r="GZ80" t="str">
        <f t="shared" si="220"/>
        <v/>
      </c>
      <c r="HA80" t="str">
        <f>IF(AND(B80="",GT80=""),"",_xlfn.TEXTJOIN("; ",TRUE,IF(AND(B80&lt;&gt;"",FE80=""),"нет фазы",""),IF(AND(B80&lt;&gt;"",N(FY80)=0,EQ80&lt;&gt;"Нет"),"нет мощности",""),IF(AND(GS80&lt;&gt;"",COUNTIFS(Линии[Щит],A80,Линии[Клемма (итог)],GS80)&gt;1),"дубль клеммы "&amp;GS80,""),IF(AND(GV80&lt;&gt;"",GV80&lt;&gt;"ok"),GV80,""),IF(GW80&lt;&gt;"",GW80,""),IF(AND(N(BV80)&gt;=4,N(BR80)=1),BV80&amp;" жил на 1 фазе",""),IF(AND(AX80="R",CA80=1,OR(N(CK80)=0,N(CK80)&gt;30)),"розетка без дифзащиты до 30 мА",""),IFERROR(IF(AND(ISNUMBER(R80),R80&gt;DV80),"потери "&amp;FIXED(R80,1)&amp;" % &gt; "&amp;DV80&amp;" %",""),""),IFERROR(IF(LEFT(GZ80,4)="мало","Iкз мало — отключение &gt; 0,4 с",""),""),IF(AND(B80&lt;&gt;"",BH80=""),"не на схеме",""),IF(AND(CA80=0,B80&lt;&gt;"",FE80&lt;&gt;"",IF(AW80=1,"",FF79)&lt;&gt;"",FE80&lt;&gt;IF(AW80=1,"",FF79)),"фаза не как у автомата группы ("&amp;IF(AW80=1,"",FF79)&amp;")","")))</f>
        <v/>
      </c>
      <c r="HB80" s="6" t="str">
        <f>IF(OR(CA80=0,DA80=""),"",_xlfn.LET(_xlpm.t,IFERROR(_xlfn.XLOOKUP(DA80,Каталог!$U$4:$U$500,Каталог!$G$4:$G$500),""),_xlpm.k,SEARCH("кА",_xlpm.t),IFERROR(--TRIM(RIGHT(SUBSTITUTE(MID(_xlpm.t,MAX(1,_xlpm.k-4),_xlpm.k-MAX(1,_xlpm.k-4))," ",REPT(" ",9)),5)),"")))</f>
        <v/>
      </c>
      <c r="HC80" t="str">
        <f>IF(OR(HB80="",CA80=0),"",IF(_xlfn.XLOOKUP(A80,Щиты[Щит],Щиты[Iкз max на шинах, кА],"")="","",IF(HB80&lt;_xlfn.XLOOKUP(A80,Щиты[Щит],Щиты[Iкз max на шинах, кА]),"Icu "&amp;HB80&amp;" кА &lt; Iкз max","ok")))</f>
        <v/>
      </c>
      <c r="HD80" t="str">
        <f t="shared" si="221"/>
        <v/>
      </c>
      <c r="HE80" t="str">
        <f t="shared" si="222"/>
        <v>QF27</v>
      </c>
      <c r="HF80" t="str">
        <f t="shared" si="223"/>
        <v>QF27|кабель ВВГнг(А)-LS (5х25) → Внешний блок кондиционирования Пом. Венткиосок</v>
      </c>
      <c r="HG80" t="str" cm="1">
        <f t="array" ref="HG80">IF(HF80="","",_xlfn.LET(_xlpm.nd,_xlfn.TEXTSPLIT(HF80,"|"),IF(COLUMNS(_xlpm.nd)&gt;1,A80&amp;"¦"&amp;INDEX(_xlpm.nd,1)&amp;"¦"&amp;INDEX(_xlpm.nd,2),"")))</f>
        <v>ЩОВ-001¦QF27¦кабель ВВГнг(А)-LS (5х25) → Внешний блок кондиционирования Пом. Венткиосок</v>
      </c>
      <c r="HH80" t="str">
        <f t="shared" si="224"/>
        <v>ККБ-1¦Внешний блок кондиционирования Пом. Венткиосок</v>
      </c>
      <c r="HI80" t="str" cm="1">
        <f t="array" ref="HI80">IF(HF80="","",_xlfn.LET(_xlpm.nd,_xlfn.TEXTSPLIT(HF80,"|"),IF(COLUMNS(_xlpm.nd)&gt;2,A80&amp;"¦"&amp;INDEX(_xlpm.nd,2)&amp;"¦"&amp;INDEX(_xlpm.nd,3),"")))</f>
        <v/>
      </c>
      <c r="HJ80" t="str">
        <f t="shared" si="225"/>
        <v/>
      </c>
      <c r="HK80" t="str" cm="1">
        <f t="array" ref="HK80">IF(HF80="","",_xlfn.LET(_xlpm.nd,_xlfn.TEXTSPLIT(HF80,"|"),IF(COLUMNS(_xlpm.nd)&gt;3,A80&amp;"¦"&amp;INDEX(_xlpm.nd,3)&amp;"¦"&amp;INDEX(_xlpm.nd,4),"")))</f>
        <v/>
      </c>
      <c r="HL80" t="str">
        <f t="shared" si="226"/>
        <v/>
      </c>
      <c r="HM80" t="str" cm="1">
        <f t="array" ref="HM80">IF(HF80="","",_xlfn.LET(_xlpm.nd,_xlfn.TEXTSPLIT(HF80,"|"),IF(COLUMNS(_xlpm.nd)&gt;4,A80&amp;"¦"&amp;INDEX(_xlpm.nd,4)&amp;"¦"&amp;INDEX(_xlpm.nd,5),"")))</f>
        <v/>
      </c>
      <c r="HN80" t="str">
        <f t="shared" si="227"/>
        <v/>
      </c>
      <c r="HO80" t="str" cm="1">
        <f t="array" ref="HO80">IF(HF80="","",_xlfn.LET(_xlpm.nd,_xlfn.TEXTSPLIT(HF80,"|"),IF(COLUMNS(_xlpm.nd)&gt;5,A80&amp;"¦"&amp;INDEX(_xlpm.nd,5)&amp;"¦"&amp;INDEX(_xlpm.nd,6),"")))</f>
        <v/>
      </c>
      <c r="HP80" t="str">
        <f t="shared" si="228"/>
        <v/>
      </c>
      <c r="HQ80" t="str" cm="1">
        <f t="array" ref="HQ80">IF(HF80="","",_xlfn.LET(_xlpm.nd,_xlfn.TEXTSPLIT(HF80,"|"),IF(COLUMNS(_xlpm.nd)&gt;6,A80&amp;"¦"&amp;INDEX(_xlpm.nd,6)&amp;"¦"&amp;INDEX(_xlpm.nd,7),"")))</f>
        <v/>
      </c>
      <c r="HR80" t="str">
        <f t="shared" si="229"/>
        <v/>
      </c>
      <c r="HS80" t="str">
        <f t="shared" si="230"/>
        <v/>
      </c>
      <c r="HT80" t="str">
        <f t="shared" si="231"/>
        <v>QF27</v>
      </c>
      <c r="HU80">
        <f t="shared" si="232"/>
        <v>0</v>
      </c>
      <c r="HV80">
        <f t="shared" si="233"/>
        <v>0</v>
      </c>
      <c r="HW80" t="str">
        <f t="shared" si="234"/>
        <v/>
      </c>
      <c r="HX80" t="str">
        <f t="shared" si="235"/>
        <v/>
      </c>
      <c r="HY80" t="str">
        <f t="shared" si="236"/>
        <v/>
      </c>
      <c r="HZ80" t="str">
        <f t="shared" si="237"/>
        <v/>
      </c>
      <c r="IA80" t="str">
        <f>IF(B80="","",IFERROR(VLOOKUP(B80,УГО_спр,2,FALSE),IFERROR(VLOOKUP(AX80,УГО_спр,2,FALSE),IFERROR(VLOOKUP(LEFT(AX80,2),УГО_спр,2,FALSE),""))))</f>
        <v/>
      </c>
      <c r="IB80" t="str">
        <f>IF(B80="","",IF(OR(IA80="",IA80=0),"BOX",IFERROR(IF(VLOOKUP(IA80,УГО_блоки,3,FALSE)&amp;""&lt;&gt;"",VLOOKUP(IA80,УГО_блоки,3,FALSE),VLOOKUP(IA80,УГО_блоки,2,FALSE)),IA80)))</f>
        <v>BOX</v>
      </c>
      <c r="IC80">
        <f t="shared" si="238"/>
        <v>1</v>
      </c>
      <c r="ID80" t="str">
        <f>IF(DA80="","",IF(COUNTIF(DA$3:DA80,DA80)=1,MAX(ID$2:ID79)+1,""))</f>
        <v/>
      </c>
      <c r="IE80" t="str">
        <f>IF(CO80="","",IF(COUNTIF(CO$3:CO80,CO80)+COUNTIF(CP$2:CP79,CO80)+COUNTIF(CQ$2:CQ79,CO80)=1,MAX(IE$2:IG79)+1,""))</f>
        <v/>
      </c>
      <c r="IF80" t="str">
        <f>IF(CP80="","",IF(COUNTIF(CO$3:CO80,CP80)+COUNTIF(CP$3:CP80,CP80)+COUNTIF(CQ$2:CQ79,CP80)=1,MAX(IE$2:IG79,IE80)+1,""))</f>
        <v/>
      </c>
      <c r="IG80" t="str">
        <f>IF(CQ80="","",IF(COUNTIF(CO$3:CO80,CQ80)+COUNTIF(CP$3:CP80,CQ80)+COUNTIF(CQ$3:CQ80,CQ80)=1,MAX(IE$2:IG79,IE80,IF80)+1,""))</f>
        <v/>
      </c>
      <c r="IH80" t="str">
        <f t="shared" si="239"/>
        <v>5х25</v>
      </c>
      <c r="II80">
        <f>IF(IH80="","",IF(COUNTIF(IH$3:IH80,IH80)=1,MAX(II$2:II79)+1,""))</f>
        <v>12</v>
      </c>
      <c r="IJ80" t="str">
        <f>IF(GL80="","",COUNTIF(GL$3:GL80,"?*"))</f>
        <v/>
      </c>
      <c r="IK80" t="str">
        <f>IF(OR(GL80="",GN80=""),"",IF(COUNTIFS(GL$3:GL80,"?*",GN$3:GN80,GN80)=1,MAX(IK$2:IK79)+1,""))</f>
        <v/>
      </c>
      <c r="IL80">
        <f t="shared" si="240"/>
        <v>0</v>
      </c>
      <c r="IM80">
        <f>IF(B80="","",COUNTIF(B$3:B80,"?*"))</f>
        <v>78</v>
      </c>
      <c r="IN80">
        <f>IF(GQ80&lt;&gt;1,0,_xlfn.LET(_xlpm.k,MAX(IFERROR(--VLOOKUP(B80,УГО_спр,5,FALSE),0),IFERROR(--VLOOKUP(AX80,УГО_спр,5,FALSE),0),IFERROR(--VLOOKUP(LEFT(AX80,2),УГО_спр,5,FALSE),0)),IF(_xlpm.k&gt;0,_xlpm.k,IF(IFERROR(--LEFT(SUBSTITUTE(IH80,"x","х"),FIND("х",SUBSTITUTE(IH80,"x","х"))-1),3)&gt;3,Каталог!$S$9,1))))</f>
        <v>1</v>
      </c>
      <c r="IO80">
        <f t="shared" si="241"/>
        <v>2</v>
      </c>
      <c r="IP80" t="str">
        <f t="shared" si="242"/>
        <v>авто</v>
      </c>
      <c r="IQ80" t="str">
        <f t="shared" si="243"/>
        <v/>
      </c>
      <c r="IR80">
        <f t="shared" si="244"/>
        <v>0</v>
      </c>
      <c r="IS80">
        <f t="shared" si="245"/>
        <v>1</v>
      </c>
    </row>
    <row r="81" spans="1:253" x14ac:dyDescent="0.3">
      <c r="A81" t="s">
        <v>749</v>
      </c>
      <c r="B81" t="s">
        <v>1353</v>
      </c>
      <c r="C81" t="s">
        <v>1619</v>
      </c>
      <c r="D81">
        <v>1</v>
      </c>
      <c r="E81">
        <v>28</v>
      </c>
      <c r="G81">
        <v>63</v>
      </c>
      <c r="H81" t="str">
        <f>Линии[[#This Row],[_авто утечка]]</f>
        <v/>
      </c>
      <c r="I81" t="str">
        <f>Линии[[#This Row],[_авто управление]]</f>
        <v/>
      </c>
      <c r="J81" t="str">
        <f>Линии[[#This Row],[_авто аппараты]]</f>
        <v/>
      </c>
      <c r="K81">
        <v>25</v>
      </c>
      <c r="L81">
        <v>37</v>
      </c>
      <c r="M81" t="str">
        <f>Линии[[#This Row],[_авто фаза]]</f>
        <v>L1,L2,L3</v>
      </c>
      <c r="N81" t="str">
        <f>Линии[[#This Row],[_авто клемма]]</f>
        <v>XT28</v>
      </c>
      <c r="O81" t="str">
        <f t="shared" si="123"/>
        <v/>
      </c>
      <c r="P81" s="6" cm="1">
        <f t="array" ref="P81">IF(B81="","",IF(BC81&lt;&gt;"",IFERROR(_xlfn.XLOOKUP(BC81,Щиты[Щит],Щиты[Iр, А]),""),IF(BK81=1,IFERROR(_xlfn.XLOOKUP(A81,Щиты[Щит],Щиты[Iр, А]),""),IFERROR(_xlfn.IFS(BR81=1,BN81/((Uн_лин/SQRT(3))*BY81),BR81=3,BN81/(SQRT(3)*Uн_лин*BY81)),""))))</f>
        <v>50.518148554092257</v>
      </c>
      <c r="Q81" s="7">
        <f>IF(B81="","",IFERROR(IF(VLOOKUP(AX81,Потребители_обозначение,4,FALSE)=1,VLOOKUP(AX81,Потребители_обозначение,3,FALSE)*(D81*2-1)+DS81+VLOOKUP(AZ81,Этаж_обозначение,3,FALSE)+VLOOKUP(AZ81,Этаж_обозначение,4,FALSE),VLOOKUP(AX81,Потребители_обозначение,3,FALSE)*(D81*2-1)+DS81),DS81))</f>
        <v>37</v>
      </c>
      <c r="R81" s="6">
        <f t="shared" si="124"/>
        <v>1.26</v>
      </c>
      <c r="S81" t="str">
        <f t="shared" si="125"/>
        <v>ВВГнг(А)-LS (5х25)</v>
      </c>
      <c r="T81" t="str">
        <f>IF(BH81="","",IF(BI81="вводной узел","узел ","")&amp;"л."&amp;(INT((BH81-1)/Столбцов_на_лист)+1)&amp;" / "&amp;(MOD(BH81-1,Столбцов_на_лист)+1))</f>
        <v>л.4 / 1</v>
      </c>
      <c r="V81">
        <v>3</v>
      </c>
      <c r="W81">
        <v>400</v>
      </c>
      <c r="X81" t="s">
        <v>600</v>
      </c>
      <c r="Y81">
        <v>0.5</v>
      </c>
      <c r="AC81" t="s">
        <v>815</v>
      </c>
      <c r="AE81" t="s">
        <v>578</v>
      </c>
      <c r="AI81">
        <v>52</v>
      </c>
      <c r="AJ81" t="s">
        <v>11</v>
      </c>
      <c r="AK81">
        <v>5</v>
      </c>
      <c r="AM81">
        <v>0</v>
      </c>
      <c r="AN81">
        <v>33</v>
      </c>
      <c r="AO81">
        <v>0</v>
      </c>
      <c r="AP81">
        <v>1</v>
      </c>
      <c r="AW81" cm="1">
        <f t="array" ref="AW81">ROW()-ROW(Линии[#Headers])</f>
        <v>79</v>
      </c>
      <c r="AX81" s="6" t="str">
        <f t="shared" si="126"/>
        <v>ККБ-2</v>
      </c>
      <c r="AY81" t="str">
        <f t="shared" si="127"/>
        <v/>
      </c>
      <c r="AZ81" t="str">
        <f t="shared" si="128"/>
        <v/>
      </c>
      <c r="BA81" t="str">
        <f t="shared" si="129"/>
        <v/>
      </c>
      <c r="BB81" t="str">
        <f t="shared" si="130"/>
        <v/>
      </c>
      <c r="BC81" t="str">
        <f>IF(U81&lt;&gt;"",U81,IF(AND(B81&lt;&gt;"",B81&lt;&gt;A81,ISNUMBER(_xlfn.XMATCH(B81,Щиты[Щит]))),B81,""))</f>
        <v/>
      </c>
      <c r="BD81" t="str" cm="1">
        <f t="array" ref="BD81">IF(B81="","",IF(BC81&lt;&gt;"","Щит "&amp;BC81,_xlfn.LET(_xlpm.nm,IFERROR(_xlfn.XLOOKUP(AX81,Коды_код,Коды_имя)&amp;"",""),_xlpm.md,IFERROR(N(_xlfn.XLOOKUP(AX81,Коды_код,Коды_режим)),1),_xlpm.ex,IF(Имя_режим="по экспликации",IFERROR(_xlfn.XLOOKUP(AZ81&amp;"|"&amp;BB81,Экспликация[Этаж]&amp;"|"&amp;Экспликация[Помещение],Экспликация[Название])&amp;"",""),""),_xlpm.rm,IF(BB81="","",IF(_xlpm.ex&lt;&gt;"",". "&amp;_xlpm.ex&amp;IF(Имя_пом="нет"," ("&amp;BB81&amp;")"," (пом. "&amp;BB81&amp;")"),IF(Имя_пом="нет"," ",", пом. ")&amp;BB81)),IF(_xlpm.nm="","",IF(_xlpm.md=2,_xlpm.nm&amp;" шлейф "&amp;AZ81,_xlpm.nm&amp;_xlpm.rm)))))</f>
        <v/>
      </c>
      <c r="BE81" t="str">
        <f t="shared" si="131"/>
        <v>Внешний блок кондиционирования Пом. Венткиосок</v>
      </c>
      <c r="BF81">
        <f>IFERROR(_xlfn.XMATCH(A81,Щиты[Щит]),0)</f>
        <v>4</v>
      </c>
      <c r="BG81">
        <f>_xlfn.LET(_xlpm.k,IFERROR(_xlfn.XLOOKUP(A81,Щиты[Щит],Щиты[Листов под вводной узел]),""),IF(_xlpm.k="",1,N(_xlpm.k))*Столбцов_на_лист)</f>
        <v>17</v>
      </c>
      <c r="BH81">
        <f t="shared" si="132"/>
        <v>52</v>
      </c>
      <c r="BI81" t="str">
        <f t="shared" si="133"/>
        <v>линии</v>
      </c>
      <c r="BJ81" s="6">
        <f>IFERROR(N(_xlfn.XLOOKUP(AX81,Коды_код,Коды_квт)),0)</f>
        <v>0</v>
      </c>
      <c r="BK81">
        <f t="shared" si="134"/>
        <v>0</v>
      </c>
      <c r="BL81" t="str">
        <f>IF(B81="","",IF(BC81&lt;&gt;"",IFERROR(_xlfn.XLOOKUP(BC81,Щиты[Щит],Щиты[Руст, кВт]),0),IF(BK81=1,IFERROR(_xlfn.XLOOKUP(A81,Щиты[Щит],Щиты[Руст, кВт]),0),IF(BJ81&gt;0,ROUND(BJ81*MAX(1,N(D81)),3),""))))</f>
        <v/>
      </c>
      <c r="BM81">
        <f t="shared" si="135"/>
        <v>28</v>
      </c>
      <c r="BN81" s="6">
        <f>IF(B81="","",IF(BC81&lt;&gt;"",IFERROR(_xlfn.XLOOKUP(BC81,Щиты[Щит],Щиты[Руст, кВт]),0),N(BM81)))</f>
        <v>28</v>
      </c>
      <c r="BO81" t="str">
        <f>IF(B81="","",IFERROR(IF(VLOOKUP(AX81,Потребители_обозначение,8,FALSE)=0,"",VLOOKUP(AX81,Потребители_обозначение,8,FALSE)),""))</f>
        <v/>
      </c>
      <c r="BP81">
        <f t="shared" si="136"/>
        <v>400</v>
      </c>
      <c r="BQ81">
        <f>IF(B81="","",IF(BC81&lt;&gt;"",3,IFERROR(IF(N(VLOOKUP(AX81,Потребители_обозначение,9,FALSE))=0,1,VLOOKUP(AX81,Потребители_обозначение,9,FALSE)),1)))</f>
        <v>1</v>
      </c>
      <c r="BR81">
        <f t="shared" si="137"/>
        <v>3</v>
      </c>
      <c r="BS81" t="str">
        <f>IF(B81="","",_xlfn.LET(_xlpm.bc,IFERROR(IF(VLOOKUP(AX81,Потребители_обозначение,6,FALSE)=0,"",VLOOKUP(AX81,Потребители_обозначение,6,FALSE)&amp;""),""),IF(AND(FK81="да",OR(_xlpm.bc="",_xlpm.bc="мс")),Марка_пож,IF(AND(_xlpm.bc="",BC81&lt;&gt;""),"мс",_xlpm.bc))))</f>
        <v/>
      </c>
      <c r="BT81" t="str">
        <f t="shared" si="138"/>
        <v>мс</v>
      </c>
      <c r="BU81">
        <f>IF(B81="","",_xlfn.LET(_xlpm.cc,IFERROR(N(VLOOKUP(AX81,Потребители_обозначение,7,FALSE)),0),IF(_xlpm.cc&gt;0,_xlpm.cc,IF(BT81="","",IF(N(BR81)=3,5,3)))))</f>
        <v>5</v>
      </c>
      <c r="BV81">
        <f t="shared" si="139"/>
        <v>5</v>
      </c>
      <c r="BW81">
        <f>IFERROR(N(VLOOKUP(AX81,Потребители_обозначение,10,FALSE)),0)</f>
        <v>0</v>
      </c>
      <c r="BX81">
        <f>IFERROR(VLOOKUP(AX81,Потребители_обозначение,5,FALSE),0)</f>
        <v>0</v>
      </c>
      <c r="BY81" s="6" cm="1">
        <f t="array" ref="BY81">IF(B81="","",IF(BC81&lt;&gt;"",IFERROR(_xlfn.XLOOKUP(BC81,Щиты[Щит],Щиты[cos φ]),0.95),IF(BK81=1,IFERROR(_xlfn.XLOOKUP(A81,Щиты[Щит],Щиты[cos φ]),0.95),IF(ISNUMBER(Z81),Z81,IFERROR(IF(BX81=2,_xlfn.IFS(BR81=3,VLOOKUP(BN81,Справочная_двигатели,8,FALSE),BR81=1,VLOOKUP(BN81,Справочная_двигатели,10,TRUE)),IF(AND(Методика="нормы 2026",EQ81="Сил"),0.8,0.95)),0.95)))))</f>
        <v>0.8</v>
      </c>
      <c r="BZ81">
        <f t="shared" si="140"/>
        <v>0</v>
      </c>
      <c r="CA81">
        <f t="shared" si="141"/>
        <v>1</v>
      </c>
      <c r="CB81">
        <f t="shared" si="142"/>
        <v>0</v>
      </c>
      <c r="CC81">
        <f t="shared" si="143"/>
        <v>0</v>
      </c>
      <c r="CD81">
        <f t="shared" si="144"/>
        <v>0</v>
      </c>
      <c r="CE81">
        <f t="shared" si="145"/>
        <v>0</v>
      </c>
      <c r="CF81">
        <f t="shared" si="146"/>
        <v>0</v>
      </c>
      <c r="CG81">
        <f>IF(AX81="",0,_xlfn.LET(_xlpm.v,IFERROR(VLOOKUP(B81,УГО_спр,3,FALSE),IFERROR(VLOOKUP(AX81,УГО_спр,3,FALSE),IFERROR(VLOOKUP(LEFT(AX81,2),УГО_спр,3,FALSE),""))),IF(_xlpm.v="да",30,IF(ISNUMBER(_xlpm.v),_xlpm.v,0))))</f>
        <v>0</v>
      </c>
      <c r="CH81" t="str">
        <f t="shared" si="147"/>
        <v/>
      </c>
      <c r="CI81" t="str">
        <f>_xlfn.LET(_xlpm.k,IFERROR(_xlfn.XLOOKUP(AX81,Коды_код,Коды_утечка)&amp;"",""),IF(_xlpm.k="","дифавтомат",_xlpm.k))</f>
        <v>дифавтомат</v>
      </c>
      <c r="CJ81">
        <f t="shared" si="148"/>
        <v>0</v>
      </c>
      <c r="CK81">
        <f t="shared" si="149"/>
        <v>0</v>
      </c>
      <c r="CL81">
        <f>IF(B81="",0,IFERROR(--VLOOKUP(B81,УГО_спр,4,FALSE),IFERROR(--VLOOKUP(AX81,УГО_спр,4,FALSE),IFERROR(--VLOOKUP(LEFT(AX81,2),УГО_спр,4,FALSE),0))))</f>
        <v>0</v>
      </c>
      <c r="CM81" t="str">
        <f>IF(B81="","",IFERROR(_xlfn.XLOOKUP(AX81,Коды_код,Коды_апп)&amp;"",""))</f>
        <v/>
      </c>
      <c r="CN81" t="str">
        <f t="shared" si="150"/>
        <v/>
      </c>
      <c r="CO81" t="str" cm="1">
        <f t="array" ref="CO81">IF(TRIM(CN81&amp;"")="","",IFERROR(TRIM(INDEX(_xlfn.TEXTSPLIT(CN81&amp;";;;",";"),1)),""))</f>
        <v/>
      </c>
      <c r="CP81" t="str" cm="1">
        <f t="array" ref="CP81">IF(TRIM(CN81&amp;"")="","",IFERROR(TRIM(INDEX(_xlfn.TEXTSPLIT(CN81&amp;";;;",";"),2)),""))</f>
        <v/>
      </c>
      <c r="CQ81" t="str" cm="1">
        <f t="array" ref="CQ81">IF(TRIM(CN81&amp;"")="","",IFERROR(TRIM(INDEX(_xlfn.TEXTSPLIT(CN81&amp;";;;",";"),3)),""))</f>
        <v/>
      </c>
      <c r="CR81">
        <f t="shared" si="151"/>
        <v>0</v>
      </c>
      <c r="CS81" t="str">
        <f>IF(B81="","",_xlfn.LET(_xlpm.t,LOWER(AV81&amp;""),IF(ISNUMBER(SEARCH("dim",_xlpm.t)),"DIM",IF(ISNUMBER(SEARCH("dali",_xlpm.t)),"DALI",IF(OR(ISNUMBER(SEARCH("relay",_xlpm.t)),ISNUMBER(SEARCH("реле",_xlpm.t))),"Relay",IF(ISNUMBER(SEARCH("кнопк",_xlpm.t)),"",IFERROR(_xlfn.XLOOKUP(AX81,Коды_код,Коды_упр)&amp;"","")))))))</f>
        <v/>
      </c>
      <c r="CT81" t="str">
        <f t="shared" si="152"/>
        <v/>
      </c>
      <c r="CU81">
        <f>IF(B81="","",_xlfn.LET(_xlpm.ig,N(P81)+IF(AF81="вручную",0,N(CB81)),_xlpm.n0,IFERROR(VLOOKUP(_xlpm.ig,Автомат_номиналы,2,TRUE),0),_xlpm.mn,MAX(CL81,IF(AF81="вручную",0,N(CE81))),MAX(_xlpm.n0,_xlpm.mn,IF(CR81=1,Мин_автомат_БП,0))))</f>
        <v>63</v>
      </c>
      <c r="CV81">
        <f t="shared" si="153"/>
        <v>3</v>
      </c>
      <c r="CW81" t="str">
        <f t="shared" si="154"/>
        <v>3P</v>
      </c>
      <c r="CX81" t="str">
        <f>_xlfn.LET(_xlpm.cc,UPPER(TRIM(IFERROR(_xlfn.XLOOKUP(AX81,Коды_код,Коды_хар)&amp;"",""))),IF(OR(_xlpm.cc="B",_xlpm.cc="В"),"B",IF(_xlpm.cc="D","D","С")))</f>
        <v>С</v>
      </c>
      <c r="CY81" t="str">
        <f t="shared" si="155"/>
        <v>3P С63А</v>
      </c>
      <c r="CZ81">
        <f t="shared" si="156"/>
        <v>63</v>
      </c>
      <c r="DA81" t="str">
        <f t="shared" si="157"/>
        <v>3P С63А</v>
      </c>
      <c r="DB81" cm="1">
        <f t="array" ref="DB81">IF(DA81="","",_xlfn.LET(_xlpm.t,SUBSTITUTE(SUBSTITUTE(SUBSTITUTE(UPPER(DA81),"С","C"),"А","A"),"В","B"),_xlpm.tk,_xlfn.TEXTSPLIT(_xlpm.t,"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1" t="str">
        <f t="shared" si="158"/>
        <v>ok</v>
      </c>
      <c r="DD81">
        <f t="shared" si="159"/>
        <v>63</v>
      </c>
      <c r="DE81" t="str">
        <f t="shared" si="160"/>
        <v>3P С63А</v>
      </c>
      <c r="DF81">
        <f t="shared" si="161"/>
        <v>0</v>
      </c>
      <c r="DG81">
        <f t="shared" si="162"/>
        <v>0</v>
      </c>
      <c r="DH81">
        <f t="shared" si="163"/>
        <v>0</v>
      </c>
      <c r="DI81">
        <f t="shared" si="164"/>
        <v>50.518148554092257</v>
      </c>
      <c r="DJ81">
        <f t="shared" si="165"/>
        <v>0.92</v>
      </c>
      <c r="DK81">
        <f>IF(ISNUMBER(AL81),AL81,К_прокл)</f>
        <v>1</v>
      </c>
      <c r="DL81">
        <f t="shared" si="166"/>
        <v>3</v>
      </c>
      <c r="DM81">
        <f>IFERROR(N(VLOOKUP(BT81,Кабель_обозначение,3,FALSE)),1)</f>
        <v>1</v>
      </c>
      <c r="DN81">
        <f>IFERROR(N(_xlfn.XLOOKUP(A81,Щиты[Щит],Щиты[ΔU до шин, %])),0)</f>
        <v>0.64</v>
      </c>
      <c r="DO81" t="str">
        <f>IFERROR(_xlfn.XLOOKUP(A81,Щиты[Щит],Щиты[Zпетли на шинах, Ом]),"")</f>
        <v/>
      </c>
      <c r="DP81">
        <f>IFERROR(N(_xlfn.XLOOKUP(A81,Щиты[Щит],Щиты[ΔU до шин (подбор), %])),0)</f>
        <v>0.75</v>
      </c>
      <c r="DQ81" t="str">
        <f>IFERROR(_xlfn.XLOOKUP(A81,Щиты[Щит],Щиты[Zпетли на шинах (подбор), Ом]),"")</f>
        <v/>
      </c>
      <c r="DR81" t="str">
        <f t="shared" si="167"/>
        <v/>
      </c>
      <c r="DS81">
        <f t="shared" si="168"/>
        <v>37</v>
      </c>
      <c r="DT81">
        <f t="shared" si="169"/>
        <v>1</v>
      </c>
      <c r="DU81">
        <f t="shared" si="170"/>
        <v>0.6</v>
      </c>
      <c r="DV81" s="6">
        <f>IF(B81="","",IF(IFERROR(VLOOKUP(AX81,УГО_спр,2,FALSE),"")="Светильник",3,4)+IF(Методика="нормы 2026",MIN(0.5,MAX(0,N(Q81)-100)*0.005),0))</f>
        <v>4</v>
      </c>
      <c r="DW81" cm="1">
        <f t="array" ref="DW81">IF(OR(B81="",BT81="",DM81&lt;&gt;1),"",_xlfn.LET(_xlpm.sz,Iдоп_S,_xlpm.t_,CHOOSE(DL81,Iдоп_1ж,Iдоп_2ж,Iдоп_3ж)*DJ81*DK81,_xlpm.inn,N(DD81),_xlpm.smin,MAX(1.5,BW81),_xlpm.L_,N(Q81)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81)*(_xlpm.rho*_xlpm.L_/_xlpm.sz*N(BY81)+_xlpm.xx*_xlpm.L_*N(DU81)/1000)*N(P81)/((Uн_лин/SQRT(3))*1000)*100,999),_xlpm.kz,IF(OR(DG81=1,NOT(ISNUMBER(DQ81)),_xlpm.L_=0,_xlpm.inn=0),1,IFERROR(--(c_min*(Uн_лин*1000/SQRT(3))/(DQ81+2*ρкз_Cu*_xlpm.L_/_xlpm.sz)&gt;=GY81*_xlpm.inn),0)),_xlpm.ok,IFERROR((_xlpm.sz&gt;=_xlpm.smin)*(_xlpm.t_&gt;=_xlpm.inn)*IF(_xlpm.L_&gt;0,(_xlpm.du_+DP81&lt;=DV81+0.00001),1)*_xlpm.kz,0),_xlpm.r_,_xlfn._xlws.FILTER(_xlpm.sz,_xlpm.ok,"не подобрано"),INDEX(_xlpm.r_,1)))</f>
        <v>16</v>
      </c>
      <c r="DX81">
        <f t="shared" si="171"/>
        <v>25</v>
      </c>
      <c r="DY81" cm="1">
        <f t="array" ref="DY81">IF(OR(B81="",BT81="",DM81&lt;&gt;1),"",_xlfn.LET(_xlpm.sz,Iдоп_S,_xlpm.t_,CHOOSE(DL81,Iдоп_1ж,Iдоп_2ж,Iдоп_3ж)*DJ81*DK81,_xlpm.ok,IFERROR((_xlpm.sz&gt;=MAX(1.5,BW81))*(_xlpm.t_&gt;=N(DD81)),0),_xlpm.r_,_xlfn._xlws.FILTER(_xlpm.sz,_xlpm.ok,""),INDEX(_xlpm.r_,1)))</f>
        <v>16</v>
      </c>
      <c r="DZ81" s="6" cm="1">
        <f t="array" ref="DZ81">IFERROR(ROUNDUP(N(DT81)*(_xlfn.XLOOKUP(DY81,INDEX(Кабель_сопротивление,0,1),INDEX(Кабель_сопротивление,0,3))*N(Q81)/DY81*N(BY81)+_xlfn.XLOOKUP(DY81,INDEX(Кабель_сопротивление,0,1),INDEX(Кабель_сопротивление,0,2))*N(Q81)*N(DU81)/1000)*N(P81)/((Uн_лин/SQRT(3))*1000)*100,2),"")</f>
        <v>0.95</v>
      </c>
      <c r="EA81">
        <f>IFERROR(2*ρкз_Cu*N(Q81)/DY81,"")</f>
        <v>0.1216375</v>
      </c>
      <c r="EB81">
        <f>IFERROR(VLOOKUP(DX81,Кабель_сопротивление,3,FALSE),"")</f>
        <v>2.2499999999999999E-2</v>
      </c>
      <c r="EC81">
        <f>IFERROR(VLOOKUP(DX81,Кабель_сопротивление,2,FALSE),"")</f>
        <v>6.6199999999999995E-2</v>
      </c>
      <c r="ED81">
        <f t="shared" si="172"/>
        <v>33</v>
      </c>
      <c r="EE81">
        <f t="shared" si="173"/>
        <v>0</v>
      </c>
      <c r="EF81">
        <f t="shared" si="174"/>
        <v>1.4200469693220541</v>
      </c>
      <c r="EG81" s="6">
        <f>IFERROR(ROUNDUP(EF81/((Uн_лин/SQRT(3))*1000)*100,2),"")</f>
        <v>0.62</v>
      </c>
      <c r="EH81" t="str">
        <f>IFERROR(VLOOKUP(BT81,Кабель_обозначение,2,FALSE),"")</f>
        <v>ВВГнг(А)-LS</v>
      </c>
      <c r="EI81" t="str">
        <f t="shared" si="175"/>
        <v>ВВГнг(А)-LS (5х25)</v>
      </c>
      <c r="EJ81" t="str">
        <f t="shared" si="176"/>
        <v>ВВГнг(А)-LS (5х25)
L=37-0,62%</v>
      </c>
      <c r="EK81">
        <f>IFERROR(2*ρкз_Cu*Q81/DX81,"")</f>
        <v>7.7848000000000001E-2</v>
      </c>
      <c r="EL81">
        <f t="shared" si="177"/>
        <v>2.5900000000000003E-2</v>
      </c>
      <c r="EM81" s="6" t="str">
        <f>IFERROR(IF(OR(B81="",NOT(ISNUMBER(DX81)),N(Q81)=0),"",_xlfn.XLOOKUP(A81,Щиты[Щит],Щиты[Zпетли на шинах, Ом])+EK81),"")</f>
        <v/>
      </c>
      <c r="EN81" s="6" t="str">
        <f>IF(ISNUMBER(EM81),c_min*(Uн_лин*1000/SQRT(3))/EM81,"")</f>
        <v/>
      </c>
      <c r="EO81" s="6" t="str">
        <f>IFERROR(IF(OR(B81="",NOT(ISNUMBER(DX81))),"",1.05*(Uн_лин*1000/SQRT(3))/(_xlfn.XLOOKUP(A81,Щиты[Щит],Щиты[Zmax на шинах, Ом])+EL81)/1000),"")</f>
        <v/>
      </c>
      <c r="EP81" s="6" t="str">
        <f>IF(B81="","",IF(ISNUMBER(Y81),"Сил",IF(IFERROR(_xlfn.XLOOKUP(AX81,Коды_код,Коды_группа)&amp;"","")="","Быт",_xlfn.XLOOKUP(AX81,Коды_код,Коды_группа)&amp;"")))</f>
        <v>Сил</v>
      </c>
      <c r="EQ81" s="6" t="str">
        <f t="shared" si="178"/>
        <v>Сил</v>
      </c>
      <c r="ER81" s="6">
        <f>IF(EQ81="Щит","щит",IF(EQ81="","",IF(EQ81="Быт",IFERROR(_xlfn.XLOOKUP(A81,Щиты[Щит],Щиты[Кс быт]),1),IF(EQ81="Сил",IF(ISNUMBER(Y81),Y81,IF(Методика="нормы 2026",IFERROR(_xlfn.XLOOKUP(A81,Щиты[Щит],Щиты[Кс силовых (табл. 7.5)]),1),1)),IF(OR(EQ81="Пост",EQ81="Отоп"),1,IF(EQ81="ВНГ",0.7,0))))))</f>
        <v>0.5</v>
      </c>
      <c r="ES81">
        <f t="shared" si="179"/>
        <v>1</v>
      </c>
      <c r="ET81">
        <f t="shared" si="180"/>
        <v>28</v>
      </c>
      <c r="EU81">
        <f t="shared" si="181"/>
        <v>0</v>
      </c>
      <c r="EV81">
        <f t="shared" si="182"/>
        <v>14</v>
      </c>
      <c r="EW81">
        <f t="shared" si="183"/>
        <v>0</v>
      </c>
      <c r="EX81">
        <f t="shared" si="184"/>
        <v>0</v>
      </c>
      <c r="EY81">
        <f t="shared" si="185"/>
        <v>0</v>
      </c>
      <c r="EZ81">
        <f t="shared" si="186"/>
        <v>28</v>
      </c>
      <c r="FA81">
        <f t="shared" si="187"/>
        <v>22.400000000000002</v>
      </c>
      <c r="FB81">
        <f t="shared" si="188"/>
        <v>28</v>
      </c>
      <c r="FC81" t="str">
        <f t="shared" si="189"/>
        <v/>
      </c>
      <c r="FD81" t="str">
        <f>IF(B81="","",IF(CA81=0,IF(AW81=1,"",FF80),IF(OR(N(CV81)&gt;=3,N(BR81)&gt;=3),"L1,L2,L3",IFERROR(_xlfn.TEXTBEFORE(_xlfn.TEXTAFTER(_xlfn.XLOOKUP(A81,Щиты[Щит],Щиты[_фазы авто]),";"&amp;AW81&amp;":"),";"),"L1"))))</f>
        <v>L1,L2,L3</v>
      </c>
      <c r="FE81" t="str">
        <f t="shared" si="190"/>
        <v>L1,L2,L3</v>
      </c>
      <c r="FF81" t="str">
        <f t="shared" si="191"/>
        <v>L1,L2,L3</v>
      </c>
      <c r="FG81" cm="1">
        <f t="array" ref="FG81">IFERROR(IF(BX81=2,_xlfn.IFS(BR81=3,VLOOKUP(BN81,Справочная_двигатели,3,FALSE),BR81=1,VLOOKUP(BN81,Справочная_двигатели,5,TRUE)),0),0)</f>
        <v>0</v>
      </c>
      <c r="FH81">
        <f>IFERROR(IF(BX81=3,VLOOKUP(BN81,Справочная_ЛЭД,2,TRUE),0),0)</f>
        <v>0</v>
      </c>
      <c r="FI81" s="6">
        <f t="shared" si="192"/>
        <v>0</v>
      </c>
      <c r="FJ81" t="str" cm="1">
        <f t="array" ref="FJ81">IF(B81="","",IFERROR(INDEX({"I особая","I","II","III"},MATCH(TRIM(AC81&amp;""),{"I особая","I","II","III"},0)),"III"))</f>
        <v>II</v>
      </c>
      <c r="FK81" t="str">
        <f>IF(B81="","",IF(TRIM(AD81&amp;"")&lt;&gt;"",IF(LOWER(TRIM(AD81&amp;""))="да","да","нет"),IF(IFERROR(_xlfn.XLOOKUP(AX81,Коды_код,Коды_пожарная),"")="да","да","нет")))</f>
        <v>нет</v>
      </c>
      <c r="FL81" t="str">
        <f t="shared" si="193"/>
        <v/>
      </c>
      <c r="FM81" t="str">
        <f t="shared" si="194"/>
        <v>основная</v>
      </c>
      <c r="FN81">
        <f t="shared" si="195"/>
        <v>1</v>
      </c>
      <c r="FO81" t="str" cm="1">
        <f t="array" ref="FO81">IF(B81="","",_xlfn.LET(_xlpm.t,IFERROR(_xlfn.XLOOKUP(1,(Шины[Шина]=FM81)*(((Шины[Щит]=A81)+(Шины[Щит]=""))&gt;0),Шины[Тип]),"")&amp;"",IF(_xlpm.t&lt;&gt;"",_xlpm.t,IF(ISNUMBER(SEARCH("ИБП",FM81)),"ИБП",IF(ISNUMBER(SEARCH("ДГУ",FM81)),"ДГУ","Ввод "&amp;FN81)))))</f>
        <v>Ввод 1</v>
      </c>
      <c r="FP81" t="str">
        <f t="shared" si="196"/>
        <v>Ввод 1</v>
      </c>
      <c r="FQ81" t="str">
        <f>IF(B81="","",IF(OR(FO81="ИБП",FO81="ДГУ"),"I особая",IF(FO81="Одиночная","III",_xlfn.XLOOKUP(A81,Щиты[Щит],Щиты[Категория шины «Ввод»],"III"))))</f>
        <v>II</v>
      </c>
      <c r="FR81">
        <f>IF(B81="",0,IFERROR(MATCH(FJ81,{"III","II","I","I особая"},0),1))</f>
        <v>2</v>
      </c>
      <c r="FS81">
        <f t="shared" si="197"/>
        <v>2</v>
      </c>
      <c r="FT81" t="str">
        <f>IF(B81="","",IF(FR81&gt;IFERROR(MATCH(FQ81,{"III","II","I","I особая"},0),1),"НЕ ОБЕСПЕЧЕНА","ОК"))</f>
        <v>ОК</v>
      </c>
      <c r="FU81" t="str">
        <f>IF(A81="","",_xlfn.XLOOKUP(A81,Щиты[Щит],Щиты[Путь],""))</f>
        <v>|ГРЩ-ЖД|ЩОВ-001|</v>
      </c>
      <c r="FV81" t="str">
        <f>IF(B81="","",IF(AE81&lt;&gt;"",AE81,IF(IFERROR(_xlfn.XLOOKUP(AX81,Коды_код,Коды_вид)&amp;"","")="","Прочее",_xlfn.XLOOKUP(AX81,Коды_код,Коды_вид)&amp;"")))</f>
        <v>Кондиционирование и увлажнение</v>
      </c>
      <c r="FW81">
        <f>IF(BH81="","",INT((BH81-1)/Столбцов_на_лист)+1)</f>
        <v>4</v>
      </c>
      <c r="FX81" t="str">
        <f t="shared" si="198"/>
        <v>ВВГнг(А)-LS (5х25) L=37-0,62%</v>
      </c>
      <c r="FY81">
        <f t="shared" si="199"/>
        <v>28</v>
      </c>
      <c r="FZ81">
        <f t="shared" si="200"/>
        <v>50.519999999999996</v>
      </c>
      <c r="GA81">
        <f t="shared" si="201"/>
        <v>3</v>
      </c>
      <c r="GB81">
        <f t="shared" si="202"/>
        <v>0</v>
      </c>
      <c r="GC81">
        <f t="shared" si="203"/>
        <v>1</v>
      </c>
      <c r="GD81">
        <f>IF(BH81="","",IF(AND(CA81=1,GC81=1),COUNTIFS(A$3:A81,A81,CA$3:CA81,1,GC$3:GC81,1),IF(OR(OR(AW81=1,A81&lt;&gt;A80),AF81="вручную",GC81=0),"",IF(AW81=1,"",GE80))))</f>
        <v>28</v>
      </c>
      <c r="GE81">
        <f t="shared" si="204"/>
        <v>28</v>
      </c>
      <c r="GF81">
        <f>IF(B81="","",IFERROR(LOOKUP(INDEX(CHOOSE(DL81,Iдоп_1ж,Iдоп_2ж,Iдоп_3ж),MATCH(DX81,Iдоп_S,0))*DJ81*DK81,{6,10,16,20,25,32,40,50,63,80,100,125,160,200,250,315,400,500,630}),""))</f>
        <v>80</v>
      </c>
      <c r="GG81" t="str">
        <f t="shared" si="205"/>
        <v>QF28</v>
      </c>
      <c r="GH81" t="str">
        <f t="shared" si="206"/>
        <v>QF28</v>
      </c>
      <c r="GI81" t="str">
        <f t="shared" si="207"/>
        <v/>
      </c>
      <c r="GJ81">
        <f t="shared" si="208"/>
        <v>0</v>
      </c>
      <c r="GK81" t="str">
        <f>IF(OR(AG81="",AG81="-"),"",IFERROR(VLOOKUP(AG81,Модули_спр,2,FALSE),"R"))</f>
        <v/>
      </c>
      <c r="GL81" t="str">
        <f>IF(GK81="","",GK81&amp;"."&amp;COUNTIFS(A$3:A81,A81,GK$3:GK81,GK81))</f>
        <v/>
      </c>
      <c r="GM81" t="str">
        <f t="shared" si="209"/>
        <v/>
      </c>
      <c r="GN81" t="str">
        <f t="shared" si="210"/>
        <v/>
      </c>
      <c r="GO81" t="str">
        <f t="shared" si="211"/>
        <v/>
      </c>
      <c r="GP81" t="str">
        <f t="shared" si="212"/>
        <v/>
      </c>
      <c r="GQ81">
        <f t="shared" si="213"/>
        <v>1</v>
      </c>
      <c r="GR81" t="str">
        <f>IF(GQ81=1,"XT"&amp;COUNTIFS(A$3:A81,A81,GQ$3:GQ81,1),"")</f>
        <v>XT28</v>
      </c>
      <c r="GS81" t="str">
        <f t="shared" si="214"/>
        <v>XT28</v>
      </c>
      <c r="GT81" t="str">
        <f t="shared" si="215"/>
        <v>QF28</v>
      </c>
      <c r="GU81" t="str">
        <f t="shared" si="216"/>
        <v/>
      </c>
      <c r="GV81" t="str">
        <f t="shared" si="217"/>
        <v>ok</v>
      </c>
      <c r="GW81" t="str">
        <f>IF(OR(GO81="",GM81=""),"",IF(GO81&gt;IFERROR(VLOOKUP(GN81,Модули_спр,3,FALSE),99),"ЛИШНИЙ КАНАЛ",IF(AND(AH81&lt;&gt;"=",COUNTIFS(Линии[_модуль гр.],GM81,Линии[Канал (итог)],GO81,Линии[Канал],"&lt;&gt;=",Линии[Щит],A81)&gt;1),"ДУБЛЬ КАНАЛА","")))</f>
        <v/>
      </c>
      <c r="GX81" s="6" t="str">
        <f t="shared" si="218"/>
        <v/>
      </c>
      <c r="GY81">
        <f t="shared" si="219"/>
        <v>10</v>
      </c>
      <c r="GZ81" t="str">
        <f t="shared" si="220"/>
        <v/>
      </c>
      <c r="HA81" t="str">
        <f>IF(AND(B81="",GT81=""),"",_xlfn.TEXTJOIN("; ",TRUE,IF(AND(B81&lt;&gt;"",FE81=""),"нет фазы",""),IF(AND(B81&lt;&gt;"",N(FY81)=0,EQ81&lt;&gt;"Нет"),"нет мощности",""),IF(AND(GS81&lt;&gt;"",COUNTIFS(Линии[Щит],A81,Линии[Клемма (итог)],GS81)&gt;1),"дубль клеммы "&amp;GS81,""),IF(AND(GV81&lt;&gt;"",GV81&lt;&gt;"ok"),GV81,""),IF(GW81&lt;&gt;"",GW81,""),IF(AND(N(BV81)&gt;=4,N(BR81)=1),BV81&amp;" жил на 1 фазе",""),IF(AND(AX81="R",CA81=1,OR(N(CK81)=0,N(CK81)&gt;30)),"розетка без дифзащиты до 30 мА",""),IFERROR(IF(AND(ISNUMBER(R81),R81&gt;DV81),"потери "&amp;FIXED(R81,1)&amp;" % &gt; "&amp;DV81&amp;" %",""),""),IFERROR(IF(LEFT(GZ81,4)="мало","Iкз мало — отключение &gt; 0,4 с",""),""),IF(AND(B81&lt;&gt;"",BH81=""),"не на схеме",""),IF(AND(CA81=0,B81&lt;&gt;"",FE81&lt;&gt;"",IF(AW81=1,"",FF80)&lt;&gt;"",FE81&lt;&gt;IF(AW81=1,"",FF80)),"фаза не как у автомата группы ("&amp;IF(AW81=1,"",FF80)&amp;")","")))</f>
        <v/>
      </c>
      <c r="HB81" s="6" t="str">
        <f>IF(OR(CA81=0,DA81=""),"",_xlfn.LET(_xlpm.t,IFERROR(_xlfn.XLOOKUP(DA81,Каталог!$U$4:$U$500,Каталог!$G$4:$G$500),""),_xlpm.k,SEARCH("кА",_xlpm.t),IFERROR(--TRIM(RIGHT(SUBSTITUTE(MID(_xlpm.t,MAX(1,_xlpm.k-4),_xlpm.k-MAX(1,_xlpm.k-4))," ",REPT(" ",9)),5)),"")))</f>
        <v/>
      </c>
      <c r="HC81" t="str">
        <f>IF(OR(HB81="",CA81=0),"",IF(_xlfn.XLOOKUP(A81,Щиты[Щит],Щиты[Iкз max на шинах, кА],"")="","",IF(HB81&lt;_xlfn.XLOOKUP(A81,Щиты[Щит],Щиты[Iкз max на шинах, кА]),"Icu "&amp;HB81&amp;" кА &lt; Iкз max","ok")))</f>
        <v/>
      </c>
      <c r="HD81" t="str">
        <f t="shared" si="221"/>
        <v/>
      </c>
      <c r="HE81" t="str">
        <f t="shared" si="222"/>
        <v>QF28|XT28</v>
      </c>
      <c r="HF81" t="str">
        <f t="shared" si="223"/>
        <v>QF28|XT28|кабель ВВГнг(А)-LS (5х25) → Внешний блок кондиционирования Пом. Венткиосок</v>
      </c>
      <c r="HG81" t="str" cm="1">
        <f t="array" ref="HG81">IF(HF81="","",_xlfn.LET(_xlpm.nd,_xlfn.TEXTSPLIT(HF81,"|"),IF(COLUMNS(_xlpm.nd)&gt;1,A81&amp;"¦"&amp;INDEX(_xlpm.nd,1)&amp;"¦"&amp;INDEX(_xlpm.nd,2),"")))</f>
        <v>ЩОВ-001¦QF28¦XT28</v>
      </c>
      <c r="HH81" t="str">
        <f t="shared" si="224"/>
        <v>ККБ-2¦Внешний блок кондиционирования Пом. Венткиосок</v>
      </c>
      <c r="HI81" t="str" cm="1">
        <f t="array" ref="HI81">IF(HF81="","",_xlfn.LET(_xlpm.nd,_xlfn.TEXTSPLIT(HF81,"|"),IF(COLUMNS(_xlpm.nd)&gt;2,A81&amp;"¦"&amp;INDEX(_xlpm.nd,2)&amp;"¦"&amp;INDEX(_xlpm.nd,3),"")))</f>
        <v>ЩОВ-001¦XT28¦кабель ВВГнг(А)-LS (5х25) → Внешний блок кондиционирования Пом. Венткиосок</v>
      </c>
      <c r="HJ81" t="str">
        <f t="shared" si="225"/>
        <v>ККБ-2¦Внешний блок кондиционирования Пом. Венткиосок</v>
      </c>
      <c r="HK81" t="str" cm="1">
        <f t="array" ref="HK81">IF(HF81="","",_xlfn.LET(_xlpm.nd,_xlfn.TEXTSPLIT(HF81,"|"),IF(COLUMNS(_xlpm.nd)&gt;3,A81&amp;"¦"&amp;INDEX(_xlpm.nd,3)&amp;"¦"&amp;INDEX(_xlpm.nd,4),"")))</f>
        <v/>
      </c>
      <c r="HL81" t="str">
        <f t="shared" si="226"/>
        <v/>
      </c>
      <c r="HM81" t="str" cm="1">
        <f t="array" ref="HM81">IF(HF81="","",_xlfn.LET(_xlpm.nd,_xlfn.TEXTSPLIT(HF81,"|"),IF(COLUMNS(_xlpm.nd)&gt;4,A81&amp;"¦"&amp;INDEX(_xlpm.nd,4)&amp;"¦"&amp;INDEX(_xlpm.nd,5),"")))</f>
        <v/>
      </c>
      <c r="HN81" t="str">
        <f t="shared" si="227"/>
        <v/>
      </c>
      <c r="HO81" t="str" cm="1">
        <f t="array" ref="HO81">IF(HF81="","",_xlfn.LET(_xlpm.nd,_xlfn.TEXTSPLIT(HF81,"|"),IF(COLUMNS(_xlpm.nd)&gt;5,A81&amp;"¦"&amp;INDEX(_xlpm.nd,5)&amp;"¦"&amp;INDEX(_xlpm.nd,6),"")))</f>
        <v/>
      </c>
      <c r="HP81" t="str">
        <f t="shared" si="228"/>
        <v/>
      </c>
      <c r="HQ81" t="str" cm="1">
        <f t="array" ref="HQ81">IF(HF81="","",_xlfn.LET(_xlpm.nd,_xlfn.TEXTSPLIT(HF81,"|"),IF(COLUMNS(_xlpm.nd)&gt;6,A81&amp;"¦"&amp;INDEX(_xlpm.nd,6)&amp;"¦"&amp;INDEX(_xlpm.nd,7),"")))</f>
        <v/>
      </c>
      <c r="HR81" t="str">
        <f t="shared" si="229"/>
        <v/>
      </c>
      <c r="HS81" t="str">
        <f t="shared" si="230"/>
        <v/>
      </c>
      <c r="HT81" t="str">
        <f t="shared" si="231"/>
        <v>QF28 → XT28</v>
      </c>
      <c r="HU81">
        <f t="shared" si="232"/>
        <v>0</v>
      </c>
      <c r="HV81">
        <f t="shared" si="233"/>
        <v>0</v>
      </c>
      <c r="HW81" t="str">
        <f t="shared" si="234"/>
        <v/>
      </c>
      <c r="HX81" t="str">
        <f t="shared" si="235"/>
        <v/>
      </c>
      <c r="HY81" t="str">
        <f t="shared" si="236"/>
        <v/>
      </c>
      <c r="HZ81" t="str">
        <f t="shared" si="237"/>
        <v/>
      </c>
      <c r="IA81" t="str">
        <f>IF(B81="","",IFERROR(VLOOKUP(B81,УГО_спр,2,FALSE),IFERROR(VLOOKUP(AX81,УГО_спр,2,FALSE),IFERROR(VLOOKUP(LEFT(AX81,2),УГО_спр,2,FALSE),""))))</f>
        <v/>
      </c>
      <c r="IB81" t="str">
        <f>IF(B81="","",IF(OR(IA81="",IA81=0),"BOX",IFERROR(IF(VLOOKUP(IA81,УГО_блоки,3,FALSE)&amp;""&lt;&gt;"",VLOOKUP(IA81,УГО_блоки,3,FALSE),VLOOKUP(IA81,УГО_блоки,2,FALSE)),IA81)))</f>
        <v>BOX</v>
      </c>
      <c r="IC81">
        <f t="shared" si="238"/>
        <v>1</v>
      </c>
      <c r="ID81" t="str">
        <f>IF(DA81="","",IF(COUNTIF(DA$3:DA81,DA81)=1,MAX(ID$2:ID80)+1,""))</f>
        <v/>
      </c>
      <c r="IE81" t="str">
        <f>IF(CO81="","",IF(COUNTIF(CO$3:CO81,CO81)+COUNTIF(CP$2:CP80,CO81)+COUNTIF(CQ$2:CQ80,CO81)=1,MAX(IE$2:IG80)+1,""))</f>
        <v/>
      </c>
      <c r="IF81" t="str">
        <f>IF(CP81="","",IF(COUNTIF(CO$3:CO81,CP81)+COUNTIF(CP$3:CP81,CP81)+COUNTIF(CQ$2:CQ80,CP81)=1,MAX(IE$2:IG80,IE81)+1,""))</f>
        <v/>
      </c>
      <c r="IG81" t="str">
        <f>IF(CQ81="","",IF(COUNTIF(CO$3:CO81,CQ81)+COUNTIF(CP$3:CP81,CQ81)+COUNTIF(CQ$3:CQ81,CQ81)=1,MAX(IE$2:IG80,IE81,IF81)+1,""))</f>
        <v/>
      </c>
      <c r="IH81" t="str">
        <f t="shared" si="239"/>
        <v>5х25</v>
      </c>
      <c r="II81" t="str">
        <f>IF(IH81="","",IF(COUNTIF(IH$3:IH81,IH81)=1,MAX(II$2:II80)+1,""))</f>
        <v/>
      </c>
      <c r="IJ81" t="str">
        <f>IF(GL81="","",COUNTIF(GL$3:GL81,"?*"))</f>
        <v/>
      </c>
      <c r="IK81" t="str">
        <f>IF(OR(GL81="",GN81=""),"",IF(COUNTIFS(GL$3:GL81,"?*",GN$3:GN81,GN81)=1,MAX(IK$2:IK80)+1,""))</f>
        <v/>
      </c>
      <c r="IL81">
        <f t="shared" si="240"/>
        <v>0</v>
      </c>
      <c r="IM81">
        <f>IF(B81="","",COUNTIF(B$3:B81,"?*"))</f>
        <v>79</v>
      </c>
      <c r="IN81">
        <f>IF(GQ81&lt;&gt;1,0,_xlfn.LET(_xlpm.k,MAX(IFERROR(--VLOOKUP(B81,УГО_спр,5,FALSE),0),IFERROR(--VLOOKUP(AX81,УГО_спр,5,FALSE),0),IFERROR(--VLOOKUP(LEFT(AX81,2),УГО_спр,5,FALSE),0)),IF(_xlpm.k&gt;0,_xlpm.k,IF(IFERROR(--LEFT(SUBSTITUTE(IH81,"x","х"),FIND("х",SUBSTITUTE(IH81,"x","х"))-1),3)&gt;3,Каталог!$S$9,1))))</f>
        <v>1</v>
      </c>
      <c r="IO81">
        <f t="shared" si="241"/>
        <v>2</v>
      </c>
      <c r="IP81" t="str">
        <f t="shared" si="242"/>
        <v>авто</v>
      </c>
      <c r="IQ81" t="str">
        <f t="shared" si="243"/>
        <v/>
      </c>
      <c r="IR81">
        <f t="shared" si="244"/>
        <v>0</v>
      </c>
      <c r="IS81">
        <f t="shared" si="245"/>
        <v>1</v>
      </c>
    </row>
    <row r="82" spans="1:253" x14ac:dyDescent="0.3">
      <c r="A82" t="s">
        <v>749</v>
      </c>
      <c r="B82" t="s">
        <v>1354</v>
      </c>
      <c r="C82" t="s">
        <v>1619</v>
      </c>
      <c r="D82">
        <v>1</v>
      </c>
      <c r="E82">
        <v>27.79</v>
      </c>
      <c r="G82">
        <v>63</v>
      </c>
      <c r="H82" t="str">
        <f>Линии[[#This Row],[_авто утечка]]</f>
        <v/>
      </c>
      <c r="I82" t="str">
        <f>Линии[[#This Row],[_авто управление]]</f>
        <v/>
      </c>
      <c r="J82" t="str">
        <f>Линии[[#This Row],[_авто аппараты]]</f>
        <v/>
      </c>
      <c r="K82">
        <v>25</v>
      </c>
      <c r="L82">
        <v>51</v>
      </c>
      <c r="M82" t="str">
        <f>Линии[[#This Row],[_авто фаза]]</f>
        <v>L1,L2,L3</v>
      </c>
      <c r="N82" t="str">
        <f>Линии[[#This Row],[_авто клемма]]</f>
        <v>XT29</v>
      </c>
      <c r="O82" t="str">
        <f t="shared" si="123"/>
        <v/>
      </c>
      <c r="P82" s="6" cm="1">
        <f t="array" ref="P82">IF(B82="","",IF(BC82&lt;&gt;"",IFERROR(_xlfn.XLOOKUP(BC82,Щиты[Щит],Щиты[Iр, А]),""),IF(BK82=1,IFERROR(_xlfn.XLOOKUP(A82,Щиты[Щит],Щиты[Iр, А]),""),IFERROR(_xlfn.IFS(BR82=1,BN82/((Uн_лин/SQRT(3))*BY82),BR82=3,BN82/(SQRT(3)*Uн_лин*BY82)),""))))</f>
        <v>50.139262439936559</v>
      </c>
      <c r="Q82" s="7">
        <f>IF(B82="","",IFERROR(IF(VLOOKUP(AX82,Потребители_обозначение,4,FALSE)=1,VLOOKUP(AX82,Потребители_обозначение,3,FALSE)*(D82*2-1)+DS82+VLOOKUP(AZ82,Этаж_обозначение,3,FALSE)+VLOOKUP(AZ82,Этаж_обозначение,4,FALSE),VLOOKUP(AX82,Потребители_обозначение,3,FALSE)*(D82*2-1)+DS82),DS82))</f>
        <v>51</v>
      </c>
      <c r="R82" s="6">
        <f t="shared" si="124"/>
        <v>1.49</v>
      </c>
      <c r="S82" t="str">
        <f t="shared" si="125"/>
        <v>ВВГнг(А)-LS (5х25)</v>
      </c>
      <c r="T82" t="str">
        <f>IF(BH82="","",IF(BI82="вводной узел","узел ","")&amp;"л."&amp;(INT((BH82-1)/Столбцов_на_лист)+1)&amp;" / "&amp;(MOD(BH82-1,Столбцов_на_лист)+1))</f>
        <v>л.4 / 2</v>
      </c>
      <c r="V82">
        <v>3</v>
      </c>
      <c r="W82">
        <v>400</v>
      </c>
      <c r="X82" t="s">
        <v>600</v>
      </c>
      <c r="Y82">
        <v>0.5</v>
      </c>
      <c r="AC82" t="s">
        <v>815</v>
      </c>
      <c r="AE82" t="s">
        <v>578</v>
      </c>
      <c r="AI82">
        <v>53</v>
      </c>
      <c r="AJ82" t="s">
        <v>11</v>
      </c>
      <c r="AK82">
        <v>5</v>
      </c>
      <c r="AM82">
        <v>0</v>
      </c>
      <c r="AN82">
        <v>47</v>
      </c>
      <c r="AO82">
        <v>0</v>
      </c>
      <c r="AP82">
        <v>1</v>
      </c>
      <c r="AW82" cm="1">
        <f t="array" ref="AW82">ROW()-ROW(Линии[#Headers])</f>
        <v>80</v>
      </c>
      <c r="AX82" s="6" t="str">
        <f t="shared" si="126"/>
        <v>НБ-1</v>
      </c>
      <c r="AY82" t="str">
        <f t="shared" si="127"/>
        <v/>
      </c>
      <c r="AZ82" t="str">
        <f t="shared" si="128"/>
        <v/>
      </c>
      <c r="BA82" t="str">
        <f t="shared" si="129"/>
        <v/>
      </c>
      <c r="BB82" t="str">
        <f t="shared" si="130"/>
        <v/>
      </c>
      <c r="BC82" t="str">
        <f>IF(U82&lt;&gt;"",U82,IF(AND(B82&lt;&gt;"",B82&lt;&gt;A82,ISNUMBER(_xlfn.XMATCH(B82,Щиты[Щит]))),B82,""))</f>
        <v/>
      </c>
      <c r="BD82" t="str" cm="1">
        <f t="array" ref="BD82">IF(B82="","",IF(BC82&lt;&gt;"","Щит "&amp;BC82,_xlfn.LET(_xlpm.nm,IFERROR(_xlfn.XLOOKUP(AX82,Коды_код,Коды_имя)&amp;"",""),_xlpm.md,IFERROR(N(_xlfn.XLOOKUP(AX82,Коды_код,Коды_режим)),1),_xlpm.ex,IF(Имя_режим="по экспликации",IFERROR(_xlfn.XLOOKUP(AZ82&amp;"|"&amp;BB82,Экспликация[Этаж]&amp;"|"&amp;Экспликация[Помещение],Экспликация[Название])&amp;"",""),""),_xlpm.rm,IF(BB82="","",IF(_xlpm.ex&lt;&gt;"",". "&amp;_xlpm.ex&amp;IF(Имя_пом="нет"," ("&amp;BB82&amp;")"," (пом. "&amp;BB82&amp;")"),IF(Имя_пом="нет"," ",", пом. ")&amp;BB82)),IF(_xlpm.nm="","",IF(_xlpm.md=2,_xlpm.nm&amp;" шлейф "&amp;AZ82,_xlpm.nm&amp;_xlpm.rm)))))</f>
        <v/>
      </c>
      <c r="BE82" t="str">
        <f t="shared" si="131"/>
        <v>Внешний блок кондиционирования Пом. Венткиосок</v>
      </c>
      <c r="BF82">
        <f>IFERROR(_xlfn.XMATCH(A82,Щиты[Щит]),0)</f>
        <v>4</v>
      </c>
      <c r="BG82">
        <f>_xlfn.LET(_xlpm.k,IFERROR(_xlfn.XLOOKUP(A82,Щиты[Щит],Щиты[Листов под вводной узел]),""),IF(_xlpm.k="",1,N(_xlpm.k))*Столбцов_на_лист)</f>
        <v>17</v>
      </c>
      <c r="BH82">
        <f t="shared" si="132"/>
        <v>53</v>
      </c>
      <c r="BI82" t="str">
        <f t="shared" si="133"/>
        <v>линии</v>
      </c>
      <c r="BJ82" s="6">
        <f>IFERROR(N(_xlfn.XLOOKUP(AX82,Коды_код,Коды_квт)),0)</f>
        <v>0</v>
      </c>
      <c r="BK82">
        <f t="shared" si="134"/>
        <v>0</v>
      </c>
      <c r="BL82" t="str">
        <f>IF(B82="","",IF(BC82&lt;&gt;"",IFERROR(_xlfn.XLOOKUP(BC82,Щиты[Щит],Щиты[Руст, кВт]),0),IF(BK82=1,IFERROR(_xlfn.XLOOKUP(A82,Щиты[Щит],Щиты[Руст, кВт]),0),IF(BJ82&gt;0,ROUND(BJ82*MAX(1,N(D82)),3),""))))</f>
        <v/>
      </c>
      <c r="BM82">
        <f t="shared" si="135"/>
        <v>27.79</v>
      </c>
      <c r="BN82" s="6">
        <f>IF(B82="","",IF(BC82&lt;&gt;"",IFERROR(_xlfn.XLOOKUP(BC82,Щиты[Щит],Щиты[Руст, кВт]),0),N(BM82)))</f>
        <v>27.79</v>
      </c>
      <c r="BO82" t="str">
        <f>IF(B82="","",IFERROR(IF(VLOOKUP(AX82,Потребители_обозначение,8,FALSE)=0,"",VLOOKUP(AX82,Потребители_обозначение,8,FALSE)),""))</f>
        <v/>
      </c>
      <c r="BP82">
        <f t="shared" si="136"/>
        <v>400</v>
      </c>
      <c r="BQ82">
        <f>IF(B82="","",IF(BC82&lt;&gt;"",3,IFERROR(IF(N(VLOOKUP(AX82,Потребители_обозначение,9,FALSE))=0,1,VLOOKUP(AX82,Потребители_обозначение,9,FALSE)),1)))</f>
        <v>1</v>
      </c>
      <c r="BR82">
        <f t="shared" si="137"/>
        <v>3</v>
      </c>
      <c r="BS82" t="str">
        <f>IF(B82="","",_xlfn.LET(_xlpm.bc,IFERROR(IF(VLOOKUP(AX82,Потребители_обозначение,6,FALSE)=0,"",VLOOKUP(AX82,Потребители_обозначение,6,FALSE)&amp;""),""),IF(AND(FK82="да",OR(_xlpm.bc="",_xlpm.bc="мс")),Марка_пож,IF(AND(_xlpm.bc="",BC82&lt;&gt;""),"мс",_xlpm.bc))))</f>
        <v/>
      </c>
      <c r="BT82" t="str">
        <f t="shared" si="138"/>
        <v>мс</v>
      </c>
      <c r="BU82">
        <f>IF(B82="","",_xlfn.LET(_xlpm.cc,IFERROR(N(VLOOKUP(AX82,Потребители_обозначение,7,FALSE)),0),IF(_xlpm.cc&gt;0,_xlpm.cc,IF(BT82="","",IF(N(BR82)=3,5,3)))))</f>
        <v>5</v>
      </c>
      <c r="BV82">
        <f t="shared" si="139"/>
        <v>5</v>
      </c>
      <c r="BW82">
        <f>IFERROR(N(VLOOKUP(AX82,Потребители_обозначение,10,FALSE)),0)</f>
        <v>0</v>
      </c>
      <c r="BX82">
        <f>IFERROR(VLOOKUP(AX82,Потребители_обозначение,5,FALSE),0)</f>
        <v>0</v>
      </c>
      <c r="BY82" s="6" cm="1">
        <f t="array" ref="BY82">IF(B82="","",IF(BC82&lt;&gt;"",IFERROR(_xlfn.XLOOKUP(BC82,Щиты[Щит],Щиты[cos φ]),0.95),IF(BK82=1,IFERROR(_xlfn.XLOOKUP(A82,Щиты[Щит],Щиты[cos φ]),0.95),IF(ISNUMBER(Z82),Z82,IFERROR(IF(BX82=2,_xlfn.IFS(BR82=3,VLOOKUP(BN82,Справочная_двигатели,8,FALSE),BR82=1,VLOOKUP(BN82,Справочная_двигатели,10,TRUE)),IF(AND(Методика="нормы 2026",EQ82="Сил"),0.8,0.95)),0.95)))))</f>
        <v>0.8</v>
      </c>
      <c r="BZ82">
        <f t="shared" si="140"/>
        <v>0</v>
      </c>
      <c r="CA82">
        <f t="shared" si="141"/>
        <v>1</v>
      </c>
      <c r="CB82">
        <f t="shared" si="142"/>
        <v>0</v>
      </c>
      <c r="CC82">
        <f t="shared" si="143"/>
        <v>0</v>
      </c>
      <c r="CD82">
        <f t="shared" si="144"/>
        <v>0</v>
      </c>
      <c r="CE82">
        <f t="shared" si="145"/>
        <v>0</v>
      </c>
      <c r="CF82">
        <f t="shared" si="146"/>
        <v>0</v>
      </c>
      <c r="CG82">
        <f>IF(AX82="",0,_xlfn.LET(_xlpm.v,IFERROR(VLOOKUP(B82,УГО_спр,3,FALSE),IFERROR(VLOOKUP(AX82,УГО_спр,3,FALSE),IFERROR(VLOOKUP(LEFT(AX82,2),УГО_спр,3,FALSE),""))),IF(_xlpm.v="да",30,IF(ISNUMBER(_xlpm.v),_xlpm.v,0))))</f>
        <v>0</v>
      </c>
      <c r="CH82" t="str">
        <f t="shared" si="147"/>
        <v/>
      </c>
      <c r="CI82" t="str">
        <f>_xlfn.LET(_xlpm.k,IFERROR(_xlfn.XLOOKUP(AX82,Коды_код,Коды_утечка)&amp;"",""),IF(_xlpm.k="","дифавтомат",_xlpm.k))</f>
        <v>дифавтомат</v>
      </c>
      <c r="CJ82">
        <f t="shared" si="148"/>
        <v>0</v>
      </c>
      <c r="CK82">
        <f t="shared" si="149"/>
        <v>0</v>
      </c>
      <c r="CL82">
        <f>IF(B82="",0,IFERROR(--VLOOKUP(B82,УГО_спр,4,FALSE),IFERROR(--VLOOKUP(AX82,УГО_спр,4,FALSE),IFERROR(--VLOOKUP(LEFT(AX82,2),УГО_спр,4,FALSE),0))))</f>
        <v>0</v>
      </c>
      <c r="CM82" t="str">
        <f>IF(B82="","",IFERROR(_xlfn.XLOOKUP(AX82,Коды_код,Коды_апп)&amp;"",""))</f>
        <v/>
      </c>
      <c r="CN82" t="str">
        <f t="shared" si="150"/>
        <v/>
      </c>
      <c r="CO82" t="str" cm="1">
        <f t="array" ref="CO82">IF(TRIM(CN82&amp;"")="","",IFERROR(TRIM(INDEX(_xlfn.TEXTSPLIT(CN82&amp;";;;",";"),1)),""))</f>
        <v/>
      </c>
      <c r="CP82" t="str" cm="1">
        <f t="array" ref="CP82">IF(TRIM(CN82&amp;"")="","",IFERROR(TRIM(INDEX(_xlfn.TEXTSPLIT(CN82&amp;";;;",";"),2)),""))</f>
        <v/>
      </c>
      <c r="CQ82" t="str" cm="1">
        <f t="array" ref="CQ82">IF(TRIM(CN82&amp;"")="","",IFERROR(TRIM(INDEX(_xlfn.TEXTSPLIT(CN82&amp;";;;",";"),3)),""))</f>
        <v/>
      </c>
      <c r="CR82">
        <f t="shared" si="151"/>
        <v>0</v>
      </c>
      <c r="CS82" t="str">
        <f>IF(B82="","",_xlfn.LET(_xlpm.t,LOWER(AV82&amp;""),IF(ISNUMBER(SEARCH("dim",_xlpm.t)),"DIM",IF(ISNUMBER(SEARCH("dali",_xlpm.t)),"DALI",IF(OR(ISNUMBER(SEARCH("relay",_xlpm.t)),ISNUMBER(SEARCH("реле",_xlpm.t))),"Relay",IF(ISNUMBER(SEARCH("кнопк",_xlpm.t)),"",IFERROR(_xlfn.XLOOKUP(AX82,Коды_код,Коды_упр)&amp;"","")))))))</f>
        <v/>
      </c>
      <c r="CT82" t="str">
        <f t="shared" si="152"/>
        <v/>
      </c>
      <c r="CU82">
        <f>IF(B82="","",_xlfn.LET(_xlpm.ig,N(P82)+IF(AF82="вручную",0,N(CB82)),_xlpm.n0,IFERROR(VLOOKUP(_xlpm.ig,Автомат_номиналы,2,TRUE),0),_xlpm.mn,MAX(CL82,IF(AF82="вручную",0,N(CE82))),MAX(_xlpm.n0,_xlpm.mn,IF(CR82=1,Мин_автомат_БП,0))))</f>
        <v>63</v>
      </c>
      <c r="CV82">
        <f t="shared" si="153"/>
        <v>3</v>
      </c>
      <c r="CW82" t="str">
        <f t="shared" si="154"/>
        <v>3P</v>
      </c>
      <c r="CX82" t="str">
        <f>_xlfn.LET(_xlpm.cc,UPPER(TRIM(IFERROR(_xlfn.XLOOKUP(AX82,Коды_код,Коды_хар)&amp;"",""))),IF(OR(_xlpm.cc="B",_xlpm.cc="В"),"B",IF(_xlpm.cc="D","D","С")))</f>
        <v>С</v>
      </c>
      <c r="CY82" t="str">
        <f t="shared" si="155"/>
        <v>3P С63А</v>
      </c>
      <c r="CZ82">
        <f t="shared" si="156"/>
        <v>63</v>
      </c>
      <c r="DA82" t="str">
        <f t="shared" si="157"/>
        <v>3P С63А</v>
      </c>
      <c r="DB82" cm="1">
        <f t="array" ref="DB82">IF(DA82="","",_xlfn.LET(_xlpm.t,SUBSTITUTE(SUBSTITUTE(SUBSTITUTE(UPPER(DA82),"С","C"),"А","A"),"В","B"),_xlpm.tk,_xlfn.TEXTSPLIT(_xlpm.t,"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2" t="str">
        <f t="shared" si="158"/>
        <v>ok</v>
      </c>
      <c r="DD82">
        <f t="shared" si="159"/>
        <v>63</v>
      </c>
      <c r="DE82" t="str">
        <f t="shared" si="160"/>
        <v>3P С63А</v>
      </c>
      <c r="DF82">
        <f t="shared" si="161"/>
        <v>0</v>
      </c>
      <c r="DG82">
        <f t="shared" si="162"/>
        <v>0</v>
      </c>
      <c r="DH82">
        <f t="shared" si="163"/>
        <v>0</v>
      </c>
      <c r="DI82">
        <f t="shared" si="164"/>
        <v>50.139262439936559</v>
      </c>
      <c r="DJ82">
        <f t="shared" si="165"/>
        <v>0.92</v>
      </c>
      <c r="DK82">
        <f>IF(ISNUMBER(AL82),AL82,К_прокл)</f>
        <v>1</v>
      </c>
      <c r="DL82">
        <f t="shared" si="166"/>
        <v>3</v>
      </c>
      <c r="DM82">
        <f>IFERROR(N(VLOOKUP(BT82,Кабель_обозначение,3,FALSE)),1)</f>
        <v>1</v>
      </c>
      <c r="DN82">
        <f>IFERROR(N(_xlfn.XLOOKUP(A82,Щиты[Щит],Щиты[ΔU до шин, %])),0)</f>
        <v>0.64</v>
      </c>
      <c r="DO82" t="str">
        <f>IFERROR(_xlfn.XLOOKUP(A82,Щиты[Щит],Щиты[Zпетли на шинах, Ом]),"")</f>
        <v/>
      </c>
      <c r="DP82">
        <f>IFERROR(N(_xlfn.XLOOKUP(A82,Щиты[Щит],Щиты[ΔU до шин (подбор), %])),0)</f>
        <v>0.75</v>
      </c>
      <c r="DQ82" t="str">
        <f>IFERROR(_xlfn.XLOOKUP(A82,Щиты[Щит],Щиты[Zпетли на шинах (подбор), Ом]),"")</f>
        <v/>
      </c>
      <c r="DR82" t="str">
        <f t="shared" si="167"/>
        <v/>
      </c>
      <c r="DS82">
        <f t="shared" si="168"/>
        <v>51</v>
      </c>
      <c r="DT82">
        <f t="shared" si="169"/>
        <v>1</v>
      </c>
      <c r="DU82">
        <f t="shared" si="170"/>
        <v>0.6</v>
      </c>
      <c r="DV82" s="6">
        <f>IF(B82="","",IF(IFERROR(VLOOKUP(AX82,УГО_спр,2,FALSE),"")="Светильник",3,4)+IF(Методика="нормы 2026",MIN(0.5,MAX(0,N(Q82)-100)*0.005),0))</f>
        <v>4</v>
      </c>
      <c r="DW82" cm="1">
        <f t="array" ref="DW82">IF(OR(B82="",BT82="",DM82&lt;&gt;1),"",_xlfn.LET(_xlpm.sz,Iдоп_S,_xlpm.t_,CHOOSE(DL82,Iдоп_1ж,Iдоп_2ж,Iдоп_3ж)*DJ82*DK82,_xlpm.inn,N(DD82),_xlpm.smin,MAX(1.5,BW82),_xlpm.L_,N(Q82)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82)*(_xlpm.rho*_xlpm.L_/_xlpm.sz*N(BY82)+_xlpm.xx*_xlpm.L_*N(DU82)/1000)*N(P82)/((Uн_лин/SQRT(3))*1000)*100,999),_xlpm.kz,IF(OR(DG82=1,NOT(ISNUMBER(DQ82)),_xlpm.L_=0,_xlpm.inn=0),1,IFERROR(--(c_min*(Uн_лин*1000/SQRT(3))/(DQ82+2*ρкз_Cu*_xlpm.L_/_xlpm.sz)&gt;=GY82*_xlpm.inn),0)),_xlpm.ok,IFERROR((_xlpm.sz&gt;=_xlpm.smin)*(_xlpm.t_&gt;=_xlpm.inn)*IF(_xlpm.L_&gt;0,(_xlpm.du_+DP82&lt;=DV82+0.00001),1)*_xlpm.kz,0),_xlpm.r_,_xlfn._xlws.FILTER(_xlpm.sz,_xlpm.ok,"не подобрано"),INDEX(_xlpm.r_,1)))</f>
        <v>16</v>
      </c>
      <c r="DX82">
        <f t="shared" si="171"/>
        <v>25</v>
      </c>
      <c r="DY82" cm="1">
        <f t="array" ref="DY82">IF(OR(B82="",BT82="",DM82&lt;&gt;1),"",_xlfn.LET(_xlpm.sz,Iдоп_S,_xlpm.t_,CHOOSE(DL82,Iдоп_1ж,Iдоп_2ж,Iдоп_3ж)*DJ82*DK82,_xlpm.ok,IFERROR((_xlpm.sz&gt;=MAX(1.5,BW82))*(_xlpm.t_&gt;=N(DD82)),0),_xlpm.r_,_xlfn._xlws.FILTER(_xlpm.sz,_xlpm.ok,""),INDEX(_xlpm.r_,1)))</f>
        <v>16</v>
      </c>
      <c r="DZ82" s="6" cm="1">
        <f t="array" ref="DZ82">IFERROR(ROUNDUP(N(DT82)*(_xlfn.XLOOKUP(DY82,INDEX(Кабель_сопротивление,0,1),INDEX(Кабель_сопротивление,0,3))*N(Q82)/DY82*N(BY82)+_xlfn.XLOOKUP(DY82,INDEX(Кабель_сопротивление,0,1),INDEX(Кабель_сопротивление,0,2))*N(Q82)*N(DU82)/1000)*N(P82)/((Uн_лин/SQRT(3))*1000)*100,2),"")</f>
        <v>1.3</v>
      </c>
      <c r="EA82">
        <f>IFERROR(2*ρкз_Cu*N(Q82)/DY82,"")</f>
        <v>0.16766249999999999</v>
      </c>
      <c r="EB82">
        <f>IFERROR(VLOOKUP(DX82,Кабель_сопротивление,3,FALSE),"")</f>
        <v>2.2499999999999999E-2</v>
      </c>
      <c r="EC82">
        <f>IFERROR(VLOOKUP(DX82,Кабель_сопротивление,2,FALSE),"")</f>
        <v>6.6199999999999995E-2</v>
      </c>
      <c r="ED82">
        <f t="shared" si="172"/>
        <v>47</v>
      </c>
      <c r="EE82">
        <f t="shared" si="173"/>
        <v>0</v>
      </c>
      <c r="EF82">
        <f t="shared" si="174"/>
        <v>1.9426818235042986</v>
      </c>
      <c r="EG82" s="6">
        <f>IFERROR(ROUNDUP(EF82/((Uн_лин/SQRT(3))*1000)*100,2),"")</f>
        <v>0.85</v>
      </c>
      <c r="EH82" t="str">
        <f>IFERROR(VLOOKUP(BT82,Кабель_обозначение,2,FALSE),"")</f>
        <v>ВВГнг(А)-LS</v>
      </c>
      <c r="EI82" t="str">
        <f t="shared" si="175"/>
        <v>ВВГнг(А)-LS (5х25)</v>
      </c>
      <c r="EJ82" t="str">
        <f t="shared" si="176"/>
        <v>ВВГнг(А)-LS (5х25)
L=51-0,85%</v>
      </c>
      <c r="EK82">
        <f>IFERROR(2*ρкз_Cu*Q82/DX82,"")</f>
        <v>0.107304</v>
      </c>
      <c r="EL82">
        <f t="shared" si="177"/>
        <v>3.5700000000000003E-2</v>
      </c>
      <c r="EM82" s="6" t="str">
        <f>IFERROR(IF(OR(B82="",NOT(ISNUMBER(DX82)),N(Q82)=0),"",_xlfn.XLOOKUP(A82,Щиты[Щит],Щиты[Zпетли на шинах, Ом])+EK82),"")</f>
        <v/>
      </c>
      <c r="EN82" s="6" t="str">
        <f>IF(ISNUMBER(EM82),c_min*(Uн_лин*1000/SQRT(3))/EM82,"")</f>
        <v/>
      </c>
      <c r="EO82" s="6" t="str">
        <f>IFERROR(IF(OR(B82="",NOT(ISNUMBER(DX82))),"",1.05*(Uн_лин*1000/SQRT(3))/(_xlfn.XLOOKUP(A82,Щиты[Щит],Щиты[Zmax на шинах, Ом])+EL82)/1000),"")</f>
        <v/>
      </c>
      <c r="EP82" s="6" t="str">
        <f>IF(B82="","",IF(ISNUMBER(Y82),"Сил",IF(IFERROR(_xlfn.XLOOKUP(AX82,Коды_код,Коды_группа)&amp;"","")="","Быт",_xlfn.XLOOKUP(AX82,Коды_код,Коды_группа)&amp;"")))</f>
        <v>Сил</v>
      </c>
      <c r="EQ82" s="6" t="str">
        <f t="shared" si="178"/>
        <v>Сил</v>
      </c>
      <c r="ER82" s="6">
        <f>IF(EQ82="Щит","щит",IF(EQ82="","",IF(EQ82="Быт",IFERROR(_xlfn.XLOOKUP(A82,Щиты[Щит],Щиты[Кс быт]),1),IF(EQ82="Сил",IF(ISNUMBER(Y82),Y82,IF(Методика="нормы 2026",IFERROR(_xlfn.XLOOKUP(A82,Щиты[Щит],Щиты[Кс силовых (табл. 7.5)]),1),1)),IF(OR(EQ82="Пост",EQ82="Отоп"),1,IF(EQ82="ВНГ",0.7,0))))))</f>
        <v>0.5</v>
      </c>
      <c r="ES82">
        <f t="shared" si="179"/>
        <v>1</v>
      </c>
      <c r="ET82">
        <f t="shared" si="180"/>
        <v>27.79</v>
      </c>
      <c r="EU82">
        <f t="shared" si="181"/>
        <v>0</v>
      </c>
      <c r="EV82">
        <f t="shared" si="182"/>
        <v>13.895</v>
      </c>
      <c r="EW82">
        <f t="shared" si="183"/>
        <v>0</v>
      </c>
      <c r="EX82">
        <f t="shared" si="184"/>
        <v>0</v>
      </c>
      <c r="EY82">
        <f t="shared" si="185"/>
        <v>0</v>
      </c>
      <c r="EZ82">
        <f t="shared" si="186"/>
        <v>27.79</v>
      </c>
      <c r="FA82">
        <f t="shared" si="187"/>
        <v>22.231999999999999</v>
      </c>
      <c r="FB82">
        <f t="shared" si="188"/>
        <v>27.79</v>
      </c>
      <c r="FC82" t="str">
        <f t="shared" si="189"/>
        <v/>
      </c>
      <c r="FD82" t="str">
        <f>IF(B82="","",IF(CA82=0,IF(AW82=1,"",FF81),IF(OR(N(CV82)&gt;=3,N(BR82)&gt;=3),"L1,L2,L3",IFERROR(_xlfn.TEXTBEFORE(_xlfn.TEXTAFTER(_xlfn.XLOOKUP(A82,Щиты[Щит],Щиты[_фазы авто]),";"&amp;AW82&amp;":"),";"),"L1"))))</f>
        <v>L1,L2,L3</v>
      </c>
      <c r="FE82" t="str">
        <f t="shared" si="190"/>
        <v>L1,L2,L3</v>
      </c>
      <c r="FF82" t="str">
        <f t="shared" si="191"/>
        <v>L1,L2,L3</v>
      </c>
      <c r="FG82" cm="1">
        <f t="array" ref="FG82">IFERROR(IF(BX82=2,_xlfn.IFS(BR82=3,VLOOKUP(BN82,Справочная_двигатели,3,FALSE),BR82=1,VLOOKUP(BN82,Справочная_двигатели,5,TRUE)),0),0)</f>
        <v>0</v>
      </c>
      <c r="FH82">
        <f>IFERROR(IF(BX82=3,VLOOKUP(BN82,Справочная_ЛЭД,2,TRUE),0),0)</f>
        <v>0</v>
      </c>
      <c r="FI82" s="6">
        <f t="shared" si="192"/>
        <v>0</v>
      </c>
      <c r="FJ82" t="str" cm="1">
        <f t="array" ref="FJ82">IF(B82="","",IFERROR(INDEX({"I особая","I","II","III"},MATCH(TRIM(AC82&amp;""),{"I особая","I","II","III"},0)),"III"))</f>
        <v>II</v>
      </c>
      <c r="FK82" t="str">
        <f>IF(B82="","",IF(TRIM(AD82&amp;"")&lt;&gt;"",IF(LOWER(TRIM(AD82&amp;""))="да","да","нет"),IF(IFERROR(_xlfn.XLOOKUP(AX82,Коды_код,Коды_пожарная),"")="да","да","нет")))</f>
        <v>нет</v>
      </c>
      <c r="FL82" t="str">
        <f t="shared" si="193"/>
        <v/>
      </c>
      <c r="FM82" t="str">
        <f t="shared" si="194"/>
        <v>основная</v>
      </c>
      <c r="FN82">
        <f t="shared" si="195"/>
        <v>1</v>
      </c>
      <c r="FO82" t="str" cm="1">
        <f t="array" ref="FO82">IF(B82="","",_xlfn.LET(_xlpm.t,IFERROR(_xlfn.XLOOKUP(1,(Шины[Шина]=FM82)*(((Шины[Щит]=A82)+(Шины[Щит]=""))&gt;0),Шины[Тип]),"")&amp;"",IF(_xlpm.t&lt;&gt;"",_xlpm.t,IF(ISNUMBER(SEARCH("ИБП",FM82)),"ИБП",IF(ISNUMBER(SEARCH("ДГУ",FM82)),"ДГУ","Ввод "&amp;FN82)))))</f>
        <v>Ввод 1</v>
      </c>
      <c r="FP82" t="str">
        <f t="shared" si="196"/>
        <v>Ввод 1</v>
      </c>
      <c r="FQ82" t="str">
        <f>IF(B82="","",IF(OR(FO82="ИБП",FO82="ДГУ"),"I особая",IF(FO82="Одиночная","III",_xlfn.XLOOKUP(A82,Щиты[Щит],Щиты[Категория шины «Ввод»],"III"))))</f>
        <v>II</v>
      </c>
      <c r="FR82">
        <f>IF(B82="",0,IFERROR(MATCH(FJ82,{"III","II","I","I особая"},0),1))</f>
        <v>2</v>
      </c>
      <c r="FS82">
        <f t="shared" si="197"/>
        <v>2</v>
      </c>
      <c r="FT82" t="str">
        <f>IF(B82="","",IF(FR82&gt;IFERROR(MATCH(FQ82,{"III","II","I","I особая"},0),1),"НЕ ОБЕСПЕЧЕНА","ОК"))</f>
        <v>ОК</v>
      </c>
      <c r="FU82" t="str">
        <f>IF(A82="","",_xlfn.XLOOKUP(A82,Щиты[Щит],Щиты[Путь],""))</f>
        <v>|ГРЩ-ЖД|ЩОВ-001|</v>
      </c>
      <c r="FV82" t="str">
        <f>IF(B82="","",IF(AE82&lt;&gt;"",AE82,IF(IFERROR(_xlfn.XLOOKUP(AX82,Коды_код,Коды_вид)&amp;"","")="","Прочее",_xlfn.XLOOKUP(AX82,Коды_код,Коды_вид)&amp;"")))</f>
        <v>Кондиционирование и увлажнение</v>
      </c>
      <c r="FW82">
        <f>IF(BH82="","",INT((BH82-1)/Столбцов_на_лист)+1)</f>
        <v>4</v>
      </c>
      <c r="FX82" t="str">
        <f t="shared" si="198"/>
        <v>ВВГнг(А)-LS (5х25) L=51-0,85%</v>
      </c>
      <c r="FY82">
        <f t="shared" si="199"/>
        <v>27.79</v>
      </c>
      <c r="FZ82">
        <f t="shared" si="200"/>
        <v>50.14</v>
      </c>
      <c r="GA82">
        <f t="shared" si="201"/>
        <v>3</v>
      </c>
      <c r="GB82">
        <f t="shared" si="202"/>
        <v>0</v>
      </c>
      <c r="GC82">
        <f t="shared" si="203"/>
        <v>1</v>
      </c>
      <c r="GD82">
        <f>IF(BH82="","",IF(AND(CA82=1,GC82=1),COUNTIFS(A$3:A82,A82,CA$3:CA82,1,GC$3:GC82,1),IF(OR(OR(AW82=1,A82&lt;&gt;A81),AF82="вручную",GC82=0),"",IF(AW82=1,"",GE81))))</f>
        <v>29</v>
      </c>
      <c r="GE82">
        <f t="shared" si="204"/>
        <v>29</v>
      </c>
      <c r="GF82">
        <f>IF(B82="","",IFERROR(LOOKUP(INDEX(CHOOSE(DL82,Iдоп_1ж,Iдоп_2ж,Iдоп_3ж),MATCH(DX82,Iдоп_S,0))*DJ82*DK82,{6,10,16,20,25,32,40,50,63,80,100,125,160,200,250,315,400,500,630}),""))</f>
        <v>80</v>
      </c>
      <c r="GG82" t="str">
        <f t="shared" si="205"/>
        <v>QF29</v>
      </c>
      <c r="GH82" t="str">
        <f t="shared" si="206"/>
        <v>QF29</v>
      </c>
      <c r="GI82" t="str">
        <f t="shared" si="207"/>
        <v/>
      </c>
      <c r="GJ82">
        <f t="shared" si="208"/>
        <v>0</v>
      </c>
      <c r="GK82" t="str">
        <f>IF(OR(AG82="",AG82="-"),"",IFERROR(VLOOKUP(AG82,Модули_спр,2,FALSE),"R"))</f>
        <v/>
      </c>
      <c r="GL82" t="str">
        <f>IF(GK82="","",GK82&amp;"."&amp;COUNTIFS(A$3:A82,A82,GK$3:GK82,GK82))</f>
        <v/>
      </c>
      <c r="GM82" t="str">
        <f t="shared" si="209"/>
        <v/>
      </c>
      <c r="GN82" t="str">
        <f t="shared" si="210"/>
        <v/>
      </c>
      <c r="GO82" t="str">
        <f t="shared" si="211"/>
        <v/>
      </c>
      <c r="GP82" t="str">
        <f t="shared" si="212"/>
        <v/>
      </c>
      <c r="GQ82">
        <f t="shared" si="213"/>
        <v>1</v>
      </c>
      <c r="GR82" t="str">
        <f>IF(GQ82=1,"XT"&amp;COUNTIFS(A$3:A82,A82,GQ$3:GQ82,1),"")</f>
        <v>XT29</v>
      </c>
      <c r="GS82" t="str">
        <f t="shared" si="214"/>
        <v>XT29</v>
      </c>
      <c r="GT82" t="str">
        <f t="shared" si="215"/>
        <v>QF29</v>
      </c>
      <c r="GU82" t="str">
        <f t="shared" si="216"/>
        <v/>
      </c>
      <c r="GV82" t="str">
        <f t="shared" si="217"/>
        <v>ok</v>
      </c>
      <c r="GW82" t="str">
        <f>IF(OR(GO82="",GM82=""),"",IF(GO82&gt;IFERROR(VLOOKUP(GN82,Модули_спр,3,FALSE),99),"ЛИШНИЙ КАНАЛ",IF(AND(AH82&lt;&gt;"=",COUNTIFS(Линии[_модуль гр.],GM82,Линии[Канал (итог)],GO82,Линии[Канал],"&lt;&gt;=",Линии[Щит],A82)&gt;1),"ДУБЛЬ КАНАЛА","")))</f>
        <v/>
      </c>
      <c r="GX82" s="6" t="str">
        <f t="shared" si="218"/>
        <v/>
      </c>
      <c r="GY82">
        <f t="shared" si="219"/>
        <v>10</v>
      </c>
      <c r="GZ82" t="str">
        <f t="shared" si="220"/>
        <v/>
      </c>
      <c r="HA82" t="str">
        <f>IF(AND(B82="",GT82=""),"",_xlfn.TEXTJOIN("; ",TRUE,IF(AND(B82&lt;&gt;"",FE82=""),"нет фазы",""),IF(AND(B82&lt;&gt;"",N(FY82)=0,EQ82&lt;&gt;"Нет"),"нет мощности",""),IF(AND(GS82&lt;&gt;"",COUNTIFS(Линии[Щит],A82,Линии[Клемма (итог)],GS82)&gt;1),"дубль клеммы "&amp;GS82,""),IF(AND(GV82&lt;&gt;"",GV82&lt;&gt;"ok"),GV82,""),IF(GW82&lt;&gt;"",GW82,""),IF(AND(N(BV82)&gt;=4,N(BR82)=1),BV82&amp;" жил на 1 фазе",""),IF(AND(AX82="R",CA82=1,OR(N(CK82)=0,N(CK82)&gt;30)),"розетка без дифзащиты до 30 мА",""),IFERROR(IF(AND(ISNUMBER(R82),R82&gt;DV82),"потери "&amp;FIXED(R82,1)&amp;" % &gt; "&amp;DV82&amp;" %",""),""),IFERROR(IF(LEFT(GZ82,4)="мало","Iкз мало — отключение &gt; 0,4 с",""),""),IF(AND(B82&lt;&gt;"",BH82=""),"не на схеме",""),IF(AND(CA82=0,B82&lt;&gt;"",FE82&lt;&gt;"",IF(AW82=1,"",FF81)&lt;&gt;"",FE82&lt;&gt;IF(AW82=1,"",FF81)),"фаза не как у автомата группы ("&amp;IF(AW82=1,"",FF81)&amp;")","")))</f>
        <v/>
      </c>
      <c r="HB82" s="6" t="str">
        <f>IF(OR(CA82=0,DA82=""),"",_xlfn.LET(_xlpm.t,IFERROR(_xlfn.XLOOKUP(DA82,Каталог!$U$4:$U$500,Каталог!$G$4:$G$500),""),_xlpm.k,SEARCH("кА",_xlpm.t),IFERROR(--TRIM(RIGHT(SUBSTITUTE(MID(_xlpm.t,MAX(1,_xlpm.k-4),_xlpm.k-MAX(1,_xlpm.k-4))," ",REPT(" ",9)),5)),"")))</f>
        <v/>
      </c>
      <c r="HC82" t="str">
        <f>IF(OR(HB82="",CA82=0),"",IF(_xlfn.XLOOKUP(A82,Щиты[Щит],Щиты[Iкз max на шинах, кА],"")="","",IF(HB82&lt;_xlfn.XLOOKUP(A82,Щиты[Щит],Щиты[Iкз max на шинах, кА]),"Icu "&amp;HB82&amp;" кА &lt; Iкз max","ok")))</f>
        <v/>
      </c>
      <c r="HD82" t="str">
        <f t="shared" si="221"/>
        <v/>
      </c>
      <c r="HE82" t="str">
        <f t="shared" si="222"/>
        <v>QF29|XT29</v>
      </c>
      <c r="HF82" t="str">
        <f t="shared" si="223"/>
        <v>QF29|XT29|кабель ВВГнг(А)-LS (5х25) → Внешний блок кондиционирования Пом. Венткиосок</v>
      </c>
      <c r="HG82" t="str" cm="1">
        <f t="array" ref="HG82">IF(HF82="","",_xlfn.LET(_xlpm.nd,_xlfn.TEXTSPLIT(HF82,"|"),IF(COLUMNS(_xlpm.nd)&gt;1,A82&amp;"¦"&amp;INDEX(_xlpm.nd,1)&amp;"¦"&amp;INDEX(_xlpm.nd,2),"")))</f>
        <v>ЩОВ-001¦QF29¦XT29</v>
      </c>
      <c r="HH82" t="str">
        <f t="shared" si="224"/>
        <v>НБ-1¦Внешний блок кондиционирования Пом. Венткиосок</v>
      </c>
      <c r="HI82" t="str" cm="1">
        <f t="array" ref="HI82">IF(HF82="","",_xlfn.LET(_xlpm.nd,_xlfn.TEXTSPLIT(HF82,"|"),IF(COLUMNS(_xlpm.nd)&gt;2,A82&amp;"¦"&amp;INDEX(_xlpm.nd,2)&amp;"¦"&amp;INDEX(_xlpm.nd,3),"")))</f>
        <v>ЩОВ-001¦XT29¦кабель ВВГнг(А)-LS (5х25) → Внешний блок кондиционирования Пом. Венткиосок</v>
      </c>
      <c r="HJ82" t="str">
        <f t="shared" si="225"/>
        <v>НБ-1¦Внешний блок кондиционирования Пом. Венткиосок</v>
      </c>
      <c r="HK82" t="str" cm="1">
        <f t="array" ref="HK82">IF(HF82="","",_xlfn.LET(_xlpm.nd,_xlfn.TEXTSPLIT(HF82,"|"),IF(COLUMNS(_xlpm.nd)&gt;3,A82&amp;"¦"&amp;INDEX(_xlpm.nd,3)&amp;"¦"&amp;INDEX(_xlpm.nd,4),"")))</f>
        <v/>
      </c>
      <c r="HL82" t="str">
        <f t="shared" si="226"/>
        <v/>
      </c>
      <c r="HM82" t="str" cm="1">
        <f t="array" ref="HM82">IF(HF82="","",_xlfn.LET(_xlpm.nd,_xlfn.TEXTSPLIT(HF82,"|"),IF(COLUMNS(_xlpm.nd)&gt;4,A82&amp;"¦"&amp;INDEX(_xlpm.nd,4)&amp;"¦"&amp;INDEX(_xlpm.nd,5),"")))</f>
        <v/>
      </c>
      <c r="HN82" t="str">
        <f t="shared" si="227"/>
        <v/>
      </c>
      <c r="HO82" t="str" cm="1">
        <f t="array" ref="HO82">IF(HF82="","",_xlfn.LET(_xlpm.nd,_xlfn.TEXTSPLIT(HF82,"|"),IF(COLUMNS(_xlpm.nd)&gt;5,A82&amp;"¦"&amp;INDEX(_xlpm.nd,5)&amp;"¦"&amp;INDEX(_xlpm.nd,6),"")))</f>
        <v/>
      </c>
      <c r="HP82" t="str">
        <f t="shared" si="228"/>
        <v/>
      </c>
      <c r="HQ82" t="str" cm="1">
        <f t="array" ref="HQ82">IF(HF82="","",_xlfn.LET(_xlpm.nd,_xlfn.TEXTSPLIT(HF82,"|"),IF(COLUMNS(_xlpm.nd)&gt;6,A82&amp;"¦"&amp;INDEX(_xlpm.nd,6)&amp;"¦"&amp;INDEX(_xlpm.nd,7),"")))</f>
        <v/>
      </c>
      <c r="HR82" t="str">
        <f t="shared" si="229"/>
        <v/>
      </c>
      <c r="HS82" t="str">
        <f t="shared" si="230"/>
        <v/>
      </c>
      <c r="HT82" t="str">
        <f t="shared" si="231"/>
        <v>QF29 → XT29</v>
      </c>
      <c r="HU82">
        <f t="shared" si="232"/>
        <v>0</v>
      </c>
      <c r="HV82">
        <f t="shared" si="233"/>
        <v>0</v>
      </c>
      <c r="HW82" t="str">
        <f t="shared" si="234"/>
        <v/>
      </c>
      <c r="HX82" t="str">
        <f t="shared" si="235"/>
        <v/>
      </c>
      <c r="HY82" t="str">
        <f t="shared" si="236"/>
        <v/>
      </c>
      <c r="HZ82" t="str">
        <f t="shared" si="237"/>
        <v/>
      </c>
      <c r="IA82" t="str">
        <f>IF(B82="","",IFERROR(VLOOKUP(B82,УГО_спр,2,FALSE),IFERROR(VLOOKUP(AX82,УГО_спр,2,FALSE),IFERROR(VLOOKUP(LEFT(AX82,2),УГО_спр,2,FALSE),""))))</f>
        <v>Привод (двигатель)</v>
      </c>
      <c r="IB82" t="str">
        <f>IF(B82="","",IF(OR(IA82="",IA82=0),"BOX",IFERROR(IF(VLOOKUP(IA82,УГО_блоки,3,FALSE)&amp;""&lt;&gt;"",VLOOKUP(IA82,УГО_блоки,3,FALSE),VLOOKUP(IA82,УГО_блоки,2,FALSE)),IA82)))</f>
        <v>MOTOR</v>
      </c>
      <c r="IC82">
        <f t="shared" si="238"/>
        <v>1</v>
      </c>
      <c r="ID82" t="str">
        <f>IF(DA82="","",IF(COUNTIF(DA$3:DA82,DA82)=1,MAX(ID$2:ID81)+1,""))</f>
        <v/>
      </c>
      <c r="IE82" t="str">
        <f>IF(CO82="","",IF(COUNTIF(CO$3:CO82,CO82)+COUNTIF(CP$2:CP81,CO82)+COUNTIF(CQ$2:CQ81,CO82)=1,MAX(IE$2:IG81)+1,""))</f>
        <v/>
      </c>
      <c r="IF82" t="str">
        <f>IF(CP82="","",IF(COUNTIF(CO$3:CO82,CP82)+COUNTIF(CP$3:CP82,CP82)+COUNTIF(CQ$2:CQ81,CP82)=1,MAX(IE$2:IG81,IE82)+1,""))</f>
        <v/>
      </c>
      <c r="IG82" t="str">
        <f>IF(CQ82="","",IF(COUNTIF(CO$3:CO82,CQ82)+COUNTIF(CP$3:CP82,CQ82)+COUNTIF(CQ$3:CQ82,CQ82)=1,MAX(IE$2:IG81,IE82,IF82)+1,""))</f>
        <v/>
      </c>
      <c r="IH82" t="str">
        <f t="shared" si="239"/>
        <v>5х25</v>
      </c>
      <c r="II82" t="str">
        <f>IF(IH82="","",IF(COUNTIF(IH$3:IH82,IH82)=1,MAX(II$2:II81)+1,""))</f>
        <v/>
      </c>
      <c r="IJ82" t="str">
        <f>IF(GL82="","",COUNTIF(GL$3:GL82,"?*"))</f>
        <v/>
      </c>
      <c r="IK82" t="str">
        <f>IF(OR(GL82="",GN82=""),"",IF(COUNTIFS(GL$3:GL82,"?*",GN$3:GN82,GN82)=1,MAX(IK$2:IK81)+1,""))</f>
        <v/>
      </c>
      <c r="IL82">
        <f t="shared" si="240"/>
        <v>0</v>
      </c>
      <c r="IM82">
        <f>IF(B82="","",COUNTIF(B$3:B82,"?*"))</f>
        <v>80</v>
      </c>
      <c r="IN82">
        <f>IF(GQ82&lt;&gt;1,0,_xlfn.LET(_xlpm.k,MAX(IFERROR(--VLOOKUP(B82,УГО_спр,5,FALSE),0),IFERROR(--VLOOKUP(AX82,УГО_спр,5,FALSE),0),IFERROR(--VLOOKUP(LEFT(AX82,2),УГО_спр,5,FALSE),0)),IF(_xlpm.k&gt;0,_xlpm.k,IF(IFERROR(--LEFT(SUBSTITUTE(IH82,"x","х"),FIND("х",SUBSTITUTE(IH82,"x","х"))-1),3)&gt;3,Каталог!$S$9,1))))</f>
        <v>1</v>
      </c>
      <c r="IO82">
        <f t="shared" si="241"/>
        <v>2</v>
      </c>
      <c r="IP82" t="str">
        <f t="shared" si="242"/>
        <v>авто</v>
      </c>
      <c r="IQ82" t="str">
        <f t="shared" si="243"/>
        <v/>
      </c>
      <c r="IR82">
        <f t="shared" si="244"/>
        <v>0</v>
      </c>
      <c r="IS82">
        <f t="shared" si="245"/>
        <v>1</v>
      </c>
    </row>
    <row r="83" spans="1:253" x14ac:dyDescent="0.3">
      <c r="A83" t="s">
        <v>749</v>
      </c>
      <c r="B83" t="s">
        <v>1355</v>
      </c>
      <c r="C83" t="s">
        <v>1619</v>
      </c>
      <c r="D83">
        <v>1</v>
      </c>
      <c r="E83">
        <v>28</v>
      </c>
      <c r="G83">
        <v>63</v>
      </c>
      <c r="H83" t="str">
        <f>Линии[[#This Row],[_авто утечка]]</f>
        <v/>
      </c>
      <c r="I83" t="str">
        <f>Линии[[#This Row],[_авто управление]]</f>
        <v/>
      </c>
      <c r="J83" t="str">
        <f>Линии[[#This Row],[_авто аппараты]]</f>
        <v/>
      </c>
      <c r="K83">
        <v>25</v>
      </c>
      <c r="L83">
        <v>36</v>
      </c>
      <c r="M83" t="str">
        <f>Линии[[#This Row],[_авто фаза]]</f>
        <v>L1,L2,L3</v>
      </c>
      <c r="N83" t="str">
        <f>Линии[[#This Row],[_авто клемма]]</f>
        <v>XT30</v>
      </c>
      <c r="O83" t="str">
        <f t="shared" si="123"/>
        <v/>
      </c>
      <c r="P83" s="6" cm="1">
        <f t="array" ref="P83">IF(B83="","",IF(BC83&lt;&gt;"",IFERROR(_xlfn.XLOOKUP(BC83,Щиты[Щит],Щиты[Iр, А]),""),IF(BK83=1,IFERROR(_xlfn.XLOOKUP(A83,Щиты[Щит],Щиты[Iр, А]),""),IFERROR(_xlfn.IFS(BR83=1,BN83/((Uн_лин/SQRT(3))*BY83),BR83=3,BN83/(SQRT(3)*Uн_лин*BY83)),""))))</f>
        <v>50.518148554092257</v>
      </c>
      <c r="Q83" s="7">
        <f>IF(B83="","",IFERROR(IF(VLOOKUP(AX83,Потребители_обозначение,4,FALSE)=1,VLOOKUP(AX83,Потребители_обозначение,3,FALSE)*(D83*2-1)+DS83+VLOOKUP(AZ83,Этаж_обозначение,3,FALSE)+VLOOKUP(AZ83,Этаж_обозначение,4,FALSE),VLOOKUP(AX83,Потребители_обозначение,3,FALSE)*(D83*2-1)+DS83),DS83))</f>
        <v>36</v>
      </c>
      <c r="R83" s="6">
        <f t="shared" si="124"/>
        <v>1.24</v>
      </c>
      <c r="S83" t="str">
        <f t="shared" si="125"/>
        <v>ВВГнг(А)-LS (5х25)</v>
      </c>
      <c r="T83" t="str">
        <f>IF(BH83="","",IF(BI83="вводной узел","узел ","")&amp;"л."&amp;(INT((BH83-1)/Столбцов_на_лист)+1)&amp;" / "&amp;(MOD(BH83-1,Столбцов_на_лист)+1))</f>
        <v>л.4 / 10</v>
      </c>
      <c r="V83">
        <v>3</v>
      </c>
      <c r="W83">
        <v>400</v>
      </c>
      <c r="X83" t="s">
        <v>600</v>
      </c>
      <c r="Y83">
        <v>0.5</v>
      </c>
      <c r="AC83" t="s">
        <v>815</v>
      </c>
      <c r="AE83" t="s">
        <v>578</v>
      </c>
      <c r="AI83">
        <v>61</v>
      </c>
      <c r="AJ83" t="s">
        <v>11</v>
      </c>
      <c r="AK83">
        <v>5</v>
      </c>
      <c r="AM83">
        <v>0</v>
      </c>
      <c r="AN83">
        <v>32</v>
      </c>
      <c r="AO83">
        <v>0</v>
      </c>
      <c r="AP83">
        <v>1</v>
      </c>
      <c r="AW83" cm="1">
        <f t="array" ref="AW83">ROW()-ROW(Линии[#Headers])</f>
        <v>81</v>
      </c>
      <c r="AX83" s="6" t="str">
        <f t="shared" si="126"/>
        <v>ККБ-3</v>
      </c>
      <c r="AY83" t="str">
        <f t="shared" si="127"/>
        <v/>
      </c>
      <c r="AZ83" t="str">
        <f t="shared" si="128"/>
        <v/>
      </c>
      <c r="BA83" t="str">
        <f t="shared" si="129"/>
        <v/>
      </c>
      <c r="BB83" t="str">
        <f t="shared" si="130"/>
        <v/>
      </c>
      <c r="BC83" t="str">
        <f>IF(U83&lt;&gt;"",U83,IF(AND(B83&lt;&gt;"",B83&lt;&gt;A83,ISNUMBER(_xlfn.XMATCH(B83,Щиты[Щит]))),B83,""))</f>
        <v/>
      </c>
      <c r="BD83" t="str" cm="1">
        <f t="array" ref="BD83">IF(B83="","",IF(BC83&lt;&gt;"","Щит "&amp;BC83,_xlfn.LET(_xlpm.nm,IFERROR(_xlfn.XLOOKUP(AX83,Коды_код,Коды_имя)&amp;"",""),_xlpm.md,IFERROR(N(_xlfn.XLOOKUP(AX83,Коды_код,Коды_режим)),1),_xlpm.ex,IF(Имя_режим="по экспликации",IFERROR(_xlfn.XLOOKUP(AZ83&amp;"|"&amp;BB83,Экспликация[Этаж]&amp;"|"&amp;Экспликация[Помещение],Экспликация[Название])&amp;"",""),""),_xlpm.rm,IF(BB83="","",IF(_xlpm.ex&lt;&gt;"",". "&amp;_xlpm.ex&amp;IF(Имя_пом="нет"," ("&amp;BB83&amp;")"," (пом. "&amp;BB83&amp;")"),IF(Имя_пом="нет"," ",", пом. ")&amp;BB83)),IF(_xlpm.nm="","",IF(_xlpm.md=2,_xlpm.nm&amp;" шлейф "&amp;AZ83,_xlpm.nm&amp;_xlpm.rm)))))</f>
        <v/>
      </c>
      <c r="BE83" t="str">
        <f t="shared" si="131"/>
        <v>Внешний блок кондиционирования Пом. Венткиосок</v>
      </c>
      <c r="BF83">
        <f>IFERROR(_xlfn.XMATCH(A83,Щиты[Щит]),0)</f>
        <v>4</v>
      </c>
      <c r="BG83">
        <f>_xlfn.LET(_xlpm.k,IFERROR(_xlfn.XLOOKUP(A83,Щиты[Щит],Щиты[Листов под вводной узел]),""),IF(_xlpm.k="",1,N(_xlpm.k))*Столбцов_на_лист)</f>
        <v>17</v>
      </c>
      <c r="BH83">
        <f t="shared" si="132"/>
        <v>61</v>
      </c>
      <c r="BI83" t="str">
        <f t="shared" si="133"/>
        <v>линии</v>
      </c>
      <c r="BJ83" s="6">
        <f>IFERROR(N(_xlfn.XLOOKUP(AX83,Коды_код,Коды_квт)),0)</f>
        <v>0</v>
      </c>
      <c r="BK83">
        <f t="shared" si="134"/>
        <v>0</v>
      </c>
      <c r="BL83" t="str">
        <f>IF(B83="","",IF(BC83&lt;&gt;"",IFERROR(_xlfn.XLOOKUP(BC83,Щиты[Щит],Щиты[Руст, кВт]),0),IF(BK83=1,IFERROR(_xlfn.XLOOKUP(A83,Щиты[Щит],Щиты[Руст, кВт]),0),IF(BJ83&gt;0,ROUND(BJ83*MAX(1,N(D83)),3),""))))</f>
        <v/>
      </c>
      <c r="BM83">
        <f t="shared" si="135"/>
        <v>28</v>
      </c>
      <c r="BN83" s="6">
        <f>IF(B83="","",IF(BC83&lt;&gt;"",IFERROR(_xlfn.XLOOKUP(BC83,Щиты[Щит],Щиты[Руст, кВт]),0),N(BM83)))</f>
        <v>28</v>
      </c>
      <c r="BO83" t="str">
        <f>IF(B83="","",IFERROR(IF(VLOOKUP(AX83,Потребители_обозначение,8,FALSE)=0,"",VLOOKUP(AX83,Потребители_обозначение,8,FALSE)),""))</f>
        <v/>
      </c>
      <c r="BP83">
        <f t="shared" si="136"/>
        <v>400</v>
      </c>
      <c r="BQ83">
        <f>IF(B83="","",IF(BC83&lt;&gt;"",3,IFERROR(IF(N(VLOOKUP(AX83,Потребители_обозначение,9,FALSE))=0,1,VLOOKUP(AX83,Потребители_обозначение,9,FALSE)),1)))</f>
        <v>1</v>
      </c>
      <c r="BR83">
        <f t="shared" si="137"/>
        <v>3</v>
      </c>
      <c r="BS83" t="str">
        <f>IF(B83="","",_xlfn.LET(_xlpm.bc,IFERROR(IF(VLOOKUP(AX83,Потребители_обозначение,6,FALSE)=0,"",VLOOKUP(AX83,Потребители_обозначение,6,FALSE)&amp;""),""),IF(AND(FK83="да",OR(_xlpm.bc="",_xlpm.bc="мс")),Марка_пож,IF(AND(_xlpm.bc="",BC83&lt;&gt;""),"мс",_xlpm.bc))))</f>
        <v/>
      </c>
      <c r="BT83" t="str">
        <f t="shared" si="138"/>
        <v>мс</v>
      </c>
      <c r="BU83">
        <f>IF(B83="","",_xlfn.LET(_xlpm.cc,IFERROR(N(VLOOKUP(AX83,Потребители_обозначение,7,FALSE)),0),IF(_xlpm.cc&gt;0,_xlpm.cc,IF(BT83="","",IF(N(BR83)=3,5,3)))))</f>
        <v>5</v>
      </c>
      <c r="BV83">
        <f t="shared" si="139"/>
        <v>5</v>
      </c>
      <c r="BW83">
        <f>IFERROR(N(VLOOKUP(AX83,Потребители_обозначение,10,FALSE)),0)</f>
        <v>0</v>
      </c>
      <c r="BX83">
        <f>IFERROR(VLOOKUP(AX83,Потребители_обозначение,5,FALSE),0)</f>
        <v>0</v>
      </c>
      <c r="BY83" s="6" cm="1">
        <f t="array" ref="BY83">IF(B83="","",IF(BC83&lt;&gt;"",IFERROR(_xlfn.XLOOKUP(BC83,Щиты[Щит],Щиты[cos φ]),0.95),IF(BK83=1,IFERROR(_xlfn.XLOOKUP(A83,Щиты[Щит],Щиты[cos φ]),0.95),IF(ISNUMBER(Z83),Z83,IFERROR(IF(BX83=2,_xlfn.IFS(BR83=3,VLOOKUP(BN83,Справочная_двигатели,8,FALSE),BR83=1,VLOOKUP(BN83,Справочная_двигатели,10,TRUE)),IF(AND(Методика="нормы 2026",EQ83="Сил"),0.8,0.95)),0.95)))))</f>
        <v>0.8</v>
      </c>
      <c r="BZ83">
        <f t="shared" si="140"/>
        <v>0</v>
      </c>
      <c r="CA83">
        <f t="shared" si="141"/>
        <v>1</v>
      </c>
      <c r="CB83">
        <f t="shared" si="142"/>
        <v>0</v>
      </c>
      <c r="CC83">
        <f t="shared" si="143"/>
        <v>0</v>
      </c>
      <c r="CD83">
        <f t="shared" si="144"/>
        <v>0</v>
      </c>
      <c r="CE83">
        <f t="shared" si="145"/>
        <v>0</v>
      </c>
      <c r="CF83">
        <f t="shared" si="146"/>
        <v>0</v>
      </c>
      <c r="CG83">
        <f>IF(AX83="",0,_xlfn.LET(_xlpm.v,IFERROR(VLOOKUP(B83,УГО_спр,3,FALSE),IFERROR(VLOOKUP(AX83,УГО_спр,3,FALSE),IFERROR(VLOOKUP(LEFT(AX83,2),УГО_спр,3,FALSE),""))),IF(_xlpm.v="да",30,IF(ISNUMBER(_xlpm.v),_xlpm.v,0))))</f>
        <v>0</v>
      </c>
      <c r="CH83" t="str">
        <f t="shared" si="147"/>
        <v/>
      </c>
      <c r="CI83" t="str">
        <f>_xlfn.LET(_xlpm.k,IFERROR(_xlfn.XLOOKUP(AX83,Коды_код,Коды_утечка)&amp;"",""),IF(_xlpm.k="","дифавтомат",_xlpm.k))</f>
        <v>дифавтомат</v>
      </c>
      <c r="CJ83">
        <f t="shared" si="148"/>
        <v>0</v>
      </c>
      <c r="CK83">
        <f t="shared" si="149"/>
        <v>0</v>
      </c>
      <c r="CL83">
        <f>IF(B83="",0,IFERROR(--VLOOKUP(B83,УГО_спр,4,FALSE),IFERROR(--VLOOKUP(AX83,УГО_спр,4,FALSE),IFERROR(--VLOOKUP(LEFT(AX83,2),УГО_спр,4,FALSE),0))))</f>
        <v>0</v>
      </c>
      <c r="CM83" t="str">
        <f>IF(B83="","",IFERROR(_xlfn.XLOOKUP(AX83,Коды_код,Коды_апп)&amp;"",""))</f>
        <v/>
      </c>
      <c r="CN83" t="str">
        <f t="shared" si="150"/>
        <v/>
      </c>
      <c r="CO83" t="str" cm="1">
        <f t="array" ref="CO83">IF(TRIM(CN83&amp;"")="","",IFERROR(TRIM(INDEX(_xlfn.TEXTSPLIT(CN83&amp;";;;",";"),1)),""))</f>
        <v/>
      </c>
      <c r="CP83" t="str" cm="1">
        <f t="array" ref="CP83">IF(TRIM(CN83&amp;"")="","",IFERROR(TRIM(INDEX(_xlfn.TEXTSPLIT(CN83&amp;";;;",";"),2)),""))</f>
        <v/>
      </c>
      <c r="CQ83" t="str" cm="1">
        <f t="array" ref="CQ83">IF(TRIM(CN83&amp;"")="","",IFERROR(TRIM(INDEX(_xlfn.TEXTSPLIT(CN83&amp;";;;",";"),3)),""))</f>
        <v/>
      </c>
      <c r="CR83">
        <f t="shared" si="151"/>
        <v>0</v>
      </c>
      <c r="CS83" t="str">
        <f>IF(B83="","",_xlfn.LET(_xlpm.t,LOWER(AV83&amp;""),IF(ISNUMBER(SEARCH("dim",_xlpm.t)),"DIM",IF(ISNUMBER(SEARCH("dali",_xlpm.t)),"DALI",IF(OR(ISNUMBER(SEARCH("relay",_xlpm.t)),ISNUMBER(SEARCH("реле",_xlpm.t))),"Relay",IF(ISNUMBER(SEARCH("кнопк",_xlpm.t)),"",IFERROR(_xlfn.XLOOKUP(AX83,Коды_код,Коды_упр)&amp;"","")))))))</f>
        <v/>
      </c>
      <c r="CT83" t="str">
        <f t="shared" si="152"/>
        <v/>
      </c>
      <c r="CU83">
        <f>IF(B83="","",_xlfn.LET(_xlpm.ig,N(P83)+IF(AF83="вручную",0,N(CB83)),_xlpm.n0,IFERROR(VLOOKUP(_xlpm.ig,Автомат_номиналы,2,TRUE),0),_xlpm.mn,MAX(CL83,IF(AF83="вручную",0,N(CE83))),MAX(_xlpm.n0,_xlpm.mn,IF(CR83=1,Мин_автомат_БП,0))))</f>
        <v>63</v>
      </c>
      <c r="CV83">
        <f t="shared" si="153"/>
        <v>3</v>
      </c>
      <c r="CW83" t="str">
        <f t="shared" si="154"/>
        <v>3P</v>
      </c>
      <c r="CX83" t="str">
        <f>_xlfn.LET(_xlpm.cc,UPPER(TRIM(IFERROR(_xlfn.XLOOKUP(AX83,Коды_код,Коды_хар)&amp;"",""))),IF(OR(_xlpm.cc="B",_xlpm.cc="В"),"B",IF(_xlpm.cc="D","D","С")))</f>
        <v>С</v>
      </c>
      <c r="CY83" t="str">
        <f t="shared" si="155"/>
        <v>3P С63А</v>
      </c>
      <c r="CZ83">
        <f t="shared" si="156"/>
        <v>63</v>
      </c>
      <c r="DA83" t="str">
        <f t="shared" si="157"/>
        <v>3P С63А</v>
      </c>
      <c r="DB83" cm="1">
        <f t="array" ref="DB83">IF(DA83="","",_xlfn.LET(_xlpm.t,SUBSTITUTE(SUBSTITUTE(SUBSTITUTE(UPPER(DA83),"С","C"),"А","A"),"В","B"),_xlpm.tk,_xlfn.TEXTSPLIT(_xlpm.t,"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3" t="str">
        <f t="shared" si="158"/>
        <v>ok</v>
      </c>
      <c r="DD83">
        <f t="shared" si="159"/>
        <v>63</v>
      </c>
      <c r="DE83" t="str">
        <f t="shared" si="160"/>
        <v>3P С63А</v>
      </c>
      <c r="DF83">
        <f t="shared" si="161"/>
        <v>0</v>
      </c>
      <c r="DG83">
        <f t="shared" si="162"/>
        <v>0</v>
      </c>
      <c r="DH83">
        <f t="shared" si="163"/>
        <v>0</v>
      </c>
      <c r="DI83">
        <f t="shared" si="164"/>
        <v>50.518148554092257</v>
      </c>
      <c r="DJ83">
        <f t="shared" si="165"/>
        <v>0.92</v>
      </c>
      <c r="DK83">
        <f>IF(ISNUMBER(AL83),AL83,К_прокл)</f>
        <v>1</v>
      </c>
      <c r="DL83">
        <f t="shared" si="166"/>
        <v>3</v>
      </c>
      <c r="DM83">
        <f>IFERROR(N(VLOOKUP(BT83,Кабель_обозначение,3,FALSE)),1)</f>
        <v>1</v>
      </c>
      <c r="DN83">
        <f>IFERROR(N(_xlfn.XLOOKUP(A83,Щиты[Щит],Щиты[ΔU до шин, %])),0)</f>
        <v>0.64</v>
      </c>
      <c r="DO83" t="str">
        <f>IFERROR(_xlfn.XLOOKUP(A83,Щиты[Щит],Щиты[Zпетли на шинах, Ом]),"")</f>
        <v/>
      </c>
      <c r="DP83">
        <f>IFERROR(N(_xlfn.XLOOKUP(A83,Щиты[Щит],Щиты[ΔU до шин (подбор), %])),0)</f>
        <v>0.75</v>
      </c>
      <c r="DQ83" t="str">
        <f>IFERROR(_xlfn.XLOOKUP(A83,Щиты[Щит],Щиты[Zпетли на шинах (подбор), Ом]),"")</f>
        <v/>
      </c>
      <c r="DR83" t="str">
        <f t="shared" si="167"/>
        <v/>
      </c>
      <c r="DS83">
        <f t="shared" si="168"/>
        <v>36</v>
      </c>
      <c r="DT83">
        <f t="shared" si="169"/>
        <v>1</v>
      </c>
      <c r="DU83">
        <f t="shared" si="170"/>
        <v>0.6</v>
      </c>
      <c r="DV83" s="6">
        <f>IF(B83="","",IF(IFERROR(VLOOKUP(AX83,УГО_спр,2,FALSE),"")="Светильник",3,4)+IF(Методика="нормы 2026",MIN(0.5,MAX(0,N(Q83)-100)*0.005),0))</f>
        <v>4</v>
      </c>
      <c r="DW83" cm="1">
        <f t="array" ref="DW83">IF(OR(B83="",BT83="",DM83&lt;&gt;1),"",_xlfn.LET(_xlpm.sz,Iдоп_S,_xlpm.t_,CHOOSE(DL83,Iдоп_1ж,Iдоп_2ж,Iдоп_3ж)*DJ83*DK83,_xlpm.inn,N(DD83),_xlpm.smin,MAX(1.5,BW83),_xlpm.L_,N(Q83)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83)*(_xlpm.rho*_xlpm.L_/_xlpm.sz*N(BY83)+_xlpm.xx*_xlpm.L_*N(DU83)/1000)*N(P83)/((Uн_лин/SQRT(3))*1000)*100,999),_xlpm.kz,IF(OR(DG83=1,NOT(ISNUMBER(DQ83)),_xlpm.L_=0,_xlpm.inn=0),1,IFERROR(--(c_min*(Uн_лин*1000/SQRT(3))/(DQ83+2*ρкз_Cu*_xlpm.L_/_xlpm.sz)&gt;=GY83*_xlpm.inn),0)),_xlpm.ok,IFERROR((_xlpm.sz&gt;=_xlpm.smin)*(_xlpm.t_&gt;=_xlpm.inn)*IF(_xlpm.L_&gt;0,(_xlpm.du_+DP83&lt;=DV83+0.00001),1)*_xlpm.kz,0),_xlpm.r_,_xlfn._xlws.FILTER(_xlpm.sz,_xlpm.ok,"не подобрано"),INDEX(_xlpm.r_,1)))</f>
        <v>16</v>
      </c>
      <c r="DX83">
        <f t="shared" si="171"/>
        <v>25</v>
      </c>
      <c r="DY83" cm="1">
        <f t="array" ref="DY83">IF(OR(B83="",BT83="",DM83&lt;&gt;1),"",_xlfn.LET(_xlpm.sz,Iдоп_S,_xlpm.t_,CHOOSE(DL83,Iдоп_1ж,Iдоп_2ж,Iдоп_3ж)*DJ83*DK83,_xlpm.ok,IFERROR((_xlpm.sz&gt;=MAX(1.5,BW83))*(_xlpm.t_&gt;=N(DD83)),0),_xlpm.r_,_xlfn._xlws.FILTER(_xlpm.sz,_xlpm.ok,""),INDEX(_xlpm.r_,1)))</f>
        <v>16</v>
      </c>
      <c r="DZ83" s="6" cm="1">
        <f t="array" ref="DZ83">IFERROR(ROUNDUP(N(DT83)*(_xlfn.XLOOKUP(DY83,INDEX(Кабель_сопротивление,0,1),INDEX(Кабель_сопротивление,0,3))*N(Q83)/DY83*N(BY83)+_xlfn.XLOOKUP(DY83,INDEX(Кабель_сопротивление,0,1),INDEX(Кабель_сопротивление,0,2))*N(Q83)*N(DU83)/1000)*N(P83)/((Uн_лин/SQRT(3))*1000)*100,2),"")</f>
        <v>0.92</v>
      </c>
      <c r="EA83">
        <f>IFERROR(2*ρкз_Cu*N(Q83)/DY83,"")</f>
        <v>0.11835</v>
      </c>
      <c r="EB83">
        <f>IFERROR(VLOOKUP(DX83,Кабель_сопротивление,3,FALSE),"")</f>
        <v>2.2499999999999999E-2</v>
      </c>
      <c r="EC83">
        <f>IFERROR(VLOOKUP(DX83,Кабель_сопротивление,2,FALSE),"")</f>
        <v>6.6199999999999995E-2</v>
      </c>
      <c r="ED83">
        <f t="shared" si="172"/>
        <v>32</v>
      </c>
      <c r="EE83">
        <f t="shared" si="173"/>
        <v>0</v>
      </c>
      <c r="EF83">
        <f t="shared" si="174"/>
        <v>1.3816673215025388</v>
      </c>
      <c r="EG83" s="6">
        <f>IFERROR(ROUNDUP(EF83/((Uн_лин/SQRT(3))*1000)*100,2),"")</f>
        <v>0.6</v>
      </c>
      <c r="EH83" t="str">
        <f>IFERROR(VLOOKUP(BT83,Кабель_обозначение,2,FALSE),"")</f>
        <v>ВВГнг(А)-LS</v>
      </c>
      <c r="EI83" t="str">
        <f t="shared" si="175"/>
        <v>ВВГнг(А)-LS (5х25)</v>
      </c>
      <c r="EJ83" t="str">
        <f t="shared" si="176"/>
        <v>ВВГнг(А)-LS (5х25)
L=36-0,6%</v>
      </c>
      <c r="EK83">
        <f>IFERROR(2*ρкз_Cu*Q83/DX83,"")</f>
        <v>7.5743999999999992E-2</v>
      </c>
      <c r="EL83">
        <f t="shared" si="177"/>
        <v>2.5200000000000004E-2</v>
      </c>
      <c r="EM83" s="6" t="str">
        <f>IFERROR(IF(OR(B83="",NOT(ISNUMBER(DX83)),N(Q83)=0),"",_xlfn.XLOOKUP(A83,Щиты[Щит],Щиты[Zпетли на шинах, Ом])+EK83),"")</f>
        <v/>
      </c>
      <c r="EN83" s="6" t="str">
        <f>IF(ISNUMBER(EM83),c_min*(Uн_лин*1000/SQRT(3))/EM83,"")</f>
        <v/>
      </c>
      <c r="EO83" s="6" t="str">
        <f>IFERROR(IF(OR(B83="",NOT(ISNUMBER(DX83))),"",1.05*(Uн_лин*1000/SQRT(3))/(_xlfn.XLOOKUP(A83,Щиты[Щит],Щиты[Zmax на шинах, Ом])+EL83)/1000),"")</f>
        <v/>
      </c>
      <c r="EP83" s="6" t="str">
        <f>IF(B83="","",IF(ISNUMBER(Y83),"Сил",IF(IFERROR(_xlfn.XLOOKUP(AX83,Коды_код,Коды_группа)&amp;"","")="","Быт",_xlfn.XLOOKUP(AX83,Коды_код,Коды_группа)&amp;"")))</f>
        <v>Сил</v>
      </c>
      <c r="EQ83" s="6" t="str">
        <f t="shared" si="178"/>
        <v>Сил</v>
      </c>
      <c r="ER83" s="6">
        <f>IF(EQ83="Щит","щит",IF(EQ83="","",IF(EQ83="Быт",IFERROR(_xlfn.XLOOKUP(A83,Щиты[Щит],Щиты[Кс быт]),1),IF(EQ83="Сил",IF(ISNUMBER(Y83),Y83,IF(Методика="нормы 2026",IFERROR(_xlfn.XLOOKUP(A83,Щиты[Щит],Щиты[Кс силовых (табл. 7.5)]),1),1)),IF(OR(EQ83="Пост",EQ83="Отоп"),1,IF(EQ83="ВНГ",0.7,0))))))</f>
        <v>0.5</v>
      </c>
      <c r="ES83">
        <f t="shared" si="179"/>
        <v>1</v>
      </c>
      <c r="ET83">
        <f t="shared" si="180"/>
        <v>28</v>
      </c>
      <c r="EU83">
        <f t="shared" si="181"/>
        <v>0</v>
      </c>
      <c r="EV83">
        <f t="shared" si="182"/>
        <v>14</v>
      </c>
      <c r="EW83">
        <f t="shared" si="183"/>
        <v>0</v>
      </c>
      <c r="EX83">
        <f t="shared" si="184"/>
        <v>0</v>
      </c>
      <c r="EY83">
        <f t="shared" si="185"/>
        <v>0</v>
      </c>
      <c r="EZ83">
        <f t="shared" si="186"/>
        <v>28</v>
      </c>
      <c r="FA83">
        <f t="shared" si="187"/>
        <v>22.400000000000002</v>
      </c>
      <c r="FB83">
        <f t="shared" si="188"/>
        <v>28</v>
      </c>
      <c r="FC83" t="str">
        <f t="shared" si="189"/>
        <v/>
      </c>
      <c r="FD83" t="str">
        <f>IF(B83="","",IF(CA83=0,IF(AW83=1,"",FF82),IF(OR(N(CV83)&gt;=3,N(BR83)&gt;=3),"L1,L2,L3",IFERROR(_xlfn.TEXTBEFORE(_xlfn.TEXTAFTER(_xlfn.XLOOKUP(A83,Щиты[Щит],Щиты[_фазы авто]),";"&amp;AW83&amp;":"),";"),"L1"))))</f>
        <v>L1,L2,L3</v>
      </c>
      <c r="FE83" t="str">
        <f t="shared" si="190"/>
        <v>L1,L2,L3</v>
      </c>
      <c r="FF83" t="str">
        <f t="shared" si="191"/>
        <v>L1,L2,L3</v>
      </c>
      <c r="FG83" cm="1">
        <f t="array" ref="FG83">IFERROR(IF(BX83=2,_xlfn.IFS(BR83=3,VLOOKUP(BN83,Справочная_двигатели,3,FALSE),BR83=1,VLOOKUP(BN83,Справочная_двигатели,5,TRUE)),0),0)</f>
        <v>0</v>
      </c>
      <c r="FH83">
        <f>IFERROR(IF(BX83=3,VLOOKUP(BN83,Справочная_ЛЭД,2,TRUE),0),0)</f>
        <v>0</v>
      </c>
      <c r="FI83" s="6">
        <f t="shared" si="192"/>
        <v>0</v>
      </c>
      <c r="FJ83" t="str" cm="1">
        <f t="array" ref="FJ83">IF(B83="","",IFERROR(INDEX({"I особая","I","II","III"},MATCH(TRIM(AC83&amp;""),{"I особая","I","II","III"},0)),"III"))</f>
        <v>II</v>
      </c>
      <c r="FK83" t="str">
        <f>IF(B83="","",IF(TRIM(AD83&amp;"")&lt;&gt;"",IF(LOWER(TRIM(AD83&amp;""))="да","да","нет"),IF(IFERROR(_xlfn.XLOOKUP(AX83,Коды_код,Коды_пожарная),"")="да","да","нет")))</f>
        <v>нет</v>
      </c>
      <c r="FL83" t="str">
        <f t="shared" si="193"/>
        <v/>
      </c>
      <c r="FM83" t="str">
        <f t="shared" si="194"/>
        <v>основная</v>
      </c>
      <c r="FN83">
        <f t="shared" si="195"/>
        <v>1</v>
      </c>
      <c r="FO83" t="str" cm="1">
        <f t="array" ref="FO83">IF(B83="","",_xlfn.LET(_xlpm.t,IFERROR(_xlfn.XLOOKUP(1,(Шины[Шина]=FM83)*(((Шины[Щит]=A83)+(Шины[Щит]=""))&gt;0),Шины[Тип]),"")&amp;"",IF(_xlpm.t&lt;&gt;"",_xlpm.t,IF(ISNUMBER(SEARCH("ИБП",FM83)),"ИБП",IF(ISNUMBER(SEARCH("ДГУ",FM83)),"ДГУ","Ввод "&amp;FN83)))))</f>
        <v>Ввод 1</v>
      </c>
      <c r="FP83" t="str">
        <f t="shared" si="196"/>
        <v>Ввод 1</v>
      </c>
      <c r="FQ83" t="str">
        <f>IF(B83="","",IF(OR(FO83="ИБП",FO83="ДГУ"),"I особая",IF(FO83="Одиночная","III",_xlfn.XLOOKUP(A83,Щиты[Щит],Щиты[Категория шины «Ввод»],"III"))))</f>
        <v>II</v>
      </c>
      <c r="FR83">
        <f>IF(B83="",0,IFERROR(MATCH(FJ83,{"III","II","I","I особая"},0),1))</f>
        <v>2</v>
      </c>
      <c r="FS83">
        <f t="shared" si="197"/>
        <v>2</v>
      </c>
      <c r="FT83" t="str">
        <f>IF(B83="","",IF(FR83&gt;IFERROR(MATCH(FQ83,{"III","II","I","I особая"},0),1),"НЕ ОБЕСПЕЧЕНА","ОК"))</f>
        <v>ОК</v>
      </c>
      <c r="FU83" t="str">
        <f>IF(A83="","",_xlfn.XLOOKUP(A83,Щиты[Щит],Щиты[Путь],""))</f>
        <v>|ГРЩ-ЖД|ЩОВ-001|</v>
      </c>
      <c r="FV83" t="str">
        <f>IF(B83="","",IF(AE83&lt;&gt;"",AE83,IF(IFERROR(_xlfn.XLOOKUP(AX83,Коды_код,Коды_вид)&amp;"","")="","Прочее",_xlfn.XLOOKUP(AX83,Коды_код,Коды_вид)&amp;"")))</f>
        <v>Кондиционирование и увлажнение</v>
      </c>
      <c r="FW83">
        <f>IF(BH83="","",INT((BH83-1)/Столбцов_на_лист)+1)</f>
        <v>4</v>
      </c>
      <c r="FX83" t="str">
        <f t="shared" si="198"/>
        <v>ВВГнг(А)-LS (5х25) L=36-0,6%</v>
      </c>
      <c r="FY83">
        <f t="shared" si="199"/>
        <v>28</v>
      </c>
      <c r="FZ83">
        <f t="shared" si="200"/>
        <v>50.519999999999996</v>
      </c>
      <c r="GA83">
        <f t="shared" si="201"/>
        <v>3</v>
      </c>
      <c r="GB83">
        <f t="shared" si="202"/>
        <v>0</v>
      </c>
      <c r="GC83">
        <f t="shared" si="203"/>
        <v>1</v>
      </c>
      <c r="GD83">
        <f>IF(BH83="","",IF(AND(CA83=1,GC83=1),COUNTIFS(A$3:A83,A83,CA$3:CA83,1,GC$3:GC83,1),IF(OR(OR(AW83=1,A83&lt;&gt;A82),AF83="вручную",GC83=0),"",IF(AW83=1,"",GE82))))</f>
        <v>30</v>
      </c>
      <c r="GE83">
        <f t="shared" si="204"/>
        <v>30</v>
      </c>
      <c r="GF83">
        <f>IF(B83="","",IFERROR(LOOKUP(INDEX(CHOOSE(DL83,Iдоп_1ж,Iдоп_2ж,Iдоп_3ж),MATCH(DX83,Iдоп_S,0))*DJ83*DK83,{6,10,16,20,25,32,40,50,63,80,100,125,160,200,250,315,400,500,630}),""))</f>
        <v>80</v>
      </c>
      <c r="GG83" t="str">
        <f t="shared" si="205"/>
        <v>QF30</v>
      </c>
      <c r="GH83" t="str">
        <f t="shared" si="206"/>
        <v>QF30</v>
      </c>
      <c r="GI83" t="str">
        <f t="shared" si="207"/>
        <v/>
      </c>
      <c r="GJ83">
        <f t="shared" si="208"/>
        <v>0</v>
      </c>
      <c r="GK83" t="str">
        <f>IF(OR(AG83="",AG83="-"),"",IFERROR(VLOOKUP(AG83,Модули_спр,2,FALSE),"R"))</f>
        <v/>
      </c>
      <c r="GL83" t="str">
        <f>IF(GK83="","",GK83&amp;"."&amp;COUNTIFS(A$3:A83,A83,GK$3:GK83,GK83))</f>
        <v/>
      </c>
      <c r="GM83" t="str">
        <f t="shared" si="209"/>
        <v/>
      </c>
      <c r="GN83" t="str">
        <f t="shared" si="210"/>
        <v/>
      </c>
      <c r="GO83" t="str">
        <f t="shared" si="211"/>
        <v/>
      </c>
      <c r="GP83" t="str">
        <f t="shared" si="212"/>
        <v/>
      </c>
      <c r="GQ83">
        <f t="shared" si="213"/>
        <v>1</v>
      </c>
      <c r="GR83" t="str">
        <f>IF(GQ83=1,"XT"&amp;COUNTIFS(A$3:A83,A83,GQ$3:GQ83,1),"")</f>
        <v>XT30</v>
      </c>
      <c r="GS83" t="str">
        <f t="shared" si="214"/>
        <v>XT30</v>
      </c>
      <c r="GT83" t="str">
        <f t="shared" si="215"/>
        <v>QF30</v>
      </c>
      <c r="GU83" t="str">
        <f t="shared" si="216"/>
        <v/>
      </c>
      <c r="GV83" t="str">
        <f t="shared" si="217"/>
        <v>ok</v>
      </c>
      <c r="GW83" t="str">
        <f>IF(OR(GO83="",GM83=""),"",IF(GO83&gt;IFERROR(VLOOKUP(GN83,Модули_спр,3,FALSE),99),"ЛИШНИЙ КАНАЛ",IF(AND(AH83&lt;&gt;"=",COUNTIFS(Линии[_модуль гр.],GM83,Линии[Канал (итог)],GO83,Линии[Канал],"&lt;&gt;=",Линии[Щит],A83)&gt;1),"ДУБЛЬ КАНАЛА","")))</f>
        <v/>
      </c>
      <c r="GX83" s="6" t="str">
        <f t="shared" si="218"/>
        <v/>
      </c>
      <c r="GY83">
        <f t="shared" si="219"/>
        <v>10</v>
      </c>
      <c r="GZ83" t="str">
        <f t="shared" si="220"/>
        <v/>
      </c>
      <c r="HA83" t="str">
        <f>IF(AND(B83="",GT83=""),"",_xlfn.TEXTJOIN("; ",TRUE,IF(AND(B83&lt;&gt;"",FE83=""),"нет фазы",""),IF(AND(B83&lt;&gt;"",N(FY83)=0,EQ83&lt;&gt;"Нет"),"нет мощности",""),IF(AND(GS83&lt;&gt;"",COUNTIFS(Линии[Щит],A83,Линии[Клемма (итог)],GS83)&gt;1),"дубль клеммы "&amp;GS83,""),IF(AND(GV83&lt;&gt;"",GV83&lt;&gt;"ok"),GV83,""),IF(GW83&lt;&gt;"",GW83,""),IF(AND(N(BV83)&gt;=4,N(BR83)=1),BV83&amp;" жил на 1 фазе",""),IF(AND(AX83="R",CA83=1,OR(N(CK83)=0,N(CK83)&gt;30)),"розетка без дифзащиты до 30 мА",""),IFERROR(IF(AND(ISNUMBER(R83),R83&gt;DV83),"потери "&amp;FIXED(R83,1)&amp;" % &gt; "&amp;DV83&amp;" %",""),""),IFERROR(IF(LEFT(GZ83,4)="мало","Iкз мало — отключение &gt; 0,4 с",""),""),IF(AND(B83&lt;&gt;"",BH83=""),"не на схеме",""),IF(AND(CA83=0,B83&lt;&gt;"",FE83&lt;&gt;"",IF(AW83=1,"",FF82)&lt;&gt;"",FE83&lt;&gt;IF(AW83=1,"",FF82)),"фаза не как у автомата группы ("&amp;IF(AW83=1,"",FF82)&amp;")","")))</f>
        <v/>
      </c>
      <c r="HB83" s="6" t="str">
        <f>IF(OR(CA83=0,DA83=""),"",_xlfn.LET(_xlpm.t,IFERROR(_xlfn.XLOOKUP(DA83,Каталог!$U$4:$U$500,Каталог!$G$4:$G$500),""),_xlpm.k,SEARCH("кА",_xlpm.t),IFERROR(--TRIM(RIGHT(SUBSTITUTE(MID(_xlpm.t,MAX(1,_xlpm.k-4),_xlpm.k-MAX(1,_xlpm.k-4))," ",REPT(" ",9)),5)),"")))</f>
        <v/>
      </c>
      <c r="HC83" t="str">
        <f>IF(OR(HB83="",CA83=0),"",IF(_xlfn.XLOOKUP(A83,Щиты[Щит],Щиты[Iкз max на шинах, кА],"")="","",IF(HB83&lt;_xlfn.XLOOKUP(A83,Щиты[Щит],Щиты[Iкз max на шинах, кА]),"Icu "&amp;HB83&amp;" кА &lt; Iкз max","ok")))</f>
        <v/>
      </c>
      <c r="HD83" t="str">
        <f t="shared" si="221"/>
        <v/>
      </c>
      <c r="HE83" t="str">
        <f t="shared" si="222"/>
        <v>QF30|XT30</v>
      </c>
      <c r="HF83" t="str">
        <f t="shared" si="223"/>
        <v>QF30|XT30|кабель ВВГнг(А)-LS (5х25) → Внешний блок кондиционирования Пом. Венткиосок</v>
      </c>
      <c r="HG83" t="str" cm="1">
        <f t="array" ref="HG83">IF(HF83="","",_xlfn.LET(_xlpm.nd,_xlfn.TEXTSPLIT(HF83,"|"),IF(COLUMNS(_xlpm.nd)&gt;1,A83&amp;"¦"&amp;INDEX(_xlpm.nd,1)&amp;"¦"&amp;INDEX(_xlpm.nd,2),"")))</f>
        <v>ЩОВ-001¦QF30¦XT30</v>
      </c>
      <c r="HH83" t="str">
        <f t="shared" si="224"/>
        <v>ККБ-3¦Внешний блок кондиционирования Пом. Венткиосок</v>
      </c>
      <c r="HI83" t="str" cm="1">
        <f t="array" ref="HI83">IF(HF83="","",_xlfn.LET(_xlpm.nd,_xlfn.TEXTSPLIT(HF83,"|"),IF(COLUMNS(_xlpm.nd)&gt;2,A83&amp;"¦"&amp;INDEX(_xlpm.nd,2)&amp;"¦"&amp;INDEX(_xlpm.nd,3),"")))</f>
        <v>ЩОВ-001¦XT30¦кабель ВВГнг(А)-LS (5х25) → Внешний блок кондиционирования Пом. Венткиосок</v>
      </c>
      <c r="HJ83" t="str">
        <f t="shared" si="225"/>
        <v>ККБ-3¦Внешний блок кондиционирования Пом. Венткиосок</v>
      </c>
      <c r="HK83" t="str" cm="1">
        <f t="array" ref="HK83">IF(HF83="","",_xlfn.LET(_xlpm.nd,_xlfn.TEXTSPLIT(HF83,"|"),IF(COLUMNS(_xlpm.nd)&gt;3,A83&amp;"¦"&amp;INDEX(_xlpm.nd,3)&amp;"¦"&amp;INDEX(_xlpm.nd,4),"")))</f>
        <v/>
      </c>
      <c r="HL83" t="str">
        <f t="shared" si="226"/>
        <v/>
      </c>
      <c r="HM83" t="str" cm="1">
        <f t="array" ref="HM83">IF(HF83="","",_xlfn.LET(_xlpm.nd,_xlfn.TEXTSPLIT(HF83,"|"),IF(COLUMNS(_xlpm.nd)&gt;4,A83&amp;"¦"&amp;INDEX(_xlpm.nd,4)&amp;"¦"&amp;INDEX(_xlpm.nd,5),"")))</f>
        <v/>
      </c>
      <c r="HN83" t="str">
        <f t="shared" si="227"/>
        <v/>
      </c>
      <c r="HO83" t="str" cm="1">
        <f t="array" ref="HO83">IF(HF83="","",_xlfn.LET(_xlpm.nd,_xlfn.TEXTSPLIT(HF83,"|"),IF(COLUMNS(_xlpm.nd)&gt;5,A83&amp;"¦"&amp;INDEX(_xlpm.nd,5)&amp;"¦"&amp;INDEX(_xlpm.nd,6),"")))</f>
        <v/>
      </c>
      <c r="HP83" t="str">
        <f t="shared" si="228"/>
        <v/>
      </c>
      <c r="HQ83" t="str" cm="1">
        <f t="array" ref="HQ83">IF(HF83="","",_xlfn.LET(_xlpm.nd,_xlfn.TEXTSPLIT(HF83,"|"),IF(COLUMNS(_xlpm.nd)&gt;6,A83&amp;"¦"&amp;INDEX(_xlpm.nd,6)&amp;"¦"&amp;INDEX(_xlpm.nd,7),"")))</f>
        <v/>
      </c>
      <c r="HR83" t="str">
        <f t="shared" si="229"/>
        <v/>
      </c>
      <c r="HS83" t="str">
        <f t="shared" si="230"/>
        <v/>
      </c>
      <c r="HT83" t="str">
        <f t="shared" si="231"/>
        <v>QF30 → XT30</v>
      </c>
      <c r="HU83">
        <f t="shared" si="232"/>
        <v>0</v>
      </c>
      <c r="HV83">
        <f t="shared" si="233"/>
        <v>0</v>
      </c>
      <c r="HW83" t="str">
        <f t="shared" si="234"/>
        <v/>
      </c>
      <c r="HX83" t="str">
        <f t="shared" si="235"/>
        <v/>
      </c>
      <c r="HY83" t="str">
        <f t="shared" si="236"/>
        <v/>
      </c>
      <c r="HZ83" t="str">
        <f t="shared" si="237"/>
        <v/>
      </c>
      <c r="IA83" t="str">
        <f>IF(B83="","",IFERROR(VLOOKUP(B83,УГО_спр,2,FALSE),IFERROR(VLOOKUP(AX83,УГО_спр,2,FALSE),IFERROR(VLOOKUP(LEFT(AX83,2),УГО_спр,2,FALSE),""))))</f>
        <v/>
      </c>
      <c r="IB83" t="str">
        <f>IF(B83="","",IF(OR(IA83="",IA83=0),"BOX",IFERROR(IF(VLOOKUP(IA83,УГО_блоки,3,FALSE)&amp;""&lt;&gt;"",VLOOKUP(IA83,УГО_блоки,3,FALSE),VLOOKUP(IA83,УГО_блоки,2,FALSE)),IA83)))</f>
        <v>BOX</v>
      </c>
      <c r="IC83">
        <f t="shared" si="238"/>
        <v>1</v>
      </c>
      <c r="ID83" t="str">
        <f>IF(DA83="","",IF(COUNTIF(DA$3:DA83,DA83)=1,MAX(ID$2:ID82)+1,""))</f>
        <v/>
      </c>
      <c r="IE83" t="str">
        <f>IF(CO83="","",IF(COUNTIF(CO$3:CO83,CO83)+COUNTIF(CP$2:CP82,CO83)+COUNTIF(CQ$2:CQ82,CO83)=1,MAX(IE$2:IG82)+1,""))</f>
        <v/>
      </c>
      <c r="IF83" t="str">
        <f>IF(CP83="","",IF(COUNTIF(CO$3:CO83,CP83)+COUNTIF(CP$3:CP83,CP83)+COUNTIF(CQ$2:CQ82,CP83)=1,MAX(IE$2:IG82,IE83)+1,""))</f>
        <v/>
      </c>
      <c r="IG83" t="str">
        <f>IF(CQ83="","",IF(COUNTIF(CO$3:CO83,CQ83)+COUNTIF(CP$3:CP83,CQ83)+COUNTIF(CQ$3:CQ83,CQ83)=1,MAX(IE$2:IG82,IE83,IF83)+1,""))</f>
        <v/>
      </c>
      <c r="IH83" t="str">
        <f t="shared" si="239"/>
        <v>5х25</v>
      </c>
      <c r="II83" t="str">
        <f>IF(IH83="","",IF(COUNTIF(IH$3:IH83,IH83)=1,MAX(II$2:II82)+1,""))</f>
        <v/>
      </c>
      <c r="IJ83" t="str">
        <f>IF(GL83="","",COUNTIF(GL$3:GL83,"?*"))</f>
        <v/>
      </c>
      <c r="IK83" t="str">
        <f>IF(OR(GL83="",GN83=""),"",IF(COUNTIFS(GL$3:GL83,"?*",GN$3:GN83,GN83)=1,MAX(IK$2:IK82)+1,""))</f>
        <v/>
      </c>
      <c r="IL83">
        <f t="shared" si="240"/>
        <v>0</v>
      </c>
      <c r="IM83">
        <f>IF(B83="","",COUNTIF(B$3:B83,"?*"))</f>
        <v>81</v>
      </c>
      <c r="IN83">
        <f>IF(GQ83&lt;&gt;1,0,_xlfn.LET(_xlpm.k,MAX(IFERROR(--VLOOKUP(B83,УГО_спр,5,FALSE),0),IFERROR(--VLOOKUP(AX83,УГО_спр,5,FALSE),0),IFERROR(--VLOOKUP(LEFT(AX83,2),УГО_спр,5,FALSE),0)),IF(_xlpm.k&gt;0,_xlpm.k,IF(IFERROR(--LEFT(SUBSTITUTE(IH83,"x","х"),FIND("х",SUBSTITUTE(IH83,"x","х"))-1),3)&gt;3,Каталог!$S$9,1))))</f>
        <v>1</v>
      </c>
      <c r="IO83">
        <f t="shared" si="241"/>
        <v>2</v>
      </c>
      <c r="IP83" t="str">
        <f t="shared" si="242"/>
        <v>авто</v>
      </c>
      <c r="IQ83" t="str">
        <f t="shared" si="243"/>
        <v/>
      </c>
      <c r="IR83">
        <f t="shared" si="244"/>
        <v>0</v>
      </c>
      <c r="IS83">
        <f t="shared" si="245"/>
        <v>1</v>
      </c>
    </row>
    <row r="84" spans="1:253" x14ac:dyDescent="0.3">
      <c r="A84" t="s">
        <v>749</v>
      </c>
      <c r="B84" t="s">
        <v>1356</v>
      </c>
      <c r="C84" t="s">
        <v>1619</v>
      </c>
      <c r="D84">
        <v>1</v>
      </c>
      <c r="E84">
        <v>28</v>
      </c>
      <c r="G84">
        <v>63</v>
      </c>
      <c r="H84" t="str">
        <f>Линии[[#This Row],[_авто утечка]]</f>
        <v/>
      </c>
      <c r="I84" t="str">
        <f>Линии[[#This Row],[_авто управление]]</f>
        <v/>
      </c>
      <c r="J84" t="str">
        <f>Линии[[#This Row],[_авто аппараты]]</f>
        <v/>
      </c>
      <c r="K84">
        <v>25</v>
      </c>
      <c r="L84">
        <v>40</v>
      </c>
      <c r="M84" t="str">
        <f>Линии[[#This Row],[_авто фаза]]</f>
        <v>L1,L2,L3</v>
      </c>
      <c r="N84" t="str">
        <f>Линии[[#This Row],[_авто клемма]]</f>
        <v>XT31</v>
      </c>
      <c r="O84" t="str">
        <f t="shared" si="123"/>
        <v/>
      </c>
      <c r="P84" s="6" cm="1">
        <f t="array" ref="P84">IF(B84="","",IF(BC84&lt;&gt;"",IFERROR(_xlfn.XLOOKUP(BC84,Щиты[Щит],Щиты[Iр, А]),""),IF(BK84=1,IFERROR(_xlfn.XLOOKUP(A84,Щиты[Щит],Щиты[Iр, А]),""),IFERROR(_xlfn.IFS(BR84=1,BN84/((Uн_лин/SQRT(3))*BY84),BR84=3,BN84/(SQRT(3)*Uн_лин*BY84)),""))))</f>
        <v>50.518148554092257</v>
      </c>
      <c r="Q84" s="7">
        <f>IF(B84="","",IFERROR(IF(VLOOKUP(AX84,Потребители_обозначение,4,FALSE)=1,VLOOKUP(AX84,Потребители_обозначение,3,FALSE)*(D84*2-1)+DS84+VLOOKUP(AZ84,Этаж_обозначение,3,FALSE)+VLOOKUP(AZ84,Этаж_обозначение,4,FALSE),VLOOKUP(AX84,Потребители_обозначение,3,FALSE)*(D84*2-1)+DS84),DS84))</f>
        <v>40</v>
      </c>
      <c r="R84" s="6">
        <f t="shared" si="124"/>
        <v>1.31</v>
      </c>
      <c r="S84" t="str">
        <f t="shared" si="125"/>
        <v>ВВГнг(А)-LS (5х25)</v>
      </c>
      <c r="T84" t="str">
        <f>IF(BH84="","",IF(BI84="вводной узел","узел ","")&amp;"л."&amp;(INT((BH84-1)/Столбцов_на_лист)+1)&amp;" / "&amp;(MOD(BH84-1,Столбцов_на_лист)+1))</f>
        <v>л.4 / 11</v>
      </c>
      <c r="V84">
        <v>3</v>
      </c>
      <c r="W84">
        <v>400</v>
      </c>
      <c r="X84" t="s">
        <v>600</v>
      </c>
      <c r="Y84">
        <v>0.5</v>
      </c>
      <c r="AC84" t="s">
        <v>815</v>
      </c>
      <c r="AE84" t="s">
        <v>578</v>
      </c>
      <c r="AI84">
        <v>62</v>
      </c>
      <c r="AJ84" t="s">
        <v>11</v>
      </c>
      <c r="AK84">
        <v>5</v>
      </c>
      <c r="AM84">
        <v>0</v>
      </c>
      <c r="AN84">
        <v>36</v>
      </c>
      <c r="AO84">
        <v>0</v>
      </c>
      <c r="AP84">
        <v>1</v>
      </c>
      <c r="AW84" cm="1">
        <f t="array" ref="AW84">ROW()-ROW(Линии[#Headers])</f>
        <v>82</v>
      </c>
      <c r="AX84" s="6" t="str">
        <f t="shared" si="126"/>
        <v>ККБ-4</v>
      </c>
      <c r="AY84" t="str">
        <f t="shared" si="127"/>
        <v/>
      </c>
      <c r="AZ84" t="str">
        <f t="shared" si="128"/>
        <v/>
      </c>
      <c r="BA84" t="str">
        <f t="shared" si="129"/>
        <v/>
      </c>
      <c r="BB84" t="str">
        <f t="shared" si="130"/>
        <v/>
      </c>
      <c r="BC84" t="str">
        <f>IF(U84&lt;&gt;"",U84,IF(AND(B84&lt;&gt;"",B84&lt;&gt;A84,ISNUMBER(_xlfn.XMATCH(B84,Щиты[Щит]))),B84,""))</f>
        <v/>
      </c>
      <c r="BD84" t="str" cm="1">
        <f t="array" ref="BD84">IF(B84="","",IF(BC84&lt;&gt;"","Щит "&amp;BC84,_xlfn.LET(_xlpm.nm,IFERROR(_xlfn.XLOOKUP(AX84,Коды_код,Коды_имя)&amp;"",""),_xlpm.md,IFERROR(N(_xlfn.XLOOKUP(AX84,Коды_код,Коды_режим)),1),_xlpm.ex,IF(Имя_режим="по экспликации",IFERROR(_xlfn.XLOOKUP(AZ84&amp;"|"&amp;BB84,Экспликация[Этаж]&amp;"|"&amp;Экспликация[Помещение],Экспликация[Название])&amp;"",""),""),_xlpm.rm,IF(BB84="","",IF(_xlpm.ex&lt;&gt;"",". "&amp;_xlpm.ex&amp;IF(Имя_пом="нет"," ("&amp;BB84&amp;")"," (пом. "&amp;BB84&amp;")"),IF(Имя_пом="нет"," ",", пом. ")&amp;BB84)),IF(_xlpm.nm="","",IF(_xlpm.md=2,_xlpm.nm&amp;" шлейф "&amp;AZ84,_xlpm.nm&amp;_xlpm.rm)))))</f>
        <v/>
      </c>
      <c r="BE84" t="str">
        <f t="shared" si="131"/>
        <v>Внешний блок кондиционирования Пом. Венткиосок</v>
      </c>
      <c r="BF84">
        <f>IFERROR(_xlfn.XMATCH(A84,Щиты[Щит]),0)</f>
        <v>4</v>
      </c>
      <c r="BG84">
        <f>_xlfn.LET(_xlpm.k,IFERROR(_xlfn.XLOOKUP(A84,Щиты[Щит],Щиты[Листов под вводной узел]),""),IF(_xlpm.k="",1,N(_xlpm.k))*Столбцов_на_лист)</f>
        <v>17</v>
      </c>
      <c r="BH84">
        <f t="shared" si="132"/>
        <v>62</v>
      </c>
      <c r="BI84" t="str">
        <f t="shared" si="133"/>
        <v>линии</v>
      </c>
      <c r="BJ84" s="6">
        <f>IFERROR(N(_xlfn.XLOOKUP(AX84,Коды_код,Коды_квт)),0)</f>
        <v>0</v>
      </c>
      <c r="BK84">
        <f t="shared" si="134"/>
        <v>0</v>
      </c>
      <c r="BL84" t="str">
        <f>IF(B84="","",IF(BC84&lt;&gt;"",IFERROR(_xlfn.XLOOKUP(BC84,Щиты[Щит],Щиты[Руст, кВт]),0),IF(BK84=1,IFERROR(_xlfn.XLOOKUP(A84,Щиты[Щит],Щиты[Руст, кВт]),0),IF(BJ84&gt;0,ROUND(BJ84*MAX(1,N(D84)),3),""))))</f>
        <v/>
      </c>
      <c r="BM84">
        <f t="shared" si="135"/>
        <v>28</v>
      </c>
      <c r="BN84" s="6">
        <f>IF(B84="","",IF(BC84&lt;&gt;"",IFERROR(_xlfn.XLOOKUP(BC84,Щиты[Щит],Щиты[Руст, кВт]),0),N(BM84)))</f>
        <v>28</v>
      </c>
      <c r="BO84" t="str">
        <f>IF(B84="","",IFERROR(IF(VLOOKUP(AX84,Потребители_обозначение,8,FALSE)=0,"",VLOOKUP(AX84,Потребители_обозначение,8,FALSE)),""))</f>
        <v/>
      </c>
      <c r="BP84">
        <f t="shared" si="136"/>
        <v>400</v>
      </c>
      <c r="BQ84">
        <f>IF(B84="","",IF(BC84&lt;&gt;"",3,IFERROR(IF(N(VLOOKUP(AX84,Потребители_обозначение,9,FALSE))=0,1,VLOOKUP(AX84,Потребители_обозначение,9,FALSE)),1)))</f>
        <v>1</v>
      </c>
      <c r="BR84">
        <f t="shared" si="137"/>
        <v>3</v>
      </c>
      <c r="BS84" t="str">
        <f>IF(B84="","",_xlfn.LET(_xlpm.bc,IFERROR(IF(VLOOKUP(AX84,Потребители_обозначение,6,FALSE)=0,"",VLOOKUP(AX84,Потребители_обозначение,6,FALSE)&amp;""),""),IF(AND(FK84="да",OR(_xlpm.bc="",_xlpm.bc="мс")),Марка_пож,IF(AND(_xlpm.bc="",BC84&lt;&gt;""),"мс",_xlpm.bc))))</f>
        <v/>
      </c>
      <c r="BT84" t="str">
        <f t="shared" si="138"/>
        <v>мс</v>
      </c>
      <c r="BU84">
        <f>IF(B84="","",_xlfn.LET(_xlpm.cc,IFERROR(N(VLOOKUP(AX84,Потребители_обозначение,7,FALSE)),0),IF(_xlpm.cc&gt;0,_xlpm.cc,IF(BT84="","",IF(N(BR84)=3,5,3)))))</f>
        <v>5</v>
      </c>
      <c r="BV84">
        <f t="shared" si="139"/>
        <v>5</v>
      </c>
      <c r="BW84">
        <f>IFERROR(N(VLOOKUP(AX84,Потребители_обозначение,10,FALSE)),0)</f>
        <v>0</v>
      </c>
      <c r="BX84">
        <f>IFERROR(VLOOKUP(AX84,Потребители_обозначение,5,FALSE),0)</f>
        <v>0</v>
      </c>
      <c r="BY84" s="6" cm="1">
        <f t="array" ref="BY84">IF(B84="","",IF(BC84&lt;&gt;"",IFERROR(_xlfn.XLOOKUP(BC84,Щиты[Щит],Щиты[cos φ]),0.95),IF(BK84=1,IFERROR(_xlfn.XLOOKUP(A84,Щиты[Щит],Щиты[cos φ]),0.95),IF(ISNUMBER(Z84),Z84,IFERROR(IF(BX84=2,_xlfn.IFS(BR84=3,VLOOKUP(BN84,Справочная_двигатели,8,FALSE),BR84=1,VLOOKUP(BN84,Справочная_двигатели,10,TRUE)),IF(AND(Методика="нормы 2026",EQ84="Сил"),0.8,0.95)),0.95)))))</f>
        <v>0.8</v>
      </c>
      <c r="BZ84">
        <f t="shared" si="140"/>
        <v>0</v>
      </c>
      <c r="CA84">
        <f t="shared" si="141"/>
        <v>1</v>
      </c>
      <c r="CB84">
        <f t="shared" si="142"/>
        <v>0</v>
      </c>
      <c r="CC84">
        <f t="shared" si="143"/>
        <v>0</v>
      </c>
      <c r="CD84">
        <f t="shared" si="144"/>
        <v>0</v>
      </c>
      <c r="CE84">
        <f t="shared" si="145"/>
        <v>0</v>
      </c>
      <c r="CF84">
        <f t="shared" si="146"/>
        <v>0</v>
      </c>
      <c r="CG84">
        <f>IF(AX84="",0,_xlfn.LET(_xlpm.v,IFERROR(VLOOKUP(B84,УГО_спр,3,FALSE),IFERROR(VLOOKUP(AX84,УГО_спр,3,FALSE),IFERROR(VLOOKUP(LEFT(AX84,2),УГО_спр,3,FALSE),""))),IF(_xlpm.v="да",30,IF(ISNUMBER(_xlpm.v),_xlpm.v,0))))</f>
        <v>0</v>
      </c>
      <c r="CH84" t="str">
        <f t="shared" si="147"/>
        <v/>
      </c>
      <c r="CI84" t="str">
        <f>_xlfn.LET(_xlpm.k,IFERROR(_xlfn.XLOOKUP(AX84,Коды_код,Коды_утечка)&amp;"",""),IF(_xlpm.k="","дифавтомат",_xlpm.k))</f>
        <v>дифавтомат</v>
      </c>
      <c r="CJ84">
        <f t="shared" si="148"/>
        <v>0</v>
      </c>
      <c r="CK84">
        <f t="shared" si="149"/>
        <v>0</v>
      </c>
      <c r="CL84">
        <f>IF(B84="",0,IFERROR(--VLOOKUP(B84,УГО_спр,4,FALSE),IFERROR(--VLOOKUP(AX84,УГО_спр,4,FALSE),IFERROR(--VLOOKUP(LEFT(AX84,2),УГО_спр,4,FALSE),0))))</f>
        <v>0</v>
      </c>
      <c r="CM84" t="str">
        <f>IF(B84="","",IFERROR(_xlfn.XLOOKUP(AX84,Коды_код,Коды_апп)&amp;"",""))</f>
        <v/>
      </c>
      <c r="CN84" t="str">
        <f t="shared" si="150"/>
        <v/>
      </c>
      <c r="CO84" t="str" cm="1">
        <f t="array" ref="CO84">IF(TRIM(CN84&amp;"")="","",IFERROR(TRIM(INDEX(_xlfn.TEXTSPLIT(CN84&amp;";;;",";"),1)),""))</f>
        <v/>
      </c>
      <c r="CP84" t="str" cm="1">
        <f t="array" ref="CP84">IF(TRIM(CN84&amp;"")="","",IFERROR(TRIM(INDEX(_xlfn.TEXTSPLIT(CN84&amp;";;;",";"),2)),""))</f>
        <v/>
      </c>
      <c r="CQ84" t="str" cm="1">
        <f t="array" ref="CQ84">IF(TRIM(CN84&amp;"")="","",IFERROR(TRIM(INDEX(_xlfn.TEXTSPLIT(CN84&amp;";;;",";"),3)),""))</f>
        <v/>
      </c>
      <c r="CR84">
        <f t="shared" si="151"/>
        <v>0</v>
      </c>
      <c r="CS84" t="str">
        <f>IF(B84="","",_xlfn.LET(_xlpm.t,LOWER(AV84&amp;""),IF(ISNUMBER(SEARCH("dim",_xlpm.t)),"DIM",IF(ISNUMBER(SEARCH("dali",_xlpm.t)),"DALI",IF(OR(ISNUMBER(SEARCH("relay",_xlpm.t)),ISNUMBER(SEARCH("реле",_xlpm.t))),"Relay",IF(ISNUMBER(SEARCH("кнопк",_xlpm.t)),"",IFERROR(_xlfn.XLOOKUP(AX84,Коды_код,Коды_упр)&amp;"","")))))))</f>
        <v/>
      </c>
      <c r="CT84" t="str">
        <f t="shared" si="152"/>
        <v/>
      </c>
      <c r="CU84">
        <f>IF(B84="","",_xlfn.LET(_xlpm.ig,N(P84)+IF(AF84="вручную",0,N(CB84)),_xlpm.n0,IFERROR(VLOOKUP(_xlpm.ig,Автомат_номиналы,2,TRUE),0),_xlpm.mn,MAX(CL84,IF(AF84="вручную",0,N(CE84))),MAX(_xlpm.n0,_xlpm.mn,IF(CR84=1,Мин_автомат_БП,0))))</f>
        <v>63</v>
      </c>
      <c r="CV84">
        <f t="shared" si="153"/>
        <v>3</v>
      </c>
      <c r="CW84" t="str">
        <f t="shared" si="154"/>
        <v>3P</v>
      </c>
      <c r="CX84" t="str">
        <f>_xlfn.LET(_xlpm.cc,UPPER(TRIM(IFERROR(_xlfn.XLOOKUP(AX84,Коды_код,Коды_хар)&amp;"",""))),IF(OR(_xlpm.cc="B",_xlpm.cc="В"),"B",IF(_xlpm.cc="D","D","С")))</f>
        <v>С</v>
      </c>
      <c r="CY84" t="str">
        <f t="shared" si="155"/>
        <v>3P С63А</v>
      </c>
      <c r="CZ84">
        <f t="shared" si="156"/>
        <v>63</v>
      </c>
      <c r="DA84" t="str">
        <f t="shared" si="157"/>
        <v>3P С63А</v>
      </c>
      <c r="DB84" cm="1">
        <f t="array" ref="DB84">IF(DA84="","",_xlfn.LET(_xlpm.t,SUBSTITUTE(SUBSTITUTE(SUBSTITUTE(UPPER(DA84),"С","C"),"А","A"),"В","B"),_xlpm.tk,_xlfn.TEXTSPLIT(_xlpm.t,"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4" t="str">
        <f t="shared" si="158"/>
        <v>ok</v>
      </c>
      <c r="DD84">
        <f t="shared" si="159"/>
        <v>63</v>
      </c>
      <c r="DE84" t="str">
        <f t="shared" si="160"/>
        <v>3P С63А</v>
      </c>
      <c r="DF84">
        <f t="shared" si="161"/>
        <v>0</v>
      </c>
      <c r="DG84">
        <f t="shared" si="162"/>
        <v>0</v>
      </c>
      <c r="DH84">
        <f t="shared" si="163"/>
        <v>0</v>
      </c>
      <c r="DI84">
        <f t="shared" si="164"/>
        <v>50.518148554092257</v>
      </c>
      <c r="DJ84">
        <f t="shared" si="165"/>
        <v>0.92</v>
      </c>
      <c r="DK84">
        <f>IF(ISNUMBER(AL84),AL84,К_прокл)</f>
        <v>1</v>
      </c>
      <c r="DL84">
        <f t="shared" si="166"/>
        <v>3</v>
      </c>
      <c r="DM84">
        <f>IFERROR(N(VLOOKUP(BT84,Кабель_обозначение,3,FALSE)),1)</f>
        <v>1</v>
      </c>
      <c r="DN84">
        <f>IFERROR(N(_xlfn.XLOOKUP(A84,Щиты[Щит],Щиты[ΔU до шин, %])),0)</f>
        <v>0.64</v>
      </c>
      <c r="DO84" t="str">
        <f>IFERROR(_xlfn.XLOOKUP(A84,Щиты[Щит],Щиты[Zпетли на шинах, Ом]),"")</f>
        <v/>
      </c>
      <c r="DP84">
        <f>IFERROR(N(_xlfn.XLOOKUP(A84,Щиты[Щит],Щиты[ΔU до шин (подбор), %])),0)</f>
        <v>0.75</v>
      </c>
      <c r="DQ84" t="str">
        <f>IFERROR(_xlfn.XLOOKUP(A84,Щиты[Щит],Щиты[Zпетли на шинах (подбор), Ом]),"")</f>
        <v/>
      </c>
      <c r="DR84" t="str">
        <f t="shared" si="167"/>
        <v/>
      </c>
      <c r="DS84">
        <f t="shared" si="168"/>
        <v>40</v>
      </c>
      <c r="DT84">
        <f t="shared" si="169"/>
        <v>1</v>
      </c>
      <c r="DU84">
        <f t="shared" si="170"/>
        <v>0.6</v>
      </c>
      <c r="DV84" s="6">
        <f>IF(B84="","",IF(IFERROR(VLOOKUP(AX84,УГО_спр,2,FALSE),"")="Светильник",3,4)+IF(Методика="нормы 2026",MIN(0.5,MAX(0,N(Q84)-100)*0.005),0))</f>
        <v>4</v>
      </c>
      <c r="DW84" cm="1">
        <f t="array" ref="DW84">IF(OR(B84="",BT84="",DM84&lt;&gt;1),"",_xlfn.LET(_xlpm.sz,Iдоп_S,_xlpm.t_,CHOOSE(DL84,Iдоп_1ж,Iдоп_2ж,Iдоп_3ж)*DJ84*DK84,_xlpm.inn,N(DD84),_xlpm.smin,MAX(1.5,BW84),_xlpm.L_,N(Q84)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84)*(_xlpm.rho*_xlpm.L_/_xlpm.sz*N(BY84)+_xlpm.xx*_xlpm.L_*N(DU84)/1000)*N(P84)/((Uн_лин/SQRT(3))*1000)*100,999),_xlpm.kz,IF(OR(DG84=1,NOT(ISNUMBER(DQ84)),_xlpm.L_=0,_xlpm.inn=0),1,IFERROR(--(c_min*(Uн_лин*1000/SQRT(3))/(DQ84+2*ρкз_Cu*_xlpm.L_/_xlpm.sz)&gt;=GY84*_xlpm.inn),0)),_xlpm.ok,IFERROR((_xlpm.sz&gt;=_xlpm.smin)*(_xlpm.t_&gt;=_xlpm.inn)*IF(_xlpm.L_&gt;0,(_xlpm.du_+DP84&lt;=DV84+0.00001),1)*_xlpm.kz,0),_xlpm.r_,_xlfn._xlws.FILTER(_xlpm.sz,_xlpm.ok,"не подобрано"),INDEX(_xlpm.r_,1)))</f>
        <v>16</v>
      </c>
      <c r="DX84">
        <f t="shared" si="171"/>
        <v>25</v>
      </c>
      <c r="DY84" cm="1">
        <f t="array" ref="DY84">IF(OR(B84="",BT84="",DM84&lt;&gt;1),"",_xlfn.LET(_xlpm.sz,Iдоп_S,_xlpm.t_,CHOOSE(DL84,Iдоп_1ж,Iдоп_2ж,Iдоп_3ж)*DJ84*DK84,_xlpm.ok,IFERROR((_xlpm.sz&gt;=MAX(1.5,BW84))*(_xlpm.t_&gt;=N(DD84)),0),_xlpm.r_,_xlfn._xlws.FILTER(_xlpm.sz,_xlpm.ok,""),INDEX(_xlpm.r_,1)))</f>
        <v>16</v>
      </c>
      <c r="DZ84" s="6" cm="1">
        <f t="array" ref="DZ84">IFERROR(ROUNDUP(N(DT84)*(_xlfn.XLOOKUP(DY84,INDEX(Кабель_сопротивление,0,1),INDEX(Кабель_сопротивление,0,3))*N(Q84)/DY84*N(BY84)+_xlfn.XLOOKUP(DY84,INDEX(Кабель_сопротивление,0,1),INDEX(Кабель_сопротивление,0,2))*N(Q84)*N(DU84)/1000)*N(P84)/((Uн_лин/SQRT(3))*1000)*100,2),"")</f>
        <v>1.02</v>
      </c>
      <c r="EA84">
        <f>IFERROR(2*ρкз_Cu*N(Q84)/DY84,"")</f>
        <v>0.13150000000000001</v>
      </c>
      <c r="EB84">
        <f>IFERROR(VLOOKUP(DX84,Кабель_сопротивление,3,FALSE),"")</f>
        <v>2.2499999999999999E-2</v>
      </c>
      <c r="EC84">
        <f>IFERROR(VLOOKUP(DX84,Кабель_сопротивление,2,FALSE),"")</f>
        <v>6.6199999999999995E-2</v>
      </c>
      <c r="ED84">
        <f t="shared" si="172"/>
        <v>36</v>
      </c>
      <c r="EE84">
        <f t="shared" si="173"/>
        <v>0</v>
      </c>
      <c r="EF84">
        <f t="shared" si="174"/>
        <v>1.5351859127805987</v>
      </c>
      <c r="EG84" s="6">
        <f>IFERROR(ROUNDUP(EF84/((Uн_лин/SQRT(3))*1000)*100,2),"")</f>
        <v>0.67</v>
      </c>
      <c r="EH84" t="str">
        <f>IFERROR(VLOOKUP(BT84,Кабель_обозначение,2,FALSE),"")</f>
        <v>ВВГнг(А)-LS</v>
      </c>
      <c r="EI84" t="str">
        <f t="shared" si="175"/>
        <v>ВВГнг(А)-LS (5х25)</v>
      </c>
      <c r="EJ84" t="str">
        <f t="shared" si="176"/>
        <v>ВВГнг(А)-LS (5х25)
L=40-0,67%</v>
      </c>
      <c r="EK84">
        <f>IFERROR(2*ρкз_Cu*Q84/DX84,"")</f>
        <v>8.4159999999999999E-2</v>
      </c>
      <c r="EL84">
        <f t="shared" si="177"/>
        <v>2.8000000000000004E-2</v>
      </c>
      <c r="EM84" s="6" t="str">
        <f>IFERROR(IF(OR(B84="",NOT(ISNUMBER(DX84)),N(Q84)=0),"",_xlfn.XLOOKUP(A84,Щиты[Щит],Щиты[Zпетли на шинах, Ом])+EK84),"")</f>
        <v/>
      </c>
      <c r="EN84" s="6" t="str">
        <f>IF(ISNUMBER(EM84),c_min*(Uн_лин*1000/SQRT(3))/EM84,"")</f>
        <v/>
      </c>
      <c r="EO84" s="6" t="str">
        <f>IFERROR(IF(OR(B84="",NOT(ISNUMBER(DX84))),"",1.05*(Uн_лин*1000/SQRT(3))/(_xlfn.XLOOKUP(A84,Щиты[Щит],Щиты[Zmax на шинах, Ом])+EL84)/1000),"")</f>
        <v/>
      </c>
      <c r="EP84" s="6" t="str">
        <f>IF(B84="","",IF(ISNUMBER(Y84),"Сил",IF(IFERROR(_xlfn.XLOOKUP(AX84,Коды_код,Коды_группа)&amp;"","")="","Быт",_xlfn.XLOOKUP(AX84,Коды_код,Коды_группа)&amp;"")))</f>
        <v>Сил</v>
      </c>
      <c r="EQ84" s="6" t="str">
        <f t="shared" si="178"/>
        <v>Сил</v>
      </c>
      <c r="ER84" s="6">
        <f>IF(EQ84="Щит","щит",IF(EQ84="","",IF(EQ84="Быт",IFERROR(_xlfn.XLOOKUP(A84,Щиты[Щит],Щиты[Кс быт]),1),IF(EQ84="Сил",IF(ISNUMBER(Y84),Y84,IF(Методика="нормы 2026",IFERROR(_xlfn.XLOOKUP(A84,Щиты[Щит],Щиты[Кс силовых (табл. 7.5)]),1),1)),IF(OR(EQ84="Пост",EQ84="Отоп"),1,IF(EQ84="ВНГ",0.7,0))))))</f>
        <v>0.5</v>
      </c>
      <c r="ES84">
        <f t="shared" si="179"/>
        <v>1</v>
      </c>
      <c r="ET84">
        <f t="shared" si="180"/>
        <v>28</v>
      </c>
      <c r="EU84">
        <f t="shared" si="181"/>
        <v>0</v>
      </c>
      <c r="EV84">
        <f t="shared" si="182"/>
        <v>14</v>
      </c>
      <c r="EW84">
        <f t="shared" si="183"/>
        <v>0</v>
      </c>
      <c r="EX84">
        <f t="shared" si="184"/>
        <v>0</v>
      </c>
      <c r="EY84">
        <f t="shared" si="185"/>
        <v>0</v>
      </c>
      <c r="EZ84">
        <f t="shared" si="186"/>
        <v>28</v>
      </c>
      <c r="FA84">
        <f t="shared" si="187"/>
        <v>22.400000000000002</v>
      </c>
      <c r="FB84">
        <f t="shared" si="188"/>
        <v>28</v>
      </c>
      <c r="FC84" t="str">
        <f t="shared" si="189"/>
        <v/>
      </c>
      <c r="FD84" t="str">
        <f>IF(B84="","",IF(CA84=0,IF(AW84=1,"",FF83),IF(OR(N(CV84)&gt;=3,N(BR84)&gt;=3),"L1,L2,L3",IFERROR(_xlfn.TEXTBEFORE(_xlfn.TEXTAFTER(_xlfn.XLOOKUP(A84,Щиты[Щит],Щиты[_фазы авто]),";"&amp;AW84&amp;":"),";"),"L1"))))</f>
        <v>L1,L2,L3</v>
      </c>
      <c r="FE84" t="str">
        <f t="shared" si="190"/>
        <v>L1,L2,L3</v>
      </c>
      <c r="FF84" t="str">
        <f t="shared" si="191"/>
        <v>L1,L2,L3</v>
      </c>
      <c r="FG84" cm="1">
        <f t="array" ref="FG84">IFERROR(IF(BX84=2,_xlfn.IFS(BR84=3,VLOOKUP(BN84,Справочная_двигатели,3,FALSE),BR84=1,VLOOKUP(BN84,Справочная_двигатели,5,TRUE)),0),0)</f>
        <v>0</v>
      </c>
      <c r="FH84">
        <f>IFERROR(IF(BX84=3,VLOOKUP(BN84,Справочная_ЛЭД,2,TRUE),0),0)</f>
        <v>0</v>
      </c>
      <c r="FI84" s="6">
        <f t="shared" si="192"/>
        <v>0</v>
      </c>
      <c r="FJ84" t="str" cm="1">
        <f t="array" ref="FJ84">IF(B84="","",IFERROR(INDEX({"I особая","I","II","III"},MATCH(TRIM(AC84&amp;""),{"I особая","I","II","III"},0)),"III"))</f>
        <v>II</v>
      </c>
      <c r="FK84" t="str">
        <f>IF(B84="","",IF(TRIM(AD84&amp;"")&lt;&gt;"",IF(LOWER(TRIM(AD84&amp;""))="да","да","нет"),IF(IFERROR(_xlfn.XLOOKUP(AX84,Коды_код,Коды_пожарная),"")="да","да","нет")))</f>
        <v>нет</v>
      </c>
      <c r="FL84" t="str">
        <f t="shared" si="193"/>
        <v/>
      </c>
      <c r="FM84" t="str">
        <f t="shared" si="194"/>
        <v>основная</v>
      </c>
      <c r="FN84">
        <f t="shared" si="195"/>
        <v>1</v>
      </c>
      <c r="FO84" t="str" cm="1">
        <f t="array" ref="FO84">IF(B84="","",_xlfn.LET(_xlpm.t,IFERROR(_xlfn.XLOOKUP(1,(Шины[Шина]=FM84)*(((Шины[Щит]=A84)+(Шины[Щит]=""))&gt;0),Шины[Тип]),"")&amp;"",IF(_xlpm.t&lt;&gt;"",_xlpm.t,IF(ISNUMBER(SEARCH("ИБП",FM84)),"ИБП",IF(ISNUMBER(SEARCH("ДГУ",FM84)),"ДГУ","Ввод "&amp;FN84)))))</f>
        <v>Ввод 1</v>
      </c>
      <c r="FP84" t="str">
        <f t="shared" si="196"/>
        <v>Ввод 1</v>
      </c>
      <c r="FQ84" t="str">
        <f>IF(B84="","",IF(OR(FO84="ИБП",FO84="ДГУ"),"I особая",IF(FO84="Одиночная","III",_xlfn.XLOOKUP(A84,Щиты[Щит],Щиты[Категория шины «Ввод»],"III"))))</f>
        <v>II</v>
      </c>
      <c r="FR84">
        <f>IF(B84="",0,IFERROR(MATCH(FJ84,{"III","II","I","I особая"},0),1))</f>
        <v>2</v>
      </c>
      <c r="FS84">
        <f t="shared" si="197"/>
        <v>2</v>
      </c>
      <c r="FT84" t="str">
        <f>IF(B84="","",IF(FR84&gt;IFERROR(MATCH(FQ84,{"III","II","I","I особая"},0),1),"НЕ ОБЕСПЕЧЕНА","ОК"))</f>
        <v>ОК</v>
      </c>
      <c r="FU84" t="str">
        <f>IF(A84="","",_xlfn.XLOOKUP(A84,Щиты[Щит],Щиты[Путь],""))</f>
        <v>|ГРЩ-ЖД|ЩОВ-001|</v>
      </c>
      <c r="FV84" t="str">
        <f>IF(B84="","",IF(AE84&lt;&gt;"",AE84,IF(IFERROR(_xlfn.XLOOKUP(AX84,Коды_код,Коды_вид)&amp;"","")="","Прочее",_xlfn.XLOOKUP(AX84,Коды_код,Коды_вид)&amp;"")))</f>
        <v>Кондиционирование и увлажнение</v>
      </c>
      <c r="FW84">
        <f>IF(BH84="","",INT((BH84-1)/Столбцов_на_лист)+1)</f>
        <v>4</v>
      </c>
      <c r="FX84" t="str">
        <f t="shared" si="198"/>
        <v>ВВГнг(А)-LS (5х25) L=40-0,67%</v>
      </c>
      <c r="FY84">
        <f t="shared" si="199"/>
        <v>28</v>
      </c>
      <c r="FZ84">
        <f t="shared" si="200"/>
        <v>50.519999999999996</v>
      </c>
      <c r="GA84">
        <f t="shared" si="201"/>
        <v>3</v>
      </c>
      <c r="GB84">
        <f t="shared" si="202"/>
        <v>0</v>
      </c>
      <c r="GC84">
        <f t="shared" si="203"/>
        <v>1</v>
      </c>
      <c r="GD84">
        <f>IF(BH84="","",IF(AND(CA84=1,GC84=1),COUNTIFS(A$3:A84,A84,CA$3:CA84,1,GC$3:GC84,1),IF(OR(OR(AW84=1,A84&lt;&gt;A83),AF84="вручную",GC84=0),"",IF(AW84=1,"",GE83))))</f>
        <v>31</v>
      </c>
      <c r="GE84">
        <f t="shared" si="204"/>
        <v>31</v>
      </c>
      <c r="GF84">
        <f>IF(B84="","",IFERROR(LOOKUP(INDEX(CHOOSE(DL84,Iдоп_1ж,Iдоп_2ж,Iдоп_3ж),MATCH(DX84,Iдоп_S,0))*DJ84*DK84,{6,10,16,20,25,32,40,50,63,80,100,125,160,200,250,315,400,500,630}),""))</f>
        <v>80</v>
      </c>
      <c r="GG84" t="str">
        <f t="shared" si="205"/>
        <v>QF31</v>
      </c>
      <c r="GH84" t="str">
        <f t="shared" si="206"/>
        <v>QF31</v>
      </c>
      <c r="GI84" t="str">
        <f t="shared" si="207"/>
        <v/>
      </c>
      <c r="GJ84">
        <f t="shared" si="208"/>
        <v>0</v>
      </c>
      <c r="GK84" t="str">
        <f>IF(OR(AG84="",AG84="-"),"",IFERROR(VLOOKUP(AG84,Модули_спр,2,FALSE),"R"))</f>
        <v/>
      </c>
      <c r="GL84" t="str">
        <f>IF(GK84="","",GK84&amp;"."&amp;COUNTIFS(A$3:A84,A84,GK$3:GK84,GK84))</f>
        <v/>
      </c>
      <c r="GM84" t="str">
        <f t="shared" si="209"/>
        <v/>
      </c>
      <c r="GN84" t="str">
        <f t="shared" si="210"/>
        <v/>
      </c>
      <c r="GO84" t="str">
        <f t="shared" si="211"/>
        <v/>
      </c>
      <c r="GP84" t="str">
        <f t="shared" si="212"/>
        <v/>
      </c>
      <c r="GQ84">
        <f t="shared" si="213"/>
        <v>1</v>
      </c>
      <c r="GR84" t="str">
        <f>IF(GQ84=1,"XT"&amp;COUNTIFS(A$3:A84,A84,GQ$3:GQ84,1),"")</f>
        <v>XT31</v>
      </c>
      <c r="GS84" t="str">
        <f t="shared" si="214"/>
        <v>XT31</v>
      </c>
      <c r="GT84" t="str">
        <f t="shared" si="215"/>
        <v>QF31</v>
      </c>
      <c r="GU84" t="str">
        <f t="shared" si="216"/>
        <v/>
      </c>
      <c r="GV84" t="str">
        <f t="shared" si="217"/>
        <v>ok</v>
      </c>
      <c r="GW84" t="str">
        <f>IF(OR(GO84="",GM84=""),"",IF(GO84&gt;IFERROR(VLOOKUP(GN84,Модули_спр,3,FALSE),99),"ЛИШНИЙ КАНАЛ",IF(AND(AH84&lt;&gt;"=",COUNTIFS(Линии[_модуль гр.],GM84,Линии[Канал (итог)],GO84,Линии[Канал],"&lt;&gt;=",Линии[Щит],A84)&gt;1),"ДУБЛЬ КАНАЛА","")))</f>
        <v/>
      </c>
      <c r="GX84" s="6" t="str">
        <f t="shared" si="218"/>
        <v/>
      </c>
      <c r="GY84">
        <f t="shared" si="219"/>
        <v>10</v>
      </c>
      <c r="GZ84" t="str">
        <f t="shared" si="220"/>
        <v/>
      </c>
      <c r="HA84" t="str">
        <f>IF(AND(B84="",GT84=""),"",_xlfn.TEXTJOIN("; ",TRUE,IF(AND(B84&lt;&gt;"",FE84=""),"нет фазы",""),IF(AND(B84&lt;&gt;"",N(FY84)=0,EQ84&lt;&gt;"Нет"),"нет мощности",""),IF(AND(GS84&lt;&gt;"",COUNTIFS(Линии[Щит],A84,Линии[Клемма (итог)],GS84)&gt;1),"дубль клеммы "&amp;GS84,""),IF(AND(GV84&lt;&gt;"",GV84&lt;&gt;"ok"),GV84,""),IF(GW84&lt;&gt;"",GW84,""),IF(AND(N(BV84)&gt;=4,N(BR84)=1),BV84&amp;" жил на 1 фазе",""),IF(AND(AX84="R",CA84=1,OR(N(CK84)=0,N(CK84)&gt;30)),"розетка без дифзащиты до 30 мА",""),IFERROR(IF(AND(ISNUMBER(R84),R84&gt;DV84),"потери "&amp;FIXED(R84,1)&amp;" % &gt; "&amp;DV84&amp;" %",""),""),IFERROR(IF(LEFT(GZ84,4)="мало","Iкз мало — отключение &gt; 0,4 с",""),""),IF(AND(B84&lt;&gt;"",BH84=""),"не на схеме",""),IF(AND(CA84=0,B84&lt;&gt;"",FE84&lt;&gt;"",IF(AW84=1,"",FF83)&lt;&gt;"",FE84&lt;&gt;IF(AW84=1,"",FF83)),"фаза не как у автомата группы ("&amp;IF(AW84=1,"",FF83)&amp;")","")))</f>
        <v/>
      </c>
      <c r="HB84" s="6" t="str">
        <f>IF(OR(CA84=0,DA84=""),"",_xlfn.LET(_xlpm.t,IFERROR(_xlfn.XLOOKUP(DA84,Каталог!$U$4:$U$500,Каталог!$G$4:$G$500),""),_xlpm.k,SEARCH("кА",_xlpm.t),IFERROR(--TRIM(RIGHT(SUBSTITUTE(MID(_xlpm.t,MAX(1,_xlpm.k-4),_xlpm.k-MAX(1,_xlpm.k-4))," ",REPT(" ",9)),5)),"")))</f>
        <v/>
      </c>
      <c r="HC84" t="str">
        <f>IF(OR(HB84="",CA84=0),"",IF(_xlfn.XLOOKUP(A84,Щиты[Щит],Щиты[Iкз max на шинах, кА],"")="","",IF(HB84&lt;_xlfn.XLOOKUP(A84,Щиты[Щит],Щиты[Iкз max на шинах, кА]),"Icu "&amp;HB84&amp;" кА &lt; Iкз max","ok")))</f>
        <v/>
      </c>
      <c r="HD84" t="str">
        <f t="shared" si="221"/>
        <v/>
      </c>
      <c r="HE84" t="str">
        <f t="shared" si="222"/>
        <v>QF31|XT31</v>
      </c>
      <c r="HF84" t="str">
        <f t="shared" si="223"/>
        <v>QF31|XT31|кабель ВВГнг(А)-LS (5х25) → Внешний блок кондиционирования Пом. Венткиосок</v>
      </c>
      <c r="HG84" t="str" cm="1">
        <f t="array" ref="HG84">IF(HF84="","",_xlfn.LET(_xlpm.nd,_xlfn.TEXTSPLIT(HF84,"|"),IF(COLUMNS(_xlpm.nd)&gt;1,A84&amp;"¦"&amp;INDEX(_xlpm.nd,1)&amp;"¦"&amp;INDEX(_xlpm.nd,2),"")))</f>
        <v>ЩОВ-001¦QF31¦XT31</v>
      </c>
      <c r="HH84" t="str">
        <f t="shared" si="224"/>
        <v>ККБ-4¦Внешний блок кондиционирования Пом. Венткиосок</v>
      </c>
      <c r="HI84" t="str" cm="1">
        <f t="array" ref="HI84">IF(HF84="","",_xlfn.LET(_xlpm.nd,_xlfn.TEXTSPLIT(HF84,"|"),IF(COLUMNS(_xlpm.nd)&gt;2,A84&amp;"¦"&amp;INDEX(_xlpm.nd,2)&amp;"¦"&amp;INDEX(_xlpm.nd,3),"")))</f>
        <v>ЩОВ-001¦XT31¦кабель ВВГнг(А)-LS (5х25) → Внешний блок кондиционирования Пом. Венткиосок</v>
      </c>
      <c r="HJ84" t="str">
        <f t="shared" si="225"/>
        <v>ККБ-4¦Внешний блок кондиционирования Пом. Венткиосок</v>
      </c>
      <c r="HK84" t="str" cm="1">
        <f t="array" ref="HK84">IF(HF84="","",_xlfn.LET(_xlpm.nd,_xlfn.TEXTSPLIT(HF84,"|"),IF(COLUMNS(_xlpm.nd)&gt;3,A84&amp;"¦"&amp;INDEX(_xlpm.nd,3)&amp;"¦"&amp;INDEX(_xlpm.nd,4),"")))</f>
        <v/>
      </c>
      <c r="HL84" t="str">
        <f t="shared" si="226"/>
        <v/>
      </c>
      <c r="HM84" t="str" cm="1">
        <f t="array" ref="HM84">IF(HF84="","",_xlfn.LET(_xlpm.nd,_xlfn.TEXTSPLIT(HF84,"|"),IF(COLUMNS(_xlpm.nd)&gt;4,A84&amp;"¦"&amp;INDEX(_xlpm.nd,4)&amp;"¦"&amp;INDEX(_xlpm.nd,5),"")))</f>
        <v/>
      </c>
      <c r="HN84" t="str">
        <f t="shared" si="227"/>
        <v/>
      </c>
      <c r="HO84" t="str" cm="1">
        <f t="array" ref="HO84">IF(HF84="","",_xlfn.LET(_xlpm.nd,_xlfn.TEXTSPLIT(HF84,"|"),IF(COLUMNS(_xlpm.nd)&gt;5,A84&amp;"¦"&amp;INDEX(_xlpm.nd,5)&amp;"¦"&amp;INDEX(_xlpm.nd,6),"")))</f>
        <v/>
      </c>
      <c r="HP84" t="str">
        <f t="shared" si="228"/>
        <v/>
      </c>
      <c r="HQ84" t="str" cm="1">
        <f t="array" ref="HQ84">IF(HF84="","",_xlfn.LET(_xlpm.nd,_xlfn.TEXTSPLIT(HF84,"|"),IF(COLUMNS(_xlpm.nd)&gt;6,A84&amp;"¦"&amp;INDEX(_xlpm.nd,6)&amp;"¦"&amp;INDEX(_xlpm.nd,7),"")))</f>
        <v/>
      </c>
      <c r="HR84" t="str">
        <f t="shared" si="229"/>
        <v/>
      </c>
      <c r="HS84" t="str">
        <f t="shared" si="230"/>
        <v/>
      </c>
      <c r="HT84" t="str">
        <f t="shared" si="231"/>
        <v>QF31 → XT31</v>
      </c>
      <c r="HU84">
        <f t="shared" si="232"/>
        <v>0</v>
      </c>
      <c r="HV84">
        <f t="shared" si="233"/>
        <v>0</v>
      </c>
      <c r="HW84" t="str">
        <f t="shared" si="234"/>
        <v/>
      </c>
      <c r="HX84" t="str">
        <f t="shared" si="235"/>
        <v/>
      </c>
      <c r="HY84" t="str">
        <f t="shared" si="236"/>
        <v/>
      </c>
      <c r="HZ84" t="str">
        <f t="shared" si="237"/>
        <v/>
      </c>
      <c r="IA84" t="str">
        <f>IF(B84="","",IFERROR(VLOOKUP(B84,УГО_спр,2,FALSE),IFERROR(VLOOKUP(AX84,УГО_спр,2,FALSE),IFERROR(VLOOKUP(LEFT(AX84,2),УГО_спр,2,FALSE),""))))</f>
        <v/>
      </c>
      <c r="IB84" t="str">
        <f>IF(B84="","",IF(OR(IA84="",IA84=0),"BOX",IFERROR(IF(VLOOKUP(IA84,УГО_блоки,3,FALSE)&amp;""&lt;&gt;"",VLOOKUP(IA84,УГО_блоки,3,FALSE),VLOOKUP(IA84,УГО_блоки,2,FALSE)),IA84)))</f>
        <v>BOX</v>
      </c>
      <c r="IC84">
        <f t="shared" si="238"/>
        <v>1</v>
      </c>
      <c r="ID84" t="str">
        <f>IF(DA84="","",IF(COUNTIF(DA$3:DA84,DA84)=1,MAX(ID$2:ID83)+1,""))</f>
        <v/>
      </c>
      <c r="IE84" t="str">
        <f>IF(CO84="","",IF(COUNTIF(CO$3:CO84,CO84)+COUNTIF(CP$2:CP83,CO84)+COUNTIF(CQ$2:CQ83,CO84)=1,MAX(IE$2:IG83)+1,""))</f>
        <v/>
      </c>
      <c r="IF84" t="str">
        <f>IF(CP84="","",IF(COUNTIF(CO$3:CO84,CP84)+COUNTIF(CP$3:CP84,CP84)+COUNTIF(CQ$2:CQ83,CP84)=1,MAX(IE$2:IG83,IE84)+1,""))</f>
        <v/>
      </c>
      <c r="IG84" t="str">
        <f>IF(CQ84="","",IF(COUNTIF(CO$3:CO84,CQ84)+COUNTIF(CP$3:CP84,CQ84)+COUNTIF(CQ$3:CQ84,CQ84)=1,MAX(IE$2:IG83,IE84,IF84)+1,""))</f>
        <v/>
      </c>
      <c r="IH84" t="str">
        <f t="shared" si="239"/>
        <v>5х25</v>
      </c>
      <c r="II84" t="str">
        <f>IF(IH84="","",IF(COUNTIF(IH$3:IH84,IH84)=1,MAX(II$2:II83)+1,""))</f>
        <v/>
      </c>
      <c r="IJ84" t="str">
        <f>IF(GL84="","",COUNTIF(GL$3:GL84,"?*"))</f>
        <v/>
      </c>
      <c r="IK84" t="str">
        <f>IF(OR(GL84="",GN84=""),"",IF(COUNTIFS(GL$3:GL84,"?*",GN$3:GN84,GN84)=1,MAX(IK$2:IK83)+1,""))</f>
        <v/>
      </c>
      <c r="IL84">
        <f t="shared" si="240"/>
        <v>0</v>
      </c>
      <c r="IM84">
        <f>IF(B84="","",COUNTIF(B$3:B84,"?*"))</f>
        <v>82</v>
      </c>
      <c r="IN84">
        <f>IF(GQ84&lt;&gt;1,0,_xlfn.LET(_xlpm.k,MAX(IFERROR(--VLOOKUP(B84,УГО_спр,5,FALSE),0),IFERROR(--VLOOKUP(AX84,УГО_спр,5,FALSE),0),IFERROR(--VLOOKUP(LEFT(AX84,2),УГО_спр,5,FALSE),0)),IF(_xlpm.k&gt;0,_xlpm.k,IF(IFERROR(--LEFT(SUBSTITUTE(IH84,"x","х"),FIND("х",SUBSTITUTE(IH84,"x","х"))-1),3)&gt;3,Каталог!$S$9,1))))</f>
        <v>1</v>
      </c>
      <c r="IO84">
        <f t="shared" si="241"/>
        <v>2</v>
      </c>
      <c r="IP84" t="str">
        <f t="shared" si="242"/>
        <v>авто</v>
      </c>
      <c r="IQ84" t="str">
        <f t="shared" si="243"/>
        <v/>
      </c>
      <c r="IR84">
        <f t="shared" si="244"/>
        <v>0</v>
      </c>
      <c r="IS84">
        <f t="shared" si="245"/>
        <v>1</v>
      </c>
    </row>
    <row r="85" spans="1:253" x14ac:dyDescent="0.3">
      <c r="A85" t="s">
        <v>749</v>
      </c>
      <c r="B85" t="s">
        <v>1357</v>
      </c>
      <c r="C85" t="s">
        <v>1619</v>
      </c>
      <c r="D85">
        <v>1</v>
      </c>
      <c r="E85">
        <v>27.79</v>
      </c>
      <c r="G85">
        <v>63</v>
      </c>
      <c r="H85" t="str">
        <f>Линии[[#This Row],[_авто утечка]]</f>
        <v/>
      </c>
      <c r="I85" t="str">
        <f>Линии[[#This Row],[_авто управление]]</f>
        <v/>
      </c>
      <c r="J85" t="str">
        <f>Линии[[#This Row],[_авто аппараты]]</f>
        <v/>
      </c>
      <c r="K85">
        <v>25</v>
      </c>
      <c r="L85">
        <v>44</v>
      </c>
      <c r="M85" t="str">
        <f>Линии[[#This Row],[_авто фаза]]</f>
        <v>L1,L2,L3</v>
      </c>
      <c r="N85" t="str">
        <f>Линии[[#This Row],[_авто клемма]]</f>
        <v>XT32</v>
      </c>
      <c r="O85" t="str">
        <f t="shared" si="123"/>
        <v/>
      </c>
      <c r="P85" s="6" cm="1">
        <f t="array" ref="P85">IF(B85="","",IF(BC85&lt;&gt;"",IFERROR(_xlfn.XLOOKUP(BC85,Щиты[Щит],Щиты[Iр, А]),""),IF(BK85=1,IFERROR(_xlfn.XLOOKUP(A85,Щиты[Щит],Щиты[Iр, А]),""),IFERROR(_xlfn.IFS(BR85=1,BN85/((Uн_лин/SQRT(3))*BY85),BR85=3,BN85/(SQRT(3)*Uн_лин*BY85)),""))))</f>
        <v>50.139262439936559</v>
      </c>
      <c r="Q85" s="7">
        <f>IF(B85="","",IFERROR(IF(VLOOKUP(AX85,Потребители_обозначение,4,FALSE)=1,VLOOKUP(AX85,Потребители_обозначение,3,FALSE)*(D85*2-1)+DS85+VLOOKUP(AZ85,Этаж_обозначение,3,FALSE)+VLOOKUP(AZ85,Этаж_обозначение,4,FALSE),VLOOKUP(AX85,Потребители_обозначение,3,FALSE)*(D85*2-1)+DS85),DS85))</f>
        <v>44</v>
      </c>
      <c r="R85" s="6">
        <f t="shared" si="124"/>
        <v>1.37</v>
      </c>
      <c r="S85" t="str">
        <f t="shared" si="125"/>
        <v>ВВГнг(А)-LS (5х25)</v>
      </c>
      <c r="T85" t="str">
        <f>IF(BH85="","",IF(BI85="вводной узел","узел ","")&amp;"л."&amp;(INT((BH85-1)/Столбцов_на_лист)+1)&amp;" / "&amp;(MOD(BH85-1,Столбцов_на_лист)+1))</f>
        <v>л.4 / 12</v>
      </c>
      <c r="V85">
        <v>3</v>
      </c>
      <c r="W85">
        <v>400</v>
      </c>
      <c r="X85" t="s">
        <v>600</v>
      </c>
      <c r="Y85">
        <v>0.5</v>
      </c>
      <c r="AC85" t="s">
        <v>815</v>
      </c>
      <c r="AE85" t="s">
        <v>578</v>
      </c>
      <c r="AI85">
        <v>63</v>
      </c>
      <c r="AJ85" t="s">
        <v>11</v>
      </c>
      <c r="AK85">
        <v>5</v>
      </c>
      <c r="AM85">
        <v>0</v>
      </c>
      <c r="AN85">
        <v>40</v>
      </c>
      <c r="AO85">
        <v>0</v>
      </c>
      <c r="AP85">
        <v>1</v>
      </c>
      <c r="AW85" cm="1">
        <f t="array" ref="AW85">ROW()-ROW(Линии[#Headers])</f>
        <v>83</v>
      </c>
      <c r="AX85" s="6" t="str">
        <f t="shared" si="126"/>
        <v>НБ-2</v>
      </c>
      <c r="AY85" t="str">
        <f t="shared" si="127"/>
        <v/>
      </c>
      <c r="AZ85" t="str">
        <f t="shared" si="128"/>
        <v/>
      </c>
      <c r="BA85" t="str">
        <f t="shared" si="129"/>
        <v/>
      </c>
      <c r="BB85" t="str">
        <f t="shared" si="130"/>
        <v/>
      </c>
      <c r="BC85" t="str">
        <f>IF(U85&lt;&gt;"",U85,IF(AND(B85&lt;&gt;"",B85&lt;&gt;A85,ISNUMBER(_xlfn.XMATCH(B85,Щиты[Щит]))),B85,""))</f>
        <v/>
      </c>
      <c r="BD85" t="str" cm="1">
        <f t="array" ref="BD85">IF(B85="","",IF(BC85&lt;&gt;"","Щит "&amp;BC85,_xlfn.LET(_xlpm.nm,IFERROR(_xlfn.XLOOKUP(AX85,Коды_код,Коды_имя)&amp;"",""),_xlpm.md,IFERROR(N(_xlfn.XLOOKUP(AX85,Коды_код,Коды_режим)),1),_xlpm.ex,IF(Имя_режим="по экспликации",IFERROR(_xlfn.XLOOKUP(AZ85&amp;"|"&amp;BB85,Экспликация[Этаж]&amp;"|"&amp;Экспликация[Помещение],Экспликация[Название])&amp;"",""),""),_xlpm.rm,IF(BB85="","",IF(_xlpm.ex&lt;&gt;"",". "&amp;_xlpm.ex&amp;IF(Имя_пом="нет"," ("&amp;BB85&amp;")"," (пом. "&amp;BB85&amp;")"),IF(Имя_пом="нет"," ",", пом. ")&amp;BB85)),IF(_xlpm.nm="","",IF(_xlpm.md=2,_xlpm.nm&amp;" шлейф "&amp;AZ85,_xlpm.nm&amp;_xlpm.rm)))))</f>
        <v/>
      </c>
      <c r="BE85" t="str">
        <f t="shared" si="131"/>
        <v>Внешний блок кондиционирования Пом. Венткиосок</v>
      </c>
      <c r="BF85">
        <f>IFERROR(_xlfn.XMATCH(A85,Щиты[Щит]),0)</f>
        <v>4</v>
      </c>
      <c r="BG85">
        <f>_xlfn.LET(_xlpm.k,IFERROR(_xlfn.XLOOKUP(A85,Щиты[Щит],Щиты[Листов под вводной узел]),""),IF(_xlpm.k="",1,N(_xlpm.k))*Столбцов_на_лист)</f>
        <v>17</v>
      </c>
      <c r="BH85">
        <f t="shared" si="132"/>
        <v>63</v>
      </c>
      <c r="BI85" t="str">
        <f t="shared" si="133"/>
        <v>линии</v>
      </c>
      <c r="BJ85" s="6">
        <f>IFERROR(N(_xlfn.XLOOKUP(AX85,Коды_код,Коды_квт)),0)</f>
        <v>0</v>
      </c>
      <c r="BK85">
        <f t="shared" si="134"/>
        <v>0</v>
      </c>
      <c r="BL85" t="str">
        <f>IF(B85="","",IF(BC85&lt;&gt;"",IFERROR(_xlfn.XLOOKUP(BC85,Щиты[Щит],Щиты[Руст, кВт]),0),IF(BK85=1,IFERROR(_xlfn.XLOOKUP(A85,Щиты[Щит],Щиты[Руст, кВт]),0),IF(BJ85&gt;0,ROUND(BJ85*MAX(1,N(D85)),3),""))))</f>
        <v/>
      </c>
      <c r="BM85">
        <f t="shared" si="135"/>
        <v>27.79</v>
      </c>
      <c r="BN85" s="6">
        <f>IF(B85="","",IF(BC85&lt;&gt;"",IFERROR(_xlfn.XLOOKUP(BC85,Щиты[Щит],Щиты[Руст, кВт]),0),N(BM85)))</f>
        <v>27.79</v>
      </c>
      <c r="BO85" t="str">
        <f>IF(B85="","",IFERROR(IF(VLOOKUP(AX85,Потребители_обозначение,8,FALSE)=0,"",VLOOKUP(AX85,Потребители_обозначение,8,FALSE)),""))</f>
        <v/>
      </c>
      <c r="BP85">
        <f t="shared" si="136"/>
        <v>400</v>
      </c>
      <c r="BQ85">
        <f>IF(B85="","",IF(BC85&lt;&gt;"",3,IFERROR(IF(N(VLOOKUP(AX85,Потребители_обозначение,9,FALSE))=0,1,VLOOKUP(AX85,Потребители_обозначение,9,FALSE)),1)))</f>
        <v>1</v>
      </c>
      <c r="BR85">
        <f t="shared" si="137"/>
        <v>3</v>
      </c>
      <c r="BS85" t="str">
        <f>IF(B85="","",_xlfn.LET(_xlpm.bc,IFERROR(IF(VLOOKUP(AX85,Потребители_обозначение,6,FALSE)=0,"",VLOOKUP(AX85,Потребители_обозначение,6,FALSE)&amp;""),""),IF(AND(FK85="да",OR(_xlpm.bc="",_xlpm.bc="мс")),Марка_пож,IF(AND(_xlpm.bc="",BC85&lt;&gt;""),"мс",_xlpm.bc))))</f>
        <v/>
      </c>
      <c r="BT85" t="str">
        <f t="shared" si="138"/>
        <v>мс</v>
      </c>
      <c r="BU85">
        <f>IF(B85="","",_xlfn.LET(_xlpm.cc,IFERROR(N(VLOOKUP(AX85,Потребители_обозначение,7,FALSE)),0),IF(_xlpm.cc&gt;0,_xlpm.cc,IF(BT85="","",IF(N(BR85)=3,5,3)))))</f>
        <v>5</v>
      </c>
      <c r="BV85">
        <f t="shared" si="139"/>
        <v>5</v>
      </c>
      <c r="BW85">
        <f>IFERROR(N(VLOOKUP(AX85,Потребители_обозначение,10,FALSE)),0)</f>
        <v>0</v>
      </c>
      <c r="BX85">
        <f>IFERROR(VLOOKUP(AX85,Потребители_обозначение,5,FALSE),0)</f>
        <v>0</v>
      </c>
      <c r="BY85" s="6" cm="1">
        <f t="array" ref="BY85">IF(B85="","",IF(BC85&lt;&gt;"",IFERROR(_xlfn.XLOOKUP(BC85,Щиты[Щит],Щиты[cos φ]),0.95),IF(BK85=1,IFERROR(_xlfn.XLOOKUP(A85,Щиты[Щит],Щиты[cos φ]),0.95),IF(ISNUMBER(Z85),Z85,IFERROR(IF(BX85=2,_xlfn.IFS(BR85=3,VLOOKUP(BN85,Справочная_двигатели,8,FALSE),BR85=1,VLOOKUP(BN85,Справочная_двигатели,10,TRUE)),IF(AND(Методика="нормы 2026",EQ85="Сил"),0.8,0.95)),0.95)))))</f>
        <v>0.8</v>
      </c>
      <c r="BZ85">
        <f t="shared" si="140"/>
        <v>0</v>
      </c>
      <c r="CA85">
        <f t="shared" si="141"/>
        <v>1</v>
      </c>
      <c r="CB85">
        <f t="shared" si="142"/>
        <v>0</v>
      </c>
      <c r="CC85">
        <f t="shared" si="143"/>
        <v>0</v>
      </c>
      <c r="CD85">
        <f t="shared" si="144"/>
        <v>0</v>
      </c>
      <c r="CE85">
        <f t="shared" si="145"/>
        <v>0</v>
      </c>
      <c r="CF85">
        <f t="shared" si="146"/>
        <v>0</v>
      </c>
      <c r="CG85">
        <f>IF(AX85="",0,_xlfn.LET(_xlpm.v,IFERROR(VLOOKUP(B85,УГО_спр,3,FALSE),IFERROR(VLOOKUP(AX85,УГО_спр,3,FALSE),IFERROR(VLOOKUP(LEFT(AX85,2),УГО_спр,3,FALSE),""))),IF(_xlpm.v="да",30,IF(ISNUMBER(_xlpm.v),_xlpm.v,0))))</f>
        <v>0</v>
      </c>
      <c r="CH85" t="str">
        <f t="shared" si="147"/>
        <v/>
      </c>
      <c r="CI85" t="str">
        <f>_xlfn.LET(_xlpm.k,IFERROR(_xlfn.XLOOKUP(AX85,Коды_код,Коды_утечка)&amp;"",""),IF(_xlpm.k="","дифавтомат",_xlpm.k))</f>
        <v>дифавтомат</v>
      </c>
      <c r="CJ85">
        <f t="shared" si="148"/>
        <v>0</v>
      </c>
      <c r="CK85">
        <f t="shared" si="149"/>
        <v>0</v>
      </c>
      <c r="CL85">
        <f>IF(B85="",0,IFERROR(--VLOOKUP(B85,УГО_спр,4,FALSE),IFERROR(--VLOOKUP(AX85,УГО_спр,4,FALSE),IFERROR(--VLOOKUP(LEFT(AX85,2),УГО_спр,4,FALSE),0))))</f>
        <v>0</v>
      </c>
      <c r="CM85" t="str">
        <f>IF(B85="","",IFERROR(_xlfn.XLOOKUP(AX85,Коды_код,Коды_апп)&amp;"",""))</f>
        <v/>
      </c>
      <c r="CN85" t="str">
        <f t="shared" si="150"/>
        <v/>
      </c>
      <c r="CO85" t="str" cm="1">
        <f t="array" ref="CO85">IF(TRIM(CN85&amp;"")="","",IFERROR(TRIM(INDEX(_xlfn.TEXTSPLIT(CN85&amp;";;;",";"),1)),""))</f>
        <v/>
      </c>
      <c r="CP85" t="str" cm="1">
        <f t="array" ref="CP85">IF(TRIM(CN85&amp;"")="","",IFERROR(TRIM(INDEX(_xlfn.TEXTSPLIT(CN85&amp;";;;",";"),2)),""))</f>
        <v/>
      </c>
      <c r="CQ85" t="str" cm="1">
        <f t="array" ref="CQ85">IF(TRIM(CN85&amp;"")="","",IFERROR(TRIM(INDEX(_xlfn.TEXTSPLIT(CN85&amp;";;;",";"),3)),""))</f>
        <v/>
      </c>
      <c r="CR85">
        <f t="shared" si="151"/>
        <v>0</v>
      </c>
      <c r="CS85" t="str">
        <f>IF(B85="","",_xlfn.LET(_xlpm.t,LOWER(AV85&amp;""),IF(ISNUMBER(SEARCH("dim",_xlpm.t)),"DIM",IF(ISNUMBER(SEARCH("dali",_xlpm.t)),"DALI",IF(OR(ISNUMBER(SEARCH("relay",_xlpm.t)),ISNUMBER(SEARCH("реле",_xlpm.t))),"Relay",IF(ISNUMBER(SEARCH("кнопк",_xlpm.t)),"",IFERROR(_xlfn.XLOOKUP(AX85,Коды_код,Коды_упр)&amp;"","")))))))</f>
        <v/>
      </c>
      <c r="CT85" t="str">
        <f t="shared" si="152"/>
        <v/>
      </c>
      <c r="CU85">
        <f>IF(B85="","",_xlfn.LET(_xlpm.ig,N(P85)+IF(AF85="вручную",0,N(CB85)),_xlpm.n0,IFERROR(VLOOKUP(_xlpm.ig,Автомат_номиналы,2,TRUE),0),_xlpm.mn,MAX(CL85,IF(AF85="вручную",0,N(CE85))),MAX(_xlpm.n0,_xlpm.mn,IF(CR85=1,Мин_автомат_БП,0))))</f>
        <v>63</v>
      </c>
      <c r="CV85">
        <f t="shared" si="153"/>
        <v>3</v>
      </c>
      <c r="CW85" t="str">
        <f t="shared" si="154"/>
        <v>3P</v>
      </c>
      <c r="CX85" t="str">
        <f>_xlfn.LET(_xlpm.cc,UPPER(TRIM(IFERROR(_xlfn.XLOOKUP(AX85,Коды_код,Коды_хар)&amp;"",""))),IF(OR(_xlpm.cc="B",_xlpm.cc="В"),"B",IF(_xlpm.cc="D","D","С")))</f>
        <v>С</v>
      </c>
      <c r="CY85" t="str">
        <f t="shared" si="155"/>
        <v>3P С63А</v>
      </c>
      <c r="CZ85">
        <f t="shared" si="156"/>
        <v>63</v>
      </c>
      <c r="DA85" t="str">
        <f t="shared" si="157"/>
        <v>3P С63А</v>
      </c>
      <c r="DB85" cm="1">
        <f t="array" ref="DB85">IF(DA85="","",_xlfn.LET(_xlpm.t,SUBSTITUTE(SUBSTITUTE(SUBSTITUTE(UPPER(DA85),"С","C"),"А","A"),"В","B"),_xlpm.tk,_xlfn.TEXTSPLIT(_xlpm.t,"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5" t="str">
        <f t="shared" si="158"/>
        <v>ok</v>
      </c>
      <c r="DD85">
        <f t="shared" si="159"/>
        <v>63</v>
      </c>
      <c r="DE85" t="str">
        <f t="shared" si="160"/>
        <v>3P С63А</v>
      </c>
      <c r="DF85">
        <f t="shared" si="161"/>
        <v>0</v>
      </c>
      <c r="DG85">
        <f t="shared" si="162"/>
        <v>0</v>
      </c>
      <c r="DH85">
        <f t="shared" si="163"/>
        <v>0</v>
      </c>
      <c r="DI85">
        <f t="shared" si="164"/>
        <v>50.139262439936559</v>
      </c>
      <c r="DJ85">
        <f t="shared" si="165"/>
        <v>0.92</v>
      </c>
      <c r="DK85">
        <f>IF(ISNUMBER(AL85),AL85,К_прокл)</f>
        <v>1</v>
      </c>
      <c r="DL85">
        <f t="shared" si="166"/>
        <v>3</v>
      </c>
      <c r="DM85">
        <f>IFERROR(N(VLOOKUP(BT85,Кабель_обозначение,3,FALSE)),1)</f>
        <v>1</v>
      </c>
      <c r="DN85">
        <f>IFERROR(N(_xlfn.XLOOKUP(A85,Щиты[Щит],Щиты[ΔU до шин, %])),0)</f>
        <v>0.64</v>
      </c>
      <c r="DO85" t="str">
        <f>IFERROR(_xlfn.XLOOKUP(A85,Щиты[Щит],Щиты[Zпетли на шинах, Ом]),"")</f>
        <v/>
      </c>
      <c r="DP85">
        <f>IFERROR(N(_xlfn.XLOOKUP(A85,Щиты[Щит],Щиты[ΔU до шин (подбор), %])),0)</f>
        <v>0.75</v>
      </c>
      <c r="DQ85" t="str">
        <f>IFERROR(_xlfn.XLOOKUP(A85,Щиты[Щит],Щиты[Zпетли на шинах (подбор), Ом]),"")</f>
        <v/>
      </c>
      <c r="DR85" t="str">
        <f t="shared" si="167"/>
        <v/>
      </c>
      <c r="DS85">
        <f t="shared" si="168"/>
        <v>44</v>
      </c>
      <c r="DT85">
        <f t="shared" si="169"/>
        <v>1</v>
      </c>
      <c r="DU85">
        <f t="shared" si="170"/>
        <v>0.6</v>
      </c>
      <c r="DV85" s="6">
        <f>IF(B85="","",IF(IFERROR(VLOOKUP(AX85,УГО_спр,2,FALSE),"")="Светильник",3,4)+IF(Методика="нормы 2026",MIN(0.5,MAX(0,N(Q85)-100)*0.005),0))</f>
        <v>4</v>
      </c>
      <c r="DW85" cm="1">
        <f t="array" ref="DW85">IF(OR(B85="",BT85="",DM85&lt;&gt;1),"",_xlfn.LET(_xlpm.sz,Iдоп_S,_xlpm.t_,CHOOSE(DL85,Iдоп_1ж,Iдоп_2ж,Iдоп_3ж)*DJ85*DK85,_xlpm.inn,N(DD85),_xlpm.smin,MAX(1.5,BW85),_xlpm.L_,N(Q85)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85)*(_xlpm.rho*_xlpm.L_/_xlpm.sz*N(BY85)+_xlpm.xx*_xlpm.L_*N(DU85)/1000)*N(P85)/((Uн_лин/SQRT(3))*1000)*100,999),_xlpm.kz,IF(OR(DG85=1,NOT(ISNUMBER(DQ85)),_xlpm.L_=0,_xlpm.inn=0),1,IFERROR(--(c_min*(Uн_лин*1000/SQRT(3))/(DQ85+2*ρкз_Cu*_xlpm.L_/_xlpm.sz)&gt;=GY85*_xlpm.inn),0)),_xlpm.ok,IFERROR((_xlpm.sz&gt;=_xlpm.smin)*(_xlpm.t_&gt;=_xlpm.inn)*IF(_xlpm.L_&gt;0,(_xlpm.du_+DP85&lt;=DV85+0.00001),1)*_xlpm.kz,0),_xlpm.r_,_xlfn._xlws.FILTER(_xlpm.sz,_xlpm.ok,"не подобрано"),INDEX(_xlpm.r_,1)))</f>
        <v>16</v>
      </c>
      <c r="DX85">
        <f t="shared" si="171"/>
        <v>25</v>
      </c>
      <c r="DY85" cm="1">
        <f t="array" ref="DY85">IF(OR(B85="",BT85="",DM85&lt;&gt;1),"",_xlfn.LET(_xlpm.sz,Iдоп_S,_xlpm.t_,CHOOSE(DL85,Iдоп_1ж,Iдоп_2ж,Iдоп_3ж)*DJ85*DK85,_xlpm.ok,IFERROR((_xlpm.sz&gt;=MAX(1.5,BW85))*(_xlpm.t_&gt;=N(DD85)),0),_xlpm.r_,_xlfn._xlws.FILTER(_xlpm.sz,_xlpm.ok,""),INDEX(_xlpm.r_,1)))</f>
        <v>16</v>
      </c>
      <c r="DZ85" s="6" cm="1">
        <f t="array" ref="DZ85">IFERROR(ROUNDUP(N(DT85)*(_xlfn.XLOOKUP(DY85,INDEX(Кабель_сопротивление,0,1),INDEX(Кабель_сопротивление,0,3))*N(Q85)/DY85*N(BY85)+_xlfn.XLOOKUP(DY85,INDEX(Кабель_сопротивление,0,1),INDEX(Кабель_сопротивление,0,2))*N(Q85)*N(DU85)/1000)*N(P85)/((Uн_лин/SQRT(3))*1000)*100,2),"")</f>
        <v>1.1200000000000001</v>
      </c>
      <c r="EA85">
        <f>IFERROR(2*ρкз_Cu*N(Q85)/DY85,"")</f>
        <v>0.14465</v>
      </c>
      <c r="EB85">
        <f>IFERROR(VLOOKUP(DX85,Кабель_сопротивление,3,FALSE),"")</f>
        <v>2.2499999999999999E-2</v>
      </c>
      <c r="EC85">
        <f>IFERROR(VLOOKUP(DX85,Кабель_сопротивление,2,FALSE),"")</f>
        <v>6.6199999999999995E-2</v>
      </c>
      <c r="ED85">
        <f t="shared" si="172"/>
        <v>40</v>
      </c>
      <c r="EE85">
        <f t="shared" si="173"/>
        <v>0</v>
      </c>
      <c r="EF85">
        <f t="shared" si="174"/>
        <v>1.6760392202782186</v>
      </c>
      <c r="EG85" s="6">
        <f>IFERROR(ROUNDUP(EF85/((Uн_лин/SQRT(3))*1000)*100,2),"")</f>
        <v>0.73</v>
      </c>
      <c r="EH85" t="str">
        <f>IFERROR(VLOOKUP(BT85,Кабель_обозначение,2,FALSE),"")</f>
        <v>ВВГнг(А)-LS</v>
      </c>
      <c r="EI85" t="str">
        <f t="shared" si="175"/>
        <v>ВВГнг(А)-LS (5х25)</v>
      </c>
      <c r="EJ85" t="str">
        <f t="shared" si="176"/>
        <v>ВВГнг(А)-LS (5х25)
L=44-0,73%</v>
      </c>
      <c r="EK85">
        <f>IFERROR(2*ρкз_Cu*Q85/DX85,"")</f>
        <v>9.2576000000000006E-2</v>
      </c>
      <c r="EL85">
        <f t="shared" si="177"/>
        <v>3.0800000000000001E-2</v>
      </c>
      <c r="EM85" s="6" t="str">
        <f>IFERROR(IF(OR(B85="",NOT(ISNUMBER(DX85)),N(Q85)=0),"",_xlfn.XLOOKUP(A85,Щиты[Щит],Щиты[Zпетли на шинах, Ом])+EK85),"")</f>
        <v/>
      </c>
      <c r="EN85" s="6" t="str">
        <f>IF(ISNUMBER(EM85),c_min*(Uн_лин*1000/SQRT(3))/EM85,"")</f>
        <v/>
      </c>
      <c r="EO85" s="6" t="str">
        <f>IFERROR(IF(OR(B85="",NOT(ISNUMBER(DX85))),"",1.05*(Uн_лин*1000/SQRT(3))/(_xlfn.XLOOKUP(A85,Щиты[Щит],Щиты[Zmax на шинах, Ом])+EL85)/1000),"")</f>
        <v/>
      </c>
      <c r="EP85" s="6" t="str">
        <f>IF(B85="","",IF(ISNUMBER(Y85),"Сил",IF(IFERROR(_xlfn.XLOOKUP(AX85,Коды_код,Коды_группа)&amp;"","")="","Быт",_xlfn.XLOOKUP(AX85,Коды_код,Коды_группа)&amp;"")))</f>
        <v>Сил</v>
      </c>
      <c r="EQ85" s="6" t="str">
        <f t="shared" si="178"/>
        <v>Сил</v>
      </c>
      <c r="ER85" s="6">
        <f>IF(EQ85="Щит","щит",IF(EQ85="","",IF(EQ85="Быт",IFERROR(_xlfn.XLOOKUP(A85,Щиты[Щит],Щиты[Кс быт]),1),IF(EQ85="Сил",IF(ISNUMBER(Y85),Y85,IF(Методика="нормы 2026",IFERROR(_xlfn.XLOOKUP(A85,Щиты[Щит],Щиты[Кс силовых (табл. 7.5)]),1),1)),IF(OR(EQ85="Пост",EQ85="Отоп"),1,IF(EQ85="ВНГ",0.7,0))))))</f>
        <v>0.5</v>
      </c>
      <c r="ES85">
        <f t="shared" si="179"/>
        <v>1</v>
      </c>
      <c r="ET85">
        <f t="shared" si="180"/>
        <v>27.79</v>
      </c>
      <c r="EU85">
        <f t="shared" si="181"/>
        <v>0</v>
      </c>
      <c r="EV85">
        <f t="shared" si="182"/>
        <v>13.895</v>
      </c>
      <c r="EW85">
        <f t="shared" si="183"/>
        <v>0</v>
      </c>
      <c r="EX85">
        <f t="shared" si="184"/>
        <v>0</v>
      </c>
      <c r="EY85">
        <f t="shared" si="185"/>
        <v>0</v>
      </c>
      <c r="EZ85">
        <f t="shared" si="186"/>
        <v>27.79</v>
      </c>
      <c r="FA85">
        <f t="shared" si="187"/>
        <v>22.231999999999999</v>
      </c>
      <c r="FB85">
        <f t="shared" si="188"/>
        <v>27.79</v>
      </c>
      <c r="FC85" t="str">
        <f t="shared" si="189"/>
        <v/>
      </c>
      <c r="FD85" t="str">
        <f>IF(B85="","",IF(CA85=0,IF(AW85=1,"",FF84),IF(OR(N(CV85)&gt;=3,N(BR85)&gt;=3),"L1,L2,L3",IFERROR(_xlfn.TEXTBEFORE(_xlfn.TEXTAFTER(_xlfn.XLOOKUP(A85,Щиты[Щит],Щиты[_фазы авто]),";"&amp;AW85&amp;":"),";"),"L1"))))</f>
        <v>L1,L2,L3</v>
      </c>
      <c r="FE85" t="str">
        <f t="shared" si="190"/>
        <v>L1,L2,L3</v>
      </c>
      <c r="FF85" t="str">
        <f t="shared" si="191"/>
        <v>L1,L2,L3</v>
      </c>
      <c r="FG85" cm="1">
        <f t="array" ref="FG85">IFERROR(IF(BX85=2,_xlfn.IFS(BR85=3,VLOOKUP(BN85,Справочная_двигатели,3,FALSE),BR85=1,VLOOKUP(BN85,Справочная_двигатели,5,TRUE)),0),0)</f>
        <v>0</v>
      </c>
      <c r="FH85">
        <f>IFERROR(IF(BX85=3,VLOOKUP(BN85,Справочная_ЛЭД,2,TRUE),0),0)</f>
        <v>0</v>
      </c>
      <c r="FI85" s="6">
        <f t="shared" si="192"/>
        <v>0</v>
      </c>
      <c r="FJ85" t="str" cm="1">
        <f t="array" ref="FJ85">IF(B85="","",IFERROR(INDEX({"I особая","I","II","III"},MATCH(TRIM(AC85&amp;""),{"I особая","I","II","III"},0)),"III"))</f>
        <v>II</v>
      </c>
      <c r="FK85" t="str">
        <f>IF(B85="","",IF(TRIM(AD85&amp;"")&lt;&gt;"",IF(LOWER(TRIM(AD85&amp;""))="да","да","нет"),IF(IFERROR(_xlfn.XLOOKUP(AX85,Коды_код,Коды_пожарная),"")="да","да","нет")))</f>
        <v>нет</v>
      </c>
      <c r="FL85" t="str">
        <f t="shared" si="193"/>
        <v/>
      </c>
      <c r="FM85" t="str">
        <f t="shared" si="194"/>
        <v>основная</v>
      </c>
      <c r="FN85">
        <f t="shared" si="195"/>
        <v>1</v>
      </c>
      <c r="FO85" t="str" cm="1">
        <f t="array" ref="FO85">IF(B85="","",_xlfn.LET(_xlpm.t,IFERROR(_xlfn.XLOOKUP(1,(Шины[Шина]=FM85)*(((Шины[Щит]=A85)+(Шины[Щит]=""))&gt;0),Шины[Тип]),"")&amp;"",IF(_xlpm.t&lt;&gt;"",_xlpm.t,IF(ISNUMBER(SEARCH("ИБП",FM85)),"ИБП",IF(ISNUMBER(SEARCH("ДГУ",FM85)),"ДГУ","Ввод "&amp;FN85)))))</f>
        <v>Ввод 1</v>
      </c>
      <c r="FP85" t="str">
        <f t="shared" si="196"/>
        <v>Ввод 1</v>
      </c>
      <c r="FQ85" t="str">
        <f>IF(B85="","",IF(OR(FO85="ИБП",FO85="ДГУ"),"I особая",IF(FO85="Одиночная","III",_xlfn.XLOOKUP(A85,Щиты[Щит],Щиты[Категория шины «Ввод»],"III"))))</f>
        <v>II</v>
      </c>
      <c r="FR85">
        <f>IF(B85="",0,IFERROR(MATCH(FJ85,{"III","II","I","I особая"},0),1))</f>
        <v>2</v>
      </c>
      <c r="FS85">
        <f t="shared" si="197"/>
        <v>2</v>
      </c>
      <c r="FT85" t="str">
        <f>IF(B85="","",IF(FR85&gt;IFERROR(MATCH(FQ85,{"III","II","I","I особая"},0),1),"НЕ ОБЕСПЕЧЕНА","ОК"))</f>
        <v>ОК</v>
      </c>
      <c r="FU85" t="str">
        <f>IF(A85="","",_xlfn.XLOOKUP(A85,Щиты[Щит],Щиты[Путь],""))</f>
        <v>|ГРЩ-ЖД|ЩОВ-001|</v>
      </c>
      <c r="FV85" t="str">
        <f>IF(B85="","",IF(AE85&lt;&gt;"",AE85,IF(IFERROR(_xlfn.XLOOKUP(AX85,Коды_код,Коды_вид)&amp;"","")="","Прочее",_xlfn.XLOOKUP(AX85,Коды_код,Коды_вид)&amp;"")))</f>
        <v>Кондиционирование и увлажнение</v>
      </c>
      <c r="FW85">
        <f>IF(BH85="","",INT((BH85-1)/Столбцов_на_лист)+1)</f>
        <v>4</v>
      </c>
      <c r="FX85" t="str">
        <f t="shared" si="198"/>
        <v>ВВГнг(А)-LS (5х25) L=44-0,73%</v>
      </c>
      <c r="FY85">
        <f t="shared" si="199"/>
        <v>27.79</v>
      </c>
      <c r="FZ85">
        <f t="shared" si="200"/>
        <v>50.14</v>
      </c>
      <c r="GA85">
        <f t="shared" si="201"/>
        <v>3</v>
      </c>
      <c r="GB85">
        <f t="shared" si="202"/>
        <v>0</v>
      </c>
      <c r="GC85">
        <f t="shared" si="203"/>
        <v>1</v>
      </c>
      <c r="GD85">
        <f>IF(BH85="","",IF(AND(CA85=1,GC85=1),COUNTIFS(A$3:A85,A85,CA$3:CA85,1,GC$3:GC85,1),IF(OR(OR(AW85=1,A85&lt;&gt;A84),AF85="вручную",GC85=0),"",IF(AW85=1,"",GE84))))</f>
        <v>32</v>
      </c>
      <c r="GE85">
        <f t="shared" si="204"/>
        <v>32</v>
      </c>
      <c r="GF85">
        <f>IF(B85="","",IFERROR(LOOKUP(INDEX(CHOOSE(DL85,Iдоп_1ж,Iдоп_2ж,Iдоп_3ж),MATCH(DX85,Iдоп_S,0))*DJ85*DK85,{6,10,16,20,25,32,40,50,63,80,100,125,160,200,250,315,400,500,630}),""))</f>
        <v>80</v>
      </c>
      <c r="GG85" t="str">
        <f t="shared" si="205"/>
        <v>QF32</v>
      </c>
      <c r="GH85" t="str">
        <f t="shared" si="206"/>
        <v>QF32</v>
      </c>
      <c r="GI85" t="str">
        <f t="shared" si="207"/>
        <v/>
      </c>
      <c r="GJ85">
        <f t="shared" si="208"/>
        <v>0</v>
      </c>
      <c r="GK85" t="str">
        <f>IF(OR(AG85="",AG85="-"),"",IFERROR(VLOOKUP(AG85,Модули_спр,2,FALSE),"R"))</f>
        <v/>
      </c>
      <c r="GL85" t="str">
        <f>IF(GK85="","",GK85&amp;"."&amp;COUNTIFS(A$3:A85,A85,GK$3:GK85,GK85))</f>
        <v/>
      </c>
      <c r="GM85" t="str">
        <f t="shared" si="209"/>
        <v/>
      </c>
      <c r="GN85" t="str">
        <f t="shared" si="210"/>
        <v/>
      </c>
      <c r="GO85" t="str">
        <f t="shared" si="211"/>
        <v/>
      </c>
      <c r="GP85" t="str">
        <f t="shared" si="212"/>
        <v/>
      </c>
      <c r="GQ85">
        <f t="shared" si="213"/>
        <v>1</v>
      </c>
      <c r="GR85" t="str">
        <f>IF(GQ85=1,"XT"&amp;COUNTIFS(A$3:A85,A85,GQ$3:GQ85,1),"")</f>
        <v>XT32</v>
      </c>
      <c r="GS85" t="str">
        <f t="shared" si="214"/>
        <v>XT32</v>
      </c>
      <c r="GT85" t="str">
        <f t="shared" si="215"/>
        <v>QF32</v>
      </c>
      <c r="GU85" t="str">
        <f t="shared" si="216"/>
        <v/>
      </c>
      <c r="GV85" t="str">
        <f t="shared" si="217"/>
        <v>ok</v>
      </c>
      <c r="GW85" t="str">
        <f>IF(OR(GO85="",GM85=""),"",IF(GO85&gt;IFERROR(VLOOKUP(GN85,Модули_спр,3,FALSE),99),"ЛИШНИЙ КАНАЛ",IF(AND(AH85&lt;&gt;"=",COUNTIFS(Линии[_модуль гр.],GM85,Линии[Канал (итог)],GO85,Линии[Канал],"&lt;&gt;=",Линии[Щит],A85)&gt;1),"ДУБЛЬ КАНАЛА","")))</f>
        <v/>
      </c>
      <c r="GX85" s="6" t="str">
        <f t="shared" si="218"/>
        <v/>
      </c>
      <c r="GY85">
        <f t="shared" si="219"/>
        <v>10</v>
      </c>
      <c r="GZ85" t="str">
        <f t="shared" si="220"/>
        <v/>
      </c>
      <c r="HA85" t="str">
        <f>IF(AND(B85="",GT85=""),"",_xlfn.TEXTJOIN("; ",TRUE,IF(AND(B85&lt;&gt;"",FE85=""),"нет фазы",""),IF(AND(B85&lt;&gt;"",N(FY85)=0,EQ85&lt;&gt;"Нет"),"нет мощности",""),IF(AND(GS85&lt;&gt;"",COUNTIFS(Линии[Щит],A85,Линии[Клемма (итог)],GS85)&gt;1),"дубль клеммы "&amp;GS85,""),IF(AND(GV85&lt;&gt;"",GV85&lt;&gt;"ok"),GV85,""),IF(GW85&lt;&gt;"",GW85,""),IF(AND(N(BV85)&gt;=4,N(BR85)=1),BV85&amp;" жил на 1 фазе",""),IF(AND(AX85="R",CA85=1,OR(N(CK85)=0,N(CK85)&gt;30)),"розетка без дифзащиты до 30 мА",""),IFERROR(IF(AND(ISNUMBER(R85),R85&gt;DV85),"потери "&amp;FIXED(R85,1)&amp;" % &gt; "&amp;DV85&amp;" %",""),""),IFERROR(IF(LEFT(GZ85,4)="мало","Iкз мало — отключение &gt; 0,4 с",""),""),IF(AND(B85&lt;&gt;"",BH85=""),"не на схеме",""),IF(AND(CA85=0,B85&lt;&gt;"",FE85&lt;&gt;"",IF(AW85=1,"",FF84)&lt;&gt;"",FE85&lt;&gt;IF(AW85=1,"",FF84)),"фаза не как у автомата группы ("&amp;IF(AW85=1,"",FF84)&amp;")","")))</f>
        <v/>
      </c>
      <c r="HB85" s="6" t="str">
        <f>IF(OR(CA85=0,DA85=""),"",_xlfn.LET(_xlpm.t,IFERROR(_xlfn.XLOOKUP(DA85,Каталог!$U$4:$U$500,Каталог!$G$4:$G$500),""),_xlpm.k,SEARCH("кА",_xlpm.t),IFERROR(--TRIM(RIGHT(SUBSTITUTE(MID(_xlpm.t,MAX(1,_xlpm.k-4),_xlpm.k-MAX(1,_xlpm.k-4))," ",REPT(" ",9)),5)),"")))</f>
        <v/>
      </c>
      <c r="HC85" t="str">
        <f>IF(OR(HB85="",CA85=0),"",IF(_xlfn.XLOOKUP(A85,Щиты[Щит],Щиты[Iкз max на шинах, кА],"")="","",IF(HB85&lt;_xlfn.XLOOKUP(A85,Щиты[Щит],Щиты[Iкз max на шинах, кА]),"Icu "&amp;HB85&amp;" кА &lt; Iкз max","ok")))</f>
        <v/>
      </c>
      <c r="HD85" t="str">
        <f t="shared" si="221"/>
        <v/>
      </c>
      <c r="HE85" t="str">
        <f t="shared" si="222"/>
        <v>QF32|XT32</v>
      </c>
      <c r="HF85" t="str">
        <f t="shared" si="223"/>
        <v>QF32|XT32|кабель ВВГнг(А)-LS (5х25) → Внешний блок кондиционирования Пом. Венткиосок</v>
      </c>
      <c r="HG85" t="str" cm="1">
        <f t="array" ref="HG85">IF(HF85="","",_xlfn.LET(_xlpm.nd,_xlfn.TEXTSPLIT(HF85,"|"),IF(COLUMNS(_xlpm.nd)&gt;1,A85&amp;"¦"&amp;INDEX(_xlpm.nd,1)&amp;"¦"&amp;INDEX(_xlpm.nd,2),"")))</f>
        <v>ЩОВ-001¦QF32¦XT32</v>
      </c>
      <c r="HH85" t="str">
        <f t="shared" si="224"/>
        <v>НБ-2¦Внешний блок кондиционирования Пом. Венткиосок</v>
      </c>
      <c r="HI85" t="str" cm="1">
        <f t="array" ref="HI85">IF(HF85="","",_xlfn.LET(_xlpm.nd,_xlfn.TEXTSPLIT(HF85,"|"),IF(COLUMNS(_xlpm.nd)&gt;2,A85&amp;"¦"&amp;INDEX(_xlpm.nd,2)&amp;"¦"&amp;INDEX(_xlpm.nd,3),"")))</f>
        <v>ЩОВ-001¦XT32¦кабель ВВГнг(А)-LS (5х25) → Внешний блок кондиционирования Пом. Венткиосок</v>
      </c>
      <c r="HJ85" t="str">
        <f t="shared" si="225"/>
        <v>НБ-2¦Внешний блок кондиционирования Пом. Венткиосок</v>
      </c>
      <c r="HK85" t="str" cm="1">
        <f t="array" ref="HK85">IF(HF85="","",_xlfn.LET(_xlpm.nd,_xlfn.TEXTSPLIT(HF85,"|"),IF(COLUMNS(_xlpm.nd)&gt;3,A85&amp;"¦"&amp;INDEX(_xlpm.nd,3)&amp;"¦"&amp;INDEX(_xlpm.nd,4),"")))</f>
        <v/>
      </c>
      <c r="HL85" t="str">
        <f t="shared" si="226"/>
        <v/>
      </c>
      <c r="HM85" t="str" cm="1">
        <f t="array" ref="HM85">IF(HF85="","",_xlfn.LET(_xlpm.nd,_xlfn.TEXTSPLIT(HF85,"|"),IF(COLUMNS(_xlpm.nd)&gt;4,A85&amp;"¦"&amp;INDEX(_xlpm.nd,4)&amp;"¦"&amp;INDEX(_xlpm.nd,5),"")))</f>
        <v/>
      </c>
      <c r="HN85" t="str">
        <f t="shared" si="227"/>
        <v/>
      </c>
      <c r="HO85" t="str" cm="1">
        <f t="array" ref="HO85">IF(HF85="","",_xlfn.LET(_xlpm.nd,_xlfn.TEXTSPLIT(HF85,"|"),IF(COLUMNS(_xlpm.nd)&gt;5,A85&amp;"¦"&amp;INDEX(_xlpm.nd,5)&amp;"¦"&amp;INDEX(_xlpm.nd,6),"")))</f>
        <v/>
      </c>
      <c r="HP85" t="str">
        <f t="shared" si="228"/>
        <v/>
      </c>
      <c r="HQ85" t="str" cm="1">
        <f t="array" ref="HQ85">IF(HF85="","",_xlfn.LET(_xlpm.nd,_xlfn.TEXTSPLIT(HF85,"|"),IF(COLUMNS(_xlpm.nd)&gt;6,A85&amp;"¦"&amp;INDEX(_xlpm.nd,6)&amp;"¦"&amp;INDEX(_xlpm.nd,7),"")))</f>
        <v/>
      </c>
      <c r="HR85" t="str">
        <f t="shared" si="229"/>
        <v/>
      </c>
      <c r="HS85" t="str">
        <f t="shared" si="230"/>
        <v/>
      </c>
      <c r="HT85" t="str">
        <f t="shared" si="231"/>
        <v>QF32 → XT32</v>
      </c>
      <c r="HU85">
        <f t="shared" si="232"/>
        <v>0</v>
      </c>
      <c r="HV85">
        <f t="shared" si="233"/>
        <v>0</v>
      </c>
      <c r="HW85" t="str">
        <f t="shared" si="234"/>
        <v/>
      </c>
      <c r="HX85" t="str">
        <f t="shared" si="235"/>
        <v/>
      </c>
      <c r="HY85" t="str">
        <f t="shared" si="236"/>
        <v/>
      </c>
      <c r="HZ85" t="str">
        <f t="shared" si="237"/>
        <v/>
      </c>
      <c r="IA85" t="str">
        <f>IF(B85="","",IFERROR(VLOOKUP(B85,УГО_спр,2,FALSE),IFERROR(VLOOKUP(AX85,УГО_спр,2,FALSE),IFERROR(VLOOKUP(LEFT(AX85,2),УГО_спр,2,FALSE),""))))</f>
        <v>Привод (двигатель)</v>
      </c>
      <c r="IB85" t="str">
        <f>IF(B85="","",IF(OR(IA85="",IA85=0),"BOX",IFERROR(IF(VLOOKUP(IA85,УГО_блоки,3,FALSE)&amp;""&lt;&gt;"",VLOOKUP(IA85,УГО_блоки,3,FALSE),VLOOKUP(IA85,УГО_блоки,2,FALSE)),IA85)))</f>
        <v>MOTOR</v>
      </c>
      <c r="IC85">
        <f t="shared" si="238"/>
        <v>1</v>
      </c>
      <c r="ID85" t="str">
        <f>IF(DA85="","",IF(COUNTIF(DA$3:DA85,DA85)=1,MAX(ID$2:ID84)+1,""))</f>
        <v/>
      </c>
      <c r="IE85" t="str">
        <f>IF(CO85="","",IF(COUNTIF(CO$3:CO85,CO85)+COUNTIF(CP$2:CP84,CO85)+COUNTIF(CQ$2:CQ84,CO85)=1,MAX(IE$2:IG84)+1,""))</f>
        <v/>
      </c>
      <c r="IF85" t="str">
        <f>IF(CP85="","",IF(COUNTIF(CO$3:CO85,CP85)+COUNTIF(CP$3:CP85,CP85)+COUNTIF(CQ$2:CQ84,CP85)=1,MAX(IE$2:IG84,IE85)+1,""))</f>
        <v/>
      </c>
      <c r="IG85" t="str">
        <f>IF(CQ85="","",IF(COUNTIF(CO$3:CO85,CQ85)+COUNTIF(CP$3:CP85,CQ85)+COUNTIF(CQ$3:CQ85,CQ85)=1,MAX(IE$2:IG84,IE85,IF85)+1,""))</f>
        <v/>
      </c>
      <c r="IH85" t="str">
        <f t="shared" si="239"/>
        <v>5х25</v>
      </c>
      <c r="II85" t="str">
        <f>IF(IH85="","",IF(COUNTIF(IH$3:IH85,IH85)=1,MAX(II$2:II84)+1,""))</f>
        <v/>
      </c>
      <c r="IJ85" t="str">
        <f>IF(GL85="","",COUNTIF(GL$3:GL85,"?*"))</f>
        <v/>
      </c>
      <c r="IK85" t="str">
        <f>IF(OR(GL85="",GN85=""),"",IF(COUNTIFS(GL$3:GL85,"?*",GN$3:GN85,GN85)=1,MAX(IK$2:IK84)+1,""))</f>
        <v/>
      </c>
      <c r="IL85">
        <f t="shared" si="240"/>
        <v>0</v>
      </c>
      <c r="IM85">
        <f>IF(B85="","",COUNTIF(B$3:B85,"?*"))</f>
        <v>83</v>
      </c>
      <c r="IN85">
        <f>IF(GQ85&lt;&gt;1,0,_xlfn.LET(_xlpm.k,MAX(IFERROR(--VLOOKUP(B85,УГО_спр,5,FALSE),0),IFERROR(--VLOOKUP(AX85,УГО_спр,5,FALSE),0),IFERROR(--VLOOKUP(LEFT(AX85,2),УГО_спр,5,FALSE),0)),IF(_xlpm.k&gt;0,_xlpm.k,IF(IFERROR(--LEFT(SUBSTITUTE(IH85,"x","х"),FIND("х",SUBSTITUTE(IH85,"x","х"))-1),3)&gt;3,Каталог!$S$9,1))))</f>
        <v>1</v>
      </c>
      <c r="IO85">
        <f t="shared" si="241"/>
        <v>2</v>
      </c>
      <c r="IP85" t="str">
        <f t="shared" si="242"/>
        <v>авто</v>
      </c>
      <c r="IQ85" t="str">
        <f t="shared" si="243"/>
        <v/>
      </c>
      <c r="IR85">
        <f t="shared" si="244"/>
        <v>0</v>
      </c>
      <c r="IS85">
        <f t="shared" si="245"/>
        <v>1</v>
      </c>
    </row>
    <row r="86" spans="1:253" x14ac:dyDescent="0.3">
      <c r="A86" t="s">
        <v>749</v>
      </c>
      <c r="B86" t="s">
        <v>1358</v>
      </c>
      <c r="C86" t="s">
        <v>1619</v>
      </c>
      <c r="D86">
        <v>1</v>
      </c>
      <c r="E86">
        <v>10.69</v>
      </c>
      <c r="G86">
        <v>25</v>
      </c>
      <c r="H86" t="str">
        <f>Линии[[#This Row],[_авто утечка]]</f>
        <v/>
      </c>
      <c r="I86" t="str">
        <f>Линии[[#This Row],[_авто управление]]</f>
        <v/>
      </c>
      <c r="J86" t="str">
        <f>Линии[[#This Row],[_авто аппараты]]</f>
        <v/>
      </c>
      <c r="K86">
        <v>6</v>
      </c>
      <c r="L86">
        <v>47</v>
      </c>
      <c r="M86" t="str">
        <f>Линии[[#This Row],[_авто фаза]]</f>
        <v>L1,L2,L3</v>
      </c>
      <c r="N86" t="str">
        <f>Линии[[#This Row],[_авто клемма]]</f>
        <v>XT33</v>
      </c>
      <c r="O86" t="str">
        <f t="shared" si="123"/>
        <v/>
      </c>
      <c r="P86" s="6" cm="1">
        <f t="array" ref="P86">IF(B86="","",IF(BC86&lt;&gt;"",IFERROR(_xlfn.XLOOKUP(BC86,Щиты[Щит],Щиты[Iр, А]),""),IF(BK86=1,IFERROR(_xlfn.XLOOKUP(A86,Щиты[Щит],Щиты[Iр, А]),""),IFERROR(_xlfn.IFS(BR86=1,BN86/((Uн_лин/SQRT(3))*BY86),BR86=3,BN86/(SQRT(3)*Uн_лин*BY86)),""))))</f>
        <v>19.287107430115935</v>
      </c>
      <c r="Q86" s="7">
        <f>IF(B86="","",IFERROR(IF(VLOOKUP(AX86,Потребители_обозначение,4,FALSE)=1,VLOOKUP(AX86,Потребители_обозначение,3,FALSE)*(D86*2-1)+DS86+VLOOKUP(AZ86,Этаж_обозначение,3,FALSE)+VLOOKUP(AZ86,Этаж_обозначение,4,FALSE),VLOOKUP(AX86,Потребители_обозначение,3,FALSE)*(D86*2-1)+DS86),DS86))</f>
        <v>47</v>
      </c>
      <c r="R86" s="6">
        <f t="shared" si="124"/>
        <v>1.8399999999999999</v>
      </c>
      <c r="S86" t="str">
        <f t="shared" si="125"/>
        <v>ВВГнг(А)-LS (5х6)</v>
      </c>
      <c r="T86" t="str">
        <f>IF(BH86="","",IF(BI86="вводной узел","узел ","")&amp;"л."&amp;(INT((BH86-1)/Столбцов_на_лист)+1)&amp;" / "&amp;(MOD(BH86-1,Столбцов_на_лист)+1))</f>
        <v>л.4 / 13</v>
      </c>
      <c r="V86">
        <v>3</v>
      </c>
      <c r="W86">
        <v>400</v>
      </c>
      <c r="X86" t="s">
        <v>600</v>
      </c>
      <c r="Y86">
        <v>0.5</v>
      </c>
      <c r="AC86" t="s">
        <v>815</v>
      </c>
      <c r="AE86" t="s">
        <v>578</v>
      </c>
      <c r="AI86">
        <v>64</v>
      </c>
      <c r="AJ86" t="s">
        <v>11</v>
      </c>
      <c r="AK86">
        <v>5</v>
      </c>
      <c r="AM86">
        <v>0</v>
      </c>
      <c r="AN86">
        <v>43</v>
      </c>
      <c r="AO86">
        <v>0</v>
      </c>
      <c r="AP86">
        <v>1</v>
      </c>
      <c r="AW86" cm="1">
        <f t="array" ref="AW86">ROW()-ROW(Линии[#Headers])</f>
        <v>84</v>
      </c>
      <c r="AX86" s="6" t="str">
        <f t="shared" si="126"/>
        <v>НБ-3</v>
      </c>
      <c r="AY86" t="str">
        <f t="shared" si="127"/>
        <v/>
      </c>
      <c r="AZ86" t="str">
        <f t="shared" si="128"/>
        <v/>
      </c>
      <c r="BA86" t="str">
        <f t="shared" si="129"/>
        <v/>
      </c>
      <c r="BB86" t="str">
        <f t="shared" si="130"/>
        <v/>
      </c>
      <c r="BC86" t="str">
        <f>IF(U86&lt;&gt;"",U86,IF(AND(B86&lt;&gt;"",B86&lt;&gt;A86,ISNUMBER(_xlfn.XMATCH(B86,Щиты[Щит]))),B86,""))</f>
        <v/>
      </c>
      <c r="BD86" t="str" cm="1">
        <f t="array" ref="BD86">IF(B86="","",IF(BC86&lt;&gt;"","Щит "&amp;BC86,_xlfn.LET(_xlpm.nm,IFERROR(_xlfn.XLOOKUP(AX86,Коды_код,Коды_имя)&amp;"",""),_xlpm.md,IFERROR(N(_xlfn.XLOOKUP(AX86,Коды_код,Коды_режим)),1),_xlpm.ex,IF(Имя_режим="по экспликации",IFERROR(_xlfn.XLOOKUP(AZ86&amp;"|"&amp;BB86,Экспликация[Этаж]&amp;"|"&amp;Экспликация[Помещение],Экспликация[Название])&amp;"",""),""),_xlpm.rm,IF(BB86="","",IF(_xlpm.ex&lt;&gt;"",". "&amp;_xlpm.ex&amp;IF(Имя_пом="нет"," ("&amp;BB86&amp;")"," (пом. "&amp;BB86&amp;")"),IF(Имя_пом="нет"," ",", пом. ")&amp;BB86)),IF(_xlpm.nm="","",IF(_xlpm.md=2,_xlpm.nm&amp;" шлейф "&amp;AZ86,_xlpm.nm&amp;_xlpm.rm)))))</f>
        <v/>
      </c>
      <c r="BE86" t="str">
        <f t="shared" si="131"/>
        <v>Внешний блок кондиционирования Пом. Венткиосок</v>
      </c>
      <c r="BF86">
        <f>IFERROR(_xlfn.XMATCH(A86,Щиты[Щит]),0)</f>
        <v>4</v>
      </c>
      <c r="BG86">
        <f>_xlfn.LET(_xlpm.k,IFERROR(_xlfn.XLOOKUP(A86,Щиты[Щит],Щиты[Листов под вводной узел]),""),IF(_xlpm.k="",1,N(_xlpm.k))*Столбцов_на_лист)</f>
        <v>17</v>
      </c>
      <c r="BH86">
        <f t="shared" si="132"/>
        <v>64</v>
      </c>
      <c r="BI86" t="str">
        <f t="shared" si="133"/>
        <v>линии</v>
      </c>
      <c r="BJ86" s="6">
        <f>IFERROR(N(_xlfn.XLOOKUP(AX86,Коды_код,Коды_квт)),0)</f>
        <v>0</v>
      </c>
      <c r="BK86">
        <f t="shared" si="134"/>
        <v>0</v>
      </c>
      <c r="BL86" t="str">
        <f>IF(B86="","",IF(BC86&lt;&gt;"",IFERROR(_xlfn.XLOOKUP(BC86,Щиты[Щит],Щиты[Руст, кВт]),0),IF(BK86=1,IFERROR(_xlfn.XLOOKUP(A86,Щиты[Щит],Щиты[Руст, кВт]),0),IF(BJ86&gt;0,ROUND(BJ86*MAX(1,N(D86)),3),""))))</f>
        <v/>
      </c>
      <c r="BM86">
        <f t="shared" si="135"/>
        <v>10.69</v>
      </c>
      <c r="BN86" s="6">
        <f>IF(B86="","",IF(BC86&lt;&gt;"",IFERROR(_xlfn.XLOOKUP(BC86,Щиты[Щит],Щиты[Руст, кВт]),0),N(BM86)))</f>
        <v>10.69</v>
      </c>
      <c r="BO86" t="str">
        <f>IF(B86="","",IFERROR(IF(VLOOKUP(AX86,Потребители_обозначение,8,FALSE)=0,"",VLOOKUP(AX86,Потребители_обозначение,8,FALSE)),""))</f>
        <v/>
      </c>
      <c r="BP86">
        <f t="shared" si="136"/>
        <v>400</v>
      </c>
      <c r="BQ86">
        <f>IF(B86="","",IF(BC86&lt;&gt;"",3,IFERROR(IF(N(VLOOKUP(AX86,Потребители_обозначение,9,FALSE))=0,1,VLOOKUP(AX86,Потребители_обозначение,9,FALSE)),1)))</f>
        <v>1</v>
      </c>
      <c r="BR86">
        <f t="shared" si="137"/>
        <v>3</v>
      </c>
      <c r="BS86" t="str">
        <f>IF(B86="","",_xlfn.LET(_xlpm.bc,IFERROR(IF(VLOOKUP(AX86,Потребители_обозначение,6,FALSE)=0,"",VLOOKUP(AX86,Потребители_обозначение,6,FALSE)&amp;""),""),IF(AND(FK86="да",OR(_xlpm.bc="",_xlpm.bc="мс")),Марка_пож,IF(AND(_xlpm.bc="",BC86&lt;&gt;""),"мс",_xlpm.bc))))</f>
        <v/>
      </c>
      <c r="BT86" t="str">
        <f t="shared" si="138"/>
        <v>мс</v>
      </c>
      <c r="BU86">
        <f>IF(B86="","",_xlfn.LET(_xlpm.cc,IFERROR(N(VLOOKUP(AX86,Потребители_обозначение,7,FALSE)),0),IF(_xlpm.cc&gt;0,_xlpm.cc,IF(BT86="","",IF(N(BR86)=3,5,3)))))</f>
        <v>5</v>
      </c>
      <c r="BV86">
        <f t="shared" si="139"/>
        <v>5</v>
      </c>
      <c r="BW86">
        <f>IFERROR(N(VLOOKUP(AX86,Потребители_обозначение,10,FALSE)),0)</f>
        <v>0</v>
      </c>
      <c r="BX86">
        <f>IFERROR(VLOOKUP(AX86,Потребители_обозначение,5,FALSE),0)</f>
        <v>0</v>
      </c>
      <c r="BY86" s="6" cm="1">
        <f t="array" ref="BY86">IF(B86="","",IF(BC86&lt;&gt;"",IFERROR(_xlfn.XLOOKUP(BC86,Щиты[Щит],Щиты[cos φ]),0.95),IF(BK86=1,IFERROR(_xlfn.XLOOKUP(A86,Щиты[Щит],Щиты[cos φ]),0.95),IF(ISNUMBER(Z86),Z86,IFERROR(IF(BX86=2,_xlfn.IFS(BR86=3,VLOOKUP(BN86,Справочная_двигатели,8,FALSE),BR86=1,VLOOKUP(BN86,Справочная_двигатели,10,TRUE)),IF(AND(Методика="нормы 2026",EQ86="Сил"),0.8,0.95)),0.95)))))</f>
        <v>0.8</v>
      </c>
      <c r="BZ86">
        <f t="shared" si="140"/>
        <v>0</v>
      </c>
      <c r="CA86">
        <f t="shared" si="141"/>
        <v>1</v>
      </c>
      <c r="CB86">
        <f t="shared" si="142"/>
        <v>0</v>
      </c>
      <c r="CC86">
        <f t="shared" si="143"/>
        <v>0</v>
      </c>
      <c r="CD86">
        <f t="shared" si="144"/>
        <v>0</v>
      </c>
      <c r="CE86">
        <f t="shared" si="145"/>
        <v>0</v>
      </c>
      <c r="CF86">
        <f t="shared" si="146"/>
        <v>0</v>
      </c>
      <c r="CG86">
        <f>IF(AX86="",0,_xlfn.LET(_xlpm.v,IFERROR(VLOOKUP(B86,УГО_спр,3,FALSE),IFERROR(VLOOKUP(AX86,УГО_спр,3,FALSE),IFERROR(VLOOKUP(LEFT(AX86,2),УГО_спр,3,FALSE),""))),IF(_xlpm.v="да",30,IF(ISNUMBER(_xlpm.v),_xlpm.v,0))))</f>
        <v>0</v>
      </c>
      <c r="CH86" t="str">
        <f t="shared" si="147"/>
        <v/>
      </c>
      <c r="CI86" t="str">
        <f>_xlfn.LET(_xlpm.k,IFERROR(_xlfn.XLOOKUP(AX86,Коды_код,Коды_утечка)&amp;"",""),IF(_xlpm.k="","дифавтомат",_xlpm.k))</f>
        <v>дифавтомат</v>
      </c>
      <c r="CJ86">
        <f t="shared" si="148"/>
        <v>0</v>
      </c>
      <c r="CK86">
        <f t="shared" si="149"/>
        <v>0</v>
      </c>
      <c r="CL86">
        <f>IF(B86="",0,IFERROR(--VLOOKUP(B86,УГО_спр,4,FALSE),IFERROR(--VLOOKUP(AX86,УГО_спр,4,FALSE),IFERROR(--VLOOKUP(LEFT(AX86,2),УГО_спр,4,FALSE),0))))</f>
        <v>0</v>
      </c>
      <c r="CM86" t="str">
        <f>IF(B86="","",IFERROR(_xlfn.XLOOKUP(AX86,Коды_код,Коды_апп)&amp;"",""))</f>
        <v/>
      </c>
      <c r="CN86" t="str">
        <f t="shared" si="150"/>
        <v/>
      </c>
      <c r="CO86" t="str" cm="1">
        <f t="array" ref="CO86">IF(TRIM(CN86&amp;"")="","",IFERROR(TRIM(INDEX(_xlfn.TEXTSPLIT(CN86&amp;";;;",";"),1)),""))</f>
        <v/>
      </c>
      <c r="CP86" t="str" cm="1">
        <f t="array" ref="CP86">IF(TRIM(CN86&amp;"")="","",IFERROR(TRIM(INDEX(_xlfn.TEXTSPLIT(CN86&amp;";;;",";"),2)),""))</f>
        <v/>
      </c>
      <c r="CQ86" t="str" cm="1">
        <f t="array" ref="CQ86">IF(TRIM(CN86&amp;"")="","",IFERROR(TRIM(INDEX(_xlfn.TEXTSPLIT(CN86&amp;";;;",";"),3)),""))</f>
        <v/>
      </c>
      <c r="CR86">
        <f t="shared" si="151"/>
        <v>0</v>
      </c>
      <c r="CS86" t="str">
        <f>IF(B86="","",_xlfn.LET(_xlpm.t,LOWER(AV86&amp;""),IF(ISNUMBER(SEARCH("dim",_xlpm.t)),"DIM",IF(ISNUMBER(SEARCH("dali",_xlpm.t)),"DALI",IF(OR(ISNUMBER(SEARCH("relay",_xlpm.t)),ISNUMBER(SEARCH("реле",_xlpm.t))),"Relay",IF(ISNUMBER(SEARCH("кнопк",_xlpm.t)),"",IFERROR(_xlfn.XLOOKUP(AX86,Коды_код,Коды_упр)&amp;"","")))))))</f>
        <v/>
      </c>
      <c r="CT86" t="str">
        <f t="shared" si="152"/>
        <v/>
      </c>
      <c r="CU86">
        <f>IF(B86="","",_xlfn.LET(_xlpm.ig,N(P86)+IF(AF86="вручную",0,N(CB86)),_xlpm.n0,IFERROR(VLOOKUP(_xlpm.ig,Автомат_номиналы,2,TRUE),0),_xlpm.mn,MAX(CL86,IF(AF86="вручную",0,N(CE86))),MAX(_xlpm.n0,_xlpm.mn,IF(CR86=1,Мин_автомат_БП,0))))</f>
        <v>25</v>
      </c>
      <c r="CV86">
        <f t="shared" si="153"/>
        <v>3</v>
      </c>
      <c r="CW86" t="str">
        <f t="shared" si="154"/>
        <v>3P</v>
      </c>
      <c r="CX86" t="str">
        <f>_xlfn.LET(_xlpm.cc,UPPER(TRIM(IFERROR(_xlfn.XLOOKUP(AX86,Коды_код,Коды_хар)&amp;"",""))),IF(OR(_xlpm.cc="B",_xlpm.cc="В"),"B",IF(_xlpm.cc="D","D","С")))</f>
        <v>С</v>
      </c>
      <c r="CY86" t="str">
        <f t="shared" si="155"/>
        <v>3P С25А</v>
      </c>
      <c r="CZ86">
        <f t="shared" si="156"/>
        <v>25</v>
      </c>
      <c r="DA86" t="str">
        <f t="shared" si="157"/>
        <v>3P С25А</v>
      </c>
      <c r="DB86" cm="1">
        <f t="array" ref="DB86">IF(DA86="","",_xlfn.LET(_xlpm.t,SUBSTITUTE(SUBSTITUTE(SUBSTITUTE(UPPER(DA86),"С","C"),"А","A"),"В","B"),_xlpm.tk,_xlfn.TEXTSPLIT(_xlpm.t,"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86" t="str">
        <f t="shared" si="158"/>
        <v>ok</v>
      </c>
      <c r="DD86">
        <f t="shared" si="159"/>
        <v>25</v>
      </c>
      <c r="DE86" t="str">
        <f t="shared" si="160"/>
        <v>3P С25А</v>
      </c>
      <c r="DF86">
        <f t="shared" si="161"/>
        <v>0</v>
      </c>
      <c r="DG86">
        <f t="shared" si="162"/>
        <v>0</v>
      </c>
      <c r="DH86">
        <f t="shared" si="163"/>
        <v>0</v>
      </c>
      <c r="DI86">
        <f t="shared" si="164"/>
        <v>19.287107430115935</v>
      </c>
      <c r="DJ86">
        <f t="shared" si="165"/>
        <v>0.92</v>
      </c>
      <c r="DK86">
        <f>IF(ISNUMBER(AL86),AL86,К_прокл)</f>
        <v>1</v>
      </c>
      <c r="DL86">
        <f t="shared" si="166"/>
        <v>3</v>
      </c>
      <c r="DM86">
        <f>IFERROR(N(VLOOKUP(BT86,Кабель_обозначение,3,FALSE)),1)</f>
        <v>1</v>
      </c>
      <c r="DN86">
        <f>IFERROR(N(_xlfn.XLOOKUP(A86,Щиты[Щит],Щиты[ΔU до шин, %])),0)</f>
        <v>0.64</v>
      </c>
      <c r="DO86" t="str">
        <f>IFERROR(_xlfn.XLOOKUP(A86,Щиты[Щит],Щиты[Zпетли на шинах, Ом]),"")</f>
        <v/>
      </c>
      <c r="DP86">
        <f>IFERROR(N(_xlfn.XLOOKUP(A86,Щиты[Щит],Щиты[ΔU до шин (подбор), %])),0)</f>
        <v>0.75</v>
      </c>
      <c r="DQ86" t="str">
        <f>IFERROR(_xlfn.XLOOKUP(A86,Щиты[Щит],Щиты[Zпетли на шинах (подбор), Ом]),"")</f>
        <v/>
      </c>
      <c r="DR86" t="str">
        <f t="shared" si="167"/>
        <v/>
      </c>
      <c r="DS86">
        <f t="shared" si="168"/>
        <v>47</v>
      </c>
      <c r="DT86">
        <f t="shared" si="169"/>
        <v>1</v>
      </c>
      <c r="DU86">
        <f t="shared" si="170"/>
        <v>0.6</v>
      </c>
      <c r="DV86" s="6">
        <f>IF(B86="","",IF(IFERROR(VLOOKUP(AX86,УГО_спр,2,FALSE),"")="Светильник",3,4)+IF(Методика="нормы 2026",MIN(0.5,MAX(0,N(Q86)-100)*0.005),0))</f>
        <v>4</v>
      </c>
      <c r="DW86" cm="1">
        <f t="array" ref="DW86">IF(OR(B86="",BT86="",DM86&lt;&gt;1),"",_xlfn.LET(_xlpm.sz,Iдоп_S,_xlpm.t_,CHOOSE(DL86,Iдоп_1ж,Iдоп_2ж,Iдоп_3ж)*DJ86*DK86,_xlpm.inn,N(DD86),_xlpm.smin,MAX(1.5,BW86),_xlpm.L_,N(Q86)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86)*(_xlpm.rho*_xlpm.L_/_xlpm.sz*N(BY86)+_xlpm.xx*_xlpm.L_*N(DU86)/1000)*N(P86)/((Uн_лин/SQRT(3))*1000)*100,999),_xlpm.kz,IF(OR(DG86=1,NOT(ISNUMBER(DQ86)),_xlpm.L_=0,_xlpm.inn=0),1,IFERROR(--(c_min*(Uн_лин*1000/SQRT(3))/(DQ86+2*ρкз_Cu*_xlpm.L_/_xlpm.sz)&gt;=GY86*_xlpm.inn),0)),_xlpm.ok,IFERROR((_xlpm.sz&gt;=_xlpm.smin)*(_xlpm.t_&gt;=_xlpm.inn)*IF(_xlpm.L_&gt;0,(_xlpm.du_+DP86&lt;=DV86+0.00001),1)*_xlpm.kz,0),_xlpm.r_,_xlfn._xlws.FILTER(_xlpm.sz,_xlpm.ok,"не подобрано"),INDEX(_xlpm.r_,1)))</f>
        <v>4</v>
      </c>
      <c r="DX86">
        <f t="shared" si="171"/>
        <v>6</v>
      </c>
      <c r="DY86" cm="1">
        <f t="array" ref="DY86">IF(OR(B86="",BT86="",DM86&lt;&gt;1),"",_xlfn.LET(_xlpm.sz,Iдоп_S,_xlpm.t_,CHOOSE(DL86,Iдоп_1ж,Iдоп_2ж,Iдоп_3ж)*DJ86*DK86,_xlpm.ok,IFERROR((_xlpm.sz&gt;=MAX(1.5,BW86))*(_xlpm.t_&gt;=N(DD86)),0),_xlpm.r_,_xlfn._xlws.FILTER(_xlpm.sz,_xlpm.ok,""),INDEX(_xlpm.r_,1)))</f>
        <v>4</v>
      </c>
      <c r="DZ86" s="6" cm="1">
        <f t="array" ref="DZ86">IFERROR(ROUNDUP(N(DT86)*(_xlfn.XLOOKUP(DY86,INDEX(Кабель_сопротивление,0,1),INDEX(Кабель_сопротивление,0,3))*N(Q86)/DY86*N(BY86)+_xlfn.XLOOKUP(DY86,INDEX(Кабель_сопротивление,0,1),INDEX(Кабель_сопротивление,0,2))*N(Q86)*N(DU86)/1000)*N(P86)/((Uн_лин/SQRT(3))*1000)*100,2),"")</f>
        <v>1.79</v>
      </c>
      <c r="EA86">
        <f>IFERROR(2*ρкз_Cu*N(Q86)/DY86,"")</f>
        <v>0.61804999999999999</v>
      </c>
      <c r="EB86">
        <f>IFERROR(VLOOKUP(DX86,Кабель_сопротивление,3,FALSE),"")</f>
        <v>2.2499999999999999E-2</v>
      </c>
      <c r="EC86">
        <f>IFERROR(VLOOKUP(DX86,Кабель_сопротивление,2,FALSE),"")</f>
        <v>0.09</v>
      </c>
      <c r="ED86">
        <f t="shared" si="172"/>
        <v>43</v>
      </c>
      <c r="EE86">
        <f t="shared" si="173"/>
        <v>0</v>
      </c>
      <c r="EF86">
        <f t="shared" si="174"/>
        <v>2.768432826303981</v>
      </c>
      <c r="EG86" s="6">
        <f>IFERROR(ROUNDUP(EF86/((Uн_лин/SQRT(3))*1000)*100,2),"")</f>
        <v>1.2</v>
      </c>
      <c r="EH86" t="str">
        <f>IFERROR(VLOOKUP(BT86,Кабель_обозначение,2,FALSE),"")</f>
        <v>ВВГнг(А)-LS</v>
      </c>
      <c r="EI86" t="str">
        <f t="shared" si="175"/>
        <v>ВВГнг(А)-LS (5х6)</v>
      </c>
      <c r="EJ86" t="str">
        <f t="shared" si="176"/>
        <v>ВВГнг(А)-LS (5х6)
L=47-1,2%</v>
      </c>
      <c r="EK86">
        <f>IFERROR(2*ρкз_Cu*Q86/DX86,"")</f>
        <v>0.41203333333333331</v>
      </c>
      <c r="EL86">
        <f t="shared" si="177"/>
        <v>0.13708333333333336</v>
      </c>
      <c r="EM86" s="6" t="str">
        <f>IFERROR(IF(OR(B86="",NOT(ISNUMBER(DX86)),N(Q86)=0),"",_xlfn.XLOOKUP(A86,Щиты[Щит],Щиты[Zпетли на шинах, Ом])+EK86),"")</f>
        <v/>
      </c>
      <c r="EN86" s="6" t="str">
        <f>IF(ISNUMBER(EM86),c_min*(Uн_лин*1000/SQRT(3))/EM86,"")</f>
        <v/>
      </c>
      <c r="EO86" s="6" t="str">
        <f>IFERROR(IF(OR(B86="",NOT(ISNUMBER(DX86))),"",1.05*(Uн_лин*1000/SQRT(3))/(_xlfn.XLOOKUP(A86,Щиты[Щит],Щиты[Zmax на шинах, Ом])+EL86)/1000),"")</f>
        <v/>
      </c>
      <c r="EP86" s="6" t="str">
        <f>IF(B86="","",IF(ISNUMBER(Y86),"Сил",IF(IFERROR(_xlfn.XLOOKUP(AX86,Коды_код,Коды_группа)&amp;"","")="","Быт",_xlfn.XLOOKUP(AX86,Коды_код,Коды_группа)&amp;"")))</f>
        <v>Сил</v>
      </c>
      <c r="EQ86" s="6" t="str">
        <f t="shared" si="178"/>
        <v>Сил</v>
      </c>
      <c r="ER86" s="6">
        <f>IF(EQ86="Щит","щит",IF(EQ86="","",IF(EQ86="Быт",IFERROR(_xlfn.XLOOKUP(A86,Щиты[Щит],Щиты[Кс быт]),1),IF(EQ86="Сил",IF(ISNUMBER(Y86),Y86,IF(Методика="нормы 2026",IFERROR(_xlfn.XLOOKUP(A86,Щиты[Щит],Щиты[Кс силовых (табл. 7.5)]),1),1)),IF(OR(EQ86="Пост",EQ86="Отоп"),1,IF(EQ86="ВНГ",0.7,0))))))</f>
        <v>0.5</v>
      </c>
      <c r="ES86">
        <f t="shared" si="179"/>
        <v>1</v>
      </c>
      <c r="ET86">
        <f t="shared" si="180"/>
        <v>10.69</v>
      </c>
      <c r="EU86">
        <f t="shared" si="181"/>
        <v>0</v>
      </c>
      <c r="EV86">
        <f t="shared" si="182"/>
        <v>5.3449999999999998</v>
      </c>
      <c r="EW86">
        <f t="shared" si="183"/>
        <v>0</v>
      </c>
      <c r="EX86">
        <f t="shared" si="184"/>
        <v>0</v>
      </c>
      <c r="EY86">
        <f t="shared" si="185"/>
        <v>0</v>
      </c>
      <c r="EZ86">
        <f t="shared" si="186"/>
        <v>10.69</v>
      </c>
      <c r="FA86">
        <f t="shared" si="187"/>
        <v>8.5519999999999996</v>
      </c>
      <c r="FB86">
        <f t="shared" si="188"/>
        <v>10.69</v>
      </c>
      <c r="FC86" t="str">
        <f t="shared" si="189"/>
        <v/>
      </c>
      <c r="FD86" t="str">
        <f>IF(B86="","",IF(CA86=0,IF(AW86=1,"",FF85),IF(OR(N(CV86)&gt;=3,N(BR86)&gt;=3),"L1,L2,L3",IFERROR(_xlfn.TEXTBEFORE(_xlfn.TEXTAFTER(_xlfn.XLOOKUP(A86,Щиты[Щит],Щиты[_фазы авто]),";"&amp;AW86&amp;":"),";"),"L1"))))</f>
        <v>L1,L2,L3</v>
      </c>
      <c r="FE86" t="str">
        <f t="shared" si="190"/>
        <v>L1,L2,L3</v>
      </c>
      <c r="FF86" t="str">
        <f t="shared" si="191"/>
        <v>L1,L2,L3</v>
      </c>
      <c r="FG86" cm="1">
        <f t="array" ref="FG86">IFERROR(IF(BX86=2,_xlfn.IFS(BR86=3,VLOOKUP(BN86,Справочная_двигатели,3,FALSE),BR86=1,VLOOKUP(BN86,Справочная_двигатели,5,TRUE)),0),0)</f>
        <v>0</v>
      </c>
      <c r="FH86">
        <f>IFERROR(IF(BX86=3,VLOOKUP(BN86,Справочная_ЛЭД,2,TRUE),0),0)</f>
        <v>0</v>
      </c>
      <c r="FI86" s="6">
        <f t="shared" si="192"/>
        <v>0</v>
      </c>
      <c r="FJ86" t="str" cm="1">
        <f t="array" ref="FJ86">IF(B86="","",IFERROR(INDEX({"I особая","I","II","III"},MATCH(TRIM(AC86&amp;""),{"I особая","I","II","III"},0)),"III"))</f>
        <v>II</v>
      </c>
      <c r="FK86" t="str">
        <f>IF(B86="","",IF(TRIM(AD86&amp;"")&lt;&gt;"",IF(LOWER(TRIM(AD86&amp;""))="да","да","нет"),IF(IFERROR(_xlfn.XLOOKUP(AX86,Коды_код,Коды_пожарная),"")="да","да","нет")))</f>
        <v>нет</v>
      </c>
      <c r="FL86" t="str">
        <f t="shared" si="193"/>
        <v/>
      </c>
      <c r="FM86" t="str">
        <f t="shared" si="194"/>
        <v>основная</v>
      </c>
      <c r="FN86">
        <f t="shared" si="195"/>
        <v>1</v>
      </c>
      <c r="FO86" t="str" cm="1">
        <f t="array" ref="FO86">IF(B86="","",_xlfn.LET(_xlpm.t,IFERROR(_xlfn.XLOOKUP(1,(Шины[Шина]=FM86)*(((Шины[Щит]=A86)+(Шины[Щит]=""))&gt;0),Шины[Тип]),"")&amp;"",IF(_xlpm.t&lt;&gt;"",_xlpm.t,IF(ISNUMBER(SEARCH("ИБП",FM86)),"ИБП",IF(ISNUMBER(SEARCH("ДГУ",FM86)),"ДГУ","Ввод "&amp;FN86)))))</f>
        <v>Ввод 1</v>
      </c>
      <c r="FP86" t="str">
        <f t="shared" si="196"/>
        <v>Ввод 1</v>
      </c>
      <c r="FQ86" t="str">
        <f>IF(B86="","",IF(OR(FO86="ИБП",FO86="ДГУ"),"I особая",IF(FO86="Одиночная","III",_xlfn.XLOOKUP(A86,Щиты[Щит],Щиты[Категория шины «Ввод»],"III"))))</f>
        <v>II</v>
      </c>
      <c r="FR86">
        <f>IF(B86="",0,IFERROR(MATCH(FJ86,{"III","II","I","I особая"},0),1))</f>
        <v>2</v>
      </c>
      <c r="FS86">
        <f t="shared" si="197"/>
        <v>2</v>
      </c>
      <c r="FT86" t="str">
        <f>IF(B86="","",IF(FR86&gt;IFERROR(MATCH(FQ86,{"III","II","I","I особая"},0),1),"НЕ ОБЕСПЕЧЕНА","ОК"))</f>
        <v>ОК</v>
      </c>
      <c r="FU86" t="str">
        <f>IF(A86="","",_xlfn.XLOOKUP(A86,Щиты[Щит],Щиты[Путь],""))</f>
        <v>|ГРЩ-ЖД|ЩОВ-001|</v>
      </c>
      <c r="FV86" t="str">
        <f>IF(B86="","",IF(AE86&lt;&gt;"",AE86,IF(IFERROR(_xlfn.XLOOKUP(AX86,Коды_код,Коды_вид)&amp;"","")="","Прочее",_xlfn.XLOOKUP(AX86,Коды_код,Коды_вид)&amp;"")))</f>
        <v>Кондиционирование и увлажнение</v>
      </c>
      <c r="FW86">
        <f>IF(BH86="","",INT((BH86-1)/Столбцов_на_лист)+1)</f>
        <v>4</v>
      </c>
      <c r="FX86" t="str">
        <f t="shared" si="198"/>
        <v>ВВГнг(А)-LS (5х6) L=47-1,2%</v>
      </c>
      <c r="FY86">
        <f t="shared" si="199"/>
        <v>10.69</v>
      </c>
      <c r="FZ86">
        <f t="shared" si="200"/>
        <v>19.290000000000003</v>
      </c>
      <c r="GA86">
        <f t="shared" si="201"/>
        <v>3</v>
      </c>
      <c r="GB86">
        <f t="shared" si="202"/>
        <v>0</v>
      </c>
      <c r="GC86">
        <f t="shared" si="203"/>
        <v>1</v>
      </c>
      <c r="GD86">
        <f>IF(BH86="","",IF(AND(CA86=1,GC86=1),COUNTIFS(A$3:A86,A86,CA$3:CA86,1,GC$3:GC86,1),IF(OR(OR(AW86=1,A86&lt;&gt;A85),AF86="вручную",GC86=0),"",IF(AW86=1,"",GE85))))</f>
        <v>33</v>
      </c>
      <c r="GE86">
        <f t="shared" si="204"/>
        <v>33</v>
      </c>
      <c r="GF86">
        <f>IF(B86="","",IFERROR(LOOKUP(INDEX(CHOOSE(DL86,Iдоп_1ж,Iдоп_2ж,Iдоп_3ж),MATCH(DX86,Iдоп_S,0))*DJ86*DK86,{6,10,16,20,25,32,40,50,63,80,100,125,160,200,250,315,400,500,630}),""))</f>
        <v>32</v>
      </c>
      <c r="GG86" t="str">
        <f t="shared" si="205"/>
        <v>QF33</v>
      </c>
      <c r="GH86" t="str">
        <f t="shared" si="206"/>
        <v>QF33</v>
      </c>
      <c r="GI86" t="str">
        <f t="shared" si="207"/>
        <v/>
      </c>
      <c r="GJ86">
        <f t="shared" si="208"/>
        <v>0</v>
      </c>
      <c r="GK86" t="str">
        <f>IF(OR(AG86="",AG86="-"),"",IFERROR(VLOOKUP(AG86,Модули_спр,2,FALSE),"R"))</f>
        <v/>
      </c>
      <c r="GL86" t="str">
        <f>IF(GK86="","",GK86&amp;"."&amp;COUNTIFS(A$3:A86,A86,GK$3:GK86,GK86))</f>
        <v/>
      </c>
      <c r="GM86" t="str">
        <f t="shared" si="209"/>
        <v/>
      </c>
      <c r="GN86" t="str">
        <f t="shared" si="210"/>
        <v/>
      </c>
      <c r="GO86" t="str">
        <f t="shared" si="211"/>
        <v/>
      </c>
      <c r="GP86" t="str">
        <f t="shared" si="212"/>
        <v/>
      </c>
      <c r="GQ86">
        <f t="shared" si="213"/>
        <v>1</v>
      </c>
      <c r="GR86" t="str">
        <f>IF(GQ86=1,"XT"&amp;COUNTIFS(A$3:A86,A86,GQ$3:GQ86,1),"")</f>
        <v>XT33</v>
      </c>
      <c r="GS86" t="str">
        <f t="shared" si="214"/>
        <v>XT33</v>
      </c>
      <c r="GT86" t="str">
        <f t="shared" si="215"/>
        <v>QF33</v>
      </c>
      <c r="GU86" t="str">
        <f t="shared" si="216"/>
        <v/>
      </c>
      <c r="GV86" t="str">
        <f t="shared" si="217"/>
        <v>ok</v>
      </c>
      <c r="GW86" t="str">
        <f>IF(OR(GO86="",GM86=""),"",IF(GO86&gt;IFERROR(VLOOKUP(GN86,Модули_спр,3,FALSE),99),"ЛИШНИЙ КАНАЛ",IF(AND(AH86&lt;&gt;"=",COUNTIFS(Линии[_модуль гр.],GM86,Линии[Канал (итог)],GO86,Линии[Канал],"&lt;&gt;=",Линии[Щит],A86)&gt;1),"ДУБЛЬ КАНАЛА","")))</f>
        <v/>
      </c>
      <c r="GX86" s="6" t="str">
        <f t="shared" si="218"/>
        <v/>
      </c>
      <c r="GY86">
        <f t="shared" si="219"/>
        <v>10</v>
      </c>
      <c r="GZ86" t="str">
        <f t="shared" si="220"/>
        <v/>
      </c>
      <c r="HA86" t="str">
        <f>IF(AND(B86="",GT86=""),"",_xlfn.TEXTJOIN("; ",TRUE,IF(AND(B86&lt;&gt;"",FE86=""),"нет фазы",""),IF(AND(B86&lt;&gt;"",N(FY86)=0,EQ86&lt;&gt;"Нет"),"нет мощности",""),IF(AND(GS86&lt;&gt;"",COUNTIFS(Линии[Щит],A86,Линии[Клемма (итог)],GS86)&gt;1),"дубль клеммы "&amp;GS86,""),IF(AND(GV86&lt;&gt;"",GV86&lt;&gt;"ok"),GV86,""),IF(GW86&lt;&gt;"",GW86,""),IF(AND(N(BV86)&gt;=4,N(BR86)=1),BV86&amp;" жил на 1 фазе",""),IF(AND(AX86="R",CA86=1,OR(N(CK86)=0,N(CK86)&gt;30)),"розетка без дифзащиты до 30 мА",""),IFERROR(IF(AND(ISNUMBER(R86),R86&gt;DV86),"потери "&amp;FIXED(R86,1)&amp;" % &gt; "&amp;DV86&amp;" %",""),""),IFERROR(IF(LEFT(GZ86,4)="мало","Iкз мало — отключение &gt; 0,4 с",""),""),IF(AND(B86&lt;&gt;"",BH86=""),"не на схеме",""),IF(AND(CA86=0,B86&lt;&gt;"",FE86&lt;&gt;"",IF(AW86=1,"",FF85)&lt;&gt;"",FE86&lt;&gt;IF(AW86=1,"",FF85)),"фаза не как у автомата группы ("&amp;IF(AW86=1,"",FF85)&amp;")","")))</f>
        <v/>
      </c>
      <c r="HB86" s="6" t="str">
        <f>IF(OR(CA86=0,DA86=""),"",_xlfn.LET(_xlpm.t,IFERROR(_xlfn.XLOOKUP(DA86,Каталог!$U$4:$U$500,Каталог!$G$4:$G$500),""),_xlpm.k,SEARCH("кА",_xlpm.t),IFERROR(--TRIM(RIGHT(SUBSTITUTE(MID(_xlpm.t,MAX(1,_xlpm.k-4),_xlpm.k-MAX(1,_xlpm.k-4))," ",REPT(" ",9)),5)),"")))</f>
        <v/>
      </c>
      <c r="HC86" t="str">
        <f>IF(OR(HB86="",CA86=0),"",IF(_xlfn.XLOOKUP(A86,Щиты[Щит],Щиты[Iкз max на шинах, кА],"")="","",IF(HB86&lt;_xlfn.XLOOKUP(A86,Щиты[Щит],Щиты[Iкз max на шинах, кА]),"Icu "&amp;HB86&amp;" кА &lt; Iкз max","ok")))</f>
        <v/>
      </c>
      <c r="HD86" t="str">
        <f t="shared" si="221"/>
        <v/>
      </c>
      <c r="HE86" t="str">
        <f t="shared" si="222"/>
        <v>QF33|XT33</v>
      </c>
      <c r="HF86" t="str">
        <f t="shared" si="223"/>
        <v>QF33|XT33|кабель ВВГнг(А)-LS (5х6) → Внешний блок кондиционирования Пом. Венткиосок</v>
      </c>
      <c r="HG86" t="str" cm="1">
        <f t="array" ref="HG86">IF(HF86="","",_xlfn.LET(_xlpm.nd,_xlfn.TEXTSPLIT(HF86,"|"),IF(COLUMNS(_xlpm.nd)&gt;1,A86&amp;"¦"&amp;INDEX(_xlpm.nd,1)&amp;"¦"&amp;INDEX(_xlpm.nd,2),"")))</f>
        <v>ЩОВ-001¦QF33¦XT33</v>
      </c>
      <c r="HH86" t="str">
        <f t="shared" si="224"/>
        <v>НБ-3¦Внешний блок кондиционирования Пом. Венткиосок</v>
      </c>
      <c r="HI86" t="str" cm="1">
        <f t="array" ref="HI86">IF(HF86="","",_xlfn.LET(_xlpm.nd,_xlfn.TEXTSPLIT(HF86,"|"),IF(COLUMNS(_xlpm.nd)&gt;2,A86&amp;"¦"&amp;INDEX(_xlpm.nd,2)&amp;"¦"&amp;INDEX(_xlpm.nd,3),"")))</f>
        <v>ЩОВ-001¦XT33¦кабель ВВГнг(А)-LS (5х6) → Внешний блок кондиционирования Пом. Венткиосок</v>
      </c>
      <c r="HJ86" t="str">
        <f t="shared" si="225"/>
        <v>НБ-3¦Внешний блок кондиционирования Пом. Венткиосок</v>
      </c>
      <c r="HK86" t="str" cm="1">
        <f t="array" ref="HK86">IF(HF86="","",_xlfn.LET(_xlpm.nd,_xlfn.TEXTSPLIT(HF86,"|"),IF(COLUMNS(_xlpm.nd)&gt;3,A86&amp;"¦"&amp;INDEX(_xlpm.nd,3)&amp;"¦"&amp;INDEX(_xlpm.nd,4),"")))</f>
        <v/>
      </c>
      <c r="HL86" t="str">
        <f t="shared" si="226"/>
        <v/>
      </c>
      <c r="HM86" t="str" cm="1">
        <f t="array" ref="HM86">IF(HF86="","",_xlfn.LET(_xlpm.nd,_xlfn.TEXTSPLIT(HF86,"|"),IF(COLUMNS(_xlpm.nd)&gt;4,A86&amp;"¦"&amp;INDEX(_xlpm.nd,4)&amp;"¦"&amp;INDEX(_xlpm.nd,5),"")))</f>
        <v/>
      </c>
      <c r="HN86" t="str">
        <f t="shared" si="227"/>
        <v/>
      </c>
      <c r="HO86" t="str" cm="1">
        <f t="array" ref="HO86">IF(HF86="","",_xlfn.LET(_xlpm.nd,_xlfn.TEXTSPLIT(HF86,"|"),IF(COLUMNS(_xlpm.nd)&gt;5,A86&amp;"¦"&amp;INDEX(_xlpm.nd,5)&amp;"¦"&amp;INDEX(_xlpm.nd,6),"")))</f>
        <v/>
      </c>
      <c r="HP86" t="str">
        <f t="shared" si="228"/>
        <v/>
      </c>
      <c r="HQ86" t="str" cm="1">
        <f t="array" ref="HQ86">IF(HF86="","",_xlfn.LET(_xlpm.nd,_xlfn.TEXTSPLIT(HF86,"|"),IF(COLUMNS(_xlpm.nd)&gt;6,A86&amp;"¦"&amp;INDEX(_xlpm.nd,6)&amp;"¦"&amp;INDEX(_xlpm.nd,7),"")))</f>
        <v/>
      </c>
      <c r="HR86" t="str">
        <f t="shared" si="229"/>
        <v/>
      </c>
      <c r="HS86" t="str">
        <f t="shared" si="230"/>
        <v/>
      </c>
      <c r="HT86" t="str">
        <f t="shared" si="231"/>
        <v>QF33 → XT33</v>
      </c>
      <c r="HU86">
        <f t="shared" si="232"/>
        <v>0</v>
      </c>
      <c r="HV86">
        <f t="shared" si="233"/>
        <v>0</v>
      </c>
      <c r="HW86" t="str">
        <f t="shared" si="234"/>
        <v/>
      </c>
      <c r="HX86" t="str">
        <f t="shared" si="235"/>
        <v/>
      </c>
      <c r="HY86" t="str">
        <f t="shared" si="236"/>
        <v/>
      </c>
      <c r="HZ86" t="str">
        <f t="shared" si="237"/>
        <v/>
      </c>
      <c r="IA86" t="str">
        <f>IF(B86="","",IFERROR(VLOOKUP(B86,УГО_спр,2,FALSE),IFERROR(VLOOKUP(AX86,УГО_спр,2,FALSE),IFERROR(VLOOKUP(LEFT(AX86,2),УГО_спр,2,FALSE),""))))</f>
        <v>Привод (двигатель)</v>
      </c>
      <c r="IB86" t="str">
        <f>IF(B86="","",IF(OR(IA86="",IA86=0),"BOX",IFERROR(IF(VLOOKUP(IA86,УГО_блоки,3,FALSE)&amp;""&lt;&gt;"",VLOOKUP(IA86,УГО_блоки,3,FALSE),VLOOKUP(IA86,УГО_блоки,2,FALSE)),IA86)))</f>
        <v>MOTOR</v>
      </c>
      <c r="IC86">
        <f t="shared" si="238"/>
        <v>1</v>
      </c>
      <c r="ID86" t="str">
        <f>IF(DA86="","",IF(COUNTIF(DA$3:DA86,DA86)=1,MAX(ID$2:ID85)+1,""))</f>
        <v/>
      </c>
      <c r="IE86" t="str">
        <f>IF(CO86="","",IF(COUNTIF(CO$3:CO86,CO86)+COUNTIF(CP$2:CP85,CO86)+COUNTIF(CQ$2:CQ85,CO86)=1,MAX(IE$2:IG85)+1,""))</f>
        <v/>
      </c>
      <c r="IF86" t="str">
        <f>IF(CP86="","",IF(COUNTIF(CO$3:CO86,CP86)+COUNTIF(CP$3:CP86,CP86)+COUNTIF(CQ$2:CQ85,CP86)=1,MAX(IE$2:IG85,IE86)+1,""))</f>
        <v/>
      </c>
      <c r="IG86" t="str">
        <f>IF(CQ86="","",IF(COUNTIF(CO$3:CO86,CQ86)+COUNTIF(CP$3:CP86,CQ86)+COUNTIF(CQ$3:CQ86,CQ86)=1,MAX(IE$2:IG85,IE86,IF86)+1,""))</f>
        <v/>
      </c>
      <c r="IH86" t="str">
        <f t="shared" si="239"/>
        <v>5х6</v>
      </c>
      <c r="II86" t="str">
        <f>IF(IH86="","",IF(COUNTIF(IH$3:IH86,IH86)=1,MAX(II$2:II85)+1,""))</f>
        <v/>
      </c>
      <c r="IJ86" t="str">
        <f>IF(GL86="","",COUNTIF(GL$3:GL86,"?*"))</f>
        <v/>
      </c>
      <c r="IK86" t="str">
        <f>IF(OR(GL86="",GN86=""),"",IF(COUNTIFS(GL$3:GL86,"?*",GN$3:GN86,GN86)=1,MAX(IK$2:IK85)+1,""))</f>
        <v/>
      </c>
      <c r="IL86">
        <f t="shared" si="240"/>
        <v>0</v>
      </c>
      <c r="IM86">
        <f>IF(B86="","",COUNTIF(B$3:B86,"?*"))</f>
        <v>84</v>
      </c>
      <c r="IN86">
        <f>IF(GQ86&lt;&gt;1,0,_xlfn.LET(_xlpm.k,MAX(IFERROR(--VLOOKUP(B86,УГО_спр,5,FALSE),0),IFERROR(--VLOOKUP(AX86,УГО_спр,5,FALSE),0),IFERROR(--VLOOKUP(LEFT(AX86,2),УГО_спр,5,FALSE),0)),IF(_xlpm.k&gt;0,_xlpm.k,IF(IFERROR(--LEFT(SUBSTITUTE(IH86,"x","х"),FIND("х",SUBSTITUTE(IH86,"x","х"))-1),3)&gt;3,Каталог!$S$9,1))))</f>
        <v>1</v>
      </c>
      <c r="IO86">
        <f t="shared" si="241"/>
        <v>2</v>
      </c>
      <c r="IP86" t="str">
        <f t="shared" si="242"/>
        <v>авто</v>
      </c>
      <c r="IQ86" t="str">
        <f t="shared" si="243"/>
        <v/>
      </c>
      <c r="IR86">
        <f t="shared" si="244"/>
        <v>0</v>
      </c>
      <c r="IS86">
        <f t="shared" si="245"/>
        <v>1</v>
      </c>
    </row>
    <row r="87" spans="1:253" x14ac:dyDescent="0.3">
      <c r="A87" t="s">
        <v>749</v>
      </c>
      <c r="B87" t="s">
        <v>1359</v>
      </c>
      <c r="C87" t="s">
        <v>1619</v>
      </c>
      <c r="D87">
        <v>1</v>
      </c>
      <c r="E87">
        <v>5.8</v>
      </c>
      <c r="G87">
        <v>16</v>
      </c>
      <c r="H87" t="str">
        <f>Линии[[#This Row],[_авто утечка]]</f>
        <v/>
      </c>
      <c r="I87" t="str">
        <f>Линии[[#This Row],[_авто управление]]</f>
        <v/>
      </c>
      <c r="J87" t="str">
        <f>Линии[[#This Row],[_авто аппараты]]</f>
        <v/>
      </c>
      <c r="K87">
        <v>4</v>
      </c>
      <c r="L87">
        <v>45</v>
      </c>
      <c r="M87" t="str">
        <f>Линии[[#This Row],[_авто фаза]]</f>
        <v>L1,L2,L3</v>
      </c>
      <c r="N87" t="str">
        <f>Линии[[#This Row],[_авто клемма]]</f>
        <v>XT34</v>
      </c>
      <c r="O87" t="str">
        <f t="shared" si="123"/>
        <v/>
      </c>
      <c r="P87" s="6" cm="1">
        <f t="array" ref="P87">IF(B87="","",IF(BC87&lt;&gt;"",IFERROR(_xlfn.XLOOKUP(BC87,Щиты[Щит],Щиты[Iр, А]),""),IF(BK87=1,IFERROR(_xlfn.XLOOKUP(A87,Щиты[Щит],Щиты[Iр, А]),""),IFERROR(_xlfn.IFS(BR87=1,BN87/((Uн_лин/SQRT(3))*BY87),BR87=3,BN87/(SQRT(3)*Uн_лин*BY87)),""))))</f>
        <v>10.464473629061967</v>
      </c>
      <c r="Q87" s="7">
        <f>IF(B87="","",IFERROR(IF(VLOOKUP(AX87,Потребители_обозначение,4,FALSE)=1,VLOOKUP(AX87,Потребители_обозначение,3,FALSE)*(D87*2-1)+DS87+VLOOKUP(AZ87,Этаж_обозначение,3,FALSE)+VLOOKUP(AZ87,Этаж_обозначение,4,FALSE),VLOOKUP(AX87,Потребители_обозначение,3,FALSE)*(D87*2-1)+DS87),DS87))</f>
        <v>45</v>
      </c>
      <c r="R87" s="6">
        <f t="shared" si="124"/>
        <v>1.57</v>
      </c>
      <c r="S87" t="str">
        <f t="shared" si="125"/>
        <v>ВВГнг(А)-LS (5х4)</v>
      </c>
      <c r="T87" t="str">
        <f>IF(BH87="","",IF(BI87="вводной узел","узел ","")&amp;"л."&amp;(INT((BH87-1)/Столбцов_на_лист)+1)&amp;" / "&amp;(MOD(BH87-1,Столбцов_на_лист)+1))</f>
        <v>л.4 / 14</v>
      </c>
      <c r="V87">
        <v>3</v>
      </c>
      <c r="W87">
        <v>400</v>
      </c>
      <c r="X87" t="s">
        <v>600</v>
      </c>
      <c r="Y87">
        <v>0.5</v>
      </c>
      <c r="AC87" t="s">
        <v>815</v>
      </c>
      <c r="AE87" t="s">
        <v>578</v>
      </c>
      <c r="AI87">
        <v>65</v>
      </c>
      <c r="AJ87" t="s">
        <v>11</v>
      </c>
      <c r="AK87">
        <v>5</v>
      </c>
      <c r="AM87">
        <v>0</v>
      </c>
      <c r="AN87">
        <v>41</v>
      </c>
      <c r="AO87">
        <v>0</v>
      </c>
      <c r="AP87">
        <v>1</v>
      </c>
      <c r="AW87" cm="1">
        <f t="array" ref="AW87">ROW()-ROW(Линии[#Headers])</f>
        <v>85</v>
      </c>
      <c r="AX87" s="6" t="str">
        <f t="shared" si="126"/>
        <v>НБ-4</v>
      </c>
      <c r="AY87" t="str">
        <f t="shared" si="127"/>
        <v/>
      </c>
      <c r="AZ87" t="str">
        <f t="shared" si="128"/>
        <v/>
      </c>
      <c r="BA87" t="str">
        <f t="shared" si="129"/>
        <v/>
      </c>
      <c r="BB87" t="str">
        <f t="shared" si="130"/>
        <v/>
      </c>
      <c r="BC87" t="str">
        <f>IF(U87&lt;&gt;"",U87,IF(AND(B87&lt;&gt;"",B87&lt;&gt;A87,ISNUMBER(_xlfn.XMATCH(B87,Щиты[Щит]))),B87,""))</f>
        <v/>
      </c>
      <c r="BD87" t="str" cm="1">
        <f t="array" ref="BD87">IF(B87="","",IF(BC87&lt;&gt;"","Щит "&amp;BC87,_xlfn.LET(_xlpm.nm,IFERROR(_xlfn.XLOOKUP(AX87,Коды_код,Коды_имя)&amp;"",""),_xlpm.md,IFERROR(N(_xlfn.XLOOKUP(AX87,Коды_код,Коды_режим)),1),_xlpm.ex,IF(Имя_режим="по экспликации",IFERROR(_xlfn.XLOOKUP(AZ87&amp;"|"&amp;BB87,Экспликация[Этаж]&amp;"|"&amp;Экспликация[Помещение],Экспликация[Название])&amp;"",""),""),_xlpm.rm,IF(BB87="","",IF(_xlpm.ex&lt;&gt;"",". "&amp;_xlpm.ex&amp;IF(Имя_пом="нет"," ("&amp;BB87&amp;")"," (пом. "&amp;BB87&amp;")"),IF(Имя_пом="нет"," ",", пом. ")&amp;BB87)),IF(_xlpm.nm="","",IF(_xlpm.md=2,_xlpm.nm&amp;" шлейф "&amp;AZ87,_xlpm.nm&amp;_xlpm.rm)))))</f>
        <v/>
      </c>
      <c r="BE87" t="str">
        <f t="shared" si="131"/>
        <v>Внешний блок кондиционирования Пом. Венткиосок</v>
      </c>
      <c r="BF87">
        <f>IFERROR(_xlfn.XMATCH(A87,Щиты[Щит]),0)</f>
        <v>4</v>
      </c>
      <c r="BG87">
        <f>_xlfn.LET(_xlpm.k,IFERROR(_xlfn.XLOOKUP(A87,Щиты[Щит],Щиты[Листов под вводной узел]),""),IF(_xlpm.k="",1,N(_xlpm.k))*Столбцов_на_лист)</f>
        <v>17</v>
      </c>
      <c r="BH87">
        <f t="shared" si="132"/>
        <v>65</v>
      </c>
      <c r="BI87" t="str">
        <f t="shared" si="133"/>
        <v>линии</v>
      </c>
      <c r="BJ87" s="6">
        <f>IFERROR(N(_xlfn.XLOOKUP(AX87,Коды_код,Коды_квт)),0)</f>
        <v>0</v>
      </c>
      <c r="BK87">
        <f t="shared" si="134"/>
        <v>0</v>
      </c>
      <c r="BL87" t="str">
        <f>IF(B87="","",IF(BC87&lt;&gt;"",IFERROR(_xlfn.XLOOKUP(BC87,Щиты[Щит],Щиты[Руст, кВт]),0),IF(BK87=1,IFERROR(_xlfn.XLOOKUP(A87,Щиты[Щит],Щиты[Руст, кВт]),0),IF(BJ87&gt;0,ROUND(BJ87*MAX(1,N(D87)),3),""))))</f>
        <v/>
      </c>
      <c r="BM87">
        <f t="shared" si="135"/>
        <v>5.8</v>
      </c>
      <c r="BN87" s="6">
        <f>IF(B87="","",IF(BC87&lt;&gt;"",IFERROR(_xlfn.XLOOKUP(BC87,Щиты[Щит],Щиты[Руст, кВт]),0),N(BM87)))</f>
        <v>5.8</v>
      </c>
      <c r="BO87" t="str">
        <f>IF(B87="","",IFERROR(IF(VLOOKUP(AX87,Потребители_обозначение,8,FALSE)=0,"",VLOOKUP(AX87,Потребители_обозначение,8,FALSE)),""))</f>
        <v/>
      </c>
      <c r="BP87">
        <f t="shared" si="136"/>
        <v>400</v>
      </c>
      <c r="BQ87">
        <f>IF(B87="","",IF(BC87&lt;&gt;"",3,IFERROR(IF(N(VLOOKUP(AX87,Потребители_обозначение,9,FALSE))=0,1,VLOOKUP(AX87,Потребители_обозначение,9,FALSE)),1)))</f>
        <v>1</v>
      </c>
      <c r="BR87">
        <f t="shared" si="137"/>
        <v>3</v>
      </c>
      <c r="BS87" t="str">
        <f>IF(B87="","",_xlfn.LET(_xlpm.bc,IFERROR(IF(VLOOKUP(AX87,Потребители_обозначение,6,FALSE)=0,"",VLOOKUP(AX87,Потребители_обозначение,6,FALSE)&amp;""),""),IF(AND(FK87="да",OR(_xlpm.bc="",_xlpm.bc="мс")),Марка_пож,IF(AND(_xlpm.bc="",BC87&lt;&gt;""),"мс",_xlpm.bc))))</f>
        <v/>
      </c>
      <c r="BT87" t="str">
        <f t="shared" si="138"/>
        <v>мс</v>
      </c>
      <c r="BU87">
        <f>IF(B87="","",_xlfn.LET(_xlpm.cc,IFERROR(N(VLOOKUP(AX87,Потребители_обозначение,7,FALSE)),0),IF(_xlpm.cc&gt;0,_xlpm.cc,IF(BT87="","",IF(N(BR87)=3,5,3)))))</f>
        <v>5</v>
      </c>
      <c r="BV87">
        <f t="shared" si="139"/>
        <v>5</v>
      </c>
      <c r="BW87">
        <f>IFERROR(N(VLOOKUP(AX87,Потребители_обозначение,10,FALSE)),0)</f>
        <v>0</v>
      </c>
      <c r="BX87">
        <f>IFERROR(VLOOKUP(AX87,Потребители_обозначение,5,FALSE),0)</f>
        <v>0</v>
      </c>
      <c r="BY87" s="6" cm="1">
        <f t="array" ref="BY87">IF(B87="","",IF(BC87&lt;&gt;"",IFERROR(_xlfn.XLOOKUP(BC87,Щиты[Щит],Щиты[cos φ]),0.95),IF(BK87=1,IFERROR(_xlfn.XLOOKUP(A87,Щиты[Щит],Щиты[cos φ]),0.95),IF(ISNUMBER(Z87),Z87,IFERROR(IF(BX87=2,_xlfn.IFS(BR87=3,VLOOKUP(BN87,Справочная_двигатели,8,FALSE),BR87=1,VLOOKUP(BN87,Справочная_двигатели,10,TRUE)),IF(AND(Методика="нормы 2026",EQ87="Сил"),0.8,0.95)),0.95)))))</f>
        <v>0.8</v>
      </c>
      <c r="BZ87">
        <f t="shared" si="140"/>
        <v>0</v>
      </c>
      <c r="CA87">
        <f t="shared" si="141"/>
        <v>1</v>
      </c>
      <c r="CB87">
        <f t="shared" si="142"/>
        <v>0</v>
      </c>
      <c r="CC87">
        <f t="shared" si="143"/>
        <v>0</v>
      </c>
      <c r="CD87">
        <f t="shared" si="144"/>
        <v>0</v>
      </c>
      <c r="CE87">
        <f t="shared" si="145"/>
        <v>0</v>
      </c>
      <c r="CF87">
        <f t="shared" si="146"/>
        <v>0</v>
      </c>
      <c r="CG87">
        <f>IF(AX87="",0,_xlfn.LET(_xlpm.v,IFERROR(VLOOKUP(B87,УГО_спр,3,FALSE),IFERROR(VLOOKUP(AX87,УГО_спр,3,FALSE),IFERROR(VLOOKUP(LEFT(AX87,2),УГО_спр,3,FALSE),""))),IF(_xlpm.v="да",30,IF(ISNUMBER(_xlpm.v),_xlpm.v,0))))</f>
        <v>0</v>
      </c>
      <c r="CH87" t="str">
        <f t="shared" si="147"/>
        <v/>
      </c>
      <c r="CI87" t="str">
        <f>_xlfn.LET(_xlpm.k,IFERROR(_xlfn.XLOOKUP(AX87,Коды_код,Коды_утечка)&amp;"",""),IF(_xlpm.k="","дифавтомат",_xlpm.k))</f>
        <v>дифавтомат</v>
      </c>
      <c r="CJ87">
        <f t="shared" si="148"/>
        <v>0</v>
      </c>
      <c r="CK87">
        <f t="shared" si="149"/>
        <v>0</v>
      </c>
      <c r="CL87">
        <f>IF(B87="",0,IFERROR(--VLOOKUP(B87,УГО_спр,4,FALSE),IFERROR(--VLOOKUP(AX87,УГО_спр,4,FALSE),IFERROR(--VLOOKUP(LEFT(AX87,2),УГО_спр,4,FALSE),0))))</f>
        <v>0</v>
      </c>
      <c r="CM87" t="str">
        <f>IF(B87="","",IFERROR(_xlfn.XLOOKUP(AX87,Коды_код,Коды_апп)&amp;"",""))</f>
        <v/>
      </c>
      <c r="CN87" t="str">
        <f t="shared" si="150"/>
        <v/>
      </c>
      <c r="CO87" t="str" cm="1">
        <f t="array" ref="CO87">IF(TRIM(CN87&amp;"")="","",IFERROR(TRIM(INDEX(_xlfn.TEXTSPLIT(CN87&amp;";;;",";"),1)),""))</f>
        <v/>
      </c>
      <c r="CP87" t="str" cm="1">
        <f t="array" ref="CP87">IF(TRIM(CN87&amp;"")="","",IFERROR(TRIM(INDEX(_xlfn.TEXTSPLIT(CN87&amp;";;;",";"),2)),""))</f>
        <v/>
      </c>
      <c r="CQ87" t="str" cm="1">
        <f t="array" ref="CQ87">IF(TRIM(CN87&amp;"")="","",IFERROR(TRIM(INDEX(_xlfn.TEXTSPLIT(CN87&amp;";;;",";"),3)),""))</f>
        <v/>
      </c>
      <c r="CR87">
        <f t="shared" si="151"/>
        <v>0</v>
      </c>
      <c r="CS87" t="str">
        <f>IF(B87="","",_xlfn.LET(_xlpm.t,LOWER(AV87&amp;""),IF(ISNUMBER(SEARCH("dim",_xlpm.t)),"DIM",IF(ISNUMBER(SEARCH("dali",_xlpm.t)),"DALI",IF(OR(ISNUMBER(SEARCH("relay",_xlpm.t)),ISNUMBER(SEARCH("реле",_xlpm.t))),"Relay",IF(ISNUMBER(SEARCH("кнопк",_xlpm.t)),"",IFERROR(_xlfn.XLOOKUP(AX87,Коды_код,Коды_упр)&amp;"","")))))))</f>
        <v/>
      </c>
      <c r="CT87" t="str">
        <f t="shared" si="152"/>
        <v/>
      </c>
      <c r="CU87">
        <f>IF(B87="","",_xlfn.LET(_xlpm.ig,N(P87)+IF(AF87="вручную",0,N(CB87)),_xlpm.n0,IFERROR(VLOOKUP(_xlpm.ig,Автомат_номиналы,2,TRUE),0),_xlpm.mn,MAX(CL87,IF(AF87="вручную",0,N(CE87))),MAX(_xlpm.n0,_xlpm.mn,IF(CR87=1,Мин_автомат_БП,0))))</f>
        <v>16</v>
      </c>
      <c r="CV87">
        <f t="shared" si="153"/>
        <v>3</v>
      </c>
      <c r="CW87" t="str">
        <f t="shared" si="154"/>
        <v>3P</v>
      </c>
      <c r="CX87" t="str">
        <f>_xlfn.LET(_xlpm.cc,UPPER(TRIM(IFERROR(_xlfn.XLOOKUP(AX87,Коды_код,Коды_хар)&amp;"",""))),IF(OR(_xlpm.cc="B",_xlpm.cc="В"),"B",IF(_xlpm.cc="D","D","С")))</f>
        <v>С</v>
      </c>
      <c r="CY87" t="str">
        <f t="shared" si="155"/>
        <v>3P С16А</v>
      </c>
      <c r="CZ87">
        <f t="shared" si="156"/>
        <v>16</v>
      </c>
      <c r="DA87" t="str">
        <f t="shared" si="157"/>
        <v>3P С16А</v>
      </c>
      <c r="DB87" cm="1">
        <f t="array" ref="DB87">IF(DA87="","",_xlfn.LET(_xlpm.t,SUBSTITUTE(SUBSTITUTE(SUBSTITUTE(UPPER(DA87),"С","C"),"А","A"),"В","B"),_xlpm.tk,_xlfn.TEXTSPLIT(_xlpm.t,"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87" t="str">
        <f t="shared" si="158"/>
        <v>ok</v>
      </c>
      <c r="DD87">
        <f t="shared" si="159"/>
        <v>16</v>
      </c>
      <c r="DE87" t="str">
        <f t="shared" si="160"/>
        <v>3P С16А</v>
      </c>
      <c r="DF87">
        <f t="shared" si="161"/>
        <v>0</v>
      </c>
      <c r="DG87">
        <f t="shared" si="162"/>
        <v>0</v>
      </c>
      <c r="DH87">
        <f t="shared" si="163"/>
        <v>0</v>
      </c>
      <c r="DI87">
        <f t="shared" si="164"/>
        <v>10.464473629061967</v>
      </c>
      <c r="DJ87">
        <f t="shared" si="165"/>
        <v>0.92</v>
      </c>
      <c r="DK87">
        <f>IF(ISNUMBER(AL87),AL87,К_прокл)</f>
        <v>1</v>
      </c>
      <c r="DL87">
        <f t="shared" si="166"/>
        <v>3</v>
      </c>
      <c r="DM87">
        <f>IFERROR(N(VLOOKUP(BT87,Кабель_обозначение,3,FALSE)),1)</f>
        <v>1</v>
      </c>
      <c r="DN87">
        <f>IFERROR(N(_xlfn.XLOOKUP(A87,Щиты[Щит],Щиты[ΔU до шин, %])),0)</f>
        <v>0.64</v>
      </c>
      <c r="DO87" t="str">
        <f>IFERROR(_xlfn.XLOOKUP(A87,Щиты[Щит],Щиты[Zпетли на шинах, Ом]),"")</f>
        <v/>
      </c>
      <c r="DP87">
        <f>IFERROR(N(_xlfn.XLOOKUP(A87,Щиты[Щит],Щиты[ΔU до шин (подбор), %])),0)</f>
        <v>0.75</v>
      </c>
      <c r="DQ87" t="str">
        <f>IFERROR(_xlfn.XLOOKUP(A87,Щиты[Щит],Щиты[Zпетли на шинах (подбор), Ом]),"")</f>
        <v/>
      </c>
      <c r="DR87" t="str">
        <f t="shared" si="167"/>
        <v/>
      </c>
      <c r="DS87">
        <f t="shared" si="168"/>
        <v>45</v>
      </c>
      <c r="DT87">
        <f t="shared" si="169"/>
        <v>1</v>
      </c>
      <c r="DU87">
        <f t="shared" si="170"/>
        <v>0.6</v>
      </c>
      <c r="DV87" s="6">
        <f>IF(B87="","",IF(IFERROR(VLOOKUP(AX87,УГО_спр,2,FALSE),"")="Светильник",3,4)+IF(Методика="нормы 2026",MIN(0.5,MAX(0,N(Q87)-100)*0.005),0))</f>
        <v>4</v>
      </c>
      <c r="DW87" cm="1">
        <f t="array" ref="DW87">IF(OR(B87="",BT87="",DM87&lt;&gt;1),"",_xlfn.LET(_xlpm.sz,Iдоп_S,_xlpm.t_,CHOOSE(DL87,Iдоп_1ж,Iдоп_2ж,Iдоп_3ж)*DJ87*DK87,_xlpm.inn,N(DD87),_xlpm.smin,MAX(1.5,BW87),_xlpm.L_,N(Q87)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87)*(_xlpm.rho*_xlpm.L_/_xlpm.sz*N(BY87)+_xlpm.xx*_xlpm.L_*N(DU87)/1000)*N(P87)/((Uн_лин/SQRT(3))*1000)*100,999),_xlpm.kz,IF(OR(DG87=1,NOT(ISNUMBER(DQ87)),_xlpm.L_=0,_xlpm.inn=0),1,IFERROR(--(c_min*(Uн_лин*1000/SQRT(3))/(DQ87+2*ρкз_Cu*_xlpm.L_/_xlpm.sz)&gt;=GY87*_xlpm.inn),0)),_xlpm.ok,IFERROR((_xlpm.sz&gt;=_xlpm.smin)*(_xlpm.t_&gt;=_xlpm.inn)*IF(_xlpm.L_&gt;0,(_xlpm.du_+DP87&lt;=DV87+0.00001),1)*_xlpm.kz,0),_xlpm.r_,_xlfn._xlws.FILTER(_xlpm.sz,_xlpm.ok,"не подобрано"),INDEX(_xlpm.r_,1)))</f>
        <v>1.5</v>
      </c>
      <c r="DX87">
        <f t="shared" si="171"/>
        <v>4</v>
      </c>
      <c r="DY87" cm="1">
        <f t="array" ref="DY87">IF(OR(B87="",BT87="",DM87&lt;&gt;1),"",_xlfn.LET(_xlpm.sz,Iдоп_S,_xlpm.t_,CHOOSE(DL87,Iдоп_1ж,Iдоп_2ж,Iдоп_3ж)*DJ87*DK87,_xlpm.ok,IFERROR((_xlpm.sz&gt;=MAX(1.5,BW87))*(_xlpm.t_&gt;=N(DD87)),0),_xlpm.r_,_xlfn._xlws.FILTER(_xlpm.sz,_xlpm.ok,""),INDEX(_xlpm.r_,1)))</f>
        <v>1.5</v>
      </c>
      <c r="DZ87" s="6" cm="1">
        <f t="array" ref="DZ87">IFERROR(ROUNDUP(N(DT87)*(_xlfn.XLOOKUP(DY87,INDEX(Кабель_сопротивление,0,1),INDEX(Кабель_сопротивление,0,3))*N(Q87)/DY87*N(BY87)+_xlfn.XLOOKUP(DY87,INDEX(Кабель_сопротивление,0,1),INDEX(Кабель_сопротивление,0,2))*N(Q87)*N(DU87)/1000)*N(P87)/((Uн_лин/SQRT(3))*1000)*100,2),"")</f>
        <v>2.4699999999999998</v>
      </c>
      <c r="EA87">
        <f>IFERROR(2*ρкз_Cu*N(Q87)/DY87,"")</f>
        <v>1.5780000000000001</v>
      </c>
      <c r="EB87">
        <f>IFERROR(VLOOKUP(DX87,Кабель_сопротивление,3,FALSE),"")</f>
        <v>2.2499999999999999E-2</v>
      </c>
      <c r="EC87">
        <f>IFERROR(VLOOKUP(DX87,Кабель_сопротивление,2,FALSE),"")</f>
        <v>9.5000000000000001E-2</v>
      </c>
      <c r="ED87">
        <f t="shared" si="172"/>
        <v>41</v>
      </c>
      <c r="EE87">
        <f t="shared" si="173"/>
        <v>0</v>
      </c>
      <c r="EF87">
        <f t="shared" si="174"/>
        <v>2.1458972847435924</v>
      </c>
      <c r="EG87" s="6">
        <f>IFERROR(ROUNDUP(EF87/((Uн_лин/SQRT(3))*1000)*100,2),"")</f>
        <v>0.93</v>
      </c>
      <c r="EH87" t="str">
        <f>IFERROR(VLOOKUP(BT87,Кабель_обозначение,2,FALSE),"")</f>
        <v>ВВГнг(А)-LS</v>
      </c>
      <c r="EI87" t="str">
        <f t="shared" si="175"/>
        <v>ВВГнг(А)-LS (5х4)</v>
      </c>
      <c r="EJ87" t="str">
        <f t="shared" si="176"/>
        <v>ВВГнг(А)-LS (5х4)
L=45-0,93%</v>
      </c>
      <c r="EK87">
        <f>IFERROR(2*ρкз_Cu*Q87/DX87,"")</f>
        <v>0.59175</v>
      </c>
      <c r="EL87">
        <f t="shared" si="177"/>
        <v>0.19687500000000002</v>
      </c>
      <c r="EM87" s="6" t="str">
        <f>IFERROR(IF(OR(B87="",NOT(ISNUMBER(DX87)),N(Q87)=0),"",_xlfn.XLOOKUP(A87,Щиты[Щит],Щиты[Zпетли на шинах, Ом])+EK87),"")</f>
        <v/>
      </c>
      <c r="EN87" s="6" t="str">
        <f>IF(ISNUMBER(EM87),c_min*(Uн_лин*1000/SQRT(3))/EM87,"")</f>
        <v/>
      </c>
      <c r="EO87" s="6" t="str">
        <f>IFERROR(IF(OR(B87="",NOT(ISNUMBER(DX87))),"",1.05*(Uн_лин*1000/SQRT(3))/(_xlfn.XLOOKUP(A87,Щиты[Щит],Щиты[Zmax на шинах, Ом])+EL87)/1000),"")</f>
        <v/>
      </c>
      <c r="EP87" s="6" t="str">
        <f>IF(B87="","",IF(ISNUMBER(Y87),"Сил",IF(IFERROR(_xlfn.XLOOKUP(AX87,Коды_код,Коды_группа)&amp;"","")="","Быт",_xlfn.XLOOKUP(AX87,Коды_код,Коды_группа)&amp;"")))</f>
        <v>Сил</v>
      </c>
      <c r="EQ87" s="6" t="str">
        <f t="shared" si="178"/>
        <v>Сил</v>
      </c>
      <c r="ER87" s="6">
        <f>IF(EQ87="Щит","щит",IF(EQ87="","",IF(EQ87="Быт",IFERROR(_xlfn.XLOOKUP(A87,Щиты[Щит],Щиты[Кс быт]),1),IF(EQ87="Сил",IF(ISNUMBER(Y87),Y87,IF(Методика="нормы 2026",IFERROR(_xlfn.XLOOKUP(A87,Щиты[Щит],Щиты[Кс силовых (табл. 7.5)]),1),1)),IF(OR(EQ87="Пост",EQ87="Отоп"),1,IF(EQ87="ВНГ",0.7,0))))))</f>
        <v>0.5</v>
      </c>
      <c r="ES87">
        <f t="shared" si="179"/>
        <v>1</v>
      </c>
      <c r="ET87">
        <f t="shared" si="180"/>
        <v>5.8</v>
      </c>
      <c r="EU87">
        <f t="shared" si="181"/>
        <v>0</v>
      </c>
      <c r="EV87">
        <f t="shared" si="182"/>
        <v>2.9</v>
      </c>
      <c r="EW87">
        <f t="shared" si="183"/>
        <v>0</v>
      </c>
      <c r="EX87">
        <f t="shared" si="184"/>
        <v>0</v>
      </c>
      <c r="EY87">
        <f t="shared" si="185"/>
        <v>0</v>
      </c>
      <c r="EZ87">
        <f t="shared" si="186"/>
        <v>5.8</v>
      </c>
      <c r="FA87">
        <f t="shared" si="187"/>
        <v>4.6399999999999997</v>
      </c>
      <c r="FB87">
        <f t="shared" si="188"/>
        <v>5.8</v>
      </c>
      <c r="FC87" t="str">
        <f t="shared" si="189"/>
        <v/>
      </c>
      <c r="FD87" t="str">
        <f>IF(B87="","",IF(CA87=0,IF(AW87=1,"",FF86),IF(OR(N(CV87)&gt;=3,N(BR87)&gt;=3),"L1,L2,L3",IFERROR(_xlfn.TEXTBEFORE(_xlfn.TEXTAFTER(_xlfn.XLOOKUP(A87,Щиты[Щит],Щиты[_фазы авто]),";"&amp;AW87&amp;":"),";"),"L1"))))</f>
        <v>L1,L2,L3</v>
      </c>
      <c r="FE87" t="str">
        <f t="shared" si="190"/>
        <v>L1,L2,L3</v>
      </c>
      <c r="FF87" t="str">
        <f t="shared" si="191"/>
        <v>L1,L2,L3</v>
      </c>
      <c r="FG87" cm="1">
        <f t="array" ref="FG87">IFERROR(IF(BX87=2,_xlfn.IFS(BR87=3,VLOOKUP(BN87,Справочная_двигатели,3,FALSE),BR87=1,VLOOKUP(BN87,Справочная_двигатели,5,TRUE)),0),0)</f>
        <v>0</v>
      </c>
      <c r="FH87">
        <f>IFERROR(IF(BX87=3,VLOOKUP(BN87,Справочная_ЛЭД,2,TRUE),0),0)</f>
        <v>0</v>
      </c>
      <c r="FI87" s="6">
        <f t="shared" si="192"/>
        <v>0</v>
      </c>
      <c r="FJ87" t="str" cm="1">
        <f t="array" ref="FJ87">IF(B87="","",IFERROR(INDEX({"I особая","I","II","III"},MATCH(TRIM(AC87&amp;""),{"I особая","I","II","III"},0)),"III"))</f>
        <v>II</v>
      </c>
      <c r="FK87" t="str">
        <f>IF(B87="","",IF(TRIM(AD87&amp;"")&lt;&gt;"",IF(LOWER(TRIM(AD87&amp;""))="да","да","нет"),IF(IFERROR(_xlfn.XLOOKUP(AX87,Коды_код,Коды_пожарная),"")="да","да","нет")))</f>
        <v>нет</v>
      </c>
      <c r="FL87" t="str">
        <f t="shared" si="193"/>
        <v/>
      </c>
      <c r="FM87" t="str">
        <f t="shared" si="194"/>
        <v>основная</v>
      </c>
      <c r="FN87">
        <f t="shared" si="195"/>
        <v>1</v>
      </c>
      <c r="FO87" t="str" cm="1">
        <f t="array" ref="FO87">IF(B87="","",_xlfn.LET(_xlpm.t,IFERROR(_xlfn.XLOOKUP(1,(Шины[Шина]=FM87)*(((Шины[Щит]=A87)+(Шины[Щит]=""))&gt;0),Шины[Тип]),"")&amp;"",IF(_xlpm.t&lt;&gt;"",_xlpm.t,IF(ISNUMBER(SEARCH("ИБП",FM87)),"ИБП",IF(ISNUMBER(SEARCH("ДГУ",FM87)),"ДГУ","Ввод "&amp;FN87)))))</f>
        <v>Ввод 1</v>
      </c>
      <c r="FP87" t="str">
        <f t="shared" si="196"/>
        <v>Ввод 1</v>
      </c>
      <c r="FQ87" t="str">
        <f>IF(B87="","",IF(OR(FO87="ИБП",FO87="ДГУ"),"I особая",IF(FO87="Одиночная","III",_xlfn.XLOOKUP(A87,Щиты[Щит],Щиты[Категория шины «Ввод»],"III"))))</f>
        <v>II</v>
      </c>
      <c r="FR87">
        <f>IF(B87="",0,IFERROR(MATCH(FJ87,{"III","II","I","I особая"},0),1))</f>
        <v>2</v>
      </c>
      <c r="FS87">
        <f t="shared" si="197"/>
        <v>2</v>
      </c>
      <c r="FT87" t="str">
        <f>IF(B87="","",IF(FR87&gt;IFERROR(MATCH(FQ87,{"III","II","I","I особая"},0),1),"НЕ ОБЕСПЕЧЕНА","ОК"))</f>
        <v>ОК</v>
      </c>
      <c r="FU87" t="str">
        <f>IF(A87="","",_xlfn.XLOOKUP(A87,Щиты[Щит],Щиты[Путь],""))</f>
        <v>|ГРЩ-ЖД|ЩОВ-001|</v>
      </c>
      <c r="FV87" t="str">
        <f>IF(B87="","",IF(AE87&lt;&gt;"",AE87,IF(IFERROR(_xlfn.XLOOKUP(AX87,Коды_код,Коды_вид)&amp;"","")="","Прочее",_xlfn.XLOOKUP(AX87,Коды_код,Коды_вид)&amp;"")))</f>
        <v>Кондиционирование и увлажнение</v>
      </c>
      <c r="FW87">
        <f>IF(BH87="","",INT((BH87-1)/Столбцов_на_лист)+1)</f>
        <v>4</v>
      </c>
      <c r="FX87" t="str">
        <f t="shared" si="198"/>
        <v>ВВГнг(А)-LS (5х4) L=45-0,93%</v>
      </c>
      <c r="FY87">
        <f t="shared" si="199"/>
        <v>5.8</v>
      </c>
      <c r="FZ87">
        <f t="shared" si="200"/>
        <v>10.47</v>
      </c>
      <c r="GA87">
        <f t="shared" si="201"/>
        <v>3</v>
      </c>
      <c r="GB87">
        <f t="shared" si="202"/>
        <v>0</v>
      </c>
      <c r="GC87">
        <f t="shared" si="203"/>
        <v>1</v>
      </c>
      <c r="GD87">
        <f>IF(BH87="","",IF(AND(CA87=1,GC87=1),COUNTIFS(A$3:A87,A87,CA$3:CA87,1,GC$3:GC87,1),IF(OR(OR(AW87=1,A87&lt;&gt;A86),AF87="вручную",GC87=0),"",IF(AW87=1,"",GE86))))</f>
        <v>34</v>
      </c>
      <c r="GE87">
        <f t="shared" si="204"/>
        <v>34</v>
      </c>
      <c r="GF87">
        <f>IF(B87="","",IFERROR(LOOKUP(INDEX(CHOOSE(DL87,Iдоп_1ж,Iдоп_2ж,Iдоп_3ж),MATCH(DX87,Iдоп_S,0))*DJ87*DK87,{6,10,16,20,25,32,40,50,63,80,100,125,160,200,250,315,400,500,630}),""))</f>
        <v>32</v>
      </c>
      <c r="GG87" t="str">
        <f t="shared" si="205"/>
        <v>QF34</v>
      </c>
      <c r="GH87" t="str">
        <f t="shared" si="206"/>
        <v>QF34</v>
      </c>
      <c r="GI87" t="str">
        <f t="shared" si="207"/>
        <v/>
      </c>
      <c r="GJ87">
        <f t="shared" si="208"/>
        <v>0</v>
      </c>
      <c r="GK87" t="str">
        <f>IF(OR(AG87="",AG87="-"),"",IFERROR(VLOOKUP(AG87,Модули_спр,2,FALSE),"R"))</f>
        <v/>
      </c>
      <c r="GL87" t="str">
        <f>IF(GK87="","",GK87&amp;"."&amp;COUNTIFS(A$3:A87,A87,GK$3:GK87,GK87))</f>
        <v/>
      </c>
      <c r="GM87" t="str">
        <f t="shared" si="209"/>
        <v/>
      </c>
      <c r="GN87" t="str">
        <f t="shared" si="210"/>
        <v/>
      </c>
      <c r="GO87" t="str">
        <f t="shared" si="211"/>
        <v/>
      </c>
      <c r="GP87" t="str">
        <f t="shared" si="212"/>
        <v/>
      </c>
      <c r="GQ87">
        <f t="shared" si="213"/>
        <v>1</v>
      </c>
      <c r="GR87" t="str">
        <f>IF(GQ87=1,"XT"&amp;COUNTIFS(A$3:A87,A87,GQ$3:GQ87,1),"")</f>
        <v>XT34</v>
      </c>
      <c r="GS87" t="str">
        <f t="shared" si="214"/>
        <v>XT34</v>
      </c>
      <c r="GT87" t="str">
        <f t="shared" si="215"/>
        <v>QF34</v>
      </c>
      <c r="GU87" t="str">
        <f t="shared" si="216"/>
        <v/>
      </c>
      <c r="GV87" t="str">
        <f t="shared" si="217"/>
        <v>ok</v>
      </c>
      <c r="GW87" t="str">
        <f>IF(OR(GO87="",GM87=""),"",IF(GO87&gt;IFERROR(VLOOKUP(GN87,Модули_спр,3,FALSE),99),"ЛИШНИЙ КАНАЛ",IF(AND(AH87&lt;&gt;"=",COUNTIFS(Линии[_модуль гр.],GM87,Линии[Канал (итог)],GO87,Линии[Канал],"&lt;&gt;=",Линии[Щит],A87)&gt;1),"ДУБЛЬ КАНАЛА","")))</f>
        <v/>
      </c>
      <c r="GX87" s="6" t="str">
        <f t="shared" si="218"/>
        <v/>
      </c>
      <c r="GY87">
        <f t="shared" si="219"/>
        <v>10</v>
      </c>
      <c r="GZ87" t="str">
        <f t="shared" si="220"/>
        <v/>
      </c>
      <c r="HA87" t="str">
        <f>IF(AND(B87="",GT87=""),"",_xlfn.TEXTJOIN("; ",TRUE,IF(AND(B87&lt;&gt;"",FE87=""),"нет фазы",""),IF(AND(B87&lt;&gt;"",N(FY87)=0,EQ87&lt;&gt;"Нет"),"нет мощности",""),IF(AND(GS87&lt;&gt;"",COUNTIFS(Линии[Щит],A87,Линии[Клемма (итог)],GS87)&gt;1),"дубль клеммы "&amp;GS87,""),IF(AND(GV87&lt;&gt;"",GV87&lt;&gt;"ok"),GV87,""),IF(GW87&lt;&gt;"",GW87,""),IF(AND(N(BV87)&gt;=4,N(BR87)=1),BV87&amp;" жил на 1 фазе",""),IF(AND(AX87="R",CA87=1,OR(N(CK87)=0,N(CK87)&gt;30)),"розетка без дифзащиты до 30 мА",""),IFERROR(IF(AND(ISNUMBER(R87),R87&gt;DV87),"потери "&amp;FIXED(R87,1)&amp;" % &gt; "&amp;DV87&amp;" %",""),""),IFERROR(IF(LEFT(GZ87,4)="мало","Iкз мало — отключение &gt; 0,4 с",""),""),IF(AND(B87&lt;&gt;"",BH87=""),"не на схеме",""),IF(AND(CA87=0,B87&lt;&gt;"",FE87&lt;&gt;"",IF(AW87=1,"",FF86)&lt;&gt;"",FE87&lt;&gt;IF(AW87=1,"",FF86)),"фаза не как у автомата группы ("&amp;IF(AW87=1,"",FF86)&amp;")","")))</f>
        <v/>
      </c>
      <c r="HB87" s="6" t="str">
        <f>IF(OR(CA87=0,DA87=""),"",_xlfn.LET(_xlpm.t,IFERROR(_xlfn.XLOOKUP(DA87,Каталог!$U$4:$U$500,Каталог!$G$4:$G$500),""),_xlpm.k,SEARCH("кА",_xlpm.t),IFERROR(--TRIM(RIGHT(SUBSTITUTE(MID(_xlpm.t,MAX(1,_xlpm.k-4),_xlpm.k-MAX(1,_xlpm.k-4))," ",REPT(" ",9)),5)),"")))</f>
        <v/>
      </c>
      <c r="HC87" t="str">
        <f>IF(OR(HB87="",CA87=0),"",IF(_xlfn.XLOOKUP(A87,Щиты[Щит],Щиты[Iкз max на шинах, кА],"")="","",IF(HB87&lt;_xlfn.XLOOKUP(A87,Щиты[Щит],Щиты[Iкз max на шинах, кА]),"Icu "&amp;HB87&amp;" кА &lt; Iкз max","ok")))</f>
        <v/>
      </c>
      <c r="HD87" t="str">
        <f t="shared" si="221"/>
        <v/>
      </c>
      <c r="HE87" t="str">
        <f t="shared" si="222"/>
        <v>QF34|XT34</v>
      </c>
      <c r="HF87" t="str">
        <f t="shared" si="223"/>
        <v>QF34|XT34|кабель ВВГнг(А)-LS (5х4) → Внешний блок кондиционирования Пом. Венткиосок</v>
      </c>
      <c r="HG87" t="str" cm="1">
        <f t="array" ref="HG87">IF(HF87="","",_xlfn.LET(_xlpm.nd,_xlfn.TEXTSPLIT(HF87,"|"),IF(COLUMNS(_xlpm.nd)&gt;1,A87&amp;"¦"&amp;INDEX(_xlpm.nd,1)&amp;"¦"&amp;INDEX(_xlpm.nd,2),"")))</f>
        <v>ЩОВ-001¦QF34¦XT34</v>
      </c>
      <c r="HH87" t="str">
        <f t="shared" si="224"/>
        <v>НБ-4¦Внешний блок кондиционирования Пом. Венткиосок</v>
      </c>
      <c r="HI87" t="str" cm="1">
        <f t="array" ref="HI87">IF(HF87="","",_xlfn.LET(_xlpm.nd,_xlfn.TEXTSPLIT(HF87,"|"),IF(COLUMNS(_xlpm.nd)&gt;2,A87&amp;"¦"&amp;INDEX(_xlpm.nd,2)&amp;"¦"&amp;INDEX(_xlpm.nd,3),"")))</f>
        <v>ЩОВ-001¦XT34¦кабель ВВГнг(А)-LS (5х4) → Внешний блок кондиционирования Пом. Венткиосок</v>
      </c>
      <c r="HJ87" t="str">
        <f t="shared" si="225"/>
        <v>НБ-4¦Внешний блок кондиционирования Пом. Венткиосок</v>
      </c>
      <c r="HK87" t="str" cm="1">
        <f t="array" ref="HK87">IF(HF87="","",_xlfn.LET(_xlpm.nd,_xlfn.TEXTSPLIT(HF87,"|"),IF(COLUMNS(_xlpm.nd)&gt;3,A87&amp;"¦"&amp;INDEX(_xlpm.nd,3)&amp;"¦"&amp;INDEX(_xlpm.nd,4),"")))</f>
        <v/>
      </c>
      <c r="HL87" t="str">
        <f t="shared" si="226"/>
        <v/>
      </c>
      <c r="HM87" t="str" cm="1">
        <f t="array" ref="HM87">IF(HF87="","",_xlfn.LET(_xlpm.nd,_xlfn.TEXTSPLIT(HF87,"|"),IF(COLUMNS(_xlpm.nd)&gt;4,A87&amp;"¦"&amp;INDEX(_xlpm.nd,4)&amp;"¦"&amp;INDEX(_xlpm.nd,5),"")))</f>
        <v/>
      </c>
      <c r="HN87" t="str">
        <f t="shared" si="227"/>
        <v/>
      </c>
      <c r="HO87" t="str" cm="1">
        <f t="array" ref="HO87">IF(HF87="","",_xlfn.LET(_xlpm.nd,_xlfn.TEXTSPLIT(HF87,"|"),IF(COLUMNS(_xlpm.nd)&gt;5,A87&amp;"¦"&amp;INDEX(_xlpm.nd,5)&amp;"¦"&amp;INDEX(_xlpm.nd,6),"")))</f>
        <v/>
      </c>
      <c r="HP87" t="str">
        <f t="shared" si="228"/>
        <v/>
      </c>
      <c r="HQ87" t="str" cm="1">
        <f t="array" ref="HQ87">IF(HF87="","",_xlfn.LET(_xlpm.nd,_xlfn.TEXTSPLIT(HF87,"|"),IF(COLUMNS(_xlpm.nd)&gt;6,A87&amp;"¦"&amp;INDEX(_xlpm.nd,6)&amp;"¦"&amp;INDEX(_xlpm.nd,7),"")))</f>
        <v/>
      </c>
      <c r="HR87" t="str">
        <f t="shared" si="229"/>
        <v/>
      </c>
      <c r="HS87" t="str">
        <f t="shared" si="230"/>
        <v/>
      </c>
      <c r="HT87" t="str">
        <f t="shared" si="231"/>
        <v>QF34 → XT34</v>
      </c>
      <c r="HU87">
        <f t="shared" si="232"/>
        <v>0</v>
      </c>
      <c r="HV87">
        <f t="shared" si="233"/>
        <v>0</v>
      </c>
      <c r="HW87" t="str">
        <f t="shared" si="234"/>
        <v/>
      </c>
      <c r="HX87" t="str">
        <f t="shared" si="235"/>
        <v/>
      </c>
      <c r="HY87" t="str">
        <f t="shared" si="236"/>
        <v/>
      </c>
      <c r="HZ87" t="str">
        <f t="shared" si="237"/>
        <v/>
      </c>
      <c r="IA87" t="str">
        <f>IF(B87="","",IFERROR(VLOOKUP(B87,УГО_спр,2,FALSE),IFERROR(VLOOKUP(AX87,УГО_спр,2,FALSE),IFERROR(VLOOKUP(LEFT(AX87,2),УГО_спр,2,FALSE),""))))</f>
        <v>Привод (двигатель)</v>
      </c>
      <c r="IB87" t="str">
        <f>IF(B87="","",IF(OR(IA87="",IA87=0),"BOX",IFERROR(IF(VLOOKUP(IA87,УГО_блоки,3,FALSE)&amp;""&lt;&gt;"",VLOOKUP(IA87,УГО_блоки,3,FALSE),VLOOKUP(IA87,УГО_блоки,2,FALSE)),IA87)))</f>
        <v>MOTOR</v>
      </c>
      <c r="IC87">
        <f t="shared" si="238"/>
        <v>1</v>
      </c>
      <c r="ID87" t="str">
        <f>IF(DA87="","",IF(COUNTIF(DA$3:DA87,DA87)=1,MAX(ID$2:ID86)+1,""))</f>
        <v/>
      </c>
      <c r="IE87" t="str">
        <f>IF(CO87="","",IF(COUNTIF(CO$3:CO87,CO87)+COUNTIF(CP$2:CP86,CO87)+COUNTIF(CQ$2:CQ86,CO87)=1,MAX(IE$2:IG86)+1,""))</f>
        <v/>
      </c>
      <c r="IF87" t="str">
        <f>IF(CP87="","",IF(COUNTIF(CO$3:CO87,CP87)+COUNTIF(CP$3:CP87,CP87)+COUNTIF(CQ$2:CQ86,CP87)=1,MAX(IE$2:IG86,IE87)+1,""))</f>
        <v/>
      </c>
      <c r="IG87" t="str">
        <f>IF(CQ87="","",IF(COUNTIF(CO$3:CO87,CQ87)+COUNTIF(CP$3:CP87,CQ87)+COUNTIF(CQ$3:CQ87,CQ87)=1,MAX(IE$2:IG86,IE87,IF87)+1,""))</f>
        <v/>
      </c>
      <c r="IH87" t="str">
        <f t="shared" si="239"/>
        <v>5х4</v>
      </c>
      <c r="II87" t="str">
        <f>IF(IH87="","",IF(COUNTIF(IH$3:IH87,IH87)=1,MAX(II$2:II86)+1,""))</f>
        <v/>
      </c>
      <c r="IJ87" t="str">
        <f>IF(GL87="","",COUNTIF(GL$3:GL87,"?*"))</f>
        <v/>
      </c>
      <c r="IK87" t="str">
        <f>IF(OR(GL87="",GN87=""),"",IF(COUNTIFS(GL$3:GL87,"?*",GN$3:GN87,GN87)=1,MAX(IK$2:IK86)+1,""))</f>
        <v/>
      </c>
      <c r="IL87">
        <f t="shared" si="240"/>
        <v>0</v>
      </c>
      <c r="IM87">
        <f>IF(B87="","",COUNTIF(B$3:B87,"?*"))</f>
        <v>85</v>
      </c>
      <c r="IN87">
        <f>IF(GQ87&lt;&gt;1,0,_xlfn.LET(_xlpm.k,MAX(IFERROR(--VLOOKUP(B87,УГО_спр,5,FALSE),0),IFERROR(--VLOOKUP(AX87,УГО_спр,5,FALSE),0),IFERROR(--VLOOKUP(LEFT(AX87,2),УГО_спр,5,FALSE),0)),IF(_xlpm.k&gt;0,_xlpm.k,IF(IFERROR(--LEFT(SUBSTITUTE(IH87,"x","х"),FIND("х",SUBSTITUTE(IH87,"x","х"))-1),3)&gt;3,Каталог!$S$9,1))))</f>
        <v>1</v>
      </c>
      <c r="IO87">
        <f t="shared" si="241"/>
        <v>2</v>
      </c>
      <c r="IP87" t="str">
        <f t="shared" si="242"/>
        <v>авто</v>
      </c>
      <c r="IQ87" t="str">
        <f t="shared" si="243"/>
        <v/>
      </c>
      <c r="IR87">
        <f t="shared" si="244"/>
        <v>0</v>
      </c>
      <c r="IS87">
        <f t="shared" si="245"/>
        <v>1</v>
      </c>
    </row>
    <row r="88" spans="1:253" x14ac:dyDescent="0.3">
      <c r="A88" t="s">
        <v>751</v>
      </c>
      <c r="B88" t="s">
        <v>743</v>
      </c>
      <c r="C88" t="s">
        <v>55</v>
      </c>
      <c r="D88">
        <v>1</v>
      </c>
      <c r="E88">
        <v>0</v>
      </c>
      <c r="G88">
        <v>16</v>
      </c>
      <c r="H88" t="str">
        <f>Линии[[#This Row],[_авто утечка]]</f>
        <v/>
      </c>
      <c r="I88" t="str">
        <f>Линии[[#This Row],[_авто управление]]</f>
        <v/>
      </c>
      <c r="J88" t="str">
        <f>Линии[[#This Row],[_авто аппараты]]</f>
        <v/>
      </c>
      <c r="K88">
        <v>4</v>
      </c>
      <c r="L88">
        <v>34</v>
      </c>
      <c r="M88" t="str">
        <f>Линии[[#This Row],[_авто фаза]]</f>
        <v>L1,L2,L3</v>
      </c>
      <c r="N88" t="str">
        <f>Линии[[#This Row],[_авто клемма]]</f>
        <v/>
      </c>
      <c r="O88" t="str">
        <f t="shared" si="123"/>
        <v/>
      </c>
      <c r="P88" s="6" cm="1">
        <f t="array" ref="P88">IF(B88="","",IF(BC88&lt;&gt;"",IFERROR(_xlfn.XLOOKUP(BC88,Щиты[Щит],Щиты[Iр, А]),""),IF(BK88=1,IFERROR(_xlfn.XLOOKUP(A88,Щиты[Щит],Щиты[Iр, А]),""),IFERROR(_xlfn.IFS(BR88=1,BN88/((Uн_лин/SQRT(3))*BY88),BR88=3,BN88/(SQRT(3)*Uн_лин*BY88)),""))))</f>
        <v>8.1189881604791125</v>
      </c>
      <c r="Q88" s="7">
        <f>IF(B88="","",IFERROR(IF(VLOOKUP(AX88,Потребители_обозначение,4,FALSE)=1,VLOOKUP(AX88,Потребители_обозначение,3,FALSE)*(D88*2-1)+DS88+VLOOKUP(AZ88,Этаж_обозначение,3,FALSE)+VLOOKUP(AZ88,Этаж_обозначение,4,FALSE),VLOOKUP(AX88,Потребители_обозначение,3,FALSE)*(D88*2-1)+DS88),DS88))</f>
        <v>34</v>
      </c>
      <c r="R88" s="6">
        <f t="shared" si="124"/>
        <v>1.29</v>
      </c>
      <c r="S88" t="str">
        <f t="shared" si="125"/>
        <v>ВВГнг(А)-LS (5х4)</v>
      </c>
      <c r="T88" t="str">
        <f>IF(BH88="","",IF(BI88="вводной узел","узел ","")&amp;"л."&amp;(INT((BH88-1)/Столбцов_на_лист)+1)&amp;" / "&amp;(MOD(BH88-1,Столбцов_на_лист)+1))</f>
        <v>узел л.1 / 2</v>
      </c>
      <c r="V88">
        <v>3</v>
      </c>
      <c r="W88">
        <v>400</v>
      </c>
      <c r="X88" t="s">
        <v>549</v>
      </c>
      <c r="AF88" t="s">
        <v>1303</v>
      </c>
      <c r="AI88">
        <v>2</v>
      </c>
      <c r="AJ88" t="s">
        <v>11</v>
      </c>
      <c r="AK88">
        <v>5</v>
      </c>
      <c r="AM88">
        <v>16</v>
      </c>
      <c r="AN88">
        <v>18</v>
      </c>
      <c r="AP88">
        <v>1</v>
      </c>
      <c r="AW88" cm="1">
        <f t="array" ref="AW88">ROW()-ROW(Линии[#Headers])</f>
        <v>86</v>
      </c>
      <c r="AX88" s="6" t="str">
        <f t="shared" si="126"/>
        <v>Ввод</v>
      </c>
      <c r="AY88" t="str">
        <f t="shared" si="127"/>
        <v>1</v>
      </c>
      <c r="AZ88" t="str">
        <f t="shared" si="128"/>
        <v>1</v>
      </c>
      <c r="BA88" t="str">
        <f t="shared" si="129"/>
        <v/>
      </c>
      <c r="BB88" t="str">
        <f t="shared" si="130"/>
        <v/>
      </c>
      <c r="BC88" t="str">
        <f>IF(U88&lt;&gt;"",U88,IF(AND(B88&lt;&gt;"",B88&lt;&gt;A88,ISNUMBER(_xlfn.XMATCH(B88,Щиты[Щит]))),B88,""))</f>
        <v/>
      </c>
      <c r="BD88" t="str" cm="1">
        <f t="array" ref="BD88">IF(B88="","",IF(BC88&lt;&gt;"","Щит "&amp;BC88,_xlfn.LET(_xlpm.nm,IFERROR(_xlfn.XLOOKUP(AX88,Коды_код,Коды_имя)&amp;"",""),_xlpm.md,IFERROR(N(_xlfn.XLOOKUP(AX88,Коды_код,Коды_режим)),1),_xlpm.ex,IF(Имя_режим="по экспликации",IFERROR(_xlfn.XLOOKUP(AZ88&amp;"|"&amp;BB88,Экспликация[Этаж]&amp;"|"&amp;Экспликация[Помещение],Экспликация[Название])&amp;"",""),""),_xlpm.rm,IF(BB88="","",IF(_xlpm.ex&lt;&gt;"",". "&amp;_xlpm.ex&amp;IF(Имя_пом="нет"," ("&amp;BB88&amp;")"," (пом. "&amp;BB88&amp;")"),IF(Имя_пом="нет"," ",", пом. ")&amp;BB88)),IF(_xlpm.nm="","",IF(_xlpm.md=2,_xlpm.nm&amp;" шлейф "&amp;AZ88,_xlpm.nm&amp;_xlpm.rm)))))</f>
        <v>Вводной кабель шлейф 1</v>
      </c>
      <c r="BE88" t="str">
        <f t="shared" si="131"/>
        <v>Ввод</v>
      </c>
      <c r="BF88">
        <f>IFERROR(_xlfn.XMATCH(A88,Щиты[Щит]),0)</f>
        <v>5</v>
      </c>
      <c r="BG88">
        <f>_xlfn.LET(_xlpm.k,IFERROR(_xlfn.XLOOKUP(A88,Щиты[Щит],Щиты[Листов под вводной узел]),""),IF(_xlpm.k="",1,N(_xlpm.k))*Столбцов_на_лист)</f>
        <v>34</v>
      </c>
      <c r="BH88">
        <f t="shared" si="132"/>
        <v>2</v>
      </c>
      <c r="BI88" t="str">
        <f t="shared" si="133"/>
        <v>вводной узел</v>
      </c>
      <c r="BJ88" s="6">
        <f>IFERROR(N(_xlfn.XLOOKUP(AX88,Коды_код,Коды_квт)),0)</f>
        <v>0</v>
      </c>
      <c r="BK88">
        <f t="shared" si="134"/>
        <v>1</v>
      </c>
      <c r="BL88">
        <f>IF(B88="","",IF(BC88&lt;&gt;"",IFERROR(_xlfn.XLOOKUP(BC88,Щиты[Щит],Щиты[Руст, кВт]),0),IF(BK88=1,IFERROR(_xlfn.XLOOKUP(A88,Щиты[Щит],Щиты[Руст, кВт]),0),IF(BJ88&gt;0,ROUND(BJ88*MAX(1,N(D88)),3),""))))</f>
        <v>6.99</v>
      </c>
      <c r="BM88">
        <f t="shared" si="135"/>
        <v>0</v>
      </c>
      <c r="BN88" s="6">
        <f>IF(B88="","",IF(BC88&lt;&gt;"",IFERROR(_xlfn.XLOOKUP(BC88,Щиты[Щит],Щиты[Руст, кВт]),0),N(BM88)))</f>
        <v>0</v>
      </c>
      <c r="BO88" t="str">
        <f>IF(B88="","",IFERROR(IF(VLOOKUP(AX88,Потребители_обозначение,8,FALSE)=0,"",VLOOKUP(AX88,Потребители_обозначение,8,FALSE)),""))</f>
        <v/>
      </c>
      <c r="BP88">
        <f t="shared" si="136"/>
        <v>400</v>
      </c>
      <c r="BQ88">
        <f>IF(B88="","",IF(BC88&lt;&gt;"",3,IFERROR(IF(N(VLOOKUP(AX88,Потребители_обозначение,9,FALSE))=0,1,VLOOKUP(AX88,Потребители_обозначение,9,FALSE)),1)))</f>
        <v>1</v>
      </c>
      <c r="BR88">
        <f t="shared" si="137"/>
        <v>3</v>
      </c>
      <c r="BS88" t="str">
        <f>IF(B88="","",_xlfn.LET(_xlpm.bc,IFERROR(IF(VLOOKUP(AX88,Потребители_обозначение,6,FALSE)=0,"",VLOOKUP(AX88,Потребители_обозначение,6,FALSE)&amp;""),""),IF(AND(FK88="да",OR(_xlpm.bc="",_xlpm.bc="мс")),Марка_пож,IF(AND(_xlpm.bc="",BC88&lt;&gt;""),"мс",_xlpm.bc))))</f>
        <v/>
      </c>
      <c r="BT88" t="str">
        <f t="shared" si="138"/>
        <v>мс</v>
      </c>
      <c r="BU88">
        <f>IF(B88="","",_xlfn.LET(_xlpm.cc,IFERROR(N(VLOOKUP(AX88,Потребители_обозначение,7,FALSE)),0),IF(_xlpm.cc&gt;0,_xlpm.cc,IF(BT88="","",IF(N(BR88)=3,5,3)))))</f>
        <v>5</v>
      </c>
      <c r="BV88">
        <f t="shared" si="139"/>
        <v>5</v>
      </c>
      <c r="BW88">
        <f>IFERROR(N(VLOOKUP(AX88,Потребители_обозначение,10,FALSE)),0)</f>
        <v>0</v>
      </c>
      <c r="BX88">
        <f>IFERROR(VLOOKUP(AX88,Потребители_обозначение,5,FALSE),0)</f>
        <v>1</v>
      </c>
      <c r="BY88" s="6" cm="1">
        <f t="array" ref="BY88">IF(B88="","",IF(BC88&lt;&gt;"",IFERROR(_xlfn.XLOOKUP(BC88,Щиты[Щит],Щиты[cos φ]),0.95),IF(BK88=1,IFERROR(_xlfn.XLOOKUP(A88,Щиты[Щит],Щиты[cos φ]),0.95),IF(ISNUMBER(Z88),Z88,IFERROR(IF(BX88=2,_xlfn.IFS(BR88=3,VLOOKUP(BN88,Справочная_двигатели,8,FALSE),BR88=1,VLOOKUP(BN88,Справочная_двигатели,10,TRUE)),IF(AND(Методика="нормы 2026",EQ88="Сил"),0.8,0.95)),0.95)))))</f>
        <v>0.79999999999999982</v>
      </c>
      <c r="BZ88">
        <f t="shared" si="140"/>
        <v>0</v>
      </c>
      <c r="CA88">
        <f t="shared" si="141"/>
        <v>1</v>
      </c>
      <c r="CB88">
        <f t="shared" si="142"/>
        <v>0</v>
      </c>
      <c r="CC88">
        <f t="shared" si="143"/>
        <v>0</v>
      </c>
      <c r="CD88">
        <f t="shared" si="144"/>
        <v>0</v>
      </c>
      <c r="CE88">
        <f t="shared" si="145"/>
        <v>0</v>
      </c>
      <c r="CF88">
        <f t="shared" si="146"/>
        <v>0</v>
      </c>
      <c r="CG88">
        <f>IF(AX88="",0,_xlfn.LET(_xlpm.v,IFERROR(VLOOKUP(B88,УГО_спр,3,FALSE),IFERROR(VLOOKUP(AX88,УГО_спр,3,FALSE),IFERROR(VLOOKUP(LEFT(AX88,2),УГО_спр,3,FALSE),""))),IF(_xlpm.v="да",30,IF(ISNUMBER(_xlpm.v),_xlpm.v,0))))</f>
        <v>0</v>
      </c>
      <c r="CH88" t="str">
        <f t="shared" si="147"/>
        <v/>
      </c>
      <c r="CI88" t="str">
        <f>_xlfn.LET(_xlpm.k,IFERROR(_xlfn.XLOOKUP(AX88,Коды_код,Коды_утечка)&amp;"",""),IF(_xlpm.k="","дифавтомат",_xlpm.k))</f>
        <v>дифавтомат</v>
      </c>
      <c r="CJ88">
        <f t="shared" si="148"/>
        <v>0</v>
      </c>
      <c r="CK88">
        <f t="shared" si="149"/>
        <v>0</v>
      </c>
      <c r="CL88">
        <f>IF(B88="",0,IFERROR(--VLOOKUP(B88,УГО_спр,4,FALSE),IFERROR(--VLOOKUP(AX88,УГО_спр,4,FALSE),IFERROR(--VLOOKUP(LEFT(AX88,2),УГО_спр,4,FALSE),0))))</f>
        <v>0</v>
      </c>
      <c r="CM88" t="str">
        <f>IF(B88="","",IFERROR(_xlfn.XLOOKUP(AX88,Коды_код,Коды_апп)&amp;"",""))</f>
        <v/>
      </c>
      <c r="CN88" t="str">
        <f t="shared" si="150"/>
        <v/>
      </c>
      <c r="CO88" t="str" cm="1">
        <f t="array" ref="CO88">IF(TRIM(CN88&amp;"")="","",IFERROR(TRIM(INDEX(_xlfn.TEXTSPLIT(CN88&amp;";;;",";"),1)),""))</f>
        <v/>
      </c>
      <c r="CP88" t="str" cm="1">
        <f t="array" ref="CP88">IF(TRIM(CN88&amp;"")="","",IFERROR(TRIM(INDEX(_xlfn.TEXTSPLIT(CN88&amp;";;;",";"),2)),""))</f>
        <v/>
      </c>
      <c r="CQ88" t="str" cm="1">
        <f t="array" ref="CQ88">IF(TRIM(CN88&amp;"")="","",IFERROR(TRIM(INDEX(_xlfn.TEXTSPLIT(CN88&amp;";;;",";"),3)),""))</f>
        <v/>
      </c>
      <c r="CR88">
        <f t="shared" si="151"/>
        <v>0</v>
      </c>
      <c r="CS88" t="str">
        <f>IF(B88="","",_xlfn.LET(_xlpm.t,LOWER(AV88&amp;""),IF(ISNUMBER(SEARCH("dim",_xlpm.t)),"DIM",IF(ISNUMBER(SEARCH("dali",_xlpm.t)),"DALI",IF(OR(ISNUMBER(SEARCH("relay",_xlpm.t)),ISNUMBER(SEARCH("реле",_xlpm.t))),"Relay",IF(ISNUMBER(SEARCH("кнопк",_xlpm.t)),"",IFERROR(_xlfn.XLOOKUP(AX88,Коды_код,Коды_упр)&amp;"","")))))))</f>
        <v/>
      </c>
      <c r="CT88" t="str">
        <f t="shared" si="152"/>
        <v/>
      </c>
      <c r="CU88">
        <f>IF(B88="","",_xlfn.LET(_xlpm.ig,N(P88)+IF(AF88="вручную",0,N(CB88)),_xlpm.n0,IFERROR(VLOOKUP(_xlpm.ig,Автомат_номиналы,2,TRUE),0),_xlpm.mn,MAX(CL88,IF(AF88="вручную",0,N(CE88))),MAX(_xlpm.n0,_xlpm.mn,IF(CR88=1,Мин_автомат_БП,0))))</f>
        <v>10</v>
      </c>
      <c r="CV88">
        <f t="shared" si="153"/>
        <v>3</v>
      </c>
      <c r="CW88" t="str">
        <f t="shared" si="154"/>
        <v>3P</v>
      </c>
      <c r="CX88" t="str">
        <f>_xlfn.LET(_xlpm.cc,UPPER(TRIM(IFERROR(_xlfn.XLOOKUP(AX88,Коды_код,Коды_хар)&amp;"",""))),IF(OR(_xlpm.cc="B",_xlpm.cc="В"),"B",IF(_xlpm.cc="D","D","С")))</f>
        <v>С</v>
      </c>
      <c r="CY88" t="str">
        <f t="shared" si="155"/>
        <v>3P С10А</v>
      </c>
      <c r="CZ88">
        <f t="shared" si="156"/>
        <v>16</v>
      </c>
      <c r="DA88" t="str">
        <f t="shared" si="157"/>
        <v>3P С16А</v>
      </c>
      <c r="DB88" cm="1">
        <f t="array" ref="DB88">IF(DA88="","",_xlfn.LET(_xlpm.t,SUBSTITUTE(SUBSTITUTE(SUBSTITUTE(UPPER(DA88),"С","C"),"А","A"),"В","B"),_xlpm.tk,_xlfn.TEXTSPLIT(_xlpm.t,"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88" t="str">
        <f t="shared" si="158"/>
        <v>узел</v>
      </c>
      <c r="DD88">
        <f t="shared" si="159"/>
        <v>16</v>
      </c>
      <c r="DE88" t="str">
        <f t="shared" si="160"/>
        <v>3P С16А</v>
      </c>
      <c r="DF88">
        <f t="shared" si="161"/>
        <v>0</v>
      </c>
      <c r="DG88">
        <f t="shared" si="162"/>
        <v>0</v>
      </c>
      <c r="DH88">
        <f t="shared" si="163"/>
        <v>0</v>
      </c>
      <c r="DI88">
        <f t="shared" si="164"/>
        <v>8.1189881604791125</v>
      </c>
      <c r="DJ88">
        <f t="shared" si="165"/>
        <v>0.92</v>
      </c>
      <c r="DK88">
        <f>IF(ISNUMBER(AL88),AL88,К_прокл)</f>
        <v>1</v>
      </c>
      <c r="DL88">
        <f t="shared" si="166"/>
        <v>3</v>
      </c>
      <c r="DM88">
        <f>IFERROR(N(VLOOKUP(BT88,Кабель_обозначение,3,FALSE)),1)</f>
        <v>1</v>
      </c>
      <c r="DN88">
        <f>IFERROR(N(_xlfn.XLOOKUP(A88,Щиты[Щит],Щиты[ΔU до шин, %])),0)</f>
        <v>0.74</v>
      </c>
      <c r="DO88" t="str">
        <f>IFERROR(_xlfn.XLOOKUP(A88,Щиты[Щит],Щиты[Zпетли на шинах, Ом]),"")</f>
        <v/>
      </c>
      <c r="DP88">
        <f>IFERROR(N(_xlfn.XLOOKUP(A88,Щиты[Щит],Щиты[ΔU до шин (подбор), %])),0)</f>
        <v>1.96</v>
      </c>
      <c r="DQ88" t="str">
        <f>IFERROR(_xlfn.XLOOKUP(A88,Щиты[Щит],Щиты[Zпетли на шинах (подбор), Ом]),"")</f>
        <v/>
      </c>
      <c r="DR88" t="str">
        <f t="shared" si="167"/>
        <v/>
      </c>
      <c r="DS88">
        <f t="shared" si="168"/>
        <v>34</v>
      </c>
      <c r="DT88">
        <f t="shared" si="169"/>
        <v>1</v>
      </c>
      <c r="DU88">
        <f t="shared" si="170"/>
        <v>0.6</v>
      </c>
      <c r="DV88" s="6">
        <f>IF(B88="","",IF(IFERROR(VLOOKUP(AX88,УГО_спр,2,FALSE),"")="Светильник",3,4)+IF(Методика="нормы 2026",MIN(0.5,MAX(0,N(Q88)-100)*0.005),0))</f>
        <v>4</v>
      </c>
      <c r="DW88" cm="1">
        <f t="array" ref="DW88">IF(OR(B88="",BT88="",DM88&lt;&gt;1),"",_xlfn.LET(_xlpm.sz,Iдоп_S,_xlpm.t_,CHOOSE(DL88,Iдоп_1ж,Iдоп_2ж,Iдоп_3ж)*DJ88*DK88,_xlpm.inn,N(DD88),_xlpm.smin,MAX(1.5,BW88),_xlpm.L_,N(Q88)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88)*(_xlpm.rho*_xlpm.L_/_xlpm.sz*N(BY88)+_xlpm.xx*_xlpm.L_*N(DU88)/1000)*N(P88)/((Uн_лин/SQRT(3))*1000)*100,999),_xlpm.kz,IF(OR(DG88=1,NOT(ISNUMBER(DQ88)),_xlpm.L_=0,_xlpm.inn=0),1,IFERROR(--(c_min*(Uн_лин*1000/SQRT(3))/(DQ88+2*ρкз_Cu*_xlpm.L_/_xlpm.sz)&gt;=GY88*_xlpm.inn),0)),_xlpm.ok,IFERROR((_xlpm.sz&gt;=_xlpm.smin)*(_xlpm.t_&gt;=_xlpm.inn)*IF(_xlpm.L_&gt;0,(_xlpm.du_+DP88&lt;=DV88+0.00001),1)*_xlpm.kz,0),_xlpm.r_,_xlfn._xlws.FILTER(_xlpm.sz,_xlpm.ok,"не подобрано"),INDEX(_xlpm.r_,1)))</f>
        <v>1.5</v>
      </c>
      <c r="DX88">
        <f t="shared" si="171"/>
        <v>4</v>
      </c>
      <c r="DY88" cm="1">
        <f t="array" ref="DY88">IF(OR(B88="",BT88="",DM88&lt;&gt;1),"",_xlfn.LET(_xlpm.sz,Iдоп_S,_xlpm.t_,CHOOSE(DL88,Iдоп_1ж,Iдоп_2ж,Iдоп_3ж)*DJ88*DK88,_xlpm.ok,IFERROR((_xlpm.sz&gt;=MAX(1.5,BW88))*(_xlpm.t_&gt;=N(DD88)),0),_xlpm.r_,_xlfn._xlws.FILTER(_xlpm.sz,_xlpm.ok,""),INDEX(_xlpm.r_,1)))</f>
        <v>1.5</v>
      </c>
      <c r="DZ88" s="6" cm="1">
        <f t="array" ref="DZ88">IFERROR(ROUNDUP(N(DT88)*(_xlfn.XLOOKUP(DY88,INDEX(Кабель_сопротивление,0,1),INDEX(Кабель_сопротивление,0,3))*N(Q88)/DY88*N(BY88)+_xlfn.XLOOKUP(DY88,INDEX(Кабель_сопротивление,0,1),INDEX(Кабель_сопротивление,0,2))*N(Q88)*N(DU88)/1000)*N(P88)/((Uн_лин/SQRT(3))*1000)*100,2),"")</f>
        <v>1.45</v>
      </c>
      <c r="EA88">
        <f>IFERROR(2*ρкз_Cu*N(Q88)/DY88,"")</f>
        <v>1.1922666666666666</v>
      </c>
      <c r="EB88">
        <f>IFERROR(VLOOKUP(DX88,Кабель_сопротивление,3,FALSE),"")</f>
        <v>2.2499999999999999E-2</v>
      </c>
      <c r="EC88">
        <f>IFERROR(VLOOKUP(DX88,Кабель_сопротивление,2,FALSE),"")</f>
        <v>9.5000000000000001E-2</v>
      </c>
      <c r="ED88">
        <f t="shared" si="172"/>
        <v>18</v>
      </c>
      <c r="EE88">
        <f t="shared" si="173"/>
        <v>0</v>
      </c>
      <c r="EF88">
        <f t="shared" si="174"/>
        <v>1.2579397876083125</v>
      </c>
      <c r="EG88" s="6">
        <f>IFERROR(ROUNDUP(EF88/((Uн_лин/SQRT(3))*1000)*100,2),"")</f>
        <v>0.55000000000000004</v>
      </c>
      <c r="EH88" t="str">
        <f>IFERROR(VLOOKUP(BT88,Кабель_обозначение,2,FALSE),"")</f>
        <v>ВВГнг(А)-LS</v>
      </c>
      <c r="EI88" t="str">
        <f t="shared" si="175"/>
        <v>ВВГнг(А)-LS (5х4)</v>
      </c>
      <c r="EJ88" t="str">
        <f t="shared" si="176"/>
        <v>ВВГнг(А)-LS (5х4)
L=34-0,55%</v>
      </c>
      <c r="EK88">
        <f>IFERROR(2*ρкз_Cu*Q88/DX88,"")</f>
        <v>0.4471</v>
      </c>
      <c r="EL88">
        <f t="shared" si="177"/>
        <v>0.14875000000000002</v>
      </c>
      <c r="EM88" s="6" t="str">
        <f>IFERROR(IF(OR(B88="",NOT(ISNUMBER(DX88)),N(Q88)=0),"",_xlfn.XLOOKUP(A88,Щиты[Щит],Щиты[Zпетли на шинах, Ом])+EK88),"")</f>
        <v/>
      </c>
      <c r="EN88" s="6" t="str">
        <f>IF(ISNUMBER(EM88),c_min*(Uн_лин*1000/SQRT(3))/EM88,"")</f>
        <v/>
      </c>
      <c r="EO88" s="6" t="str">
        <f>IFERROR(IF(OR(B88="",NOT(ISNUMBER(DX88))),"",1.05*(Uн_лин*1000/SQRT(3))/(_xlfn.XLOOKUP(A88,Щиты[Щит],Щиты[Zmax на шинах, Ом])+EL88)/1000),"")</f>
        <v/>
      </c>
      <c r="EP88" s="6" t="str">
        <f>IF(B88="","",IF(ISNUMBER(Y88),"Сил",IF(IFERROR(_xlfn.XLOOKUP(AX88,Коды_код,Коды_группа)&amp;"","")="","Быт",_xlfn.XLOOKUP(AX88,Коды_код,Коды_группа)&amp;"")))</f>
        <v>Быт</v>
      </c>
      <c r="EQ88" s="6" t="str">
        <f t="shared" si="178"/>
        <v>Нет</v>
      </c>
      <c r="ER88" s="6">
        <f>IF(EQ88="Щит","щит",IF(EQ88="","",IF(EQ88="Быт",IFERROR(_xlfn.XLOOKUP(A88,Щиты[Щит],Щиты[Кс быт]),1),IF(EQ88="Сил",IF(ISNUMBER(Y88),Y88,IF(Методика="нормы 2026",IFERROR(_xlfn.XLOOKUP(A88,Щиты[Щит],Щиты[Кс силовых (табл. 7.5)]),1),1)),IF(OR(EQ88="Пост",EQ88="Отоп"),1,IF(EQ88="ВНГ",0.7,0))))))</f>
        <v>0</v>
      </c>
      <c r="ES88">
        <f t="shared" si="179"/>
        <v>1</v>
      </c>
      <c r="ET88">
        <f t="shared" si="180"/>
        <v>0</v>
      </c>
      <c r="EU88">
        <f t="shared" si="181"/>
        <v>0</v>
      </c>
      <c r="EV88">
        <f t="shared" si="182"/>
        <v>0</v>
      </c>
      <c r="EW88">
        <f t="shared" si="183"/>
        <v>0</v>
      </c>
      <c r="EX88">
        <f t="shared" si="184"/>
        <v>0</v>
      </c>
      <c r="EY88">
        <f t="shared" si="185"/>
        <v>0</v>
      </c>
      <c r="EZ88">
        <f t="shared" si="186"/>
        <v>0</v>
      </c>
      <c r="FA88">
        <f t="shared" si="187"/>
        <v>0</v>
      </c>
      <c r="FB88">
        <f t="shared" si="188"/>
        <v>0</v>
      </c>
      <c r="FC88" t="str">
        <f t="shared" si="189"/>
        <v/>
      </c>
      <c r="FD88" t="str">
        <f>IF(B88="","",IF(CA88=0,IF(AW88=1,"",FF87),IF(OR(N(CV88)&gt;=3,N(BR88)&gt;=3),"L1,L2,L3",IFERROR(_xlfn.TEXTBEFORE(_xlfn.TEXTAFTER(_xlfn.XLOOKUP(A88,Щиты[Щит],Щиты[_фазы авто]),";"&amp;AW88&amp;":"),";"),"L1"))))</f>
        <v>L1,L2,L3</v>
      </c>
      <c r="FE88" t="str">
        <f t="shared" si="190"/>
        <v>L1,L2,L3</v>
      </c>
      <c r="FF88" t="str">
        <f t="shared" si="191"/>
        <v>L1,L2,L3</v>
      </c>
      <c r="FG88" cm="1">
        <f t="array" ref="FG88">IFERROR(IF(BX88=2,_xlfn.IFS(BR88=3,VLOOKUP(BN88,Справочная_двигатели,3,FALSE),BR88=1,VLOOKUP(BN88,Справочная_двигатели,5,TRUE)),0),0)</f>
        <v>0</v>
      </c>
      <c r="FH88">
        <f>IFERROR(IF(BX88=3,VLOOKUP(BN88,Справочная_ЛЭД,2,TRUE),0),0)</f>
        <v>0</v>
      </c>
      <c r="FI88" s="6">
        <f t="shared" si="192"/>
        <v>0</v>
      </c>
      <c r="FJ88" t="str" cm="1">
        <f t="array" ref="FJ88">IF(B88="","",IFERROR(INDEX({"I особая","I","II","III"},MATCH(TRIM(AC88&amp;""),{"I особая","I","II","III"},0)),"III"))</f>
        <v>III</v>
      </c>
      <c r="FK88" t="str">
        <f>IF(B88="","",IF(TRIM(AD88&amp;"")&lt;&gt;"",IF(LOWER(TRIM(AD88&amp;""))="да","да","нет"),IF(IFERROR(_xlfn.XLOOKUP(AX88,Коды_код,Коды_пожарная),"")="да","да","нет")))</f>
        <v>нет</v>
      </c>
      <c r="FL88" t="str">
        <f t="shared" si="193"/>
        <v/>
      </c>
      <c r="FM88" t="str">
        <f t="shared" si="194"/>
        <v>основная</v>
      </c>
      <c r="FN88">
        <f t="shared" si="195"/>
        <v>1</v>
      </c>
      <c r="FO88" t="str" cm="1">
        <f t="array" ref="FO88">IF(B88="","",_xlfn.LET(_xlpm.t,IFERROR(_xlfn.XLOOKUP(1,(Шины[Шина]=FM88)*(((Шины[Щит]=A88)+(Шины[Щит]=""))&gt;0),Шины[Тип]),"")&amp;"",IF(_xlpm.t&lt;&gt;"",_xlpm.t,IF(ISNUMBER(SEARCH("ИБП",FM88)),"ИБП",IF(ISNUMBER(SEARCH("ДГУ",FM88)),"ДГУ","Ввод "&amp;FN88)))))</f>
        <v>Ввод 1</v>
      </c>
      <c r="FP88" t="str">
        <f t="shared" si="196"/>
        <v>Ввод 1</v>
      </c>
      <c r="FQ88" t="str">
        <f>IF(B88="","",IF(OR(FO88="ИБП",FO88="ДГУ"),"I особая",IF(FO88="Одиночная","III",_xlfn.XLOOKUP(A88,Щиты[Щит],Щиты[Категория шины «Ввод»],"III"))))</f>
        <v>II</v>
      </c>
      <c r="FR88">
        <f>IF(B88="",0,IFERROR(MATCH(FJ88,{"III","II","I","I особая"},0),1))</f>
        <v>1</v>
      </c>
      <c r="FS88">
        <f t="shared" si="197"/>
        <v>1</v>
      </c>
      <c r="FT88" t="str">
        <f>IF(B88="","",IF(FR88&gt;IFERROR(MATCH(FQ88,{"III","II","I","I особая"},0),1),"НЕ ОБЕСПЕЧЕНА","ОК"))</f>
        <v>ОК</v>
      </c>
      <c r="FU88" t="str">
        <f>IF(A88="","",_xlfn.XLOOKUP(A88,Щиты[Щит],Щиты[Путь],""))</f>
        <v>|ГРЩ-ЖД|ЩОВ-002|</v>
      </c>
      <c r="FV88" t="str">
        <f>IF(B88="","",IF(AE88&lt;&gt;"",AE88,IF(IFERROR(_xlfn.XLOOKUP(AX88,Коды_код,Коды_вид)&amp;"","")="","Прочее",_xlfn.XLOOKUP(AX88,Коды_код,Коды_вид)&amp;"")))</f>
        <v>Прочее</v>
      </c>
      <c r="FW88">
        <f>IF(BH88="","",INT((BH88-1)/Столбцов_на_лист)+1)</f>
        <v>1</v>
      </c>
      <c r="FX88" t="str">
        <f t="shared" si="198"/>
        <v>ВВГнг(А)-LS (5х4) L=34-0,55%</v>
      </c>
      <c r="FY88">
        <f t="shared" si="199"/>
        <v>0</v>
      </c>
      <c r="FZ88">
        <f t="shared" si="200"/>
        <v>8.1199999999999992</v>
      </c>
      <c r="GA88">
        <f t="shared" si="201"/>
        <v>3</v>
      </c>
      <c r="GB88">
        <f t="shared" si="202"/>
        <v>0</v>
      </c>
      <c r="GC88">
        <f t="shared" si="203"/>
        <v>0</v>
      </c>
      <c r="GD88" t="str">
        <f>IF(BH88="","",IF(AND(CA88=1,GC88=1),COUNTIFS(A$3:A88,A88,CA$3:CA88,1,GC$3:GC88,1),IF(OR(OR(AW88=1,A88&lt;&gt;A87),AF88="вручную",GC88=0),"",IF(AW88=1,"",GE87))))</f>
        <v/>
      </c>
      <c r="GE88" t="str">
        <f t="shared" si="204"/>
        <v/>
      </c>
      <c r="GF88">
        <f>IF(B88="","",IFERROR(LOOKUP(INDEX(CHOOSE(DL88,Iдоп_1ж,Iдоп_2ж,Iдоп_3ж),MATCH(DX88,Iдоп_S,0))*DJ88*DK88,{6,10,16,20,25,32,40,50,63,80,100,125,160,200,250,315,400,500,630}),""))</f>
        <v>32</v>
      </c>
      <c r="GG88" t="str">
        <f t="shared" si="205"/>
        <v/>
      </c>
      <c r="GH88" t="str">
        <f t="shared" si="206"/>
        <v/>
      </c>
      <c r="GI88" t="str">
        <f t="shared" si="207"/>
        <v/>
      </c>
      <c r="GJ88">
        <f t="shared" si="208"/>
        <v>0</v>
      </c>
      <c r="GK88" t="str">
        <f>IF(OR(AG88="",AG88="-"),"",IFERROR(VLOOKUP(AG88,Модули_спр,2,FALSE),"R"))</f>
        <v/>
      </c>
      <c r="GL88" t="str">
        <f>IF(GK88="","",GK88&amp;"."&amp;COUNTIFS(A$3:A88,A88,GK$3:GK88,GK88))</f>
        <v/>
      </c>
      <c r="GM88" t="str">
        <f t="shared" si="209"/>
        <v/>
      </c>
      <c r="GN88" t="str">
        <f t="shared" si="210"/>
        <v/>
      </c>
      <c r="GO88" t="str">
        <f t="shared" si="211"/>
        <v/>
      </c>
      <c r="GP88" t="str">
        <f t="shared" si="212"/>
        <v/>
      </c>
      <c r="GQ88">
        <f t="shared" si="213"/>
        <v>0</v>
      </c>
      <c r="GR88" t="str">
        <f>IF(GQ88=1,"XT"&amp;COUNTIFS(A$3:A88,A88,GQ$3:GQ88,1),"")</f>
        <v/>
      </c>
      <c r="GS88" t="str">
        <f t="shared" si="214"/>
        <v/>
      </c>
      <c r="GT88" t="str">
        <f t="shared" si="215"/>
        <v/>
      </c>
      <c r="GU88" t="str">
        <f t="shared" si="216"/>
        <v/>
      </c>
      <c r="GV88" t="str">
        <f t="shared" si="217"/>
        <v>ok</v>
      </c>
      <c r="GW88" t="str">
        <f>IF(OR(GO88="",GM88=""),"",IF(GO88&gt;IFERROR(VLOOKUP(GN88,Модули_спр,3,FALSE),99),"ЛИШНИЙ КАНАЛ",IF(AND(AH88&lt;&gt;"=",COUNTIFS(Линии[_модуль гр.],GM88,Линии[Канал (итог)],GO88,Линии[Канал],"&lt;&gt;=",Линии[Щит],A88)&gt;1),"ДУБЛЬ КАНАЛА","")))</f>
        <v/>
      </c>
      <c r="GX88" s="6" t="str">
        <f t="shared" si="218"/>
        <v/>
      </c>
      <c r="GY88">
        <f t="shared" si="219"/>
        <v>10</v>
      </c>
      <c r="GZ88" t="str">
        <f t="shared" si="220"/>
        <v/>
      </c>
      <c r="HA88" t="str">
        <f>IF(AND(B88="",GT88=""),"",_xlfn.TEXTJOIN("; ",TRUE,IF(AND(B88&lt;&gt;"",FE88=""),"нет фазы",""),IF(AND(B88&lt;&gt;"",N(FY88)=0,EQ88&lt;&gt;"Нет"),"нет мощности",""),IF(AND(GS88&lt;&gt;"",COUNTIFS(Линии[Щит],A88,Линии[Клемма (итог)],GS88)&gt;1),"дубль клеммы "&amp;GS88,""),IF(AND(GV88&lt;&gt;"",GV88&lt;&gt;"ok"),GV88,""),IF(GW88&lt;&gt;"",GW88,""),IF(AND(N(BV88)&gt;=4,N(BR88)=1),BV88&amp;" жил на 1 фазе",""),IF(AND(AX88="R",CA88=1,OR(N(CK88)=0,N(CK88)&gt;30)),"розетка без дифзащиты до 30 мА",""),IFERROR(IF(AND(ISNUMBER(R88),R88&gt;DV88),"потери "&amp;FIXED(R88,1)&amp;" % &gt; "&amp;DV88&amp;" %",""),""),IFERROR(IF(LEFT(GZ88,4)="мало","Iкз мало — отключение &gt; 0,4 с",""),""),IF(AND(B88&lt;&gt;"",BH88=""),"не на схеме",""),IF(AND(CA88=0,B88&lt;&gt;"",FE88&lt;&gt;"",IF(AW88=1,"",FF87)&lt;&gt;"",FE88&lt;&gt;IF(AW88=1,"",FF87)),"фаза не как у автомата группы ("&amp;IF(AW88=1,"",FF87)&amp;")","")))</f>
        <v/>
      </c>
      <c r="HB88" s="6" t="str">
        <f>IF(OR(CA88=0,DA88=""),"",_xlfn.LET(_xlpm.t,IFERROR(_xlfn.XLOOKUP(DA88,Каталог!$U$4:$U$500,Каталог!$G$4:$G$500),""),_xlpm.k,SEARCH("кА",_xlpm.t),IFERROR(--TRIM(RIGHT(SUBSTITUTE(MID(_xlpm.t,MAX(1,_xlpm.k-4),_xlpm.k-MAX(1,_xlpm.k-4))," ",REPT(" ",9)),5)),"")))</f>
        <v/>
      </c>
      <c r="HC88" t="str">
        <f>IF(OR(HB88="",CA88=0),"",IF(_xlfn.XLOOKUP(A88,Щиты[Щит],Щиты[Iкз max на шинах, кА],"")="","",IF(HB88&lt;_xlfn.XLOOKUP(A88,Щиты[Щит],Щиты[Iкз max на шинах, кА]),"Icu "&amp;HB88&amp;" кА &lt; Iкз max","ok")))</f>
        <v/>
      </c>
      <c r="HD88" t="str">
        <f t="shared" si="221"/>
        <v/>
      </c>
      <c r="HE88" t="str">
        <f t="shared" si="222"/>
        <v/>
      </c>
      <c r="HF88" t="str">
        <f t="shared" si="223"/>
        <v/>
      </c>
      <c r="HG88" t="str" cm="1">
        <f t="array" ref="HG88">IF(HF88="","",_xlfn.LET(_xlpm.nd,_xlfn.TEXTSPLIT(HF88,"|"),IF(COLUMNS(_xlpm.nd)&gt;1,A88&amp;"¦"&amp;INDEX(_xlpm.nd,1)&amp;"¦"&amp;INDEX(_xlpm.nd,2),"")))</f>
        <v/>
      </c>
      <c r="HH88" t="str">
        <f t="shared" si="224"/>
        <v/>
      </c>
      <c r="HI88" t="str" cm="1">
        <f t="array" ref="HI88">IF(HF88="","",_xlfn.LET(_xlpm.nd,_xlfn.TEXTSPLIT(HF88,"|"),IF(COLUMNS(_xlpm.nd)&gt;2,A88&amp;"¦"&amp;INDEX(_xlpm.nd,2)&amp;"¦"&amp;INDEX(_xlpm.nd,3),"")))</f>
        <v/>
      </c>
      <c r="HJ88" t="str">
        <f t="shared" si="225"/>
        <v/>
      </c>
      <c r="HK88" t="str" cm="1">
        <f t="array" ref="HK88">IF(HF88="","",_xlfn.LET(_xlpm.nd,_xlfn.TEXTSPLIT(HF88,"|"),IF(COLUMNS(_xlpm.nd)&gt;3,A88&amp;"¦"&amp;INDEX(_xlpm.nd,3)&amp;"¦"&amp;INDEX(_xlpm.nd,4),"")))</f>
        <v/>
      </c>
      <c r="HL88" t="str">
        <f t="shared" si="226"/>
        <v/>
      </c>
      <c r="HM88" t="str" cm="1">
        <f t="array" ref="HM88">IF(HF88="","",_xlfn.LET(_xlpm.nd,_xlfn.TEXTSPLIT(HF88,"|"),IF(COLUMNS(_xlpm.nd)&gt;4,A88&amp;"¦"&amp;INDEX(_xlpm.nd,4)&amp;"¦"&amp;INDEX(_xlpm.nd,5),"")))</f>
        <v/>
      </c>
      <c r="HN88" t="str">
        <f t="shared" si="227"/>
        <v/>
      </c>
      <c r="HO88" t="str" cm="1">
        <f t="array" ref="HO88">IF(HF88="","",_xlfn.LET(_xlpm.nd,_xlfn.TEXTSPLIT(HF88,"|"),IF(COLUMNS(_xlpm.nd)&gt;5,A88&amp;"¦"&amp;INDEX(_xlpm.nd,5)&amp;"¦"&amp;INDEX(_xlpm.nd,6),"")))</f>
        <v/>
      </c>
      <c r="HP88" t="str">
        <f t="shared" si="228"/>
        <v/>
      </c>
      <c r="HQ88" t="str" cm="1">
        <f t="array" ref="HQ88">IF(HF88="","",_xlfn.LET(_xlpm.nd,_xlfn.TEXTSPLIT(HF88,"|"),IF(COLUMNS(_xlpm.nd)&gt;6,A88&amp;"¦"&amp;INDEX(_xlpm.nd,6)&amp;"¦"&amp;INDEX(_xlpm.nd,7),"")))</f>
        <v/>
      </c>
      <c r="HR88" t="str">
        <f t="shared" si="229"/>
        <v/>
      </c>
      <c r="HS88" t="str">
        <f t="shared" si="230"/>
        <v/>
      </c>
      <c r="HT88" t="str">
        <f t="shared" si="231"/>
        <v/>
      </c>
      <c r="HU88">
        <f t="shared" si="232"/>
        <v>0</v>
      </c>
      <c r="HV88">
        <f t="shared" si="233"/>
        <v>0</v>
      </c>
      <c r="HW88" t="str">
        <f t="shared" si="234"/>
        <v/>
      </c>
      <c r="HX88" t="str">
        <f t="shared" si="235"/>
        <v/>
      </c>
      <c r="HY88" t="str">
        <f t="shared" si="236"/>
        <v/>
      </c>
      <c r="HZ88" t="str">
        <f t="shared" si="237"/>
        <v/>
      </c>
      <c r="IA88">
        <f>IF(B88="","",IFERROR(VLOOKUP(B88,УГО_спр,2,FALSE),IFERROR(VLOOKUP(AX88,УГО_спр,2,FALSE),IFERROR(VLOOKUP(LEFT(AX88,2),УГО_спр,2,FALSE),""))))</f>
        <v>0</v>
      </c>
      <c r="IB88" t="str">
        <f>IF(B88="","",IF(OR(IA88="",IA88=0),"BOX",IFERROR(IF(VLOOKUP(IA88,УГО_блоки,3,FALSE)&amp;""&lt;&gt;"",VLOOKUP(IA88,УГО_блоки,3,FALSE),VLOOKUP(IA88,УГО_блоки,2,FALSE)),IA88)))</f>
        <v>BOX</v>
      </c>
      <c r="IC88">
        <f t="shared" si="238"/>
        <v>1</v>
      </c>
      <c r="ID88" t="str">
        <f>IF(DA88="","",IF(COUNTIF(DA$3:DA88,DA88)=1,MAX(ID$2:ID87)+1,""))</f>
        <v/>
      </c>
      <c r="IE88" t="str">
        <f>IF(CO88="","",IF(COUNTIF(CO$3:CO88,CO88)+COUNTIF(CP$2:CP87,CO88)+COUNTIF(CQ$2:CQ87,CO88)=1,MAX(IE$2:IG87)+1,""))</f>
        <v/>
      </c>
      <c r="IF88" t="str">
        <f>IF(CP88="","",IF(COUNTIF(CO$3:CO88,CP88)+COUNTIF(CP$3:CP88,CP88)+COUNTIF(CQ$2:CQ87,CP88)=1,MAX(IE$2:IG87,IE88)+1,""))</f>
        <v/>
      </c>
      <c r="IG88" t="str">
        <f>IF(CQ88="","",IF(COUNTIF(CO$3:CO88,CQ88)+COUNTIF(CP$3:CP88,CQ88)+COUNTIF(CQ$3:CQ88,CQ88)=1,MAX(IE$2:IG87,IE88,IF88)+1,""))</f>
        <v/>
      </c>
      <c r="IH88" t="str">
        <f t="shared" si="239"/>
        <v/>
      </c>
      <c r="II88" t="str">
        <f>IF(IH88="","",IF(COUNTIF(IH$3:IH88,IH88)=1,MAX(II$2:II87)+1,""))</f>
        <v/>
      </c>
      <c r="IJ88" t="str">
        <f>IF(GL88="","",COUNTIF(GL$3:GL88,"?*"))</f>
        <v/>
      </c>
      <c r="IK88" t="str">
        <f>IF(OR(GL88="",GN88=""),"",IF(COUNTIFS(GL$3:GL88,"?*",GN$3:GN88,GN88)=1,MAX(IK$2:IK87)+1,""))</f>
        <v/>
      </c>
      <c r="IL88">
        <f t="shared" si="240"/>
        <v>0</v>
      </c>
      <c r="IM88">
        <f>IF(B88="","",COUNTIF(B$3:B88,"?*"))</f>
        <v>86</v>
      </c>
      <c r="IN88">
        <f>IF(GQ88&lt;&gt;1,0,_xlfn.LET(_xlpm.k,MAX(IFERROR(--VLOOKUP(B88,УГО_спр,5,FALSE),0),IFERROR(--VLOOKUP(AX88,УГО_спр,5,FALSE),0),IFERROR(--VLOOKUP(LEFT(AX88,2),УГО_спр,5,FALSE),0)),IF(_xlpm.k&gt;0,_xlpm.k,IF(IFERROR(--LEFT(SUBSTITUTE(IH88,"x","х"),FIND("х",SUBSTITUTE(IH88,"x","х"))-1),3)&gt;3,Каталог!$S$9,1))))</f>
        <v>0</v>
      </c>
      <c r="IO88">
        <f t="shared" si="241"/>
        <v>0</v>
      </c>
      <c r="IP88" t="str">
        <f t="shared" si="242"/>
        <v>авто</v>
      </c>
      <c r="IQ88" t="str">
        <f t="shared" si="243"/>
        <v/>
      </c>
      <c r="IR88">
        <f t="shared" si="244"/>
        <v>0</v>
      </c>
      <c r="IS88">
        <f t="shared" si="245"/>
        <v>1</v>
      </c>
    </row>
    <row r="89" spans="1:253" x14ac:dyDescent="0.3">
      <c r="A89" t="s">
        <v>751</v>
      </c>
      <c r="B89" t="s">
        <v>1360</v>
      </c>
      <c r="C89" t="s">
        <v>1620</v>
      </c>
      <c r="D89">
        <v>1</v>
      </c>
      <c r="E89">
        <v>0.55000000000000004</v>
      </c>
      <c r="G89">
        <v>10</v>
      </c>
      <c r="H89" t="str">
        <f>Линии[[#This Row],[_авто утечка]]</f>
        <v/>
      </c>
      <c r="I89" t="str">
        <f>Линии[[#This Row],[_авто управление]]</f>
        <v/>
      </c>
      <c r="J89" t="str">
        <f>Линии[[#This Row],[_авто аппараты]]</f>
        <v/>
      </c>
      <c r="K89">
        <v>1.5</v>
      </c>
      <c r="L89">
        <v>19</v>
      </c>
      <c r="M89">
        <v>1</v>
      </c>
      <c r="N89" t="s">
        <v>486</v>
      </c>
      <c r="O89" t="str">
        <f t="shared" si="123"/>
        <v/>
      </c>
      <c r="P89" s="6" cm="1">
        <f t="array" ref="P89">IF(B89="","",IF(BC89&lt;&gt;"",IFERROR(_xlfn.XLOOKUP(BC89,Щиты[Щит],Щиты[Iр, А]),""),IF(BK89=1,IFERROR(_xlfn.XLOOKUP(A89,Щиты[Щит],Щиты[Iр, А]),""),IFERROR(_xlfn.IFS(BR89=1,BN89/((Uн_лин/SQRT(3))*BY89),BR89=3,BN89/(SQRT(3)*Uн_лин*BY89)),""))))</f>
        <v>2.9769623255090076</v>
      </c>
      <c r="Q89" s="7">
        <f>IF(B89="","",IFERROR(IF(VLOOKUP(AX89,Потребители_обозначение,4,FALSE)=1,VLOOKUP(AX89,Потребители_обозначение,3,FALSE)*(D89*2-1)+DS89+VLOOKUP(AZ89,Этаж_обозначение,3,FALSE)+VLOOKUP(AZ89,Этаж_обозначение,4,FALSE),VLOOKUP(AX89,Потребители_обозначение,3,FALSE)*(D89*2-1)+DS89),DS89))</f>
        <v>23</v>
      </c>
      <c r="R89" s="6">
        <f t="shared" si="124"/>
        <v>1.46</v>
      </c>
      <c r="S89" t="str">
        <f t="shared" si="125"/>
        <v>ВВГнг(А)-LS (3х1,5)</v>
      </c>
      <c r="T89" t="str">
        <f>IF(BH89="","",IF(BI89="вводной узел","узел ","")&amp;"л."&amp;(INT((BH89-1)/Столбцов_на_лист)+1)&amp;" / "&amp;(MOD(BH89-1,Столбцов_на_лист)+1))</f>
        <v>л.3 / 1</v>
      </c>
      <c r="V89">
        <v>1</v>
      </c>
      <c r="W89">
        <v>230</v>
      </c>
      <c r="X89" t="s">
        <v>600</v>
      </c>
      <c r="Y89">
        <v>0.5</v>
      </c>
      <c r="AC89" t="s">
        <v>815</v>
      </c>
      <c r="AE89" t="s">
        <v>582</v>
      </c>
      <c r="AI89">
        <v>35</v>
      </c>
      <c r="AJ89" t="s">
        <v>11</v>
      </c>
      <c r="AK89">
        <v>3</v>
      </c>
      <c r="AM89">
        <v>0</v>
      </c>
      <c r="AN89">
        <v>23</v>
      </c>
      <c r="AP89">
        <v>1</v>
      </c>
      <c r="AW89" cm="1">
        <f t="array" ref="AW89">ROW()-ROW(Линии[#Headers])</f>
        <v>87</v>
      </c>
      <c r="AX89" s="6" t="str">
        <f t="shared" si="126"/>
        <v>В</v>
      </c>
      <c r="AY89" t="str">
        <f t="shared" si="127"/>
        <v>7</v>
      </c>
      <c r="AZ89" t="str">
        <f t="shared" si="128"/>
        <v>7</v>
      </c>
      <c r="BA89" t="str">
        <f t="shared" si="129"/>
        <v/>
      </c>
      <c r="BB89" t="str">
        <f t="shared" si="130"/>
        <v/>
      </c>
      <c r="BC89" t="str">
        <f>IF(U89&lt;&gt;"",U89,IF(AND(B89&lt;&gt;"",B89&lt;&gt;A89,ISNUMBER(_xlfn.XMATCH(B89,Щиты[Щит]))),B89,""))</f>
        <v/>
      </c>
      <c r="BD89" t="str" cm="1">
        <f t="array" ref="BD89">IF(B89="","",IF(BC89&lt;&gt;"","Щит "&amp;BC89,_xlfn.LET(_xlpm.nm,IFERROR(_xlfn.XLOOKUP(AX89,Коды_код,Коды_имя)&amp;"",""),_xlpm.md,IFERROR(N(_xlfn.XLOOKUP(AX89,Коды_код,Коды_режим)),1),_xlpm.ex,IF(Имя_режим="по экспликации",IFERROR(_xlfn.XLOOKUP(AZ89&amp;"|"&amp;BB89,Экспликация[Этаж]&amp;"|"&amp;Экспликация[Помещение],Экспликация[Название])&amp;"",""),""),_xlpm.rm,IF(BB89="","",IF(_xlpm.ex&lt;&gt;"",". "&amp;_xlpm.ex&amp;IF(Имя_пом="нет"," ("&amp;BB89&amp;")"," (пом. "&amp;BB89&amp;")"),IF(Имя_пом="нет"," ",", пом. ")&amp;BB89)),IF(_xlpm.nm="","",IF(_xlpm.md=2,_xlpm.nm&amp;" шлейф "&amp;AZ89,_xlpm.nm&amp;_xlpm.rm)))))</f>
        <v>Вытяжная установка шлейф 7</v>
      </c>
      <c r="BE89" t="str">
        <f t="shared" si="131"/>
        <v>Вытяжная установка Шлейф Подвальный этаж Пом. №003Т</v>
      </c>
      <c r="BF89">
        <f>IFERROR(_xlfn.XMATCH(A89,Щиты[Щит]),0)</f>
        <v>5</v>
      </c>
      <c r="BG89">
        <f>_xlfn.LET(_xlpm.k,IFERROR(_xlfn.XLOOKUP(A89,Щиты[Щит],Щиты[Листов под вводной узел]),""),IF(_xlpm.k="",1,N(_xlpm.k))*Столбцов_на_лист)</f>
        <v>34</v>
      </c>
      <c r="BH89">
        <f t="shared" si="132"/>
        <v>35</v>
      </c>
      <c r="BI89" t="str">
        <f t="shared" si="133"/>
        <v>линии</v>
      </c>
      <c r="BJ89" s="6">
        <f>IFERROR(N(_xlfn.XLOOKUP(AX89,Коды_код,Коды_квт)),0)</f>
        <v>0</v>
      </c>
      <c r="BK89">
        <f t="shared" si="134"/>
        <v>0</v>
      </c>
      <c r="BL89" t="str">
        <f>IF(B89="","",IF(BC89&lt;&gt;"",IFERROR(_xlfn.XLOOKUP(BC89,Щиты[Щит],Щиты[Руст, кВт]),0),IF(BK89=1,IFERROR(_xlfn.XLOOKUP(A89,Щиты[Щит],Щиты[Руст, кВт]),0),IF(BJ89&gt;0,ROUND(BJ89*MAX(1,N(D89)),3),""))))</f>
        <v/>
      </c>
      <c r="BM89">
        <f t="shared" si="135"/>
        <v>0.55000000000000004</v>
      </c>
      <c r="BN89" s="6">
        <f>IF(B89="","",IF(BC89&lt;&gt;"",IFERROR(_xlfn.XLOOKUP(BC89,Щиты[Щит],Щиты[Руст, кВт]),0),N(BM89)))</f>
        <v>0.55000000000000004</v>
      </c>
      <c r="BO89" t="str">
        <f>IF(B89="","",IFERROR(IF(VLOOKUP(AX89,Потребители_обозначение,8,FALSE)=0,"",VLOOKUP(AX89,Потребители_обозначение,8,FALSE)),""))</f>
        <v/>
      </c>
      <c r="BP89">
        <f t="shared" si="136"/>
        <v>230</v>
      </c>
      <c r="BQ89">
        <f>IF(B89="","",IF(BC89&lt;&gt;"",3,IFERROR(IF(N(VLOOKUP(AX89,Потребители_обозначение,9,FALSE))=0,1,VLOOKUP(AX89,Потребители_обозначение,9,FALSE)),1)))</f>
        <v>1</v>
      </c>
      <c r="BR89">
        <f t="shared" si="137"/>
        <v>1</v>
      </c>
      <c r="BS89" t="str">
        <f>IF(B89="","",_xlfn.LET(_xlpm.bc,IFERROR(IF(VLOOKUP(AX89,Потребители_обозначение,6,FALSE)=0,"",VLOOKUP(AX89,Потребители_обозначение,6,FALSE)&amp;""),""),IF(AND(FK89="да",OR(_xlpm.bc="",_xlpm.bc="мс")),Марка_пож,IF(AND(_xlpm.bc="",BC89&lt;&gt;""),"мс",_xlpm.bc))))</f>
        <v/>
      </c>
      <c r="BT89" t="str">
        <f t="shared" si="138"/>
        <v>мс</v>
      </c>
      <c r="BU89">
        <f>IF(B89="","",_xlfn.LET(_xlpm.cc,IFERROR(N(VLOOKUP(AX89,Потребители_обозначение,7,FALSE)),0),IF(_xlpm.cc&gt;0,_xlpm.cc,IF(BT89="","",IF(N(BR89)=3,5,3)))))</f>
        <v>3</v>
      </c>
      <c r="BV89">
        <f t="shared" si="139"/>
        <v>3</v>
      </c>
      <c r="BW89">
        <f>IFERROR(N(VLOOKUP(AX89,Потребители_обозначение,10,FALSE)),0)</f>
        <v>0</v>
      </c>
      <c r="BX89">
        <f>IFERROR(VLOOKUP(AX89,Потребители_обозначение,5,FALSE),0)</f>
        <v>1</v>
      </c>
      <c r="BY89" s="6" cm="1">
        <f t="array" ref="BY89">IF(B89="","",IF(BC89&lt;&gt;"",IFERROR(_xlfn.XLOOKUP(BC89,Щиты[Щит],Щиты[cos φ]),0.95),IF(BK89=1,IFERROR(_xlfn.XLOOKUP(A89,Щиты[Щит],Щиты[cos φ]),0.95),IF(ISNUMBER(Z89),Z89,IFERROR(IF(BX89=2,_xlfn.IFS(BR89=3,VLOOKUP(BN89,Справочная_двигатели,8,FALSE),BR89=1,VLOOKUP(BN89,Справочная_двигатели,10,TRUE)),IF(AND(Методика="нормы 2026",EQ89="Сил"),0.8,0.95)),0.95)))))</f>
        <v>0.8</v>
      </c>
      <c r="BZ89">
        <f t="shared" si="140"/>
        <v>0</v>
      </c>
      <c r="CA89">
        <f t="shared" si="141"/>
        <v>1</v>
      </c>
      <c r="CB89">
        <f t="shared" si="142"/>
        <v>0</v>
      </c>
      <c r="CC89">
        <f t="shared" si="143"/>
        <v>0</v>
      </c>
      <c r="CD89">
        <f t="shared" si="144"/>
        <v>0</v>
      </c>
      <c r="CE89">
        <f t="shared" si="145"/>
        <v>0</v>
      </c>
      <c r="CF89">
        <f t="shared" si="146"/>
        <v>0</v>
      </c>
      <c r="CG89">
        <f>IF(AX89="",0,_xlfn.LET(_xlpm.v,IFERROR(VLOOKUP(B89,УГО_спр,3,FALSE),IFERROR(VLOOKUP(AX89,УГО_спр,3,FALSE),IFERROR(VLOOKUP(LEFT(AX89,2),УГО_спр,3,FALSE),""))),IF(_xlpm.v="да",30,IF(ISNUMBER(_xlpm.v),_xlpm.v,0))))</f>
        <v>0</v>
      </c>
      <c r="CH89" t="str">
        <f t="shared" si="147"/>
        <v/>
      </c>
      <c r="CI89" t="str">
        <f>_xlfn.LET(_xlpm.k,IFERROR(_xlfn.XLOOKUP(AX89,Коды_код,Коды_утечка)&amp;"",""),IF(_xlpm.k="","дифавтомат",_xlpm.k))</f>
        <v>дифавтомат</v>
      </c>
      <c r="CJ89">
        <f t="shared" si="148"/>
        <v>0</v>
      </c>
      <c r="CK89">
        <f t="shared" si="149"/>
        <v>0</v>
      </c>
      <c r="CL89">
        <f>IF(B89="",0,IFERROR(--VLOOKUP(B89,УГО_спр,4,FALSE),IFERROR(--VLOOKUP(AX89,УГО_спр,4,FALSE),IFERROR(--VLOOKUP(LEFT(AX89,2),УГО_спр,4,FALSE),0))))</f>
        <v>0</v>
      </c>
      <c r="CM89" t="str">
        <f>IF(B89="","",IFERROR(_xlfn.XLOOKUP(AX89,Коды_код,Коды_апп)&amp;"",""))</f>
        <v/>
      </c>
      <c r="CN89" t="str">
        <f t="shared" si="150"/>
        <v/>
      </c>
      <c r="CO89" t="str" cm="1">
        <f t="array" ref="CO89">IF(TRIM(CN89&amp;"")="","",IFERROR(TRIM(INDEX(_xlfn.TEXTSPLIT(CN89&amp;";;;",";"),1)),""))</f>
        <v/>
      </c>
      <c r="CP89" t="str" cm="1">
        <f t="array" ref="CP89">IF(TRIM(CN89&amp;"")="","",IFERROR(TRIM(INDEX(_xlfn.TEXTSPLIT(CN89&amp;";;;",";"),2)),""))</f>
        <v/>
      </c>
      <c r="CQ89" t="str" cm="1">
        <f t="array" ref="CQ89">IF(TRIM(CN89&amp;"")="","",IFERROR(TRIM(INDEX(_xlfn.TEXTSPLIT(CN89&amp;";;;",";"),3)),""))</f>
        <v/>
      </c>
      <c r="CR89">
        <f t="shared" si="151"/>
        <v>0</v>
      </c>
      <c r="CS89" t="str">
        <f>IF(B89="","",_xlfn.LET(_xlpm.t,LOWER(AV89&amp;""),IF(ISNUMBER(SEARCH("dim",_xlpm.t)),"DIM",IF(ISNUMBER(SEARCH("dali",_xlpm.t)),"DALI",IF(OR(ISNUMBER(SEARCH("relay",_xlpm.t)),ISNUMBER(SEARCH("реле",_xlpm.t))),"Relay",IF(ISNUMBER(SEARCH("кнопк",_xlpm.t)),"",IFERROR(_xlfn.XLOOKUP(AX89,Коды_код,Коды_упр)&amp;"","")))))))</f>
        <v/>
      </c>
      <c r="CT89" t="str">
        <f t="shared" si="152"/>
        <v/>
      </c>
      <c r="CU89">
        <f>IF(B89="","",_xlfn.LET(_xlpm.ig,N(P89)+IF(AF89="вручную",0,N(CB89)),_xlpm.n0,IFERROR(VLOOKUP(_xlpm.ig,Автомат_номиналы,2,TRUE),0),_xlpm.mn,MAX(CL89,IF(AF89="вручную",0,N(CE89))),MAX(_xlpm.n0,_xlpm.mn,IF(CR89=1,Мин_автомат_БП,0))))</f>
        <v>6</v>
      </c>
      <c r="CV89">
        <f t="shared" si="153"/>
        <v>1</v>
      </c>
      <c r="CW89" t="str">
        <f t="shared" si="154"/>
        <v>1P</v>
      </c>
      <c r="CX89" t="str">
        <f>_xlfn.LET(_xlpm.cc,UPPER(TRIM(IFERROR(_xlfn.XLOOKUP(AX89,Коды_код,Коды_хар)&amp;"",""))),IF(OR(_xlpm.cc="B",_xlpm.cc="В"),"B",IF(_xlpm.cc="D","D","С")))</f>
        <v>С</v>
      </c>
      <c r="CY89" t="str">
        <f t="shared" si="155"/>
        <v>1P С6А</v>
      </c>
      <c r="CZ89">
        <f t="shared" si="156"/>
        <v>10</v>
      </c>
      <c r="DA89" t="str">
        <f t="shared" si="157"/>
        <v>1P С10А</v>
      </c>
      <c r="DB89" cm="1">
        <f t="array" ref="DB89">IF(DA89="","",_xlfn.LET(_xlpm.t,SUBSTITUTE(SUBSTITUTE(SUBSTITUTE(UPPER(DA89),"С","C"),"А","A"),"В","B"),_xlpm.tk,_xlfn.TEXTSPLIT(_xlpm.t,"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89" t="str">
        <f t="shared" si="158"/>
        <v>ok</v>
      </c>
      <c r="DD89">
        <f t="shared" si="159"/>
        <v>10</v>
      </c>
      <c r="DE89" t="str">
        <f t="shared" si="160"/>
        <v>1P С10А</v>
      </c>
      <c r="DF89">
        <f t="shared" si="161"/>
        <v>0</v>
      </c>
      <c r="DG89">
        <f t="shared" si="162"/>
        <v>0</v>
      </c>
      <c r="DH89">
        <f t="shared" si="163"/>
        <v>0</v>
      </c>
      <c r="DI89">
        <f t="shared" si="164"/>
        <v>2.9769623255090076</v>
      </c>
      <c r="DJ89">
        <f t="shared" si="165"/>
        <v>1</v>
      </c>
      <c r="DK89">
        <f>IF(ISNUMBER(AL89),AL89,К_прокл)</f>
        <v>1</v>
      </c>
      <c r="DL89">
        <f t="shared" si="166"/>
        <v>2</v>
      </c>
      <c r="DM89">
        <f>IFERROR(N(VLOOKUP(BT89,Кабель_обозначение,3,FALSE)),1)</f>
        <v>1</v>
      </c>
      <c r="DN89">
        <f>IFERROR(N(_xlfn.XLOOKUP(A89,Щиты[Щит],Щиты[ΔU до шин, %])),0)</f>
        <v>0.74</v>
      </c>
      <c r="DO89" t="str">
        <f>IFERROR(_xlfn.XLOOKUP(A89,Щиты[Щит],Щиты[Zпетли на шинах, Ом]),"")</f>
        <v/>
      </c>
      <c r="DP89">
        <f>IFERROR(N(_xlfn.XLOOKUP(A89,Щиты[Щит],Щиты[ΔU до шин (подбор), %])),0)</f>
        <v>1.96</v>
      </c>
      <c r="DQ89" t="str">
        <f>IFERROR(_xlfn.XLOOKUP(A89,Щиты[Щит],Щиты[Zпетли на шинах (подбор), Ом]),"")</f>
        <v/>
      </c>
      <c r="DR89" t="str">
        <f t="shared" si="167"/>
        <v/>
      </c>
      <c r="DS89">
        <f t="shared" si="168"/>
        <v>19</v>
      </c>
      <c r="DT89">
        <f t="shared" si="169"/>
        <v>2</v>
      </c>
      <c r="DU89">
        <f t="shared" si="170"/>
        <v>0.6</v>
      </c>
      <c r="DV89" s="6">
        <f>IF(B89="","",IF(IFERROR(VLOOKUP(AX89,УГО_спр,2,FALSE),"")="Светильник",3,4)+IF(Методика="нормы 2026",MIN(0.5,MAX(0,N(Q89)-100)*0.005),0))</f>
        <v>4</v>
      </c>
      <c r="DW89" cm="1">
        <f t="array" ref="DW89">IF(OR(B89="",BT89="",DM89&lt;&gt;1),"",_xlfn.LET(_xlpm.sz,Iдоп_S,_xlpm.t_,CHOOSE(DL89,Iдоп_1ж,Iдоп_2ж,Iдоп_3ж)*DJ89*DK89,_xlpm.inn,N(DD89),_xlpm.smin,MAX(1.5,BW89),_xlpm.L_,N(Q89)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89)*(_xlpm.rho*_xlpm.L_/_xlpm.sz*N(BY89)+_xlpm.xx*_xlpm.L_*N(DU89)/1000)*N(P89)/((Uн_лин/SQRT(3))*1000)*100,999),_xlpm.kz,IF(OR(DG89=1,NOT(ISNUMBER(DQ89)),_xlpm.L_=0,_xlpm.inn=0),1,IFERROR(--(c_min*(Uн_лин*1000/SQRT(3))/(DQ89+2*ρкз_Cu*_xlpm.L_/_xlpm.sz)&gt;=GY89*_xlpm.inn),0)),_xlpm.ok,IFERROR((_xlpm.sz&gt;=_xlpm.smin)*(_xlpm.t_&gt;=_xlpm.inn)*IF(_xlpm.L_&gt;0,(_xlpm.du_+DP89&lt;=DV89+0.00001),1)*_xlpm.kz,0),_xlpm.r_,_xlfn._xlws.FILTER(_xlpm.sz,_xlpm.ok,"не подобрано"),INDEX(_xlpm.r_,1)))</f>
        <v>1.5</v>
      </c>
      <c r="DX89">
        <f t="shared" si="171"/>
        <v>1.5</v>
      </c>
      <c r="DY89" cm="1">
        <f t="array" ref="DY89">IF(OR(B89="",BT89="",DM89&lt;&gt;1),"",_xlfn.LET(_xlpm.sz,Iдоп_S,_xlpm.t_,CHOOSE(DL89,Iдоп_1ж,Iдоп_2ж,Iдоп_3ж)*DJ89*DK89,_xlpm.ok,IFERROR((_xlpm.sz&gt;=MAX(1.5,BW89))*(_xlpm.t_&gt;=N(DD89)),0),_xlpm.r_,_xlfn._xlws.FILTER(_xlpm.sz,_xlpm.ok,""),INDEX(_xlpm.r_,1)))</f>
        <v>1.5</v>
      </c>
      <c r="DZ89" s="6" cm="1">
        <f t="array" ref="DZ89">IFERROR(ROUNDUP(N(DT89)*(_xlfn.XLOOKUP(DY89,INDEX(Кабель_сопротивление,0,1),INDEX(Кабель_сопротивление,0,3))*N(Q89)/DY89*N(BY89)+_xlfn.XLOOKUP(DY89,INDEX(Кабель_сопротивление,0,1),INDEX(Кабель_сопротивление,0,2))*N(Q89)*N(DU89)/1000)*N(P89)/((Uн_лин/SQRT(3))*1000)*100,2),"")</f>
        <v>0.72</v>
      </c>
      <c r="EA89">
        <f>IFERROR(2*ρкз_Cu*N(Q89)/DY89,"")</f>
        <v>0.80653333333333332</v>
      </c>
      <c r="EB89">
        <f>IFERROR(VLOOKUP(DX89,Кабель_сопротивление,3,FALSE),"")</f>
        <v>2.2499999999999999E-2</v>
      </c>
      <c r="EC89">
        <f>IFERROR(VLOOKUP(DX89,Кабель_сопротивление,2,FALSE),"")</f>
        <v>0.11</v>
      </c>
      <c r="ED89">
        <f t="shared" si="172"/>
        <v>23</v>
      </c>
      <c r="EE89">
        <f t="shared" si="173"/>
        <v>0</v>
      </c>
      <c r="EF89">
        <f t="shared" si="174"/>
        <v>1.6523212613012175</v>
      </c>
      <c r="EG89" s="6">
        <f>IFERROR(ROUNDUP(EF89/((Uн_лин/SQRT(3))*1000)*100,2),"")</f>
        <v>0.72</v>
      </c>
      <c r="EH89" t="str">
        <f>IFERROR(VLOOKUP(BT89,Кабель_обозначение,2,FALSE),"")</f>
        <v>ВВГнг(А)-LS</v>
      </c>
      <c r="EI89" t="str">
        <f t="shared" si="175"/>
        <v>ВВГнг(А)-LS (3х1,5)</v>
      </c>
      <c r="EJ89" t="str">
        <f t="shared" si="176"/>
        <v>ВВГнг(А)-LS (3х1,5)
L=23-0,72%</v>
      </c>
      <c r="EK89">
        <f>IFERROR(2*ρкз_Cu*Q89/DX89,"")</f>
        <v>0.80653333333333332</v>
      </c>
      <c r="EL89">
        <f t="shared" si="177"/>
        <v>0.26833333333333337</v>
      </c>
      <c r="EM89" s="6" t="str">
        <f>IFERROR(IF(OR(B89="",NOT(ISNUMBER(DX89)),N(Q89)=0),"",_xlfn.XLOOKUP(A89,Щиты[Щит],Щиты[Zпетли на шинах, Ом])+EK89),"")</f>
        <v/>
      </c>
      <c r="EN89" s="6" t="str">
        <f>IF(ISNUMBER(EM89),c_min*(Uн_лин*1000/SQRT(3))/EM89,"")</f>
        <v/>
      </c>
      <c r="EO89" s="6" t="str">
        <f>IFERROR(IF(OR(B89="",NOT(ISNUMBER(DX89))),"",1.05*(Uн_лин*1000/SQRT(3))/(_xlfn.XLOOKUP(A89,Щиты[Щит],Щиты[Zmax на шинах, Ом])+EL89)/1000),"")</f>
        <v/>
      </c>
      <c r="EP89" s="6" t="str">
        <f>IF(B89="","",IF(ISNUMBER(Y89),"Сил",IF(IFERROR(_xlfn.XLOOKUP(AX89,Коды_код,Коды_группа)&amp;"","")="","Быт",_xlfn.XLOOKUP(AX89,Коды_код,Коды_группа)&amp;"")))</f>
        <v>Сил</v>
      </c>
      <c r="EQ89" s="6" t="str">
        <f t="shared" si="178"/>
        <v>Сил</v>
      </c>
      <c r="ER89" s="6">
        <f>IF(EQ89="Щит","щит",IF(EQ89="","",IF(EQ89="Быт",IFERROR(_xlfn.XLOOKUP(A89,Щиты[Щит],Щиты[Кс быт]),1),IF(EQ89="Сил",IF(ISNUMBER(Y89),Y89,IF(Методика="нормы 2026",IFERROR(_xlfn.XLOOKUP(A89,Щиты[Щит],Щиты[Кс силовых (табл. 7.5)]),1),1)),IF(OR(EQ89="Пост",EQ89="Отоп"),1,IF(EQ89="ВНГ",0.7,0))))))</f>
        <v>0.5</v>
      </c>
      <c r="ES89">
        <f t="shared" si="179"/>
        <v>1</v>
      </c>
      <c r="ET89">
        <f t="shared" si="180"/>
        <v>0.55000000000000004</v>
      </c>
      <c r="EU89">
        <f t="shared" si="181"/>
        <v>0</v>
      </c>
      <c r="EV89">
        <f t="shared" si="182"/>
        <v>0.27500000000000002</v>
      </c>
      <c r="EW89">
        <f t="shared" si="183"/>
        <v>0</v>
      </c>
      <c r="EX89">
        <f t="shared" si="184"/>
        <v>0</v>
      </c>
      <c r="EY89">
        <f t="shared" si="185"/>
        <v>0</v>
      </c>
      <c r="EZ89">
        <f t="shared" si="186"/>
        <v>0.55000000000000004</v>
      </c>
      <c r="FA89">
        <f t="shared" si="187"/>
        <v>0.44000000000000006</v>
      </c>
      <c r="FB89">
        <f t="shared" si="188"/>
        <v>0.55000000000000004</v>
      </c>
      <c r="FC89" t="str">
        <f t="shared" si="189"/>
        <v>L1</v>
      </c>
      <c r="FD89" t="str">
        <f>IF(B89="","",IF(CA89=0,IF(AW89=1,"",FF88),IF(OR(N(CV89)&gt;=3,N(BR89)&gt;=3),"L1,L2,L3",IFERROR(_xlfn.TEXTBEFORE(_xlfn.TEXTAFTER(_xlfn.XLOOKUP(A89,Щиты[Щит],Щиты[_фазы авто]),";"&amp;AW89&amp;":"),";"),"L1"))))</f>
        <v>L1</v>
      </c>
      <c r="FE89" t="str">
        <f t="shared" si="190"/>
        <v>L1</v>
      </c>
      <c r="FF89" t="str">
        <f t="shared" si="191"/>
        <v>L1</v>
      </c>
      <c r="FG89" cm="1">
        <f t="array" ref="FG89">IFERROR(IF(BX89=2,_xlfn.IFS(BR89=3,VLOOKUP(BN89,Справочная_двигатели,3,FALSE),BR89=1,VLOOKUP(BN89,Справочная_двигатели,5,TRUE)),0),0)</f>
        <v>0</v>
      </c>
      <c r="FH89">
        <f>IFERROR(IF(BX89=3,VLOOKUP(BN89,Справочная_ЛЭД,2,TRUE),0),0)</f>
        <v>0</v>
      </c>
      <c r="FI89" s="6">
        <f t="shared" si="192"/>
        <v>0</v>
      </c>
      <c r="FJ89" t="str" cm="1">
        <f t="array" ref="FJ89">IF(B89="","",IFERROR(INDEX({"I особая","I","II","III"},MATCH(TRIM(AC89&amp;""),{"I особая","I","II","III"},0)),"III"))</f>
        <v>II</v>
      </c>
      <c r="FK89" t="str">
        <f>IF(B89="","",IF(TRIM(AD89&amp;"")&lt;&gt;"",IF(LOWER(TRIM(AD89&amp;""))="да","да","нет"),IF(IFERROR(_xlfn.XLOOKUP(AX89,Коды_код,Коды_пожарная),"")="да","да","нет")))</f>
        <v>нет</v>
      </c>
      <c r="FL89" t="str">
        <f t="shared" si="193"/>
        <v/>
      </c>
      <c r="FM89" t="str">
        <f t="shared" si="194"/>
        <v>основная</v>
      </c>
      <c r="FN89">
        <f t="shared" si="195"/>
        <v>1</v>
      </c>
      <c r="FO89" t="str" cm="1">
        <f t="array" ref="FO89">IF(B89="","",_xlfn.LET(_xlpm.t,IFERROR(_xlfn.XLOOKUP(1,(Шины[Шина]=FM89)*(((Шины[Щит]=A89)+(Шины[Щит]=""))&gt;0),Шины[Тип]),"")&amp;"",IF(_xlpm.t&lt;&gt;"",_xlpm.t,IF(ISNUMBER(SEARCH("ИБП",FM89)),"ИБП",IF(ISNUMBER(SEARCH("ДГУ",FM89)),"ДГУ","Ввод "&amp;FN89)))))</f>
        <v>Ввод 1</v>
      </c>
      <c r="FP89" t="str">
        <f t="shared" si="196"/>
        <v>Ввод 1</v>
      </c>
      <c r="FQ89" t="str">
        <f>IF(B89="","",IF(OR(FO89="ИБП",FO89="ДГУ"),"I особая",IF(FO89="Одиночная","III",_xlfn.XLOOKUP(A89,Щиты[Щит],Щиты[Категория шины «Ввод»],"III"))))</f>
        <v>II</v>
      </c>
      <c r="FR89">
        <f>IF(B89="",0,IFERROR(MATCH(FJ89,{"III","II","I","I особая"},0),1))</f>
        <v>2</v>
      </c>
      <c r="FS89">
        <f t="shared" si="197"/>
        <v>2</v>
      </c>
      <c r="FT89" t="str">
        <f>IF(B89="","",IF(FR89&gt;IFERROR(MATCH(FQ89,{"III","II","I","I особая"},0),1),"НЕ ОБЕСПЕЧЕНА","ОК"))</f>
        <v>ОК</v>
      </c>
      <c r="FU89" t="str">
        <f>IF(A89="","",_xlfn.XLOOKUP(A89,Щиты[Щит],Щиты[Путь],""))</f>
        <v>|ГРЩ-ЖД|ЩОВ-002|</v>
      </c>
      <c r="FV89" t="str">
        <f>IF(B89="","",IF(AE89&lt;&gt;"",AE89,IF(IFERROR(_xlfn.XLOOKUP(AX89,Коды_код,Коды_вид)&amp;"","")="","Прочее",_xlfn.XLOOKUP(AX89,Коды_код,Коды_вид)&amp;"")))</f>
        <v>Вентиляция</v>
      </c>
      <c r="FW89">
        <f>IF(BH89="","",INT((BH89-1)/Столбцов_на_лист)+1)</f>
        <v>3</v>
      </c>
      <c r="FX89" t="str">
        <f t="shared" si="198"/>
        <v>ВВГнг(А)-LS (3х1,5) L=23-0,72%</v>
      </c>
      <c r="FY89">
        <f t="shared" si="199"/>
        <v>0.55000000000000004</v>
      </c>
      <c r="FZ89">
        <f t="shared" si="200"/>
        <v>2.98</v>
      </c>
      <c r="GA89">
        <f t="shared" si="201"/>
        <v>1</v>
      </c>
      <c r="GB89">
        <f t="shared" si="202"/>
        <v>0</v>
      </c>
      <c r="GC89">
        <f t="shared" si="203"/>
        <v>1</v>
      </c>
      <c r="GD89">
        <f>IF(BH89="","",IF(AND(CA89=1,GC89=1),COUNTIFS(A$3:A89,A89,CA$3:CA89,1,GC$3:GC89,1),IF(OR(OR(AW89=1,A89&lt;&gt;A88),AF89="вручную",GC89=0),"",IF(AW89=1,"",GE88))))</f>
        <v>1</v>
      </c>
      <c r="GE89">
        <f t="shared" si="204"/>
        <v>1</v>
      </c>
      <c r="GF89">
        <f>IF(B89="","",IFERROR(LOOKUP(INDEX(CHOOSE(DL89,Iдоп_1ж,Iдоп_2ж,Iдоп_3ж),MATCH(DX89,Iдоп_S,0))*DJ89*DK89,{6,10,16,20,25,32,40,50,63,80,100,125,160,200,250,315,400,500,630}),""))</f>
        <v>16</v>
      </c>
      <c r="GG89" t="str">
        <f t="shared" si="205"/>
        <v>QF1</v>
      </c>
      <c r="GH89" t="str">
        <f t="shared" si="206"/>
        <v>QF1</v>
      </c>
      <c r="GI89" t="str">
        <f t="shared" si="207"/>
        <v/>
      </c>
      <c r="GJ89">
        <f t="shared" si="208"/>
        <v>0</v>
      </c>
      <c r="GK89" t="str">
        <f>IF(OR(AG89="",AG89="-"),"",IFERROR(VLOOKUP(AG89,Модули_спр,2,FALSE),"R"))</f>
        <v/>
      </c>
      <c r="GL89" t="str">
        <f>IF(GK89="","",GK89&amp;"."&amp;COUNTIFS(A$3:A89,A89,GK$3:GK89,GK89))</f>
        <v/>
      </c>
      <c r="GM89" t="str">
        <f t="shared" si="209"/>
        <v/>
      </c>
      <c r="GN89" t="str">
        <f t="shared" si="210"/>
        <v/>
      </c>
      <c r="GO89" t="str">
        <f t="shared" si="211"/>
        <v/>
      </c>
      <c r="GP89" t="str">
        <f t="shared" si="212"/>
        <v/>
      </c>
      <c r="GQ89">
        <f t="shared" si="213"/>
        <v>1</v>
      </c>
      <c r="GR89" t="str">
        <f>IF(GQ89=1,"XT"&amp;COUNTIFS(A$3:A89,A89,GQ$3:GQ89,1),"")</f>
        <v>XT1</v>
      </c>
      <c r="GS89" t="str">
        <f t="shared" si="214"/>
        <v/>
      </c>
      <c r="GT89" t="str">
        <f t="shared" si="215"/>
        <v>QF1</v>
      </c>
      <c r="GU89" t="str">
        <f t="shared" si="216"/>
        <v/>
      </c>
      <c r="GV89" t="str">
        <f t="shared" si="217"/>
        <v>ok</v>
      </c>
      <c r="GW89" t="str">
        <f>IF(OR(GO89="",GM89=""),"",IF(GO89&gt;IFERROR(VLOOKUP(GN89,Модули_спр,3,FALSE),99),"ЛИШНИЙ КАНАЛ",IF(AND(AH89&lt;&gt;"=",COUNTIFS(Линии[_модуль гр.],GM89,Линии[Канал (итог)],GO89,Линии[Канал],"&lt;&gt;=",Линии[Щит],A89)&gt;1),"ДУБЛЬ КАНАЛА","")))</f>
        <v/>
      </c>
      <c r="GX89" s="6" t="str">
        <f t="shared" si="218"/>
        <v/>
      </c>
      <c r="GY89">
        <f t="shared" si="219"/>
        <v>10</v>
      </c>
      <c r="GZ89" t="str">
        <f t="shared" si="220"/>
        <v/>
      </c>
      <c r="HA89" t="str">
        <f>IF(AND(B89="",GT89=""),"",_xlfn.TEXTJOIN("; ",TRUE,IF(AND(B89&lt;&gt;"",FE89=""),"нет фазы",""),IF(AND(B89&lt;&gt;"",N(FY89)=0,EQ89&lt;&gt;"Нет"),"нет мощности",""),IF(AND(GS89&lt;&gt;"",COUNTIFS(Линии[Щит],A89,Линии[Клемма (итог)],GS89)&gt;1),"дубль клеммы "&amp;GS89,""),IF(AND(GV89&lt;&gt;"",GV89&lt;&gt;"ok"),GV89,""),IF(GW89&lt;&gt;"",GW89,""),IF(AND(N(BV89)&gt;=4,N(BR89)=1),BV89&amp;" жил на 1 фазе",""),IF(AND(AX89="R",CA89=1,OR(N(CK89)=0,N(CK89)&gt;30)),"розетка без дифзащиты до 30 мА",""),IFERROR(IF(AND(ISNUMBER(R89),R89&gt;DV89),"потери "&amp;FIXED(R89,1)&amp;" % &gt; "&amp;DV89&amp;" %",""),""),IFERROR(IF(LEFT(GZ89,4)="мало","Iкз мало — отключение &gt; 0,4 с",""),""),IF(AND(B89&lt;&gt;"",BH89=""),"не на схеме",""),IF(AND(CA89=0,B89&lt;&gt;"",FE89&lt;&gt;"",IF(AW89=1,"",FF88)&lt;&gt;"",FE89&lt;&gt;IF(AW89=1,"",FF88)),"фаза не как у автомата группы ("&amp;IF(AW89=1,"",FF88)&amp;")","")))</f>
        <v/>
      </c>
      <c r="HB89" s="6">
        <f>IF(OR(CA89=0,DA89=""),"",_xlfn.LET(_xlpm.t,IFERROR(_xlfn.XLOOKUP(DA89,Каталог!$U$4:$U$500,Каталог!$G$4:$G$500),""),_xlpm.k,SEARCH("кА",_xlpm.t),IFERROR(--TRIM(RIGHT(SUBSTITUTE(MID(_xlpm.t,MAX(1,_xlpm.k-4),_xlpm.k-MAX(1,_xlpm.k-4))," ",REPT(" ",9)),5)),"")))</f>
        <v>6</v>
      </c>
      <c r="HC89" t="str">
        <f>IF(OR(HB89="",CA89=0),"",IF(_xlfn.XLOOKUP(A89,Щиты[Щит],Щиты[Iкз max на шинах, кА],"")="","",IF(HB89&lt;_xlfn.XLOOKUP(A89,Щиты[Щит],Щиты[Iкз max на шинах, кА]),"Icu "&amp;HB89&amp;" кА &lt; Iкз max","ok")))</f>
        <v/>
      </c>
      <c r="HD89" t="str">
        <f t="shared" si="221"/>
        <v/>
      </c>
      <c r="HE89" t="str">
        <f t="shared" si="222"/>
        <v>QF1</v>
      </c>
      <c r="HF89" t="str">
        <f t="shared" si="223"/>
        <v>QF1|кабель ВВГнг(А)-LS (3х1,5) → Вытяжная установка Шлейф Подвальный этаж Пом. №003Т</v>
      </c>
      <c r="HG89" t="str" cm="1">
        <f t="array" ref="HG89">IF(HF89="","",_xlfn.LET(_xlpm.nd,_xlfn.TEXTSPLIT(HF89,"|"),IF(COLUMNS(_xlpm.nd)&gt;1,A89&amp;"¦"&amp;INDEX(_xlpm.nd,1)&amp;"¦"&amp;INDEX(_xlpm.nd,2),"")))</f>
        <v>ЩОВ-002¦QF1¦кабель ВВГнг(А)-LS (3х1,5) → Вытяжная установка Шлейф Подвальный этаж Пом. №003Т</v>
      </c>
      <c r="HH89" t="str">
        <f t="shared" si="224"/>
        <v>В.7¦Вытяжная установка Шлейф Подвальный этаж Пом. №003Т</v>
      </c>
      <c r="HI89" t="str" cm="1">
        <f t="array" ref="HI89">IF(HF89="","",_xlfn.LET(_xlpm.nd,_xlfn.TEXTSPLIT(HF89,"|"),IF(COLUMNS(_xlpm.nd)&gt;2,A89&amp;"¦"&amp;INDEX(_xlpm.nd,2)&amp;"¦"&amp;INDEX(_xlpm.nd,3),"")))</f>
        <v/>
      </c>
      <c r="HJ89" t="str">
        <f t="shared" si="225"/>
        <v/>
      </c>
      <c r="HK89" t="str" cm="1">
        <f t="array" ref="HK89">IF(HF89="","",_xlfn.LET(_xlpm.nd,_xlfn.TEXTSPLIT(HF89,"|"),IF(COLUMNS(_xlpm.nd)&gt;3,A89&amp;"¦"&amp;INDEX(_xlpm.nd,3)&amp;"¦"&amp;INDEX(_xlpm.nd,4),"")))</f>
        <v/>
      </c>
      <c r="HL89" t="str">
        <f t="shared" si="226"/>
        <v/>
      </c>
      <c r="HM89" t="str" cm="1">
        <f t="array" ref="HM89">IF(HF89="","",_xlfn.LET(_xlpm.nd,_xlfn.TEXTSPLIT(HF89,"|"),IF(COLUMNS(_xlpm.nd)&gt;4,A89&amp;"¦"&amp;INDEX(_xlpm.nd,4)&amp;"¦"&amp;INDEX(_xlpm.nd,5),"")))</f>
        <v/>
      </c>
      <c r="HN89" t="str">
        <f t="shared" si="227"/>
        <v/>
      </c>
      <c r="HO89" t="str" cm="1">
        <f t="array" ref="HO89">IF(HF89="","",_xlfn.LET(_xlpm.nd,_xlfn.TEXTSPLIT(HF89,"|"),IF(COLUMNS(_xlpm.nd)&gt;5,A89&amp;"¦"&amp;INDEX(_xlpm.nd,5)&amp;"¦"&amp;INDEX(_xlpm.nd,6),"")))</f>
        <v/>
      </c>
      <c r="HP89" t="str">
        <f t="shared" si="228"/>
        <v/>
      </c>
      <c r="HQ89" t="str" cm="1">
        <f t="array" ref="HQ89">IF(HF89="","",_xlfn.LET(_xlpm.nd,_xlfn.TEXTSPLIT(HF89,"|"),IF(COLUMNS(_xlpm.nd)&gt;6,A89&amp;"¦"&amp;INDEX(_xlpm.nd,6)&amp;"¦"&amp;INDEX(_xlpm.nd,7),"")))</f>
        <v/>
      </c>
      <c r="HR89" t="str">
        <f t="shared" si="229"/>
        <v/>
      </c>
      <c r="HS89" t="str">
        <f t="shared" si="230"/>
        <v/>
      </c>
      <c r="HT89" t="str">
        <f t="shared" si="231"/>
        <v>QF1</v>
      </c>
      <c r="HU89">
        <f t="shared" si="232"/>
        <v>0</v>
      </c>
      <c r="HV89">
        <f t="shared" si="233"/>
        <v>0</v>
      </c>
      <c r="HW89" t="str">
        <f t="shared" si="234"/>
        <v/>
      </c>
      <c r="HX89" t="str">
        <f t="shared" si="235"/>
        <v/>
      </c>
      <c r="HY89" t="str">
        <f t="shared" si="236"/>
        <v/>
      </c>
      <c r="HZ89" t="str">
        <f t="shared" si="237"/>
        <v/>
      </c>
      <c r="IA89" t="str">
        <f>IF(B89="","",IFERROR(VLOOKUP(B89,УГО_спр,2,FALSE),IFERROR(VLOOKUP(AX89,УГО_спр,2,FALSE),IFERROR(VLOOKUP(LEFT(AX89,2),УГО_спр,2,FALSE),""))))</f>
        <v>Привод (двигатель)</v>
      </c>
      <c r="IB89" t="str">
        <f>IF(B89="","",IF(OR(IA89="",IA89=0),"BOX",IFERROR(IF(VLOOKUP(IA89,УГО_блоки,3,FALSE)&amp;""&lt;&gt;"",VLOOKUP(IA89,УГО_блоки,3,FALSE),VLOOKUP(IA89,УГО_блоки,2,FALSE)),IA89)))</f>
        <v>MOTOR</v>
      </c>
      <c r="IC89">
        <f t="shared" si="238"/>
        <v>1</v>
      </c>
      <c r="ID89" t="str">
        <f>IF(DA89="","",IF(COUNTIF(DA$3:DA89,DA89)=1,MAX(ID$2:ID88)+1,""))</f>
        <v/>
      </c>
      <c r="IE89" t="str">
        <f>IF(CO89="","",IF(COUNTIF(CO$3:CO89,CO89)+COUNTIF(CP$2:CP88,CO89)+COUNTIF(CQ$2:CQ88,CO89)=1,MAX(IE$2:IG88)+1,""))</f>
        <v/>
      </c>
      <c r="IF89" t="str">
        <f>IF(CP89="","",IF(COUNTIF(CO$3:CO89,CP89)+COUNTIF(CP$3:CP89,CP89)+COUNTIF(CQ$2:CQ88,CP89)=1,MAX(IE$2:IG88,IE89)+1,""))</f>
        <v/>
      </c>
      <c r="IG89" t="str">
        <f>IF(CQ89="","",IF(COUNTIF(CO$3:CO89,CQ89)+COUNTIF(CP$3:CP89,CQ89)+COUNTIF(CQ$3:CQ89,CQ89)=1,MAX(IE$2:IG88,IE89,IF89)+1,""))</f>
        <v/>
      </c>
      <c r="IH89" t="str">
        <f t="shared" si="239"/>
        <v>3х1,5</v>
      </c>
      <c r="II89" t="str">
        <f>IF(IH89="","",IF(COUNTIF(IH$3:IH89,IH89)=1,MAX(II$2:II88)+1,""))</f>
        <v/>
      </c>
      <c r="IJ89" t="str">
        <f>IF(GL89="","",COUNTIF(GL$3:GL89,"?*"))</f>
        <v/>
      </c>
      <c r="IK89" t="str">
        <f>IF(OR(GL89="",GN89=""),"",IF(COUNTIFS(GL$3:GL89,"?*",GN$3:GN89,GN89)=1,MAX(IK$2:IK88)+1,""))</f>
        <v/>
      </c>
      <c r="IL89">
        <f t="shared" si="240"/>
        <v>0</v>
      </c>
      <c r="IM89">
        <f>IF(B89="","",COUNTIF(B$3:B89,"?*"))</f>
        <v>87</v>
      </c>
      <c r="IN89">
        <f>IF(GQ89&lt;&gt;1,0,_xlfn.LET(_xlpm.k,MAX(IFERROR(--VLOOKUP(B89,УГО_спр,5,FALSE),0),IFERROR(--VLOOKUP(AX89,УГО_спр,5,FALSE),0),IFERROR(--VLOOKUP(LEFT(AX89,2),УГО_спр,5,FALSE),0)),IF(_xlpm.k&gt;0,_xlpm.k,IF(IFERROR(--LEFT(SUBSTITUTE(IH89,"x","х"),FIND("х",SUBSTITUTE(IH89,"x","х"))-1),3)&gt;3,Каталог!$S$9,1))))</f>
        <v>1</v>
      </c>
      <c r="IO89">
        <f t="shared" si="241"/>
        <v>0</v>
      </c>
      <c r="IP89" t="str">
        <f t="shared" si="242"/>
        <v>авто</v>
      </c>
      <c r="IQ89" t="str">
        <f t="shared" si="243"/>
        <v/>
      </c>
      <c r="IR89">
        <f t="shared" si="244"/>
        <v>0</v>
      </c>
      <c r="IS89">
        <f t="shared" si="245"/>
        <v>1</v>
      </c>
    </row>
    <row r="90" spans="1:253" x14ac:dyDescent="0.3">
      <c r="A90" t="s">
        <v>751</v>
      </c>
      <c r="B90" t="s">
        <v>1361</v>
      </c>
      <c r="C90" t="s">
        <v>1621</v>
      </c>
      <c r="D90">
        <v>1</v>
      </c>
      <c r="E90">
        <v>2.1</v>
      </c>
      <c r="G90">
        <v>16</v>
      </c>
      <c r="H90" t="str">
        <f>Линии[[#This Row],[_авто утечка]]</f>
        <v/>
      </c>
      <c r="I90" t="str">
        <f>Линии[[#This Row],[_авто управление]]</f>
        <v/>
      </c>
      <c r="J90" t="str">
        <f>Линии[[#This Row],[_авто аппараты]]</f>
        <v/>
      </c>
      <c r="K90">
        <v>2.5</v>
      </c>
      <c r="L90">
        <v>15</v>
      </c>
      <c r="M90">
        <v>2</v>
      </c>
      <c r="N90" t="str">
        <f>Линии[[#This Row],[_авто клемма]]</f>
        <v>XT2</v>
      </c>
      <c r="O90" t="str">
        <f t="shared" si="123"/>
        <v/>
      </c>
      <c r="P90" s="6" cm="1">
        <f t="array" ref="P90">IF(B90="","",IF(BC90&lt;&gt;"",IFERROR(_xlfn.XLOOKUP(BC90,Щиты[Щит],Щиты[Iр, А]),""),IF(BK90=1,IFERROR(_xlfn.XLOOKUP(A90,Щиты[Щит],Щиты[Iр, А]),""),IFERROR(_xlfn.IFS(BR90=1,BN90/((Uн_лин/SQRT(3))*BY90),BR90=3,BN90/(SQRT(3)*Uн_лин*BY90)),""))))</f>
        <v>11.366583424670756</v>
      </c>
      <c r="Q90" s="7">
        <f>IF(B90="","",IFERROR(IF(VLOOKUP(AX90,Потребители_обозначение,4,FALSE)=1,VLOOKUP(AX90,Потребители_обозначение,3,FALSE)*(D90*2-1)+DS90+VLOOKUP(AZ90,Этаж_обозначение,3,FALSE)+VLOOKUP(AZ90,Этаж_обозначение,4,FALSE),VLOOKUP(AX90,Потребители_обозначение,3,FALSE)*(D90*2-1)+DS90),DS90))</f>
        <v>19</v>
      </c>
      <c r="R90" s="6">
        <f t="shared" si="124"/>
        <v>2.1</v>
      </c>
      <c r="S90" t="str">
        <f t="shared" si="125"/>
        <v>ВВГнг(А)-LS (3х2,5)</v>
      </c>
      <c r="T90" t="str">
        <f>IF(BH90="","",IF(BI90="вводной узел","узел ","")&amp;"л."&amp;(INT((BH90-1)/Столбцов_на_лист)+1)&amp;" / "&amp;(MOD(BH90-1,Столбцов_на_лист)+1))</f>
        <v>л.3 / 2</v>
      </c>
      <c r="V90">
        <v>1</v>
      </c>
      <c r="W90">
        <v>230</v>
      </c>
      <c r="X90" t="s">
        <v>600</v>
      </c>
      <c r="Y90">
        <v>0.5</v>
      </c>
      <c r="AC90" t="s">
        <v>815</v>
      </c>
      <c r="AE90" t="s">
        <v>582</v>
      </c>
      <c r="AI90">
        <v>36</v>
      </c>
      <c r="AJ90" t="s">
        <v>11</v>
      </c>
      <c r="AK90">
        <v>3</v>
      </c>
      <c r="AM90">
        <v>0</v>
      </c>
      <c r="AN90">
        <v>19</v>
      </c>
      <c r="AP90">
        <v>1</v>
      </c>
      <c r="AW90" cm="1">
        <f t="array" ref="AW90">ROW()-ROW(Линии[#Headers])</f>
        <v>88</v>
      </c>
      <c r="AX90" s="6" t="str">
        <f t="shared" si="126"/>
        <v>ПВ</v>
      </c>
      <c r="AY90" t="str">
        <f t="shared" si="127"/>
        <v>1</v>
      </c>
      <c r="AZ90" t="str">
        <f t="shared" si="128"/>
        <v>1</v>
      </c>
      <c r="BA90" t="str">
        <f t="shared" si="129"/>
        <v/>
      </c>
      <c r="BB90" t="str">
        <f t="shared" si="130"/>
        <v/>
      </c>
      <c r="BC90" t="str">
        <f>IF(U90&lt;&gt;"",U90,IF(AND(B90&lt;&gt;"",B90&lt;&gt;A90,ISNUMBER(_xlfn.XMATCH(B90,Щиты[Щит]))),B90,""))</f>
        <v/>
      </c>
      <c r="BD90" t="str" cm="1">
        <f t="array" ref="BD90">IF(B90="","",IF(BC90&lt;&gt;"","Щит "&amp;BC90,_xlfn.LET(_xlpm.nm,IFERROR(_xlfn.XLOOKUP(AX90,Коды_код,Коды_имя)&amp;"",""),_xlpm.md,IFERROR(N(_xlfn.XLOOKUP(AX90,Коды_код,Коды_режим)),1),_xlpm.ex,IF(Имя_режим="по экспликации",IFERROR(_xlfn.XLOOKUP(AZ90&amp;"|"&amp;BB90,Экспликация[Этаж]&amp;"|"&amp;Экспликация[Помещение],Экспликация[Название])&amp;"",""),""),_xlpm.rm,IF(BB90="","",IF(_xlpm.ex&lt;&gt;"",". "&amp;_xlpm.ex&amp;IF(Имя_пом="нет"," ("&amp;BB90&amp;")"," (пом. "&amp;BB90&amp;")"),IF(Имя_пом="нет"," ",", пом. ")&amp;BB90)),IF(_xlpm.nm="","",IF(_xlpm.md=2,_xlpm.nm&amp;" шлейф "&amp;AZ90,_xlpm.nm&amp;_xlpm.rm)))))</f>
        <v>Приточно-вытяжная установка шлейф 1</v>
      </c>
      <c r="BE90" t="str">
        <f t="shared" si="131"/>
        <v>Приточно-вытяжная установка Подвальный этаж Пом. №003Т</v>
      </c>
      <c r="BF90">
        <f>IFERROR(_xlfn.XMATCH(A90,Щиты[Щит]),0)</f>
        <v>5</v>
      </c>
      <c r="BG90">
        <f>_xlfn.LET(_xlpm.k,IFERROR(_xlfn.XLOOKUP(A90,Щиты[Щит],Щиты[Листов под вводной узел]),""),IF(_xlpm.k="",1,N(_xlpm.k))*Столбцов_на_лист)</f>
        <v>34</v>
      </c>
      <c r="BH90">
        <f t="shared" si="132"/>
        <v>36</v>
      </c>
      <c r="BI90" t="str">
        <f t="shared" si="133"/>
        <v>линии</v>
      </c>
      <c r="BJ90" s="6">
        <f>IFERROR(N(_xlfn.XLOOKUP(AX90,Коды_код,Коды_квт)),0)</f>
        <v>0</v>
      </c>
      <c r="BK90">
        <f t="shared" si="134"/>
        <v>0</v>
      </c>
      <c r="BL90" t="str">
        <f>IF(B90="","",IF(BC90&lt;&gt;"",IFERROR(_xlfn.XLOOKUP(BC90,Щиты[Щит],Щиты[Руст, кВт]),0),IF(BK90=1,IFERROR(_xlfn.XLOOKUP(A90,Щиты[Щит],Щиты[Руст, кВт]),0),IF(BJ90&gt;0,ROUND(BJ90*MAX(1,N(D90)),3),""))))</f>
        <v/>
      </c>
      <c r="BM90">
        <f t="shared" si="135"/>
        <v>2.1</v>
      </c>
      <c r="BN90" s="6">
        <f>IF(B90="","",IF(BC90&lt;&gt;"",IFERROR(_xlfn.XLOOKUP(BC90,Щиты[Щит],Щиты[Руст, кВт]),0),N(BM90)))</f>
        <v>2.1</v>
      </c>
      <c r="BO90" t="str">
        <f>IF(B90="","",IFERROR(IF(VLOOKUP(AX90,Потребители_обозначение,8,FALSE)=0,"",VLOOKUP(AX90,Потребители_обозначение,8,FALSE)),""))</f>
        <v/>
      </c>
      <c r="BP90">
        <f t="shared" si="136"/>
        <v>230</v>
      </c>
      <c r="BQ90">
        <f>IF(B90="","",IF(BC90&lt;&gt;"",3,IFERROR(IF(N(VLOOKUP(AX90,Потребители_обозначение,9,FALSE))=0,1,VLOOKUP(AX90,Потребители_обозначение,9,FALSE)),1)))</f>
        <v>1</v>
      </c>
      <c r="BR90">
        <f t="shared" si="137"/>
        <v>1</v>
      </c>
      <c r="BS90" t="str">
        <f>IF(B90="","",_xlfn.LET(_xlpm.bc,IFERROR(IF(VLOOKUP(AX90,Потребители_обозначение,6,FALSE)=0,"",VLOOKUP(AX90,Потребители_обозначение,6,FALSE)&amp;""),""),IF(AND(FK90="да",OR(_xlpm.bc="",_xlpm.bc="мс")),Марка_пож,IF(AND(_xlpm.bc="",BC90&lt;&gt;""),"мс",_xlpm.bc))))</f>
        <v/>
      </c>
      <c r="BT90" t="str">
        <f t="shared" si="138"/>
        <v>мс</v>
      </c>
      <c r="BU90">
        <f>IF(B90="","",_xlfn.LET(_xlpm.cc,IFERROR(N(VLOOKUP(AX90,Потребители_обозначение,7,FALSE)),0),IF(_xlpm.cc&gt;0,_xlpm.cc,IF(BT90="","",IF(N(BR90)=3,5,3)))))</f>
        <v>3</v>
      </c>
      <c r="BV90">
        <f t="shared" si="139"/>
        <v>3</v>
      </c>
      <c r="BW90">
        <f>IFERROR(N(VLOOKUP(AX90,Потребители_обозначение,10,FALSE)),0)</f>
        <v>0</v>
      </c>
      <c r="BX90">
        <f>IFERROR(VLOOKUP(AX90,Потребители_обозначение,5,FALSE),0)</f>
        <v>1</v>
      </c>
      <c r="BY90" s="6" cm="1">
        <f t="array" ref="BY90">IF(B90="","",IF(BC90&lt;&gt;"",IFERROR(_xlfn.XLOOKUP(BC90,Щиты[Щит],Щиты[cos φ]),0.95),IF(BK90=1,IFERROR(_xlfn.XLOOKUP(A90,Щиты[Щит],Щиты[cos φ]),0.95),IF(ISNUMBER(Z90),Z90,IFERROR(IF(BX90=2,_xlfn.IFS(BR90=3,VLOOKUP(BN90,Справочная_двигатели,8,FALSE),BR90=1,VLOOKUP(BN90,Справочная_двигатели,10,TRUE)),IF(AND(Методика="нормы 2026",EQ90="Сил"),0.8,0.95)),0.95)))))</f>
        <v>0.8</v>
      </c>
      <c r="BZ90">
        <f t="shared" si="140"/>
        <v>0</v>
      </c>
      <c r="CA90">
        <f t="shared" si="141"/>
        <v>1</v>
      </c>
      <c r="CB90">
        <f t="shared" si="142"/>
        <v>0</v>
      </c>
      <c r="CC90">
        <f t="shared" si="143"/>
        <v>0</v>
      </c>
      <c r="CD90">
        <f t="shared" si="144"/>
        <v>0</v>
      </c>
      <c r="CE90">
        <f t="shared" si="145"/>
        <v>0</v>
      </c>
      <c r="CF90">
        <f t="shared" si="146"/>
        <v>0</v>
      </c>
      <c r="CG90">
        <f>IF(AX90="",0,_xlfn.LET(_xlpm.v,IFERROR(VLOOKUP(B90,УГО_спр,3,FALSE),IFERROR(VLOOKUP(AX90,УГО_спр,3,FALSE),IFERROR(VLOOKUP(LEFT(AX90,2),УГО_спр,3,FALSE),""))),IF(_xlpm.v="да",30,IF(ISNUMBER(_xlpm.v),_xlpm.v,0))))</f>
        <v>0</v>
      </c>
      <c r="CH90" t="str">
        <f t="shared" si="147"/>
        <v/>
      </c>
      <c r="CI90" t="str">
        <f>_xlfn.LET(_xlpm.k,IFERROR(_xlfn.XLOOKUP(AX90,Коды_код,Коды_утечка)&amp;"",""),IF(_xlpm.k="","дифавтомат",_xlpm.k))</f>
        <v>дифавтомат</v>
      </c>
      <c r="CJ90">
        <f t="shared" si="148"/>
        <v>0</v>
      </c>
      <c r="CK90">
        <f t="shared" si="149"/>
        <v>0</v>
      </c>
      <c r="CL90">
        <f>IF(B90="",0,IFERROR(--VLOOKUP(B90,УГО_спр,4,FALSE),IFERROR(--VLOOKUP(AX90,УГО_спр,4,FALSE),IFERROR(--VLOOKUP(LEFT(AX90,2),УГО_спр,4,FALSE),0))))</f>
        <v>0</v>
      </c>
      <c r="CM90" t="str">
        <f>IF(B90="","",IFERROR(_xlfn.XLOOKUP(AX90,Коды_код,Коды_апп)&amp;"",""))</f>
        <v/>
      </c>
      <c r="CN90" t="str">
        <f t="shared" si="150"/>
        <v/>
      </c>
      <c r="CO90" t="str" cm="1">
        <f t="array" ref="CO90">IF(TRIM(CN90&amp;"")="","",IFERROR(TRIM(INDEX(_xlfn.TEXTSPLIT(CN90&amp;";;;",";"),1)),""))</f>
        <v/>
      </c>
      <c r="CP90" t="str" cm="1">
        <f t="array" ref="CP90">IF(TRIM(CN90&amp;"")="","",IFERROR(TRIM(INDEX(_xlfn.TEXTSPLIT(CN90&amp;";;;",";"),2)),""))</f>
        <v/>
      </c>
      <c r="CQ90" t="str" cm="1">
        <f t="array" ref="CQ90">IF(TRIM(CN90&amp;"")="","",IFERROR(TRIM(INDEX(_xlfn.TEXTSPLIT(CN90&amp;";;;",";"),3)),""))</f>
        <v/>
      </c>
      <c r="CR90">
        <f t="shared" si="151"/>
        <v>0</v>
      </c>
      <c r="CS90" t="str">
        <f>IF(B90="","",_xlfn.LET(_xlpm.t,LOWER(AV90&amp;""),IF(ISNUMBER(SEARCH("dim",_xlpm.t)),"DIM",IF(ISNUMBER(SEARCH("dali",_xlpm.t)),"DALI",IF(OR(ISNUMBER(SEARCH("relay",_xlpm.t)),ISNUMBER(SEARCH("реле",_xlpm.t))),"Relay",IF(ISNUMBER(SEARCH("кнопк",_xlpm.t)),"",IFERROR(_xlfn.XLOOKUP(AX90,Коды_код,Коды_упр)&amp;"","")))))))</f>
        <v/>
      </c>
      <c r="CT90" t="str">
        <f t="shared" si="152"/>
        <v/>
      </c>
      <c r="CU90">
        <f>IF(B90="","",_xlfn.LET(_xlpm.ig,N(P90)+IF(AF90="вручную",0,N(CB90)),_xlpm.n0,IFERROR(VLOOKUP(_xlpm.ig,Автомат_номиналы,2,TRUE),0),_xlpm.mn,MAX(CL90,IF(AF90="вручную",0,N(CE90))),MAX(_xlpm.n0,_xlpm.mn,IF(CR90=1,Мин_автомат_БП,0))))</f>
        <v>16</v>
      </c>
      <c r="CV90">
        <f t="shared" si="153"/>
        <v>1</v>
      </c>
      <c r="CW90" t="str">
        <f t="shared" si="154"/>
        <v>1P</v>
      </c>
      <c r="CX90" t="str">
        <f>_xlfn.LET(_xlpm.cc,UPPER(TRIM(IFERROR(_xlfn.XLOOKUP(AX90,Коды_код,Коды_хар)&amp;"",""))),IF(OR(_xlpm.cc="B",_xlpm.cc="В"),"B",IF(_xlpm.cc="D","D","С")))</f>
        <v>С</v>
      </c>
      <c r="CY90" t="str">
        <f t="shared" si="155"/>
        <v>1P С16А</v>
      </c>
      <c r="CZ90">
        <f t="shared" si="156"/>
        <v>16</v>
      </c>
      <c r="DA90" t="str">
        <f t="shared" si="157"/>
        <v>1P С16А</v>
      </c>
      <c r="DB90" cm="1">
        <f t="array" ref="DB90">IF(DA90="","",_xlfn.LET(_xlpm.t,SUBSTITUTE(SUBSTITUTE(SUBSTITUTE(UPPER(DA90),"С","C"),"А","A"),"В","B"),_xlpm.tk,_xlfn.TEXTSPLIT(_xlpm.t,"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90" t="str">
        <f t="shared" si="158"/>
        <v>ok</v>
      </c>
      <c r="DD90">
        <f t="shared" si="159"/>
        <v>16</v>
      </c>
      <c r="DE90" t="str">
        <f t="shared" si="160"/>
        <v>1P С16А</v>
      </c>
      <c r="DF90">
        <f t="shared" si="161"/>
        <v>0</v>
      </c>
      <c r="DG90">
        <f t="shared" si="162"/>
        <v>0</v>
      </c>
      <c r="DH90">
        <f t="shared" si="163"/>
        <v>0</v>
      </c>
      <c r="DI90">
        <f t="shared" si="164"/>
        <v>11.366583424670756</v>
      </c>
      <c r="DJ90">
        <f t="shared" si="165"/>
        <v>1</v>
      </c>
      <c r="DK90">
        <f>IF(ISNUMBER(AL90),AL90,К_прокл)</f>
        <v>1</v>
      </c>
      <c r="DL90">
        <f t="shared" si="166"/>
        <v>2</v>
      </c>
      <c r="DM90">
        <f>IFERROR(N(VLOOKUP(BT90,Кабель_обозначение,3,FALSE)),1)</f>
        <v>1</v>
      </c>
      <c r="DN90">
        <f>IFERROR(N(_xlfn.XLOOKUP(A90,Щиты[Щит],Щиты[ΔU до шин, %])),0)</f>
        <v>0.74</v>
      </c>
      <c r="DO90" t="str">
        <f>IFERROR(_xlfn.XLOOKUP(A90,Щиты[Щит],Щиты[Zпетли на шинах, Ом]),"")</f>
        <v/>
      </c>
      <c r="DP90">
        <f>IFERROR(N(_xlfn.XLOOKUP(A90,Щиты[Щит],Щиты[ΔU до шин (подбор), %])),0)</f>
        <v>1.96</v>
      </c>
      <c r="DQ90" t="str">
        <f>IFERROR(_xlfn.XLOOKUP(A90,Щиты[Щит],Щиты[Zпетли на шинах (подбор), Ом]),"")</f>
        <v/>
      </c>
      <c r="DR90" t="str">
        <f t="shared" si="167"/>
        <v/>
      </c>
      <c r="DS90">
        <f t="shared" si="168"/>
        <v>15</v>
      </c>
      <c r="DT90">
        <f t="shared" si="169"/>
        <v>2</v>
      </c>
      <c r="DU90">
        <f t="shared" si="170"/>
        <v>0.6</v>
      </c>
      <c r="DV90" s="6">
        <f>IF(B90="","",IF(IFERROR(VLOOKUP(AX90,УГО_спр,2,FALSE),"")="Светильник",3,4)+IF(Методика="нормы 2026",MIN(0.5,MAX(0,N(Q90)-100)*0.005),0))</f>
        <v>4</v>
      </c>
      <c r="DW90" cm="1">
        <f t="array" ref="DW90">IF(OR(B90="",BT90="",DM90&lt;&gt;1),"",_xlfn.LET(_xlpm.sz,Iдоп_S,_xlpm.t_,CHOOSE(DL90,Iдоп_1ж,Iдоп_2ж,Iдоп_3ж)*DJ90*DK90,_xlpm.inn,N(DD90),_xlpm.smin,MAX(1.5,BW90),_xlpm.L_,N(Q90)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90)*(_xlpm.rho*_xlpm.L_/_xlpm.sz*N(BY90)+_xlpm.xx*_xlpm.L_*N(DU90)/1000)*N(P90)/((Uн_лин/SQRT(3))*1000)*100,999),_xlpm.kz,IF(OR(DG90=1,NOT(ISNUMBER(DQ90)),_xlpm.L_=0,_xlpm.inn=0),1,IFERROR(--(c_min*(Uн_лин*1000/SQRT(3))/(DQ90+2*ρкз_Cu*_xlpm.L_/_xlpm.sz)&gt;=GY90*_xlpm.inn),0)),_xlpm.ok,IFERROR((_xlpm.sz&gt;=_xlpm.smin)*(_xlpm.t_&gt;=_xlpm.inn)*IF(_xlpm.L_&gt;0,(_xlpm.du_+DP90&lt;=DV90+0.00001),1)*_xlpm.kz,0),_xlpm.r_,_xlfn._xlws.FILTER(_xlpm.sz,_xlpm.ok,"не подобрано"),INDEX(_xlpm.r_,1)))</f>
        <v>2.5</v>
      </c>
      <c r="DX90">
        <f t="shared" si="171"/>
        <v>2.5</v>
      </c>
      <c r="DY90" cm="1">
        <f t="array" ref="DY90">IF(OR(B90="",BT90="",DM90&lt;&gt;1),"",_xlfn.LET(_xlpm.sz,Iдоп_S,_xlpm.t_,CHOOSE(DL90,Iдоп_1ж,Iдоп_2ж,Iдоп_3ж)*DJ90*DK90,_xlpm.ok,IFERROR((_xlpm.sz&gt;=MAX(1.5,BW90))*(_xlpm.t_&gt;=N(DD90)),0),_xlpm.r_,_xlfn._xlws.FILTER(_xlpm.sz,_xlpm.ok,""),INDEX(_xlpm.r_,1)))</f>
        <v>1.5</v>
      </c>
      <c r="DZ90" s="6" cm="1">
        <f t="array" ref="DZ90">IFERROR(ROUNDUP(N(DT90)*(_xlfn.XLOOKUP(DY90,INDEX(Кабель_сопротивление,0,1),INDEX(Кабель_сопротивление,0,3))*N(Q90)/DY90*N(BY90)+_xlfn.XLOOKUP(DY90,INDEX(Кабель_сопротивление,0,1),INDEX(Кабель_сопротивление,0,2))*N(Q90)*N(DU90)/1000)*N(P90)/((Uн_лин/SQRT(3))*1000)*100,2),"")</f>
        <v>2.2599999999999998</v>
      </c>
      <c r="EA90">
        <f>IFERROR(2*ρкз_Cu*N(Q90)/DY90,"")</f>
        <v>0.66626666666666667</v>
      </c>
      <c r="EB90">
        <f>IFERROR(VLOOKUP(DX90,Кабель_сопротивление,3,FALSE),"")</f>
        <v>2.2499999999999999E-2</v>
      </c>
      <c r="EC90">
        <f>IFERROR(VLOOKUP(DX90,Кабель_сопротивление,2,FALSE),"")</f>
        <v>0.1</v>
      </c>
      <c r="ED90">
        <f t="shared" si="172"/>
        <v>19</v>
      </c>
      <c r="EE90">
        <f t="shared" si="173"/>
        <v>0</v>
      </c>
      <c r="EF90">
        <f t="shared" si="174"/>
        <v>3.1358130351981681</v>
      </c>
      <c r="EG90" s="6">
        <f>IFERROR(ROUNDUP(EF90/((Uн_лин/SQRT(3))*1000)*100,2),"")</f>
        <v>1.36</v>
      </c>
      <c r="EH90" t="str">
        <f>IFERROR(VLOOKUP(BT90,Кабель_обозначение,2,FALSE),"")</f>
        <v>ВВГнг(А)-LS</v>
      </c>
      <c r="EI90" t="str">
        <f t="shared" si="175"/>
        <v>ВВГнг(А)-LS (3х2,5)</v>
      </c>
      <c r="EJ90" t="str">
        <f t="shared" si="176"/>
        <v>ВВГнг(А)-LS (3х2,5)
L=19-1,36%</v>
      </c>
      <c r="EK90">
        <f>IFERROR(2*ρкз_Cu*Q90/DX90,"")</f>
        <v>0.39976</v>
      </c>
      <c r="EL90">
        <f t="shared" si="177"/>
        <v>0.13300000000000001</v>
      </c>
      <c r="EM90" s="6" t="str">
        <f>IFERROR(IF(OR(B90="",NOT(ISNUMBER(DX90)),N(Q90)=0),"",_xlfn.XLOOKUP(A90,Щиты[Щит],Щиты[Zпетли на шинах, Ом])+EK90),"")</f>
        <v/>
      </c>
      <c r="EN90" s="6" t="str">
        <f>IF(ISNUMBER(EM90),c_min*(Uн_лин*1000/SQRT(3))/EM90,"")</f>
        <v/>
      </c>
      <c r="EO90" s="6" t="str">
        <f>IFERROR(IF(OR(B90="",NOT(ISNUMBER(DX90))),"",1.05*(Uн_лин*1000/SQRT(3))/(_xlfn.XLOOKUP(A90,Щиты[Щит],Щиты[Zmax на шинах, Ом])+EL90)/1000),"")</f>
        <v/>
      </c>
      <c r="EP90" s="6" t="str">
        <f>IF(B90="","",IF(ISNUMBER(Y90),"Сил",IF(IFERROR(_xlfn.XLOOKUP(AX90,Коды_код,Коды_группа)&amp;"","")="","Быт",_xlfn.XLOOKUP(AX90,Коды_код,Коды_группа)&amp;"")))</f>
        <v>Сил</v>
      </c>
      <c r="EQ90" s="6" t="str">
        <f t="shared" si="178"/>
        <v>Сил</v>
      </c>
      <c r="ER90" s="6">
        <f>IF(EQ90="Щит","щит",IF(EQ90="","",IF(EQ90="Быт",IFERROR(_xlfn.XLOOKUP(A90,Щиты[Щит],Щиты[Кс быт]),1),IF(EQ90="Сил",IF(ISNUMBER(Y90),Y90,IF(Методика="нормы 2026",IFERROR(_xlfn.XLOOKUP(A90,Щиты[Щит],Щиты[Кс силовых (табл. 7.5)]),1),1)),IF(OR(EQ90="Пост",EQ90="Отоп"),1,IF(EQ90="ВНГ",0.7,0))))))</f>
        <v>0.5</v>
      </c>
      <c r="ES90">
        <f t="shared" si="179"/>
        <v>1</v>
      </c>
      <c r="ET90">
        <f t="shared" si="180"/>
        <v>2.1</v>
      </c>
      <c r="EU90">
        <f t="shared" si="181"/>
        <v>0</v>
      </c>
      <c r="EV90">
        <f t="shared" si="182"/>
        <v>1.05</v>
      </c>
      <c r="EW90">
        <f t="shared" si="183"/>
        <v>0</v>
      </c>
      <c r="EX90">
        <f t="shared" si="184"/>
        <v>0</v>
      </c>
      <c r="EY90">
        <f t="shared" si="185"/>
        <v>0</v>
      </c>
      <c r="EZ90">
        <f t="shared" si="186"/>
        <v>2.1</v>
      </c>
      <c r="FA90">
        <f t="shared" si="187"/>
        <v>1.6800000000000002</v>
      </c>
      <c r="FB90">
        <f t="shared" si="188"/>
        <v>2.1</v>
      </c>
      <c r="FC90" t="str">
        <f t="shared" si="189"/>
        <v>L2</v>
      </c>
      <c r="FD90" t="str">
        <f>IF(B90="","",IF(CA90=0,IF(AW90=1,"",FF89),IF(OR(N(CV90)&gt;=3,N(BR90)&gt;=3),"L1,L2,L3",IFERROR(_xlfn.TEXTBEFORE(_xlfn.TEXTAFTER(_xlfn.XLOOKUP(A90,Щиты[Щит],Щиты[_фазы авто]),";"&amp;AW90&amp;":"),";"),"L1"))))</f>
        <v>L1</v>
      </c>
      <c r="FE90" t="str">
        <f t="shared" si="190"/>
        <v>L2</v>
      </c>
      <c r="FF90" t="str">
        <f t="shared" si="191"/>
        <v>L2</v>
      </c>
      <c r="FG90" cm="1">
        <f t="array" ref="FG90">IFERROR(IF(BX90=2,_xlfn.IFS(BR90=3,VLOOKUP(BN90,Справочная_двигатели,3,FALSE),BR90=1,VLOOKUP(BN90,Справочная_двигатели,5,TRUE)),0),0)</f>
        <v>0</v>
      </c>
      <c r="FH90">
        <f>IFERROR(IF(BX90=3,VLOOKUP(BN90,Справочная_ЛЭД,2,TRUE),0),0)</f>
        <v>0</v>
      </c>
      <c r="FI90" s="6">
        <f t="shared" si="192"/>
        <v>0</v>
      </c>
      <c r="FJ90" t="str" cm="1">
        <f t="array" ref="FJ90">IF(B90="","",IFERROR(INDEX({"I особая","I","II","III"},MATCH(TRIM(AC90&amp;""),{"I особая","I","II","III"},0)),"III"))</f>
        <v>II</v>
      </c>
      <c r="FK90" t="str">
        <f>IF(B90="","",IF(TRIM(AD90&amp;"")&lt;&gt;"",IF(LOWER(TRIM(AD90&amp;""))="да","да","нет"),IF(IFERROR(_xlfn.XLOOKUP(AX90,Коды_код,Коды_пожарная),"")="да","да","нет")))</f>
        <v>нет</v>
      </c>
      <c r="FL90" t="str">
        <f t="shared" si="193"/>
        <v/>
      </c>
      <c r="FM90" t="str">
        <f t="shared" si="194"/>
        <v>основная</v>
      </c>
      <c r="FN90">
        <f t="shared" si="195"/>
        <v>1</v>
      </c>
      <c r="FO90" t="str" cm="1">
        <f t="array" ref="FO90">IF(B90="","",_xlfn.LET(_xlpm.t,IFERROR(_xlfn.XLOOKUP(1,(Шины[Шина]=FM90)*(((Шины[Щит]=A90)+(Шины[Щит]=""))&gt;0),Шины[Тип]),"")&amp;"",IF(_xlpm.t&lt;&gt;"",_xlpm.t,IF(ISNUMBER(SEARCH("ИБП",FM90)),"ИБП",IF(ISNUMBER(SEARCH("ДГУ",FM90)),"ДГУ","Ввод "&amp;FN90)))))</f>
        <v>Ввод 1</v>
      </c>
      <c r="FP90" t="str">
        <f t="shared" si="196"/>
        <v>Ввод 1</v>
      </c>
      <c r="FQ90" t="str">
        <f>IF(B90="","",IF(OR(FO90="ИБП",FO90="ДГУ"),"I особая",IF(FO90="Одиночная","III",_xlfn.XLOOKUP(A90,Щиты[Щит],Щиты[Категория шины «Ввод»],"III"))))</f>
        <v>II</v>
      </c>
      <c r="FR90">
        <f>IF(B90="",0,IFERROR(MATCH(FJ90,{"III","II","I","I особая"},0),1))</f>
        <v>2</v>
      </c>
      <c r="FS90">
        <f t="shared" si="197"/>
        <v>2</v>
      </c>
      <c r="FT90" t="str">
        <f>IF(B90="","",IF(FR90&gt;IFERROR(MATCH(FQ90,{"III","II","I","I особая"},0),1),"НЕ ОБЕСПЕЧЕНА","ОК"))</f>
        <v>ОК</v>
      </c>
      <c r="FU90" t="str">
        <f>IF(A90="","",_xlfn.XLOOKUP(A90,Щиты[Щит],Щиты[Путь],""))</f>
        <v>|ГРЩ-ЖД|ЩОВ-002|</v>
      </c>
      <c r="FV90" t="str">
        <f>IF(B90="","",IF(AE90&lt;&gt;"",AE90,IF(IFERROR(_xlfn.XLOOKUP(AX90,Коды_код,Коды_вид)&amp;"","")="","Прочее",_xlfn.XLOOKUP(AX90,Коды_код,Коды_вид)&amp;"")))</f>
        <v>Вентиляция</v>
      </c>
      <c r="FW90">
        <f>IF(BH90="","",INT((BH90-1)/Столбцов_на_лист)+1)</f>
        <v>3</v>
      </c>
      <c r="FX90" t="str">
        <f t="shared" si="198"/>
        <v>ВВГнг(А)-LS (3х2,5) L=19-1,36%</v>
      </c>
      <c r="FY90">
        <f t="shared" si="199"/>
        <v>2.1</v>
      </c>
      <c r="FZ90">
        <f t="shared" si="200"/>
        <v>11.37</v>
      </c>
      <c r="GA90">
        <f t="shared" si="201"/>
        <v>1</v>
      </c>
      <c r="GB90">
        <f t="shared" si="202"/>
        <v>0</v>
      </c>
      <c r="GC90">
        <f t="shared" si="203"/>
        <v>1</v>
      </c>
      <c r="GD90">
        <f>IF(BH90="","",IF(AND(CA90=1,GC90=1),COUNTIFS(A$3:A90,A90,CA$3:CA90,1,GC$3:GC90,1),IF(OR(OR(AW90=1,A90&lt;&gt;A89),AF90="вручную",GC90=0),"",IF(AW90=1,"",GE89))))</f>
        <v>2</v>
      </c>
      <c r="GE90">
        <f t="shared" si="204"/>
        <v>2</v>
      </c>
      <c r="GF90">
        <f>IF(B90="","",IFERROR(LOOKUP(INDEX(CHOOSE(DL90,Iдоп_1ж,Iдоп_2ж,Iдоп_3ж),MATCH(DX90,Iдоп_S,0))*DJ90*DK90,{6,10,16,20,25,32,40,50,63,80,100,125,160,200,250,315,400,500,630}),""))</f>
        <v>25</v>
      </c>
      <c r="GG90" t="str">
        <f t="shared" si="205"/>
        <v>QF2</v>
      </c>
      <c r="GH90" t="str">
        <f t="shared" si="206"/>
        <v>QF2</v>
      </c>
      <c r="GI90" t="str">
        <f t="shared" si="207"/>
        <v/>
      </c>
      <c r="GJ90">
        <f t="shared" si="208"/>
        <v>0</v>
      </c>
      <c r="GK90" t="str">
        <f>IF(OR(AG90="",AG90="-"),"",IFERROR(VLOOKUP(AG90,Модули_спр,2,FALSE),"R"))</f>
        <v/>
      </c>
      <c r="GL90" t="str">
        <f>IF(GK90="","",GK90&amp;"."&amp;COUNTIFS(A$3:A90,A90,GK$3:GK90,GK90))</f>
        <v/>
      </c>
      <c r="GM90" t="str">
        <f t="shared" si="209"/>
        <v/>
      </c>
      <c r="GN90" t="str">
        <f t="shared" si="210"/>
        <v/>
      </c>
      <c r="GO90" t="str">
        <f t="shared" si="211"/>
        <v/>
      </c>
      <c r="GP90" t="str">
        <f t="shared" si="212"/>
        <v/>
      </c>
      <c r="GQ90">
        <f t="shared" si="213"/>
        <v>1</v>
      </c>
      <c r="GR90" t="str">
        <f>IF(GQ90=1,"XT"&amp;COUNTIFS(A$3:A90,A90,GQ$3:GQ90,1),"")</f>
        <v>XT2</v>
      </c>
      <c r="GS90" t="str">
        <f t="shared" si="214"/>
        <v>XT2</v>
      </c>
      <c r="GT90" t="str">
        <f t="shared" si="215"/>
        <v>QF2</v>
      </c>
      <c r="GU90" t="str">
        <f t="shared" si="216"/>
        <v/>
      </c>
      <c r="GV90" t="str">
        <f t="shared" si="217"/>
        <v>ok</v>
      </c>
      <c r="GW90" t="str">
        <f>IF(OR(GO90="",GM90=""),"",IF(GO90&gt;IFERROR(VLOOKUP(GN90,Модули_спр,3,FALSE),99),"ЛИШНИЙ КАНАЛ",IF(AND(AH90&lt;&gt;"=",COUNTIFS(Линии[_модуль гр.],GM90,Линии[Канал (итог)],GO90,Линии[Канал],"&lt;&gt;=",Линии[Щит],A90)&gt;1),"ДУБЛЬ КАНАЛА","")))</f>
        <v/>
      </c>
      <c r="GX90" s="6" t="str">
        <f t="shared" si="218"/>
        <v/>
      </c>
      <c r="GY90">
        <f t="shared" si="219"/>
        <v>10</v>
      </c>
      <c r="GZ90" t="str">
        <f t="shared" si="220"/>
        <v/>
      </c>
      <c r="HA90" t="str">
        <f>IF(AND(B90="",GT90=""),"",_xlfn.TEXTJOIN("; ",TRUE,IF(AND(B90&lt;&gt;"",FE90=""),"нет фазы",""),IF(AND(B90&lt;&gt;"",N(FY90)=0,EQ90&lt;&gt;"Нет"),"нет мощности",""),IF(AND(GS90&lt;&gt;"",COUNTIFS(Линии[Щит],A90,Линии[Клемма (итог)],GS90)&gt;1),"дубль клеммы "&amp;GS90,""),IF(AND(GV90&lt;&gt;"",GV90&lt;&gt;"ok"),GV90,""),IF(GW90&lt;&gt;"",GW90,""),IF(AND(N(BV90)&gt;=4,N(BR90)=1),BV90&amp;" жил на 1 фазе",""),IF(AND(AX90="R",CA90=1,OR(N(CK90)=0,N(CK90)&gt;30)),"розетка без дифзащиты до 30 мА",""),IFERROR(IF(AND(ISNUMBER(R90),R90&gt;DV90),"потери "&amp;FIXED(R90,1)&amp;" % &gt; "&amp;DV90&amp;" %",""),""),IFERROR(IF(LEFT(GZ90,4)="мало","Iкз мало — отключение &gt; 0,4 с",""),""),IF(AND(B90&lt;&gt;"",BH90=""),"не на схеме",""),IF(AND(CA90=0,B90&lt;&gt;"",FE90&lt;&gt;"",IF(AW90=1,"",FF89)&lt;&gt;"",FE90&lt;&gt;IF(AW90=1,"",FF89)),"фаза не как у автомата группы ("&amp;IF(AW90=1,"",FF89)&amp;")","")))</f>
        <v/>
      </c>
      <c r="HB90" s="6">
        <f>IF(OR(CA90=0,DA90=""),"",_xlfn.LET(_xlpm.t,IFERROR(_xlfn.XLOOKUP(DA90,Каталог!$U$4:$U$500,Каталог!$G$4:$G$500),""),_xlpm.k,SEARCH("кА",_xlpm.t),IFERROR(--TRIM(RIGHT(SUBSTITUTE(MID(_xlpm.t,MAX(1,_xlpm.k-4),_xlpm.k-MAX(1,_xlpm.k-4))," ",REPT(" ",9)),5)),"")))</f>
        <v>6</v>
      </c>
      <c r="HC90" t="str">
        <f>IF(OR(HB90="",CA90=0),"",IF(_xlfn.XLOOKUP(A90,Щиты[Щит],Щиты[Iкз max на шинах, кА],"")="","",IF(HB90&lt;_xlfn.XLOOKUP(A90,Щиты[Щит],Щиты[Iкз max на шинах, кА]),"Icu "&amp;HB90&amp;" кА &lt; Iкз max","ok")))</f>
        <v/>
      </c>
      <c r="HD90" t="str">
        <f t="shared" si="221"/>
        <v/>
      </c>
      <c r="HE90" t="str">
        <f t="shared" si="222"/>
        <v>QF2|XT2</v>
      </c>
      <c r="HF90" t="str">
        <f t="shared" si="223"/>
        <v>QF2|XT2|кабель ВВГнг(А)-LS (3х2,5) → Приточно-вытяжная установка Подвальный этаж Пом. №003Т</v>
      </c>
      <c r="HG90" t="str" cm="1">
        <f t="array" ref="HG90">IF(HF90="","",_xlfn.LET(_xlpm.nd,_xlfn.TEXTSPLIT(HF90,"|"),IF(COLUMNS(_xlpm.nd)&gt;1,A90&amp;"¦"&amp;INDEX(_xlpm.nd,1)&amp;"¦"&amp;INDEX(_xlpm.nd,2),"")))</f>
        <v>ЩОВ-002¦QF2¦XT2</v>
      </c>
      <c r="HH90" t="str">
        <f t="shared" si="224"/>
        <v>ПВ.1¦Приточно-вытяжная установка Подвальный этаж Пом. №003Т</v>
      </c>
      <c r="HI90" t="str" cm="1">
        <f t="array" ref="HI90">IF(HF90="","",_xlfn.LET(_xlpm.nd,_xlfn.TEXTSPLIT(HF90,"|"),IF(COLUMNS(_xlpm.nd)&gt;2,A90&amp;"¦"&amp;INDEX(_xlpm.nd,2)&amp;"¦"&amp;INDEX(_xlpm.nd,3),"")))</f>
        <v>ЩОВ-002¦XT2¦кабель ВВГнг(А)-LS (3х2,5) → Приточно-вытяжная установка Подвальный этаж Пом. №003Т</v>
      </c>
      <c r="HJ90" t="str">
        <f t="shared" si="225"/>
        <v>ПВ.1¦Приточно-вытяжная установка Подвальный этаж Пом. №003Т</v>
      </c>
      <c r="HK90" t="str" cm="1">
        <f t="array" ref="HK90">IF(HF90="","",_xlfn.LET(_xlpm.nd,_xlfn.TEXTSPLIT(HF90,"|"),IF(COLUMNS(_xlpm.nd)&gt;3,A90&amp;"¦"&amp;INDEX(_xlpm.nd,3)&amp;"¦"&amp;INDEX(_xlpm.nd,4),"")))</f>
        <v/>
      </c>
      <c r="HL90" t="str">
        <f t="shared" si="226"/>
        <v/>
      </c>
      <c r="HM90" t="str" cm="1">
        <f t="array" ref="HM90">IF(HF90="","",_xlfn.LET(_xlpm.nd,_xlfn.TEXTSPLIT(HF90,"|"),IF(COLUMNS(_xlpm.nd)&gt;4,A90&amp;"¦"&amp;INDEX(_xlpm.nd,4)&amp;"¦"&amp;INDEX(_xlpm.nd,5),"")))</f>
        <v/>
      </c>
      <c r="HN90" t="str">
        <f t="shared" si="227"/>
        <v/>
      </c>
      <c r="HO90" t="str" cm="1">
        <f t="array" ref="HO90">IF(HF90="","",_xlfn.LET(_xlpm.nd,_xlfn.TEXTSPLIT(HF90,"|"),IF(COLUMNS(_xlpm.nd)&gt;5,A90&amp;"¦"&amp;INDEX(_xlpm.nd,5)&amp;"¦"&amp;INDEX(_xlpm.nd,6),"")))</f>
        <v/>
      </c>
      <c r="HP90" t="str">
        <f t="shared" si="228"/>
        <v/>
      </c>
      <c r="HQ90" t="str" cm="1">
        <f t="array" ref="HQ90">IF(HF90="","",_xlfn.LET(_xlpm.nd,_xlfn.TEXTSPLIT(HF90,"|"),IF(COLUMNS(_xlpm.nd)&gt;6,A90&amp;"¦"&amp;INDEX(_xlpm.nd,6)&amp;"¦"&amp;INDEX(_xlpm.nd,7),"")))</f>
        <v/>
      </c>
      <c r="HR90" t="str">
        <f t="shared" si="229"/>
        <v/>
      </c>
      <c r="HS90" t="str">
        <f t="shared" si="230"/>
        <v/>
      </c>
      <c r="HT90" t="str">
        <f t="shared" si="231"/>
        <v>QF2 → XT2</v>
      </c>
      <c r="HU90">
        <f t="shared" si="232"/>
        <v>0</v>
      </c>
      <c r="HV90">
        <f t="shared" si="233"/>
        <v>0</v>
      </c>
      <c r="HW90" t="str">
        <f t="shared" si="234"/>
        <v/>
      </c>
      <c r="HX90" t="str">
        <f t="shared" si="235"/>
        <v/>
      </c>
      <c r="HY90" t="str">
        <f t="shared" si="236"/>
        <v/>
      </c>
      <c r="HZ90" t="str">
        <f t="shared" si="237"/>
        <v/>
      </c>
      <c r="IA90" t="str">
        <f>IF(B90="","",IFERROR(VLOOKUP(B90,УГО_спр,2,FALSE),IFERROR(VLOOKUP(AX90,УГО_спр,2,FALSE),IFERROR(VLOOKUP(LEFT(AX90,2),УГО_спр,2,FALSE),""))))</f>
        <v>Привод (двигатель)</v>
      </c>
      <c r="IB90" t="str">
        <f>IF(B90="","",IF(OR(IA90="",IA90=0),"BOX",IFERROR(IF(VLOOKUP(IA90,УГО_блоки,3,FALSE)&amp;""&lt;&gt;"",VLOOKUP(IA90,УГО_блоки,3,FALSE),VLOOKUP(IA90,УГО_блоки,2,FALSE)),IA90)))</f>
        <v>MOTOR</v>
      </c>
      <c r="IC90">
        <f t="shared" si="238"/>
        <v>1</v>
      </c>
      <c r="ID90" t="str">
        <f>IF(DA90="","",IF(COUNTIF(DA$3:DA90,DA90)=1,MAX(ID$2:ID89)+1,""))</f>
        <v/>
      </c>
      <c r="IE90" t="str">
        <f>IF(CO90="","",IF(COUNTIF(CO$3:CO90,CO90)+COUNTIF(CP$2:CP89,CO90)+COUNTIF(CQ$2:CQ89,CO90)=1,MAX(IE$2:IG89)+1,""))</f>
        <v/>
      </c>
      <c r="IF90" t="str">
        <f>IF(CP90="","",IF(COUNTIF(CO$3:CO90,CP90)+COUNTIF(CP$3:CP90,CP90)+COUNTIF(CQ$2:CQ89,CP90)=1,MAX(IE$2:IG89,IE90)+1,""))</f>
        <v/>
      </c>
      <c r="IG90" t="str">
        <f>IF(CQ90="","",IF(COUNTIF(CO$3:CO90,CQ90)+COUNTIF(CP$3:CP90,CQ90)+COUNTIF(CQ$3:CQ90,CQ90)=1,MAX(IE$2:IG89,IE90,IF90)+1,""))</f>
        <v/>
      </c>
      <c r="IH90" t="str">
        <f t="shared" si="239"/>
        <v>3х2,5</v>
      </c>
      <c r="II90" t="str">
        <f>IF(IH90="","",IF(COUNTIF(IH$3:IH90,IH90)=1,MAX(II$2:II89)+1,""))</f>
        <v/>
      </c>
      <c r="IJ90" t="str">
        <f>IF(GL90="","",COUNTIF(GL$3:GL90,"?*"))</f>
        <v/>
      </c>
      <c r="IK90" t="str">
        <f>IF(OR(GL90="",GN90=""),"",IF(COUNTIFS(GL$3:GL90,"?*",GN$3:GN90,GN90)=1,MAX(IK$2:IK89)+1,""))</f>
        <v/>
      </c>
      <c r="IL90">
        <f t="shared" si="240"/>
        <v>0</v>
      </c>
      <c r="IM90">
        <f>IF(B90="","",COUNTIF(B$3:B90,"?*"))</f>
        <v>88</v>
      </c>
      <c r="IN90">
        <f>IF(GQ90&lt;&gt;1,0,_xlfn.LET(_xlpm.k,MAX(IFERROR(--VLOOKUP(B90,УГО_спр,5,FALSE),0),IFERROR(--VLOOKUP(AX90,УГО_спр,5,FALSE),0),IFERROR(--VLOOKUP(LEFT(AX90,2),УГО_спр,5,FALSE),0)),IF(_xlpm.k&gt;0,_xlpm.k,IF(IFERROR(--LEFT(SUBSTITUTE(IH90,"x","х"),FIND("х",SUBSTITUTE(IH90,"x","х"))-1),3)&gt;3,Каталог!$S$9,1))))</f>
        <v>1</v>
      </c>
      <c r="IO90">
        <f t="shared" si="241"/>
        <v>0</v>
      </c>
      <c r="IP90" t="str">
        <f t="shared" si="242"/>
        <v>авто</v>
      </c>
      <c r="IQ90" t="str">
        <f t="shared" si="243"/>
        <v/>
      </c>
      <c r="IR90">
        <f t="shared" si="244"/>
        <v>0</v>
      </c>
      <c r="IS90">
        <f t="shared" si="245"/>
        <v>1</v>
      </c>
    </row>
    <row r="91" spans="1:253" x14ac:dyDescent="0.3">
      <c r="A91" t="s">
        <v>751</v>
      </c>
      <c r="B91" t="s">
        <v>1362</v>
      </c>
      <c r="C91" t="s">
        <v>1621</v>
      </c>
      <c r="D91">
        <v>1</v>
      </c>
      <c r="E91">
        <v>0.35</v>
      </c>
      <c r="G91">
        <v>10</v>
      </c>
      <c r="H91" t="str">
        <f>Линии[[#This Row],[_авто утечка]]</f>
        <v/>
      </c>
      <c r="I91" t="str">
        <f>Линии[[#This Row],[_авто управление]]</f>
        <v/>
      </c>
      <c r="J91" t="str">
        <f>Линии[[#This Row],[_авто аппараты]]</f>
        <v/>
      </c>
      <c r="K91">
        <v>1.5</v>
      </c>
      <c r="L91">
        <v>12</v>
      </c>
      <c r="M91">
        <v>1</v>
      </c>
      <c r="N91" t="s">
        <v>486</v>
      </c>
      <c r="O91" t="str">
        <f t="shared" si="123"/>
        <v/>
      </c>
      <c r="P91" s="6" cm="1">
        <f t="array" ref="P91">IF(B91="","",IF(BC91&lt;&gt;"",IFERROR(_xlfn.XLOOKUP(BC91,Щиты[Щит],Щиты[Iр, А]),""),IF(BK91=1,IFERROR(_xlfn.XLOOKUP(A91,Щиты[Щит],Щиты[Iр, А]),""),IFERROR(_xlfn.IFS(BR91=1,BN91/((Uн_лин/SQRT(3))*BY91),BR91=3,BN91/(SQRT(3)*Uн_лин*BY91)),""))))</f>
        <v>1.894430570778459</v>
      </c>
      <c r="Q91" s="7">
        <f>IF(B91="","",IFERROR(IF(VLOOKUP(AX91,Потребители_обозначение,4,FALSE)=1,VLOOKUP(AX91,Потребители_обозначение,3,FALSE)*(D91*2-1)+DS91+VLOOKUP(AZ91,Этаж_обозначение,3,FALSE)+VLOOKUP(AZ91,Этаж_обозначение,4,FALSE),VLOOKUP(AX91,Потребители_обозначение,3,FALSE)*(D91*2-1)+DS91),DS91))</f>
        <v>16</v>
      </c>
      <c r="R91" s="6">
        <f t="shared" si="124"/>
        <v>1.06</v>
      </c>
      <c r="S91" t="str">
        <f t="shared" si="125"/>
        <v>ВВГнг(А)-LS (3х1,5)</v>
      </c>
      <c r="T91" t="str">
        <f>IF(BH91="","",IF(BI91="вводной узел","узел ","")&amp;"л."&amp;(INT((BH91-1)/Столбцов_на_лист)+1)&amp;" / "&amp;(MOD(BH91-1,Столбцов_на_лист)+1))</f>
        <v>л.3 / 3</v>
      </c>
      <c r="V91">
        <v>1</v>
      </c>
      <c r="W91">
        <v>230</v>
      </c>
      <c r="X91" t="s">
        <v>600</v>
      </c>
      <c r="Y91">
        <v>0.5</v>
      </c>
      <c r="AC91" t="s">
        <v>815</v>
      </c>
      <c r="AE91" t="s">
        <v>582</v>
      </c>
      <c r="AI91">
        <v>37</v>
      </c>
      <c r="AJ91" t="s">
        <v>11</v>
      </c>
      <c r="AK91">
        <v>3</v>
      </c>
      <c r="AM91">
        <v>0</v>
      </c>
      <c r="AN91">
        <v>16</v>
      </c>
      <c r="AP91">
        <v>1</v>
      </c>
      <c r="AW91" cm="1">
        <f t="array" ref="AW91">ROW()-ROW(Линии[#Headers])</f>
        <v>89</v>
      </c>
      <c r="AX91" s="6" t="str">
        <f t="shared" si="126"/>
        <v>ПВ</v>
      </c>
      <c r="AY91" t="str">
        <f t="shared" si="127"/>
        <v>К</v>
      </c>
      <c r="AZ91" t="str">
        <f t="shared" si="128"/>
        <v>К</v>
      </c>
      <c r="BA91" t="str">
        <f t="shared" si="129"/>
        <v/>
      </c>
      <c r="BB91" t="str">
        <f t="shared" si="130"/>
        <v/>
      </c>
      <c r="BC91" t="str">
        <f>IF(U91&lt;&gt;"",U91,IF(AND(B91&lt;&gt;"",B91&lt;&gt;A91,ISNUMBER(_xlfn.XMATCH(B91,Щиты[Щит]))),B91,""))</f>
        <v/>
      </c>
      <c r="BD91" t="str" cm="1">
        <f t="array" ref="BD91">IF(B91="","",IF(BC91&lt;&gt;"","Щит "&amp;BC91,_xlfn.LET(_xlpm.nm,IFERROR(_xlfn.XLOOKUP(AX91,Коды_код,Коды_имя)&amp;"",""),_xlpm.md,IFERROR(N(_xlfn.XLOOKUP(AX91,Коды_код,Коды_режим)),1),_xlpm.ex,IF(Имя_режим="по экспликации",IFERROR(_xlfn.XLOOKUP(AZ91&amp;"|"&amp;BB91,Экспликация[Этаж]&amp;"|"&amp;Экспликация[Помещение],Экспликация[Название])&amp;"",""),""),_xlpm.rm,IF(BB91="","",IF(_xlpm.ex&lt;&gt;"",". "&amp;_xlpm.ex&amp;IF(Имя_пом="нет"," ("&amp;BB91&amp;")"," (пом. "&amp;BB91&amp;")"),IF(Имя_пом="нет"," ",", пом. ")&amp;BB91)),IF(_xlpm.nm="","",IF(_xlpm.md=2,_xlpm.nm&amp;" шлейф "&amp;AZ91,_xlpm.nm&amp;_xlpm.rm)))))</f>
        <v>Приточно-вытяжная установка шлейф К</v>
      </c>
      <c r="BE91" t="str">
        <f t="shared" si="131"/>
        <v>Приточно-вытяжная установка Подвальный этаж Пом. №003Т</v>
      </c>
      <c r="BF91">
        <f>IFERROR(_xlfn.XMATCH(A91,Щиты[Щит]),0)</f>
        <v>5</v>
      </c>
      <c r="BG91">
        <f>_xlfn.LET(_xlpm.k,IFERROR(_xlfn.XLOOKUP(A91,Щиты[Щит],Щиты[Листов под вводной узел]),""),IF(_xlpm.k="",1,N(_xlpm.k))*Столбцов_на_лист)</f>
        <v>34</v>
      </c>
      <c r="BH91">
        <f t="shared" si="132"/>
        <v>37</v>
      </c>
      <c r="BI91" t="str">
        <f t="shared" si="133"/>
        <v>линии</v>
      </c>
      <c r="BJ91" s="6">
        <f>IFERROR(N(_xlfn.XLOOKUP(AX91,Коды_код,Коды_квт)),0)</f>
        <v>0</v>
      </c>
      <c r="BK91">
        <f t="shared" si="134"/>
        <v>0</v>
      </c>
      <c r="BL91" t="str">
        <f>IF(B91="","",IF(BC91&lt;&gt;"",IFERROR(_xlfn.XLOOKUP(BC91,Щиты[Щит],Щиты[Руст, кВт]),0),IF(BK91=1,IFERROR(_xlfn.XLOOKUP(A91,Щиты[Щит],Щиты[Руст, кВт]),0),IF(BJ91&gt;0,ROUND(BJ91*MAX(1,N(D91)),3),""))))</f>
        <v/>
      </c>
      <c r="BM91">
        <f t="shared" si="135"/>
        <v>0.35</v>
      </c>
      <c r="BN91" s="6">
        <f>IF(B91="","",IF(BC91&lt;&gt;"",IFERROR(_xlfn.XLOOKUP(BC91,Щиты[Щит],Щиты[Руст, кВт]),0),N(BM91)))</f>
        <v>0.35</v>
      </c>
      <c r="BO91" t="str">
        <f>IF(B91="","",IFERROR(IF(VLOOKUP(AX91,Потребители_обозначение,8,FALSE)=0,"",VLOOKUP(AX91,Потребители_обозначение,8,FALSE)),""))</f>
        <v/>
      </c>
      <c r="BP91">
        <f t="shared" si="136"/>
        <v>230</v>
      </c>
      <c r="BQ91">
        <f>IF(B91="","",IF(BC91&lt;&gt;"",3,IFERROR(IF(N(VLOOKUP(AX91,Потребители_обозначение,9,FALSE))=0,1,VLOOKUP(AX91,Потребители_обозначение,9,FALSE)),1)))</f>
        <v>1</v>
      </c>
      <c r="BR91">
        <f t="shared" si="137"/>
        <v>1</v>
      </c>
      <c r="BS91" t="str">
        <f>IF(B91="","",_xlfn.LET(_xlpm.bc,IFERROR(IF(VLOOKUP(AX91,Потребители_обозначение,6,FALSE)=0,"",VLOOKUP(AX91,Потребители_обозначение,6,FALSE)&amp;""),""),IF(AND(FK91="да",OR(_xlpm.bc="",_xlpm.bc="мс")),Марка_пож,IF(AND(_xlpm.bc="",BC91&lt;&gt;""),"мс",_xlpm.bc))))</f>
        <v/>
      </c>
      <c r="BT91" t="str">
        <f t="shared" si="138"/>
        <v>мс</v>
      </c>
      <c r="BU91">
        <f>IF(B91="","",_xlfn.LET(_xlpm.cc,IFERROR(N(VLOOKUP(AX91,Потребители_обозначение,7,FALSE)),0),IF(_xlpm.cc&gt;0,_xlpm.cc,IF(BT91="","",IF(N(BR91)=3,5,3)))))</f>
        <v>3</v>
      </c>
      <c r="BV91">
        <f t="shared" si="139"/>
        <v>3</v>
      </c>
      <c r="BW91">
        <f>IFERROR(N(VLOOKUP(AX91,Потребители_обозначение,10,FALSE)),0)</f>
        <v>0</v>
      </c>
      <c r="BX91">
        <f>IFERROR(VLOOKUP(AX91,Потребители_обозначение,5,FALSE),0)</f>
        <v>1</v>
      </c>
      <c r="BY91" s="6" cm="1">
        <f t="array" ref="BY91">IF(B91="","",IF(BC91&lt;&gt;"",IFERROR(_xlfn.XLOOKUP(BC91,Щиты[Щит],Щиты[cos φ]),0.95),IF(BK91=1,IFERROR(_xlfn.XLOOKUP(A91,Щиты[Щит],Щиты[cos φ]),0.95),IF(ISNUMBER(Z91),Z91,IFERROR(IF(BX91=2,_xlfn.IFS(BR91=3,VLOOKUP(BN91,Справочная_двигатели,8,FALSE),BR91=1,VLOOKUP(BN91,Справочная_двигатели,10,TRUE)),IF(AND(Методика="нормы 2026",EQ91="Сил"),0.8,0.95)),0.95)))))</f>
        <v>0.8</v>
      </c>
      <c r="BZ91">
        <f t="shared" si="140"/>
        <v>0</v>
      </c>
      <c r="CA91">
        <f t="shared" si="141"/>
        <v>1</v>
      </c>
      <c r="CB91">
        <f t="shared" si="142"/>
        <v>0</v>
      </c>
      <c r="CC91">
        <f t="shared" si="143"/>
        <v>0</v>
      </c>
      <c r="CD91">
        <f t="shared" si="144"/>
        <v>0</v>
      </c>
      <c r="CE91">
        <f t="shared" si="145"/>
        <v>0</v>
      </c>
      <c r="CF91">
        <f t="shared" si="146"/>
        <v>0</v>
      </c>
      <c r="CG91">
        <f>IF(AX91="",0,_xlfn.LET(_xlpm.v,IFERROR(VLOOKUP(B91,УГО_спр,3,FALSE),IFERROR(VLOOKUP(AX91,УГО_спр,3,FALSE),IFERROR(VLOOKUP(LEFT(AX91,2),УГО_спр,3,FALSE),""))),IF(_xlpm.v="да",30,IF(ISNUMBER(_xlpm.v),_xlpm.v,0))))</f>
        <v>0</v>
      </c>
      <c r="CH91" t="str">
        <f t="shared" si="147"/>
        <v/>
      </c>
      <c r="CI91" t="str">
        <f>_xlfn.LET(_xlpm.k,IFERROR(_xlfn.XLOOKUP(AX91,Коды_код,Коды_утечка)&amp;"",""),IF(_xlpm.k="","дифавтомат",_xlpm.k))</f>
        <v>дифавтомат</v>
      </c>
      <c r="CJ91">
        <f t="shared" si="148"/>
        <v>0</v>
      </c>
      <c r="CK91">
        <f t="shared" si="149"/>
        <v>0</v>
      </c>
      <c r="CL91">
        <f>IF(B91="",0,IFERROR(--VLOOKUP(B91,УГО_спр,4,FALSE),IFERROR(--VLOOKUP(AX91,УГО_спр,4,FALSE),IFERROR(--VLOOKUP(LEFT(AX91,2),УГО_спр,4,FALSE),0))))</f>
        <v>0</v>
      </c>
      <c r="CM91" t="str">
        <f>IF(B91="","",IFERROR(_xlfn.XLOOKUP(AX91,Коды_код,Коды_апп)&amp;"",""))</f>
        <v/>
      </c>
      <c r="CN91" t="str">
        <f t="shared" si="150"/>
        <v/>
      </c>
      <c r="CO91" t="str" cm="1">
        <f t="array" ref="CO91">IF(TRIM(CN91&amp;"")="","",IFERROR(TRIM(INDEX(_xlfn.TEXTSPLIT(CN91&amp;";;;",";"),1)),""))</f>
        <v/>
      </c>
      <c r="CP91" t="str" cm="1">
        <f t="array" ref="CP91">IF(TRIM(CN91&amp;"")="","",IFERROR(TRIM(INDEX(_xlfn.TEXTSPLIT(CN91&amp;";;;",";"),2)),""))</f>
        <v/>
      </c>
      <c r="CQ91" t="str" cm="1">
        <f t="array" ref="CQ91">IF(TRIM(CN91&amp;"")="","",IFERROR(TRIM(INDEX(_xlfn.TEXTSPLIT(CN91&amp;";;;",";"),3)),""))</f>
        <v/>
      </c>
      <c r="CR91">
        <f t="shared" si="151"/>
        <v>0</v>
      </c>
      <c r="CS91" t="str">
        <f>IF(B91="","",_xlfn.LET(_xlpm.t,LOWER(AV91&amp;""),IF(ISNUMBER(SEARCH("dim",_xlpm.t)),"DIM",IF(ISNUMBER(SEARCH("dali",_xlpm.t)),"DALI",IF(OR(ISNUMBER(SEARCH("relay",_xlpm.t)),ISNUMBER(SEARCH("реле",_xlpm.t))),"Relay",IF(ISNUMBER(SEARCH("кнопк",_xlpm.t)),"",IFERROR(_xlfn.XLOOKUP(AX91,Коды_код,Коды_упр)&amp;"","")))))))</f>
        <v/>
      </c>
      <c r="CT91" t="str">
        <f t="shared" si="152"/>
        <v/>
      </c>
      <c r="CU91">
        <f>IF(B91="","",_xlfn.LET(_xlpm.ig,N(P91)+IF(AF91="вручную",0,N(CB91)),_xlpm.n0,IFERROR(VLOOKUP(_xlpm.ig,Автомат_номиналы,2,TRUE),0),_xlpm.mn,MAX(CL91,IF(AF91="вручную",0,N(CE91))),MAX(_xlpm.n0,_xlpm.mn,IF(CR91=1,Мин_автомат_БП,0))))</f>
        <v>6</v>
      </c>
      <c r="CV91">
        <f t="shared" si="153"/>
        <v>1</v>
      </c>
      <c r="CW91" t="str">
        <f t="shared" si="154"/>
        <v>1P</v>
      </c>
      <c r="CX91" t="str">
        <f>_xlfn.LET(_xlpm.cc,UPPER(TRIM(IFERROR(_xlfn.XLOOKUP(AX91,Коды_код,Коды_хар)&amp;"",""))),IF(OR(_xlpm.cc="B",_xlpm.cc="В"),"B",IF(_xlpm.cc="D","D","С")))</f>
        <v>С</v>
      </c>
      <c r="CY91" t="str">
        <f t="shared" si="155"/>
        <v>1P С6А</v>
      </c>
      <c r="CZ91">
        <f t="shared" si="156"/>
        <v>10</v>
      </c>
      <c r="DA91" t="str">
        <f t="shared" si="157"/>
        <v>1P С10А</v>
      </c>
      <c r="DB91" cm="1">
        <f t="array" ref="DB91">IF(DA91="","",_xlfn.LET(_xlpm.t,SUBSTITUTE(SUBSTITUTE(SUBSTITUTE(UPPER(DA91),"С","C"),"А","A"),"В","B"),_xlpm.tk,_xlfn.TEXTSPLIT(_xlpm.t,"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1" t="str">
        <f t="shared" si="158"/>
        <v>ok</v>
      </c>
      <c r="DD91">
        <f t="shared" si="159"/>
        <v>10</v>
      </c>
      <c r="DE91" t="str">
        <f t="shared" si="160"/>
        <v>1P С10А</v>
      </c>
      <c r="DF91">
        <f t="shared" si="161"/>
        <v>0</v>
      </c>
      <c r="DG91">
        <f t="shared" si="162"/>
        <v>0</v>
      </c>
      <c r="DH91">
        <f t="shared" si="163"/>
        <v>0</v>
      </c>
      <c r="DI91">
        <f t="shared" si="164"/>
        <v>1.894430570778459</v>
      </c>
      <c r="DJ91">
        <f t="shared" si="165"/>
        <v>1</v>
      </c>
      <c r="DK91">
        <f>IF(ISNUMBER(AL91),AL91,К_прокл)</f>
        <v>1</v>
      </c>
      <c r="DL91">
        <f t="shared" si="166"/>
        <v>2</v>
      </c>
      <c r="DM91">
        <f>IFERROR(N(VLOOKUP(BT91,Кабель_обозначение,3,FALSE)),1)</f>
        <v>1</v>
      </c>
      <c r="DN91">
        <f>IFERROR(N(_xlfn.XLOOKUP(A91,Щиты[Щит],Щиты[ΔU до шин, %])),0)</f>
        <v>0.74</v>
      </c>
      <c r="DO91" t="str">
        <f>IFERROR(_xlfn.XLOOKUP(A91,Щиты[Щит],Щиты[Zпетли на шинах, Ом]),"")</f>
        <v/>
      </c>
      <c r="DP91">
        <f>IFERROR(N(_xlfn.XLOOKUP(A91,Щиты[Щит],Щиты[ΔU до шин (подбор), %])),0)</f>
        <v>1.96</v>
      </c>
      <c r="DQ91" t="str">
        <f>IFERROR(_xlfn.XLOOKUP(A91,Щиты[Щит],Щиты[Zпетли на шинах (подбор), Ом]),"")</f>
        <v/>
      </c>
      <c r="DR91" t="str">
        <f t="shared" si="167"/>
        <v/>
      </c>
      <c r="DS91">
        <f t="shared" si="168"/>
        <v>12</v>
      </c>
      <c r="DT91">
        <f t="shared" si="169"/>
        <v>2</v>
      </c>
      <c r="DU91">
        <f t="shared" si="170"/>
        <v>0.6</v>
      </c>
      <c r="DV91" s="6">
        <f>IF(B91="","",IF(IFERROR(VLOOKUP(AX91,УГО_спр,2,FALSE),"")="Светильник",3,4)+IF(Методика="нормы 2026",MIN(0.5,MAX(0,N(Q91)-100)*0.005),0))</f>
        <v>4</v>
      </c>
      <c r="DW91" cm="1">
        <f t="array" ref="DW91">IF(OR(B91="",BT91="",DM91&lt;&gt;1),"",_xlfn.LET(_xlpm.sz,Iдоп_S,_xlpm.t_,CHOOSE(DL91,Iдоп_1ж,Iдоп_2ж,Iдоп_3ж)*DJ91*DK91,_xlpm.inn,N(DD91),_xlpm.smin,MAX(1.5,BW91),_xlpm.L_,N(Q91)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91)*(_xlpm.rho*_xlpm.L_/_xlpm.sz*N(BY91)+_xlpm.xx*_xlpm.L_*N(DU91)/1000)*N(P91)/((Uн_лин/SQRT(3))*1000)*100,999),_xlpm.kz,IF(OR(DG91=1,NOT(ISNUMBER(DQ91)),_xlpm.L_=0,_xlpm.inn=0),1,IFERROR(--(c_min*(Uн_лин*1000/SQRT(3))/(DQ91+2*ρкз_Cu*_xlpm.L_/_xlpm.sz)&gt;=GY91*_xlpm.inn),0)),_xlpm.ok,IFERROR((_xlpm.sz&gt;=_xlpm.smin)*(_xlpm.t_&gt;=_xlpm.inn)*IF(_xlpm.L_&gt;0,(_xlpm.du_+DP91&lt;=DV91+0.00001),1)*_xlpm.kz,0),_xlpm.r_,_xlfn._xlws.FILTER(_xlpm.sz,_xlpm.ok,"не подобрано"),INDEX(_xlpm.r_,1)))</f>
        <v>1.5</v>
      </c>
      <c r="DX91">
        <f t="shared" si="171"/>
        <v>1.5</v>
      </c>
      <c r="DY91" cm="1">
        <f t="array" ref="DY91">IF(OR(B91="",BT91="",DM91&lt;&gt;1),"",_xlfn.LET(_xlpm.sz,Iдоп_S,_xlpm.t_,CHOOSE(DL91,Iдоп_1ж,Iдоп_2ж,Iдоп_3ж)*DJ91*DK91,_xlpm.ok,IFERROR((_xlpm.sz&gt;=MAX(1.5,BW91))*(_xlpm.t_&gt;=N(DD91)),0),_xlpm.r_,_xlfn._xlws.FILTER(_xlpm.sz,_xlpm.ok,""),INDEX(_xlpm.r_,1)))</f>
        <v>1.5</v>
      </c>
      <c r="DZ91" s="6" cm="1">
        <f t="array" ref="DZ91">IFERROR(ROUNDUP(N(DT91)*(_xlfn.XLOOKUP(DY91,INDEX(Кабель_сопротивление,0,1),INDEX(Кабель_сопротивление,0,3))*N(Q91)/DY91*N(BY91)+_xlfn.XLOOKUP(DY91,INDEX(Кабель_сопротивление,0,1),INDEX(Кабель_сопротивление,0,2))*N(Q91)*N(DU91)/1000)*N(P91)/((Uн_лин/SQRT(3))*1000)*100,2),"")</f>
        <v>0.32</v>
      </c>
      <c r="EA91">
        <f>IFERROR(2*ρкз_Cu*N(Q91)/DY91,"")</f>
        <v>0.56106666666666671</v>
      </c>
      <c r="EB91">
        <f>IFERROR(VLOOKUP(DX91,Кабель_сопротивление,3,FALSE),"")</f>
        <v>2.2499999999999999E-2</v>
      </c>
      <c r="EC91">
        <f>IFERROR(VLOOKUP(DX91,Кабель_сопротивление,2,FALSE),"")</f>
        <v>0.11</v>
      </c>
      <c r="ED91">
        <f t="shared" si="172"/>
        <v>16</v>
      </c>
      <c r="EE91">
        <f t="shared" si="173"/>
        <v>0</v>
      </c>
      <c r="EF91">
        <f t="shared" si="174"/>
        <v>0.73146237654441237</v>
      </c>
      <c r="EG91" s="6">
        <f>IFERROR(ROUNDUP(EF91/((Uн_лин/SQRT(3))*1000)*100,2),"")</f>
        <v>0.32</v>
      </c>
      <c r="EH91" t="str">
        <f>IFERROR(VLOOKUP(BT91,Кабель_обозначение,2,FALSE),"")</f>
        <v>ВВГнг(А)-LS</v>
      </c>
      <c r="EI91" t="str">
        <f t="shared" si="175"/>
        <v>ВВГнг(А)-LS (3х1,5)</v>
      </c>
      <c r="EJ91" t="str">
        <f t="shared" si="176"/>
        <v>ВВГнг(А)-LS (3х1,5)
L=16-0,32%</v>
      </c>
      <c r="EK91">
        <f>IFERROR(2*ρкз_Cu*Q91/DX91,"")</f>
        <v>0.56106666666666671</v>
      </c>
      <c r="EL91">
        <f t="shared" si="177"/>
        <v>0.18666666666666668</v>
      </c>
      <c r="EM91" s="6" t="str">
        <f>IFERROR(IF(OR(B91="",NOT(ISNUMBER(DX91)),N(Q91)=0),"",_xlfn.XLOOKUP(A91,Щиты[Щит],Щиты[Zпетли на шинах, Ом])+EK91),"")</f>
        <v/>
      </c>
      <c r="EN91" s="6" t="str">
        <f>IF(ISNUMBER(EM91),c_min*(Uн_лин*1000/SQRT(3))/EM91,"")</f>
        <v/>
      </c>
      <c r="EO91" s="6" t="str">
        <f>IFERROR(IF(OR(B91="",NOT(ISNUMBER(DX91))),"",1.05*(Uн_лин*1000/SQRT(3))/(_xlfn.XLOOKUP(A91,Щиты[Щит],Щиты[Zmax на шинах, Ом])+EL91)/1000),"")</f>
        <v/>
      </c>
      <c r="EP91" s="6" t="str">
        <f>IF(B91="","",IF(ISNUMBER(Y91),"Сил",IF(IFERROR(_xlfn.XLOOKUP(AX91,Коды_код,Коды_группа)&amp;"","")="","Быт",_xlfn.XLOOKUP(AX91,Коды_код,Коды_группа)&amp;"")))</f>
        <v>Сил</v>
      </c>
      <c r="EQ91" s="6" t="str">
        <f t="shared" si="178"/>
        <v>Сил</v>
      </c>
      <c r="ER91" s="6">
        <f>IF(EQ91="Щит","щит",IF(EQ91="","",IF(EQ91="Быт",IFERROR(_xlfn.XLOOKUP(A91,Щиты[Щит],Щиты[Кс быт]),1),IF(EQ91="Сил",IF(ISNUMBER(Y91),Y91,IF(Методика="нормы 2026",IFERROR(_xlfn.XLOOKUP(A91,Щиты[Щит],Щиты[Кс силовых (табл. 7.5)]),1),1)),IF(OR(EQ91="Пост",EQ91="Отоп"),1,IF(EQ91="ВНГ",0.7,0))))))</f>
        <v>0.5</v>
      </c>
      <c r="ES91">
        <f t="shared" si="179"/>
        <v>1</v>
      </c>
      <c r="ET91">
        <f t="shared" si="180"/>
        <v>0.35</v>
      </c>
      <c r="EU91">
        <f t="shared" si="181"/>
        <v>0</v>
      </c>
      <c r="EV91">
        <f t="shared" si="182"/>
        <v>0.17499999999999999</v>
      </c>
      <c r="EW91">
        <f t="shared" si="183"/>
        <v>0</v>
      </c>
      <c r="EX91">
        <f t="shared" si="184"/>
        <v>0</v>
      </c>
      <c r="EY91">
        <f t="shared" si="185"/>
        <v>0</v>
      </c>
      <c r="EZ91">
        <f t="shared" si="186"/>
        <v>0.35</v>
      </c>
      <c r="FA91">
        <f t="shared" si="187"/>
        <v>0.27999999999999997</v>
      </c>
      <c r="FB91">
        <f t="shared" si="188"/>
        <v>0.35</v>
      </c>
      <c r="FC91" t="str">
        <f t="shared" si="189"/>
        <v>L1</v>
      </c>
      <c r="FD91" t="str">
        <f>IF(B91="","",IF(CA91=0,IF(AW91=1,"",FF90),IF(OR(N(CV91)&gt;=3,N(BR91)&gt;=3),"L1,L2,L3",IFERROR(_xlfn.TEXTBEFORE(_xlfn.TEXTAFTER(_xlfn.XLOOKUP(A91,Щиты[Щит],Щиты[_фазы авто]),";"&amp;AW91&amp;":"),";"),"L1"))))</f>
        <v>L1</v>
      </c>
      <c r="FE91" t="str">
        <f t="shared" si="190"/>
        <v>L1</v>
      </c>
      <c r="FF91" t="str">
        <f t="shared" si="191"/>
        <v>L1</v>
      </c>
      <c r="FG91" cm="1">
        <f t="array" ref="FG91">IFERROR(IF(BX91=2,_xlfn.IFS(BR91=3,VLOOKUP(BN91,Справочная_двигатели,3,FALSE),BR91=1,VLOOKUP(BN91,Справочная_двигатели,5,TRUE)),0),0)</f>
        <v>0</v>
      </c>
      <c r="FH91">
        <f>IFERROR(IF(BX91=3,VLOOKUP(BN91,Справочная_ЛЭД,2,TRUE),0),0)</f>
        <v>0</v>
      </c>
      <c r="FI91" s="6">
        <f t="shared" si="192"/>
        <v>0</v>
      </c>
      <c r="FJ91" t="str" cm="1">
        <f t="array" ref="FJ91">IF(B91="","",IFERROR(INDEX({"I особая","I","II","III"},MATCH(TRIM(AC91&amp;""),{"I особая","I","II","III"},0)),"III"))</f>
        <v>II</v>
      </c>
      <c r="FK91" t="str">
        <f>IF(B91="","",IF(TRIM(AD91&amp;"")&lt;&gt;"",IF(LOWER(TRIM(AD91&amp;""))="да","да","нет"),IF(IFERROR(_xlfn.XLOOKUP(AX91,Коды_код,Коды_пожарная),"")="да","да","нет")))</f>
        <v>нет</v>
      </c>
      <c r="FL91" t="str">
        <f t="shared" si="193"/>
        <v/>
      </c>
      <c r="FM91" t="str">
        <f t="shared" si="194"/>
        <v>основная</v>
      </c>
      <c r="FN91">
        <f t="shared" si="195"/>
        <v>1</v>
      </c>
      <c r="FO91" t="str" cm="1">
        <f t="array" ref="FO91">IF(B91="","",_xlfn.LET(_xlpm.t,IFERROR(_xlfn.XLOOKUP(1,(Шины[Шина]=FM91)*(((Шины[Щит]=A91)+(Шины[Щит]=""))&gt;0),Шины[Тип]),"")&amp;"",IF(_xlpm.t&lt;&gt;"",_xlpm.t,IF(ISNUMBER(SEARCH("ИБП",FM91)),"ИБП",IF(ISNUMBER(SEARCH("ДГУ",FM91)),"ДГУ","Ввод "&amp;FN91)))))</f>
        <v>Ввод 1</v>
      </c>
      <c r="FP91" t="str">
        <f t="shared" si="196"/>
        <v>Ввод 1</v>
      </c>
      <c r="FQ91" t="str">
        <f>IF(B91="","",IF(OR(FO91="ИБП",FO91="ДГУ"),"I особая",IF(FO91="Одиночная","III",_xlfn.XLOOKUP(A91,Щиты[Щит],Щиты[Категория шины «Ввод»],"III"))))</f>
        <v>II</v>
      </c>
      <c r="FR91">
        <f>IF(B91="",0,IFERROR(MATCH(FJ91,{"III","II","I","I особая"},0),1))</f>
        <v>2</v>
      </c>
      <c r="FS91">
        <f t="shared" si="197"/>
        <v>2</v>
      </c>
      <c r="FT91" t="str">
        <f>IF(B91="","",IF(FR91&gt;IFERROR(MATCH(FQ91,{"III","II","I","I особая"},0),1),"НЕ ОБЕСПЕЧЕНА","ОК"))</f>
        <v>ОК</v>
      </c>
      <c r="FU91" t="str">
        <f>IF(A91="","",_xlfn.XLOOKUP(A91,Щиты[Щит],Щиты[Путь],""))</f>
        <v>|ГРЩ-ЖД|ЩОВ-002|</v>
      </c>
      <c r="FV91" t="str">
        <f>IF(B91="","",IF(AE91&lt;&gt;"",AE91,IF(IFERROR(_xlfn.XLOOKUP(AX91,Коды_код,Коды_вид)&amp;"","")="","Прочее",_xlfn.XLOOKUP(AX91,Коды_код,Коды_вид)&amp;"")))</f>
        <v>Вентиляция</v>
      </c>
      <c r="FW91">
        <f>IF(BH91="","",INT((BH91-1)/Столбцов_на_лист)+1)</f>
        <v>3</v>
      </c>
      <c r="FX91" t="str">
        <f t="shared" si="198"/>
        <v>ВВГнг(А)-LS (3х1,5) L=16-0,32%</v>
      </c>
      <c r="FY91">
        <f t="shared" si="199"/>
        <v>0.35</v>
      </c>
      <c r="FZ91">
        <f t="shared" si="200"/>
        <v>1.9</v>
      </c>
      <c r="GA91">
        <f t="shared" si="201"/>
        <v>1</v>
      </c>
      <c r="GB91">
        <f t="shared" si="202"/>
        <v>0</v>
      </c>
      <c r="GC91">
        <f t="shared" si="203"/>
        <v>1</v>
      </c>
      <c r="GD91">
        <f>IF(BH91="","",IF(AND(CA91=1,GC91=1),COUNTIFS(A$3:A91,A91,CA$3:CA91,1,GC$3:GC91,1),IF(OR(OR(AW91=1,A91&lt;&gt;A90),AF91="вручную",GC91=0),"",IF(AW91=1,"",GE90))))</f>
        <v>3</v>
      </c>
      <c r="GE91">
        <f t="shared" si="204"/>
        <v>3</v>
      </c>
      <c r="GF91">
        <f>IF(B91="","",IFERROR(LOOKUP(INDEX(CHOOSE(DL91,Iдоп_1ж,Iдоп_2ж,Iдоп_3ж),MATCH(DX91,Iдоп_S,0))*DJ91*DK91,{6,10,16,20,25,32,40,50,63,80,100,125,160,200,250,315,400,500,630}),""))</f>
        <v>16</v>
      </c>
      <c r="GG91" t="str">
        <f t="shared" si="205"/>
        <v>QF3</v>
      </c>
      <c r="GH91" t="str">
        <f t="shared" si="206"/>
        <v>QF3</v>
      </c>
      <c r="GI91" t="str">
        <f t="shared" si="207"/>
        <v/>
      </c>
      <c r="GJ91">
        <f t="shared" si="208"/>
        <v>0</v>
      </c>
      <c r="GK91" t="str">
        <f>IF(OR(AG91="",AG91="-"),"",IFERROR(VLOOKUP(AG91,Модули_спр,2,FALSE),"R"))</f>
        <v/>
      </c>
      <c r="GL91" t="str">
        <f>IF(GK91="","",GK91&amp;"."&amp;COUNTIFS(A$3:A91,A91,GK$3:GK91,GK91))</f>
        <v/>
      </c>
      <c r="GM91" t="str">
        <f t="shared" si="209"/>
        <v/>
      </c>
      <c r="GN91" t="str">
        <f t="shared" si="210"/>
        <v/>
      </c>
      <c r="GO91" t="str">
        <f t="shared" si="211"/>
        <v/>
      </c>
      <c r="GP91" t="str">
        <f t="shared" si="212"/>
        <v/>
      </c>
      <c r="GQ91">
        <f t="shared" si="213"/>
        <v>1</v>
      </c>
      <c r="GR91" t="str">
        <f>IF(GQ91=1,"XT"&amp;COUNTIFS(A$3:A91,A91,GQ$3:GQ91,1),"")</f>
        <v>XT3</v>
      </c>
      <c r="GS91" t="str">
        <f t="shared" si="214"/>
        <v/>
      </c>
      <c r="GT91" t="str">
        <f t="shared" si="215"/>
        <v>QF3</v>
      </c>
      <c r="GU91" t="str">
        <f t="shared" si="216"/>
        <v/>
      </c>
      <c r="GV91" t="str">
        <f t="shared" si="217"/>
        <v>ok</v>
      </c>
      <c r="GW91" t="str">
        <f>IF(OR(GO91="",GM91=""),"",IF(GO91&gt;IFERROR(VLOOKUP(GN91,Модули_спр,3,FALSE),99),"ЛИШНИЙ КАНАЛ",IF(AND(AH91&lt;&gt;"=",COUNTIFS(Линии[_модуль гр.],GM91,Линии[Канал (итог)],GO91,Линии[Канал],"&lt;&gt;=",Линии[Щит],A91)&gt;1),"ДУБЛЬ КАНАЛА","")))</f>
        <v/>
      </c>
      <c r="GX91" s="6" t="str">
        <f t="shared" si="218"/>
        <v/>
      </c>
      <c r="GY91">
        <f t="shared" si="219"/>
        <v>10</v>
      </c>
      <c r="GZ91" t="str">
        <f t="shared" si="220"/>
        <v/>
      </c>
      <c r="HA91" t="str">
        <f>IF(AND(B91="",GT91=""),"",_xlfn.TEXTJOIN("; ",TRUE,IF(AND(B91&lt;&gt;"",FE91=""),"нет фазы",""),IF(AND(B91&lt;&gt;"",N(FY91)=0,EQ91&lt;&gt;"Нет"),"нет мощности",""),IF(AND(GS91&lt;&gt;"",COUNTIFS(Линии[Щит],A91,Линии[Клемма (итог)],GS91)&gt;1),"дубль клеммы "&amp;GS91,""),IF(AND(GV91&lt;&gt;"",GV91&lt;&gt;"ok"),GV91,""),IF(GW91&lt;&gt;"",GW91,""),IF(AND(N(BV91)&gt;=4,N(BR91)=1),BV91&amp;" жил на 1 фазе",""),IF(AND(AX91="R",CA91=1,OR(N(CK91)=0,N(CK91)&gt;30)),"розетка без дифзащиты до 30 мА",""),IFERROR(IF(AND(ISNUMBER(R91),R91&gt;DV91),"потери "&amp;FIXED(R91,1)&amp;" % &gt; "&amp;DV91&amp;" %",""),""),IFERROR(IF(LEFT(GZ91,4)="мало","Iкз мало — отключение &gt; 0,4 с",""),""),IF(AND(B91&lt;&gt;"",BH91=""),"не на схеме",""),IF(AND(CA91=0,B91&lt;&gt;"",FE91&lt;&gt;"",IF(AW91=1,"",FF90)&lt;&gt;"",FE91&lt;&gt;IF(AW91=1,"",FF90)),"фаза не как у автомата группы ("&amp;IF(AW91=1,"",FF90)&amp;")","")))</f>
        <v/>
      </c>
      <c r="HB91" s="6">
        <f>IF(OR(CA91=0,DA91=""),"",_xlfn.LET(_xlpm.t,IFERROR(_xlfn.XLOOKUP(DA91,Каталог!$U$4:$U$500,Каталог!$G$4:$G$500),""),_xlpm.k,SEARCH("кА",_xlpm.t),IFERROR(--TRIM(RIGHT(SUBSTITUTE(MID(_xlpm.t,MAX(1,_xlpm.k-4),_xlpm.k-MAX(1,_xlpm.k-4))," ",REPT(" ",9)),5)),"")))</f>
        <v>6</v>
      </c>
      <c r="HC91" t="str">
        <f>IF(OR(HB91="",CA91=0),"",IF(_xlfn.XLOOKUP(A91,Щиты[Щит],Щиты[Iкз max на шинах, кА],"")="","",IF(HB91&lt;_xlfn.XLOOKUP(A91,Щиты[Щит],Щиты[Iкз max на шинах, кА]),"Icu "&amp;HB91&amp;" кА &lt; Iкз max","ok")))</f>
        <v/>
      </c>
      <c r="HD91" t="str">
        <f t="shared" si="221"/>
        <v/>
      </c>
      <c r="HE91" t="str">
        <f t="shared" si="222"/>
        <v>QF3</v>
      </c>
      <c r="HF91" t="str">
        <f t="shared" si="223"/>
        <v>QF3|кабель ВВГнг(А)-LS (3х1,5) → Приточно-вытяжная установка Подвальный этаж Пом. №003Т</v>
      </c>
      <c r="HG91" t="str" cm="1">
        <f t="array" ref="HG91">IF(HF91="","",_xlfn.LET(_xlpm.nd,_xlfn.TEXTSPLIT(HF91,"|"),IF(COLUMNS(_xlpm.nd)&gt;1,A91&amp;"¦"&amp;INDEX(_xlpm.nd,1)&amp;"¦"&amp;INDEX(_xlpm.nd,2),"")))</f>
        <v>ЩОВ-002¦QF3¦кабель ВВГнг(А)-LS (3х1,5) → Приточно-вытяжная установка Подвальный этаж Пом. №003Т</v>
      </c>
      <c r="HH91" t="str">
        <f t="shared" si="224"/>
        <v>ПВ.К¦Приточно-вытяжная установка Подвальный этаж Пом. №003Т</v>
      </c>
      <c r="HI91" t="str" cm="1">
        <f t="array" ref="HI91">IF(HF91="","",_xlfn.LET(_xlpm.nd,_xlfn.TEXTSPLIT(HF91,"|"),IF(COLUMNS(_xlpm.nd)&gt;2,A91&amp;"¦"&amp;INDEX(_xlpm.nd,2)&amp;"¦"&amp;INDEX(_xlpm.nd,3),"")))</f>
        <v/>
      </c>
      <c r="HJ91" t="str">
        <f t="shared" si="225"/>
        <v/>
      </c>
      <c r="HK91" t="str" cm="1">
        <f t="array" ref="HK91">IF(HF91="","",_xlfn.LET(_xlpm.nd,_xlfn.TEXTSPLIT(HF91,"|"),IF(COLUMNS(_xlpm.nd)&gt;3,A91&amp;"¦"&amp;INDEX(_xlpm.nd,3)&amp;"¦"&amp;INDEX(_xlpm.nd,4),"")))</f>
        <v/>
      </c>
      <c r="HL91" t="str">
        <f t="shared" si="226"/>
        <v/>
      </c>
      <c r="HM91" t="str" cm="1">
        <f t="array" ref="HM91">IF(HF91="","",_xlfn.LET(_xlpm.nd,_xlfn.TEXTSPLIT(HF91,"|"),IF(COLUMNS(_xlpm.nd)&gt;4,A91&amp;"¦"&amp;INDEX(_xlpm.nd,4)&amp;"¦"&amp;INDEX(_xlpm.nd,5),"")))</f>
        <v/>
      </c>
      <c r="HN91" t="str">
        <f t="shared" si="227"/>
        <v/>
      </c>
      <c r="HO91" t="str" cm="1">
        <f t="array" ref="HO91">IF(HF91="","",_xlfn.LET(_xlpm.nd,_xlfn.TEXTSPLIT(HF91,"|"),IF(COLUMNS(_xlpm.nd)&gt;5,A91&amp;"¦"&amp;INDEX(_xlpm.nd,5)&amp;"¦"&amp;INDEX(_xlpm.nd,6),"")))</f>
        <v/>
      </c>
      <c r="HP91" t="str">
        <f t="shared" si="228"/>
        <v/>
      </c>
      <c r="HQ91" t="str" cm="1">
        <f t="array" ref="HQ91">IF(HF91="","",_xlfn.LET(_xlpm.nd,_xlfn.TEXTSPLIT(HF91,"|"),IF(COLUMNS(_xlpm.nd)&gt;6,A91&amp;"¦"&amp;INDEX(_xlpm.nd,6)&amp;"¦"&amp;INDEX(_xlpm.nd,7),"")))</f>
        <v/>
      </c>
      <c r="HR91" t="str">
        <f t="shared" si="229"/>
        <v/>
      </c>
      <c r="HS91" t="str">
        <f t="shared" si="230"/>
        <v/>
      </c>
      <c r="HT91" t="str">
        <f t="shared" si="231"/>
        <v>QF3</v>
      </c>
      <c r="HU91">
        <f t="shared" si="232"/>
        <v>0</v>
      </c>
      <c r="HV91">
        <f t="shared" si="233"/>
        <v>0</v>
      </c>
      <c r="HW91" t="str">
        <f t="shared" si="234"/>
        <v/>
      </c>
      <c r="HX91" t="str">
        <f t="shared" si="235"/>
        <v/>
      </c>
      <c r="HY91" t="str">
        <f t="shared" si="236"/>
        <v/>
      </c>
      <c r="HZ91" t="str">
        <f t="shared" si="237"/>
        <v/>
      </c>
      <c r="IA91" t="str">
        <f>IF(B91="","",IFERROR(VLOOKUP(B91,УГО_спр,2,FALSE),IFERROR(VLOOKUP(AX91,УГО_спр,2,FALSE),IFERROR(VLOOKUP(LEFT(AX91,2),УГО_спр,2,FALSE),""))))</f>
        <v>Привод (двигатель)</v>
      </c>
      <c r="IB91" t="str">
        <f>IF(B91="","",IF(OR(IA91="",IA91=0),"BOX",IFERROR(IF(VLOOKUP(IA91,УГО_блоки,3,FALSE)&amp;""&lt;&gt;"",VLOOKUP(IA91,УГО_блоки,3,FALSE),VLOOKUP(IA91,УГО_блоки,2,FALSE)),IA91)))</f>
        <v>MOTOR</v>
      </c>
      <c r="IC91">
        <f t="shared" si="238"/>
        <v>1</v>
      </c>
      <c r="ID91" t="str">
        <f>IF(DA91="","",IF(COUNTIF(DA$3:DA91,DA91)=1,MAX(ID$2:ID90)+1,""))</f>
        <v/>
      </c>
      <c r="IE91" t="str">
        <f>IF(CO91="","",IF(COUNTIF(CO$3:CO91,CO91)+COUNTIF(CP$2:CP90,CO91)+COUNTIF(CQ$2:CQ90,CO91)=1,MAX(IE$2:IG90)+1,""))</f>
        <v/>
      </c>
      <c r="IF91" t="str">
        <f>IF(CP91="","",IF(COUNTIF(CO$3:CO91,CP91)+COUNTIF(CP$3:CP91,CP91)+COUNTIF(CQ$2:CQ90,CP91)=1,MAX(IE$2:IG90,IE91)+1,""))</f>
        <v/>
      </c>
      <c r="IG91" t="str">
        <f>IF(CQ91="","",IF(COUNTIF(CO$3:CO91,CQ91)+COUNTIF(CP$3:CP91,CQ91)+COUNTIF(CQ$3:CQ91,CQ91)=1,MAX(IE$2:IG90,IE91,IF91)+1,""))</f>
        <v/>
      </c>
      <c r="IH91" t="str">
        <f t="shared" si="239"/>
        <v>3х1,5</v>
      </c>
      <c r="II91" t="str">
        <f>IF(IH91="","",IF(COUNTIF(IH$3:IH91,IH91)=1,MAX(II$2:II90)+1,""))</f>
        <v/>
      </c>
      <c r="IJ91" t="str">
        <f>IF(GL91="","",COUNTIF(GL$3:GL91,"?*"))</f>
        <v/>
      </c>
      <c r="IK91" t="str">
        <f>IF(OR(GL91="",GN91=""),"",IF(COUNTIFS(GL$3:GL91,"?*",GN$3:GN91,GN91)=1,MAX(IK$2:IK90)+1,""))</f>
        <v/>
      </c>
      <c r="IL91">
        <f t="shared" si="240"/>
        <v>0</v>
      </c>
      <c r="IM91">
        <f>IF(B91="","",COUNTIF(B$3:B91,"?*"))</f>
        <v>89</v>
      </c>
      <c r="IN91">
        <f>IF(GQ91&lt;&gt;1,0,_xlfn.LET(_xlpm.k,MAX(IFERROR(--VLOOKUP(B91,УГО_спр,5,FALSE),0),IFERROR(--VLOOKUP(AX91,УГО_спр,5,FALSE),0),IFERROR(--VLOOKUP(LEFT(AX91,2),УГО_спр,5,FALSE),0)),IF(_xlpm.k&gt;0,_xlpm.k,IF(IFERROR(--LEFT(SUBSTITUTE(IH91,"x","х"),FIND("х",SUBSTITUTE(IH91,"x","х"))-1),3)&gt;3,Каталог!$S$9,1))))</f>
        <v>1</v>
      </c>
      <c r="IO91">
        <f t="shared" si="241"/>
        <v>0</v>
      </c>
      <c r="IP91" t="str">
        <f t="shared" si="242"/>
        <v>авто</v>
      </c>
      <c r="IQ91" t="str">
        <f t="shared" si="243"/>
        <v/>
      </c>
      <c r="IR91">
        <f t="shared" si="244"/>
        <v>0</v>
      </c>
      <c r="IS91">
        <f t="shared" si="245"/>
        <v>1</v>
      </c>
    </row>
    <row r="92" spans="1:253" x14ac:dyDescent="0.3">
      <c r="A92" t="s">
        <v>751</v>
      </c>
      <c r="B92" t="s">
        <v>1363</v>
      </c>
      <c r="C92" t="s">
        <v>1622</v>
      </c>
      <c r="D92">
        <v>1</v>
      </c>
      <c r="E92">
        <v>3</v>
      </c>
      <c r="G92">
        <v>16</v>
      </c>
      <c r="H92" t="str">
        <f>Линии[[#This Row],[_авто утечка]]</f>
        <v/>
      </c>
      <c r="I92" t="str">
        <f>Линии[[#This Row],[_авто управление]]</f>
        <v/>
      </c>
      <c r="J92" t="str">
        <f>Линии[[#This Row],[_авто аппараты]]</f>
        <v/>
      </c>
      <c r="K92">
        <v>4</v>
      </c>
      <c r="L92">
        <v>29</v>
      </c>
      <c r="M92" t="str">
        <f>Линии[[#This Row],[_авто фаза]]</f>
        <v>L3</v>
      </c>
      <c r="N92" t="s">
        <v>486</v>
      </c>
      <c r="O92" t="str">
        <f t="shared" si="123"/>
        <v>ПЕРЕГРУЗ</v>
      </c>
      <c r="P92" s="6" cm="1">
        <f t="array" ref="P92">IF(B92="","",IF(BC92&lt;&gt;"",IFERROR(_xlfn.XLOOKUP(BC92,Щиты[Щит],Щиты[Iр, А]),""),IF(BK92=1,IFERROR(_xlfn.XLOOKUP(A92,Щиты[Щит],Щиты[Iр, А]),""),IFERROR(_xlfn.IFS(BR92=1,BN92/((Uн_лин/SQRT(3))*BY92),BR92=3,BN92/(SQRT(3)*Uн_лин*BY92)),""))))</f>
        <v>16.237976320958222</v>
      </c>
      <c r="Q92" s="7">
        <f>IF(B92="","",IFERROR(IF(VLOOKUP(AX92,Потребители_обозначение,4,FALSE)=1,VLOOKUP(AX92,Потребители_обозначение,3,FALSE)*(D92*2-1)+DS92+VLOOKUP(AZ92,Этаж_обозначение,3,FALSE)+VLOOKUP(AZ92,Этаж_обозначение,4,FALSE),VLOOKUP(AX92,Потребители_обозначение,3,FALSE)*(D92*2-1)+DS92),DS92))</f>
        <v>33</v>
      </c>
      <c r="R92" s="6">
        <f t="shared" si="124"/>
        <v>2.8599999999999994</v>
      </c>
      <c r="S92" t="str">
        <f t="shared" si="125"/>
        <v>ВВГнг(А)-LS (3х4)</v>
      </c>
      <c r="T92" t="str">
        <f>IF(BH92="","",IF(BI92="вводной узел","узел ","")&amp;"л."&amp;(INT((BH92-1)/Столбцов_на_лист)+1)&amp;" / "&amp;(MOD(BH92-1,Столбцов_на_лист)+1))</f>
        <v>л.3 / 4</v>
      </c>
      <c r="V92">
        <v>1</v>
      </c>
      <c r="W92">
        <v>230</v>
      </c>
      <c r="X92" t="s">
        <v>600</v>
      </c>
      <c r="Y92">
        <v>0.5</v>
      </c>
      <c r="AC92" t="s">
        <v>815</v>
      </c>
      <c r="AE92" t="s">
        <v>582</v>
      </c>
      <c r="AI92">
        <v>38</v>
      </c>
      <c r="AJ92" t="s">
        <v>11</v>
      </c>
      <c r="AK92">
        <v>3</v>
      </c>
      <c r="AM92">
        <v>11</v>
      </c>
      <c r="AN92">
        <v>22</v>
      </c>
      <c r="AP92">
        <v>1</v>
      </c>
      <c r="AW92" cm="1">
        <f t="array" ref="AW92">ROW()-ROW(Линии[#Headers])</f>
        <v>90</v>
      </c>
      <c r="AX92" s="6" t="str">
        <f t="shared" si="126"/>
        <v>ПВ</v>
      </c>
      <c r="AY92" t="str">
        <f t="shared" si="127"/>
        <v>10</v>
      </c>
      <c r="AZ92" t="str">
        <f t="shared" si="128"/>
        <v>10</v>
      </c>
      <c r="BA92" t="str">
        <f t="shared" si="129"/>
        <v/>
      </c>
      <c r="BB92" t="str">
        <f t="shared" si="130"/>
        <v/>
      </c>
      <c r="BC92" t="str">
        <f>IF(U92&lt;&gt;"",U92,IF(AND(B92&lt;&gt;"",B92&lt;&gt;A92,ISNUMBER(_xlfn.XMATCH(B92,Щиты[Щит]))),B92,""))</f>
        <v/>
      </c>
      <c r="BD92" t="str" cm="1">
        <f t="array" ref="BD92">IF(B92="","",IF(BC92&lt;&gt;"","Щит "&amp;BC92,_xlfn.LET(_xlpm.nm,IFERROR(_xlfn.XLOOKUP(AX92,Коды_код,Коды_имя)&amp;"",""),_xlpm.md,IFERROR(N(_xlfn.XLOOKUP(AX92,Коды_код,Коды_режим)),1),_xlpm.ex,IF(Имя_режим="по экспликации",IFERROR(_xlfn.XLOOKUP(AZ92&amp;"|"&amp;BB92,Экспликация[Этаж]&amp;"|"&amp;Экспликация[Помещение],Экспликация[Название])&amp;"",""),""),_xlpm.rm,IF(BB92="","",IF(_xlpm.ex&lt;&gt;"",". "&amp;_xlpm.ex&amp;IF(Имя_пом="нет"," ("&amp;BB92&amp;")"," (пом. "&amp;BB92&amp;")"),IF(Имя_пом="нет"," ",", пом. ")&amp;BB92)),IF(_xlpm.nm="","",IF(_xlpm.md=2,_xlpm.nm&amp;" шлейф "&amp;AZ92,_xlpm.nm&amp;_xlpm.rm)))))</f>
        <v>Приточно-вытяжная установка шлейф 10</v>
      </c>
      <c r="BE92" t="str">
        <f t="shared" si="131"/>
        <v>Приточно-вытяжная установка Подвальный этаж Пом. №005Т</v>
      </c>
      <c r="BF92">
        <f>IFERROR(_xlfn.XMATCH(A92,Щиты[Щит]),0)</f>
        <v>5</v>
      </c>
      <c r="BG92">
        <f>_xlfn.LET(_xlpm.k,IFERROR(_xlfn.XLOOKUP(A92,Щиты[Щит],Щиты[Листов под вводной узел]),""),IF(_xlpm.k="",1,N(_xlpm.k))*Столбцов_на_лист)</f>
        <v>34</v>
      </c>
      <c r="BH92">
        <f t="shared" si="132"/>
        <v>38</v>
      </c>
      <c r="BI92" t="str">
        <f t="shared" si="133"/>
        <v>линии</v>
      </c>
      <c r="BJ92" s="6">
        <f>IFERROR(N(_xlfn.XLOOKUP(AX92,Коды_код,Коды_квт)),0)</f>
        <v>0</v>
      </c>
      <c r="BK92">
        <f t="shared" si="134"/>
        <v>0</v>
      </c>
      <c r="BL92" t="str">
        <f>IF(B92="","",IF(BC92&lt;&gt;"",IFERROR(_xlfn.XLOOKUP(BC92,Щиты[Щит],Щиты[Руст, кВт]),0),IF(BK92=1,IFERROR(_xlfn.XLOOKUP(A92,Щиты[Щит],Щиты[Руст, кВт]),0),IF(BJ92&gt;0,ROUND(BJ92*MAX(1,N(D92)),3),""))))</f>
        <v/>
      </c>
      <c r="BM92">
        <f t="shared" si="135"/>
        <v>3</v>
      </c>
      <c r="BN92" s="6">
        <f>IF(B92="","",IF(BC92&lt;&gt;"",IFERROR(_xlfn.XLOOKUP(BC92,Щиты[Щит],Щиты[Руст, кВт]),0),N(BM92)))</f>
        <v>3</v>
      </c>
      <c r="BO92" t="str">
        <f>IF(B92="","",IFERROR(IF(VLOOKUP(AX92,Потребители_обозначение,8,FALSE)=0,"",VLOOKUP(AX92,Потребители_обозначение,8,FALSE)),""))</f>
        <v/>
      </c>
      <c r="BP92">
        <f t="shared" si="136"/>
        <v>230</v>
      </c>
      <c r="BQ92">
        <f>IF(B92="","",IF(BC92&lt;&gt;"",3,IFERROR(IF(N(VLOOKUP(AX92,Потребители_обозначение,9,FALSE))=0,1,VLOOKUP(AX92,Потребители_обозначение,9,FALSE)),1)))</f>
        <v>1</v>
      </c>
      <c r="BR92">
        <f t="shared" si="137"/>
        <v>1</v>
      </c>
      <c r="BS92" t="str">
        <f>IF(B92="","",_xlfn.LET(_xlpm.bc,IFERROR(IF(VLOOKUP(AX92,Потребители_обозначение,6,FALSE)=0,"",VLOOKUP(AX92,Потребители_обозначение,6,FALSE)&amp;""),""),IF(AND(FK92="да",OR(_xlpm.bc="",_xlpm.bc="мс")),Марка_пож,IF(AND(_xlpm.bc="",BC92&lt;&gt;""),"мс",_xlpm.bc))))</f>
        <v/>
      </c>
      <c r="BT92" t="str">
        <f t="shared" si="138"/>
        <v>мс</v>
      </c>
      <c r="BU92">
        <f>IF(B92="","",_xlfn.LET(_xlpm.cc,IFERROR(N(VLOOKUP(AX92,Потребители_обозначение,7,FALSE)),0),IF(_xlpm.cc&gt;0,_xlpm.cc,IF(BT92="","",IF(N(BR92)=3,5,3)))))</f>
        <v>3</v>
      </c>
      <c r="BV92">
        <f t="shared" si="139"/>
        <v>3</v>
      </c>
      <c r="BW92">
        <f>IFERROR(N(VLOOKUP(AX92,Потребители_обозначение,10,FALSE)),0)</f>
        <v>0</v>
      </c>
      <c r="BX92">
        <f>IFERROR(VLOOKUP(AX92,Потребители_обозначение,5,FALSE),0)</f>
        <v>1</v>
      </c>
      <c r="BY92" s="6" cm="1">
        <f t="array" ref="BY92">IF(B92="","",IF(BC92&lt;&gt;"",IFERROR(_xlfn.XLOOKUP(BC92,Щиты[Щит],Щиты[cos φ]),0.95),IF(BK92=1,IFERROR(_xlfn.XLOOKUP(A92,Щиты[Щит],Щиты[cos φ]),0.95),IF(ISNUMBER(Z92),Z92,IFERROR(IF(BX92=2,_xlfn.IFS(BR92=3,VLOOKUP(BN92,Справочная_двигатели,8,FALSE),BR92=1,VLOOKUP(BN92,Справочная_двигатели,10,TRUE)),IF(AND(Методика="нормы 2026",EQ92="Сил"),0.8,0.95)),0.95)))))</f>
        <v>0.8</v>
      </c>
      <c r="BZ92">
        <f t="shared" si="140"/>
        <v>0</v>
      </c>
      <c r="CA92">
        <f t="shared" si="141"/>
        <v>1</v>
      </c>
      <c r="CB92">
        <f t="shared" si="142"/>
        <v>0</v>
      </c>
      <c r="CC92">
        <f t="shared" si="143"/>
        <v>0</v>
      </c>
      <c r="CD92">
        <f t="shared" si="144"/>
        <v>0</v>
      </c>
      <c r="CE92">
        <f t="shared" si="145"/>
        <v>0</v>
      </c>
      <c r="CF92">
        <f t="shared" si="146"/>
        <v>0</v>
      </c>
      <c r="CG92">
        <f>IF(AX92="",0,_xlfn.LET(_xlpm.v,IFERROR(VLOOKUP(B92,УГО_спр,3,FALSE),IFERROR(VLOOKUP(AX92,УГО_спр,3,FALSE),IFERROR(VLOOKUP(LEFT(AX92,2),УГО_спр,3,FALSE),""))),IF(_xlpm.v="да",30,IF(ISNUMBER(_xlpm.v),_xlpm.v,0))))</f>
        <v>0</v>
      </c>
      <c r="CH92" t="str">
        <f t="shared" si="147"/>
        <v/>
      </c>
      <c r="CI92" t="str">
        <f>_xlfn.LET(_xlpm.k,IFERROR(_xlfn.XLOOKUP(AX92,Коды_код,Коды_утечка)&amp;"",""),IF(_xlpm.k="","дифавтомат",_xlpm.k))</f>
        <v>дифавтомат</v>
      </c>
      <c r="CJ92">
        <f t="shared" si="148"/>
        <v>0</v>
      </c>
      <c r="CK92">
        <f t="shared" si="149"/>
        <v>0</v>
      </c>
      <c r="CL92">
        <f>IF(B92="",0,IFERROR(--VLOOKUP(B92,УГО_спр,4,FALSE),IFERROR(--VLOOKUP(AX92,УГО_спр,4,FALSE),IFERROR(--VLOOKUP(LEFT(AX92,2),УГО_спр,4,FALSE),0))))</f>
        <v>0</v>
      </c>
      <c r="CM92" t="str">
        <f>IF(B92="","",IFERROR(_xlfn.XLOOKUP(AX92,Коды_код,Коды_апп)&amp;"",""))</f>
        <v/>
      </c>
      <c r="CN92" t="str">
        <f t="shared" si="150"/>
        <v/>
      </c>
      <c r="CO92" t="str" cm="1">
        <f t="array" ref="CO92">IF(TRIM(CN92&amp;"")="","",IFERROR(TRIM(INDEX(_xlfn.TEXTSPLIT(CN92&amp;";;;",";"),1)),""))</f>
        <v/>
      </c>
      <c r="CP92" t="str" cm="1">
        <f t="array" ref="CP92">IF(TRIM(CN92&amp;"")="","",IFERROR(TRIM(INDEX(_xlfn.TEXTSPLIT(CN92&amp;";;;",";"),2)),""))</f>
        <v/>
      </c>
      <c r="CQ92" t="str" cm="1">
        <f t="array" ref="CQ92">IF(TRIM(CN92&amp;"")="","",IFERROR(TRIM(INDEX(_xlfn.TEXTSPLIT(CN92&amp;";;;",";"),3)),""))</f>
        <v/>
      </c>
      <c r="CR92">
        <f t="shared" si="151"/>
        <v>0</v>
      </c>
      <c r="CS92" t="str">
        <f>IF(B92="","",_xlfn.LET(_xlpm.t,LOWER(AV92&amp;""),IF(ISNUMBER(SEARCH("dim",_xlpm.t)),"DIM",IF(ISNUMBER(SEARCH("dali",_xlpm.t)),"DALI",IF(OR(ISNUMBER(SEARCH("relay",_xlpm.t)),ISNUMBER(SEARCH("реле",_xlpm.t))),"Relay",IF(ISNUMBER(SEARCH("кнопк",_xlpm.t)),"",IFERROR(_xlfn.XLOOKUP(AX92,Коды_код,Коды_упр)&amp;"","")))))))</f>
        <v/>
      </c>
      <c r="CT92" t="str">
        <f t="shared" si="152"/>
        <v/>
      </c>
      <c r="CU92">
        <f>IF(B92="","",_xlfn.LET(_xlpm.ig,N(P92)+IF(AF92="вручную",0,N(CB92)),_xlpm.n0,IFERROR(VLOOKUP(_xlpm.ig,Автомат_номиналы,2,TRUE),0),_xlpm.mn,MAX(CL92,IF(AF92="вручную",0,N(CE92))),MAX(_xlpm.n0,_xlpm.mn,IF(CR92=1,Мин_автомат_БП,0))))</f>
        <v>20</v>
      </c>
      <c r="CV92">
        <f t="shared" si="153"/>
        <v>1</v>
      </c>
      <c r="CW92" t="str">
        <f t="shared" si="154"/>
        <v>1P</v>
      </c>
      <c r="CX92" t="str">
        <f>_xlfn.LET(_xlpm.cc,UPPER(TRIM(IFERROR(_xlfn.XLOOKUP(AX92,Коды_код,Коды_хар)&amp;"",""))),IF(OR(_xlpm.cc="B",_xlpm.cc="В"),"B",IF(_xlpm.cc="D","D","С")))</f>
        <v>С</v>
      </c>
      <c r="CY92" t="str">
        <f t="shared" si="155"/>
        <v>1P С20А</v>
      </c>
      <c r="CZ92">
        <f t="shared" si="156"/>
        <v>16</v>
      </c>
      <c r="DA92" t="str">
        <f t="shared" si="157"/>
        <v>1P С16А</v>
      </c>
      <c r="DB92" cm="1">
        <f t="array" ref="DB92">IF(DA92="","",_xlfn.LET(_xlpm.t,SUBSTITUTE(SUBSTITUTE(SUBSTITUTE(UPPER(DA92),"С","C"),"А","A"),"В","B"),_xlpm.tk,_xlfn.TEXTSPLIT(_xlpm.t,"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92" t="str">
        <f t="shared" si="158"/>
        <v>ok</v>
      </c>
      <c r="DD92">
        <f t="shared" si="159"/>
        <v>16</v>
      </c>
      <c r="DE92" t="str">
        <f t="shared" si="160"/>
        <v>1P С16А</v>
      </c>
      <c r="DF92">
        <f t="shared" si="161"/>
        <v>0</v>
      </c>
      <c r="DG92">
        <f t="shared" si="162"/>
        <v>0</v>
      </c>
      <c r="DH92">
        <f t="shared" si="163"/>
        <v>0</v>
      </c>
      <c r="DI92">
        <f t="shared" si="164"/>
        <v>16.237976320958222</v>
      </c>
      <c r="DJ92">
        <f t="shared" si="165"/>
        <v>1</v>
      </c>
      <c r="DK92">
        <f>IF(ISNUMBER(AL92),AL92,К_прокл)</f>
        <v>1</v>
      </c>
      <c r="DL92">
        <f t="shared" si="166"/>
        <v>2</v>
      </c>
      <c r="DM92">
        <f>IFERROR(N(VLOOKUP(BT92,Кабель_обозначение,3,FALSE)),1)</f>
        <v>1</v>
      </c>
      <c r="DN92">
        <f>IFERROR(N(_xlfn.XLOOKUP(A92,Щиты[Щит],Щиты[ΔU до шин, %])),0)</f>
        <v>0.74</v>
      </c>
      <c r="DO92" t="str">
        <f>IFERROR(_xlfn.XLOOKUP(A92,Щиты[Щит],Щиты[Zпетли на шинах, Ом]),"")</f>
        <v/>
      </c>
      <c r="DP92">
        <f>IFERROR(N(_xlfn.XLOOKUP(A92,Щиты[Щит],Щиты[ΔU до шин (подбор), %])),0)</f>
        <v>1.96</v>
      </c>
      <c r="DQ92" t="str">
        <f>IFERROR(_xlfn.XLOOKUP(A92,Щиты[Щит],Щиты[Zпетли на шинах (подбор), Ом]),"")</f>
        <v/>
      </c>
      <c r="DR92" t="str">
        <f t="shared" si="167"/>
        <v/>
      </c>
      <c r="DS92">
        <f t="shared" si="168"/>
        <v>29</v>
      </c>
      <c r="DT92">
        <f t="shared" si="169"/>
        <v>2</v>
      </c>
      <c r="DU92">
        <f t="shared" si="170"/>
        <v>0.6</v>
      </c>
      <c r="DV92" s="6">
        <f>IF(B92="","",IF(IFERROR(VLOOKUP(AX92,УГО_спр,2,FALSE),"")="Светильник",3,4)+IF(Методика="нормы 2026",MIN(0.5,MAX(0,N(Q92)-100)*0.005),0))</f>
        <v>4</v>
      </c>
      <c r="DW92" cm="1">
        <f t="array" ref="DW92">IF(OR(B92="",BT92="",DM92&lt;&gt;1),"",_xlfn.LET(_xlpm.sz,Iдоп_S,_xlpm.t_,CHOOSE(DL92,Iдоп_1ж,Iдоп_2ж,Iдоп_3ж)*DJ92*DK92,_xlpm.inn,N(DD92),_xlpm.smin,MAX(1.5,BW92),_xlpm.L_,N(Q92)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92)*(_xlpm.rho*_xlpm.L_/_xlpm.sz*N(BY92)+_xlpm.xx*_xlpm.L_*N(DU92)/1000)*N(P92)/((Uн_лин/SQRT(3))*1000)*100,999),_xlpm.kz,IF(OR(DG92=1,NOT(ISNUMBER(DQ92)),_xlpm.L_=0,_xlpm.inn=0),1,IFERROR(--(c_min*(Uн_лин*1000/SQRT(3))/(DQ92+2*ρкз_Cu*_xlpm.L_/_xlpm.sz)&gt;=GY92*_xlpm.inn),0)),_xlpm.ok,IFERROR((_xlpm.sz&gt;=_xlpm.smin)*(_xlpm.t_&gt;=_xlpm.inn)*IF(_xlpm.L_&gt;0,(_xlpm.du_+DP92&lt;=DV92+0.00001),1)*_xlpm.kz,0),_xlpm.r_,_xlfn._xlws.FILTER(_xlpm.sz,_xlpm.ok,"не подобрано"),INDEX(_xlpm.r_,1)))</f>
        <v>6</v>
      </c>
      <c r="DX92">
        <f t="shared" si="171"/>
        <v>4</v>
      </c>
      <c r="DY92" cm="1">
        <f t="array" ref="DY92">IF(OR(B92="",BT92="",DM92&lt;&gt;1),"",_xlfn.LET(_xlpm.sz,Iдоп_S,_xlpm.t_,CHOOSE(DL92,Iдоп_1ж,Iдоп_2ж,Iдоп_3ж)*DJ92*DK92,_xlpm.ok,IFERROR((_xlpm.sz&gt;=MAX(1.5,BW92))*(_xlpm.t_&gt;=N(DD92)),0),_xlpm.r_,_xlfn._xlws.FILTER(_xlpm.sz,_xlpm.ok,""),INDEX(_xlpm.r_,1)))</f>
        <v>1.5</v>
      </c>
      <c r="DZ92" s="6" cm="1">
        <f t="array" ref="DZ92">IFERROR(ROUNDUP(N(DT92)*(_xlfn.XLOOKUP(DY92,INDEX(Кабель_сопротивление,0,1),INDEX(Кабель_сопротивление,0,3))*N(Q92)/DY92*N(BY92)+_xlfn.XLOOKUP(DY92,INDEX(Кабель_сопротивление,0,1),INDEX(Кабель_сопротивление,0,2))*N(Q92)*N(DU92)/1000)*N(P92)/((Uн_лин/SQRT(3))*1000)*100,2),"")</f>
        <v>5.6</v>
      </c>
      <c r="EA92">
        <f>IFERROR(2*ρкз_Cu*N(Q92)/DY92,"")</f>
        <v>1.1572</v>
      </c>
      <c r="EB92">
        <f>IFERROR(VLOOKUP(DX92,Кабель_сопротивление,3,FALSE),"")</f>
        <v>2.2499999999999999E-2</v>
      </c>
      <c r="EC92">
        <f>IFERROR(VLOOKUP(DX92,Кабель_сопротивление,2,FALSE),"")</f>
        <v>9.5000000000000001E-2</v>
      </c>
      <c r="ED92">
        <f t="shared" si="172"/>
        <v>22</v>
      </c>
      <c r="EE92">
        <f t="shared" si="173"/>
        <v>0</v>
      </c>
      <c r="EF92">
        <f t="shared" si="174"/>
        <v>4.8837662342440362</v>
      </c>
      <c r="EG92" s="6">
        <f>IFERROR(ROUNDUP(EF92/((Uн_лин/SQRT(3))*1000)*100,2),"")</f>
        <v>2.1199999999999997</v>
      </c>
      <c r="EH92" t="str">
        <f>IFERROR(VLOOKUP(BT92,Кабель_обозначение,2,FALSE),"")</f>
        <v>ВВГнг(А)-LS</v>
      </c>
      <c r="EI92" t="str">
        <f t="shared" si="175"/>
        <v>ВВГнг(А)-LS (3х4)</v>
      </c>
      <c r="EJ92" t="str">
        <f t="shared" si="176"/>
        <v>ВВГнг(А)-LS (3х4)
L=33-2,12%</v>
      </c>
      <c r="EK92">
        <f>IFERROR(2*ρкз_Cu*Q92/DX92,"")</f>
        <v>0.43395</v>
      </c>
      <c r="EL92">
        <f t="shared" si="177"/>
        <v>0.144375</v>
      </c>
      <c r="EM92" s="6" t="str">
        <f>IFERROR(IF(OR(B92="",NOT(ISNUMBER(DX92)),N(Q92)=0),"",_xlfn.XLOOKUP(A92,Щиты[Щит],Щиты[Zпетли на шинах, Ом])+EK92),"")</f>
        <v/>
      </c>
      <c r="EN92" s="6" t="str">
        <f>IF(ISNUMBER(EM92),c_min*(Uн_лин*1000/SQRT(3))/EM92,"")</f>
        <v/>
      </c>
      <c r="EO92" s="6" t="str">
        <f>IFERROR(IF(OR(B92="",NOT(ISNUMBER(DX92))),"",1.05*(Uн_лин*1000/SQRT(3))/(_xlfn.XLOOKUP(A92,Щиты[Щит],Щиты[Zmax на шинах, Ом])+EL92)/1000),"")</f>
        <v/>
      </c>
      <c r="EP92" s="6" t="str">
        <f>IF(B92="","",IF(ISNUMBER(Y92),"Сил",IF(IFERROR(_xlfn.XLOOKUP(AX92,Коды_код,Коды_группа)&amp;"","")="","Быт",_xlfn.XLOOKUP(AX92,Коды_код,Коды_группа)&amp;"")))</f>
        <v>Сил</v>
      </c>
      <c r="EQ92" s="6" t="str">
        <f t="shared" si="178"/>
        <v>Сил</v>
      </c>
      <c r="ER92" s="6">
        <f>IF(EQ92="Щит","щит",IF(EQ92="","",IF(EQ92="Быт",IFERROR(_xlfn.XLOOKUP(A92,Щиты[Щит],Щиты[Кс быт]),1),IF(EQ92="Сил",IF(ISNUMBER(Y92),Y92,IF(Методика="нормы 2026",IFERROR(_xlfn.XLOOKUP(A92,Щиты[Щит],Щиты[Кс силовых (табл. 7.5)]),1),1)),IF(OR(EQ92="Пост",EQ92="Отоп"),1,IF(EQ92="ВНГ",0.7,0))))))</f>
        <v>0.5</v>
      </c>
      <c r="ES92">
        <f t="shared" si="179"/>
        <v>1</v>
      </c>
      <c r="ET92">
        <f t="shared" si="180"/>
        <v>3</v>
      </c>
      <c r="EU92">
        <f t="shared" si="181"/>
        <v>0</v>
      </c>
      <c r="EV92">
        <f t="shared" si="182"/>
        <v>1.5</v>
      </c>
      <c r="EW92">
        <f t="shared" si="183"/>
        <v>0</v>
      </c>
      <c r="EX92">
        <f t="shared" si="184"/>
        <v>0</v>
      </c>
      <c r="EY92">
        <f t="shared" si="185"/>
        <v>0</v>
      </c>
      <c r="EZ92">
        <f t="shared" si="186"/>
        <v>3</v>
      </c>
      <c r="FA92">
        <f t="shared" si="187"/>
        <v>2.4000000000000004</v>
      </c>
      <c r="FB92">
        <f t="shared" si="188"/>
        <v>3</v>
      </c>
      <c r="FC92" t="str">
        <f t="shared" si="189"/>
        <v/>
      </c>
      <c r="FD92" t="str">
        <f>IF(B92="","",IF(CA92=0,IF(AW92=1,"",FF91),IF(OR(N(CV92)&gt;=3,N(BR92)&gt;=3),"L1,L2,L3",IFERROR(_xlfn.TEXTBEFORE(_xlfn.TEXTAFTER(_xlfn.XLOOKUP(A92,Щиты[Щит],Щиты[_фазы авто]),";"&amp;AW92&amp;":"),";"),"L1"))))</f>
        <v>L3</v>
      </c>
      <c r="FE92" t="str">
        <f t="shared" si="190"/>
        <v>L3</v>
      </c>
      <c r="FF92" t="str">
        <f t="shared" si="191"/>
        <v>L3</v>
      </c>
      <c r="FG92" cm="1">
        <f t="array" ref="FG92">IFERROR(IF(BX92=2,_xlfn.IFS(BR92=3,VLOOKUP(BN92,Справочная_двигатели,3,FALSE),BR92=1,VLOOKUP(BN92,Справочная_двигатели,5,TRUE)),0),0)</f>
        <v>0</v>
      </c>
      <c r="FH92">
        <f>IFERROR(IF(BX92=3,VLOOKUP(BN92,Справочная_ЛЭД,2,TRUE),0),0)</f>
        <v>0</v>
      </c>
      <c r="FI92" s="6">
        <f t="shared" si="192"/>
        <v>0</v>
      </c>
      <c r="FJ92" t="str" cm="1">
        <f t="array" ref="FJ92">IF(B92="","",IFERROR(INDEX({"I особая","I","II","III"},MATCH(TRIM(AC92&amp;""),{"I особая","I","II","III"},0)),"III"))</f>
        <v>II</v>
      </c>
      <c r="FK92" t="str">
        <f>IF(B92="","",IF(TRIM(AD92&amp;"")&lt;&gt;"",IF(LOWER(TRIM(AD92&amp;""))="да","да","нет"),IF(IFERROR(_xlfn.XLOOKUP(AX92,Коды_код,Коды_пожарная),"")="да","да","нет")))</f>
        <v>нет</v>
      </c>
      <c r="FL92" t="str">
        <f t="shared" si="193"/>
        <v/>
      </c>
      <c r="FM92" t="str">
        <f t="shared" si="194"/>
        <v>основная</v>
      </c>
      <c r="FN92">
        <f t="shared" si="195"/>
        <v>1</v>
      </c>
      <c r="FO92" t="str" cm="1">
        <f t="array" ref="FO92">IF(B92="","",_xlfn.LET(_xlpm.t,IFERROR(_xlfn.XLOOKUP(1,(Шины[Шина]=FM92)*(((Шины[Щит]=A92)+(Шины[Щит]=""))&gt;0),Шины[Тип]),"")&amp;"",IF(_xlpm.t&lt;&gt;"",_xlpm.t,IF(ISNUMBER(SEARCH("ИБП",FM92)),"ИБП",IF(ISNUMBER(SEARCH("ДГУ",FM92)),"ДГУ","Ввод "&amp;FN92)))))</f>
        <v>Ввод 1</v>
      </c>
      <c r="FP92" t="str">
        <f t="shared" si="196"/>
        <v>Ввод 1</v>
      </c>
      <c r="FQ92" t="str">
        <f>IF(B92="","",IF(OR(FO92="ИБП",FO92="ДГУ"),"I особая",IF(FO92="Одиночная","III",_xlfn.XLOOKUP(A92,Щиты[Щит],Щиты[Категория шины «Ввод»],"III"))))</f>
        <v>II</v>
      </c>
      <c r="FR92">
        <f>IF(B92="",0,IFERROR(MATCH(FJ92,{"III","II","I","I особая"},0),1))</f>
        <v>2</v>
      </c>
      <c r="FS92">
        <f t="shared" si="197"/>
        <v>2</v>
      </c>
      <c r="FT92" t="str">
        <f>IF(B92="","",IF(FR92&gt;IFERROR(MATCH(FQ92,{"III","II","I","I особая"},0),1),"НЕ ОБЕСПЕЧЕНА","ОК"))</f>
        <v>ОК</v>
      </c>
      <c r="FU92" t="str">
        <f>IF(A92="","",_xlfn.XLOOKUP(A92,Щиты[Щит],Щиты[Путь],""))</f>
        <v>|ГРЩ-ЖД|ЩОВ-002|</v>
      </c>
      <c r="FV92" t="str">
        <f>IF(B92="","",IF(AE92&lt;&gt;"",AE92,IF(IFERROR(_xlfn.XLOOKUP(AX92,Коды_код,Коды_вид)&amp;"","")="","Прочее",_xlfn.XLOOKUP(AX92,Коды_код,Коды_вид)&amp;"")))</f>
        <v>Вентиляция</v>
      </c>
      <c r="FW92">
        <f>IF(BH92="","",INT((BH92-1)/Столбцов_на_лист)+1)</f>
        <v>3</v>
      </c>
      <c r="FX92" t="str">
        <f t="shared" si="198"/>
        <v>ВВГнг(А)-LS (3х4) L=33-2,12%</v>
      </c>
      <c r="FY92">
        <f t="shared" si="199"/>
        <v>3</v>
      </c>
      <c r="FZ92">
        <f t="shared" si="200"/>
        <v>16.240000000000002</v>
      </c>
      <c r="GA92">
        <f t="shared" si="201"/>
        <v>1</v>
      </c>
      <c r="GB92">
        <f t="shared" si="202"/>
        <v>0</v>
      </c>
      <c r="GC92">
        <f t="shared" si="203"/>
        <v>1</v>
      </c>
      <c r="GD92">
        <f>IF(BH92="","",IF(AND(CA92=1,GC92=1),COUNTIFS(A$3:A92,A92,CA$3:CA92,1,GC$3:GC92,1),IF(OR(OR(AW92=1,A92&lt;&gt;A91),AF92="вручную",GC92=0),"",IF(AW92=1,"",GE91))))</f>
        <v>4</v>
      </c>
      <c r="GE92">
        <f t="shared" si="204"/>
        <v>4</v>
      </c>
      <c r="GF92">
        <f>IF(B92="","",IFERROR(LOOKUP(INDEX(CHOOSE(DL92,Iдоп_1ж,Iдоп_2ж,Iдоп_3ж),MATCH(DX92,Iдоп_S,0))*DJ92*DK92,{6,10,16,20,25,32,40,50,63,80,100,125,160,200,250,315,400,500,630}),""))</f>
        <v>32</v>
      </c>
      <c r="GG92" t="str">
        <f t="shared" si="205"/>
        <v>QF4</v>
      </c>
      <c r="GH92" t="str">
        <f t="shared" si="206"/>
        <v>QF4</v>
      </c>
      <c r="GI92" t="str">
        <f t="shared" si="207"/>
        <v/>
      </c>
      <c r="GJ92">
        <f t="shared" si="208"/>
        <v>0</v>
      </c>
      <c r="GK92" t="str">
        <f>IF(OR(AG92="",AG92="-"),"",IFERROR(VLOOKUP(AG92,Модули_спр,2,FALSE),"R"))</f>
        <v/>
      </c>
      <c r="GL92" t="str">
        <f>IF(GK92="","",GK92&amp;"."&amp;COUNTIFS(A$3:A92,A92,GK$3:GK92,GK92))</f>
        <v/>
      </c>
      <c r="GM92" t="str">
        <f t="shared" si="209"/>
        <v/>
      </c>
      <c r="GN92" t="str">
        <f t="shared" si="210"/>
        <v/>
      </c>
      <c r="GO92" t="str">
        <f t="shared" si="211"/>
        <v/>
      </c>
      <c r="GP92" t="str">
        <f t="shared" si="212"/>
        <v/>
      </c>
      <c r="GQ92">
        <f t="shared" si="213"/>
        <v>1</v>
      </c>
      <c r="GR92" t="str">
        <f>IF(GQ92=1,"XT"&amp;COUNTIFS(A$3:A92,A92,GQ$3:GQ92,1),"")</f>
        <v>XT4</v>
      </c>
      <c r="GS92" t="str">
        <f t="shared" si="214"/>
        <v/>
      </c>
      <c r="GT92" t="str">
        <f t="shared" si="215"/>
        <v>QF4</v>
      </c>
      <c r="GU92" t="str">
        <f t="shared" si="216"/>
        <v/>
      </c>
      <c r="GV92" t="str">
        <f t="shared" si="217"/>
        <v>ПЕРЕГРУЗ</v>
      </c>
      <c r="GW92" t="str">
        <f>IF(OR(GO92="",GM92=""),"",IF(GO92&gt;IFERROR(VLOOKUP(GN92,Модули_спр,3,FALSE),99),"ЛИШНИЙ КАНАЛ",IF(AND(AH92&lt;&gt;"=",COUNTIFS(Линии[_модуль гр.],GM92,Линии[Канал (итог)],GO92,Линии[Канал],"&lt;&gt;=",Линии[Щит],A92)&gt;1),"ДУБЛЬ КАНАЛА","")))</f>
        <v/>
      </c>
      <c r="GX92" s="6" t="str">
        <f t="shared" si="218"/>
        <v/>
      </c>
      <c r="GY92">
        <f t="shared" si="219"/>
        <v>10</v>
      </c>
      <c r="GZ92" t="str">
        <f t="shared" si="220"/>
        <v/>
      </c>
      <c r="HA92" t="str">
        <f>IF(AND(B92="",GT92=""),"",_xlfn.TEXTJOIN("; ",TRUE,IF(AND(B92&lt;&gt;"",FE92=""),"нет фазы",""),IF(AND(B92&lt;&gt;"",N(FY92)=0,EQ92&lt;&gt;"Нет"),"нет мощности",""),IF(AND(GS92&lt;&gt;"",COUNTIFS(Линии[Щит],A92,Линии[Клемма (итог)],GS92)&gt;1),"дубль клеммы "&amp;GS92,""),IF(AND(GV92&lt;&gt;"",GV92&lt;&gt;"ok"),GV92,""),IF(GW92&lt;&gt;"",GW92,""),IF(AND(N(BV92)&gt;=4,N(BR92)=1),BV92&amp;" жил на 1 фазе",""),IF(AND(AX92="R",CA92=1,OR(N(CK92)=0,N(CK92)&gt;30)),"розетка без дифзащиты до 30 мА",""),IFERROR(IF(AND(ISNUMBER(R92),R92&gt;DV92),"потери "&amp;FIXED(R92,1)&amp;" % &gt; "&amp;DV92&amp;" %",""),""),IFERROR(IF(LEFT(GZ92,4)="мало","Iкз мало — отключение &gt; 0,4 с",""),""),IF(AND(B92&lt;&gt;"",BH92=""),"не на схеме",""),IF(AND(CA92=0,B92&lt;&gt;"",FE92&lt;&gt;"",IF(AW92=1,"",FF91)&lt;&gt;"",FE92&lt;&gt;IF(AW92=1,"",FF91)),"фаза не как у автомата группы ("&amp;IF(AW92=1,"",FF91)&amp;")","")))</f>
        <v>ПЕРЕГРУЗ</v>
      </c>
      <c r="HB92" s="6">
        <f>IF(OR(CA92=0,DA92=""),"",_xlfn.LET(_xlpm.t,IFERROR(_xlfn.XLOOKUP(DA92,Каталог!$U$4:$U$500,Каталог!$G$4:$G$500),""),_xlpm.k,SEARCH("кА",_xlpm.t),IFERROR(--TRIM(RIGHT(SUBSTITUTE(MID(_xlpm.t,MAX(1,_xlpm.k-4),_xlpm.k-MAX(1,_xlpm.k-4))," ",REPT(" ",9)),5)),"")))</f>
        <v>6</v>
      </c>
      <c r="HC92" t="str">
        <f>IF(OR(HB92="",CA92=0),"",IF(_xlfn.XLOOKUP(A92,Щиты[Щит],Щиты[Iкз max на шинах, кА],"")="","",IF(HB92&lt;_xlfn.XLOOKUP(A92,Щиты[Щит],Щиты[Iкз max на шинах, кА]),"Icu "&amp;HB92&amp;" кА &lt; Iкз max","ok")))</f>
        <v/>
      </c>
      <c r="HD92" t="str">
        <f t="shared" si="221"/>
        <v/>
      </c>
      <c r="HE92" t="str">
        <f t="shared" si="222"/>
        <v>QF4</v>
      </c>
      <c r="HF92" t="str">
        <f t="shared" si="223"/>
        <v>QF4|кабель ВВГнг(А)-LS (3х4) → Приточно-вытяжная установка Подвальный этаж Пом. №005Т</v>
      </c>
      <c r="HG92" t="str" cm="1">
        <f t="array" ref="HG92">IF(HF92="","",_xlfn.LET(_xlpm.nd,_xlfn.TEXTSPLIT(HF92,"|"),IF(COLUMNS(_xlpm.nd)&gt;1,A92&amp;"¦"&amp;INDEX(_xlpm.nd,1)&amp;"¦"&amp;INDEX(_xlpm.nd,2),"")))</f>
        <v>ЩОВ-002¦QF4¦кабель ВВГнг(А)-LS (3х4) → Приточно-вытяжная установка Подвальный этаж Пом. №005Т</v>
      </c>
      <c r="HH92" t="str">
        <f t="shared" si="224"/>
        <v>ПВ.10¦Приточно-вытяжная установка Подвальный этаж Пом. №005Т</v>
      </c>
      <c r="HI92" t="str" cm="1">
        <f t="array" ref="HI92">IF(HF92="","",_xlfn.LET(_xlpm.nd,_xlfn.TEXTSPLIT(HF92,"|"),IF(COLUMNS(_xlpm.nd)&gt;2,A92&amp;"¦"&amp;INDEX(_xlpm.nd,2)&amp;"¦"&amp;INDEX(_xlpm.nd,3),"")))</f>
        <v/>
      </c>
      <c r="HJ92" t="str">
        <f t="shared" si="225"/>
        <v/>
      </c>
      <c r="HK92" t="str" cm="1">
        <f t="array" ref="HK92">IF(HF92="","",_xlfn.LET(_xlpm.nd,_xlfn.TEXTSPLIT(HF92,"|"),IF(COLUMNS(_xlpm.nd)&gt;3,A92&amp;"¦"&amp;INDEX(_xlpm.nd,3)&amp;"¦"&amp;INDEX(_xlpm.nd,4),"")))</f>
        <v/>
      </c>
      <c r="HL92" t="str">
        <f t="shared" si="226"/>
        <v/>
      </c>
      <c r="HM92" t="str" cm="1">
        <f t="array" ref="HM92">IF(HF92="","",_xlfn.LET(_xlpm.nd,_xlfn.TEXTSPLIT(HF92,"|"),IF(COLUMNS(_xlpm.nd)&gt;4,A92&amp;"¦"&amp;INDEX(_xlpm.nd,4)&amp;"¦"&amp;INDEX(_xlpm.nd,5),"")))</f>
        <v/>
      </c>
      <c r="HN92" t="str">
        <f t="shared" si="227"/>
        <v/>
      </c>
      <c r="HO92" t="str" cm="1">
        <f t="array" ref="HO92">IF(HF92="","",_xlfn.LET(_xlpm.nd,_xlfn.TEXTSPLIT(HF92,"|"),IF(COLUMNS(_xlpm.nd)&gt;5,A92&amp;"¦"&amp;INDEX(_xlpm.nd,5)&amp;"¦"&amp;INDEX(_xlpm.nd,6),"")))</f>
        <v/>
      </c>
      <c r="HP92" t="str">
        <f t="shared" si="228"/>
        <v/>
      </c>
      <c r="HQ92" t="str" cm="1">
        <f t="array" ref="HQ92">IF(HF92="","",_xlfn.LET(_xlpm.nd,_xlfn.TEXTSPLIT(HF92,"|"),IF(COLUMNS(_xlpm.nd)&gt;6,A92&amp;"¦"&amp;INDEX(_xlpm.nd,6)&amp;"¦"&amp;INDEX(_xlpm.nd,7),"")))</f>
        <v/>
      </c>
      <c r="HR92" t="str">
        <f t="shared" si="229"/>
        <v/>
      </c>
      <c r="HS92" t="str">
        <f t="shared" si="230"/>
        <v/>
      </c>
      <c r="HT92" t="str">
        <f t="shared" si="231"/>
        <v>QF4</v>
      </c>
      <c r="HU92">
        <f t="shared" si="232"/>
        <v>0</v>
      </c>
      <c r="HV92">
        <f t="shared" si="233"/>
        <v>0</v>
      </c>
      <c r="HW92" t="str">
        <f t="shared" si="234"/>
        <v/>
      </c>
      <c r="HX92" t="str">
        <f t="shared" si="235"/>
        <v/>
      </c>
      <c r="HY92" t="str">
        <f t="shared" si="236"/>
        <v/>
      </c>
      <c r="HZ92" t="str">
        <f t="shared" si="237"/>
        <v/>
      </c>
      <c r="IA92" t="str">
        <f>IF(B92="","",IFERROR(VLOOKUP(B92,УГО_спр,2,FALSE),IFERROR(VLOOKUP(AX92,УГО_спр,2,FALSE),IFERROR(VLOOKUP(LEFT(AX92,2),УГО_спр,2,FALSE),""))))</f>
        <v>Привод (двигатель)</v>
      </c>
      <c r="IB92" t="str">
        <f>IF(B92="","",IF(OR(IA92="",IA92=0),"BOX",IFERROR(IF(VLOOKUP(IA92,УГО_блоки,3,FALSE)&amp;""&lt;&gt;"",VLOOKUP(IA92,УГО_блоки,3,FALSE),VLOOKUP(IA92,УГО_блоки,2,FALSE)),IA92)))</f>
        <v>MOTOR</v>
      </c>
      <c r="IC92">
        <f t="shared" si="238"/>
        <v>1</v>
      </c>
      <c r="ID92" t="str">
        <f>IF(DA92="","",IF(COUNTIF(DA$3:DA92,DA92)=1,MAX(ID$2:ID91)+1,""))</f>
        <v/>
      </c>
      <c r="IE92" t="str">
        <f>IF(CO92="","",IF(COUNTIF(CO$3:CO92,CO92)+COUNTIF(CP$2:CP91,CO92)+COUNTIF(CQ$2:CQ91,CO92)=1,MAX(IE$2:IG91)+1,""))</f>
        <v/>
      </c>
      <c r="IF92" t="str">
        <f>IF(CP92="","",IF(COUNTIF(CO$3:CO92,CP92)+COUNTIF(CP$3:CP92,CP92)+COUNTIF(CQ$2:CQ91,CP92)=1,MAX(IE$2:IG91,IE92)+1,""))</f>
        <v/>
      </c>
      <c r="IG92" t="str">
        <f>IF(CQ92="","",IF(COUNTIF(CO$3:CO92,CQ92)+COUNTIF(CP$3:CP92,CQ92)+COUNTIF(CQ$3:CQ92,CQ92)=1,MAX(IE$2:IG91,IE92,IF92)+1,""))</f>
        <v/>
      </c>
      <c r="IH92" t="str">
        <f t="shared" si="239"/>
        <v>3х4</v>
      </c>
      <c r="II92" t="str">
        <f>IF(IH92="","",IF(COUNTIF(IH$3:IH92,IH92)=1,MAX(II$2:II91)+1,""))</f>
        <v/>
      </c>
      <c r="IJ92" t="str">
        <f>IF(GL92="","",COUNTIF(GL$3:GL92,"?*"))</f>
        <v/>
      </c>
      <c r="IK92" t="str">
        <f>IF(OR(GL92="",GN92=""),"",IF(COUNTIFS(GL$3:GL92,"?*",GN$3:GN92,GN92)=1,MAX(IK$2:IK91)+1,""))</f>
        <v/>
      </c>
      <c r="IL92">
        <f t="shared" si="240"/>
        <v>2</v>
      </c>
      <c r="IM92">
        <f>IF(B92="","",COUNTIF(B$3:B92,"?*"))</f>
        <v>90</v>
      </c>
      <c r="IN92">
        <f>IF(GQ92&lt;&gt;1,0,_xlfn.LET(_xlpm.k,MAX(IFERROR(--VLOOKUP(B92,УГО_спр,5,FALSE),0),IFERROR(--VLOOKUP(AX92,УГО_спр,5,FALSE),0),IFERROR(--VLOOKUP(LEFT(AX92,2),УГО_спр,5,FALSE),0)),IF(_xlpm.k&gt;0,_xlpm.k,IF(IFERROR(--LEFT(SUBSTITUTE(IH92,"x","х"),FIND("х",SUBSTITUTE(IH92,"x","х"))-1),3)&gt;3,Каталог!$S$9,1))))</f>
        <v>1</v>
      </c>
      <c r="IO92">
        <f t="shared" si="241"/>
        <v>0</v>
      </c>
      <c r="IP92" t="str">
        <f t="shared" si="242"/>
        <v>авто</v>
      </c>
      <c r="IQ92" t="str">
        <f t="shared" si="243"/>
        <v/>
      </c>
      <c r="IR92">
        <f t="shared" si="244"/>
        <v>0</v>
      </c>
      <c r="IS92">
        <f t="shared" si="245"/>
        <v>1</v>
      </c>
    </row>
    <row r="93" spans="1:253" x14ac:dyDescent="0.3">
      <c r="A93" t="s">
        <v>751</v>
      </c>
      <c r="B93" t="s">
        <v>1364</v>
      </c>
      <c r="C93" t="s">
        <v>1623</v>
      </c>
      <c r="D93">
        <v>1</v>
      </c>
      <c r="E93">
        <v>0.151</v>
      </c>
      <c r="G93">
        <v>10</v>
      </c>
      <c r="H93" t="str">
        <f>Линии[[#This Row],[_авто утечка]]</f>
        <v/>
      </c>
      <c r="I93" t="str">
        <f>Линии[[#This Row],[_авто управление]]</f>
        <v/>
      </c>
      <c r="J93" t="str">
        <f>Линии[[#This Row],[_авто аппараты]]</f>
        <v/>
      </c>
      <c r="K93">
        <v>1.5</v>
      </c>
      <c r="L93">
        <v>20</v>
      </c>
      <c r="M93">
        <v>1</v>
      </c>
      <c r="N93" t="s">
        <v>486</v>
      </c>
      <c r="O93" t="str">
        <f t="shared" si="123"/>
        <v/>
      </c>
      <c r="P93" s="6" cm="1">
        <f t="array" ref="P93">IF(B93="","",IF(BC93&lt;&gt;"",IFERROR(_xlfn.XLOOKUP(BC93,Щиты[Щит],Щиты[Iр, А]),""),IF(BK93=1,IFERROR(_xlfn.XLOOKUP(A93,Щиты[Щит],Щиты[Iр, А]),""),IFERROR(_xlfn.IFS(BR93=1,BN93/((Uн_лин/SQRT(3))*BY93),BR93=3,BN93/(SQRT(3)*Uн_лин*BY93)),""))))</f>
        <v>0.81731147482156374</v>
      </c>
      <c r="Q93" s="7">
        <f>IF(B93="","",IFERROR(IF(VLOOKUP(AX93,Потребители_обозначение,4,FALSE)=1,VLOOKUP(AX93,Потребители_обозначение,3,FALSE)*(D93*2-1)+DS93+VLOOKUP(AZ93,Этаж_обозначение,3,FALSE)+VLOOKUP(AZ93,Этаж_обозначение,4,FALSE),VLOOKUP(AX93,Потребители_обозначение,3,FALSE)*(D93*2-1)+DS93),DS93))</f>
        <v>22</v>
      </c>
      <c r="R93" s="6">
        <f t="shared" si="124"/>
        <v>0.92999999999999994</v>
      </c>
      <c r="S93" t="str">
        <f t="shared" si="125"/>
        <v>ВВГнг(А)-LS (3х1,5)</v>
      </c>
      <c r="T93" t="str">
        <f>IF(BH93="","",IF(BI93="вводной узел","узел ","")&amp;"л."&amp;(INT((BH93-1)/Столбцов_на_лист)+1)&amp;" / "&amp;(MOD(BH93-1,Столбцов_на_лист)+1))</f>
        <v>л.3 / 5</v>
      </c>
      <c r="V93">
        <v>1</v>
      </c>
      <c r="W93">
        <v>230</v>
      </c>
      <c r="X93" t="s">
        <v>600</v>
      </c>
      <c r="Y93">
        <v>0.5</v>
      </c>
      <c r="AC93" t="s">
        <v>815</v>
      </c>
      <c r="AE93" t="s">
        <v>578</v>
      </c>
      <c r="AI93">
        <v>39</v>
      </c>
      <c r="AJ93" t="s">
        <v>11</v>
      </c>
      <c r="AK93">
        <v>3</v>
      </c>
      <c r="AM93">
        <v>11</v>
      </c>
      <c r="AN93">
        <v>11</v>
      </c>
      <c r="AP93">
        <v>1</v>
      </c>
      <c r="AW93" cm="1">
        <f t="array" ref="AW93">ROW()-ROW(Линии[#Headers])</f>
        <v>91</v>
      </c>
      <c r="AX93" s="6" t="str">
        <f t="shared" si="126"/>
        <v>K</v>
      </c>
      <c r="AY93" t="str">
        <f t="shared" si="127"/>
        <v>0.002A</v>
      </c>
      <c r="AZ93" t="str">
        <f t="shared" si="128"/>
        <v>0</v>
      </c>
      <c r="BA93" t="str">
        <f t="shared" si="129"/>
        <v>002A</v>
      </c>
      <c r="BB93" t="str">
        <f t="shared" si="130"/>
        <v>002A</v>
      </c>
      <c r="BC93" t="str">
        <f>IF(U93&lt;&gt;"",U93,IF(AND(B93&lt;&gt;"",B93&lt;&gt;A93,ISNUMBER(_xlfn.XMATCH(B93,Щиты[Щит]))),B93,""))</f>
        <v/>
      </c>
      <c r="BD93" t="str" cm="1">
        <f t="array" ref="BD93">IF(B93="","",IF(BC93&lt;&gt;"","Щит "&amp;BC93,_xlfn.LET(_xlpm.nm,IFERROR(_xlfn.XLOOKUP(AX93,Коды_код,Коды_имя)&amp;"",""),_xlpm.md,IFERROR(N(_xlfn.XLOOKUP(AX93,Коды_код,Коды_режим)),1),_xlpm.ex,IF(Имя_режим="по экспликации",IFERROR(_xlfn.XLOOKUP(AZ93&amp;"|"&amp;BB93,Экспликация[Этаж]&amp;"|"&amp;Экспликация[Помещение],Экспликация[Название])&amp;"",""),""),_xlpm.rm,IF(BB93="","",IF(_xlpm.ex&lt;&gt;"",". "&amp;_xlpm.ex&amp;IF(Имя_пом="нет"," ("&amp;BB93&amp;")"," (пом. "&amp;BB93&amp;")"),IF(Имя_пом="нет"," ",", пом. ")&amp;BB93)),IF(_xlpm.nm="","",IF(_xlpm.md=2,_xlpm.nm&amp;" шлейф "&amp;AZ93,_xlpm.nm&amp;_xlpm.rm)))))</f>
        <v>Внутренний блок кондиционирования, пом. 002A</v>
      </c>
      <c r="BE93" t="str">
        <f t="shared" si="131"/>
        <v>Внутренний блок кондиционирования Подвальный этаж Пом. №005Т</v>
      </c>
      <c r="BF93">
        <f>IFERROR(_xlfn.XMATCH(A93,Щиты[Щит]),0)</f>
        <v>5</v>
      </c>
      <c r="BG93">
        <f>_xlfn.LET(_xlpm.k,IFERROR(_xlfn.XLOOKUP(A93,Щиты[Щит],Щиты[Листов под вводной узел]),""),IF(_xlpm.k="",1,N(_xlpm.k))*Столбцов_на_лист)</f>
        <v>34</v>
      </c>
      <c r="BH93">
        <f t="shared" si="132"/>
        <v>39</v>
      </c>
      <c r="BI93" t="str">
        <f t="shared" si="133"/>
        <v>линии</v>
      </c>
      <c r="BJ93" s="6">
        <f>IFERROR(N(_xlfn.XLOOKUP(AX93,Коды_код,Коды_квт)),0)</f>
        <v>0</v>
      </c>
      <c r="BK93">
        <f t="shared" si="134"/>
        <v>0</v>
      </c>
      <c r="BL93" t="str">
        <f>IF(B93="","",IF(BC93&lt;&gt;"",IFERROR(_xlfn.XLOOKUP(BC93,Щиты[Щит],Щиты[Руст, кВт]),0),IF(BK93=1,IFERROR(_xlfn.XLOOKUP(A93,Щиты[Щит],Щиты[Руст, кВт]),0),IF(BJ93&gt;0,ROUND(BJ93*MAX(1,N(D93)),3),""))))</f>
        <v/>
      </c>
      <c r="BM93">
        <f t="shared" si="135"/>
        <v>0.151</v>
      </c>
      <c r="BN93" s="6">
        <f>IF(B93="","",IF(BC93&lt;&gt;"",IFERROR(_xlfn.XLOOKUP(BC93,Щиты[Щит],Щиты[Руст, кВт]),0),N(BM93)))</f>
        <v>0.151</v>
      </c>
      <c r="BO93" t="str">
        <f>IF(B93="","",IFERROR(IF(VLOOKUP(AX93,Потребители_обозначение,8,FALSE)=0,"",VLOOKUP(AX93,Потребители_обозначение,8,FALSE)),""))</f>
        <v/>
      </c>
      <c r="BP93">
        <f t="shared" si="136"/>
        <v>230</v>
      </c>
      <c r="BQ93">
        <f>IF(B93="","",IF(BC93&lt;&gt;"",3,IFERROR(IF(N(VLOOKUP(AX93,Потребители_обозначение,9,FALSE))=0,1,VLOOKUP(AX93,Потребители_обозначение,9,FALSE)),1)))</f>
        <v>1</v>
      </c>
      <c r="BR93">
        <f t="shared" si="137"/>
        <v>1</v>
      </c>
      <c r="BS93" t="str">
        <f>IF(B93="","",_xlfn.LET(_xlpm.bc,IFERROR(IF(VLOOKUP(AX93,Потребители_обозначение,6,FALSE)=0,"",VLOOKUP(AX93,Потребители_обозначение,6,FALSE)&amp;""),""),IF(AND(FK93="да",OR(_xlpm.bc="",_xlpm.bc="мс")),Марка_пож,IF(AND(_xlpm.bc="",BC93&lt;&gt;""),"мс",_xlpm.bc))))</f>
        <v/>
      </c>
      <c r="BT93" t="str">
        <f t="shared" si="138"/>
        <v>мс</v>
      </c>
      <c r="BU93">
        <f>IF(B93="","",_xlfn.LET(_xlpm.cc,IFERROR(N(VLOOKUP(AX93,Потребители_обозначение,7,FALSE)),0),IF(_xlpm.cc&gt;0,_xlpm.cc,IF(BT93="","",IF(N(BR93)=3,5,3)))))</f>
        <v>3</v>
      </c>
      <c r="BV93">
        <f t="shared" si="139"/>
        <v>3</v>
      </c>
      <c r="BW93">
        <f>IFERROR(N(VLOOKUP(AX93,Потребители_обозначение,10,FALSE)),0)</f>
        <v>0</v>
      </c>
      <c r="BX93">
        <f>IFERROR(VLOOKUP(AX93,Потребители_обозначение,5,FALSE),0)</f>
        <v>1</v>
      </c>
      <c r="BY93" s="6" cm="1">
        <f t="array" ref="BY93">IF(B93="","",IF(BC93&lt;&gt;"",IFERROR(_xlfn.XLOOKUP(BC93,Щиты[Щит],Щиты[cos φ]),0.95),IF(BK93=1,IFERROR(_xlfn.XLOOKUP(A93,Щиты[Щит],Щиты[cos φ]),0.95),IF(ISNUMBER(Z93),Z93,IFERROR(IF(BX93=2,_xlfn.IFS(BR93=3,VLOOKUP(BN93,Справочная_двигатели,8,FALSE),BR93=1,VLOOKUP(BN93,Справочная_двигатели,10,TRUE)),IF(AND(Методика="нормы 2026",EQ93="Сил"),0.8,0.95)),0.95)))))</f>
        <v>0.8</v>
      </c>
      <c r="BZ93">
        <f t="shared" si="140"/>
        <v>0</v>
      </c>
      <c r="CA93">
        <f t="shared" si="141"/>
        <v>1</v>
      </c>
      <c r="CB93">
        <f t="shared" si="142"/>
        <v>0</v>
      </c>
      <c r="CC93">
        <f t="shared" si="143"/>
        <v>0</v>
      </c>
      <c r="CD93">
        <f t="shared" si="144"/>
        <v>0</v>
      </c>
      <c r="CE93">
        <f t="shared" si="145"/>
        <v>0</v>
      </c>
      <c r="CF93">
        <f t="shared" si="146"/>
        <v>0</v>
      </c>
      <c r="CG93">
        <f>IF(AX93="",0,_xlfn.LET(_xlpm.v,IFERROR(VLOOKUP(B93,УГО_спр,3,FALSE),IFERROR(VLOOKUP(AX93,УГО_спр,3,FALSE),IFERROR(VLOOKUP(LEFT(AX93,2),УГО_спр,3,FALSE),""))),IF(_xlpm.v="да",30,IF(ISNUMBER(_xlpm.v),_xlpm.v,0))))</f>
        <v>0</v>
      </c>
      <c r="CH93" t="str">
        <f t="shared" si="147"/>
        <v/>
      </c>
      <c r="CI93" t="str">
        <f>_xlfn.LET(_xlpm.k,IFERROR(_xlfn.XLOOKUP(AX93,Коды_код,Коды_утечка)&amp;"",""),IF(_xlpm.k="","дифавтомат",_xlpm.k))</f>
        <v>дифавтомат</v>
      </c>
      <c r="CJ93">
        <f t="shared" si="148"/>
        <v>0</v>
      </c>
      <c r="CK93">
        <f t="shared" si="149"/>
        <v>0</v>
      </c>
      <c r="CL93">
        <f>IF(B93="",0,IFERROR(--VLOOKUP(B93,УГО_спр,4,FALSE),IFERROR(--VLOOKUP(AX93,УГО_спр,4,FALSE),IFERROR(--VLOOKUP(LEFT(AX93,2),УГО_спр,4,FALSE),0))))</f>
        <v>0</v>
      </c>
      <c r="CM93" t="str">
        <f>IF(B93="","",IFERROR(_xlfn.XLOOKUP(AX93,Коды_код,Коды_апп)&amp;"",""))</f>
        <v/>
      </c>
      <c r="CN93" t="str">
        <f t="shared" si="150"/>
        <v/>
      </c>
      <c r="CO93" t="str" cm="1">
        <f t="array" ref="CO93">IF(TRIM(CN93&amp;"")="","",IFERROR(TRIM(INDEX(_xlfn.TEXTSPLIT(CN93&amp;";;;",";"),1)),""))</f>
        <v/>
      </c>
      <c r="CP93" t="str" cm="1">
        <f t="array" ref="CP93">IF(TRIM(CN93&amp;"")="","",IFERROR(TRIM(INDEX(_xlfn.TEXTSPLIT(CN93&amp;";;;",";"),2)),""))</f>
        <v/>
      </c>
      <c r="CQ93" t="str" cm="1">
        <f t="array" ref="CQ93">IF(TRIM(CN93&amp;"")="","",IFERROR(TRIM(INDEX(_xlfn.TEXTSPLIT(CN93&amp;";;;",";"),3)),""))</f>
        <v/>
      </c>
      <c r="CR93">
        <f t="shared" si="151"/>
        <v>0</v>
      </c>
      <c r="CS93" t="str">
        <f>IF(B93="","",_xlfn.LET(_xlpm.t,LOWER(AV93&amp;""),IF(ISNUMBER(SEARCH("dim",_xlpm.t)),"DIM",IF(ISNUMBER(SEARCH("dali",_xlpm.t)),"DALI",IF(OR(ISNUMBER(SEARCH("relay",_xlpm.t)),ISNUMBER(SEARCH("реле",_xlpm.t))),"Relay",IF(ISNUMBER(SEARCH("кнопк",_xlpm.t)),"",IFERROR(_xlfn.XLOOKUP(AX93,Коды_код,Коды_упр)&amp;"","")))))))</f>
        <v/>
      </c>
      <c r="CT93" t="str">
        <f t="shared" si="152"/>
        <v/>
      </c>
      <c r="CU93">
        <f>IF(B93="","",_xlfn.LET(_xlpm.ig,N(P93)+IF(AF93="вручную",0,N(CB93)),_xlpm.n0,IFERROR(VLOOKUP(_xlpm.ig,Автомат_номиналы,2,TRUE),0),_xlpm.mn,MAX(CL93,IF(AF93="вручную",0,N(CE93))),MAX(_xlpm.n0,_xlpm.mn,IF(CR93=1,Мин_автомат_БП,0))))</f>
        <v>6</v>
      </c>
      <c r="CV93">
        <f t="shared" si="153"/>
        <v>1</v>
      </c>
      <c r="CW93" t="str">
        <f t="shared" si="154"/>
        <v>1P</v>
      </c>
      <c r="CX93" t="str">
        <f>_xlfn.LET(_xlpm.cc,UPPER(TRIM(IFERROR(_xlfn.XLOOKUP(AX93,Коды_код,Коды_хар)&amp;"",""))),IF(OR(_xlpm.cc="B",_xlpm.cc="В"),"B",IF(_xlpm.cc="D","D","С")))</f>
        <v>С</v>
      </c>
      <c r="CY93" t="str">
        <f t="shared" si="155"/>
        <v>1P С6А</v>
      </c>
      <c r="CZ93">
        <f t="shared" si="156"/>
        <v>10</v>
      </c>
      <c r="DA93" t="str">
        <f t="shared" si="157"/>
        <v>1P С10А</v>
      </c>
      <c r="DB93" cm="1">
        <f t="array" ref="DB93">IF(DA93="","",_xlfn.LET(_xlpm.t,SUBSTITUTE(SUBSTITUTE(SUBSTITUTE(UPPER(DA93),"С","C"),"А","A"),"В","B"),_xlpm.tk,_xlfn.TEXTSPLIT(_xlpm.t,"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3" t="str">
        <f t="shared" si="158"/>
        <v>ok</v>
      </c>
      <c r="DD93">
        <f t="shared" si="159"/>
        <v>10</v>
      </c>
      <c r="DE93" t="str">
        <f t="shared" si="160"/>
        <v>1P С10А</v>
      </c>
      <c r="DF93">
        <f t="shared" si="161"/>
        <v>0</v>
      </c>
      <c r="DG93">
        <f t="shared" si="162"/>
        <v>0</v>
      </c>
      <c r="DH93">
        <f t="shared" si="163"/>
        <v>0</v>
      </c>
      <c r="DI93">
        <f t="shared" si="164"/>
        <v>0.81731147482156374</v>
      </c>
      <c r="DJ93">
        <f t="shared" si="165"/>
        <v>1</v>
      </c>
      <c r="DK93">
        <f>IF(ISNUMBER(AL93),AL93,К_прокл)</f>
        <v>1</v>
      </c>
      <c r="DL93">
        <f t="shared" si="166"/>
        <v>2</v>
      </c>
      <c r="DM93">
        <f>IFERROR(N(VLOOKUP(BT93,Кабель_обозначение,3,FALSE)),1)</f>
        <v>1</v>
      </c>
      <c r="DN93">
        <f>IFERROR(N(_xlfn.XLOOKUP(A93,Щиты[Щит],Щиты[ΔU до шин, %])),0)</f>
        <v>0.74</v>
      </c>
      <c r="DO93" t="str">
        <f>IFERROR(_xlfn.XLOOKUP(A93,Щиты[Щит],Щиты[Zпетли на шинах, Ом]),"")</f>
        <v/>
      </c>
      <c r="DP93">
        <f>IFERROR(N(_xlfn.XLOOKUP(A93,Щиты[Щит],Щиты[ΔU до шин (подбор), %])),0)</f>
        <v>1.96</v>
      </c>
      <c r="DQ93" t="str">
        <f>IFERROR(_xlfn.XLOOKUP(A93,Щиты[Щит],Щиты[Zпетли на шинах (подбор), Ом]),"")</f>
        <v/>
      </c>
      <c r="DR93" t="str">
        <f t="shared" si="167"/>
        <v/>
      </c>
      <c r="DS93">
        <f t="shared" si="168"/>
        <v>20</v>
      </c>
      <c r="DT93">
        <f t="shared" si="169"/>
        <v>2</v>
      </c>
      <c r="DU93">
        <f t="shared" si="170"/>
        <v>0.6</v>
      </c>
      <c r="DV93" s="6">
        <f>IF(B93="","",IF(IFERROR(VLOOKUP(AX93,УГО_спр,2,FALSE),"")="Светильник",3,4)+IF(Методика="нормы 2026",MIN(0.5,MAX(0,N(Q93)-100)*0.005),0))</f>
        <v>4</v>
      </c>
      <c r="DW93" cm="1">
        <f t="array" ref="DW93">IF(OR(B93="",BT93="",DM93&lt;&gt;1),"",_xlfn.LET(_xlpm.sz,Iдоп_S,_xlpm.t_,CHOOSE(DL93,Iдоп_1ж,Iдоп_2ж,Iдоп_3ж)*DJ93*DK93,_xlpm.inn,N(DD93),_xlpm.smin,MAX(1.5,BW93),_xlpm.L_,N(Q93)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93)*(_xlpm.rho*_xlpm.L_/_xlpm.sz*N(BY93)+_xlpm.xx*_xlpm.L_*N(DU93)/1000)*N(P93)/((Uн_лин/SQRT(3))*1000)*100,999),_xlpm.kz,IF(OR(DG93=1,NOT(ISNUMBER(DQ93)),_xlpm.L_=0,_xlpm.inn=0),1,IFERROR(--(c_min*(Uн_лин*1000/SQRT(3))/(DQ93+2*ρкз_Cu*_xlpm.L_/_xlpm.sz)&gt;=GY93*_xlpm.inn),0)),_xlpm.ok,IFERROR((_xlpm.sz&gt;=_xlpm.smin)*(_xlpm.t_&gt;=_xlpm.inn)*IF(_xlpm.L_&gt;0,(_xlpm.du_+DP93&lt;=DV93+0.00001),1)*_xlpm.kz,0),_xlpm.r_,_xlfn._xlws.FILTER(_xlpm.sz,_xlpm.ok,"не подобрано"),INDEX(_xlpm.r_,1)))</f>
        <v>1.5</v>
      </c>
      <c r="DX93">
        <f t="shared" si="171"/>
        <v>1.5</v>
      </c>
      <c r="DY93" cm="1">
        <f t="array" ref="DY93">IF(OR(B93="",BT93="",DM93&lt;&gt;1),"",_xlfn.LET(_xlpm.sz,Iдоп_S,_xlpm.t_,CHOOSE(DL93,Iдоп_1ж,Iдоп_2ж,Iдоп_3ж)*DJ93*DK93,_xlpm.ok,IFERROR((_xlpm.sz&gt;=MAX(1.5,BW93))*(_xlpm.t_&gt;=N(DD93)),0),_xlpm.r_,_xlfn._xlws.FILTER(_xlpm.sz,_xlpm.ok,""),INDEX(_xlpm.r_,1)))</f>
        <v>1.5</v>
      </c>
      <c r="DZ93" s="6" cm="1">
        <f t="array" ref="DZ93">IFERROR(ROUNDUP(N(DT93)*(_xlfn.XLOOKUP(DY93,INDEX(Кабель_сопротивление,0,1),INDEX(Кабель_сопротивление,0,3))*N(Q93)/DY93*N(BY93)+_xlfn.XLOOKUP(DY93,INDEX(Кабель_сопротивление,0,1),INDEX(Кабель_сопротивление,0,2))*N(Q93)*N(DU93)/1000)*N(P93)/((Uн_лин/SQRT(3))*1000)*100,2),"")</f>
        <v>0.19</v>
      </c>
      <c r="EA93">
        <f>IFERROR(2*ρкз_Cu*N(Q93)/DY93,"")</f>
        <v>0.77146666666666663</v>
      </c>
      <c r="EB93">
        <f>IFERROR(VLOOKUP(DX93,Кабель_сопротивление,3,FALSE),"")</f>
        <v>2.2499999999999999E-2</v>
      </c>
      <c r="EC93">
        <f>IFERROR(VLOOKUP(DX93,Кабель_сопротивление,2,FALSE),"")</f>
        <v>0.11</v>
      </c>
      <c r="ED93">
        <f t="shared" si="172"/>
        <v>11</v>
      </c>
      <c r="EE93">
        <f t="shared" si="173"/>
        <v>0</v>
      </c>
      <c r="EF93">
        <f t="shared" si="174"/>
        <v>0.4339139312286675</v>
      </c>
      <c r="EG93" s="6">
        <f>IFERROR(ROUNDUP(EF93/((Uн_лин/SQRT(3))*1000)*100,2),"")</f>
        <v>0.19</v>
      </c>
      <c r="EH93" t="str">
        <f>IFERROR(VLOOKUP(BT93,Кабель_обозначение,2,FALSE),"")</f>
        <v>ВВГнг(А)-LS</v>
      </c>
      <c r="EI93" t="str">
        <f t="shared" si="175"/>
        <v>ВВГнг(А)-LS (3х1,5)</v>
      </c>
      <c r="EJ93" t="str">
        <f t="shared" si="176"/>
        <v>ВВГнг(А)-LS (3х1,5)
L=22-0,19%</v>
      </c>
      <c r="EK93">
        <f>IFERROR(2*ρкз_Cu*Q93/DX93,"")</f>
        <v>0.77146666666666663</v>
      </c>
      <c r="EL93">
        <f t="shared" si="177"/>
        <v>0.25666666666666665</v>
      </c>
      <c r="EM93" s="6" t="str">
        <f>IFERROR(IF(OR(B93="",NOT(ISNUMBER(DX93)),N(Q93)=0),"",_xlfn.XLOOKUP(A93,Щиты[Щит],Щиты[Zпетли на шинах, Ом])+EK93),"")</f>
        <v/>
      </c>
      <c r="EN93" s="6" t="str">
        <f>IF(ISNUMBER(EM93),c_min*(Uн_лин*1000/SQRT(3))/EM93,"")</f>
        <v/>
      </c>
      <c r="EO93" s="6" t="str">
        <f>IFERROR(IF(OR(B93="",NOT(ISNUMBER(DX93))),"",1.05*(Uн_лин*1000/SQRT(3))/(_xlfn.XLOOKUP(A93,Щиты[Щит],Щиты[Zmax на шинах, Ом])+EL93)/1000),"")</f>
        <v/>
      </c>
      <c r="EP93" s="6" t="str">
        <f>IF(B93="","",IF(ISNUMBER(Y93),"Сил",IF(IFERROR(_xlfn.XLOOKUP(AX93,Коды_код,Коды_группа)&amp;"","")="","Быт",_xlfn.XLOOKUP(AX93,Коды_код,Коды_группа)&amp;"")))</f>
        <v>Сил</v>
      </c>
      <c r="EQ93" s="6" t="str">
        <f t="shared" si="178"/>
        <v>Сил</v>
      </c>
      <c r="ER93" s="6">
        <f>IF(EQ93="Щит","щит",IF(EQ93="","",IF(EQ93="Быт",IFERROR(_xlfn.XLOOKUP(A93,Щиты[Щит],Щиты[Кс быт]),1),IF(EQ93="Сил",IF(ISNUMBER(Y93),Y93,IF(Методика="нормы 2026",IFERROR(_xlfn.XLOOKUP(A93,Щиты[Щит],Щиты[Кс силовых (табл. 7.5)]),1),1)),IF(OR(EQ93="Пост",EQ93="Отоп"),1,IF(EQ93="ВНГ",0.7,0))))))</f>
        <v>0.5</v>
      </c>
      <c r="ES93">
        <f t="shared" si="179"/>
        <v>1</v>
      </c>
      <c r="ET93">
        <f t="shared" si="180"/>
        <v>0.151</v>
      </c>
      <c r="EU93">
        <f t="shared" si="181"/>
        <v>0</v>
      </c>
      <c r="EV93">
        <f t="shared" si="182"/>
        <v>7.5499999999999998E-2</v>
      </c>
      <c r="EW93">
        <f t="shared" si="183"/>
        <v>0</v>
      </c>
      <c r="EX93">
        <f t="shared" si="184"/>
        <v>0</v>
      </c>
      <c r="EY93">
        <f t="shared" si="185"/>
        <v>0</v>
      </c>
      <c r="EZ93">
        <f t="shared" si="186"/>
        <v>0.151</v>
      </c>
      <c r="FA93">
        <f t="shared" si="187"/>
        <v>0.1208</v>
      </c>
      <c r="FB93">
        <f t="shared" si="188"/>
        <v>0.151</v>
      </c>
      <c r="FC93" t="str">
        <f t="shared" si="189"/>
        <v>L1</v>
      </c>
      <c r="FD93" t="str">
        <f>IF(B93="","",IF(CA93=0,IF(AW93=1,"",FF92),IF(OR(N(CV93)&gt;=3,N(BR93)&gt;=3),"L1,L2,L3",IFERROR(_xlfn.TEXTBEFORE(_xlfn.TEXTAFTER(_xlfn.XLOOKUP(A93,Щиты[Щит],Щиты[_фазы авто]),";"&amp;AW93&amp;":"),";"),"L1"))))</f>
        <v>L1</v>
      </c>
      <c r="FE93" t="str">
        <f t="shared" si="190"/>
        <v>L1</v>
      </c>
      <c r="FF93" t="str">
        <f t="shared" si="191"/>
        <v>L1</v>
      </c>
      <c r="FG93" cm="1">
        <f t="array" ref="FG93">IFERROR(IF(BX93=2,_xlfn.IFS(BR93=3,VLOOKUP(BN93,Справочная_двигатели,3,FALSE),BR93=1,VLOOKUP(BN93,Справочная_двигатели,5,TRUE)),0),0)</f>
        <v>0</v>
      </c>
      <c r="FH93">
        <f>IFERROR(IF(BX93=3,VLOOKUP(BN93,Справочная_ЛЭД,2,TRUE),0),0)</f>
        <v>0</v>
      </c>
      <c r="FI93" s="6">
        <f t="shared" si="192"/>
        <v>0</v>
      </c>
      <c r="FJ93" t="str" cm="1">
        <f t="array" ref="FJ93">IF(B93="","",IFERROR(INDEX({"I особая","I","II","III"},MATCH(TRIM(AC93&amp;""),{"I особая","I","II","III"},0)),"III"))</f>
        <v>II</v>
      </c>
      <c r="FK93" t="str">
        <f>IF(B93="","",IF(TRIM(AD93&amp;"")&lt;&gt;"",IF(LOWER(TRIM(AD93&amp;""))="да","да","нет"),IF(IFERROR(_xlfn.XLOOKUP(AX93,Коды_код,Коды_пожарная),"")="да","да","нет")))</f>
        <v>нет</v>
      </c>
      <c r="FL93" t="str">
        <f t="shared" si="193"/>
        <v/>
      </c>
      <c r="FM93" t="str">
        <f t="shared" si="194"/>
        <v>основная</v>
      </c>
      <c r="FN93">
        <f t="shared" si="195"/>
        <v>1</v>
      </c>
      <c r="FO93" t="str" cm="1">
        <f t="array" ref="FO93">IF(B93="","",_xlfn.LET(_xlpm.t,IFERROR(_xlfn.XLOOKUP(1,(Шины[Шина]=FM93)*(((Шины[Щит]=A93)+(Шины[Щит]=""))&gt;0),Шины[Тип]),"")&amp;"",IF(_xlpm.t&lt;&gt;"",_xlpm.t,IF(ISNUMBER(SEARCH("ИБП",FM93)),"ИБП",IF(ISNUMBER(SEARCH("ДГУ",FM93)),"ДГУ","Ввод "&amp;FN93)))))</f>
        <v>Ввод 1</v>
      </c>
      <c r="FP93" t="str">
        <f t="shared" si="196"/>
        <v>Ввод 1</v>
      </c>
      <c r="FQ93" t="str">
        <f>IF(B93="","",IF(OR(FO93="ИБП",FO93="ДГУ"),"I особая",IF(FO93="Одиночная","III",_xlfn.XLOOKUP(A93,Щиты[Щит],Щиты[Категория шины «Ввод»],"III"))))</f>
        <v>II</v>
      </c>
      <c r="FR93">
        <f>IF(B93="",0,IFERROR(MATCH(FJ93,{"III","II","I","I особая"},0),1))</f>
        <v>2</v>
      </c>
      <c r="FS93">
        <f t="shared" si="197"/>
        <v>2</v>
      </c>
      <c r="FT93" t="str">
        <f>IF(B93="","",IF(FR93&gt;IFERROR(MATCH(FQ93,{"III","II","I","I особая"},0),1),"НЕ ОБЕСПЕЧЕНА","ОК"))</f>
        <v>ОК</v>
      </c>
      <c r="FU93" t="str">
        <f>IF(A93="","",_xlfn.XLOOKUP(A93,Щиты[Щит],Щиты[Путь],""))</f>
        <v>|ГРЩ-ЖД|ЩОВ-002|</v>
      </c>
      <c r="FV93" t="str">
        <f>IF(B93="","",IF(AE93&lt;&gt;"",AE93,IF(IFERROR(_xlfn.XLOOKUP(AX93,Коды_код,Коды_вид)&amp;"","")="","Прочее",_xlfn.XLOOKUP(AX93,Коды_код,Коды_вид)&amp;"")))</f>
        <v>Кондиционирование и увлажнение</v>
      </c>
      <c r="FW93">
        <f>IF(BH93="","",INT((BH93-1)/Столбцов_на_лист)+1)</f>
        <v>3</v>
      </c>
      <c r="FX93" t="str">
        <f t="shared" si="198"/>
        <v>ВВГнг(А)-LS (3х1,5) L=22-0,19%</v>
      </c>
      <c r="FY93">
        <f t="shared" si="199"/>
        <v>0.151</v>
      </c>
      <c r="FZ93">
        <f t="shared" si="200"/>
        <v>0.82000000000000006</v>
      </c>
      <c r="GA93">
        <f t="shared" si="201"/>
        <v>1</v>
      </c>
      <c r="GB93">
        <f t="shared" si="202"/>
        <v>0</v>
      </c>
      <c r="GC93">
        <f t="shared" si="203"/>
        <v>1</v>
      </c>
      <c r="GD93">
        <f>IF(BH93="","",IF(AND(CA93=1,GC93=1),COUNTIFS(A$3:A93,A93,CA$3:CA93,1,GC$3:GC93,1),IF(OR(OR(AW93=1,A93&lt;&gt;A92),AF93="вручную",GC93=0),"",IF(AW93=1,"",GE92))))</f>
        <v>5</v>
      </c>
      <c r="GE93">
        <f t="shared" si="204"/>
        <v>5</v>
      </c>
      <c r="GF93">
        <f>IF(B93="","",IFERROR(LOOKUP(INDEX(CHOOSE(DL93,Iдоп_1ж,Iдоп_2ж,Iдоп_3ж),MATCH(DX93,Iдоп_S,0))*DJ93*DK93,{6,10,16,20,25,32,40,50,63,80,100,125,160,200,250,315,400,500,630}),""))</f>
        <v>16</v>
      </c>
      <c r="GG93" t="str">
        <f t="shared" si="205"/>
        <v>QF5</v>
      </c>
      <c r="GH93" t="str">
        <f t="shared" si="206"/>
        <v>QF5</v>
      </c>
      <c r="GI93" t="str">
        <f t="shared" si="207"/>
        <v/>
      </c>
      <c r="GJ93">
        <f t="shared" si="208"/>
        <v>0</v>
      </c>
      <c r="GK93" t="str">
        <f>IF(OR(AG93="",AG93="-"),"",IFERROR(VLOOKUP(AG93,Модули_спр,2,FALSE),"R"))</f>
        <v/>
      </c>
      <c r="GL93" t="str">
        <f>IF(GK93="","",GK93&amp;"."&amp;COUNTIFS(A$3:A93,A93,GK$3:GK93,GK93))</f>
        <v/>
      </c>
      <c r="GM93" t="str">
        <f t="shared" si="209"/>
        <v/>
      </c>
      <c r="GN93" t="str">
        <f t="shared" si="210"/>
        <v/>
      </c>
      <c r="GO93" t="str">
        <f t="shared" si="211"/>
        <v/>
      </c>
      <c r="GP93" t="str">
        <f t="shared" si="212"/>
        <v/>
      </c>
      <c r="GQ93">
        <f t="shared" si="213"/>
        <v>1</v>
      </c>
      <c r="GR93" t="str">
        <f>IF(GQ93=1,"XT"&amp;COUNTIFS(A$3:A93,A93,GQ$3:GQ93,1),"")</f>
        <v>XT5</v>
      </c>
      <c r="GS93" t="str">
        <f t="shared" si="214"/>
        <v/>
      </c>
      <c r="GT93" t="str">
        <f t="shared" si="215"/>
        <v>QF5</v>
      </c>
      <c r="GU93" t="str">
        <f t="shared" si="216"/>
        <v/>
      </c>
      <c r="GV93" t="str">
        <f t="shared" si="217"/>
        <v>ok</v>
      </c>
      <c r="GW93" t="str">
        <f>IF(OR(GO93="",GM93=""),"",IF(GO93&gt;IFERROR(VLOOKUP(GN93,Модули_спр,3,FALSE),99),"ЛИШНИЙ КАНАЛ",IF(AND(AH93&lt;&gt;"=",COUNTIFS(Линии[_модуль гр.],GM93,Линии[Канал (итог)],GO93,Линии[Канал],"&lt;&gt;=",Линии[Щит],A93)&gt;1),"ДУБЛЬ КАНАЛА","")))</f>
        <v/>
      </c>
      <c r="GX93" s="6" t="str">
        <f t="shared" si="218"/>
        <v/>
      </c>
      <c r="GY93">
        <f t="shared" si="219"/>
        <v>10</v>
      </c>
      <c r="GZ93" t="str">
        <f t="shared" si="220"/>
        <v/>
      </c>
      <c r="HA93" t="str">
        <f>IF(AND(B93="",GT93=""),"",_xlfn.TEXTJOIN("; ",TRUE,IF(AND(B93&lt;&gt;"",FE93=""),"нет фазы",""),IF(AND(B93&lt;&gt;"",N(FY93)=0,EQ93&lt;&gt;"Нет"),"нет мощности",""),IF(AND(GS93&lt;&gt;"",COUNTIFS(Линии[Щит],A93,Линии[Клемма (итог)],GS93)&gt;1),"дубль клеммы "&amp;GS93,""),IF(AND(GV93&lt;&gt;"",GV93&lt;&gt;"ok"),GV93,""),IF(GW93&lt;&gt;"",GW93,""),IF(AND(N(BV93)&gt;=4,N(BR93)=1),BV93&amp;" жил на 1 фазе",""),IF(AND(AX93="R",CA93=1,OR(N(CK93)=0,N(CK93)&gt;30)),"розетка без дифзащиты до 30 мА",""),IFERROR(IF(AND(ISNUMBER(R93),R93&gt;DV93),"потери "&amp;FIXED(R93,1)&amp;" % &gt; "&amp;DV93&amp;" %",""),""),IFERROR(IF(LEFT(GZ93,4)="мало","Iкз мало — отключение &gt; 0,4 с",""),""),IF(AND(B93&lt;&gt;"",BH93=""),"не на схеме",""),IF(AND(CA93=0,B93&lt;&gt;"",FE93&lt;&gt;"",IF(AW93=1,"",FF92)&lt;&gt;"",FE93&lt;&gt;IF(AW93=1,"",FF92)),"фаза не как у автомата группы ("&amp;IF(AW93=1,"",FF92)&amp;")","")))</f>
        <v/>
      </c>
      <c r="HB93" s="6">
        <f>IF(OR(CA93=0,DA93=""),"",_xlfn.LET(_xlpm.t,IFERROR(_xlfn.XLOOKUP(DA93,Каталог!$U$4:$U$500,Каталог!$G$4:$G$500),""),_xlpm.k,SEARCH("кА",_xlpm.t),IFERROR(--TRIM(RIGHT(SUBSTITUTE(MID(_xlpm.t,MAX(1,_xlpm.k-4),_xlpm.k-MAX(1,_xlpm.k-4))," ",REPT(" ",9)),5)),"")))</f>
        <v>6</v>
      </c>
      <c r="HC93" t="str">
        <f>IF(OR(HB93="",CA93=0),"",IF(_xlfn.XLOOKUP(A93,Щиты[Щит],Щиты[Iкз max на шинах, кА],"")="","",IF(HB93&lt;_xlfn.XLOOKUP(A93,Щиты[Щит],Щиты[Iкз max на шинах, кА]),"Icu "&amp;HB93&amp;" кА &lt; Iкз max","ok")))</f>
        <v/>
      </c>
      <c r="HD93" t="str">
        <f t="shared" si="221"/>
        <v/>
      </c>
      <c r="HE93" t="str">
        <f t="shared" si="222"/>
        <v>QF5</v>
      </c>
      <c r="HF93" t="str">
        <f t="shared" si="223"/>
        <v>QF5|кабель ВВГнг(А)-LS (3х1,5) → Внутренний блок кондиционирования Подвальный этаж Пом. №005Т</v>
      </c>
      <c r="HG93" t="str" cm="1">
        <f t="array" ref="HG93">IF(HF93="","",_xlfn.LET(_xlpm.nd,_xlfn.TEXTSPLIT(HF93,"|"),IF(COLUMNS(_xlpm.nd)&gt;1,A93&amp;"¦"&amp;INDEX(_xlpm.nd,1)&amp;"¦"&amp;INDEX(_xlpm.nd,2),"")))</f>
        <v>ЩОВ-002¦QF5¦кабель ВВГнг(А)-LS (3х1,5) → Внутренний блок кондиционирования Подвальный этаж Пом. №005Т</v>
      </c>
      <c r="HH93" t="str">
        <f t="shared" si="224"/>
        <v>K.0.002A¦Внутренний блок кондиционирования Подвальный этаж Пом. №005Т</v>
      </c>
      <c r="HI93" t="str" cm="1">
        <f t="array" ref="HI93">IF(HF93="","",_xlfn.LET(_xlpm.nd,_xlfn.TEXTSPLIT(HF93,"|"),IF(COLUMNS(_xlpm.nd)&gt;2,A93&amp;"¦"&amp;INDEX(_xlpm.nd,2)&amp;"¦"&amp;INDEX(_xlpm.nd,3),"")))</f>
        <v/>
      </c>
      <c r="HJ93" t="str">
        <f t="shared" si="225"/>
        <v/>
      </c>
      <c r="HK93" t="str" cm="1">
        <f t="array" ref="HK93">IF(HF93="","",_xlfn.LET(_xlpm.nd,_xlfn.TEXTSPLIT(HF93,"|"),IF(COLUMNS(_xlpm.nd)&gt;3,A93&amp;"¦"&amp;INDEX(_xlpm.nd,3)&amp;"¦"&amp;INDEX(_xlpm.nd,4),"")))</f>
        <v/>
      </c>
      <c r="HL93" t="str">
        <f t="shared" si="226"/>
        <v/>
      </c>
      <c r="HM93" t="str" cm="1">
        <f t="array" ref="HM93">IF(HF93="","",_xlfn.LET(_xlpm.nd,_xlfn.TEXTSPLIT(HF93,"|"),IF(COLUMNS(_xlpm.nd)&gt;4,A93&amp;"¦"&amp;INDEX(_xlpm.nd,4)&amp;"¦"&amp;INDEX(_xlpm.nd,5),"")))</f>
        <v/>
      </c>
      <c r="HN93" t="str">
        <f t="shared" si="227"/>
        <v/>
      </c>
      <c r="HO93" t="str" cm="1">
        <f t="array" ref="HO93">IF(HF93="","",_xlfn.LET(_xlpm.nd,_xlfn.TEXTSPLIT(HF93,"|"),IF(COLUMNS(_xlpm.nd)&gt;5,A93&amp;"¦"&amp;INDEX(_xlpm.nd,5)&amp;"¦"&amp;INDEX(_xlpm.nd,6),"")))</f>
        <v/>
      </c>
      <c r="HP93" t="str">
        <f t="shared" si="228"/>
        <v/>
      </c>
      <c r="HQ93" t="str" cm="1">
        <f t="array" ref="HQ93">IF(HF93="","",_xlfn.LET(_xlpm.nd,_xlfn.TEXTSPLIT(HF93,"|"),IF(COLUMNS(_xlpm.nd)&gt;6,A93&amp;"¦"&amp;INDEX(_xlpm.nd,6)&amp;"¦"&amp;INDEX(_xlpm.nd,7),"")))</f>
        <v/>
      </c>
      <c r="HR93" t="str">
        <f t="shared" si="229"/>
        <v/>
      </c>
      <c r="HS93" t="str">
        <f t="shared" si="230"/>
        <v/>
      </c>
      <c r="HT93" t="str">
        <f t="shared" si="231"/>
        <v>QF5</v>
      </c>
      <c r="HU93">
        <f t="shared" si="232"/>
        <v>0</v>
      </c>
      <c r="HV93">
        <f t="shared" si="233"/>
        <v>0</v>
      </c>
      <c r="HW93" t="str">
        <f t="shared" si="234"/>
        <v/>
      </c>
      <c r="HX93" t="str">
        <f t="shared" si="235"/>
        <v/>
      </c>
      <c r="HY93" t="str">
        <f t="shared" si="236"/>
        <v/>
      </c>
      <c r="HZ93" t="str">
        <f t="shared" si="237"/>
        <v/>
      </c>
      <c r="IA93">
        <f>IF(B93="","",IFERROR(VLOOKUP(B93,УГО_спр,2,FALSE),IFERROR(VLOOKUP(AX93,УГО_спр,2,FALSE),IFERROR(VLOOKUP(LEFT(AX93,2),УГО_спр,2,FALSE),""))))</f>
        <v>0</v>
      </c>
      <c r="IB93" t="str">
        <f>IF(B93="","",IF(OR(IA93="",IA93=0),"BOX",IFERROR(IF(VLOOKUP(IA93,УГО_блоки,3,FALSE)&amp;""&lt;&gt;"",VLOOKUP(IA93,УГО_блоки,3,FALSE),VLOOKUP(IA93,УГО_блоки,2,FALSE)),IA93)))</f>
        <v>BOX</v>
      </c>
      <c r="IC93">
        <f t="shared" si="238"/>
        <v>1</v>
      </c>
      <c r="ID93" t="str">
        <f>IF(DA93="","",IF(COUNTIF(DA$3:DA93,DA93)=1,MAX(ID$2:ID92)+1,""))</f>
        <v/>
      </c>
      <c r="IE93" t="str">
        <f>IF(CO93="","",IF(COUNTIF(CO$3:CO93,CO93)+COUNTIF(CP$2:CP92,CO93)+COUNTIF(CQ$2:CQ92,CO93)=1,MAX(IE$2:IG92)+1,""))</f>
        <v/>
      </c>
      <c r="IF93" t="str">
        <f>IF(CP93="","",IF(COUNTIF(CO$3:CO93,CP93)+COUNTIF(CP$3:CP93,CP93)+COUNTIF(CQ$2:CQ92,CP93)=1,MAX(IE$2:IG92,IE93)+1,""))</f>
        <v/>
      </c>
      <c r="IG93" t="str">
        <f>IF(CQ93="","",IF(COUNTIF(CO$3:CO93,CQ93)+COUNTIF(CP$3:CP93,CQ93)+COUNTIF(CQ$3:CQ93,CQ93)=1,MAX(IE$2:IG92,IE93,IF93)+1,""))</f>
        <v/>
      </c>
      <c r="IH93" t="str">
        <f t="shared" si="239"/>
        <v>3х1,5</v>
      </c>
      <c r="II93" t="str">
        <f>IF(IH93="","",IF(COUNTIF(IH$3:IH93,IH93)=1,MAX(II$2:II92)+1,""))</f>
        <v/>
      </c>
      <c r="IJ93" t="str">
        <f>IF(GL93="","",COUNTIF(GL$3:GL93,"?*"))</f>
        <v/>
      </c>
      <c r="IK93" t="str">
        <f>IF(OR(GL93="",GN93=""),"",IF(COUNTIFS(GL$3:GL93,"?*",GN$3:GN93,GN93)=1,MAX(IK$2:IK92)+1,""))</f>
        <v/>
      </c>
      <c r="IL93">
        <f t="shared" si="240"/>
        <v>0</v>
      </c>
      <c r="IM93">
        <f>IF(B93="","",COUNTIF(B$3:B93,"?*"))</f>
        <v>91</v>
      </c>
      <c r="IN93">
        <f>IF(GQ93&lt;&gt;1,0,_xlfn.LET(_xlpm.k,MAX(IFERROR(--VLOOKUP(B93,УГО_спр,5,FALSE),0),IFERROR(--VLOOKUP(AX93,УГО_спр,5,FALSE),0),IFERROR(--VLOOKUP(LEFT(AX93,2),УГО_спр,5,FALSE),0)),IF(_xlpm.k&gt;0,_xlpm.k,IF(IFERROR(--LEFT(SUBSTITUTE(IH93,"x","х"),FIND("х",SUBSTITUTE(IH93,"x","х"))-1),3)&gt;3,Каталог!$S$9,1))))</f>
        <v>1</v>
      </c>
      <c r="IO93">
        <f t="shared" si="241"/>
        <v>0</v>
      </c>
      <c r="IP93" t="str">
        <f t="shared" si="242"/>
        <v>авто</v>
      </c>
      <c r="IQ93" t="str">
        <f t="shared" si="243"/>
        <v/>
      </c>
      <c r="IR93">
        <f t="shared" si="244"/>
        <v>0</v>
      </c>
      <c r="IS93">
        <f t="shared" si="245"/>
        <v>1</v>
      </c>
    </row>
    <row r="94" spans="1:253" x14ac:dyDescent="0.3">
      <c r="A94" t="s">
        <v>751</v>
      </c>
      <c r="B94" t="s">
        <v>1365</v>
      </c>
      <c r="C94" t="s">
        <v>1623</v>
      </c>
      <c r="D94">
        <v>1</v>
      </c>
      <c r="E94">
        <v>0.111</v>
      </c>
      <c r="G94">
        <v>10</v>
      </c>
      <c r="H94" t="str">
        <f>Линии[[#This Row],[_авто утечка]]</f>
        <v/>
      </c>
      <c r="I94" t="str">
        <f>Линии[[#This Row],[_авто управление]]</f>
        <v/>
      </c>
      <c r="J94" t="str">
        <f>Линии[[#This Row],[_авто аппараты]]</f>
        <v/>
      </c>
      <c r="K94">
        <v>1.5</v>
      </c>
      <c r="L94">
        <v>24</v>
      </c>
      <c r="M94">
        <v>1</v>
      </c>
      <c r="N94" t="s">
        <v>486</v>
      </c>
      <c r="O94" t="str">
        <f t="shared" si="123"/>
        <v/>
      </c>
      <c r="P94" s="6" cm="1">
        <f t="array" ref="P94">IF(B94="","",IF(BC94&lt;&gt;"",IFERROR(_xlfn.XLOOKUP(BC94,Щиты[Щит],Щиты[Iр, А]),""),IF(BK94=1,IFERROR(_xlfn.XLOOKUP(A94,Щиты[Щит],Щиты[Iр, А]),""),IFERROR(_xlfn.IFS(BR94=1,BN94/((Uн_лин/SQRT(3))*BY94),BR94=3,BN94/(SQRT(3)*Uн_лин*BY94)),""))))</f>
        <v>0.60080512387545415</v>
      </c>
      <c r="Q94" s="7">
        <f>IF(B94="","",IFERROR(IF(VLOOKUP(AX94,Потребители_обозначение,4,FALSE)=1,VLOOKUP(AX94,Потребители_обозначение,3,FALSE)*(D94*2-1)+DS94+VLOOKUP(AZ94,Этаж_обозначение,3,FALSE)+VLOOKUP(AZ94,Этаж_обозначение,4,FALSE),VLOOKUP(AX94,Потребители_обозначение,3,FALSE)*(D94*2-1)+DS94),DS94))</f>
        <v>26</v>
      </c>
      <c r="R94" s="6">
        <f t="shared" si="124"/>
        <v>0.91</v>
      </c>
      <c r="S94" t="str">
        <f t="shared" si="125"/>
        <v>ВВГнг(А)-LS (3х1,5)</v>
      </c>
      <c r="T94" t="str">
        <f>IF(BH94="","",IF(BI94="вводной узел","узел ","")&amp;"л."&amp;(INT((BH94-1)/Столбцов_на_лист)+1)&amp;" / "&amp;(MOD(BH94-1,Столбцов_на_лист)+1))</f>
        <v>л.3 / 6</v>
      </c>
      <c r="V94">
        <v>1</v>
      </c>
      <c r="W94">
        <v>230</v>
      </c>
      <c r="X94" t="s">
        <v>600</v>
      </c>
      <c r="Y94">
        <v>0.5</v>
      </c>
      <c r="AC94" t="s">
        <v>815</v>
      </c>
      <c r="AE94" t="s">
        <v>578</v>
      </c>
      <c r="AI94">
        <v>40</v>
      </c>
      <c r="AJ94" t="s">
        <v>11</v>
      </c>
      <c r="AK94">
        <v>3</v>
      </c>
      <c r="AM94">
        <v>11</v>
      </c>
      <c r="AN94">
        <v>15</v>
      </c>
      <c r="AP94">
        <v>1</v>
      </c>
      <c r="AW94" cm="1">
        <f t="array" ref="AW94">ROW()-ROW(Линии[#Headers])</f>
        <v>92</v>
      </c>
      <c r="AX94" s="6" t="str">
        <f t="shared" si="126"/>
        <v>K</v>
      </c>
      <c r="AY94" t="str">
        <f t="shared" si="127"/>
        <v>0.006A</v>
      </c>
      <c r="AZ94" t="str">
        <f t="shared" si="128"/>
        <v>0</v>
      </c>
      <c r="BA94" t="str">
        <f t="shared" si="129"/>
        <v>006A</v>
      </c>
      <c r="BB94" t="str">
        <f t="shared" si="130"/>
        <v>006A</v>
      </c>
      <c r="BC94" t="str">
        <f>IF(U94&lt;&gt;"",U94,IF(AND(B94&lt;&gt;"",B94&lt;&gt;A94,ISNUMBER(_xlfn.XMATCH(B94,Щиты[Щит]))),B94,""))</f>
        <v/>
      </c>
      <c r="BD94" t="str" cm="1">
        <f t="array" ref="BD94">IF(B94="","",IF(BC94&lt;&gt;"","Щит "&amp;BC94,_xlfn.LET(_xlpm.nm,IFERROR(_xlfn.XLOOKUP(AX94,Коды_код,Коды_имя)&amp;"",""),_xlpm.md,IFERROR(N(_xlfn.XLOOKUP(AX94,Коды_код,Коды_режим)),1),_xlpm.ex,IF(Имя_режим="по экспликации",IFERROR(_xlfn.XLOOKUP(AZ94&amp;"|"&amp;BB94,Экспликация[Этаж]&amp;"|"&amp;Экспликация[Помещение],Экспликация[Название])&amp;"",""),""),_xlpm.rm,IF(BB94="","",IF(_xlpm.ex&lt;&gt;"",". "&amp;_xlpm.ex&amp;IF(Имя_пом="нет"," ("&amp;BB94&amp;")"," (пом. "&amp;BB94&amp;")"),IF(Имя_пом="нет"," ",", пом. ")&amp;BB94)),IF(_xlpm.nm="","",IF(_xlpm.md=2,_xlpm.nm&amp;" шлейф "&amp;AZ94,_xlpm.nm&amp;_xlpm.rm)))))</f>
        <v>Внутренний блок кондиционирования, пом. 006A</v>
      </c>
      <c r="BE94" t="str">
        <f t="shared" si="131"/>
        <v>Внутренний блок кондиционирования Подвальный этаж Пом. №005Т</v>
      </c>
      <c r="BF94">
        <f>IFERROR(_xlfn.XMATCH(A94,Щиты[Щит]),0)</f>
        <v>5</v>
      </c>
      <c r="BG94">
        <f>_xlfn.LET(_xlpm.k,IFERROR(_xlfn.XLOOKUP(A94,Щиты[Щит],Щиты[Листов под вводной узел]),""),IF(_xlpm.k="",1,N(_xlpm.k))*Столбцов_на_лист)</f>
        <v>34</v>
      </c>
      <c r="BH94">
        <f t="shared" si="132"/>
        <v>40</v>
      </c>
      <c r="BI94" t="str">
        <f t="shared" si="133"/>
        <v>линии</v>
      </c>
      <c r="BJ94" s="6">
        <f>IFERROR(N(_xlfn.XLOOKUP(AX94,Коды_код,Коды_квт)),0)</f>
        <v>0</v>
      </c>
      <c r="BK94">
        <f t="shared" si="134"/>
        <v>0</v>
      </c>
      <c r="BL94" t="str">
        <f>IF(B94="","",IF(BC94&lt;&gt;"",IFERROR(_xlfn.XLOOKUP(BC94,Щиты[Щит],Щиты[Руст, кВт]),0),IF(BK94=1,IFERROR(_xlfn.XLOOKUP(A94,Щиты[Щит],Щиты[Руст, кВт]),0),IF(BJ94&gt;0,ROUND(BJ94*MAX(1,N(D94)),3),""))))</f>
        <v/>
      </c>
      <c r="BM94">
        <f t="shared" si="135"/>
        <v>0.111</v>
      </c>
      <c r="BN94" s="6">
        <f>IF(B94="","",IF(BC94&lt;&gt;"",IFERROR(_xlfn.XLOOKUP(BC94,Щиты[Щит],Щиты[Руст, кВт]),0),N(BM94)))</f>
        <v>0.111</v>
      </c>
      <c r="BO94" t="str">
        <f>IF(B94="","",IFERROR(IF(VLOOKUP(AX94,Потребители_обозначение,8,FALSE)=0,"",VLOOKUP(AX94,Потребители_обозначение,8,FALSE)),""))</f>
        <v/>
      </c>
      <c r="BP94">
        <f t="shared" si="136"/>
        <v>230</v>
      </c>
      <c r="BQ94">
        <f>IF(B94="","",IF(BC94&lt;&gt;"",3,IFERROR(IF(N(VLOOKUP(AX94,Потребители_обозначение,9,FALSE))=0,1,VLOOKUP(AX94,Потребители_обозначение,9,FALSE)),1)))</f>
        <v>1</v>
      </c>
      <c r="BR94">
        <f t="shared" si="137"/>
        <v>1</v>
      </c>
      <c r="BS94" t="str">
        <f>IF(B94="","",_xlfn.LET(_xlpm.bc,IFERROR(IF(VLOOKUP(AX94,Потребители_обозначение,6,FALSE)=0,"",VLOOKUP(AX94,Потребители_обозначение,6,FALSE)&amp;""),""),IF(AND(FK94="да",OR(_xlpm.bc="",_xlpm.bc="мс")),Марка_пож,IF(AND(_xlpm.bc="",BC94&lt;&gt;""),"мс",_xlpm.bc))))</f>
        <v/>
      </c>
      <c r="BT94" t="str">
        <f t="shared" si="138"/>
        <v>мс</v>
      </c>
      <c r="BU94">
        <f>IF(B94="","",_xlfn.LET(_xlpm.cc,IFERROR(N(VLOOKUP(AX94,Потребители_обозначение,7,FALSE)),0),IF(_xlpm.cc&gt;0,_xlpm.cc,IF(BT94="","",IF(N(BR94)=3,5,3)))))</f>
        <v>3</v>
      </c>
      <c r="BV94">
        <f t="shared" si="139"/>
        <v>3</v>
      </c>
      <c r="BW94">
        <f>IFERROR(N(VLOOKUP(AX94,Потребители_обозначение,10,FALSE)),0)</f>
        <v>0</v>
      </c>
      <c r="BX94">
        <f>IFERROR(VLOOKUP(AX94,Потребители_обозначение,5,FALSE),0)</f>
        <v>1</v>
      </c>
      <c r="BY94" s="6" cm="1">
        <f t="array" ref="BY94">IF(B94="","",IF(BC94&lt;&gt;"",IFERROR(_xlfn.XLOOKUP(BC94,Щиты[Щит],Щиты[cos φ]),0.95),IF(BK94=1,IFERROR(_xlfn.XLOOKUP(A94,Щиты[Щит],Щиты[cos φ]),0.95),IF(ISNUMBER(Z94),Z94,IFERROR(IF(BX94=2,_xlfn.IFS(BR94=3,VLOOKUP(BN94,Справочная_двигатели,8,FALSE),BR94=1,VLOOKUP(BN94,Справочная_двигатели,10,TRUE)),IF(AND(Методика="нормы 2026",EQ94="Сил"),0.8,0.95)),0.95)))))</f>
        <v>0.8</v>
      </c>
      <c r="BZ94">
        <f t="shared" si="140"/>
        <v>0</v>
      </c>
      <c r="CA94">
        <f t="shared" si="141"/>
        <v>1</v>
      </c>
      <c r="CB94">
        <f t="shared" si="142"/>
        <v>0</v>
      </c>
      <c r="CC94">
        <f t="shared" si="143"/>
        <v>0</v>
      </c>
      <c r="CD94">
        <f t="shared" si="144"/>
        <v>0</v>
      </c>
      <c r="CE94">
        <f t="shared" si="145"/>
        <v>0</v>
      </c>
      <c r="CF94">
        <f t="shared" si="146"/>
        <v>0</v>
      </c>
      <c r="CG94">
        <f>IF(AX94="",0,_xlfn.LET(_xlpm.v,IFERROR(VLOOKUP(B94,УГО_спр,3,FALSE),IFERROR(VLOOKUP(AX94,УГО_спр,3,FALSE),IFERROR(VLOOKUP(LEFT(AX94,2),УГО_спр,3,FALSE),""))),IF(_xlpm.v="да",30,IF(ISNUMBER(_xlpm.v),_xlpm.v,0))))</f>
        <v>0</v>
      </c>
      <c r="CH94" t="str">
        <f t="shared" si="147"/>
        <v/>
      </c>
      <c r="CI94" t="str">
        <f>_xlfn.LET(_xlpm.k,IFERROR(_xlfn.XLOOKUP(AX94,Коды_код,Коды_утечка)&amp;"",""),IF(_xlpm.k="","дифавтомат",_xlpm.k))</f>
        <v>дифавтомат</v>
      </c>
      <c r="CJ94">
        <f t="shared" si="148"/>
        <v>0</v>
      </c>
      <c r="CK94">
        <f t="shared" si="149"/>
        <v>0</v>
      </c>
      <c r="CL94">
        <f>IF(B94="",0,IFERROR(--VLOOKUP(B94,УГО_спр,4,FALSE),IFERROR(--VLOOKUP(AX94,УГО_спр,4,FALSE),IFERROR(--VLOOKUP(LEFT(AX94,2),УГО_спр,4,FALSE),0))))</f>
        <v>0</v>
      </c>
      <c r="CM94" t="str">
        <f>IF(B94="","",IFERROR(_xlfn.XLOOKUP(AX94,Коды_код,Коды_апп)&amp;"",""))</f>
        <v/>
      </c>
      <c r="CN94" t="str">
        <f t="shared" si="150"/>
        <v/>
      </c>
      <c r="CO94" t="str" cm="1">
        <f t="array" ref="CO94">IF(TRIM(CN94&amp;"")="","",IFERROR(TRIM(INDEX(_xlfn.TEXTSPLIT(CN94&amp;";;;",";"),1)),""))</f>
        <v/>
      </c>
      <c r="CP94" t="str" cm="1">
        <f t="array" ref="CP94">IF(TRIM(CN94&amp;"")="","",IFERROR(TRIM(INDEX(_xlfn.TEXTSPLIT(CN94&amp;";;;",";"),2)),""))</f>
        <v/>
      </c>
      <c r="CQ94" t="str" cm="1">
        <f t="array" ref="CQ94">IF(TRIM(CN94&amp;"")="","",IFERROR(TRIM(INDEX(_xlfn.TEXTSPLIT(CN94&amp;";;;",";"),3)),""))</f>
        <v/>
      </c>
      <c r="CR94">
        <f t="shared" si="151"/>
        <v>0</v>
      </c>
      <c r="CS94" t="str">
        <f>IF(B94="","",_xlfn.LET(_xlpm.t,LOWER(AV94&amp;""),IF(ISNUMBER(SEARCH("dim",_xlpm.t)),"DIM",IF(ISNUMBER(SEARCH("dali",_xlpm.t)),"DALI",IF(OR(ISNUMBER(SEARCH("relay",_xlpm.t)),ISNUMBER(SEARCH("реле",_xlpm.t))),"Relay",IF(ISNUMBER(SEARCH("кнопк",_xlpm.t)),"",IFERROR(_xlfn.XLOOKUP(AX94,Коды_код,Коды_упр)&amp;"","")))))))</f>
        <v/>
      </c>
      <c r="CT94" t="str">
        <f t="shared" si="152"/>
        <v/>
      </c>
      <c r="CU94">
        <f>IF(B94="","",_xlfn.LET(_xlpm.ig,N(P94)+IF(AF94="вручную",0,N(CB94)),_xlpm.n0,IFERROR(VLOOKUP(_xlpm.ig,Автомат_номиналы,2,TRUE),0),_xlpm.mn,MAX(CL94,IF(AF94="вручную",0,N(CE94))),MAX(_xlpm.n0,_xlpm.mn,IF(CR94=1,Мин_автомат_БП,0))))</f>
        <v>6</v>
      </c>
      <c r="CV94">
        <f t="shared" si="153"/>
        <v>1</v>
      </c>
      <c r="CW94" t="str">
        <f t="shared" si="154"/>
        <v>1P</v>
      </c>
      <c r="CX94" t="str">
        <f>_xlfn.LET(_xlpm.cc,UPPER(TRIM(IFERROR(_xlfn.XLOOKUP(AX94,Коды_код,Коды_хар)&amp;"",""))),IF(OR(_xlpm.cc="B",_xlpm.cc="В"),"B",IF(_xlpm.cc="D","D","С")))</f>
        <v>С</v>
      </c>
      <c r="CY94" t="str">
        <f t="shared" si="155"/>
        <v>1P С6А</v>
      </c>
      <c r="CZ94">
        <f t="shared" si="156"/>
        <v>10</v>
      </c>
      <c r="DA94" t="str">
        <f t="shared" si="157"/>
        <v>1P С10А</v>
      </c>
      <c r="DB94" cm="1">
        <f t="array" ref="DB94">IF(DA94="","",_xlfn.LET(_xlpm.t,SUBSTITUTE(SUBSTITUTE(SUBSTITUTE(UPPER(DA94),"С","C"),"А","A"),"В","B"),_xlpm.tk,_xlfn.TEXTSPLIT(_xlpm.t,"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4" t="str">
        <f t="shared" si="158"/>
        <v>ok</v>
      </c>
      <c r="DD94">
        <f t="shared" si="159"/>
        <v>10</v>
      </c>
      <c r="DE94" t="str">
        <f t="shared" si="160"/>
        <v>1P С10А</v>
      </c>
      <c r="DF94">
        <f t="shared" si="161"/>
        <v>0</v>
      </c>
      <c r="DG94">
        <f t="shared" si="162"/>
        <v>0</v>
      </c>
      <c r="DH94">
        <f t="shared" si="163"/>
        <v>0</v>
      </c>
      <c r="DI94">
        <f t="shared" si="164"/>
        <v>0.60080512387545415</v>
      </c>
      <c r="DJ94">
        <f t="shared" si="165"/>
        <v>1</v>
      </c>
      <c r="DK94">
        <f>IF(ISNUMBER(AL94),AL94,К_прокл)</f>
        <v>1</v>
      </c>
      <c r="DL94">
        <f t="shared" si="166"/>
        <v>2</v>
      </c>
      <c r="DM94">
        <f>IFERROR(N(VLOOKUP(BT94,Кабель_обозначение,3,FALSE)),1)</f>
        <v>1</v>
      </c>
      <c r="DN94">
        <f>IFERROR(N(_xlfn.XLOOKUP(A94,Щиты[Щит],Щиты[ΔU до шин, %])),0)</f>
        <v>0.74</v>
      </c>
      <c r="DO94" t="str">
        <f>IFERROR(_xlfn.XLOOKUP(A94,Щиты[Щит],Щиты[Zпетли на шинах, Ом]),"")</f>
        <v/>
      </c>
      <c r="DP94">
        <f>IFERROR(N(_xlfn.XLOOKUP(A94,Щиты[Щит],Щиты[ΔU до шин (подбор), %])),0)</f>
        <v>1.96</v>
      </c>
      <c r="DQ94" t="str">
        <f>IFERROR(_xlfn.XLOOKUP(A94,Щиты[Щит],Щиты[Zпетли на шинах (подбор), Ом]),"")</f>
        <v/>
      </c>
      <c r="DR94" t="str">
        <f t="shared" si="167"/>
        <v/>
      </c>
      <c r="DS94">
        <f t="shared" si="168"/>
        <v>24</v>
      </c>
      <c r="DT94">
        <f t="shared" si="169"/>
        <v>2</v>
      </c>
      <c r="DU94">
        <f t="shared" si="170"/>
        <v>0.6</v>
      </c>
      <c r="DV94" s="6">
        <f>IF(B94="","",IF(IFERROR(VLOOKUP(AX94,УГО_спр,2,FALSE),"")="Светильник",3,4)+IF(Методика="нормы 2026",MIN(0.5,MAX(0,N(Q94)-100)*0.005),0))</f>
        <v>4</v>
      </c>
      <c r="DW94" cm="1">
        <f t="array" ref="DW94">IF(OR(B94="",BT94="",DM94&lt;&gt;1),"",_xlfn.LET(_xlpm.sz,Iдоп_S,_xlpm.t_,CHOOSE(DL94,Iдоп_1ж,Iдоп_2ж,Iдоп_3ж)*DJ94*DK94,_xlpm.inn,N(DD94),_xlpm.smin,MAX(1.5,BW94),_xlpm.L_,N(Q94)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94)*(_xlpm.rho*_xlpm.L_/_xlpm.sz*N(BY94)+_xlpm.xx*_xlpm.L_*N(DU94)/1000)*N(P94)/((Uн_лин/SQRT(3))*1000)*100,999),_xlpm.kz,IF(OR(DG94=1,NOT(ISNUMBER(DQ94)),_xlpm.L_=0,_xlpm.inn=0),1,IFERROR(--(c_min*(Uн_лин*1000/SQRT(3))/(DQ94+2*ρкз_Cu*_xlpm.L_/_xlpm.sz)&gt;=GY94*_xlpm.inn),0)),_xlpm.ok,IFERROR((_xlpm.sz&gt;=_xlpm.smin)*(_xlpm.t_&gt;=_xlpm.inn)*IF(_xlpm.L_&gt;0,(_xlpm.du_+DP94&lt;=DV94+0.00001),1)*_xlpm.kz,0),_xlpm.r_,_xlfn._xlws.FILTER(_xlpm.sz,_xlpm.ok,"не подобрано"),INDEX(_xlpm.r_,1)))</f>
        <v>1.5</v>
      </c>
      <c r="DX94">
        <f t="shared" si="171"/>
        <v>1.5</v>
      </c>
      <c r="DY94" cm="1">
        <f t="array" ref="DY94">IF(OR(B94="",BT94="",DM94&lt;&gt;1),"",_xlfn.LET(_xlpm.sz,Iдоп_S,_xlpm.t_,CHOOSE(DL94,Iдоп_1ж,Iдоп_2ж,Iдоп_3ж)*DJ94*DK94,_xlpm.ok,IFERROR((_xlpm.sz&gt;=MAX(1.5,BW94))*(_xlpm.t_&gt;=N(DD94)),0),_xlpm.r_,_xlfn._xlws.FILTER(_xlpm.sz,_xlpm.ok,""),INDEX(_xlpm.r_,1)))</f>
        <v>1.5</v>
      </c>
      <c r="DZ94" s="6" cm="1">
        <f t="array" ref="DZ94">IFERROR(ROUNDUP(N(DT94)*(_xlfn.XLOOKUP(DY94,INDEX(Кабель_сопротивление,0,1),INDEX(Кабель_сопротивление,0,3))*N(Q94)/DY94*N(BY94)+_xlfn.XLOOKUP(DY94,INDEX(Кабель_сопротивление,0,1),INDEX(Кабель_сопротивление,0,2))*N(Q94)*N(DU94)/1000)*N(P94)/((Uн_лин/SQRT(3))*1000)*100,2),"")</f>
        <v>0.17</v>
      </c>
      <c r="EA94">
        <f>IFERROR(2*ρкз_Cu*N(Q94)/DY94,"")</f>
        <v>0.91173333333333328</v>
      </c>
      <c r="EB94">
        <f>IFERROR(VLOOKUP(DX94,Кабель_сопротивление,3,FALSE),"")</f>
        <v>2.2499999999999999E-2</v>
      </c>
      <c r="EC94">
        <f>IFERROR(VLOOKUP(DX94,Кабель_сопротивление,2,FALSE),"")</f>
        <v>0.11</v>
      </c>
      <c r="ED94">
        <f t="shared" si="172"/>
        <v>15</v>
      </c>
      <c r="EE94">
        <f t="shared" si="173"/>
        <v>0</v>
      </c>
      <c r="EF94">
        <f t="shared" si="174"/>
        <v>0.37696436048342397</v>
      </c>
      <c r="EG94" s="6">
        <f>IFERROR(ROUNDUP(EF94/((Uн_лин/SQRT(3))*1000)*100,2),"")</f>
        <v>0.17</v>
      </c>
      <c r="EH94" t="str">
        <f>IFERROR(VLOOKUP(BT94,Кабель_обозначение,2,FALSE),"")</f>
        <v>ВВГнг(А)-LS</v>
      </c>
      <c r="EI94" t="str">
        <f t="shared" si="175"/>
        <v>ВВГнг(А)-LS (3х1,5)</v>
      </c>
      <c r="EJ94" t="str">
        <f t="shared" si="176"/>
        <v>ВВГнг(А)-LS (3х1,5)
L=26-0,17%</v>
      </c>
      <c r="EK94">
        <f>IFERROR(2*ρкз_Cu*Q94/DX94,"")</f>
        <v>0.91173333333333328</v>
      </c>
      <c r="EL94">
        <f t="shared" si="177"/>
        <v>0.3033333333333334</v>
      </c>
      <c r="EM94" s="6" t="str">
        <f>IFERROR(IF(OR(B94="",NOT(ISNUMBER(DX94)),N(Q94)=0),"",_xlfn.XLOOKUP(A94,Щиты[Щит],Щиты[Zпетли на шинах, Ом])+EK94),"")</f>
        <v/>
      </c>
      <c r="EN94" s="6" t="str">
        <f>IF(ISNUMBER(EM94),c_min*(Uн_лин*1000/SQRT(3))/EM94,"")</f>
        <v/>
      </c>
      <c r="EO94" s="6" t="str">
        <f>IFERROR(IF(OR(B94="",NOT(ISNUMBER(DX94))),"",1.05*(Uн_лин*1000/SQRT(3))/(_xlfn.XLOOKUP(A94,Щиты[Щит],Щиты[Zmax на шинах, Ом])+EL94)/1000),"")</f>
        <v/>
      </c>
      <c r="EP94" s="6" t="str">
        <f>IF(B94="","",IF(ISNUMBER(Y94),"Сил",IF(IFERROR(_xlfn.XLOOKUP(AX94,Коды_код,Коды_группа)&amp;"","")="","Быт",_xlfn.XLOOKUP(AX94,Коды_код,Коды_группа)&amp;"")))</f>
        <v>Сил</v>
      </c>
      <c r="EQ94" s="6" t="str">
        <f t="shared" si="178"/>
        <v>Сил</v>
      </c>
      <c r="ER94" s="6">
        <f>IF(EQ94="Щит","щит",IF(EQ94="","",IF(EQ94="Быт",IFERROR(_xlfn.XLOOKUP(A94,Щиты[Щит],Щиты[Кс быт]),1),IF(EQ94="Сил",IF(ISNUMBER(Y94),Y94,IF(Методика="нормы 2026",IFERROR(_xlfn.XLOOKUP(A94,Щиты[Щит],Щиты[Кс силовых (табл. 7.5)]),1),1)),IF(OR(EQ94="Пост",EQ94="Отоп"),1,IF(EQ94="ВНГ",0.7,0))))))</f>
        <v>0.5</v>
      </c>
      <c r="ES94">
        <f t="shared" si="179"/>
        <v>1</v>
      </c>
      <c r="ET94">
        <f t="shared" si="180"/>
        <v>0.111</v>
      </c>
      <c r="EU94">
        <f t="shared" si="181"/>
        <v>0</v>
      </c>
      <c r="EV94">
        <f t="shared" si="182"/>
        <v>5.5500000000000001E-2</v>
      </c>
      <c r="EW94">
        <f t="shared" si="183"/>
        <v>0</v>
      </c>
      <c r="EX94">
        <f t="shared" si="184"/>
        <v>0</v>
      </c>
      <c r="EY94">
        <f t="shared" si="185"/>
        <v>0</v>
      </c>
      <c r="EZ94">
        <f t="shared" si="186"/>
        <v>0.111</v>
      </c>
      <c r="FA94">
        <f t="shared" si="187"/>
        <v>8.8800000000000004E-2</v>
      </c>
      <c r="FB94">
        <f t="shared" si="188"/>
        <v>0.111</v>
      </c>
      <c r="FC94" t="str">
        <f t="shared" si="189"/>
        <v>L1</v>
      </c>
      <c r="FD94" t="str">
        <f>IF(B94="","",IF(CA94=0,IF(AW94=1,"",FF93),IF(OR(N(CV94)&gt;=3,N(BR94)&gt;=3),"L1,L2,L3",IFERROR(_xlfn.TEXTBEFORE(_xlfn.TEXTAFTER(_xlfn.XLOOKUP(A94,Щиты[Щит],Щиты[_фазы авто]),";"&amp;AW94&amp;":"),";"),"L1"))))</f>
        <v>L1</v>
      </c>
      <c r="FE94" t="str">
        <f t="shared" si="190"/>
        <v>L1</v>
      </c>
      <c r="FF94" t="str">
        <f t="shared" si="191"/>
        <v>L1</v>
      </c>
      <c r="FG94" cm="1">
        <f t="array" ref="FG94">IFERROR(IF(BX94=2,_xlfn.IFS(BR94=3,VLOOKUP(BN94,Справочная_двигатели,3,FALSE),BR94=1,VLOOKUP(BN94,Справочная_двигатели,5,TRUE)),0),0)</f>
        <v>0</v>
      </c>
      <c r="FH94">
        <f>IFERROR(IF(BX94=3,VLOOKUP(BN94,Справочная_ЛЭД,2,TRUE),0),0)</f>
        <v>0</v>
      </c>
      <c r="FI94" s="6">
        <f t="shared" si="192"/>
        <v>0</v>
      </c>
      <c r="FJ94" t="str" cm="1">
        <f t="array" ref="FJ94">IF(B94="","",IFERROR(INDEX({"I особая","I","II","III"},MATCH(TRIM(AC94&amp;""),{"I особая","I","II","III"},0)),"III"))</f>
        <v>II</v>
      </c>
      <c r="FK94" t="str">
        <f>IF(B94="","",IF(TRIM(AD94&amp;"")&lt;&gt;"",IF(LOWER(TRIM(AD94&amp;""))="да","да","нет"),IF(IFERROR(_xlfn.XLOOKUP(AX94,Коды_код,Коды_пожарная),"")="да","да","нет")))</f>
        <v>нет</v>
      </c>
      <c r="FL94" t="str">
        <f t="shared" si="193"/>
        <v/>
      </c>
      <c r="FM94" t="str">
        <f t="shared" si="194"/>
        <v>основная</v>
      </c>
      <c r="FN94">
        <f t="shared" si="195"/>
        <v>1</v>
      </c>
      <c r="FO94" t="str" cm="1">
        <f t="array" ref="FO94">IF(B94="","",_xlfn.LET(_xlpm.t,IFERROR(_xlfn.XLOOKUP(1,(Шины[Шина]=FM94)*(((Шины[Щит]=A94)+(Шины[Щит]=""))&gt;0),Шины[Тип]),"")&amp;"",IF(_xlpm.t&lt;&gt;"",_xlpm.t,IF(ISNUMBER(SEARCH("ИБП",FM94)),"ИБП",IF(ISNUMBER(SEARCH("ДГУ",FM94)),"ДГУ","Ввод "&amp;FN94)))))</f>
        <v>Ввод 1</v>
      </c>
      <c r="FP94" t="str">
        <f t="shared" si="196"/>
        <v>Ввод 1</v>
      </c>
      <c r="FQ94" t="str">
        <f>IF(B94="","",IF(OR(FO94="ИБП",FO94="ДГУ"),"I особая",IF(FO94="Одиночная","III",_xlfn.XLOOKUP(A94,Щиты[Щит],Щиты[Категория шины «Ввод»],"III"))))</f>
        <v>II</v>
      </c>
      <c r="FR94">
        <f>IF(B94="",0,IFERROR(MATCH(FJ94,{"III","II","I","I особая"},0),1))</f>
        <v>2</v>
      </c>
      <c r="FS94">
        <f t="shared" si="197"/>
        <v>2</v>
      </c>
      <c r="FT94" t="str">
        <f>IF(B94="","",IF(FR94&gt;IFERROR(MATCH(FQ94,{"III","II","I","I особая"},0),1),"НЕ ОБЕСПЕЧЕНА","ОК"))</f>
        <v>ОК</v>
      </c>
      <c r="FU94" t="str">
        <f>IF(A94="","",_xlfn.XLOOKUP(A94,Щиты[Щит],Щиты[Путь],""))</f>
        <v>|ГРЩ-ЖД|ЩОВ-002|</v>
      </c>
      <c r="FV94" t="str">
        <f>IF(B94="","",IF(AE94&lt;&gt;"",AE94,IF(IFERROR(_xlfn.XLOOKUP(AX94,Коды_код,Коды_вид)&amp;"","")="","Прочее",_xlfn.XLOOKUP(AX94,Коды_код,Коды_вид)&amp;"")))</f>
        <v>Кондиционирование и увлажнение</v>
      </c>
      <c r="FW94">
        <f>IF(BH94="","",INT((BH94-1)/Столбцов_на_лист)+1)</f>
        <v>3</v>
      </c>
      <c r="FX94" t="str">
        <f t="shared" si="198"/>
        <v>ВВГнг(А)-LS (3х1,5) L=26-0,17%</v>
      </c>
      <c r="FY94">
        <f t="shared" si="199"/>
        <v>0.111</v>
      </c>
      <c r="FZ94">
        <f t="shared" si="200"/>
        <v>0.61</v>
      </c>
      <c r="GA94">
        <f t="shared" si="201"/>
        <v>1</v>
      </c>
      <c r="GB94">
        <f t="shared" si="202"/>
        <v>0</v>
      </c>
      <c r="GC94">
        <f t="shared" si="203"/>
        <v>1</v>
      </c>
      <c r="GD94">
        <f>IF(BH94="","",IF(AND(CA94=1,GC94=1),COUNTIFS(A$3:A94,A94,CA$3:CA94,1,GC$3:GC94,1),IF(OR(OR(AW94=1,A94&lt;&gt;A93),AF94="вручную",GC94=0),"",IF(AW94=1,"",GE93))))</f>
        <v>6</v>
      </c>
      <c r="GE94">
        <f t="shared" si="204"/>
        <v>6</v>
      </c>
      <c r="GF94">
        <f>IF(B94="","",IFERROR(LOOKUP(INDEX(CHOOSE(DL94,Iдоп_1ж,Iдоп_2ж,Iдоп_3ж),MATCH(DX94,Iдоп_S,0))*DJ94*DK94,{6,10,16,20,25,32,40,50,63,80,100,125,160,200,250,315,400,500,630}),""))</f>
        <v>16</v>
      </c>
      <c r="GG94" t="str">
        <f t="shared" si="205"/>
        <v>QF6</v>
      </c>
      <c r="GH94" t="str">
        <f t="shared" si="206"/>
        <v>QF6</v>
      </c>
      <c r="GI94" t="str">
        <f t="shared" si="207"/>
        <v/>
      </c>
      <c r="GJ94">
        <f t="shared" si="208"/>
        <v>0</v>
      </c>
      <c r="GK94" t="str">
        <f>IF(OR(AG94="",AG94="-"),"",IFERROR(VLOOKUP(AG94,Модули_спр,2,FALSE),"R"))</f>
        <v/>
      </c>
      <c r="GL94" t="str">
        <f>IF(GK94="","",GK94&amp;"."&amp;COUNTIFS(A$3:A94,A94,GK$3:GK94,GK94))</f>
        <v/>
      </c>
      <c r="GM94" t="str">
        <f t="shared" si="209"/>
        <v/>
      </c>
      <c r="GN94" t="str">
        <f t="shared" si="210"/>
        <v/>
      </c>
      <c r="GO94" t="str">
        <f t="shared" si="211"/>
        <v/>
      </c>
      <c r="GP94" t="str">
        <f t="shared" si="212"/>
        <v/>
      </c>
      <c r="GQ94">
        <f t="shared" si="213"/>
        <v>1</v>
      </c>
      <c r="GR94" t="str">
        <f>IF(GQ94=1,"XT"&amp;COUNTIFS(A$3:A94,A94,GQ$3:GQ94,1),"")</f>
        <v>XT6</v>
      </c>
      <c r="GS94" t="str">
        <f t="shared" si="214"/>
        <v/>
      </c>
      <c r="GT94" t="str">
        <f t="shared" si="215"/>
        <v>QF6</v>
      </c>
      <c r="GU94" t="str">
        <f t="shared" si="216"/>
        <v/>
      </c>
      <c r="GV94" t="str">
        <f t="shared" si="217"/>
        <v>ok</v>
      </c>
      <c r="GW94" t="str">
        <f>IF(OR(GO94="",GM94=""),"",IF(GO94&gt;IFERROR(VLOOKUP(GN94,Модули_спр,3,FALSE),99),"ЛИШНИЙ КАНАЛ",IF(AND(AH94&lt;&gt;"=",COUNTIFS(Линии[_модуль гр.],GM94,Линии[Канал (итог)],GO94,Линии[Канал],"&lt;&gt;=",Линии[Щит],A94)&gt;1),"ДУБЛЬ КАНАЛА","")))</f>
        <v/>
      </c>
      <c r="GX94" s="6" t="str">
        <f t="shared" si="218"/>
        <v/>
      </c>
      <c r="GY94">
        <f t="shared" si="219"/>
        <v>10</v>
      </c>
      <c r="GZ94" t="str">
        <f t="shared" si="220"/>
        <v/>
      </c>
      <c r="HA94" t="str">
        <f>IF(AND(B94="",GT94=""),"",_xlfn.TEXTJOIN("; ",TRUE,IF(AND(B94&lt;&gt;"",FE94=""),"нет фазы",""),IF(AND(B94&lt;&gt;"",N(FY94)=0,EQ94&lt;&gt;"Нет"),"нет мощности",""),IF(AND(GS94&lt;&gt;"",COUNTIFS(Линии[Щит],A94,Линии[Клемма (итог)],GS94)&gt;1),"дубль клеммы "&amp;GS94,""),IF(AND(GV94&lt;&gt;"",GV94&lt;&gt;"ok"),GV94,""),IF(GW94&lt;&gt;"",GW94,""),IF(AND(N(BV94)&gt;=4,N(BR94)=1),BV94&amp;" жил на 1 фазе",""),IF(AND(AX94="R",CA94=1,OR(N(CK94)=0,N(CK94)&gt;30)),"розетка без дифзащиты до 30 мА",""),IFERROR(IF(AND(ISNUMBER(R94),R94&gt;DV94),"потери "&amp;FIXED(R94,1)&amp;" % &gt; "&amp;DV94&amp;" %",""),""),IFERROR(IF(LEFT(GZ94,4)="мало","Iкз мало — отключение &gt; 0,4 с",""),""),IF(AND(B94&lt;&gt;"",BH94=""),"не на схеме",""),IF(AND(CA94=0,B94&lt;&gt;"",FE94&lt;&gt;"",IF(AW94=1,"",FF93)&lt;&gt;"",FE94&lt;&gt;IF(AW94=1,"",FF93)),"фаза не как у автомата группы ("&amp;IF(AW94=1,"",FF93)&amp;")","")))</f>
        <v/>
      </c>
      <c r="HB94" s="6">
        <f>IF(OR(CA94=0,DA94=""),"",_xlfn.LET(_xlpm.t,IFERROR(_xlfn.XLOOKUP(DA94,Каталог!$U$4:$U$500,Каталог!$G$4:$G$500),""),_xlpm.k,SEARCH("кА",_xlpm.t),IFERROR(--TRIM(RIGHT(SUBSTITUTE(MID(_xlpm.t,MAX(1,_xlpm.k-4),_xlpm.k-MAX(1,_xlpm.k-4))," ",REPT(" ",9)),5)),"")))</f>
        <v>6</v>
      </c>
      <c r="HC94" t="str">
        <f>IF(OR(HB94="",CA94=0),"",IF(_xlfn.XLOOKUP(A94,Щиты[Щит],Щиты[Iкз max на шинах, кА],"")="","",IF(HB94&lt;_xlfn.XLOOKUP(A94,Щиты[Щит],Щиты[Iкз max на шинах, кА]),"Icu "&amp;HB94&amp;" кА &lt; Iкз max","ok")))</f>
        <v/>
      </c>
      <c r="HD94" t="str">
        <f t="shared" si="221"/>
        <v/>
      </c>
      <c r="HE94" t="str">
        <f t="shared" si="222"/>
        <v>QF6</v>
      </c>
      <c r="HF94" t="str">
        <f t="shared" si="223"/>
        <v>QF6|кабель ВВГнг(А)-LS (3х1,5) → Внутренний блок кондиционирования Подвальный этаж Пом. №005Т</v>
      </c>
      <c r="HG94" t="str" cm="1">
        <f t="array" ref="HG94">IF(HF94="","",_xlfn.LET(_xlpm.nd,_xlfn.TEXTSPLIT(HF94,"|"),IF(COLUMNS(_xlpm.nd)&gt;1,A94&amp;"¦"&amp;INDEX(_xlpm.nd,1)&amp;"¦"&amp;INDEX(_xlpm.nd,2),"")))</f>
        <v>ЩОВ-002¦QF6¦кабель ВВГнг(А)-LS (3х1,5) → Внутренний блок кондиционирования Подвальный этаж Пом. №005Т</v>
      </c>
      <c r="HH94" t="str">
        <f t="shared" si="224"/>
        <v>K.0.006A¦Внутренний блок кондиционирования Подвальный этаж Пом. №005Т</v>
      </c>
      <c r="HI94" t="str" cm="1">
        <f t="array" ref="HI94">IF(HF94="","",_xlfn.LET(_xlpm.nd,_xlfn.TEXTSPLIT(HF94,"|"),IF(COLUMNS(_xlpm.nd)&gt;2,A94&amp;"¦"&amp;INDEX(_xlpm.nd,2)&amp;"¦"&amp;INDEX(_xlpm.nd,3),"")))</f>
        <v/>
      </c>
      <c r="HJ94" t="str">
        <f t="shared" si="225"/>
        <v/>
      </c>
      <c r="HK94" t="str" cm="1">
        <f t="array" ref="HK94">IF(HF94="","",_xlfn.LET(_xlpm.nd,_xlfn.TEXTSPLIT(HF94,"|"),IF(COLUMNS(_xlpm.nd)&gt;3,A94&amp;"¦"&amp;INDEX(_xlpm.nd,3)&amp;"¦"&amp;INDEX(_xlpm.nd,4),"")))</f>
        <v/>
      </c>
      <c r="HL94" t="str">
        <f t="shared" si="226"/>
        <v/>
      </c>
      <c r="HM94" t="str" cm="1">
        <f t="array" ref="HM94">IF(HF94="","",_xlfn.LET(_xlpm.nd,_xlfn.TEXTSPLIT(HF94,"|"),IF(COLUMNS(_xlpm.nd)&gt;4,A94&amp;"¦"&amp;INDEX(_xlpm.nd,4)&amp;"¦"&amp;INDEX(_xlpm.nd,5),"")))</f>
        <v/>
      </c>
      <c r="HN94" t="str">
        <f t="shared" si="227"/>
        <v/>
      </c>
      <c r="HO94" t="str" cm="1">
        <f t="array" ref="HO94">IF(HF94="","",_xlfn.LET(_xlpm.nd,_xlfn.TEXTSPLIT(HF94,"|"),IF(COLUMNS(_xlpm.nd)&gt;5,A94&amp;"¦"&amp;INDEX(_xlpm.nd,5)&amp;"¦"&amp;INDEX(_xlpm.nd,6),"")))</f>
        <v/>
      </c>
      <c r="HP94" t="str">
        <f t="shared" si="228"/>
        <v/>
      </c>
      <c r="HQ94" t="str" cm="1">
        <f t="array" ref="HQ94">IF(HF94="","",_xlfn.LET(_xlpm.nd,_xlfn.TEXTSPLIT(HF94,"|"),IF(COLUMNS(_xlpm.nd)&gt;6,A94&amp;"¦"&amp;INDEX(_xlpm.nd,6)&amp;"¦"&amp;INDEX(_xlpm.nd,7),"")))</f>
        <v/>
      </c>
      <c r="HR94" t="str">
        <f t="shared" si="229"/>
        <v/>
      </c>
      <c r="HS94" t="str">
        <f t="shared" si="230"/>
        <v/>
      </c>
      <c r="HT94" t="str">
        <f t="shared" si="231"/>
        <v>QF6</v>
      </c>
      <c r="HU94">
        <f t="shared" si="232"/>
        <v>0</v>
      </c>
      <c r="HV94">
        <f t="shared" si="233"/>
        <v>0</v>
      </c>
      <c r="HW94" t="str">
        <f t="shared" si="234"/>
        <v/>
      </c>
      <c r="HX94" t="str">
        <f t="shared" si="235"/>
        <v/>
      </c>
      <c r="HY94" t="str">
        <f t="shared" si="236"/>
        <v/>
      </c>
      <c r="HZ94" t="str">
        <f t="shared" si="237"/>
        <v/>
      </c>
      <c r="IA94">
        <f>IF(B94="","",IFERROR(VLOOKUP(B94,УГО_спр,2,FALSE),IFERROR(VLOOKUP(AX94,УГО_спр,2,FALSE),IFERROR(VLOOKUP(LEFT(AX94,2),УГО_спр,2,FALSE),""))))</f>
        <v>0</v>
      </c>
      <c r="IB94" t="str">
        <f>IF(B94="","",IF(OR(IA94="",IA94=0),"BOX",IFERROR(IF(VLOOKUP(IA94,УГО_блоки,3,FALSE)&amp;""&lt;&gt;"",VLOOKUP(IA94,УГО_блоки,3,FALSE),VLOOKUP(IA94,УГО_блоки,2,FALSE)),IA94)))</f>
        <v>BOX</v>
      </c>
      <c r="IC94">
        <f t="shared" si="238"/>
        <v>1</v>
      </c>
      <c r="ID94" t="str">
        <f>IF(DA94="","",IF(COUNTIF(DA$3:DA94,DA94)=1,MAX(ID$2:ID93)+1,""))</f>
        <v/>
      </c>
      <c r="IE94" t="str">
        <f>IF(CO94="","",IF(COUNTIF(CO$3:CO94,CO94)+COUNTIF(CP$2:CP93,CO94)+COUNTIF(CQ$2:CQ93,CO94)=1,MAX(IE$2:IG93)+1,""))</f>
        <v/>
      </c>
      <c r="IF94" t="str">
        <f>IF(CP94="","",IF(COUNTIF(CO$3:CO94,CP94)+COUNTIF(CP$3:CP94,CP94)+COUNTIF(CQ$2:CQ93,CP94)=1,MAX(IE$2:IG93,IE94)+1,""))</f>
        <v/>
      </c>
      <c r="IG94" t="str">
        <f>IF(CQ94="","",IF(COUNTIF(CO$3:CO94,CQ94)+COUNTIF(CP$3:CP94,CQ94)+COUNTIF(CQ$3:CQ94,CQ94)=1,MAX(IE$2:IG93,IE94,IF94)+1,""))</f>
        <v/>
      </c>
      <c r="IH94" t="str">
        <f t="shared" si="239"/>
        <v>3х1,5</v>
      </c>
      <c r="II94" t="str">
        <f>IF(IH94="","",IF(COUNTIF(IH$3:IH94,IH94)=1,MAX(II$2:II93)+1,""))</f>
        <v/>
      </c>
      <c r="IJ94" t="str">
        <f>IF(GL94="","",COUNTIF(GL$3:GL94,"?*"))</f>
        <v/>
      </c>
      <c r="IK94" t="str">
        <f>IF(OR(GL94="",GN94=""),"",IF(COUNTIFS(GL$3:GL94,"?*",GN$3:GN94,GN94)=1,MAX(IK$2:IK93)+1,""))</f>
        <v/>
      </c>
      <c r="IL94">
        <f t="shared" si="240"/>
        <v>0</v>
      </c>
      <c r="IM94">
        <f>IF(B94="","",COUNTIF(B$3:B94,"?*"))</f>
        <v>92</v>
      </c>
      <c r="IN94">
        <f>IF(GQ94&lt;&gt;1,0,_xlfn.LET(_xlpm.k,MAX(IFERROR(--VLOOKUP(B94,УГО_спр,5,FALSE),0),IFERROR(--VLOOKUP(AX94,УГО_спр,5,FALSE),0),IFERROR(--VLOOKUP(LEFT(AX94,2),УГО_спр,5,FALSE),0)),IF(_xlpm.k&gt;0,_xlpm.k,IF(IFERROR(--LEFT(SUBSTITUTE(IH94,"x","х"),FIND("х",SUBSTITUTE(IH94,"x","х"))-1),3)&gt;3,Каталог!$S$9,1))))</f>
        <v>1</v>
      </c>
      <c r="IO94">
        <f t="shared" si="241"/>
        <v>0</v>
      </c>
      <c r="IP94" t="str">
        <f t="shared" si="242"/>
        <v>авто</v>
      </c>
      <c r="IQ94" t="str">
        <f t="shared" si="243"/>
        <v/>
      </c>
      <c r="IR94">
        <f t="shared" si="244"/>
        <v>0</v>
      </c>
      <c r="IS94">
        <f t="shared" si="245"/>
        <v>1</v>
      </c>
    </row>
    <row r="95" spans="1:253" x14ac:dyDescent="0.3">
      <c r="A95" t="s">
        <v>751</v>
      </c>
      <c r="B95" t="s">
        <v>1366</v>
      </c>
      <c r="C95" t="s">
        <v>1623</v>
      </c>
      <c r="D95">
        <v>1</v>
      </c>
      <c r="E95">
        <v>0.104</v>
      </c>
      <c r="G95">
        <v>10</v>
      </c>
      <c r="H95" t="str">
        <f>Линии[[#This Row],[_авто утечка]]</f>
        <v/>
      </c>
      <c r="I95" t="str">
        <f>Линии[[#This Row],[_авто управление]]</f>
        <v/>
      </c>
      <c r="J95" t="str">
        <f>Линии[[#This Row],[_авто аппараты]]</f>
        <v/>
      </c>
      <c r="K95">
        <v>1.5</v>
      </c>
      <c r="L95">
        <v>25</v>
      </c>
      <c r="M95">
        <v>1</v>
      </c>
      <c r="N95" t="s">
        <v>486</v>
      </c>
      <c r="O95" t="str">
        <f t="shared" si="123"/>
        <v/>
      </c>
      <c r="P95" s="6" cm="1">
        <f t="array" ref="P95">IF(B95="","",IF(BC95&lt;&gt;"",IFERROR(_xlfn.XLOOKUP(BC95,Щиты[Щит],Щиты[Iр, А]),""),IF(BK95=1,IFERROR(_xlfn.XLOOKUP(A95,Щиты[Щит],Щиты[Iр, А]),""),IFERROR(_xlfn.IFS(BR95=1,BN95/((Uн_лин/SQRT(3))*BY95),BR95=3,BN95/(SQRT(3)*Uн_лин*BY95)),""))))</f>
        <v>0.56291651245988494</v>
      </c>
      <c r="Q95" s="7">
        <f>IF(B95="","",IFERROR(IF(VLOOKUP(AX95,Потребители_обозначение,4,FALSE)=1,VLOOKUP(AX95,Потребители_обозначение,3,FALSE)*(D95*2-1)+DS95+VLOOKUP(AZ95,Этаж_обозначение,3,FALSE)+VLOOKUP(AZ95,Этаж_обозначение,4,FALSE),VLOOKUP(AX95,Потребители_обозначение,3,FALSE)*(D95*2-1)+DS95),DS95))</f>
        <v>27</v>
      </c>
      <c r="R95" s="6">
        <f t="shared" si="124"/>
        <v>0.9</v>
      </c>
      <c r="S95" t="str">
        <f t="shared" si="125"/>
        <v>ВВГнг(А)-LS (3х1,5)</v>
      </c>
      <c r="T95" t="str">
        <f>IF(BH95="","",IF(BI95="вводной узел","узел ","")&amp;"л."&amp;(INT((BH95-1)/Столбцов_на_лист)+1)&amp;" / "&amp;(MOD(BH95-1,Столбцов_на_лист)+1))</f>
        <v>л.3 / 7</v>
      </c>
      <c r="V95">
        <v>1</v>
      </c>
      <c r="W95">
        <v>230</v>
      </c>
      <c r="X95" t="s">
        <v>600</v>
      </c>
      <c r="Y95">
        <v>0.5</v>
      </c>
      <c r="AC95" t="s">
        <v>815</v>
      </c>
      <c r="AE95" t="s">
        <v>578</v>
      </c>
      <c r="AI95">
        <v>41</v>
      </c>
      <c r="AJ95" t="s">
        <v>11</v>
      </c>
      <c r="AK95">
        <v>3</v>
      </c>
      <c r="AM95">
        <v>11</v>
      </c>
      <c r="AN95">
        <v>16</v>
      </c>
      <c r="AP95">
        <v>1</v>
      </c>
      <c r="AW95" cm="1">
        <f t="array" ref="AW95">ROW()-ROW(Линии[#Headers])</f>
        <v>93</v>
      </c>
      <c r="AX95" s="6" t="str">
        <f t="shared" si="126"/>
        <v>K</v>
      </c>
      <c r="AY95" t="str">
        <f t="shared" si="127"/>
        <v>00.001A</v>
      </c>
      <c r="AZ95" t="str">
        <f t="shared" si="128"/>
        <v>00</v>
      </c>
      <c r="BA95" t="str">
        <f t="shared" si="129"/>
        <v>001A</v>
      </c>
      <c r="BB95" t="str">
        <f t="shared" si="130"/>
        <v>001A</v>
      </c>
      <c r="BC95" t="str">
        <f>IF(U95&lt;&gt;"",U95,IF(AND(B95&lt;&gt;"",B95&lt;&gt;A95,ISNUMBER(_xlfn.XMATCH(B95,Щиты[Щит]))),B95,""))</f>
        <v/>
      </c>
      <c r="BD95" t="str" cm="1">
        <f t="array" ref="BD95">IF(B95="","",IF(BC95&lt;&gt;"","Щит "&amp;BC95,_xlfn.LET(_xlpm.nm,IFERROR(_xlfn.XLOOKUP(AX95,Коды_код,Коды_имя)&amp;"",""),_xlpm.md,IFERROR(N(_xlfn.XLOOKUP(AX95,Коды_код,Коды_режим)),1),_xlpm.ex,IF(Имя_режим="по экспликации",IFERROR(_xlfn.XLOOKUP(AZ95&amp;"|"&amp;BB95,Экспликация[Этаж]&amp;"|"&amp;Экспликация[Помещение],Экспликация[Название])&amp;"",""),""),_xlpm.rm,IF(BB95="","",IF(_xlpm.ex&lt;&gt;"",". "&amp;_xlpm.ex&amp;IF(Имя_пом="нет"," ("&amp;BB95&amp;")"," (пом. "&amp;BB95&amp;")"),IF(Имя_пом="нет"," ",", пом. ")&amp;BB95)),IF(_xlpm.nm="","",IF(_xlpm.md=2,_xlpm.nm&amp;" шлейф "&amp;AZ95,_xlpm.nm&amp;_xlpm.rm)))))</f>
        <v>Внутренний блок кондиционирования, пом. 001A</v>
      </c>
      <c r="BE95" t="str">
        <f t="shared" si="131"/>
        <v>Внутренний блок кондиционирования Подвальный этаж Пом. №005Т</v>
      </c>
      <c r="BF95">
        <f>IFERROR(_xlfn.XMATCH(A95,Щиты[Щит]),0)</f>
        <v>5</v>
      </c>
      <c r="BG95">
        <f>_xlfn.LET(_xlpm.k,IFERROR(_xlfn.XLOOKUP(A95,Щиты[Щит],Щиты[Листов под вводной узел]),""),IF(_xlpm.k="",1,N(_xlpm.k))*Столбцов_на_лист)</f>
        <v>34</v>
      </c>
      <c r="BH95">
        <f t="shared" si="132"/>
        <v>41</v>
      </c>
      <c r="BI95" t="str">
        <f t="shared" si="133"/>
        <v>линии</v>
      </c>
      <c r="BJ95" s="6">
        <f>IFERROR(N(_xlfn.XLOOKUP(AX95,Коды_код,Коды_квт)),0)</f>
        <v>0</v>
      </c>
      <c r="BK95">
        <f t="shared" si="134"/>
        <v>0</v>
      </c>
      <c r="BL95" t="str">
        <f>IF(B95="","",IF(BC95&lt;&gt;"",IFERROR(_xlfn.XLOOKUP(BC95,Щиты[Щит],Щиты[Руст, кВт]),0),IF(BK95=1,IFERROR(_xlfn.XLOOKUP(A95,Щиты[Щит],Щиты[Руст, кВт]),0),IF(BJ95&gt;0,ROUND(BJ95*MAX(1,N(D95)),3),""))))</f>
        <v/>
      </c>
      <c r="BM95">
        <f t="shared" si="135"/>
        <v>0.104</v>
      </c>
      <c r="BN95" s="6">
        <f>IF(B95="","",IF(BC95&lt;&gt;"",IFERROR(_xlfn.XLOOKUP(BC95,Щиты[Щит],Щиты[Руст, кВт]),0),N(BM95)))</f>
        <v>0.104</v>
      </c>
      <c r="BO95" t="str">
        <f>IF(B95="","",IFERROR(IF(VLOOKUP(AX95,Потребители_обозначение,8,FALSE)=0,"",VLOOKUP(AX95,Потребители_обозначение,8,FALSE)),""))</f>
        <v/>
      </c>
      <c r="BP95">
        <f t="shared" si="136"/>
        <v>230</v>
      </c>
      <c r="BQ95">
        <f>IF(B95="","",IF(BC95&lt;&gt;"",3,IFERROR(IF(N(VLOOKUP(AX95,Потребители_обозначение,9,FALSE))=0,1,VLOOKUP(AX95,Потребители_обозначение,9,FALSE)),1)))</f>
        <v>1</v>
      </c>
      <c r="BR95">
        <f t="shared" si="137"/>
        <v>1</v>
      </c>
      <c r="BS95" t="str">
        <f>IF(B95="","",_xlfn.LET(_xlpm.bc,IFERROR(IF(VLOOKUP(AX95,Потребители_обозначение,6,FALSE)=0,"",VLOOKUP(AX95,Потребители_обозначение,6,FALSE)&amp;""),""),IF(AND(FK95="да",OR(_xlpm.bc="",_xlpm.bc="мс")),Марка_пож,IF(AND(_xlpm.bc="",BC95&lt;&gt;""),"мс",_xlpm.bc))))</f>
        <v/>
      </c>
      <c r="BT95" t="str">
        <f t="shared" si="138"/>
        <v>мс</v>
      </c>
      <c r="BU95">
        <f>IF(B95="","",_xlfn.LET(_xlpm.cc,IFERROR(N(VLOOKUP(AX95,Потребители_обозначение,7,FALSE)),0),IF(_xlpm.cc&gt;0,_xlpm.cc,IF(BT95="","",IF(N(BR95)=3,5,3)))))</f>
        <v>3</v>
      </c>
      <c r="BV95">
        <f t="shared" si="139"/>
        <v>3</v>
      </c>
      <c r="BW95">
        <f>IFERROR(N(VLOOKUP(AX95,Потребители_обозначение,10,FALSE)),0)</f>
        <v>0</v>
      </c>
      <c r="BX95">
        <f>IFERROR(VLOOKUP(AX95,Потребители_обозначение,5,FALSE),0)</f>
        <v>1</v>
      </c>
      <c r="BY95" s="6" cm="1">
        <f t="array" ref="BY95">IF(B95="","",IF(BC95&lt;&gt;"",IFERROR(_xlfn.XLOOKUP(BC95,Щиты[Щит],Щиты[cos φ]),0.95),IF(BK95=1,IFERROR(_xlfn.XLOOKUP(A95,Щиты[Щит],Щиты[cos φ]),0.95),IF(ISNUMBER(Z95),Z95,IFERROR(IF(BX95=2,_xlfn.IFS(BR95=3,VLOOKUP(BN95,Справочная_двигатели,8,FALSE),BR95=1,VLOOKUP(BN95,Справочная_двигатели,10,TRUE)),IF(AND(Методика="нормы 2026",EQ95="Сил"),0.8,0.95)),0.95)))))</f>
        <v>0.8</v>
      </c>
      <c r="BZ95">
        <f t="shared" si="140"/>
        <v>0</v>
      </c>
      <c r="CA95">
        <f t="shared" si="141"/>
        <v>1</v>
      </c>
      <c r="CB95">
        <f t="shared" si="142"/>
        <v>0</v>
      </c>
      <c r="CC95">
        <f t="shared" si="143"/>
        <v>0</v>
      </c>
      <c r="CD95">
        <f t="shared" si="144"/>
        <v>0</v>
      </c>
      <c r="CE95">
        <f t="shared" si="145"/>
        <v>0</v>
      </c>
      <c r="CF95">
        <f t="shared" si="146"/>
        <v>0</v>
      </c>
      <c r="CG95">
        <f>IF(AX95="",0,_xlfn.LET(_xlpm.v,IFERROR(VLOOKUP(B95,УГО_спр,3,FALSE),IFERROR(VLOOKUP(AX95,УГО_спр,3,FALSE),IFERROR(VLOOKUP(LEFT(AX95,2),УГО_спр,3,FALSE),""))),IF(_xlpm.v="да",30,IF(ISNUMBER(_xlpm.v),_xlpm.v,0))))</f>
        <v>0</v>
      </c>
      <c r="CH95" t="str">
        <f t="shared" si="147"/>
        <v/>
      </c>
      <c r="CI95" t="str">
        <f>_xlfn.LET(_xlpm.k,IFERROR(_xlfn.XLOOKUP(AX95,Коды_код,Коды_утечка)&amp;"",""),IF(_xlpm.k="","дифавтомат",_xlpm.k))</f>
        <v>дифавтомат</v>
      </c>
      <c r="CJ95">
        <f t="shared" si="148"/>
        <v>0</v>
      </c>
      <c r="CK95">
        <f t="shared" si="149"/>
        <v>0</v>
      </c>
      <c r="CL95">
        <f>IF(B95="",0,IFERROR(--VLOOKUP(B95,УГО_спр,4,FALSE),IFERROR(--VLOOKUP(AX95,УГО_спр,4,FALSE),IFERROR(--VLOOKUP(LEFT(AX95,2),УГО_спр,4,FALSE),0))))</f>
        <v>0</v>
      </c>
      <c r="CM95" t="str">
        <f>IF(B95="","",IFERROR(_xlfn.XLOOKUP(AX95,Коды_код,Коды_апп)&amp;"",""))</f>
        <v/>
      </c>
      <c r="CN95" t="str">
        <f t="shared" si="150"/>
        <v/>
      </c>
      <c r="CO95" t="str" cm="1">
        <f t="array" ref="CO95">IF(TRIM(CN95&amp;"")="","",IFERROR(TRIM(INDEX(_xlfn.TEXTSPLIT(CN95&amp;";;;",";"),1)),""))</f>
        <v/>
      </c>
      <c r="CP95" t="str" cm="1">
        <f t="array" ref="CP95">IF(TRIM(CN95&amp;"")="","",IFERROR(TRIM(INDEX(_xlfn.TEXTSPLIT(CN95&amp;";;;",";"),2)),""))</f>
        <v/>
      </c>
      <c r="CQ95" t="str" cm="1">
        <f t="array" ref="CQ95">IF(TRIM(CN95&amp;"")="","",IFERROR(TRIM(INDEX(_xlfn.TEXTSPLIT(CN95&amp;";;;",";"),3)),""))</f>
        <v/>
      </c>
      <c r="CR95">
        <f t="shared" si="151"/>
        <v>0</v>
      </c>
      <c r="CS95" t="str">
        <f>IF(B95="","",_xlfn.LET(_xlpm.t,LOWER(AV95&amp;""),IF(ISNUMBER(SEARCH("dim",_xlpm.t)),"DIM",IF(ISNUMBER(SEARCH("dali",_xlpm.t)),"DALI",IF(OR(ISNUMBER(SEARCH("relay",_xlpm.t)),ISNUMBER(SEARCH("реле",_xlpm.t))),"Relay",IF(ISNUMBER(SEARCH("кнопк",_xlpm.t)),"",IFERROR(_xlfn.XLOOKUP(AX95,Коды_код,Коды_упр)&amp;"","")))))))</f>
        <v/>
      </c>
      <c r="CT95" t="str">
        <f t="shared" si="152"/>
        <v/>
      </c>
      <c r="CU95">
        <f>IF(B95="","",_xlfn.LET(_xlpm.ig,N(P95)+IF(AF95="вручную",0,N(CB95)),_xlpm.n0,IFERROR(VLOOKUP(_xlpm.ig,Автомат_номиналы,2,TRUE),0),_xlpm.mn,MAX(CL95,IF(AF95="вручную",0,N(CE95))),MAX(_xlpm.n0,_xlpm.mn,IF(CR95=1,Мин_автомат_БП,0))))</f>
        <v>6</v>
      </c>
      <c r="CV95">
        <f t="shared" si="153"/>
        <v>1</v>
      </c>
      <c r="CW95" t="str">
        <f t="shared" si="154"/>
        <v>1P</v>
      </c>
      <c r="CX95" t="str">
        <f>_xlfn.LET(_xlpm.cc,UPPER(TRIM(IFERROR(_xlfn.XLOOKUP(AX95,Коды_код,Коды_хар)&amp;"",""))),IF(OR(_xlpm.cc="B",_xlpm.cc="В"),"B",IF(_xlpm.cc="D","D","С")))</f>
        <v>С</v>
      </c>
      <c r="CY95" t="str">
        <f t="shared" si="155"/>
        <v>1P С6А</v>
      </c>
      <c r="CZ95">
        <f t="shared" si="156"/>
        <v>10</v>
      </c>
      <c r="DA95" t="str">
        <f t="shared" si="157"/>
        <v>1P С10А</v>
      </c>
      <c r="DB95" cm="1">
        <f t="array" ref="DB95">IF(DA95="","",_xlfn.LET(_xlpm.t,SUBSTITUTE(SUBSTITUTE(SUBSTITUTE(UPPER(DA95),"С","C"),"А","A"),"В","B"),_xlpm.tk,_xlfn.TEXTSPLIT(_xlpm.t,"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5" t="str">
        <f t="shared" si="158"/>
        <v>ok</v>
      </c>
      <c r="DD95">
        <f t="shared" si="159"/>
        <v>10</v>
      </c>
      <c r="DE95" t="str">
        <f t="shared" si="160"/>
        <v>1P С10А</v>
      </c>
      <c r="DF95">
        <f t="shared" si="161"/>
        <v>0</v>
      </c>
      <c r="DG95">
        <f t="shared" si="162"/>
        <v>0</v>
      </c>
      <c r="DH95">
        <f t="shared" si="163"/>
        <v>0</v>
      </c>
      <c r="DI95">
        <f t="shared" si="164"/>
        <v>0.56291651245988494</v>
      </c>
      <c r="DJ95">
        <f t="shared" si="165"/>
        <v>1</v>
      </c>
      <c r="DK95">
        <f>IF(ISNUMBER(AL95),AL95,К_прокл)</f>
        <v>1</v>
      </c>
      <c r="DL95">
        <f t="shared" si="166"/>
        <v>2</v>
      </c>
      <c r="DM95">
        <f>IFERROR(N(VLOOKUP(BT95,Кабель_обозначение,3,FALSE)),1)</f>
        <v>1</v>
      </c>
      <c r="DN95">
        <f>IFERROR(N(_xlfn.XLOOKUP(A95,Щиты[Щит],Щиты[ΔU до шин, %])),0)</f>
        <v>0.74</v>
      </c>
      <c r="DO95" t="str">
        <f>IFERROR(_xlfn.XLOOKUP(A95,Щиты[Щит],Щиты[Zпетли на шинах, Ом]),"")</f>
        <v/>
      </c>
      <c r="DP95">
        <f>IFERROR(N(_xlfn.XLOOKUP(A95,Щиты[Щит],Щиты[ΔU до шин (подбор), %])),0)</f>
        <v>1.96</v>
      </c>
      <c r="DQ95" t="str">
        <f>IFERROR(_xlfn.XLOOKUP(A95,Щиты[Щит],Щиты[Zпетли на шинах (подбор), Ом]),"")</f>
        <v/>
      </c>
      <c r="DR95" t="str">
        <f t="shared" si="167"/>
        <v/>
      </c>
      <c r="DS95">
        <f t="shared" si="168"/>
        <v>25</v>
      </c>
      <c r="DT95">
        <f t="shared" si="169"/>
        <v>2</v>
      </c>
      <c r="DU95">
        <f t="shared" si="170"/>
        <v>0.6</v>
      </c>
      <c r="DV95" s="6">
        <f>IF(B95="","",IF(IFERROR(VLOOKUP(AX95,УГО_спр,2,FALSE),"")="Светильник",3,4)+IF(Методика="нормы 2026",MIN(0.5,MAX(0,N(Q95)-100)*0.005),0))</f>
        <v>4</v>
      </c>
      <c r="DW95" cm="1">
        <f t="array" ref="DW95">IF(OR(B95="",BT95="",DM95&lt;&gt;1),"",_xlfn.LET(_xlpm.sz,Iдоп_S,_xlpm.t_,CHOOSE(DL95,Iдоп_1ж,Iдоп_2ж,Iдоп_3ж)*DJ95*DK95,_xlpm.inn,N(DD95),_xlpm.smin,MAX(1.5,BW95),_xlpm.L_,N(Q95)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95)*(_xlpm.rho*_xlpm.L_/_xlpm.sz*N(BY95)+_xlpm.xx*_xlpm.L_*N(DU95)/1000)*N(P95)/((Uн_лин/SQRT(3))*1000)*100,999),_xlpm.kz,IF(OR(DG95=1,NOT(ISNUMBER(DQ95)),_xlpm.L_=0,_xlpm.inn=0),1,IFERROR(--(c_min*(Uн_лин*1000/SQRT(3))/(DQ95+2*ρкз_Cu*_xlpm.L_/_xlpm.sz)&gt;=GY95*_xlpm.inn),0)),_xlpm.ok,IFERROR((_xlpm.sz&gt;=_xlpm.smin)*(_xlpm.t_&gt;=_xlpm.inn)*IF(_xlpm.L_&gt;0,(_xlpm.du_+DP95&lt;=DV95+0.00001),1)*_xlpm.kz,0),_xlpm.r_,_xlfn._xlws.FILTER(_xlpm.sz,_xlpm.ok,"не подобрано"),INDEX(_xlpm.r_,1)))</f>
        <v>1.5</v>
      </c>
      <c r="DX95">
        <f t="shared" si="171"/>
        <v>1.5</v>
      </c>
      <c r="DY95" cm="1">
        <f t="array" ref="DY95">IF(OR(B95="",BT95="",DM95&lt;&gt;1),"",_xlfn.LET(_xlpm.sz,Iдоп_S,_xlpm.t_,CHOOSE(DL95,Iдоп_1ж,Iдоп_2ж,Iдоп_3ж)*DJ95*DK95,_xlpm.ok,IFERROR((_xlpm.sz&gt;=MAX(1.5,BW95))*(_xlpm.t_&gt;=N(DD95)),0),_xlpm.r_,_xlfn._xlws.FILTER(_xlpm.sz,_xlpm.ok,""),INDEX(_xlpm.r_,1)))</f>
        <v>1.5</v>
      </c>
      <c r="DZ95" s="6" cm="1">
        <f t="array" ref="DZ95">IFERROR(ROUNDUP(N(DT95)*(_xlfn.XLOOKUP(DY95,INDEX(Кабель_сопротивление,0,1),INDEX(Кабель_сопротивление,0,3))*N(Q95)/DY95*N(BY95)+_xlfn.XLOOKUP(DY95,INDEX(Кабель_сопротивление,0,1),INDEX(Кабель_сопротивление,0,2))*N(Q95)*N(DU95)/1000)*N(P95)/((Uн_лин/SQRT(3))*1000)*100,2),"")</f>
        <v>0.16</v>
      </c>
      <c r="EA95">
        <f>IFERROR(2*ρкз_Cu*N(Q95)/DY95,"")</f>
        <v>0.94680000000000009</v>
      </c>
      <c r="EB95">
        <f>IFERROR(VLOOKUP(DX95,Кабель_сопротивление,3,FALSE),"")</f>
        <v>2.2499999999999999E-2</v>
      </c>
      <c r="EC95">
        <f>IFERROR(VLOOKUP(DX95,Кабель_сопротивление,2,FALSE),"")</f>
        <v>0.11</v>
      </c>
      <c r="ED95">
        <f t="shared" si="172"/>
        <v>16</v>
      </c>
      <c r="EE95">
        <f t="shared" si="173"/>
        <v>0</v>
      </c>
      <c r="EF95">
        <f t="shared" si="174"/>
        <v>0.36677613452441249</v>
      </c>
      <c r="EG95" s="6">
        <f>IFERROR(ROUNDUP(EF95/((Uн_лин/SQRT(3))*1000)*100,2),"")</f>
        <v>0.16</v>
      </c>
      <c r="EH95" t="str">
        <f>IFERROR(VLOOKUP(BT95,Кабель_обозначение,2,FALSE),"")</f>
        <v>ВВГнг(А)-LS</v>
      </c>
      <c r="EI95" t="str">
        <f t="shared" si="175"/>
        <v>ВВГнг(А)-LS (3х1,5)</v>
      </c>
      <c r="EJ95" t="str">
        <f t="shared" si="176"/>
        <v>ВВГнг(А)-LS (3х1,5)
L=27-0,16%</v>
      </c>
      <c r="EK95">
        <f>IFERROR(2*ρкз_Cu*Q95/DX95,"")</f>
        <v>0.94680000000000009</v>
      </c>
      <c r="EL95">
        <f t="shared" si="177"/>
        <v>0.315</v>
      </c>
      <c r="EM95" s="6" t="str">
        <f>IFERROR(IF(OR(B95="",NOT(ISNUMBER(DX95)),N(Q95)=0),"",_xlfn.XLOOKUP(A95,Щиты[Щит],Щиты[Zпетли на шинах, Ом])+EK95),"")</f>
        <v/>
      </c>
      <c r="EN95" s="6" t="str">
        <f>IF(ISNUMBER(EM95),c_min*(Uн_лин*1000/SQRT(3))/EM95,"")</f>
        <v/>
      </c>
      <c r="EO95" s="6" t="str">
        <f>IFERROR(IF(OR(B95="",NOT(ISNUMBER(DX95))),"",1.05*(Uн_лин*1000/SQRT(3))/(_xlfn.XLOOKUP(A95,Щиты[Щит],Щиты[Zmax на шинах, Ом])+EL95)/1000),"")</f>
        <v/>
      </c>
      <c r="EP95" s="6" t="str">
        <f>IF(B95="","",IF(ISNUMBER(Y95),"Сил",IF(IFERROR(_xlfn.XLOOKUP(AX95,Коды_код,Коды_группа)&amp;"","")="","Быт",_xlfn.XLOOKUP(AX95,Коды_код,Коды_группа)&amp;"")))</f>
        <v>Сил</v>
      </c>
      <c r="EQ95" s="6" t="str">
        <f t="shared" si="178"/>
        <v>Сил</v>
      </c>
      <c r="ER95" s="6">
        <f>IF(EQ95="Щит","щит",IF(EQ95="","",IF(EQ95="Быт",IFERROR(_xlfn.XLOOKUP(A95,Щиты[Щит],Щиты[Кс быт]),1),IF(EQ95="Сил",IF(ISNUMBER(Y95),Y95,IF(Методика="нормы 2026",IFERROR(_xlfn.XLOOKUP(A95,Щиты[Щит],Щиты[Кс силовых (табл. 7.5)]),1),1)),IF(OR(EQ95="Пост",EQ95="Отоп"),1,IF(EQ95="ВНГ",0.7,0))))))</f>
        <v>0.5</v>
      </c>
      <c r="ES95">
        <f t="shared" si="179"/>
        <v>1</v>
      </c>
      <c r="ET95">
        <f t="shared" si="180"/>
        <v>0.104</v>
      </c>
      <c r="EU95">
        <f t="shared" si="181"/>
        <v>0</v>
      </c>
      <c r="EV95">
        <f t="shared" si="182"/>
        <v>5.1999999999999998E-2</v>
      </c>
      <c r="EW95">
        <f t="shared" si="183"/>
        <v>0</v>
      </c>
      <c r="EX95">
        <f t="shared" si="184"/>
        <v>0</v>
      </c>
      <c r="EY95">
        <f t="shared" si="185"/>
        <v>0</v>
      </c>
      <c r="EZ95">
        <f t="shared" si="186"/>
        <v>0.104</v>
      </c>
      <c r="FA95">
        <f t="shared" si="187"/>
        <v>8.3199999999999996E-2</v>
      </c>
      <c r="FB95">
        <f t="shared" si="188"/>
        <v>0.104</v>
      </c>
      <c r="FC95" t="str">
        <f t="shared" si="189"/>
        <v>L1</v>
      </c>
      <c r="FD95" t="str">
        <f>IF(B95="","",IF(CA95=0,IF(AW95=1,"",FF94),IF(OR(N(CV95)&gt;=3,N(BR95)&gt;=3),"L1,L2,L3",IFERROR(_xlfn.TEXTBEFORE(_xlfn.TEXTAFTER(_xlfn.XLOOKUP(A95,Щиты[Щит],Щиты[_фазы авто]),";"&amp;AW95&amp;":"),";"),"L1"))))</f>
        <v>L1</v>
      </c>
      <c r="FE95" t="str">
        <f t="shared" si="190"/>
        <v>L1</v>
      </c>
      <c r="FF95" t="str">
        <f t="shared" si="191"/>
        <v>L1</v>
      </c>
      <c r="FG95" cm="1">
        <f t="array" ref="FG95">IFERROR(IF(BX95=2,_xlfn.IFS(BR95=3,VLOOKUP(BN95,Справочная_двигатели,3,FALSE),BR95=1,VLOOKUP(BN95,Справочная_двигатели,5,TRUE)),0),0)</f>
        <v>0</v>
      </c>
      <c r="FH95">
        <f>IFERROR(IF(BX95=3,VLOOKUP(BN95,Справочная_ЛЭД,2,TRUE),0),0)</f>
        <v>0</v>
      </c>
      <c r="FI95" s="6">
        <f t="shared" si="192"/>
        <v>0</v>
      </c>
      <c r="FJ95" t="str" cm="1">
        <f t="array" ref="FJ95">IF(B95="","",IFERROR(INDEX({"I особая","I","II","III"},MATCH(TRIM(AC95&amp;""),{"I особая","I","II","III"},0)),"III"))</f>
        <v>II</v>
      </c>
      <c r="FK95" t="str">
        <f>IF(B95="","",IF(TRIM(AD95&amp;"")&lt;&gt;"",IF(LOWER(TRIM(AD95&amp;""))="да","да","нет"),IF(IFERROR(_xlfn.XLOOKUP(AX95,Коды_код,Коды_пожарная),"")="да","да","нет")))</f>
        <v>нет</v>
      </c>
      <c r="FL95" t="str">
        <f t="shared" si="193"/>
        <v/>
      </c>
      <c r="FM95" t="str">
        <f t="shared" si="194"/>
        <v>основная</v>
      </c>
      <c r="FN95">
        <f t="shared" si="195"/>
        <v>1</v>
      </c>
      <c r="FO95" t="str" cm="1">
        <f t="array" ref="FO95">IF(B95="","",_xlfn.LET(_xlpm.t,IFERROR(_xlfn.XLOOKUP(1,(Шины[Шина]=FM95)*(((Шины[Щит]=A95)+(Шины[Щит]=""))&gt;0),Шины[Тип]),"")&amp;"",IF(_xlpm.t&lt;&gt;"",_xlpm.t,IF(ISNUMBER(SEARCH("ИБП",FM95)),"ИБП",IF(ISNUMBER(SEARCH("ДГУ",FM95)),"ДГУ","Ввод "&amp;FN95)))))</f>
        <v>Ввод 1</v>
      </c>
      <c r="FP95" t="str">
        <f t="shared" si="196"/>
        <v>Ввод 1</v>
      </c>
      <c r="FQ95" t="str">
        <f>IF(B95="","",IF(OR(FO95="ИБП",FO95="ДГУ"),"I особая",IF(FO95="Одиночная","III",_xlfn.XLOOKUP(A95,Щиты[Щит],Щиты[Категория шины «Ввод»],"III"))))</f>
        <v>II</v>
      </c>
      <c r="FR95">
        <f>IF(B95="",0,IFERROR(MATCH(FJ95,{"III","II","I","I особая"},0),1))</f>
        <v>2</v>
      </c>
      <c r="FS95">
        <f t="shared" si="197"/>
        <v>2</v>
      </c>
      <c r="FT95" t="str">
        <f>IF(B95="","",IF(FR95&gt;IFERROR(MATCH(FQ95,{"III","II","I","I особая"},0),1),"НЕ ОБЕСПЕЧЕНА","ОК"))</f>
        <v>ОК</v>
      </c>
      <c r="FU95" t="str">
        <f>IF(A95="","",_xlfn.XLOOKUP(A95,Щиты[Щит],Щиты[Путь],""))</f>
        <v>|ГРЩ-ЖД|ЩОВ-002|</v>
      </c>
      <c r="FV95" t="str">
        <f>IF(B95="","",IF(AE95&lt;&gt;"",AE95,IF(IFERROR(_xlfn.XLOOKUP(AX95,Коды_код,Коды_вид)&amp;"","")="","Прочее",_xlfn.XLOOKUP(AX95,Коды_код,Коды_вид)&amp;"")))</f>
        <v>Кондиционирование и увлажнение</v>
      </c>
      <c r="FW95">
        <f>IF(BH95="","",INT((BH95-1)/Столбцов_на_лист)+1)</f>
        <v>3</v>
      </c>
      <c r="FX95" t="str">
        <f t="shared" si="198"/>
        <v>ВВГнг(А)-LS (3х1,5) L=27-0,16%</v>
      </c>
      <c r="FY95">
        <f t="shared" si="199"/>
        <v>0.104</v>
      </c>
      <c r="FZ95">
        <f t="shared" si="200"/>
        <v>0.57000000000000006</v>
      </c>
      <c r="GA95">
        <f t="shared" si="201"/>
        <v>1</v>
      </c>
      <c r="GB95">
        <f t="shared" si="202"/>
        <v>0</v>
      </c>
      <c r="GC95">
        <f t="shared" si="203"/>
        <v>1</v>
      </c>
      <c r="GD95">
        <f>IF(BH95="","",IF(AND(CA95=1,GC95=1),COUNTIFS(A$3:A95,A95,CA$3:CA95,1,GC$3:GC95,1),IF(OR(OR(AW95=1,A95&lt;&gt;A94),AF95="вручную",GC95=0),"",IF(AW95=1,"",GE94))))</f>
        <v>7</v>
      </c>
      <c r="GE95">
        <f t="shared" si="204"/>
        <v>7</v>
      </c>
      <c r="GF95">
        <f>IF(B95="","",IFERROR(LOOKUP(INDEX(CHOOSE(DL95,Iдоп_1ж,Iдоп_2ж,Iдоп_3ж),MATCH(DX95,Iдоп_S,0))*DJ95*DK95,{6,10,16,20,25,32,40,50,63,80,100,125,160,200,250,315,400,500,630}),""))</f>
        <v>16</v>
      </c>
      <c r="GG95" t="str">
        <f t="shared" si="205"/>
        <v>QF7</v>
      </c>
      <c r="GH95" t="str">
        <f t="shared" si="206"/>
        <v>QF7</v>
      </c>
      <c r="GI95" t="str">
        <f t="shared" si="207"/>
        <v/>
      </c>
      <c r="GJ95">
        <f t="shared" si="208"/>
        <v>0</v>
      </c>
      <c r="GK95" t="str">
        <f>IF(OR(AG95="",AG95="-"),"",IFERROR(VLOOKUP(AG95,Модули_спр,2,FALSE),"R"))</f>
        <v/>
      </c>
      <c r="GL95" t="str">
        <f>IF(GK95="","",GK95&amp;"."&amp;COUNTIFS(A$3:A95,A95,GK$3:GK95,GK95))</f>
        <v/>
      </c>
      <c r="GM95" t="str">
        <f t="shared" si="209"/>
        <v/>
      </c>
      <c r="GN95" t="str">
        <f t="shared" si="210"/>
        <v/>
      </c>
      <c r="GO95" t="str">
        <f t="shared" si="211"/>
        <v/>
      </c>
      <c r="GP95" t="str">
        <f t="shared" si="212"/>
        <v/>
      </c>
      <c r="GQ95">
        <f t="shared" si="213"/>
        <v>1</v>
      </c>
      <c r="GR95" t="str">
        <f>IF(GQ95=1,"XT"&amp;COUNTIFS(A$3:A95,A95,GQ$3:GQ95,1),"")</f>
        <v>XT7</v>
      </c>
      <c r="GS95" t="str">
        <f t="shared" si="214"/>
        <v/>
      </c>
      <c r="GT95" t="str">
        <f t="shared" si="215"/>
        <v>QF7</v>
      </c>
      <c r="GU95" t="str">
        <f t="shared" si="216"/>
        <v/>
      </c>
      <c r="GV95" t="str">
        <f t="shared" si="217"/>
        <v>ok</v>
      </c>
      <c r="GW95" t="str">
        <f>IF(OR(GO95="",GM95=""),"",IF(GO95&gt;IFERROR(VLOOKUP(GN95,Модули_спр,3,FALSE),99),"ЛИШНИЙ КАНАЛ",IF(AND(AH95&lt;&gt;"=",COUNTIFS(Линии[_модуль гр.],GM95,Линии[Канал (итог)],GO95,Линии[Канал],"&lt;&gt;=",Линии[Щит],A95)&gt;1),"ДУБЛЬ КАНАЛА","")))</f>
        <v/>
      </c>
      <c r="GX95" s="6" t="str">
        <f t="shared" si="218"/>
        <v/>
      </c>
      <c r="GY95">
        <f t="shared" si="219"/>
        <v>10</v>
      </c>
      <c r="GZ95" t="str">
        <f t="shared" si="220"/>
        <v/>
      </c>
      <c r="HA95" t="str">
        <f>IF(AND(B95="",GT95=""),"",_xlfn.TEXTJOIN("; ",TRUE,IF(AND(B95&lt;&gt;"",FE95=""),"нет фазы",""),IF(AND(B95&lt;&gt;"",N(FY95)=0,EQ95&lt;&gt;"Нет"),"нет мощности",""),IF(AND(GS95&lt;&gt;"",COUNTIFS(Линии[Щит],A95,Линии[Клемма (итог)],GS95)&gt;1),"дубль клеммы "&amp;GS95,""),IF(AND(GV95&lt;&gt;"",GV95&lt;&gt;"ok"),GV95,""),IF(GW95&lt;&gt;"",GW95,""),IF(AND(N(BV95)&gt;=4,N(BR95)=1),BV95&amp;" жил на 1 фазе",""),IF(AND(AX95="R",CA95=1,OR(N(CK95)=0,N(CK95)&gt;30)),"розетка без дифзащиты до 30 мА",""),IFERROR(IF(AND(ISNUMBER(R95),R95&gt;DV95),"потери "&amp;FIXED(R95,1)&amp;" % &gt; "&amp;DV95&amp;" %",""),""),IFERROR(IF(LEFT(GZ95,4)="мало","Iкз мало — отключение &gt; 0,4 с",""),""),IF(AND(B95&lt;&gt;"",BH95=""),"не на схеме",""),IF(AND(CA95=0,B95&lt;&gt;"",FE95&lt;&gt;"",IF(AW95=1,"",FF94)&lt;&gt;"",FE95&lt;&gt;IF(AW95=1,"",FF94)),"фаза не как у автомата группы ("&amp;IF(AW95=1,"",FF94)&amp;")","")))</f>
        <v/>
      </c>
      <c r="HB95" s="6">
        <f>IF(OR(CA95=0,DA95=""),"",_xlfn.LET(_xlpm.t,IFERROR(_xlfn.XLOOKUP(DA95,Каталог!$U$4:$U$500,Каталог!$G$4:$G$500),""),_xlpm.k,SEARCH("кА",_xlpm.t),IFERROR(--TRIM(RIGHT(SUBSTITUTE(MID(_xlpm.t,MAX(1,_xlpm.k-4),_xlpm.k-MAX(1,_xlpm.k-4))," ",REPT(" ",9)),5)),"")))</f>
        <v>6</v>
      </c>
      <c r="HC95" t="str">
        <f>IF(OR(HB95="",CA95=0),"",IF(_xlfn.XLOOKUP(A95,Щиты[Щит],Щиты[Iкз max на шинах, кА],"")="","",IF(HB95&lt;_xlfn.XLOOKUP(A95,Щиты[Щит],Щиты[Iкз max на шинах, кА]),"Icu "&amp;HB95&amp;" кА &lt; Iкз max","ok")))</f>
        <v/>
      </c>
      <c r="HD95" t="str">
        <f t="shared" si="221"/>
        <v/>
      </c>
      <c r="HE95" t="str">
        <f t="shared" si="222"/>
        <v>QF7</v>
      </c>
      <c r="HF95" t="str">
        <f t="shared" si="223"/>
        <v>QF7|кабель ВВГнг(А)-LS (3х1,5) → Внутренний блок кондиционирования Подвальный этаж Пом. №005Т</v>
      </c>
      <c r="HG95" t="str" cm="1">
        <f t="array" ref="HG95">IF(HF95="","",_xlfn.LET(_xlpm.nd,_xlfn.TEXTSPLIT(HF95,"|"),IF(COLUMNS(_xlpm.nd)&gt;1,A95&amp;"¦"&amp;INDEX(_xlpm.nd,1)&amp;"¦"&amp;INDEX(_xlpm.nd,2),"")))</f>
        <v>ЩОВ-002¦QF7¦кабель ВВГнг(А)-LS (3х1,5) → Внутренний блок кондиционирования Подвальный этаж Пом. №005Т</v>
      </c>
      <c r="HH95" t="str">
        <f t="shared" si="224"/>
        <v>K.00.001A¦Внутренний блок кондиционирования Подвальный этаж Пом. №005Т</v>
      </c>
      <c r="HI95" t="str" cm="1">
        <f t="array" ref="HI95">IF(HF95="","",_xlfn.LET(_xlpm.nd,_xlfn.TEXTSPLIT(HF95,"|"),IF(COLUMNS(_xlpm.nd)&gt;2,A95&amp;"¦"&amp;INDEX(_xlpm.nd,2)&amp;"¦"&amp;INDEX(_xlpm.nd,3),"")))</f>
        <v/>
      </c>
      <c r="HJ95" t="str">
        <f t="shared" si="225"/>
        <v/>
      </c>
      <c r="HK95" t="str" cm="1">
        <f t="array" ref="HK95">IF(HF95="","",_xlfn.LET(_xlpm.nd,_xlfn.TEXTSPLIT(HF95,"|"),IF(COLUMNS(_xlpm.nd)&gt;3,A95&amp;"¦"&amp;INDEX(_xlpm.nd,3)&amp;"¦"&amp;INDEX(_xlpm.nd,4),"")))</f>
        <v/>
      </c>
      <c r="HL95" t="str">
        <f t="shared" si="226"/>
        <v/>
      </c>
      <c r="HM95" t="str" cm="1">
        <f t="array" ref="HM95">IF(HF95="","",_xlfn.LET(_xlpm.nd,_xlfn.TEXTSPLIT(HF95,"|"),IF(COLUMNS(_xlpm.nd)&gt;4,A95&amp;"¦"&amp;INDEX(_xlpm.nd,4)&amp;"¦"&amp;INDEX(_xlpm.nd,5),"")))</f>
        <v/>
      </c>
      <c r="HN95" t="str">
        <f t="shared" si="227"/>
        <v/>
      </c>
      <c r="HO95" t="str" cm="1">
        <f t="array" ref="HO95">IF(HF95="","",_xlfn.LET(_xlpm.nd,_xlfn.TEXTSPLIT(HF95,"|"),IF(COLUMNS(_xlpm.nd)&gt;5,A95&amp;"¦"&amp;INDEX(_xlpm.nd,5)&amp;"¦"&amp;INDEX(_xlpm.nd,6),"")))</f>
        <v/>
      </c>
      <c r="HP95" t="str">
        <f t="shared" si="228"/>
        <v/>
      </c>
      <c r="HQ95" t="str" cm="1">
        <f t="array" ref="HQ95">IF(HF95="","",_xlfn.LET(_xlpm.nd,_xlfn.TEXTSPLIT(HF95,"|"),IF(COLUMNS(_xlpm.nd)&gt;6,A95&amp;"¦"&amp;INDEX(_xlpm.nd,6)&amp;"¦"&amp;INDEX(_xlpm.nd,7),"")))</f>
        <v/>
      </c>
      <c r="HR95" t="str">
        <f t="shared" si="229"/>
        <v/>
      </c>
      <c r="HS95" t="str">
        <f t="shared" si="230"/>
        <v/>
      </c>
      <c r="HT95" t="str">
        <f t="shared" si="231"/>
        <v>QF7</v>
      </c>
      <c r="HU95">
        <f t="shared" si="232"/>
        <v>0</v>
      </c>
      <c r="HV95">
        <f t="shared" si="233"/>
        <v>0</v>
      </c>
      <c r="HW95" t="str">
        <f t="shared" si="234"/>
        <v/>
      </c>
      <c r="HX95" t="str">
        <f t="shared" si="235"/>
        <v/>
      </c>
      <c r="HY95" t="str">
        <f t="shared" si="236"/>
        <v/>
      </c>
      <c r="HZ95" t="str">
        <f t="shared" si="237"/>
        <v/>
      </c>
      <c r="IA95">
        <f>IF(B95="","",IFERROR(VLOOKUP(B95,УГО_спр,2,FALSE),IFERROR(VLOOKUP(AX95,УГО_спр,2,FALSE),IFERROR(VLOOKUP(LEFT(AX95,2),УГО_спр,2,FALSE),""))))</f>
        <v>0</v>
      </c>
      <c r="IB95" t="str">
        <f>IF(B95="","",IF(OR(IA95="",IA95=0),"BOX",IFERROR(IF(VLOOKUP(IA95,УГО_блоки,3,FALSE)&amp;""&lt;&gt;"",VLOOKUP(IA95,УГО_блоки,3,FALSE),VLOOKUP(IA95,УГО_блоки,2,FALSE)),IA95)))</f>
        <v>BOX</v>
      </c>
      <c r="IC95">
        <f t="shared" si="238"/>
        <v>1</v>
      </c>
      <c r="ID95" t="str">
        <f>IF(DA95="","",IF(COUNTIF(DA$3:DA95,DA95)=1,MAX(ID$2:ID94)+1,""))</f>
        <v/>
      </c>
      <c r="IE95" t="str">
        <f>IF(CO95="","",IF(COUNTIF(CO$3:CO95,CO95)+COUNTIF(CP$2:CP94,CO95)+COUNTIF(CQ$2:CQ94,CO95)=1,MAX(IE$2:IG94)+1,""))</f>
        <v/>
      </c>
      <c r="IF95" t="str">
        <f>IF(CP95="","",IF(COUNTIF(CO$3:CO95,CP95)+COUNTIF(CP$3:CP95,CP95)+COUNTIF(CQ$2:CQ94,CP95)=1,MAX(IE$2:IG94,IE95)+1,""))</f>
        <v/>
      </c>
      <c r="IG95" t="str">
        <f>IF(CQ95="","",IF(COUNTIF(CO$3:CO95,CQ95)+COUNTIF(CP$3:CP95,CQ95)+COUNTIF(CQ$3:CQ95,CQ95)=1,MAX(IE$2:IG94,IE95,IF95)+1,""))</f>
        <v/>
      </c>
      <c r="IH95" t="str">
        <f t="shared" si="239"/>
        <v>3х1,5</v>
      </c>
      <c r="II95" t="str">
        <f>IF(IH95="","",IF(COUNTIF(IH$3:IH95,IH95)=1,MAX(II$2:II94)+1,""))</f>
        <v/>
      </c>
      <c r="IJ95" t="str">
        <f>IF(GL95="","",COUNTIF(GL$3:GL95,"?*"))</f>
        <v/>
      </c>
      <c r="IK95" t="str">
        <f>IF(OR(GL95="",GN95=""),"",IF(COUNTIFS(GL$3:GL95,"?*",GN$3:GN95,GN95)=1,MAX(IK$2:IK94)+1,""))</f>
        <v/>
      </c>
      <c r="IL95">
        <f t="shared" si="240"/>
        <v>0</v>
      </c>
      <c r="IM95">
        <f>IF(B95="","",COUNTIF(B$3:B95,"?*"))</f>
        <v>93</v>
      </c>
      <c r="IN95">
        <f>IF(GQ95&lt;&gt;1,0,_xlfn.LET(_xlpm.k,MAX(IFERROR(--VLOOKUP(B95,УГО_спр,5,FALSE),0),IFERROR(--VLOOKUP(AX95,УГО_спр,5,FALSE),0),IFERROR(--VLOOKUP(LEFT(AX95,2),УГО_спр,5,FALSE),0)),IF(_xlpm.k&gt;0,_xlpm.k,IF(IFERROR(--LEFT(SUBSTITUTE(IH95,"x","х"),FIND("х",SUBSTITUTE(IH95,"x","х"))-1),3)&gt;3,Каталог!$S$9,1))))</f>
        <v>1</v>
      </c>
      <c r="IO95">
        <f t="shared" si="241"/>
        <v>0</v>
      </c>
      <c r="IP95" t="str">
        <f t="shared" si="242"/>
        <v>авто</v>
      </c>
      <c r="IQ95" t="str">
        <f t="shared" si="243"/>
        <v/>
      </c>
      <c r="IR95">
        <f t="shared" si="244"/>
        <v>0</v>
      </c>
      <c r="IS95">
        <f t="shared" si="245"/>
        <v>1</v>
      </c>
    </row>
    <row r="96" spans="1:253" x14ac:dyDescent="0.3">
      <c r="A96" t="s">
        <v>751</v>
      </c>
      <c r="B96" t="s">
        <v>1367</v>
      </c>
      <c r="C96" t="s">
        <v>1624</v>
      </c>
      <c r="D96">
        <v>1</v>
      </c>
      <c r="E96">
        <v>0.104</v>
      </c>
      <c r="G96">
        <v>10</v>
      </c>
      <c r="H96" t="str">
        <f>Линии[[#This Row],[_авто утечка]]</f>
        <v/>
      </c>
      <c r="I96" t="str">
        <f>Линии[[#This Row],[_авто управление]]</f>
        <v/>
      </c>
      <c r="J96" t="str">
        <f>Линии[[#This Row],[_авто аппараты]]</f>
        <v/>
      </c>
      <c r="K96">
        <v>1.5</v>
      </c>
      <c r="L96">
        <v>30</v>
      </c>
      <c r="M96">
        <v>1</v>
      </c>
      <c r="N96" t="s">
        <v>486</v>
      </c>
      <c r="O96" t="str">
        <f t="shared" si="123"/>
        <v/>
      </c>
      <c r="P96" s="6" cm="1">
        <f t="array" ref="P96">IF(B96="","",IF(BC96&lt;&gt;"",IFERROR(_xlfn.XLOOKUP(BC96,Щиты[Щит],Щиты[Iр, А]),""),IF(BK96=1,IFERROR(_xlfn.XLOOKUP(A96,Щиты[Щит],Щиты[Iр, А]),""),IFERROR(_xlfn.IFS(BR96=1,BN96/((Uн_лин/SQRT(3))*BY96),BR96=3,BN96/(SQRT(3)*Uн_лин*BY96)),""))))</f>
        <v>0.56291651245988494</v>
      </c>
      <c r="Q96" s="7">
        <f>IF(B96="","",IFERROR(IF(VLOOKUP(AX96,Потребители_обозначение,4,FALSE)=1,VLOOKUP(AX96,Потребители_обозначение,3,FALSE)*(D96*2-1)+DS96+VLOOKUP(AZ96,Этаж_обозначение,3,FALSE)+VLOOKUP(AZ96,Этаж_обозначение,4,FALSE),VLOOKUP(AX96,Потребители_обозначение,3,FALSE)*(D96*2-1)+DS96),DS96))</f>
        <v>32</v>
      </c>
      <c r="R96" s="6">
        <f t="shared" si="124"/>
        <v>0.92999999999999994</v>
      </c>
      <c r="S96" t="str">
        <f t="shared" si="125"/>
        <v>ВВГнг(А)-LS (3х1,5)</v>
      </c>
      <c r="T96" t="str">
        <f>IF(BH96="","",IF(BI96="вводной узел","узел ","")&amp;"л."&amp;(INT((BH96-1)/Столбцов_на_лист)+1)&amp;" / "&amp;(MOD(BH96-1,Столбцов_на_лист)+1))</f>
        <v>л.3 / 8</v>
      </c>
      <c r="V96">
        <v>1</v>
      </c>
      <c r="W96">
        <v>230</v>
      </c>
      <c r="X96" t="s">
        <v>600</v>
      </c>
      <c r="Y96">
        <v>0.5</v>
      </c>
      <c r="AC96" t="s">
        <v>815</v>
      </c>
      <c r="AE96" t="s">
        <v>578</v>
      </c>
      <c r="AI96">
        <v>42</v>
      </c>
      <c r="AJ96" t="s">
        <v>11</v>
      </c>
      <c r="AK96">
        <v>3</v>
      </c>
      <c r="AM96">
        <v>14</v>
      </c>
      <c r="AN96">
        <v>18</v>
      </c>
      <c r="AP96">
        <v>1</v>
      </c>
      <c r="AW96" cm="1">
        <f t="array" ref="AW96">ROW()-ROW(Линии[#Headers])</f>
        <v>94</v>
      </c>
      <c r="AX96" s="6" t="str">
        <f t="shared" si="126"/>
        <v>K</v>
      </c>
      <c r="AY96" t="str">
        <f t="shared" si="127"/>
        <v>00.004A</v>
      </c>
      <c r="AZ96" t="str">
        <f t="shared" si="128"/>
        <v>00</v>
      </c>
      <c r="BA96" t="str">
        <f t="shared" si="129"/>
        <v>004A</v>
      </c>
      <c r="BB96" t="str">
        <f t="shared" si="130"/>
        <v>004A</v>
      </c>
      <c r="BC96" t="str">
        <f>IF(U96&lt;&gt;"",U96,IF(AND(B96&lt;&gt;"",B96&lt;&gt;A96,ISNUMBER(_xlfn.XMATCH(B96,Щиты[Щит]))),B96,""))</f>
        <v/>
      </c>
      <c r="BD96" t="str" cm="1">
        <f t="array" ref="BD96">IF(B96="","",IF(BC96&lt;&gt;"","Щит "&amp;BC96,_xlfn.LET(_xlpm.nm,IFERROR(_xlfn.XLOOKUP(AX96,Коды_код,Коды_имя)&amp;"",""),_xlpm.md,IFERROR(N(_xlfn.XLOOKUP(AX96,Коды_код,Коды_режим)),1),_xlpm.ex,IF(Имя_режим="по экспликации",IFERROR(_xlfn.XLOOKUP(AZ96&amp;"|"&amp;BB96,Экспликация[Этаж]&amp;"|"&amp;Экспликация[Помещение],Экспликация[Название])&amp;"",""),""),_xlpm.rm,IF(BB96="","",IF(_xlpm.ex&lt;&gt;"",". "&amp;_xlpm.ex&amp;IF(Имя_пом="нет"," ("&amp;BB96&amp;")"," (пом. "&amp;BB96&amp;")"),IF(Имя_пом="нет"," ",", пом. ")&amp;BB96)),IF(_xlpm.nm="","",IF(_xlpm.md=2,_xlpm.nm&amp;" шлейф "&amp;AZ96,_xlpm.nm&amp;_xlpm.rm)))))</f>
        <v>Внутренний блок кондиционирования, пом. 004A</v>
      </c>
      <c r="BE96" t="str">
        <f t="shared" si="131"/>
        <v>Внутренний блок кондиционирования Подвальный этаж Пом. №002Б</v>
      </c>
      <c r="BF96">
        <f>IFERROR(_xlfn.XMATCH(A96,Щиты[Щит]),0)</f>
        <v>5</v>
      </c>
      <c r="BG96">
        <f>_xlfn.LET(_xlpm.k,IFERROR(_xlfn.XLOOKUP(A96,Щиты[Щит],Щиты[Листов под вводной узел]),""),IF(_xlpm.k="",1,N(_xlpm.k))*Столбцов_на_лист)</f>
        <v>34</v>
      </c>
      <c r="BH96">
        <f t="shared" si="132"/>
        <v>42</v>
      </c>
      <c r="BI96" t="str">
        <f t="shared" si="133"/>
        <v>линии</v>
      </c>
      <c r="BJ96" s="6">
        <f>IFERROR(N(_xlfn.XLOOKUP(AX96,Коды_код,Коды_квт)),0)</f>
        <v>0</v>
      </c>
      <c r="BK96">
        <f t="shared" si="134"/>
        <v>0</v>
      </c>
      <c r="BL96" t="str">
        <f>IF(B96="","",IF(BC96&lt;&gt;"",IFERROR(_xlfn.XLOOKUP(BC96,Щиты[Щит],Щиты[Руст, кВт]),0),IF(BK96=1,IFERROR(_xlfn.XLOOKUP(A96,Щиты[Щит],Щиты[Руст, кВт]),0),IF(BJ96&gt;0,ROUND(BJ96*MAX(1,N(D96)),3),""))))</f>
        <v/>
      </c>
      <c r="BM96">
        <f t="shared" si="135"/>
        <v>0.104</v>
      </c>
      <c r="BN96" s="6">
        <f>IF(B96="","",IF(BC96&lt;&gt;"",IFERROR(_xlfn.XLOOKUP(BC96,Щиты[Щит],Щиты[Руст, кВт]),0),N(BM96)))</f>
        <v>0.104</v>
      </c>
      <c r="BO96" t="str">
        <f>IF(B96="","",IFERROR(IF(VLOOKUP(AX96,Потребители_обозначение,8,FALSE)=0,"",VLOOKUP(AX96,Потребители_обозначение,8,FALSE)),""))</f>
        <v/>
      </c>
      <c r="BP96">
        <f t="shared" si="136"/>
        <v>230</v>
      </c>
      <c r="BQ96">
        <f>IF(B96="","",IF(BC96&lt;&gt;"",3,IFERROR(IF(N(VLOOKUP(AX96,Потребители_обозначение,9,FALSE))=0,1,VLOOKUP(AX96,Потребители_обозначение,9,FALSE)),1)))</f>
        <v>1</v>
      </c>
      <c r="BR96">
        <f t="shared" si="137"/>
        <v>1</v>
      </c>
      <c r="BS96" t="str">
        <f>IF(B96="","",_xlfn.LET(_xlpm.bc,IFERROR(IF(VLOOKUP(AX96,Потребители_обозначение,6,FALSE)=0,"",VLOOKUP(AX96,Потребители_обозначение,6,FALSE)&amp;""),""),IF(AND(FK96="да",OR(_xlpm.bc="",_xlpm.bc="мс")),Марка_пож,IF(AND(_xlpm.bc="",BC96&lt;&gt;""),"мс",_xlpm.bc))))</f>
        <v/>
      </c>
      <c r="BT96" t="str">
        <f t="shared" si="138"/>
        <v>мс</v>
      </c>
      <c r="BU96">
        <f>IF(B96="","",_xlfn.LET(_xlpm.cc,IFERROR(N(VLOOKUP(AX96,Потребители_обозначение,7,FALSE)),0),IF(_xlpm.cc&gt;0,_xlpm.cc,IF(BT96="","",IF(N(BR96)=3,5,3)))))</f>
        <v>3</v>
      </c>
      <c r="BV96">
        <f t="shared" si="139"/>
        <v>3</v>
      </c>
      <c r="BW96">
        <f>IFERROR(N(VLOOKUP(AX96,Потребители_обозначение,10,FALSE)),0)</f>
        <v>0</v>
      </c>
      <c r="BX96">
        <f>IFERROR(VLOOKUP(AX96,Потребители_обозначение,5,FALSE),0)</f>
        <v>1</v>
      </c>
      <c r="BY96" s="6" cm="1">
        <f t="array" ref="BY96">IF(B96="","",IF(BC96&lt;&gt;"",IFERROR(_xlfn.XLOOKUP(BC96,Щиты[Щит],Щиты[cos φ]),0.95),IF(BK96=1,IFERROR(_xlfn.XLOOKUP(A96,Щиты[Щит],Щиты[cos φ]),0.95),IF(ISNUMBER(Z96),Z96,IFERROR(IF(BX96=2,_xlfn.IFS(BR96=3,VLOOKUP(BN96,Справочная_двигатели,8,FALSE),BR96=1,VLOOKUP(BN96,Справочная_двигатели,10,TRUE)),IF(AND(Методика="нормы 2026",EQ96="Сил"),0.8,0.95)),0.95)))))</f>
        <v>0.8</v>
      </c>
      <c r="BZ96">
        <f t="shared" si="140"/>
        <v>0</v>
      </c>
      <c r="CA96">
        <f t="shared" si="141"/>
        <v>1</v>
      </c>
      <c r="CB96">
        <f t="shared" si="142"/>
        <v>0</v>
      </c>
      <c r="CC96">
        <f t="shared" si="143"/>
        <v>0</v>
      </c>
      <c r="CD96">
        <f t="shared" si="144"/>
        <v>0</v>
      </c>
      <c r="CE96">
        <f t="shared" si="145"/>
        <v>0</v>
      </c>
      <c r="CF96">
        <f t="shared" si="146"/>
        <v>0</v>
      </c>
      <c r="CG96">
        <f>IF(AX96="",0,_xlfn.LET(_xlpm.v,IFERROR(VLOOKUP(B96,УГО_спр,3,FALSE),IFERROR(VLOOKUP(AX96,УГО_спр,3,FALSE),IFERROR(VLOOKUP(LEFT(AX96,2),УГО_спр,3,FALSE),""))),IF(_xlpm.v="да",30,IF(ISNUMBER(_xlpm.v),_xlpm.v,0))))</f>
        <v>0</v>
      </c>
      <c r="CH96" t="str">
        <f t="shared" si="147"/>
        <v/>
      </c>
      <c r="CI96" t="str">
        <f>_xlfn.LET(_xlpm.k,IFERROR(_xlfn.XLOOKUP(AX96,Коды_код,Коды_утечка)&amp;"",""),IF(_xlpm.k="","дифавтомат",_xlpm.k))</f>
        <v>дифавтомат</v>
      </c>
      <c r="CJ96">
        <f t="shared" si="148"/>
        <v>0</v>
      </c>
      <c r="CK96">
        <f t="shared" si="149"/>
        <v>0</v>
      </c>
      <c r="CL96">
        <f>IF(B96="",0,IFERROR(--VLOOKUP(B96,УГО_спр,4,FALSE),IFERROR(--VLOOKUP(AX96,УГО_спр,4,FALSE),IFERROR(--VLOOKUP(LEFT(AX96,2),УГО_спр,4,FALSE),0))))</f>
        <v>0</v>
      </c>
      <c r="CM96" t="str">
        <f>IF(B96="","",IFERROR(_xlfn.XLOOKUP(AX96,Коды_код,Коды_апп)&amp;"",""))</f>
        <v/>
      </c>
      <c r="CN96" t="str">
        <f t="shared" si="150"/>
        <v/>
      </c>
      <c r="CO96" t="str" cm="1">
        <f t="array" ref="CO96">IF(TRIM(CN96&amp;"")="","",IFERROR(TRIM(INDEX(_xlfn.TEXTSPLIT(CN96&amp;";;;",";"),1)),""))</f>
        <v/>
      </c>
      <c r="CP96" t="str" cm="1">
        <f t="array" ref="CP96">IF(TRIM(CN96&amp;"")="","",IFERROR(TRIM(INDEX(_xlfn.TEXTSPLIT(CN96&amp;";;;",";"),2)),""))</f>
        <v/>
      </c>
      <c r="CQ96" t="str" cm="1">
        <f t="array" ref="CQ96">IF(TRIM(CN96&amp;"")="","",IFERROR(TRIM(INDEX(_xlfn.TEXTSPLIT(CN96&amp;";;;",";"),3)),""))</f>
        <v/>
      </c>
      <c r="CR96">
        <f t="shared" si="151"/>
        <v>0</v>
      </c>
      <c r="CS96" t="str">
        <f>IF(B96="","",_xlfn.LET(_xlpm.t,LOWER(AV96&amp;""),IF(ISNUMBER(SEARCH("dim",_xlpm.t)),"DIM",IF(ISNUMBER(SEARCH("dali",_xlpm.t)),"DALI",IF(OR(ISNUMBER(SEARCH("relay",_xlpm.t)),ISNUMBER(SEARCH("реле",_xlpm.t))),"Relay",IF(ISNUMBER(SEARCH("кнопк",_xlpm.t)),"",IFERROR(_xlfn.XLOOKUP(AX96,Коды_код,Коды_упр)&amp;"","")))))))</f>
        <v/>
      </c>
      <c r="CT96" t="str">
        <f t="shared" si="152"/>
        <v/>
      </c>
      <c r="CU96">
        <f>IF(B96="","",_xlfn.LET(_xlpm.ig,N(P96)+IF(AF96="вручную",0,N(CB96)),_xlpm.n0,IFERROR(VLOOKUP(_xlpm.ig,Автомат_номиналы,2,TRUE),0),_xlpm.mn,MAX(CL96,IF(AF96="вручную",0,N(CE96))),MAX(_xlpm.n0,_xlpm.mn,IF(CR96=1,Мин_автомат_БП,0))))</f>
        <v>6</v>
      </c>
      <c r="CV96">
        <f t="shared" si="153"/>
        <v>1</v>
      </c>
      <c r="CW96" t="str">
        <f t="shared" si="154"/>
        <v>1P</v>
      </c>
      <c r="CX96" t="str">
        <f>_xlfn.LET(_xlpm.cc,UPPER(TRIM(IFERROR(_xlfn.XLOOKUP(AX96,Коды_код,Коды_хар)&amp;"",""))),IF(OR(_xlpm.cc="B",_xlpm.cc="В"),"B",IF(_xlpm.cc="D","D","С")))</f>
        <v>С</v>
      </c>
      <c r="CY96" t="str">
        <f t="shared" si="155"/>
        <v>1P С6А</v>
      </c>
      <c r="CZ96">
        <f t="shared" si="156"/>
        <v>10</v>
      </c>
      <c r="DA96" t="str">
        <f t="shared" si="157"/>
        <v>1P С10А</v>
      </c>
      <c r="DB96" cm="1">
        <f t="array" ref="DB96">IF(DA96="","",_xlfn.LET(_xlpm.t,SUBSTITUTE(SUBSTITUTE(SUBSTITUTE(UPPER(DA96),"С","C"),"А","A"),"В","B"),_xlpm.tk,_xlfn.TEXTSPLIT(_xlpm.t,"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6" t="str">
        <f t="shared" si="158"/>
        <v>ok</v>
      </c>
      <c r="DD96">
        <f t="shared" si="159"/>
        <v>10</v>
      </c>
      <c r="DE96" t="str">
        <f t="shared" si="160"/>
        <v>1P С10А</v>
      </c>
      <c r="DF96">
        <f t="shared" si="161"/>
        <v>0</v>
      </c>
      <c r="DG96">
        <f t="shared" si="162"/>
        <v>0</v>
      </c>
      <c r="DH96">
        <f t="shared" si="163"/>
        <v>0</v>
      </c>
      <c r="DI96">
        <f t="shared" si="164"/>
        <v>0.56291651245988494</v>
      </c>
      <c r="DJ96">
        <f t="shared" si="165"/>
        <v>1</v>
      </c>
      <c r="DK96">
        <f>IF(ISNUMBER(AL96),AL96,К_прокл)</f>
        <v>1</v>
      </c>
      <c r="DL96">
        <f t="shared" si="166"/>
        <v>2</v>
      </c>
      <c r="DM96">
        <f>IFERROR(N(VLOOKUP(BT96,Кабель_обозначение,3,FALSE)),1)</f>
        <v>1</v>
      </c>
      <c r="DN96">
        <f>IFERROR(N(_xlfn.XLOOKUP(A96,Щиты[Щит],Щиты[ΔU до шин, %])),0)</f>
        <v>0.74</v>
      </c>
      <c r="DO96" t="str">
        <f>IFERROR(_xlfn.XLOOKUP(A96,Щиты[Щит],Щиты[Zпетли на шинах, Ом]),"")</f>
        <v/>
      </c>
      <c r="DP96">
        <f>IFERROR(N(_xlfn.XLOOKUP(A96,Щиты[Щит],Щиты[ΔU до шин (подбор), %])),0)</f>
        <v>1.96</v>
      </c>
      <c r="DQ96" t="str">
        <f>IFERROR(_xlfn.XLOOKUP(A96,Щиты[Щит],Щиты[Zпетли на шинах (подбор), Ом]),"")</f>
        <v/>
      </c>
      <c r="DR96" t="str">
        <f t="shared" si="167"/>
        <v/>
      </c>
      <c r="DS96">
        <f t="shared" si="168"/>
        <v>30</v>
      </c>
      <c r="DT96">
        <f t="shared" si="169"/>
        <v>2</v>
      </c>
      <c r="DU96">
        <f t="shared" si="170"/>
        <v>0.6</v>
      </c>
      <c r="DV96" s="6">
        <f>IF(B96="","",IF(IFERROR(VLOOKUP(AX96,УГО_спр,2,FALSE),"")="Светильник",3,4)+IF(Методика="нормы 2026",MIN(0.5,MAX(0,N(Q96)-100)*0.005),0))</f>
        <v>4</v>
      </c>
      <c r="DW96" cm="1">
        <f t="array" ref="DW96">IF(OR(B96="",BT96="",DM96&lt;&gt;1),"",_xlfn.LET(_xlpm.sz,Iдоп_S,_xlpm.t_,CHOOSE(DL96,Iдоп_1ж,Iдоп_2ж,Iдоп_3ж)*DJ96*DK96,_xlpm.inn,N(DD96),_xlpm.smin,MAX(1.5,BW96),_xlpm.L_,N(Q96)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96)*(_xlpm.rho*_xlpm.L_/_xlpm.sz*N(BY96)+_xlpm.xx*_xlpm.L_*N(DU96)/1000)*N(P96)/((Uн_лин/SQRT(3))*1000)*100,999),_xlpm.kz,IF(OR(DG96=1,NOT(ISNUMBER(DQ96)),_xlpm.L_=0,_xlpm.inn=0),1,IFERROR(--(c_min*(Uн_лин*1000/SQRT(3))/(DQ96+2*ρкз_Cu*_xlpm.L_/_xlpm.sz)&gt;=GY96*_xlpm.inn),0)),_xlpm.ok,IFERROR((_xlpm.sz&gt;=_xlpm.smin)*(_xlpm.t_&gt;=_xlpm.inn)*IF(_xlpm.L_&gt;0,(_xlpm.du_+DP96&lt;=DV96+0.00001),1)*_xlpm.kz,0),_xlpm.r_,_xlfn._xlws.FILTER(_xlpm.sz,_xlpm.ok,"не подобрано"),INDEX(_xlpm.r_,1)))</f>
        <v>1.5</v>
      </c>
      <c r="DX96">
        <f t="shared" si="171"/>
        <v>1.5</v>
      </c>
      <c r="DY96" cm="1">
        <f t="array" ref="DY96">IF(OR(B96="",BT96="",DM96&lt;&gt;1),"",_xlfn.LET(_xlpm.sz,Iдоп_S,_xlpm.t_,CHOOSE(DL96,Iдоп_1ж,Iдоп_2ж,Iдоп_3ж)*DJ96*DK96,_xlpm.ok,IFERROR((_xlpm.sz&gt;=MAX(1.5,BW96))*(_xlpm.t_&gt;=N(DD96)),0),_xlpm.r_,_xlfn._xlws.FILTER(_xlpm.sz,_xlpm.ok,""),INDEX(_xlpm.r_,1)))</f>
        <v>1.5</v>
      </c>
      <c r="DZ96" s="6" cm="1">
        <f t="array" ref="DZ96">IFERROR(ROUNDUP(N(DT96)*(_xlfn.XLOOKUP(DY96,INDEX(Кабель_сопротивление,0,1),INDEX(Кабель_сопротивление,0,3))*N(Q96)/DY96*N(BY96)+_xlfn.XLOOKUP(DY96,INDEX(Кабель_сопротивление,0,1),INDEX(Кабель_сопротивление,0,2))*N(Q96)*N(DU96)/1000)*N(P96)/((Uн_лин/SQRT(3))*1000)*100,2),"")</f>
        <v>0.19</v>
      </c>
      <c r="EA96">
        <f>IFERROR(2*ρкз_Cu*N(Q96)/DY96,"")</f>
        <v>1.1221333333333334</v>
      </c>
      <c r="EB96">
        <f>IFERROR(VLOOKUP(DX96,Кабель_сопротивление,3,FALSE),"")</f>
        <v>2.2499999999999999E-2</v>
      </c>
      <c r="EC96">
        <f>IFERROR(VLOOKUP(DX96,Кабель_сопротивление,2,FALSE),"")</f>
        <v>0.11</v>
      </c>
      <c r="ED96">
        <f t="shared" si="172"/>
        <v>18</v>
      </c>
      <c r="EE96">
        <f t="shared" si="173"/>
        <v>0</v>
      </c>
      <c r="EF96">
        <f t="shared" si="174"/>
        <v>0.4346976409178222</v>
      </c>
      <c r="EG96" s="6">
        <f>IFERROR(ROUNDUP(EF96/((Uн_лин/SQRT(3))*1000)*100,2),"")</f>
        <v>0.19</v>
      </c>
      <c r="EH96" t="str">
        <f>IFERROR(VLOOKUP(BT96,Кабель_обозначение,2,FALSE),"")</f>
        <v>ВВГнг(А)-LS</v>
      </c>
      <c r="EI96" t="str">
        <f t="shared" si="175"/>
        <v>ВВГнг(А)-LS (3х1,5)</v>
      </c>
      <c r="EJ96" t="str">
        <f t="shared" si="176"/>
        <v>ВВГнг(А)-LS (3х1,5)
L=32-0,19%</v>
      </c>
      <c r="EK96">
        <f>IFERROR(2*ρкз_Cu*Q96/DX96,"")</f>
        <v>1.1221333333333334</v>
      </c>
      <c r="EL96">
        <f t="shared" si="177"/>
        <v>0.37333333333333335</v>
      </c>
      <c r="EM96" s="6" t="str">
        <f>IFERROR(IF(OR(B96="",NOT(ISNUMBER(DX96)),N(Q96)=0),"",_xlfn.XLOOKUP(A96,Щиты[Щит],Щиты[Zпетли на шинах, Ом])+EK96),"")</f>
        <v/>
      </c>
      <c r="EN96" s="6" t="str">
        <f>IF(ISNUMBER(EM96),c_min*(Uн_лин*1000/SQRT(3))/EM96,"")</f>
        <v/>
      </c>
      <c r="EO96" s="6" t="str">
        <f>IFERROR(IF(OR(B96="",NOT(ISNUMBER(DX96))),"",1.05*(Uн_лин*1000/SQRT(3))/(_xlfn.XLOOKUP(A96,Щиты[Щит],Щиты[Zmax на шинах, Ом])+EL96)/1000),"")</f>
        <v/>
      </c>
      <c r="EP96" s="6" t="str">
        <f>IF(B96="","",IF(ISNUMBER(Y96),"Сил",IF(IFERROR(_xlfn.XLOOKUP(AX96,Коды_код,Коды_группа)&amp;"","")="","Быт",_xlfn.XLOOKUP(AX96,Коды_код,Коды_группа)&amp;"")))</f>
        <v>Сил</v>
      </c>
      <c r="EQ96" s="6" t="str">
        <f t="shared" si="178"/>
        <v>Сил</v>
      </c>
      <c r="ER96" s="6">
        <f>IF(EQ96="Щит","щит",IF(EQ96="","",IF(EQ96="Быт",IFERROR(_xlfn.XLOOKUP(A96,Щиты[Щит],Щиты[Кс быт]),1),IF(EQ96="Сил",IF(ISNUMBER(Y96),Y96,IF(Методика="нормы 2026",IFERROR(_xlfn.XLOOKUP(A96,Щиты[Щит],Щиты[Кс силовых (табл. 7.5)]),1),1)),IF(OR(EQ96="Пост",EQ96="Отоп"),1,IF(EQ96="ВНГ",0.7,0))))))</f>
        <v>0.5</v>
      </c>
      <c r="ES96">
        <f t="shared" si="179"/>
        <v>1</v>
      </c>
      <c r="ET96">
        <f t="shared" si="180"/>
        <v>0.104</v>
      </c>
      <c r="EU96">
        <f t="shared" si="181"/>
        <v>0</v>
      </c>
      <c r="EV96">
        <f t="shared" si="182"/>
        <v>5.1999999999999998E-2</v>
      </c>
      <c r="EW96">
        <f t="shared" si="183"/>
        <v>0</v>
      </c>
      <c r="EX96">
        <f t="shared" si="184"/>
        <v>0</v>
      </c>
      <c r="EY96">
        <f t="shared" si="185"/>
        <v>0</v>
      </c>
      <c r="EZ96">
        <f t="shared" si="186"/>
        <v>0.104</v>
      </c>
      <c r="FA96">
        <f t="shared" si="187"/>
        <v>8.3199999999999996E-2</v>
      </c>
      <c r="FB96">
        <f t="shared" si="188"/>
        <v>0.104</v>
      </c>
      <c r="FC96" t="str">
        <f t="shared" si="189"/>
        <v>L1</v>
      </c>
      <c r="FD96" t="str">
        <f>IF(B96="","",IF(CA96=0,IF(AW96=1,"",FF95),IF(OR(N(CV96)&gt;=3,N(BR96)&gt;=3),"L1,L2,L3",IFERROR(_xlfn.TEXTBEFORE(_xlfn.TEXTAFTER(_xlfn.XLOOKUP(A96,Щиты[Щит],Щиты[_фазы авто]),";"&amp;AW96&amp;":"),";"),"L1"))))</f>
        <v>L1</v>
      </c>
      <c r="FE96" t="str">
        <f t="shared" si="190"/>
        <v>L1</v>
      </c>
      <c r="FF96" t="str">
        <f t="shared" si="191"/>
        <v>L1</v>
      </c>
      <c r="FG96" cm="1">
        <f t="array" ref="FG96">IFERROR(IF(BX96=2,_xlfn.IFS(BR96=3,VLOOKUP(BN96,Справочная_двигатели,3,FALSE),BR96=1,VLOOKUP(BN96,Справочная_двигатели,5,TRUE)),0),0)</f>
        <v>0</v>
      </c>
      <c r="FH96">
        <f>IFERROR(IF(BX96=3,VLOOKUP(BN96,Справочная_ЛЭД,2,TRUE),0),0)</f>
        <v>0</v>
      </c>
      <c r="FI96" s="6">
        <f t="shared" si="192"/>
        <v>0</v>
      </c>
      <c r="FJ96" t="str" cm="1">
        <f t="array" ref="FJ96">IF(B96="","",IFERROR(INDEX({"I особая","I","II","III"},MATCH(TRIM(AC96&amp;""),{"I особая","I","II","III"},0)),"III"))</f>
        <v>II</v>
      </c>
      <c r="FK96" t="str">
        <f>IF(B96="","",IF(TRIM(AD96&amp;"")&lt;&gt;"",IF(LOWER(TRIM(AD96&amp;""))="да","да","нет"),IF(IFERROR(_xlfn.XLOOKUP(AX96,Коды_код,Коды_пожарная),"")="да","да","нет")))</f>
        <v>нет</v>
      </c>
      <c r="FL96" t="str">
        <f t="shared" si="193"/>
        <v/>
      </c>
      <c r="FM96" t="str">
        <f t="shared" si="194"/>
        <v>основная</v>
      </c>
      <c r="FN96">
        <f t="shared" si="195"/>
        <v>1</v>
      </c>
      <c r="FO96" t="str" cm="1">
        <f t="array" ref="FO96">IF(B96="","",_xlfn.LET(_xlpm.t,IFERROR(_xlfn.XLOOKUP(1,(Шины[Шина]=FM96)*(((Шины[Щит]=A96)+(Шины[Щит]=""))&gt;0),Шины[Тип]),"")&amp;"",IF(_xlpm.t&lt;&gt;"",_xlpm.t,IF(ISNUMBER(SEARCH("ИБП",FM96)),"ИБП",IF(ISNUMBER(SEARCH("ДГУ",FM96)),"ДГУ","Ввод "&amp;FN96)))))</f>
        <v>Ввод 1</v>
      </c>
      <c r="FP96" t="str">
        <f t="shared" si="196"/>
        <v>Ввод 1</v>
      </c>
      <c r="FQ96" t="str">
        <f>IF(B96="","",IF(OR(FO96="ИБП",FO96="ДГУ"),"I особая",IF(FO96="Одиночная","III",_xlfn.XLOOKUP(A96,Щиты[Щит],Щиты[Категория шины «Ввод»],"III"))))</f>
        <v>II</v>
      </c>
      <c r="FR96">
        <f>IF(B96="",0,IFERROR(MATCH(FJ96,{"III","II","I","I особая"},0),1))</f>
        <v>2</v>
      </c>
      <c r="FS96">
        <f t="shared" si="197"/>
        <v>2</v>
      </c>
      <c r="FT96" t="str">
        <f>IF(B96="","",IF(FR96&gt;IFERROR(MATCH(FQ96,{"III","II","I","I особая"},0),1),"НЕ ОБЕСПЕЧЕНА","ОК"))</f>
        <v>ОК</v>
      </c>
      <c r="FU96" t="str">
        <f>IF(A96="","",_xlfn.XLOOKUP(A96,Щиты[Щит],Щиты[Путь],""))</f>
        <v>|ГРЩ-ЖД|ЩОВ-002|</v>
      </c>
      <c r="FV96" t="str">
        <f>IF(B96="","",IF(AE96&lt;&gt;"",AE96,IF(IFERROR(_xlfn.XLOOKUP(AX96,Коды_код,Коды_вид)&amp;"","")="","Прочее",_xlfn.XLOOKUP(AX96,Коды_код,Коды_вид)&amp;"")))</f>
        <v>Кондиционирование и увлажнение</v>
      </c>
      <c r="FW96">
        <f>IF(BH96="","",INT((BH96-1)/Столбцов_на_лист)+1)</f>
        <v>3</v>
      </c>
      <c r="FX96" t="str">
        <f t="shared" si="198"/>
        <v>ВВГнг(А)-LS (3х1,5) L=32-0,19%</v>
      </c>
      <c r="FY96">
        <f t="shared" si="199"/>
        <v>0.104</v>
      </c>
      <c r="FZ96">
        <f t="shared" si="200"/>
        <v>0.57000000000000006</v>
      </c>
      <c r="GA96">
        <f t="shared" si="201"/>
        <v>1</v>
      </c>
      <c r="GB96">
        <f t="shared" si="202"/>
        <v>0</v>
      </c>
      <c r="GC96">
        <f t="shared" si="203"/>
        <v>1</v>
      </c>
      <c r="GD96">
        <f>IF(BH96="","",IF(AND(CA96=1,GC96=1),COUNTIFS(A$3:A96,A96,CA$3:CA96,1,GC$3:GC96,1),IF(OR(OR(AW96=1,A96&lt;&gt;A95),AF96="вручную",GC96=0),"",IF(AW96=1,"",GE95))))</f>
        <v>8</v>
      </c>
      <c r="GE96">
        <f t="shared" si="204"/>
        <v>8</v>
      </c>
      <c r="GF96">
        <f>IF(B96="","",IFERROR(LOOKUP(INDEX(CHOOSE(DL96,Iдоп_1ж,Iдоп_2ж,Iдоп_3ж),MATCH(DX96,Iдоп_S,0))*DJ96*DK96,{6,10,16,20,25,32,40,50,63,80,100,125,160,200,250,315,400,500,630}),""))</f>
        <v>16</v>
      </c>
      <c r="GG96" t="str">
        <f t="shared" si="205"/>
        <v>QF8</v>
      </c>
      <c r="GH96" t="str">
        <f t="shared" si="206"/>
        <v>QF8</v>
      </c>
      <c r="GI96" t="str">
        <f t="shared" si="207"/>
        <v/>
      </c>
      <c r="GJ96">
        <f t="shared" si="208"/>
        <v>0</v>
      </c>
      <c r="GK96" t="str">
        <f>IF(OR(AG96="",AG96="-"),"",IFERROR(VLOOKUP(AG96,Модули_спр,2,FALSE),"R"))</f>
        <v/>
      </c>
      <c r="GL96" t="str">
        <f>IF(GK96="","",GK96&amp;"."&amp;COUNTIFS(A$3:A96,A96,GK$3:GK96,GK96))</f>
        <v/>
      </c>
      <c r="GM96" t="str">
        <f t="shared" si="209"/>
        <v/>
      </c>
      <c r="GN96" t="str">
        <f t="shared" si="210"/>
        <v/>
      </c>
      <c r="GO96" t="str">
        <f t="shared" si="211"/>
        <v/>
      </c>
      <c r="GP96" t="str">
        <f t="shared" si="212"/>
        <v/>
      </c>
      <c r="GQ96">
        <f t="shared" si="213"/>
        <v>1</v>
      </c>
      <c r="GR96" t="str">
        <f>IF(GQ96=1,"XT"&amp;COUNTIFS(A$3:A96,A96,GQ$3:GQ96,1),"")</f>
        <v>XT8</v>
      </c>
      <c r="GS96" t="str">
        <f t="shared" si="214"/>
        <v/>
      </c>
      <c r="GT96" t="str">
        <f t="shared" si="215"/>
        <v>QF8</v>
      </c>
      <c r="GU96" t="str">
        <f t="shared" si="216"/>
        <v/>
      </c>
      <c r="GV96" t="str">
        <f t="shared" si="217"/>
        <v>ok</v>
      </c>
      <c r="GW96" t="str">
        <f>IF(OR(GO96="",GM96=""),"",IF(GO96&gt;IFERROR(VLOOKUP(GN96,Модули_спр,3,FALSE),99),"ЛИШНИЙ КАНАЛ",IF(AND(AH96&lt;&gt;"=",COUNTIFS(Линии[_модуль гр.],GM96,Линии[Канал (итог)],GO96,Линии[Канал],"&lt;&gt;=",Линии[Щит],A96)&gt;1),"ДУБЛЬ КАНАЛА","")))</f>
        <v/>
      </c>
      <c r="GX96" s="6" t="str">
        <f t="shared" si="218"/>
        <v/>
      </c>
      <c r="GY96">
        <f t="shared" si="219"/>
        <v>10</v>
      </c>
      <c r="GZ96" t="str">
        <f t="shared" si="220"/>
        <v/>
      </c>
      <c r="HA96" t="str">
        <f>IF(AND(B96="",GT96=""),"",_xlfn.TEXTJOIN("; ",TRUE,IF(AND(B96&lt;&gt;"",FE96=""),"нет фазы",""),IF(AND(B96&lt;&gt;"",N(FY96)=0,EQ96&lt;&gt;"Нет"),"нет мощности",""),IF(AND(GS96&lt;&gt;"",COUNTIFS(Линии[Щит],A96,Линии[Клемма (итог)],GS96)&gt;1),"дубль клеммы "&amp;GS96,""),IF(AND(GV96&lt;&gt;"",GV96&lt;&gt;"ok"),GV96,""),IF(GW96&lt;&gt;"",GW96,""),IF(AND(N(BV96)&gt;=4,N(BR96)=1),BV96&amp;" жил на 1 фазе",""),IF(AND(AX96="R",CA96=1,OR(N(CK96)=0,N(CK96)&gt;30)),"розетка без дифзащиты до 30 мА",""),IFERROR(IF(AND(ISNUMBER(R96),R96&gt;DV96),"потери "&amp;FIXED(R96,1)&amp;" % &gt; "&amp;DV96&amp;" %",""),""),IFERROR(IF(LEFT(GZ96,4)="мало","Iкз мало — отключение &gt; 0,4 с",""),""),IF(AND(B96&lt;&gt;"",BH96=""),"не на схеме",""),IF(AND(CA96=0,B96&lt;&gt;"",FE96&lt;&gt;"",IF(AW96=1,"",FF95)&lt;&gt;"",FE96&lt;&gt;IF(AW96=1,"",FF95)),"фаза не как у автомата группы ("&amp;IF(AW96=1,"",FF95)&amp;")","")))</f>
        <v/>
      </c>
      <c r="HB96" s="6">
        <f>IF(OR(CA96=0,DA96=""),"",_xlfn.LET(_xlpm.t,IFERROR(_xlfn.XLOOKUP(DA96,Каталог!$U$4:$U$500,Каталог!$G$4:$G$500),""),_xlpm.k,SEARCH("кА",_xlpm.t),IFERROR(--TRIM(RIGHT(SUBSTITUTE(MID(_xlpm.t,MAX(1,_xlpm.k-4),_xlpm.k-MAX(1,_xlpm.k-4))," ",REPT(" ",9)),5)),"")))</f>
        <v>6</v>
      </c>
      <c r="HC96" t="str">
        <f>IF(OR(HB96="",CA96=0),"",IF(_xlfn.XLOOKUP(A96,Щиты[Щит],Щиты[Iкз max на шинах, кА],"")="","",IF(HB96&lt;_xlfn.XLOOKUP(A96,Щиты[Щит],Щиты[Iкз max на шинах, кА]),"Icu "&amp;HB96&amp;" кА &lt; Iкз max","ok")))</f>
        <v/>
      </c>
      <c r="HD96" t="str">
        <f t="shared" si="221"/>
        <v/>
      </c>
      <c r="HE96" t="str">
        <f t="shared" si="222"/>
        <v>QF8</v>
      </c>
      <c r="HF96" t="str">
        <f t="shared" si="223"/>
        <v>QF8|кабель ВВГнг(А)-LS (3х1,5) → Внутренний блок кондиционирования Подвальный этаж Пом. №002Б</v>
      </c>
      <c r="HG96" t="str" cm="1">
        <f t="array" ref="HG96">IF(HF96="","",_xlfn.LET(_xlpm.nd,_xlfn.TEXTSPLIT(HF96,"|"),IF(COLUMNS(_xlpm.nd)&gt;1,A96&amp;"¦"&amp;INDEX(_xlpm.nd,1)&amp;"¦"&amp;INDEX(_xlpm.nd,2),"")))</f>
        <v>ЩОВ-002¦QF8¦кабель ВВГнг(А)-LS (3х1,5) → Внутренний блок кондиционирования Подвальный этаж Пом. №002Б</v>
      </c>
      <c r="HH96" t="str">
        <f t="shared" si="224"/>
        <v>K.00.004A¦Внутренний блок кондиционирования Подвальный этаж Пом. №002Б</v>
      </c>
      <c r="HI96" t="str" cm="1">
        <f t="array" ref="HI96">IF(HF96="","",_xlfn.LET(_xlpm.nd,_xlfn.TEXTSPLIT(HF96,"|"),IF(COLUMNS(_xlpm.nd)&gt;2,A96&amp;"¦"&amp;INDEX(_xlpm.nd,2)&amp;"¦"&amp;INDEX(_xlpm.nd,3),"")))</f>
        <v/>
      </c>
      <c r="HJ96" t="str">
        <f t="shared" si="225"/>
        <v/>
      </c>
      <c r="HK96" t="str" cm="1">
        <f t="array" ref="HK96">IF(HF96="","",_xlfn.LET(_xlpm.nd,_xlfn.TEXTSPLIT(HF96,"|"),IF(COLUMNS(_xlpm.nd)&gt;3,A96&amp;"¦"&amp;INDEX(_xlpm.nd,3)&amp;"¦"&amp;INDEX(_xlpm.nd,4),"")))</f>
        <v/>
      </c>
      <c r="HL96" t="str">
        <f t="shared" si="226"/>
        <v/>
      </c>
      <c r="HM96" t="str" cm="1">
        <f t="array" ref="HM96">IF(HF96="","",_xlfn.LET(_xlpm.nd,_xlfn.TEXTSPLIT(HF96,"|"),IF(COLUMNS(_xlpm.nd)&gt;4,A96&amp;"¦"&amp;INDEX(_xlpm.nd,4)&amp;"¦"&amp;INDEX(_xlpm.nd,5),"")))</f>
        <v/>
      </c>
      <c r="HN96" t="str">
        <f t="shared" si="227"/>
        <v/>
      </c>
      <c r="HO96" t="str" cm="1">
        <f t="array" ref="HO96">IF(HF96="","",_xlfn.LET(_xlpm.nd,_xlfn.TEXTSPLIT(HF96,"|"),IF(COLUMNS(_xlpm.nd)&gt;5,A96&amp;"¦"&amp;INDEX(_xlpm.nd,5)&amp;"¦"&amp;INDEX(_xlpm.nd,6),"")))</f>
        <v/>
      </c>
      <c r="HP96" t="str">
        <f t="shared" si="228"/>
        <v/>
      </c>
      <c r="HQ96" t="str" cm="1">
        <f t="array" ref="HQ96">IF(HF96="","",_xlfn.LET(_xlpm.nd,_xlfn.TEXTSPLIT(HF96,"|"),IF(COLUMNS(_xlpm.nd)&gt;6,A96&amp;"¦"&amp;INDEX(_xlpm.nd,6)&amp;"¦"&amp;INDEX(_xlpm.nd,7),"")))</f>
        <v/>
      </c>
      <c r="HR96" t="str">
        <f t="shared" si="229"/>
        <v/>
      </c>
      <c r="HS96" t="str">
        <f t="shared" si="230"/>
        <v/>
      </c>
      <c r="HT96" t="str">
        <f t="shared" si="231"/>
        <v>QF8</v>
      </c>
      <c r="HU96">
        <f t="shared" si="232"/>
        <v>0</v>
      </c>
      <c r="HV96">
        <f t="shared" si="233"/>
        <v>0</v>
      </c>
      <c r="HW96" t="str">
        <f t="shared" si="234"/>
        <v/>
      </c>
      <c r="HX96" t="str">
        <f t="shared" si="235"/>
        <v/>
      </c>
      <c r="HY96" t="str">
        <f t="shared" si="236"/>
        <v/>
      </c>
      <c r="HZ96" t="str">
        <f t="shared" si="237"/>
        <v/>
      </c>
      <c r="IA96">
        <f>IF(B96="","",IFERROR(VLOOKUP(B96,УГО_спр,2,FALSE),IFERROR(VLOOKUP(AX96,УГО_спр,2,FALSE),IFERROR(VLOOKUP(LEFT(AX96,2),УГО_спр,2,FALSE),""))))</f>
        <v>0</v>
      </c>
      <c r="IB96" t="str">
        <f>IF(B96="","",IF(OR(IA96="",IA96=0),"BOX",IFERROR(IF(VLOOKUP(IA96,УГО_блоки,3,FALSE)&amp;""&lt;&gt;"",VLOOKUP(IA96,УГО_блоки,3,FALSE),VLOOKUP(IA96,УГО_блоки,2,FALSE)),IA96)))</f>
        <v>BOX</v>
      </c>
      <c r="IC96">
        <f t="shared" si="238"/>
        <v>1</v>
      </c>
      <c r="ID96" t="str">
        <f>IF(DA96="","",IF(COUNTIF(DA$3:DA96,DA96)=1,MAX(ID$2:ID95)+1,""))</f>
        <v/>
      </c>
      <c r="IE96" t="str">
        <f>IF(CO96="","",IF(COUNTIF(CO$3:CO96,CO96)+COUNTIF(CP$2:CP95,CO96)+COUNTIF(CQ$2:CQ95,CO96)=1,MAX(IE$2:IG95)+1,""))</f>
        <v/>
      </c>
      <c r="IF96" t="str">
        <f>IF(CP96="","",IF(COUNTIF(CO$3:CO96,CP96)+COUNTIF(CP$3:CP96,CP96)+COUNTIF(CQ$2:CQ95,CP96)=1,MAX(IE$2:IG95,IE96)+1,""))</f>
        <v/>
      </c>
      <c r="IG96" t="str">
        <f>IF(CQ96="","",IF(COUNTIF(CO$3:CO96,CQ96)+COUNTIF(CP$3:CP96,CQ96)+COUNTIF(CQ$3:CQ96,CQ96)=1,MAX(IE$2:IG95,IE96,IF96)+1,""))</f>
        <v/>
      </c>
      <c r="IH96" t="str">
        <f t="shared" si="239"/>
        <v>3х1,5</v>
      </c>
      <c r="II96" t="str">
        <f>IF(IH96="","",IF(COUNTIF(IH$3:IH96,IH96)=1,MAX(II$2:II95)+1,""))</f>
        <v/>
      </c>
      <c r="IJ96" t="str">
        <f>IF(GL96="","",COUNTIF(GL$3:GL96,"?*"))</f>
        <v/>
      </c>
      <c r="IK96" t="str">
        <f>IF(OR(GL96="",GN96=""),"",IF(COUNTIFS(GL$3:GL96,"?*",GN$3:GN96,GN96)=1,MAX(IK$2:IK95)+1,""))</f>
        <v/>
      </c>
      <c r="IL96">
        <f t="shared" si="240"/>
        <v>0</v>
      </c>
      <c r="IM96">
        <f>IF(B96="","",COUNTIF(B$3:B96,"?*"))</f>
        <v>94</v>
      </c>
      <c r="IN96">
        <f>IF(GQ96&lt;&gt;1,0,_xlfn.LET(_xlpm.k,MAX(IFERROR(--VLOOKUP(B96,УГО_спр,5,FALSE),0),IFERROR(--VLOOKUP(AX96,УГО_спр,5,FALSE),0),IFERROR(--VLOOKUP(LEFT(AX96,2),УГО_спр,5,FALSE),0)),IF(_xlpm.k&gt;0,_xlpm.k,IF(IFERROR(--LEFT(SUBSTITUTE(IH96,"x","х"),FIND("х",SUBSTITUTE(IH96,"x","х"))-1),3)&gt;3,Каталог!$S$9,1))))</f>
        <v>1</v>
      </c>
      <c r="IO96">
        <f t="shared" si="241"/>
        <v>0</v>
      </c>
      <c r="IP96" t="str">
        <f t="shared" si="242"/>
        <v>авто</v>
      </c>
      <c r="IQ96" t="str">
        <f t="shared" si="243"/>
        <v/>
      </c>
      <c r="IR96">
        <f t="shared" si="244"/>
        <v>0</v>
      </c>
      <c r="IS96">
        <f t="shared" si="245"/>
        <v>1</v>
      </c>
    </row>
    <row r="97" spans="1:253" x14ac:dyDescent="0.3">
      <c r="A97" t="s">
        <v>751</v>
      </c>
      <c r="B97" t="s">
        <v>1368</v>
      </c>
      <c r="C97" t="s">
        <v>1625</v>
      </c>
      <c r="D97">
        <v>1</v>
      </c>
      <c r="E97">
        <v>0.104</v>
      </c>
      <c r="G97">
        <v>10</v>
      </c>
      <c r="H97" t="str">
        <f>Линии[[#This Row],[_авто утечка]]</f>
        <v/>
      </c>
      <c r="I97" t="str">
        <f>Линии[[#This Row],[_авто управление]]</f>
        <v/>
      </c>
      <c r="J97" t="str">
        <f>Линии[[#This Row],[_авто аппараты]]</f>
        <v/>
      </c>
      <c r="K97">
        <v>1.5</v>
      </c>
      <c r="L97">
        <v>14</v>
      </c>
      <c r="M97">
        <v>1</v>
      </c>
      <c r="N97" t="s">
        <v>486</v>
      </c>
      <c r="O97" t="str">
        <f t="shared" si="123"/>
        <v/>
      </c>
      <c r="P97" s="6" cm="1">
        <f t="array" ref="P97">IF(B97="","",IF(BC97&lt;&gt;"",IFERROR(_xlfn.XLOOKUP(BC97,Щиты[Щит],Щиты[Iр, А]),""),IF(BK97=1,IFERROR(_xlfn.XLOOKUP(A97,Щиты[Щит],Щиты[Iр, А]),""),IFERROR(_xlfn.IFS(BR97=1,BN97/((Uн_лин/SQRT(3))*BY97),BR97=3,BN97/(SQRT(3)*Uн_лин*BY97)),""))))</f>
        <v>0.56291651245988494</v>
      </c>
      <c r="Q97" s="7">
        <f>IF(B97="","",IFERROR(IF(VLOOKUP(AX97,Потребители_обозначение,4,FALSE)=1,VLOOKUP(AX97,Потребители_обозначение,3,FALSE)*(D97*2-1)+DS97+VLOOKUP(AZ97,Этаж_обозначение,3,FALSE)+VLOOKUP(AZ97,Этаж_обозначение,4,FALSE),VLOOKUP(AX97,Потребители_обозначение,3,FALSE)*(D97*2-1)+DS97),DS97))</f>
        <v>16</v>
      </c>
      <c r="R97" s="6">
        <f t="shared" si="124"/>
        <v>0.84</v>
      </c>
      <c r="S97" t="str">
        <f t="shared" si="125"/>
        <v>ВВГнг(А)-LS (3х1,5)</v>
      </c>
      <c r="T97" t="str">
        <f>IF(BH97="","",IF(BI97="вводной узел","узел ","")&amp;"л."&amp;(INT((BH97-1)/Столбцов_на_лист)+1)&amp;" / "&amp;(MOD(BH97-1,Столбцов_на_лист)+1))</f>
        <v>л.3 / 9</v>
      </c>
      <c r="V97">
        <v>1</v>
      </c>
      <c r="W97">
        <v>230</v>
      </c>
      <c r="X97" t="s">
        <v>600</v>
      </c>
      <c r="Y97">
        <v>0.5</v>
      </c>
      <c r="AC97" t="s">
        <v>815</v>
      </c>
      <c r="AE97" t="s">
        <v>578</v>
      </c>
      <c r="AI97">
        <v>43</v>
      </c>
      <c r="AJ97" t="s">
        <v>11</v>
      </c>
      <c r="AK97">
        <v>3</v>
      </c>
      <c r="AM97">
        <v>4</v>
      </c>
      <c r="AN97">
        <v>12</v>
      </c>
      <c r="AP97">
        <v>1</v>
      </c>
      <c r="AW97" cm="1">
        <f t="array" ref="AW97">ROW()-ROW(Линии[#Headers])</f>
        <v>95</v>
      </c>
      <c r="AX97" s="6" t="str">
        <f t="shared" si="126"/>
        <v>K</v>
      </c>
      <c r="AY97" t="str">
        <f t="shared" si="127"/>
        <v>00.004T.1</v>
      </c>
      <c r="AZ97" t="str">
        <f t="shared" si="128"/>
        <v>00</v>
      </c>
      <c r="BA97" t="str">
        <f t="shared" si="129"/>
        <v>004T.1</v>
      </c>
      <c r="BB97" t="str">
        <f t="shared" si="130"/>
        <v>004T</v>
      </c>
      <c r="BC97" t="str">
        <f>IF(U97&lt;&gt;"",U97,IF(AND(B97&lt;&gt;"",B97&lt;&gt;A97,ISNUMBER(_xlfn.XMATCH(B97,Щиты[Щит]))),B97,""))</f>
        <v/>
      </c>
      <c r="BD97" t="str" cm="1">
        <f t="array" ref="BD97">IF(B97="","",IF(BC97&lt;&gt;"","Щит "&amp;BC97,_xlfn.LET(_xlpm.nm,IFERROR(_xlfn.XLOOKUP(AX97,Коды_код,Коды_имя)&amp;"",""),_xlpm.md,IFERROR(N(_xlfn.XLOOKUP(AX97,Коды_код,Коды_режим)),1),_xlpm.ex,IF(Имя_режим="по экспликации",IFERROR(_xlfn.XLOOKUP(AZ97&amp;"|"&amp;BB97,Экспликация[Этаж]&amp;"|"&amp;Экспликация[Помещение],Экспликация[Название])&amp;"",""),""),_xlpm.rm,IF(BB97="","",IF(_xlpm.ex&lt;&gt;"",". "&amp;_xlpm.ex&amp;IF(Имя_пом="нет"," ("&amp;BB97&amp;")"," (пом. "&amp;BB97&amp;")"),IF(Имя_пом="нет"," ",", пом. ")&amp;BB97)),IF(_xlpm.nm="","",IF(_xlpm.md=2,_xlpm.nm&amp;" шлейф "&amp;AZ97,_xlpm.nm&amp;_xlpm.rm)))))</f>
        <v>Внутренний блок кондиционирования, пом. 004T</v>
      </c>
      <c r="BE97" t="str">
        <f t="shared" si="131"/>
        <v>Внутренний блок кондиционирования Подвальный этаж Пом. №004Т</v>
      </c>
      <c r="BF97">
        <f>IFERROR(_xlfn.XMATCH(A97,Щиты[Щит]),0)</f>
        <v>5</v>
      </c>
      <c r="BG97">
        <f>_xlfn.LET(_xlpm.k,IFERROR(_xlfn.XLOOKUP(A97,Щиты[Щит],Щиты[Листов под вводной узел]),""),IF(_xlpm.k="",1,N(_xlpm.k))*Столбцов_на_лист)</f>
        <v>34</v>
      </c>
      <c r="BH97">
        <f t="shared" si="132"/>
        <v>43</v>
      </c>
      <c r="BI97" t="str">
        <f t="shared" si="133"/>
        <v>линии</v>
      </c>
      <c r="BJ97" s="6">
        <f>IFERROR(N(_xlfn.XLOOKUP(AX97,Коды_код,Коды_квт)),0)</f>
        <v>0</v>
      </c>
      <c r="BK97">
        <f t="shared" si="134"/>
        <v>0</v>
      </c>
      <c r="BL97" t="str">
        <f>IF(B97="","",IF(BC97&lt;&gt;"",IFERROR(_xlfn.XLOOKUP(BC97,Щиты[Щит],Щиты[Руст, кВт]),0),IF(BK97=1,IFERROR(_xlfn.XLOOKUP(A97,Щиты[Щит],Щиты[Руст, кВт]),0),IF(BJ97&gt;0,ROUND(BJ97*MAX(1,N(D97)),3),""))))</f>
        <v/>
      </c>
      <c r="BM97">
        <f t="shared" si="135"/>
        <v>0.104</v>
      </c>
      <c r="BN97" s="6">
        <f>IF(B97="","",IF(BC97&lt;&gt;"",IFERROR(_xlfn.XLOOKUP(BC97,Щиты[Щит],Щиты[Руст, кВт]),0),N(BM97)))</f>
        <v>0.104</v>
      </c>
      <c r="BO97" t="str">
        <f>IF(B97="","",IFERROR(IF(VLOOKUP(AX97,Потребители_обозначение,8,FALSE)=0,"",VLOOKUP(AX97,Потребители_обозначение,8,FALSE)),""))</f>
        <v/>
      </c>
      <c r="BP97">
        <f t="shared" si="136"/>
        <v>230</v>
      </c>
      <c r="BQ97">
        <f>IF(B97="","",IF(BC97&lt;&gt;"",3,IFERROR(IF(N(VLOOKUP(AX97,Потребители_обозначение,9,FALSE))=0,1,VLOOKUP(AX97,Потребители_обозначение,9,FALSE)),1)))</f>
        <v>1</v>
      </c>
      <c r="BR97">
        <f t="shared" si="137"/>
        <v>1</v>
      </c>
      <c r="BS97" t="str">
        <f>IF(B97="","",_xlfn.LET(_xlpm.bc,IFERROR(IF(VLOOKUP(AX97,Потребители_обозначение,6,FALSE)=0,"",VLOOKUP(AX97,Потребители_обозначение,6,FALSE)&amp;""),""),IF(AND(FK97="да",OR(_xlpm.bc="",_xlpm.bc="мс")),Марка_пож,IF(AND(_xlpm.bc="",BC97&lt;&gt;""),"мс",_xlpm.bc))))</f>
        <v/>
      </c>
      <c r="BT97" t="str">
        <f t="shared" si="138"/>
        <v>мс</v>
      </c>
      <c r="BU97">
        <f>IF(B97="","",_xlfn.LET(_xlpm.cc,IFERROR(N(VLOOKUP(AX97,Потребители_обозначение,7,FALSE)),0),IF(_xlpm.cc&gt;0,_xlpm.cc,IF(BT97="","",IF(N(BR97)=3,5,3)))))</f>
        <v>3</v>
      </c>
      <c r="BV97">
        <f t="shared" si="139"/>
        <v>3</v>
      </c>
      <c r="BW97">
        <f>IFERROR(N(VLOOKUP(AX97,Потребители_обозначение,10,FALSE)),0)</f>
        <v>0</v>
      </c>
      <c r="BX97">
        <f>IFERROR(VLOOKUP(AX97,Потребители_обозначение,5,FALSE),0)</f>
        <v>1</v>
      </c>
      <c r="BY97" s="6" cm="1">
        <f t="array" ref="BY97">IF(B97="","",IF(BC97&lt;&gt;"",IFERROR(_xlfn.XLOOKUP(BC97,Щиты[Щит],Щиты[cos φ]),0.95),IF(BK97=1,IFERROR(_xlfn.XLOOKUP(A97,Щиты[Щит],Щиты[cos φ]),0.95),IF(ISNUMBER(Z97),Z97,IFERROR(IF(BX97=2,_xlfn.IFS(BR97=3,VLOOKUP(BN97,Справочная_двигатели,8,FALSE),BR97=1,VLOOKUP(BN97,Справочная_двигатели,10,TRUE)),IF(AND(Методика="нормы 2026",EQ97="Сил"),0.8,0.95)),0.95)))))</f>
        <v>0.8</v>
      </c>
      <c r="BZ97">
        <f t="shared" si="140"/>
        <v>0</v>
      </c>
      <c r="CA97">
        <f t="shared" si="141"/>
        <v>1</v>
      </c>
      <c r="CB97">
        <f t="shared" si="142"/>
        <v>0</v>
      </c>
      <c r="CC97">
        <f t="shared" si="143"/>
        <v>0</v>
      </c>
      <c r="CD97">
        <f t="shared" si="144"/>
        <v>0</v>
      </c>
      <c r="CE97">
        <f t="shared" si="145"/>
        <v>0</v>
      </c>
      <c r="CF97">
        <f t="shared" si="146"/>
        <v>0</v>
      </c>
      <c r="CG97">
        <f>IF(AX97="",0,_xlfn.LET(_xlpm.v,IFERROR(VLOOKUP(B97,УГО_спр,3,FALSE),IFERROR(VLOOKUP(AX97,УГО_спр,3,FALSE),IFERROR(VLOOKUP(LEFT(AX97,2),УГО_спр,3,FALSE),""))),IF(_xlpm.v="да",30,IF(ISNUMBER(_xlpm.v),_xlpm.v,0))))</f>
        <v>0</v>
      </c>
      <c r="CH97" t="str">
        <f t="shared" si="147"/>
        <v/>
      </c>
      <c r="CI97" t="str">
        <f>_xlfn.LET(_xlpm.k,IFERROR(_xlfn.XLOOKUP(AX97,Коды_код,Коды_утечка)&amp;"",""),IF(_xlpm.k="","дифавтомат",_xlpm.k))</f>
        <v>дифавтомат</v>
      </c>
      <c r="CJ97">
        <f t="shared" si="148"/>
        <v>0</v>
      </c>
      <c r="CK97">
        <f t="shared" si="149"/>
        <v>0</v>
      </c>
      <c r="CL97">
        <f>IF(B97="",0,IFERROR(--VLOOKUP(B97,УГО_спр,4,FALSE),IFERROR(--VLOOKUP(AX97,УГО_спр,4,FALSE),IFERROR(--VLOOKUP(LEFT(AX97,2),УГО_спр,4,FALSE),0))))</f>
        <v>0</v>
      </c>
      <c r="CM97" t="str">
        <f>IF(B97="","",IFERROR(_xlfn.XLOOKUP(AX97,Коды_код,Коды_апп)&amp;"",""))</f>
        <v/>
      </c>
      <c r="CN97" t="str">
        <f t="shared" si="150"/>
        <v/>
      </c>
      <c r="CO97" t="str" cm="1">
        <f t="array" ref="CO97">IF(TRIM(CN97&amp;"")="","",IFERROR(TRIM(INDEX(_xlfn.TEXTSPLIT(CN97&amp;";;;",";"),1)),""))</f>
        <v/>
      </c>
      <c r="CP97" t="str" cm="1">
        <f t="array" ref="CP97">IF(TRIM(CN97&amp;"")="","",IFERROR(TRIM(INDEX(_xlfn.TEXTSPLIT(CN97&amp;";;;",";"),2)),""))</f>
        <v/>
      </c>
      <c r="CQ97" t="str" cm="1">
        <f t="array" ref="CQ97">IF(TRIM(CN97&amp;"")="","",IFERROR(TRIM(INDEX(_xlfn.TEXTSPLIT(CN97&amp;";;;",";"),3)),""))</f>
        <v/>
      </c>
      <c r="CR97">
        <f t="shared" si="151"/>
        <v>0</v>
      </c>
      <c r="CS97" t="str">
        <f>IF(B97="","",_xlfn.LET(_xlpm.t,LOWER(AV97&amp;""),IF(ISNUMBER(SEARCH("dim",_xlpm.t)),"DIM",IF(ISNUMBER(SEARCH("dali",_xlpm.t)),"DALI",IF(OR(ISNUMBER(SEARCH("relay",_xlpm.t)),ISNUMBER(SEARCH("реле",_xlpm.t))),"Relay",IF(ISNUMBER(SEARCH("кнопк",_xlpm.t)),"",IFERROR(_xlfn.XLOOKUP(AX97,Коды_код,Коды_упр)&amp;"","")))))))</f>
        <v/>
      </c>
      <c r="CT97" t="str">
        <f t="shared" si="152"/>
        <v/>
      </c>
      <c r="CU97">
        <f>IF(B97="","",_xlfn.LET(_xlpm.ig,N(P97)+IF(AF97="вручную",0,N(CB97)),_xlpm.n0,IFERROR(VLOOKUP(_xlpm.ig,Автомат_номиналы,2,TRUE),0),_xlpm.mn,MAX(CL97,IF(AF97="вручную",0,N(CE97))),MAX(_xlpm.n0,_xlpm.mn,IF(CR97=1,Мин_автомат_БП,0))))</f>
        <v>6</v>
      </c>
      <c r="CV97">
        <f t="shared" si="153"/>
        <v>1</v>
      </c>
      <c r="CW97" t="str">
        <f t="shared" si="154"/>
        <v>1P</v>
      </c>
      <c r="CX97" t="str">
        <f>_xlfn.LET(_xlpm.cc,UPPER(TRIM(IFERROR(_xlfn.XLOOKUP(AX97,Коды_код,Коды_хар)&amp;"",""))),IF(OR(_xlpm.cc="B",_xlpm.cc="В"),"B",IF(_xlpm.cc="D","D","С")))</f>
        <v>С</v>
      </c>
      <c r="CY97" t="str">
        <f t="shared" si="155"/>
        <v>1P С6А</v>
      </c>
      <c r="CZ97">
        <f t="shared" si="156"/>
        <v>10</v>
      </c>
      <c r="DA97" t="str">
        <f t="shared" si="157"/>
        <v>1P С10А</v>
      </c>
      <c r="DB97" cm="1">
        <f t="array" ref="DB97">IF(DA97="","",_xlfn.LET(_xlpm.t,SUBSTITUTE(SUBSTITUTE(SUBSTITUTE(UPPER(DA97),"С","C"),"А","A"),"В","B"),_xlpm.tk,_xlfn.TEXTSPLIT(_xlpm.t,"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7" t="str">
        <f t="shared" si="158"/>
        <v>ok</v>
      </c>
      <c r="DD97">
        <f t="shared" si="159"/>
        <v>10</v>
      </c>
      <c r="DE97" t="str">
        <f t="shared" si="160"/>
        <v>1P С10А</v>
      </c>
      <c r="DF97">
        <f t="shared" si="161"/>
        <v>0</v>
      </c>
      <c r="DG97">
        <f t="shared" si="162"/>
        <v>0</v>
      </c>
      <c r="DH97">
        <f t="shared" si="163"/>
        <v>0</v>
      </c>
      <c r="DI97">
        <f t="shared" si="164"/>
        <v>0.56291651245988494</v>
      </c>
      <c r="DJ97">
        <f t="shared" si="165"/>
        <v>1</v>
      </c>
      <c r="DK97">
        <f>IF(ISNUMBER(AL97),AL97,К_прокл)</f>
        <v>1</v>
      </c>
      <c r="DL97">
        <f t="shared" si="166"/>
        <v>2</v>
      </c>
      <c r="DM97">
        <f>IFERROR(N(VLOOKUP(BT97,Кабель_обозначение,3,FALSE)),1)</f>
        <v>1</v>
      </c>
      <c r="DN97">
        <f>IFERROR(N(_xlfn.XLOOKUP(A97,Щиты[Щит],Щиты[ΔU до шин, %])),0)</f>
        <v>0.74</v>
      </c>
      <c r="DO97" t="str">
        <f>IFERROR(_xlfn.XLOOKUP(A97,Щиты[Щит],Щиты[Zпетли на шинах, Ом]),"")</f>
        <v/>
      </c>
      <c r="DP97">
        <f>IFERROR(N(_xlfn.XLOOKUP(A97,Щиты[Щит],Щиты[ΔU до шин (подбор), %])),0)</f>
        <v>1.96</v>
      </c>
      <c r="DQ97" t="str">
        <f>IFERROR(_xlfn.XLOOKUP(A97,Щиты[Щит],Щиты[Zпетли на шинах (подбор), Ом]),"")</f>
        <v/>
      </c>
      <c r="DR97" t="str">
        <f t="shared" si="167"/>
        <v/>
      </c>
      <c r="DS97">
        <f t="shared" si="168"/>
        <v>14</v>
      </c>
      <c r="DT97">
        <f t="shared" si="169"/>
        <v>2</v>
      </c>
      <c r="DU97">
        <f t="shared" si="170"/>
        <v>0.6</v>
      </c>
      <c r="DV97" s="6">
        <f>IF(B97="","",IF(IFERROR(VLOOKUP(AX97,УГО_спр,2,FALSE),"")="Светильник",3,4)+IF(Методика="нормы 2026",MIN(0.5,MAX(0,N(Q97)-100)*0.005),0))</f>
        <v>4</v>
      </c>
      <c r="DW97" cm="1">
        <f t="array" ref="DW97">IF(OR(B97="",BT97="",DM97&lt;&gt;1),"",_xlfn.LET(_xlpm.sz,Iдоп_S,_xlpm.t_,CHOOSE(DL97,Iдоп_1ж,Iдоп_2ж,Iдоп_3ж)*DJ97*DK97,_xlpm.inn,N(DD97),_xlpm.smin,MAX(1.5,BW97),_xlpm.L_,N(Q97)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97)*(_xlpm.rho*_xlpm.L_/_xlpm.sz*N(BY97)+_xlpm.xx*_xlpm.L_*N(DU97)/1000)*N(P97)/((Uн_лин/SQRT(3))*1000)*100,999),_xlpm.kz,IF(OR(DG97=1,NOT(ISNUMBER(DQ97)),_xlpm.L_=0,_xlpm.inn=0),1,IFERROR(--(c_min*(Uн_лин*1000/SQRT(3))/(DQ97+2*ρкз_Cu*_xlpm.L_/_xlpm.sz)&gt;=GY97*_xlpm.inn),0)),_xlpm.ok,IFERROR((_xlpm.sz&gt;=_xlpm.smin)*(_xlpm.t_&gt;=_xlpm.inn)*IF(_xlpm.L_&gt;0,(_xlpm.du_+DP97&lt;=DV97+0.00001),1)*_xlpm.kz,0),_xlpm.r_,_xlfn._xlws.FILTER(_xlpm.sz,_xlpm.ok,"не подобрано"),INDEX(_xlpm.r_,1)))</f>
        <v>1.5</v>
      </c>
      <c r="DX97">
        <f t="shared" si="171"/>
        <v>1.5</v>
      </c>
      <c r="DY97" cm="1">
        <f t="array" ref="DY97">IF(OR(B97="",BT97="",DM97&lt;&gt;1),"",_xlfn.LET(_xlpm.sz,Iдоп_S,_xlpm.t_,CHOOSE(DL97,Iдоп_1ж,Iдоп_2ж,Iдоп_3ж)*DJ97*DK97,_xlpm.ok,IFERROR((_xlpm.sz&gt;=MAX(1.5,BW97))*(_xlpm.t_&gt;=N(DD97)),0),_xlpm.r_,_xlfn._xlws.FILTER(_xlpm.sz,_xlpm.ok,""),INDEX(_xlpm.r_,1)))</f>
        <v>1.5</v>
      </c>
      <c r="DZ97" s="6" cm="1">
        <f t="array" ref="DZ97">IFERROR(ROUNDUP(N(DT97)*(_xlfn.XLOOKUP(DY97,INDEX(Кабель_сопротивление,0,1),INDEX(Кабель_сопротивление,0,3))*N(Q97)/DY97*N(BY97)+_xlfn.XLOOKUP(DY97,INDEX(Кабель_сопротивление,0,1),INDEX(Кабель_сопротивление,0,2))*N(Q97)*N(DU97)/1000)*N(P97)/((Uн_лин/SQRT(3))*1000)*100,2),"")</f>
        <v>9.9999999999999992E-2</v>
      </c>
      <c r="EA97">
        <f>IFERROR(2*ρкз_Cu*N(Q97)/DY97,"")</f>
        <v>0.56106666666666671</v>
      </c>
      <c r="EB97">
        <f>IFERROR(VLOOKUP(DX97,Кабель_сопротивление,3,FALSE),"")</f>
        <v>2.2499999999999999E-2</v>
      </c>
      <c r="EC97">
        <f>IFERROR(VLOOKUP(DX97,Кабель_сопротивление,2,FALSE),"")</f>
        <v>0.11</v>
      </c>
      <c r="ED97">
        <f t="shared" si="172"/>
        <v>12</v>
      </c>
      <c r="EE97">
        <f t="shared" si="173"/>
        <v>0</v>
      </c>
      <c r="EF97">
        <f t="shared" si="174"/>
        <v>0.2173488204589111</v>
      </c>
      <c r="EG97" s="6">
        <f>IFERROR(ROUNDUP(EF97/((Uн_лин/SQRT(3))*1000)*100,2),"")</f>
        <v>9.9999999999999992E-2</v>
      </c>
      <c r="EH97" t="str">
        <f>IFERROR(VLOOKUP(BT97,Кабель_обозначение,2,FALSE),"")</f>
        <v>ВВГнг(А)-LS</v>
      </c>
      <c r="EI97" t="str">
        <f t="shared" si="175"/>
        <v>ВВГнг(А)-LS (3х1,5)</v>
      </c>
      <c r="EJ97" t="str">
        <f t="shared" si="176"/>
        <v>ВВГнг(А)-LS (3х1,5)
L=16-0,1%</v>
      </c>
      <c r="EK97">
        <f>IFERROR(2*ρкз_Cu*Q97/DX97,"")</f>
        <v>0.56106666666666671</v>
      </c>
      <c r="EL97">
        <f t="shared" si="177"/>
        <v>0.18666666666666668</v>
      </c>
      <c r="EM97" s="6" t="str">
        <f>IFERROR(IF(OR(B97="",NOT(ISNUMBER(DX97)),N(Q97)=0),"",_xlfn.XLOOKUP(A97,Щиты[Щит],Щиты[Zпетли на шинах, Ом])+EK97),"")</f>
        <v/>
      </c>
      <c r="EN97" s="6" t="str">
        <f>IF(ISNUMBER(EM97),c_min*(Uн_лин*1000/SQRT(3))/EM97,"")</f>
        <v/>
      </c>
      <c r="EO97" s="6" t="str">
        <f>IFERROR(IF(OR(B97="",NOT(ISNUMBER(DX97))),"",1.05*(Uн_лин*1000/SQRT(3))/(_xlfn.XLOOKUP(A97,Щиты[Щит],Щиты[Zmax на шинах, Ом])+EL97)/1000),"")</f>
        <v/>
      </c>
      <c r="EP97" s="6" t="str">
        <f>IF(B97="","",IF(ISNUMBER(Y97),"Сил",IF(IFERROR(_xlfn.XLOOKUP(AX97,Коды_код,Коды_группа)&amp;"","")="","Быт",_xlfn.XLOOKUP(AX97,Коды_код,Коды_группа)&amp;"")))</f>
        <v>Сил</v>
      </c>
      <c r="EQ97" s="6" t="str">
        <f t="shared" si="178"/>
        <v>Сил</v>
      </c>
      <c r="ER97" s="6">
        <f>IF(EQ97="Щит","щит",IF(EQ97="","",IF(EQ97="Быт",IFERROR(_xlfn.XLOOKUP(A97,Щиты[Щит],Щиты[Кс быт]),1),IF(EQ97="Сил",IF(ISNUMBER(Y97),Y97,IF(Методика="нормы 2026",IFERROR(_xlfn.XLOOKUP(A97,Щиты[Щит],Щиты[Кс силовых (табл. 7.5)]),1),1)),IF(OR(EQ97="Пост",EQ97="Отоп"),1,IF(EQ97="ВНГ",0.7,0))))))</f>
        <v>0.5</v>
      </c>
      <c r="ES97">
        <f t="shared" si="179"/>
        <v>1</v>
      </c>
      <c r="ET97">
        <f t="shared" si="180"/>
        <v>0.104</v>
      </c>
      <c r="EU97">
        <f t="shared" si="181"/>
        <v>0</v>
      </c>
      <c r="EV97">
        <f t="shared" si="182"/>
        <v>5.1999999999999998E-2</v>
      </c>
      <c r="EW97">
        <f t="shared" si="183"/>
        <v>0</v>
      </c>
      <c r="EX97">
        <f t="shared" si="184"/>
        <v>0</v>
      </c>
      <c r="EY97">
        <f t="shared" si="185"/>
        <v>0</v>
      </c>
      <c r="EZ97">
        <f t="shared" si="186"/>
        <v>0.104</v>
      </c>
      <c r="FA97">
        <f t="shared" si="187"/>
        <v>8.3199999999999996E-2</v>
      </c>
      <c r="FB97">
        <f t="shared" si="188"/>
        <v>0.104</v>
      </c>
      <c r="FC97" t="str">
        <f t="shared" si="189"/>
        <v>L1</v>
      </c>
      <c r="FD97" t="str">
        <f>IF(B97="","",IF(CA97=0,IF(AW97=1,"",FF96),IF(OR(N(CV97)&gt;=3,N(BR97)&gt;=3),"L1,L2,L3",IFERROR(_xlfn.TEXTBEFORE(_xlfn.TEXTAFTER(_xlfn.XLOOKUP(A97,Щиты[Щит],Щиты[_фазы авто]),";"&amp;AW97&amp;":"),";"),"L1"))))</f>
        <v>L1</v>
      </c>
      <c r="FE97" t="str">
        <f t="shared" si="190"/>
        <v>L1</v>
      </c>
      <c r="FF97" t="str">
        <f t="shared" si="191"/>
        <v>L1</v>
      </c>
      <c r="FG97" cm="1">
        <f t="array" ref="FG97">IFERROR(IF(BX97=2,_xlfn.IFS(BR97=3,VLOOKUP(BN97,Справочная_двигатели,3,FALSE),BR97=1,VLOOKUP(BN97,Справочная_двигатели,5,TRUE)),0),0)</f>
        <v>0</v>
      </c>
      <c r="FH97">
        <f>IFERROR(IF(BX97=3,VLOOKUP(BN97,Справочная_ЛЭД,2,TRUE),0),0)</f>
        <v>0</v>
      </c>
      <c r="FI97" s="6">
        <f t="shared" si="192"/>
        <v>0</v>
      </c>
      <c r="FJ97" t="str" cm="1">
        <f t="array" ref="FJ97">IF(B97="","",IFERROR(INDEX({"I особая","I","II","III"},MATCH(TRIM(AC97&amp;""),{"I особая","I","II","III"},0)),"III"))</f>
        <v>II</v>
      </c>
      <c r="FK97" t="str">
        <f>IF(B97="","",IF(TRIM(AD97&amp;"")&lt;&gt;"",IF(LOWER(TRIM(AD97&amp;""))="да","да","нет"),IF(IFERROR(_xlfn.XLOOKUP(AX97,Коды_код,Коды_пожарная),"")="да","да","нет")))</f>
        <v>нет</v>
      </c>
      <c r="FL97" t="str">
        <f t="shared" si="193"/>
        <v/>
      </c>
      <c r="FM97" t="str">
        <f t="shared" si="194"/>
        <v>основная</v>
      </c>
      <c r="FN97">
        <f t="shared" si="195"/>
        <v>1</v>
      </c>
      <c r="FO97" t="str" cm="1">
        <f t="array" ref="FO97">IF(B97="","",_xlfn.LET(_xlpm.t,IFERROR(_xlfn.XLOOKUP(1,(Шины[Шина]=FM97)*(((Шины[Щит]=A97)+(Шины[Щит]=""))&gt;0),Шины[Тип]),"")&amp;"",IF(_xlpm.t&lt;&gt;"",_xlpm.t,IF(ISNUMBER(SEARCH("ИБП",FM97)),"ИБП",IF(ISNUMBER(SEARCH("ДГУ",FM97)),"ДГУ","Ввод "&amp;FN97)))))</f>
        <v>Ввод 1</v>
      </c>
      <c r="FP97" t="str">
        <f t="shared" si="196"/>
        <v>Ввод 1</v>
      </c>
      <c r="FQ97" t="str">
        <f>IF(B97="","",IF(OR(FO97="ИБП",FO97="ДГУ"),"I особая",IF(FO97="Одиночная","III",_xlfn.XLOOKUP(A97,Щиты[Щит],Щиты[Категория шины «Ввод»],"III"))))</f>
        <v>II</v>
      </c>
      <c r="FR97">
        <f>IF(B97="",0,IFERROR(MATCH(FJ97,{"III","II","I","I особая"},0),1))</f>
        <v>2</v>
      </c>
      <c r="FS97">
        <f t="shared" si="197"/>
        <v>2</v>
      </c>
      <c r="FT97" t="str">
        <f>IF(B97="","",IF(FR97&gt;IFERROR(MATCH(FQ97,{"III","II","I","I особая"},0),1),"НЕ ОБЕСПЕЧЕНА","ОК"))</f>
        <v>ОК</v>
      </c>
      <c r="FU97" t="str">
        <f>IF(A97="","",_xlfn.XLOOKUP(A97,Щиты[Щит],Щиты[Путь],""))</f>
        <v>|ГРЩ-ЖД|ЩОВ-002|</v>
      </c>
      <c r="FV97" t="str">
        <f>IF(B97="","",IF(AE97&lt;&gt;"",AE97,IF(IFERROR(_xlfn.XLOOKUP(AX97,Коды_код,Коды_вид)&amp;"","")="","Прочее",_xlfn.XLOOKUP(AX97,Коды_код,Коды_вид)&amp;"")))</f>
        <v>Кондиционирование и увлажнение</v>
      </c>
      <c r="FW97">
        <f>IF(BH97="","",INT((BH97-1)/Столбцов_на_лист)+1)</f>
        <v>3</v>
      </c>
      <c r="FX97" t="str">
        <f t="shared" si="198"/>
        <v>ВВГнг(А)-LS (3х1,5) L=16-0,1%</v>
      </c>
      <c r="FY97">
        <f t="shared" si="199"/>
        <v>0.104</v>
      </c>
      <c r="FZ97">
        <f t="shared" si="200"/>
        <v>0.57000000000000006</v>
      </c>
      <c r="GA97">
        <f t="shared" si="201"/>
        <v>1</v>
      </c>
      <c r="GB97">
        <f t="shared" si="202"/>
        <v>0</v>
      </c>
      <c r="GC97">
        <f t="shared" si="203"/>
        <v>1</v>
      </c>
      <c r="GD97">
        <f>IF(BH97="","",IF(AND(CA97=1,GC97=1),COUNTIFS(A$3:A97,A97,CA$3:CA97,1,GC$3:GC97,1),IF(OR(OR(AW97=1,A97&lt;&gt;A96),AF97="вручную",GC97=0),"",IF(AW97=1,"",GE96))))</f>
        <v>9</v>
      </c>
      <c r="GE97">
        <f t="shared" si="204"/>
        <v>9</v>
      </c>
      <c r="GF97">
        <f>IF(B97="","",IFERROR(LOOKUP(INDEX(CHOOSE(DL97,Iдоп_1ж,Iдоп_2ж,Iдоп_3ж),MATCH(DX97,Iдоп_S,0))*DJ97*DK97,{6,10,16,20,25,32,40,50,63,80,100,125,160,200,250,315,400,500,630}),""))</f>
        <v>16</v>
      </c>
      <c r="GG97" t="str">
        <f t="shared" si="205"/>
        <v>QF9</v>
      </c>
      <c r="GH97" t="str">
        <f t="shared" si="206"/>
        <v>QF9</v>
      </c>
      <c r="GI97" t="str">
        <f t="shared" si="207"/>
        <v/>
      </c>
      <c r="GJ97">
        <f t="shared" si="208"/>
        <v>0</v>
      </c>
      <c r="GK97" t="str">
        <f>IF(OR(AG97="",AG97="-"),"",IFERROR(VLOOKUP(AG97,Модули_спр,2,FALSE),"R"))</f>
        <v/>
      </c>
      <c r="GL97" t="str">
        <f>IF(GK97="","",GK97&amp;"."&amp;COUNTIFS(A$3:A97,A97,GK$3:GK97,GK97))</f>
        <v/>
      </c>
      <c r="GM97" t="str">
        <f t="shared" si="209"/>
        <v/>
      </c>
      <c r="GN97" t="str">
        <f t="shared" si="210"/>
        <v/>
      </c>
      <c r="GO97" t="str">
        <f t="shared" si="211"/>
        <v/>
      </c>
      <c r="GP97" t="str">
        <f t="shared" si="212"/>
        <v/>
      </c>
      <c r="GQ97">
        <f t="shared" si="213"/>
        <v>1</v>
      </c>
      <c r="GR97" t="str">
        <f>IF(GQ97=1,"XT"&amp;COUNTIFS(A$3:A97,A97,GQ$3:GQ97,1),"")</f>
        <v>XT9</v>
      </c>
      <c r="GS97" t="str">
        <f t="shared" si="214"/>
        <v/>
      </c>
      <c r="GT97" t="str">
        <f t="shared" si="215"/>
        <v>QF9</v>
      </c>
      <c r="GU97" t="str">
        <f t="shared" si="216"/>
        <v/>
      </c>
      <c r="GV97" t="str">
        <f t="shared" si="217"/>
        <v>ok</v>
      </c>
      <c r="GW97" t="str">
        <f>IF(OR(GO97="",GM97=""),"",IF(GO97&gt;IFERROR(VLOOKUP(GN97,Модули_спр,3,FALSE),99),"ЛИШНИЙ КАНАЛ",IF(AND(AH97&lt;&gt;"=",COUNTIFS(Линии[_модуль гр.],GM97,Линии[Канал (итог)],GO97,Линии[Канал],"&lt;&gt;=",Линии[Щит],A97)&gt;1),"ДУБЛЬ КАНАЛА","")))</f>
        <v/>
      </c>
      <c r="GX97" s="6" t="str">
        <f t="shared" si="218"/>
        <v/>
      </c>
      <c r="GY97">
        <f t="shared" si="219"/>
        <v>10</v>
      </c>
      <c r="GZ97" t="str">
        <f t="shared" si="220"/>
        <v/>
      </c>
      <c r="HA97" t="str">
        <f>IF(AND(B97="",GT97=""),"",_xlfn.TEXTJOIN("; ",TRUE,IF(AND(B97&lt;&gt;"",FE97=""),"нет фазы",""),IF(AND(B97&lt;&gt;"",N(FY97)=0,EQ97&lt;&gt;"Нет"),"нет мощности",""),IF(AND(GS97&lt;&gt;"",COUNTIFS(Линии[Щит],A97,Линии[Клемма (итог)],GS97)&gt;1),"дубль клеммы "&amp;GS97,""),IF(AND(GV97&lt;&gt;"",GV97&lt;&gt;"ok"),GV97,""),IF(GW97&lt;&gt;"",GW97,""),IF(AND(N(BV97)&gt;=4,N(BR97)=1),BV97&amp;" жил на 1 фазе",""),IF(AND(AX97="R",CA97=1,OR(N(CK97)=0,N(CK97)&gt;30)),"розетка без дифзащиты до 30 мА",""),IFERROR(IF(AND(ISNUMBER(R97),R97&gt;DV97),"потери "&amp;FIXED(R97,1)&amp;" % &gt; "&amp;DV97&amp;" %",""),""),IFERROR(IF(LEFT(GZ97,4)="мало","Iкз мало — отключение &gt; 0,4 с",""),""),IF(AND(B97&lt;&gt;"",BH97=""),"не на схеме",""),IF(AND(CA97=0,B97&lt;&gt;"",FE97&lt;&gt;"",IF(AW97=1,"",FF96)&lt;&gt;"",FE97&lt;&gt;IF(AW97=1,"",FF96)),"фаза не как у автомата группы ("&amp;IF(AW97=1,"",FF96)&amp;")","")))</f>
        <v/>
      </c>
      <c r="HB97" s="6">
        <f>IF(OR(CA97=0,DA97=""),"",_xlfn.LET(_xlpm.t,IFERROR(_xlfn.XLOOKUP(DA97,Каталог!$U$4:$U$500,Каталог!$G$4:$G$500),""),_xlpm.k,SEARCH("кА",_xlpm.t),IFERROR(--TRIM(RIGHT(SUBSTITUTE(MID(_xlpm.t,MAX(1,_xlpm.k-4),_xlpm.k-MAX(1,_xlpm.k-4))," ",REPT(" ",9)),5)),"")))</f>
        <v>6</v>
      </c>
      <c r="HC97" t="str">
        <f>IF(OR(HB97="",CA97=0),"",IF(_xlfn.XLOOKUP(A97,Щиты[Щит],Щиты[Iкз max на шинах, кА],"")="","",IF(HB97&lt;_xlfn.XLOOKUP(A97,Щиты[Щит],Щиты[Iкз max на шинах, кА]),"Icu "&amp;HB97&amp;" кА &lt; Iкз max","ok")))</f>
        <v/>
      </c>
      <c r="HD97" t="str">
        <f t="shared" si="221"/>
        <v/>
      </c>
      <c r="HE97" t="str">
        <f t="shared" si="222"/>
        <v>QF9</v>
      </c>
      <c r="HF97" t="str">
        <f t="shared" si="223"/>
        <v>QF9|кабель ВВГнг(А)-LS (3х1,5) → Внутренний блок кондиционирования Подвальный этаж Пом. №004Т</v>
      </c>
      <c r="HG97" t="str" cm="1">
        <f t="array" ref="HG97">IF(HF97="","",_xlfn.LET(_xlpm.nd,_xlfn.TEXTSPLIT(HF97,"|"),IF(COLUMNS(_xlpm.nd)&gt;1,A97&amp;"¦"&amp;INDEX(_xlpm.nd,1)&amp;"¦"&amp;INDEX(_xlpm.nd,2),"")))</f>
        <v>ЩОВ-002¦QF9¦кабель ВВГнг(А)-LS (3х1,5) → Внутренний блок кондиционирования Подвальный этаж Пом. №004Т</v>
      </c>
      <c r="HH97" t="str">
        <f t="shared" si="224"/>
        <v>K.00.004T.1¦Внутренний блок кондиционирования Подвальный этаж Пом. №004Т</v>
      </c>
      <c r="HI97" t="str" cm="1">
        <f t="array" ref="HI97">IF(HF97="","",_xlfn.LET(_xlpm.nd,_xlfn.TEXTSPLIT(HF97,"|"),IF(COLUMNS(_xlpm.nd)&gt;2,A97&amp;"¦"&amp;INDEX(_xlpm.nd,2)&amp;"¦"&amp;INDEX(_xlpm.nd,3),"")))</f>
        <v/>
      </c>
      <c r="HJ97" t="str">
        <f t="shared" si="225"/>
        <v/>
      </c>
      <c r="HK97" t="str" cm="1">
        <f t="array" ref="HK97">IF(HF97="","",_xlfn.LET(_xlpm.nd,_xlfn.TEXTSPLIT(HF97,"|"),IF(COLUMNS(_xlpm.nd)&gt;3,A97&amp;"¦"&amp;INDEX(_xlpm.nd,3)&amp;"¦"&amp;INDEX(_xlpm.nd,4),"")))</f>
        <v/>
      </c>
      <c r="HL97" t="str">
        <f t="shared" si="226"/>
        <v/>
      </c>
      <c r="HM97" t="str" cm="1">
        <f t="array" ref="HM97">IF(HF97="","",_xlfn.LET(_xlpm.nd,_xlfn.TEXTSPLIT(HF97,"|"),IF(COLUMNS(_xlpm.nd)&gt;4,A97&amp;"¦"&amp;INDEX(_xlpm.nd,4)&amp;"¦"&amp;INDEX(_xlpm.nd,5),"")))</f>
        <v/>
      </c>
      <c r="HN97" t="str">
        <f t="shared" si="227"/>
        <v/>
      </c>
      <c r="HO97" t="str" cm="1">
        <f t="array" ref="HO97">IF(HF97="","",_xlfn.LET(_xlpm.nd,_xlfn.TEXTSPLIT(HF97,"|"),IF(COLUMNS(_xlpm.nd)&gt;5,A97&amp;"¦"&amp;INDEX(_xlpm.nd,5)&amp;"¦"&amp;INDEX(_xlpm.nd,6),"")))</f>
        <v/>
      </c>
      <c r="HP97" t="str">
        <f t="shared" si="228"/>
        <v/>
      </c>
      <c r="HQ97" t="str" cm="1">
        <f t="array" ref="HQ97">IF(HF97="","",_xlfn.LET(_xlpm.nd,_xlfn.TEXTSPLIT(HF97,"|"),IF(COLUMNS(_xlpm.nd)&gt;6,A97&amp;"¦"&amp;INDEX(_xlpm.nd,6)&amp;"¦"&amp;INDEX(_xlpm.nd,7),"")))</f>
        <v/>
      </c>
      <c r="HR97" t="str">
        <f t="shared" si="229"/>
        <v/>
      </c>
      <c r="HS97" t="str">
        <f t="shared" si="230"/>
        <v/>
      </c>
      <c r="HT97" t="str">
        <f t="shared" si="231"/>
        <v>QF9</v>
      </c>
      <c r="HU97">
        <f t="shared" si="232"/>
        <v>0</v>
      </c>
      <c r="HV97">
        <f t="shared" si="233"/>
        <v>0</v>
      </c>
      <c r="HW97" t="str">
        <f t="shared" si="234"/>
        <v/>
      </c>
      <c r="HX97" t="str">
        <f t="shared" si="235"/>
        <v/>
      </c>
      <c r="HY97" t="str">
        <f t="shared" si="236"/>
        <v/>
      </c>
      <c r="HZ97" t="str">
        <f t="shared" si="237"/>
        <v/>
      </c>
      <c r="IA97">
        <f>IF(B97="","",IFERROR(VLOOKUP(B97,УГО_спр,2,FALSE),IFERROR(VLOOKUP(AX97,УГО_спр,2,FALSE),IFERROR(VLOOKUP(LEFT(AX97,2),УГО_спр,2,FALSE),""))))</f>
        <v>0</v>
      </c>
      <c r="IB97" t="str">
        <f>IF(B97="","",IF(OR(IA97="",IA97=0),"BOX",IFERROR(IF(VLOOKUP(IA97,УГО_блоки,3,FALSE)&amp;""&lt;&gt;"",VLOOKUP(IA97,УГО_блоки,3,FALSE),VLOOKUP(IA97,УГО_блоки,2,FALSE)),IA97)))</f>
        <v>BOX</v>
      </c>
      <c r="IC97">
        <f t="shared" si="238"/>
        <v>1</v>
      </c>
      <c r="ID97" t="str">
        <f>IF(DA97="","",IF(COUNTIF(DA$3:DA97,DA97)=1,MAX(ID$2:ID96)+1,""))</f>
        <v/>
      </c>
      <c r="IE97" t="str">
        <f>IF(CO97="","",IF(COUNTIF(CO$3:CO97,CO97)+COUNTIF(CP$2:CP96,CO97)+COUNTIF(CQ$2:CQ96,CO97)=1,MAX(IE$2:IG96)+1,""))</f>
        <v/>
      </c>
      <c r="IF97" t="str">
        <f>IF(CP97="","",IF(COUNTIF(CO$3:CO97,CP97)+COUNTIF(CP$3:CP97,CP97)+COUNTIF(CQ$2:CQ96,CP97)=1,MAX(IE$2:IG96,IE97)+1,""))</f>
        <v/>
      </c>
      <c r="IG97" t="str">
        <f>IF(CQ97="","",IF(COUNTIF(CO$3:CO97,CQ97)+COUNTIF(CP$3:CP97,CQ97)+COUNTIF(CQ$3:CQ97,CQ97)=1,MAX(IE$2:IG96,IE97,IF97)+1,""))</f>
        <v/>
      </c>
      <c r="IH97" t="str">
        <f t="shared" si="239"/>
        <v>3х1,5</v>
      </c>
      <c r="II97" t="str">
        <f>IF(IH97="","",IF(COUNTIF(IH$3:IH97,IH97)=1,MAX(II$2:II96)+1,""))</f>
        <v/>
      </c>
      <c r="IJ97" t="str">
        <f>IF(GL97="","",COUNTIF(GL$3:GL97,"?*"))</f>
        <v/>
      </c>
      <c r="IK97" t="str">
        <f>IF(OR(GL97="",GN97=""),"",IF(COUNTIFS(GL$3:GL97,"?*",GN$3:GN97,GN97)=1,MAX(IK$2:IK96)+1,""))</f>
        <v/>
      </c>
      <c r="IL97">
        <f t="shared" si="240"/>
        <v>0</v>
      </c>
      <c r="IM97">
        <f>IF(B97="","",COUNTIF(B$3:B97,"?*"))</f>
        <v>95</v>
      </c>
      <c r="IN97">
        <f>IF(GQ97&lt;&gt;1,0,_xlfn.LET(_xlpm.k,MAX(IFERROR(--VLOOKUP(B97,УГО_спр,5,FALSE),0),IFERROR(--VLOOKUP(AX97,УГО_спр,5,FALSE),0),IFERROR(--VLOOKUP(LEFT(AX97,2),УГО_спр,5,FALSE),0)),IF(_xlpm.k&gt;0,_xlpm.k,IF(IFERROR(--LEFT(SUBSTITUTE(IH97,"x","х"),FIND("х",SUBSTITUTE(IH97,"x","х"))-1),3)&gt;3,Каталог!$S$9,1))))</f>
        <v>1</v>
      </c>
      <c r="IO97">
        <f t="shared" si="241"/>
        <v>0</v>
      </c>
      <c r="IP97" t="str">
        <f t="shared" si="242"/>
        <v>авто</v>
      </c>
      <c r="IQ97" t="str">
        <f t="shared" si="243"/>
        <v/>
      </c>
      <c r="IR97">
        <f t="shared" si="244"/>
        <v>0</v>
      </c>
      <c r="IS97">
        <f t="shared" si="245"/>
        <v>1</v>
      </c>
    </row>
    <row r="98" spans="1:253" x14ac:dyDescent="0.3">
      <c r="A98" t="s">
        <v>751</v>
      </c>
      <c r="B98" t="s">
        <v>1369</v>
      </c>
      <c r="C98" t="s">
        <v>1625</v>
      </c>
      <c r="D98">
        <v>1</v>
      </c>
      <c r="E98">
        <v>0.104</v>
      </c>
      <c r="G98">
        <v>10</v>
      </c>
      <c r="H98" t="str">
        <f>Линии[[#This Row],[_авто утечка]]</f>
        <v/>
      </c>
      <c r="I98" t="str">
        <f>Линии[[#This Row],[_авто управление]]</f>
        <v/>
      </c>
      <c r="J98" t="str">
        <f>Линии[[#This Row],[_авто аппараты]]</f>
        <v/>
      </c>
      <c r="K98">
        <v>1.5</v>
      </c>
      <c r="L98">
        <v>16</v>
      </c>
      <c r="M98">
        <v>1</v>
      </c>
      <c r="N98" t="s">
        <v>486</v>
      </c>
      <c r="O98" t="str">
        <f t="shared" si="123"/>
        <v/>
      </c>
      <c r="P98" s="6" cm="1">
        <f t="array" ref="P98">IF(B98="","",IF(BC98&lt;&gt;"",IFERROR(_xlfn.XLOOKUP(BC98,Щиты[Щит],Щиты[Iр, А]),""),IF(BK98=1,IFERROR(_xlfn.XLOOKUP(A98,Щиты[Щит],Щиты[Iр, А]),""),IFERROR(_xlfn.IFS(BR98=1,BN98/((Uн_лин/SQRT(3))*BY98),BR98=3,BN98/(SQRT(3)*Uн_лин*BY98)),""))))</f>
        <v>0.56291651245988494</v>
      </c>
      <c r="Q98" s="7">
        <f>IF(B98="","",IFERROR(IF(VLOOKUP(AX98,Потребители_обозначение,4,FALSE)=1,VLOOKUP(AX98,Потребители_обозначение,3,FALSE)*(D98*2-1)+DS98+VLOOKUP(AZ98,Этаж_обозначение,3,FALSE)+VLOOKUP(AZ98,Этаж_обозначение,4,FALSE),VLOOKUP(AX98,Потребители_обозначение,3,FALSE)*(D98*2-1)+DS98),DS98))</f>
        <v>18</v>
      </c>
      <c r="R98" s="6">
        <f t="shared" si="124"/>
        <v>0.85</v>
      </c>
      <c r="S98" t="str">
        <f t="shared" si="125"/>
        <v>ВВГнг(А)-LS (3х1,5)</v>
      </c>
      <c r="T98" t="str">
        <f>IF(BH98="","",IF(BI98="вводной узел","узел ","")&amp;"л."&amp;(INT((BH98-1)/Столбцов_на_лист)+1)&amp;" / "&amp;(MOD(BH98-1,Столбцов_на_лист)+1))</f>
        <v>л.3 / 10</v>
      </c>
      <c r="V98">
        <v>1</v>
      </c>
      <c r="W98">
        <v>230</v>
      </c>
      <c r="X98" t="s">
        <v>600</v>
      </c>
      <c r="Y98">
        <v>0.5</v>
      </c>
      <c r="AC98" t="s">
        <v>815</v>
      </c>
      <c r="AE98" t="s">
        <v>578</v>
      </c>
      <c r="AI98">
        <v>44</v>
      </c>
      <c r="AJ98" t="s">
        <v>11</v>
      </c>
      <c r="AK98">
        <v>3</v>
      </c>
      <c r="AM98">
        <v>6</v>
      </c>
      <c r="AN98">
        <v>12</v>
      </c>
      <c r="AP98">
        <v>1</v>
      </c>
      <c r="AW98" cm="1">
        <f t="array" ref="AW98">ROW()-ROW(Линии[#Headers])</f>
        <v>96</v>
      </c>
      <c r="AX98" s="6" t="str">
        <f t="shared" si="126"/>
        <v>K</v>
      </c>
      <c r="AY98" t="str">
        <f t="shared" si="127"/>
        <v>00.004T.2</v>
      </c>
      <c r="AZ98" t="str">
        <f t="shared" si="128"/>
        <v>00</v>
      </c>
      <c r="BA98" t="str">
        <f t="shared" si="129"/>
        <v>004T.2</v>
      </c>
      <c r="BB98" t="str">
        <f t="shared" si="130"/>
        <v>004T</v>
      </c>
      <c r="BC98" t="str">
        <f>IF(U98&lt;&gt;"",U98,IF(AND(B98&lt;&gt;"",B98&lt;&gt;A98,ISNUMBER(_xlfn.XMATCH(B98,Щиты[Щит]))),B98,""))</f>
        <v/>
      </c>
      <c r="BD98" t="str" cm="1">
        <f t="array" ref="BD98">IF(B98="","",IF(BC98&lt;&gt;"","Щит "&amp;BC98,_xlfn.LET(_xlpm.nm,IFERROR(_xlfn.XLOOKUP(AX98,Коды_код,Коды_имя)&amp;"",""),_xlpm.md,IFERROR(N(_xlfn.XLOOKUP(AX98,Коды_код,Коды_режим)),1),_xlpm.ex,IF(Имя_режим="по экспликации",IFERROR(_xlfn.XLOOKUP(AZ98&amp;"|"&amp;BB98,Экспликация[Этаж]&amp;"|"&amp;Экспликация[Помещение],Экспликация[Название])&amp;"",""),""),_xlpm.rm,IF(BB98="","",IF(_xlpm.ex&lt;&gt;"",". "&amp;_xlpm.ex&amp;IF(Имя_пом="нет"," ("&amp;BB98&amp;")"," (пом. "&amp;BB98&amp;")"),IF(Имя_пом="нет"," ",", пом. ")&amp;BB98)),IF(_xlpm.nm="","",IF(_xlpm.md=2,_xlpm.nm&amp;" шлейф "&amp;AZ98,_xlpm.nm&amp;_xlpm.rm)))))</f>
        <v>Внутренний блок кондиционирования, пом. 004T</v>
      </c>
      <c r="BE98" t="str">
        <f t="shared" si="131"/>
        <v>Внутренний блок кондиционирования Подвальный этаж Пом. №004Т</v>
      </c>
      <c r="BF98">
        <f>IFERROR(_xlfn.XMATCH(A98,Щиты[Щит]),0)</f>
        <v>5</v>
      </c>
      <c r="BG98">
        <f>_xlfn.LET(_xlpm.k,IFERROR(_xlfn.XLOOKUP(A98,Щиты[Щит],Щиты[Листов под вводной узел]),""),IF(_xlpm.k="",1,N(_xlpm.k))*Столбцов_на_лист)</f>
        <v>34</v>
      </c>
      <c r="BH98">
        <f t="shared" si="132"/>
        <v>44</v>
      </c>
      <c r="BI98" t="str">
        <f t="shared" si="133"/>
        <v>линии</v>
      </c>
      <c r="BJ98" s="6">
        <f>IFERROR(N(_xlfn.XLOOKUP(AX98,Коды_код,Коды_квт)),0)</f>
        <v>0</v>
      </c>
      <c r="BK98">
        <f t="shared" si="134"/>
        <v>0</v>
      </c>
      <c r="BL98" t="str">
        <f>IF(B98="","",IF(BC98&lt;&gt;"",IFERROR(_xlfn.XLOOKUP(BC98,Щиты[Щит],Щиты[Руст, кВт]),0),IF(BK98=1,IFERROR(_xlfn.XLOOKUP(A98,Щиты[Щит],Щиты[Руст, кВт]),0),IF(BJ98&gt;0,ROUND(BJ98*MAX(1,N(D98)),3),""))))</f>
        <v/>
      </c>
      <c r="BM98">
        <f t="shared" si="135"/>
        <v>0.104</v>
      </c>
      <c r="BN98" s="6">
        <f>IF(B98="","",IF(BC98&lt;&gt;"",IFERROR(_xlfn.XLOOKUP(BC98,Щиты[Щит],Щиты[Руст, кВт]),0),N(BM98)))</f>
        <v>0.104</v>
      </c>
      <c r="BO98" t="str">
        <f>IF(B98="","",IFERROR(IF(VLOOKUP(AX98,Потребители_обозначение,8,FALSE)=0,"",VLOOKUP(AX98,Потребители_обозначение,8,FALSE)),""))</f>
        <v/>
      </c>
      <c r="BP98">
        <f t="shared" si="136"/>
        <v>230</v>
      </c>
      <c r="BQ98">
        <f>IF(B98="","",IF(BC98&lt;&gt;"",3,IFERROR(IF(N(VLOOKUP(AX98,Потребители_обозначение,9,FALSE))=0,1,VLOOKUP(AX98,Потребители_обозначение,9,FALSE)),1)))</f>
        <v>1</v>
      </c>
      <c r="BR98">
        <f t="shared" si="137"/>
        <v>1</v>
      </c>
      <c r="BS98" t="str">
        <f>IF(B98="","",_xlfn.LET(_xlpm.bc,IFERROR(IF(VLOOKUP(AX98,Потребители_обозначение,6,FALSE)=0,"",VLOOKUP(AX98,Потребители_обозначение,6,FALSE)&amp;""),""),IF(AND(FK98="да",OR(_xlpm.bc="",_xlpm.bc="мс")),Марка_пож,IF(AND(_xlpm.bc="",BC98&lt;&gt;""),"мс",_xlpm.bc))))</f>
        <v/>
      </c>
      <c r="BT98" t="str">
        <f t="shared" si="138"/>
        <v>мс</v>
      </c>
      <c r="BU98">
        <f>IF(B98="","",_xlfn.LET(_xlpm.cc,IFERROR(N(VLOOKUP(AX98,Потребители_обозначение,7,FALSE)),0),IF(_xlpm.cc&gt;0,_xlpm.cc,IF(BT98="","",IF(N(BR98)=3,5,3)))))</f>
        <v>3</v>
      </c>
      <c r="BV98">
        <f t="shared" si="139"/>
        <v>3</v>
      </c>
      <c r="BW98">
        <f>IFERROR(N(VLOOKUP(AX98,Потребители_обозначение,10,FALSE)),0)</f>
        <v>0</v>
      </c>
      <c r="BX98">
        <f>IFERROR(VLOOKUP(AX98,Потребители_обозначение,5,FALSE),0)</f>
        <v>1</v>
      </c>
      <c r="BY98" s="6" cm="1">
        <f t="array" ref="BY98">IF(B98="","",IF(BC98&lt;&gt;"",IFERROR(_xlfn.XLOOKUP(BC98,Щиты[Щит],Щиты[cos φ]),0.95),IF(BK98=1,IFERROR(_xlfn.XLOOKUP(A98,Щиты[Щит],Щиты[cos φ]),0.95),IF(ISNUMBER(Z98),Z98,IFERROR(IF(BX98=2,_xlfn.IFS(BR98=3,VLOOKUP(BN98,Справочная_двигатели,8,FALSE),BR98=1,VLOOKUP(BN98,Справочная_двигатели,10,TRUE)),IF(AND(Методика="нормы 2026",EQ98="Сил"),0.8,0.95)),0.95)))))</f>
        <v>0.8</v>
      </c>
      <c r="BZ98">
        <f t="shared" si="140"/>
        <v>0</v>
      </c>
      <c r="CA98">
        <f t="shared" si="141"/>
        <v>1</v>
      </c>
      <c r="CB98">
        <f t="shared" si="142"/>
        <v>0</v>
      </c>
      <c r="CC98">
        <f t="shared" si="143"/>
        <v>0</v>
      </c>
      <c r="CD98">
        <f t="shared" si="144"/>
        <v>0</v>
      </c>
      <c r="CE98">
        <f t="shared" si="145"/>
        <v>0</v>
      </c>
      <c r="CF98">
        <f t="shared" si="146"/>
        <v>0</v>
      </c>
      <c r="CG98">
        <f>IF(AX98="",0,_xlfn.LET(_xlpm.v,IFERROR(VLOOKUP(B98,УГО_спр,3,FALSE),IFERROR(VLOOKUP(AX98,УГО_спр,3,FALSE),IFERROR(VLOOKUP(LEFT(AX98,2),УГО_спр,3,FALSE),""))),IF(_xlpm.v="да",30,IF(ISNUMBER(_xlpm.v),_xlpm.v,0))))</f>
        <v>0</v>
      </c>
      <c r="CH98" t="str">
        <f t="shared" si="147"/>
        <v/>
      </c>
      <c r="CI98" t="str">
        <f>_xlfn.LET(_xlpm.k,IFERROR(_xlfn.XLOOKUP(AX98,Коды_код,Коды_утечка)&amp;"",""),IF(_xlpm.k="","дифавтомат",_xlpm.k))</f>
        <v>дифавтомат</v>
      </c>
      <c r="CJ98">
        <f t="shared" si="148"/>
        <v>0</v>
      </c>
      <c r="CK98">
        <f t="shared" si="149"/>
        <v>0</v>
      </c>
      <c r="CL98">
        <f>IF(B98="",0,IFERROR(--VLOOKUP(B98,УГО_спр,4,FALSE),IFERROR(--VLOOKUP(AX98,УГО_спр,4,FALSE),IFERROR(--VLOOKUP(LEFT(AX98,2),УГО_спр,4,FALSE),0))))</f>
        <v>0</v>
      </c>
      <c r="CM98" t="str">
        <f>IF(B98="","",IFERROR(_xlfn.XLOOKUP(AX98,Коды_код,Коды_апп)&amp;"",""))</f>
        <v/>
      </c>
      <c r="CN98" t="str">
        <f t="shared" si="150"/>
        <v/>
      </c>
      <c r="CO98" t="str" cm="1">
        <f t="array" ref="CO98">IF(TRIM(CN98&amp;"")="","",IFERROR(TRIM(INDEX(_xlfn.TEXTSPLIT(CN98&amp;";;;",";"),1)),""))</f>
        <v/>
      </c>
      <c r="CP98" t="str" cm="1">
        <f t="array" ref="CP98">IF(TRIM(CN98&amp;"")="","",IFERROR(TRIM(INDEX(_xlfn.TEXTSPLIT(CN98&amp;";;;",";"),2)),""))</f>
        <v/>
      </c>
      <c r="CQ98" t="str" cm="1">
        <f t="array" ref="CQ98">IF(TRIM(CN98&amp;"")="","",IFERROR(TRIM(INDEX(_xlfn.TEXTSPLIT(CN98&amp;";;;",";"),3)),""))</f>
        <v/>
      </c>
      <c r="CR98">
        <f t="shared" si="151"/>
        <v>0</v>
      </c>
      <c r="CS98" t="str">
        <f>IF(B98="","",_xlfn.LET(_xlpm.t,LOWER(AV98&amp;""),IF(ISNUMBER(SEARCH("dim",_xlpm.t)),"DIM",IF(ISNUMBER(SEARCH("dali",_xlpm.t)),"DALI",IF(OR(ISNUMBER(SEARCH("relay",_xlpm.t)),ISNUMBER(SEARCH("реле",_xlpm.t))),"Relay",IF(ISNUMBER(SEARCH("кнопк",_xlpm.t)),"",IFERROR(_xlfn.XLOOKUP(AX98,Коды_код,Коды_упр)&amp;"","")))))))</f>
        <v/>
      </c>
      <c r="CT98" t="str">
        <f t="shared" si="152"/>
        <v/>
      </c>
      <c r="CU98">
        <f>IF(B98="","",_xlfn.LET(_xlpm.ig,N(P98)+IF(AF98="вручную",0,N(CB98)),_xlpm.n0,IFERROR(VLOOKUP(_xlpm.ig,Автомат_номиналы,2,TRUE),0),_xlpm.mn,MAX(CL98,IF(AF98="вручную",0,N(CE98))),MAX(_xlpm.n0,_xlpm.mn,IF(CR98=1,Мин_автомат_БП,0))))</f>
        <v>6</v>
      </c>
      <c r="CV98">
        <f t="shared" si="153"/>
        <v>1</v>
      </c>
      <c r="CW98" t="str">
        <f t="shared" si="154"/>
        <v>1P</v>
      </c>
      <c r="CX98" t="str">
        <f>_xlfn.LET(_xlpm.cc,UPPER(TRIM(IFERROR(_xlfn.XLOOKUP(AX98,Коды_код,Коды_хар)&amp;"",""))),IF(OR(_xlpm.cc="B",_xlpm.cc="В"),"B",IF(_xlpm.cc="D","D","С")))</f>
        <v>С</v>
      </c>
      <c r="CY98" t="str">
        <f t="shared" si="155"/>
        <v>1P С6А</v>
      </c>
      <c r="CZ98">
        <f t="shared" si="156"/>
        <v>10</v>
      </c>
      <c r="DA98" t="str">
        <f t="shared" si="157"/>
        <v>1P С10А</v>
      </c>
      <c r="DB98" cm="1">
        <f t="array" ref="DB98">IF(DA98="","",_xlfn.LET(_xlpm.t,SUBSTITUTE(SUBSTITUTE(SUBSTITUTE(UPPER(DA98),"С","C"),"А","A"),"В","B"),_xlpm.tk,_xlfn.TEXTSPLIT(_xlpm.t,"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8" t="str">
        <f t="shared" si="158"/>
        <v>ok</v>
      </c>
      <c r="DD98">
        <f t="shared" si="159"/>
        <v>10</v>
      </c>
      <c r="DE98" t="str">
        <f t="shared" si="160"/>
        <v>1P С10А</v>
      </c>
      <c r="DF98">
        <f t="shared" si="161"/>
        <v>0</v>
      </c>
      <c r="DG98">
        <f t="shared" si="162"/>
        <v>0</v>
      </c>
      <c r="DH98">
        <f t="shared" si="163"/>
        <v>0</v>
      </c>
      <c r="DI98">
        <f t="shared" si="164"/>
        <v>0.56291651245988494</v>
      </c>
      <c r="DJ98">
        <f t="shared" si="165"/>
        <v>1</v>
      </c>
      <c r="DK98">
        <f>IF(ISNUMBER(AL98),AL98,К_прокл)</f>
        <v>1</v>
      </c>
      <c r="DL98">
        <f t="shared" si="166"/>
        <v>2</v>
      </c>
      <c r="DM98">
        <f>IFERROR(N(VLOOKUP(BT98,Кабель_обозначение,3,FALSE)),1)</f>
        <v>1</v>
      </c>
      <c r="DN98">
        <f>IFERROR(N(_xlfn.XLOOKUP(A98,Щиты[Щит],Щиты[ΔU до шин, %])),0)</f>
        <v>0.74</v>
      </c>
      <c r="DO98" t="str">
        <f>IFERROR(_xlfn.XLOOKUP(A98,Щиты[Щит],Щиты[Zпетли на шинах, Ом]),"")</f>
        <v/>
      </c>
      <c r="DP98">
        <f>IFERROR(N(_xlfn.XLOOKUP(A98,Щиты[Щит],Щиты[ΔU до шин (подбор), %])),0)</f>
        <v>1.96</v>
      </c>
      <c r="DQ98" t="str">
        <f>IFERROR(_xlfn.XLOOKUP(A98,Щиты[Щит],Щиты[Zпетли на шинах (подбор), Ом]),"")</f>
        <v/>
      </c>
      <c r="DR98" t="str">
        <f t="shared" si="167"/>
        <v/>
      </c>
      <c r="DS98">
        <f t="shared" si="168"/>
        <v>16</v>
      </c>
      <c r="DT98">
        <f t="shared" si="169"/>
        <v>2</v>
      </c>
      <c r="DU98">
        <f t="shared" si="170"/>
        <v>0.6</v>
      </c>
      <c r="DV98" s="6">
        <f>IF(B98="","",IF(IFERROR(VLOOKUP(AX98,УГО_спр,2,FALSE),"")="Светильник",3,4)+IF(Методика="нормы 2026",MIN(0.5,MAX(0,N(Q98)-100)*0.005),0))</f>
        <v>4</v>
      </c>
      <c r="DW98" cm="1">
        <f t="array" ref="DW98">IF(OR(B98="",BT98="",DM98&lt;&gt;1),"",_xlfn.LET(_xlpm.sz,Iдоп_S,_xlpm.t_,CHOOSE(DL98,Iдоп_1ж,Iдоп_2ж,Iдоп_3ж)*DJ98*DK98,_xlpm.inn,N(DD98),_xlpm.smin,MAX(1.5,BW98),_xlpm.L_,N(Q98)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98)*(_xlpm.rho*_xlpm.L_/_xlpm.sz*N(BY98)+_xlpm.xx*_xlpm.L_*N(DU98)/1000)*N(P98)/((Uн_лин/SQRT(3))*1000)*100,999),_xlpm.kz,IF(OR(DG98=1,NOT(ISNUMBER(DQ98)),_xlpm.L_=0,_xlpm.inn=0),1,IFERROR(--(c_min*(Uн_лин*1000/SQRT(3))/(DQ98+2*ρкз_Cu*_xlpm.L_/_xlpm.sz)&gt;=GY98*_xlpm.inn),0)),_xlpm.ok,IFERROR((_xlpm.sz&gt;=_xlpm.smin)*(_xlpm.t_&gt;=_xlpm.inn)*IF(_xlpm.L_&gt;0,(_xlpm.du_+DP98&lt;=DV98+0.00001),1)*_xlpm.kz,0),_xlpm.r_,_xlfn._xlws.FILTER(_xlpm.sz,_xlpm.ok,"не подобрано"),INDEX(_xlpm.r_,1)))</f>
        <v>1.5</v>
      </c>
      <c r="DX98">
        <f t="shared" si="171"/>
        <v>1.5</v>
      </c>
      <c r="DY98" cm="1">
        <f t="array" ref="DY98">IF(OR(B98="",BT98="",DM98&lt;&gt;1),"",_xlfn.LET(_xlpm.sz,Iдоп_S,_xlpm.t_,CHOOSE(DL98,Iдоп_1ж,Iдоп_2ж,Iдоп_3ж)*DJ98*DK98,_xlpm.ok,IFERROR((_xlpm.sz&gt;=MAX(1.5,BW98))*(_xlpm.t_&gt;=N(DD98)),0),_xlpm.r_,_xlfn._xlws.FILTER(_xlpm.sz,_xlpm.ok,""),INDEX(_xlpm.r_,1)))</f>
        <v>1.5</v>
      </c>
      <c r="DZ98" s="6" cm="1">
        <f t="array" ref="DZ98">IFERROR(ROUNDUP(N(DT98)*(_xlfn.XLOOKUP(DY98,INDEX(Кабель_сопротивление,0,1),INDEX(Кабель_сопротивление,0,3))*N(Q98)/DY98*N(BY98)+_xlfn.XLOOKUP(DY98,INDEX(Кабель_сопротивление,0,1),INDEX(Кабель_сопротивление,0,2))*N(Q98)*N(DU98)/1000)*N(P98)/((Uн_лин/SQRT(3))*1000)*100,2),"")</f>
        <v>0.11</v>
      </c>
      <c r="EA98">
        <f>IFERROR(2*ρкз_Cu*N(Q98)/DY98,"")</f>
        <v>0.63119999999999998</v>
      </c>
      <c r="EB98">
        <f>IFERROR(VLOOKUP(DX98,Кабель_сопротивление,3,FALSE),"")</f>
        <v>2.2499999999999999E-2</v>
      </c>
      <c r="EC98">
        <f>IFERROR(VLOOKUP(DX98,Кабель_сопротивление,2,FALSE),"")</f>
        <v>0.11</v>
      </c>
      <c r="ED98">
        <f t="shared" si="172"/>
        <v>12</v>
      </c>
      <c r="EE98">
        <f t="shared" si="173"/>
        <v>0</v>
      </c>
      <c r="EF98">
        <f t="shared" si="174"/>
        <v>0.24451742301627494</v>
      </c>
      <c r="EG98" s="6">
        <f>IFERROR(ROUNDUP(EF98/((Uн_лин/SQRT(3))*1000)*100,2),"")</f>
        <v>0.11</v>
      </c>
      <c r="EH98" t="str">
        <f>IFERROR(VLOOKUP(BT98,Кабель_обозначение,2,FALSE),"")</f>
        <v>ВВГнг(А)-LS</v>
      </c>
      <c r="EI98" t="str">
        <f t="shared" si="175"/>
        <v>ВВГнг(А)-LS (3х1,5)</v>
      </c>
      <c r="EJ98" t="str">
        <f t="shared" si="176"/>
        <v>ВВГнг(А)-LS (3х1,5)
L=18-0,11%</v>
      </c>
      <c r="EK98">
        <f>IFERROR(2*ρкз_Cu*Q98/DX98,"")</f>
        <v>0.63119999999999998</v>
      </c>
      <c r="EL98">
        <f t="shared" si="177"/>
        <v>0.21000000000000005</v>
      </c>
      <c r="EM98" s="6" t="str">
        <f>IFERROR(IF(OR(B98="",NOT(ISNUMBER(DX98)),N(Q98)=0),"",_xlfn.XLOOKUP(A98,Щиты[Щит],Щиты[Zпетли на шинах, Ом])+EK98),"")</f>
        <v/>
      </c>
      <c r="EN98" s="6" t="str">
        <f>IF(ISNUMBER(EM98),c_min*(Uн_лин*1000/SQRT(3))/EM98,"")</f>
        <v/>
      </c>
      <c r="EO98" s="6" t="str">
        <f>IFERROR(IF(OR(B98="",NOT(ISNUMBER(DX98))),"",1.05*(Uн_лин*1000/SQRT(3))/(_xlfn.XLOOKUP(A98,Щиты[Щит],Щиты[Zmax на шинах, Ом])+EL98)/1000),"")</f>
        <v/>
      </c>
      <c r="EP98" s="6" t="str">
        <f>IF(B98="","",IF(ISNUMBER(Y98),"Сил",IF(IFERROR(_xlfn.XLOOKUP(AX98,Коды_код,Коды_группа)&amp;"","")="","Быт",_xlfn.XLOOKUP(AX98,Коды_код,Коды_группа)&amp;"")))</f>
        <v>Сил</v>
      </c>
      <c r="EQ98" s="6" t="str">
        <f t="shared" si="178"/>
        <v>Сил</v>
      </c>
      <c r="ER98" s="6">
        <f>IF(EQ98="Щит","щит",IF(EQ98="","",IF(EQ98="Быт",IFERROR(_xlfn.XLOOKUP(A98,Щиты[Щит],Щиты[Кс быт]),1),IF(EQ98="Сил",IF(ISNUMBER(Y98),Y98,IF(Методика="нормы 2026",IFERROR(_xlfn.XLOOKUP(A98,Щиты[Щит],Щиты[Кс силовых (табл. 7.5)]),1),1)),IF(OR(EQ98="Пост",EQ98="Отоп"),1,IF(EQ98="ВНГ",0.7,0))))))</f>
        <v>0.5</v>
      </c>
      <c r="ES98">
        <f t="shared" si="179"/>
        <v>1</v>
      </c>
      <c r="ET98">
        <f t="shared" si="180"/>
        <v>0.104</v>
      </c>
      <c r="EU98">
        <f t="shared" si="181"/>
        <v>0</v>
      </c>
      <c r="EV98">
        <f t="shared" si="182"/>
        <v>5.1999999999999998E-2</v>
      </c>
      <c r="EW98">
        <f t="shared" si="183"/>
        <v>0</v>
      </c>
      <c r="EX98">
        <f t="shared" si="184"/>
        <v>0</v>
      </c>
      <c r="EY98">
        <f t="shared" si="185"/>
        <v>0</v>
      </c>
      <c r="EZ98">
        <f t="shared" si="186"/>
        <v>0.104</v>
      </c>
      <c r="FA98">
        <f t="shared" si="187"/>
        <v>8.3199999999999996E-2</v>
      </c>
      <c r="FB98">
        <f t="shared" si="188"/>
        <v>0.104</v>
      </c>
      <c r="FC98" t="str">
        <f t="shared" si="189"/>
        <v>L1</v>
      </c>
      <c r="FD98" t="str">
        <f>IF(B98="","",IF(CA98=0,IF(AW98=1,"",FF97),IF(OR(N(CV98)&gt;=3,N(BR98)&gt;=3),"L1,L2,L3",IFERROR(_xlfn.TEXTBEFORE(_xlfn.TEXTAFTER(_xlfn.XLOOKUP(A98,Щиты[Щит],Щиты[_фазы авто]),";"&amp;AW98&amp;":"),";"),"L1"))))</f>
        <v>L1</v>
      </c>
      <c r="FE98" t="str">
        <f t="shared" si="190"/>
        <v>L1</v>
      </c>
      <c r="FF98" t="str">
        <f t="shared" si="191"/>
        <v>L1</v>
      </c>
      <c r="FG98" cm="1">
        <f t="array" ref="FG98">IFERROR(IF(BX98=2,_xlfn.IFS(BR98=3,VLOOKUP(BN98,Справочная_двигатели,3,FALSE),BR98=1,VLOOKUP(BN98,Справочная_двигатели,5,TRUE)),0),0)</f>
        <v>0</v>
      </c>
      <c r="FH98">
        <f>IFERROR(IF(BX98=3,VLOOKUP(BN98,Справочная_ЛЭД,2,TRUE),0),0)</f>
        <v>0</v>
      </c>
      <c r="FI98" s="6">
        <f t="shared" si="192"/>
        <v>0</v>
      </c>
      <c r="FJ98" t="str" cm="1">
        <f t="array" ref="FJ98">IF(B98="","",IFERROR(INDEX({"I особая","I","II","III"},MATCH(TRIM(AC98&amp;""),{"I особая","I","II","III"},0)),"III"))</f>
        <v>II</v>
      </c>
      <c r="FK98" t="str">
        <f>IF(B98="","",IF(TRIM(AD98&amp;"")&lt;&gt;"",IF(LOWER(TRIM(AD98&amp;""))="да","да","нет"),IF(IFERROR(_xlfn.XLOOKUP(AX98,Коды_код,Коды_пожарная),"")="да","да","нет")))</f>
        <v>нет</v>
      </c>
      <c r="FL98" t="str">
        <f t="shared" si="193"/>
        <v/>
      </c>
      <c r="FM98" t="str">
        <f t="shared" si="194"/>
        <v>основная</v>
      </c>
      <c r="FN98">
        <f t="shared" si="195"/>
        <v>1</v>
      </c>
      <c r="FO98" t="str" cm="1">
        <f t="array" ref="FO98">IF(B98="","",_xlfn.LET(_xlpm.t,IFERROR(_xlfn.XLOOKUP(1,(Шины[Шина]=FM98)*(((Шины[Щит]=A98)+(Шины[Щит]=""))&gt;0),Шины[Тип]),"")&amp;"",IF(_xlpm.t&lt;&gt;"",_xlpm.t,IF(ISNUMBER(SEARCH("ИБП",FM98)),"ИБП",IF(ISNUMBER(SEARCH("ДГУ",FM98)),"ДГУ","Ввод "&amp;FN98)))))</f>
        <v>Ввод 1</v>
      </c>
      <c r="FP98" t="str">
        <f t="shared" si="196"/>
        <v>Ввод 1</v>
      </c>
      <c r="FQ98" t="str">
        <f>IF(B98="","",IF(OR(FO98="ИБП",FO98="ДГУ"),"I особая",IF(FO98="Одиночная","III",_xlfn.XLOOKUP(A98,Щиты[Щит],Щиты[Категория шины «Ввод»],"III"))))</f>
        <v>II</v>
      </c>
      <c r="FR98">
        <f>IF(B98="",0,IFERROR(MATCH(FJ98,{"III","II","I","I особая"},0),1))</f>
        <v>2</v>
      </c>
      <c r="FS98">
        <f t="shared" si="197"/>
        <v>2</v>
      </c>
      <c r="FT98" t="str">
        <f>IF(B98="","",IF(FR98&gt;IFERROR(MATCH(FQ98,{"III","II","I","I особая"},0),1),"НЕ ОБЕСПЕЧЕНА","ОК"))</f>
        <v>ОК</v>
      </c>
      <c r="FU98" t="str">
        <f>IF(A98="","",_xlfn.XLOOKUP(A98,Щиты[Щит],Щиты[Путь],""))</f>
        <v>|ГРЩ-ЖД|ЩОВ-002|</v>
      </c>
      <c r="FV98" t="str">
        <f>IF(B98="","",IF(AE98&lt;&gt;"",AE98,IF(IFERROR(_xlfn.XLOOKUP(AX98,Коды_код,Коды_вид)&amp;"","")="","Прочее",_xlfn.XLOOKUP(AX98,Коды_код,Коды_вид)&amp;"")))</f>
        <v>Кондиционирование и увлажнение</v>
      </c>
      <c r="FW98">
        <f>IF(BH98="","",INT((BH98-1)/Столбцов_на_лист)+1)</f>
        <v>3</v>
      </c>
      <c r="FX98" t="str">
        <f t="shared" si="198"/>
        <v>ВВГнг(А)-LS (3х1,5) L=18-0,11%</v>
      </c>
      <c r="FY98">
        <f t="shared" si="199"/>
        <v>0.104</v>
      </c>
      <c r="FZ98">
        <f t="shared" si="200"/>
        <v>0.57000000000000006</v>
      </c>
      <c r="GA98">
        <f t="shared" si="201"/>
        <v>1</v>
      </c>
      <c r="GB98">
        <f t="shared" si="202"/>
        <v>0</v>
      </c>
      <c r="GC98">
        <f t="shared" si="203"/>
        <v>1</v>
      </c>
      <c r="GD98">
        <f>IF(BH98="","",IF(AND(CA98=1,GC98=1),COUNTIFS(A$3:A98,A98,CA$3:CA98,1,GC$3:GC98,1),IF(OR(OR(AW98=1,A98&lt;&gt;A97),AF98="вручную",GC98=0),"",IF(AW98=1,"",GE97))))</f>
        <v>10</v>
      </c>
      <c r="GE98">
        <f t="shared" si="204"/>
        <v>10</v>
      </c>
      <c r="GF98">
        <f>IF(B98="","",IFERROR(LOOKUP(INDEX(CHOOSE(DL98,Iдоп_1ж,Iдоп_2ж,Iдоп_3ж),MATCH(DX98,Iдоп_S,0))*DJ98*DK98,{6,10,16,20,25,32,40,50,63,80,100,125,160,200,250,315,400,500,630}),""))</f>
        <v>16</v>
      </c>
      <c r="GG98" t="str">
        <f t="shared" si="205"/>
        <v>QF10</v>
      </c>
      <c r="GH98" t="str">
        <f t="shared" si="206"/>
        <v>QF10</v>
      </c>
      <c r="GI98" t="str">
        <f t="shared" si="207"/>
        <v/>
      </c>
      <c r="GJ98">
        <f t="shared" si="208"/>
        <v>0</v>
      </c>
      <c r="GK98" t="str">
        <f>IF(OR(AG98="",AG98="-"),"",IFERROR(VLOOKUP(AG98,Модули_спр,2,FALSE),"R"))</f>
        <v/>
      </c>
      <c r="GL98" t="str">
        <f>IF(GK98="","",GK98&amp;"."&amp;COUNTIFS(A$3:A98,A98,GK$3:GK98,GK98))</f>
        <v/>
      </c>
      <c r="GM98" t="str">
        <f t="shared" si="209"/>
        <v/>
      </c>
      <c r="GN98" t="str">
        <f t="shared" si="210"/>
        <v/>
      </c>
      <c r="GO98" t="str">
        <f t="shared" si="211"/>
        <v/>
      </c>
      <c r="GP98" t="str">
        <f t="shared" si="212"/>
        <v/>
      </c>
      <c r="GQ98">
        <f t="shared" si="213"/>
        <v>1</v>
      </c>
      <c r="GR98" t="str">
        <f>IF(GQ98=1,"XT"&amp;COUNTIFS(A$3:A98,A98,GQ$3:GQ98,1),"")</f>
        <v>XT10</v>
      </c>
      <c r="GS98" t="str">
        <f t="shared" si="214"/>
        <v/>
      </c>
      <c r="GT98" t="str">
        <f t="shared" si="215"/>
        <v>QF10</v>
      </c>
      <c r="GU98" t="str">
        <f t="shared" si="216"/>
        <v/>
      </c>
      <c r="GV98" t="str">
        <f t="shared" si="217"/>
        <v>ok</v>
      </c>
      <c r="GW98" t="str">
        <f>IF(OR(GO98="",GM98=""),"",IF(GO98&gt;IFERROR(VLOOKUP(GN98,Модули_спр,3,FALSE),99),"ЛИШНИЙ КАНАЛ",IF(AND(AH98&lt;&gt;"=",COUNTIFS(Линии[_модуль гр.],GM98,Линии[Канал (итог)],GO98,Линии[Канал],"&lt;&gt;=",Линии[Щит],A98)&gt;1),"ДУБЛЬ КАНАЛА","")))</f>
        <v/>
      </c>
      <c r="GX98" s="6" t="str">
        <f t="shared" si="218"/>
        <v/>
      </c>
      <c r="GY98">
        <f t="shared" si="219"/>
        <v>10</v>
      </c>
      <c r="GZ98" t="str">
        <f t="shared" si="220"/>
        <v/>
      </c>
      <c r="HA98" t="str">
        <f>IF(AND(B98="",GT98=""),"",_xlfn.TEXTJOIN("; ",TRUE,IF(AND(B98&lt;&gt;"",FE98=""),"нет фазы",""),IF(AND(B98&lt;&gt;"",N(FY98)=0,EQ98&lt;&gt;"Нет"),"нет мощности",""),IF(AND(GS98&lt;&gt;"",COUNTIFS(Линии[Щит],A98,Линии[Клемма (итог)],GS98)&gt;1),"дубль клеммы "&amp;GS98,""),IF(AND(GV98&lt;&gt;"",GV98&lt;&gt;"ok"),GV98,""),IF(GW98&lt;&gt;"",GW98,""),IF(AND(N(BV98)&gt;=4,N(BR98)=1),BV98&amp;" жил на 1 фазе",""),IF(AND(AX98="R",CA98=1,OR(N(CK98)=0,N(CK98)&gt;30)),"розетка без дифзащиты до 30 мА",""),IFERROR(IF(AND(ISNUMBER(R98),R98&gt;DV98),"потери "&amp;FIXED(R98,1)&amp;" % &gt; "&amp;DV98&amp;" %",""),""),IFERROR(IF(LEFT(GZ98,4)="мало","Iкз мало — отключение &gt; 0,4 с",""),""),IF(AND(B98&lt;&gt;"",BH98=""),"не на схеме",""),IF(AND(CA98=0,B98&lt;&gt;"",FE98&lt;&gt;"",IF(AW98=1,"",FF97)&lt;&gt;"",FE98&lt;&gt;IF(AW98=1,"",FF97)),"фаза не как у автомата группы ("&amp;IF(AW98=1,"",FF97)&amp;")","")))</f>
        <v/>
      </c>
      <c r="HB98" s="6">
        <f>IF(OR(CA98=0,DA98=""),"",_xlfn.LET(_xlpm.t,IFERROR(_xlfn.XLOOKUP(DA98,Каталог!$U$4:$U$500,Каталог!$G$4:$G$500),""),_xlpm.k,SEARCH("кА",_xlpm.t),IFERROR(--TRIM(RIGHT(SUBSTITUTE(MID(_xlpm.t,MAX(1,_xlpm.k-4),_xlpm.k-MAX(1,_xlpm.k-4))," ",REPT(" ",9)),5)),"")))</f>
        <v>6</v>
      </c>
      <c r="HC98" t="str">
        <f>IF(OR(HB98="",CA98=0),"",IF(_xlfn.XLOOKUP(A98,Щиты[Щит],Щиты[Iкз max на шинах, кА],"")="","",IF(HB98&lt;_xlfn.XLOOKUP(A98,Щиты[Щит],Щиты[Iкз max на шинах, кА]),"Icu "&amp;HB98&amp;" кА &lt; Iкз max","ok")))</f>
        <v/>
      </c>
      <c r="HD98" t="str">
        <f t="shared" si="221"/>
        <v/>
      </c>
      <c r="HE98" t="str">
        <f t="shared" si="222"/>
        <v>QF10</v>
      </c>
      <c r="HF98" t="str">
        <f t="shared" si="223"/>
        <v>QF10|кабель ВВГнг(А)-LS (3х1,5) → Внутренний блок кондиционирования Подвальный этаж Пом. №004Т</v>
      </c>
      <c r="HG98" t="str" cm="1">
        <f t="array" ref="HG98">IF(HF98="","",_xlfn.LET(_xlpm.nd,_xlfn.TEXTSPLIT(HF98,"|"),IF(COLUMNS(_xlpm.nd)&gt;1,A98&amp;"¦"&amp;INDEX(_xlpm.nd,1)&amp;"¦"&amp;INDEX(_xlpm.nd,2),"")))</f>
        <v>ЩОВ-002¦QF10¦кабель ВВГнг(А)-LS (3х1,5) → Внутренний блок кондиционирования Подвальный этаж Пом. №004Т</v>
      </c>
      <c r="HH98" t="str">
        <f t="shared" si="224"/>
        <v>K.00.004T.2¦Внутренний блок кондиционирования Подвальный этаж Пом. №004Т</v>
      </c>
      <c r="HI98" t="str" cm="1">
        <f t="array" ref="HI98">IF(HF98="","",_xlfn.LET(_xlpm.nd,_xlfn.TEXTSPLIT(HF98,"|"),IF(COLUMNS(_xlpm.nd)&gt;2,A98&amp;"¦"&amp;INDEX(_xlpm.nd,2)&amp;"¦"&amp;INDEX(_xlpm.nd,3),"")))</f>
        <v/>
      </c>
      <c r="HJ98" t="str">
        <f t="shared" si="225"/>
        <v/>
      </c>
      <c r="HK98" t="str" cm="1">
        <f t="array" ref="HK98">IF(HF98="","",_xlfn.LET(_xlpm.nd,_xlfn.TEXTSPLIT(HF98,"|"),IF(COLUMNS(_xlpm.nd)&gt;3,A98&amp;"¦"&amp;INDEX(_xlpm.nd,3)&amp;"¦"&amp;INDEX(_xlpm.nd,4),"")))</f>
        <v/>
      </c>
      <c r="HL98" t="str">
        <f t="shared" si="226"/>
        <v/>
      </c>
      <c r="HM98" t="str" cm="1">
        <f t="array" ref="HM98">IF(HF98="","",_xlfn.LET(_xlpm.nd,_xlfn.TEXTSPLIT(HF98,"|"),IF(COLUMNS(_xlpm.nd)&gt;4,A98&amp;"¦"&amp;INDEX(_xlpm.nd,4)&amp;"¦"&amp;INDEX(_xlpm.nd,5),"")))</f>
        <v/>
      </c>
      <c r="HN98" t="str">
        <f t="shared" si="227"/>
        <v/>
      </c>
      <c r="HO98" t="str" cm="1">
        <f t="array" ref="HO98">IF(HF98="","",_xlfn.LET(_xlpm.nd,_xlfn.TEXTSPLIT(HF98,"|"),IF(COLUMNS(_xlpm.nd)&gt;5,A98&amp;"¦"&amp;INDEX(_xlpm.nd,5)&amp;"¦"&amp;INDEX(_xlpm.nd,6),"")))</f>
        <v/>
      </c>
      <c r="HP98" t="str">
        <f t="shared" si="228"/>
        <v/>
      </c>
      <c r="HQ98" t="str" cm="1">
        <f t="array" ref="HQ98">IF(HF98="","",_xlfn.LET(_xlpm.nd,_xlfn.TEXTSPLIT(HF98,"|"),IF(COLUMNS(_xlpm.nd)&gt;6,A98&amp;"¦"&amp;INDEX(_xlpm.nd,6)&amp;"¦"&amp;INDEX(_xlpm.nd,7),"")))</f>
        <v/>
      </c>
      <c r="HR98" t="str">
        <f t="shared" si="229"/>
        <v/>
      </c>
      <c r="HS98" t="str">
        <f t="shared" si="230"/>
        <v/>
      </c>
      <c r="HT98" t="str">
        <f t="shared" si="231"/>
        <v>QF10</v>
      </c>
      <c r="HU98">
        <f t="shared" si="232"/>
        <v>0</v>
      </c>
      <c r="HV98">
        <f t="shared" si="233"/>
        <v>0</v>
      </c>
      <c r="HW98" t="str">
        <f t="shared" si="234"/>
        <v/>
      </c>
      <c r="HX98" t="str">
        <f t="shared" si="235"/>
        <v/>
      </c>
      <c r="HY98" t="str">
        <f t="shared" si="236"/>
        <v/>
      </c>
      <c r="HZ98" t="str">
        <f t="shared" si="237"/>
        <v/>
      </c>
      <c r="IA98">
        <f>IF(B98="","",IFERROR(VLOOKUP(B98,УГО_спр,2,FALSE),IFERROR(VLOOKUP(AX98,УГО_спр,2,FALSE),IFERROR(VLOOKUP(LEFT(AX98,2),УГО_спр,2,FALSE),""))))</f>
        <v>0</v>
      </c>
      <c r="IB98" t="str">
        <f>IF(B98="","",IF(OR(IA98="",IA98=0),"BOX",IFERROR(IF(VLOOKUP(IA98,УГО_блоки,3,FALSE)&amp;""&lt;&gt;"",VLOOKUP(IA98,УГО_блоки,3,FALSE),VLOOKUP(IA98,УГО_блоки,2,FALSE)),IA98)))</f>
        <v>BOX</v>
      </c>
      <c r="IC98">
        <f t="shared" si="238"/>
        <v>1</v>
      </c>
      <c r="ID98" t="str">
        <f>IF(DA98="","",IF(COUNTIF(DA$3:DA98,DA98)=1,MAX(ID$2:ID97)+1,""))</f>
        <v/>
      </c>
      <c r="IE98" t="str">
        <f>IF(CO98="","",IF(COUNTIF(CO$3:CO98,CO98)+COUNTIF(CP$2:CP97,CO98)+COUNTIF(CQ$2:CQ97,CO98)=1,MAX(IE$2:IG97)+1,""))</f>
        <v/>
      </c>
      <c r="IF98" t="str">
        <f>IF(CP98="","",IF(COUNTIF(CO$3:CO98,CP98)+COUNTIF(CP$3:CP98,CP98)+COUNTIF(CQ$2:CQ97,CP98)=1,MAX(IE$2:IG97,IE98)+1,""))</f>
        <v/>
      </c>
      <c r="IG98" t="str">
        <f>IF(CQ98="","",IF(COUNTIF(CO$3:CO98,CQ98)+COUNTIF(CP$3:CP98,CQ98)+COUNTIF(CQ$3:CQ98,CQ98)=1,MAX(IE$2:IG97,IE98,IF98)+1,""))</f>
        <v/>
      </c>
      <c r="IH98" t="str">
        <f t="shared" si="239"/>
        <v>3х1,5</v>
      </c>
      <c r="II98" t="str">
        <f>IF(IH98="","",IF(COUNTIF(IH$3:IH98,IH98)=1,MAX(II$2:II97)+1,""))</f>
        <v/>
      </c>
      <c r="IJ98" t="str">
        <f>IF(GL98="","",COUNTIF(GL$3:GL98,"?*"))</f>
        <v/>
      </c>
      <c r="IK98" t="str">
        <f>IF(OR(GL98="",GN98=""),"",IF(COUNTIFS(GL$3:GL98,"?*",GN$3:GN98,GN98)=1,MAX(IK$2:IK97)+1,""))</f>
        <v/>
      </c>
      <c r="IL98">
        <f t="shared" si="240"/>
        <v>0</v>
      </c>
      <c r="IM98">
        <f>IF(B98="","",COUNTIF(B$3:B98,"?*"))</f>
        <v>96</v>
      </c>
      <c r="IN98">
        <f>IF(GQ98&lt;&gt;1,0,_xlfn.LET(_xlpm.k,MAX(IFERROR(--VLOOKUP(B98,УГО_спр,5,FALSE),0),IFERROR(--VLOOKUP(AX98,УГО_спр,5,FALSE),0),IFERROR(--VLOOKUP(LEFT(AX98,2),УГО_спр,5,FALSE),0)),IF(_xlpm.k&gt;0,_xlpm.k,IF(IFERROR(--LEFT(SUBSTITUTE(IH98,"x","х"),FIND("х",SUBSTITUTE(IH98,"x","х"))-1),3)&gt;3,Каталог!$S$9,1))))</f>
        <v>1</v>
      </c>
      <c r="IO98">
        <f t="shared" si="241"/>
        <v>0</v>
      </c>
      <c r="IP98" t="str">
        <f t="shared" si="242"/>
        <v>авто</v>
      </c>
      <c r="IQ98" t="str">
        <f t="shared" si="243"/>
        <v/>
      </c>
      <c r="IR98">
        <f t="shared" si="244"/>
        <v>0</v>
      </c>
      <c r="IS98">
        <f t="shared" si="245"/>
        <v>1</v>
      </c>
    </row>
    <row r="99" spans="1:253" x14ac:dyDescent="0.3">
      <c r="A99" t="s">
        <v>751</v>
      </c>
      <c r="B99" t="s">
        <v>1370</v>
      </c>
      <c r="C99" t="s">
        <v>1624</v>
      </c>
      <c r="D99">
        <v>1</v>
      </c>
      <c r="E99">
        <v>0.104</v>
      </c>
      <c r="G99">
        <v>10</v>
      </c>
      <c r="H99" t="str">
        <f>Линии[[#This Row],[_авто утечка]]</f>
        <v/>
      </c>
      <c r="I99" t="str">
        <f>Линии[[#This Row],[_авто управление]]</f>
        <v/>
      </c>
      <c r="J99" t="str">
        <f>Линии[[#This Row],[_авто аппараты]]</f>
        <v/>
      </c>
      <c r="K99">
        <v>1.5</v>
      </c>
      <c r="L99">
        <v>31</v>
      </c>
      <c r="M99">
        <v>1</v>
      </c>
      <c r="N99" t="s">
        <v>486</v>
      </c>
      <c r="O99" t="str">
        <f t="shared" si="123"/>
        <v/>
      </c>
      <c r="P99" s="6" cm="1">
        <f t="array" ref="P99">IF(B99="","",IF(BC99&lt;&gt;"",IFERROR(_xlfn.XLOOKUP(BC99,Щиты[Щит],Щиты[Iр, А]),""),IF(BK99=1,IFERROR(_xlfn.XLOOKUP(A99,Щиты[Щит],Щиты[Iр, А]),""),IFERROR(_xlfn.IFS(BR99=1,BN99/((Uн_лин/SQRT(3))*BY99),BR99=3,BN99/(SQRT(3)*Uн_лин*BY99)),""))))</f>
        <v>0.56291651245988494</v>
      </c>
      <c r="Q99" s="7">
        <f>IF(B99="","",IFERROR(IF(VLOOKUP(AX99,Потребители_обозначение,4,FALSE)=1,VLOOKUP(AX99,Потребители_обозначение,3,FALSE)*(D99*2-1)+DS99+VLOOKUP(AZ99,Этаж_обозначение,3,FALSE)+VLOOKUP(AZ99,Этаж_обозначение,4,FALSE),VLOOKUP(AX99,Потребители_обозначение,3,FALSE)*(D99*2-1)+DS99),DS99))</f>
        <v>33</v>
      </c>
      <c r="R99" s="6">
        <f t="shared" si="124"/>
        <v>0.94</v>
      </c>
      <c r="S99" t="str">
        <f t="shared" si="125"/>
        <v>ВВГнг(А)-LS (3х1,5)</v>
      </c>
      <c r="T99" t="str">
        <f>IF(BH99="","",IF(BI99="вводной узел","узел ","")&amp;"л."&amp;(INT((BH99-1)/Столбцов_на_лист)+1)&amp;" / "&amp;(MOD(BH99-1,Столбцов_на_лист)+1))</f>
        <v>л.3 / 11</v>
      </c>
      <c r="V99">
        <v>1</v>
      </c>
      <c r="W99">
        <v>230</v>
      </c>
      <c r="X99" t="s">
        <v>600</v>
      </c>
      <c r="Y99">
        <v>0.5</v>
      </c>
      <c r="AC99" t="s">
        <v>815</v>
      </c>
      <c r="AE99" t="s">
        <v>578</v>
      </c>
      <c r="AI99">
        <v>45</v>
      </c>
      <c r="AJ99" t="s">
        <v>11</v>
      </c>
      <c r="AK99">
        <v>3</v>
      </c>
      <c r="AM99">
        <v>14</v>
      </c>
      <c r="AN99">
        <v>19</v>
      </c>
      <c r="AP99">
        <v>1</v>
      </c>
      <c r="AW99" cm="1">
        <f t="array" ref="AW99">ROW()-ROW(Линии[#Headers])</f>
        <v>97</v>
      </c>
      <c r="AX99" s="6" t="str">
        <f t="shared" si="126"/>
        <v>K</v>
      </c>
      <c r="AY99" t="str">
        <f t="shared" si="127"/>
        <v>00.007A</v>
      </c>
      <c r="AZ99" t="str">
        <f t="shared" si="128"/>
        <v>00</v>
      </c>
      <c r="BA99" t="str">
        <f t="shared" si="129"/>
        <v>007A</v>
      </c>
      <c r="BB99" t="str">
        <f t="shared" si="130"/>
        <v>007A</v>
      </c>
      <c r="BC99" t="str">
        <f>IF(U99&lt;&gt;"",U99,IF(AND(B99&lt;&gt;"",B99&lt;&gt;A99,ISNUMBER(_xlfn.XMATCH(B99,Щиты[Щит]))),B99,""))</f>
        <v/>
      </c>
      <c r="BD99" t="str" cm="1">
        <f t="array" ref="BD99">IF(B99="","",IF(BC99&lt;&gt;"","Щит "&amp;BC99,_xlfn.LET(_xlpm.nm,IFERROR(_xlfn.XLOOKUP(AX99,Коды_код,Коды_имя)&amp;"",""),_xlpm.md,IFERROR(N(_xlfn.XLOOKUP(AX99,Коды_код,Коды_режим)),1),_xlpm.ex,IF(Имя_режим="по экспликации",IFERROR(_xlfn.XLOOKUP(AZ99&amp;"|"&amp;BB99,Экспликация[Этаж]&amp;"|"&amp;Экспликация[Помещение],Экспликация[Название])&amp;"",""),""),_xlpm.rm,IF(BB99="","",IF(_xlpm.ex&lt;&gt;"",". "&amp;_xlpm.ex&amp;IF(Имя_пом="нет"," ("&amp;BB99&amp;")"," (пом. "&amp;BB99&amp;")"),IF(Имя_пом="нет"," ",", пом. ")&amp;BB99)),IF(_xlpm.nm="","",IF(_xlpm.md=2,_xlpm.nm&amp;" шлейф "&amp;AZ99,_xlpm.nm&amp;_xlpm.rm)))))</f>
        <v>Внутренний блок кондиционирования, пом. 007A</v>
      </c>
      <c r="BE99" t="str">
        <f t="shared" si="131"/>
        <v>Внутренний блок кондиционирования Подвальный этаж Пом. №002Б</v>
      </c>
      <c r="BF99">
        <f>IFERROR(_xlfn.XMATCH(A99,Щиты[Щит]),0)</f>
        <v>5</v>
      </c>
      <c r="BG99">
        <f>_xlfn.LET(_xlpm.k,IFERROR(_xlfn.XLOOKUP(A99,Щиты[Щит],Щиты[Листов под вводной узел]),""),IF(_xlpm.k="",1,N(_xlpm.k))*Столбцов_на_лист)</f>
        <v>34</v>
      </c>
      <c r="BH99">
        <f t="shared" si="132"/>
        <v>45</v>
      </c>
      <c r="BI99" t="str">
        <f t="shared" si="133"/>
        <v>линии</v>
      </c>
      <c r="BJ99" s="6">
        <f>IFERROR(N(_xlfn.XLOOKUP(AX99,Коды_код,Коды_квт)),0)</f>
        <v>0</v>
      </c>
      <c r="BK99">
        <f t="shared" si="134"/>
        <v>0</v>
      </c>
      <c r="BL99" t="str">
        <f>IF(B99="","",IF(BC99&lt;&gt;"",IFERROR(_xlfn.XLOOKUP(BC99,Щиты[Щит],Щиты[Руст, кВт]),0),IF(BK99=1,IFERROR(_xlfn.XLOOKUP(A99,Щиты[Щит],Щиты[Руст, кВт]),0),IF(BJ99&gt;0,ROUND(BJ99*MAX(1,N(D99)),3),""))))</f>
        <v/>
      </c>
      <c r="BM99">
        <f t="shared" si="135"/>
        <v>0.104</v>
      </c>
      <c r="BN99" s="6">
        <f>IF(B99="","",IF(BC99&lt;&gt;"",IFERROR(_xlfn.XLOOKUP(BC99,Щиты[Щит],Щиты[Руст, кВт]),0),N(BM99)))</f>
        <v>0.104</v>
      </c>
      <c r="BO99" t="str">
        <f>IF(B99="","",IFERROR(IF(VLOOKUP(AX99,Потребители_обозначение,8,FALSE)=0,"",VLOOKUP(AX99,Потребители_обозначение,8,FALSE)),""))</f>
        <v/>
      </c>
      <c r="BP99">
        <f t="shared" si="136"/>
        <v>230</v>
      </c>
      <c r="BQ99">
        <f>IF(B99="","",IF(BC99&lt;&gt;"",3,IFERROR(IF(N(VLOOKUP(AX99,Потребители_обозначение,9,FALSE))=0,1,VLOOKUP(AX99,Потребители_обозначение,9,FALSE)),1)))</f>
        <v>1</v>
      </c>
      <c r="BR99">
        <f t="shared" si="137"/>
        <v>1</v>
      </c>
      <c r="BS99" t="str">
        <f>IF(B99="","",_xlfn.LET(_xlpm.bc,IFERROR(IF(VLOOKUP(AX99,Потребители_обозначение,6,FALSE)=0,"",VLOOKUP(AX99,Потребители_обозначение,6,FALSE)&amp;""),""),IF(AND(FK99="да",OR(_xlpm.bc="",_xlpm.bc="мс")),Марка_пож,IF(AND(_xlpm.bc="",BC99&lt;&gt;""),"мс",_xlpm.bc))))</f>
        <v/>
      </c>
      <c r="BT99" t="str">
        <f t="shared" si="138"/>
        <v>мс</v>
      </c>
      <c r="BU99">
        <f>IF(B99="","",_xlfn.LET(_xlpm.cc,IFERROR(N(VLOOKUP(AX99,Потребители_обозначение,7,FALSE)),0),IF(_xlpm.cc&gt;0,_xlpm.cc,IF(BT99="","",IF(N(BR99)=3,5,3)))))</f>
        <v>3</v>
      </c>
      <c r="BV99">
        <f t="shared" si="139"/>
        <v>3</v>
      </c>
      <c r="BW99">
        <f>IFERROR(N(VLOOKUP(AX99,Потребители_обозначение,10,FALSE)),0)</f>
        <v>0</v>
      </c>
      <c r="BX99">
        <f>IFERROR(VLOOKUP(AX99,Потребители_обозначение,5,FALSE),0)</f>
        <v>1</v>
      </c>
      <c r="BY99" s="6" cm="1">
        <f t="array" ref="BY99">IF(B99="","",IF(BC99&lt;&gt;"",IFERROR(_xlfn.XLOOKUP(BC99,Щиты[Щит],Щиты[cos φ]),0.95),IF(BK99=1,IFERROR(_xlfn.XLOOKUP(A99,Щиты[Щит],Щиты[cos φ]),0.95),IF(ISNUMBER(Z99),Z99,IFERROR(IF(BX99=2,_xlfn.IFS(BR99=3,VLOOKUP(BN99,Справочная_двигатели,8,FALSE),BR99=1,VLOOKUP(BN99,Справочная_двигатели,10,TRUE)),IF(AND(Методика="нормы 2026",EQ99="Сил"),0.8,0.95)),0.95)))))</f>
        <v>0.8</v>
      </c>
      <c r="BZ99">
        <f t="shared" si="140"/>
        <v>0</v>
      </c>
      <c r="CA99">
        <f t="shared" si="141"/>
        <v>1</v>
      </c>
      <c r="CB99">
        <f t="shared" si="142"/>
        <v>0</v>
      </c>
      <c r="CC99">
        <f t="shared" si="143"/>
        <v>0</v>
      </c>
      <c r="CD99">
        <f t="shared" si="144"/>
        <v>0</v>
      </c>
      <c r="CE99">
        <f t="shared" si="145"/>
        <v>0</v>
      </c>
      <c r="CF99">
        <f t="shared" si="146"/>
        <v>0</v>
      </c>
      <c r="CG99">
        <f>IF(AX99="",0,_xlfn.LET(_xlpm.v,IFERROR(VLOOKUP(B99,УГО_спр,3,FALSE),IFERROR(VLOOKUP(AX99,УГО_спр,3,FALSE),IFERROR(VLOOKUP(LEFT(AX99,2),УГО_спр,3,FALSE),""))),IF(_xlpm.v="да",30,IF(ISNUMBER(_xlpm.v),_xlpm.v,0))))</f>
        <v>0</v>
      </c>
      <c r="CH99" t="str">
        <f t="shared" si="147"/>
        <v/>
      </c>
      <c r="CI99" t="str">
        <f>_xlfn.LET(_xlpm.k,IFERROR(_xlfn.XLOOKUP(AX99,Коды_код,Коды_утечка)&amp;"",""),IF(_xlpm.k="","дифавтомат",_xlpm.k))</f>
        <v>дифавтомат</v>
      </c>
      <c r="CJ99">
        <f t="shared" si="148"/>
        <v>0</v>
      </c>
      <c r="CK99">
        <f t="shared" si="149"/>
        <v>0</v>
      </c>
      <c r="CL99">
        <f>IF(B99="",0,IFERROR(--VLOOKUP(B99,УГО_спр,4,FALSE),IFERROR(--VLOOKUP(AX99,УГО_спр,4,FALSE),IFERROR(--VLOOKUP(LEFT(AX99,2),УГО_спр,4,FALSE),0))))</f>
        <v>0</v>
      </c>
      <c r="CM99" t="str">
        <f>IF(B99="","",IFERROR(_xlfn.XLOOKUP(AX99,Коды_код,Коды_апп)&amp;"",""))</f>
        <v/>
      </c>
      <c r="CN99" t="str">
        <f t="shared" si="150"/>
        <v/>
      </c>
      <c r="CO99" t="str" cm="1">
        <f t="array" ref="CO99">IF(TRIM(CN99&amp;"")="","",IFERROR(TRIM(INDEX(_xlfn.TEXTSPLIT(CN99&amp;";;;",";"),1)),""))</f>
        <v/>
      </c>
      <c r="CP99" t="str" cm="1">
        <f t="array" ref="CP99">IF(TRIM(CN99&amp;"")="","",IFERROR(TRIM(INDEX(_xlfn.TEXTSPLIT(CN99&amp;";;;",";"),2)),""))</f>
        <v/>
      </c>
      <c r="CQ99" t="str" cm="1">
        <f t="array" ref="CQ99">IF(TRIM(CN99&amp;"")="","",IFERROR(TRIM(INDEX(_xlfn.TEXTSPLIT(CN99&amp;";;;",";"),3)),""))</f>
        <v/>
      </c>
      <c r="CR99">
        <f t="shared" si="151"/>
        <v>0</v>
      </c>
      <c r="CS99" t="str">
        <f>IF(B99="","",_xlfn.LET(_xlpm.t,LOWER(AV99&amp;""),IF(ISNUMBER(SEARCH("dim",_xlpm.t)),"DIM",IF(ISNUMBER(SEARCH("dali",_xlpm.t)),"DALI",IF(OR(ISNUMBER(SEARCH("relay",_xlpm.t)),ISNUMBER(SEARCH("реле",_xlpm.t))),"Relay",IF(ISNUMBER(SEARCH("кнопк",_xlpm.t)),"",IFERROR(_xlfn.XLOOKUP(AX99,Коды_код,Коды_упр)&amp;"","")))))))</f>
        <v/>
      </c>
      <c r="CT99" t="str">
        <f t="shared" si="152"/>
        <v/>
      </c>
      <c r="CU99">
        <f>IF(B99="","",_xlfn.LET(_xlpm.ig,N(P99)+IF(AF99="вручную",0,N(CB99)),_xlpm.n0,IFERROR(VLOOKUP(_xlpm.ig,Автомат_номиналы,2,TRUE),0),_xlpm.mn,MAX(CL99,IF(AF99="вручную",0,N(CE99))),MAX(_xlpm.n0,_xlpm.mn,IF(CR99=1,Мин_автомат_БП,0))))</f>
        <v>6</v>
      </c>
      <c r="CV99">
        <f t="shared" si="153"/>
        <v>1</v>
      </c>
      <c r="CW99" t="str">
        <f t="shared" si="154"/>
        <v>1P</v>
      </c>
      <c r="CX99" t="str">
        <f>_xlfn.LET(_xlpm.cc,UPPER(TRIM(IFERROR(_xlfn.XLOOKUP(AX99,Коды_код,Коды_хар)&amp;"",""))),IF(OR(_xlpm.cc="B",_xlpm.cc="В"),"B",IF(_xlpm.cc="D","D","С")))</f>
        <v>С</v>
      </c>
      <c r="CY99" t="str">
        <f t="shared" si="155"/>
        <v>1P С6А</v>
      </c>
      <c r="CZ99">
        <f t="shared" si="156"/>
        <v>10</v>
      </c>
      <c r="DA99" t="str">
        <f t="shared" si="157"/>
        <v>1P С10А</v>
      </c>
      <c r="DB99" cm="1">
        <f t="array" ref="DB99">IF(DA99="","",_xlfn.LET(_xlpm.t,SUBSTITUTE(SUBSTITUTE(SUBSTITUTE(UPPER(DA99),"С","C"),"А","A"),"В","B"),_xlpm.tk,_xlfn.TEXTSPLIT(_xlpm.t,"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9" t="str">
        <f t="shared" si="158"/>
        <v>ok</v>
      </c>
      <c r="DD99">
        <f t="shared" si="159"/>
        <v>10</v>
      </c>
      <c r="DE99" t="str">
        <f t="shared" si="160"/>
        <v>1P С10А</v>
      </c>
      <c r="DF99">
        <f t="shared" si="161"/>
        <v>0</v>
      </c>
      <c r="DG99">
        <f t="shared" si="162"/>
        <v>0</v>
      </c>
      <c r="DH99">
        <f t="shared" si="163"/>
        <v>0</v>
      </c>
      <c r="DI99">
        <f t="shared" si="164"/>
        <v>0.56291651245988494</v>
      </c>
      <c r="DJ99">
        <f t="shared" si="165"/>
        <v>1</v>
      </c>
      <c r="DK99">
        <f>IF(ISNUMBER(AL99),AL99,К_прокл)</f>
        <v>1</v>
      </c>
      <c r="DL99">
        <f t="shared" si="166"/>
        <v>2</v>
      </c>
      <c r="DM99">
        <f>IFERROR(N(VLOOKUP(BT99,Кабель_обозначение,3,FALSE)),1)</f>
        <v>1</v>
      </c>
      <c r="DN99">
        <f>IFERROR(N(_xlfn.XLOOKUP(A99,Щиты[Щит],Щиты[ΔU до шин, %])),0)</f>
        <v>0.74</v>
      </c>
      <c r="DO99" t="str">
        <f>IFERROR(_xlfn.XLOOKUP(A99,Щиты[Щит],Щиты[Zпетли на шинах, Ом]),"")</f>
        <v/>
      </c>
      <c r="DP99">
        <f>IFERROR(N(_xlfn.XLOOKUP(A99,Щиты[Щит],Щиты[ΔU до шин (подбор), %])),0)</f>
        <v>1.96</v>
      </c>
      <c r="DQ99" t="str">
        <f>IFERROR(_xlfn.XLOOKUP(A99,Щиты[Щит],Щиты[Zпетли на шинах (подбор), Ом]),"")</f>
        <v/>
      </c>
      <c r="DR99" t="str">
        <f t="shared" si="167"/>
        <v/>
      </c>
      <c r="DS99">
        <f t="shared" si="168"/>
        <v>31</v>
      </c>
      <c r="DT99">
        <f t="shared" si="169"/>
        <v>2</v>
      </c>
      <c r="DU99">
        <f t="shared" si="170"/>
        <v>0.6</v>
      </c>
      <c r="DV99" s="6">
        <f>IF(B99="","",IF(IFERROR(VLOOKUP(AX99,УГО_спр,2,FALSE),"")="Светильник",3,4)+IF(Методика="нормы 2026",MIN(0.5,MAX(0,N(Q99)-100)*0.005),0))</f>
        <v>4</v>
      </c>
      <c r="DW99" cm="1">
        <f t="array" ref="DW99">IF(OR(B99="",BT99="",DM99&lt;&gt;1),"",_xlfn.LET(_xlpm.sz,Iдоп_S,_xlpm.t_,CHOOSE(DL99,Iдоп_1ж,Iдоп_2ж,Iдоп_3ж)*DJ99*DK99,_xlpm.inn,N(DD99),_xlpm.smin,MAX(1.5,BW99),_xlpm.L_,N(Q99)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99)*(_xlpm.rho*_xlpm.L_/_xlpm.sz*N(BY99)+_xlpm.xx*_xlpm.L_*N(DU99)/1000)*N(P99)/((Uн_лин/SQRT(3))*1000)*100,999),_xlpm.kz,IF(OR(DG99=1,NOT(ISNUMBER(DQ99)),_xlpm.L_=0,_xlpm.inn=0),1,IFERROR(--(c_min*(Uн_лин*1000/SQRT(3))/(DQ99+2*ρкз_Cu*_xlpm.L_/_xlpm.sz)&gt;=GY99*_xlpm.inn),0)),_xlpm.ok,IFERROR((_xlpm.sz&gt;=_xlpm.smin)*(_xlpm.t_&gt;=_xlpm.inn)*IF(_xlpm.L_&gt;0,(_xlpm.du_+DP99&lt;=DV99+0.00001),1)*_xlpm.kz,0),_xlpm.r_,_xlfn._xlws.FILTER(_xlpm.sz,_xlpm.ok,"не подобрано"),INDEX(_xlpm.r_,1)))</f>
        <v>1.5</v>
      </c>
      <c r="DX99">
        <f t="shared" si="171"/>
        <v>1.5</v>
      </c>
      <c r="DY99" cm="1">
        <f t="array" ref="DY99">IF(OR(B99="",BT99="",DM99&lt;&gt;1),"",_xlfn.LET(_xlpm.sz,Iдоп_S,_xlpm.t_,CHOOSE(DL99,Iдоп_1ж,Iдоп_2ж,Iдоп_3ж)*DJ99*DK99,_xlpm.ok,IFERROR((_xlpm.sz&gt;=MAX(1.5,BW99))*(_xlpm.t_&gt;=N(DD99)),0),_xlpm.r_,_xlfn._xlws.FILTER(_xlpm.sz,_xlpm.ok,""),INDEX(_xlpm.r_,1)))</f>
        <v>1.5</v>
      </c>
      <c r="DZ99" s="6" cm="1">
        <f t="array" ref="DZ99">IFERROR(ROUNDUP(N(DT99)*(_xlfn.XLOOKUP(DY99,INDEX(Кабель_сопротивление,0,1),INDEX(Кабель_сопротивление,0,3))*N(Q99)/DY99*N(BY99)+_xlfn.XLOOKUP(DY99,INDEX(Кабель_сопротивление,0,1),INDEX(Кабель_сопротивление,0,2))*N(Q99)*N(DU99)/1000)*N(P99)/((Uн_лин/SQRT(3))*1000)*100,2),"")</f>
        <v>0.2</v>
      </c>
      <c r="EA99">
        <f>IFERROR(2*ρкз_Cu*N(Q99)/DY99,"")</f>
        <v>1.1572</v>
      </c>
      <c r="EB99">
        <f>IFERROR(VLOOKUP(DX99,Кабель_сопротивление,3,FALSE),"")</f>
        <v>2.2499999999999999E-2</v>
      </c>
      <c r="EC99">
        <f>IFERROR(VLOOKUP(DX99,Кабель_сопротивление,2,FALSE),"")</f>
        <v>0.11</v>
      </c>
      <c r="ED99">
        <f t="shared" si="172"/>
        <v>19</v>
      </c>
      <c r="EE99">
        <f t="shared" si="173"/>
        <v>0</v>
      </c>
      <c r="EF99">
        <f t="shared" si="174"/>
        <v>0.44828194219650414</v>
      </c>
      <c r="EG99" s="6">
        <f>IFERROR(ROUNDUP(EF99/((Uн_лин/SQRT(3))*1000)*100,2),"")</f>
        <v>0.2</v>
      </c>
      <c r="EH99" t="str">
        <f>IFERROR(VLOOKUP(BT99,Кабель_обозначение,2,FALSE),"")</f>
        <v>ВВГнг(А)-LS</v>
      </c>
      <c r="EI99" t="str">
        <f t="shared" si="175"/>
        <v>ВВГнг(А)-LS (3х1,5)</v>
      </c>
      <c r="EJ99" t="str">
        <f t="shared" si="176"/>
        <v>ВВГнг(А)-LS (3х1,5)
L=33-0,2%</v>
      </c>
      <c r="EK99">
        <f>IFERROR(2*ρкз_Cu*Q99/DX99,"")</f>
        <v>1.1572</v>
      </c>
      <c r="EL99">
        <f t="shared" si="177"/>
        <v>0.38500000000000001</v>
      </c>
      <c r="EM99" s="6" t="str">
        <f>IFERROR(IF(OR(B99="",NOT(ISNUMBER(DX99)),N(Q99)=0),"",_xlfn.XLOOKUP(A99,Щиты[Щит],Щиты[Zпетли на шинах, Ом])+EK99),"")</f>
        <v/>
      </c>
      <c r="EN99" s="6" t="str">
        <f>IF(ISNUMBER(EM99),c_min*(Uн_лин*1000/SQRT(3))/EM99,"")</f>
        <v/>
      </c>
      <c r="EO99" s="6" t="str">
        <f>IFERROR(IF(OR(B99="",NOT(ISNUMBER(DX99))),"",1.05*(Uн_лин*1000/SQRT(3))/(_xlfn.XLOOKUP(A99,Щиты[Щит],Щиты[Zmax на шинах, Ом])+EL99)/1000),"")</f>
        <v/>
      </c>
      <c r="EP99" s="6" t="str">
        <f>IF(B99="","",IF(ISNUMBER(Y99),"Сил",IF(IFERROR(_xlfn.XLOOKUP(AX99,Коды_код,Коды_группа)&amp;"","")="","Быт",_xlfn.XLOOKUP(AX99,Коды_код,Коды_группа)&amp;"")))</f>
        <v>Сил</v>
      </c>
      <c r="EQ99" s="6" t="str">
        <f t="shared" si="178"/>
        <v>Сил</v>
      </c>
      <c r="ER99" s="6">
        <f>IF(EQ99="Щит","щит",IF(EQ99="","",IF(EQ99="Быт",IFERROR(_xlfn.XLOOKUP(A99,Щиты[Щит],Щиты[Кс быт]),1),IF(EQ99="Сил",IF(ISNUMBER(Y99),Y99,IF(Методика="нормы 2026",IFERROR(_xlfn.XLOOKUP(A99,Щиты[Щит],Щиты[Кс силовых (табл. 7.5)]),1),1)),IF(OR(EQ99="Пост",EQ99="Отоп"),1,IF(EQ99="ВНГ",0.7,0))))))</f>
        <v>0.5</v>
      </c>
      <c r="ES99">
        <f t="shared" si="179"/>
        <v>1</v>
      </c>
      <c r="ET99">
        <f t="shared" si="180"/>
        <v>0.104</v>
      </c>
      <c r="EU99">
        <f t="shared" si="181"/>
        <v>0</v>
      </c>
      <c r="EV99">
        <f t="shared" si="182"/>
        <v>5.1999999999999998E-2</v>
      </c>
      <c r="EW99">
        <f t="shared" si="183"/>
        <v>0</v>
      </c>
      <c r="EX99">
        <f t="shared" si="184"/>
        <v>0</v>
      </c>
      <c r="EY99">
        <f t="shared" si="185"/>
        <v>0</v>
      </c>
      <c r="EZ99">
        <f t="shared" si="186"/>
        <v>0.104</v>
      </c>
      <c r="FA99">
        <f t="shared" si="187"/>
        <v>8.3199999999999996E-2</v>
      </c>
      <c r="FB99">
        <f t="shared" si="188"/>
        <v>0.104</v>
      </c>
      <c r="FC99" t="str">
        <f t="shared" si="189"/>
        <v>L1</v>
      </c>
      <c r="FD99" t="str">
        <f>IF(B99="","",IF(CA99=0,IF(AW99=1,"",FF98),IF(OR(N(CV99)&gt;=3,N(BR99)&gt;=3),"L1,L2,L3",IFERROR(_xlfn.TEXTBEFORE(_xlfn.TEXTAFTER(_xlfn.XLOOKUP(A99,Щиты[Щит],Щиты[_фазы авто]),";"&amp;AW99&amp;":"),";"),"L1"))))</f>
        <v>L1</v>
      </c>
      <c r="FE99" t="str">
        <f t="shared" si="190"/>
        <v>L1</v>
      </c>
      <c r="FF99" t="str">
        <f t="shared" si="191"/>
        <v>L1</v>
      </c>
      <c r="FG99" cm="1">
        <f t="array" ref="FG99">IFERROR(IF(BX99=2,_xlfn.IFS(BR99=3,VLOOKUP(BN99,Справочная_двигатели,3,FALSE),BR99=1,VLOOKUP(BN99,Справочная_двигатели,5,TRUE)),0),0)</f>
        <v>0</v>
      </c>
      <c r="FH99">
        <f>IFERROR(IF(BX99=3,VLOOKUP(BN99,Справочная_ЛЭД,2,TRUE),0),0)</f>
        <v>0</v>
      </c>
      <c r="FI99" s="6">
        <f t="shared" si="192"/>
        <v>0</v>
      </c>
      <c r="FJ99" t="str" cm="1">
        <f t="array" ref="FJ99">IF(B99="","",IFERROR(INDEX({"I особая","I","II","III"},MATCH(TRIM(AC99&amp;""),{"I особая","I","II","III"},0)),"III"))</f>
        <v>II</v>
      </c>
      <c r="FK99" t="str">
        <f>IF(B99="","",IF(TRIM(AD99&amp;"")&lt;&gt;"",IF(LOWER(TRIM(AD99&amp;""))="да","да","нет"),IF(IFERROR(_xlfn.XLOOKUP(AX99,Коды_код,Коды_пожарная),"")="да","да","нет")))</f>
        <v>нет</v>
      </c>
      <c r="FL99" t="str">
        <f t="shared" si="193"/>
        <v/>
      </c>
      <c r="FM99" t="str">
        <f t="shared" si="194"/>
        <v>основная</v>
      </c>
      <c r="FN99">
        <f t="shared" si="195"/>
        <v>1</v>
      </c>
      <c r="FO99" t="str" cm="1">
        <f t="array" ref="FO99">IF(B99="","",_xlfn.LET(_xlpm.t,IFERROR(_xlfn.XLOOKUP(1,(Шины[Шина]=FM99)*(((Шины[Щит]=A99)+(Шины[Щит]=""))&gt;0),Шины[Тип]),"")&amp;"",IF(_xlpm.t&lt;&gt;"",_xlpm.t,IF(ISNUMBER(SEARCH("ИБП",FM99)),"ИБП",IF(ISNUMBER(SEARCH("ДГУ",FM99)),"ДГУ","Ввод "&amp;FN99)))))</f>
        <v>Ввод 1</v>
      </c>
      <c r="FP99" t="str">
        <f t="shared" si="196"/>
        <v>Ввод 1</v>
      </c>
      <c r="FQ99" t="str">
        <f>IF(B99="","",IF(OR(FO99="ИБП",FO99="ДГУ"),"I особая",IF(FO99="Одиночная","III",_xlfn.XLOOKUP(A99,Щиты[Щит],Щиты[Категория шины «Ввод»],"III"))))</f>
        <v>II</v>
      </c>
      <c r="FR99">
        <f>IF(B99="",0,IFERROR(MATCH(FJ99,{"III","II","I","I особая"},0),1))</f>
        <v>2</v>
      </c>
      <c r="FS99">
        <f t="shared" si="197"/>
        <v>2</v>
      </c>
      <c r="FT99" t="str">
        <f>IF(B99="","",IF(FR99&gt;IFERROR(MATCH(FQ99,{"III","II","I","I особая"},0),1),"НЕ ОБЕСПЕЧЕНА","ОК"))</f>
        <v>ОК</v>
      </c>
      <c r="FU99" t="str">
        <f>IF(A99="","",_xlfn.XLOOKUP(A99,Щиты[Щит],Щиты[Путь],""))</f>
        <v>|ГРЩ-ЖД|ЩОВ-002|</v>
      </c>
      <c r="FV99" t="str">
        <f>IF(B99="","",IF(AE99&lt;&gt;"",AE99,IF(IFERROR(_xlfn.XLOOKUP(AX99,Коды_код,Коды_вид)&amp;"","")="","Прочее",_xlfn.XLOOKUP(AX99,Коды_код,Коды_вид)&amp;"")))</f>
        <v>Кондиционирование и увлажнение</v>
      </c>
      <c r="FW99">
        <f>IF(BH99="","",INT((BH99-1)/Столбцов_на_лист)+1)</f>
        <v>3</v>
      </c>
      <c r="FX99" t="str">
        <f t="shared" si="198"/>
        <v>ВВГнг(А)-LS (3х1,5) L=33-0,2%</v>
      </c>
      <c r="FY99">
        <f t="shared" si="199"/>
        <v>0.104</v>
      </c>
      <c r="FZ99">
        <f t="shared" si="200"/>
        <v>0.57000000000000006</v>
      </c>
      <c r="GA99">
        <f t="shared" si="201"/>
        <v>1</v>
      </c>
      <c r="GB99">
        <f t="shared" si="202"/>
        <v>0</v>
      </c>
      <c r="GC99">
        <f t="shared" si="203"/>
        <v>1</v>
      </c>
      <c r="GD99">
        <f>IF(BH99="","",IF(AND(CA99=1,GC99=1),COUNTIFS(A$3:A99,A99,CA$3:CA99,1,GC$3:GC99,1),IF(OR(OR(AW99=1,A99&lt;&gt;A98),AF99="вручную",GC99=0),"",IF(AW99=1,"",GE98))))</f>
        <v>11</v>
      </c>
      <c r="GE99">
        <f t="shared" si="204"/>
        <v>11</v>
      </c>
      <c r="GF99">
        <f>IF(B99="","",IFERROR(LOOKUP(INDEX(CHOOSE(DL99,Iдоп_1ж,Iдоп_2ж,Iдоп_3ж),MATCH(DX99,Iдоп_S,0))*DJ99*DK99,{6,10,16,20,25,32,40,50,63,80,100,125,160,200,250,315,400,500,630}),""))</f>
        <v>16</v>
      </c>
      <c r="GG99" t="str">
        <f t="shared" si="205"/>
        <v>QF11</v>
      </c>
      <c r="GH99" t="str">
        <f t="shared" si="206"/>
        <v>QF11</v>
      </c>
      <c r="GI99" t="str">
        <f t="shared" si="207"/>
        <v/>
      </c>
      <c r="GJ99">
        <f t="shared" si="208"/>
        <v>0</v>
      </c>
      <c r="GK99" t="str">
        <f>IF(OR(AG99="",AG99="-"),"",IFERROR(VLOOKUP(AG99,Модули_спр,2,FALSE),"R"))</f>
        <v/>
      </c>
      <c r="GL99" t="str">
        <f>IF(GK99="","",GK99&amp;"."&amp;COUNTIFS(A$3:A99,A99,GK$3:GK99,GK99))</f>
        <v/>
      </c>
      <c r="GM99" t="str">
        <f t="shared" si="209"/>
        <v/>
      </c>
      <c r="GN99" t="str">
        <f t="shared" si="210"/>
        <v/>
      </c>
      <c r="GO99" t="str">
        <f t="shared" si="211"/>
        <v/>
      </c>
      <c r="GP99" t="str">
        <f t="shared" si="212"/>
        <v/>
      </c>
      <c r="GQ99">
        <f t="shared" si="213"/>
        <v>1</v>
      </c>
      <c r="GR99" t="str">
        <f>IF(GQ99=1,"XT"&amp;COUNTIFS(A$3:A99,A99,GQ$3:GQ99,1),"")</f>
        <v>XT11</v>
      </c>
      <c r="GS99" t="str">
        <f t="shared" si="214"/>
        <v/>
      </c>
      <c r="GT99" t="str">
        <f t="shared" si="215"/>
        <v>QF11</v>
      </c>
      <c r="GU99" t="str">
        <f t="shared" si="216"/>
        <v/>
      </c>
      <c r="GV99" t="str">
        <f t="shared" si="217"/>
        <v>ok</v>
      </c>
      <c r="GW99" t="str">
        <f>IF(OR(GO99="",GM99=""),"",IF(GO99&gt;IFERROR(VLOOKUP(GN99,Модули_спр,3,FALSE),99),"ЛИШНИЙ КАНАЛ",IF(AND(AH99&lt;&gt;"=",COUNTIFS(Линии[_модуль гр.],GM99,Линии[Канал (итог)],GO99,Линии[Канал],"&lt;&gt;=",Линии[Щит],A99)&gt;1),"ДУБЛЬ КАНАЛА","")))</f>
        <v/>
      </c>
      <c r="GX99" s="6" t="str">
        <f t="shared" si="218"/>
        <v/>
      </c>
      <c r="GY99">
        <f t="shared" si="219"/>
        <v>10</v>
      </c>
      <c r="GZ99" t="str">
        <f t="shared" si="220"/>
        <v/>
      </c>
      <c r="HA99" t="str">
        <f>IF(AND(B99="",GT99=""),"",_xlfn.TEXTJOIN("; ",TRUE,IF(AND(B99&lt;&gt;"",FE99=""),"нет фазы",""),IF(AND(B99&lt;&gt;"",N(FY99)=0,EQ99&lt;&gt;"Нет"),"нет мощности",""),IF(AND(GS99&lt;&gt;"",COUNTIFS(Линии[Щит],A99,Линии[Клемма (итог)],GS99)&gt;1),"дубль клеммы "&amp;GS99,""),IF(AND(GV99&lt;&gt;"",GV99&lt;&gt;"ok"),GV99,""),IF(GW99&lt;&gt;"",GW99,""),IF(AND(N(BV99)&gt;=4,N(BR99)=1),BV99&amp;" жил на 1 фазе",""),IF(AND(AX99="R",CA99=1,OR(N(CK99)=0,N(CK99)&gt;30)),"розетка без дифзащиты до 30 мА",""),IFERROR(IF(AND(ISNUMBER(R99),R99&gt;DV99),"потери "&amp;FIXED(R99,1)&amp;" % &gt; "&amp;DV99&amp;" %",""),""),IFERROR(IF(LEFT(GZ99,4)="мало","Iкз мало — отключение &gt; 0,4 с",""),""),IF(AND(B99&lt;&gt;"",BH99=""),"не на схеме",""),IF(AND(CA99=0,B99&lt;&gt;"",FE99&lt;&gt;"",IF(AW99=1,"",FF98)&lt;&gt;"",FE99&lt;&gt;IF(AW99=1,"",FF98)),"фаза не как у автомата группы ("&amp;IF(AW99=1,"",FF98)&amp;")","")))</f>
        <v/>
      </c>
      <c r="HB99" s="6">
        <f>IF(OR(CA99=0,DA99=""),"",_xlfn.LET(_xlpm.t,IFERROR(_xlfn.XLOOKUP(DA99,Каталог!$U$4:$U$500,Каталог!$G$4:$G$500),""),_xlpm.k,SEARCH("кА",_xlpm.t),IFERROR(--TRIM(RIGHT(SUBSTITUTE(MID(_xlpm.t,MAX(1,_xlpm.k-4),_xlpm.k-MAX(1,_xlpm.k-4))," ",REPT(" ",9)),5)),"")))</f>
        <v>6</v>
      </c>
      <c r="HC99" t="str">
        <f>IF(OR(HB99="",CA99=0),"",IF(_xlfn.XLOOKUP(A99,Щиты[Щит],Щиты[Iкз max на шинах, кА],"")="","",IF(HB99&lt;_xlfn.XLOOKUP(A99,Щиты[Щит],Щиты[Iкз max на шинах, кА]),"Icu "&amp;HB99&amp;" кА &lt; Iкз max","ok")))</f>
        <v/>
      </c>
      <c r="HD99" t="str">
        <f t="shared" si="221"/>
        <v/>
      </c>
      <c r="HE99" t="str">
        <f t="shared" si="222"/>
        <v>QF11</v>
      </c>
      <c r="HF99" t="str">
        <f t="shared" si="223"/>
        <v>QF11|кабель ВВГнг(А)-LS (3х1,5) → Внутренний блок кондиционирования Подвальный этаж Пом. №002Б</v>
      </c>
      <c r="HG99" t="str" cm="1">
        <f t="array" ref="HG99">IF(HF99="","",_xlfn.LET(_xlpm.nd,_xlfn.TEXTSPLIT(HF99,"|"),IF(COLUMNS(_xlpm.nd)&gt;1,A99&amp;"¦"&amp;INDEX(_xlpm.nd,1)&amp;"¦"&amp;INDEX(_xlpm.nd,2),"")))</f>
        <v>ЩОВ-002¦QF11¦кабель ВВГнг(А)-LS (3х1,5) → Внутренний блок кондиционирования Подвальный этаж Пом. №002Б</v>
      </c>
      <c r="HH99" t="str">
        <f t="shared" si="224"/>
        <v>K.00.007A¦Внутренний блок кондиционирования Подвальный этаж Пом. №002Б</v>
      </c>
      <c r="HI99" t="str" cm="1">
        <f t="array" ref="HI99">IF(HF99="","",_xlfn.LET(_xlpm.nd,_xlfn.TEXTSPLIT(HF99,"|"),IF(COLUMNS(_xlpm.nd)&gt;2,A99&amp;"¦"&amp;INDEX(_xlpm.nd,2)&amp;"¦"&amp;INDEX(_xlpm.nd,3),"")))</f>
        <v/>
      </c>
      <c r="HJ99" t="str">
        <f t="shared" si="225"/>
        <v/>
      </c>
      <c r="HK99" t="str" cm="1">
        <f t="array" ref="HK99">IF(HF99="","",_xlfn.LET(_xlpm.nd,_xlfn.TEXTSPLIT(HF99,"|"),IF(COLUMNS(_xlpm.nd)&gt;3,A99&amp;"¦"&amp;INDEX(_xlpm.nd,3)&amp;"¦"&amp;INDEX(_xlpm.nd,4),"")))</f>
        <v/>
      </c>
      <c r="HL99" t="str">
        <f t="shared" si="226"/>
        <v/>
      </c>
      <c r="HM99" t="str" cm="1">
        <f t="array" ref="HM99">IF(HF99="","",_xlfn.LET(_xlpm.nd,_xlfn.TEXTSPLIT(HF99,"|"),IF(COLUMNS(_xlpm.nd)&gt;4,A99&amp;"¦"&amp;INDEX(_xlpm.nd,4)&amp;"¦"&amp;INDEX(_xlpm.nd,5),"")))</f>
        <v/>
      </c>
      <c r="HN99" t="str">
        <f t="shared" si="227"/>
        <v/>
      </c>
      <c r="HO99" t="str" cm="1">
        <f t="array" ref="HO99">IF(HF99="","",_xlfn.LET(_xlpm.nd,_xlfn.TEXTSPLIT(HF99,"|"),IF(COLUMNS(_xlpm.nd)&gt;5,A99&amp;"¦"&amp;INDEX(_xlpm.nd,5)&amp;"¦"&amp;INDEX(_xlpm.nd,6),"")))</f>
        <v/>
      </c>
      <c r="HP99" t="str">
        <f t="shared" si="228"/>
        <v/>
      </c>
      <c r="HQ99" t="str" cm="1">
        <f t="array" ref="HQ99">IF(HF99="","",_xlfn.LET(_xlpm.nd,_xlfn.TEXTSPLIT(HF99,"|"),IF(COLUMNS(_xlpm.nd)&gt;6,A99&amp;"¦"&amp;INDEX(_xlpm.nd,6)&amp;"¦"&amp;INDEX(_xlpm.nd,7),"")))</f>
        <v/>
      </c>
      <c r="HR99" t="str">
        <f t="shared" si="229"/>
        <v/>
      </c>
      <c r="HS99" t="str">
        <f t="shared" si="230"/>
        <v/>
      </c>
      <c r="HT99" t="str">
        <f t="shared" si="231"/>
        <v>QF11</v>
      </c>
      <c r="HU99">
        <f t="shared" si="232"/>
        <v>0</v>
      </c>
      <c r="HV99">
        <f t="shared" si="233"/>
        <v>0</v>
      </c>
      <c r="HW99" t="str">
        <f t="shared" si="234"/>
        <v/>
      </c>
      <c r="HX99" t="str">
        <f t="shared" si="235"/>
        <v/>
      </c>
      <c r="HY99" t="str">
        <f t="shared" si="236"/>
        <v/>
      </c>
      <c r="HZ99" t="str">
        <f t="shared" si="237"/>
        <v/>
      </c>
      <c r="IA99">
        <f>IF(B99="","",IFERROR(VLOOKUP(B99,УГО_спр,2,FALSE),IFERROR(VLOOKUP(AX99,УГО_спр,2,FALSE),IFERROR(VLOOKUP(LEFT(AX99,2),УГО_спр,2,FALSE),""))))</f>
        <v>0</v>
      </c>
      <c r="IB99" t="str">
        <f>IF(B99="","",IF(OR(IA99="",IA99=0),"BOX",IFERROR(IF(VLOOKUP(IA99,УГО_блоки,3,FALSE)&amp;""&lt;&gt;"",VLOOKUP(IA99,УГО_блоки,3,FALSE),VLOOKUP(IA99,УГО_блоки,2,FALSE)),IA99)))</f>
        <v>BOX</v>
      </c>
      <c r="IC99">
        <f t="shared" si="238"/>
        <v>1</v>
      </c>
      <c r="ID99" t="str">
        <f>IF(DA99="","",IF(COUNTIF(DA$3:DA99,DA99)=1,MAX(ID$2:ID98)+1,""))</f>
        <v/>
      </c>
      <c r="IE99" t="str">
        <f>IF(CO99="","",IF(COUNTIF(CO$3:CO99,CO99)+COUNTIF(CP$2:CP98,CO99)+COUNTIF(CQ$2:CQ98,CO99)=1,MAX(IE$2:IG98)+1,""))</f>
        <v/>
      </c>
      <c r="IF99" t="str">
        <f>IF(CP99="","",IF(COUNTIF(CO$3:CO99,CP99)+COUNTIF(CP$3:CP99,CP99)+COUNTIF(CQ$2:CQ98,CP99)=1,MAX(IE$2:IG98,IE99)+1,""))</f>
        <v/>
      </c>
      <c r="IG99" t="str">
        <f>IF(CQ99="","",IF(COUNTIF(CO$3:CO99,CQ99)+COUNTIF(CP$3:CP99,CQ99)+COUNTIF(CQ$3:CQ99,CQ99)=1,MAX(IE$2:IG98,IE99,IF99)+1,""))</f>
        <v/>
      </c>
      <c r="IH99" t="str">
        <f t="shared" si="239"/>
        <v>3х1,5</v>
      </c>
      <c r="II99" t="str">
        <f>IF(IH99="","",IF(COUNTIF(IH$3:IH99,IH99)=1,MAX(II$2:II98)+1,""))</f>
        <v/>
      </c>
      <c r="IJ99" t="str">
        <f>IF(GL99="","",COUNTIF(GL$3:GL99,"?*"))</f>
        <v/>
      </c>
      <c r="IK99" t="str">
        <f>IF(OR(GL99="",GN99=""),"",IF(COUNTIFS(GL$3:GL99,"?*",GN$3:GN99,GN99)=1,MAX(IK$2:IK98)+1,""))</f>
        <v/>
      </c>
      <c r="IL99">
        <f t="shared" si="240"/>
        <v>0</v>
      </c>
      <c r="IM99">
        <f>IF(B99="","",COUNTIF(B$3:B99,"?*"))</f>
        <v>97</v>
      </c>
      <c r="IN99">
        <f>IF(GQ99&lt;&gt;1,0,_xlfn.LET(_xlpm.k,MAX(IFERROR(--VLOOKUP(B99,УГО_спр,5,FALSE),0),IFERROR(--VLOOKUP(AX99,УГО_спр,5,FALSE),0),IFERROR(--VLOOKUP(LEFT(AX99,2),УГО_спр,5,FALSE),0)),IF(_xlpm.k&gt;0,_xlpm.k,IF(IFERROR(--LEFT(SUBSTITUTE(IH99,"x","х"),FIND("х",SUBSTITUTE(IH99,"x","х"))-1),3)&gt;3,Каталог!$S$9,1))))</f>
        <v>1</v>
      </c>
      <c r="IO99">
        <f t="shared" si="241"/>
        <v>0</v>
      </c>
      <c r="IP99" t="str">
        <f t="shared" si="242"/>
        <v>авто</v>
      </c>
      <c r="IQ99" t="str">
        <f t="shared" si="243"/>
        <v/>
      </c>
      <c r="IR99">
        <f t="shared" si="244"/>
        <v>0</v>
      </c>
      <c r="IS99">
        <f t="shared" si="245"/>
        <v>1</v>
      </c>
    </row>
    <row r="100" spans="1:253" x14ac:dyDescent="0.3">
      <c r="A100" t="s">
        <v>751</v>
      </c>
      <c r="B100" t="s">
        <v>1371</v>
      </c>
      <c r="C100" t="s">
        <v>1626</v>
      </c>
      <c r="D100">
        <v>1</v>
      </c>
      <c r="E100">
        <v>0.104</v>
      </c>
      <c r="G100">
        <v>10</v>
      </c>
      <c r="H100" t="str">
        <f>Линии[[#This Row],[_авто утечка]]</f>
        <v/>
      </c>
      <c r="I100" t="str">
        <f>Линии[[#This Row],[_авто управление]]</f>
        <v/>
      </c>
      <c r="J100" t="str">
        <f>Линии[[#This Row],[_авто аппараты]]</f>
        <v/>
      </c>
      <c r="K100">
        <v>1.5</v>
      </c>
      <c r="L100">
        <v>26</v>
      </c>
      <c r="M100">
        <v>1</v>
      </c>
      <c r="N100" t="s">
        <v>486</v>
      </c>
      <c r="O100" t="str">
        <f t="shared" si="123"/>
        <v/>
      </c>
      <c r="P100" s="6" cm="1">
        <f t="array" ref="P100">IF(B100="","",IF(BC100&lt;&gt;"",IFERROR(_xlfn.XLOOKUP(BC100,Щиты[Щит],Щиты[Iр, А]),""),IF(BK100=1,IFERROR(_xlfn.XLOOKUP(A100,Щиты[Щит],Щиты[Iр, А]),""),IFERROR(_xlfn.IFS(BR100=1,BN100/((Uн_лин/SQRT(3))*BY100),BR100=3,BN100/(SQRT(3)*Uн_лин*BY100)),""))))</f>
        <v>0.56291651245988494</v>
      </c>
      <c r="Q100" s="7">
        <f>IF(B100="","",IFERROR(IF(VLOOKUP(AX100,Потребители_обозначение,4,FALSE)=1,VLOOKUP(AX100,Потребители_обозначение,3,FALSE)*(D100*2-1)+DS100+VLOOKUP(AZ100,Этаж_обозначение,3,FALSE)+VLOOKUP(AZ100,Этаж_обозначение,4,FALSE),VLOOKUP(AX100,Потребители_обозначение,3,FALSE)*(D100*2-1)+DS100),DS100))</f>
        <v>28</v>
      </c>
      <c r="R100" s="6">
        <f t="shared" si="124"/>
        <v>0.91</v>
      </c>
      <c r="S100" t="str">
        <f t="shared" si="125"/>
        <v>ВВГнг(А)-LS (3х1,5)</v>
      </c>
      <c r="T100" t="str">
        <f>IF(BH100="","",IF(BI100="вводной узел","узел ","")&amp;"л."&amp;(INT((BH100-1)/Столбцов_на_лист)+1)&amp;" / "&amp;(MOD(BH100-1,Столбцов_на_лист)+1))</f>
        <v>л.3 / 12</v>
      </c>
      <c r="V100">
        <v>1</v>
      </c>
      <c r="W100">
        <v>230</v>
      </c>
      <c r="X100" t="s">
        <v>600</v>
      </c>
      <c r="Y100">
        <v>0.5</v>
      </c>
      <c r="AC100" t="s">
        <v>815</v>
      </c>
      <c r="AE100" t="s">
        <v>578</v>
      </c>
      <c r="AI100">
        <v>46</v>
      </c>
      <c r="AJ100" t="s">
        <v>11</v>
      </c>
      <c r="AK100">
        <v>3</v>
      </c>
      <c r="AM100">
        <v>6</v>
      </c>
      <c r="AN100">
        <v>22</v>
      </c>
      <c r="AP100">
        <v>1</v>
      </c>
      <c r="AW100" cm="1">
        <f t="array" ref="AW100">ROW()-ROW(Линии[#Headers])</f>
        <v>98</v>
      </c>
      <c r="AX100" s="6" t="str">
        <f t="shared" si="126"/>
        <v>K</v>
      </c>
      <c r="AY100" t="str">
        <f t="shared" si="127"/>
        <v>00.007T.1</v>
      </c>
      <c r="AZ100" t="str">
        <f t="shared" si="128"/>
        <v>00</v>
      </c>
      <c r="BA100" t="str">
        <f t="shared" si="129"/>
        <v>007T.1</v>
      </c>
      <c r="BB100" t="str">
        <f t="shared" si="130"/>
        <v>007T</v>
      </c>
      <c r="BC100" t="str">
        <f>IF(U100&lt;&gt;"",U100,IF(AND(B100&lt;&gt;"",B100&lt;&gt;A100,ISNUMBER(_xlfn.XMATCH(B100,Щиты[Щит]))),B100,""))</f>
        <v/>
      </c>
      <c r="BD100" t="str" cm="1">
        <f t="array" ref="BD100">IF(B100="","",IF(BC100&lt;&gt;"","Щит "&amp;BC100,_xlfn.LET(_xlpm.nm,IFERROR(_xlfn.XLOOKUP(AX100,Коды_код,Коды_имя)&amp;"",""),_xlpm.md,IFERROR(N(_xlfn.XLOOKUP(AX100,Коды_код,Коды_режим)),1),_xlpm.ex,IF(Имя_режим="по экспликации",IFERROR(_xlfn.XLOOKUP(AZ100&amp;"|"&amp;BB100,Экспликация[Этаж]&amp;"|"&amp;Экспликация[Помещение],Экспликация[Название])&amp;"",""),""),_xlpm.rm,IF(BB100="","",IF(_xlpm.ex&lt;&gt;"",". "&amp;_xlpm.ex&amp;IF(Имя_пом="нет"," ("&amp;BB100&amp;")"," (пом. "&amp;BB100&amp;")"),IF(Имя_пом="нет"," ",", пом. ")&amp;BB100)),IF(_xlpm.nm="","",IF(_xlpm.md=2,_xlpm.nm&amp;" шлейф "&amp;AZ100,_xlpm.nm&amp;_xlpm.rm)))))</f>
        <v>Внутренний блок кондиционирования, пом. 007T</v>
      </c>
      <c r="BE100" t="str">
        <f t="shared" si="131"/>
        <v>Внутренний блок кондиционирования Подвальный этаж Пом. №007Т</v>
      </c>
      <c r="BF100">
        <f>IFERROR(_xlfn.XMATCH(A100,Щиты[Щит]),0)</f>
        <v>5</v>
      </c>
      <c r="BG100">
        <f>_xlfn.LET(_xlpm.k,IFERROR(_xlfn.XLOOKUP(A100,Щиты[Щит],Щиты[Листов под вводной узел]),""),IF(_xlpm.k="",1,N(_xlpm.k))*Столбцов_на_лист)</f>
        <v>34</v>
      </c>
      <c r="BH100">
        <f t="shared" si="132"/>
        <v>46</v>
      </c>
      <c r="BI100" t="str">
        <f t="shared" si="133"/>
        <v>линии</v>
      </c>
      <c r="BJ100" s="6">
        <f>IFERROR(N(_xlfn.XLOOKUP(AX100,Коды_код,Коды_квт)),0)</f>
        <v>0</v>
      </c>
      <c r="BK100">
        <f t="shared" si="134"/>
        <v>0</v>
      </c>
      <c r="BL100" t="str">
        <f>IF(B100="","",IF(BC100&lt;&gt;"",IFERROR(_xlfn.XLOOKUP(BC100,Щиты[Щит],Щиты[Руст, кВт]),0),IF(BK100=1,IFERROR(_xlfn.XLOOKUP(A100,Щиты[Щит],Щиты[Руст, кВт]),0),IF(BJ100&gt;0,ROUND(BJ100*MAX(1,N(D100)),3),""))))</f>
        <v/>
      </c>
      <c r="BM100">
        <f t="shared" si="135"/>
        <v>0.104</v>
      </c>
      <c r="BN100" s="6">
        <f>IF(B100="","",IF(BC100&lt;&gt;"",IFERROR(_xlfn.XLOOKUP(BC100,Щиты[Щит],Щиты[Руст, кВт]),0),N(BM100)))</f>
        <v>0.104</v>
      </c>
      <c r="BO100" t="str">
        <f>IF(B100="","",IFERROR(IF(VLOOKUP(AX100,Потребители_обозначение,8,FALSE)=0,"",VLOOKUP(AX100,Потребители_обозначение,8,FALSE)),""))</f>
        <v/>
      </c>
      <c r="BP100">
        <f t="shared" si="136"/>
        <v>230</v>
      </c>
      <c r="BQ100">
        <f>IF(B100="","",IF(BC100&lt;&gt;"",3,IFERROR(IF(N(VLOOKUP(AX100,Потребители_обозначение,9,FALSE))=0,1,VLOOKUP(AX100,Потребители_обозначение,9,FALSE)),1)))</f>
        <v>1</v>
      </c>
      <c r="BR100">
        <f t="shared" si="137"/>
        <v>1</v>
      </c>
      <c r="BS100" t="str">
        <f>IF(B100="","",_xlfn.LET(_xlpm.bc,IFERROR(IF(VLOOKUP(AX100,Потребители_обозначение,6,FALSE)=0,"",VLOOKUP(AX100,Потребители_обозначение,6,FALSE)&amp;""),""),IF(AND(FK100="да",OR(_xlpm.bc="",_xlpm.bc="мс")),Марка_пож,IF(AND(_xlpm.bc="",BC100&lt;&gt;""),"мс",_xlpm.bc))))</f>
        <v/>
      </c>
      <c r="BT100" t="str">
        <f t="shared" si="138"/>
        <v>мс</v>
      </c>
      <c r="BU100">
        <f>IF(B100="","",_xlfn.LET(_xlpm.cc,IFERROR(N(VLOOKUP(AX100,Потребители_обозначение,7,FALSE)),0),IF(_xlpm.cc&gt;0,_xlpm.cc,IF(BT100="","",IF(N(BR100)=3,5,3)))))</f>
        <v>3</v>
      </c>
      <c r="BV100">
        <f t="shared" si="139"/>
        <v>3</v>
      </c>
      <c r="BW100">
        <f>IFERROR(N(VLOOKUP(AX100,Потребители_обозначение,10,FALSE)),0)</f>
        <v>0</v>
      </c>
      <c r="BX100">
        <f>IFERROR(VLOOKUP(AX100,Потребители_обозначение,5,FALSE),0)</f>
        <v>1</v>
      </c>
      <c r="BY100" s="6" cm="1">
        <f t="array" ref="BY100">IF(B100="","",IF(BC100&lt;&gt;"",IFERROR(_xlfn.XLOOKUP(BC100,Щиты[Щит],Щиты[cos φ]),0.95),IF(BK100=1,IFERROR(_xlfn.XLOOKUP(A100,Щиты[Щит],Щиты[cos φ]),0.95),IF(ISNUMBER(Z100),Z100,IFERROR(IF(BX100=2,_xlfn.IFS(BR100=3,VLOOKUP(BN100,Справочная_двигатели,8,FALSE),BR100=1,VLOOKUP(BN100,Справочная_двигатели,10,TRUE)),IF(AND(Методика="нормы 2026",EQ100="Сил"),0.8,0.95)),0.95)))))</f>
        <v>0.8</v>
      </c>
      <c r="BZ100">
        <f t="shared" si="140"/>
        <v>0</v>
      </c>
      <c r="CA100">
        <f t="shared" si="141"/>
        <v>1</v>
      </c>
      <c r="CB100">
        <f t="shared" si="142"/>
        <v>0</v>
      </c>
      <c r="CC100">
        <f t="shared" si="143"/>
        <v>0</v>
      </c>
      <c r="CD100">
        <f t="shared" si="144"/>
        <v>0</v>
      </c>
      <c r="CE100">
        <f t="shared" si="145"/>
        <v>0</v>
      </c>
      <c r="CF100">
        <f t="shared" si="146"/>
        <v>0</v>
      </c>
      <c r="CG100">
        <f>IF(AX100="",0,_xlfn.LET(_xlpm.v,IFERROR(VLOOKUP(B100,УГО_спр,3,FALSE),IFERROR(VLOOKUP(AX100,УГО_спр,3,FALSE),IFERROR(VLOOKUP(LEFT(AX100,2),УГО_спр,3,FALSE),""))),IF(_xlpm.v="да",30,IF(ISNUMBER(_xlpm.v),_xlpm.v,0))))</f>
        <v>0</v>
      </c>
      <c r="CH100" t="str">
        <f t="shared" si="147"/>
        <v/>
      </c>
      <c r="CI100" t="str">
        <f>_xlfn.LET(_xlpm.k,IFERROR(_xlfn.XLOOKUP(AX100,Коды_код,Коды_утечка)&amp;"",""),IF(_xlpm.k="","дифавтомат",_xlpm.k))</f>
        <v>дифавтомат</v>
      </c>
      <c r="CJ100">
        <f t="shared" si="148"/>
        <v>0</v>
      </c>
      <c r="CK100">
        <f t="shared" si="149"/>
        <v>0</v>
      </c>
      <c r="CL100">
        <f>IF(B100="",0,IFERROR(--VLOOKUP(B100,УГО_спр,4,FALSE),IFERROR(--VLOOKUP(AX100,УГО_спр,4,FALSE),IFERROR(--VLOOKUP(LEFT(AX100,2),УГО_спр,4,FALSE),0))))</f>
        <v>0</v>
      </c>
      <c r="CM100" t="str">
        <f>IF(B100="","",IFERROR(_xlfn.XLOOKUP(AX100,Коды_код,Коды_апп)&amp;"",""))</f>
        <v/>
      </c>
      <c r="CN100" t="str">
        <f t="shared" si="150"/>
        <v/>
      </c>
      <c r="CO100" t="str" cm="1">
        <f t="array" ref="CO100">IF(TRIM(CN100&amp;"")="","",IFERROR(TRIM(INDEX(_xlfn.TEXTSPLIT(CN100&amp;";;;",";"),1)),""))</f>
        <v/>
      </c>
      <c r="CP100" t="str" cm="1">
        <f t="array" ref="CP100">IF(TRIM(CN100&amp;"")="","",IFERROR(TRIM(INDEX(_xlfn.TEXTSPLIT(CN100&amp;";;;",";"),2)),""))</f>
        <v/>
      </c>
      <c r="CQ100" t="str" cm="1">
        <f t="array" ref="CQ100">IF(TRIM(CN100&amp;"")="","",IFERROR(TRIM(INDEX(_xlfn.TEXTSPLIT(CN100&amp;";;;",";"),3)),""))</f>
        <v/>
      </c>
      <c r="CR100">
        <f t="shared" si="151"/>
        <v>0</v>
      </c>
      <c r="CS100" t="str">
        <f>IF(B100="","",_xlfn.LET(_xlpm.t,LOWER(AV100&amp;""),IF(ISNUMBER(SEARCH("dim",_xlpm.t)),"DIM",IF(ISNUMBER(SEARCH("dali",_xlpm.t)),"DALI",IF(OR(ISNUMBER(SEARCH("relay",_xlpm.t)),ISNUMBER(SEARCH("реле",_xlpm.t))),"Relay",IF(ISNUMBER(SEARCH("кнопк",_xlpm.t)),"",IFERROR(_xlfn.XLOOKUP(AX100,Коды_код,Коды_упр)&amp;"","")))))))</f>
        <v/>
      </c>
      <c r="CT100" t="str">
        <f t="shared" si="152"/>
        <v/>
      </c>
      <c r="CU100">
        <f>IF(B100="","",_xlfn.LET(_xlpm.ig,N(P100)+IF(AF100="вручную",0,N(CB100)),_xlpm.n0,IFERROR(VLOOKUP(_xlpm.ig,Автомат_номиналы,2,TRUE),0),_xlpm.mn,MAX(CL100,IF(AF100="вручную",0,N(CE100))),MAX(_xlpm.n0,_xlpm.mn,IF(CR100=1,Мин_автомат_БП,0))))</f>
        <v>6</v>
      </c>
      <c r="CV100">
        <f t="shared" si="153"/>
        <v>1</v>
      </c>
      <c r="CW100" t="str">
        <f t="shared" si="154"/>
        <v>1P</v>
      </c>
      <c r="CX100" t="str">
        <f>_xlfn.LET(_xlpm.cc,UPPER(TRIM(IFERROR(_xlfn.XLOOKUP(AX100,Коды_код,Коды_хар)&amp;"",""))),IF(OR(_xlpm.cc="B",_xlpm.cc="В"),"B",IF(_xlpm.cc="D","D","С")))</f>
        <v>С</v>
      </c>
      <c r="CY100" t="str">
        <f t="shared" si="155"/>
        <v>1P С6А</v>
      </c>
      <c r="CZ100">
        <f t="shared" si="156"/>
        <v>10</v>
      </c>
      <c r="DA100" t="str">
        <f t="shared" si="157"/>
        <v>1P С10А</v>
      </c>
      <c r="DB100" cm="1">
        <f t="array" ref="DB100">IF(DA100="","",_xlfn.LET(_xlpm.t,SUBSTITUTE(SUBSTITUTE(SUBSTITUTE(UPPER(DA100),"С","C"),"А","A"),"В","B"),_xlpm.tk,_xlfn.TEXTSPLIT(_xlpm.t,"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0" t="str">
        <f t="shared" si="158"/>
        <v>ok</v>
      </c>
      <c r="DD100">
        <f t="shared" si="159"/>
        <v>10</v>
      </c>
      <c r="DE100" t="str">
        <f t="shared" si="160"/>
        <v>1P С10А</v>
      </c>
      <c r="DF100">
        <f t="shared" si="161"/>
        <v>0</v>
      </c>
      <c r="DG100">
        <f t="shared" si="162"/>
        <v>0</v>
      </c>
      <c r="DH100">
        <f t="shared" si="163"/>
        <v>0</v>
      </c>
      <c r="DI100">
        <f t="shared" si="164"/>
        <v>0.56291651245988494</v>
      </c>
      <c r="DJ100">
        <f t="shared" si="165"/>
        <v>1</v>
      </c>
      <c r="DK100">
        <f>IF(ISNUMBER(AL100),AL100,К_прокл)</f>
        <v>1</v>
      </c>
      <c r="DL100">
        <f t="shared" si="166"/>
        <v>2</v>
      </c>
      <c r="DM100">
        <f>IFERROR(N(VLOOKUP(BT100,Кабель_обозначение,3,FALSE)),1)</f>
        <v>1</v>
      </c>
      <c r="DN100">
        <f>IFERROR(N(_xlfn.XLOOKUP(A100,Щиты[Щит],Щиты[ΔU до шин, %])),0)</f>
        <v>0.74</v>
      </c>
      <c r="DO100" t="str">
        <f>IFERROR(_xlfn.XLOOKUP(A100,Щиты[Щит],Щиты[Zпетли на шинах, Ом]),"")</f>
        <v/>
      </c>
      <c r="DP100">
        <f>IFERROR(N(_xlfn.XLOOKUP(A100,Щиты[Щит],Щиты[ΔU до шин (подбор), %])),0)</f>
        <v>1.96</v>
      </c>
      <c r="DQ100" t="str">
        <f>IFERROR(_xlfn.XLOOKUP(A100,Щиты[Щит],Щиты[Zпетли на шинах (подбор), Ом]),"")</f>
        <v/>
      </c>
      <c r="DR100" t="str">
        <f t="shared" si="167"/>
        <v/>
      </c>
      <c r="DS100">
        <f t="shared" si="168"/>
        <v>26</v>
      </c>
      <c r="DT100">
        <f t="shared" si="169"/>
        <v>2</v>
      </c>
      <c r="DU100">
        <f t="shared" si="170"/>
        <v>0.6</v>
      </c>
      <c r="DV100" s="6">
        <f>IF(B100="","",IF(IFERROR(VLOOKUP(AX100,УГО_спр,2,FALSE),"")="Светильник",3,4)+IF(Методика="нормы 2026",MIN(0.5,MAX(0,N(Q100)-100)*0.005),0))</f>
        <v>4</v>
      </c>
      <c r="DW100" cm="1">
        <f t="array" ref="DW100">IF(OR(B100="",BT100="",DM100&lt;&gt;1),"",_xlfn.LET(_xlpm.sz,Iдоп_S,_xlpm.t_,CHOOSE(DL100,Iдоп_1ж,Iдоп_2ж,Iдоп_3ж)*DJ100*DK100,_xlpm.inn,N(DD100),_xlpm.smin,MAX(1.5,BW100),_xlpm.L_,N(Q100)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100)*(_xlpm.rho*_xlpm.L_/_xlpm.sz*N(BY100)+_xlpm.xx*_xlpm.L_*N(DU100)/1000)*N(P100)/((Uн_лин/SQRT(3))*1000)*100,999),_xlpm.kz,IF(OR(DG100=1,NOT(ISNUMBER(DQ100)),_xlpm.L_=0,_xlpm.inn=0),1,IFERROR(--(c_min*(Uн_лин*1000/SQRT(3))/(DQ100+2*ρкз_Cu*_xlpm.L_/_xlpm.sz)&gt;=GY100*_xlpm.inn),0)),_xlpm.ok,IFERROR((_xlpm.sz&gt;=_xlpm.smin)*(_xlpm.t_&gt;=_xlpm.inn)*IF(_xlpm.L_&gt;0,(_xlpm.du_+DP100&lt;=DV100+0.00001),1)*_xlpm.kz,0),_xlpm.r_,_xlfn._xlws.FILTER(_xlpm.sz,_xlpm.ok,"не подобрано"),INDEX(_xlpm.r_,1)))</f>
        <v>1.5</v>
      </c>
      <c r="DX100">
        <f t="shared" si="171"/>
        <v>1.5</v>
      </c>
      <c r="DY100" cm="1">
        <f t="array" ref="DY100">IF(OR(B100="",BT100="",DM100&lt;&gt;1),"",_xlfn.LET(_xlpm.sz,Iдоп_S,_xlpm.t_,CHOOSE(DL100,Iдоп_1ж,Iдоп_2ж,Iдоп_3ж)*DJ100*DK100,_xlpm.ok,IFERROR((_xlpm.sz&gt;=MAX(1.5,BW100))*(_xlpm.t_&gt;=N(DD100)),0),_xlpm.r_,_xlfn._xlws.FILTER(_xlpm.sz,_xlpm.ok,""),INDEX(_xlpm.r_,1)))</f>
        <v>1.5</v>
      </c>
      <c r="DZ100" s="6" cm="1">
        <f t="array" ref="DZ100">IFERROR(ROUNDUP(N(DT100)*(_xlfn.XLOOKUP(DY100,INDEX(Кабель_сопротивление,0,1),INDEX(Кабель_сопротивление,0,3))*N(Q100)/DY100*N(BY100)+_xlfn.XLOOKUP(DY100,INDEX(Кабель_сопротивление,0,1),INDEX(Кабель_сопротивление,0,2))*N(Q100)*N(DU100)/1000)*N(P100)/((Uн_лин/SQRT(3))*1000)*100,2),"")</f>
        <v>0.17</v>
      </c>
      <c r="EA100">
        <f>IFERROR(2*ρкз_Cu*N(Q100)/DY100,"")</f>
        <v>0.98186666666666678</v>
      </c>
      <c r="EB100">
        <f>IFERROR(VLOOKUP(DX100,Кабель_сопротивление,3,FALSE),"")</f>
        <v>2.2499999999999999E-2</v>
      </c>
      <c r="EC100">
        <f>IFERROR(VLOOKUP(DX100,Кабель_сопротивление,2,FALSE),"")</f>
        <v>0.11</v>
      </c>
      <c r="ED100">
        <f t="shared" si="172"/>
        <v>22</v>
      </c>
      <c r="EE100">
        <f t="shared" si="173"/>
        <v>0</v>
      </c>
      <c r="EF100">
        <f t="shared" si="174"/>
        <v>0.38036043580309448</v>
      </c>
      <c r="EG100" s="6">
        <f>IFERROR(ROUNDUP(EF100/((Uн_лин/SQRT(3))*1000)*100,2),"")</f>
        <v>0.17</v>
      </c>
      <c r="EH100" t="str">
        <f>IFERROR(VLOOKUP(BT100,Кабель_обозначение,2,FALSE),"")</f>
        <v>ВВГнг(А)-LS</v>
      </c>
      <c r="EI100" t="str">
        <f t="shared" si="175"/>
        <v>ВВГнг(А)-LS (3х1,5)</v>
      </c>
      <c r="EJ100" t="str">
        <f t="shared" si="176"/>
        <v>ВВГнг(А)-LS (3х1,5)
L=28-0,17%</v>
      </c>
      <c r="EK100">
        <f>IFERROR(2*ρкз_Cu*Q100/DX100,"")</f>
        <v>0.98186666666666678</v>
      </c>
      <c r="EL100">
        <f t="shared" si="177"/>
        <v>0.32666666666666672</v>
      </c>
      <c r="EM100" s="6" t="str">
        <f>IFERROR(IF(OR(B100="",NOT(ISNUMBER(DX100)),N(Q100)=0),"",_xlfn.XLOOKUP(A100,Щиты[Щит],Щиты[Zпетли на шинах, Ом])+EK100),"")</f>
        <v/>
      </c>
      <c r="EN100" s="6" t="str">
        <f>IF(ISNUMBER(EM100),c_min*(Uн_лин*1000/SQRT(3))/EM100,"")</f>
        <v/>
      </c>
      <c r="EO100" s="6" t="str">
        <f>IFERROR(IF(OR(B100="",NOT(ISNUMBER(DX100))),"",1.05*(Uн_лин*1000/SQRT(3))/(_xlfn.XLOOKUP(A100,Щиты[Щит],Щиты[Zmax на шинах, Ом])+EL100)/1000),"")</f>
        <v/>
      </c>
      <c r="EP100" s="6" t="str">
        <f>IF(B100="","",IF(ISNUMBER(Y100),"Сил",IF(IFERROR(_xlfn.XLOOKUP(AX100,Коды_код,Коды_группа)&amp;"","")="","Быт",_xlfn.XLOOKUP(AX100,Коды_код,Коды_группа)&amp;"")))</f>
        <v>Сил</v>
      </c>
      <c r="EQ100" s="6" t="str">
        <f t="shared" si="178"/>
        <v>Сил</v>
      </c>
      <c r="ER100" s="6">
        <f>IF(EQ100="Щит","щит",IF(EQ100="","",IF(EQ100="Быт",IFERROR(_xlfn.XLOOKUP(A100,Щиты[Щит],Щиты[Кс быт]),1),IF(EQ100="Сил",IF(ISNUMBER(Y100),Y100,IF(Методика="нормы 2026",IFERROR(_xlfn.XLOOKUP(A100,Щиты[Щит],Щиты[Кс силовых (табл. 7.5)]),1),1)),IF(OR(EQ100="Пост",EQ100="Отоп"),1,IF(EQ100="ВНГ",0.7,0))))))</f>
        <v>0.5</v>
      </c>
      <c r="ES100">
        <f t="shared" si="179"/>
        <v>1</v>
      </c>
      <c r="ET100">
        <f t="shared" si="180"/>
        <v>0.104</v>
      </c>
      <c r="EU100">
        <f t="shared" si="181"/>
        <v>0</v>
      </c>
      <c r="EV100">
        <f t="shared" si="182"/>
        <v>5.1999999999999998E-2</v>
      </c>
      <c r="EW100">
        <f t="shared" si="183"/>
        <v>0</v>
      </c>
      <c r="EX100">
        <f t="shared" si="184"/>
        <v>0</v>
      </c>
      <c r="EY100">
        <f t="shared" si="185"/>
        <v>0</v>
      </c>
      <c r="EZ100">
        <f t="shared" si="186"/>
        <v>0.104</v>
      </c>
      <c r="FA100">
        <f t="shared" si="187"/>
        <v>8.3199999999999996E-2</v>
      </c>
      <c r="FB100">
        <f t="shared" si="188"/>
        <v>0.104</v>
      </c>
      <c r="FC100" t="str">
        <f t="shared" si="189"/>
        <v>L1</v>
      </c>
      <c r="FD100" t="str">
        <f>IF(B100="","",IF(CA100=0,IF(AW100=1,"",FF99),IF(OR(N(CV100)&gt;=3,N(BR100)&gt;=3),"L1,L2,L3",IFERROR(_xlfn.TEXTBEFORE(_xlfn.TEXTAFTER(_xlfn.XLOOKUP(A100,Щиты[Щит],Щиты[_фазы авто]),";"&amp;AW100&amp;":"),";"),"L1"))))</f>
        <v>L1</v>
      </c>
      <c r="FE100" t="str">
        <f t="shared" si="190"/>
        <v>L1</v>
      </c>
      <c r="FF100" t="str">
        <f t="shared" si="191"/>
        <v>L1</v>
      </c>
      <c r="FG100" cm="1">
        <f t="array" ref="FG100">IFERROR(IF(BX100=2,_xlfn.IFS(BR100=3,VLOOKUP(BN100,Справочная_двигатели,3,FALSE),BR100=1,VLOOKUP(BN100,Справочная_двигатели,5,TRUE)),0),0)</f>
        <v>0</v>
      </c>
      <c r="FH100">
        <f>IFERROR(IF(BX100=3,VLOOKUP(BN100,Справочная_ЛЭД,2,TRUE),0),0)</f>
        <v>0</v>
      </c>
      <c r="FI100" s="6">
        <f t="shared" si="192"/>
        <v>0</v>
      </c>
      <c r="FJ100" t="str" cm="1">
        <f t="array" ref="FJ100">IF(B100="","",IFERROR(INDEX({"I особая","I","II","III"},MATCH(TRIM(AC100&amp;""),{"I особая","I","II","III"},0)),"III"))</f>
        <v>II</v>
      </c>
      <c r="FK100" t="str">
        <f>IF(B100="","",IF(TRIM(AD100&amp;"")&lt;&gt;"",IF(LOWER(TRIM(AD100&amp;""))="да","да","нет"),IF(IFERROR(_xlfn.XLOOKUP(AX100,Коды_код,Коды_пожарная),"")="да","да","нет")))</f>
        <v>нет</v>
      </c>
      <c r="FL100" t="str">
        <f t="shared" si="193"/>
        <v/>
      </c>
      <c r="FM100" t="str">
        <f t="shared" si="194"/>
        <v>основная</v>
      </c>
      <c r="FN100">
        <f t="shared" si="195"/>
        <v>1</v>
      </c>
      <c r="FO100" t="str" cm="1">
        <f t="array" ref="FO100">IF(B100="","",_xlfn.LET(_xlpm.t,IFERROR(_xlfn.XLOOKUP(1,(Шины[Шина]=FM100)*(((Шины[Щит]=A100)+(Шины[Щит]=""))&gt;0),Шины[Тип]),"")&amp;"",IF(_xlpm.t&lt;&gt;"",_xlpm.t,IF(ISNUMBER(SEARCH("ИБП",FM100)),"ИБП",IF(ISNUMBER(SEARCH("ДГУ",FM100)),"ДГУ","Ввод "&amp;FN100)))))</f>
        <v>Ввод 1</v>
      </c>
      <c r="FP100" t="str">
        <f t="shared" si="196"/>
        <v>Ввод 1</v>
      </c>
      <c r="FQ100" t="str">
        <f>IF(B100="","",IF(OR(FO100="ИБП",FO100="ДГУ"),"I особая",IF(FO100="Одиночная","III",_xlfn.XLOOKUP(A100,Щиты[Щит],Щиты[Категория шины «Ввод»],"III"))))</f>
        <v>II</v>
      </c>
      <c r="FR100">
        <f>IF(B100="",0,IFERROR(MATCH(FJ100,{"III","II","I","I особая"},0),1))</f>
        <v>2</v>
      </c>
      <c r="FS100">
        <f t="shared" si="197"/>
        <v>2</v>
      </c>
      <c r="FT100" t="str">
        <f>IF(B100="","",IF(FR100&gt;IFERROR(MATCH(FQ100,{"III","II","I","I особая"},0),1),"НЕ ОБЕСПЕЧЕНА","ОК"))</f>
        <v>ОК</v>
      </c>
      <c r="FU100" t="str">
        <f>IF(A100="","",_xlfn.XLOOKUP(A100,Щиты[Щит],Щиты[Путь],""))</f>
        <v>|ГРЩ-ЖД|ЩОВ-002|</v>
      </c>
      <c r="FV100" t="str">
        <f>IF(B100="","",IF(AE100&lt;&gt;"",AE100,IF(IFERROR(_xlfn.XLOOKUP(AX100,Коды_код,Коды_вид)&amp;"","")="","Прочее",_xlfn.XLOOKUP(AX100,Коды_код,Коды_вид)&amp;"")))</f>
        <v>Кондиционирование и увлажнение</v>
      </c>
      <c r="FW100">
        <f>IF(BH100="","",INT((BH100-1)/Столбцов_на_лист)+1)</f>
        <v>3</v>
      </c>
      <c r="FX100" t="str">
        <f t="shared" si="198"/>
        <v>ВВГнг(А)-LS (3х1,5) L=28-0,17%</v>
      </c>
      <c r="FY100">
        <f t="shared" si="199"/>
        <v>0.104</v>
      </c>
      <c r="FZ100">
        <f t="shared" si="200"/>
        <v>0.57000000000000006</v>
      </c>
      <c r="GA100">
        <f t="shared" si="201"/>
        <v>1</v>
      </c>
      <c r="GB100">
        <f t="shared" si="202"/>
        <v>0</v>
      </c>
      <c r="GC100">
        <f t="shared" si="203"/>
        <v>1</v>
      </c>
      <c r="GD100">
        <f>IF(BH100="","",IF(AND(CA100=1,GC100=1),COUNTIFS(A$3:A100,A100,CA$3:CA100,1,GC$3:GC100,1),IF(OR(OR(AW100=1,A100&lt;&gt;A99),AF100="вручную",GC100=0),"",IF(AW100=1,"",GE99))))</f>
        <v>12</v>
      </c>
      <c r="GE100">
        <f t="shared" si="204"/>
        <v>12</v>
      </c>
      <c r="GF100">
        <f>IF(B100="","",IFERROR(LOOKUP(INDEX(CHOOSE(DL100,Iдоп_1ж,Iдоп_2ж,Iдоп_3ж),MATCH(DX100,Iдоп_S,0))*DJ100*DK100,{6,10,16,20,25,32,40,50,63,80,100,125,160,200,250,315,400,500,630}),""))</f>
        <v>16</v>
      </c>
      <c r="GG100" t="str">
        <f t="shared" si="205"/>
        <v>QF12</v>
      </c>
      <c r="GH100" t="str">
        <f t="shared" si="206"/>
        <v>QF12</v>
      </c>
      <c r="GI100" t="str">
        <f t="shared" si="207"/>
        <v/>
      </c>
      <c r="GJ100">
        <f t="shared" si="208"/>
        <v>0</v>
      </c>
      <c r="GK100" t="str">
        <f>IF(OR(AG100="",AG100="-"),"",IFERROR(VLOOKUP(AG100,Модули_спр,2,FALSE),"R"))</f>
        <v/>
      </c>
      <c r="GL100" t="str">
        <f>IF(GK100="","",GK100&amp;"."&amp;COUNTIFS(A$3:A100,A100,GK$3:GK100,GK100))</f>
        <v/>
      </c>
      <c r="GM100" t="str">
        <f t="shared" si="209"/>
        <v/>
      </c>
      <c r="GN100" t="str">
        <f t="shared" si="210"/>
        <v/>
      </c>
      <c r="GO100" t="str">
        <f t="shared" si="211"/>
        <v/>
      </c>
      <c r="GP100" t="str">
        <f t="shared" si="212"/>
        <v/>
      </c>
      <c r="GQ100">
        <f t="shared" si="213"/>
        <v>1</v>
      </c>
      <c r="GR100" t="str">
        <f>IF(GQ100=1,"XT"&amp;COUNTIFS(A$3:A100,A100,GQ$3:GQ100,1),"")</f>
        <v>XT12</v>
      </c>
      <c r="GS100" t="str">
        <f t="shared" si="214"/>
        <v/>
      </c>
      <c r="GT100" t="str">
        <f t="shared" si="215"/>
        <v>QF12</v>
      </c>
      <c r="GU100" t="str">
        <f t="shared" si="216"/>
        <v/>
      </c>
      <c r="GV100" t="str">
        <f t="shared" si="217"/>
        <v>ok</v>
      </c>
      <c r="GW100" t="str">
        <f>IF(OR(GO100="",GM100=""),"",IF(GO100&gt;IFERROR(VLOOKUP(GN100,Модули_спр,3,FALSE),99),"ЛИШНИЙ КАНАЛ",IF(AND(AH100&lt;&gt;"=",COUNTIFS(Линии[_модуль гр.],GM100,Линии[Канал (итог)],GO100,Линии[Канал],"&lt;&gt;=",Линии[Щит],A100)&gt;1),"ДУБЛЬ КАНАЛА","")))</f>
        <v/>
      </c>
      <c r="GX100" s="6" t="str">
        <f t="shared" si="218"/>
        <v/>
      </c>
      <c r="GY100">
        <f t="shared" si="219"/>
        <v>10</v>
      </c>
      <c r="GZ100" t="str">
        <f t="shared" si="220"/>
        <v/>
      </c>
      <c r="HA100" t="str">
        <f>IF(AND(B100="",GT100=""),"",_xlfn.TEXTJOIN("; ",TRUE,IF(AND(B100&lt;&gt;"",FE100=""),"нет фазы",""),IF(AND(B100&lt;&gt;"",N(FY100)=0,EQ100&lt;&gt;"Нет"),"нет мощности",""),IF(AND(GS100&lt;&gt;"",COUNTIFS(Линии[Щит],A100,Линии[Клемма (итог)],GS100)&gt;1),"дубль клеммы "&amp;GS100,""),IF(AND(GV100&lt;&gt;"",GV100&lt;&gt;"ok"),GV100,""),IF(GW100&lt;&gt;"",GW100,""),IF(AND(N(BV100)&gt;=4,N(BR100)=1),BV100&amp;" жил на 1 фазе",""),IF(AND(AX100="R",CA100=1,OR(N(CK100)=0,N(CK100)&gt;30)),"розетка без дифзащиты до 30 мА",""),IFERROR(IF(AND(ISNUMBER(R100),R100&gt;DV100),"потери "&amp;FIXED(R100,1)&amp;" % &gt; "&amp;DV100&amp;" %",""),""),IFERROR(IF(LEFT(GZ100,4)="мало","Iкз мало — отключение &gt; 0,4 с",""),""),IF(AND(B100&lt;&gt;"",BH100=""),"не на схеме",""),IF(AND(CA100=0,B100&lt;&gt;"",FE100&lt;&gt;"",IF(AW100=1,"",FF99)&lt;&gt;"",FE100&lt;&gt;IF(AW100=1,"",FF99)),"фаза не как у автомата группы ("&amp;IF(AW100=1,"",FF99)&amp;")","")))</f>
        <v/>
      </c>
      <c r="HB100" s="6">
        <f>IF(OR(CA100=0,DA100=""),"",_xlfn.LET(_xlpm.t,IFERROR(_xlfn.XLOOKUP(DA100,Каталог!$U$4:$U$500,Каталог!$G$4:$G$500),""),_xlpm.k,SEARCH("кА",_xlpm.t),IFERROR(--TRIM(RIGHT(SUBSTITUTE(MID(_xlpm.t,MAX(1,_xlpm.k-4),_xlpm.k-MAX(1,_xlpm.k-4))," ",REPT(" ",9)),5)),"")))</f>
        <v>6</v>
      </c>
      <c r="HC100" t="str">
        <f>IF(OR(HB100="",CA100=0),"",IF(_xlfn.XLOOKUP(A100,Щиты[Щит],Щиты[Iкз max на шинах, кА],"")="","",IF(HB100&lt;_xlfn.XLOOKUP(A100,Щиты[Щит],Щиты[Iкз max на шинах, кА]),"Icu "&amp;HB100&amp;" кА &lt; Iкз max","ok")))</f>
        <v/>
      </c>
      <c r="HD100" t="str">
        <f t="shared" si="221"/>
        <v/>
      </c>
      <c r="HE100" t="str">
        <f t="shared" si="222"/>
        <v>QF12</v>
      </c>
      <c r="HF100" t="str">
        <f t="shared" si="223"/>
        <v>QF12|кабель ВВГнг(А)-LS (3х1,5) → Внутренний блок кондиционирования Подвальный этаж Пом. №007Т</v>
      </c>
      <c r="HG100" t="str" cm="1">
        <f t="array" ref="HG100">IF(HF100="","",_xlfn.LET(_xlpm.nd,_xlfn.TEXTSPLIT(HF100,"|"),IF(COLUMNS(_xlpm.nd)&gt;1,A100&amp;"¦"&amp;INDEX(_xlpm.nd,1)&amp;"¦"&amp;INDEX(_xlpm.nd,2),"")))</f>
        <v>ЩОВ-002¦QF12¦кабель ВВГнг(А)-LS (3х1,5) → Внутренний блок кондиционирования Подвальный этаж Пом. №007Т</v>
      </c>
      <c r="HH100" t="str">
        <f t="shared" si="224"/>
        <v>K.00.007T.1¦Внутренний блок кондиционирования Подвальный этаж Пом. №007Т</v>
      </c>
      <c r="HI100" t="str" cm="1">
        <f t="array" ref="HI100">IF(HF100="","",_xlfn.LET(_xlpm.nd,_xlfn.TEXTSPLIT(HF100,"|"),IF(COLUMNS(_xlpm.nd)&gt;2,A100&amp;"¦"&amp;INDEX(_xlpm.nd,2)&amp;"¦"&amp;INDEX(_xlpm.nd,3),"")))</f>
        <v/>
      </c>
      <c r="HJ100" t="str">
        <f t="shared" si="225"/>
        <v/>
      </c>
      <c r="HK100" t="str" cm="1">
        <f t="array" ref="HK100">IF(HF100="","",_xlfn.LET(_xlpm.nd,_xlfn.TEXTSPLIT(HF100,"|"),IF(COLUMNS(_xlpm.nd)&gt;3,A100&amp;"¦"&amp;INDEX(_xlpm.nd,3)&amp;"¦"&amp;INDEX(_xlpm.nd,4),"")))</f>
        <v/>
      </c>
      <c r="HL100" t="str">
        <f t="shared" si="226"/>
        <v/>
      </c>
      <c r="HM100" t="str" cm="1">
        <f t="array" ref="HM100">IF(HF100="","",_xlfn.LET(_xlpm.nd,_xlfn.TEXTSPLIT(HF100,"|"),IF(COLUMNS(_xlpm.nd)&gt;4,A100&amp;"¦"&amp;INDEX(_xlpm.nd,4)&amp;"¦"&amp;INDEX(_xlpm.nd,5),"")))</f>
        <v/>
      </c>
      <c r="HN100" t="str">
        <f t="shared" si="227"/>
        <v/>
      </c>
      <c r="HO100" t="str" cm="1">
        <f t="array" ref="HO100">IF(HF100="","",_xlfn.LET(_xlpm.nd,_xlfn.TEXTSPLIT(HF100,"|"),IF(COLUMNS(_xlpm.nd)&gt;5,A100&amp;"¦"&amp;INDEX(_xlpm.nd,5)&amp;"¦"&amp;INDEX(_xlpm.nd,6),"")))</f>
        <v/>
      </c>
      <c r="HP100" t="str">
        <f t="shared" si="228"/>
        <v/>
      </c>
      <c r="HQ100" t="str" cm="1">
        <f t="array" ref="HQ100">IF(HF100="","",_xlfn.LET(_xlpm.nd,_xlfn.TEXTSPLIT(HF100,"|"),IF(COLUMNS(_xlpm.nd)&gt;6,A100&amp;"¦"&amp;INDEX(_xlpm.nd,6)&amp;"¦"&amp;INDEX(_xlpm.nd,7),"")))</f>
        <v/>
      </c>
      <c r="HR100" t="str">
        <f t="shared" si="229"/>
        <v/>
      </c>
      <c r="HS100" t="str">
        <f t="shared" si="230"/>
        <v/>
      </c>
      <c r="HT100" t="str">
        <f t="shared" si="231"/>
        <v>QF12</v>
      </c>
      <c r="HU100">
        <f t="shared" si="232"/>
        <v>0</v>
      </c>
      <c r="HV100">
        <f t="shared" si="233"/>
        <v>0</v>
      </c>
      <c r="HW100" t="str">
        <f t="shared" si="234"/>
        <v/>
      </c>
      <c r="HX100" t="str">
        <f t="shared" si="235"/>
        <v/>
      </c>
      <c r="HY100" t="str">
        <f t="shared" si="236"/>
        <v/>
      </c>
      <c r="HZ100" t="str">
        <f t="shared" si="237"/>
        <v/>
      </c>
      <c r="IA100">
        <f>IF(B100="","",IFERROR(VLOOKUP(B100,УГО_спр,2,FALSE),IFERROR(VLOOKUP(AX100,УГО_спр,2,FALSE),IFERROR(VLOOKUP(LEFT(AX100,2),УГО_спр,2,FALSE),""))))</f>
        <v>0</v>
      </c>
      <c r="IB100" t="str">
        <f>IF(B100="","",IF(OR(IA100="",IA100=0),"BOX",IFERROR(IF(VLOOKUP(IA100,УГО_блоки,3,FALSE)&amp;""&lt;&gt;"",VLOOKUP(IA100,УГО_блоки,3,FALSE),VLOOKUP(IA100,УГО_блоки,2,FALSE)),IA100)))</f>
        <v>BOX</v>
      </c>
      <c r="IC100">
        <f t="shared" si="238"/>
        <v>1</v>
      </c>
      <c r="ID100" t="str">
        <f>IF(DA100="","",IF(COUNTIF(DA$3:DA100,DA100)=1,MAX(ID$2:ID99)+1,""))</f>
        <v/>
      </c>
      <c r="IE100" t="str">
        <f>IF(CO100="","",IF(COUNTIF(CO$3:CO100,CO100)+COUNTIF(CP$2:CP99,CO100)+COUNTIF(CQ$2:CQ99,CO100)=1,MAX(IE$2:IG99)+1,""))</f>
        <v/>
      </c>
      <c r="IF100" t="str">
        <f>IF(CP100="","",IF(COUNTIF(CO$3:CO100,CP100)+COUNTIF(CP$3:CP100,CP100)+COUNTIF(CQ$2:CQ99,CP100)=1,MAX(IE$2:IG99,IE100)+1,""))</f>
        <v/>
      </c>
      <c r="IG100" t="str">
        <f>IF(CQ100="","",IF(COUNTIF(CO$3:CO100,CQ100)+COUNTIF(CP$3:CP100,CQ100)+COUNTIF(CQ$3:CQ100,CQ100)=1,MAX(IE$2:IG99,IE100,IF100)+1,""))</f>
        <v/>
      </c>
      <c r="IH100" t="str">
        <f t="shared" si="239"/>
        <v>3х1,5</v>
      </c>
      <c r="II100" t="str">
        <f>IF(IH100="","",IF(COUNTIF(IH$3:IH100,IH100)=1,MAX(II$2:II99)+1,""))</f>
        <v/>
      </c>
      <c r="IJ100" t="str">
        <f>IF(GL100="","",COUNTIF(GL$3:GL100,"?*"))</f>
        <v/>
      </c>
      <c r="IK100" t="str">
        <f>IF(OR(GL100="",GN100=""),"",IF(COUNTIFS(GL$3:GL100,"?*",GN$3:GN100,GN100)=1,MAX(IK$2:IK99)+1,""))</f>
        <v/>
      </c>
      <c r="IL100">
        <f t="shared" si="240"/>
        <v>0</v>
      </c>
      <c r="IM100">
        <f>IF(B100="","",COUNTIF(B$3:B100,"?*"))</f>
        <v>98</v>
      </c>
      <c r="IN100">
        <f>IF(GQ100&lt;&gt;1,0,_xlfn.LET(_xlpm.k,MAX(IFERROR(--VLOOKUP(B100,УГО_спр,5,FALSE),0),IFERROR(--VLOOKUP(AX100,УГО_спр,5,FALSE),0),IFERROR(--VLOOKUP(LEFT(AX100,2),УГО_спр,5,FALSE),0)),IF(_xlpm.k&gt;0,_xlpm.k,IF(IFERROR(--LEFT(SUBSTITUTE(IH100,"x","х"),FIND("х",SUBSTITUTE(IH100,"x","х"))-1),3)&gt;3,Каталог!$S$9,1))))</f>
        <v>1</v>
      </c>
      <c r="IO100">
        <f t="shared" si="241"/>
        <v>0</v>
      </c>
      <c r="IP100" t="str">
        <f t="shared" si="242"/>
        <v>авто</v>
      </c>
      <c r="IQ100" t="str">
        <f t="shared" si="243"/>
        <v/>
      </c>
      <c r="IR100">
        <f t="shared" si="244"/>
        <v>0</v>
      </c>
      <c r="IS100">
        <f t="shared" si="245"/>
        <v>1</v>
      </c>
    </row>
    <row r="101" spans="1:253" x14ac:dyDescent="0.3">
      <c r="A101" t="s">
        <v>751</v>
      </c>
      <c r="B101" t="s">
        <v>1372</v>
      </c>
      <c r="C101" t="s">
        <v>1626</v>
      </c>
      <c r="D101">
        <v>1</v>
      </c>
      <c r="E101">
        <v>0.104</v>
      </c>
      <c r="G101">
        <v>10</v>
      </c>
      <c r="H101" t="str">
        <f>Линии[[#This Row],[_авто утечка]]</f>
        <v/>
      </c>
      <c r="I101" t="str">
        <f>Линии[[#This Row],[_авто управление]]</f>
        <v/>
      </c>
      <c r="J101" t="str">
        <f>Линии[[#This Row],[_авто аппараты]]</f>
        <v/>
      </c>
      <c r="K101">
        <v>1.5</v>
      </c>
      <c r="L101">
        <v>25</v>
      </c>
      <c r="M101">
        <v>1</v>
      </c>
      <c r="N101" t="s">
        <v>486</v>
      </c>
      <c r="O101" t="str">
        <f t="shared" si="123"/>
        <v/>
      </c>
      <c r="P101" s="6" cm="1">
        <f t="array" ref="P101">IF(B101="","",IF(BC101&lt;&gt;"",IFERROR(_xlfn.XLOOKUP(BC101,Щиты[Щит],Щиты[Iр, А]),""),IF(BK101=1,IFERROR(_xlfn.XLOOKUP(A101,Щиты[Щит],Щиты[Iр, А]),""),IFERROR(_xlfn.IFS(BR101=1,BN101/((Uн_лин/SQRT(3))*BY101),BR101=3,BN101/(SQRT(3)*Uн_лин*BY101)),""))))</f>
        <v>0.56291651245988494</v>
      </c>
      <c r="Q101" s="7">
        <f>IF(B101="","",IFERROR(IF(VLOOKUP(AX101,Потребители_обозначение,4,FALSE)=1,VLOOKUP(AX101,Потребители_обозначение,3,FALSE)*(D101*2-1)+DS101+VLOOKUP(AZ101,Этаж_обозначение,3,FALSE)+VLOOKUP(AZ101,Этаж_обозначение,4,FALSE),VLOOKUP(AX101,Потребители_обозначение,3,FALSE)*(D101*2-1)+DS101),DS101))</f>
        <v>27</v>
      </c>
      <c r="R101" s="6">
        <f t="shared" si="124"/>
        <v>0.9</v>
      </c>
      <c r="S101" t="str">
        <f t="shared" si="125"/>
        <v>ВВГнг(А)-LS (3х1,5)</v>
      </c>
      <c r="T101" t="str">
        <f>IF(BH101="","",IF(BI101="вводной узел","узел ","")&amp;"л."&amp;(INT((BH101-1)/Столбцов_на_лист)+1)&amp;" / "&amp;(MOD(BH101-1,Столбцов_на_лист)+1))</f>
        <v>л.3 / 13</v>
      </c>
      <c r="V101">
        <v>1</v>
      </c>
      <c r="W101">
        <v>230</v>
      </c>
      <c r="X101" t="s">
        <v>600</v>
      </c>
      <c r="Y101">
        <v>0.5</v>
      </c>
      <c r="AC101" t="s">
        <v>815</v>
      </c>
      <c r="AE101" t="s">
        <v>578</v>
      </c>
      <c r="AI101">
        <v>47</v>
      </c>
      <c r="AJ101" t="s">
        <v>11</v>
      </c>
      <c r="AK101">
        <v>3</v>
      </c>
      <c r="AM101">
        <v>6</v>
      </c>
      <c r="AN101">
        <v>21</v>
      </c>
      <c r="AP101">
        <v>1</v>
      </c>
      <c r="AW101" cm="1">
        <f t="array" ref="AW101">ROW()-ROW(Линии[#Headers])</f>
        <v>99</v>
      </c>
      <c r="AX101" s="6" t="str">
        <f t="shared" si="126"/>
        <v>K</v>
      </c>
      <c r="AY101" t="str">
        <f t="shared" si="127"/>
        <v>00.007T.2</v>
      </c>
      <c r="AZ101" t="str">
        <f t="shared" si="128"/>
        <v>00</v>
      </c>
      <c r="BA101" t="str">
        <f t="shared" si="129"/>
        <v>007T.2</v>
      </c>
      <c r="BB101" t="str">
        <f t="shared" si="130"/>
        <v>007T</v>
      </c>
      <c r="BC101" t="str">
        <f>IF(U101&lt;&gt;"",U101,IF(AND(B101&lt;&gt;"",B101&lt;&gt;A101,ISNUMBER(_xlfn.XMATCH(B101,Щиты[Щит]))),B101,""))</f>
        <v/>
      </c>
      <c r="BD101" t="str" cm="1">
        <f t="array" ref="BD101">IF(B101="","",IF(BC101&lt;&gt;"","Щит "&amp;BC101,_xlfn.LET(_xlpm.nm,IFERROR(_xlfn.XLOOKUP(AX101,Коды_код,Коды_имя)&amp;"",""),_xlpm.md,IFERROR(N(_xlfn.XLOOKUP(AX101,Коды_код,Коды_режим)),1),_xlpm.ex,IF(Имя_режим="по экспликации",IFERROR(_xlfn.XLOOKUP(AZ101&amp;"|"&amp;BB101,Экспликация[Этаж]&amp;"|"&amp;Экспликация[Помещение],Экспликация[Название])&amp;"",""),""),_xlpm.rm,IF(BB101="","",IF(_xlpm.ex&lt;&gt;"",". "&amp;_xlpm.ex&amp;IF(Имя_пом="нет"," ("&amp;BB101&amp;")"," (пом. "&amp;BB101&amp;")"),IF(Имя_пом="нет"," ",", пом. ")&amp;BB101)),IF(_xlpm.nm="","",IF(_xlpm.md=2,_xlpm.nm&amp;" шлейф "&amp;AZ101,_xlpm.nm&amp;_xlpm.rm)))))</f>
        <v>Внутренний блок кондиционирования, пом. 007T</v>
      </c>
      <c r="BE101" t="str">
        <f t="shared" si="131"/>
        <v>Внутренний блок кондиционирования Подвальный этаж Пом. №007Т</v>
      </c>
      <c r="BF101">
        <f>IFERROR(_xlfn.XMATCH(A101,Щиты[Щит]),0)</f>
        <v>5</v>
      </c>
      <c r="BG101">
        <f>_xlfn.LET(_xlpm.k,IFERROR(_xlfn.XLOOKUP(A101,Щиты[Щит],Щиты[Листов под вводной узел]),""),IF(_xlpm.k="",1,N(_xlpm.k))*Столбцов_на_лист)</f>
        <v>34</v>
      </c>
      <c r="BH101">
        <f t="shared" si="132"/>
        <v>47</v>
      </c>
      <c r="BI101" t="str">
        <f t="shared" si="133"/>
        <v>линии</v>
      </c>
      <c r="BJ101" s="6">
        <f>IFERROR(N(_xlfn.XLOOKUP(AX101,Коды_код,Коды_квт)),0)</f>
        <v>0</v>
      </c>
      <c r="BK101">
        <f t="shared" si="134"/>
        <v>0</v>
      </c>
      <c r="BL101" t="str">
        <f>IF(B101="","",IF(BC101&lt;&gt;"",IFERROR(_xlfn.XLOOKUP(BC101,Щиты[Щит],Щиты[Руст, кВт]),0),IF(BK101=1,IFERROR(_xlfn.XLOOKUP(A101,Щиты[Щит],Щиты[Руст, кВт]),0),IF(BJ101&gt;0,ROUND(BJ101*MAX(1,N(D101)),3),""))))</f>
        <v/>
      </c>
      <c r="BM101">
        <f t="shared" si="135"/>
        <v>0.104</v>
      </c>
      <c r="BN101" s="6">
        <f>IF(B101="","",IF(BC101&lt;&gt;"",IFERROR(_xlfn.XLOOKUP(BC101,Щиты[Щит],Щиты[Руст, кВт]),0),N(BM101)))</f>
        <v>0.104</v>
      </c>
      <c r="BO101" t="str">
        <f>IF(B101="","",IFERROR(IF(VLOOKUP(AX101,Потребители_обозначение,8,FALSE)=0,"",VLOOKUP(AX101,Потребители_обозначение,8,FALSE)),""))</f>
        <v/>
      </c>
      <c r="BP101">
        <f t="shared" si="136"/>
        <v>230</v>
      </c>
      <c r="BQ101">
        <f>IF(B101="","",IF(BC101&lt;&gt;"",3,IFERROR(IF(N(VLOOKUP(AX101,Потребители_обозначение,9,FALSE))=0,1,VLOOKUP(AX101,Потребители_обозначение,9,FALSE)),1)))</f>
        <v>1</v>
      </c>
      <c r="BR101">
        <f t="shared" si="137"/>
        <v>1</v>
      </c>
      <c r="BS101" t="str">
        <f>IF(B101="","",_xlfn.LET(_xlpm.bc,IFERROR(IF(VLOOKUP(AX101,Потребители_обозначение,6,FALSE)=0,"",VLOOKUP(AX101,Потребители_обозначение,6,FALSE)&amp;""),""),IF(AND(FK101="да",OR(_xlpm.bc="",_xlpm.bc="мс")),Марка_пож,IF(AND(_xlpm.bc="",BC101&lt;&gt;""),"мс",_xlpm.bc))))</f>
        <v/>
      </c>
      <c r="BT101" t="str">
        <f t="shared" si="138"/>
        <v>мс</v>
      </c>
      <c r="BU101">
        <f>IF(B101="","",_xlfn.LET(_xlpm.cc,IFERROR(N(VLOOKUP(AX101,Потребители_обозначение,7,FALSE)),0),IF(_xlpm.cc&gt;0,_xlpm.cc,IF(BT101="","",IF(N(BR101)=3,5,3)))))</f>
        <v>3</v>
      </c>
      <c r="BV101">
        <f t="shared" si="139"/>
        <v>3</v>
      </c>
      <c r="BW101">
        <f>IFERROR(N(VLOOKUP(AX101,Потребители_обозначение,10,FALSE)),0)</f>
        <v>0</v>
      </c>
      <c r="BX101">
        <f>IFERROR(VLOOKUP(AX101,Потребители_обозначение,5,FALSE),0)</f>
        <v>1</v>
      </c>
      <c r="BY101" s="6" cm="1">
        <f t="array" ref="BY101">IF(B101="","",IF(BC101&lt;&gt;"",IFERROR(_xlfn.XLOOKUP(BC101,Щиты[Щит],Щиты[cos φ]),0.95),IF(BK101=1,IFERROR(_xlfn.XLOOKUP(A101,Щиты[Щит],Щиты[cos φ]),0.95),IF(ISNUMBER(Z101),Z101,IFERROR(IF(BX101=2,_xlfn.IFS(BR101=3,VLOOKUP(BN101,Справочная_двигатели,8,FALSE),BR101=1,VLOOKUP(BN101,Справочная_двигатели,10,TRUE)),IF(AND(Методика="нормы 2026",EQ101="Сил"),0.8,0.95)),0.95)))))</f>
        <v>0.8</v>
      </c>
      <c r="BZ101">
        <f t="shared" si="140"/>
        <v>0</v>
      </c>
      <c r="CA101">
        <f t="shared" si="141"/>
        <v>1</v>
      </c>
      <c r="CB101">
        <f t="shared" si="142"/>
        <v>0</v>
      </c>
      <c r="CC101">
        <f t="shared" si="143"/>
        <v>0</v>
      </c>
      <c r="CD101">
        <f t="shared" si="144"/>
        <v>0</v>
      </c>
      <c r="CE101">
        <f t="shared" si="145"/>
        <v>0</v>
      </c>
      <c r="CF101">
        <f t="shared" si="146"/>
        <v>0</v>
      </c>
      <c r="CG101">
        <f>IF(AX101="",0,_xlfn.LET(_xlpm.v,IFERROR(VLOOKUP(B101,УГО_спр,3,FALSE),IFERROR(VLOOKUP(AX101,УГО_спр,3,FALSE),IFERROR(VLOOKUP(LEFT(AX101,2),УГО_спр,3,FALSE),""))),IF(_xlpm.v="да",30,IF(ISNUMBER(_xlpm.v),_xlpm.v,0))))</f>
        <v>0</v>
      </c>
      <c r="CH101" t="str">
        <f t="shared" si="147"/>
        <v/>
      </c>
      <c r="CI101" t="str">
        <f>_xlfn.LET(_xlpm.k,IFERROR(_xlfn.XLOOKUP(AX101,Коды_код,Коды_утечка)&amp;"",""),IF(_xlpm.k="","дифавтомат",_xlpm.k))</f>
        <v>дифавтомат</v>
      </c>
      <c r="CJ101">
        <f t="shared" si="148"/>
        <v>0</v>
      </c>
      <c r="CK101">
        <f t="shared" si="149"/>
        <v>0</v>
      </c>
      <c r="CL101">
        <f>IF(B101="",0,IFERROR(--VLOOKUP(B101,УГО_спр,4,FALSE),IFERROR(--VLOOKUP(AX101,УГО_спр,4,FALSE),IFERROR(--VLOOKUP(LEFT(AX101,2),УГО_спр,4,FALSE),0))))</f>
        <v>0</v>
      </c>
      <c r="CM101" t="str">
        <f>IF(B101="","",IFERROR(_xlfn.XLOOKUP(AX101,Коды_код,Коды_апп)&amp;"",""))</f>
        <v/>
      </c>
      <c r="CN101" t="str">
        <f t="shared" si="150"/>
        <v/>
      </c>
      <c r="CO101" t="str" cm="1">
        <f t="array" ref="CO101">IF(TRIM(CN101&amp;"")="","",IFERROR(TRIM(INDEX(_xlfn.TEXTSPLIT(CN101&amp;";;;",";"),1)),""))</f>
        <v/>
      </c>
      <c r="CP101" t="str" cm="1">
        <f t="array" ref="CP101">IF(TRIM(CN101&amp;"")="","",IFERROR(TRIM(INDEX(_xlfn.TEXTSPLIT(CN101&amp;";;;",";"),2)),""))</f>
        <v/>
      </c>
      <c r="CQ101" t="str" cm="1">
        <f t="array" ref="CQ101">IF(TRIM(CN101&amp;"")="","",IFERROR(TRIM(INDEX(_xlfn.TEXTSPLIT(CN101&amp;";;;",";"),3)),""))</f>
        <v/>
      </c>
      <c r="CR101">
        <f t="shared" si="151"/>
        <v>0</v>
      </c>
      <c r="CS101" t="str">
        <f>IF(B101="","",_xlfn.LET(_xlpm.t,LOWER(AV101&amp;""),IF(ISNUMBER(SEARCH("dim",_xlpm.t)),"DIM",IF(ISNUMBER(SEARCH("dali",_xlpm.t)),"DALI",IF(OR(ISNUMBER(SEARCH("relay",_xlpm.t)),ISNUMBER(SEARCH("реле",_xlpm.t))),"Relay",IF(ISNUMBER(SEARCH("кнопк",_xlpm.t)),"",IFERROR(_xlfn.XLOOKUP(AX101,Коды_код,Коды_упр)&amp;"","")))))))</f>
        <v/>
      </c>
      <c r="CT101" t="str">
        <f t="shared" si="152"/>
        <v/>
      </c>
      <c r="CU101">
        <f>IF(B101="","",_xlfn.LET(_xlpm.ig,N(P101)+IF(AF101="вручную",0,N(CB101)),_xlpm.n0,IFERROR(VLOOKUP(_xlpm.ig,Автомат_номиналы,2,TRUE),0),_xlpm.mn,MAX(CL101,IF(AF101="вручную",0,N(CE101))),MAX(_xlpm.n0,_xlpm.mn,IF(CR101=1,Мин_автомат_БП,0))))</f>
        <v>6</v>
      </c>
      <c r="CV101">
        <f t="shared" si="153"/>
        <v>1</v>
      </c>
      <c r="CW101" t="str">
        <f t="shared" si="154"/>
        <v>1P</v>
      </c>
      <c r="CX101" t="str">
        <f>_xlfn.LET(_xlpm.cc,UPPER(TRIM(IFERROR(_xlfn.XLOOKUP(AX101,Коды_код,Коды_хар)&amp;"",""))),IF(OR(_xlpm.cc="B",_xlpm.cc="В"),"B",IF(_xlpm.cc="D","D","С")))</f>
        <v>С</v>
      </c>
      <c r="CY101" t="str">
        <f t="shared" si="155"/>
        <v>1P С6А</v>
      </c>
      <c r="CZ101">
        <f t="shared" si="156"/>
        <v>10</v>
      </c>
      <c r="DA101" t="str">
        <f t="shared" si="157"/>
        <v>1P С10А</v>
      </c>
      <c r="DB101" cm="1">
        <f t="array" ref="DB101">IF(DA101="","",_xlfn.LET(_xlpm.t,SUBSTITUTE(SUBSTITUTE(SUBSTITUTE(UPPER(DA101),"С","C"),"А","A"),"В","B"),_xlpm.tk,_xlfn.TEXTSPLIT(_xlpm.t,"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1" t="str">
        <f t="shared" si="158"/>
        <v>ok</v>
      </c>
      <c r="DD101">
        <f t="shared" si="159"/>
        <v>10</v>
      </c>
      <c r="DE101" t="str">
        <f t="shared" si="160"/>
        <v>1P С10А</v>
      </c>
      <c r="DF101">
        <f t="shared" si="161"/>
        <v>0</v>
      </c>
      <c r="DG101">
        <f t="shared" si="162"/>
        <v>0</v>
      </c>
      <c r="DH101">
        <f t="shared" si="163"/>
        <v>0</v>
      </c>
      <c r="DI101">
        <f t="shared" si="164"/>
        <v>0.56291651245988494</v>
      </c>
      <c r="DJ101">
        <f t="shared" si="165"/>
        <v>1</v>
      </c>
      <c r="DK101">
        <f>IF(ISNUMBER(AL101),AL101,К_прокл)</f>
        <v>1</v>
      </c>
      <c r="DL101">
        <f t="shared" si="166"/>
        <v>2</v>
      </c>
      <c r="DM101">
        <f>IFERROR(N(VLOOKUP(BT101,Кабель_обозначение,3,FALSE)),1)</f>
        <v>1</v>
      </c>
      <c r="DN101">
        <f>IFERROR(N(_xlfn.XLOOKUP(A101,Щиты[Щит],Щиты[ΔU до шин, %])),0)</f>
        <v>0.74</v>
      </c>
      <c r="DO101" t="str">
        <f>IFERROR(_xlfn.XLOOKUP(A101,Щиты[Щит],Щиты[Zпетли на шинах, Ом]),"")</f>
        <v/>
      </c>
      <c r="DP101">
        <f>IFERROR(N(_xlfn.XLOOKUP(A101,Щиты[Щит],Щиты[ΔU до шин (подбор), %])),0)</f>
        <v>1.96</v>
      </c>
      <c r="DQ101" t="str">
        <f>IFERROR(_xlfn.XLOOKUP(A101,Щиты[Щит],Щиты[Zпетли на шинах (подбор), Ом]),"")</f>
        <v/>
      </c>
      <c r="DR101" t="str">
        <f t="shared" si="167"/>
        <v/>
      </c>
      <c r="DS101">
        <f t="shared" si="168"/>
        <v>25</v>
      </c>
      <c r="DT101">
        <f t="shared" si="169"/>
        <v>2</v>
      </c>
      <c r="DU101">
        <f t="shared" si="170"/>
        <v>0.6</v>
      </c>
      <c r="DV101" s="6">
        <f>IF(B101="","",IF(IFERROR(VLOOKUP(AX101,УГО_спр,2,FALSE),"")="Светильник",3,4)+IF(Методика="нормы 2026",MIN(0.5,MAX(0,N(Q101)-100)*0.005),0))</f>
        <v>4</v>
      </c>
      <c r="DW101" cm="1">
        <f t="array" ref="DW101">IF(OR(B101="",BT101="",DM101&lt;&gt;1),"",_xlfn.LET(_xlpm.sz,Iдоп_S,_xlpm.t_,CHOOSE(DL101,Iдоп_1ж,Iдоп_2ж,Iдоп_3ж)*DJ101*DK101,_xlpm.inn,N(DD101),_xlpm.smin,MAX(1.5,BW101),_xlpm.L_,N(Q101)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101)*(_xlpm.rho*_xlpm.L_/_xlpm.sz*N(BY101)+_xlpm.xx*_xlpm.L_*N(DU101)/1000)*N(P101)/((Uн_лин/SQRT(3))*1000)*100,999),_xlpm.kz,IF(OR(DG101=1,NOT(ISNUMBER(DQ101)),_xlpm.L_=0,_xlpm.inn=0),1,IFERROR(--(c_min*(Uн_лин*1000/SQRT(3))/(DQ101+2*ρкз_Cu*_xlpm.L_/_xlpm.sz)&gt;=GY101*_xlpm.inn),0)),_xlpm.ok,IFERROR((_xlpm.sz&gt;=_xlpm.smin)*(_xlpm.t_&gt;=_xlpm.inn)*IF(_xlpm.L_&gt;0,(_xlpm.du_+DP101&lt;=DV101+0.00001),1)*_xlpm.kz,0),_xlpm.r_,_xlfn._xlws.FILTER(_xlpm.sz,_xlpm.ok,"не подобрано"),INDEX(_xlpm.r_,1)))</f>
        <v>1.5</v>
      </c>
      <c r="DX101">
        <f t="shared" si="171"/>
        <v>1.5</v>
      </c>
      <c r="DY101" cm="1">
        <f t="array" ref="DY101">IF(OR(B101="",BT101="",DM101&lt;&gt;1),"",_xlfn.LET(_xlpm.sz,Iдоп_S,_xlpm.t_,CHOOSE(DL101,Iдоп_1ж,Iдоп_2ж,Iдоп_3ж)*DJ101*DK101,_xlpm.ok,IFERROR((_xlpm.sz&gt;=MAX(1.5,BW101))*(_xlpm.t_&gt;=N(DD101)),0),_xlpm.r_,_xlfn._xlws.FILTER(_xlpm.sz,_xlpm.ok,""),INDEX(_xlpm.r_,1)))</f>
        <v>1.5</v>
      </c>
      <c r="DZ101" s="6" cm="1">
        <f t="array" ref="DZ101">IFERROR(ROUNDUP(N(DT101)*(_xlfn.XLOOKUP(DY101,INDEX(Кабель_сопротивление,0,1),INDEX(Кабель_сопротивление,0,3))*N(Q101)/DY101*N(BY101)+_xlfn.XLOOKUP(DY101,INDEX(Кабель_сопротивление,0,1),INDEX(Кабель_сопротивление,0,2))*N(Q101)*N(DU101)/1000)*N(P101)/((Uн_лин/SQRT(3))*1000)*100,2),"")</f>
        <v>0.16</v>
      </c>
      <c r="EA101">
        <f>IFERROR(2*ρкз_Cu*N(Q101)/DY101,"")</f>
        <v>0.94680000000000009</v>
      </c>
      <c r="EB101">
        <f>IFERROR(VLOOKUP(DX101,Кабель_сопротивление,3,FALSE),"")</f>
        <v>2.2499999999999999E-2</v>
      </c>
      <c r="EC101">
        <f>IFERROR(VLOOKUP(DX101,Кабель_сопротивление,2,FALSE),"")</f>
        <v>0.11</v>
      </c>
      <c r="ED101">
        <f t="shared" si="172"/>
        <v>21</v>
      </c>
      <c r="EE101">
        <f t="shared" si="173"/>
        <v>0</v>
      </c>
      <c r="EF101">
        <f t="shared" si="174"/>
        <v>0.36677613452441249</v>
      </c>
      <c r="EG101" s="6">
        <f>IFERROR(ROUNDUP(EF101/((Uн_лин/SQRT(3))*1000)*100,2),"")</f>
        <v>0.16</v>
      </c>
      <c r="EH101" t="str">
        <f>IFERROR(VLOOKUP(BT101,Кабель_обозначение,2,FALSE),"")</f>
        <v>ВВГнг(А)-LS</v>
      </c>
      <c r="EI101" t="str">
        <f t="shared" si="175"/>
        <v>ВВГнг(А)-LS (3х1,5)</v>
      </c>
      <c r="EJ101" t="str">
        <f t="shared" si="176"/>
        <v>ВВГнг(А)-LS (3х1,5)
L=27-0,16%</v>
      </c>
      <c r="EK101">
        <f>IFERROR(2*ρкз_Cu*Q101/DX101,"")</f>
        <v>0.94680000000000009</v>
      </c>
      <c r="EL101">
        <f t="shared" si="177"/>
        <v>0.315</v>
      </c>
      <c r="EM101" s="6" t="str">
        <f>IFERROR(IF(OR(B101="",NOT(ISNUMBER(DX101)),N(Q101)=0),"",_xlfn.XLOOKUP(A101,Щиты[Щит],Щиты[Zпетли на шинах, Ом])+EK101),"")</f>
        <v/>
      </c>
      <c r="EN101" s="6" t="str">
        <f>IF(ISNUMBER(EM101),c_min*(Uн_лин*1000/SQRT(3))/EM101,"")</f>
        <v/>
      </c>
      <c r="EO101" s="6" t="str">
        <f>IFERROR(IF(OR(B101="",NOT(ISNUMBER(DX101))),"",1.05*(Uн_лин*1000/SQRT(3))/(_xlfn.XLOOKUP(A101,Щиты[Щит],Щиты[Zmax на шинах, Ом])+EL101)/1000),"")</f>
        <v/>
      </c>
      <c r="EP101" s="6" t="str">
        <f>IF(B101="","",IF(ISNUMBER(Y101),"Сил",IF(IFERROR(_xlfn.XLOOKUP(AX101,Коды_код,Коды_группа)&amp;"","")="","Быт",_xlfn.XLOOKUP(AX101,Коды_код,Коды_группа)&amp;"")))</f>
        <v>Сил</v>
      </c>
      <c r="EQ101" s="6" t="str">
        <f t="shared" si="178"/>
        <v>Сил</v>
      </c>
      <c r="ER101" s="6">
        <f>IF(EQ101="Щит","щит",IF(EQ101="","",IF(EQ101="Быт",IFERROR(_xlfn.XLOOKUP(A101,Щиты[Щит],Щиты[Кс быт]),1),IF(EQ101="Сил",IF(ISNUMBER(Y101),Y101,IF(Методика="нормы 2026",IFERROR(_xlfn.XLOOKUP(A101,Щиты[Щит],Щиты[Кс силовых (табл. 7.5)]),1),1)),IF(OR(EQ101="Пост",EQ101="Отоп"),1,IF(EQ101="ВНГ",0.7,0))))))</f>
        <v>0.5</v>
      </c>
      <c r="ES101">
        <f t="shared" si="179"/>
        <v>1</v>
      </c>
      <c r="ET101">
        <f t="shared" si="180"/>
        <v>0.104</v>
      </c>
      <c r="EU101">
        <f t="shared" si="181"/>
        <v>0</v>
      </c>
      <c r="EV101">
        <f t="shared" si="182"/>
        <v>5.1999999999999998E-2</v>
      </c>
      <c r="EW101">
        <f t="shared" si="183"/>
        <v>0</v>
      </c>
      <c r="EX101">
        <f t="shared" si="184"/>
        <v>0</v>
      </c>
      <c r="EY101">
        <f t="shared" si="185"/>
        <v>0</v>
      </c>
      <c r="EZ101">
        <f t="shared" si="186"/>
        <v>0.104</v>
      </c>
      <c r="FA101">
        <f t="shared" si="187"/>
        <v>8.3199999999999996E-2</v>
      </c>
      <c r="FB101">
        <f t="shared" si="188"/>
        <v>0.104</v>
      </c>
      <c r="FC101" t="str">
        <f t="shared" si="189"/>
        <v>L1</v>
      </c>
      <c r="FD101" t="str">
        <f>IF(B101="","",IF(CA101=0,IF(AW101=1,"",FF100),IF(OR(N(CV101)&gt;=3,N(BR101)&gt;=3),"L1,L2,L3",IFERROR(_xlfn.TEXTBEFORE(_xlfn.TEXTAFTER(_xlfn.XLOOKUP(A101,Щиты[Щит],Щиты[_фазы авто]),";"&amp;AW101&amp;":"),";"),"L1"))))</f>
        <v>L1</v>
      </c>
      <c r="FE101" t="str">
        <f t="shared" si="190"/>
        <v>L1</v>
      </c>
      <c r="FF101" t="str">
        <f t="shared" si="191"/>
        <v>L1</v>
      </c>
      <c r="FG101" cm="1">
        <f t="array" ref="FG101">IFERROR(IF(BX101=2,_xlfn.IFS(BR101=3,VLOOKUP(BN101,Справочная_двигатели,3,FALSE),BR101=1,VLOOKUP(BN101,Справочная_двигатели,5,TRUE)),0),0)</f>
        <v>0</v>
      </c>
      <c r="FH101">
        <f>IFERROR(IF(BX101=3,VLOOKUP(BN101,Справочная_ЛЭД,2,TRUE),0),0)</f>
        <v>0</v>
      </c>
      <c r="FI101" s="6">
        <f t="shared" si="192"/>
        <v>0</v>
      </c>
      <c r="FJ101" t="str" cm="1">
        <f t="array" ref="FJ101">IF(B101="","",IFERROR(INDEX({"I особая","I","II","III"},MATCH(TRIM(AC101&amp;""),{"I особая","I","II","III"},0)),"III"))</f>
        <v>II</v>
      </c>
      <c r="FK101" t="str">
        <f>IF(B101="","",IF(TRIM(AD101&amp;"")&lt;&gt;"",IF(LOWER(TRIM(AD101&amp;""))="да","да","нет"),IF(IFERROR(_xlfn.XLOOKUP(AX101,Коды_код,Коды_пожарная),"")="да","да","нет")))</f>
        <v>нет</v>
      </c>
      <c r="FL101" t="str">
        <f t="shared" si="193"/>
        <v/>
      </c>
      <c r="FM101" t="str">
        <f t="shared" si="194"/>
        <v>основная</v>
      </c>
      <c r="FN101">
        <f t="shared" si="195"/>
        <v>1</v>
      </c>
      <c r="FO101" t="str" cm="1">
        <f t="array" ref="FO101">IF(B101="","",_xlfn.LET(_xlpm.t,IFERROR(_xlfn.XLOOKUP(1,(Шины[Шина]=FM101)*(((Шины[Щит]=A101)+(Шины[Щит]=""))&gt;0),Шины[Тип]),"")&amp;"",IF(_xlpm.t&lt;&gt;"",_xlpm.t,IF(ISNUMBER(SEARCH("ИБП",FM101)),"ИБП",IF(ISNUMBER(SEARCH("ДГУ",FM101)),"ДГУ","Ввод "&amp;FN101)))))</f>
        <v>Ввод 1</v>
      </c>
      <c r="FP101" t="str">
        <f t="shared" si="196"/>
        <v>Ввод 1</v>
      </c>
      <c r="FQ101" t="str">
        <f>IF(B101="","",IF(OR(FO101="ИБП",FO101="ДГУ"),"I особая",IF(FO101="Одиночная","III",_xlfn.XLOOKUP(A101,Щиты[Щит],Щиты[Категория шины «Ввод»],"III"))))</f>
        <v>II</v>
      </c>
      <c r="FR101">
        <f>IF(B101="",0,IFERROR(MATCH(FJ101,{"III","II","I","I особая"},0),1))</f>
        <v>2</v>
      </c>
      <c r="FS101">
        <f t="shared" si="197"/>
        <v>2</v>
      </c>
      <c r="FT101" t="str">
        <f>IF(B101="","",IF(FR101&gt;IFERROR(MATCH(FQ101,{"III","II","I","I особая"},0),1),"НЕ ОБЕСПЕЧЕНА","ОК"))</f>
        <v>ОК</v>
      </c>
      <c r="FU101" t="str">
        <f>IF(A101="","",_xlfn.XLOOKUP(A101,Щиты[Щит],Щиты[Путь],""))</f>
        <v>|ГРЩ-ЖД|ЩОВ-002|</v>
      </c>
      <c r="FV101" t="str">
        <f>IF(B101="","",IF(AE101&lt;&gt;"",AE101,IF(IFERROR(_xlfn.XLOOKUP(AX101,Коды_код,Коды_вид)&amp;"","")="","Прочее",_xlfn.XLOOKUP(AX101,Коды_код,Коды_вид)&amp;"")))</f>
        <v>Кондиционирование и увлажнение</v>
      </c>
      <c r="FW101">
        <f>IF(BH101="","",INT((BH101-1)/Столбцов_на_лист)+1)</f>
        <v>3</v>
      </c>
      <c r="FX101" t="str">
        <f t="shared" si="198"/>
        <v>ВВГнг(А)-LS (3х1,5) L=27-0,16%</v>
      </c>
      <c r="FY101">
        <f t="shared" si="199"/>
        <v>0.104</v>
      </c>
      <c r="FZ101">
        <f t="shared" si="200"/>
        <v>0.57000000000000006</v>
      </c>
      <c r="GA101">
        <f t="shared" si="201"/>
        <v>1</v>
      </c>
      <c r="GB101">
        <f t="shared" si="202"/>
        <v>0</v>
      </c>
      <c r="GC101">
        <f t="shared" si="203"/>
        <v>1</v>
      </c>
      <c r="GD101">
        <f>IF(BH101="","",IF(AND(CA101=1,GC101=1),COUNTIFS(A$3:A101,A101,CA$3:CA101,1,GC$3:GC101,1),IF(OR(OR(AW101=1,A101&lt;&gt;A100),AF101="вручную",GC101=0),"",IF(AW101=1,"",GE100))))</f>
        <v>13</v>
      </c>
      <c r="GE101">
        <f t="shared" si="204"/>
        <v>13</v>
      </c>
      <c r="GF101">
        <f>IF(B101="","",IFERROR(LOOKUP(INDEX(CHOOSE(DL101,Iдоп_1ж,Iдоп_2ж,Iдоп_3ж),MATCH(DX101,Iдоп_S,0))*DJ101*DK101,{6,10,16,20,25,32,40,50,63,80,100,125,160,200,250,315,400,500,630}),""))</f>
        <v>16</v>
      </c>
      <c r="GG101" t="str">
        <f t="shared" si="205"/>
        <v>QF13</v>
      </c>
      <c r="GH101" t="str">
        <f t="shared" si="206"/>
        <v>QF13</v>
      </c>
      <c r="GI101" t="str">
        <f t="shared" si="207"/>
        <v/>
      </c>
      <c r="GJ101">
        <f t="shared" si="208"/>
        <v>0</v>
      </c>
      <c r="GK101" t="str">
        <f>IF(OR(AG101="",AG101="-"),"",IFERROR(VLOOKUP(AG101,Модули_спр,2,FALSE),"R"))</f>
        <v/>
      </c>
      <c r="GL101" t="str">
        <f>IF(GK101="","",GK101&amp;"."&amp;COUNTIFS(A$3:A101,A101,GK$3:GK101,GK101))</f>
        <v/>
      </c>
      <c r="GM101" t="str">
        <f t="shared" si="209"/>
        <v/>
      </c>
      <c r="GN101" t="str">
        <f t="shared" si="210"/>
        <v/>
      </c>
      <c r="GO101" t="str">
        <f t="shared" si="211"/>
        <v/>
      </c>
      <c r="GP101" t="str">
        <f t="shared" si="212"/>
        <v/>
      </c>
      <c r="GQ101">
        <f t="shared" si="213"/>
        <v>1</v>
      </c>
      <c r="GR101" t="str">
        <f>IF(GQ101=1,"XT"&amp;COUNTIFS(A$3:A101,A101,GQ$3:GQ101,1),"")</f>
        <v>XT13</v>
      </c>
      <c r="GS101" t="str">
        <f t="shared" si="214"/>
        <v/>
      </c>
      <c r="GT101" t="str">
        <f t="shared" si="215"/>
        <v>QF13</v>
      </c>
      <c r="GU101" t="str">
        <f t="shared" si="216"/>
        <v/>
      </c>
      <c r="GV101" t="str">
        <f t="shared" si="217"/>
        <v>ok</v>
      </c>
      <c r="GW101" t="str">
        <f>IF(OR(GO101="",GM101=""),"",IF(GO101&gt;IFERROR(VLOOKUP(GN101,Модули_спр,3,FALSE),99),"ЛИШНИЙ КАНАЛ",IF(AND(AH101&lt;&gt;"=",COUNTIFS(Линии[_модуль гр.],GM101,Линии[Канал (итог)],GO101,Линии[Канал],"&lt;&gt;=",Линии[Щит],A101)&gt;1),"ДУБЛЬ КАНАЛА","")))</f>
        <v/>
      </c>
      <c r="GX101" s="6" t="str">
        <f t="shared" si="218"/>
        <v/>
      </c>
      <c r="GY101">
        <f t="shared" si="219"/>
        <v>10</v>
      </c>
      <c r="GZ101" t="str">
        <f t="shared" si="220"/>
        <v/>
      </c>
      <c r="HA101" t="str">
        <f>IF(AND(B101="",GT101=""),"",_xlfn.TEXTJOIN("; ",TRUE,IF(AND(B101&lt;&gt;"",FE101=""),"нет фазы",""),IF(AND(B101&lt;&gt;"",N(FY101)=0,EQ101&lt;&gt;"Нет"),"нет мощности",""),IF(AND(GS101&lt;&gt;"",COUNTIFS(Линии[Щит],A101,Линии[Клемма (итог)],GS101)&gt;1),"дубль клеммы "&amp;GS101,""),IF(AND(GV101&lt;&gt;"",GV101&lt;&gt;"ok"),GV101,""),IF(GW101&lt;&gt;"",GW101,""),IF(AND(N(BV101)&gt;=4,N(BR101)=1),BV101&amp;" жил на 1 фазе",""),IF(AND(AX101="R",CA101=1,OR(N(CK101)=0,N(CK101)&gt;30)),"розетка без дифзащиты до 30 мА",""),IFERROR(IF(AND(ISNUMBER(R101),R101&gt;DV101),"потери "&amp;FIXED(R101,1)&amp;" % &gt; "&amp;DV101&amp;" %",""),""),IFERROR(IF(LEFT(GZ101,4)="мало","Iкз мало — отключение &gt; 0,4 с",""),""),IF(AND(B101&lt;&gt;"",BH101=""),"не на схеме",""),IF(AND(CA101=0,B101&lt;&gt;"",FE101&lt;&gt;"",IF(AW101=1,"",FF100)&lt;&gt;"",FE101&lt;&gt;IF(AW101=1,"",FF100)),"фаза не как у автомата группы ("&amp;IF(AW101=1,"",FF100)&amp;")","")))</f>
        <v/>
      </c>
      <c r="HB101" s="6">
        <f>IF(OR(CA101=0,DA101=""),"",_xlfn.LET(_xlpm.t,IFERROR(_xlfn.XLOOKUP(DA101,Каталог!$U$4:$U$500,Каталог!$G$4:$G$500),""),_xlpm.k,SEARCH("кА",_xlpm.t),IFERROR(--TRIM(RIGHT(SUBSTITUTE(MID(_xlpm.t,MAX(1,_xlpm.k-4),_xlpm.k-MAX(1,_xlpm.k-4))," ",REPT(" ",9)),5)),"")))</f>
        <v>6</v>
      </c>
      <c r="HC101" t="str">
        <f>IF(OR(HB101="",CA101=0),"",IF(_xlfn.XLOOKUP(A101,Щиты[Щит],Щиты[Iкз max на шинах, кА],"")="","",IF(HB101&lt;_xlfn.XLOOKUP(A101,Щиты[Щит],Щиты[Iкз max на шинах, кА]),"Icu "&amp;HB101&amp;" кА &lt; Iкз max","ok")))</f>
        <v/>
      </c>
      <c r="HD101" t="str">
        <f t="shared" si="221"/>
        <v/>
      </c>
      <c r="HE101" t="str">
        <f t="shared" si="222"/>
        <v>QF13</v>
      </c>
      <c r="HF101" t="str">
        <f t="shared" si="223"/>
        <v>QF13|кабель ВВГнг(А)-LS (3х1,5) → Внутренний блок кондиционирования Подвальный этаж Пом. №007Т</v>
      </c>
      <c r="HG101" t="str" cm="1">
        <f t="array" ref="HG101">IF(HF101="","",_xlfn.LET(_xlpm.nd,_xlfn.TEXTSPLIT(HF101,"|"),IF(COLUMNS(_xlpm.nd)&gt;1,A101&amp;"¦"&amp;INDEX(_xlpm.nd,1)&amp;"¦"&amp;INDEX(_xlpm.nd,2),"")))</f>
        <v>ЩОВ-002¦QF13¦кабель ВВГнг(А)-LS (3х1,5) → Внутренний блок кондиционирования Подвальный этаж Пом. №007Т</v>
      </c>
      <c r="HH101" t="str">
        <f t="shared" si="224"/>
        <v>K.00.007T.2¦Внутренний блок кондиционирования Подвальный этаж Пом. №007Т</v>
      </c>
      <c r="HI101" t="str" cm="1">
        <f t="array" ref="HI101">IF(HF101="","",_xlfn.LET(_xlpm.nd,_xlfn.TEXTSPLIT(HF101,"|"),IF(COLUMNS(_xlpm.nd)&gt;2,A101&amp;"¦"&amp;INDEX(_xlpm.nd,2)&amp;"¦"&amp;INDEX(_xlpm.nd,3),"")))</f>
        <v/>
      </c>
      <c r="HJ101" t="str">
        <f t="shared" si="225"/>
        <v/>
      </c>
      <c r="HK101" t="str" cm="1">
        <f t="array" ref="HK101">IF(HF101="","",_xlfn.LET(_xlpm.nd,_xlfn.TEXTSPLIT(HF101,"|"),IF(COLUMNS(_xlpm.nd)&gt;3,A101&amp;"¦"&amp;INDEX(_xlpm.nd,3)&amp;"¦"&amp;INDEX(_xlpm.nd,4),"")))</f>
        <v/>
      </c>
      <c r="HL101" t="str">
        <f t="shared" si="226"/>
        <v/>
      </c>
      <c r="HM101" t="str" cm="1">
        <f t="array" ref="HM101">IF(HF101="","",_xlfn.LET(_xlpm.nd,_xlfn.TEXTSPLIT(HF101,"|"),IF(COLUMNS(_xlpm.nd)&gt;4,A101&amp;"¦"&amp;INDEX(_xlpm.nd,4)&amp;"¦"&amp;INDEX(_xlpm.nd,5),"")))</f>
        <v/>
      </c>
      <c r="HN101" t="str">
        <f t="shared" si="227"/>
        <v/>
      </c>
      <c r="HO101" t="str" cm="1">
        <f t="array" ref="HO101">IF(HF101="","",_xlfn.LET(_xlpm.nd,_xlfn.TEXTSPLIT(HF101,"|"),IF(COLUMNS(_xlpm.nd)&gt;5,A101&amp;"¦"&amp;INDEX(_xlpm.nd,5)&amp;"¦"&amp;INDEX(_xlpm.nd,6),"")))</f>
        <v/>
      </c>
      <c r="HP101" t="str">
        <f t="shared" si="228"/>
        <v/>
      </c>
      <c r="HQ101" t="str" cm="1">
        <f t="array" ref="HQ101">IF(HF101="","",_xlfn.LET(_xlpm.nd,_xlfn.TEXTSPLIT(HF101,"|"),IF(COLUMNS(_xlpm.nd)&gt;6,A101&amp;"¦"&amp;INDEX(_xlpm.nd,6)&amp;"¦"&amp;INDEX(_xlpm.nd,7),"")))</f>
        <v/>
      </c>
      <c r="HR101" t="str">
        <f t="shared" si="229"/>
        <v/>
      </c>
      <c r="HS101" t="str">
        <f t="shared" si="230"/>
        <v/>
      </c>
      <c r="HT101" t="str">
        <f t="shared" si="231"/>
        <v>QF13</v>
      </c>
      <c r="HU101">
        <f t="shared" si="232"/>
        <v>0</v>
      </c>
      <c r="HV101">
        <f t="shared" si="233"/>
        <v>0</v>
      </c>
      <c r="HW101" t="str">
        <f t="shared" si="234"/>
        <v/>
      </c>
      <c r="HX101" t="str">
        <f t="shared" si="235"/>
        <v/>
      </c>
      <c r="HY101" t="str">
        <f t="shared" si="236"/>
        <v/>
      </c>
      <c r="HZ101" t="str">
        <f t="shared" si="237"/>
        <v/>
      </c>
      <c r="IA101">
        <f>IF(B101="","",IFERROR(VLOOKUP(B101,УГО_спр,2,FALSE),IFERROR(VLOOKUP(AX101,УГО_спр,2,FALSE),IFERROR(VLOOKUP(LEFT(AX101,2),УГО_спр,2,FALSE),""))))</f>
        <v>0</v>
      </c>
      <c r="IB101" t="str">
        <f>IF(B101="","",IF(OR(IA101="",IA101=0),"BOX",IFERROR(IF(VLOOKUP(IA101,УГО_блоки,3,FALSE)&amp;""&lt;&gt;"",VLOOKUP(IA101,УГО_блоки,3,FALSE),VLOOKUP(IA101,УГО_блоки,2,FALSE)),IA101)))</f>
        <v>BOX</v>
      </c>
      <c r="IC101">
        <f t="shared" si="238"/>
        <v>1</v>
      </c>
      <c r="ID101" t="str">
        <f>IF(DA101="","",IF(COUNTIF(DA$3:DA101,DA101)=1,MAX(ID$2:ID100)+1,""))</f>
        <v/>
      </c>
      <c r="IE101" t="str">
        <f>IF(CO101="","",IF(COUNTIF(CO$3:CO101,CO101)+COUNTIF(CP$2:CP100,CO101)+COUNTIF(CQ$2:CQ100,CO101)=1,MAX(IE$2:IG100)+1,""))</f>
        <v/>
      </c>
      <c r="IF101" t="str">
        <f>IF(CP101="","",IF(COUNTIF(CO$3:CO101,CP101)+COUNTIF(CP$3:CP101,CP101)+COUNTIF(CQ$2:CQ100,CP101)=1,MAX(IE$2:IG100,IE101)+1,""))</f>
        <v/>
      </c>
      <c r="IG101" t="str">
        <f>IF(CQ101="","",IF(COUNTIF(CO$3:CO101,CQ101)+COUNTIF(CP$3:CP101,CQ101)+COUNTIF(CQ$3:CQ101,CQ101)=1,MAX(IE$2:IG100,IE101,IF101)+1,""))</f>
        <v/>
      </c>
      <c r="IH101" t="str">
        <f t="shared" si="239"/>
        <v>3х1,5</v>
      </c>
      <c r="II101" t="str">
        <f>IF(IH101="","",IF(COUNTIF(IH$3:IH101,IH101)=1,MAX(II$2:II100)+1,""))</f>
        <v/>
      </c>
      <c r="IJ101" t="str">
        <f>IF(GL101="","",COUNTIF(GL$3:GL101,"?*"))</f>
        <v/>
      </c>
      <c r="IK101" t="str">
        <f>IF(OR(GL101="",GN101=""),"",IF(COUNTIFS(GL$3:GL101,"?*",GN$3:GN101,GN101)=1,MAX(IK$2:IK100)+1,""))</f>
        <v/>
      </c>
      <c r="IL101">
        <f t="shared" si="240"/>
        <v>0</v>
      </c>
      <c r="IM101">
        <f>IF(B101="","",COUNTIF(B$3:B101,"?*"))</f>
        <v>99</v>
      </c>
      <c r="IN101">
        <f>IF(GQ101&lt;&gt;1,0,_xlfn.LET(_xlpm.k,MAX(IFERROR(--VLOOKUP(B101,УГО_спр,5,FALSE),0),IFERROR(--VLOOKUP(AX101,УГО_спр,5,FALSE),0),IFERROR(--VLOOKUP(LEFT(AX101,2),УГО_спр,5,FALSE),0)),IF(_xlpm.k&gt;0,_xlpm.k,IF(IFERROR(--LEFT(SUBSTITUTE(IH101,"x","х"),FIND("х",SUBSTITUTE(IH101,"x","х"))-1),3)&gt;3,Каталог!$S$9,1))))</f>
        <v>1</v>
      </c>
      <c r="IO101">
        <f t="shared" si="241"/>
        <v>0</v>
      </c>
      <c r="IP101" t="str">
        <f t="shared" si="242"/>
        <v>авто</v>
      </c>
      <c r="IQ101" t="str">
        <f t="shared" si="243"/>
        <v/>
      </c>
      <c r="IR101">
        <f t="shared" si="244"/>
        <v>0</v>
      </c>
      <c r="IS101">
        <f t="shared" si="245"/>
        <v>1</v>
      </c>
    </row>
    <row r="102" spans="1:253" x14ac:dyDescent="0.3">
      <c r="A102" t="s">
        <v>747</v>
      </c>
      <c r="B102" t="s">
        <v>743</v>
      </c>
      <c r="C102" t="s">
        <v>55</v>
      </c>
      <c r="D102">
        <v>1</v>
      </c>
      <c r="E102">
        <v>0</v>
      </c>
      <c r="G102">
        <v>25</v>
      </c>
      <c r="H102" t="str">
        <f>Линии[[#This Row],[_авто утечка]]</f>
        <v/>
      </c>
      <c r="I102" t="str">
        <f>Линии[[#This Row],[_авто управление]]</f>
        <v/>
      </c>
      <c r="J102" t="str">
        <f>Линии[[#This Row],[_авто аппараты]]</f>
        <v/>
      </c>
      <c r="K102">
        <v>6</v>
      </c>
      <c r="L102">
        <v>14</v>
      </c>
      <c r="M102" t="str">
        <f>Линии[[#This Row],[_авто фаза]]</f>
        <v>L1,L2,L3</v>
      </c>
      <c r="N102" t="str">
        <f>Линии[[#This Row],[_авто клемма]]</f>
        <v/>
      </c>
      <c r="O102" t="str">
        <f t="shared" si="123"/>
        <v/>
      </c>
      <c r="P102" s="6" cm="1">
        <f t="array" ref="P102">IF(B102="","",IF(BC102&lt;&gt;"",IFERROR(_xlfn.XLOOKUP(BC102,Щиты[Щит],Щиты[Iр, А]),""),IF(BK102=1,IFERROR(_xlfn.XLOOKUP(A102,Щиты[Щит],Щиты[Iр, А]),""),IFERROR(_xlfn.IFS(BR102=1,BN102/((Uн_лин/SQRT(3))*BY102),BR102=3,BN102/(SQRT(3)*Uн_лин*BY102)),""))))</f>
        <v>11.927695717539414</v>
      </c>
      <c r="Q102" s="7">
        <f>IF(B102="","",IFERROR(IF(VLOOKUP(AX102,Потребители_обозначение,4,FALSE)=1,VLOOKUP(AX102,Потребители_обозначение,3,FALSE)*(D102*2-1)+DS102+VLOOKUP(AZ102,Этаж_обозначение,3,FALSE)+VLOOKUP(AZ102,Этаж_обозначение,4,FALSE),VLOOKUP(AX102,Потребители_обозначение,3,FALSE)*(D102*2-1)+DS102),DS102))</f>
        <v>14</v>
      </c>
      <c r="R102" s="6">
        <f t="shared" si="124"/>
        <v>0.47000000000000003</v>
      </c>
      <c r="S102" t="str">
        <f t="shared" si="125"/>
        <v>ВВГнг(А)-LS (5х6)</v>
      </c>
      <c r="T102" t="str">
        <f>IF(BH102="","",IF(BI102="вводной узел","узел ","")&amp;"л."&amp;(INT((BH102-1)/Столбцов_на_лист)+1)&amp;" / "&amp;(MOD(BH102-1,Столбцов_на_лист)+1))</f>
        <v>узел л.1 / 2</v>
      </c>
      <c r="V102">
        <v>3</v>
      </c>
      <c r="W102">
        <v>400</v>
      </c>
      <c r="X102" t="s">
        <v>549</v>
      </c>
      <c r="AF102" t="s">
        <v>1303</v>
      </c>
      <c r="AI102">
        <v>2</v>
      </c>
      <c r="AJ102" t="s">
        <v>11</v>
      </c>
      <c r="AK102">
        <v>5</v>
      </c>
      <c r="AN102">
        <v>14</v>
      </c>
      <c r="AP102">
        <v>1</v>
      </c>
      <c r="AW102" cm="1">
        <f t="array" ref="AW102">ROW()-ROW(Линии[#Headers])</f>
        <v>100</v>
      </c>
      <c r="AX102" s="6" t="str">
        <f t="shared" si="126"/>
        <v>Ввод</v>
      </c>
      <c r="AY102" t="str">
        <f t="shared" si="127"/>
        <v>1</v>
      </c>
      <c r="AZ102" t="str">
        <f t="shared" si="128"/>
        <v>1</v>
      </c>
      <c r="BA102" t="str">
        <f t="shared" si="129"/>
        <v/>
      </c>
      <c r="BB102" t="str">
        <f t="shared" si="130"/>
        <v/>
      </c>
      <c r="BC102" t="str">
        <f>IF(U102&lt;&gt;"",U102,IF(AND(B102&lt;&gt;"",B102&lt;&gt;A102,ISNUMBER(_xlfn.XMATCH(B102,Щиты[Щит]))),B102,""))</f>
        <v/>
      </c>
      <c r="BD102" t="str" cm="1">
        <f t="array" ref="BD102">IF(B102="","",IF(BC102&lt;&gt;"","Щит "&amp;BC102,_xlfn.LET(_xlpm.nm,IFERROR(_xlfn.XLOOKUP(AX102,Коды_код,Коды_имя)&amp;"",""),_xlpm.md,IFERROR(N(_xlfn.XLOOKUP(AX102,Коды_код,Коды_режим)),1),_xlpm.ex,IF(Имя_режим="по экспликации",IFERROR(_xlfn.XLOOKUP(AZ102&amp;"|"&amp;BB102,Экспликация[Этаж]&amp;"|"&amp;Экспликация[Помещение],Экспликация[Название])&amp;"",""),""),_xlpm.rm,IF(BB102="","",IF(_xlpm.ex&lt;&gt;"",". "&amp;_xlpm.ex&amp;IF(Имя_пом="нет"," ("&amp;BB102&amp;")"," (пом. "&amp;BB102&amp;")"),IF(Имя_пом="нет"," ",", пом. ")&amp;BB102)),IF(_xlpm.nm="","",IF(_xlpm.md=2,_xlpm.nm&amp;" шлейф "&amp;AZ102,_xlpm.nm&amp;_xlpm.rm)))))</f>
        <v>Вводной кабель шлейф 1</v>
      </c>
      <c r="BE102" t="str">
        <f t="shared" si="131"/>
        <v>Ввод</v>
      </c>
      <c r="BF102">
        <f>IFERROR(_xlfn.XMATCH(A102,Щиты[Щит]),0)</f>
        <v>6</v>
      </c>
      <c r="BG102">
        <f>_xlfn.LET(_xlpm.k,IFERROR(_xlfn.XLOOKUP(A102,Щиты[Щит],Щиты[Листов под вводной узел]),""),IF(_xlpm.k="",1,N(_xlpm.k))*Столбцов_на_лист)</f>
        <v>17</v>
      </c>
      <c r="BH102">
        <f t="shared" si="132"/>
        <v>2</v>
      </c>
      <c r="BI102" t="str">
        <f t="shared" si="133"/>
        <v>вводной узел</v>
      </c>
      <c r="BJ102" s="6">
        <f>IFERROR(N(_xlfn.XLOOKUP(AX102,Коды_код,Коды_квт)),0)</f>
        <v>0</v>
      </c>
      <c r="BK102">
        <f t="shared" si="134"/>
        <v>1</v>
      </c>
      <c r="BL102">
        <f>IF(B102="","",IF(BC102&lt;&gt;"",IFERROR(_xlfn.XLOOKUP(BC102,Щиты[Щит],Щиты[Руст, кВт]),0),IF(BK102=1,IFERROR(_xlfn.XLOOKUP(A102,Щиты[Щит],Щиты[Руст, кВт]),0),IF(BJ102&gt;0,ROUND(BJ102*MAX(1,N(D102)),3),""))))</f>
        <v>13.172999999999996</v>
      </c>
      <c r="BM102">
        <f t="shared" si="135"/>
        <v>0</v>
      </c>
      <c r="BN102" s="6">
        <f>IF(B102="","",IF(BC102&lt;&gt;"",IFERROR(_xlfn.XLOOKUP(BC102,Щиты[Щит],Щиты[Руст, кВт]),0),N(BM102)))</f>
        <v>0</v>
      </c>
      <c r="BO102" t="str">
        <f>IF(B102="","",IFERROR(IF(VLOOKUP(AX102,Потребители_обозначение,8,FALSE)=0,"",VLOOKUP(AX102,Потребители_обозначение,8,FALSE)),""))</f>
        <v/>
      </c>
      <c r="BP102">
        <f t="shared" si="136"/>
        <v>400</v>
      </c>
      <c r="BQ102">
        <f>IF(B102="","",IF(BC102&lt;&gt;"",3,IFERROR(IF(N(VLOOKUP(AX102,Потребители_обозначение,9,FALSE))=0,1,VLOOKUP(AX102,Потребители_обозначение,9,FALSE)),1)))</f>
        <v>1</v>
      </c>
      <c r="BR102">
        <f t="shared" si="137"/>
        <v>3</v>
      </c>
      <c r="BS102" t="str">
        <f>IF(B102="","",_xlfn.LET(_xlpm.bc,IFERROR(IF(VLOOKUP(AX102,Потребители_обозначение,6,FALSE)=0,"",VLOOKUP(AX102,Потребители_обозначение,6,FALSE)&amp;""),""),IF(AND(FK102="да",OR(_xlpm.bc="",_xlpm.bc="мс")),Марка_пож,IF(AND(_xlpm.bc="",BC102&lt;&gt;""),"мс",_xlpm.bc))))</f>
        <v/>
      </c>
      <c r="BT102" t="str">
        <f t="shared" si="138"/>
        <v>мс</v>
      </c>
      <c r="BU102">
        <f>IF(B102="","",_xlfn.LET(_xlpm.cc,IFERROR(N(VLOOKUP(AX102,Потребители_обозначение,7,FALSE)),0),IF(_xlpm.cc&gt;0,_xlpm.cc,IF(BT102="","",IF(N(BR102)=3,5,3)))))</f>
        <v>5</v>
      </c>
      <c r="BV102">
        <f t="shared" si="139"/>
        <v>5</v>
      </c>
      <c r="BW102">
        <f>IFERROR(N(VLOOKUP(AX102,Потребители_обозначение,10,FALSE)),0)</f>
        <v>0</v>
      </c>
      <c r="BX102">
        <f>IFERROR(VLOOKUP(AX102,Потребители_обозначение,5,FALSE),0)</f>
        <v>1</v>
      </c>
      <c r="BY102" s="6" cm="1">
        <f t="array" ref="BY102">IF(B102="","",IF(BC102&lt;&gt;"",IFERROR(_xlfn.XLOOKUP(BC102,Щиты[Щит],Щиты[cos φ]),0.95),IF(BK102=1,IFERROR(_xlfn.XLOOKUP(A102,Щиты[Щит],Щиты[cos φ]),0.95),IF(ISNUMBER(Z102),Z102,IFERROR(IF(BX102=2,_xlfn.IFS(BR102=3,VLOOKUP(BN102,Справочная_двигатели,8,FALSE),BR102=1,VLOOKUP(BN102,Справочная_двигатели,10,TRUE)),IF(AND(Методика="нормы 2026",EQ102="Сил"),0.8,0.95)),0.95)))))</f>
        <v>0.80000000000000071</v>
      </c>
      <c r="BZ102">
        <f t="shared" si="140"/>
        <v>0</v>
      </c>
      <c r="CA102">
        <f t="shared" si="141"/>
        <v>1</v>
      </c>
      <c r="CB102">
        <f t="shared" si="142"/>
        <v>0</v>
      </c>
      <c r="CC102">
        <f t="shared" si="143"/>
        <v>0</v>
      </c>
      <c r="CD102">
        <f t="shared" si="144"/>
        <v>0</v>
      </c>
      <c r="CE102">
        <f t="shared" si="145"/>
        <v>0</v>
      </c>
      <c r="CF102">
        <f t="shared" si="146"/>
        <v>0</v>
      </c>
      <c r="CG102">
        <f>IF(AX102="",0,_xlfn.LET(_xlpm.v,IFERROR(VLOOKUP(B102,УГО_спр,3,FALSE),IFERROR(VLOOKUP(AX102,УГО_спр,3,FALSE),IFERROR(VLOOKUP(LEFT(AX102,2),УГО_спр,3,FALSE),""))),IF(_xlpm.v="да",30,IF(ISNUMBER(_xlpm.v),_xlpm.v,0))))</f>
        <v>0</v>
      </c>
      <c r="CH102" t="str">
        <f t="shared" si="147"/>
        <v/>
      </c>
      <c r="CI102" t="str">
        <f>_xlfn.LET(_xlpm.k,IFERROR(_xlfn.XLOOKUP(AX102,Коды_код,Коды_утечка)&amp;"",""),IF(_xlpm.k="","дифавтомат",_xlpm.k))</f>
        <v>дифавтомат</v>
      </c>
      <c r="CJ102">
        <f t="shared" si="148"/>
        <v>0</v>
      </c>
      <c r="CK102">
        <f t="shared" si="149"/>
        <v>0</v>
      </c>
      <c r="CL102">
        <f>IF(B102="",0,IFERROR(--VLOOKUP(B102,УГО_спр,4,FALSE),IFERROR(--VLOOKUP(AX102,УГО_спр,4,FALSE),IFERROR(--VLOOKUP(LEFT(AX102,2),УГО_спр,4,FALSE),0))))</f>
        <v>0</v>
      </c>
      <c r="CM102" t="str">
        <f>IF(B102="","",IFERROR(_xlfn.XLOOKUP(AX102,Коды_код,Коды_апп)&amp;"",""))</f>
        <v/>
      </c>
      <c r="CN102" t="str">
        <f t="shared" si="150"/>
        <v/>
      </c>
      <c r="CO102" t="str" cm="1">
        <f t="array" ref="CO102">IF(TRIM(CN102&amp;"")="","",IFERROR(TRIM(INDEX(_xlfn.TEXTSPLIT(CN102&amp;";;;",";"),1)),""))</f>
        <v/>
      </c>
      <c r="CP102" t="str" cm="1">
        <f t="array" ref="CP102">IF(TRIM(CN102&amp;"")="","",IFERROR(TRIM(INDEX(_xlfn.TEXTSPLIT(CN102&amp;";;;",";"),2)),""))</f>
        <v/>
      </c>
      <c r="CQ102" t="str" cm="1">
        <f t="array" ref="CQ102">IF(TRIM(CN102&amp;"")="","",IFERROR(TRIM(INDEX(_xlfn.TEXTSPLIT(CN102&amp;";;;",";"),3)),""))</f>
        <v/>
      </c>
      <c r="CR102">
        <f t="shared" si="151"/>
        <v>0</v>
      </c>
      <c r="CS102" t="str">
        <f>IF(B102="","",_xlfn.LET(_xlpm.t,LOWER(AV102&amp;""),IF(ISNUMBER(SEARCH("dim",_xlpm.t)),"DIM",IF(ISNUMBER(SEARCH("dali",_xlpm.t)),"DALI",IF(OR(ISNUMBER(SEARCH("relay",_xlpm.t)),ISNUMBER(SEARCH("реле",_xlpm.t))),"Relay",IF(ISNUMBER(SEARCH("кнопк",_xlpm.t)),"",IFERROR(_xlfn.XLOOKUP(AX102,Коды_код,Коды_упр)&amp;"","")))))))</f>
        <v/>
      </c>
      <c r="CT102" t="str">
        <f t="shared" si="152"/>
        <v/>
      </c>
      <c r="CU102">
        <f>IF(B102="","",_xlfn.LET(_xlpm.ig,N(P102)+IF(AF102="вручную",0,N(CB102)),_xlpm.n0,IFERROR(VLOOKUP(_xlpm.ig,Автомат_номиналы,2,TRUE),0),_xlpm.mn,MAX(CL102,IF(AF102="вручную",0,N(CE102))),MAX(_xlpm.n0,_xlpm.mn,IF(CR102=1,Мин_автомат_БП,0))))</f>
        <v>16</v>
      </c>
      <c r="CV102">
        <f t="shared" si="153"/>
        <v>3</v>
      </c>
      <c r="CW102" t="str">
        <f t="shared" si="154"/>
        <v>3P</v>
      </c>
      <c r="CX102" t="str">
        <f>_xlfn.LET(_xlpm.cc,UPPER(TRIM(IFERROR(_xlfn.XLOOKUP(AX102,Коды_код,Коды_хар)&amp;"",""))),IF(OR(_xlpm.cc="B",_xlpm.cc="В"),"B",IF(_xlpm.cc="D","D","С")))</f>
        <v>С</v>
      </c>
      <c r="CY102" t="str">
        <f t="shared" si="155"/>
        <v>3P С16А</v>
      </c>
      <c r="CZ102">
        <f t="shared" si="156"/>
        <v>25</v>
      </c>
      <c r="DA102" t="str">
        <f t="shared" si="157"/>
        <v>3P С25А</v>
      </c>
      <c r="DB102" cm="1">
        <f t="array" ref="DB102">IF(DA102="","",_xlfn.LET(_xlpm.t,SUBSTITUTE(SUBSTITUTE(SUBSTITUTE(UPPER(DA102),"С","C"),"А","A"),"В","B"),_xlpm.tk,_xlfn.TEXTSPLIT(_xlpm.t,"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102" t="str">
        <f t="shared" si="158"/>
        <v>узел</v>
      </c>
      <c r="DD102">
        <f t="shared" si="159"/>
        <v>25</v>
      </c>
      <c r="DE102" t="str">
        <f t="shared" si="160"/>
        <v>3P С25А</v>
      </c>
      <c r="DF102">
        <f t="shared" si="161"/>
        <v>0</v>
      </c>
      <c r="DG102">
        <f t="shared" si="162"/>
        <v>0</v>
      </c>
      <c r="DH102">
        <f t="shared" si="163"/>
        <v>0</v>
      </c>
      <c r="DI102">
        <f t="shared" si="164"/>
        <v>11.927695717539414</v>
      </c>
      <c r="DJ102">
        <f t="shared" si="165"/>
        <v>0.92</v>
      </c>
      <c r="DK102">
        <f>IF(ISNUMBER(AL102),AL102,К_прокл)</f>
        <v>1</v>
      </c>
      <c r="DL102">
        <f t="shared" si="166"/>
        <v>3</v>
      </c>
      <c r="DM102">
        <f>IFERROR(N(VLOOKUP(BT102,Кабель_обозначение,3,FALSE)),1)</f>
        <v>1</v>
      </c>
      <c r="DN102">
        <f>IFERROR(N(_xlfn.XLOOKUP(A102,Щиты[Щит],Щиты[ΔU до шин, %])),0)</f>
        <v>0.24000000000000002</v>
      </c>
      <c r="DO102" t="str">
        <f>IFERROR(_xlfn.XLOOKUP(A102,Щиты[Щит],Щиты[Zпетли на шинах, Ом]),"")</f>
        <v/>
      </c>
      <c r="DP102">
        <f>IFERROR(N(_xlfn.XLOOKUP(A102,Щиты[Щит],Щиты[ΔU до шин (подбор), %])),0)</f>
        <v>0.36</v>
      </c>
      <c r="DQ102" t="str">
        <f>IFERROR(_xlfn.XLOOKUP(A102,Щиты[Щит],Щиты[Zпетли на шинах (подбор), Ом]),"")</f>
        <v/>
      </c>
      <c r="DR102" t="str">
        <f t="shared" si="167"/>
        <v/>
      </c>
      <c r="DS102">
        <f t="shared" si="168"/>
        <v>14</v>
      </c>
      <c r="DT102">
        <f t="shared" si="169"/>
        <v>1</v>
      </c>
      <c r="DU102">
        <f t="shared" si="170"/>
        <v>0.6</v>
      </c>
      <c r="DV102" s="6">
        <f>IF(B102="","",IF(IFERROR(VLOOKUP(AX102,УГО_спр,2,FALSE),"")="Светильник",3,4)+IF(Методика="нормы 2026",MIN(0.5,MAX(0,N(Q102)-100)*0.005),0))</f>
        <v>4</v>
      </c>
      <c r="DW102" cm="1">
        <f t="array" ref="DW102">IF(OR(B102="",BT102="",DM102&lt;&gt;1),"",_xlfn.LET(_xlpm.sz,Iдоп_S,_xlpm.t_,CHOOSE(DL102,Iдоп_1ж,Iдоп_2ж,Iдоп_3ж)*DJ102*DK102,_xlpm.inn,N(DD102),_xlpm.smin,MAX(1.5,BW102),_xlpm.L_,N(Q102)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102)*(_xlpm.rho*_xlpm.L_/_xlpm.sz*N(BY102)+_xlpm.xx*_xlpm.L_*N(DU102)/1000)*N(P102)/((Uн_лин/SQRT(3))*1000)*100,999),_xlpm.kz,IF(OR(DG102=1,NOT(ISNUMBER(DQ102)),_xlpm.L_=0,_xlpm.inn=0),1,IFERROR(--(c_min*(Uн_лин*1000/SQRT(3))/(DQ102+2*ρкз_Cu*_xlpm.L_/_xlpm.sz)&gt;=GY102*_xlpm.inn),0)),_xlpm.ok,IFERROR((_xlpm.sz&gt;=_xlpm.smin)*(_xlpm.t_&gt;=_xlpm.inn)*IF(_xlpm.L_&gt;0,(_xlpm.du_+DP102&lt;=DV102+0.00001),1)*_xlpm.kz,0),_xlpm.r_,_xlfn._xlws.FILTER(_xlpm.sz,_xlpm.ok,"не подобрано"),INDEX(_xlpm.r_,1)))</f>
        <v>4</v>
      </c>
      <c r="DX102">
        <f t="shared" si="171"/>
        <v>6</v>
      </c>
      <c r="DY102" cm="1">
        <f t="array" ref="DY102">IF(OR(B102="",BT102="",DM102&lt;&gt;1),"",_xlfn.LET(_xlpm.sz,Iдоп_S,_xlpm.t_,CHOOSE(DL102,Iдоп_1ж,Iдоп_2ж,Iдоп_3ж)*DJ102*DK102,_xlpm.ok,IFERROR((_xlpm.sz&gt;=MAX(1.5,BW102))*(_xlpm.t_&gt;=N(DD102)),0),_xlpm.r_,_xlfn._xlws.FILTER(_xlpm.sz,_xlpm.ok,""),INDEX(_xlpm.r_,1)))</f>
        <v>4</v>
      </c>
      <c r="DZ102" s="6" cm="1">
        <f t="array" ref="DZ102">IFERROR(ROUNDUP(N(DT102)*(_xlfn.XLOOKUP(DY102,INDEX(Кабель_сопротивление,0,1),INDEX(Кабель_сопротивление,0,3))*N(Q102)/DY102*N(BY102)+_xlfn.XLOOKUP(DY102,INDEX(Кабель_сопротивление,0,1),INDEX(Кабель_сопротивление,0,2))*N(Q102)*N(DU102)/1000)*N(P102)/((Uн_лин/SQRT(3))*1000)*100,2),"")</f>
        <v>0.33</v>
      </c>
      <c r="EA102">
        <f>IFERROR(2*ρкз_Cu*N(Q102)/DY102,"")</f>
        <v>0.18410000000000001</v>
      </c>
      <c r="EB102">
        <f>IFERROR(VLOOKUP(DX102,Кабель_сопротивление,3,FALSE),"")</f>
        <v>2.2499999999999999E-2</v>
      </c>
      <c r="EC102">
        <f>IFERROR(VLOOKUP(DX102,Кабель_сопротивление,2,FALSE),"")</f>
        <v>0.09</v>
      </c>
      <c r="ED102">
        <f t="shared" si="172"/>
        <v>14</v>
      </c>
      <c r="EE102">
        <f t="shared" si="173"/>
        <v>0</v>
      </c>
      <c r="EF102">
        <f t="shared" si="174"/>
        <v>0.50998055809911569</v>
      </c>
      <c r="EG102" s="6">
        <f>IFERROR(ROUNDUP(EF102/((Uн_лин/SQRT(3))*1000)*100,2),"")</f>
        <v>0.23</v>
      </c>
      <c r="EH102" t="str">
        <f>IFERROR(VLOOKUP(BT102,Кабель_обозначение,2,FALSE),"")</f>
        <v>ВВГнг(А)-LS</v>
      </c>
      <c r="EI102" t="str">
        <f t="shared" si="175"/>
        <v>ВВГнг(А)-LS (5х6)</v>
      </c>
      <c r="EJ102" t="str">
        <f t="shared" si="176"/>
        <v>ВВГнг(А)-LS (5х6)
L=14-0,23%</v>
      </c>
      <c r="EK102">
        <f>IFERROR(2*ρкз_Cu*Q102/DX102,"")</f>
        <v>0.12273333333333335</v>
      </c>
      <c r="EL102">
        <f t="shared" si="177"/>
        <v>4.083333333333334E-2</v>
      </c>
      <c r="EM102" s="6" t="str">
        <f>IFERROR(IF(OR(B102="",NOT(ISNUMBER(DX102)),N(Q102)=0),"",_xlfn.XLOOKUP(A102,Щиты[Щит],Щиты[Zпетли на шинах, Ом])+EK102),"")</f>
        <v/>
      </c>
      <c r="EN102" s="6" t="str">
        <f>IF(ISNUMBER(EM102),c_min*(Uн_лин*1000/SQRT(3))/EM102,"")</f>
        <v/>
      </c>
      <c r="EO102" s="6" t="str">
        <f>IFERROR(IF(OR(B102="",NOT(ISNUMBER(DX102))),"",1.05*(Uн_лин*1000/SQRT(3))/(_xlfn.XLOOKUP(A102,Щиты[Щит],Щиты[Zmax на шинах, Ом])+EL102)/1000),"")</f>
        <v/>
      </c>
      <c r="EP102" s="6" t="str">
        <f>IF(B102="","",IF(ISNUMBER(Y102),"Сил",IF(IFERROR(_xlfn.XLOOKUP(AX102,Коды_код,Коды_группа)&amp;"","")="","Быт",_xlfn.XLOOKUP(AX102,Коды_код,Коды_группа)&amp;"")))</f>
        <v>Быт</v>
      </c>
      <c r="EQ102" s="6" t="str">
        <f t="shared" si="178"/>
        <v>Нет</v>
      </c>
      <c r="ER102" s="6">
        <f>IF(EQ102="Щит","щит",IF(EQ102="","",IF(EQ102="Быт",IFERROR(_xlfn.XLOOKUP(A102,Щиты[Щит],Щиты[Кс быт]),1),IF(EQ102="Сил",IF(ISNUMBER(Y102),Y102,IF(Методика="нормы 2026",IFERROR(_xlfn.XLOOKUP(A102,Щиты[Щит],Щиты[Кс силовых (табл. 7.5)]),1),1)),IF(OR(EQ102="Пост",EQ102="Отоп"),1,IF(EQ102="ВНГ",0.7,0))))))</f>
        <v>0</v>
      </c>
      <c r="ES102">
        <f t="shared" si="179"/>
        <v>1</v>
      </c>
      <c r="ET102">
        <f t="shared" si="180"/>
        <v>0</v>
      </c>
      <c r="EU102">
        <f t="shared" si="181"/>
        <v>0</v>
      </c>
      <c r="EV102">
        <f t="shared" si="182"/>
        <v>0</v>
      </c>
      <c r="EW102">
        <f t="shared" si="183"/>
        <v>0</v>
      </c>
      <c r="EX102">
        <f t="shared" si="184"/>
        <v>0</v>
      </c>
      <c r="EY102">
        <f t="shared" si="185"/>
        <v>0</v>
      </c>
      <c r="EZ102">
        <f t="shared" si="186"/>
        <v>0</v>
      </c>
      <c r="FA102">
        <f t="shared" si="187"/>
        <v>0</v>
      </c>
      <c r="FB102">
        <f t="shared" si="188"/>
        <v>0</v>
      </c>
      <c r="FC102" t="str">
        <f t="shared" si="189"/>
        <v/>
      </c>
      <c r="FD102" t="str">
        <f>IF(B102="","",IF(CA102=0,IF(AW102=1,"",FF101),IF(OR(N(CV102)&gt;=3,N(BR102)&gt;=3),"L1,L2,L3",IFERROR(_xlfn.TEXTBEFORE(_xlfn.TEXTAFTER(_xlfn.XLOOKUP(A102,Щиты[Щит],Щиты[_фазы авто]),";"&amp;AW102&amp;":"),";"),"L1"))))</f>
        <v>L1,L2,L3</v>
      </c>
      <c r="FE102" t="str">
        <f t="shared" si="190"/>
        <v>L1,L2,L3</v>
      </c>
      <c r="FF102" t="str">
        <f t="shared" si="191"/>
        <v>L1,L2,L3</v>
      </c>
      <c r="FG102" cm="1">
        <f t="array" ref="FG102">IFERROR(IF(BX102=2,_xlfn.IFS(BR102=3,VLOOKUP(BN102,Справочная_двигатели,3,FALSE),BR102=1,VLOOKUP(BN102,Справочная_двигатели,5,TRUE)),0),0)</f>
        <v>0</v>
      </c>
      <c r="FH102">
        <f>IFERROR(IF(BX102=3,VLOOKUP(BN102,Справочная_ЛЭД,2,TRUE),0),0)</f>
        <v>0</v>
      </c>
      <c r="FI102" s="6">
        <f t="shared" si="192"/>
        <v>0</v>
      </c>
      <c r="FJ102" t="str" cm="1">
        <f t="array" ref="FJ102">IF(B102="","",IFERROR(INDEX({"I особая","I","II","III"},MATCH(TRIM(AC102&amp;""),{"I особая","I","II","III"},0)),"III"))</f>
        <v>III</v>
      </c>
      <c r="FK102" t="str">
        <f>IF(B102="","",IF(TRIM(AD102&amp;"")&lt;&gt;"",IF(LOWER(TRIM(AD102&amp;""))="да","да","нет"),IF(IFERROR(_xlfn.XLOOKUP(AX102,Коды_код,Коды_пожарная),"")="да","да","нет")))</f>
        <v>нет</v>
      </c>
      <c r="FL102" t="str">
        <f t="shared" si="193"/>
        <v/>
      </c>
      <c r="FM102" t="str">
        <f t="shared" si="194"/>
        <v>основная</v>
      </c>
      <c r="FN102">
        <f t="shared" si="195"/>
        <v>1</v>
      </c>
      <c r="FO102" t="str" cm="1">
        <f t="array" ref="FO102">IF(B102="","",_xlfn.LET(_xlpm.t,IFERROR(_xlfn.XLOOKUP(1,(Шины[Шина]=FM102)*(((Шины[Щит]=A102)+(Шины[Щит]=""))&gt;0),Шины[Тип]),"")&amp;"",IF(_xlpm.t&lt;&gt;"",_xlpm.t,IF(ISNUMBER(SEARCH("ИБП",FM102)),"ИБП",IF(ISNUMBER(SEARCH("ДГУ",FM102)),"ДГУ","Ввод "&amp;FN102)))))</f>
        <v>Ввод 1</v>
      </c>
      <c r="FP102" t="str">
        <f t="shared" si="196"/>
        <v>Ввод 1</v>
      </c>
      <c r="FQ102" t="str">
        <f>IF(B102="","",IF(OR(FO102="ИБП",FO102="ДГУ"),"I особая",IF(FO102="Одиночная","III",_xlfn.XLOOKUP(A102,Щиты[Щит],Щиты[Категория шины «Ввод»],"III"))))</f>
        <v>II</v>
      </c>
      <c r="FR102">
        <f>IF(B102="",0,IFERROR(MATCH(FJ102,{"III","II","I","I особая"},0),1))</f>
        <v>1</v>
      </c>
      <c r="FS102">
        <f t="shared" si="197"/>
        <v>1</v>
      </c>
      <c r="FT102" t="str">
        <f>IF(B102="","",IF(FR102&gt;IFERROR(MATCH(FQ102,{"III","II","I","I особая"},0),1),"НЕ ОБЕСПЕЧЕНА","ОК"))</f>
        <v>ОК</v>
      </c>
      <c r="FU102" t="str">
        <f>IF(A102="","",_xlfn.XLOOKUP(A102,Щиты[Щит],Щиты[Путь],""))</f>
        <v>|ГРЩ-ЖД|ЩОВ-01|</v>
      </c>
      <c r="FV102" t="str">
        <f>IF(B102="","",IF(AE102&lt;&gt;"",AE102,IF(IFERROR(_xlfn.XLOOKUP(AX102,Коды_код,Коды_вид)&amp;"","")="","Прочее",_xlfn.XLOOKUP(AX102,Коды_код,Коды_вид)&amp;"")))</f>
        <v>Прочее</v>
      </c>
      <c r="FW102">
        <f>IF(BH102="","",INT((BH102-1)/Столбцов_на_лист)+1)</f>
        <v>1</v>
      </c>
      <c r="FX102" t="str">
        <f t="shared" si="198"/>
        <v>ВВГнг(А)-LS (5х6) L=14-0,23%</v>
      </c>
      <c r="FY102">
        <f t="shared" si="199"/>
        <v>0</v>
      </c>
      <c r="FZ102">
        <f t="shared" si="200"/>
        <v>11.93</v>
      </c>
      <c r="GA102">
        <f t="shared" si="201"/>
        <v>3</v>
      </c>
      <c r="GB102">
        <f t="shared" si="202"/>
        <v>0</v>
      </c>
      <c r="GC102">
        <f t="shared" si="203"/>
        <v>0</v>
      </c>
      <c r="GD102" t="str">
        <f>IF(BH102="","",IF(AND(CA102=1,GC102=1),COUNTIFS(A$3:A102,A102,CA$3:CA102,1,GC$3:GC102,1),IF(OR(OR(AW102=1,A102&lt;&gt;A101),AF102="вручную",GC102=0),"",IF(AW102=1,"",GE101))))</f>
        <v/>
      </c>
      <c r="GE102" t="str">
        <f t="shared" si="204"/>
        <v/>
      </c>
      <c r="GF102">
        <f>IF(B102="","",IFERROR(LOOKUP(INDEX(CHOOSE(DL102,Iдоп_1ж,Iдоп_2ж,Iдоп_3ж),MATCH(DX102,Iдоп_S,0))*DJ102*DK102,{6,10,16,20,25,32,40,50,63,80,100,125,160,200,250,315,400,500,630}),""))</f>
        <v>32</v>
      </c>
      <c r="GG102" t="str">
        <f t="shared" si="205"/>
        <v/>
      </c>
      <c r="GH102" t="str">
        <f t="shared" si="206"/>
        <v/>
      </c>
      <c r="GI102" t="str">
        <f t="shared" si="207"/>
        <v/>
      </c>
      <c r="GJ102">
        <f t="shared" si="208"/>
        <v>0</v>
      </c>
      <c r="GK102" t="str">
        <f>IF(OR(AG102="",AG102="-"),"",IFERROR(VLOOKUP(AG102,Модули_спр,2,FALSE),"R"))</f>
        <v/>
      </c>
      <c r="GL102" t="str">
        <f>IF(GK102="","",GK102&amp;"."&amp;COUNTIFS(A$3:A102,A102,GK$3:GK102,GK102))</f>
        <v/>
      </c>
      <c r="GM102" t="str">
        <f t="shared" si="209"/>
        <v/>
      </c>
      <c r="GN102" t="str">
        <f t="shared" si="210"/>
        <v/>
      </c>
      <c r="GO102" t="str">
        <f t="shared" si="211"/>
        <v/>
      </c>
      <c r="GP102" t="str">
        <f t="shared" si="212"/>
        <v/>
      </c>
      <c r="GQ102">
        <f t="shared" si="213"/>
        <v>0</v>
      </c>
      <c r="GR102" t="str">
        <f>IF(GQ102=1,"XT"&amp;COUNTIFS(A$3:A102,A102,GQ$3:GQ102,1),"")</f>
        <v/>
      </c>
      <c r="GS102" t="str">
        <f t="shared" si="214"/>
        <v/>
      </c>
      <c r="GT102" t="str">
        <f t="shared" si="215"/>
        <v/>
      </c>
      <c r="GU102" t="str">
        <f t="shared" si="216"/>
        <v/>
      </c>
      <c r="GV102" t="str">
        <f t="shared" si="217"/>
        <v>ok</v>
      </c>
      <c r="GW102" t="str">
        <f>IF(OR(GO102="",GM102=""),"",IF(GO102&gt;IFERROR(VLOOKUP(GN102,Модули_спр,3,FALSE),99),"ЛИШНИЙ КАНАЛ",IF(AND(AH102&lt;&gt;"=",COUNTIFS(Линии[_модуль гр.],GM102,Линии[Канал (итог)],GO102,Линии[Канал],"&lt;&gt;=",Линии[Щит],A102)&gt;1),"ДУБЛЬ КАНАЛА","")))</f>
        <v/>
      </c>
      <c r="GX102" s="6" t="str">
        <f t="shared" si="218"/>
        <v/>
      </c>
      <c r="GY102">
        <f t="shared" si="219"/>
        <v>10</v>
      </c>
      <c r="GZ102" t="str">
        <f t="shared" si="220"/>
        <v/>
      </c>
      <c r="HA102" t="str">
        <f>IF(AND(B102="",GT102=""),"",_xlfn.TEXTJOIN("; ",TRUE,IF(AND(B102&lt;&gt;"",FE102=""),"нет фазы",""),IF(AND(B102&lt;&gt;"",N(FY102)=0,EQ102&lt;&gt;"Нет"),"нет мощности",""),IF(AND(GS102&lt;&gt;"",COUNTIFS(Линии[Щит],A102,Линии[Клемма (итог)],GS102)&gt;1),"дубль клеммы "&amp;GS102,""),IF(AND(GV102&lt;&gt;"",GV102&lt;&gt;"ok"),GV102,""),IF(GW102&lt;&gt;"",GW102,""),IF(AND(N(BV102)&gt;=4,N(BR102)=1),BV102&amp;" жил на 1 фазе",""),IF(AND(AX102="R",CA102=1,OR(N(CK102)=0,N(CK102)&gt;30)),"розетка без дифзащиты до 30 мА",""),IFERROR(IF(AND(ISNUMBER(R102),R102&gt;DV102),"потери "&amp;FIXED(R102,1)&amp;" % &gt; "&amp;DV102&amp;" %",""),""),IFERROR(IF(LEFT(GZ102,4)="мало","Iкз мало — отключение &gt; 0,4 с",""),""),IF(AND(B102&lt;&gt;"",BH102=""),"не на схеме",""),IF(AND(CA102=0,B102&lt;&gt;"",FE102&lt;&gt;"",IF(AW102=1,"",FF101)&lt;&gt;"",FE102&lt;&gt;IF(AW102=1,"",FF101)),"фаза не как у автомата группы ("&amp;IF(AW102=1,"",FF101)&amp;")","")))</f>
        <v/>
      </c>
      <c r="HB102" s="6" t="str">
        <f>IF(OR(CA102=0,DA102=""),"",_xlfn.LET(_xlpm.t,IFERROR(_xlfn.XLOOKUP(DA102,Каталог!$U$4:$U$500,Каталог!$G$4:$G$500),""),_xlpm.k,SEARCH("кА",_xlpm.t),IFERROR(--TRIM(RIGHT(SUBSTITUTE(MID(_xlpm.t,MAX(1,_xlpm.k-4),_xlpm.k-MAX(1,_xlpm.k-4))," ",REPT(" ",9)),5)),"")))</f>
        <v/>
      </c>
      <c r="HC102" t="str">
        <f>IF(OR(HB102="",CA102=0),"",IF(_xlfn.XLOOKUP(A102,Щиты[Щит],Щиты[Iкз max на шинах, кА],"")="","",IF(HB102&lt;_xlfn.XLOOKUP(A102,Щиты[Щит],Щиты[Iкз max на шинах, кА]),"Icu "&amp;HB102&amp;" кА &lt; Iкз max","ok")))</f>
        <v/>
      </c>
      <c r="HD102" t="str">
        <f t="shared" si="221"/>
        <v/>
      </c>
      <c r="HE102" t="str">
        <f t="shared" si="222"/>
        <v/>
      </c>
      <c r="HF102" t="str">
        <f t="shared" si="223"/>
        <v/>
      </c>
      <c r="HG102" t="str" cm="1">
        <f t="array" ref="HG102">IF(HF102="","",_xlfn.LET(_xlpm.nd,_xlfn.TEXTSPLIT(HF102,"|"),IF(COLUMNS(_xlpm.nd)&gt;1,A102&amp;"¦"&amp;INDEX(_xlpm.nd,1)&amp;"¦"&amp;INDEX(_xlpm.nd,2),"")))</f>
        <v/>
      </c>
      <c r="HH102" t="str">
        <f t="shared" si="224"/>
        <v/>
      </c>
      <c r="HI102" t="str" cm="1">
        <f t="array" ref="HI102">IF(HF102="","",_xlfn.LET(_xlpm.nd,_xlfn.TEXTSPLIT(HF102,"|"),IF(COLUMNS(_xlpm.nd)&gt;2,A102&amp;"¦"&amp;INDEX(_xlpm.nd,2)&amp;"¦"&amp;INDEX(_xlpm.nd,3),"")))</f>
        <v/>
      </c>
      <c r="HJ102" t="str">
        <f t="shared" si="225"/>
        <v/>
      </c>
      <c r="HK102" t="str" cm="1">
        <f t="array" ref="HK102">IF(HF102="","",_xlfn.LET(_xlpm.nd,_xlfn.TEXTSPLIT(HF102,"|"),IF(COLUMNS(_xlpm.nd)&gt;3,A102&amp;"¦"&amp;INDEX(_xlpm.nd,3)&amp;"¦"&amp;INDEX(_xlpm.nd,4),"")))</f>
        <v/>
      </c>
      <c r="HL102" t="str">
        <f t="shared" si="226"/>
        <v/>
      </c>
      <c r="HM102" t="str" cm="1">
        <f t="array" ref="HM102">IF(HF102="","",_xlfn.LET(_xlpm.nd,_xlfn.TEXTSPLIT(HF102,"|"),IF(COLUMNS(_xlpm.nd)&gt;4,A102&amp;"¦"&amp;INDEX(_xlpm.nd,4)&amp;"¦"&amp;INDEX(_xlpm.nd,5),"")))</f>
        <v/>
      </c>
      <c r="HN102" t="str">
        <f t="shared" si="227"/>
        <v/>
      </c>
      <c r="HO102" t="str" cm="1">
        <f t="array" ref="HO102">IF(HF102="","",_xlfn.LET(_xlpm.nd,_xlfn.TEXTSPLIT(HF102,"|"),IF(COLUMNS(_xlpm.nd)&gt;5,A102&amp;"¦"&amp;INDEX(_xlpm.nd,5)&amp;"¦"&amp;INDEX(_xlpm.nd,6),"")))</f>
        <v/>
      </c>
      <c r="HP102" t="str">
        <f t="shared" si="228"/>
        <v/>
      </c>
      <c r="HQ102" t="str" cm="1">
        <f t="array" ref="HQ102">IF(HF102="","",_xlfn.LET(_xlpm.nd,_xlfn.TEXTSPLIT(HF102,"|"),IF(COLUMNS(_xlpm.nd)&gt;6,A102&amp;"¦"&amp;INDEX(_xlpm.nd,6)&amp;"¦"&amp;INDEX(_xlpm.nd,7),"")))</f>
        <v/>
      </c>
      <c r="HR102" t="str">
        <f t="shared" si="229"/>
        <v/>
      </c>
      <c r="HS102" t="str">
        <f t="shared" si="230"/>
        <v/>
      </c>
      <c r="HT102" t="str">
        <f t="shared" si="231"/>
        <v/>
      </c>
      <c r="HU102">
        <f t="shared" si="232"/>
        <v>0</v>
      </c>
      <c r="HV102">
        <f t="shared" si="233"/>
        <v>0</v>
      </c>
      <c r="HW102" t="str">
        <f t="shared" si="234"/>
        <v/>
      </c>
      <c r="HX102" t="str">
        <f t="shared" si="235"/>
        <v/>
      </c>
      <c r="HY102" t="str">
        <f t="shared" si="236"/>
        <v/>
      </c>
      <c r="HZ102" t="str">
        <f t="shared" si="237"/>
        <v/>
      </c>
      <c r="IA102">
        <f>IF(B102="","",IFERROR(VLOOKUP(B102,УГО_спр,2,FALSE),IFERROR(VLOOKUP(AX102,УГО_спр,2,FALSE),IFERROR(VLOOKUP(LEFT(AX102,2),УГО_спр,2,FALSE),""))))</f>
        <v>0</v>
      </c>
      <c r="IB102" t="str">
        <f>IF(B102="","",IF(OR(IA102="",IA102=0),"BOX",IFERROR(IF(VLOOKUP(IA102,УГО_блоки,3,FALSE)&amp;""&lt;&gt;"",VLOOKUP(IA102,УГО_блоки,3,FALSE),VLOOKUP(IA102,УГО_блоки,2,FALSE)),IA102)))</f>
        <v>BOX</v>
      </c>
      <c r="IC102">
        <f t="shared" si="238"/>
        <v>1</v>
      </c>
      <c r="ID102" t="str">
        <f>IF(DA102="","",IF(COUNTIF(DA$3:DA102,DA102)=1,MAX(ID$2:ID101)+1,""))</f>
        <v/>
      </c>
      <c r="IE102" t="str">
        <f>IF(CO102="","",IF(COUNTIF(CO$3:CO102,CO102)+COUNTIF(CP$2:CP101,CO102)+COUNTIF(CQ$2:CQ101,CO102)=1,MAX(IE$2:IG101)+1,""))</f>
        <v/>
      </c>
      <c r="IF102" t="str">
        <f>IF(CP102="","",IF(COUNTIF(CO$3:CO102,CP102)+COUNTIF(CP$3:CP102,CP102)+COUNTIF(CQ$2:CQ101,CP102)=1,MAX(IE$2:IG101,IE102)+1,""))</f>
        <v/>
      </c>
      <c r="IG102" t="str">
        <f>IF(CQ102="","",IF(COUNTIF(CO$3:CO102,CQ102)+COUNTIF(CP$3:CP102,CQ102)+COUNTIF(CQ$3:CQ102,CQ102)=1,MAX(IE$2:IG101,IE102,IF102)+1,""))</f>
        <v/>
      </c>
      <c r="IH102" t="str">
        <f t="shared" si="239"/>
        <v/>
      </c>
      <c r="II102" t="str">
        <f>IF(IH102="","",IF(COUNTIF(IH$3:IH102,IH102)=1,MAX(II$2:II101)+1,""))</f>
        <v/>
      </c>
      <c r="IJ102" t="str">
        <f>IF(GL102="","",COUNTIF(GL$3:GL102,"?*"))</f>
        <v/>
      </c>
      <c r="IK102" t="str">
        <f>IF(OR(GL102="",GN102=""),"",IF(COUNTIFS(GL$3:GL102,"?*",GN$3:GN102,GN102)=1,MAX(IK$2:IK101)+1,""))</f>
        <v/>
      </c>
      <c r="IL102">
        <f t="shared" si="240"/>
        <v>0</v>
      </c>
      <c r="IM102">
        <f>IF(B102="","",COUNTIF(B$3:B102,"?*"))</f>
        <v>100</v>
      </c>
      <c r="IN102">
        <f>IF(GQ102&lt;&gt;1,0,_xlfn.LET(_xlpm.k,MAX(IFERROR(--VLOOKUP(B102,УГО_спр,5,FALSE),0),IFERROR(--VLOOKUP(AX102,УГО_спр,5,FALSE),0),IFERROR(--VLOOKUP(LEFT(AX102,2),УГО_спр,5,FALSE),0)),IF(_xlpm.k&gt;0,_xlpm.k,IF(IFERROR(--LEFT(SUBSTITUTE(IH102,"x","х"),FIND("х",SUBSTITUTE(IH102,"x","х"))-1),3)&gt;3,Каталог!$S$9,1))))</f>
        <v>0</v>
      </c>
      <c r="IO102">
        <f t="shared" si="241"/>
        <v>0</v>
      </c>
      <c r="IP102" t="str">
        <f t="shared" si="242"/>
        <v>авто</v>
      </c>
      <c r="IQ102" t="str">
        <f t="shared" si="243"/>
        <v/>
      </c>
      <c r="IR102">
        <f t="shared" si="244"/>
        <v>0</v>
      </c>
      <c r="IS102">
        <f t="shared" si="245"/>
        <v>1</v>
      </c>
    </row>
    <row r="103" spans="1:253" x14ac:dyDescent="0.3">
      <c r="A103" t="s">
        <v>747</v>
      </c>
      <c r="B103" t="s">
        <v>1373</v>
      </c>
      <c r="C103" t="s">
        <v>1627</v>
      </c>
      <c r="D103">
        <v>1</v>
      </c>
      <c r="E103">
        <v>0.33</v>
      </c>
      <c r="G103">
        <v>10</v>
      </c>
      <c r="H103" t="str">
        <f>Линии[[#This Row],[_авто утечка]]</f>
        <v/>
      </c>
      <c r="I103" t="str">
        <f>Линии[[#This Row],[_авто управление]]</f>
        <v/>
      </c>
      <c r="J103" t="str">
        <f>Линии[[#This Row],[_авто аппараты]]</f>
        <v/>
      </c>
      <c r="K103">
        <v>1.5</v>
      </c>
      <c r="L103">
        <v>32</v>
      </c>
      <c r="M103" t="str">
        <f>Линии[[#This Row],[_авто фаза]]</f>
        <v>L3</v>
      </c>
      <c r="N103" t="str">
        <f>Линии[[#This Row],[_авто клемма]]</f>
        <v>XT1</v>
      </c>
      <c r="O103" t="str">
        <f t="shared" si="123"/>
        <v/>
      </c>
      <c r="P103" s="6" cm="1">
        <f t="array" ref="P103">IF(B103="","",IF(BC103&lt;&gt;"",IFERROR(_xlfn.XLOOKUP(BC103,Щиты[Щит],Щиты[Iр, А]),""),IF(BK103=1,IFERROR(_xlfn.XLOOKUP(A103,Щиты[Щит],Щиты[Iр, А]),""),IFERROR(_xlfn.IFS(BR103=1,BN103/((Uн_лин/SQRT(3))*BY103),BR103=3,BN103/(SQRT(3)*Uн_лин*BY103)),""))))</f>
        <v>1.7861773953054043</v>
      </c>
      <c r="Q103" s="7">
        <f>IF(B103="","",IFERROR(IF(VLOOKUP(AX103,Потребители_обозначение,4,FALSE)=1,VLOOKUP(AX103,Потребители_обозначение,3,FALSE)*(D103*2-1)+DS103+VLOOKUP(AZ103,Этаж_обозначение,3,FALSE)+VLOOKUP(AZ103,Этаж_обозначение,4,FALSE),VLOOKUP(AX103,Потребители_обозначение,3,FALSE)*(D103*2-1)+DS103),DS103))</f>
        <v>36</v>
      </c>
      <c r="R103" s="6">
        <f t="shared" si="124"/>
        <v>0.92</v>
      </c>
      <c r="S103" t="str">
        <f t="shared" si="125"/>
        <v>ВВГнг(А)-LS (3х1,5)</v>
      </c>
      <c r="T103" t="str">
        <f>IF(BH103="","",IF(BI103="вводной узел","узел ","")&amp;"л."&amp;(INT((BH103-1)/Столбцов_на_лист)+1)&amp;" / "&amp;(MOD(BH103-1,Столбцов_на_лист)+1))</f>
        <v>л.2 / 1</v>
      </c>
      <c r="V103">
        <v>1</v>
      </c>
      <c r="W103">
        <v>230</v>
      </c>
      <c r="X103" t="s">
        <v>600</v>
      </c>
      <c r="Y103">
        <v>0.5</v>
      </c>
      <c r="AC103" t="s">
        <v>815</v>
      </c>
      <c r="AE103" t="s">
        <v>582</v>
      </c>
      <c r="AI103">
        <v>18</v>
      </c>
      <c r="AJ103" t="s">
        <v>11</v>
      </c>
      <c r="AK103">
        <v>3</v>
      </c>
      <c r="AM103">
        <v>20</v>
      </c>
      <c r="AN103">
        <v>16</v>
      </c>
      <c r="AP103">
        <v>1</v>
      </c>
      <c r="AW103" cm="1">
        <f t="array" ref="AW103">ROW()-ROW(Линии[#Headers])</f>
        <v>101</v>
      </c>
      <c r="AX103" s="6" t="str">
        <f t="shared" si="126"/>
        <v>П</v>
      </c>
      <c r="AY103" t="str">
        <f t="shared" si="127"/>
        <v>6</v>
      </c>
      <c r="AZ103" t="str">
        <f t="shared" si="128"/>
        <v>6</v>
      </c>
      <c r="BA103" t="str">
        <f t="shared" si="129"/>
        <v/>
      </c>
      <c r="BB103" t="str">
        <f t="shared" si="130"/>
        <v/>
      </c>
      <c r="BC103" t="str">
        <f>IF(U103&lt;&gt;"",U103,IF(AND(B103&lt;&gt;"",B103&lt;&gt;A103,ISNUMBER(_xlfn.XMATCH(B103,Щиты[Щит]))),B103,""))</f>
        <v/>
      </c>
      <c r="BD103" t="str" cm="1">
        <f t="array" ref="BD103">IF(B103="","",IF(BC103&lt;&gt;"","Щит "&amp;BC103,_xlfn.LET(_xlpm.nm,IFERROR(_xlfn.XLOOKUP(AX103,Коды_код,Коды_имя)&amp;"",""),_xlpm.md,IFERROR(N(_xlfn.XLOOKUP(AX103,Коды_код,Коды_режим)),1),_xlpm.ex,IF(Имя_режим="по экспликации",IFERROR(_xlfn.XLOOKUP(AZ103&amp;"|"&amp;BB103,Экспликация[Этаж]&amp;"|"&amp;Экспликация[Помещение],Экспликация[Название])&amp;"",""),""),_xlpm.rm,IF(BB103="","",IF(_xlpm.ex&lt;&gt;"",". "&amp;_xlpm.ex&amp;IF(Имя_пом="нет"," ("&amp;BB103&amp;")"," (пом. "&amp;BB103&amp;")"),IF(Имя_пом="нет"," ",", пом. ")&amp;BB103)),IF(_xlpm.nm="","",IF(_xlpm.md=2,_xlpm.nm&amp;" шлейф "&amp;AZ103,_xlpm.nm&amp;_xlpm.rm)))))</f>
        <v>Приточная установка шлейф 6</v>
      </c>
      <c r="BE103" t="str">
        <f t="shared" si="131"/>
        <v>Приточная установка Цокольный этаж Пом №001Тб</v>
      </c>
      <c r="BF103">
        <f>IFERROR(_xlfn.XMATCH(A103,Щиты[Щит]),0)</f>
        <v>6</v>
      </c>
      <c r="BG103">
        <f>_xlfn.LET(_xlpm.k,IFERROR(_xlfn.XLOOKUP(A103,Щиты[Щит],Щиты[Листов под вводной узел]),""),IF(_xlpm.k="",1,N(_xlpm.k))*Столбцов_на_лист)</f>
        <v>17</v>
      </c>
      <c r="BH103">
        <f t="shared" si="132"/>
        <v>18</v>
      </c>
      <c r="BI103" t="str">
        <f t="shared" si="133"/>
        <v>линии</v>
      </c>
      <c r="BJ103" s="6">
        <f>IFERROR(N(_xlfn.XLOOKUP(AX103,Коды_код,Коды_квт)),0)</f>
        <v>0</v>
      </c>
      <c r="BK103">
        <f t="shared" si="134"/>
        <v>0</v>
      </c>
      <c r="BL103" t="str">
        <f>IF(B103="","",IF(BC103&lt;&gt;"",IFERROR(_xlfn.XLOOKUP(BC103,Щиты[Щит],Щиты[Руст, кВт]),0),IF(BK103=1,IFERROR(_xlfn.XLOOKUP(A103,Щиты[Щит],Щиты[Руст, кВт]),0),IF(BJ103&gt;0,ROUND(BJ103*MAX(1,N(D103)),3),""))))</f>
        <v/>
      </c>
      <c r="BM103">
        <f t="shared" si="135"/>
        <v>0.33</v>
      </c>
      <c r="BN103" s="6">
        <f>IF(B103="","",IF(BC103&lt;&gt;"",IFERROR(_xlfn.XLOOKUP(BC103,Щиты[Щит],Щиты[Руст, кВт]),0),N(BM103)))</f>
        <v>0.33</v>
      </c>
      <c r="BO103" t="str">
        <f>IF(B103="","",IFERROR(IF(VLOOKUP(AX103,Потребители_обозначение,8,FALSE)=0,"",VLOOKUP(AX103,Потребители_обозначение,8,FALSE)),""))</f>
        <v/>
      </c>
      <c r="BP103">
        <f t="shared" si="136"/>
        <v>230</v>
      </c>
      <c r="BQ103">
        <f>IF(B103="","",IF(BC103&lt;&gt;"",3,IFERROR(IF(N(VLOOKUP(AX103,Потребители_обозначение,9,FALSE))=0,1,VLOOKUP(AX103,Потребители_обозначение,9,FALSE)),1)))</f>
        <v>1</v>
      </c>
      <c r="BR103">
        <f t="shared" si="137"/>
        <v>1</v>
      </c>
      <c r="BS103" t="str">
        <f>IF(B103="","",_xlfn.LET(_xlpm.bc,IFERROR(IF(VLOOKUP(AX103,Потребители_обозначение,6,FALSE)=0,"",VLOOKUP(AX103,Потребители_обозначение,6,FALSE)&amp;""),""),IF(AND(FK103="да",OR(_xlpm.bc="",_xlpm.bc="мс")),Марка_пож,IF(AND(_xlpm.bc="",BC103&lt;&gt;""),"мс",_xlpm.bc))))</f>
        <v/>
      </c>
      <c r="BT103" t="str">
        <f t="shared" si="138"/>
        <v>мс</v>
      </c>
      <c r="BU103">
        <f>IF(B103="","",_xlfn.LET(_xlpm.cc,IFERROR(N(VLOOKUP(AX103,Потребители_обозначение,7,FALSE)),0),IF(_xlpm.cc&gt;0,_xlpm.cc,IF(BT103="","",IF(N(BR103)=3,5,3)))))</f>
        <v>3</v>
      </c>
      <c r="BV103">
        <f t="shared" si="139"/>
        <v>3</v>
      </c>
      <c r="BW103">
        <f>IFERROR(N(VLOOKUP(AX103,Потребители_обозначение,10,FALSE)),0)</f>
        <v>0</v>
      </c>
      <c r="BX103">
        <f>IFERROR(VLOOKUP(AX103,Потребители_обозначение,5,FALSE),0)</f>
        <v>1</v>
      </c>
      <c r="BY103" s="6" cm="1">
        <f t="array" ref="BY103">IF(B103="","",IF(BC103&lt;&gt;"",IFERROR(_xlfn.XLOOKUP(BC103,Щиты[Щит],Щиты[cos φ]),0.95),IF(BK103=1,IFERROR(_xlfn.XLOOKUP(A103,Щиты[Щит],Щиты[cos φ]),0.95),IF(ISNUMBER(Z103),Z103,IFERROR(IF(BX103=2,_xlfn.IFS(BR103=3,VLOOKUP(BN103,Справочная_двигатели,8,FALSE),BR103=1,VLOOKUP(BN103,Справочная_двигатели,10,TRUE)),IF(AND(Методика="нормы 2026",EQ103="Сил"),0.8,0.95)),0.95)))))</f>
        <v>0.8</v>
      </c>
      <c r="BZ103">
        <f t="shared" si="140"/>
        <v>0</v>
      </c>
      <c r="CA103">
        <f t="shared" si="141"/>
        <v>1</v>
      </c>
      <c r="CB103">
        <f t="shared" si="142"/>
        <v>0</v>
      </c>
      <c r="CC103">
        <f t="shared" si="143"/>
        <v>0</v>
      </c>
      <c r="CD103">
        <f t="shared" si="144"/>
        <v>0</v>
      </c>
      <c r="CE103">
        <f t="shared" si="145"/>
        <v>0</v>
      </c>
      <c r="CF103">
        <f t="shared" si="146"/>
        <v>0</v>
      </c>
      <c r="CG103">
        <f>IF(AX103="",0,_xlfn.LET(_xlpm.v,IFERROR(VLOOKUP(B103,УГО_спр,3,FALSE),IFERROR(VLOOKUP(AX103,УГО_спр,3,FALSE),IFERROR(VLOOKUP(LEFT(AX103,2),УГО_спр,3,FALSE),""))),IF(_xlpm.v="да",30,IF(ISNUMBER(_xlpm.v),_xlpm.v,0))))</f>
        <v>0</v>
      </c>
      <c r="CH103" t="str">
        <f t="shared" si="147"/>
        <v/>
      </c>
      <c r="CI103" t="str">
        <f>_xlfn.LET(_xlpm.k,IFERROR(_xlfn.XLOOKUP(AX103,Коды_код,Коды_утечка)&amp;"",""),IF(_xlpm.k="","дифавтомат",_xlpm.k))</f>
        <v>дифавтомат</v>
      </c>
      <c r="CJ103">
        <f t="shared" si="148"/>
        <v>0</v>
      </c>
      <c r="CK103">
        <f t="shared" si="149"/>
        <v>0</v>
      </c>
      <c r="CL103">
        <f>IF(B103="",0,IFERROR(--VLOOKUP(B103,УГО_спр,4,FALSE),IFERROR(--VLOOKUP(AX103,УГО_спр,4,FALSE),IFERROR(--VLOOKUP(LEFT(AX103,2),УГО_спр,4,FALSE),0))))</f>
        <v>0</v>
      </c>
      <c r="CM103" t="str">
        <f>IF(B103="","",IFERROR(_xlfn.XLOOKUP(AX103,Коды_код,Коды_апп)&amp;"",""))</f>
        <v/>
      </c>
      <c r="CN103" t="str">
        <f t="shared" si="150"/>
        <v/>
      </c>
      <c r="CO103" t="str" cm="1">
        <f t="array" ref="CO103">IF(TRIM(CN103&amp;"")="","",IFERROR(TRIM(INDEX(_xlfn.TEXTSPLIT(CN103&amp;";;;",";"),1)),""))</f>
        <v/>
      </c>
      <c r="CP103" t="str" cm="1">
        <f t="array" ref="CP103">IF(TRIM(CN103&amp;"")="","",IFERROR(TRIM(INDEX(_xlfn.TEXTSPLIT(CN103&amp;";;;",";"),2)),""))</f>
        <v/>
      </c>
      <c r="CQ103" t="str" cm="1">
        <f t="array" ref="CQ103">IF(TRIM(CN103&amp;"")="","",IFERROR(TRIM(INDEX(_xlfn.TEXTSPLIT(CN103&amp;";;;",";"),3)),""))</f>
        <v/>
      </c>
      <c r="CR103">
        <f t="shared" si="151"/>
        <v>0</v>
      </c>
      <c r="CS103" t="str">
        <f>IF(B103="","",_xlfn.LET(_xlpm.t,LOWER(AV103&amp;""),IF(ISNUMBER(SEARCH("dim",_xlpm.t)),"DIM",IF(ISNUMBER(SEARCH("dali",_xlpm.t)),"DALI",IF(OR(ISNUMBER(SEARCH("relay",_xlpm.t)),ISNUMBER(SEARCH("реле",_xlpm.t))),"Relay",IF(ISNUMBER(SEARCH("кнопк",_xlpm.t)),"",IFERROR(_xlfn.XLOOKUP(AX103,Коды_код,Коды_упр)&amp;"","")))))))</f>
        <v/>
      </c>
      <c r="CT103" t="str">
        <f t="shared" si="152"/>
        <v/>
      </c>
      <c r="CU103">
        <f>IF(B103="","",_xlfn.LET(_xlpm.ig,N(P103)+IF(AF103="вручную",0,N(CB103)),_xlpm.n0,IFERROR(VLOOKUP(_xlpm.ig,Автомат_номиналы,2,TRUE),0),_xlpm.mn,MAX(CL103,IF(AF103="вручную",0,N(CE103))),MAX(_xlpm.n0,_xlpm.mn,IF(CR103=1,Мин_автомат_БП,0))))</f>
        <v>6</v>
      </c>
      <c r="CV103">
        <f t="shared" si="153"/>
        <v>1</v>
      </c>
      <c r="CW103" t="str">
        <f t="shared" si="154"/>
        <v>1P</v>
      </c>
      <c r="CX103" t="str">
        <f>_xlfn.LET(_xlpm.cc,UPPER(TRIM(IFERROR(_xlfn.XLOOKUP(AX103,Коды_код,Коды_хар)&amp;"",""))),IF(OR(_xlpm.cc="B",_xlpm.cc="В"),"B",IF(_xlpm.cc="D","D","С")))</f>
        <v>С</v>
      </c>
      <c r="CY103" t="str">
        <f t="shared" si="155"/>
        <v>1P С6А</v>
      </c>
      <c r="CZ103">
        <f t="shared" si="156"/>
        <v>10</v>
      </c>
      <c r="DA103" t="str">
        <f t="shared" si="157"/>
        <v>1P С10А</v>
      </c>
      <c r="DB103" cm="1">
        <f t="array" ref="DB103">IF(DA103="","",_xlfn.LET(_xlpm.t,SUBSTITUTE(SUBSTITUTE(SUBSTITUTE(UPPER(DA103),"С","C"),"А","A"),"В","B"),_xlpm.tk,_xlfn.TEXTSPLIT(_xlpm.t,"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3" t="str">
        <f t="shared" si="158"/>
        <v>ok</v>
      </c>
      <c r="DD103">
        <f t="shared" si="159"/>
        <v>10</v>
      </c>
      <c r="DE103" t="str">
        <f t="shared" si="160"/>
        <v>1P С10А</v>
      </c>
      <c r="DF103">
        <f t="shared" si="161"/>
        <v>0</v>
      </c>
      <c r="DG103">
        <f t="shared" si="162"/>
        <v>0</v>
      </c>
      <c r="DH103">
        <f t="shared" si="163"/>
        <v>0</v>
      </c>
      <c r="DI103">
        <f t="shared" si="164"/>
        <v>1.7861773953054043</v>
      </c>
      <c r="DJ103">
        <f t="shared" si="165"/>
        <v>1</v>
      </c>
      <c r="DK103">
        <f>IF(ISNUMBER(AL103),AL103,К_прокл)</f>
        <v>1</v>
      </c>
      <c r="DL103">
        <f t="shared" si="166"/>
        <v>2</v>
      </c>
      <c r="DM103">
        <f>IFERROR(N(VLOOKUP(BT103,Кабель_обозначение,3,FALSE)),1)</f>
        <v>1</v>
      </c>
      <c r="DN103">
        <f>IFERROR(N(_xlfn.XLOOKUP(A103,Щиты[Щит],Щиты[ΔU до шин, %])),0)</f>
        <v>0.24000000000000002</v>
      </c>
      <c r="DO103" t="str">
        <f>IFERROR(_xlfn.XLOOKUP(A103,Щиты[Щит],Щиты[Zпетли на шинах, Ом]),"")</f>
        <v/>
      </c>
      <c r="DP103">
        <f>IFERROR(N(_xlfn.XLOOKUP(A103,Щиты[Щит],Щиты[ΔU до шин (подбор), %])),0)</f>
        <v>0.36</v>
      </c>
      <c r="DQ103" t="str">
        <f>IFERROR(_xlfn.XLOOKUP(A103,Щиты[Щит],Щиты[Zпетли на шинах (подбор), Ом]),"")</f>
        <v/>
      </c>
      <c r="DR103" t="str">
        <f t="shared" si="167"/>
        <v/>
      </c>
      <c r="DS103">
        <f t="shared" si="168"/>
        <v>32</v>
      </c>
      <c r="DT103">
        <f t="shared" si="169"/>
        <v>2</v>
      </c>
      <c r="DU103">
        <f t="shared" si="170"/>
        <v>0.6</v>
      </c>
      <c r="DV103" s="6">
        <f>IF(B103="","",IF(IFERROR(VLOOKUP(AX103,УГО_спр,2,FALSE),"")="Светильник",3,4)+IF(Методика="нормы 2026",MIN(0.5,MAX(0,N(Q103)-100)*0.005),0))</f>
        <v>4</v>
      </c>
      <c r="DW103" cm="1">
        <f t="array" ref="DW103">IF(OR(B103="",BT103="",DM103&lt;&gt;1),"",_xlfn.LET(_xlpm.sz,Iдоп_S,_xlpm.t_,CHOOSE(DL103,Iдоп_1ж,Iдоп_2ж,Iдоп_3ж)*DJ103*DK103,_xlpm.inn,N(DD103),_xlpm.smin,MAX(1.5,BW103),_xlpm.L_,N(Q103)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103)*(_xlpm.rho*_xlpm.L_/_xlpm.sz*N(BY103)+_xlpm.xx*_xlpm.L_*N(DU103)/1000)*N(P103)/((Uн_лин/SQRT(3))*1000)*100,999),_xlpm.kz,IF(OR(DG103=1,NOT(ISNUMBER(DQ103)),_xlpm.L_=0,_xlpm.inn=0),1,IFERROR(--(c_min*(Uн_лин*1000/SQRT(3))/(DQ103+2*ρкз_Cu*_xlpm.L_/_xlpm.sz)&gt;=GY103*_xlpm.inn),0)),_xlpm.ok,IFERROR((_xlpm.sz&gt;=_xlpm.smin)*(_xlpm.t_&gt;=_xlpm.inn)*IF(_xlpm.L_&gt;0,(_xlpm.du_+DP103&lt;=DV103+0.00001),1)*_xlpm.kz,0),_xlpm.r_,_xlfn._xlws.FILTER(_xlpm.sz,_xlpm.ok,"не подобрано"),INDEX(_xlpm.r_,1)))</f>
        <v>1.5</v>
      </c>
      <c r="DX103">
        <f t="shared" si="171"/>
        <v>1.5</v>
      </c>
      <c r="DY103" cm="1">
        <f t="array" ref="DY103">IF(OR(B103="",BT103="",DM103&lt;&gt;1),"",_xlfn.LET(_xlpm.sz,Iдоп_S,_xlpm.t_,CHOOSE(DL103,Iдоп_1ж,Iдоп_2ж,Iдоп_3ж)*DJ103*DK103,_xlpm.ok,IFERROR((_xlpm.sz&gt;=MAX(1.5,BW103))*(_xlpm.t_&gt;=N(DD103)),0),_xlpm.r_,_xlfn._xlws.FILTER(_xlpm.sz,_xlpm.ok,""),INDEX(_xlpm.r_,1)))</f>
        <v>1.5</v>
      </c>
      <c r="DZ103" s="6" cm="1">
        <f t="array" ref="DZ103">IFERROR(ROUNDUP(N(DT103)*(_xlfn.XLOOKUP(DY103,INDEX(Кабель_сопротивление,0,1),INDEX(Кабель_сопротивление,0,3))*N(Q103)/DY103*N(BY103)+_xlfn.XLOOKUP(DY103,INDEX(Кабель_сопротивление,0,1),INDEX(Кабель_сопротивление,0,2))*N(Q103)*N(DU103)/1000)*N(P103)/((Uн_лин/SQRT(3))*1000)*100,2),"")</f>
        <v>0.68</v>
      </c>
      <c r="EA103">
        <f>IFERROR(2*ρкз_Cu*N(Q103)/DY103,"")</f>
        <v>1.2624</v>
      </c>
      <c r="EB103">
        <f>IFERROR(VLOOKUP(DX103,Кабель_сопротивление,3,FALSE),"")</f>
        <v>2.2499999999999999E-2</v>
      </c>
      <c r="EC103">
        <f>IFERROR(VLOOKUP(DX103,Кабель_сопротивление,2,FALSE),"")</f>
        <v>0.11</v>
      </c>
      <c r="ED103">
        <f t="shared" si="172"/>
        <v>16</v>
      </c>
      <c r="EE103">
        <f t="shared" si="173"/>
        <v>0</v>
      </c>
      <c r="EF103">
        <f t="shared" si="174"/>
        <v>1.5517451845263603</v>
      </c>
      <c r="EG103" s="6">
        <f>IFERROR(ROUNDUP(EF103/((Uн_лин/SQRT(3))*1000)*100,2),"")</f>
        <v>0.68</v>
      </c>
      <c r="EH103" t="str">
        <f>IFERROR(VLOOKUP(BT103,Кабель_обозначение,2,FALSE),"")</f>
        <v>ВВГнг(А)-LS</v>
      </c>
      <c r="EI103" t="str">
        <f t="shared" si="175"/>
        <v>ВВГнг(А)-LS (3х1,5)</v>
      </c>
      <c r="EJ103" t="str">
        <f t="shared" si="176"/>
        <v>ВВГнг(А)-LS (3х1,5)
L=36-0,68%</v>
      </c>
      <c r="EK103">
        <f>IFERROR(2*ρкз_Cu*Q103/DX103,"")</f>
        <v>1.2624</v>
      </c>
      <c r="EL103">
        <f t="shared" si="177"/>
        <v>0.4200000000000001</v>
      </c>
      <c r="EM103" s="6" t="str">
        <f>IFERROR(IF(OR(B103="",NOT(ISNUMBER(DX103)),N(Q103)=0),"",_xlfn.XLOOKUP(A103,Щиты[Щит],Щиты[Zпетли на шинах, Ом])+EK103),"")</f>
        <v/>
      </c>
      <c r="EN103" s="6" t="str">
        <f>IF(ISNUMBER(EM103),c_min*(Uн_лин*1000/SQRT(3))/EM103,"")</f>
        <v/>
      </c>
      <c r="EO103" s="6" t="str">
        <f>IFERROR(IF(OR(B103="",NOT(ISNUMBER(DX103))),"",1.05*(Uн_лин*1000/SQRT(3))/(_xlfn.XLOOKUP(A103,Щиты[Щит],Щиты[Zmax на шинах, Ом])+EL103)/1000),"")</f>
        <v/>
      </c>
      <c r="EP103" s="6" t="str">
        <f>IF(B103="","",IF(ISNUMBER(Y103),"Сил",IF(IFERROR(_xlfn.XLOOKUP(AX103,Коды_код,Коды_группа)&amp;"","")="","Быт",_xlfn.XLOOKUP(AX103,Коды_код,Коды_группа)&amp;"")))</f>
        <v>Сил</v>
      </c>
      <c r="EQ103" s="6" t="str">
        <f t="shared" si="178"/>
        <v>Сил</v>
      </c>
      <c r="ER103" s="6">
        <f>IF(EQ103="Щит","щит",IF(EQ103="","",IF(EQ103="Быт",IFERROR(_xlfn.XLOOKUP(A103,Щиты[Щит],Щиты[Кс быт]),1),IF(EQ103="Сил",IF(ISNUMBER(Y103),Y103,IF(Методика="нормы 2026",IFERROR(_xlfn.XLOOKUP(A103,Щиты[Щит],Щиты[Кс силовых (табл. 7.5)]),1),1)),IF(OR(EQ103="Пост",EQ103="Отоп"),1,IF(EQ103="ВНГ",0.7,0))))))</f>
        <v>0.5</v>
      </c>
      <c r="ES103">
        <f t="shared" si="179"/>
        <v>1</v>
      </c>
      <c r="ET103">
        <f t="shared" si="180"/>
        <v>0.33</v>
      </c>
      <c r="EU103">
        <f t="shared" si="181"/>
        <v>0</v>
      </c>
      <c r="EV103">
        <f t="shared" si="182"/>
        <v>0.16500000000000001</v>
      </c>
      <c r="EW103">
        <f t="shared" si="183"/>
        <v>0</v>
      </c>
      <c r="EX103">
        <f t="shared" si="184"/>
        <v>0</v>
      </c>
      <c r="EY103">
        <f t="shared" si="185"/>
        <v>0</v>
      </c>
      <c r="EZ103">
        <f t="shared" si="186"/>
        <v>0.33</v>
      </c>
      <c r="FA103">
        <f t="shared" si="187"/>
        <v>0.26400000000000001</v>
      </c>
      <c r="FB103">
        <f t="shared" si="188"/>
        <v>0.33</v>
      </c>
      <c r="FC103" t="str">
        <f t="shared" si="189"/>
        <v/>
      </c>
      <c r="FD103" t="str">
        <f>IF(B103="","",IF(CA103=0,IF(AW103=1,"",FF102),IF(OR(N(CV103)&gt;=3,N(BR103)&gt;=3),"L1,L2,L3",IFERROR(_xlfn.TEXTBEFORE(_xlfn.TEXTAFTER(_xlfn.XLOOKUP(A103,Щиты[Щит],Щиты[_фазы авто]),";"&amp;AW103&amp;":"),";"),"L1"))))</f>
        <v>L3</v>
      </c>
      <c r="FE103" t="str">
        <f t="shared" si="190"/>
        <v>L3</v>
      </c>
      <c r="FF103" t="str">
        <f t="shared" si="191"/>
        <v>L3</v>
      </c>
      <c r="FG103" cm="1">
        <f t="array" ref="FG103">IFERROR(IF(BX103=2,_xlfn.IFS(BR103=3,VLOOKUP(BN103,Справочная_двигатели,3,FALSE),BR103=1,VLOOKUP(BN103,Справочная_двигатели,5,TRUE)),0),0)</f>
        <v>0</v>
      </c>
      <c r="FH103">
        <f>IFERROR(IF(BX103=3,VLOOKUP(BN103,Справочная_ЛЭД,2,TRUE),0),0)</f>
        <v>0</v>
      </c>
      <c r="FI103" s="6">
        <f t="shared" si="192"/>
        <v>0</v>
      </c>
      <c r="FJ103" t="str" cm="1">
        <f t="array" ref="FJ103">IF(B103="","",IFERROR(INDEX({"I особая","I","II","III"},MATCH(TRIM(AC103&amp;""),{"I особая","I","II","III"},0)),"III"))</f>
        <v>II</v>
      </c>
      <c r="FK103" t="str">
        <f>IF(B103="","",IF(TRIM(AD103&amp;"")&lt;&gt;"",IF(LOWER(TRIM(AD103&amp;""))="да","да","нет"),IF(IFERROR(_xlfn.XLOOKUP(AX103,Коды_код,Коды_пожарная),"")="да","да","нет")))</f>
        <v>нет</v>
      </c>
      <c r="FL103" t="str">
        <f t="shared" si="193"/>
        <v/>
      </c>
      <c r="FM103" t="str">
        <f t="shared" si="194"/>
        <v>основная</v>
      </c>
      <c r="FN103">
        <f t="shared" si="195"/>
        <v>1</v>
      </c>
      <c r="FO103" t="str" cm="1">
        <f t="array" ref="FO103">IF(B103="","",_xlfn.LET(_xlpm.t,IFERROR(_xlfn.XLOOKUP(1,(Шины[Шина]=FM103)*(((Шины[Щит]=A103)+(Шины[Щит]=""))&gt;0),Шины[Тип]),"")&amp;"",IF(_xlpm.t&lt;&gt;"",_xlpm.t,IF(ISNUMBER(SEARCH("ИБП",FM103)),"ИБП",IF(ISNUMBER(SEARCH("ДГУ",FM103)),"ДГУ","Ввод "&amp;FN103)))))</f>
        <v>Ввод 1</v>
      </c>
      <c r="FP103" t="str">
        <f t="shared" si="196"/>
        <v>Ввод 1</v>
      </c>
      <c r="FQ103" t="str">
        <f>IF(B103="","",IF(OR(FO103="ИБП",FO103="ДГУ"),"I особая",IF(FO103="Одиночная","III",_xlfn.XLOOKUP(A103,Щиты[Щит],Щиты[Категория шины «Ввод»],"III"))))</f>
        <v>II</v>
      </c>
      <c r="FR103">
        <f>IF(B103="",0,IFERROR(MATCH(FJ103,{"III","II","I","I особая"},0),1))</f>
        <v>2</v>
      </c>
      <c r="FS103">
        <f t="shared" si="197"/>
        <v>2</v>
      </c>
      <c r="FT103" t="str">
        <f>IF(B103="","",IF(FR103&gt;IFERROR(MATCH(FQ103,{"III","II","I","I особая"},0),1),"НЕ ОБЕСПЕЧЕНА","ОК"))</f>
        <v>ОК</v>
      </c>
      <c r="FU103" t="str">
        <f>IF(A103="","",_xlfn.XLOOKUP(A103,Щиты[Щит],Щиты[Путь],""))</f>
        <v>|ГРЩ-ЖД|ЩОВ-01|</v>
      </c>
      <c r="FV103" t="str">
        <f>IF(B103="","",IF(AE103&lt;&gt;"",AE103,IF(IFERROR(_xlfn.XLOOKUP(AX103,Коды_код,Коды_вид)&amp;"","")="","Прочее",_xlfn.XLOOKUP(AX103,Коды_код,Коды_вид)&amp;"")))</f>
        <v>Вентиляция</v>
      </c>
      <c r="FW103">
        <f>IF(BH103="","",INT((BH103-1)/Столбцов_на_лист)+1)</f>
        <v>2</v>
      </c>
      <c r="FX103" t="str">
        <f t="shared" si="198"/>
        <v>ВВГнг(А)-LS (3х1,5) L=36-0,68%</v>
      </c>
      <c r="FY103">
        <f t="shared" si="199"/>
        <v>0.33</v>
      </c>
      <c r="FZ103">
        <f t="shared" si="200"/>
        <v>1.79</v>
      </c>
      <c r="GA103">
        <f t="shared" si="201"/>
        <v>1</v>
      </c>
      <c r="GB103">
        <f t="shared" si="202"/>
        <v>0</v>
      </c>
      <c r="GC103">
        <f t="shared" si="203"/>
        <v>1</v>
      </c>
      <c r="GD103">
        <f>IF(BH103="","",IF(AND(CA103=1,GC103=1),COUNTIFS(A$3:A103,A103,CA$3:CA103,1,GC$3:GC103,1),IF(OR(OR(AW103=1,A103&lt;&gt;A102),AF103="вручную",GC103=0),"",IF(AW103=1,"",GE102))))</f>
        <v>1</v>
      </c>
      <c r="GE103">
        <f t="shared" si="204"/>
        <v>1</v>
      </c>
      <c r="GF103">
        <f>IF(B103="","",IFERROR(LOOKUP(INDEX(CHOOSE(DL103,Iдоп_1ж,Iдоп_2ж,Iдоп_3ж),MATCH(DX103,Iдоп_S,0))*DJ103*DK103,{6,10,16,20,25,32,40,50,63,80,100,125,160,200,250,315,400,500,630}),""))</f>
        <v>16</v>
      </c>
      <c r="GG103" t="str">
        <f t="shared" si="205"/>
        <v>QF1</v>
      </c>
      <c r="GH103" t="str">
        <f t="shared" si="206"/>
        <v>QF1</v>
      </c>
      <c r="GI103" t="str">
        <f t="shared" si="207"/>
        <v/>
      </c>
      <c r="GJ103">
        <f t="shared" si="208"/>
        <v>0</v>
      </c>
      <c r="GK103" t="str">
        <f>IF(OR(AG103="",AG103="-"),"",IFERROR(VLOOKUP(AG103,Модули_спр,2,FALSE),"R"))</f>
        <v/>
      </c>
      <c r="GL103" t="str">
        <f>IF(GK103="","",GK103&amp;"."&amp;COUNTIFS(A$3:A103,A103,GK$3:GK103,GK103))</f>
        <v/>
      </c>
      <c r="GM103" t="str">
        <f t="shared" si="209"/>
        <v/>
      </c>
      <c r="GN103" t="str">
        <f t="shared" si="210"/>
        <v/>
      </c>
      <c r="GO103" t="str">
        <f t="shared" si="211"/>
        <v/>
      </c>
      <c r="GP103" t="str">
        <f t="shared" si="212"/>
        <v/>
      </c>
      <c r="GQ103">
        <f t="shared" si="213"/>
        <v>1</v>
      </c>
      <c r="GR103" t="str">
        <f>IF(GQ103=1,"XT"&amp;COUNTIFS(A$3:A103,A103,GQ$3:GQ103,1),"")</f>
        <v>XT1</v>
      </c>
      <c r="GS103" t="str">
        <f t="shared" si="214"/>
        <v>XT1</v>
      </c>
      <c r="GT103" t="str">
        <f t="shared" si="215"/>
        <v>QF1</v>
      </c>
      <c r="GU103" t="str">
        <f t="shared" si="216"/>
        <v/>
      </c>
      <c r="GV103" t="str">
        <f t="shared" si="217"/>
        <v>ok</v>
      </c>
      <c r="GW103" t="str">
        <f>IF(OR(GO103="",GM103=""),"",IF(GO103&gt;IFERROR(VLOOKUP(GN103,Модули_спр,3,FALSE),99),"ЛИШНИЙ КАНАЛ",IF(AND(AH103&lt;&gt;"=",COUNTIFS(Линии[_модуль гр.],GM103,Линии[Канал (итог)],GO103,Линии[Канал],"&lt;&gt;=",Линии[Щит],A103)&gt;1),"ДУБЛЬ КАНАЛА","")))</f>
        <v/>
      </c>
      <c r="GX103" s="6" t="str">
        <f t="shared" si="218"/>
        <v/>
      </c>
      <c r="GY103">
        <f t="shared" si="219"/>
        <v>10</v>
      </c>
      <c r="GZ103" t="str">
        <f t="shared" si="220"/>
        <v/>
      </c>
      <c r="HA103" t="str">
        <f>IF(AND(B103="",GT103=""),"",_xlfn.TEXTJOIN("; ",TRUE,IF(AND(B103&lt;&gt;"",FE103=""),"нет фазы",""),IF(AND(B103&lt;&gt;"",N(FY103)=0,EQ103&lt;&gt;"Нет"),"нет мощности",""),IF(AND(GS103&lt;&gt;"",COUNTIFS(Линии[Щит],A103,Линии[Клемма (итог)],GS103)&gt;1),"дубль клеммы "&amp;GS103,""),IF(AND(GV103&lt;&gt;"",GV103&lt;&gt;"ok"),GV103,""),IF(GW103&lt;&gt;"",GW103,""),IF(AND(N(BV103)&gt;=4,N(BR103)=1),BV103&amp;" жил на 1 фазе",""),IF(AND(AX103="R",CA103=1,OR(N(CK103)=0,N(CK103)&gt;30)),"розетка без дифзащиты до 30 мА",""),IFERROR(IF(AND(ISNUMBER(R103),R103&gt;DV103),"потери "&amp;FIXED(R103,1)&amp;" % &gt; "&amp;DV103&amp;" %",""),""),IFERROR(IF(LEFT(GZ103,4)="мало","Iкз мало — отключение &gt; 0,4 с",""),""),IF(AND(B103&lt;&gt;"",BH103=""),"не на схеме",""),IF(AND(CA103=0,B103&lt;&gt;"",FE103&lt;&gt;"",IF(AW103=1,"",FF102)&lt;&gt;"",FE103&lt;&gt;IF(AW103=1,"",FF102)),"фаза не как у автомата группы ("&amp;IF(AW103=1,"",FF102)&amp;")","")))</f>
        <v/>
      </c>
      <c r="HB103" s="6">
        <f>IF(OR(CA103=0,DA103=""),"",_xlfn.LET(_xlpm.t,IFERROR(_xlfn.XLOOKUP(DA103,Каталог!$U$4:$U$500,Каталог!$G$4:$G$500),""),_xlpm.k,SEARCH("кА",_xlpm.t),IFERROR(--TRIM(RIGHT(SUBSTITUTE(MID(_xlpm.t,MAX(1,_xlpm.k-4),_xlpm.k-MAX(1,_xlpm.k-4))," ",REPT(" ",9)),5)),"")))</f>
        <v>6</v>
      </c>
      <c r="HC103" t="str">
        <f>IF(OR(HB103="",CA103=0),"",IF(_xlfn.XLOOKUP(A103,Щиты[Щит],Щиты[Iкз max на шинах, кА],"")="","",IF(HB103&lt;_xlfn.XLOOKUP(A103,Щиты[Щит],Щиты[Iкз max на шинах, кА]),"Icu "&amp;HB103&amp;" кА &lt; Iкз max","ok")))</f>
        <v/>
      </c>
      <c r="HD103" t="str">
        <f t="shared" si="221"/>
        <v/>
      </c>
      <c r="HE103" t="str">
        <f t="shared" si="222"/>
        <v>QF1|XT1</v>
      </c>
      <c r="HF103" t="str">
        <f t="shared" si="223"/>
        <v>QF1|XT1|кабель ВВГнг(А)-LS (3х1,5) → Приточная установка Цокольный этаж Пом №001Тб</v>
      </c>
      <c r="HG103" t="str" cm="1">
        <f t="array" ref="HG103">IF(HF103="","",_xlfn.LET(_xlpm.nd,_xlfn.TEXTSPLIT(HF103,"|"),IF(COLUMNS(_xlpm.nd)&gt;1,A103&amp;"¦"&amp;INDEX(_xlpm.nd,1)&amp;"¦"&amp;INDEX(_xlpm.nd,2),"")))</f>
        <v>ЩОВ-01¦QF1¦XT1</v>
      </c>
      <c r="HH103" t="str">
        <f t="shared" si="224"/>
        <v>П.6¦Приточная установка Цокольный этаж Пом №001Тб</v>
      </c>
      <c r="HI103" t="str" cm="1">
        <f t="array" ref="HI103">IF(HF103="","",_xlfn.LET(_xlpm.nd,_xlfn.TEXTSPLIT(HF103,"|"),IF(COLUMNS(_xlpm.nd)&gt;2,A103&amp;"¦"&amp;INDEX(_xlpm.nd,2)&amp;"¦"&amp;INDEX(_xlpm.nd,3),"")))</f>
        <v>ЩОВ-01¦XT1¦кабель ВВГнг(А)-LS (3х1,5) → Приточная установка Цокольный этаж Пом №001Тб</v>
      </c>
      <c r="HJ103" t="str">
        <f t="shared" si="225"/>
        <v>П.6¦Приточная установка Цокольный этаж Пом №001Тб</v>
      </c>
      <c r="HK103" t="str" cm="1">
        <f t="array" ref="HK103">IF(HF103="","",_xlfn.LET(_xlpm.nd,_xlfn.TEXTSPLIT(HF103,"|"),IF(COLUMNS(_xlpm.nd)&gt;3,A103&amp;"¦"&amp;INDEX(_xlpm.nd,3)&amp;"¦"&amp;INDEX(_xlpm.nd,4),"")))</f>
        <v/>
      </c>
      <c r="HL103" t="str">
        <f t="shared" si="226"/>
        <v/>
      </c>
      <c r="HM103" t="str" cm="1">
        <f t="array" ref="HM103">IF(HF103="","",_xlfn.LET(_xlpm.nd,_xlfn.TEXTSPLIT(HF103,"|"),IF(COLUMNS(_xlpm.nd)&gt;4,A103&amp;"¦"&amp;INDEX(_xlpm.nd,4)&amp;"¦"&amp;INDEX(_xlpm.nd,5),"")))</f>
        <v/>
      </c>
      <c r="HN103" t="str">
        <f t="shared" si="227"/>
        <v/>
      </c>
      <c r="HO103" t="str" cm="1">
        <f t="array" ref="HO103">IF(HF103="","",_xlfn.LET(_xlpm.nd,_xlfn.TEXTSPLIT(HF103,"|"),IF(COLUMNS(_xlpm.nd)&gt;5,A103&amp;"¦"&amp;INDEX(_xlpm.nd,5)&amp;"¦"&amp;INDEX(_xlpm.nd,6),"")))</f>
        <v/>
      </c>
      <c r="HP103" t="str">
        <f t="shared" si="228"/>
        <v/>
      </c>
      <c r="HQ103" t="str" cm="1">
        <f t="array" ref="HQ103">IF(HF103="","",_xlfn.LET(_xlpm.nd,_xlfn.TEXTSPLIT(HF103,"|"),IF(COLUMNS(_xlpm.nd)&gt;6,A103&amp;"¦"&amp;INDEX(_xlpm.nd,6)&amp;"¦"&amp;INDEX(_xlpm.nd,7),"")))</f>
        <v/>
      </c>
      <c r="HR103" t="str">
        <f t="shared" si="229"/>
        <v/>
      </c>
      <c r="HS103" t="str">
        <f t="shared" si="230"/>
        <v/>
      </c>
      <c r="HT103" t="str">
        <f t="shared" si="231"/>
        <v>QF1 → XT1</v>
      </c>
      <c r="HU103">
        <f t="shared" si="232"/>
        <v>0</v>
      </c>
      <c r="HV103">
        <f t="shared" si="233"/>
        <v>0</v>
      </c>
      <c r="HW103" t="str">
        <f t="shared" si="234"/>
        <v/>
      </c>
      <c r="HX103" t="str">
        <f t="shared" si="235"/>
        <v/>
      </c>
      <c r="HY103" t="str">
        <f t="shared" si="236"/>
        <v/>
      </c>
      <c r="HZ103" t="str">
        <f t="shared" si="237"/>
        <v/>
      </c>
      <c r="IA103" t="str">
        <f>IF(B103="","",IFERROR(VLOOKUP(B103,УГО_спр,2,FALSE),IFERROR(VLOOKUP(AX103,УГО_спр,2,FALSE),IFERROR(VLOOKUP(LEFT(AX103,2),УГО_спр,2,FALSE),""))))</f>
        <v>Привод (двигатель)</v>
      </c>
      <c r="IB103" t="str">
        <f>IF(B103="","",IF(OR(IA103="",IA103=0),"BOX",IFERROR(IF(VLOOKUP(IA103,УГО_блоки,3,FALSE)&amp;""&lt;&gt;"",VLOOKUP(IA103,УГО_блоки,3,FALSE),VLOOKUP(IA103,УГО_блоки,2,FALSE)),IA103)))</f>
        <v>MOTOR</v>
      </c>
      <c r="IC103">
        <f t="shared" si="238"/>
        <v>1</v>
      </c>
      <c r="ID103" t="str">
        <f>IF(DA103="","",IF(COUNTIF(DA$3:DA103,DA103)=1,MAX(ID$2:ID102)+1,""))</f>
        <v/>
      </c>
      <c r="IE103" t="str">
        <f>IF(CO103="","",IF(COUNTIF(CO$3:CO103,CO103)+COUNTIF(CP$2:CP102,CO103)+COUNTIF(CQ$2:CQ102,CO103)=1,MAX(IE$2:IG102)+1,""))</f>
        <v/>
      </c>
      <c r="IF103" t="str">
        <f>IF(CP103="","",IF(COUNTIF(CO$3:CO103,CP103)+COUNTIF(CP$3:CP103,CP103)+COUNTIF(CQ$2:CQ102,CP103)=1,MAX(IE$2:IG102,IE103)+1,""))</f>
        <v/>
      </c>
      <c r="IG103" t="str">
        <f>IF(CQ103="","",IF(COUNTIF(CO$3:CO103,CQ103)+COUNTIF(CP$3:CP103,CQ103)+COUNTIF(CQ$3:CQ103,CQ103)=1,MAX(IE$2:IG102,IE103,IF103)+1,""))</f>
        <v/>
      </c>
      <c r="IH103" t="str">
        <f t="shared" si="239"/>
        <v>3х1,5</v>
      </c>
      <c r="II103" t="str">
        <f>IF(IH103="","",IF(COUNTIF(IH$3:IH103,IH103)=1,MAX(II$2:II102)+1,""))</f>
        <v/>
      </c>
      <c r="IJ103" t="str">
        <f>IF(GL103="","",COUNTIF(GL$3:GL103,"?*"))</f>
        <v/>
      </c>
      <c r="IK103" t="str">
        <f>IF(OR(GL103="",GN103=""),"",IF(COUNTIFS(GL$3:GL103,"?*",GN$3:GN103,GN103)=1,MAX(IK$2:IK102)+1,""))</f>
        <v/>
      </c>
      <c r="IL103">
        <f t="shared" si="240"/>
        <v>0</v>
      </c>
      <c r="IM103">
        <f>IF(B103="","",COUNTIF(B$3:B103,"?*"))</f>
        <v>101</v>
      </c>
      <c r="IN103">
        <f>IF(GQ103&lt;&gt;1,0,_xlfn.LET(_xlpm.k,MAX(IFERROR(--VLOOKUP(B103,УГО_спр,5,FALSE),0),IFERROR(--VLOOKUP(AX103,УГО_спр,5,FALSE),0),IFERROR(--VLOOKUP(LEFT(AX103,2),УГО_спр,5,FALSE),0)),IF(_xlpm.k&gt;0,_xlpm.k,IF(IFERROR(--LEFT(SUBSTITUTE(IH103,"x","х"),FIND("х",SUBSTITUTE(IH103,"x","х"))-1),3)&gt;3,Каталог!$S$9,1))))</f>
        <v>1</v>
      </c>
      <c r="IO103">
        <f t="shared" si="241"/>
        <v>0</v>
      </c>
      <c r="IP103" t="str">
        <f t="shared" si="242"/>
        <v>авто</v>
      </c>
      <c r="IQ103" t="str">
        <f t="shared" si="243"/>
        <v/>
      </c>
      <c r="IR103">
        <f t="shared" si="244"/>
        <v>0</v>
      </c>
      <c r="IS103">
        <f t="shared" si="245"/>
        <v>1</v>
      </c>
    </row>
    <row r="104" spans="1:253" x14ac:dyDescent="0.3">
      <c r="A104" t="s">
        <v>747</v>
      </c>
      <c r="B104" t="s">
        <v>1374</v>
      </c>
      <c r="C104" t="s">
        <v>1628</v>
      </c>
      <c r="D104">
        <v>1</v>
      </c>
      <c r="E104">
        <v>7</v>
      </c>
      <c r="G104">
        <v>16</v>
      </c>
      <c r="H104" t="str">
        <f>Линии[[#This Row],[_авто утечка]]</f>
        <v/>
      </c>
      <c r="I104" t="str">
        <f>Линии[[#This Row],[_авто управление]]</f>
        <v/>
      </c>
      <c r="J104" t="str">
        <f>Линии[[#This Row],[_авто аппараты]]</f>
        <v/>
      </c>
      <c r="K104">
        <v>2.5</v>
      </c>
      <c r="L104">
        <v>38</v>
      </c>
      <c r="M104" t="str">
        <f>Линии[[#This Row],[_авто фаза]]</f>
        <v>L1,L2,L3</v>
      </c>
      <c r="N104" t="str">
        <f>Линии[[#This Row],[_авто клемма]]</f>
        <v>XT2</v>
      </c>
      <c r="O104" t="str">
        <f t="shared" si="123"/>
        <v/>
      </c>
      <c r="P104" s="6" cm="1">
        <f t="array" ref="P104">IF(B104="","",IF(BC104&lt;&gt;"",IFERROR(_xlfn.XLOOKUP(BC104,Щиты[Щит],Щиты[Iр, А]),""),IF(BK104=1,IFERROR(_xlfn.XLOOKUP(A104,Щиты[Щит],Щиты[Iр, А]),""),IFERROR(_xlfn.IFS(BR104=1,BN104/((Uн_лин/SQRT(3))*BY104),BR104=3,BN104/(SQRT(3)*Uн_лин*BY104)),""))))</f>
        <v>12.629537138523064</v>
      </c>
      <c r="Q104" s="7">
        <f>IF(B104="","",IFERROR(IF(VLOOKUP(AX104,Потребители_обозначение,4,FALSE)=1,VLOOKUP(AX104,Потребители_обозначение,3,FALSE)*(D104*2-1)+DS104+VLOOKUP(AZ104,Этаж_обозначение,3,FALSE)+VLOOKUP(AZ104,Этаж_обозначение,4,FALSE),VLOOKUP(AX104,Потребители_обозначение,3,FALSE)*(D104*2-1)+DS104),DS104))</f>
        <v>42</v>
      </c>
      <c r="R104" s="6">
        <f t="shared" si="124"/>
        <v>1.91</v>
      </c>
      <c r="S104" t="str">
        <f t="shared" si="125"/>
        <v>ВВГнг(А)-LS (5х2,5)</v>
      </c>
      <c r="T104" t="str">
        <f>IF(BH104="","",IF(BI104="вводной узел","узел ","")&amp;"л."&amp;(INT((BH104-1)/Столбцов_на_лист)+1)&amp;" / "&amp;(MOD(BH104-1,Столбцов_на_лист)+1))</f>
        <v>л.2 / 2</v>
      </c>
      <c r="V104">
        <v>3</v>
      </c>
      <c r="W104">
        <v>400</v>
      </c>
      <c r="X104" t="s">
        <v>600</v>
      </c>
      <c r="Y104">
        <v>0.5</v>
      </c>
      <c r="AC104" t="s">
        <v>815</v>
      </c>
      <c r="AE104" t="s">
        <v>582</v>
      </c>
      <c r="AI104">
        <v>19</v>
      </c>
      <c r="AJ104" t="s">
        <v>11</v>
      </c>
      <c r="AK104">
        <v>5</v>
      </c>
      <c r="AM104">
        <v>20</v>
      </c>
      <c r="AN104">
        <v>22</v>
      </c>
      <c r="AP104">
        <v>1</v>
      </c>
      <c r="AW104" cm="1">
        <f t="array" ref="AW104">ROW()-ROW(Линии[#Headers])</f>
        <v>102</v>
      </c>
      <c r="AX104" s="6" t="str">
        <f t="shared" si="126"/>
        <v>ПВ</v>
      </c>
      <c r="AY104" t="str">
        <f t="shared" si="127"/>
        <v>6</v>
      </c>
      <c r="AZ104" t="str">
        <f t="shared" si="128"/>
        <v>6</v>
      </c>
      <c r="BA104" t="str">
        <f t="shared" si="129"/>
        <v/>
      </c>
      <c r="BB104" t="str">
        <f t="shared" si="130"/>
        <v/>
      </c>
      <c r="BC104" t="str">
        <f>IF(U104&lt;&gt;"",U104,IF(AND(B104&lt;&gt;"",B104&lt;&gt;A104,ISNUMBER(_xlfn.XMATCH(B104,Щиты[Щит]))),B104,""))</f>
        <v/>
      </c>
      <c r="BD104" t="str" cm="1">
        <f t="array" ref="BD104">IF(B104="","",IF(BC104&lt;&gt;"","Щит "&amp;BC104,_xlfn.LET(_xlpm.nm,IFERROR(_xlfn.XLOOKUP(AX104,Коды_код,Коды_имя)&amp;"",""),_xlpm.md,IFERROR(N(_xlfn.XLOOKUP(AX104,Коды_код,Коды_режим)),1),_xlpm.ex,IF(Имя_режим="по экспликации",IFERROR(_xlfn.XLOOKUP(AZ104&amp;"|"&amp;BB104,Экспликация[Этаж]&amp;"|"&amp;Экспликация[Помещение],Экспликация[Название])&amp;"",""),""),_xlpm.rm,IF(BB104="","",IF(_xlpm.ex&lt;&gt;"",". "&amp;_xlpm.ex&amp;IF(Имя_пом="нет"," ("&amp;BB104&amp;")"," (пом. "&amp;BB104&amp;")"),IF(Имя_пом="нет"," ",", пом. ")&amp;BB104)),IF(_xlpm.nm="","",IF(_xlpm.md=2,_xlpm.nm&amp;" шлейф "&amp;AZ104,_xlpm.nm&amp;_xlpm.rm)))))</f>
        <v>Приточно-вытяжная установка шлейф 6</v>
      </c>
      <c r="BE104" t="str">
        <f t="shared" si="131"/>
        <v>Приточно-вытяжная установка цокольный этаж Пом №001Тб</v>
      </c>
      <c r="BF104">
        <f>IFERROR(_xlfn.XMATCH(A104,Щиты[Щит]),0)</f>
        <v>6</v>
      </c>
      <c r="BG104">
        <f>_xlfn.LET(_xlpm.k,IFERROR(_xlfn.XLOOKUP(A104,Щиты[Щит],Щиты[Листов под вводной узел]),""),IF(_xlpm.k="",1,N(_xlpm.k))*Столбцов_на_лист)</f>
        <v>17</v>
      </c>
      <c r="BH104">
        <f t="shared" si="132"/>
        <v>19</v>
      </c>
      <c r="BI104" t="str">
        <f t="shared" si="133"/>
        <v>линии</v>
      </c>
      <c r="BJ104" s="6">
        <f>IFERROR(N(_xlfn.XLOOKUP(AX104,Коды_код,Коды_квт)),0)</f>
        <v>0</v>
      </c>
      <c r="BK104">
        <f t="shared" si="134"/>
        <v>0</v>
      </c>
      <c r="BL104" t="str">
        <f>IF(B104="","",IF(BC104&lt;&gt;"",IFERROR(_xlfn.XLOOKUP(BC104,Щиты[Щит],Щиты[Руст, кВт]),0),IF(BK104=1,IFERROR(_xlfn.XLOOKUP(A104,Щиты[Щит],Щиты[Руст, кВт]),0),IF(BJ104&gt;0,ROUND(BJ104*MAX(1,N(D104)),3),""))))</f>
        <v/>
      </c>
      <c r="BM104">
        <f t="shared" si="135"/>
        <v>7</v>
      </c>
      <c r="BN104" s="6">
        <f>IF(B104="","",IF(BC104&lt;&gt;"",IFERROR(_xlfn.XLOOKUP(BC104,Щиты[Щит],Щиты[Руст, кВт]),0),N(BM104)))</f>
        <v>7</v>
      </c>
      <c r="BO104" t="str">
        <f>IF(B104="","",IFERROR(IF(VLOOKUP(AX104,Потребители_обозначение,8,FALSE)=0,"",VLOOKUP(AX104,Потребители_обозначение,8,FALSE)),""))</f>
        <v/>
      </c>
      <c r="BP104">
        <f t="shared" si="136"/>
        <v>400</v>
      </c>
      <c r="BQ104">
        <f>IF(B104="","",IF(BC104&lt;&gt;"",3,IFERROR(IF(N(VLOOKUP(AX104,Потребители_обозначение,9,FALSE))=0,1,VLOOKUP(AX104,Потребители_обозначение,9,FALSE)),1)))</f>
        <v>1</v>
      </c>
      <c r="BR104">
        <f t="shared" si="137"/>
        <v>3</v>
      </c>
      <c r="BS104" t="str">
        <f>IF(B104="","",_xlfn.LET(_xlpm.bc,IFERROR(IF(VLOOKUP(AX104,Потребители_обозначение,6,FALSE)=0,"",VLOOKUP(AX104,Потребители_обозначение,6,FALSE)&amp;""),""),IF(AND(FK104="да",OR(_xlpm.bc="",_xlpm.bc="мс")),Марка_пож,IF(AND(_xlpm.bc="",BC104&lt;&gt;""),"мс",_xlpm.bc))))</f>
        <v/>
      </c>
      <c r="BT104" t="str">
        <f t="shared" si="138"/>
        <v>мс</v>
      </c>
      <c r="BU104">
        <f>IF(B104="","",_xlfn.LET(_xlpm.cc,IFERROR(N(VLOOKUP(AX104,Потребители_обозначение,7,FALSE)),0),IF(_xlpm.cc&gt;0,_xlpm.cc,IF(BT104="","",IF(N(BR104)=3,5,3)))))</f>
        <v>5</v>
      </c>
      <c r="BV104">
        <f t="shared" si="139"/>
        <v>5</v>
      </c>
      <c r="BW104">
        <f>IFERROR(N(VLOOKUP(AX104,Потребители_обозначение,10,FALSE)),0)</f>
        <v>0</v>
      </c>
      <c r="BX104">
        <f>IFERROR(VLOOKUP(AX104,Потребители_обозначение,5,FALSE),0)</f>
        <v>1</v>
      </c>
      <c r="BY104" s="6" cm="1">
        <f t="array" ref="BY104">IF(B104="","",IF(BC104&lt;&gt;"",IFERROR(_xlfn.XLOOKUP(BC104,Щиты[Щит],Щиты[cos φ]),0.95),IF(BK104=1,IFERROR(_xlfn.XLOOKUP(A104,Щиты[Щит],Щиты[cos φ]),0.95),IF(ISNUMBER(Z104),Z104,IFERROR(IF(BX104=2,_xlfn.IFS(BR104=3,VLOOKUP(BN104,Справочная_двигатели,8,FALSE),BR104=1,VLOOKUP(BN104,Справочная_двигатели,10,TRUE)),IF(AND(Методика="нормы 2026",EQ104="Сил"),0.8,0.95)),0.95)))))</f>
        <v>0.8</v>
      </c>
      <c r="BZ104">
        <f t="shared" si="140"/>
        <v>0</v>
      </c>
      <c r="CA104">
        <f t="shared" si="141"/>
        <v>1</v>
      </c>
      <c r="CB104">
        <f t="shared" si="142"/>
        <v>0</v>
      </c>
      <c r="CC104">
        <f t="shared" si="143"/>
        <v>0</v>
      </c>
      <c r="CD104">
        <f t="shared" si="144"/>
        <v>0</v>
      </c>
      <c r="CE104">
        <f t="shared" si="145"/>
        <v>0</v>
      </c>
      <c r="CF104">
        <f t="shared" si="146"/>
        <v>0</v>
      </c>
      <c r="CG104">
        <f>IF(AX104="",0,_xlfn.LET(_xlpm.v,IFERROR(VLOOKUP(B104,УГО_спр,3,FALSE),IFERROR(VLOOKUP(AX104,УГО_спр,3,FALSE),IFERROR(VLOOKUP(LEFT(AX104,2),УГО_спр,3,FALSE),""))),IF(_xlpm.v="да",30,IF(ISNUMBER(_xlpm.v),_xlpm.v,0))))</f>
        <v>0</v>
      </c>
      <c r="CH104" t="str">
        <f t="shared" si="147"/>
        <v/>
      </c>
      <c r="CI104" t="str">
        <f>_xlfn.LET(_xlpm.k,IFERROR(_xlfn.XLOOKUP(AX104,Коды_код,Коды_утечка)&amp;"",""),IF(_xlpm.k="","дифавтомат",_xlpm.k))</f>
        <v>дифавтомат</v>
      </c>
      <c r="CJ104">
        <f t="shared" si="148"/>
        <v>0</v>
      </c>
      <c r="CK104">
        <f t="shared" si="149"/>
        <v>0</v>
      </c>
      <c r="CL104">
        <f>IF(B104="",0,IFERROR(--VLOOKUP(B104,УГО_спр,4,FALSE),IFERROR(--VLOOKUP(AX104,УГО_спр,4,FALSE),IFERROR(--VLOOKUP(LEFT(AX104,2),УГО_спр,4,FALSE),0))))</f>
        <v>0</v>
      </c>
      <c r="CM104" t="str">
        <f>IF(B104="","",IFERROR(_xlfn.XLOOKUP(AX104,Коды_код,Коды_апп)&amp;"",""))</f>
        <v/>
      </c>
      <c r="CN104" t="str">
        <f t="shared" si="150"/>
        <v/>
      </c>
      <c r="CO104" t="str" cm="1">
        <f t="array" ref="CO104">IF(TRIM(CN104&amp;"")="","",IFERROR(TRIM(INDEX(_xlfn.TEXTSPLIT(CN104&amp;";;;",";"),1)),""))</f>
        <v/>
      </c>
      <c r="CP104" t="str" cm="1">
        <f t="array" ref="CP104">IF(TRIM(CN104&amp;"")="","",IFERROR(TRIM(INDEX(_xlfn.TEXTSPLIT(CN104&amp;";;;",";"),2)),""))</f>
        <v/>
      </c>
      <c r="CQ104" t="str" cm="1">
        <f t="array" ref="CQ104">IF(TRIM(CN104&amp;"")="","",IFERROR(TRIM(INDEX(_xlfn.TEXTSPLIT(CN104&amp;";;;",";"),3)),""))</f>
        <v/>
      </c>
      <c r="CR104">
        <f t="shared" si="151"/>
        <v>0</v>
      </c>
      <c r="CS104" t="str">
        <f>IF(B104="","",_xlfn.LET(_xlpm.t,LOWER(AV104&amp;""),IF(ISNUMBER(SEARCH("dim",_xlpm.t)),"DIM",IF(ISNUMBER(SEARCH("dali",_xlpm.t)),"DALI",IF(OR(ISNUMBER(SEARCH("relay",_xlpm.t)),ISNUMBER(SEARCH("реле",_xlpm.t))),"Relay",IF(ISNUMBER(SEARCH("кнопк",_xlpm.t)),"",IFERROR(_xlfn.XLOOKUP(AX104,Коды_код,Коды_упр)&amp;"","")))))))</f>
        <v/>
      </c>
      <c r="CT104" t="str">
        <f t="shared" si="152"/>
        <v/>
      </c>
      <c r="CU104">
        <f>IF(B104="","",_xlfn.LET(_xlpm.ig,N(P104)+IF(AF104="вручную",0,N(CB104)),_xlpm.n0,IFERROR(VLOOKUP(_xlpm.ig,Автомат_номиналы,2,TRUE),0),_xlpm.mn,MAX(CL104,IF(AF104="вручную",0,N(CE104))),MAX(_xlpm.n0,_xlpm.mn,IF(CR104=1,Мин_автомат_БП,0))))</f>
        <v>16</v>
      </c>
      <c r="CV104">
        <f t="shared" si="153"/>
        <v>3</v>
      </c>
      <c r="CW104" t="str">
        <f t="shared" si="154"/>
        <v>3P</v>
      </c>
      <c r="CX104" t="str">
        <f>_xlfn.LET(_xlpm.cc,UPPER(TRIM(IFERROR(_xlfn.XLOOKUP(AX104,Коды_код,Коды_хар)&amp;"",""))),IF(OR(_xlpm.cc="B",_xlpm.cc="В"),"B",IF(_xlpm.cc="D","D","С")))</f>
        <v>С</v>
      </c>
      <c r="CY104" t="str">
        <f t="shared" si="155"/>
        <v>3P С16А</v>
      </c>
      <c r="CZ104">
        <f t="shared" si="156"/>
        <v>16</v>
      </c>
      <c r="DA104" t="str">
        <f t="shared" si="157"/>
        <v>3P С16А</v>
      </c>
      <c r="DB104" cm="1">
        <f t="array" ref="DB104">IF(DA104="","",_xlfn.LET(_xlpm.t,SUBSTITUTE(SUBSTITUTE(SUBSTITUTE(UPPER(DA104),"С","C"),"А","A"),"В","B"),_xlpm.tk,_xlfn.TEXTSPLIT(_xlpm.t,"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04" t="str">
        <f t="shared" si="158"/>
        <v>ok</v>
      </c>
      <c r="DD104">
        <f t="shared" si="159"/>
        <v>16</v>
      </c>
      <c r="DE104" t="str">
        <f t="shared" si="160"/>
        <v>3P С16А</v>
      </c>
      <c r="DF104">
        <f t="shared" si="161"/>
        <v>0</v>
      </c>
      <c r="DG104">
        <f t="shared" si="162"/>
        <v>0</v>
      </c>
      <c r="DH104">
        <f t="shared" si="163"/>
        <v>0</v>
      </c>
      <c r="DI104">
        <f t="shared" si="164"/>
        <v>12.629537138523064</v>
      </c>
      <c r="DJ104">
        <f t="shared" si="165"/>
        <v>0.92</v>
      </c>
      <c r="DK104">
        <f>IF(ISNUMBER(AL104),AL104,К_прокл)</f>
        <v>1</v>
      </c>
      <c r="DL104">
        <f t="shared" si="166"/>
        <v>3</v>
      </c>
      <c r="DM104">
        <f>IFERROR(N(VLOOKUP(BT104,Кабель_обозначение,3,FALSE)),1)</f>
        <v>1</v>
      </c>
      <c r="DN104">
        <f>IFERROR(N(_xlfn.XLOOKUP(A104,Щиты[Щит],Щиты[ΔU до шин, %])),0)</f>
        <v>0.24000000000000002</v>
      </c>
      <c r="DO104" t="str">
        <f>IFERROR(_xlfn.XLOOKUP(A104,Щиты[Щит],Щиты[Zпетли на шинах, Ом]),"")</f>
        <v/>
      </c>
      <c r="DP104">
        <f>IFERROR(N(_xlfn.XLOOKUP(A104,Щиты[Щит],Щиты[ΔU до шин (подбор), %])),0)</f>
        <v>0.36</v>
      </c>
      <c r="DQ104" t="str">
        <f>IFERROR(_xlfn.XLOOKUP(A104,Щиты[Щит],Щиты[Zпетли на шинах (подбор), Ом]),"")</f>
        <v/>
      </c>
      <c r="DR104" t="str">
        <f t="shared" si="167"/>
        <v/>
      </c>
      <c r="DS104">
        <f t="shared" si="168"/>
        <v>38</v>
      </c>
      <c r="DT104">
        <f t="shared" si="169"/>
        <v>1</v>
      </c>
      <c r="DU104">
        <f t="shared" si="170"/>
        <v>0.6</v>
      </c>
      <c r="DV104" s="6">
        <f>IF(B104="","",IF(IFERROR(VLOOKUP(AX104,УГО_спр,2,FALSE),"")="Светильник",3,4)+IF(Методика="нормы 2026",MIN(0.5,MAX(0,N(Q104)-100)*0.005),0))</f>
        <v>4</v>
      </c>
      <c r="DW104" cm="1">
        <f t="array" ref="DW104">IF(OR(B104="",BT104="",DM104&lt;&gt;1),"",_xlfn.LET(_xlpm.sz,Iдоп_S,_xlpm.t_,CHOOSE(DL104,Iдоп_1ж,Iдоп_2ж,Iдоп_3ж)*DJ104*DK104,_xlpm.inn,N(DD104),_xlpm.smin,MAX(1.5,BW104),_xlpm.L_,N(Q104)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104)*(_xlpm.rho*_xlpm.L_/_xlpm.sz*N(BY104)+_xlpm.xx*_xlpm.L_*N(DU104)/1000)*N(P104)/((Uн_лин/SQRT(3))*1000)*100,999),_xlpm.kz,IF(OR(DG104=1,NOT(ISNUMBER(DQ104)),_xlpm.L_=0,_xlpm.inn=0),1,IFERROR(--(c_min*(Uн_лин*1000/SQRT(3))/(DQ104+2*ρкз_Cu*_xlpm.L_/_xlpm.sz)&gt;=GY104*_xlpm.inn),0)),_xlpm.ok,IFERROR((_xlpm.sz&gt;=_xlpm.smin)*(_xlpm.t_&gt;=_xlpm.inn)*IF(_xlpm.L_&gt;0,(_xlpm.du_+DP104&lt;=DV104+0.00001),1)*_xlpm.kz,0),_xlpm.r_,_xlfn._xlws.FILTER(_xlpm.sz,_xlpm.ok,"не подобрано"),INDEX(_xlpm.r_,1)))</f>
        <v>1.5</v>
      </c>
      <c r="DX104">
        <f t="shared" si="171"/>
        <v>2.5</v>
      </c>
      <c r="DY104" cm="1">
        <f t="array" ref="DY104">IF(OR(B104="",BT104="",DM104&lt;&gt;1),"",_xlfn.LET(_xlpm.sz,Iдоп_S,_xlpm.t_,CHOOSE(DL104,Iдоп_1ж,Iдоп_2ж,Iдоп_3ж)*DJ104*DK104,_xlpm.ok,IFERROR((_xlpm.sz&gt;=MAX(1.5,BW104))*(_xlpm.t_&gt;=N(DD104)),0),_xlpm.r_,_xlfn._xlws.FILTER(_xlpm.sz,_xlpm.ok,""),INDEX(_xlpm.r_,1)))</f>
        <v>1.5</v>
      </c>
      <c r="DZ104" s="6" cm="1">
        <f t="array" ref="DZ104">IFERROR(ROUNDUP(N(DT104)*(_xlfn.XLOOKUP(DY104,INDEX(Кабель_сопротивление,0,1),INDEX(Кабель_сопротивление,0,3))*N(Q104)/DY104*N(BY104)+_xlfn.XLOOKUP(DY104,INDEX(Кабель_сопротивление,0,1),INDEX(Кабель_сопротивление,0,2))*N(Q104)*N(DU104)/1000)*N(P104)/((Uн_лин/SQRT(3))*1000)*100,2),"")</f>
        <v>2.78</v>
      </c>
      <c r="EA104">
        <f>IFERROR(2*ρкз_Cu*N(Q104)/DY104,"")</f>
        <v>1.4728000000000001</v>
      </c>
      <c r="EB104">
        <f>IFERROR(VLOOKUP(DX104,Кабель_сопротивление,3,FALSE),"")</f>
        <v>2.2499999999999999E-2</v>
      </c>
      <c r="EC104">
        <f>IFERROR(VLOOKUP(DX104,Кабель_сопротивление,2,FALSE),"")</f>
        <v>0.1</v>
      </c>
      <c r="ED104">
        <f t="shared" si="172"/>
        <v>22</v>
      </c>
      <c r="EE104">
        <f t="shared" si="173"/>
        <v>0</v>
      </c>
      <c r="EF104">
        <f t="shared" si="174"/>
        <v>3.8509984642784532</v>
      </c>
      <c r="EG104" s="6">
        <f>IFERROR(ROUNDUP(EF104/((Uн_лин/SQRT(3))*1000)*100,2),"")</f>
        <v>1.67</v>
      </c>
      <c r="EH104" t="str">
        <f>IFERROR(VLOOKUP(BT104,Кабель_обозначение,2,FALSE),"")</f>
        <v>ВВГнг(А)-LS</v>
      </c>
      <c r="EI104" t="str">
        <f t="shared" si="175"/>
        <v>ВВГнг(А)-LS (5х2,5)</v>
      </c>
      <c r="EJ104" t="str">
        <f t="shared" si="176"/>
        <v>ВВГнг(А)-LS (5х2,5)
L=42-1,67%</v>
      </c>
      <c r="EK104">
        <f>IFERROR(2*ρкз_Cu*Q104/DX104,"")</f>
        <v>0.88368000000000002</v>
      </c>
      <c r="EL104">
        <f t="shared" si="177"/>
        <v>0.29400000000000004</v>
      </c>
      <c r="EM104" s="6" t="str">
        <f>IFERROR(IF(OR(B104="",NOT(ISNUMBER(DX104)),N(Q104)=0),"",_xlfn.XLOOKUP(A104,Щиты[Щит],Щиты[Zпетли на шинах, Ом])+EK104),"")</f>
        <v/>
      </c>
      <c r="EN104" s="6" t="str">
        <f>IF(ISNUMBER(EM104),c_min*(Uн_лин*1000/SQRT(3))/EM104,"")</f>
        <v/>
      </c>
      <c r="EO104" s="6" t="str">
        <f>IFERROR(IF(OR(B104="",NOT(ISNUMBER(DX104))),"",1.05*(Uн_лин*1000/SQRT(3))/(_xlfn.XLOOKUP(A104,Щиты[Щит],Щиты[Zmax на шинах, Ом])+EL104)/1000),"")</f>
        <v/>
      </c>
      <c r="EP104" s="6" t="str">
        <f>IF(B104="","",IF(ISNUMBER(Y104),"Сил",IF(IFERROR(_xlfn.XLOOKUP(AX104,Коды_код,Коды_группа)&amp;"","")="","Быт",_xlfn.XLOOKUP(AX104,Коды_код,Коды_группа)&amp;"")))</f>
        <v>Сил</v>
      </c>
      <c r="EQ104" s="6" t="str">
        <f t="shared" si="178"/>
        <v>Сил</v>
      </c>
      <c r="ER104" s="6">
        <f>IF(EQ104="Щит","щит",IF(EQ104="","",IF(EQ104="Быт",IFERROR(_xlfn.XLOOKUP(A104,Щиты[Щит],Щиты[Кс быт]),1),IF(EQ104="Сил",IF(ISNUMBER(Y104),Y104,IF(Методика="нормы 2026",IFERROR(_xlfn.XLOOKUP(A104,Щиты[Щит],Щиты[Кс силовых (табл. 7.5)]),1),1)),IF(OR(EQ104="Пост",EQ104="Отоп"),1,IF(EQ104="ВНГ",0.7,0))))))</f>
        <v>0.5</v>
      </c>
      <c r="ES104">
        <f t="shared" si="179"/>
        <v>1</v>
      </c>
      <c r="ET104">
        <f t="shared" si="180"/>
        <v>7</v>
      </c>
      <c r="EU104">
        <f t="shared" si="181"/>
        <v>0</v>
      </c>
      <c r="EV104">
        <f t="shared" si="182"/>
        <v>3.5</v>
      </c>
      <c r="EW104">
        <f t="shared" si="183"/>
        <v>0</v>
      </c>
      <c r="EX104">
        <f t="shared" si="184"/>
        <v>0</v>
      </c>
      <c r="EY104">
        <f t="shared" si="185"/>
        <v>0</v>
      </c>
      <c r="EZ104">
        <f t="shared" si="186"/>
        <v>7</v>
      </c>
      <c r="FA104">
        <f t="shared" si="187"/>
        <v>5.6000000000000005</v>
      </c>
      <c r="FB104">
        <f t="shared" si="188"/>
        <v>7</v>
      </c>
      <c r="FC104" t="str">
        <f t="shared" si="189"/>
        <v/>
      </c>
      <c r="FD104" t="str">
        <f>IF(B104="","",IF(CA104=0,IF(AW104=1,"",FF103),IF(OR(N(CV104)&gt;=3,N(BR104)&gt;=3),"L1,L2,L3",IFERROR(_xlfn.TEXTBEFORE(_xlfn.TEXTAFTER(_xlfn.XLOOKUP(A104,Щиты[Щит],Щиты[_фазы авто]),";"&amp;AW104&amp;":"),";"),"L1"))))</f>
        <v>L1,L2,L3</v>
      </c>
      <c r="FE104" t="str">
        <f t="shared" si="190"/>
        <v>L1,L2,L3</v>
      </c>
      <c r="FF104" t="str">
        <f t="shared" si="191"/>
        <v>L1,L2,L3</v>
      </c>
      <c r="FG104" cm="1">
        <f t="array" ref="FG104">IFERROR(IF(BX104=2,_xlfn.IFS(BR104=3,VLOOKUP(BN104,Справочная_двигатели,3,FALSE),BR104=1,VLOOKUP(BN104,Справочная_двигатели,5,TRUE)),0),0)</f>
        <v>0</v>
      </c>
      <c r="FH104">
        <f>IFERROR(IF(BX104=3,VLOOKUP(BN104,Справочная_ЛЭД,2,TRUE),0),0)</f>
        <v>0</v>
      </c>
      <c r="FI104" s="6">
        <f t="shared" si="192"/>
        <v>0</v>
      </c>
      <c r="FJ104" t="str" cm="1">
        <f t="array" ref="FJ104">IF(B104="","",IFERROR(INDEX({"I особая","I","II","III"},MATCH(TRIM(AC104&amp;""),{"I особая","I","II","III"},0)),"III"))</f>
        <v>II</v>
      </c>
      <c r="FK104" t="str">
        <f>IF(B104="","",IF(TRIM(AD104&amp;"")&lt;&gt;"",IF(LOWER(TRIM(AD104&amp;""))="да","да","нет"),IF(IFERROR(_xlfn.XLOOKUP(AX104,Коды_код,Коды_пожарная),"")="да","да","нет")))</f>
        <v>нет</v>
      </c>
      <c r="FL104" t="str">
        <f t="shared" si="193"/>
        <v/>
      </c>
      <c r="FM104" t="str">
        <f t="shared" si="194"/>
        <v>основная</v>
      </c>
      <c r="FN104">
        <f t="shared" si="195"/>
        <v>1</v>
      </c>
      <c r="FO104" t="str" cm="1">
        <f t="array" ref="FO104">IF(B104="","",_xlfn.LET(_xlpm.t,IFERROR(_xlfn.XLOOKUP(1,(Шины[Шина]=FM104)*(((Шины[Щит]=A104)+(Шины[Щит]=""))&gt;0),Шины[Тип]),"")&amp;"",IF(_xlpm.t&lt;&gt;"",_xlpm.t,IF(ISNUMBER(SEARCH("ИБП",FM104)),"ИБП",IF(ISNUMBER(SEARCH("ДГУ",FM104)),"ДГУ","Ввод "&amp;FN104)))))</f>
        <v>Ввод 1</v>
      </c>
      <c r="FP104" t="str">
        <f t="shared" si="196"/>
        <v>Ввод 1</v>
      </c>
      <c r="FQ104" t="str">
        <f>IF(B104="","",IF(OR(FO104="ИБП",FO104="ДГУ"),"I особая",IF(FO104="Одиночная","III",_xlfn.XLOOKUP(A104,Щиты[Щит],Щиты[Категория шины «Ввод»],"III"))))</f>
        <v>II</v>
      </c>
      <c r="FR104">
        <f>IF(B104="",0,IFERROR(MATCH(FJ104,{"III","II","I","I особая"},0),1))</f>
        <v>2</v>
      </c>
      <c r="FS104">
        <f t="shared" si="197"/>
        <v>2</v>
      </c>
      <c r="FT104" t="str">
        <f>IF(B104="","",IF(FR104&gt;IFERROR(MATCH(FQ104,{"III","II","I","I особая"},0),1),"НЕ ОБЕСПЕЧЕНА","ОК"))</f>
        <v>ОК</v>
      </c>
      <c r="FU104" t="str">
        <f>IF(A104="","",_xlfn.XLOOKUP(A104,Щиты[Щит],Щиты[Путь],""))</f>
        <v>|ГРЩ-ЖД|ЩОВ-01|</v>
      </c>
      <c r="FV104" t="str">
        <f>IF(B104="","",IF(AE104&lt;&gt;"",AE104,IF(IFERROR(_xlfn.XLOOKUP(AX104,Коды_код,Коды_вид)&amp;"","")="","Прочее",_xlfn.XLOOKUP(AX104,Коды_код,Коды_вид)&amp;"")))</f>
        <v>Вентиляция</v>
      </c>
      <c r="FW104">
        <f>IF(BH104="","",INT((BH104-1)/Столбцов_на_лист)+1)</f>
        <v>2</v>
      </c>
      <c r="FX104" t="str">
        <f t="shared" si="198"/>
        <v>ВВГнг(А)-LS (5х2,5) L=42-1,67%</v>
      </c>
      <c r="FY104">
        <f t="shared" si="199"/>
        <v>7</v>
      </c>
      <c r="FZ104">
        <f t="shared" si="200"/>
        <v>12.629999999999999</v>
      </c>
      <c r="GA104">
        <f t="shared" si="201"/>
        <v>3</v>
      </c>
      <c r="GB104">
        <f t="shared" si="202"/>
        <v>0</v>
      </c>
      <c r="GC104">
        <f t="shared" si="203"/>
        <v>1</v>
      </c>
      <c r="GD104">
        <f>IF(BH104="","",IF(AND(CA104=1,GC104=1),COUNTIFS(A$3:A104,A104,CA$3:CA104,1,GC$3:GC104,1),IF(OR(OR(AW104=1,A104&lt;&gt;A103),AF104="вручную",GC104=0),"",IF(AW104=1,"",GE103))))</f>
        <v>2</v>
      </c>
      <c r="GE104">
        <f t="shared" si="204"/>
        <v>2</v>
      </c>
      <c r="GF104">
        <f>IF(B104="","",IFERROR(LOOKUP(INDEX(CHOOSE(DL104,Iдоп_1ж,Iдоп_2ж,Iдоп_3ж),MATCH(DX104,Iдоп_S,0))*DJ104*DK104,{6,10,16,20,25,32,40,50,63,80,100,125,160,200,250,315,400,500,630}),""))</f>
        <v>20</v>
      </c>
      <c r="GG104" t="str">
        <f t="shared" si="205"/>
        <v>QF2</v>
      </c>
      <c r="GH104" t="str">
        <f t="shared" si="206"/>
        <v>QF2</v>
      </c>
      <c r="GI104" t="str">
        <f t="shared" si="207"/>
        <v/>
      </c>
      <c r="GJ104">
        <f t="shared" si="208"/>
        <v>0</v>
      </c>
      <c r="GK104" t="str">
        <f>IF(OR(AG104="",AG104="-"),"",IFERROR(VLOOKUP(AG104,Модули_спр,2,FALSE),"R"))</f>
        <v/>
      </c>
      <c r="GL104" t="str">
        <f>IF(GK104="","",GK104&amp;"."&amp;COUNTIFS(A$3:A104,A104,GK$3:GK104,GK104))</f>
        <v/>
      </c>
      <c r="GM104" t="str">
        <f t="shared" si="209"/>
        <v/>
      </c>
      <c r="GN104" t="str">
        <f t="shared" si="210"/>
        <v/>
      </c>
      <c r="GO104" t="str">
        <f t="shared" si="211"/>
        <v/>
      </c>
      <c r="GP104" t="str">
        <f t="shared" si="212"/>
        <v/>
      </c>
      <c r="GQ104">
        <f t="shared" si="213"/>
        <v>1</v>
      </c>
      <c r="GR104" t="str">
        <f>IF(GQ104=1,"XT"&amp;COUNTIFS(A$3:A104,A104,GQ$3:GQ104,1),"")</f>
        <v>XT2</v>
      </c>
      <c r="GS104" t="str">
        <f t="shared" si="214"/>
        <v>XT2</v>
      </c>
      <c r="GT104" t="str">
        <f t="shared" si="215"/>
        <v>QF2</v>
      </c>
      <c r="GU104" t="str">
        <f t="shared" si="216"/>
        <v/>
      </c>
      <c r="GV104" t="str">
        <f t="shared" si="217"/>
        <v>ok</v>
      </c>
      <c r="GW104" t="str">
        <f>IF(OR(GO104="",GM104=""),"",IF(GO104&gt;IFERROR(VLOOKUP(GN104,Модули_спр,3,FALSE),99),"ЛИШНИЙ КАНАЛ",IF(AND(AH104&lt;&gt;"=",COUNTIFS(Линии[_модуль гр.],GM104,Линии[Канал (итог)],GO104,Линии[Канал],"&lt;&gt;=",Линии[Щит],A104)&gt;1),"ДУБЛЬ КАНАЛА","")))</f>
        <v/>
      </c>
      <c r="GX104" s="6" t="str">
        <f t="shared" si="218"/>
        <v/>
      </c>
      <c r="GY104">
        <f t="shared" si="219"/>
        <v>10</v>
      </c>
      <c r="GZ104" t="str">
        <f t="shared" si="220"/>
        <v/>
      </c>
      <c r="HA104" t="str">
        <f>IF(AND(B104="",GT104=""),"",_xlfn.TEXTJOIN("; ",TRUE,IF(AND(B104&lt;&gt;"",FE104=""),"нет фазы",""),IF(AND(B104&lt;&gt;"",N(FY104)=0,EQ104&lt;&gt;"Нет"),"нет мощности",""),IF(AND(GS104&lt;&gt;"",COUNTIFS(Линии[Щит],A104,Линии[Клемма (итог)],GS104)&gt;1),"дубль клеммы "&amp;GS104,""),IF(AND(GV104&lt;&gt;"",GV104&lt;&gt;"ok"),GV104,""),IF(GW104&lt;&gt;"",GW104,""),IF(AND(N(BV104)&gt;=4,N(BR104)=1),BV104&amp;" жил на 1 фазе",""),IF(AND(AX104="R",CA104=1,OR(N(CK104)=0,N(CK104)&gt;30)),"розетка без дифзащиты до 30 мА",""),IFERROR(IF(AND(ISNUMBER(R104),R104&gt;DV104),"потери "&amp;FIXED(R104,1)&amp;" % &gt; "&amp;DV104&amp;" %",""),""),IFERROR(IF(LEFT(GZ104,4)="мало","Iкз мало — отключение &gt; 0,4 с",""),""),IF(AND(B104&lt;&gt;"",BH104=""),"не на схеме",""),IF(AND(CA104=0,B104&lt;&gt;"",FE104&lt;&gt;"",IF(AW104=1,"",FF103)&lt;&gt;"",FE104&lt;&gt;IF(AW104=1,"",FF103)),"фаза не как у автомата группы ("&amp;IF(AW104=1,"",FF103)&amp;")","")))</f>
        <v/>
      </c>
      <c r="HB104" s="6" t="str">
        <f>IF(OR(CA104=0,DA104=""),"",_xlfn.LET(_xlpm.t,IFERROR(_xlfn.XLOOKUP(DA104,Каталог!$U$4:$U$500,Каталог!$G$4:$G$500),""),_xlpm.k,SEARCH("кА",_xlpm.t),IFERROR(--TRIM(RIGHT(SUBSTITUTE(MID(_xlpm.t,MAX(1,_xlpm.k-4),_xlpm.k-MAX(1,_xlpm.k-4))," ",REPT(" ",9)),5)),"")))</f>
        <v/>
      </c>
      <c r="HC104" t="str">
        <f>IF(OR(HB104="",CA104=0),"",IF(_xlfn.XLOOKUP(A104,Щиты[Щит],Щиты[Iкз max на шинах, кА],"")="","",IF(HB104&lt;_xlfn.XLOOKUP(A104,Щиты[Щит],Щиты[Iкз max на шинах, кА]),"Icu "&amp;HB104&amp;" кА &lt; Iкз max","ok")))</f>
        <v/>
      </c>
      <c r="HD104" t="str">
        <f t="shared" si="221"/>
        <v/>
      </c>
      <c r="HE104" t="str">
        <f t="shared" si="222"/>
        <v>QF2|XT2</v>
      </c>
      <c r="HF104" t="str">
        <f t="shared" si="223"/>
        <v>QF2|XT2|кабель ВВГнг(А)-LS (5х2,5) → Приточно-вытяжная установка цокольный этаж Пом №001Тб</v>
      </c>
      <c r="HG104" t="str" cm="1">
        <f t="array" ref="HG104">IF(HF104="","",_xlfn.LET(_xlpm.nd,_xlfn.TEXTSPLIT(HF104,"|"),IF(COLUMNS(_xlpm.nd)&gt;1,A104&amp;"¦"&amp;INDEX(_xlpm.nd,1)&amp;"¦"&amp;INDEX(_xlpm.nd,2),"")))</f>
        <v>ЩОВ-01¦QF2¦XT2</v>
      </c>
      <c r="HH104" t="str">
        <f t="shared" si="224"/>
        <v>ПВ.6¦Приточно-вытяжная установка цокольный этаж Пом №001Тб</v>
      </c>
      <c r="HI104" t="str" cm="1">
        <f t="array" ref="HI104">IF(HF104="","",_xlfn.LET(_xlpm.nd,_xlfn.TEXTSPLIT(HF104,"|"),IF(COLUMNS(_xlpm.nd)&gt;2,A104&amp;"¦"&amp;INDEX(_xlpm.nd,2)&amp;"¦"&amp;INDEX(_xlpm.nd,3),"")))</f>
        <v>ЩОВ-01¦XT2¦кабель ВВГнг(А)-LS (5х2,5) → Приточно-вытяжная установка цокольный этаж Пом №001Тб</v>
      </c>
      <c r="HJ104" t="str">
        <f t="shared" si="225"/>
        <v>ПВ.6¦Приточно-вытяжная установка цокольный этаж Пом №001Тб</v>
      </c>
      <c r="HK104" t="str" cm="1">
        <f t="array" ref="HK104">IF(HF104="","",_xlfn.LET(_xlpm.nd,_xlfn.TEXTSPLIT(HF104,"|"),IF(COLUMNS(_xlpm.nd)&gt;3,A104&amp;"¦"&amp;INDEX(_xlpm.nd,3)&amp;"¦"&amp;INDEX(_xlpm.nd,4),"")))</f>
        <v/>
      </c>
      <c r="HL104" t="str">
        <f t="shared" si="226"/>
        <v/>
      </c>
      <c r="HM104" t="str" cm="1">
        <f t="array" ref="HM104">IF(HF104="","",_xlfn.LET(_xlpm.nd,_xlfn.TEXTSPLIT(HF104,"|"),IF(COLUMNS(_xlpm.nd)&gt;4,A104&amp;"¦"&amp;INDEX(_xlpm.nd,4)&amp;"¦"&amp;INDEX(_xlpm.nd,5),"")))</f>
        <v/>
      </c>
      <c r="HN104" t="str">
        <f t="shared" si="227"/>
        <v/>
      </c>
      <c r="HO104" t="str" cm="1">
        <f t="array" ref="HO104">IF(HF104="","",_xlfn.LET(_xlpm.nd,_xlfn.TEXTSPLIT(HF104,"|"),IF(COLUMNS(_xlpm.nd)&gt;5,A104&amp;"¦"&amp;INDEX(_xlpm.nd,5)&amp;"¦"&amp;INDEX(_xlpm.nd,6),"")))</f>
        <v/>
      </c>
      <c r="HP104" t="str">
        <f t="shared" si="228"/>
        <v/>
      </c>
      <c r="HQ104" t="str" cm="1">
        <f t="array" ref="HQ104">IF(HF104="","",_xlfn.LET(_xlpm.nd,_xlfn.TEXTSPLIT(HF104,"|"),IF(COLUMNS(_xlpm.nd)&gt;6,A104&amp;"¦"&amp;INDEX(_xlpm.nd,6)&amp;"¦"&amp;INDEX(_xlpm.nd,7),"")))</f>
        <v/>
      </c>
      <c r="HR104" t="str">
        <f t="shared" si="229"/>
        <v/>
      </c>
      <c r="HS104" t="str">
        <f t="shared" si="230"/>
        <v/>
      </c>
      <c r="HT104" t="str">
        <f t="shared" si="231"/>
        <v>QF2 → XT2</v>
      </c>
      <c r="HU104">
        <f t="shared" si="232"/>
        <v>0</v>
      </c>
      <c r="HV104">
        <f t="shared" si="233"/>
        <v>0</v>
      </c>
      <c r="HW104" t="str">
        <f t="shared" si="234"/>
        <v/>
      </c>
      <c r="HX104" t="str">
        <f t="shared" si="235"/>
        <v/>
      </c>
      <c r="HY104" t="str">
        <f t="shared" si="236"/>
        <v/>
      </c>
      <c r="HZ104" t="str">
        <f t="shared" si="237"/>
        <v/>
      </c>
      <c r="IA104" t="str">
        <f>IF(B104="","",IFERROR(VLOOKUP(B104,УГО_спр,2,FALSE),IFERROR(VLOOKUP(AX104,УГО_спр,2,FALSE),IFERROR(VLOOKUP(LEFT(AX104,2),УГО_спр,2,FALSE),""))))</f>
        <v>Привод (двигатель)</v>
      </c>
      <c r="IB104" t="str">
        <f>IF(B104="","",IF(OR(IA104="",IA104=0),"BOX",IFERROR(IF(VLOOKUP(IA104,УГО_блоки,3,FALSE)&amp;""&lt;&gt;"",VLOOKUP(IA104,УГО_блоки,3,FALSE),VLOOKUP(IA104,УГО_блоки,2,FALSE)),IA104)))</f>
        <v>MOTOR</v>
      </c>
      <c r="IC104">
        <f t="shared" si="238"/>
        <v>1</v>
      </c>
      <c r="ID104" t="str">
        <f>IF(DA104="","",IF(COUNTIF(DA$3:DA104,DA104)=1,MAX(ID$2:ID103)+1,""))</f>
        <v/>
      </c>
      <c r="IE104" t="str">
        <f>IF(CO104="","",IF(COUNTIF(CO$3:CO104,CO104)+COUNTIF(CP$2:CP103,CO104)+COUNTIF(CQ$2:CQ103,CO104)=1,MAX(IE$2:IG103)+1,""))</f>
        <v/>
      </c>
      <c r="IF104" t="str">
        <f>IF(CP104="","",IF(COUNTIF(CO$3:CO104,CP104)+COUNTIF(CP$3:CP104,CP104)+COUNTIF(CQ$2:CQ103,CP104)=1,MAX(IE$2:IG103,IE104)+1,""))</f>
        <v/>
      </c>
      <c r="IG104" t="str">
        <f>IF(CQ104="","",IF(COUNTIF(CO$3:CO104,CQ104)+COUNTIF(CP$3:CP104,CQ104)+COUNTIF(CQ$3:CQ104,CQ104)=1,MAX(IE$2:IG103,IE104,IF104)+1,""))</f>
        <v/>
      </c>
      <c r="IH104" t="str">
        <f t="shared" si="239"/>
        <v>5х2,5</v>
      </c>
      <c r="II104">
        <f>IF(IH104="","",IF(COUNTIF(IH$3:IH104,IH104)=1,MAX(II$2:II103)+1,""))</f>
        <v>13</v>
      </c>
      <c r="IJ104" t="str">
        <f>IF(GL104="","",COUNTIF(GL$3:GL104,"?*"))</f>
        <v/>
      </c>
      <c r="IK104" t="str">
        <f>IF(OR(GL104="",GN104=""),"",IF(COUNTIFS(GL$3:GL104,"?*",GN$3:GN104,GN104)=1,MAX(IK$2:IK103)+1,""))</f>
        <v/>
      </c>
      <c r="IL104">
        <f t="shared" si="240"/>
        <v>0</v>
      </c>
      <c r="IM104">
        <f>IF(B104="","",COUNTIF(B$3:B104,"?*"))</f>
        <v>102</v>
      </c>
      <c r="IN104">
        <f>IF(GQ104&lt;&gt;1,0,_xlfn.LET(_xlpm.k,MAX(IFERROR(--VLOOKUP(B104,УГО_спр,5,FALSE),0),IFERROR(--VLOOKUP(AX104,УГО_спр,5,FALSE),0),IFERROR(--VLOOKUP(LEFT(AX104,2),УГО_спр,5,FALSE),0)),IF(_xlpm.k&gt;0,_xlpm.k,IF(IFERROR(--LEFT(SUBSTITUTE(IH104,"x","х"),FIND("х",SUBSTITUTE(IH104,"x","х"))-1),3)&gt;3,Каталог!$S$9,1))))</f>
        <v>1</v>
      </c>
      <c r="IO104">
        <f t="shared" si="241"/>
        <v>2</v>
      </c>
      <c r="IP104" t="str">
        <f t="shared" si="242"/>
        <v>авто</v>
      </c>
      <c r="IQ104" t="str">
        <f t="shared" si="243"/>
        <v/>
      </c>
      <c r="IR104">
        <f t="shared" si="244"/>
        <v>0</v>
      </c>
      <c r="IS104">
        <f t="shared" si="245"/>
        <v>1</v>
      </c>
    </row>
    <row r="105" spans="1:253" x14ac:dyDescent="0.3">
      <c r="A105" t="s">
        <v>747</v>
      </c>
      <c r="B105" t="s">
        <v>1375</v>
      </c>
      <c r="C105" t="s">
        <v>1628</v>
      </c>
      <c r="D105">
        <v>1</v>
      </c>
      <c r="E105">
        <v>0.78</v>
      </c>
      <c r="G105">
        <v>10</v>
      </c>
      <c r="H105" t="str">
        <f>Линии[[#This Row],[_авто утечка]]</f>
        <v/>
      </c>
      <c r="I105" t="str">
        <f>Линии[[#This Row],[_авто управление]]</f>
        <v/>
      </c>
      <c r="J105" t="str">
        <f>Линии[[#This Row],[_авто аппараты]]</f>
        <v/>
      </c>
      <c r="K105">
        <v>1.5</v>
      </c>
      <c r="L105">
        <v>40</v>
      </c>
      <c r="M105">
        <v>2</v>
      </c>
      <c r="N105" t="str">
        <f>Линии[[#This Row],[_авто клемма]]</f>
        <v>XT3</v>
      </c>
      <c r="O105" t="str">
        <f t="shared" si="123"/>
        <v/>
      </c>
      <c r="P105" s="6" cm="1">
        <f t="array" ref="P105">IF(B105="","",IF(BC105&lt;&gt;"",IFERROR(_xlfn.XLOOKUP(BC105,Щиты[Щит],Щиты[Iр, А]),""),IF(BK105=1,IFERROR(_xlfn.XLOOKUP(A105,Щиты[Щит],Щиты[Iр, А]),""),IFERROR(_xlfn.IFS(BR105=1,BN105/((Uн_лин/SQRT(3))*BY105),BR105=3,BN105/(SQRT(3)*Uн_лин*BY105)),""))))</f>
        <v>4.2218738434491376</v>
      </c>
      <c r="Q105" s="7">
        <f>IF(B105="","",IFERROR(IF(VLOOKUP(AX105,Потребители_обозначение,4,FALSE)=1,VLOOKUP(AX105,Потребители_обозначение,3,FALSE)*(D105*2-1)+DS105+VLOOKUP(AZ105,Этаж_обозначение,3,FALSE)+VLOOKUP(AZ105,Этаж_обозначение,4,FALSE),VLOOKUP(AX105,Потребители_обозначение,3,FALSE)*(D105*2-1)+DS105),DS105))</f>
        <v>44</v>
      </c>
      <c r="R105" s="6">
        <f t="shared" si="124"/>
        <v>2.19</v>
      </c>
      <c r="S105" t="str">
        <f t="shared" si="125"/>
        <v>ВВГнг(А)-LS (3х1,5)</v>
      </c>
      <c r="T105" t="str">
        <f>IF(BH105="","",IF(BI105="вводной узел","узел ","")&amp;"л."&amp;(INT((BH105-1)/Столбцов_на_лист)+1)&amp;" / "&amp;(MOD(BH105-1,Столбцов_на_лист)+1))</f>
        <v>л.2 / 3</v>
      </c>
      <c r="V105">
        <v>1</v>
      </c>
      <c r="W105">
        <v>230</v>
      </c>
      <c r="X105" t="s">
        <v>600</v>
      </c>
      <c r="Y105">
        <v>0.5</v>
      </c>
      <c r="AC105" t="s">
        <v>815</v>
      </c>
      <c r="AE105" t="s">
        <v>582</v>
      </c>
      <c r="AI105">
        <v>20</v>
      </c>
      <c r="AJ105" t="s">
        <v>11</v>
      </c>
      <c r="AK105">
        <v>3</v>
      </c>
      <c r="AM105">
        <v>20</v>
      </c>
      <c r="AN105">
        <v>24</v>
      </c>
      <c r="AP105">
        <v>1</v>
      </c>
      <c r="AW105" cm="1">
        <f t="array" ref="AW105">ROW()-ROW(Линии[#Headers])</f>
        <v>103</v>
      </c>
      <c r="AX105" s="6" t="str">
        <f t="shared" si="126"/>
        <v>ПВ</v>
      </c>
      <c r="AY105" t="str">
        <f t="shared" si="127"/>
        <v>9</v>
      </c>
      <c r="AZ105" t="str">
        <f t="shared" si="128"/>
        <v>9</v>
      </c>
      <c r="BA105" t="str">
        <f t="shared" si="129"/>
        <v/>
      </c>
      <c r="BB105" t="str">
        <f t="shared" si="130"/>
        <v/>
      </c>
      <c r="BC105" t="str">
        <f>IF(U105&lt;&gt;"",U105,IF(AND(B105&lt;&gt;"",B105&lt;&gt;A105,ISNUMBER(_xlfn.XMATCH(B105,Щиты[Щит]))),B105,""))</f>
        <v/>
      </c>
      <c r="BD105" t="str" cm="1">
        <f t="array" ref="BD105">IF(B105="","",IF(BC105&lt;&gt;"","Щит "&amp;BC105,_xlfn.LET(_xlpm.nm,IFERROR(_xlfn.XLOOKUP(AX105,Коды_код,Коды_имя)&amp;"",""),_xlpm.md,IFERROR(N(_xlfn.XLOOKUP(AX105,Коды_код,Коды_режим)),1),_xlpm.ex,IF(Имя_режим="по экспликации",IFERROR(_xlfn.XLOOKUP(AZ105&amp;"|"&amp;BB105,Экспликация[Этаж]&amp;"|"&amp;Экспликация[Помещение],Экспликация[Название])&amp;"",""),""),_xlpm.rm,IF(BB105="","",IF(_xlpm.ex&lt;&gt;"",". "&amp;_xlpm.ex&amp;IF(Имя_пом="нет"," ("&amp;BB105&amp;")"," (пом. "&amp;BB105&amp;")"),IF(Имя_пом="нет"," ",", пом. ")&amp;BB105)),IF(_xlpm.nm="","",IF(_xlpm.md=2,_xlpm.nm&amp;" шлейф "&amp;AZ105,_xlpm.nm&amp;_xlpm.rm)))))</f>
        <v>Приточно-вытяжная установка шлейф 9</v>
      </c>
      <c r="BE105" t="str">
        <f t="shared" si="131"/>
        <v>Приточно-вытяжная установка цокольный этаж Пом №001Тб</v>
      </c>
      <c r="BF105">
        <f>IFERROR(_xlfn.XMATCH(A105,Щиты[Щит]),0)</f>
        <v>6</v>
      </c>
      <c r="BG105">
        <f>_xlfn.LET(_xlpm.k,IFERROR(_xlfn.XLOOKUP(A105,Щиты[Щит],Щиты[Листов под вводной узел]),""),IF(_xlpm.k="",1,N(_xlpm.k))*Столбцов_на_лист)</f>
        <v>17</v>
      </c>
      <c r="BH105">
        <f t="shared" si="132"/>
        <v>20</v>
      </c>
      <c r="BI105" t="str">
        <f t="shared" si="133"/>
        <v>линии</v>
      </c>
      <c r="BJ105" s="6">
        <f>IFERROR(N(_xlfn.XLOOKUP(AX105,Коды_код,Коды_квт)),0)</f>
        <v>0</v>
      </c>
      <c r="BK105">
        <f t="shared" si="134"/>
        <v>0</v>
      </c>
      <c r="BL105" t="str">
        <f>IF(B105="","",IF(BC105&lt;&gt;"",IFERROR(_xlfn.XLOOKUP(BC105,Щиты[Щит],Щиты[Руст, кВт]),0),IF(BK105=1,IFERROR(_xlfn.XLOOKUP(A105,Щиты[Щит],Щиты[Руст, кВт]),0),IF(BJ105&gt;0,ROUND(BJ105*MAX(1,N(D105)),3),""))))</f>
        <v/>
      </c>
      <c r="BM105">
        <f t="shared" si="135"/>
        <v>0.78</v>
      </c>
      <c r="BN105" s="6">
        <f>IF(B105="","",IF(BC105&lt;&gt;"",IFERROR(_xlfn.XLOOKUP(BC105,Щиты[Щит],Щиты[Руст, кВт]),0),N(BM105)))</f>
        <v>0.78</v>
      </c>
      <c r="BO105" t="str">
        <f>IF(B105="","",IFERROR(IF(VLOOKUP(AX105,Потребители_обозначение,8,FALSE)=0,"",VLOOKUP(AX105,Потребители_обозначение,8,FALSE)),""))</f>
        <v/>
      </c>
      <c r="BP105">
        <f t="shared" si="136"/>
        <v>230</v>
      </c>
      <c r="BQ105">
        <f>IF(B105="","",IF(BC105&lt;&gt;"",3,IFERROR(IF(N(VLOOKUP(AX105,Потребители_обозначение,9,FALSE))=0,1,VLOOKUP(AX105,Потребители_обозначение,9,FALSE)),1)))</f>
        <v>1</v>
      </c>
      <c r="BR105">
        <f t="shared" si="137"/>
        <v>1</v>
      </c>
      <c r="BS105" t="str">
        <f>IF(B105="","",_xlfn.LET(_xlpm.bc,IFERROR(IF(VLOOKUP(AX105,Потребители_обозначение,6,FALSE)=0,"",VLOOKUP(AX105,Потребители_обозначение,6,FALSE)&amp;""),""),IF(AND(FK105="да",OR(_xlpm.bc="",_xlpm.bc="мс")),Марка_пож,IF(AND(_xlpm.bc="",BC105&lt;&gt;""),"мс",_xlpm.bc))))</f>
        <v/>
      </c>
      <c r="BT105" t="str">
        <f t="shared" si="138"/>
        <v>мс</v>
      </c>
      <c r="BU105">
        <f>IF(B105="","",_xlfn.LET(_xlpm.cc,IFERROR(N(VLOOKUP(AX105,Потребители_обозначение,7,FALSE)),0),IF(_xlpm.cc&gt;0,_xlpm.cc,IF(BT105="","",IF(N(BR105)=3,5,3)))))</f>
        <v>3</v>
      </c>
      <c r="BV105">
        <f t="shared" si="139"/>
        <v>3</v>
      </c>
      <c r="BW105">
        <f>IFERROR(N(VLOOKUP(AX105,Потребители_обозначение,10,FALSE)),0)</f>
        <v>0</v>
      </c>
      <c r="BX105">
        <f>IFERROR(VLOOKUP(AX105,Потребители_обозначение,5,FALSE),0)</f>
        <v>1</v>
      </c>
      <c r="BY105" s="6" cm="1">
        <f t="array" ref="BY105">IF(B105="","",IF(BC105&lt;&gt;"",IFERROR(_xlfn.XLOOKUP(BC105,Щиты[Щит],Щиты[cos φ]),0.95),IF(BK105=1,IFERROR(_xlfn.XLOOKUP(A105,Щиты[Щит],Щиты[cos φ]),0.95),IF(ISNUMBER(Z105),Z105,IFERROR(IF(BX105=2,_xlfn.IFS(BR105=3,VLOOKUP(BN105,Справочная_двигатели,8,FALSE),BR105=1,VLOOKUP(BN105,Справочная_двигатели,10,TRUE)),IF(AND(Методика="нормы 2026",EQ105="Сил"),0.8,0.95)),0.95)))))</f>
        <v>0.8</v>
      </c>
      <c r="BZ105">
        <f t="shared" si="140"/>
        <v>0</v>
      </c>
      <c r="CA105">
        <f t="shared" si="141"/>
        <v>1</v>
      </c>
      <c r="CB105">
        <f t="shared" si="142"/>
        <v>0</v>
      </c>
      <c r="CC105">
        <f t="shared" si="143"/>
        <v>0</v>
      </c>
      <c r="CD105">
        <f t="shared" si="144"/>
        <v>0</v>
      </c>
      <c r="CE105">
        <f t="shared" si="145"/>
        <v>0</v>
      </c>
      <c r="CF105">
        <f t="shared" si="146"/>
        <v>0</v>
      </c>
      <c r="CG105">
        <f>IF(AX105="",0,_xlfn.LET(_xlpm.v,IFERROR(VLOOKUP(B105,УГО_спр,3,FALSE),IFERROR(VLOOKUP(AX105,УГО_спр,3,FALSE),IFERROR(VLOOKUP(LEFT(AX105,2),УГО_спр,3,FALSE),""))),IF(_xlpm.v="да",30,IF(ISNUMBER(_xlpm.v),_xlpm.v,0))))</f>
        <v>0</v>
      </c>
      <c r="CH105" t="str">
        <f t="shared" si="147"/>
        <v/>
      </c>
      <c r="CI105" t="str">
        <f>_xlfn.LET(_xlpm.k,IFERROR(_xlfn.XLOOKUP(AX105,Коды_код,Коды_утечка)&amp;"",""),IF(_xlpm.k="","дифавтомат",_xlpm.k))</f>
        <v>дифавтомат</v>
      </c>
      <c r="CJ105">
        <f t="shared" si="148"/>
        <v>0</v>
      </c>
      <c r="CK105">
        <f t="shared" si="149"/>
        <v>0</v>
      </c>
      <c r="CL105">
        <f>IF(B105="",0,IFERROR(--VLOOKUP(B105,УГО_спр,4,FALSE),IFERROR(--VLOOKUP(AX105,УГО_спр,4,FALSE),IFERROR(--VLOOKUP(LEFT(AX105,2),УГО_спр,4,FALSE),0))))</f>
        <v>0</v>
      </c>
      <c r="CM105" t="str">
        <f>IF(B105="","",IFERROR(_xlfn.XLOOKUP(AX105,Коды_код,Коды_апп)&amp;"",""))</f>
        <v/>
      </c>
      <c r="CN105" t="str">
        <f t="shared" si="150"/>
        <v/>
      </c>
      <c r="CO105" t="str" cm="1">
        <f t="array" ref="CO105">IF(TRIM(CN105&amp;"")="","",IFERROR(TRIM(INDEX(_xlfn.TEXTSPLIT(CN105&amp;";;;",";"),1)),""))</f>
        <v/>
      </c>
      <c r="CP105" t="str" cm="1">
        <f t="array" ref="CP105">IF(TRIM(CN105&amp;"")="","",IFERROR(TRIM(INDEX(_xlfn.TEXTSPLIT(CN105&amp;";;;",";"),2)),""))</f>
        <v/>
      </c>
      <c r="CQ105" t="str" cm="1">
        <f t="array" ref="CQ105">IF(TRIM(CN105&amp;"")="","",IFERROR(TRIM(INDEX(_xlfn.TEXTSPLIT(CN105&amp;";;;",";"),3)),""))</f>
        <v/>
      </c>
      <c r="CR105">
        <f t="shared" si="151"/>
        <v>0</v>
      </c>
      <c r="CS105" t="str">
        <f>IF(B105="","",_xlfn.LET(_xlpm.t,LOWER(AV105&amp;""),IF(ISNUMBER(SEARCH("dim",_xlpm.t)),"DIM",IF(ISNUMBER(SEARCH("dali",_xlpm.t)),"DALI",IF(OR(ISNUMBER(SEARCH("relay",_xlpm.t)),ISNUMBER(SEARCH("реле",_xlpm.t))),"Relay",IF(ISNUMBER(SEARCH("кнопк",_xlpm.t)),"",IFERROR(_xlfn.XLOOKUP(AX105,Коды_код,Коды_упр)&amp;"","")))))))</f>
        <v/>
      </c>
      <c r="CT105" t="str">
        <f t="shared" si="152"/>
        <v/>
      </c>
      <c r="CU105">
        <f>IF(B105="","",_xlfn.LET(_xlpm.ig,N(P105)+IF(AF105="вручную",0,N(CB105)),_xlpm.n0,IFERROR(VLOOKUP(_xlpm.ig,Автомат_номиналы,2,TRUE),0),_xlpm.mn,MAX(CL105,IF(AF105="вручную",0,N(CE105))),MAX(_xlpm.n0,_xlpm.mn,IF(CR105=1,Мин_автомат_БП,0))))</f>
        <v>6</v>
      </c>
      <c r="CV105">
        <f t="shared" si="153"/>
        <v>1</v>
      </c>
      <c r="CW105" t="str">
        <f t="shared" si="154"/>
        <v>1P</v>
      </c>
      <c r="CX105" t="str">
        <f>_xlfn.LET(_xlpm.cc,UPPER(TRIM(IFERROR(_xlfn.XLOOKUP(AX105,Коды_код,Коды_хар)&amp;"",""))),IF(OR(_xlpm.cc="B",_xlpm.cc="В"),"B",IF(_xlpm.cc="D","D","С")))</f>
        <v>С</v>
      </c>
      <c r="CY105" t="str">
        <f t="shared" si="155"/>
        <v>1P С6А</v>
      </c>
      <c r="CZ105">
        <f t="shared" si="156"/>
        <v>10</v>
      </c>
      <c r="DA105" t="str">
        <f t="shared" si="157"/>
        <v>1P С10А</v>
      </c>
      <c r="DB105" cm="1">
        <f t="array" ref="DB105">IF(DA105="","",_xlfn.LET(_xlpm.t,SUBSTITUTE(SUBSTITUTE(SUBSTITUTE(UPPER(DA105),"С","C"),"А","A"),"В","B"),_xlpm.tk,_xlfn.TEXTSPLIT(_xlpm.t,"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5" t="str">
        <f t="shared" si="158"/>
        <v>ok</v>
      </c>
      <c r="DD105">
        <f t="shared" si="159"/>
        <v>10</v>
      </c>
      <c r="DE105" t="str">
        <f t="shared" si="160"/>
        <v>1P С10А</v>
      </c>
      <c r="DF105">
        <f t="shared" si="161"/>
        <v>0</v>
      </c>
      <c r="DG105">
        <f t="shared" si="162"/>
        <v>0</v>
      </c>
      <c r="DH105">
        <f t="shared" si="163"/>
        <v>0</v>
      </c>
      <c r="DI105">
        <f t="shared" si="164"/>
        <v>4.2218738434491376</v>
      </c>
      <c r="DJ105">
        <f t="shared" si="165"/>
        <v>1</v>
      </c>
      <c r="DK105">
        <f>IF(ISNUMBER(AL105),AL105,К_прокл)</f>
        <v>1</v>
      </c>
      <c r="DL105">
        <f t="shared" si="166"/>
        <v>2</v>
      </c>
      <c r="DM105">
        <f>IFERROR(N(VLOOKUP(BT105,Кабель_обозначение,3,FALSE)),1)</f>
        <v>1</v>
      </c>
      <c r="DN105">
        <f>IFERROR(N(_xlfn.XLOOKUP(A105,Щиты[Щит],Щиты[ΔU до шин, %])),0)</f>
        <v>0.24000000000000002</v>
      </c>
      <c r="DO105" t="str">
        <f>IFERROR(_xlfn.XLOOKUP(A105,Щиты[Щит],Щиты[Zпетли на шинах, Ом]),"")</f>
        <v/>
      </c>
      <c r="DP105">
        <f>IFERROR(N(_xlfn.XLOOKUP(A105,Щиты[Щит],Щиты[ΔU до шин (подбор), %])),0)</f>
        <v>0.36</v>
      </c>
      <c r="DQ105" t="str">
        <f>IFERROR(_xlfn.XLOOKUP(A105,Щиты[Щит],Щиты[Zпетли на шинах (подбор), Ом]),"")</f>
        <v/>
      </c>
      <c r="DR105" t="str">
        <f t="shared" si="167"/>
        <v/>
      </c>
      <c r="DS105">
        <f t="shared" si="168"/>
        <v>40</v>
      </c>
      <c r="DT105">
        <f t="shared" si="169"/>
        <v>2</v>
      </c>
      <c r="DU105">
        <f t="shared" si="170"/>
        <v>0.6</v>
      </c>
      <c r="DV105" s="6">
        <f>IF(B105="","",IF(IFERROR(VLOOKUP(AX105,УГО_спр,2,FALSE),"")="Светильник",3,4)+IF(Методика="нормы 2026",MIN(0.5,MAX(0,N(Q105)-100)*0.005),0))</f>
        <v>4</v>
      </c>
      <c r="DW105" cm="1">
        <f t="array" ref="DW105">IF(OR(B105="",BT105="",DM105&lt;&gt;1),"",_xlfn.LET(_xlpm.sz,Iдоп_S,_xlpm.t_,CHOOSE(DL105,Iдоп_1ж,Iдоп_2ж,Iдоп_3ж)*DJ105*DK105,_xlpm.inn,N(DD105),_xlpm.smin,MAX(1.5,BW105),_xlpm.L_,N(Q105)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105)*(_xlpm.rho*_xlpm.L_/_xlpm.sz*N(BY105)+_xlpm.xx*_xlpm.L_*N(DU105)/1000)*N(P105)/((Uн_лин/SQRT(3))*1000)*100,999),_xlpm.kz,IF(OR(DG105=1,NOT(ISNUMBER(DQ105)),_xlpm.L_=0,_xlpm.inn=0),1,IFERROR(--(c_min*(Uн_лин*1000/SQRT(3))/(DQ105+2*ρкз_Cu*_xlpm.L_/_xlpm.sz)&gt;=GY105*_xlpm.inn),0)),_xlpm.ok,IFERROR((_xlpm.sz&gt;=_xlpm.smin)*(_xlpm.t_&gt;=_xlpm.inn)*IF(_xlpm.L_&gt;0,(_xlpm.du_+DP105&lt;=DV105+0.00001),1)*_xlpm.kz,0),_xlpm.r_,_xlfn._xlws.FILTER(_xlpm.sz,_xlpm.ok,"не подобрано"),INDEX(_xlpm.r_,1)))</f>
        <v>1.5</v>
      </c>
      <c r="DX105">
        <f t="shared" si="171"/>
        <v>1.5</v>
      </c>
      <c r="DY105" cm="1">
        <f t="array" ref="DY105">IF(OR(B105="",BT105="",DM105&lt;&gt;1),"",_xlfn.LET(_xlpm.sz,Iдоп_S,_xlpm.t_,CHOOSE(DL105,Iдоп_1ж,Iдоп_2ж,Iдоп_3ж)*DJ105*DK105,_xlpm.ok,IFERROR((_xlpm.sz&gt;=MAX(1.5,BW105))*(_xlpm.t_&gt;=N(DD105)),0),_xlpm.r_,_xlfn._xlws.FILTER(_xlpm.sz,_xlpm.ok,""),INDEX(_xlpm.r_,1)))</f>
        <v>1.5</v>
      </c>
      <c r="DZ105" s="6" cm="1">
        <f t="array" ref="DZ105">IFERROR(ROUNDUP(N(DT105)*(_xlfn.XLOOKUP(DY105,INDEX(Кабель_сопротивление,0,1),INDEX(Кабель_сопротивление,0,3))*N(Q105)/DY105*N(BY105)+_xlfn.XLOOKUP(DY105,INDEX(Кабель_сопротивление,0,1),INDEX(Кабель_сопротивление,0,2))*N(Q105)*N(DU105)/1000)*N(P105)/((Uн_лин/SQRT(3))*1000)*100,2),"")</f>
        <v>1.95</v>
      </c>
      <c r="EA105">
        <f>IFERROR(2*ρкз_Cu*N(Q105)/DY105,"")</f>
        <v>1.5429333333333333</v>
      </c>
      <c r="EB105">
        <f>IFERROR(VLOOKUP(DX105,Кабель_сопротивление,3,FALSE),"")</f>
        <v>2.2499999999999999E-2</v>
      </c>
      <c r="EC105">
        <f>IFERROR(VLOOKUP(DX105,Кабель_сопротивление,2,FALSE),"")</f>
        <v>0.11</v>
      </c>
      <c r="ED105">
        <f t="shared" si="172"/>
        <v>24</v>
      </c>
      <c r="EE105">
        <f t="shared" si="173"/>
        <v>0</v>
      </c>
      <c r="EF105">
        <f t="shared" si="174"/>
        <v>4.4828194219650426</v>
      </c>
      <c r="EG105" s="6">
        <f>IFERROR(ROUNDUP(EF105/((Uн_лин/SQRT(3))*1000)*100,2),"")</f>
        <v>1.95</v>
      </c>
      <c r="EH105" t="str">
        <f>IFERROR(VLOOKUP(BT105,Кабель_обозначение,2,FALSE),"")</f>
        <v>ВВГнг(А)-LS</v>
      </c>
      <c r="EI105" t="str">
        <f t="shared" si="175"/>
        <v>ВВГнг(А)-LS (3х1,5)</v>
      </c>
      <c r="EJ105" t="str">
        <f t="shared" si="176"/>
        <v>ВВГнг(А)-LS (3х1,5)
L=44-1,95%</v>
      </c>
      <c r="EK105">
        <f>IFERROR(2*ρкз_Cu*Q105/DX105,"")</f>
        <v>1.5429333333333333</v>
      </c>
      <c r="EL105">
        <f t="shared" si="177"/>
        <v>0.51333333333333331</v>
      </c>
      <c r="EM105" s="6" t="str">
        <f>IFERROR(IF(OR(B105="",NOT(ISNUMBER(DX105)),N(Q105)=0),"",_xlfn.XLOOKUP(A105,Щиты[Щит],Щиты[Zпетли на шинах, Ом])+EK105),"")</f>
        <v/>
      </c>
      <c r="EN105" s="6" t="str">
        <f>IF(ISNUMBER(EM105),c_min*(Uн_лин*1000/SQRT(3))/EM105,"")</f>
        <v/>
      </c>
      <c r="EO105" s="6" t="str">
        <f>IFERROR(IF(OR(B105="",NOT(ISNUMBER(DX105))),"",1.05*(Uн_лин*1000/SQRT(3))/(_xlfn.XLOOKUP(A105,Щиты[Щит],Щиты[Zmax на шинах, Ом])+EL105)/1000),"")</f>
        <v/>
      </c>
      <c r="EP105" s="6" t="str">
        <f>IF(B105="","",IF(ISNUMBER(Y105),"Сил",IF(IFERROR(_xlfn.XLOOKUP(AX105,Коды_код,Коды_группа)&amp;"","")="","Быт",_xlfn.XLOOKUP(AX105,Коды_код,Коды_группа)&amp;"")))</f>
        <v>Сил</v>
      </c>
      <c r="EQ105" s="6" t="str">
        <f t="shared" si="178"/>
        <v>Сил</v>
      </c>
      <c r="ER105" s="6">
        <f>IF(EQ105="Щит","щит",IF(EQ105="","",IF(EQ105="Быт",IFERROR(_xlfn.XLOOKUP(A105,Щиты[Щит],Щиты[Кс быт]),1),IF(EQ105="Сил",IF(ISNUMBER(Y105),Y105,IF(Методика="нормы 2026",IFERROR(_xlfn.XLOOKUP(A105,Щиты[Щит],Щиты[Кс силовых (табл. 7.5)]),1),1)),IF(OR(EQ105="Пост",EQ105="Отоп"),1,IF(EQ105="ВНГ",0.7,0))))))</f>
        <v>0.5</v>
      </c>
      <c r="ES105">
        <f t="shared" si="179"/>
        <v>1</v>
      </c>
      <c r="ET105">
        <f t="shared" si="180"/>
        <v>0.78</v>
      </c>
      <c r="EU105">
        <f t="shared" si="181"/>
        <v>0</v>
      </c>
      <c r="EV105">
        <f t="shared" si="182"/>
        <v>0.39</v>
      </c>
      <c r="EW105">
        <f t="shared" si="183"/>
        <v>0</v>
      </c>
      <c r="EX105">
        <f t="shared" si="184"/>
        <v>0</v>
      </c>
      <c r="EY105">
        <f t="shared" si="185"/>
        <v>0</v>
      </c>
      <c r="EZ105">
        <f t="shared" si="186"/>
        <v>0.78</v>
      </c>
      <c r="FA105">
        <f t="shared" si="187"/>
        <v>0.62400000000000011</v>
      </c>
      <c r="FB105">
        <f t="shared" si="188"/>
        <v>0.78</v>
      </c>
      <c r="FC105" t="str">
        <f t="shared" si="189"/>
        <v>L2</v>
      </c>
      <c r="FD105" t="str">
        <f>IF(B105="","",IF(CA105=0,IF(AW105=1,"",FF104),IF(OR(N(CV105)&gt;=3,N(BR105)&gt;=3),"L1,L2,L3",IFERROR(_xlfn.TEXTBEFORE(_xlfn.TEXTAFTER(_xlfn.XLOOKUP(A105,Щиты[Щит],Щиты[_фазы авто]),";"&amp;AW105&amp;":"),";"),"L1"))))</f>
        <v>L1</v>
      </c>
      <c r="FE105" t="str">
        <f t="shared" si="190"/>
        <v>L2</v>
      </c>
      <c r="FF105" t="str">
        <f t="shared" si="191"/>
        <v>L2</v>
      </c>
      <c r="FG105" cm="1">
        <f t="array" ref="FG105">IFERROR(IF(BX105=2,_xlfn.IFS(BR105=3,VLOOKUP(BN105,Справочная_двигатели,3,FALSE),BR105=1,VLOOKUP(BN105,Справочная_двигатели,5,TRUE)),0),0)</f>
        <v>0</v>
      </c>
      <c r="FH105">
        <f>IFERROR(IF(BX105=3,VLOOKUP(BN105,Справочная_ЛЭД,2,TRUE),0),0)</f>
        <v>0</v>
      </c>
      <c r="FI105" s="6">
        <f t="shared" si="192"/>
        <v>0</v>
      </c>
      <c r="FJ105" t="str" cm="1">
        <f t="array" ref="FJ105">IF(B105="","",IFERROR(INDEX({"I особая","I","II","III"},MATCH(TRIM(AC105&amp;""),{"I особая","I","II","III"},0)),"III"))</f>
        <v>II</v>
      </c>
      <c r="FK105" t="str">
        <f>IF(B105="","",IF(TRIM(AD105&amp;"")&lt;&gt;"",IF(LOWER(TRIM(AD105&amp;""))="да","да","нет"),IF(IFERROR(_xlfn.XLOOKUP(AX105,Коды_код,Коды_пожарная),"")="да","да","нет")))</f>
        <v>нет</v>
      </c>
      <c r="FL105" t="str">
        <f t="shared" si="193"/>
        <v/>
      </c>
      <c r="FM105" t="str">
        <f t="shared" si="194"/>
        <v>основная</v>
      </c>
      <c r="FN105">
        <f t="shared" si="195"/>
        <v>1</v>
      </c>
      <c r="FO105" t="str" cm="1">
        <f t="array" ref="FO105">IF(B105="","",_xlfn.LET(_xlpm.t,IFERROR(_xlfn.XLOOKUP(1,(Шины[Шина]=FM105)*(((Шины[Щит]=A105)+(Шины[Щит]=""))&gt;0),Шины[Тип]),"")&amp;"",IF(_xlpm.t&lt;&gt;"",_xlpm.t,IF(ISNUMBER(SEARCH("ИБП",FM105)),"ИБП",IF(ISNUMBER(SEARCH("ДГУ",FM105)),"ДГУ","Ввод "&amp;FN105)))))</f>
        <v>Ввод 1</v>
      </c>
      <c r="FP105" t="str">
        <f t="shared" si="196"/>
        <v>Ввод 1</v>
      </c>
      <c r="FQ105" t="str">
        <f>IF(B105="","",IF(OR(FO105="ИБП",FO105="ДГУ"),"I особая",IF(FO105="Одиночная","III",_xlfn.XLOOKUP(A105,Щиты[Щит],Щиты[Категория шины «Ввод»],"III"))))</f>
        <v>II</v>
      </c>
      <c r="FR105">
        <f>IF(B105="",0,IFERROR(MATCH(FJ105,{"III","II","I","I особая"},0),1))</f>
        <v>2</v>
      </c>
      <c r="FS105">
        <f t="shared" si="197"/>
        <v>2</v>
      </c>
      <c r="FT105" t="str">
        <f>IF(B105="","",IF(FR105&gt;IFERROR(MATCH(FQ105,{"III","II","I","I особая"},0),1),"НЕ ОБЕСПЕЧЕНА","ОК"))</f>
        <v>ОК</v>
      </c>
      <c r="FU105" t="str">
        <f>IF(A105="","",_xlfn.XLOOKUP(A105,Щиты[Щит],Щиты[Путь],""))</f>
        <v>|ГРЩ-ЖД|ЩОВ-01|</v>
      </c>
      <c r="FV105" t="str">
        <f>IF(B105="","",IF(AE105&lt;&gt;"",AE105,IF(IFERROR(_xlfn.XLOOKUP(AX105,Коды_код,Коды_вид)&amp;"","")="","Прочее",_xlfn.XLOOKUP(AX105,Коды_код,Коды_вид)&amp;"")))</f>
        <v>Вентиляция</v>
      </c>
      <c r="FW105">
        <f>IF(BH105="","",INT((BH105-1)/Столбцов_на_лист)+1)</f>
        <v>2</v>
      </c>
      <c r="FX105" t="str">
        <f t="shared" si="198"/>
        <v>ВВГнг(А)-LS (3х1,5) L=44-1,95%</v>
      </c>
      <c r="FY105">
        <f t="shared" si="199"/>
        <v>0.78</v>
      </c>
      <c r="FZ105">
        <f t="shared" si="200"/>
        <v>4.2299999999999995</v>
      </c>
      <c r="GA105">
        <f t="shared" si="201"/>
        <v>1</v>
      </c>
      <c r="GB105">
        <f t="shared" si="202"/>
        <v>0</v>
      </c>
      <c r="GC105">
        <f t="shared" si="203"/>
        <v>1</v>
      </c>
      <c r="GD105">
        <f>IF(BH105="","",IF(AND(CA105=1,GC105=1),COUNTIFS(A$3:A105,A105,CA$3:CA105,1,GC$3:GC105,1),IF(OR(OR(AW105=1,A105&lt;&gt;A104),AF105="вручную",GC105=0),"",IF(AW105=1,"",GE104))))</f>
        <v>3</v>
      </c>
      <c r="GE105">
        <f t="shared" si="204"/>
        <v>3</v>
      </c>
      <c r="GF105">
        <f>IF(B105="","",IFERROR(LOOKUP(INDEX(CHOOSE(DL105,Iдоп_1ж,Iдоп_2ж,Iдоп_3ж),MATCH(DX105,Iдоп_S,0))*DJ105*DK105,{6,10,16,20,25,32,40,50,63,80,100,125,160,200,250,315,400,500,630}),""))</f>
        <v>16</v>
      </c>
      <c r="GG105" t="str">
        <f t="shared" si="205"/>
        <v>QF3</v>
      </c>
      <c r="GH105" t="str">
        <f t="shared" si="206"/>
        <v>QF3</v>
      </c>
      <c r="GI105" t="str">
        <f t="shared" si="207"/>
        <v/>
      </c>
      <c r="GJ105">
        <f t="shared" si="208"/>
        <v>0</v>
      </c>
      <c r="GK105" t="str">
        <f>IF(OR(AG105="",AG105="-"),"",IFERROR(VLOOKUP(AG105,Модули_спр,2,FALSE),"R"))</f>
        <v/>
      </c>
      <c r="GL105" t="str">
        <f>IF(GK105="","",GK105&amp;"."&amp;COUNTIFS(A$3:A105,A105,GK$3:GK105,GK105))</f>
        <v/>
      </c>
      <c r="GM105" t="str">
        <f t="shared" si="209"/>
        <v/>
      </c>
      <c r="GN105" t="str">
        <f t="shared" si="210"/>
        <v/>
      </c>
      <c r="GO105" t="str">
        <f t="shared" si="211"/>
        <v/>
      </c>
      <c r="GP105" t="str">
        <f t="shared" si="212"/>
        <v/>
      </c>
      <c r="GQ105">
        <f t="shared" si="213"/>
        <v>1</v>
      </c>
      <c r="GR105" t="str">
        <f>IF(GQ105=1,"XT"&amp;COUNTIFS(A$3:A105,A105,GQ$3:GQ105,1),"")</f>
        <v>XT3</v>
      </c>
      <c r="GS105" t="str">
        <f t="shared" si="214"/>
        <v>XT3</v>
      </c>
      <c r="GT105" t="str">
        <f t="shared" si="215"/>
        <v>QF3</v>
      </c>
      <c r="GU105" t="str">
        <f t="shared" si="216"/>
        <v/>
      </c>
      <c r="GV105" t="str">
        <f t="shared" si="217"/>
        <v>ok</v>
      </c>
      <c r="GW105" t="str">
        <f>IF(OR(GO105="",GM105=""),"",IF(GO105&gt;IFERROR(VLOOKUP(GN105,Модули_спр,3,FALSE),99),"ЛИШНИЙ КАНАЛ",IF(AND(AH105&lt;&gt;"=",COUNTIFS(Линии[_модуль гр.],GM105,Линии[Канал (итог)],GO105,Линии[Канал],"&lt;&gt;=",Линии[Щит],A105)&gt;1),"ДУБЛЬ КАНАЛА","")))</f>
        <v/>
      </c>
      <c r="GX105" s="6" t="str">
        <f t="shared" si="218"/>
        <v/>
      </c>
      <c r="GY105">
        <f t="shared" si="219"/>
        <v>10</v>
      </c>
      <c r="GZ105" t="str">
        <f t="shared" si="220"/>
        <v/>
      </c>
      <c r="HA105" t="str">
        <f>IF(AND(B105="",GT105=""),"",_xlfn.TEXTJOIN("; ",TRUE,IF(AND(B105&lt;&gt;"",FE105=""),"нет фазы",""),IF(AND(B105&lt;&gt;"",N(FY105)=0,EQ105&lt;&gt;"Нет"),"нет мощности",""),IF(AND(GS105&lt;&gt;"",COUNTIFS(Линии[Щит],A105,Линии[Клемма (итог)],GS105)&gt;1),"дубль клеммы "&amp;GS105,""),IF(AND(GV105&lt;&gt;"",GV105&lt;&gt;"ok"),GV105,""),IF(GW105&lt;&gt;"",GW105,""),IF(AND(N(BV105)&gt;=4,N(BR105)=1),BV105&amp;" жил на 1 фазе",""),IF(AND(AX105="R",CA105=1,OR(N(CK105)=0,N(CK105)&gt;30)),"розетка без дифзащиты до 30 мА",""),IFERROR(IF(AND(ISNUMBER(R105),R105&gt;DV105),"потери "&amp;FIXED(R105,1)&amp;" % &gt; "&amp;DV105&amp;" %",""),""),IFERROR(IF(LEFT(GZ105,4)="мало","Iкз мало — отключение &gt; 0,4 с",""),""),IF(AND(B105&lt;&gt;"",BH105=""),"не на схеме",""),IF(AND(CA105=0,B105&lt;&gt;"",FE105&lt;&gt;"",IF(AW105=1,"",FF104)&lt;&gt;"",FE105&lt;&gt;IF(AW105=1,"",FF104)),"фаза не как у автомата группы ("&amp;IF(AW105=1,"",FF104)&amp;")","")))</f>
        <v/>
      </c>
      <c r="HB105" s="6">
        <f>IF(OR(CA105=0,DA105=""),"",_xlfn.LET(_xlpm.t,IFERROR(_xlfn.XLOOKUP(DA105,Каталог!$U$4:$U$500,Каталог!$G$4:$G$500),""),_xlpm.k,SEARCH("кА",_xlpm.t),IFERROR(--TRIM(RIGHT(SUBSTITUTE(MID(_xlpm.t,MAX(1,_xlpm.k-4),_xlpm.k-MAX(1,_xlpm.k-4))," ",REPT(" ",9)),5)),"")))</f>
        <v>6</v>
      </c>
      <c r="HC105" t="str">
        <f>IF(OR(HB105="",CA105=0),"",IF(_xlfn.XLOOKUP(A105,Щиты[Щит],Щиты[Iкз max на шинах, кА],"")="","",IF(HB105&lt;_xlfn.XLOOKUP(A105,Щиты[Щит],Щиты[Iкз max на шинах, кА]),"Icu "&amp;HB105&amp;" кА &lt; Iкз max","ok")))</f>
        <v/>
      </c>
      <c r="HD105" t="str">
        <f t="shared" si="221"/>
        <v/>
      </c>
      <c r="HE105" t="str">
        <f t="shared" si="222"/>
        <v>QF3|XT3</v>
      </c>
      <c r="HF105" t="str">
        <f t="shared" si="223"/>
        <v>QF3|XT3|кабель ВВГнг(А)-LS (3х1,5) → Приточно-вытяжная установка цокольный этаж Пом №001Тб</v>
      </c>
      <c r="HG105" t="str" cm="1">
        <f t="array" ref="HG105">IF(HF105="","",_xlfn.LET(_xlpm.nd,_xlfn.TEXTSPLIT(HF105,"|"),IF(COLUMNS(_xlpm.nd)&gt;1,A105&amp;"¦"&amp;INDEX(_xlpm.nd,1)&amp;"¦"&amp;INDEX(_xlpm.nd,2),"")))</f>
        <v>ЩОВ-01¦QF3¦XT3</v>
      </c>
      <c r="HH105" t="str">
        <f t="shared" si="224"/>
        <v>ПВ.9¦Приточно-вытяжная установка цокольный этаж Пом №001Тб</v>
      </c>
      <c r="HI105" t="str" cm="1">
        <f t="array" ref="HI105">IF(HF105="","",_xlfn.LET(_xlpm.nd,_xlfn.TEXTSPLIT(HF105,"|"),IF(COLUMNS(_xlpm.nd)&gt;2,A105&amp;"¦"&amp;INDEX(_xlpm.nd,2)&amp;"¦"&amp;INDEX(_xlpm.nd,3),"")))</f>
        <v>ЩОВ-01¦XT3¦кабель ВВГнг(А)-LS (3х1,5) → Приточно-вытяжная установка цокольный этаж Пом №001Тб</v>
      </c>
      <c r="HJ105" t="str">
        <f t="shared" si="225"/>
        <v>ПВ.9¦Приточно-вытяжная установка цокольный этаж Пом №001Тб</v>
      </c>
      <c r="HK105" t="str" cm="1">
        <f t="array" ref="HK105">IF(HF105="","",_xlfn.LET(_xlpm.nd,_xlfn.TEXTSPLIT(HF105,"|"),IF(COLUMNS(_xlpm.nd)&gt;3,A105&amp;"¦"&amp;INDEX(_xlpm.nd,3)&amp;"¦"&amp;INDEX(_xlpm.nd,4),"")))</f>
        <v/>
      </c>
      <c r="HL105" t="str">
        <f t="shared" si="226"/>
        <v/>
      </c>
      <c r="HM105" t="str" cm="1">
        <f t="array" ref="HM105">IF(HF105="","",_xlfn.LET(_xlpm.nd,_xlfn.TEXTSPLIT(HF105,"|"),IF(COLUMNS(_xlpm.nd)&gt;4,A105&amp;"¦"&amp;INDEX(_xlpm.nd,4)&amp;"¦"&amp;INDEX(_xlpm.nd,5),"")))</f>
        <v/>
      </c>
      <c r="HN105" t="str">
        <f t="shared" si="227"/>
        <v/>
      </c>
      <c r="HO105" t="str" cm="1">
        <f t="array" ref="HO105">IF(HF105="","",_xlfn.LET(_xlpm.nd,_xlfn.TEXTSPLIT(HF105,"|"),IF(COLUMNS(_xlpm.nd)&gt;5,A105&amp;"¦"&amp;INDEX(_xlpm.nd,5)&amp;"¦"&amp;INDEX(_xlpm.nd,6),"")))</f>
        <v/>
      </c>
      <c r="HP105" t="str">
        <f t="shared" si="228"/>
        <v/>
      </c>
      <c r="HQ105" t="str" cm="1">
        <f t="array" ref="HQ105">IF(HF105="","",_xlfn.LET(_xlpm.nd,_xlfn.TEXTSPLIT(HF105,"|"),IF(COLUMNS(_xlpm.nd)&gt;6,A105&amp;"¦"&amp;INDEX(_xlpm.nd,6)&amp;"¦"&amp;INDEX(_xlpm.nd,7),"")))</f>
        <v/>
      </c>
      <c r="HR105" t="str">
        <f t="shared" si="229"/>
        <v/>
      </c>
      <c r="HS105" t="str">
        <f t="shared" si="230"/>
        <v/>
      </c>
      <c r="HT105" t="str">
        <f t="shared" si="231"/>
        <v>QF3 → XT3</v>
      </c>
      <c r="HU105">
        <f t="shared" si="232"/>
        <v>0</v>
      </c>
      <c r="HV105">
        <f t="shared" si="233"/>
        <v>0</v>
      </c>
      <c r="HW105" t="str">
        <f t="shared" si="234"/>
        <v/>
      </c>
      <c r="HX105" t="str">
        <f t="shared" si="235"/>
        <v/>
      </c>
      <c r="HY105" t="str">
        <f t="shared" si="236"/>
        <v/>
      </c>
      <c r="HZ105" t="str">
        <f t="shared" si="237"/>
        <v/>
      </c>
      <c r="IA105" t="str">
        <f>IF(B105="","",IFERROR(VLOOKUP(B105,УГО_спр,2,FALSE),IFERROR(VLOOKUP(AX105,УГО_спр,2,FALSE),IFERROR(VLOOKUP(LEFT(AX105,2),УГО_спр,2,FALSE),""))))</f>
        <v>Привод (двигатель)</v>
      </c>
      <c r="IB105" t="str">
        <f>IF(B105="","",IF(OR(IA105="",IA105=0),"BOX",IFERROR(IF(VLOOKUP(IA105,УГО_блоки,3,FALSE)&amp;""&lt;&gt;"",VLOOKUP(IA105,УГО_блоки,3,FALSE),VLOOKUP(IA105,УГО_блоки,2,FALSE)),IA105)))</f>
        <v>MOTOR</v>
      </c>
      <c r="IC105">
        <f t="shared" si="238"/>
        <v>1</v>
      </c>
      <c r="ID105" t="str">
        <f>IF(DA105="","",IF(COUNTIF(DA$3:DA105,DA105)=1,MAX(ID$2:ID104)+1,""))</f>
        <v/>
      </c>
      <c r="IE105" t="str">
        <f>IF(CO105="","",IF(COUNTIF(CO$3:CO105,CO105)+COUNTIF(CP$2:CP104,CO105)+COUNTIF(CQ$2:CQ104,CO105)=1,MAX(IE$2:IG104)+1,""))</f>
        <v/>
      </c>
      <c r="IF105" t="str">
        <f>IF(CP105="","",IF(COUNTIF(CO$3:CO105,CP105)+COUNTIF(CP$3:CP105,CP105)+COUNTIF(CQ$2:CQ104,CP105)=1,MAX(IE$2:IG104,IE105)+1,""))</f>
        <v/>
      </c>
      <c r="IG105" t="str">
        <f>IF(CQ105="","",IF(COUNTIF(CO$3:CO105,CQ105)+COUNTIF(CP$3:CP105,CQ105)+COUNTIF(CQ$3:CQ105,CQ105)=1,MAX(IE$2:IG104,IE105,IF105)+1,""))</f>
        <v/>
      </c>
      <c r="IH105" t="str">
        <f t="shared" si="239"/>
        <v>3х1,5</v>
      </c>
      <c r="II105" t="str">
        <f>IF(IH105="","",IF(COUNTIF(IH$3:IH105,IH105)=1,MAX(II$2:II104)+1,""))</f>
        <v/>
      </c>
      <c r="IJ105" t="str">
        <f>IF(GL105="","",COUNTIF(GL$3:GL105,"?*"))</f>
        <v/>
      </c>
      <c r="IK105" t="str">
        <f>IF(OR(GL105="",GN105=""),"",IF(COUNTIFS(GL$3:GL105,"?*",GN$3:GN105,GN105)=1,MAX(IK$2:IK104)+1,""))</f>
        <v/>
      </c>
      <c r="IL105">
        <f t="shared" si="240"/>
        <v>0</v>
      </c>
      <c r="IM105">
        <f>IF(B105="","",COUNTIF(B$3:B105,"?*"))</f>
        <v>103</v>
      </c>
      <c r="IN105">
        <f>IF(GQ105&lt;&gt;1,0,_xlfn.LET(_xlpm.k,MAX(IFERROR(--VLOOKUP(B105,УГО_спр,5,FALSE),0),IFERROR(--VLOOKUP(AX105,УГО_спр,5,FALSE),0),IFERROR(--VLOOKUP(LEFT(AX105,2),УГО_спр,5,FALSE),0)),IF(_xlpm.k&gt;0,_xlpm.k,IF(IFERROR(--LEFT(SUBSTITUTE(IH105,"x","х"),FIND("х",SUBSTITUTE(IH105,"x","х"))-1),3)&gt;3,Каталог!$S$9,1))))</f>
        <v>1</v>
      </c>
      <c r="IO105">
        <f t="shared" si="241"/>
        <v>0</v>
      </c>
      <c r="IP105" t="str">
        <f t="shared" si="242"/>
        <v>авто</v>
      </c>
      <c r="IQ105" t="str">
        <f t="shared" si="243"/>
        <v/>
      </c>
      <c r="IR105">
        <f t="shared" si="244"/>
        <v>0</v>
      </c>
      <c r="IS105">
        <f t="shared" si="245"/>
        <v>1</v>
      </c>
    </row>
    <row r="106" spans="1:253" x14ac:dyDescent="0.3">
      <c r="A106" t="s">
        <v>747</v>
      </c>
      <c r="B106" t="s">
        <v>1376</v>
      </c>
      <c r="C106" t="s">
        <v>1629</v>
      </c>
      <c r="D106">
        <v>1</v>
      </c>
      <c r="E106">
        <v>0.3</v>
      </c>
      <c r="G106">
        <v>10</v>
      </c>
      <c r="H106" t="str">
        <f>Линии[[#This Row],[_авто утечка]]</f>
        <v/>
      </c>
      <c r="I106" t="str">
        <f>Линии[[#This Row],[_авто управление]]</f>
        <v/>
      </c>
      <c r="J106" t="str">
        <f>Линии[[#This Row],[_авто аппараты]]</f>
        <v/>
      </c>
      <c r="K106">
        <v>1.5</v>
      </c>
      <c r="L106">
        <v>38</v>
      </c>
      <c r="M106" t="str">
        <f>Линии[[#This Row],[_авто фаза]]</f>
        <v>L2</v>
      </c>
      <c r="N106" t="str">
        <f>Линии[[#This Row],[_авто клемма]]</f>
        <v>XT4</v>
      </c>
      <c r="O106" t="str">
        <f t="shared" si="123"/>
        <v/>
      </c>
      <c r="P106" s="6" cm="1">
        <f t="array" ref="P106">IF(B106="","",IF(BC106&lt;&gt;"",IFERROR(_xlfn.XLOOKUP(BC106,Щиты[Щит],Щиты[Iр, А]),""),IF(BK106=1,IFERROR(_xlfn.XLOOKUP(A106,Щиты[Щит],Щиты[Iр, А]),""),IFERROR(_xlfn.IFS(BR106=1,BN106/((Uн_лин/SQRT(3))*BY106),BR106=3,BN106/(SQRT(3)*Uн_лин*BY106)),""))))</f>
        <v>1.6237976320958221</v>
      </c>
      <c r="Q106" s="7">
        <f>IF(B106="","",IFERROR(IF(VLOOKUP(AX106,Потребители_обозначение,4,FALSE)=1,VLOOKUP(AX106,Потребители_обозначение,3,FALSE)*(D106*2-1)+DS106+VLOOKUP(AZ106,Этаж_обозначение,3,FALSE)+VLOOKUP(AZ106,Этаж_обозначение,4,FALSE),VLOOKUP(AX106,Потребители_обозначение,3,FALSE)*(D106*2-1)+DS106),DS106))</f>
        <v>42</v>
      </c>
      <c r="R106" s="6">
        <f t="shared" si="124"/>
        <v>0.96</v>
      </c>
      <c r="S106" t="str">
        <f t="shared" si="125"/>
        <v>ВВГнг(А)-LS (3х1,5)</v>
      </c>
      <c r="T106" t="str">
        <f>IF(BH106="","",IF(BI106="вводной узел","узел ","")&amp;"л."&amp;(INT((BH106-1)/Столбцов_на_лист)+1)&amp;" / "&amp;(MOD(BH106-1,Столбцов_на_лист)+1))</f>
        <v>л.2 / 4</v>
      </c>
      <c r="V106">
        <v>1</v>
      </c>
      <c r="W106">
        <v>230</v>
      </c>
      <c r="X106" t="s">
        <v>600</v>
      </c>
      <c r="Y106">
        <v>0.5</v>
      </c>
      <c r="AC106" t="s">
        <v>815</v>
      </c>
      <c r="AE106" t="s">
        <v>582</v>
      </c>
      <c r="AI106">
        <v>21</v>
      </c>
      <c r="AJ106" t="s">
        <v>11</v>
      </c>
      <c r="AK106">
        <v>3</v>
      </c>
      <c r="AM106">
        <v>32</v>
      </c>
      <c r="AN106">
        <v>10</v>
      </c>
      <c r="AP106">
        <v>1</v>
      </c>
      <c r="AW106" cm="1">
        <f t="array" ref="AW106">ROW()-ROW(Линии[#Headers])</f>
        <v>104</v>
      </c>
      <c r="AX106" s="6" t="str">
        <f t="shared" si="126"/>
        <v>В</v>
      </c>
      <c r="AY106" t="str">
        <f t="shared" si="127"/>
        <v>2</v>
      </c>
      <c r="AZ106" t="str">
        <f t="shared" si="128"/>
        <v>2</v>
      </c>
      <c r="BA106" t="str">
        <f t="shared" si="129"/>
        <v/>
      </c>
      <c r="BB106" t="str">
        <f t="shared" si="130"/>
        <v/>
      </c>
      <c r="BC106" t="str">
        <f>IF(U106&lt;&gt;"",U106,IF(AND(B106&lt;&gt;"",B106&lt;&gt;A106,ISNUMBER(_xlfn.XMATCH(B106,Щиты[Щит]))),B106,""))</f>
        <v/>
      </c>
      <c r="BD106" t="str" cm="1">
        <f t="array" ref="BD106">IF(B106="","",IF(BC106&lt;&gt;"","Щит "&amp;BC106,_xlfn.LET(_xlpm.nm,IFERROR(_xlfn.XLOOKUP(AX106,Коды_код,Коды_имя)&amp;"",""),_xlpm.md,IFERROR(N(_xlfn.XLOOKUP(AX106,Коды_код,Коды_режим)),1),_xlpm.ex,IF(Имя_режим="по экспликации",IFERROR(_xlfn.XLOOKUP(AZ106&amp;"|"&amp;BB106,Экспликация[Этаж]&amp;"|"&amp;Экспликация[Помещение],Экспликация[Название])&amp;"",""),""),_xlpm.rm,IF(BB106="","",IF(_xlpm.ex&lt;&gt;"",". "&amp;_xlpm.ex&amp;IF(Имя_пом="нет"," ("&amp;BB106&amp;")"," (пом. "&amp;BB106&amp;")"),IF(Имя_пом="нет"," ",", пом. ")&amp;BB106)),IF(_xlpm.nm="","",IF(_xlpm.md=2,_xlpm.nm&amp;" шлейф "&amp;AZ106,_xlpm.nm&amp;_xlpm.rm)))))</f>
        <v>Вытяжная установка шлейф 2</v>
      </c>
      <c r="BE106" t="str">
        <f t="shared" si="131"/>
        <v>Вытяжная установка Пом. №003Б</v>
      </c>
      <c r="BF106">
        <f>IFERROR(_xlfn.XMATCH(A106,Щиты[Щит]),0)</f>
        <v>6</v>
      </c>
      <c r="BG106">
        <f>_xlfn.LET(_xlpm.k,IFERROR(_xlfn.XLOOKUP(A106,Щиты[Щит],Щиты[Листов под вводной узел]),""),IF(_xlpm.k="",1,N(_xlpm.k))*Столбцов_на_лист)</f>
        <v>17</v>
      </c>
      <c r="BH106">
        <f t="shared" si="132"/>
        <v>21</v>
      </c>
      <c r="BI106" t="str">
        <f t="shared" si="133"/>
        <v>линии</v>
      </c>
      <c r="BJ106" s="6">
        <f>IFERROR(N(_xlfn.XLOOKUP(AX106,Коды_код,Коды_квт)),0)</f>
        <v>0</v>
      </c>
      <c r="BK106">
        <f t="shared" si="134"/>
        <v>0</v>
      </c>
      <c r="BL106" t="str">
        <f>IF(B106="","",IF(BC106&lt;&gt;"",IFERROR(_xlfn.XLOOKUP(BC106,Щиты[Щит],Щиты[Руст, кВт]),0),IF(BK106=1,IFERROR(_xlfn.XLOOKUP(A106,Щиты[Щит],Щиты[Руст, кВт]),0),IF(BJ106&gt;0,ROUND(BJ106*MAX(1,N(D106)),3),""))))</f>
        <v/>
      </c>
      <c r="BM106">
        <f t="shared" si="135"/>
        <v>0.3</v>
      </c>
      <c r="BN106" s="6">
        <f>IF(B106="","",IF(BC106&lt;&gt;"",IFERROR(_xlfn.XLOOKUP(BC106,Щиты[Щит],Щиты[Руст, кВт]),0),N(BM106)))</f>
        <v>0.3</v>
      </c>
      <c r="BO106" t="str">
        <f>IF(B106="","",IFERROR(IF(VLOOKUP(AX106,Потребители_обозначение,8,FALSE)=0,"",VLOOKUP(AX106,Потребители_обозначение,8,FALSE)),""))</f>
        <v/>
      </c>
      <c r="BP106">
        <f t="shared" si="136"/>
        <v>230</v>
      </c>
      <c r="BQ106">
        <f>IF(B106="","",IF(BC106&lt;&gt;"",3,IFERROR(IF(N(VLOOKUP(AX106,Потребители_обозначение,9,FALSE))=0,1,VLOOKUP(AX106,Потребители_обозначение,9,FALSE)),1)))</f>
        <v>1</v>
      </c>
      <c r="BR106">
        <f t="shared" si="137"/>
        <v>1</v>
      </c>
      <c r="BS106" t="str">
        <f>IF(B106="","",_xlfn.LET(_xlpm.bc,IFERROR(IF(VLOOKUP(AX106,Потребители_обозначение,6,FALSE)=0,"",VLOOKUP(AX106,Потребители_обозначение,6,FALSE)&amp;""),""),IF(AND(FK106="да",OR(_xlpm.bc="",_xlpm.bc="мс")),Марка_пож,IF(AND(_xlpm.bc="",BC106&lt;&gt;""),"мс",_xlpm.bc))))</f>
        <v/>
      </c>
      <c r="BT106" t="str">
        <f t="shared" si="138"/>
        <v>мс</v>
      </c>
      <c r="BU106">
        <f>IF(B106="","",_xlfn.LET(_xlpm.cc,IFERROR(N(VLOOKUP(AX106,Потребители_обозначение,7,FALSE)),0),IF(_xlpm.cc&gt;0,_xlpm.cc,IF(BT106="","",IF(N(BR106)=3,5,3)))))</f>
        <v>3</v>
      </c>
      <c r="BV106">
        <f t="shared" si="139"/>
        <v>3</v>
      </c>
      <c r="BW106">
        <f>IFERROR(N(VLOOKUP(AX106,Потребители_обозначение,10,FALSE)),0)</f>
        <v>0</v>
      </c>
      <c r="BX106">
        <f>IFERROR(VLOOKUP(AX106,Потребители_обозначение,5,FALSE),0)</f>
        <v>1</v>
      </c>
      <c r="BY106" s="6" cm="1">
        <f t="array" ref="BY106">IF(B106="","",IF(BC106&lt;&gt;"",IFERROR(_xlfn.XLOOKUP(BC106,Щиты[Щит],Щиты[cos φ]),0.95),IF(BK106=1,IFERROR(_xlfn.XLOOKUP(A106,Щиты[Щит],Щиты[cos φ]),0.95),IF(ISNUMBER(Z106),Z106,IFERROR(IF(BX106=2,_xlfn.IFS(BR106=3,VLOOKUP(BN106,Справочная_двигатели,8,FALSE),BR106=1,VLOOKUP(BN106,Справочная_двигатели,10,TRUE)),IF(AND(Методика="нормы 2026",EQ106="Сил"),0.8,0.95)),0.95)))))</f>
        <v>0.8</v>
      </c>
      <c r="BZ106">
        <f t="shared" si="140"/>
        <v>0</v>
      </c>
      <c r="CA106">
        <f t="shared" si="141"/>
        <v>1</v>
      </c>
      <c r="CB106">
        <f t="shared" si="142"/>
        <v>0</v>
      </c>
      <c r="CC106">
        <f t="shared" si="143"/>
        <v>0</v>
      </c>
      <c r="CD106">
        <f t="shared" si="144"/>
        <v>0</v>
      </c>
      <c r="CE106">
        <f t="shared" si="145"/>
        <v>0</v>
      </c>
      <c r="CF106">
        <f t="shared" si="146"/>
        <v>0</v>
      </c>
      <c r="CG106">
        <f>IF(AX106="",0,_xlfn.LET(_xlpm.v,IFERROR(VLOOKUP(B106,УГО_спр,3,FALSE),IFERROR(VLOOKUP(AX106,УГО_спр,3,FALSE),IFERROR(VLOOKUP(LEFT(AX106,2),УГО_спр,3,FALSE),""))),IF(_xlpm.v="да",30,IF(ISNUMBER(_xlpm.v),_xlpm.v,0))))</f>
        <v>0</v>
      </c>
      <c r="CH106" t="str">
        <f t="shared" si="147"/>
        <v/>
      </c>
      <c r="CI106" t="str">
        <f>_xlfn.LET(_xlpm.k,IFERROR(_xlfn.XLOOKUP(AX106,Коды_код,Коды_утечка)&amp;"",""),IF(_xlpm.k="","дифавтомат",_xlpm.k))</f>
        <v>дифавтомат</v>
      </c>
      <c r="CJ106">
        <f t="shared" si="148"/>
        <v>0</v>
      </c>
      <c r="CK106">
        <f t="shared" si="149"/>
        <v>0</v>
      </c>
      <c r="CL106">
        <f>IF(B106="",0,IFERROR(--VLOOKUP(B106,УГО_спр,4,FALSE),IFERROR(--VLOOKUP(AX106,УГО_спр,4,FALSE),IFERROR(--VLOOKUP(LEFT(AX106,2),УГО_спр,4,FALSE),0))))</f>
        <v>0</v>
      </c>
      <c r="CM106" t="str">
        <f>IF(B106="","",IFERROR(_xlfn.XLOOKUP(AX106,Коды_код,Коды_апп)&amp;"",""))</f>
        <v/>
      </c>
      <c r="CN106" t="str">
        <f t="shared" si="150"/>
        <v/>
      </c>
      <c r="CO106" t="str" cm="1">
        <f t="array" ref="CO106">IF(TRIM(CN106&amp;"")="","",IFERROR(TRIM(INDEX(_xlfn.TEXTSPLIT(CN106&amp;";;;",";"),1)),""))</f>
        <v/>
      </c>
      <c r="CP106" t="str" cm="1">
        <f t="array" ref="CP106">IF(TRIM(CN106&amp;"")="","",IFERROR(TRIM(INDEX(_xlfn.TEXTSPLIT(CN106&amp;";;;",";"),2)),""))</f>
        <v/>
      </c>
      <c r="CQ106" t="str" cm="1">
        <f t="array" ref="CQ106">IF(TRIM(CN106&amp;"")="","",IFERROR(TRIM(INDEX(_xlfn.TEXTSPLIT(CN106&amp;";;;",";"),3)),""))</f>
        <v/>
      </c>
      <c r="CR106">
        <f t="shared" si="151"/>
        <v>0</v>
      </c>
      <c r="CS106" t="str">
        <f>IF(B106="","",_xlfn.LET(_xlpm.t,LOWER(AV106&amp;""),IF(ISNUMBER(SEARCH("dim",_xlpm.t)),"DIM",IF(ISNUMBER(SEARCH("dali",_xlpm.t)),"DALI",IF(OR(ISNUMBER(SEARCH("relay",_xlpm.t)),ISNUMBER(SEARCH("реле",_xlpm.t))),"Relay",IF(ISNUMBER(SEARCH("кнопк",_xlpm.t)),"",IFERROR(_xlfn.XLOOKUP(AX106,Коды_код,Коды_упр)&amp;"","")))))))</f>
        <v/>
      </c>
      <c r="CT106" t="str">
        <f t="shared" si="152"/>
        <v/>
      </c>
      <c r="CU106">
        <f>IF(B106="","",_xlfn.LET(_xlpm.ig,N(P106)+IF(AF106="вручную",0,N(CB106)),_xlpm.n0,IFERROR(VLOOKUP(_xlpm.ig,Автомат_номиналы,2,TRUE),0),_xlpm.mn,MAX(CL106,IF(AF106="вручную",0,N(CE106))),MAX(_xlpm.n0,_xlpm.mn,IF(CR106=1,Мин_автомат_БП,0))))</f>
        <v>6</v>
      </c>
      <c r="CV106">
        <f t="shared" si="153"/>
        <v>1</v>
      </c>
      <c r="CW106" t="str">
        <f t="shared" si="154"/>
        <v>1P</v>
      </c>
      <c r="CX106" t="str">
        <f>_xlfn.LET(_xlpm.cc,UPPER(TRIM(IFERROR(_xlfn.XLOOKUP(AX106,Коды_код,Коды_хар)&amp;"",""))),IF(OR(_xlpm.cc="B",_xlpm.cc="В"),"B",IF(_xlpm.cc="D","D","С")))</f>
        <v>С</v>
      </c>
      <c r="CY106" t="str">
        <f t="shared" si="155"/>
        <v>1P С6А</v>
      </c>
      <c r="CZ106">
        <f t="shared" si="156"/>
        <v>10</v>
      </c>
      <c r="DA106" t="str">
        <f t="shared" si="157"/>
        <v>1P С10А</v>
      </c>
      <c r="DB106" cm="1">
        <f t="array" ref="DB106">IF(DA106="","",_xlfn.LET(_xlpm.t,SUBSTITUTE(SUBSTITUTE(SUBSTITUTE(UPPER(DA106),"С","C"),"А","A"),"В","B"),_xlpm.tk,_xlfn.TEXTSPLIT(_xlpm.t,"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6" t="str">
        <f t="shared" si="158"/>
        <v>ok</v>
      </c>
      <c r="DD106">
        <f t="shared" si="159"/>
        <v>10</v>
      </c>
      <c r="DE106" t="str">
        <f t="shared" si="160"/>
        <v>1P С10А</v>
      </c>
      <c r="DF106">
        <f t="shared" si="161"/>
        <v>0</v>
      </c>
      <c r="DG106">
        <f t="shared" si="162"/>
        <v>0</v>
      </c>
      <c r="DH106">
        <f t="shared" si="163"/>
        <v>0</v>
      </c>
      <c r="DI106">
        <f t="shared" si="164"/>
        <v>1.6237976320958221</v>
      </c>
      <c r="DJ106">
        <f t="shared" si="165"/>
        <v>1</v>
      </c>
      <c r="DK106">
        <f>IF(ISNUMBER(AL106),AL106,К_прокл)</f>
        <v>1</v>
      </c>
      <c r="DL106">
        <f t="shared" si="166"/>
        <v>2</v>
      </c>
      <c r="DM106">
        <f>IFERROR(N(VLOOKUP(BT106,Кабель_обозначение,3,FALSE)),1)</f>
        <v>1</v>
      </c>
      <c r="DN106">
        <f>IFERROR(N(_xlfn.XLOOKUP(A106,Щиты[Щит],Щиты[ΔU до шин, %])),0)</f>
        <v>0.24000000000000002</v>
      </c>
      <c r="DO106" t="str">
        <f>IFERROR(_xlfn.XLOOKUP(A106,Щиты[Щит],Щиты[Zпетли на шинах, Ом]),"")</f>
        <v/>
      </c>
      <c r="DP106">
        <f>IFERROR(N(_xlfn.XLOOKUP(A106,Щиты[Щит],Щиты[ΔU до шин (подбор), %])),0)</f>
        <v>0.36</v>
      </c>
      <c r="DQ106" t="str">
        <f>IFERROR(_xlfn.XLOOKUP(A106,Щиты[Щит],Щиты[Zпетли на шинах (подбор), Ом]),"")</f>
        <v/>
      </c>
      <c r="DR106" t="str">
        <f t="shared" si="167"/>
        <v/>
      </c>
      <c r="DS106">
        <f t="shared" si="168"/>
        <v>38</v>
      </c>
      <c r="DT106">
        <f t="shared" si="169"/>
        <v>2</v>
      </c>
      <c r="DU106">
        <f t="shared" si="170"/>
        <v>0.6</v>
      </c>
      <c r="DV106" s="6">
        <f>IF(B106="","",IF(IFERROR(VLOOKUP(AX106,УГО_спр,2,FALSE),"")="Светильник",3,4)+IF(Методика="нормы 2026",MIN(0.5,MAX(0,N(Q106)-100)*0.005),0))</f>
        <v>4</v>
      </c>
      <c r="DW106" cm="1">
        <f t="array" ref="DW106">IF(OR(B106="",BT106="",DM106&lt;&gt;1),"",_xlfn.LET(_xlpm.sz,Iдоп_S,_xlpm.t_,CHOOSE(DL106,Iдоп_1ж,Iдоп_2ж,Iдоп_3ж)*DJ106*DK106,_xlpm.inn,N(DD106),_xlpm.smin,MAX(1.5,BW106),_xlpm.L_,N(Q106)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106)*(_xlpm.rho*_xlpm.L_/_xlpm.sz*N(BY106)+_xlpm.xx*_xlpm.L_*N(DU106)/1000)*N(P106)/((Uн_лин/SQRT(3))*1000)*100,999),_xlpm.kz,IF(OR(DG106=1,NOT(ISNUMBER(DQ106)),_xlpm.L_=0,_xlpm.inn=0),1,IFERROR(--(c_min*(Uн_лин*1000/SQRT(3))/(DQ106+2*ρкз_Cu*_xlpm.L_/_xlpm.sz)&gt;=GY106*_xlpm.inn),0)),_xlpm.ok,IFERROR((_xlpm.sz&gt;=_xlpm.smin)*(_xlpm.t_&gt;=_xlpm.inn)*IF(_xlpm.L_&gt;0,(_xlpm.du_+DP106&lt;=DV106+0.00001),1)*_xlpm.kz,0),_xlpm.r_,_xlfn._xlws.FILTER(_xlpm.sz,_xlpm.ok,"не подобрано"),INDEX(_xlpm.r_,1)))</f>
        <v>1.5</v>
      </c>
      <c r="DX106">
        <f t="shared" si="171"/>
        <v>1.5</v>
      </c>
      <c r="DY106" cm="1">
        <f t="array" ref="DY106">IF(OR(B106="",BT106="",DM106&lt;&gt;1),"",_xlfn.LET(_xlpm.sz,Iдоп_S,_xlpm.t_,CHOOSE(DL106,Iдоп_1ж,Iдоп_2ж,Iдоп_3ж)*DJ106*DK106,_xlpm.ok,IFERROR((_xlpm.sz&gt;=MAX(1.5,BW106))*(_xlpm.t_&gt;=N(DD106)),0),_xlpm.r_,_xlfn._xlws.FILTER(_xlpm.sz,_xlpm.ok,""),INDEX(_xlpm.r_,1)))</f>
        <v>1.5</v>
      </c>
      <c r="DZ106" s="6" cm="1">
        <f t="array" ref="DZ106">IFERROR(ROUNDUP(N(DT106)*(_xlfn.XLOOKUP(DY106,INDEX(Кабель_сопротивление,0,1),INDEX(Кабель_сопротивление,0,3))*N(Q106)/DY106*N(BY106)+_xlfn.XLOOKUP(DY106,INDEX(Кабель_сопротивление,0,1),INDEX(Кабель_сопротивление,0,2))*N(Q106)*N(DU106)/1000)*N(P106)/((Uн_лин/SQRT(3))*1000)*100,2),"")</f>
        <v>0.72</v>
      </c>
      <c r="EA106">
        <f>IFERROR(2*ρкз_Cu*N(Q106)/DY106,"")</f>
        <v>1.4728000000000001</v>
      </c>
      <c r="EB106">
        <f>IFERROR(VLOOKUP(DX106,Кабель_сопротивление,3,FALSE),"")</f>
        <v>2.2499999999999999E-2</v>
      </c>
      <c r="EC106">
        <f>IFERROR(VLOOKUP(DX106,Кабель_сопротивление,2,FALSE),"")</f>
        <v>0.11</v>
      </c>
      <c r="ED106">
        <f t="shared" si="172"/>
        <v>10</v>
      </c>
      <c r="EE106">
        <f t="shared" si="173"/>
        <v>0</v>
      </c>
      <c r="EF106">
        <f t="shared" si="174"/>
        <v>1.6457903472249278</v>
      </c>
      <c r="EG106" s="6">
        <f>IFERROR(ROUNDUP(EF106/((Uн_лин/SQRT(3))*1000)*100,2),"")</f>
        <v>0.72</v>
      </c>
      <c r="EH106" t="str">
        <f>IFERROR(VLOOKUP(BT106,Кабель_обозначение,2,FALSE),"")</f>
        <v>ВВГнг(А)-LS</v>
      </c>
      <c r="EI106" t="str">
        <f t="shared" si="175"/>
        <v>ВВГнг(А)-LS (3х1,5)</v>
      </c>
      <c r="EJ106" t="str">
        <f t="shared" si="176"/>
        <v>ВВГнг(А)-LS (3х1,5)
L=42-0,72%</v>
      </c>
      <c r="EK106">
        <f>IFERROR(2*ρкз_Cu*Q106/DX106,"")</f>
        <v>1.4728000000000001</v>
      </c>
      <c r="EL106">
        <f t="shared" si="177"/>
        <v>0.49000000000000005</v>
      </c>
      <c r="EM106" s="6" t="str">
        <f>IFERROR(IF(OR(B106="",NOT(ISNUMBER(DX106)),N(Q106)=0),"",_xlfn.XLOOKUP(A106,Щиты[Щит],Щиты[Zпетли на шинах, Ом])+EK106),"")</f>
        <v/>
      </c>
      <c r="EN106" s="6" t="str">
        <f>IF(ISNUMBER(EM106),c_min*(Uн_лин*1000/SQRT(3))/EM106,"")</f>
        <v/>
      </c>
      <c r="EO106" s="6" t="str">
        <f>IFERROR(IF(OR(B106="",NOT(ISNUMBER(DX106))),"",1.05*(Uн_лин*1000/SQRT(3))/(_xlfn.XLOOKUP(A106,Щиты[Щит],Щиты[Zmax на шинах, Ом])+EL106)/1000),"")</f>
        <v/>
      </c>
      <c r="EP106" s="6" t="str">
        <f>IF(B106="","",IF(ISNUMBER(Y106),"Сил",IF(IFERROR(_xlfn.XLOOKUP(AX106,Коды_код,Коды_группа)&amp;"","")="","Быт",_xlfn.XLOOKUP(AX106,Коды_код,Коды_группа)&amp;"")))</f>
        <v>Сил</v>
      </c>
      <c r="EQ106" s="6" t="str">
        <f t="shared" si="178"/>
        <v>Сил</v>
      </c>
      <c r="ER106" s="6">
        <f>IF(EQ106="Щит","щит",IF(EQ106="","",IF(EQ106="Быт",IFERROR(_xlfn.XLOOKUP(A106,Щиты[Щит],Щиты[Кс быт]),1),IF(EQ106="Сил",IF(ISNUMBER(Y106),Y106,IF(Методика="нормы 2026",IFERROR(_xlfn.XLOOKUP(A106,Щиты[Щит],Щиты[Кс силовых (табл. 7.5)]),1),1)),IF(OR(EQ106="Пост",EQ106="Отоп"),1,IF(EQ106="ВНГ",0.7,0))))))</f>
        <v>0.5</v>
      </c>
      <c r="ES106">
        <f t="shared" si="179"/>
        <v>1</v>
      </c>
      <c r="ET106">
        <f t="shared" si="180"/>
        <v>0.3</v>
      </c>
      <c r="EU106">
        <f t="shared" si="181"/>
        <v>0</v>
      </c>
      <c r="EV106">
        <f t="shared" si="182"/>
        <v>0.15</v>
      </c>
      <c r="EW106">
        <f t="shared" si="183"/>
        <v>0</v>
      </c>
      <c r="EX106">
        <f t="shared" si="184"/>
        <v>0</v>
      </c>
      <c r="EY106">
        <f t="shared" si="185"/>
        <v>0</v>
      </c>
      <c r="EZ106">
        <f t="shared" si="186"/>
        <v>0.3</v>
      </c>
      <c r="FA106">
        <f t="shared" si="187"/>
        <v>0.24</v>
      </c>
      <c r="FB106">
        <f t="shared" si="188"/>
        <v>0.3</v>
      </c>
      <c r="FC106" t="str">
        <f t="shared" si="189"/>
        <v/>
      </c>
      <c r="FD106" t="str">
        <f>IF(B106="","",IF(CA106=0,IF(AW106=1,"",FF105),IF(OR(N(CV106)&gt;=3,N(BR106)&gt;=3),"L1,L2,L3",IFERROR(_xlfn.TEXTBEFORE(_xlfn.TEXTAFTER(_xlfn.XLOOKUP(A106,Щиты[Щит],Щиты[_фазы авто]),";"&amp;AW106&amp;":"),";"),"L1"))))</f>
        <v>L2</v>
      </c>
      <c r="FE106" t="str">
        <f t="shared" si="190"/>
        <v>L2</v>
      </c>
      <c r="FF106" t="str">
        <f t="shared" si="191"/>
        <v>L2</v>
      </c>
      <c r="FG106" cm="1">
        <f t="array" ref="FG106">IFERROR(IF(BX106=2,_xlfn.IFS(BR106=3,VLOOKUP(BN106,Справочная_двигатели,3,FALSE),BR106=1,VLOOKUP(BN106,Справочная_двигатели,5,TRUE)),0),0)</f>
        <v>0</v>
      </c>
      <c r="FH106">
        <f>IFERROR(IF(BX106=3,VLOOKUP(BN106,Справочная_ЛЭД,2,TRUE),0),0)</f>
        <v>0</v>
      </c>
      <c r="FI106" s="6">
        <f t="shared" si="192"/>
        <v>0</v>
      </c>
      <c r="FJ106" t="str" cm="1">
        <f t="array" ref="FJ106">IF(B106="","",IFERROR(INDEX({"I особая","I","II","III"},MATCH(TRIM(AC106&amp;""),{"I особая","I","II","III"},0)),"III"))</f>
        <v>II</v>
      </c>
      <c r="FK106" t="str">
        <f>IF(B106="","",IF(TRIM(AD106&amp;"")&lt;&gt;"",IF(LOWER(TRIM(AD106&amp;""))="да","да","нет"),IF(IFERROR(_xlfn.XLOOKUP(AX106,Коды_код,Коды_пожарная),"")="да","да","нет")))</f>
        <v>нет</v>
      </c>
      <c r="FL106" t="str">
        <f t="shared" si="193"/>
        <v/>
      </c>
      <c r="FM106" t="str">
        <f t="shared" si="194"/>
        <v>основная</v>
      </c>
      <c r="FN106">
        <f t="shared" si="195"/>
        <v>1</v>
      </c>
      <c r="FO106" t="str" cm="1">
        <f t="array" ref="FO106">IF(B106="","",_xlfn.LET(_xlpm.t,IFERROR(_xlfn.XLOOKUP(1,(Шины[Шина]=FM106)*(((Шины[Щит]=A106)+(Шины[Щит]=""))&gt;0),Шины[Тип]),"")&amp;"",IF(_xlpm.t&lt;&gt;"",_xlpm.t,IF(ISNUMBER(SEARCH("ИБП",FM106)),"ИБП",IF(ISNUMBER(SEARCH("ДГУ",FM106)),"ДГУ","Ввод "&amp;FN106)))))</f>
        <v>Ввод 1</v>
      </c>
      <c r="FP106" t="str">
        <f t="shared" si="196"/>
        <v>Ввод 1</v>
      </c>
      <c r="FQ106" t="str">
        <f>IF(B106="","",IF(OR(FO106="ИБП",FO106="ДГУ"),"I особая",IF(FO106="Одиночная","III",_xlfn.XLOOKUP(A106,Щиты[Щит],Щиты[Категория шины «Ввод»],"III"))))</f>
        <v>II</v>
      </c>
      <c r="FR106">
        <f>IF(B106="",0,IFERROR(MATCH(FJ106,{"III","II","I","I особая"},0),1))</f>
        <v>2</v>
      </c>
      <c r="FS106">
        <f t="shared" si="197"/>
        <v>2</v>
      </c>
      <c r="FT106" t="str">
        <f>IF(B106="","",IF(FR106&gt;IFERROR(MATCH(FQ106,{"III","II","I","I особая"},0),1),"НЕ ОБЕСПЕЧЕНА","ОК"))</f>
        <v>ОК</v>
      </c>
      <c r="FU106" t="str">
        <f>IF(A106="","",_xlfn.XLOOKUP(A106,Щиты[Щит],Щиты[Путь],""))</f>
        <v>|ГРЩ-ЖД|ЩОВ-01|</v>
      </c>
      <c r="FV106" t="str">
        <f>IF(B106="","",IF(AE106&lt;&gt;"",AE106,IF(IFERROR(_xlfn.XLOOKUP(AX106,Коды_код,Коды_вид)&amp;"","")="","Прочее",_xlfn.XLOOKUP(AX106,Коды_код,Коды_вид)&amp;"")))</f>
        <v>Вентиляция</v>
      </c>
      <c r="FW106">
        <f>IF(BH106="","",INT((BH106-1)/Столбцов_на_лист)+1)</f>
        <v>2</v>
      </c>
      <c r="FX106" t="str">
        <f t="shared" si="198"/>
        <v>ВВГнг(А)-LS (3х1,5) L=42-0,72%</v>
      </c>
      <c r="FY106">
        <f t="shared" si="199"/>
        <v>0.3</v>
      </c>
      <c r="FZ106">
        <f t="shared" si="200"/>
        <v>1.6300000000000001</v>
      </c>
      <c r="GA106">
        <f t="shared" si="201"/>
        <v>1</v>
      </c>
      <c r="GB106">
        <f t="shared" si="202"/>
        <v>0</v>
      </c>
      <c r="GC106">
        <f t="shared" si="203"/>
        <v>1</v>
      </c>
      <c r="GD106">
        <f>IF(BH106="","",IF(AND(CA106=1,GC106=1),COUNTIFS(A$3:A106,A106,CA$3:CA106,1,GC$3:GC106,1),IF(OR(OR(AW106=1,A106&lt;&gt;A105),AF106="вручную",GC106=0),"",IF(AW106=1,"",GE105))))</f>
        <v>4</v>
      </c>
      <c r="GE106">
        <f t="shared" si="204"/>
        <v>4</v>
      </c>
      <c r="GF106">
        <f>IF(B106="","",IFERROR(LOOKUP(INDEX(CHOOSE(DL106,Iдоп_1ж,Iдоп_2ж,Iдоп_3ж),MATCH(DX106,Iдоп_S,0))*DJ106*DK106,{6,10,16,20,25,32,40,50,63,80,100,125,160,200,250,315,400,500,630}),""))</f>
        <v>16</v>
      </c>
      <c r="GG106" t="str">
        <f t="shared" si="205"/>
        <v>QF4</v>
      </c>
      <c r="GH106" t="str">
        <f t="shared" si="206"/>
        <v>QF4</v>
      </c>
      <c r="GI106" t="str">
        <f t="shared" si="207"/>
        <v/>
      </c>
      <c r="GJ106">
        <f t="shared" si="208"/>
        <v>0</v>
      </c>
      <c r="GK106" t="str">
        <f>IF(OR(AG106="",AG106="-"),"",IFERROR(VLOOKUP(AG106,Модули_спр,2,FALSE),"R"))</f>
        <v/>
      </c>
      <c r="GL106" t="str">
        <f>IF(GK106="","",GK106&amp;"."&amp;COUNTIFS(A$3:A106,A106,GK$3:GK106,GK106))</f>
        <v/>
      </c>
      <c r="GM106" t="str">
        <f t="shared" si="209"/>
        <v/>
      </c>
      <c r="GN106" t="str">
        <f t="shared" si="210"/>
        <v/>
      </c>
      <c r="GO106" t="str">
        <f t="shared" si="211"/>
        <v/>
      </c>
      <c r="GP106" t="str">
        <f t="shared" si="212"/>
        <v/>
      </c>
      <c r="GQ106">
        <f t="shared" si="213"/>
        <v>1</v>
      </c>
      <c r="GR106" t="str">
        <f>IF(GQ106=1,"XT"&amp;COUNTIFS(A$3:A106,A106,GQ$3:GQ106,1),"")</f>
        <v>XT4</v>
      </c>
      <c r="GS106" t="str">
        <f t="shared" si="214"/>
        <v>XT4</v>
      </c>
      <c r="GT106" t="str">
        <f t="shared" si="215"/>
        <v>QF4</v>
      </c>
      <c r="GU106" t="str">
        <f t="shared" si="216"/>
        <v/>
      </c>
      <c r="GV106" t="str">
        <f t="shared" si="217"/>
        <v>ok</v>
      </c>
      <c r="GW106" t="str">
        <f>IF(OR(GO106="",GM106=""),"",IF(GO106&gt;IFERROR(VLOOKUP(GN106,Модули_спр,3,FALSE),99),"ЛИШНИЙ КАНАЛ",IF(AND(AH106&lt;&gt;"=",COUNTIFS(Линии[_модуль гр.],GM106,Линии[Канал (итог)],GO106,Линии[Канал],"&lt;&gt;=",Линии[Щит],A106)&gt;1),"ДУБЛЬ КАНАЛА","")))</f>
        <v/>
      </c>
      <c r="GX106" s="6" t="str">
        <f t="shared" si="218"/>
        <v/>
      </c>
      <c r="GY106">
        <f t="shared" si="219"/>
        <v>10</v>
      </c>
      <c r="GZ106" t="str">
        <f t="shared" si="220"/>
        <v/>
      </c>
      <c r="HA106" t="str">
        <f>IF(AND(B106="",GT106=""),"",_xlfn.TEXTJOIN("; ",TRUE,IF(AND(B106&lt;&gt;"",FE106=""),"нет фазы",""),IF(AND(B106&lt;&gt;"",N(FY106)=0,EQ106&lt;&gt;"Нет"),"нет мощности",""),IF(AND(GS106&lt;&gt;"",COUNTIFS(Линии[Щит],A106,Линии[Клемма (итог)],GS106)&gt;1),"дубль клеммы "&amp;GS106,""),IF(AND(GV106&lt;&gt;"",GV106&lt;&gt;"ok"),GV106,""),IF(GW106&lt;&gt;"",GW106,""),IF(AND(N(BV106)&gt;=4,N(BR106)=1),BV106&amp;" жил на 1 фазе",""),IF(AND(AX106="R",CA106=1,OR(N(CK106)=0,N(CK106)&gt;30)),"розетка без дифзащиты до 30 мА",""),IFERROR(IF(AND(ISNUMBER(R106),R106&gt;DV106),"потери "&amp;FIXED(R106,1)&amp;" % &gt; "&amp;DV106&amp;" %",""),""),IFERROR(IF(LEFT(GZ106,4)="мало","Iкз мало — отключение &gt; 0,4 с",""),""),IF(AND(B106&lt;&gt;"",BH106=""),"не на схеме",""),IF(AND(CA106=0,B106&lt;&gt;"",FE106&lt;&gt;"",IF(AW106=1,"",FF105)&lt;&gt;"",FE106&lt;&gt;IF(AW106=1,"",FF105)),"фаза не как у автомата группы ("&amp;IF(AW106=1,"",FF105)&amp;")","")))</f>
        <v/>
      </c>
      <c r="HB106" s="6">
        <f>IF(OR(CA106=0,DA106=""),"",_xlfn.LET(_xlpm.t,IFERROR(_xlfn.XLOOKUP(DA106,Каталог!$U$4:$U$500,Каталог!$G$4:$G$500),""),_xlpm.k,SEARCH("кА",_xlpm.t),IFERROR(--TRIM(RIGHT(SUBSTITUTE(MID(_xlpm.t,MAX(1,_xlpm.k-4),_xlpm.k-MAX(1,_xlpm.k-4))," ",REPT(" ",9)),5)),"")))</f>
        <v>6</v>
      </c>
      <c r="HC106" t="str">
        <f>IF(OR(HB106="",CA106=0),"",IF(_xlfn.XLOOKUP(A106,Щиты[Щит],Щиты[Iкз max на шинах, кА],"")="","",IF(HB106&lt;_xlfn.XLOOKUP(A106,Щиты[Щит],Щиты[Iкз max на шинах, кА]),"Icu "&amp;HB106&amp;" кА &lt; Iкз max","ok")))</f>
        <v/>
      </c>
      <c r="HD106" t="str">
        <f t="shared" si="221"/>
        <v/>
      </c>
      <c r="HE106" t="str">
        <f t="shared" si="222"/>
        <v>QF4|XT4</v>
      </c>
      <c r="HF106" t="str">
        <f t="shared" si="223"/>
        <v>QF4|XT4|кабель ВВГнг(А)-LS (3х1,5) → Вытяжная установка Пом. №003Б</v>
      </c>
      <c r="HG106" t="str" cm="1">
        <f t="array" ref="HG106">IF(HF106="","",_xlfn.LET(_xlpm.nd,_xlfn.TEXTSPLIT(HF106,"|"),IF(COLUMNS(_xlpm.nd)&gt;1,A106&amp;"¦"&amp;INDEX(_xlpm.nd,1)&amp;"¦"&amp;INDEX(_xlpm.nd,2),"")))</f>
        <v>ЩОВ-01¦QF4¦XT4</v>
      </c>
      <c r="HH106" t="str">
        <f t="shared" si="224"/>
        <v>В.2¦Вытяжная установка Пом. №003Б</v>
      </c>
      <c r="HI106" t="str" cm="1">
        <f t="array" ref="HI106">IF(HF106="","",_xlfn.LET(_xlpm.nd,_xlfn.TEXTSPLIT(HF106,"|"),IF(COLUMNS(_xlpm.nd)&gt;2,A106&amp;"¦"&amp;INDEX(_xlpm.nd,2)&amp;"¦"&amp;INDEX(_xlpm.nd,3),"")))</f>
        <v>ЩОВ-01¦XT4¦кабель ВВГнг(А)-LS (3х1,5) → Вытяжная установка Пом. №003Б</v>
      </c>
      <c r="HJ106" t="str">
        <f t="shared" si="225"/>
        <v>В.2¦Вытяжная установка Пом. №003Б</v>
      </c>
      <c r="HK106" t="str" cm="1">
        <f t="array" ref="HK106">IF(HF106="","",_xlfn.LET(_xlpm.nd,_xlfn.TEXTSPLIT(HF106,"|"),IF(COLUMNS(_xlpm.nd)&gt;3,A106&amp;"¦"&amp;INDEX(_xlpm.nd,3)&amp;"¦"&amp;INDEX(_xlpm.nd,4),"")))</f>
        <v/>
      </c>
      <c r="HL106" t="str">
        <f t="shared" si="226"/>
        <v/>
      </c>
      <c r="HM106" t="str" cm="1">
        <f t="array" ref="HM106">IF(HF106="","",_xlfn.LET(_xlpm.nd,_xlfn.TEXTSPLIT(HF106,"|"),IF(COLUMNS(_xlpm.nd)&gt;4,A106&amp;"¦"&amp;INDEX(_xlpm.nd,4)&amp;"¦"&amp;INDEX(_xlpm.nd,5),"")))</f>
        <v/>
      </c>
      <c r="HN106" t="str">
        <f t="shared" si="227"/>
        <v/>
      </c>
      <c r="HO106" t="str" cm="1">
        <f t="array" ref="HO106">IF(HF106="","",_xlfn.LET(_xlpm.nd,_xlfn.TEXTSPLIT(HF106,"|"),IF(COLUMNS(_xlpm.nd)&gt;5,A106&amp;"¦"&amp;INDEX(_xlpm.nd,5)&amp;"¦"&amp;INDEX(_xlpm.nd,6),"")))</f>
        <v/>
      </c>
      <c r="HP106" t="str">
        <f t="shared" si="228"/>
        <v/>
      </c>
      <c r="HQ106" t="str" cm="1">
        <f t="array" ref="HQ106">IF(HF106="","",_xlfn.LET(_xlpm.nd,_xlfn.TEXTSPLIT(HF106,"|"),IF(COLUMNS(_xlpm.nd)&gt;6,A106&amp;"¦"&amp;INDEX(_xlpm.nd,6)&amp;"¦"&amp;INDEX(_xlpm.nd,7),"")))</f>
        <v/>
      </c>
      <c r="HR106" t="str">
        <f t="shared" si="229"/>
        <v/>
      </c>
      <c r="HS106" t="str">
        <f t="shared" si="230"/>
        <v/>
      </c>
      <c r="HT106" t="str">
        <f t="shared" si="231"/>
        <v>QF4 → XT4</v>
      </c>
      <c r="HU106">
        <f t="shared" si="232"/>
        <v>0</v>
      </c>
      <c r="HV106">
        <f t="shared" si="233"/>
        <v>0</v>
      </c>
      <c r="HW106" t="str">
        <f t="shared" si="234"/>
        <v/>
      </c>
      <c r="HX106" t="str">
        <f t="shared" si="235"/>
        <v/>
      </c>
      <c r="HY106" t="str">
        <f t="shared" si="236"/>
        <v/>
      </c>
      <c r="HZ106" t="str">
        <f t="shared" si="237"/>
        <v/>
      </c>
      <c r="IA106" t="str">
        <f>IF(B106="","",IFERROR(VLOOKUP(B106,УГО_спр,2,FALSE),IFERROR(VLOOKUP(AX106,УГО_спр,2,FALSE),IFERROR(VLOOKUP(LEFT(AX106,2),УГО_спр,2,FALSE),""))))</f>
        <v>Привод (двигатель)</v>
      </c>
      <c r="IB106" t="str">
        <f>IF(B106="","",IF(OR(IA106="",IA106=0),"BOX",IFERROR(IF(VLOOKUP(IA106,УГО_блоки,3,FALSE)&amp;""&lt;&gt;"",VLOOKUP(IA106,УГО_блоки,3,FALSE),VLOOKUP(IA106,УГО_блоки,2,FALSE)),IA106)))</f>
        <v>MOTOR</v>
      </c>
      <c r="IC106">
        <f t="shared" si="238"/>
        <v>1</v>
      </c>
      <c r="ID106" t="str">
        <f>IF(DA106="","",IF(COUNTIF(DA$3:DA106,DA106)=1,MAX(ID$2:ID105)+1,""))</f>
        <v/>
      </c>
      <c r="IE106" t="str">
        <f>IF(CO106="","",IF(COUNTIF(CO$3:CO106,CO106)+COUNTIF(CP$2:CP105,CO106)+COUNTIF(CQ$2:CQ105,CO106)=1,MAX(IE$2:IG105)+1,""))</f>
        <v/>
      </c>
      <c r="IF106" t="str">
        <f>IF(CP106="","",IF(COUNTIF(CO$3:CO106,CP106)+COUNTIF(CP$3:CP106,CP106)+COUNTIF(CQ$2:CQ105,CP106)=1,MAX(IE$2:IG105,IE106)+1,""))</f>
        <v/>
      </c>
      <c r="IG106" t="str">
        <f>IF(CQ106="","",IF(COUNTIF(CO$3:CO106,CQ106)+COUNTIF(CP$3:CP106,CQ106)+COUNTIF(CQ$3:CQ106,CQ106)=1,MAX(IE$2:IG105,IE106,IF106)+1,""))</f>
        <v/>
      </c>
      <c r="IH106" t="str">
        <f t="shared" si="239"/>
        <v>3х1,5</v>
      </c>
      <c r="II106" t="str">
        <f>IF(IH106="","",IF(COUNTIF(IH$3:IH106,IH106)=1,MAX(II$2:II105)+1,""))</f>
        <v/>
      </c>
      <c r="IJ106" t="str">
        <f>IF(GL106="","",COUNTIF(GL$3:GL106,"?*"))</f>
        <v/>
      </c>
      <c r="IK106" t="str">
        <f>IF(OR(GL106="",GN106=""),"",IF(COUNTIFS(GL$3:GL106,"?*",GN$3:GN106,GN106)=1,MAX(IK$2:IK105)+1,""))</f>
        <v/>
      </c>
      <c r="IL106">
        <f t="shared" si="240"/>
        <v>0</v>
      </c>
      <c r="IM106">
        <f>IF(B106="","",COUNTIF(B$3:B106,"?*"))</f>
        <v>104</v>
      </c>
      <c r="IN106">
        <f>IF(GQ106&lt;&gt;1,0,_xlfn.LET(_xlpm.k,MAX(IFERROR(--VLOOKUP(B106,УГО_спр,5,FALSE),0),IFERROR(--VLOOKUP(AX106,УГО_спр,5,FALSE),0),IFERROR(--VLOOKUP(LEFT(AX106,2),УГО_спр,5,FALSE),0)),IF(_xlpm.k&gt;0,_xlpm.k,IF(IFERROR(--LEFT(SUBSTITUTE(IH106,"x","х"),FIND("х",SUBSTITUTE(IH106,"x","х"))-1),3)&gt;3,Каталог!$S$9,1))))</f>
        <v>1</v>
      </c>
      <c r="IO106">
        <f t="shared" si="241"/>
        <v>0</v>
      </c>
      <c r="IP106" t="str">
        <f t="shared" si="242"/>
        <v>авто</v>
      </c>
      <c r="IQ106" t="str">
        <f t="shared" si="243"/>
        <v/>
      </c>
      <c r="IR106">
        <f t="shared" si="244"/>
        <v>0</v>
      </c>
      <c r="IS106">
        <f t="shared" si="245"/>
        <v>1</v>
      </c>
    </row>
    <row r="107" spans="1:253" x14ac:dyDescent="0.3">
      <c r="A107" t="s">
        <v>747</v>
      </c>
      <c r="B107" t="s">
        <v>1377</v>
      </c>
      <c r="C107" t="s">
        <v>1630</v>
      </c>
      <c r="D107">
        <v>1</v>
      </c>
      <c r="E107">
        <v>0.27</v>
      </c>
      <c r="G107">
        <v>10</v>
      </c>
      <c r="H107" t="str">
        <f>Линии[[#This Row],[_авто утечка]]</f>
        <v/>
      </c>
      <c r="I107" t="str">
        <f>Линии[[#This Row],[_авто управление]]</f>
        <v/>
      </c>
      <c r="J107" t="str">
        <f>Линии[[#This Row],[_авто аппараты]]</f>
        <v/>
      </c>
      <c r="K107">
        <v>1.5</v>
      </c>
      <c r="L107">
        <v>34</v>
      </c>
      <c r="M107" t="str">
        <f>Линии[[#This Row],[_авто фаза]]</f>
        <v>L2</v>
      </c>
      <c r="N107" t="s">
        <v>486</v>
      </c>
      <c r="O107" t="str">
        <f t="shared" si="123"/>
        <v/>
      </c>
      <c r="P107" s="6" cm="1">
        <f t="array" ref="P107">IF(B107="","",IF(BC107&lt;&gt;"",IFERROR(_xlfn.XLOOKUP(BC107,Щиты[Щит],Щиты[Iр, А]),""),IF(BK107=1,IFERROR(_xlfn.XLOOKUP(A107,Щиты[Щит],Щиты[Iр, А]),""),IFERROR(_xlfn.IFS(BR107=1,BN107/((Uн_лин/SQRT(3))*BY107),BR107=3,BN107/(SQRT(3)*Uн_лин*BY107)),""))))</f>
        <v>1.46141786888624</v>
      </c>
      <c r="Q107" s="7">
        <f>IF(B107="","",IFERROR(IF(VLOOKUP(AX107,Потребители_обозначение,4,FALSE)=1,VLOOKUP(AX107,Потребители_обозначение,3,FALSE)*(D107*2-1)+DS107+VLOOKUP(AZ107,Этаж_обозначение,3,FALSE)+VLOOKUP(AZ107,Этаж_обозначение,4,FALSE),VLOOKUP(AX107,Потребители_обозначение,3,FALSE)*(D107*2-1)+DS107),DS107))</f>
        <v>38</v>
      </c>
      <c r="R107" s="6">
        <f t="shared" si="124"/>
        <v>0.83</v>
      </c>
      <c r="S107" t="str">
        <f t="shared" si="125"/>
        <v>ВВГнг(А)-LS (3х1,5)</v>
      </c>
      <c r="T107" t="str">
        <f>IF(BH107="","",IF(BI107="вводной узел","узел ","")&amp;"л."&amp;(INT((BH107-1)/Столбцов_на_лист)+1)&amp;" / "&amp;(MOD(BH107-1,Столбцов_на_лист)+1))</f>
        <v>л.2 / 7</v>
      </c>
      <c r="V107">
        <v>1</v>
      </c>
      <c r="W107">
        <v>230</v>
      </c>
      <c r="X107" t="s">
        <v>600</v>
      </c>
      <c r="Y107">
        <v>0.5</v>
      </c>
      <c r="AC107" t="s">
        <v>815</v>
      </c>
      <c r="AE107" t="s">
        <v>582</v>
      </c>
      <c r="AI107">
        <v>24</v>
      </c>
      <c r="AJ107" t="s">
        <v>11</v>
      </c>
      <c r="AK107">
        <v>3</v>
      </c>
      <c r="AM107">
        <v>29</v>
      </c>
      <c r="AN107">
        <v>9</v>
      </c>
      <c r="AP107">
        <v>1</v>
      </c>
      <c r="AW107" cm="1">
        <f t="array" ref="AW107">ROW()-ROW(Линии[#Headers])</f>
        <v>105</v>
      </c>
      <c r="AX107" s="6" t="str">
        <f t="shared" si="126"/>
        <v>В</v>
      </c>
      <c r="AY107" t="str">
        <f t="shared" si="127"/>
        <v>10</v>
      </c>
      <c r="AZ107" t="str">
        <f t="shared" si="128"/>
        <v>10</v>
      </c>
      <c r="BA107" t="str">
        <f t="shared" si="129"/>
        <v/>
      </c>
      <c r="BB107" t="str">
        <f t="shared" si="130"/>
        <v/>
      </c>
      <c r="BC107" t="str">
        <f>IF(U107&lt;&gt;"",U107,IF(AND(B107&lt;&gt;"",B107&lt;&gt;A107,ISNUMBER(_xlfn.XMATCH(B107,Щиты[Щит]))),B107,""))</f>
        <v/>
      </c>
      <c r="BD107" t="str" cm="1">
        <f t="array" ref="BD107">IF(B107="","",IF(BC107&lt;&gt;"","Щит "&amp;BC107,_xlfn.LET(_xlpm.nm,IFERROR(_xlfn.XLOOKUP(AX107,Коды_код,Коды_имя)&amp;"",""),_xlpm.md,IFERROR(N(_xlfn.XLOOKUP(AX107,Коды_код,Коды_режим)),1),_xlpm.ex,IF(Имя_режим="по экспликации",IFERROR(_xlfn.XLOOKUP(AZ107&amp;"|"&amp;BB107,Экспликация[Этаж]&amp;"|"&amp;Экспликация[Помещение],Экспликация[Название])&amp;"",""),""),_xlpm.rm,IF(BB107="","",IF(_xlpm.ex&lt;&gt;"",". "&amp;_xlpm.ex&amp;IF(Имя_пом="нет"," ("&amp;BB107&amp;")"," (пом. "&amp;BB107&amp;")"),IF(Имя_пом="нет"," ",", пом. ")&amp;BB107)),IF(_xlpm.nm="","",IF(_xlpm.md=2,_xlpm.nm&amp;" шлейф "&amp;AZ107,_xlpm.nm&amp;_xlpm.rm)))))</f>
        <v>Вытяжная установка шлейф 10</v>
      </c>
      <c r="BE107" t="str">
        <f t="shared" si="131"/>
        <v>Вытяжная установка Пом. №019Б</v>
      </c>
      <c r="BF107">
        <f>IFERROR(_xlfn.XMATCH(A107,Щиты[Щит]),0)</f>
        <v>6</v>
      </c>
      <c r="BG107">
        <f>_xlfn.LET(_xlpm.k,IFERROR(_xlfn.XLOOKUP(A107,Щиты[Щит],Щиты[Листов под вводной узел]),""),IF(_xlpm.k="",1,N(_xlpm.k))*Столбцов_на_лист)</f>
        <v>17</v>
      </c>
      <c r="BH107">
        <f t="shared" si="132"/>
        <v>24</v>
      </c>
      <c r="BI107" t="str">
        <f t="shared" si="133"/>
        <v>линии</v>
      </c>
      <c r="BJ107" s="6">
        <f>IFERROR(N(_xlfn.XLOOKUP(AX107,Коды_код,Коды_квт)),0)</f>
        <v>0</v>
      </c>
      <c r="BK107">
        <f t="shared" si="134"/>
        <v>0</v>
      </c>
      <c r="BL107" t="str">
        <f>IF(B107="","",IF(BC107&lt;&gt;"",IFERROR(_xlfn.XLOOKUP(BC107,Щиты[Щит],Щиты[Руст, кВт]),0),IF(BK107=1,IFERROR(_xlfn.XLOOKUP(A107,Щиты[Щит],Щиты[Руст, кВт]),0),IF(BJ107&gt;0,ROUND(BJ107*MAX(1,N(D107)),3),""))))</f>
        <v/>
      </c>
      <c r="BM107">
        <f t="shared" si="135"/>
        <v>0.27</v>
      </c>
      <c r="BN107" s="6">
        <f>IF(B107="","",IF(BC107&lt;&gt;"",IFERROR(_xlfn.XLOOKUP(BC107,Щиты[Щит],Щиты[Руст, кВт]),0),N(BM107)))</f>
        <v>0.27</v>
      </c>
      <c r="BO107" t="str">
        <f>IF(B107="","",IFERROR(IF(VLOOKUP(AX107,Потребители_обозначение,8,FALSE)=0,"",VLOOKUP(AX107,Потребители_обозначение,8,FALSE)),""))</f>
        <v/>
      </c>
      <c r="BP107">
        <f t="shared" si="136"/>
        <v>230</v>
      </c>
      <c r="BQ107">
        <f>IF(B107="","",IF(BC107&lt;&gt;"",3,IFERROR(IF(N(VLOOKUP(AX107,Потребители_обозначение,9,FALSE))=0,1,VLOOKUP(AX107,Потребители_обозначение,9,FALSE)),1)))</f>
        <v>1</v>
      </c>
      <c r="BR107">
        <f t="shared" si="137"/>
        <v>1</v>
      </c>
      <c r="BS107" t="str">
        <f>IF(B107="","",_xlfn.LET(_xlpm.bc,IFERROR(IF(VLOOKUP(AX107,Потребители_обозначение,6,FALSE)=0,"",VLOOKUP(AX107,Потребители_обозначение,6,FALSE)&amp;""),""),IF(AND(FK107="да",OR(_xlpm.bc="",_xlpm.bc="мс")),Марка_пож,IF(AND(_xlpm.bc="",BC107&lt;&gt;""),"мс",_xlpm.bc))))</f>
        <v/>
      </c>
      <c r="BT107" t="str">
        <f t="shared" si="138"/>
        <v>мс</v>
      </c>
      <c r="BU107">
        <f>IF(B107="","",_xlfn.LET(_xlpm.cc,IFERROR(N(VLOOKUP(AX107,Потребители_обозначение,7,FALSE)),0),IF(_xlpm.cc&gt;0,_xlpm.cc,IF(BT107="","",IF(N(BR107)=3,5,3)))))</f>
        <v>3</v>
      </c>
      <c r="BV107">
        <f t="shared" si="139"/>
        <v>3</v>
      </c>
      <c r="BW107">
        <f>IFERROR(N(VLOOKUP(AX107,Потребители_обозначение,10,FALSE)),0)</f>
        <v>0</v>
      </c>
      <c r="BX107">
        <f>IFERROR(VLOOKUP(AX107,Потребители_обозначение,5,FALSE),0)</f>
        <v>1</v>
      </c>
      <c r="BY107" s="6" cm="1">
        <f t="array" ref="BY107">IF(B107="","",IF(BC107&lt;&gt;"",IFERROR(_xlfn.XLOOKUP(BC107,Щиты[Щит],Щиты[cos φ]),0.95),IF(BK107=1,IFERROR(_xlfn.XLOOKUP(A107,Щиты[Щит],Щиты[cos φ]),0.95),IF(ISNUMBER(Z107),Z107,IFERROR(IF(BX107=2,_xlfn.IFS(BR107=3,VLOOKUP(BN107,Справочная_двигатели,8,FALSE),BR107=1,VLOOKUP(BN107,Справочная_двигатели,10,TRUE)),IF(AND(Методика="нормы 2026",EQ107="Сил"),0.8,0.95)),0.95)))))</f>
        <v>0.8</v>
      </c>
      <c r="BZ107">
        <f t="shared" si="140"/>
        <v>0</v>
      </c>
      <c r="CA107">
        <f t="shared" si="141"/>
        <v>1</v>
      </c>
      <c r="CB107">
        <f t="shared" si="142"/>
        <v>0</v>
      </c>
      <c r="CC107">
        <f t="shared" si="143"/>
        <v>0</v>
      </c>
      <c r="CD107">
        <f t="shared" si="144"/>
        <v>0</v>
      </c>
      <c r="CE107">
        <f t="shared" si="145"/>
        <v>0</v>
      </c>
      <c r="CF107">
        <f t="shared" si="146"/>
        <v>0</v>
      </c>
      <c r="CG107">
        <f>IF(AX107="",0,_xlfn.LET(_xlpm.v,IFERROR(VLOOKUP(B107,УГО_спр,3,FALSE),IFERROR(VLOOKUP(AX107,УГО_спр,3,FALSE),IFERROR(VLOOKUP(LEFT(AX107,2),УГО_спр,3,FALSE),""))),IF(_xlpm.v="да",30,IF(ISNUMBER(_xlpm.v),_xlpm.v,0))))</f>
        <v>0</v>
      </c>
      <c r="CH107" t="str">
        <f t="shared" si="147"/>
        <v/>
      </c>
      <c r="CI107" t="str">
        <f>_xlfn.LET(_xlpm.k,IFERROR(_xlfn.XLOOKUP(AX107,Коды_код,Коды_утечка)&amp;"",""),IF(_xlpm.k="","дифавтомат",_xlpm.k))</f>
        <v>дифавтомат</v>
      </c>
      <c r="CJ107">
        <f t="shared" si="148"/>
        <v>0</v>
      </c>
      <c r="CK107">
        <f t="shared" si="149"/>
        <v>0</v>
      </c>
      <c r="CL107">
        <f>IF(B107="",0,IFERROR(--VLOOKUP(B107,УГО_спр,4,FALSE),IFERROR(--VLOOKUP(AX107,УГО_спр,4,FALSE),IFERROR(--VLOOKUP(LEFT(AX107,2),УГО_спр,4,FALSE),0))))</f>
        <v>0</v>
      </c>
      <c r="CM107" t="str">
        <f>IF(B107="","",IFERROR(_xlfn.XLOOKUP(AX107,Коды_код,Коды_апп)&amp;"",""))</f>
        <v/>
      </c>
      <c r="CN107" t="str">
        <f t="shared" si="150"/>
        <v/>
      </c>
      <c r="CO107" t="str" cm="1">
        <f t="array" ref="CO107">IF(TRIM(CN107&amp;"")="","",IFERROR(TRIM(INDEX(_xlfn.TEXTSPLIT(CN107&amp;";;;",";"),1)),""))</f>
        <v/>
      </c>
      <c r="CP107" t="str" cm="1">
        <f t="array" ref="CP107">IF(TRIM(CN107&amp;"")="","",IFERROR(TRIM(INDEX(_xlfn.TEXTSPLIT(CN107&amp;";;;",";"),2)),""))</f>
        <v/>
      </c>
      <c r="CQ107" t="str" cm="1">
        <f t="array" ref="CQ107">IF(TRIM(CN107&amp;"")="","",IFERROR(TRIM(INDEX(_xlfn.TEXTSPLIT(CN107&amp;";;;",";"),3)),""))</f>
        <v/>
      </c>
      <c r="CR107">
        <f t="shared" si="151"/>
        <v>0</v>
      </c>
      <c r="CS107" t="str">
        <f>IF(B107="","",_xlfn.LET(_xlpm.t,LOWER(AV107&amp;""),IF(ISNUMBER(SEARCH("dim",_xlpm.t)),"DIM",IF(ISNUMBER(SEARCH("dali",_xlpm.t)),"DALI",IF(OR(ISNUMBER(SEARCH("relay",_xlpm.t)),ISNUMBER(SEARCH("реле",_xlpm.t))),"Relay",IF(ISNUMBER(SEARCH("кнопк",_xlpm.t)),"",IFERROR(_xlfn.XLOOKUP(AX107,Коды_код,Коды_упр)&amp;"","")))))))</f>
        <v/>
      </c>
      <c r="CT107" t="str">
        <f t="shared" si="152"/>
        <v/>
      </c>
      <c r="CU107">
        <f>IF(B107="","",_xlfn.LET(_xlpm.ig,N(P107)+IF(AF107="вручную",0,N(CB107)),_xlpm.n0,IFERROR(VLOOKUP(_xlpm.ig,Автомат_номиналы,2,TRUE),0),_xlpm.mn,MAX(CL107,IF(AF107="вручную",0,N(CE107))),MAX(_xlpm.n0,_xlpm.mn,IF(CR107=1,Мин_автомат_БП,0))))</f>
        <v>6</v>
      </c>
      <c r="CV107">
        <f t="shared" si="153"/>
        <v>1</v>
      </c>
      <c r="CW107" t="str">
        <f t="shared" si="154"/>
        <v>1P</v>
      </c>
      <c r="CX107" t="str">
        <f>_xlfn.LET(_xlpm.cc,UPPER(TRIM(IFERROR(_xlfn.XLOOKUP(AX107,Коды_код,Коды_хар)&amp;"",""))),IF(OR(_xlpm.cc="B",_xlpm.cc="В"),"B",IF(_xlpm.cc="D","D","С")))</f>
        <v>С</v>
      </c>
      <c r="CY107" t="str">
        <f t="shared" si="155"/>
        <v>1P С6А</v>
      </c>
      <c r="CZ107">
        <f t="shared" si="156"/>
        <v>10</v>
      </c>
      <c r="DA107" t="str">
        <f t="shared" si="157"/>
        <v>1P С10А</v>
      </c>
      <c r="DB107" cm="1">
        <f t="array" ref="DB107">IF(DA107="","",_xlfn.LET(_xlpm.t,SUBSTITUTE(SUBSTITUTE(SUBSTITUTE(UPPER(DA107),"С","C"),"А","A"),"В","B"),_xlpm.tk,_xlfn.TEXTSPLIT(_xlpm.t,"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7" t="str">
        <f t="shared" si="158"/>
        <v>ok</v>
      </c>
      <c r="DD107">
        <f t="shared" si="159"/>
        <v>10</v>
      </c>
      <c r="DE107" t="str">
        <f t="shared" si="160"/>
        <v>1P С10А</v>
      </c>
      <c r="DF107">
        <f t="shared" si="161"/>
        <v>0</v>
      </c>
      <c r="DG107">
        <f t="shared" si="162"/>
        <v>0</v>
      </c>
      <c r="DH107">
        <f t="shared" si="163"/>
        <v>0</v>
      </c>
      <c r="DI107">
        <f t="shared" si="164"/>
        <v>1.46141786888624</v>
      </c>
      <c r="DJ107">
        <f t="shared" si="165"/>
        <v>1</v>
      </c>
      <c r="DK107">
        <f>IF(ISNUMBER(AL107),AL107,К_прокл)</f>
        <v>1</v>
      </c>
      <c r="DL107">
        <f t="shared" si="166"/>
        <v>2</v>
      </c>
      <c r="DM107">
        <f>IFERROR(N(VLOOKUP(BT107,Кабель_обозначение,3,FALSE)),1)</f>
        <v>1</v>
      </c>
      <c r="DN107">
        <f>IFERROR(N(_xlfn.XLOOKUP(A107,Щиты[Щит],Щиты[ΔU до шин, %])),0)</f>
        <v>0.24000000000000002</v>
      </c>
      <c r="DO107" t="str">
        <f>IFERROR(_xlfn.XLOOKUP(A107,Щиты[Щит],Щиты[Zпетли на шинах, Ом]),"")</f>
        <v/>
      </c>
      <c r="DP107">
        <f>IFERROR(N(_xlfn.XLOOKUP(A107,Щиты[Щит],Щиты[ΔU до шин (подбор), %])),0)</f>
        <v>0.36</v>
      </c>
      <c r="DQ107" t="str">
        <f>IFERROR(_xlfn.XLOOKUP(A107,Щиты[Щит],Щиты[Zпетли на шинах (подбор), Ом]),"")</f>
        <v/>
      </c>
      <c r="DR107" t="str">
        <f t="shared" si="167"/>
        <v/>
      </c>
      <c r="DS107">
        <f t="shared" si="168"/>
        <v>34</v>
      </c>
      <c r="DT107">
        <f t="shared" si="169"/>
        <v>2</v>
      </c>
      <c r="DU107">
        <f t="shared" si="170"/>
        <v>0.6</v>
      </c>
      <c r="DV107" s="6">
        <f>IF(B107="","",IF(IFERROR(VLOOKUP(AX107,УГО_спр,2,FALSE),"")="Светильник",3,4)+IF(Методика="нормы 2026",MIN(0.5,MAX(0,N(Q107)-100)*0.005),0))</f>
        <v>4</v>
      </c>
      <c r="DW107" cm="1">
        <f t="array" ref="DW107">IF(OR(B107="",BT107="",DM107&lt;&gt;1),"",_xlfn.LET(_xlpm.sz,Iдоп_S,_xlpm.t_,CHOOSE(DL107,Iдоп_1ж,Iдоп_2ж,Iдоп_3ж)*DJ107*DK107,_xlpm.inn,N(DD107),_xlpm.smin,MAX(1.5,BW107),_xlpm.L_,N(Q107)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107)*(_xlpm.rho*_xlpm.L_/_xlpm.sz*N(BY107)+_xlpm.xx*_xlpm.L_*N(DU107)/1000)*N(P107)/((Uн_лин/SQRT(3))*1000)*100,999),_xlpm.kz,IF(OR(DG107=1,NOT(ISNUMBER(DQ107)),_xlpm.L_=0,_xlpm.inn=0),1,IFERROR(--(c_min*(Uн_лин*1000/SQRT(3))/(DQ107+2*ρкз_Cu*_xlpm.L_/_xlpm.sz)&gt;=GY107*_xlpm.inn),0)),_xlpm.ok,IFERROR((_xlpm.sz&gt;=_xlpm.smin)*(_xlpm.t_&gt;=_xlpm.inn)*IF(_xlpm.L_&gt;0,(_xlpm.du_+DP107&lt;=DV107+0.00001),1)*_xlpm.kz,0),_xlpm.r_,_xlfn._xlws.FILTER(_xlpm.sz,_xlpm.ok,"не подобрано"),INDEX(_xlpm.r_,1)))</f>
        <v>1.5</v>
      </c>
      <c r="DX107">
        <f t="shared" si="171"/>
        <v>1.5</v>
      </c>
      <c r="DY107" cm="1">
        <f t="array" ref="DY107">IF(OR(B107="",BT107="",DM107&lt;&gt;1),"",_xlfn.LET(_xlpm.sz,Iдоп_S,_xlpm.t_,CHOOSE(DL107,Iдоп_1ж,Iдоп_2ж,Iдоп_3ж)*DJ107*DK107,_xlpm.ok,IFERROR((_xlpm.sz&gt;=MAX(1.5,BW107))*(_xlpm.t_&gt;=N(DD107)),0),_xlpm.r_,_xlfn._xlws.FILTER(_xlpm.sz,_xlpm.ok,""),INDEX(_xlpm.r_,1)))</f>
        <v>1.5</v>
      </c>
      <c r="DZ107" s="6" cm="1">
        <f t="array" ref="DZ107">IFERROR(ROUNDUP(N(DT107)*(_xlfn.XLOOKUP(DY107,INDEX(Кабель_сопротивление,0,1),INDEX(Кабель_сопротивление,0,3))*N(Q107)/DY107*N(BY107)+_xlfn.XLOOKUP(DY107,INDEX(Кабель_сопротивление,0,1),INDEX(Кабель_сопротивление,0,2))*N(Q107)*N(DU107)/1000)*N(P107)/((Uн_лин/SQRT(3))*1000)*100,2),"")</f>
        <v>0.59</v>
      </c>
      <c r="EA107">
        <f>IFERROR(2*ρкз_Cu*N(Q107)/DY107,"")</f>
        <v>1.3325333333333333</v>
      </c>
      <c r="EB107">
        <f>IFERROR(VLOOKUP(DX107,Кабель_сопротивление,3,FALSE),"")</f>
        <v>2.2499999999999999E-2</v>
      </c>
      <c r="EC107">
        <f>IFERROR(VLOOKUP(DX107,Кабель_сопротивление,2,FALSE),"")</f>
        <v>0.11</v>
      </c>
      <c r="ED107">
        <f t="shared" si="172"/>
        <v>9</v>
      </c>
      <c r="EE107">
        <f t="shared" si="173"/>
        <v>0</v>
      </c>
      <c r="EF107">
        <f t="shared" si="174"/>
        <v>1.3401435684545842</v>
      </c>
      <c r="EG107" s="6">
        <f>IFERROR(ROUNDUP(EF107/((Uн_лин/SQRT(3))*1000)*100,2),"")</f>
        <v>0.59</v>
      </c>
      <c r="EH107" t="str">
        <f>IFERROR(VLOOKUP(BT107,Кабель_обозначение,2,FALSE),"")</f>
        <v>ВВГнг(А)-LS</v>
      </c>
      <c r="EI107" t="str">
        <f t="shared" si="175"/>
        <v>ВВГнг(А)-LS (3х1,5)</v>
      </c>
      <c r="EJ107" t="str">
        <f t="shared" si="176"/>
        <v>ВВГнг(А)-LS (3х1,5)
L=38-0,59%</v>
      </c>
      <c r="EK107">
        <f>IFERROR(2*ρкз_Cu*Q107/DX107,"")</f>
        <v>1.3325333333333333</v>
      </c>
      <c r="EL107">
        <f t="shared" si="177"/>
        <v>0.44333333333333336</v>
      </c>
      <c r="EM107" s="6" t="str">
        <f>IFERROR(IF(OR(B107="",NOT(ISNUMBER(DX107)),N(Q107)=0),"",_xlfn.XLOOKUP(A107,Щиты[Щит],Щиты[Zпетли на шинах, Ом])+EK107),"")</f>
        <v/>
      </c>
      <c r="EN107" s="6" t="str">
        <f>IF(ISNUMBER(EM107),c_min*(Uн_лин*1000/SQRT(3))/EM107,"")</f>
        <v/>
      </c>
      <c r="EO107" s="6" t="str">
        <f>IFERROR(IF(OR(B107="",NOT(ISNUMBER(DX107))),"",1.05*(Uн_лин*1000/SQRT(3))/(_xlfn.XLOOKUP(A107,Щиты[Щит],Щиты[Zmax на шинах, Ом])+EL107)/1000),"")</f>
        <v/>
      </c>
      <c r="EP107" s="6" t="str">
        <f>IF(B107="","",IF(ISNUMBER(Y107),"Сил",IF(IFERROR(_xlfn.XLOOKUP(AX107,Коды_код,Коды_группа)&amp;"","")="","Быт",_xlfn.XLOOKUP(AX107,Коды_код,Коды_группа)&amp;"")))</f>
        <v>Сил</v>
      </c>
      <c r="EQ107" s="6" t="str">
        <f t="shared" si="178"/>
        <v>Сил</v>
      </c>
      <c r="ER107" s="6">
        <f>IF(EQ107="Щит","щит",IF(EQ107="","",IF(EQ107="Быт",IFERROR(_xlfn.XLOOKUP(A107,Щиты[Щит],Щиты[Кс быт]),1),IF(EQ107="Сил",IF(ISNUMBER(Y107),Y107,IF(Методика="нормы 2026",IFERROR(_xlfn.XLOOKUP(A107,Щиты[Щит],Щиты[Кс силовых (табл. 7.5)]),1),1)),IF(OR(EQ107="Пост",EQ107="Отоп"),1,IF(EQ107="ВНГ",0.7,0))))))</f>
        <v>0.5</v>
      </c>
      <c r="ES107">
        <f t="shared" si="179"/>
        <v>1</v>
      </c>
      <c r="ET107">
        <f t="shared" si="180"/>
        <v>0.27</v>
      </c>
      <c r="EU107">
        <f t="shared" si="181"/>
        <v>0</v>
      </c>
      <c r="EV107">
        <f t="shared" si="182"/>
        <v>0.13500000000000001</v>
      </c>
      <c r="EW107">
        <f t="shared" si="183"/>
        <v>0</v>
      </c>
      <c r="EX107">
        <f t="shared" si="184"/>
        <v>0</v>
      </c>
      <c r="EY107">
        <f t="shared" si="185"/>
        <v>0</v>
      </c>
      <c r="EZ107">
        <f t="shared" si="186"/>
        <v>0.27</v>
      </c>
      <c r="FA107">
        <f t="shared" si="187"/>
        <v>0.21600000000000003</v>
      </c>
      <c r="FB107">
        <f t="shared" si="188"/>
        <v>0.27</v>
      </c>
      <c r="FC107" t="str">
        <f t="shared" si="189"/>
        <v/>
      </c>
      <c r="FD107" t="str">
        <f>IF(B107="","",IF(CA107=0,IF(AW107=1,"",FF106),IF(OR(N(CV107)&gt;=3,N(BR107)&gt;=3),"L1,L2,L3",IFERROR(_xlfn.TEXTBEFORE(_xlfn.TEXTAFTER(_xlfn.XLOOKUP(A107,Щиты[Щит],Щиты[_фазы авто]),";"&amp;AW107&amp;":"),";"),"L1"))))</f>
        <v>L2</v>
      </c>
      <c r="FE107" t="str">
        <f t="shared" si="190"/>
        <v>L2</v>
      </c>
      <c r="FF107" t="str">
        <f t="shared" si="191"/>
        <v>L2</v>
      </c>
      <c r="FG107" cm="1">
        <f t="array" ref="FG107">IFERROR(IF(BX107=2,_xlfn.IFS(BR107=3,VLOOKUP(BN107,Справочная_двигатели,3,FALSE),BR107=1,VLOOKUP(BN107,Справочная_двигатели,5,TRUE)),0),0)</f>
        <v>0</v>
      </c>
      <c r="FH107">
        <f>IFERROR(IF(BX107=3,VLOOKUP(BN107,Справочная_ЛЭД,2,TRUE),0),0)</f>
        <v>0</v>
      </c>
      <c r="FI107" s="6">
        <f t="shared" si="192"/>
        <v>0</v>
      </c>
      <c r="FJ107" t="str" cm="1">
        <f t="array" ref="FJ107">IF(B107="","",IFERROR(INDEX({"I особая","I","II","III"},MATCH(TRIM(AC107&amp;""),{"I особая","I","II","III"},0)),"III"))</f>
        <v>II</v>
      </c>
      <c r="FK107" t="str">
        <f>IF(B107="","",IF(TRIM(AD107&amp;"")&lt;&gt;"",IF(LOWER(TRIM(AD107&amp;""))="да","да","нет"),IF(IFERROR(_xlfn.XLOOKUP(AX107,Коды_код,Коды_пожарная),"")="да","да","нет")))</f>
        <v>нет</v>
      </c>
      <c r="FL107" t="str">
        <f t="shared" si="193"/>
        <v/>
      </c>
      <c r="FM107" t="str">
        <f t="shared" si="194"/>
        <v>основная</v>
      </c>
      <c r="FN107">
        <f t="shared" si="195"/>
        <v>1</v>
      </c>
      <c r="FO107" t="str" cm="1">
        <f t="array" ref="FO107">IF(B107="","",_xlfn.LET(_xlpm.t,IFERROR(_xlfn.XLOOKUP(1,(Шины[Шина]=FM107)*(((Шины[Щит]=A107)+(Шины[Щит]=""))&gt;0),Шины[Тип]),"")&amp;"",IF(_xlpm.t&lt;&gt;"",_xlpm.t,IF(ISNUMBER(SEARCH("ИБП",FM107)),"ИБП",IF(ISNUMBER(SEARCH("ДГУ",FM107)),"ДГУ","Ввод "&amp;FN107)))))</f>
        <v>Ввод 1</v>
      </c>
      <c r="FP107" t="str">
        <f t="shared" si="196"/>
        <v>Ввод 1</v>
      </c>
      <c r="FQ107" t="str">
        <f>IF(B107="","",IF(OR(FO107="ИБП",FO107="ДГУ"),"I особая",IF(FO107="Одиночная","III",_xlfn.XLOOKUP(A107,Щиты[Щит],Щиты[Категория шины «Ввод»],"III"))))</f>
        <v>II</v>
      </c>
      <c r="FR107">
        <f>IF(B107="",0,IFERROR(MATCH(FJ107,{"III","II","I","I особая"},0),1))</f>
        <v>2</v>
      </c>
      <c r="FS107">
        <f t="shared" si="197"/>
        <v>2</v>
      </c>
      <c r="FT107" t="str">
        <f>IF(B107="","",IF(FR107&gt;IFERROR(MATCH(FQ107,{"III","II","I","I особая"},0),1),"НЕ ОБЕСПЕЧЕНА","ОК"))</f>
        <v>ОК</v>
      </c>
      <c r="FU107" t="str">
        <f>IF(A107="","",_xlfn.XLOOKUP(A107,Щиты[Щит],Щиты[Путь],""))</f>
        <v>|ГРЩ-ЖД|ЩОВ-01|</v>
      </c>
      <c r="FV107" t="str">
        <f>IF(B107="","",IF(AE107&lt;&gt;"",AE107,IF(IFERROR(_xlfn.XLOOKUP(AX107,Коды_код,Коды_вид)&amp;"","")="","Прочее",_xlfn.XLOOKUP(AX107,Коды_код,Коды_вид)&amp;"")))</f>
        <v>Вентиляция</v>
      </c>
      <c r="FW107">
        <f>IF(BH107="","",INT((BH107-1)/Столбцов_на_лист)+1)</f>
        <v>2</v>
      </c>
      <c r="FX107" t="str">
        <f t="shared" si="198"/>
        <v>ВВГнг(А)-LS (3х1,5) L=38-0,59%</v>
      </c>
      <c r="FY107">
        <f t="shared" si="199"/>
        <v>0.27</v>
      </c>
      <c r="FZ107">
        <f t="shared" si="200"/>
        <v>1.47</v>
      </c>
      <c r="GA107">
        <f t="shared" si="201"/>
        <v>1</v>
      </c>
      <c r="GB107">
        <f t="shared" si="202"/>
        <v>0</v>
      </c>
      <c r="GC107">
        <f t="shared" si="203"/>
        <v>1</v>
      </c>
      <c r="GD107">
        <f>IF(BH107="","",IF(AND(CA107=1,GC107=1),COUNTIFS(A$3:A107,A107,CA$3:CA107,1,GC$3:GC107,1),IF(OR(OR(AW107=1,A107&lt;&gt;A106),AF107="вручную",GC107=0),"",IF(AW107=1,"",GE106))))</f>
        <v>5</v>
      </c>
      <c r="GE107">
        <f t="shared" si="204"/>
        <v>5</v>
      </c>
      <c r="GF107">
        <f>IF(B107="","",IFERROR(LOOKUP(INDEX(CHOOSE(DL107,Iдоп_1ж,Iдоп_2ж,Iдоп_3ж),MATCH(DX107,Iдоп_S,0))*DJ107*DK107,{6,10,16,20,25,32,40,50,63,80,100,125,160,200,250,315,400,500,630}),""))</f>
        <v>16</v>
      </c>
      <c r="GG107" t="str">
        <f t="shared" si="205"/>
        <v>QF5</v>
      </c>
      <c r="GH107" t="str">
        <f t="shared" si="206"/>
        <v>QF5</v>
      </c>
      <c r="GI107" t="str">
        <f t="shared" si="207"/>
        <v/>
      </c>
      <c r="GJ107">
        <f t="shared" si="208"/>
        <v>0</v>
      </c>
      <c r="GK107" t="str">
        <f>IF(OR(AG107="",AG107="-"),"",IFERROR(VLOOKUP(AG107,Модули_спр,2,FALSE),"R"))</f>
        <v/>
      </c>
      <c r="GL107" t="str">
        <f>IF(GK107="","",GK107&amp;"."&amp;COUNTIFS(A$3:A107,A107,GK$3:GK107,GK107))</f>
        <v/>
      </c>
      <c r="GM107" t="str">
        <f t="shared" si="209"/>
        <v/>
      </c>
      <c r="GN107" t="str">
        <f t="shared" si="210"/>
        <v/>
      </c>
      <c r="GO107" t="str">
        <f t="shared" si="211"/>
        <v/>
      </c>
      <c r="GP107" t="str">
        <f t="shared" si="212"/>
        <v/>
      </c>
      <c r="GQ107">
        <f t="shared" si="213"/>
        <v>1</v>
      </c>
      <c r="GR107" t="str">
        <f>IF(GQ107=1,"XT"&amp;COUNTIFS(A$3:A107,A107,GQ$3:GQ107,1),"")</f>
        <v>XT5</v>
      </c>
      <c r="GS107" t="str">
        <f t="shared" si="214"/>
        <v/>
      </c>
      <c r="GT107" t="str">
        <f t="shared" si="215"/>
        <v>QF5</v>
      </c>
      <c r="GU107" t="str">
        <f t="shared" si="216"/>
        <v/>
      </c>
      <c r="GV107" t="str">
        <f t="shared" si="217"/>
        <v>ok</v>
      </c>
      <c r="GW107" t="str">
        <f>IF(OR(GO107="",GM107=""),"",IF(GO107&gt;IFERROR(VLOOKUP(GN107,Модули_спр,3,FALSE),99),"ЛИШНИЙ КАНАЛ",IF(AND(AH107&lt;&gt;"=",COUNTIFS(Линии[_модуль гр.],GM107,Линии[Канал (итог)],GO107,Линии[Канал],"&lt;&gt;=",Линии[Щит],A107)&gt;1),"ДУБЛЬ КАНАЛА","")))</f>
        <v/>
      </c>
      <c r="GX107" s="6" t="str">
        <f t="shared" si="218"/>
        <v/>
      </c>
      <c r="GY107">
        <f t="shared" si="219"/>
        <v>10</v>
      </c>
      <c r="GZ107" t="str">
        <f t="shared" si="220"/>
        <v/>
      </c>
      <c r="HA107" t="str">
        <f>IF(AND(B107="",GT107=""),"",_xlfn.TEXTJOIN("; ",TRUE,IF(AND(B107&lt;&gt;"",FE107=""),"нет фазы",""),IF(AND(B107&lt;&gt;"",N(FY107)=0,EQ107&lt;&gt;"Нет"),"нет мощности",""),IF(AND(GS107&lt;&gt;"",COUNTIFS(Линии[Щит],A107,Линии[Клемма (итог)],GS107)&gt;1),"дубль клеммы "&amp;GS107,""),IF(AND(GV107&lt;&gt;"",GV107&lt;&gt;"ok"),GV107,""),IF(GW107&lt;&gt;"",GW107,""),IF(AND(N(BV107)&gt;=4,N(BR107)=1),BV107&amp;" жил на 1 фазе",""),IF(AND(AX107="R",CA107=1,OR(N(CK107)=0,N(CK107)&gt;30)),"розетка без дифзащиты до 30 мА",""),IFERROR(IF(AND(ISNUMBER(R107),R107&gt;DV107),"потери "&amp;FIXED(R107,1)&amp;" % &gt; "&amp;DV107&amp;" %",""),""),IFERROR(IF(LEFT(GZ107,4)="мало","Iкз мало — отключение &gt; 0,4 с",""),""),IF(AND(B107&lt;&gt;"",BH107=""),"не на схеме",""),IF(AND(CA107=0,B107&lt;&gt;"",FE107&lt;&gt;"",IF(AW107=1,"",FF106)&lt;&gt;"",FE107&lt;&gt;IF(AW107=1,"",FF106)),"фаза не как у автомата группы ("&amp;IF(AW107=1,"",FF106)&amp;")","")))</f>
        <v/>
      </c>
      <c r="HB107" s="6">
        <f>IF(OR(CA107=0,DA107=""),"",_xlfn.LET(_xlpm.t,IFERROR(_xlfn.XLOOKUP(DA107,Каталог!$U$4:$U$500,Каталог!$G$4:$G$500),""),_xlpm.k,SEARCH("кА",_xlpm.t),IFERROR(--TRIM(RIGHT(SUBSTITUTE(MID(_xlpm.t,MAX(1,_xlpm.k-4),_xlpm.k-MAX(1,_xlpm.k-4))," ",REPT(" ",9)),5)),"")))</f>
        <v>6</v>
      </c>
      <c r="HC107" t="str">
        <f>IF(OR(HB107="",CA107=0),"",IF(_xlfn.XLOOKUP(A107,Щиты[Щит],Щиты[Iкз max на шинах, кА],"")="","",IF(HB107&lt;_xlfn.XLOOKUP(A107,Щиты[Щит],Щиты[Iкз max на шинах, кА]),"Icu "&amp;HB107&amp;" кА &lt; Iкз max","ok")))</f>
        <v/>
      </c>
      <c r="HD107" t="str">
        <f t="shared" si="221"/>
        <v/>
      </c>
      <c r="HE107" t="str">
        <f t="shared" si="222"/>
        <v>QF5</v>
      </c>
      <c r="HF107" t="str">
        <f t="shared" si="223"/>
        <v>QF5|кабель ВВГнг(А)-LS (3х1,5) → Вытяжная установка Пом. №019Б</v>
      </c>
      <c r="HG107" t="str" cm="1">
        <f t="array" ref="HG107">IF(HF107="","",_xlfn.LET(_xlpm.nd,_xlfn.TEXTSPLIT(HF107,"|"),IF(COLUMNS(_xlpm.nd)&gt;1,A107&amp;"¦"&amp;INDEX(_xlpm.nd,1)&amp;"¦"&amp;INDEX(_xlpm.nd,2),"")))</f>
        <v>ЩОВ-01¦QF5¦кабель ВВГнг(А)-LS (3х1,5) → Вытяжная установка Пом. №019Б</v>
      </c>
      <c r="HH107" t="str">
        <f t="shared" si="224"/>
        <v>В.10¦Вытяжная установка Пом. №019Б</v>
      </c>
      <c r="HI107" t="str" cm="1">
        <f t="array" ref="HI107">IF(HF107="","",_xlfn.LET(_xlpm.nd,_xlfn.TEXTSPLIT(HF107,"|"),IF(COLUMNS(_xlpm.nd)&gt;2,A107&amp;"¦"&amp;INDEX(_xlpm.nd,2)&amp;"¦"&amp;INDEX(_xlpm.nd,3),"")))</f>
        <v/>
      </c>
      <c r="HJ107" t="str">
        <f t="shared" si="225"/>
        <v/>
      </c>
      <c r="HK107" t="str" cm="1">
        <f t="array" ref="HK107">IF(HF107="","",_xlfn.LET(_xlpm.nd,_xlfn.TEXTSPLIT(HF107,"|"),IF(COLUMNS(_xlpm.nd)&gt;3,A107&amp;"¦"&amp;INDEX(_xlpm.nd,3)&amp;"¦"&amp;INDEX(_xlpm.nd,4),"")))</f>
        <v/>
      </c>
      <c r="HL107" t="str">
        <f t="shared" si="226"/>
        <v/>
      </c>
      <c r="HM107" t="str" cm="1">
        <f t="array" ref="HM107">IF(HF107="","",_xlfn.LET(_xlpm.nd,_xlfn.TEXTSPLIT(HF107,"|"),IF(COLUMNS(_xlpm.nd)&gt;4,A107&amp;"¦"&amp;INDEX(_xlpm.nd,4)&amp;"¦"&amp;INDEX(_xlpm.nd,5),"")))</f>
        <v/>
      </c>
      <c r="HN107" t="str">
        <f t="shared" si="227"/>
        <v/>
      </c>
      <c r="HO107" t="str" cm="1">
        <f t="array" ref="HO107">IF(HF107="","",_xlfn.LET(_xlpm.nd,_xlfn.TEXTSPLIT(HF107,"|"),IF(COLUMNS(_xlpm.nd)&gt;5,A107&amp;"¦"&amp;INDEX(_xlpm.nd,5)&amp;"¦"&amp;INDEX(_xlpm.nd,6),"")))</f>
        <v/>
      </c>
      <c r="HP107" t="str">
        <f t="shared" si="228"/>
        <v/>
      </c>
      <c r="HQ107" t="str" cm="1">
        <f t="array" ref="HQ107">IF(HF107="","",_xlfn.LET(_xlpm.nd,_xlfn.TEXTSPLIT(HF107,"|"),IF(COLUMNS(_xlpm.nd)&gt;6,A107&amp;"¦"&amp;INDEX(_xlpm.nd,6)&amp;"¦"&amp;INDEX(_xlpm.nd,7),"")))</f>
        <v/>
      </c>
      <c r="HR107" t="str">
        <f t="shared" si="229"/>
        <v/>
      </c>
      <c r="HS107" t="str">
        <f t="shared" si="230"/>
        <v/>
      </c>
      <c r="HT107" t="str">
        <f t="shared" si="231"/>
        <v>QF5</v>
      </c>
      <c r="HU107">
        <f t="shared" si="232"/>
        <v>0</v>
      </c>
      <c r="HV107">
        <f t="shared" si="233"/>
        <v>0</v>
      </c>
      <c r="HW107" t="str">
        <f t="shared" si="234"/>
        <v/>
      </c>
      <c r="HX107" t="str">
        <f t="shared" si="235"/>
        <v/>
      </c>
      <c r="HY107" t="str">
        <f t="shared" si="236"/>
        <v/>
      </c>
      <c r="HZ107" t="str">
        <f t="shared" si="237"/>
        <v/>
      </c>
      <c r="IA107" t="str">
        <f>IF(B107="","",IFERROR(VLOOKUP(B107,УГО_спр,2,FALSE),IFERROR(VLOOKUP(AX107,УГО_спр,2,FALSE),IFERROR(VLOOKUP(LEFT(AX107,2),УГО_спр,2,FALSE),""))))</f>
        <v>Привод (двигатель)</v>
      </c>
      <c r="IB107" t="str">
        <f>IF(B107="","",IF(OR(IA107="",IA107=0),"BOX",IFERROR(IF(VLOOKUP(IA107,УГО_блоки,3,FALSE)&amp;""&lt;&gt;"",VLOOKUP(IA107,УГО_блоки,3,FALSE),VLOOKUP(IA107,УГО_блоки,2,FALSE)),IA107)))</f>
        <v>MOTOR</v>
      </c>
      <c r="IC107">
        <f t="shared" si="238"/>
        <v>1</v>
      </c>
      <c r="ID107" t="str">
        <f>IF(DA107="","",IF(COUNTIF(DA$3:DA107,DA107)=1,MAX(ID$2:ID106)+1,""))</f>
        <v/>
      </c>
      <c r="IE107" t="str">
        <f>IF(CO107="","",IF(COUNTIF(CO$3:CO107,CO107)+COUNTIF(CP$2:CP106,CO107)+COUNTIF(CQ$2:CQ106,CO107)=1,MAX(IE$2:IG106)+1,""))</f>
        <v/>
      </c>
      <c r="IF107" t="str">
        <f>IF(CP107="","",IF(COUNTIF(CO$3:CO107,CP107)+COUNTIF(CP$3:CP107,CP107)+COUNTIF(CQ$2:CQ106,CP107)=1,MAX(IE$2:IG106,IE107)+1,""))</f>
        <v/>
      </c>
      <c r="IG107" t="str">
        <f>IF(CQ107="","",IF(COUNTIF(CO$3:CO107,CQ107)+COUNTIF(CP$3:CP107,CQ107)+COUNTIF(CQ$3:CQ107,CQ107)=1,MAX(IE$2:IG106,IE107,IF107)+1,""))</f>
        <v/>
      </c>
      <c r="IH107" t="str">
        <f t="shared" si="239"/>
        <v>3х1,5</v>
      </c>
      <c r="II107" t="str">
        <f>IF(IH107="","",IF(COUNTIF(IH$3:IH107,IH107)=1,MAX(II$2:II106)+1,""))</f>
        <v/>
      </c>
      <c r="IJ107" t="str">
        <f>IF(GL107="","",COUNTIF(GL$3:GL107,"?*"))</f>
        <v/>
      </c>
      <c r="IK107" t="str">
        <f>IF(OR(GL107="",GN107=""),"",IF(COUNTIFS(GL$3:GL107,"?*",GN$3:GN107,GN107)=1,MAX(IK$2:IK106)+1,""))</f>
        <v/>
      </c>
      <c r="IL107">
        <f t="shared" si="240"/>
        <v>0</v>
      </c>
      <c r="IM107">
        <f>IF(B107="","",COUNTIF(B$3:B107,"?*"))</f>
        <v>105</v>
      </c>
      <c r="IN107">
        <f>IF(GQ107&lt;&gt;1,0,_xlfn.LET(_xlpm.k,MAX(IFERROR(--VLOOKUP(B107,УГО_спр,5,FALSE),0),IFERROR(--VLOOKUP(AX107,УГО_спр,5,FALSE),0),IFERROR(--VLOOKUP(LEFT(AX107,2),УГО_спр,5,FALSE),0)),IF(_xlpm.k&gt;0,_xlpm.k,IF(IFERROR(--LEFT(SUBSTITUTE(IH107,"x","х"),FIND("х",SUBSTITUTE(IH107,"x","х"))-1),3)&gt;3,Каталог!$S$9,1))))</f>
        <v>1</v>
      </c>
      <c r="IO107">
        <f t="shared" si="241"/>
        <v>0</v>
      </c>
      <c r="IP107" t="str">
        <f t="shared" si="242"/>
        <v>авто</v>
      </c>
      <c r="IQ107" t="str">
        <f t="shared" si="243"/>
        <v/>
      </c>
      <c r="IR107">
        <f t="shared" si="244"/>
        <v>0</v>
      </c>
      <c r="IS107">
        <f t="shared" si="245"/>
        <v>1</v>
      </c>
    </row>
    <row r="108" spans="1:253" x14ac:dyDescent="0.3">
      <c r="A108" t="s">
        <v>747</v>
      </c>
      <c r="B108" t="s">
        <v>1378</v>
      </c>
      <c r="C108" t="s">
        <v>1631</v>
      </c>
      <c r="D108">
        <v>1</v>
      </c>
      <c r="E108">
        <v>0.27</v>
      </c>
      <c r="G108">
        <v>10</v>
      </c>
      <c r="H108" t="str">
        <f>Линии[[#This Row],[_авто утечка]]</f>
        <v/>
      </c>
      <c r="I108" t="str">
        <f>Линии[[#This Row],[_авто управление]]</f>
        <v/>
      </c>
      <c r="J108" t="str">
        <f>Линии[[#This Row],[_авто аппараты]]</f>
        <v/>
      </c>
      <c r="K108">
        <v>1.5</v>
      </c>
      <c r="L108">
        <v>30</v>
      </c>
      <c r="M108" t="str">
        <f>Линии[[#This Row],[_авто фаза]]</f>
        <v>L3</v>
      </c>
      <c r="N108" t="str">
        <f>Линии[[#This Row],[_авто клемма]]</f>
        <v>XT6</v>
      </c>
      <c r="O108" t="str">
        <f t="shared" si="123"/>
        <v/>
      </c>
      <c r="P108" s="6" cm="1">
        <f t="array" ref="P108">IF(B108="","",IF(BC108&lt;&gt;"",IFERROR(_xlfn.XLOOKUP(BC108,Щиты[Щит],Щиты[Iр, А]),""),IF(BK108=1,IFERROR(_xlfn.XLOOKUP(A108,Щиты[Щит],Щиты[Iр, А]),""),IFERROR(_xlfn.IFS(BR108=1,BN108/((Uн_лин/SQRT(3))*BY108),BR108=3,BN108/(SQRT(3)*Uн_лин*BY108)),""))))</f>
        <v>1.46141786888624</v>
      </c>
      <c r="Q108" s="7">
        <f>IF(B108="","",IFERROR(IF(VLOOKUP(AX108,Потребители_обозначение,4,FALSE)=1,VLOOKUP(AX108,Потребители_обозначение,3,FALSE)*(D108*2-1)+DS108+VLOOKUP(AZ108,Этаж_обозначение,3,FALSE)+VLOOKUP(AZ108,Этаж_обозначение,4,FALSE),VLOOKUP(AX108,Потребители_обозначение,3,FALSE)*(D108*2-1)+DS108),DS108))</f>
        <v>34</v>
      </c>
      <c r="R108" s="6">
        <f t="shared" si="124"/>
        <v>0.76</v>
      </c>
      <c r="S108" t="str">
        <f t="shared" si="125"/>
        <v>ВВГнг(А)-LS (3х1,5)</v>
      </c>
      <c r="T108" t="str">
        <f>IF(BH108="","",IF(BI108="вводной узел","узел ","")&amp;"л."&amp;(INT((BH108-1)/Столбцов_на_лист)+1)&amp;" / "&amp;(MOD(BH108-1,Столбцов_на_лист)+1))</f>
        <v>л.2 / 8</v>
      </c>
      <c r="V108">
        <v>1</v>
      </c>
      <c r="W108">
        <v>230</v>
      </c>
      <c r="X108" t="s">
        <v>600</v>
      </c>
      <c r="Y108">
        <v>0.5</v>
      </c>
      <c r="AC108" t="s">
        <v>815</v>
      </c>
      <c r="AE108" t="s">
        <v>582</v>
      </c>
      <c r="AI108">
        <v>25</v>
      </c>
      <c r="AJ108" t="s">
        <v>11</v>
      </c>
      <c r="AK108">
        <v>3</v>
      </c>
      <c r="AM108">
        <v>20</v>
      </c>
      <c r="AN108">
        <v>14</v>
      </c>
      <c r="AP108">
        <v>1</v>
      </c>
      <c r="AW108" cm="1">
        <f t="array" ref="AW108">ROW()-ROW(Линии[#Headers])</f>
        <v>106</v>
      </c>
      <c r="AX108" s="6" t="str">
        <f t="shared" si="126"/>
        <v>В</v>
      </c>
      <c r="AY108" t="str">
        <f t="shared" si="127"/>
        <v>24</v>
      </c>
      <c r="AZ108" t="str">
        <f t="shared" si="128"/>
        <v>24</v>
      </c>
      <c r="BA108" t="str">
        <f t="shared" si="129"/>
        <v/>
      </c>
      <c r="BB108" t="str">
        <f t="shared" si="130"/>
        <v/>
      </c>
      <c r="BC108" t="str">
        <f>IF(U108&lt;&gt;"",U108,IF(AND(B108&lt;&gt;"",B108&lt;&gt;A108,ISNUMBER(_xlfn.XMATCH(B108,Щиты[Щит]))),B108,""))</f>
        <v/>
      </c>
      <c r="BD108" t="str" cm="1">
        <f t="array" ref="BD108">IF(B108="","",IF(BC108&lt;&gt;"","Щит "&amp;BC108,_xlfn.LET(_xlpm.nm,IFERROR(_xlfn.XLOOKUP(AX108,Коды_код,Коды_имя)&amp;"",""),_xlpm.md,IFERROR(N(_xlfn.XLOOKUP(AX108,Коды_код,Коды_режим)),1),_xlpm.ex,IF(Имя_режим="по экспликации",IFERROR(_xlfn.XLOOKUP(AZ108&amp;"|"&amp;BB108,Экспликация[Этаж]&amp;"|"&amp;Экспликация[Помещение],Экспликация[Название])&amp;"",""),""),_xlpm.rm,IF(BB108="","",IF(_xlpm.ex&lt;&gt;"",". "&amp;_xlpm.ex&amp;IF(Имя_пом="нет"," ("&amp;BB108&amp;")"," (пом. "&amp;BB108&amp;")"),IF(Имя_пом="нет"," ",", пом. ")&amp;BB108)),IF(_xlpm.nm="","",IF(_xlpm.md=2,_xlpm.nm&amp;" шлейф "&amp;AZ108,_xlpm.nm&amp;_xlpm.rm)))))</f>
        <v>Вытяжная установка шлейф 24</v>
      </c>
      <c r="BE108" t="str">
        <f t="shared" si="131"/>
        <v>Внутренний блок кондиционирования подвальный этаж Пом. №0001Тб</v>
      </c>
      <c r="BF108">
        <f>IFERROR(_xlfn.XMATCH(A108,Щиты[Щит]),0)</f>
        <v>6</v>
      </c>
      <c r="BG108">
        <f>_xlfn.LET(_xlpm.k,IFERROR(_xlfn.XLOOKUP(A108,Щиты[Щит],Щиты[Листов под вводной узел]),""),IF(_xlpm.k="",1,N(_xlpm.k))*Столбцов_на_лист)</f>
        <v>17</v>
      </c>
      <c r="BH108">
        <f t="shared" si="132"/>
        <v>25</v>
      </c>
      <c r="BI108" t="str">
        <f t="shared" si="133"/>
        <v>линии</v>
      </c>
      <c r="BJ108" s="6">
        <f>IFERROR(N(_xlfn.XLOOKUP(AX108,Коды_код,Коды_квт)),0)</f>
        <v>0</v>
      </c>
      <c r="BK108">
        <f t="shared" si="134"/>
        <v>0</v>
      </c>
      <c r="BL108" t="str">
        <f>IF(B108="","",IF(BC108&lt;&gt;"",IFERROR(_xlfn.XLOOKUP(BC108,Щиты[Щит],Щиты[Руст, кВт]),0),IF(BK108=1,IFERROR(_xlfn.XLOOKUP(A108,Щиты[Щит],Щиты[Руст, кВт]),0),IF(BJ108&gt;0,ROUND(BJ108*MAX(1,N(D108)),3),""))))</f>
        <v/>
      </c>
      <c r="BM108">
        <f t="shared" si="135"/>
        <v>0.27</v>
      </c>
      <c r="BN108" s="6">
        <f>IF(B108="","",IF(BC108&lt;&gt;"",IFERROR(_xlfn.XLOOKUP(BC108,Щиты[Щит],Щиты[Руст, кВт]),0),N(BM108)))</f>
        <v>0.27</v>
      </c>
      <c r="BO108" t="str">
        <f>IF(B108="","",IFERROR(IF(VLOOKUP(AX108,Потребители_обозначение,8,FALSE)=0,"",VLOOKUP(AX108,Потребители_обозначение,8,FALSE)),""))</f>
        <v/>
      </c>
      <c r="BP108">
        <f t="shared" si="136"/>
        <v>230</v>
      </c>
      <c r="BQ108">
        <f>IF(B108="","",IF(BC108&lt;&gt;"",3,IFERROR(IF(N(VLOOKUP(AX108,Потребители_обозначение,9,FALSE))=0,1,VLOOKUP(AX108,Потребители_обозначение,9,FALSE)),1)))</f>
        <v>1</v>
      </c>
      <c r="BR108">
        <f t="shared" si="137"/>
        <v>1</v>
      </c>
      <c r="BS108" t="str">
        <f>IF(B108="","",_xlfn.LET(_xlpm.bc,IFERROR(IF(VLOOKUP(AX108,Потребители_обозначение,6,FALSE)=0,"",VLOOKUP(AX108,Потребители_обозначение,6,FALSE)&amp;""),""),IF(AND(FK108="да",OR(_xlpm.bc="",_xlpm.bc="мс")),Марка_пож,IF(AND(_xlpm.bc="",BC108&lt;&gt;""),"мс",_xlpm.bc))))</f>
        <v/>
      </c>
      <c r="BT108" t="str">
        <f t="shared" si="138"/>
        <v>мс</v>
      </c>
      <c r="BU108">
        <f>IF(B108="","",_xlfn.LET(_xlpm.cc,IFERROR(N(VLOOKUP(AX108,Потребители_обозначение,7,FALSE)),0),IF(_xlpm.cc&gt;0,_xlpm.cc,IF(BT108="","",IF(N(BR108)=3,5,3)))))</f>
        <v>3</v>
      </c>
      <c r="BV108">
        <f t="shared" si="139"/>
        <v>3</v>
      </c>
      <c r="BW108">
        <f>IFERROR(N(VLOOKUP(AX108,Потребители_обозначение,10,FALSE)),0)</f>
        <v>0</v>
      </c>
      <c r="BX108">
        <f>IFERROR(VLOOKUP(AX108,Потребители_обозначение,5,FALSE),0)</f>
        <v>1</v>
      </c>
      <c r="BY108" s="6" cm="1">
        <f t="array" ref="BY108">IF(B108="","",IF(BC108&lt;&gt;"",IFERROR(_xlfn.XLOOKUP(BC108,Щиты[Щит],Щиты[cos φ]),0.95),IF(BK108=1,IFERROR(_xlfn.XLOOKUP(A108,Щиты[Щит],Щиты[cos φ]),0.95),IF(ISNUMBER(Z108),Z108,IFERROR(IF(BX108=2,_xlfn.IFS(BR108=3,VLOOKUP(BN108,Справочная_двигатели,8,FALSE),BR108=1,VLOOKUP(BN108,Справочная_двигатели,10,TRUE)),IF(AND(Методика="нормы 2026",EQ108="Сил"),0.8,0.95)),0.95)))))</f>
        <v>0.8</v>
      </c>
      <c r="BZ108">
        <f t="shared" si="140"/>
        <v>0</v>
      </c>
      <c r="CA108">
        <f t="shared" si="141"/>
        <v>1</v>
      </c>
      <c r="CB108">
        <f t="shared" si="142"/>
        <v>0</v>
      </c>
      <c r="CC108">
        <f t="shared" si="143"/>
        <v>0</v>
      </c>
      <c r="CD108">
        <f t="shared" si="144"/>
        <v>0</v>
      </c>
      <c r="CE108">
        <f t="shared" si="145"/>
        <v>0</v>
      </c>
      <c r="CF108">
        <f t="shared" si="146"/>
        <v>0</v>
      </c>
      <c r="CG108">
        <f>IF(AX108="",0,_xlfn.LET(_xlpm.v,IFERROR(VLOOKUP(B108,УГО_спр,3,FALSE),IFERROR(VLOOKUP(AX108,УГО_спр,3,FALSE),IFERROR(VLOOKUP(LEFT(AX108,2),УГО_спр,3,FALSE),""))),IF(_xlpm.v="да",30,IF(ISNUMBER(_xlpm.v),_xlpm.v,0))))</f>
        <v>0</v>
      </c>
      <c r="CH108" t="str">
        <f t="shared" si="147"/>
        <v/>
      </c>
      <c r="CI108" t="str">
        <f>_xlfn.LET(_xlpm.k,IFERROR(_xlfn.XLOOKUP(AX108,Коды_код,Коды_утечка)&amp;"",""),IF(_xlpm.k="","дифавтомат",_xlpm.k))</f>
        <v>дифавтомат</v>
      </c>
      <c r="CJ108">
        <f t="shared" si="148"/>
        <v>0</v>
      </c>
      <c r="CK108">
        <f t="shared" si="149"/>
        <v>0</v>
      </c>
      <c r="CL108">
        <f>IF(B108="",0,IFERROR(--VLOOKUP(B108,УГО_спр,4,FALSE),IFERROR(--VLOOKUP(AX108,УГО_спр,4,FALSE),IFERROR(--VLOOKUP(LEFT(AX108,2),УГО_спр,4,FALSE),0))))</f>
        <v>0</v>
      </c>
      <c r="CM108" t="str">
        <f>IF(B108="","",IFERROR(_xlfn.XLOOKUP(AX108,Коды_код,Коды_апп)&amp;"",""))</f>
        <v/>
      </c>
      <c r="CN108" t="str">
        <f t="shared" si="150"/>
        <v/>
      </c>
      <c r="CO108" t="str" cm="1">
        <f t="array" ref="CO108">IF(TRIM(CN108&amp;"")="","",IFERROR(TRIM(INDEX(_xlfn.TEXTSPLIT(CN108&amp;";;;",";"),1)),""))</f>
        <v/>
      </c>
      <c r="CP108" t="str" cm="1">
        <f t="array" ref="CP108">IF(TRIM(CN108&amp;"")="","",IFERROR(TRIM(INDEX(_xlfn.TEXTSPLIT(CN108&amp;";;;",";"),2)),""))</f>
        <v/>
      </c>
      <c r="CQ108" t="str" cm="1">
        <f t="array" ref="CQ108">IF(TRIM(CN108&amp;"")="","",IFERROR(TRIM(INDEX(_xlfn.TEXTSPLIT(CN108&amp;";;;",";"),3)),""))</f>
        <v/>
      </c>
      <c r="CR108">
        <f t="shared" si="151"/>
        <v>0</v>
      </c>
      <c r="CS108" t="str">
        <f>IF(B108="","",_xlfn.LET(_xlpm.t,LOWER(AV108&amp;""),IF(ISNUMBER(SEARCH("dim",_xlpm.t)),"DIM",IF(ISNUMBER(SEARCH("dali",_xlpm.t)),"DALI",IF(OR(ISNUMBER(SEARCH("relay",_xlpm.t)),ISNUMBER(SEARCH("реле",_xlpm.t))),"Relay",IF(ISNUMBER(SEARCH("кнопк",_xlpm.t)),"",IFERROR(_xlfn.XLOOKUP(AX108,Коды_код,Коды_упр)&amp;"","")))))))</f>
        <v/>
      </c>
      <c r="CT108" t="str">
        <f t="shared" si="152"/>
        <v/>
      </c>
      <c r="CU108">
        <f>IF(B108="","",_xlfn.LET(_xlpm.ig,N(P108)+IF(AF108="вручную",0,N(CB108)),_xlpm.n0,IFERROR(VLOOKUP(_xlpm.ig,Автомат_номиналы,2,TRUE),0),_xlpm.mn,MAX(CL108,IF(AF108="вручную",0,N(CE108))),MAX(_xlpm.n0,_xlpm.mn,IF(CR108=1,Мин_автомат_БП,0))))</f>
        <v>6</v>
      </c>
      <c r="CV108">
        <f t="shared" si="153"/>
        <v>1</v>
      </c>
      <c r="CW108" t="str">
        <f t="shared" si="154"/>
        <v>1P</v>
      </c>
      <c r="CX108" t="str">
        <f>_xlfn.LET(_xlpm.cc,UPPER(TRIM(IFERROR(_xlfn.XLOOKUP(AX108,Коды_код,Коды_хар)&amp;"",""))),IF(OR(_xlpm.cc="B",_xlpm.cc="В"),"B",IF(_xlpm.cc="D","D","С")))</f>
        <v>С</v>
      </c>
      <c r="CY108" t="str">
        <f t="shared" si="155"/>
        <v>1P С6А</v>
      </c>
      <c r="CZ108">
        <f t="shared" si="156"/>
        <v>10</v>
      </c>
      <c r="DA108" t="str">
        <f t="shared" si="157"/>
        <v>1P С10А</v>
      </c>
      <c r="DB108" cm="1">
        <f t="array" ref="DB108">IF(DA108="","",_xlfn.LET(_xlpm.t,SUBSTITUTE(SUBSTITUTE(SUBSTITUTE(UPPER(DA108),"С","C"),"А","A"),"В","B"),_xlpm.tk,_xlfn.TEXTSPLIT(_xlpm.t,"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8" t="str">
        <f t="shared" si="158"/>
        <v>ok</v>
      </c>
      <c r="DD108">
        <f t="shared" si="159"/>
        <v>10</v>
      </c>
      <c r="DE108" t="str">
        <f t="shared" si="160"/>
        <v>1P С10А</v>
      </c>
      <c r="DF108">
        <f t="shared" si="161"/>
        <v>0</v>
      </c>
      <c r="DG108">
        <f t="shared" si="162"/>
        <v>0</v>
      </c>
      <c r="DH108">
        <f t="shared" si="163"/>
        <v>0</v>
      </c>
      <c r="DI108">
        <f t="shared" si="164"/>
        <v>1.46141786888624</v>
      </c>
      <c r="DJ108">
        <f t="shared" si="165"/>
        <v>1</v>
      </c>
      <c r="DK108">
        <f>IF(ISNUMBER(AL108),AL108,К_прокл)</f>
        <v>1</v>
      </c>
      <c r="DL108">
        <f t="shared" si="166"/>
        <v>2</v>
      </c>
      <c r="DM108">
        <f>IFERROR(N(VLOOKUP(BT108,Кабель_обозначение,3,FALSE)),1)</f>
        <v>1</v>
      </c>
      <c r="DN108">
        <f>IFERROR(N(_xlfn.XLOOKUP(A108,Щиты[Щит],Щиты[ΔU до шин, %])),0)</f>
        <v>0.24000000000000002</v>
      </c>
      <c r="DO108" t="str">
        <f>IFERROR(_xlfn.XLOOKUP(A108,Щиты[Щит],Щиты[Zпетли на шинах, Ом]),"")</f>
        <v/>
      </c>
      <c r="DP108">
        <f>IFERROR(N(_xlfn.XLOOKUP(A108,Щиты[Щит],Щиты[ΔU до шин (подбор), %])),0)</f>
        <v>0.36</v>
      </c>
      <c r="DQ108" t="str">
        <f>IFERROR(_xlfn.XLOOKUP(A108,Щиты[Щит],Щиты[Zпетли на шинах (подбор), Ом]),"")</f>
        <v/>
      </c>
      <c r="DR108" t="str">
        <f t="shared" si="167"/>
        <v/>
      </c>
      <c r="DS108">
        <f t="shared" si="168"/>
        <v>30</v>
      </c>
      <c r="DT108">
        <f t="shared" si="169"/>
        <v>2</v>
      </c>
      <c r="DU108">
        <f t="shared" si="170"/>
        <v>0.6</v>
      </c>
      <c r="DV108" s="6">
        <f>IF(B108="","",IF(IFERROR(VLOOKUP(AX108,УГО_спр,2,FALSE),"")="Светильник",3,4)+IF(Методика="нормы 2026",MIN(0.5,MAX(0,N(Q108)-100)*0.005),0))</f>
        <v>4</v>
      </c>
      <c r="DW108" cm="1">
        <f t="array" ref="DW108">IF(OR(B108="",BT108="",DM108&lt;&gt;1),"",_xlfn.LET(_xlpm.sz,Iдоп_S,_xlpm.t_,CHOOSE(DL108,Iдоп_1ж,Iдоп_2ж,Iдоп_3ж)*DJ108*DK108,_xlpm.inn,N(DD108),_xlpm.smin,MAX(1.5,BW108),_xlpm.L_,N(Q108)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108)*(_xlpm.rho*_xlpm.L_/_xlpm.sz*N(BY108)+_xlpm.xx*_xlpm.L_*N(DU108)/1000)*N(P108)/((Uн_лин/SQRT(3))*1000)*100,999),_xlpm.kz,IF(OR(DG108=1,NOT(ISNUMBER(DQ108)),_xlpm.L_=0,_xlpm.inn=0),1,IFERROR(--(c_min*(Uн_лин*1000/SQRT(3))/(DQ108+2*ρкз_Cu*_xlpm.L_/_xlpm.sz)&gt;=GY108*_xlpm.inn),0)),_xlpm.ok,IFERROR((_xlpm.sz&gt;=_xlpm.smin)*(_xlpm.t_&gt;=_xlpm.inn)*IF(_xlpm.L_&gt;0,(_xlpm.du_+DP108&lt;=DV108+0.00001),1)*_xlpm.kz,0),_xlpm.r_,_xlfn._xlws.FILTER(_xlpm.sz,_xlpm.ok,"не подобрано"),INDEX(_xlpm.r_,1)))</f>
        <v>1.5</v>
      </c>
      <c r="DX108">
        <f t="shared" si="171"/>
        <v>1.5</v>
      </c>
      <c r="DY108" cm="1">
        <f t="array" ref="DY108">IF(OR(B108="",BT108="",DM108&lt;&gt;1),"",_xlfn.LET(_xlpm.sz,Iдоп_S,_xlpm.t_,CHOOSE(DL108,Iдоп_1ж,Iдоп_2ж,Iдоп_3ж)*DJ108*DK108,_xlpm.ok,IFERROR((_xlpm.sz&gt;=MAX(1.5,BW108))*(_xlpm.t_&gt;=N(DD108)),0),_xlpm.r_,_xlfn._xlws.FILTER(_xlpm.sz,_xlpm.ok,""),INDEX(_xlpm.r_,1)))</f>
        <v>1.5</v>
      </c>
      <c r="DZ108" s="6" cm="1">
        <f t="array" ref="DZ108">IFERROR(ROUNDUP(N(DT108)*(_xlfn.XLOOKUP(DY108,INDEX(Кабель_сопротивление,0,1),INDEX(Кабель_сопротивление,0,3))*N(Q108)/DY108*N(BY108)+_xlfn.XLOOKUP(DY108,INDEX(Кабель_сопротивление,0,1),INDEX(Кабель_сопротивление,0,2))*N(Q108)*N(DU108)/1000)*N(P108)/((Uн_лин/SQRT(3))*1000)*100,2),"")</f>
        <v>0.52</v>
      </c>
      <c r="EA108">
        <f>IFERROR(2*ρкз_Cu*N(Q108)/DY108,"")</f>
        <v>1.1922666666666666</v>
      </c>
      <c r="EB108">
        <f>IFERROR(VLOOKUP(DX108,Кабель_сопротивление,3,FALSE),"")</f>
        <v>2.2499999999999999E-2</v>
      </c>
      <c r="EC108">
        <f>IFERROR(VLOOKUP(DX108,Кабель_сопротивление,2,FALSE),"")</f>
        <v>0.11</v>
      </c>
      <c r="ED108">
        <f t="shared" si="172"/>
        <v>14</v>
      </c>
      <c r="EE108">
        <f t="shared" si="173"/>
        <v>0</v>
      </c>
      <c r="EF108">
        <f t="shared" si="174"/>
        <v>1.1990758244067334</v>
      </c>
      <c r="EG108" s="6">
        <f>IFERROR(ROUNDUP(EF108/((Uн_лин/SQRT(3))*1000)*100,2),"")</f>
        <v>0.52</v>
      </c>
      <c r="EH108" t="str">
        <f>IFERROR(VLOOKUP(BT108,Кабель_обозначение,2,FALSE),"")</f>
        <v>ВВГнг(А)-LS</v>
      </c>
      <c r="EI108" t="str">
        <f t="shared" si="175"/>
        <v>ВВГнг(А)-LS (3х1,5)</v>
      </c>
      <c r="EJ108" t="str">
        <f t="shared" si="176"/>
        <v>ВВГнг(А)-LS (3х1,5)
L=34-0,52%</v>
      </c>
      <c r="EK108">
        <f>IFERROR(2*ρкз_Cu*Q108/DX108,"")</f>
        <v>1.1922666666666666</v>
      </c>
      <c r="EL108">
        <f t="shared" si="177"/>
        <v>0.39666666666666672</v>
      </c>
      <c r="EM108" s="6" t="str">
        <f>IFERROR(IF(OR(B108="",NOT(ISNUMBER(DX108)),N(Q108)=0),"",_xlfn.XLOOKUP(A108,Щиты[Щит],Щиты[Zпетли на шинах, Ом])+EK108),"")</f>
        <v/>
      </c>
      <c r="EN108" s="6" t="str">
        <f>IF(ISNUMBER(EM108),c_min*(Uн_лин*1000/SQRT(3))/EM108,"")</f>
        <v/>
      </c>
      <c r="EO108" s="6" t="str">
        <f>IFERROR(IF(OR(B108="",NOT(ISNUMBER(DX108))),"",1.05*(Uн_лин*1000/SQRT(3))/(_xlfn.XLOOKUP(A108,Щиты[Щит],Щиты[Zmax на шинах, Ом])+EL108)/1000),"")</f>
        <v/>
      </c>
      <c r="EP108" s="6" t="str">
        <f>IF(B108="","",IF(ISNUMBER(Y108),"Сил",IF(IFERROR(_xlfn.XLOOKUP(AX108,Коды_код,Коды_группа)&amp;"","")="","Быт",_xlfn.XLOOKUP(AX108,Коды_код,Коды_группа)&amp;"")))</f>
        <v>Сил</v>
      </c>
      <c r="EQ108" s="6" t="str">
        <f t="shared" si="178"/>
        <v>Сил</v>
      </c>
      <c r="ER108" s="6">
        <f>IF(EQ108="Щит","щит",IF(EQ108="","",IF(EQ108="Быт",IFERROR(_xlfn.XLOOKUP(A108,Щиты[Щит],Щиты[Кс быт]),1),IF(EQ108="Сил",IF(ISNUMBER(Y108),Y108,IF(Методика="нормы 2026",IFERROR(_xlfn.XLOOKUP(A108,Щиты[Щит],Щиты[Кс силовых (табл. 7.5)]),1),1)),IF(OR(EQ108="Пост",EQ108="Отоп"),1,IF(EQ108="ВНГ",0.7,0))))))</f>
        <v>0.5</v>
      </c>
      <c r="ES108">
        <f t="shared" si="179"/>
        <v>1</v>
      </c>
      <c r="ET108">
        <f t="shared" si="180"/>
        <v>0.27</v>
      </c>
      <c r="EU108">
        <f t="shared" si="181"/>
        <v>0</v>
      </c>
      <c r="EV108">
        <f t="shared" si="182"/>
        <v>0.13500000000000001</v>
      </c>
      <c r="EW108">
        <f t="shared" si="183"/>
        <v>0</v>
      </c>
      <c r="EX108">
        <f t="shared" si="184"/>
        <v>0</v>
      </c>
      <c r="EY108">
        <f t="shared" si="185"/>
        <v>0</v>
      </c>
      <c r="EZ108">
        <f t="shared" si="186"/>
        <v>0.27</v>
      </c>
      <c r="FA108">
        <f t="shared" si="187"/>
        <v>0.21600000000000003</v>
      </c>
      <c r="FB108">
        <f t="shared" si="188"/>
        <v>0.27</v>
      </c>
      <c r="FC108" t="str">
        <f t="shared" si="189"/>
        <v/>
      </c>
      <c r="FD108" t="str">
        <f>IF(B108="","",IF(CA108=0,IF(AW108=1,"",FF107),IF(OR(N(CV108)&gt;=3,N(BR108)&gt;=3),"L1,L2,L3",IFERROR(_xlfn.TEXTBEFORE(_xlfn.TEXTAFTER(_xlfn.XLOOKUP(A108,Щиты[Щит],Щиты[_фазы авто]),";"&amp;AW108&amp;":"),";"),"L1"))))</f>
        <v>L3</v>
      </c>
      <c r="FE108" t="str">
        <f t="shared" si="190"/>
        <v>L3</v>
      </c>
      <c r="FF108" t="str">
        <f t="shared" si="191"/>
        <v>L3</v>
      </c>
      <c r="FG108" cm="1">
        <f t="array" ref="FG108">IFERROR(IF(BX108=2,_xlfn.IFS(BR108=3,VLOOKUP(BN108,Справочная_двигатели,3,FALSE),BR108=1,VLOOKUP(BN108,Справочная_двигатели,5,TRUE)),0),0)</f>
        <v>0</v>
      </c>
      <c r="FH108">
        <f>IFERROR(IF(BX108=3,VLOOKUP(BN108,Справочная_ЛЭД,2,TRUE),0),0)</f>
        <v>0</v>
      </c>
      <c r="FI108" s="6">
        <f t="shared" si="192"/>
        <v>0</v>
      </c>
      <c r="FJ108" t="str" cm="1">
        <f t="array" ref="FJ108">IF(B108="","",IFERROR(INDEX({"I особая","I","II","III"},MATCH(TRIM(AC108&amp;""),{"I особая","I","II","III"},0)),"III"))</f>
        <v>II</v>
      </c>
      <c r="FK108" t="str">
        <f>IF(B108="","",IF(TRIM(AD108&amp;"")&lt;&gt;"",IF(LOWER(TRIM(AD108&amp;""))="да","да","нет"),IF(IFERROR(_xlfn.XLOOKUP(AX108,Коды_код,Коды_пожарная),"")="да","да","нет")))</f>
        <v>нет</v>
      </c>
      <c r="FL108" t="str">
        <f t="shared" si="193"/>
        <v/>
      </c>
      <c r="FM108" t="str">
        <f t="shared" si="194"/>
        <v>основная</v>
      </c>
      <c r="FN108">
        <f t="shared" si="195"/>
        <v>1</v>
      </c>
      <c r="FO108" t="str" cm="1">
        <f t="array" ref="FO108">IF(B108="","",_xlfn.LET(_xlpm.t,IFERROR(_xlfn.XLOOKUP(1,(Шины[Шина]=FM108)*(((Шины[Щит]=A108)+(Шины[Щит]=""))&gt;0),Шины[Тип]),"")&amp;"",IF(_xlpm.t&lt;&gt;"",_xlpm.t,IF(ISNUMBER(SEARCH("ИБП",FM108)),"ИБП",IF(ISNUMBER(SEARCH("ДГУ",FM108)),"ДГУ","Ввод "&amp;FN108)))))</f>
        <v>Ввод 1</v>
      </c>
      <c r="FP108" t="str">
        <f t="shared" si="196"/>
        <v>Ввод 1</v>
      </c>
      <c r="FQ108" t="str">
        <f>IF(B108="","",IF(OR(FO108="ИБП",FO108="ДГУ"),"I особая",IF(FO108="Одиночная","III",_xlfn.XLOOKUP(A108,Щиты[Щит],Щиты[Категория шины «Ввод»],"III"))))</f>
        <v>II</v>
      </c>
      <c r="FR108">
        <f>IF(B108="",0,IFERROR(MATCH(FJ108,{"III","II","I","I особая"},0),1))</f>
        <v>2</v>
      </c>
      <c r="FS108">
        <f t="shared" si="197"/>
        <v>2</v>
      </c>
      <c r="FT108" t="str">
        <f>IF(B108="","",IF(FR108&gt;IFERROR(MATCH(FQ108,{"III","II","I","I особая"},0),1),"НЕ ОБЕСПЕЧЕНА","ОК"))</f>
        <v>ОК</v>
      </c>
      <c r="FU108" t="str">
        <f>IF(A108="","",_xlfn.XLOOKUP(A108,Щиты[Щит],Щиты[Путь],""))</f>
        <v>|ГРЩ-ЖД|ЩОВ-01|</v>
      </c>
      <c r="FV108" t="str">
        <f>IF(B108="","",IF(AE108&lt;&gt;"",AE108,IF(IFERROR(_xlfn.XLOOKUP(AX108,Коды_код,Коды_вид)&amp;"","")="","Прочее",_xlfn.XLOOKUP(AX108,Коды_код,Коды_вид)&amp;"")))</f>
        <v>Вентиляция</v>
      </c>
      <c r="FW108">
        <f>IF(BH108="","",INT((BH108-1)/Столбцов_на_лист)+1)</f>
        <v>2</v>
      </c>
      <c r="FX108" t="str">
        <f t="shared" si="198"/>
        <v>ВВГнг(А)-LS (3х1,5) L=34-0,52%</v>
      </c>
      <c r="FY108">
        <f t="shared" si="199"/>
        <v>0.27</v>
      </c>
      <c r="FZ108">
        <f t="shared" si="200"/>
        <v>1.47</v>
      </c>
      <c r="GA108">
        <f t="shared" si="201"/>
        <v>1</v>
      </c>
      <c r="GB108">
        <f t="shared" si="202"/>
        <v>0</v>
      </c>
      <c r="GC108">
        <f t="shared" si="203"/>
        <v>1</v>
      </c>
      <c r="GD108">
        <f>IF(BH108="","",IF(AND(CA108=1,GC108=1),COUNTIFS(A$3:A108,A108,CA$3:CA108,1,GC$3:GC108,1),IF(OR(OR(AW108=1,A108&lt;&gt;A107),AF108="вручную",GC108=0),"",IF(AW108=1,"",GE107))))</f>
        <v>6</v>
      </c>
      <c r="GE108">
        <f t="shared" si="204"/>
        <v>6</v>
      </c>
      <c r="GF108">
        <f>IF(B108="","",IFERROR(LOOKUP(INDEX(CHOOSE(DL108,Iдоп_1ж,Iдоп_2ж,Iдоп_3ж),MATCH(DX108,Iдоп_S,0))*DJ108*DK108,{6,10,16,20,25,32,40,50,63,80,100,125,160,200,250,315,400,500,630}),""))</f>
        <v>16</v>
      </c>
      <c r="GG108" t="str">
        <f t="shared" si="205"/>
        <v>QF6</v>
      </c>
      <c r="GH108" t="str">
        <f t="shared" si="206"/>
        <v>QF6</v>
      </c>
      <c r="GI108" t="str">
        <f t="shared" si="207"/>
        <v/>
      </c>
      <c r="GJ108">
        <f t="shared" si="208"/>
        <v>0</v>
      </c>
      <c r="GK108" t="str">
        <f>IF(OR(AG108="",AG108="-"),"",IFERROR(VLOOKUP(AG108,Модули_спр,2,FALSE),"R"))</f>
        <v/>
      </c>
      <c r="GL108" t="str">
        <f>IF(GK108="","",GK108&amp;"."&amp;COUNTIFS(A$3:A108,A108,GK$3:GK108,GK108))</f>
        <v/>
      </c>
      <c r="GM108" t="str">
        <f t="shared" si="209"/>
        <v/>
      </c>
      <c r="GN108" t="str">
        <f t="shared" si="210"/>
        <v/>
      </c>
      <c r="GO108" t="str">
        <f t="shared" si="211"/>
        <v/>
      </c>
      <c r="GP108" t="str">
        <f t="shared" si="212"/>
        <v/>
      </c>
      <c r="GQ108">
        <f t="shared" si="213"/>
        <v>1</v>
      </c>
      <c r="GR108" t="str">
        <f>IF(GQ108=1,"XT"&amp;COUNTIFS(A$3:A108,A108,GQ$3:GQ108,1),"")</f>
        <v>XT6</v>
      </c>
      <c r="GS108" t="str">
        <f t="shared" si="214"/>
        <v>XT6</v>
      </c>
      <c r="GT108" t="str">
        <f t="shared" si="215"/>
        <v>QF6</v>
      </c>
      <c r="GU108" t="str">
        <f t="shared" si="216"/>
        <v/>
      </c>
      <c r="GV108" t="str">
        <f t="shared" si="217"/>
        <v>ok</v>
      </c>
      <c r="GW108" t="str">
        <f>IF(OR(GO108="",GM108=""),"",IF(GO108&gt;IFERROR(VLOOKUP(GN108,Модули_спр,3,FALSE),99),"ЛИШНИЙ КАНАЛ",IF(AND(AH108&lt;&gt;"=",COUNTIFS(Линии[_модуль гр.],GM108,Линии[Канал (итог)],GO108,Линии[Канал],"&lt;&gt;=",Линии[Щит],A108)&gt;1),"ДУБЛЬ КАНАЛА","")))</f>
        <v/>
      </c>
      <c r="GX108" s="6" t="str">
        <f t="shared" si="218"/>
        <v/>
      </c>
      <c r="GY108">
        <f t="shared" si="219"/>
        <v>10</v>
      </c>
      <c r="GZ108" t="str">
        <f t="shared" si="220"/>
        <v/>
      </c>
      <c r="HA108" t="str">
        <f>IF(AND(B108="",GT108=""),"",_xlfn.TEXTJOIN("; ",TRUE,IF(AND(B108&lt;&gt;"",FE108=""),"нет фазы",""),IF(AND(B108&lt;&gt;"",N(FY108)=0,EQ108&lt;&gt;"Нет"),"нет мощности",""),IF(AND(GS108&lt;&gt;"",COUNTIFS(Линии[Щит],A108,Линии[Клемма (итог)],GS108)&gt;1),"дубль клеммы "&amp;GS108,""),IF(AND(GV108&lt;&gt;"",GV108&lt;&gt;"ok"),GV108,""),IF(GW108&lt;&gt;"",GW108,""),IF(AND(N(BV108)&gt;=4,N(BR108)=1),BV108&amp;" жил на 1 фазе",""),IF(AND(AX108="R",CA108=1,OR(N(CK108)=0,N(CK108)&gt;30)),"розетка без дифзащиты до 30 мА",""),IFERROR(IF(AND(ISNUMBER(R108),R108&gt;DV108),"потери "&amp;FIXED(R108,1)&amp;" % &gt; "&amp;DV108&amp;" %",""),""),IFERROR(IF(LEFT(GZ108,4)="мало","Iкз мало — отключение &gt; 0,4 с",""),""),IF(AND(B108&lt;&gt;"",BH108=""),"не на схеме",""),IF(AND(CA108=0,B108&lt;&gt;"",FE108&lt;&gt;"",IF(AW108=1,"",FF107)&lt;&gt;"",FE108&lt;&gt;IF(AW108=1,"",FF107)),"фаза не как у автомата группы ("&amp;IF(AW108=1,"",FF107)&amp;")","")))</f>
        <v/>
      </c>
      <c r="HB108" s="6">
        <f>IF(OR(CA108=0,DA108=""),"",_xlfn.LET(_xlpm.t,IFERROR(_xlfn.XLOOKUP(DA108,Каталог!$U$4:$U$500,Каталог!$G$4:$G$500),""),_xlpm.k,SEARCH("кА",_xlpm.t),IFERROR(--TRIM(RIGHT(SUBSTITUTE(MID(_xlpm.t,MAX(1,_xlpm.k-4),_xlpm.k-MAX(1,_xlpm.k-4))," ",REPT(" ",9)),5)),"")))</f>
        <v>6</v>
      </c>
      <c r="HC108" t="str">
        <f>IF(OR(HB108="",CA108=0),"",IF(_xlfn.XLOOKUP(A108,Щиты[Щит],Щиты[Iкз max на шинах, кА],"")="","",IF(HB108&lt;_xlfn.XLOOKUP(A108,Щиты[Щит],Щиты[Iкз max на шинах, кА]),"Icu "&amp;HB108&amp;" кА &lt; Iкз max","ok")))</f>
        <v/>
      </c>
      <c r="HD108" t="str">
        <f t="shared" si="221"/>
        <v/>
      </c>
      <c r="HE108" t="str">
        <f t="shared" si="222"/>
        <v>QF6|XT6</v>
      </c>
      <c r="HF108" t="str">
        <f t="shared" si="223"/>
        <v>QF6|XT6|кабель ВВГнг(А)-LS (3х1,5) → Внутренний блок кондиционирования подвальный этаж Пом. №0001Тб</v>
      </c>
      <c r="HG108" t="str" cm="1">
        <f t="array" ref="HG108">IF(HF108="","",_xlfn.LET(_xlpm.nd,_xlfn.TEXTSPLIT(HF108,"|"),IF(COLUMNS(_xlpm.nd)&gt;1,A108&amp;"¦"&amp;INDEX(_xlpm.nd,1)&amp;"¦"&amp;INDEX(_xlpm.nd,2),"")))</f>
        <v>ЩОВ-01¦QF6¦XT6</v>
      </c>
      <c r="HH108" t="str">
        <f t="shared" si="224"/>
        <v>В.24¦Внутренний блок кондиционирования подвальный этаж Пом. №0001Тб</v>
      </c>
      <c r="HI108" t="str" cm="1">
        <f t="array" ref="HI108">IF(HF108="","",_xlfn.LET(_xlpm.nd,_xlfn.TEXTSPLIT(HF108,"|"),IF(COLUMNS(_xlpm.nd)&gt;2,A108&amp;"¦"&amp;INDEX(_xlpm.nd,2)&amp;"¦"&amp;INDEX(_xlpm.nd,3),"")))</f>
        <v>ЩОВ-01¦XT6¦кабель ВВГнг(А)-LS (3х1,5) → Внутренний блок кондиционирования подвальный этаж Пом. №0001Тб</v>
      </c>
      <c r="HJ108" t="str">
        <f t="shared" si="225"/>
        <v>В.24¦Внутренний блок кондиционирования подвальный этаж Пом. №0001Тб</v>
      </c>
      <c r="HK108" t="str" cm="1">
        <f t="array" ref="HK108">IF(HF108="","",_xlfn.LET(_xlpm.nd,_xlfn.TEXTSPLIT(HF108,"|"),IF(COLUMNS(_xlpm.nd)&gt;3,A108&amp;"¦"&amp;INDEX(_xlpm.nd,3)&amp;"¦"&amp;INDEX(_xlpm.nd,4),"")))</f>
        <v/>
      </c>
      <c r="HL108" t="str">
        <f t="shared" si="226"/>
        <v/>
      </c>
      <c r="HM108" t="str" cm="1">
        <f t="array" ref="HM108">IF(HF108="","",_xlfn.LET(_xlpm.nd,_xlfn.TEXTSPLIT(HF108,"|"),IF(COLUMNS(_xlpm.nd)&gt;4,A108&amp;"¦"&amp;INDEX(_xlpm.nd,4)&amp;"¦"&amp;INDEX(_xlpm.nd,5),"")))</f>
        <v/>
      </c>
      <c r="HN108" t="str">
        <f t="shared" si="227"/>
        <v/>
      </c>
      <c r="HO108" t="str" cm="1">
        <f t="array" ref="HO108">IF(HF108="","",_xlfn.LET(_xlpm.nd,_xlfn.TEXTSPLIT(HF108,"|"),IF(COLUMNS(_xlpm.nd)&gt;5,A108&amp;"¦"&amp;INDEX(_xlpm.nd,5)&amp;"¦"&amp;INDEX(_xlpm.nd,6),"")))</f>
        <v/>
      </c>
      <c r="HP108" t="str">
        <f t="shared" si="228"/>
        <v/>
      </c>
      <c r="HQ108" t="str" cm="1">
        <f t="array" ref="HQ108">IF(HF108="","",_xlfn.LET(_xlpm.nd,_xlfn.TEXTSPLIT(HF108,"|"),IF(COLUMNS(_xlpm.nd)&gt;6,A108&amp;"¦"&amp;INDEX(_xlpm.nd,6)&amp;"¦"&amp;INDEX(_xlpm.nd,7),"")))</f>
        <v/>
      </c>
      <c r="HR108" t="str">
        <f t="shared" si="229"/>
        <v/>
      </c>
      <c r="HS108" t="str">
        <f t="shared" si="230"/>
        <v/>
      </c>
      <c r="HT108" t="str">
        <f t="shared" si="231"/>
        <v>QF6 → XT6</v>
      </c>
      <c r="HU108">
        <f t="shared" si="232"/>
        <v>0</v>
      </c>
      <c r="HV108">
        <f t="shared" si="233"/>
        <v>0</v>
      </c>
      <c r="HW108" t="str">
        <f t="shared" si="234"/>
        <v/>
      </c>
      <c r="HX108" t="str">
        <f t="shared" si="235"/>
        <v/>
      </c>
      <c r="HY108" t="str">
        <f t="shared" si="236"/>
        <v/>
      </c>
      <c r="HZ108" t="str">
        <f t="shared" si="237"/>
        <v/>
      </c>
      <c r="IA108" t="str">
        <f>IF(B108="","",IFERROR(VLOOKUP(B108,УГО_спр,2,FALSE),IFERROR(VLOOKUP(AX108,УГО_спр,2,FALSE),IFERROR(VLOOKUP(LEFT(AX108,2),УГО_спр,2,FALSE),""))))</f>
        <v>Привод (двигатель)</v>
      </c>
      <c r="IB108" t="str">
        <f>IF(B108="","",IF(OR(IA108="",IA108=0),"BOX",IFERROR(IF(VLOOKUP(IA108,УГО_блоки,3,FALSE)&amp;""&lt;&gt;"",VLOOKUP(IA108,УГО_блоки,3,FALSE),VLOOKUP(IA108,УГО_блоки,2,FALSE)),IA108)))</f>
        <v>MOTOR</v>
      </c>
      <c r="IC108">
        <f t="shared" si="238"/>
        <v>1</v>
      </c>
      <c r="ID108" t="str">
        <f>IF(DA108="","",IF(COUNTIF(DA$3:DA108,DA108)=1,MAX(ID$2:ID107)+1,""))</f>
        <v/>
      </c>
      <c r="IE108" t="str">
        <f>IF(CO108="","",IF(COUNTIF(CO$3:CO108,CO108)+COUNTIF(CP$2:CP107,CO108)+COUNTIF(CQ$2:CQ107,CO108)=1,MAX(IE$2:IG107)+1,""))</f>
        <v/>
      </c>
      <c r="IF108" t="str">
        <f>IF(CP108="","",IF(COUNTIF(CO$3:CO108,CP108)+COUNTIF(CP$3:CP108,CP108)+COUNTIF(CQ$2:CQ107,CP108)=1,MAX(IE$2:IG107,IE108)+1,""))</f>
        <v/>
      </c>
      <c r="IG108" t="str">
        <f>IF(CQ108="","",IF(COUNTIF(CO$3:CO108,CQ108)+COUNTIF(CP$3:CP108,CQ108)+COUNTIF(CQ$3:CQ108,CQ108)=1,MAX(IE$2:IG107,IE108,IF108)+1,""))</f>
        <v/>
      </c>
      <c r="IH108" t="str">
        <f t="shared" si="239"/>
        <v>3х1,5</v>
      </c>
      <c r="II108" t="str">
        <f>IF(IH108="","",IF(COUNTIF(IH$3:IH108,IH108)=1,MAX(II$2:II107)+1,""))</f>
        <v/>
      </c>
      <c r="IJ108" t="str">
        <f>IF(GL108="","",COUNTIF(GL$3:GL108,"?*"))</f>
        <v/>
      </c>
      <c r="IK108" t="str">
        <f>IF(OR(GL108="",GN108=""),"",IF(COUNTIFS(GL$3:GL108,"?*",GN$3:GN108,GN108)=1,MAX(IK$2:IK107)+1,""))</f>
        <v/>
      </c>
      <c r="IL108">
        <f t="shared" si="240"/>
        <v>0</v>
      </c>
      <c r="IM108">
        <f>IF(B108="","",COUNTIF(B$3:B108,"?*"))</f>
        <v>106</v>
      </c>
      <c r="IN108">
        <f>IF(GQ108&lt;&gt;1,0,_xlfn.LET(_xlpm.k,MAX(IFERROR(--VLOOKUP(B108,УГО_спр,5,FALSE),0),IFERROR(--VLOOKUP(AX108,УГО_спр,5,FALSE),0),IFERROR(--VLOOKUP(LEFT(AX108,2),УГО_спр,5,FALSE),0)),IF(_xlpm.k&gt;0,_xlpm.k,IF(IFERROR(--LEFT(SUBSTITUTE(IH108,"x","х"),FIND("х",SUBSTITUTE(IH108,"x","х"))-1),3)&gt;3,Каталог!$S$9,1))))</f>
        <v>1</v>
      </c>
      <c r="IO108">
        <f t="shared" si="241"/>
        <v>0</v>
      </c>
      <c r="IP108" t="str">
        <f t="shared" si="242"/>
        <v>авто</v>
      </c>
      <c r="IQ108" t="str">
        <f t="shared" si="243"/>
        <v/>
      </c>
      <c r="IR108">
        <f t="shared" si="244"/>
        <v>0</v>
      </c>
      <c r="IS108">
        <f t="shared" si="245"/>
        <v>1</v>
      </c>
    </row>
    <row r="109" spans="1:253" x14ac:dyDescent="0.3">
      <c r="A109" t="s">
        <v>747</v>
      </c>
      <c r="B109" t="s">
        <v>1379</v>
      </c>
      <c r="C109" t="s">
        <v>1632</v>
      </c>
      <c r="D109">
        <v>1</v>
      </c>
      <c r="E109">
        <v>0.27</v>
      </c>
      <c r="G109">
        <v>10</v>
      </c>
      <c r="H109" t="str">
        <f>Линии[[#This Row],[_авто утечка]]</f>
        <v/>
      </c>
      <c r="I109" t="str">
        <f>Линии[[#This Row],[_авто управление]]</f>
        <v/>
      </c>
      <c r="J109" t="str">
        <f>Линии[[#This Row],[_авто аппараты]]</f>
        <v/>
      </c>
      <c r="K109">
        <v>1.5</v>
      </c>
      <c r="L109">
        <v>30</v>
      </c>
      <c r="M109" t="str">
        <f>Линии[[#This Row],[_авто фаза]]</f>
        <v>L1</v>
      </c>
      <c r="N109" t="s">
        <v>486</v>
      </c>
      <c r="O109" t="str">
        <f t="shared" si="123"/>
        <v/>
      </c>
      <c r="P109" s="6" cm="1">
        <f t="array" ref="P109">IF(B109="","",IF(BC109&lt;&gt;"",IFERROR(_xlfn.XLOOKUP(BC109,Щиты[Щит],Щиты[Iр, А]),""),IF(BK109=1,IFERROR(_xlfn.XLOOKUP(A109,Щиты[Щит],Щиты[Iр, А]),""),IFERROR(_xlfn.IFS(BR109=1,BN109/((Uн_лин/SQRT(3))*BY109),BR109=3,BN109/(SQRT(3)*Uн_лин*BY109)),""))))</f>
        <v>1.46141786888624</v>
      </c>
      <c r="Q109" s="7">
        <f>IF(B109="","",IFERROR(IF(VLOOKUP(AX109,Потребители_обозначение,4,FALSE)=1,VLOOKUP(AX109,Потребители_обозначение,3,FALSE)*(D109*2-1)+DS109+VLOOKUP(AZ109,Этаж_обозначение,3,FALSE)+VLOOKUP(AZ109,Этаж_обозначение,4,FALSE),VLOOKUP(AX109,Потребители_обозначение,3,FALSE)*(D109*2-1)+DS109),DS109))</f>
        <v>34</v>
      </c>
      <c r="R109" s="6">
        <f t="shared" si="124"/>
        <v>0.76</v>
      </c>
      <c r="S109" t="str">
        <f t="shared" si="125"/>
        <v>ВВГнг(А)-LS (3х1,5)</v>
      </c>
      <c r="T109" t="str">
        <f>IF(BH109="","",IF(BI109="вводной узел","узел ","")&amp;"л."&amp;(INT((BH109-1)/Столбцов_на_лист)+1)&amp;" / "&amp;(MOD(BH109-1,Столбцов_на_лист)+1))</f>
        <v>л.2 / 9</v>
      </c>
      <c r="V109">
        <v>1</v>
      </c>
      <c r="W109">
        <v>230</v>
      </c>
      <c r="X109" t="s">
        <v>600</v>
      </c>
      <c r="Y109">
        <v>0.5</v>
      </c>
      <c r="AC109" t="s">
        <v>815</v>
      </c>
      <c r="AE109" t="s">
        <v>582</v>
      </c>
      <c r="AI109">
        <v>26</v>
      </c>
      <c r="AJ109" t="s">
        <v>11</v>
      </c>
      <c r="AK109">
        <v>3</v>
      </c>
      <c r="AM109">
        <v>20</v>
      </c>
      <c r="AN109">
        <v>14</v>
      </c>
      <c r="AP109">
        <v>1</v>
      </c>
      <c r="AW109" cm="1">
        <f t="array" ref="AW109">ROW()-ROW(Линии[#Headers])</f>
        <v>107</v>
      </c>
      <c r="AX109" s="6" t="str">
        <f t="shared" si="126"/>
        <v>В</v>
      </c>
      <c r="AY109" t="str">
        <f t="shared" si="127"/>
        <v>25</v>
      </c>
      <c r="AZ109" t="str">
        <f t="shared" si="128"/>
        <v>25</v>
      </c>
      <c r="BA109" t="str">
        <f t="shared" si="129"/>
        <v/>
      </c>
      <c r="BB109" t="str">
        <f t="shared" si="130"/>
        <v/>
      </c>
      <c r="BC109" t="str">
        <f>IF(U109&lt;&gt;"",U109,IF(AND(B109&lt;&gt;"",B109&lt;&gt;A109,ISNUMBER(_xlfn.XMATCH(B109,Щиты[Щит]))),B109,""))</f>
        <v/>
      </c>
      <c r="BD109" t="str" cm="1">
        <f t="array" ref="BD109">IF(B109="","",IF(BC109&lt;&gt;"","Щит "&amp;BC109,_xlfn.LET(_xlpm.nm,IFERROR(_xlfn.XLOOKUP(AX109,Коды_код,Коды_имя)&amp;"",""),_xlpm.md,IFERROR(N(_xlfn.XLOOKUP(AX109,Коды_код,Коды_режим)),1),_xlpm.ex,IF(Имя_режим="по экспликации",IFERROR(_xlfn.XLOOKUP(AZ109&amp;"|"&amp;BB109,Экспликация[Этаж]&amp;"|"&amp;Экспликация[Помещение],Экспликация[Название])&amp;"",""),""),_xlpm.rm,IF(BB109="","",IF(_xlpm.ex&lt;&gt;"",". "&amp;_xlpm.ex&amp;IF(Имя_пом="нет"," ("&amp;BB109&amp;")"," (пом. "&amp;BB109&amp;")"),IF(Имя_пом="нет"," ",", пом. ")&amp;BB109)),IF(_xlpm.nm="","",IF(_xlpm.md=2,_xlpm.nm&amp;" шлейф "&amp;AZ109,_xlpm.nm&amp;_xlpm.rm)))))</f>
        <v>Вытяжная установка шлейф 25</v>
      </c>
      <c r="BE109" t="str">
        <f t="shared" si="131"/>
        <v>Внутренний блок кондиционирования подвальный этаж Пом. №01Тб</v>
      </c>
      <c r="BF109">
        <f>IFERROR(_xlfn.XMATCH(A109,Щиты[Щит]),0)</f>
        <v>6</v>
      </c>
      <c r="BG109">
        <f>_xlfn.LET(_xlpm.k,IFERROR(_xlfn.XLOOKUP(A109,Щиты[Щит],Щиты[Листов под вводной узел]),""),IF(_xlpm.k="",1,N(_xlpm.k))*Столбцов_на_лист)</f>
        <v>17</v>
      </c>
      <c r="BH109">
        <f t="shared" si="132"/>
        <v>26</v>
      </c>
      <c r="BI109" t="str">
        <f t="shared" si="133"/>
        <v>линии</v>
      </c>
      <c r="BJ109" s="6">
        <f>IFERROR(N(_xlfn.XLOOKUP(AX109,Коды_код,Коды_квт)),0)</f>
        <v>0</v>
      </c>
      <c r="BK109">
        <f t="shared" si="134"/>
        <v>0</v>
      </c>
      <c r="BL109" t="str">
        <f>IF(B109="","",IF(BC109&lt;&gt;"",IFERROR(_xlfn.XLOOKUP(BC109,Щиты[Щит],Щиты[Руст, кВт]),0),IF(BK109=1,IFERROR(_xlfn.XLOOKUP(A109,Щиты[Щит],Щиты[Руст, кВт]),0),IF(BJ109&gt;0,ROUND(BJ109*MAX(1,N(D109)),3),""))))</f>
        <v/>
      </c>
      <c r="BM109">
        <f t="shared" si="135"/>
        <v>0.27</v>
      </c>
      <c r="BN109" s="6">
        <f>IF(B109="","",IF(BC109&lt;&gt;"",IFERROR(_xlfn.XLOOKUP(BC109,Щиты[Щит],Щиты[Руст, кВт]),0),N(BM109)))</f>
        <v>0.27</v>
      </c>
      <c r="BO109" t="str">
        <f>IF(B109="","",IFERROR(IF(VLOOKUP(AX109,Потребители_обозначение,8,FALSE)=0,"",VLOOKUP(AX109,Потребители_обозначение,8,FALSE)),""))</f>
        <v/>
      </c>
      <c r="BP109">
        <f t="shared" si="136"/>
        <v>230</v>
      </c>
      <c r="BQ109">
        <f>IF(B109="","",IF(BC109&lt;&gt;"",3,IFERROR(IF(N(VLOOKUP(AX109,Потребители_обозначение,9,FALSE))=0,1,VLOOKUP(AX109,Потребители_обозначение,9,FALSE)),1)))</f>
        <v>1</v>
      </c>
      <c r="BR109">
        <f t="shared" si="137"/>
        <v>1</v>
      </c>
      <c r="BS109" t="str">
        <f>IF(B109="","",_xlfn.LET(_xlpm.bc,IFERROR(IF(VLOOKUP(AX109,Потребители_обозначение,6,FALSE)=0,"",VLOOKUP(AX109,Потребители_обозначение,6,FALSE)&amp;""),""),IF(AND(FK109="да",OR(_xlpm.bc="",_xlpm.bc="мс")),Марка_пож,IF(AND(_xlpm.bc="",BC109&lt;&gt;""),"мс",_xlpm.bc))))</f>
        <v/>
      </c>
      <c r="BT109" t="str">
        <f t="shared" si="138"/>
        <v>мс</v>
      </c>
      <c r="BU109">
        <f>IF(B109="","",_xlfn.LET(_xlpm.cc,IFERROR(N(VLOOKUP(AX109,Потребители_обозначение,7,FALSE)),0),IF(_xlpm.cc&gt;0,_xlpm.cc,IF(BT109="","",IF(N(BR109)=3,5,3)))))</f>
        <v>3</v>
      </c>
      <c r="BV109">
        <f t="shared" si="139"/>
        <v>3</v>
      </c>
      <c r="BW109">
        <f>IFERROR(N(VLOOKUP(AX109,Потребители_обозначение,10,FALSE)),0)</f>
        <v>0</v>
      </c>
      <c r="BX109">
        <f>IFERROR(VLOOKUP(AX109,Потребители_обозначение,5,FALSE),0)</f>
        <v>1</v>
      </c>
      <c r="BY109" s="6" cm="1">
        <f t="array" ref="BY109">IF(B109="","",IF(BC109&lt;&gt;"",IFERROR(_xlfn.XLOOKUP(BC109,Щиты[Щит],Щиты[cos φ]),0.95),IF(BK109=1,IFERROR(_xlfn.XLOOKUP(A109,Щиты[Щит],Щиты[cos φ]),0.95),IF(ISNUMBER(Z109),Z109,IFERROR(IF(BX109=2,_xlfn.IFS(BR109=3,VLOOKUP(BN109,Справочная_двигатели,8,FALSE),BR109=1,VLOOKUP(BN109,Справочная_двигатели,10,TRUE)),IF(AND(Методика="нормы 2026",EQ109="Сил"),0.8,0.95)),0.95)))))</f>
        <v>0.8</v>
      </c>
      <c r="BZ109">
        <f t="shared" si="140"/>
        <v>0</v>
      </c>
      <c r="CA109">
        <f t="shared" si="141"/>
        <v>1</v>
      </c>
      <c r="CB109">
        <f t="shared" si="142"/>
        <v>0</v>
      </c>
      <c r="CC109">
        <f t="shared" si="143"/>
        <v>0</v>
      </c>
      <c r="CD109">
        <f t="shared" si="144"/>
        <v>0</v>
      </c>
      <c r="CE109">
        <f t="shared" si="145"/>
        <v>0</v>
      </c>
      <c r="CF109">
        <f t="shared" si="146"/>
        <v>0</v>
      </c>
      <c r="CG109">
        <f>IF(AX109="",0,_xlfn.LET(_xlpm.v,IFERROR(VLOOKUP(B109,УГО_спр,3,FALSE),IFERROR(VLOOKUP(AX109,УГО_спр,3,FALSE),IFERROR(VLOOKUP(LEFT(AX109,2),УГО_спр,3,FALSE),""))),IF(_xlpm.v="да",30,IF(ISNUMBER(_xlpm.v),_xlpm.v,0))))</f>
        <v>0</v>
      </c>
      <c r="CH109" t="str">
        <f t="shared" si="147"/>
        <v/>
      </c>
      <c r="CI109" t="str">
        <f>_xlfn.LET(_xlpm.k,IFERROR(_xlfn.XLOOKUP(AX109,Коды_код,Коды_утечка)&amp;"",""),IF(_xlpm.k="","дифавтомат",_xlpm.k))</f>
        <v>дифавтомат</v>
      </c>
      <c r="CJ109">
        <f t="shared" si="148"/>
        <v>0</v>
      </c>
      <c r="CK109">
        <f t="shared" si="149"/>
        <v>0</v>
      </c>
      <c r="CL109">
        <f>IF(B109="",0,IFERROR(--VLOOKUP(B109,УГО_спр,4,FALSE),IFERROR(--VLOOKUP(AX109,УГО_спр,4,FALSE),IFERROR(--VLOOKUP(LEFT(AX109,2),УГО_спр,4,FALSE),0))))</f>
        <v>0</v>
      </c>
      <c r="CM109" t="str">
        <f>IF(B109="","",IFERROR(_xlfn.XLOOKUP(AX109,Коды_код,Коды_апп)&amp;"",""))</f>
        <v/>
      </c>
      <c r="CN109" t="str">
        <f t="shared" si="150"/>
        <v/>
      </c>
      <c r="CO109" t="str" cm="1">
        <f t="array" ref="CO109">IF(TRIM(CN109&amp;"")="","",IFERROR(TRIM(INDEX(_xlfn.TEXTSPLIT(CN109&amp;";;;",";"),1)),""))</f>
        <v/>
      </c>
      <c r="CP109" t="str" cm="1">
        <f t="array" ref="CP109">IF(TRIM(CN109&amp;"")="","",IFERROR(TRIM(INDEX(_xlfn.TEXTSPLIT(CN109&amp;";;;",";"),2)),""))</f>
        <v/>
      </c>
      <c r="CQ109" t="str" cm="1">
        <f t="array" ref="CQ109">IF(TRIM(CN109&amp;"")="","",IFERROR(TRIM(INDEX(_xlfn.TEXTSPLIT(CN109&amp;";;;",";"),3)),""))</f>
        <v/>
      </c>
      <c r="CR109">
        <f t="shared" si="151"/>
        <v>0</v>
      </c>
      <c r="CS109" t="str">
        <f>IF(B109="","",_xlfn.LET(_xlpm.t,LOWER(AV109&amp;""),IF(ISNUMBER(SEARCH("dim",_xlpm.t)),"DIM",IF(ISNUMBER(SEARCH("dali",_xlpm.t)),"DALI",IF(OR(ISNUMBER(SEARCH("relay",_xlpm.t)),ISNUMBER(SEARCH("реле",_xlpm.t))),"Relay",IF(ISNUMBER(SEARCH("кнопк",_xlpm.t)),"",IFERROR(_xlfn.XLOOKUP(AX109,Коды_код,Коды_упр)&amp;"","")))))))</f>
        <v/>
      </c>
      <c r="CT109" t="str">
        <f t="shared" si="152"/>
        <v/>
      </c>
      <c r="CU109">
        <f>IF(B109="","",_xlfn.LET(_xlpm.ig,N(P109)+IF(AF109="вручную",0,N(CB109)),_xlpm.n0,IFERROR(VLOOKUP(_xlpm.ig,Автомат_номиналы,2,TRUE),0),_xlpm.mn,MAX(CL109,IF(AF109="вручную",0,N(CE109))),MAX(_xlpm.n0,_xlpm.mn,IF(CR109=1,Мин_автомат_БП,0))))</f>
        <v>6</v>
      </c>
      <c r="CV109">
        <f t="shared" si="153"/>
        <v>1</v>
      </c>
      <c r="CW109" t="str">
        <f t="shared" si="154"/>
        <v>1P</v>
      </c>
      <c r="CX109" t="str">
        <f>_xlfn.LET(_xlpm.cc,UPPER(TRIM(IFERROR(_xlfn.XLOOKUP(AX109,Коды_код,Коды_хар)&amp;"",""))),IF(OR(_xlpm.cc="B",_xlpm.cc="В"),"B",IF(_xlpm.cc="D","D","С")))</f>
        <v>С</v>
      </c>
      <c r="CY109" t="str">
        <f t="shared" si="155"/>
        <v>1P С6А</v>
      </c>
      <c r="CZ109">
        <f t="shared" si="156"/>
        <v>10</v>
      </c>
      <c r="DA109" t="str">
        <f t="shared" si="157"/>
        <v>1P С10А</v>
      </c>
      <c r="DB109" cm="1">
        <f t="array" ref="DB109">IF(DA109="","",_xlfn.LET(_xlpm.t,SUBSTITUTE(SUBSTITUTE(SUBSTITUTE(UPPER(DA109),"С","C"),"А","A"),"В","B"),_xlpm.tk,_xlfn.TEXTSPLIT(_xlpm.t,"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9" t="str">
        <f t="shared" si="158"/>
        <v>ok</v>
      </c>
      <c r="DD109">
        <f t="shared" si="159"/>
        <v>10</v>
      </c>
      <c r="DE109" t="str">
        <f t="shared" si="160"/>
        <v>1P С10А</v>
      </c>
      <c r="DF109">
        <f t="shared" si="161"/>
        <v>0</v>
      </c>
      <c r="DG109">
        <f t="shared" si="162"/>
        <v>0</v>
      </c>
      <c r="DH109">
        <f t="shared" si="163"/>
        <v>0</v>
      </c>
      <c r="DI109">
        <f t="shared" si="164"/>
        <v>1.46141786888624</v>
      </c>
      <c r="DJ109">
        <f t="shared" si="165"/>
        <v>1</v>
      </c>
      <c r="DK109">
        <f>IF(ISNUMBER(AL109),AL109,К_прокл)</f>
        <v>1</v>
      </c>
      <c r="DL109">
        <f t="shared" si="166"/>
        <v>2</v>
      </c>
      <c r="DM109">
        <f>IFERROR(N(VLOOKUP(BT109,Кабель_обозначение,3,FALSE)),1)</f>
        <v>1</v>
      </c>
      <c r="DN109">
        <f>IFERROR(N(_xlfn.XLOOKUP(A109,Щиты[Щит],Щиты[ΔU до шин, %])),0)</f>
        <v>0.24000000000000002</v>
      </c>
      <c r="DO109" t="str">
        <f>IFERROR(_xlfn.XLOOKUP(A109,Щиты[Щит],Щиты[Zпетли на шинах, Ом]),"")</f>
        <v/>
      </c>
      <c r="DP109">
        <f>IFERROR(N(_xlfn.XLOOKUP(A109,Щиты[Щит],Щиты[ΔU до шин (подбор), %])),0)</f>
        <v>0.36</v>
      </c>
      <c r="DQ109" t="str">
        <f>IFERROR(_xlfn.XLOOKUP(A109,Щиты[Щит],Щиты[Zпетли на шинах (подбор), Ом]),"")</f>
        <v/>
      </c>
      <c r="DR109" t="str">
        <f t="shared" si="167"/>
        <v/>
      </c>
      <c r="DS109">
        <f t="shared" si="168"/>
        <v>30</v>
      </c>
      <c r="DT109">
        <f t="shared" si="169"/>
        <v>2</v>
      </c>
      <c r="DU109">
        <f t="shared" si="170"/>
        <v>0.6</v>
      </c>
      <c r="DV109" s="6">
        <f>IF(B109="","",IF(IFERROR(VLOOKUP(AX109,УГО_спр,2,FALSE),"")="Светильник",3,4)+IF(Методика="нормы 2026",MIN(0.5,MAX(0,N(Q109)-100)*0.005),0))</f>
        <v>4</v>
      </c>
      <c r="DW109" cm="1">
        <f t="array" ref="DW109">IF(OR(B109="",BT109="",DM109&lt;&gt;1),"",_xlfn.LET(_xlpm.sz,Iдоп_S,_xlpm.t_,CHOOSE(DL109,Iдоп_1ж,Iдоп_2ж,Iдоп_3ж)*DJ109*DK109,_xlpm.inn,N(DD109),_xlpm.smin,MAX(1.5,BW109),_xlpm.L_,N(Q109)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109)*(_xlpm.rho*_xlpm.L_/_xlpm.sz*N(BY109)+_xlpm.xx*_xlpm.L_*N(DU109)/1000)*N(P109)/((Uн_лин/SQRT(3))*1000)*100,999),_xlpm.kz,IF(OR(DG109=1,NOT(ISNUMBER(DQ109)),_xlpm.L_=0,_xlpm.inn=0),1,IFERROR(--(c_min*(Uн_лин*1000/SQRT(3))/(DQ109+2*ρкз_Cu*_xlpm.L_/_xlpm.sz)&gt;=GY109*_xlpm.inn),0)),_xlpm.ok,IFERROR((_xlpm.sz&gt;=_xlpm.smin)*(_xlpm.t_&gt;=_xlpm.inn)*IF(_xlpm.L_&gt;0,(_xlpm.du_+DP109&lt;=DV109+0.00001),1)*_xlpm.kz,0),_xlpm.r_,_xlfn._xlws.FILTER(_xlpm.sz,_xlpm.ok,"не подобрано"),INDEX(_xlpm.r_,1)))</f>
        <v>1.5</v>
      </c>
      <c r="DX109">
        <f t="shared" si="171"/>
        <v>1.5</v>
      </c>
      <c r="DY109" cm="1">
        <f t="array" ref="DY109">IF(OR(B109="",BT109="",DM109&lt;&gt;1),"",_xlfn.LET(_xlpm.sz,Iдоп_S,_xlpm.t_,CHOOSE(DL109,Iдоп_1ж,Iдоп_2ж,Iдоп_3ж)*DJ109*DK109,_xlpm.ok,IFERROR((_xlpm.sz&gt;=MAX(1.5,BW109))*(_xlpm.t_&gt;=N(DD109)),0),_xlpm.r_,_xlfn._xlws.FILTER(_xlpm.sz,_xlpm.ok,""),INDEX(_xlpm.r_,1)))</f>
        <v>1.5</v>
      </c>
      <c r="DZ109" s="6" cm="1">
        <f t="array" ref="DZ109">IFERROR(ROUNDUP(N(DT109)*(_xlfn.XLOOKUP(DY109,INDEX(Кабель_сопротивление,0,1),INDEX(Кабель_сопротивление,0,3))*N(Q109)/DY109*N(BY109)+_xlfn.XLOOKUP(DY109,INDEX(Кабель_сопротивление,0,1),INDEX(Кабель_сопротивление,0,2))*N(Q109)*N(DU109)/1000)*N(P109)/((Uн_лин/SQRT(3))*1000)*100,2),"")</f>
        <v>0.52</v>
      </c>
      <c r="EA109">
        <f>IFERROR(2*ρкз_Cu*N(Q109)/DY109,"")</f>
        <v>1.1922666666666666</v>
      </c>
      <c r="EB109">
        <f>IFERROR(VLOOKUP(DX109,Кабель_сопротивление,3,FALSE),"")</f>
        <v>2.2499999999999999E-2</v>
      </c>
      <c r="EC109">
        <f>IFERROR(VLOOKUP(DX109,Кабель_сопротивление,2,FALSE),"")</f>
        <v>0.11</v>
      </c>
      <c r="ED109">
        <f t="shared" si="172"/>
        <v>14</v>
      </c>
      <c r="EE109">
        <f t="shared" si="173"/>
        <v>0</v>
      </c>
      <c r="EF109">
        <f t="shared" si="174"/>
        <v>1.1990758244067334</v>
      </c>
      <c r="EG109" s="6">
        <f>IFERROR(ROUNDUP(EF109/((Uн_лин/SQRT(3))*1000)*100,2),"")</f>
        <v>0.52</v>
      </c>
      <c r="EH109" t="str">
        <f>IFERROR(VLOOKUP(BT109,Кабель_обозначение,2,FALSE),"")</f>
        <v>ВВГнг(А)-LS</v>
      </c>
      <c r="EI109" t="str">
        <f t="shared" si="175"/>
        <v>ВВГнг(А)-LS (3х1,5)</v>
      </c>
      <c r="EJ109" t="str">
        <f t="shared" si="176"/>
        <v>ВВГнг(А)-LS (3х1,5)
L=34-0,52%</v>
      </c>
      <c r="EK109">
        <f>IFERROR(2*ρкз_Cu*Q109/DX109,"")</f>
        <v>1.1922666666666666</v>
      </c>
      <c r="EL109">
        <f t="shared" si="177"/>
        <v>0.39666666666666672</v>
      </c>
      <c r="EM109" s="6" t="str">
        <f>IFERROR(IF(OR(B109="",NOT(ISNUMBER(DX109)),N(Q109)=0),"",_xlfn.XLOOKUP(A109,Щиты[Щит],Щиты[Zпетли на шинах, Ом])+EK109),"")</f>
        <v/>
      </c>
      <c r="EN109" s="6" t="str">
        <f>IF(ISNUMBER(EM109),c_min*(Uн_лин*1000/SQRT(3))/EM109,"")</f>
        <v/>
      </c>
      <c r="EO109" s="6" t="str">
        <f>IFERROR(IF(OR(B109="",NOT(ISNUMBER(DX109))),"",1.05*(Uн_лин*1000/SQRT(3))/(_xlfn.XLOOKUP(A109,Щиты[Щит],Щиты[Zmax на шинах, Ом])+EL109)/1000),"")</f>
        <v/>
      </c>
      <c r="EP109" s="6" t="str">
        <f>IF(B109="","",IF(ISNUMBER(Y109),"Сил",IF(IFERROR(_xlfn.XLOOKUP(AX109,Коды_код,Коды_группа)&amp;"","")="","Быт",_xlfn.XLOOKUP(AX109,Коды_код,Коды_группа)&amp;"")))</f>
        <v>Сил</v>
      </c>
      <c r="EQ109" s="6" t="str">
        <f t="shared" si="178"/>
        <v>Сил</v>
      </c>
      <c r="ER109" s="6">
        <f>IF(EQ109="Щит","щит",IF(EQ109="","",IF(EQ109="Быт",IFERROR(_xlfn.XLOOKUP(A109,Щиты[Щит],Щиты[Кс быт]),1),IF(EQ109="Сил",IF(ISNUMBER(Y109),Y109,IF(Методика="нормы 2026",IFERROR(_xlfn.XLOOKUP(A109,Щиты[Щит],Щиты[Кс силовых (табл. 7.5)]),1),1)),IF(OR(EQ109="Пост",EQ109="Отоп"),1,IF(EQ109="ВНГ",0.7,0))))))</f>
        <v>0.5</v>
      </c>
      <c r="ES109">
        <f t="shared" si="179"/>
        <v>1</v>
      </c>
      <c r="ET109">
        <f t="shared" si="180"/>
        <v>0.27</v>
      </c>
      <c r="EU109">
        <f t="shared" si="181"/>
        <v>0</v>
      </c>
      <c r="EV109">
        <f t="shared" si="182"/>
        <v>0.13500000000000001</v>
      </c>
      <c r="EW109">
        <f t="shared" si="183"/>
        <v>0</v>
      </c>
      <c r="EX109">
        <f t="shared" si="184"/>
        <v>0</v>
      </c>
      <c r="EY109">
        <f t="shared" si="185"/>
        <v>0</v>
      </c>
      <c r="EZ109">
        <f t="shared" si="186"/>
        <v>0.27</v>
      </c>
      <c r="FA109">
        <f t="shared" si="187"/>
        <v>0.21600000000000003</v>
      </c>
      <c r="FB109">
        <f t="shared" si="188"/>
        <v>0.27</v>
      </c>
      <c r="FC109" t="str">
        <f t="shared" si="189"/>
        <v/>
      </c>
      <c r="FD109" t="str">
        <f>IF(B109="","",IF(CA109=0,IF(AW109=1,"",FF108),IF(OR(N(CV109)&gt;=3,N(BR109)&gt;=3),"L1,L2,L3",IFERROR(_xlfn.TEXTBEFORE(_xlfn.TEXTAFTER(_xlfn.XLOOKUP(A109,Щиты[Щит],Щиты[_фазы авто]),";"&amp;AW109&amp;":"),";"),"L1"))))</f>
        <v>L1</v>
      </c>
      <c r="FE109" t="str">
        <f t="shared" si="190"/>
        <v>L1</v>
      </c>
      <c r="FF109" t="str">
        <f t="shared" si="191"/>
        <v>L1</v>
      </c>
      <c r="FG109" cm="1">
        <f t="array" ref="FG109">IFERROR(IF(BX109=2,_xlfn.IFS(BR109=3,VLOOKUP(BN109,Справочная_двигатели,3,FALSE),BR109=1,VLOOKUP(BN109,Справочная_двигатели,5,TRUE)),0),0)</f>
        <v>0</v>
      </c>
      <c r="FH109">
        <f>IFERROR(IF(BX109=3,VLOOKUP(BN109,Справочная_ЛЭД,2,TRUE),0),0)</f>
        <v>0</v>
      </c>
      <c r="FI109" s="6">
        <f t="shared" si="192"/>
        <v>0</v>
      </c>
      <c r="FJ109" t="str" cm="1">
        <f t="array" ref="FJ109">IF(B109="","",IFERROR(INDEX({"I особая","I","II","III"},MATCH(TRIM(AC109&amp;""),{"I особая","I","II","III"},0)),"III"))</f>
        <v>II</v>
      </c>
      <c r="FK109" t="str">
        <f>IF(B109="","",IF(TRIM(AD109&amp;"")&lt;&gt;"",IF(LOWER(TRIM(AD109&amp;""))="да","да","нет"),IF(IFERROR(_xlfn.XLOOKUP(AX109,Коды_код,Коды_пожарная),"")="да","да","нет")))</f>
        <v>нет</v>
      </c>
      <c r="FL109" t="str">
        <f t="shared" si="193"/>
        <v/>
      </c>
      <c r="FM109" t="str">
        <f t="shared" si="194"/>
        <v>основная</v>
      </c>
      <c r="FN109">
        <f t="shared" si="195"/>
        <v>1</v>
      </c>
      <c r="FO109" t="str" cm="1">
        <f t="array" ref="FO109">IF(B109="","",_xlfn.LET(_xlpm.t,IFERROR(_xlfn.XLOOKUP(1,(Шины[Шина]=FM109)*(((Шины[Щит]=A109)+(Шины[Щит]=""))&gt;0),Шины[Тип]),"")&amp;"",IF(_xlpm.t&lt;&gt;"",_xlpm.t,IF(ISNUMBER(SEARCH("ИБП",FM109)),"ИБП",IF(ISNUMBER(SEARCH("ДГУ",FM109)),"ДГУ","Ввод "&amp;FN109)))))</f>
        <v>Ввод 1</v>
      </c>
      <c r="FP109" t="str">
        <f t="shared" si="196"/>
        <v>Ввод 1</v>
      </c>
      <c r="FQ109" t="str">
        <f>IF(B109="","",IF(OR(FO109="ИБП",FO109="ДГУ"),"I особая",IF(FO109="Одиночная","III",_xlfn.XLOOKUP(A109,Щиты[Щит],Щиты[Категория шины «Ввод»],"III"))))</f>
        <v>II</v>
      </c>
      <c r="FR109">
        <f>IF(B109="",0,IFERROR(MATCH(FJ109,{"III","II","I","I особая"},0),1))</f>
        <v>2</v>
      </c>
      <c r="FS109">
        <f t="shared" si="197"/>
        <v>2</v>
      </c>
      <c r="FT109" t="str">
        <f>IF(B109="","",IF(FR109&gt;IFERROR(MATCH(FQ109,{"III","II","I","I особая"},0),1),"НЕ ОБЕСПЕЧЕНА","ОК"))</f>
        <v>ОК</v>
      </c>
      <c r="FU109" t="str">
        <f>IF(A109="","",_xlfn.XLOOKUP(A109,Щиты[Щит],Щиты[Путь],""))</f>
        <v>|ГРЩ-ЖД|ЩОВ-01|</v>
      </c>
      <c r="FV109" t="str">
        <f>IF(B109="","",IF(AE109&lt;&gt;"",AE109,IF(IFERROR(_xlfn.XLOOKUP(AX109,Коды_код,Коды_вид)&amp;"","")="","Прочее",_xlfn.XLOOKUP(AX109,Коды_код,Коды_вид)&amp;"")))</f>
        <v>Вентиляция</v>
      </c>
      <c r="FW109">
        <f>IF(BH109="","",INT((BH109-1)/Столбцов_на_лист)+1)</f>
        <v>2</v>
      </c>
      <c r="FX109" t="str">
        <f t="shared" si="198"/>
        <v>ВВГнг(А)-LS (3х1,5) L=34-0,52%</v>
      </c>
      <c r="FY109">
        <f t="shared" si="199"/>
        <v>0.27</v>
      </c>
      <c r="FZ109">
        <f t="shared" si="200"/>
        <v>1.47</v>
      </c>
      <c r="GA109">
        <f t="shared" si="201"/>
        <v>1</v>
      </c>
      <c r="GB109">
        <f t="shared" si="202"/>
        <v>0</v>
      </c>
      <c r="GC109">
        <f t="shared" si="203"/>
        <v>1</v>
      </c>
      <c r="GD109">
        <f>IF(BH109="","",IF(AND(CA109=1,GC109=1),COUNTIFS(A$3:A109,A109,CA$3:CA109,1,GC$3:GC109,1),IF(OR(OR(AW109=1,A109&lt;&gt;A108),AF109="вручную",GC109=0),"",IF(AW109=1,"",GE108))))</f>
        <v>7</v>
      </c>
      <c r="GE109">
        <f t="shared" si="204"/>
        <v>7</v>
      </c>
      <c r="GF109">
        <f>IF(B109="","",IFERROR(LOOKUP(INDEX(CHOOSE(DL109,Iдоп_1ж,Iдоп_2ж,Iдоп_3ж),MATCH(DX109,Iдоп_S,0))*DJ109*DK109,{6,10,16,20,25,32,40,50,63,80,100,125,160,200,250,315,400,500,630}),""))</f>
        <v>16</v>
      </c>
      <c r="GG109" t="str">
        <f t="shared" si="205"/>
        <v>QF7</v>
      </c>
      <c r="GH109" t="str">
        <f t="shared" si="206"/>
        <v>QF7</v>
      </c>
      <c r="GI109" t="str">
        <f t="shared" si="207"/>
        <v/>
      </c>
      <c r="GJ109">
        <f t="shared" si="208"/>
        <v>0</v>
      </c>
      <c r="GK109" t="str">
        <f>IF(OR(AG109="",AG109="-"),"",IFERROR(VLOOKUP(AG109,Модули_спр,2,FALSE),"R"))</f>
        <v/>
      </c>
      <c r="GL109" t="str">
        <f>IF(GK109="","",GK109&amp;"."&amp;COUNTIFS(A$3:A109,A109,GK$3:GK109,GK109))</f>
        <v/>
      </c>
      <c r="GM109" t="str">
        <f t="shared" si="209"/>
        <v/>
      </c>
      <c r="GN109" t="str">
        <f t="shared" si="210"/>
        <v/>
      </c>
      <c r="GO109" t="str">
        <f t="shared" si="211"/>
        <v/>
      </c>
      <c r="GP109" t="str">
        <f t="shared" si="212"/>
        <v/>
      </c>
      <c r="GQ109">
        <f t="shared" si="213"/>
        <v>1</v>
      </c>
      <c r="GR109" t="str">
        <f>IF(GQ109=1,"XT"&amp;COUNTIFS(A$3:A109,A109,GQ$3:GQ109,1),"")</f>
        <v>XT7</v>
      </c>
      <c r="GS109" t="str">
        <f t="shared" si="214"/>
        <v/>
      </c>
      <c r="GT109" t="str">
        <f t="shared" si="215"/>
        <v>QF7</v>
      </c>
      <c r="GU109" t="str">
        <f t="shared" si="216"/>
        <v/>
      </c>
      <c r="GV109" t="str">
        <f t="shared" si="217"/>
        <v>ok</v>
      </c>
      <c r="GW109" t="str">
        <f>IF(OR(GO109="",GM109=""),"",IF(GO109&gt;IFERROR(VLOOKUP(GN109,Модули_спр,3,FALSE),99),"ЛИШНИЙ КАНАЛ",IF(AND(AH109&lt;&gt;"=",COUNTIFS(Линии[_модуль гр.],GM109,Линии[Канал (итог)],GO109,Линии[Канал],"&lt;&gt;=",Линии[Щит],A109)&gt;1),"ДУБЛЬ КАНАЛА","")))</f>
        <v/>
      </c>
      <c r="GX109" s="6" t="str">
        <f t="shared" si="218"/>
        <v/>
      </c>
      <c r="GY109">
        <f t="shared" si="219"/>
        <v>10</v>
      </c>
      <c r="GZ109" t="str">
        <f t="shared" si="220"/>
        <v/>
      </c>
      <c r="HA109" t="str">
        <f>IF(AND(B109="",GT109=""),"",_xlfn.TEXTJOIN("; ",TRUE,IF(AND(B109&lt;&gt;"",FE109=""),"нет фазы",""),IF(AND(B109&lt;&gt;"",N(FY109)=0,EQ109&lt;&gt;"Нет"),"нет мощности",""),IF(AND(GS109&lt;&gt;"",COUNTIFS(Линии[Щит],A109,Линии[Клемма (итог)],GS109)&gt;1),"дубль клеммы "&amp;GS109,""),IF(AND(GV109&lt;&gt;"",GV109&lt;&gt;"ok"),GV109,""),IF(GW109&lt;&gt;"",GW109,""),IF(AND(N(BV109)&gt;=4,N(BR109)=1),BV109&amp;" жил на 1 фазе",""),IF(AND(AX109="R",CA109=1,OR(N(CK109)=0,N(CK109)&gt;30)),"розетка без дифзащиты до 30 мА",""),IFERROR(IF(AND(ISNUMBER(R109),R109&gt;DV109),"потери "&amp;FIXED(R109,1)&amp;" % &gt; "&amp;DV109&amp;" %",""),""),IFERROR(IF(LEFT(GZ109,4)="мало","Iкз мало — отключение &gt; 0,4 с",""),""),IF(AND(B109&lt;&gt;"",BH109=""),"не на схеме",""),IF(AND(CA109=0,B109&lt;&gt;"",FE109&lt;&gt;"",IF(AW109=1,"",FF108)&lt;&gt;"",FE109&lt;&gt;IF(AW109=1,"",FF108)),"фаза не как у автомата группы ("&amp;IF(AW109=1,"",FF108)&amp;")","")))</f>
        <v/>
      </c>
      <c r="HB109" s="6">
        <f>IF(OR(CA109=0,DA109=""),"",_xlfn.LET(_xlpm.t,IFERROR(_xlfn.XLOOKUP(DA109,Каталог!$U$4:$U$500,Каталог!$G$4:$G$500),""),_xlpm.k,SEARCH("кА",_xlpm.t),IFERROR(--TRIM(RIGHT(SUBSTITUTE(MID(_xlpm.t,MAX(1,_xlpm.k-4),_xlpm.k-MAX(1,_xlpm.k-4))," ",REPT(" ",9)),5)),"")))</f>
        <v>6</v>
      </c>
      <c r="HC109" t="str">
        <f>IF(OR(HB109="",CA109=0),"",IF(_xlfn.XLOOKUP(A109,Щиты[Щит],Щиты[Iкз max на шинах, кА],"")="","",IF(HB109&lt;_xlfn.XLOOKUP(A109,Щиты[Щит],Щиты[Iкз max на шинах, кА]),"Icu "&amp;HB109&amp;" кА &lt; Iкз max","ok")))</f>
        <v/>
      </c>
      <c r="HD109" t="str">
        <f t="shared" si="221"/>
        <v/>
      </c>
      <c r="HE109" t="str">
        <f t="shared" si="222"/>
        <v>QF7</v>
      </c>
      <c r="HF109" t="str">
        <f t="shared" si="223"/>
        <v>QF7|кабель ВВГнг(А)-LS (3х1,5) → Внутренний блок кондиционирования подвальный этаж Пом. №01Тб</v>
      </c>
      <c r="HG109" t="str" cm="1">
        <f t="array" ref="HG109">IF(HF109="","",_xlfn.LET(_xlpm.nd,_xlfn.TEXTSPLIT(HF109,"|"),IF(COLUMNS(_xlpm.nd)&gt;1,A109&amp;"¦"&amp;INDEX(_xlpm.nd,1)&amp;"¦"&amp;INDEX(_xlpm.nd,2),"")))</f>
        <v>ЩОВ-01¦QF7¦кабель ВВГнг(А)-LS (3х1,5) → Внутренний блок кондиционирования подвальный этаж Пом. №01Тб</v>
      </c>
      <c r="HH109" t="str">
        <f t="shared" si="224"/>
        <v>В.25¦Внутренний блок кондиционирования подвальный этаж Пом. №01Тб</v>
      </c>
      <c r="HI109" t="str" cm="1">
        <f t="array" ref="HI109">IF(HF109="","",_xlfn.LET(_xlpm.nd,_xlfn.TEXTSPLIT(HF109,"|"),IF(COLUMNS(_xlpm.nd)&gt;2,A109&amp;"¦"&amp;INDEX(_xlpm.nd,2)&amp;"¦"&amp;INDEX(_xlpm.nd,3),"")))</f>
        <v/>
      </c>
      <c r="HJ109" t="str">
        <f t="shared" si="225"/>
        <v/>
      </c>
      <c r="HK109" t="str" cm="1">
        <f t="array" ref="HK109">IF(HF109="","",_xlfn.LET(_xlpm.nd,_xlfn.TEXTSPLIT(HF109,"|"),IF(COLUMNS(_xlpm.nd)&gt;3,A109&amp;"¦"&amp;INDEX(_xlpm.nd,3)&amp;"¦"&amp;INDEX(_xlpm.nd,4),"")))</f>
        <v/>
      </c>
      <c r="HL109" t="str">
        <f t="shared" si="226"/>
        <v/>
      </c>
      <c r="HM109" t="str" cm="1">
        <f t="array" ref="HM109">IF(HF109="","",_xlfn.LET(_xlpm.nd,_xlfn.TEXTSPLIT(HF109,"|"),IF(COLUMNS(_xlpm.nd)&gt;4,A109&amp;"¦"&amp;INDEX(_xlpm.nd,4)&amp;"¦"&amp;INDEX(_xlpm.nd,5),"")))</f>
        <v/>
      </c>
      <c r="HN109" t="str">
        <f t="shared" si="227"/>
        <v/>
      </c>
      <c r="HO109" t="str" cm="1">
        <f t="array" ref="HO109">IF(HF109="","",_xlfn.LET(_xlpm.nd,_xlfn.TEXTSPLIT(HF109,"|"),IF(COLUMNS(_xlpm.nd)&gt;5,A109&amp;"¦"&amp;INDEX(_xlpm.nd,5)&amp;"¦"&amp;INDEX(_xlpm.nd,6),"")))</f>
        <v/>
      </c>
      <c r="HP109" t="str">
        <f t="shared" si="228"/>
        <v/>
      </c>
      <c r="HQ109" t="str" cm="1">
        <f t="array" ref="HQ109">IF(HF109="","",_xlfn.LET(_xlpm.nd,_xlfn.TEXTSPLIT(HF109,"|"),IF(COLUMNS(_xlpm.nd)&gt;6,A109&amp;"¦"&amp;INDEX(_xlpm.nd,6)&amp;"¦"&amp;INDEX(_xlpm.nd,7),"")))</f>
        <v/>
      </c>
      <c r="HR109" t="str">
        <f t="shared" si="229"/>
        <v/>
      </c>
      <c r="HS109" t="str">
        <f t="shared" si="230"/>
        <v/>
      </c>
      <c r="HT109" t="str">
        <f t="shared" si="231"/>
        <v>QF7</v>
      </c>
      <c r="HU109">
        <f t="shared" si="232"/>
        <v>0</v>
      </c>
      <c r="HV109">
        <f t="shared" si="233"/>
        <v>0</v>
      </c>
      <c r="HW109" t="str">
        <f t="shared" si="234"/>
        <v/>
      </c>
      <c r="HX109" t="str">
        <f t="shared" si="235"/>
        <v/>
      </c>
      <c r="HY109" t="str">
        <f t="shared" si="236"/>
        <v/>
      </c>
      <c r="HZ109" t="str">
        <f t="shared" si="237"/>
        <v/>
      </c>
      <c r="IA109" t="str">
        <f>IF(B109="","",IFERROR(VLOOKUP(B109,УГО_спр,2,FALSE),IFERROR(VLOOKUP(AX109,УГО_спр,2,FALSE),IFERROR(VLOOKUP(LEFT(AX109,2),УГО_спр,2,FALSE),""))))</f>
        <v>Привод (двигатель)</v>
      </c>
      <c r="IB109" t="str">
        <f>IF(B109="","",IF(OR(IA109="",IA109=0),"BOX",IFERROR(IF(VLOOKUP(IA109,УГО_блоки,3,FALSE)&amp;""&lt;&gt;"",VLOOKUP(IA109,УГО_блоки,3,FALSE),VLOOKUP(IA109,УГО_блоки,2,FALSE)),IA109)))</f>
        <v>MOTOR</v>
      </c>
      <c r="IC109">
        <f t="shared" si="238"/>
        <v>1</v>
      </c>
      <c r="ID109" t="str">
        <f>IF(DA109="","",IF(COUNTIF(DA$3:DA109,DA109)=1,MAX(ID$2:ID108)+1,""))</f>
        <v/>
      </c>
      <c r="IE109" t="str">
        <f>IF(CO109="","",IF(COUNTIF(CO$3:CO109,CO109)+COUNTIF(CP$2:CP108,CO109)+COUNTIF(CQ$2:CQ108,CO109)=1,MAX(IE$2:IG108)+1,""))</f>
        <v/>
      </c>
      <c r="IF109" t="str">
        <f>IF(CP109="","",IF(COUNTIF(CO$3:CO109,CP109)+COUNTIF(CP$3:CP109,CP109)+COUNTIF(CQ$2:CQ108,CP109)=1,MAX(IE$2:IG108,IE109)+1,""))</f>
        <v/>
      </c>
      <c r="IG109" t="str">
        <f>IF(CQ109="","",IF(COUNTIF(CO$3:CO109,CQ109)+COUNTIF(CP$3:CP109,CQ109)+COUNTIF(CQ$3:CQ109,CQ109)=1,MAX(IE$2:IG108,IE109,IF109)+1,""))</f>
        <v/>
      </c>
      <c r="IH109" t="str">
        <f t="shared" si="239"/>
        <v>3х1,5</v>
      </c>
      <c r="II109" t="str">
        <f>IF(IH109="","",IF(COUNTIF(IH$3:IH109,IH109)=1,MAX(II$2:II108)+1,""))</f>
        <v/>
      </c>
      <c r="IJ109" t="str">
        <f>IF(GL109="","",COUNTIF(GL$3:GL109,"?*"))</f>
        <v/>
      </c>
      <c r="IK109" t="str">
        <f>IF(OR(GL109="",GN109=""),"",IF(COUNTIFS(GL$3:GL109,"?*",GN$3:GN109,GN109)=1,MAX(IK$2:IK108)+1,""))</f>
        <v/>
      </c>
      <c r="IL109">
        <f t="shared" si="240"/>
        <v>0</v>
      </c>
      <c r="IM109">
        <f>IF(B109="","",COUNTIF(B$3:B109,"?*"))</f>
        <v>107</v>
      </c>
      <c r="IN109">
        <f>IF(GQ109&lt;&gt;1,0,_xlfn.LET(_xlpm.k,MAX(IFERROR(--VLOOKUP(B109,УГО_спр,5,FALSE),0),IFERROR(--VLOOKUP(AX109,УГО_спр,5,FALSE),0),IFERROR(--VLOOKUP(LEFT(AX109,2),УГО_спр,5,FALSE),0)),IF(_xlpm.k&gt;0,_xlpm.k,IF(IFERROR(--LEFT(SUBSTITUTE(IH109,"x","х"),FIND("х",SUBSTITUTE(IH109,"x","х"))-1),3)&gt;3,Каталог!$S$9,1))))</f>
        <v>1</v>
      </c>
      <c r="IO109">
        <f t="shared" si="241"/>
        <v>0</v>
      </c>
      <c r="IP109" t="str">
        <f t="shared" si="242"/>
        <v>авто</v>
      </c>
      <c r="IQ109" t="str">
        <f t="shared" si="243"/>
        <v/>
      </c>
      <c r="IR109">
        <f t="shared" si="244"/>
        <v>0</v>
      </c>
      <c r="IS109">
        <f t="shared" si="245"/>
        <v>1</v>
      </c>
    </row>
    <row r="110" spans="1:253" x14ac:dyDescent="0.3">
      <c r="A110" t="s">
        <v>747</v>
      </c>
      <c r="B110" t="s">
        <v>1380</v>
      </c>
      <c r="C110" t="s">
        <v>1633</v>
      </c>
      <c r="D110">
        <v>1</v>
      </c>
      <c r="E110">
        <v>0.104</v>
      </c>
      <c r="G110">
        <v>10</v>
      </c>
      <c r="H110" t="str">
        <f>Линии[[#This Row],[_авто утечка]]</f>
        <v/>
      </c>
      <c r="I110" t="str">
        <f>Линии[[#This Row],[_авто управление]]</f>
        <v/>
      </c>
      <c r="J110" t="str">
        <f>Линии[[#This Row],[_авто аппараты]]</f>
        <v/>
      </c>
      <c r="K110">
        <v>1.5</v>
      </c>
      <c r="L110">
        <v>9</v>
      </c>
      <c r="M110" t="str">
        <f>Линии[[#This Row],[_авто фаза]]</f>
        <v>L3</v>
      </c>
      <c r="N110" t="s">
        <v>486</v>
      </c>
      <c r="O110" t="str">
        <f t="shared" si="123"/>
        <v/>
      </c>
      <c r="P110" s="6" cm="1">
        <f t="array" ref="P110">IF(B110="","",IF(BC110&lt;&gt;"",IFERROR(_xlfn.XLOOKUP(BC110,Щиты[Щит],Щиты[Iр, А]),""),IF(BK110=1,IFERROR(_xlfn.XLOOKUP(A110,Щиты[Щит],Щиты[Iр, А]),""),IFERROR(_xlfn.IFS(BR110=1,BN110/((Uн_лин/SQRT(3))*BY110),BR110=3,BN110/(SQRT(3)*Uн_лин*BY110)),""))))</f>
        <v>0.56291651245988494</v>
      </c>
      <c r="Q110" s="7">
        <f>IF(B110="","",IFERROR(IF(VLOOKUP(AX110,Потребители_обозначение,4,FALSE)=1,VLOOKUP(AX110,Потребители_обозначение,3,FALSE)*(D110*2-1)+DS110+VLOOKUP(AZ110,Этаж_обозначение,3,FALSE)+VLOOKUP(AZ110,Этаж_обозначение,4,FALSE),VLOOKUP(AX110,Потребители_обозначение,3,FALSE)*(D110*2-1)+DS110),DS110))</f>
        <v>11</v>
      </c>
      <c r="R110" s="6">
        <f t="shared" si="124"/>
        <v>0.31</v>
      </c>
      <c r="S110" t="str">
        <f t="shared" si="125"/>
        <v>ВВГнг(А)-LS (3х1,5)</v>
      </c>
      <c r="T110" t="str">
        <f>IF(BH110="","",IF(BI110="вводной узел","узел ","")&amp;"л."&amp;(INT((BH110-1)/Столбцов_на_лист)+1)&amp;" / "&amp;(MOD(BH110-1,Столбцов_на_лист)+1))</f>
        <v>л.2 / 10</v>
      </c>
      <c r="V110">
        <v>1</v>
      </c>
      <c r="W110">
        <v>230</v>
      </c>
      <c r="X110" t="s">
        <v>600</v>
      </c>
      <c r="Y110">
        <v>0.5</v>
      </c>
      <c r="AC110" t="s">
        <v>815</v>
      </c>
      <c r="AE110" t="s">
        <v>578</v>
      </c>
      <c r="AI110">
        <v>27</v>
      </c>
      <c r="AJ110" t="s">
        <v>11</v>
      </c>
      <c r="AK110">
        <v>3</v>
      </c>
      <c r="AM110">
        <v>2</v>
      </c>
      <c r="AN110">
        <v>9</v>
      </c>
      <c r="AP110">
        <v>1</v>
      </c>
      <c r="AW110" cm="1">
        <f t="array" ref="AW110">ROW()-ROW(Линии[#Headers])</f>
        <v>108</v>
      </c>
      <c r="AX110" s="6" t="str">
        <f t="shared" si="126"/>
        <v>K</v>
      </c>
      <c r="AY110" t="str">
        <f t="shared" si="127"/>
        <v>0.001T.1</v>
      </c>
      <c r="AZ110" t="str">
        <f t="shared" si="128"/>
        <v>0</v>
      </c>
      <c r="BA110" t="str">
        <f t="shared" si="129"/>
        <v>001T.1</v>
      </c>
      <c r="BB110" t="str">
        <f t="shared" si="130"/>
        <v>001T</v>
      </c>
      <c r="BC110" t="str">
        <f>IF(U110&lt;&gt;"",U110,IF(AND(B110&lt;&gt;"",B110&lt;&gt;A110,ISNUMBER(_xlfn.XMATCH(B110,Щиты[Щит]))),B110,""))</f>
        <v/>
      </c>
      <c r="BD110" t="str" cm="1">
        <f t="array" ref="BD110">IF(B110="","",IF(BC110&lt;&gt;"","Щит "&amp;BC110,_xlfn.LET(_xlpm.nm,IFERROR(_xlfn.XLOOKUP(AX110,Коды_код,Коды_имя)&amp;"",""),_xlpm.md,IFERROR(N(_xlfn.XLOOKUP(AX110,Коды_код,Коды_режим)),1),_xlpm.ex,IF(Имя_режим="по экспликации",IFERROR(_xlfn.XLOOKUP(AZ110&amp;"|"&amp;BB110,Экспликация[Этаж]&amp;"|"&amp;Экспликация[Помещение],Экспликация[Название])&amp;"",""),""),_xlpm.rm,IF(BB110="","",IF(_xlpm.ex&lt;&gt;"",". "&amp;_xlpm.ex&amp;IF(Имя_пом="нет"," ("&amp;BB110&amp;")"," (пом. "&amp;BB110&amp;")"),IF(Имя_пом="нет"," ",", пом. ")&amp;BB110)),IF(_xlpm.nm="","",IF(_xlpm.md=2,_xlpm.nm&amp;" шлейф "&amp;AZ110,_xlpm.nm&amp;_xlpm.rm)))))</f>
        <v>Внутренний блок кондиционирования, пом. 001T</v>
      </c>
      <c r="BE110" t="str">
        <f t="shared" si="131"/>
        <v>Внутренний блок кондиционирования цокольный этаж Пом. №001Т</v>
      </c>
      <c r="BF110">
        <f>IFERROR(_xlfn.XMATCH(A110,Щиты[Щит]),0)</f>
        <v>6</v>
      </c>
      <c r="BG110">
        <f>_xlfn.LET(_xlpm.k,IFERROR(_xlfn.XLOOKUP(A110,Щиты[Щит],Щиты[Листов под вводной узел]),""),IF(_xlpm.k="",1,N(_xlpm.k))*Столбцов_на_лист)</f>
        <v>17</v>
      </c>
      <c r="BH110">
        <f t="shared" si="132"/>
        <v>27</v>
      </c>
      <c r="BI110" t="str">
        <f t="shared" si="133"/>
        <v>линии</v>
      </c>
      <c r="BJ110" s="6">
        <f>IFERROR(N(_xlfn.XLOOKUP(AX110,Коды_код,Коды_квт)),0)</f>
        <v>0</v>
      </c>
      <c r="BK110">
        <f t="shared" si="134"/>
        <v>0</v>
      </c>
      <c r="BL110" t="str">
        <f>IF(B110="","",IF(BC110&lt;&gt;"",IFERROR(_xlfn.XLOOKUP(BC110,Щиты[Щит],Щиты[Руст, кВт]),0),IF(BK110=1,IFERROR(_xlfn.XLOOKUP(A110,Щиты[Щит],Щиты[Руст, кВт]),0),IF(BJ110&gt;0,ROUND(BJ110*MAX(1,N(D110)),3),""))))</f>
        <v/>
      </c>
      <c r="BM110">
        <f t="shared" si="135"/>
        <v>0.104</v>
      </c>
      <c r="BN110" s="6">
        <f>IF(B110="","",IF(BC110&lt;&gt;"",IFERROR(_xlfn.XLOOKUP(BC110,Щиты[Щит],Щиты[Руст, кВт]),0),N(BM110)))</f>
        <v>0.104</v>
      </c>
      <c r="BO110" t="str">
        <f>IF(B110="","",IFERROR(IF(VLOOKUP(AX110,Потребители_обозначение,8,FALSE)=0,"",VLOOKUP(AX110,Потребители_обозначение,8,FALSE)),""))</f>
        <v/>
      </c>
      <c r="BP110">
        <f t="shared" si="136"/>
        <v>230</v>
      </c>
      <c r="BQ110">
        <f>IF(B110="","",IF(BC110&lt;&gt;"",3,IFERROR(IF(N(VLOOKUP(AX110,Потребители_обозначение,9,FALSE))=0,1,VLOOKUP(AX110,Потребители_обозначение,9,FALSE)),1)))</f>
        <v>1</v>
      </c>
      <c r="BR110">
        <f t="shared" si="137"/>
        <v>1</v>
      </c>
      <c r="BS110" t="str">
        <f>IF(B110="","",_xlfn.LET(_xlpm.bc,IFERROR(IF(VLOOKUP(AX110,Потребители_обозначение,6,FALSE)=0,"",VLOOKUP(AX110,Потребители_обозначение,6,FALSE)&amp;""),""),IF(AND(FK110="да",OR(_xlpm.bc="",_xlpm.bc="мс")),Марка_пож,IF(AND(_xlpm.bc="",BC110&lt;&gt;""),"мс",_xlpm.bc))))</f>
        <v/>
      </c>
      <c r="BT110" t="str">
        <f t="shared" si="138"/>
        <v>мс</v>
      </c>
      <c r="BU110">
        <f>IF(B110="","",_xlfn.LET(_xlpm.cc,IFERROR(N(VLOOKUP(AX110,Потребители_обозначение,7,FALSE)),0),IF(_xlpm.cc&gt;0,_xlpm.cc,IF(BT110="","",IF(N(BR110)=3,5,3)))))</f>
        <v>3</v>
      </c>
      <c r="BV110">
        <f t="shared" si="139"/>
        <v>3</v>
      </c>
      <c r="BW110">
        <f>IFERROR(N(VLOOKUP(AX110,Потребители_обозначение,10,FALSE)),0)</f>
        <v>0</v>
      </c>
      <c r="BX110">
        <f>IFERROR(VLOOKUP(AX110,Потребители_обозначение,5,FALSE),0)</f>
        <v>1</v>
      </c>
      <c r="BY110" s="6" cm="1">
        <f t="array" ref="BY110">IF(B110="","",IF(BC110&lt;&gt;"",IFERROR(_xlfn.XLOOKUP(BC110,Щиты[Щит],Щиты[cos φ]),0.95),IF(BK110=1,IFERROR(_xlfn.XLOOKUP(A110,Щиты[Щит],Щиты[cos φ]),0.95),IF(ISNUMBER(Z110),Z110,IFERROR(IF(BX110=2,_xlfn.IFS(BR110=3,VLOOKUP(BN110,Справочная_двигатели,8,FALSE),BR110=1,VLOOKUP(BN110,Справочная_двигатели,10,TRUE)),IF(AND(Методика="нормы 2026",EQ110="Сил"),0.8,0.95)),0.95)))))</f>
        <v>0.8</v>
      </c>
      <c r="BZ110">
        <f t="shared" si="140"/>
        <v>0</v>
      </c>
      <c r="CA110">
        <f t="shared" si="141"/>
        <v>1</v>
      </c>
      <c r="CB110">
        <f t="shared" si="142"/>
        <v>0</v>
      </c>
      <c r="CC110">
        <f t="shared" si="143"/>
        <v>0</v>
      </c>
      <c r="CD110">
        <f t="shared" si="144"/>
        <v>0</v>
      </c>
      <c r="CE110">
        <f t="shared" si="145"/>
        <v>0</v>
      </c>
      <c r="CF110">
        <f t="shared" si="146"/>
        <v>0</v>
      </c>
      <c r="CG110">
        <f>IF(AX110="",0,_xlfn.LET(_xlpm.v,IFERROR(VLOOKUP(B110,УГО_спр,3,FALSE),IFERROR(VLOOKUP(AX110,УГО_спр,3,FALSE),IFERROR(VLOOKUP(LEFT(AX110,2),УГО_спр,3,FALSE),""))),IF(_xlpm.v="да",30,IF(ISNUMBER(_xlpm.v),_xlpm.v,0))))</f>
        <v>0</v>
      </c>
      <c r="CH110" t="str">
        <f t="shared" si="147"/>
        <v/>
      </c>
      <c r="CI110" t="str">
        <f>_xlfn.LET(_xlpm.k,IFERROR(_xlfn.XLOOKUP(AX110,Коды_код,Коды_утечка)&amp;"",""),IF(_xlpm.k="","дифавтомат",_xlpm.k))</f>
        <v>дифавтомат</v>
      </c>
      <c r="CJ110">
        <f t="shared" si="148"/>
        <v>0</v>
      </c>
      <c r="CK110">
        <f t="shared" si="149"/>
        <v>0</v>
      </c>
      <c r="CL110">
        <f>IF(B110="",0,IFERROR(--VLOOKUP(B110,УГО_спр,4,FALSE),IFERROR(--VLOOKUP(AX110,УГО_спр,4,FALSE),IFERROR(--VLOOKUP(LEFT(AX110,2),УГО_спр,4,FALSE),0))))</f>
        <v>0</v>
      </c>
      <c r="CM110" t="str">
        <f>IF(B110="","",IFERROR(_xlfn.XLOOKUP(AX110,Коды_код,Коды_апп)&amp;"",""))</f>
        <v/>
      </c>
      <c r="CN110" t="str">
        <f t="shared" si="150"/>
        <v/>
      </c>
      <c r="CO110" t="str" cm="1">
        <f t="array" ref="CO110">IF(TRIM(CN110&amp;"")="","",IFERROR(TRIM(INDEX(_xlfn.TEXTSPLIT(CN110&amp;";;;",";"),1)),""))</f>
        <v/>
      </c>
      <c r="CP110" t="str" cm="1">
        <f t="array" ref="CP110">IF(TRIM(CN110&amp;"")="","",IFERROR(TRIM(INDEX(_xlfn.TEXTSPLIT(CN110&amp;";;;",";"),2)),""))</f>
        <v/>
      </c>
      <c r="CQ110" t="str" cm="1">
        <f t="array" ref="CQ110">IF(TRIM(CN110&amp;"")="","",IFERROR(TRIM(INDEX(_xlfn.TEXTSPLIT(CN110&amp;";;;",";"),3)),""))</f>
        <v/>
      </c>
      <c r="CR110">
        <f t="shared" si="151"/>
        <v>0</v>
      </c>
      <c r="CS110" t="str">
        <f>IF(B110="","",_xlfn.LET(_xlpm.t,LOWER(AV110&amp;""),IF(ISNUMBER(SEARCH("dim",_xlpm.t)),"DIM",IF(ISNUMBER(SEARCH("dali",_xlpm.t)),"DALI",IF(OR(ISNUMBER(SEARCH("relay",_xlpm.t)),ISNUMBER(SEARCH("реле",_xlpm.t))),"Relay",IF(ISNUMBER(SEARCH("кнопк",_xlpm.t)),"",IFERROR(_xlfn.XLOOKUP(AX110,Коды_код,Коды_упр)&amp;"","")))))))</f>
        <v/>
      </c>
      <c r="CT110" t="str">
        <f t="shared" si="152"/>
        <v/>
      </c>
      <c r="CU110">
        <f>IF(B110="","",_xlfn.LET(_xlpm.ig,N(P110)+IF(AF110="вручную",0,N(CB110)),_xlpm.n0,IFERROR(VLOOKUP(_xlpm.ig,Автомат_номиналы,2,TRUE),0),_xlpm.mn,MAX(CL110,IF(AF110="вручную",0,N(CE110))),MAX(_xlpm.n0,_xlpm.mn,IF(CR110=1,Мин_автомат_БП,0))))</f>
        <v>6</v>
      </c>
      <c r="CV110">
        <f t="shared" si="153"/>
        <v>1</v>
      </c>
      <c r="CW110" t="str">
        <f t="shared" si="154"/>
        <v>1P</v>
      </c>
      <c r="CX110" t="str">
        <f>_xlfn.LET(_xlpm.cc,UPPER(TRIM(IFERROR(_xlfn.XLOOKUP(AX110,Коды_код,Коды_хар)&amp;"",""))),IF(OR(_xlpm.cc="B",_xlpm.cc="В"),"B",IF(_xlpm.cc="D","D","С")))</f>
        <v>С</v>
      </c>
      <c r="CY110" t="str">
        <f t="shared" si="155"/>
        <v>1P С6А</v>
      </c>
      <c r="CZ110">
        <f t="shared" si="156"/>
        <v>10</v>
      </c>
      <c r="DA110" t="str">
        <f t="shared" si="157"/>
        <v>1P С10А</v>
      </c>
      <c r="DB110" cm="1">
        <f t="array" ref="DB110">IF(DA110="","",_xlfn.LET(_xlpm.t,SUBSTITUTE(SUBSTITUTE(SUBSTITUTE(UPPER(DA110),"С","C"),"А","A"),"В","B"),_xlpm.tk,_xlfn.TEXTSPLIT(_xlpm.t,"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0" t="str">
        <f t="shared" si="158"/>
        <v>ok</v>
      </c>
      <c r="DD110">
        <f t="shared" si="159"/>
        <v>10</v>
      </c>
      <c r="DE110" t="str">
        <f t="shared" si="160"/>
        <v>1P С10А</v>
      </c>
      <c r="DF110">
        <f t="shared" si="161"/>
        <v>0</v>
      </c>
      <c r="DG110">
        <f t="shared" si="162"/>
        <v>0</v>
      </c>
      <c r="DH110">
        <f t="shared" si="163"/>
        <v>0</v>
      </c>
      <c r="DI110">
        <f t="shared" si="164"/>
        <v>0.56291651245988494</v>
      </c>
      <c r="DJ110">
        <f t="shared" si="165"/>
        <v>1</v>
      </c>
      <c r="DK110">
        <f>IF(ISNUMBER(AL110),AL110,К_прокл)</f>
        <v>1</v>
      </c>
      <c r="DL110">
        <f t="shared" si="166"/>
        <v>2</v>
      </c>
      <c r="DM110">
        <f>IFERROR(N(VLOOKUP(BT110,Кабель_обозначение,3,FALSE)),1)</f>
        <v>1</v>
      </c>
      <c r="DN110">
        <f>IFERROR(N(_xlfn.XLOOKUP(A110,Щиты[Щит],Щиты[ΔU до шин, %])),0)</f>
        <v>0.24000000000000002</v>
      </c>
      <c r="DO110" t="str">
        <f>IFERROR(_xlfn.XLOOKUP(A110,Щиты[Щит],Щиты[Zпетли на шинах, Ом]),"")</f>
        <v/>
      </c>
      <c r="DP110">
        <f>IFERROR(N(_xlfn.XLOOKUP(A110,Щиты[Щит],Щиты[ΔU до шин (подбор), %])),0)</f>
        <v>0.36</v>
      </c>
      <c r="DQ110" t="str">
        <f>IFERROR(_xlfn.XLOOKUP(A110,Щиты[Щит],Щиты[Zпетли на шинах (подбор), Ом]),"")</f>
        <v/>
      </c>
      <c r="DR110" t="str">
        <f t="shared" si="167"/>
        <v/>
      </c>
      <c r="DS110">
        <f t="shared" si="168"/>
        <v>9</v>
      </c>
      <c r="DT110">
        <f t="shared" si="169"/>
        <v>2</v>
      </c>
      <c r="DU110">
        <f t="shared" si="170"/>
        <v>0.6</v>
      </c>
      <c r="DV110" s="6">
        <f>IF(B110="","",IF(IFERROR(VLOOKUP(AX110,УГО_спр,2,FALSE),"")="Светильник",3,4)+IF(Методика="нормы 2026",MIN(0.5,MAX(0,N(Q110)-100)*0.005),0))</f>
        <v>4</v>
      </c>
      <c r="DW110" cm="1">
        <f t="array" ref="DW110">IF(OR(B110="",BT110="",DM110&lt;&gt;1),"",_xlfn.LET(_xlpm.sz,Iдоп_S,_xlpm.t_,CHOOSE(DL110,Iдоп_1ж,Iдоп_2ж,Iдоп_3ж)*DJ110*DK110,_xlpm.inn,N(DD110),_xlpm.smin,MAX(1.5,BW110),_xlpm.L_,N(Q110)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110)*(_xlpm.rho*_xlpm.L_/_xlpm.sz*N(BY110)+_xlpm.xx*_xlpm.L_*N(DU110)/1000)*N(P110)/((Uн_лин/SQRT(3))*1000)*100,999),_xlpm.kz,IF(OR(DG110=1,NOT(ISNUMBER(DQ110)),_xlpm.L_=0,_xlpm.inn=0),1,IFERROR(--(c_min*(Uн_лин*1000/SQRT(3))/(DQ110+2*ρкз_Cu*_xlpm.L_/_xlpm.sz)&gt;=GY110*_xlpm.inn),0)),_xlpm.ok,IFERROR((_xlpm.sz&gt;=_xlpm.smin)*(_xlpm.t_&gt;=_xlpm.inn)*IF(_xlpm.L_&gt;0,(_xlpm.du_+DP110&lt;=DV110+0.00001),1)*_xlpm.kz,0),_xlpm.r_,_xlfn._xlws.FILTER(_xlpm.sz,_xlpm.ok,"не подобрано"),INDEX(_xlpm.r_,1)))</f>
        <v>1.5</v>
      </c>
      <c r="DX110">
        <f t="shared" si="171"/>
        <v>1.5</v>
      </c>
      <c r="DY110" cm="1">
        <f t="array" ref="DY110">IF(OR(B110="",BT110="",DM110&lt;&gt;1),"",_xlfn.LET(_xlpm.sz,Iдоп_S,_xlpm.t_,CHOOSE(DL110,Iдоп_1ж,Iдоп_2ж,Iдоп_3ж)*DJ110*DK110,_xlpm.ok,IFERROR((_xlpm.sz&gt;=MAX(1.5,BW110))*(_xlpm.t_&gt;=N(DD110)),0),_xlpm.r_,_xlfn._xlws.FILTER(_xlpm.sz,_xlpm.ok,""),INDEX(_xlpm.r_,1)))</f>
        <v>1.5</v>
      </c>
      <c r="DZ110" s="6" cm="1">
        <f t="array" ref="DZ110">IFERROR(ROUNDUP(N(DT110)*(_xlfn.XLOOKUP(DY110,INDEX(Кабель_сопротивление,0,1),INDEX(Кабель_сопротивление,0,3))*N(Q110)/DY110*N(BY110)+_xlfn.XLOOKUP(DY110,INDEX(Кабель_сопротивление,0,1),INDEX(Кабель_сопротивление,0,2))*N(Q110)*N(DU110)/1000)*N(P110)/((Uн_лин/SQRT(3))*1000)*100,2),"")</f>
        <v>6.9999999999999993E-2</v>
      </c>
      <c r="EA110">
        <f>IFERROR(2*ρкз_Cu*N(Q110)/DY110,"")</f>
        <v>0.38573333333333332</v>
      </c>
      <c r="EB110">
        <f>IFERROR(VLOOKUP(DX110,Кабель_сопротивление,3,FALSE),"")</f>
        <v>2.2499999999999999E-2</v>
      </c>
      <c r="EC110">
        <f>IFERROR(VLOOKUP(DX110,Кабель_сопротивление,2,FALSE),"")</f>
        <v>0.11</v>
      </c>
      <c r="ED110">
        <f t="shared" si="172"/>
        <v>9</v>
      </c>
      <c r="EE110">
        <f t="shared" si="173"/>
        <v>0</v>
      </c>
      <c r="EF110">
        <f t="shared" si="174"/>
        <v>0.14942731406550139</v>
      </c>
      <c r="EG110" s="6">
        <f>IFERROR(ROUNDUP(EF110/((Uн_лин/SQRT(3))*1000)*100,2),"")</f>
        <v>6.9999999999999993E-2</v>
      </c>
      <c r="EH110" t="str">
        <f>IFERROR(VLOOKUP(BT110,Кабель_обозначение,2,FALSE),"")</f>
        <v>ВВГнг(А)-LS</v>
      </c>
      <c r="EI110" t="str">
        <f t="shared" si="175"/>
        <v>ВВГнг(А)-LS (3х1,5)</v>
      </c>
      <c r="EJ110" t="str">
        <f t="shared" si="176"/>
        <v>ВВГнг(А)-LS (3х1,5)
L=11-0,07%</v>
      </c>
      <c r="EK110">
        <f>IFERROR(2*ρкз_Cu*Q110/DX110,"")</f>
        <v>0.38573333333333332</v>
      </c>
      <c r="EL110">
        <f t="shared" si="177"/>
        <v>0.12833333333333333</v>
      </c>
      <c r="EM110" s="6" t="str">
        <f>IFERROR(IF(OR(B110="",NOT(ISNUMBER(DX110)),N(Q110)=0),"",_xlfn.XLOOKUP(A110,Щиты[Щит],Щиты[Zпетли на шинах, Ом])+EK110),"")</f>
        <v/>
      </c>
      <c r="EN110" s="6" t="str">
        <f>IF(ISNUMBER(EM110),c_min*(Uн_лин*1000/SQRT(3))/EM110,"")</f>
        <v/>
      </c>
      <c r="EO110" s="6" t="str">
        <f>IFERROR(IF(OR(B110="",NOT(ISNUMBER(DX110))),"",1.05*(Uн_лин*1000/SQRT(3))/(_xlfn.XLOOKUP(A110,Щиты[Щит],Щиты[Zmax на шинах, Ом])+EL110)/1000),"")</f>
        <v/>
      </c>
      <c r="EP110" s="6" t="str">
        <f>IF(B110="","",IF(ISNUMBER(Y110),"Сил",IF(IFERROR(_xlfn.XLOOKUP(AX110,Коды_код,Коды_группа)&amp;"","")="","Быт",_xlfn.XLOOKUP(AX110,Коды_код,Коды_группа)&amp;"")))</f>
        <v>Сил</v>
      </c>
      <c r="EQ110" s="6" t="str">
        <f t="shared" si="178"/>
        <v>Сил</v>
      </c>
      <c r="ER110" s="6">
        <f>IF(EQ110="Щит","щит",IF(EQ110="","",IF(EQ110="Быт",IFERROR(_xlfn.XLOOKUP(A110,Щиты[Щит],Щиты[Кс быт]),1),IF(EQ110="Сил",IF(ISNUMBER(Y110),Y110,IF(Методика="нормы 2026",IFERROR(_xlfn.XLOOKUP(A110,Щиты[Щит],Щиты[Кс силовых (табл. 7.5)]),1),1)),IF(OR(EQ110="Пост",EQ110="Отоп"),1,IF(EQ110="ВНГ",0.7,0))))))</f>
        <v>0.5</v>
      </c>
      <c r="ES110">
        <f t="shared" si="179"/>
        <v>1</v>
      </c>
      <c r="ET110">
        <f t="shared" si="180"/>
        <v>0.104</v>
      </c>
      <c r="EU110">
        <f t="shared" si="181"/>
        <v>0</v>
      </c>
      <c r="EV110">
        <f t="shared" si="182"/>
        <v>5.1999999999999998E-2</v>
      </c>
      <c r="EW110">
        <f t="shared" si="183"/>
        <v>0</v>
      </c>
      <c r="EX110">
        <f t="shared" si="184"/>
        <v>0</v>
      </c>
      <c r="EY110">
        <f t="shared" si="185"/>
        <v>0</v>
      </c>
      <c r="EZ110">
        <f t="shared" si="186"/>
        <v>0.104</v>
      </c>
      <c r="FA110">
        <f t="shared" si="187"/>
        <v>8.3199999999999996E-2</v>
      </c>
      <c r="FB110">
        <f t="shared" si="188"/>
        <v>0.104</v>
      </c>
      <c r="FC110" t="str">
        <f t="shared" si="189"/>
        <v/>
      </c>
      <c r="FD110" t="str">
        <f>IF(B110="","",IF(CA110=0,IF(AW110=1,"",FF109),IF(OR(N(CV110)&gt;=3,N(BR110)&gt;=3),"L1,L2,L3",IFERROR(_xlfn.TEXTBEFORE(_xlfn.TEXTAFTER(_xlfn.XLOOKUP(A110,Щиты[Щит],Щиты[_фазы авто]),";"&amp;AW110&amp;":"),";"),"L1"))))</f>
        <v>L3</v>
      </c>
      <c r="FE110" t="str">
        <f t="shared" si="190"/>
        <v>L3</v>
      </c>
      <c r="FF110" t="str">
        <f t="shared" si="191"/>
        <v>L3</v>
      </c>
      <c r="FG110" cm="1">
        <f t="array" ref="FG110">IFERROR(IF(BX110=2,_xlfn.IFS(BR110=3,VLOOKUP(BN110,Справочная_двигатели,3,FALSE),BR110=1,VLOOKUP(BN110,Справочная_двигатели,5,TRUE)),0),0)</f>
        <v>0</v>
      </c>
      <c r="FH110">
        <f>IFERROR(IF(BX110=3,VLOOKUP(BN110,Справочная_ЛЭД,2,TRUE),0),0)</f>
        <v>0</v>
      </c>
      <c r="FI110" s="6">
        <f t="shared" si="192"/>
        <v>0</v>
      </c>
      <c r="FJ110" t="str" cm="1">
        <f t="array" ref="FJ110">IF(B110="","",IFERROR(INDEX({"I особая","I","II","III"},MATCH(TRIM(AC110&amp;""),{"I особая","I","II","III"},0)),"III"))</f>
        <v>II</v>
      </c>
      <c r="FK110" t="str">
        <f>IF(B110="","",IF(TRIM(AD110&amp;"")&lt;&gt;"",IF(LOWER(TRIM(AD110&amp;""))="да","да","нет"),IF(IFERROR(_xlfn.XLOOKUP(AX110,Коды_код,Коды_пожарная),"")="да","да","нет")))</f>
        <v>нет</v>
      </c>
      <c r="FL110" t="str">
        <f t="shared" si="193"/>
        <v/>
      </c>
      <c r="FM110" t="str">
        <f t="shared" si="194"/>
        <v>основная</v>
      </c>
      <c r="FN110">
        <f t="shared" si="195"/>
        <v>1</v>
      </c>
      <c r="FO110" t="str" cm="1">
        <f t="array" ref="FO110">IF(B110="","",_xlfn.LET(_xlpm.t,IFERROR(_xlfn.XLOOKUP(1,(Шины[Шина]=FM110)*(((Шины[Щит]=A110)+(Шины[Щит]=""))&gt;0),Шины[Тип]),"")&amp;"",IF(_xlpm.t&lt;&gt;"",_xlpm.t,IF(ISNUMBER(SEARCH("ИБП",FM110)),"ИБП",IF(ISNUMBER(SEARCH("ДГУ",FM110)),"ДГУ","Ввод "&amp;FN110)))))</f>
        <v>Ввод 1</v>
      </c>
      <c r="FP110" t="str">
        <f t="shared" si="196"/>
        <v>Ввод 1</v>
      </c>
      <c r="FQ110" t="str">
        <f>IF(B110="","",IF(OR(FO110="ИБП",FO110="ДГУ"),"I особая",IF(FO110="Одиночная","III",_xlfn.XLOOKUP(A110,Щиты[Щит],Щиты[Категория шины «Ввод»],"III"))))</f>
        <v>II</v>
      </c>
      <c r="FR110">
        <f>IF(B110="",0,IFERROR(MATCH(FJ110,{"III","II","I","I особая"},0),1))</f>
        <v>2</v>
      </c>
      <c r="FS110">
        <f t="shared" si="197"/>
        <v>2</v>
      </c>
      <c r="FT110" t="str">
        <f>IF(B110="","",IF(FR110&gt;IFERROR(MATCH(FQ110,{"III","II","I","I особая"},0),1),"НЕ ОБЕСПЕЧЕНА","ОК"))</f>
        <v>ОК</v>
      </c>
      <c r="FU110" t="str">
        <f>IF(A110="","",_xlfn.XLOOKUP(A110,Щиты[Щит],Щиты[Путь],""))</f>
        <v>|ГРЩ-ЖД|ЩОВ-01|</v>
      </c>
      <c r="FV110" t="str">
        <f>IF(B110="","",IF(AE110&lt;&gt;"",AE110,IF(IFERROR(_xlfn.XLOOKUP(AX110,Коды_код,Коды_вид)&amp;"","")="","Прочее",_xlfn.XLOOKUP(AX110,Коды_код,Коды_вид)&amp;"")))</f>
        <v>Кондиционирование и увлажнение</v>
      </c>
      <c r="FW110">
        <f>IF(BH110="","",INT((BH110-1)/Столбцов_на_лист)+1)</f>
        <v>2</v>
      </c>
      <c r="FX110" t="str">
        <f t="shared" si="198"/>
        <v>ВВГнг(А)-LS (3х1,5) L=11-0,07%</v>
      </c>
      <c r="FY110">
        <f t="shared" si="199"/>
        <v>0.104</v>
      </c>
      <c r="FZ110">
        <f t="shared" si="200"/>
        <v>0.57000000000000006</v>
      </c>
      <c r="GA110">
        <f t="shared" si="201"/>
        <v>1</v>
      </c>
      <c r="GB110">
        <f t="shared" si="202"/>
        <v>0</v>
      </c>
      <c r="GC110">
        <f t="shared" si="203"/>
        <v>1</v>
      </c>
      <c r="GD110">
        <f>IF(BH110="","",IF(AND(CA110=1,GC110=1),COUNTIFS(A$3:A110,A110,CA$3:CA110,1,GC$3:GC110,1),IF(OR(OR(AW110=1,A110&lt;&gt;A109),AF110="вручную",GC110=0),"",IF(AW110=1,"",GE109))))</f>
        <v>8</v>
      </c>
      <c r="GE110">
        <f t="shared" si="204"/>
        <v>8</v>
      </c>
      <c r="GF110">
        <f>IF(B110="","",IFERROR(LOOKUP(INDEX(CHOOSE(DL110,Iдоп_1ж,Iдоп_2ж,Iдоп_3ж),MATCH(DX110,Iдоп_S,0))*DJ110*DK110,{6,10,16,20,25,32,40,50,63,80,100,125,160,200,250,315,400,500,630}),""))</f>
        <v>16</v>
      </c>
      <c r="GG110" t="str">
        <f t="shared" si="205"/>
        <v>QF8</v>
      </c>
      <c r="GH110" t="str">
        <f t="shared" si="206"/>
        <v>QF8</v>
      </c>
      <c r="GI110" t="str">
        <f t="shared" si="207"/>
        <v/>
      </c>
      <c r="GJ110">
        <f t="shared" si="208"/>
        <v>0</v>
      </c>
      <c r="GK110" t="str">
        <f>IF(OR(AG110="",AG110="-"),"",IFERROR(VLOOKUP(AG110,Модули_спр,2,FALSE),"R"))</f>
        <v/>
      </c>
      <c r="GL110" t="str">
        <f>IF(GK110="","",GK110&amp;"."&amp;COUNTIFS(A$3:A110,A110,GK$3:GK110,GK110))</f>
        <v/>
      </c>
      <c r="GM110" t="str">
        <f t="shared" si="209"/>
        <v/>
      </c>
      <c r="GN110" t="str">
        <f t="shared" si="210"/>
        <v/>
      </c>
      <c r="GO110" t="str">
        <f t="shared" si="211"/>
        <v/>
      </c>
      <c r="GP110" t="str">
        <f t="shared" si="212"/>
        <v/>
      </c>
      <c r="GQ110">
        <f t="shared" si="213"/>
        <v>1</v>
      </c>
      <c r="GR110" t="str">
        <f>IF(GQ110=1,"XT"&amp;COUNTIFS(A$3:A110,A110,GQ$3:GQ110,1),"")</f>
        <v>XT8</v>
      </c>
      <c r="GS110" t="str">
        <f t="shared" si="214"/>
        <v/>
      </c>
      <c r="GT110" t="str">
        <f t="shared" si="215"/>
        <v>QF8</v>
      </c>
      <c r="GU110" t="str">
        <f t="shared" si="216"/>
        <v/>
      </c>
      <c r="GV110" t="str">
        <f t="shared" si="217"/>
        <v>ok</v>
      </c>
      <c r="GW110" t="str">
        <f>IF(OR(GO110="",GM110=""),"",IF(GO110&gt;IFERROR(VLOOKUP(GN110,Модули_спр,3,FALSE),99),"ЛИШНИЙ КАНАЛ",IF(AND(AH110&lt;&gt;"=",COUNTIFS(Линии[_модуль гр.],GM110,Линии[Канал (итог)],GO110,Линии[Канал],"&lt;&gt;=",Линии[Щит],A110)&gt;1),"ДУБЛЬ КАНАЛА","")))</f>
        <v/>
      </c>
      <c r="GX110" s="6" t="str">
        <f t="shared" si="218"/>
        <v/>
      </c>
      <c r="GY110">
        <f t="shared" si="219"/>
        <v>10</v>
      </c>
      <c r="GZ110" t="str">
        <f t="shared" si="220"/>
        <v/>
      </c>
      <c r="HA110" t="str">
        <f>IF(AND(B110="",GT110=""),"",_xlfn.TEXTJOIN("; ",TRUE,IF(AND(B110&lt;&gt;"",FE110=""),"нет фазы",""),IF(AND(B110&lt;&gt;"",N(FY110)=0,EQ110&lt;&gt;"Нет"),"нет мощности",""),IF(AND(GS110&lt;&gt;"",COUNTIFS(Линии[Щит],A110,Линии[Клемма (итог)],GS110)&gt;1),"дубль клеммы "&amp;GS110,""),IF(AND(GV110&lt;&gt;"",GV110&lt;&gt;"ok"),GV110,""),IF(GW110&lt;&gt;"",GW110,""),IF(AND(N(BV110)&gt;=4,N(BR110)=1),BV110&amp;" жил на 1 фазе",""),IF(AND(AX110="R",CA110=1,OR(N(CK110)=0,N(CK110)&gt;30)),"розетка без дифзащиты до 30 мА",""),IFERROR(IF(AND(ISNUMBER(R110),R110&gt;DV110),"потери "&amp;FIXED(R110,1)&amp;" % &gt; "&amp;DV110&amp;" %",""),""),IFERROR(IF(LEFT(GZ110,4)="мало","Iкз мало — отключение &gt; 0,4 с",""),""),IF(AND(B110&lt;&gt;"",BH110=""),"не на схеме",""),IF(AND(CA110=0,B110&lt;&gt;"",FE110&lt;&gt;"",IF(AW110=1,"",FF109)&lt;&gt;"",FE110&lt;&gt;IF(AW110=1,"",FF109)),"фаза не как у автомата группы ("&amp;IF(AW110=1,"",FF109)&amp;")","")))</f>
        <v/>
      </c>
      <c r="HB110" s="6">
        <f>IF(OR(CA110=0,DA110=""),"",_xlfn.LET(_xlpm.t,IFERROR(_xlfn.XLOOKUP(DA110,Каталог!$U$4:$U$500,Каталог!$G$4:$G$500),""),_xlpm.k,SEARCH("кА",_xlpm.t),IFERROR(--TRIM(RIGHT(SUBSTITUTE(MID(_xlpm.t,MAX(1,_xlpm.k-4),_xlpm.k-MAX(1,_xlpm.k-4))," ",REPT(" ",9)),5)),"")))</f>
        <v>6</v>
      </c>
      <c r="HC110" t="str">
        <f>IF(OR(HB110="",CA110=0),"",IF(_xlfn.XLOOKUP(A110,Щиты[Щит],Щиты[Iкз max на шинах, кА],"")="","",IF(HB110&lt;_xlfn.XLOOKUP(A110,Щиты[Щит],Щиты[Iкз max на шинах, кА]),"Icu "&amp;HB110&amp;" кА &lt; Iкз max","ok")))</f>
        <v/>
      </c>
      <c r="HD110" t="str">
        <f t="shared" si="221"/>
        <v/>
      </c>
      <c r="HE110" t="str">
        <f t="shared" si="222"/>
        <v>QF8</v>
      </c>
      <c r="HF110" t="str">
        <f t="shared" si="223"/>
        <v>QF8|кабель ВВГнг(А)-LS (3х1,5) → Внутренний блок кондиционирования цокольный этаж Пом. №001Т</v>
      </c>
      <c r="HG110" t="str" cm="1">
        <f t="array" ref="HG110">IF(HF110="","",_xlfn.LET(_xlpm.nd,_xlfn.TEXTSPLIT(HF110,"|"),IF(COLUMNS(_xlpm.nd)&gt;1,A110&amp;"¦"&amp;INDEX(_xlpm.nd,1)&amp;"¦"&amp;INDEX(_xlpm.nd,2),"")))</f>
        <v>ЩОВ-01¦QF8¦кабель ВВГнг(А)-LS (3х1,5) → Внутренний блок кондиционирования цокольный этаж Пом. №001Т</v>
      </c>
      <c r="HH110" t="str">
        <f t="shared" si="224"/>
        <v>K.0.001T.1¦Внутренний блок кондиционирования цокольный этаж Пом. №001Т</v>
      </c>
      <c r="HI110" t="str" cm="1">
        <f t="array" ref="HI110">IF(HF110="","",_xlfn.LET(_xlpm.nd,_xlfn.TEXTSPLIT(HF110,"|"),IF(COLUMNS(_xlpm.nd)&gt;2,A110&amp;"¦"&amp;INDEX(_xlpm.nd,2)&amp;"¦"&amp;INDEX(_xlpm.nd,3),"")))</f>
        <v/>
      </c>
      <c r="HJ110" t="str">
        <f t="shared" si="225"/>
        <v/>
      </c>
      <c r="HK110" t="str" cm="1">
        <f t="array" ref="HK110">IF(HF110="","",_xlfn.LET(_xlpm.nd,_xlfn.TEXTSPLIT(HF110,"|"),IF(COLUMNS(_xlpm.nd)&gt;3,A110&amp;"¦"&amp;INDEX(_xlpm.nd,3)&amp;"¦"&amp;INDEX(_xlpm.nd,4),"")))</f>
        <v/>
      </c>
      <c r="HL110" t="str">
        <f t="shared" si="226"/>
        <v/>
      </c>
      <c r="HM110" t="str" cm="1">
        <f t="array" ref="HM110">IF(HF110="","",_xlfn.LET(_xlpm.nd,_xlfn.TEXTSPLIT(HF110,"|"),IF(COLUMNS(_xlpm.nd)&gt;4,A110&amp;"¦"&amp;INDEX(_xlpm.nd,4)&amp;"¦"&amp;INDEX(_xlpm.nd,5),"")))</f>
        <v/>
      </c>
      <c r="HN110" t="str">
        <f t="shared" si="227"/>
        <v/>
      </c>
      <c r="HO110" t="str" cm="1">
        <f t="array" ref="HO110">IF(HF110="","",_xlfn.LET(_xlpm.nd,_xlfn.TEXTSPLIT(HF110,"|"),IF(COLUMNS(_xlpm.nd)&gt;5,A110&amp;"¦"&amp;INDEX(_xlpm.nd,5)&amp;"¦"&amp;INDEX(_xlpm.nd,6),"")))</f>
        <v/>
      </c>
      <c r="HP110" t="str">
        <f t="shared" si="228"/>
        <v/>
      </c>
      <c r="HQ110" t="str" cm="1">
        <f t="array" ref="HQ110">IF(HF110="","",_xlfn.LET(_xlpm.nd,_xlfn.TEXTSPLIT(HF110,"|"),IF(COLUMNS(_xlpm.nd)&gt;6,A110&amp;"¦"&amp;INDEX(_xlpm.nd,6)&amp;"¦"&amp;INDEX(_xlpm.nd,7),"")))</f>
        <v/>
      </c>
      <c r="HR110" t="str">
        <f t="shared" si="229"/>
        <v/>
      </c>
      <c r="HS110" t="str">
        <f t="shared" si="230"/>
        <v/>
      </c>
      <c r="HT110" t="str">
        <f t="shared" si="231"/>
        <v>QF8</v>
      </c>
      <c r="HU110">
        <f t="shared" si="232"/>
        <v>0</v>
      </c>
      <c r="HV110">
        <f t="shared" si="233"/>
        <v>0</v>
      </c>
      <c r="HW110" t="str">
        <f t="shared" si="234"/>
        <v/>
      </c>
      <c r="HX110" t="str">
        <f t="shared" si="235"/>
        <v/>
      </c>
      <c r="HY110" t="str">
        <f t="shared" si="236"/>
        <v/>
      </c>
      <c r="HZ110" t="str">
        <f t="shared" si="237"/>
        <v/>
      </c>
      <c r="IA110">
        <f>IF(B110="","",IFERROR(VLOOKUP(B110,УГО_спр,2,FALSE),IFERROR(VLOOKUP(AX110,УГО_спр,2,FALSE),IFERROR(VLOOKUP(LEFT(AX110,2),УГО_спр,2,FALSE),""))))</f>
        <v>0</v>
      </c>
      <c r="IB110" t="str">
        <f>IF(B110="","",IF(OR(IA110="",IA110=0),"BOX",IFERROR(IF(VLOOKUP(IA110,УГО_блоки,3,FALSE)&amp;""&lt;&gt;"",VLOOKUP(IA110,УГО_блоки,3,FALSE),VLOOKUP(IA110,УГО_блоки,2,FALSE)),IA110)))</f>
        <v>BOX</v>
      </c>
      <c r="IC110">
        <f t="shared" si="238"/>
        <v>1</v>
      </c>
      <c r="ID110" t="str">
        <f>IF(DA110="","",IF(COUNTIF(DA$3:DA110,DA110)=1,MAX(ID$2:ID109)+1,""))</f>
        <v/>
      </c>
      <c r="IE110" t="str">
        <f>IF(CO110="","",IF(COUNTIF(CO$3:CO110,CO110)+COUNTIF(CP$2:CP109,CO110)+COUNTIF(CQ$2:CQ109,CO110)=1,MAX(IE$2:IG109)+1,""))</f>
        <v/>
      </c>
      <c r="IF110" t="str">
        <f>IF(CP110="","",IF(COUNTIF(CO$3:CO110,CP110)+COUNTIF(CP$3:CP110,CP110)+COUNTIF(CQ$2:CQ109,CP110)=1,MAX(IE$2:IG109,IE110)+1,""))</f>
        <v/>
      </c>
      <c r="IG110" t="str">
        <f>IF(CQ110="","",IF(COUNTIF(CO$3:CO110,CQ110)+COUNTIF(CP$3:CP110,CQ110)+COUNTIF(CQ$3:CQ110,CQ110)=1,MAX(IE$2:IG109,IE110,IF110)+1,""))</f>
        <v/>
      </c>
      <c r="IH110" t="str">
        <f t="shared" si="239"/>
        <v>3х1,5</v>
      </c>
      <c r="II110" t="str">
        <f>IF(IH110="","",IF(COUNTIF(IH$3:IH110,IH110)=1,MAX(II$2:II109)+1,""))</f>
        <v/>
      </c>
      <c r="IJ110" t="str">
        <f>IF(GL110="","",COUNTIF(GL$3:GL110,"?*"))</f>
        <v/>
      </c>
      <c r="IK110" t="str">
        <f>IF(OR(GL110="",GN110=""),"",IF(COUNTIFS(GL$3:GL110,"?*",GN$3:GN110,GN110)=1,MAX(IK$2:IK109)+1,""))</f>
        <v/>
      </c>
      <c r="IL110">
        <f t="shared" si="240"/>
        <v>0</v>
      </c>
      <c r="IM110">
        <f>IF(B110="","",COUNTIF(B$3:B110,"?*"))</f>
        <v>108</v>
      </c>
      <c r="IN110">
        <f>IF(GQ110&lt;&gt;1,0,_xlfn.LET(_xlpm.k,MAX(IFERROR(--VLOOKUP(B110,УГО_спр,5,FALSE),0),IFERROR(--VLOOKUP(AX110,УГО_спр,5,FALSE),0),IFERROR(--VLOOKUP(LEFT(AX110,2),УГО_спр,5,FALSE),0)),IF(_xlpm.k&gt;0,_xlpm.k,IF(IFERROR(--LEFT(SUBSTITUTE(IH110,"x","х"),FIND("х",SUBSTITUTE(IH110,"x","х"))-1),3)&gt;3,Каталог!$S$9,1))))</f>
        <v>1</v>
      </c>
      <c r="IO110">
        <f t="shared" si="241"/>
        <v>0</v>
      </c>
      <c r="IP110" t="str">
        <f t="shared" si="242"/>
        <v>авто</v>
      </c>
      <c r="IQ110" t="str">
        <f t="shared" si="243"/>
        <v/>
      </c>
      <c r="IR110">
        <f t="shared" si="244"/>
        <v>0</v>
      </c>
      <c r="IS110">
        <f t="shared" si="245"/>
        <v>1</v>
      </c>
    </row>
    <row r="111" spans="1:253" x14ac:dyDescent="0.3">
      <c r="A111" t="s">
        <v>747</v>
      </c>
      <c r="B111" t="s">
        <v>1381</v>
      </c>
      <c r="C111" t="s">
        <v>1633</v>
      </c>
      <c r="D111">
        <v>1</v>
      </c>
      <c r="E111">
        <v>0.104</v>
      </c>
      <c r="G111">
        <v>10</v>
      </c>
      <c r="H111" t="str">
        <f>Линии[[#This Row],[_авто утечка]]</f>
        <v/>
      </c>
      <c r="I111" t="str">
        <f>Линии[[#This Row],[_авто управление]]</f>
        <v/>
      </c>
      <c r="J111" t="str">
        <f>Линии[[#This Row],[_авто аппараты]]</f>
        <v/>
      </c>
      <c r="K111">
        <v>1.5</v>
      </c>
      <c r="L111">
        <v>10</v>
      </c>
      <c r="M111" t="str">
        <f>Линии[[#This Row],[_авто фаза]]</f>
        <v>L2</v>
      </c>
      <c r="N111" t="s">
        <v>486</v>
      </c>
      <c r="O111" t="str">
        <f t="shared" si="123"/>
        <v/>
      </c>
      <c r="P111" s="6" cm="1">
        <f t="array" ref="P111">IF(B111="","",IF(BC111&lt;&gt;"",IFERROR(_xlfn.XLOOKUP(BC111,Щиты[Щит],Щиты[Iр, А]),""),IF(BK111=1,IFERROR(_xlfn.XLOOKUP(A111,Щиты[Щит],Щиты[Iр, А]),""),IFERROR(_xlfn.IFS(BR111=1,BN111/((Uн_лин/SQRT(3))*BY111),BR111=3,BN111/(SQRT(3)*Uн_лин*BY111)),""))))</f>
        <v>0.56291651245988494</v>
      </c>
      <c r="Q111" s="7">
        <f>IF(B111="","",IFERROR(IF(VLOOKUP(AX111,Потребители_обозначение,4,FALSE)=1,VLOOKUP(AX111,Потребители_обозначение,3,FALSE)*(D111*2-1)+DS111+VLOOKUP(AZ111,Этаж_обозначение,3,FALSE)+VLOOKUP(AZ111,Этаж_обозначение,4,FALSE),VLOOKUP(AX111,Потребители_обозначение,3,FALSE)*(D111*2-1)+DS111),DS111))</f>
        <v>12</v>
      </c>
      <c r="R111" s="6">
        <f t="shared" si="124"/>
        <v>0.32</v>
      </c>
      <c r="S111" t="str">
        <f t="shared" si="125"/>
        <v>ВВГнг(А)-LS (3х1,5)</v>
      </c>
      <c r="T111" t="str">
        <f>IF(BH111="","",IF(BI111="вводной узел","узел ","")&amp;"л."&amp;(INT((BH111-1)/Столбцов_на_лист)+1)&amp;" / "&amp;(MOD(BH111-1,Столбцов_на_лист)+1))</f>
        <v>л.2 / 11</v>
      </c>
      <c r="V111">
        <v>1</v>
      </c>
      <c r="W111">
        <v>230</v>
      </c>
      <c r="X111" t="s">
        <v>600</v>
      </c>
      <c r="Y111">
        <v>0.5</v>
      </c>
      <c r="AC111" t="s">
        <v>815</v>
      </c>
      <c r="AE111" t="s">
        <v>578</v>
      </c>
      <c r="AI111">
        <v>28</v>
      </c>
      <c r="AJ111" t="s">
        <v>11</v>
      </c>
      <c r="AK111">
        <v>3</v>
      </c>
      <c r="AM111">
        <v>3</v>
      </c>
      <c r="AN111">
        <v>9</v>
      </c>
      <c r="AP111">
        <v>1</v>
      </c>
      <c r="AW111" cm="1">
        <f t="array" ref="AW111">ROW()-ROW(Линии[#Headers])</f>
        <v>109</v>
      </c>
      <c r="AX111" s="6" t="str">
        <f t="shared" si="126"/>
        <v>K</v>
      </c>
      <c r="AY111" t="str">
        <f t="shared" si="127"/>
        <v>0.001T.2</v>
      </c>
      <c r="AZ111" t="str">
        <f t="shared" si="128"/>
        <v>0</v>
      </c>
      <c r="BA111" t="str">
        <f t="shared" si="129"/>
        <v>001T.2</v>
      </c>
      <c r="BB111" t="str">
        <f t="shared" si="130"/>
        <v>001T</v>
      </c>
      <c r="BC111" t="str">
        <f>IF(U111&lt;&gt;"",U111,IF(AND(B111&lt;&gt;"",B111&lt;&gt;A111,ISNUMBER(_xlfn.XMATCH(B111,Щиты[Щит]))),B111,""))</f>
        <v/>
      </c>
      <c r="BD111" t="str" cm="1">
        <f t="array" ref="BD111">IF(B111="","",IF(BC111&lt;&gt;"","Щит "&amp;BC111,_xlfn.LET(_xlpm.nm,IFERROR(_xlfn.XLOOKUP(AX111,Коды_код,Коды_имя)&amp;"",""),_xlpm.md,IFERROR(N(_xlfn.XLOOKUP(AX111,Коды_код,Коды_режим)),1),_xlpm.ex,IF(Имя_режим="по экспликации",IFERROR(_xlfn.XLOOKUP(AZ111&amp;"|"&amp;BB111,Экспликация[Этаж]&amp;"|"&amp;Экспликация[Помещение],Экспликация[Название])&amp;"",""),""),_xlpm.rm,IF(BB111="","",IF(_xlpm.ex&lt;&gt;"",". "&amp;_xlpm.ex&amp;IF(Имя_пом="нет"," ("&amp;BB111&amp;")"," (пом. "&amp;BB111&amp;")"),IF(Имя_пом="нет"," ",", пом. ")&amp;BB111)),IF(_xlpm.nm="","",IF(_xlpm.md=2,_xlpm.nm&amp;" шлейф "&amp;AZ111,_xlpm.nm&amp;_xlpm.rm)))))</f>
        <v>Внутренний блок кондиционирования, пом. 001T</v>
      </c>
      <c r="BE111" t="str">
        <f t="shared" si="131"/>
        <v>Внутренний блок кондиционирования цокольный этаж Пом. №001Т</v>
      </c>
      <c r="BF111">
        <f>IFERROR(_xlfn.XMATCH(A111,Щиты[Щит]),0)</f>
        <v>6</v>
      </c>
      <c r="BG111">
        <f>_xlfn.LET(_xlpm.k,IFERROR(_xlfn.XLOOKUP(A111,Щиты[Щит],Щиты[Листов под вводной узел]),""),IF(_xlpm.k="",1,N(_xlpm.k))*Столбцов_на_лист)</f>
        <v>17</v>
      </c>
      <c r="BH111">
        <f t="shared" si="132"/>
        <v>28</v>
      </c>
      <c r="BI111" t="str">
        <f t="shared" si="133"/>
        <v>линии</v>
      </c>
      <c r="BJ111" s="6">
        <f>IFERROR(N(_xlfn.XLOOKUP(AX111,Коды_код,Коды_квт)),0)</f>
        <v>0</v>
      </c>
      <c r="BK111">
        <f t="shared" si="134"/>
        <v>0</v>
      </c>
      <c r="BL111" t="str">
        <f>IF(B111="","",IF(BC111&lt;&gt;"",IFERROR(_xlfn.XLOOKUP(BC111,Щиты[Щит],Щиты[Руст, кВт]),0),IF(BK111=1,IFERROR(_xlfn.XLOOKUP(A111,Щиты[Щит],Щиты[Руст, кВт]),0),IF(BJ111&gt;0,ROUND(BJ111*MAX(1,N(D111)),3),""))))</f>
        <v/>
      </c>
      <c r="BM111">
        <f t="shared" si="135"/>
        <v>0.104</v>
      </c>
      <c r="BN111" s="6">
        <f>IF(B111="","",IF(BC111&lt;&gt;"",IFERROR(_xlfn.XLOOKUP(BC111,Щиты[Щит],Щиты[Руст, кВт]),0),N(BM111)))</f>
        <v>0.104</v>
      </c>
      <c r="BO111" t="str">
        <f>IF(B111="","",IFERROR(IF(VLOOKUP(AX111,Потребители_обозначение,8,FALSE)=0,"",VLOOKUP(AX111,Потребители_обозначение,8,FALSE)),""))</f>
        <v/>
      </c>
      <c r="BP111">
        <f t="shared" si="136"/>
        <v>230</v>
      </c>
      <c r="BQ111">
        <f>IF(B111="","",IF(BC111&lt;&gt;"",3,IFERROR(IF(N(VLOOKUP(AX111,Потребители_обозначение,9,FALSE))=0,1,VLOOKUP(AX111,Потребители_обозначение,9,FALSE)),1)))</f>
        <v>1</v>
      </c>
      <c r="BR111">
        <f t="shared" si="137"/>
        <v>1</v>
      </c>
      <c r="BS111" t="str">
        <f>IF(B111="","",_xlfn.LET(_xlpm.bc,IFERROR(IF(VLOOKUP(AX111,Потребители_обозначение,6,FALSE)=0,"",VLOOKUP(AX111,Потребители_обозначение,6,FALSE)&amp;""),""),IF(AND(FK111="да",OR(_xlpm.bc="",_xlpm.bc="мс")),Марка_пож,IF(AND(_xlpm.bc="",BC111&lt;&gt;""),"мс",_xlpm.bc))))</f>
        <v/>
      </c>
      <c r="BT111" t="str">
        <f t="shared" si="138"/>
        <v>мс</v>
      </c>
      <c r="BU111">
        <f>IF(B111="","",_xlfn.LET(_xlpm.cc,IFERROR(N(VLOOKUP(AX111,Потребители_обозначение,7,FALSE)),0),IF(_xlpm.cc&gt;0,_xlpm.cc,IF(BT111="","",IF(N(BR111)=3,5,3)))))</f>
        <v>3</v>
      </c>
      <c r="BV111">
        <f t="shared" si="139"/>
        <v>3</v>
      </c>
      <c r="BW111">
        <f>IFERROR(N(VLOOKUP(AX111,Потребители_обозначение,10,FALSE)),0)</f>
        <v>0</v>
      </c>
      <c r="BX111">
        <f>IFERROR(VLOOKUP(AX111,Потребители_обозначение,5,FALSE),0)</f>
        <v>1</v>
      </c>
      <c r="BY111" s="6" cm="1">
        <f t="array" ref="BY111">IF(B111="","",IF(BC111&lt;&gt;"",IFERROR(_xlfn.XLOOKUP(BC111,Щиты[Щит],Щиты[cos φ]),0.95),IF(BK111=1,IFERROR(_xlfn.XLOOKUP(A111,Щиты[Щит],Щиты[cos φ]),0.95),IF(ISNUMBER(Z111),Z111,IFERROR(IF(BX111=2,_xlfn.IFS(BR111=3,VLOOKUP(BN111,Справочная_двигатели,8,FALSE),BR111=1,VLOOKUP(BN111,Справочная_двигатели,10,TRUE)),IF(AND(Методика="нормы 2026",EQ111="Сил"),0.8,0.95)),0.95)))))</f>
        <v>0.8</v>
      </c>
      <c r="BZ111">
        <f t="shared" si="140"/>
        <v>0</v>
      </c>
      <c r="CA111">
        <f t="shared" si="141"/>
        <v>1</v>
      </c>
      <c r="CB111">
        <f t="shared" si="142"/>
        <v>0</v>
      </c>
      <c r="CC111">
        <f t="shared" si="143"/>
        <v>0</v>
      </c>
      <c r="CD111">
        <f t="shared" si="144"/>
        <v>0</v>
      </c>
      <c r="CE111">
        <f t="shared" si="145"/>
        <v>0</v>
      </c>
      <c r="CF111">
        <f t="shared" si="146"/>
        <v>0</v>
      </c>
      <c r="CG111">
        <f>IF(AX111="",0,_xlfn.LET(_xlpm.v,IFERROR(VLOOKUP(B111,УГО_спр,3,FALSE),IFERROR(VLOOKUP(AX111,УГО_спр,3,FALSE),IFERROR(VLOOKUP(LEFT(AX111,2),УГО_спр,3,FALSE),""))),IF(_xlpm.v="да",30,IF(ISNUMBER(_xlpm.v),_xlpm.v,0))))</f>
        <v>0</v>
      </c>
      <c r="CH111" t="str">
        <f t="shared" si="147"/>
        <v/>
      </c>
      <c r="CI111" t="str">
        <f>_xlfn.LET(_xlpm.k,IFERROR(_xlfn.XLOOKUP(AX111,Коды_код,Коды_утечка)&amp;"",""),IF(_xlpm.k="","дифавтомат",_xlpm.k))</f>
        <v>дифавтомат</v>
      </c>
      <c r="CJ111">
        <f t="shared" si="148"/>
        <v>0</v>
      </c>
      <c r="CK111">
        <f t="shared" si="149"/>
        <v>0</v>
      </c>
      <c r="CL111">
        <f>IF(B111="",0,IFERROR(--VLOOKUP(B111,УГО_спр,4,FALSE),IFERROR(--VLOOKUP(AX111,УГО_спр,4,FALSE),IFERROR(--VLOOKUP(LEFT(AX111,2),УГО_спр,4,FALSE),0))))</f>
        <v>0</v>
      </c>
      <c r="CM111" t="str">
        <f>IF(B111="","",IFERROR(_xlfn.XLOOKUP(AX111,Коды_код,Коды_апп)&amp;"",""))</f>
        <v/>
      </c>
      <c r="CN111" t="str">
        <f t="shared" si="150"/>
        <v/>
      </c>
      <c r="CO111" t="str" cm="1">
        <f t="array" ref="CO111">IF(TRIM(CN111&amp;"")="","",IFERROR(TRIM(INDEX(_xlfn.TEXTSPLIT(CN111&amp;";;;",";"),1)),""))</f>
        <v/>
      </c>
      <c r="CP111" t="str" cm="1">
        <f t="array" ref="CP111">IF(TRIM(CN111&amp;"")="","",IFERROR(TRIM(INDEX(_xlfn.TEXTSPLIT(CN111&amp;";;;",";"),2)),""))</f>
        <v/>
      </c>
      <c r="CQ111" t="str" cm="1">
        <f t="array" ref="CQ111">IF(TRIM(CN111&amp;"")="","",IFERROR(TRIM(INDEX(_xlfn.TEXTSPLIT(CN111&amp;";;;",";"),3)),""))</f>
        <v/>
      </c>
      <c r="CR111">
        <f t="shared" si="151"/>
        <v>0</v>
      </c>
      <c r="CS111" t="str">
        <f>IF(B111="","",_xlfn.LET(_xlpm.t,LOWER(AV111&amp;""),IF(ISNUMBER(SEARCH("dim",_xlpm.t)),"DIM",IF(ISNUMBER(SEARCH("dali",_xlpm.t)),"DALI",IF(OR(ISNUMBER(SEARCH("relay",_xlpm.t)),ISNUMBER(SEARCH("реле",_xlpm.t))),"Relay",IF(ISNUMBER(SEARCH("кнопк",_xlpm.t)),"",IFERROR(_xlfn.XLOOKUP(AX111,Коды_код,Коды_упр)&amp;"","")))))))</f>
        <v/>
      </c>
      <c r="CT111" t="str">
        <f t="shared" si="152"/>
        <v/>
      </c>
      <c r="CU111">
        <f>IF(B111="","",_xlfn.LET(_xlpm.ig,N(P111)+IF(AF111="вручную",0,N(CB111)),_xlpm.n0,IFERROR(VLOOKUP(_xlpm.ig,Автомат_номиналы,2,TRUE),0),_xlpm.mn,MAX(CL111,IF(AF111="вручную",0,N(CE111))),MAX(_xlpm.n0,_xlpm.mn,IF(CR111=1,Мин_автомат_БП,0))))</f>
        <v>6</v>
      </c>
      <c r="CV111">
        <f t="shared" si="153"/>
        <v>1</v>
      </c>
      <c r="CW111" t="str">
        <f t="shared" si="154"/>
        <v>1P</v>
      </c>
      <c r="CX111" t="str">
        <f>_xlfn.LET(_xlpm.cc,UPPER(TRIM(IFERROR(_xlfn.XLOOKUP(AX111,Коды_код,Коды_хар)&amp;"",""))),IF(OR(_xlpm.cc="B",_xlpm.cc="В"),"B",IF(_xlpm.cc="D","D","С")))</f>
        <v>С</v>
      </c>
      <c r="CY111" t="str">
        <f t="shared" si="155"/>
        <v>1P С6А</v>
      </c>
      <c r="CZ111">
        <f t="shared" si="156"/>
        <v>10</v>
      </c>
      <c r="DA111" t="str">
        <f t="shared" si="157"/>
        <v>1P С10А</v>
      </c>
      <c r="DB111" cm="1">
        <f t="array" ref="DB111">IF(DA111="","",_xlfn.LET(_xlpm.t,SUBSTITUTE(SUBSTITUTE(SUBSTITUTE(UPPER(DA111),"С","C"),"А","A"),"В","B"),_xlpm.tk,_xlfn.TEXTSPLIT(_xlpm.t,"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1" t="str">
        <f t="shared" si="158"/>
        <v>ok</v>
      </c>
      <c r="DD111">
        <f t="shared" si="159"/>
        <v>10</v>
      </c>
      <c r="DE111" t="str">
        <f t="shared" si="160"/>
        <v>1P С10А</v>
      </c>
      <c r="DF111">
        <f t="shared" si="161"/>
        <v>0</v>
      </c>
      <c r="DG111">
        <f t="shared" si="162"/>
        <v>0</v>
      </c>
      <c r="DH111">
        <f t="shared" si="163"/>
        <v>0</v>
      </c>
      <c r="DI111">
        <f t="shared" si="164"/>
        <v>0.56291651245988494</v>
      </c>
      <c r="DJ111">
        <f t="shared" si="165"/>
        <v>1</v>
      </c>
      <c r="DK111">
        <f>IF(ISNUMBER(AL111),AL111,К_прокл)</f>
        <v>1</v>
      </c>
      <c r="DL111">
        <f t="shared" si="166"/>
        <v>2</v>
      </c>
      <c r="DM111">
        <f>IFERROR(N(VLOOKUP(BT111,Кабель_обозначение,3,FALSE)),1)</f>
        <v>1</v>
      </c>
      <c r="DN111">
        <f>IFERROR(N(_xlfn.XLOOKUP(A111,Щиты[Щит],Щиты[ΔU до шин, %])),0)</f>
        <v>0.24000000000000002</v>
      </c>
      <c r="DO111" t="str">
        <f>IFERROR(_xlfn.XLOOKUP(A111,Щиты[Щит],Щиты[Zпетли на шинах, Ом]),"")</f>
        <v/>
      </c>
      <c r="DP111">
        <f>IFERROR(N(_xlfn.XLOOKUP(A111,Щиты[Щит],Щиты[ΔU до шин (подбор), %])),0)</f>
        <v>0.36</v>
      </c>
      <c r="DQ111" t="str">
        <f>IFERROR(_xlfn.XLOOKUP(A111,Щиты[Щит],Щиты[Zпетли на шинах (подбор), Ом]),"")</f>
        <v/>
      </c>
      <c r="DR111" t="str">
        <f t="shared" si="167"/>
        <v/>
      </c>
      <c r="DS111">
        <f t="shared" si="168"/>
        <v>10</v>
      </c>
      <c r="DT111">
        <f t="shared" si="169"/>
        <v>2</v>
      </c>
      <c r="DU111">
        <f t="shared" si="170"/>
        <v>0.6</v>
      </c>
      <c r="DV111" s="6">
        <f>IF(B111="","",IF(IFERROR(VLOOKUP(AX111,УГО_спр,2,FALSE),"")="Светильник",3,4)+IF(Методика="нормы 2026",MIN(0.5,MAX(0,N(Q111)-100)*0.005),0))</f>
        <v>4</v>
      </c>
      <c r="DW111" cm="1">
        <f t="array" ref="DW111">IF(OR(B111="",BT111="",DM111&lt;&gt;1),"",_xlfn.LET(_xlpm.sz,Iдоп_S,_xlpm.t_,CHOOSE(DL111,Iдоп_1ж,Iдоп_2ж,Iдоп_3ж)*DJ111*DK111,_xlpm.inn,N(DD111),_xlpm.smin,MAX(1.5,BW111),_xlpm.L_,N(Q111)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111)*(_xlpm.rho*_xlpm.L_/_xlpm.sz*N(BY111)+_xlpm.xx*_xlpm.L_*N(DU111)/1000)*N(P111)/((Uн_лин/SQRT(3))*1000)*100,999),_xlpm.kz,IF(OR(DG111=1,NOT(ISNUMBER(DQ111)),_xlpm.L_=0,_xlpm.inn=0),1,IFERROR(--(c_min*(Uн_лин*1000/SQRT(3))/(DQ111+2*ρкз_Cu*_xlpm.L_/_xlpm.sz)&gt;=GY111*_xlpm.inn),0)),_xlpm.ok,IFERROR((_xlpm.sz&gt;=_xlpm.smin)*(_xlpm.t_&gt;=_xlpm.inn)*IF(_xlpm.L_&gt;0,(_xlpm.du_+DP111&lt;=DV111+0.00001),1)*_xlpm.kz,0),_xlpm.r_,_xlfn._xlws.FILTER(_xlpm.sz,_xlpm.ok,"не подобрано"),INDEX(_xlpm.r_,1)))</f>
        <v>1.5</v>
      </c>
      <c r="DX111">
        <f t="shared" si="171"/>
        <v>1.5</v>
      </c>
      <c r="DY111" cm="1">
        <f t="array" ref="DY111">IF(OR(B111="",BT111="",DM111&lt;&gt;1),"",_xlfn.LET(_xlpm.sz,Iдоп_S,_xlpm.t_,CHOOSE(DL111,Iдоп_1ж,Iдоп_2ж,Iдоп_3ж)*DJ111*DK111,_xlpm.ok,IFERROR((_xlpm.sz&gt;=MAX(1.5,BW111))*(_xlpm.t_&gt;=N(DD111)),0),_xlpm.r_,_xlfn._xlws.FILTER(_xlpm.sz,_xlpm.ok,""),INDEX(_xlpm.r_,1)))</f>
        <v>1.5</v>
      </c>
      <c r="DZ111" s="6" cm="1">
        <f t="array" ref="DZ111">IFERROR(ROUNDUP(N(DT111)*(_xlfn.XLOOKUP(DY111,INDEX(Кабель_сопротивление,0,1),INDEX(Кабель_сопротивление,0,3))*N(Q111)/DY111*N(BY111)+_xlfn.XLOOKUP(DY111,INDEX(Кабель_сопротивление,0,1),INDEX(Кабель_сопротивление,0,2))*N(Q111)*N(DU111)/1000)*N(P111)/((Uн_лин/SQRT(3))*1000)*100,2),"")</f>
        <v>0.08</v>
      </c>
      <c r="EA111">
        <f>IFERROR(2*ρкз_Cu*N(Q111)/DY111,"")</f>
        <v>0.42080000000000001</v>
      </c>
      <c r="EB111">
        <f>IFERROR(VLOOKUP(DX111,Кабель_сопротивление,3,FALSE),"")</f>
        <v>2.2499999999999999E-2</v>
      </c>
      <c r="EC111">
        <f>IFERROR(VLOOKUP(DX111,Кабель_сопротивление,2,FALSE),"")</f>
        <v>0.11</v>
      </c>
      <c r="ED111">
        <f t="shared" si="172"/>
        <v>9</v>
      </c>
      <c r="EE111">
        <f t="shared" si="173"/>
        <v>0</v>
      </c>
      <c r="EF111">
        <f t="shared" si="174"/>
        <v>0.16301161534418332</v>
      </c>
      <c r="EG111" s="6">
        <f>IFERROR(ROUNDUP(EF111/((Uн_лин/SQRT(3))*1000)*100,2),"")</f>
        <v>0.08</v>
      </c>
      <c r="EH111" t="str">
        <f>IFERROR(VLOOKUP(BT111,Кабель_обозначение,2,FALSE),"")</f>
        <v>ВВГнг(А)-LS</v>
      </c>
      <c r="EI111" t="str">
        <f t="shared" si="175"/>
        <v>ВВГнг(А)-LS (3х1,5)</v>
      </c>
      <c r="EJ111" t="str">
        <f t="shared" si="176"/>
        <v>ВВГнг(А)-LS (3х1,5)
L=12-0,08%</v>
      </c>
      <c r="EK111">
        <f>IFERROR(2*ρкз_Cu*Q111/DX111,"")</f>
        <v>0.42080000000000001</v>
      </c>
      <c r="EL111">
        <f t="shared" si="177"/>
        <v>0.14000000000000001</v>
      </c>
      <c r="EM111" s="6" t="str">
        <f>IFERROR(IF(OR(B111="",NOT(ISNUMBER(DX111)),N(Q111)=0),"",_xlfn.XLOOKUP(A111,Щиты[Щит],Щиты[Zпетли на шинах, Ом])+EK111),"")</f>
        <v/>
      </c>
      <c r="EN111" s="6" t="str">
        <f>IF(ISNUMBER(EM111),c_min*(Uн_лин*1000/SQRT(3))/EM111,"")</f>
        <v/>
      </c>
      <c r="EO111" s="6" t="str">
        <f>IFERROR(IF(OR(B111="",NOT(ISNUMBER(DX111))),"",1.05*(Uн_лин*1000/SQRT(3))/(_xlfn.XLOOKUP(A111,Щиты[Щит],Щиты[Zmax на шинах, Ом])+EL111)/1000),"")</f>
        <v/>
      </c>
      <c r="EP111" s="6" t="str">
        <f>IF(B111="","",IF(ISNUMBER(Y111),"Сил",IF(IFERROR(_xlfn.XLOOKUP(AX111,Коды_код,Коды_группа)&amp;"","")="","Быт",_xlfn.XLOOKUP(AX111,Коды_код,Коды_группа)&amp;"")))</f>
        <v>Сил</v>
      </c>
      <c r="EQ111" s="6" t="str">
        <f t="shared" si="178"/>
        <v>Сил</v>
      </c>
      <c r="ER111" s="6">
        <f>IF(EQ111="Щит","щит",IF(EQ111="","",IF(EQ111="Быт",IFERROR(_xlfn.XLOOKUP(A111,Щиты[Щит],Щиты[Кс быт]),1),IF(EQ111="Сил",IF(ISNUMBER(Y111),Y111,IF(Методика="нормы 2026",IFERROR(_xlfn.XLOOKUP(A111,Щиты[Щит],Щиты[Кс силовых (табл. 7.5)]),1),1)),IF(OR(EQ111="Пост",EQ111="Отоп"),1,IF(EQ111="ВНГ",0.7,0))))))</f>
        <v>0.5</v>
      </c>
      <c r="ES111">
        <f t="shared" si="179"/>
        <v>1</v>
      </c>
      <c r="ET111">
        <f t="shared" si="180"/>
        <v>0.104</v>
      </c>
      <c r="EU111">
        <f t="shared" si="181"/>
        <v>0</v>
      </c>
      <c r="EV111">
        <f t="shared" si="182"/>
        <v>5.1999999999999998E-2</v>
      </c>
      <c r="EW111">
        <f t="shared" si="183"/>
        <v>0</v>
      </c>
      <c r="EX111">
        <f t="shared" si="184"/>
        <v>0</v>
      </c>
      <c r="EY111">
        <f t="shared" si="185"/>
        <v>0</v>
      </c>
      <c r="EZ111">
        <f t="shared" si="186"/>
        <v>0.104</v>
      </c>
      <c r="FA111">
        <f t="shared" si="187"/>
        <v>8.3199999999999996E-2</v>
      </c>
      <c r="FB111">
        <f t="shared" si="188"/>
        <v>0.104</v>
      </c>
      <c r="FC111" t="str">
        <f t="shared" si="189"/>
        <v/>
      </c>
      <c r="FD111" t="str">
        <f>IF(B111="","",IF(CA111=0,IF(AW111=1,"",FF110),IF(OR(N(CV111)&gt;=3,N(BR111)&gt;=3),"L1,L2,L3",IFERROR(_xlfn.TEXTBEFORE(_xlfn.TEXTAFTER(_xlfn.XLOOKUP(A111,Щиты[Щит],Щиты[_фазы авто]),";"&amp;AW111&amp;":"),";"),"L1"))))</f>
        <v>L2</v>
      </c>
      <c r="FE111" t="str">
        <f t="shared" si="190"/>
        <v>L2</v>
      </c>
      <c r="FF111" t="str">
        <f t="shared" si="191"/>
        <v>L2</v>
      </c>
      <c r="FG111" cm="1">
        <f t="array" ref="FG111">IFERROR(IF(BX111=2,_xlfn.IFS(BR111=3,VLOOKUP(BN111,Справочная_двигатели,3,FALSE),BR111=1,VLOOKUP(BN111,Справочная_двигатели,5,TRUE)),0),0)</f>
        <v>0</v>
      </c>
      <c r="FH111">
        <f>IFERROR(IF(BX111=3,VLOOKUP(BN111,Справочная_ЛЭД,2,TRUE),0),0)</f>
        <v>0</v>
      </c>
      <c r="FI111" s="6">
        <f t="shared" si="192"/>
        <v>0</v>
      </c>
      <c r="FJ111" t="str" cm="1">
        <f t="array" ref="FJ111">IF(B111="","",IFERROR(INDEX({"I особая","I","II","III"},MATCH(TRIM(AC111&amp;""),{"I особая","I","II","III"},0)),"III"))</f>
        <v>II</v>
      </c>
      <c r="FK111" t="str">
        <f>IF(B111="","",IF(TRIM(AD111&amp;"")&lt;&gt;"",IF(LOWER(TRIM(AD111&amp;""))="да","да","нет"),IF(IFERROR(_xlfn.XLOOKUP(AX111,Коды_код,Коды_пожарная),"")="да","да","нет")))</f>
        <v>нет</v>
      </c>
      <c r="FL111" t="str">
        <f t="shared" si="193"/>
        <v/>
      </c>
      <c r="FM111" t="str">
        <f t="shared" si="194"/>
        <v>основная</v>
      </c>
      <c r="FN111">
        <f t="shared" si="195"/>
        <v>1</v>
      </c>
      <c r="FO111" t="str" cm="1">
        <f t="array" ref="FO111">IF(B111="","",_xlfn.LET(_xlpm.t,IFERROR(_xlfn.XLOOKUP(1,(Шины[Шина]=FM111)*(((Шины[Щит]=A111)+(Шины[Щит]=""))&gt;0),Шины[Тип]),"")&amp;"",IF(_xlpm.t&lt;&gt;"",_xlpm.t,IF(ISNUMBER(SEARCH("ИБП",FM111)),"ИБП",IF(ISNUMBER(SEARCH("ДГУ",FM111)),"ДГУ","Ввод "&amp;FN111)))))</f>
        <v>Ввод 1</v>
      </c>
      <c r="FP111" t="str">
        <f t="shared" si="196"/>
        <v>Ввод 1</v>
      </c>
      <c r="FQ111" t="str">
        <f>IF(B111="","",IF(OR(FO111="ИБП",FO111="ДГУ"),"I особая",IF(FO111="Одиночная","III",_xlfn.XLOOKUP(A111,Щиты[Щит],Щиты[Категория шины «Ввод»],"III"))))</f>
        <v>II</v>
      </c>
      <c r="FR111">
        <f>IF(B111="",0,IFERROR(MATCH(FJ111,{"III","II","I","I особая"},0),1))</f>
        <v>2</v>
      </c>
      <c r="FS111">
        <f t="shared" si="197"/>
        <v>2</v>
      </c>
      <c r="FT111" t="str">
        <f>IF(B111="","",IF(FR111&gt;IFERROR(MATCH(FQ111,{"III","II","I","I особая"},0),1),"НЕ ОБЕСПЕЧЕНА","ОК"))</f>
        <v>ОК</v>
      </c>
      <c r="FU111" t="str">
        <f>IF(A111="","",_xlfn.XLOOKUP(A111,Щиты[Щит],Щиты[Путь],""))</f>
        <v>|ГРЩ-ЖД|ЩОВ-01|</v>
      </c>
      <c r="FV111" t="str">
        <f>IF(B111="","",IF(AE111&lt;&gt;"",AE111,IF(IFERROR(_xlfn.XLOOKUP(AX111,Коды_код,Коды_вид)&amp;"","")="","Прочее",_xlfn.XLOOKUP(AX111,Коды_код,Коды_вид)&amp;"")))</f>
        <v>Кондиционирование и увлажнение</v>
      </c>
      <c r="FW111">
        <f>IF(BH111="","",INT((BH111-1)/Столбцов_на_лист)+1)</f>
        <v>2</v>
      </c>
      <c r="FX111" t="str">
        <f t="shared" si="198"/>
        <v>ВВГнг(А)-LS (3х1,5) L=12-0,08%</v>
      </c>
      <c r="FY111">
        <f t="shared" si="199"/>
        <v>0.104</v>
      </c>
      <c r="FZ111">
        <f t="shared" si="200"/>
        <v>0.57000000000000006</v>
      </c>
      <c r="GA111">
        <f t="shared" si="201"/>
        <v>1</v>
      </c>
      <c r="GB111">
        <f t="shared" si="202"/>
        <v>0</v>
      </c>
      <c r="GC111">
        <f t="shared" si="203"/>
        <v>1</v>
      </c>
      <c r="GD111">
        <f>IF(BH111="","",IF(AND(CA111=1,GC111=1),COUNTIFS(A$3:A111,A111,CA$3:CA111,1,GC$3:GC111,1),IF(OR(OR(AW111=1,A111&lt;&gt;A110),AF111="вручную",GC111=0),"",IF(AW111=1,"",GE110))))</f>
        <v>9</v>
      </c>
      <c r="GE111">
        <f t="shared" si="204"/>
        <v>9</v>
      </c>
      <c r="GF111">
        <f>IF(B111="","",IFERROR(LOOKUP(INDEX(CHOOSE(DL111,Iдоп_1ж,Iдоп_2ж,Iдоп_3ж),MATCH(DX111,Iдоп_S,0))*DJ111*DK111,{6,10,16,20,25,32,40,50,63,80,100,125,160,200,250,315,400,500,630}),""))</f>
        <v>16</v>
      </c>
      <c r="GG111" t="str">
        <f t="shared" si="205"/>
        <v>QF9</v>
      </c>
      <c r="GH111" t="str">
        <f t="shared" si="206"/>
        <v>QF9</v>
      </c>
      <c r="GI111" t="str">
        <f t="shared" si="207"/>
        <v/>
      </c>
      <c r="GJ111">
        <f t="shared" si="208"/>
        <v>0</v>
      </c>
      <c r="GK111" t="str">
        <f>IF(OR(AG111="",AG111="-"),"",IFERROR(VLOOKUP(AG111,Модули_спр,2,FALSE),"R"))</f>
        <v/>
      </c>
      <c r="GL111" t="str">
        <f>IF(GK111="","",GK111&amp;"."&amp;COUNTIFS(A$3:A111,A111,GK$3:GK111,GK111))</f>
        <v/>
      </c>
      <c r="GM111" t="str">
        <f t="shared" si="209"/>
        <v/>
      </c>
      <c r="GN111" t="str">
        <f t="shared" si="210"/>
        <v/>
      </c>
      <c r="GO111" t="str">
        <f t="shared" si="211"/>
        <v/>
      </c>
      <c r="GP111" t="str">
        <f t="shared" si="212"/>
        <v/>
      </c>
      <c r="GQ111">
        <f t="shared" si="213"/>
        <v>1</v>
      </c>
      <c r="GR111" t="str">
        <f>IF(GQ111=1,"XT"&amp;COUNTIFS(A$3:A111,A111,GQ$3:GQ111,1),"")</f>
        <v>XT9</v>
      </c>
      <c r="GS111" t="str">
        <f t="shared" si="214"/>
        <v/>
      </c>
      <c r="GT111" t="str">
        <f t="shared" si="215"/>
        <v>QF9</v>
      </c>
      <c r="GU111" t="str">
        <f t="shared" si="216"/>
        <v/>
      </c>
      <c r="GV111" t="str">
        <f t="shared" si="217"/>
        <v>ok</v>
      </c>
      <c r="GW111" t="str">
        <f>IF(OR(GO111="",GM111=""),"",IF(GO111&gt;IFERROR(VLOOKUP(GN111,Модули_спр,3,FALSE),99),"ЛИШНИЙ КАНАЛ",IF(AND(AH111&lt;&gt;"=",COUNTIFS(Линии[_модуль гр.],GM111,Линии[Канал (итог)],GO111,Линии[Канал],"&lt;&gt;=",Линии[Щит],A111)&gt;1),"ДУБЛЬ КАНАЛА","")))</f>
        <v/>
      </c>
      <c r="GX111" s="6" t="str">
        <f t="shared" si="218"/>
        <v/>
      </c>
      <c r="GY111">
        <f t="shared" si="219"/>
        <v>10</v>
      </c>
      <c r="GZ111" t="str">
        <f t="shared" si="220"/>
        <v/>
      </c>
      <c r="HA111" t="str">
        <f>IF(AND(B111="",GT111=""),"",_xlfn.TEXTJOIN("; ",TRUE,IF(AND(B111&lt;&gt;"",FE111=""),"нет фазы",""),IF(AND(B111&lt;&gt;"",N(FY111)=0,EQ111&lt;&gt;"Нет"),"нет мощности",""),IF(AND(GS111&lt;&gt;"",COUNTIFS(Линии[Щит],A111,Линии[Клемма (итог)],GS111)&gt;1),"дубль клеммы "&amp;GS111,""),IF(AND(GV111&lt;&gt;"",GV111&lt;&gt;"ok"),GV111,""),IF(GW111&lt;&gt;"",GW111,""),IF(AND(N(BV111)&gt;=4,N(BR111)=1),BV111&amp;" жил на 1 фазе",""),IF(AND(AX111="R",CA111=1,OR(N(CK111)=0,N(CK111)&gt;30)),"розетка без дифзащиты до 30 мА",""),IFERROR(IF(AND(ISNUMBER(R111),R111&gt;DV111),"потери "&amp;FIXED(R111,1)&amp;" % &gt; "&amp;DV111&amp;" %",""),""),IFERROR(IF(LEFT(GZ111,4)="мало","Iкз мало — отключение &gt; 0,4 с",""),""),IF(AND(B111&lt;&gt;"",BH111=""),"не на схеме",""),IF(AND(CA111=0,B111&lt;&gt;"",FE111&lt;&gt;"",IF(AW111=1,"",FF110)&lt;&gt;"",FE111&lt;&gt;IF(AW111=1,"",FF110)),"фаза не как у автомата группы ("&amp;IF(AW111=1,"",FF110)&amp;")","")))</f>
        <v/>
      </c>
      <c r="HB111" s="6">
        <f>IF(OR(CA111=0,DA111=""),"",_xlfn.LET(_xlpm.t,IFERROR(_xlfn.XLOOKUP(DA111,Каталог!$U$4:$U$500,Каталог!$G$4:$G$500),""),_xlpm.k,SEARCH("кА",_xlpm.t),IFERROR(--TRIM(RIGHT(SUBSTITUTE(MID(_xlpm.t,MAX(1,_xlpm.k-4),_xlpm.k-MAX(1,_xlpm.k-4))," ",REPT(" ",9)),5)),"")))</f>
        <v>6</v>
      </c>
      <c r="HC111" t="str">
        <f>IF(OR(HB111="",CA111=0),"",IF(_xlfn.XLOOKUP(A111,Щиты[Щит],Щиты[Iкз max на шинах, кА],"")="","",IF(HB111&lt;_xlfn.XLOOKUP(A111,Щиты[Щит],Щиты[Iкз max на шинах, кА]),"Icu "&amp;HB111&amp;" кА &lt; Iкз max","ok")))</f>
        <v/>
      </c>
      <c r="HD111" t="str">
        <f t="shared" si="221"/>
        <v/>
      </c>
      <c r="HE111" t="str">
        <f t="shared" si="222"/>
        <v>QF9</v>
      </c>
      <c r="HF111" t="str">
        <f t="shared" si="223"/>
        <v>QF9|кабель ВВГнг(А)-LS (3х1,5) → Внутренний блок кондиционирования цокольный этаж Пом. №001Т</v>
      </c>
      <c r="HG111" t="str" cm="1">
        <f t="array" ref="HG111">IF(HF111="","",_xlfn.LET(_xlpm.nd,_xlfn.TEXTSPLIT(HF111,"|"),IF(COLUMNS(_xlpm.nd)&gt;1,A111&amp;"¦"&amp;INDEX(_xlpm.nd,1)&amp;"¦"&amp;INDEX(_xlpm.nd,2),"")))</f>
        <v>ЩОВ-01¦QF9¦кабель ВВГнг(А)-LS (3х1,5) → Внутренний блок кондиционирования цокольный этаж Пом. №001Т</v>
      </c>
      <c r="HH111" t="str">
        <f t="shared" si="224"/>
        <v>K.0.001T.2¦Внутренний блок кондиционирования цокольный этаж Пом. №001Т</v>
      </c>
      <c r="HI111" t="str" cm="1">
        <f t="array" ref="HI111">IF(HF111="","",_xlfn.LET(_xlpm.nd,_xlfn.TEXTSPLIT(HF111,"|"),IF(COLUMNS(_xlpm.nd)&gt;2,A111&amp;"¦"&amp;INDEX(_xlpm.nd,2)&amp;"¦"&amp;INDEX(_xlpm.nd,3),"")))</f>
        <v/>
      </c>
      <c r="HJ111" t="str">
        <f t="shared" si="225"/>
        <v/>
      </c>
      <c r="HK111" t="str" cm="1">
        <f t="array" ref="HK111">IF(HF111="","",_xlfn.LET(_xlpm.nd,_xlfn.TEXTSPLIT(HF111,"|"),IF(COLUMNS(_xlpm.nd)&gt;3,A111&amp;"¦"&amp;INDEX(_xlpm.nd,3)&amp;"¦"&amp;INDEX(_xlpm.nd,4),"")))</f>
        <v/>
      </c>
      <c r="HL111" t="str">
        <f t="shared" si="226"/>
        <v/>
      </c>
      <c r="HM111" t="str" cm="1">
        <f t="array" ref="HM111">IF(HF111="","",_xlfn.LET(_xlpm.nd,_xlfn.TEXTSPLIT(HF111,"|"),IF(COLUMNS(_xlpm.nd)&gt;4,A111&amp;"¦"&amp;INDEX(_xlpm.nd,4)&amp;"¦"&amp;INDEX(_xlpm.nd,5),"")))</f>
        <v/>
      </c>
      <c r="HN111" t="str">
        <f t="shared" si="227"/>
        <v/>
      </c>
      <c r="HO111" t="str" cm="1">
        <f t="array" ref="HO111">IF(HF111="","",_xlfn.LET(_xlpm.nd,_xlfn.TEXTSPLIT(HF111,"|"),IF(COLUMNS(_xlpm.nd)&gt;5,A111&amp;"¦"&amp;INDEX(_xlpm.nd,5)&amp;"¦"&amp;INDEX(_xlpm.nd,6),"")))</f>
        <v/>
      </c>
      <c r="HP111" t="str">
        <f t="shared" si="228"/>
        <v/>
      </c>
      <c r="HQ111" t="str" cm="1">
        <f t="array" ref="HQ111">IF(HF111="","",_xlfn.LET(_xlpm.nd,_xlfn.TEXTSPLIT(HF111,"|"),IF(COLUMNS(_xlpm.nd)&gt;6,A111&amp;"¦"&amp;INDEX(_xlpm.nd,6)&amp;"¦"&amp;INDEX(_xlpm.nd,7),"")))</f>
        <v/>
      </c>
      <c r="HR111" t="str">
        <f t="shared" si="229"/>
        <v/>
      </c>
      <c r="HS111" t="str">
        <f t="shared" si="230"/>
        <v/>
      </c>
      <c r="HT111" t="str">
        <f t="shared" si="231"/>
        <v>QF9</v>
      </c>
      <c r="HU111">
        <f t="shared" si="232"/>
        <v>0</v>
      </c>
      <c r="HV111">
        <f t="shared" si="233"/>
        <v>0</v>
      </c>
      <c r="HW111" t="str">
        <f t="shared" si="234"/>
        <v/>
      </c>
      <c r="HX111" t="str">
        <f t="shared" si="235"/>
        <v/>
      </c>
      <c r="HY111" t="str">
        <f t="shared" si="236"/>
        <v/>
      </c>
      <c r="HZ111" t="str">
        <f t="shared" si="237"/>
        <v/>
      </c>
      <c r="IA111">
        <f>IF(B111="","",IFERROR(VLOOKUP(B111,УГО_спр,2,FALSE),IFERROR(VLOOKUP(AX111,УГО_спр,2,FALSE),IFERROR(VLOOKUP(LEFT(AX111,2),УГО_спр,2,FALSE),""))))</f>
        <v>0</v>
      </c>
      <c r="IB111" t="str">
        <f>IF(B111="","",IF(OR(IA111="",IA111=0),"BOX",IFERROR(IF(VLOOKUP(IA111,УГО_блоки,3,FALSE)&amp;""&lt;&gt;"",VLOOKUP(IA111,УГО_блоки,3,FALSE),VLOOKUP(IA111,УГО_блоки,2,FALSE)),IA111)))</f>
        <v>BOX</v>
      </c>
      <c r="IC111">
        <f t="shared" si="238"/>
        <v>1</v>
      </c>
      <c r="ID111" t="str">
        <f>IF(DA111="","",IF(COUNTIF(DA$3:DA111,DA111)=1,MAX(ID$2:ID110)+1,""))</f>
        <v/>
      </c>
      <c r="IE111" t="str">
        <f>IF(CO111="","",IF(COUNTIF(CO$3:CO111,CO111)+COUNTIF(CP$2:CP110,CO111)+COUNTIF(CQ$2:CQ110,CO111)=1,MAX(IE$2:IG110)+1,""))</f>
        <v/>
      </c>
      <c r="IF111" t="str">
        <f>IF(CP111="","",IF(COUNTIF(CO$3:CO111,CP111)+COUNTIF(CP$3:CP111,CP111)+COUNTIF(CQ$2:CQ110,CP111)=1,MAX(IE$2:IG110,IE111)+1,""))</f>
        <v/>
      </c>
      <c r="IG111" t="str">
        <f>IF(CQ111="","",IF(COUNTIF(CO$3:CO111,CQ111)+COUNTIF(CP$3:CP111,CQ111)+COUNTIF(CQ$3:CQ111,CQ111)=1,MAX(IE$2:IG110,IE111,IF111)+1,""))</f>
        <v/>
      </c>
      <c r="IH111" t="str">
        <f t="shared" si="239"/>
        <v>3х1,5</v>
      </c>
      <c r="II111" t="str">
        <f>IF(IH111="","",IF(COUNTIF(IH$3:IH111,IH111)=1,MAX(II$2:II110)+1,""))</f>
        <v/>
      </c>
      <c r="IJ111" t="str">
        <f>IF(GL111="","",COUNTIF(GL$3:GL111,"?*"))</f>
        <v/>
      </c>
      <c r="IK111" t="str">
        <f>IF(OR(GL111="",GN111=""),"",IF(COUNTIFS(GL$3:GL111,"?*",GN$3:GN111,GN111)=1,MAX(IK$2:IK110)+1,""))</f>
        <v/>
      </c>
      <c r="IL111">
        <f t="shared" si="240"/>
        <v>0</v>
      </c>
      <c r="IM111">
        <f>IF(B111="","",COUNTIF(B$3:B111,"?*"))</f>
        <v>109</v>
      </c>
      <c r="IN111">
        <f>IF(GQ111&lt;&gt;1,0,_xlfn.LET(_xlpm.k,MAX(IFERROR(--VLOOKUP(B111,УГО_спр,5,FALSE),0),IFERROR(--VLOOKUP(AX111,УГО_спр,5,FALSE),0),IFERROR(--VLOOKUP(LEFT(AX111,2),УГО_спр,5,FALSE),0)),IF(_xlpm.k&gt;0,_xlpm.k,IF(IFERROR(--LEFT(SUBSTITUTE(IH111,"x","х"),FIND("х",SUBSTITUTE(IH111,"x","х"))-1),3)&gt;3,Каталог!$S$9,1))))</f>
        <v>1</v>
      </c>
      <c r="IO111">
        <f t="shared" si="241"/>
        <v>0</v>
      </c>
      <c r="IP111" t="str">
        <f t="shared" si="242"/>
        <v>авто</v>
      </c>
      <c r="IQ111" t="str">
        <f t="shared" si="243"/>
        <v/>
      </c>
      <c r="IR111">
        <f t="shared" si="244"/>
        <v>0</v>
      </c>
      <c r="IS111">
        <f t="shared" si="245"/>
        <v>1</v>
      </c>
    </row>
    <row r="112" spans="1:253" x14ac:dyDescent="0.3">
      <c r="A112" t="s">
        <v>747</v>
      </c>
      <c r="B112" t="s">
        <v>1382</v>
      </c>
      <c r="C112" t="s">
        <v>1634</v>
      </c>
      <c r="D112">
        <v>1</v>
      </c>
      <c r="E112">
        <v>0.151</v>
      </c>
      <c r="G112">
        <v>10</v>
      </c>
      <c r="H112" t="str">
        <f>Линии[[#This Row],[_авто утечка]]</f>
        <v/>
      </c>
      <c r="I112" t="str">
        <f>Линии[[#This Row],[_авто управление]]</f>
        <v/>
      </c>
      <c r="J112" t="str">
        <f>Линии[[#This Row],[_авто аппараты]]</f>
        <v/>
      </c>
      <c r="K112">
        <v>1.5</v>
      </c>
      <c r="L112">
        <v>25</v>
      </c>
      <c r="M112" t="str">
        <f>Линии[[#This Row],[_авто фаза]]</f>
        <v>L3</v>
      </c>
      <c r="N112" t="s">
        <v>486</v>
      </c>
      <c r="O112" t="str">
        <f t="shared" si="123"/>
        <v/>
      </c>
      <c r="P112" s="6" cm="1">
        <f t="array" ref="P112">IF(B112="","",IF(BC112&lt;&gt;"",IFERROR(_xlfn.XLOOKUP(BC112,Щиты[Щит],Щиты[Iр, А]),""),IF(BK112=1,IFERROR(_xlfn.XLOOKUP(A112,Щиты[Щит],Щиты[Iр, А]),""),IFERROR(_xlfn.IFS(BR112=1,BN112/((Uн_лин/SQRT(3))*BY112),BR112=3,BN112/(SQRT(3)*Uн_лин*BY112)),""))))</f>
        <v>0.81731147482156374</v>
      </c>
      <c r="Q112" s="7">
        <f>IF(B112="","",IFERROR(IF(VLOOKUP(AX112,Потребители_обозначение,4,FALSE)=1,VLOOKUP(AX112,Потребители_обозначение,3,FALSE)*(D112*2-1)+DS112+VLOOKUP(AZ112,Этаж_обозначение,3,FALSE)+VLOOKUP(AZ112,Этаж_обозначение,4,FALSE),VLOOKUP(AX112,Потребители_обозначение,3,FALSE)*(D112*2-1)+DS112),DS112))</f>
        <v>27</v>
      </c>
      <c r="R112" s="6">
        <f t="shared" si="124"/>
        <v>0.48000000000000004</v>
      </c>
      <c r="S112" t="str">
        <f t="shared" si="125"/>
        <v>ВВГнг(А)-LS (3х1,5)</v>
      </c>
      <c r="T112" t="str">
        <f>IF(BH112="","",IF(BI112="вводной узел","узел ","")&amp;"л."&amp;(INT((BH112-1)/Столбцов_на_лист)+1)&amp;" / "&amp;(MOD(BH112-1,Столбцов_на_лист)+1))</f>
        <v>л.2 / 12</v>
      </c>
      <c r="V112">
        <v>1</v>
      </c>
      <c r="W112">
        <v>230</v>
      </c>
      <c r="X112" t="s">
        <v>600</v>
      </c>
      <c r="Y112">
        <v>0.5</v>
      </c>
      <c r="AC112" t="s">
        <v>815</v>
      </c>
      <c r="AE112" t="s">
        <v>578</v>
      </c>
      <c r="AI112">
        <v>29</v>
      </c>
      <c r="AJ112" t="s">
        <v>11</v>
      </c>
      <c r="AK112">
        <v>3</v>
      </c>
      <c r="AM112">
        <v>17</v>
      </c>
      <c r="AN112">
        <v>10</v>
      </c>
      <c r="AP112">
        <v>1</v>
      </c>
      <c r="AW112" cm="1">
        <f t="array" ref="AW112">ROW()-ROW(Линии[#Headers])</f>
        <v>110</v>
      </c>
      <c r="AX112" s="6" t="str">
        <f t="shared" si="126"/>
        <v>K</v>
      </c>
      <c r="AY112" t="str">
        <f t="shared" si="127"/>
        <v>0.002T.1</v>
      </c>
      <c r="AZ112" t="str">
        <f t="shared" si="128"/>
        <v>0</v>
      </c>
      <c r="BA112" t="str">
        <f t="shared" si="129"/>
        <v>002T.1</v>
      </c>
      <c r="BB112" t="str">
        <f t="shared" si="130"/>
        <v>002T</v>
      </c>
      <c r="BC112" t="str">
        <f>IF(U112&lt;&gt;"",U112,IF(AND(B112&lt;&gt;"",B112&lt;&gt;A112,ISNUMBER(_xlfn.XMATCH(B112,Щиты[Щит]))),B112,""))</f>
        <v/>
      </c>
      <c r="BD112" t="str" cm="1">
        <f t="array" ref="BD112">IF(B112="","",IF(BC112&lt;&gt;"","Щит "&amp;BC112,_xlfn.LET(_xlpm.nm,IFERROR(_xlfn.XLOOKUP(AX112,Коды_код,Коды_имя)&amp;"",""),_xlpm.md,IFERROR(N(_xlfn.XLOOKUP(AX112,Коды_код,Коды_режим)),1),_xlpm.ex,IF(Имя_режим="по экспликации",IFERROR(_xlfn.XLOOKUP(AZ112&amp;"|"&amp;BB112,Экспликация[Этаж]&amp;"|"&amp;Экспликация[Помещение],Экспликация[Название])&amp;"",""),""),_xlpm.rm,IF(BB112="","",IF(_xlpm.ex&lt;&gt;"",". "&amp;_xlpm.ex&amp;IF(Имя_пом="нет"," ("&amp;BB112&amp;")"," (пом. "&amp;BB112&amp;")"),IF(Имя_пом="нет"," ",", пом. ")&amp;BB112)),IF(_xlpm.nm="","",IF(_xlpm.md=2,_xlpm.nm&amp;" шлейф "&amp;AZ112,_xlpm.nm&amp;_xlpm.rm)))))</f>
        <v>Внутренний блок кондиционирования, пом. 002T</v>
      </c>
      <c r="BE112" t="str">
        <f t="shared" si="131"/>
        <v>Внутренний блок кондиционирования цокольный этаж Пом. №002Т</v>
      </c>
      <c r="BF112">
        <f>IFERROR(_xlfn.XMATCH(A112,Щиты[Щит]),0)</f>
        <v>6</v>
      </c>
      <c r="BG112">
        <f>_xlfn.LET(_xlpm.k,IFERROR(_xlfn.XLOOKUP(A112,Щиты[Щит],Щиты[Листов под вводной узел]),""),IF(_xlpm.k="",1,N(_xlpm.k))*Столбцов_на_лист)</f>
        <v>17</v>
      </c>
      <c r="BH112">
        <f t="shared" si="132"/>
        <v>29</v>
      </c>
      <c r="BI112" t="str">
        <f t="shared" si="133"/>
        <v>линии</v>
      </c>
      <c r="BJ112" s="6">
        <f>IFERROR(N(_xlfn.XLOOKUP(AX112,Коды_код,Коды_квт)),0)</f>
        <v>0</v>
      </c>
      <c r="BK112">
        <f t="shared" si="134"/>
        <v>0</v>
      </c>
      <c r="BL112" t="str">
        <f>IF(B112="","",IF(BC112&lt;&gt;"",IFERROR(_xlfn.XLOOKUP(BC112,Щиты[Щит],Щиты[Руст, кВт]),0),IF(BK112=1,IFERROR(_xlfn.XLOOKUP(A112,Щиты[Щит],Щиты[Руст, кВт]),0),IF(BJ112&gt;0,ROUND(BJ112*MAX(1,N(D112)),3),""))))</f>
        <v/>
      </c>
      <c r="BM112">
        <f t="shared" si="135"/>
        <v>0.151</v>
      </c>
      <c r="BN112" s="6">
        <f>IF(B112="","",IF(BC112&lt;&gt;"",IFERROR(_xlfn.XLOOKUP(BC112,Щиты[Щит],Щиты[Руст, кВт]),0),N(BM112)))</f>
        <v>0.151</v>
      </c>
      <c r="BO112" t="str">
        <f>IF(B112="","",IFERROR(IF(VLOOKUP(AX112,Потребители_обозначение,8,FALSE)=0,"",VLOOKUP(AX112,Потребители_обозначение,8,FALSE)),""))</f>
        <v/>
      </c>
      <c r="BP112">
        <f t="shared" si="136"/>
        <v>230</v>
      </c>
      <c r="BQ112">
        <f>IF(B112="","",IF(BC112&lt;&gt;"",3,IFERROR(IF(N(VLOOKUP(AX112,Потребители_обозначение,9,FALSE))=0,1,VLOOKUP(AX112,Потребители_обозначение,9,FALSE)),1)))</f>
        <v>1</v>
      </c>
      <c r="BR112">
        <f t="shared" si="137"/>
        <v>1</v>
      </c>
      <c r="BS112" t="str">
        <f>IF(B112="","",_xlfn.LET(_xlpm.bc,IFERROR(IF(VLOOKUP(AX112,Потребители_обозначение,6,FALSE)=0,"",VLOOKUP(AX112,Потребители_обозначение,6,FALSE)&amp;""),""),IF(AND(FK112="да",OR(_xlpm.bc="",_xlpm.bc="мс")),Марка_пож,IF(AND(_xlpm.bc="",BC112&lt;&gt;""),"мс",_xlpm.bc))))</f>
        <v/>
      </c>
      <c r="BT112" t="str">
        <f t="shared" si="138"/>
        <v>мс</v>
      </c>
      <c r="BU112">
        <f>IF(B112="","",_xlfn.LET(_xlpm.cc,IFERROR(N(VLOOKUP(AX112,Потребители_обозначение,7,FALSE)),0),IF(_xlpm.cc&gt;0,_xlpm.cc,IF(BT112="","",IF(N(BR112)=3,5,3)))))</f>
        <v>3</v>
      </c>
      <c r="BV112">
        <f t="shared" si="139"/>
        <v>3</v>
      </c>
      <c r="BW112">
        <f>IFERROR(N(VLOOKUP(AX112,Потребители_обозначение,10,FALSE)),0)</f>
        <v>0</v>
      </c>
      <c r="BX112">
        <f>IFERROR(VLOOKUP(AX112,Потребители_обозначение,5,FALSE),0)</f>
        <v>1</v>
      </c>
      <c r="BY112" s="6" cm="1">
        <f t="array" ref="BY112">IF(B112="","",IF(BC112&lt;&gt;"",IFERROR(_xlfn.XLOOKUP(BC112,Щиты[Щит],Щиты[cos φ]),0.95),IF(BK112=1,IFERROR(_xlfn.XLOOKUP(A112,Щиты[Щит],Щиты[cos φ]),0.95),IF(ISNUMBER(Z112),Z112,IFERROR(IF(BX112=2,_xlfn.IFS(BR112=3,VLOOKUP(BN112,Справочная_двигатели,8,FALSE),BR112=1,VLOOKUP(BN112,Справочная_двигатели,10,TRUE)),IF(AND(Методика="нормы 2026",EQ112="Сил"),0.8,0.95)),0.95)))))</f>
        <v>0.8</v>
      </c>
      <c r="BZ112">
        <f t="shared" si="140"/>
        <v>0</v>
      </c>
      <c r="CA112">
        <f t="shared" si="141"/>
        <v>1</v>
      </c>
      <c r="CB112">
        <f t="shared" si="142"/>
        <v>0</v>
      </c>
      <c r="CC112">
        <f t="shared" si="143"/>
        <v>0</v>
      </c>
      <c r="CD112">
        <f t="shared" si="144"/>
        <v>0</v>
      </c>
      <c r="CE112">
        <f t="shared" si="145"/>
        <v>0</v>
      </c>
      <c r="CF112">
        <f t="shared" si="146"/>
        <v>0</v>
      </c>
      <c r="CG112">
        <f>IF(AX112="",0,_xlfn.LET(_xlpm.v,IFERROR(VLOOKUP(B112,УГО_спр,3,FALSE),IFERROR(VLOOKUP(AX112,УГО_спр,3,FALSE),IFERROR(VLOOKUP(LEFT(AX112,2),УГО_спр,3,FALSE),""))),IF(_xlpm.v="да",30,IF(ISNUMBER(_xlpm.v),_xlpm.v,0))))</f>
        <v>0</v>
      </c>
      <c r="CH112" t="str">
        <f t="shared" si="147"/>
        <v/>
      </c>
      <c r="CI112" t="str">
        <f>_xlfn.LET(_xlpm.k,IFERROR(_xlfn.XLOOKUP(AX112,Коды_код,Коды_утечка)&amp;"",""),IF(_xlpm.k="","дифавтомат",_xlpm.k))</f>
        <v>дифавтомат</v>
      </c>
      <c r="CJ112">
        <f t="shared" si="148"/>
        <v>0</v>
      </c>
      <c r="CK112">
        <f t="shared" si="149"/>
        <v>0</v>
      </c>
      <c r="CL112">
        <f>IF(B112="",0,IFERROR(--VLOOKUP(B112,УГО_спр,4,FALSE),IFERROR(--VLOOKUP(AX112,УГО_спр,4,FALSE),IFERROR(--VLOOKUP(LEFT(AX112,2),УГО_спр,4,FALSE),0))))</f>
        <v>0</v>
      </c>
      <c r="CM112" t="str">
        <f>IF(B112="","",IFERROR(_xlfn.XLOOKUP(AX112,Коды_код,Коды_апп)&amp;"",""))</f>
        <v/>
      </c>
      <c r="CN112" t="str">
        <f t="shared" si="150"/>
        <v/>
      </c>
      <c r="CO112" t="str" cm="1">
        <f t="array" ref="CO112">IF(TRIM(CN112&amp;"")="","",IFERROR(TRIM(INDEX(_xlfn.TEXTSPLIT(CN112&amp;";;;",";"),1)),""))</f>
        <v/>
      </c>
      <c r="CP112" t="str" cm="1">
        <f t="array" ref="CP112">IF(TRIM(CN112&amp;"")="","",IFERROR(TRIM(INDEX(_xlfn.TEXTSPLIT(CN112&amp;";;;",";"),2)),""))</f>
        <v/>
      </c>
      <c r="CQ112" t="str" cm="1">
        <f t="array" ref="CQ112">IF(TRIM(CN112&amp;"")="","",IFERROR(TRIM(INDEX(_xlfn.TEXTSPLIT(CN112&amp;";;;",";"),3)),""))</f>
        <v/>
      </c>
      <c r="CR112">
        <f t="shared" si="151"/>
        <v>0</v>
      </c>
      <c r="CS112" t="str">
        <f>IF(B112="","",_xlfn.LET(_xlpm.t,LOWER(AV112&amp;""),IF(ISNUMBER(SEARCH("dim",_xlpm.t)),"DIM",IF(ISNUMBER(SEARCH("dali",_xlpm.t)),"DALI",IF(OR(ISNUMBER(SEARCH("relay",_xlpm.t)),ISNUMBER(SEARCH("реле",_xlpm.t))),"Relay",IF(ISNUMBER(SEARCH("кнопк",_xlpm.t)),"",IFERROR(_xlfn.XLOOKUP(AX112,Коды_код,Коды_упр)&amp;"","")))))))</f>
        <v/>
      </c>
      <c r="CT112" t="str">
        <f t="shared" si="152"/>
        <v/>
      </c>
      <c r="CU112">
        <f>IF(B112="","",_xlfn.LET(_xlpm.ig,N(P112)+IF(AF112="вручную",0,N(CB112)),_xlpm.n0,IFERROR(VLOOKUP(_xlpm.ig,Автомат_номиналы,2,TRUE),0),_xlpm.mn,MAX(CL112,IF(AF112="вручную",0,N(CE112))),MAX(_xlpm.n0,_xlpm.mn,IF(CR112=1,Мин_автомат_БП,0))))</f>
        <v>6</v>
      </c>
      <c r="CV112">
        <f t="shared" si="153"/>
        <v>1</v>
      </c>
      <c r="CW112" t="str">
        <f t="shared" si="154"/>
        <v>1P</v>
      </c>
      <c r="CX112" t="str">
        <f>_xlfn.LET(_xlpm.cc,UPPER(TRIM(IFERROR(_xlfn.XLOOKUP(AX112,Коды_код,Коды_хар)&amp;"",""))),IF(OR(_xlpm.cc="B",_xlpm.cc="В"),"B",IF(_xlpm.cc="D","D","С")))</f>
        <v>С</v>
      </c>
      <c r="CY112" t="str">
        <f t="shared" si="155"/>
        <v>1P С6А</v>
      </c>
      <c r="CZ112">
        <f t="shared" si="156"/>
        <v>10</v>
      </c>
      <c r="DA112" t="str">
        <f t="shared" si="157"/>
        <v>1P С10А</v>
      </c>
      <c r="DB112" cm="1">
        <f t="array" ref="DB112">IF(DA112="","",_xlfn.LET(_xlpm.t,SUBSTITUTE(SUBSTITUTE(SUBSTITUTE(UPPER(DA112),"С","C"),"А","A"),"В","B"),_xlpm.tk,_xlfn.TEXTSPLIT(_xlpm.t,"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2" t="str">
        <f t="shared" si="158"/>
        <v>ok</v>
      </c>
      <c r="DD112">
        <f t="shared" si="159"/>
        <v>10</v>
      </c>
      <c r="DE112" t="str">
        <f t="shared" si="160"/>
        <v>1P С10А</v>
      </c>
      <c r="DF112">
        <f t="shared" si="161"/>
        <v>0</v>
      </c>
      <c r="DG112">
        <f t="shared" si="162"/>
        <v>0</v>
      </c>
      <c r="DH112">
        <f t="shared" si="163"/>
        <v>0</v>
      </c>
      <c r="DI112">
        <f t="shared" si="164"/>
        <v>0.81731147482156374</v>
      </c>
      <c r="DJ112">
        <f t="shared" si="165"/>
        <v>1</v>
      </c>
      <c r="DK112">
        <f>IF(ISNUMBER(AL112),AL112,К_прокл)</f>
        <v>1</v>
      </c>
      <c r="DL112">
        <f t="shared" si="166"/>
        <v>2</v>
      </c>
      <c r="DM112">
        <f>IFERROR(N(VLOOKUP(BT112,Кабель_обозначение,3,FALSE)),1)</f>
        <v>1</v>
      </c>
      <c r="DN112">
        <f>IFERROR(N(_xlfn.XLOOKUP(A112,Щиты[Щит],Щиты[ΔU до шин, %])),0)</f>
        <v>0.24000000000000002</v>
      </c>
      <c r="DO112" t="str">
        <f>IFERROR(_xlfn.XLOOKUP(A112,Щиты[Щит],Щиты[Zпетли на шинах, Ом]),"")</f>
        <v/>
      </c>
      <c r="DP112">
        <f>IFERROR(N(_xlfn.XLOOKUP(A112,Щиты[Щит],Щиты[ΔU до шин (подбор), %])),0)</f>
        <v>0.36</v>
      </c>
      <c r="DQ112" t="str">
        <f>IFERROR(_xlfn.XLOOKUP(A112,Щиты[Щит],Щиты[Zпетли на шинах (подбор), Ом]),"")</f>
        <v/>
      </c>
      <c r="DR112" t="str">
        <f t="shared" si="167"/>
        <v/>
      </c>
      <c r="DS112">
        <f t="shared" si="168"/>
        <v>25</v>
      </c>
      <c r="DT112">
        <f t="shared" si="169"/>
        <v>2</v>
      </c>
      <c r="DU112">
        <f t="shared" si="170"/>
        <v>0.6</v>
      </c>
      <c r="DV112" s="6">
        <f>IF(B112="","",IF(IFERROR(VLOOKUP(AX112,УГО_спр,2,FALSE),"")="Светильник",3,4)+IF(Методика="нормы 2026",MIN(0.5,MAX(0,N(Q112)-100)*0.005),0))</f>
        <v>4</v>
      </c>
      <c r="DW112" cm="1">
        <f t="array" ref="DW112">IF(OR(B112="",BT112="",DM112&lt;&gt;1),"",_xlfn.LET(_xlpm.sz,Iдоп_S,_xlpm.t_,CHOOSE(DL112,Iдоп_1ж,Iдоп_2ж,Iдоп_3ж)*DJ112*DK112,_xlpm.inn,N(DD112),_xlpm.smin,MAX(1.5,BW112),_xlpm.L_,N(Q112)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112)*(_xlpm.rho*_xlpm.L_/_xlpm.sz*N(BY112)+_xlpm.xx*_xlpm.L_*N(DU112)/1000)*N(P112)/((Uн_лин/SQRT(3))*1000)*100,999),_xlpm.kz,IF(OR(DG112=1,NOT(ISNUMBER(DQ112)),_xlpm.L_=0,_xlpm.inn=0),1,IFERROR(--(c_min*(Uн_лин*1000/SQRT(3))/(DQ112+2*ρкз_Cu*_xlpm.L_/_xlpm.sz)&gt;=GY112*_xlpm.inn),0)),_xlpm.ok,IFERROR((_xlpm.sz&gt;=_xlpm.smin)*(_xlpm.t_&gt;=_xlpm.inn)*IF(_xlpm.L_&gt;0,(_xlpm.du_+DP112&lt;=DV112+0.00001),1)*_xlpm.kz,0),_xlpm.r_,_xlfn._xlws.FILTER(_xlpm.sz,_xlpm.ok,"не подобрано"),INDEX(_xlpm.r_,1)))</f>
        <v>1.5</v>
      </c>
      <c r="DX112">
        <f t="shared" si="171"/>
        <v>1.5</v>
      </c>
      <c r="DY112" cm="1">
        <f t="array" ref="DY112">IF(OR(B112="",BT112="",DM112&lt;&gt;1),"",_xlfn.LET(_xlpm.sz,Iдоп_S,_xlpm.t_,CHOOSE(DL112,Iдоп_1ж,Iдоп_2ж,Iдоп_3ж)*DJ112*DK112,_xlpm.ok,IFERROR((_xlpm.sz&gt;=MAX(1.5,BW112))*(_xlpm.t_&gt;=N(DD112)),0),_xlpm.r_,_xlfn._xlws.FILTER(_xlpm.sz,_xlpm.ok,""),INDEX(_xlpm.r_,1)))</f>
        <v>1.5</v>
      </c>
      <c r="DZ112" s="6" cm="1">
        <f t="array" ref="DZ112">IFERROR(ROUNDUP(N(DT112)*(_xlfn.XLOOKUP(DY112,INDEX(Кабель_сопротивление,0,1),INDEX(Кабель_сопротивление,0,3))*N(Q112)/DY112*N(BY112)+_xlfn.XLOOKUP(DY112,INDEX(Кабель_сопротивление,0,1),INDEX(Кабель_сопротивление,0,2))*N(Q112)*N(DU112)/1000)*N(P112)/((Uн_лин/SQRT(3))*1000)*100,2),"")</f>
        <v>0.24000000000000002</v>
      </c>
      <c r="EA112">
        <f>IFERROR(2*ρкз_Cu*N(Q112)/DY112,"")</f>
        <v>0.94680000000000009</v>
      </c>
      <c r="EB112">
        <f>IFERROR(VLOOKUP(DX112,Кабель_сопротивление,3,FALSE),"")</f>
        <v>2.2499999999999999E-2</v>
      </c>
      <c r="EC112">
        <f>IFERROR(VLOOKUP(DX112,Кабель_сопротивление,2,FALSE),"")</f>
        <v>0.11</v>
      </c>
      <c r="ED112">
        <f t="shared" si="172"/>
        <v>10</v>
      </c>
      <c r="EE112">
        <f t="shared" si="173"/>
        <v>0</v>
      </c>
      <c r="EF112">
        <f t="shared" si="174"/>
        <v>0.53253073378063742</v>
      </c>
      <c r="EG112" s="6">
        <f>IFERROR(ROUNDUP(EF112/((Uн_лин/SQRT(3))*1000)*100,2),"")</f>
        <v>0.24000000000000002</v>
      </c>
      <c r="EH112" t="str">
        <f>IFERROR(VLOOKUP(BT112,Кабель_обозначение,2,FALSE),"")</f>
        <v>ВВГнг(А)-LS</v>
      </c>
      <c r="EI112" t="str">
        <f t="shared" si="175"/>
        <v>ВВГнг(А)-LS (3х1,5)</v>
      </c>
      <c r="EJ112" t="str">
        <f t="shared" si="176"/>
        <v>ВВГнг(А)-LS (3х1,5)
L=27-0,24%</v>
      </c>
      <c r="EK112">
        <f>IFERROR(2*ρкз_Cu*Q112/DX112,"")</f>
        <v>0.94680000000000009</v>
      </c>
      <c r="EL112">
        <f t="shared" si="177"/>
        <v>0.315</v>
      </c>
      <c r="EM112" s="6" t="str">
        <f>IFERROR(IF(OR(B112="",NOT(ISNUMBER(DX112)),N(Q112)=0),"",_xlfn.XLOOKUP(A112,Щиты[Щит],Щиты[Zпетли на шинах, Ом])+EK112),"")</f>
        <v/>
      </c>
      <c r="EN112" s="6" t="str">
        <f>IF(ISNUMBER(EM112),c_min*(Uн_лин*1000/SQRT(3))/EM112,"")</f>
        <v/>
      </c>
      <c r="EO112" s="6" t="str">
        <f>IFERROR(IF(OR(B112="",NOT(ISNUMBER(DX112))),"",1.05*(Uн_лин*1000/SQRT(3))/(_xlfn.XLOOKUP(A112,Щиты[Щит],Щиты[Zmax на шинах, Ом])+EL112)/1000),"")</f>
        <v/>
      </c>
      <c r="EP112" s="6" t="str">
        <f>IF(B112="","",IF(ISNUMBER(Y112),"Сил",IF(IFERROR(_xlfn.XLOOKUP(AX112,Коды_код,Коды_группа)&amp;"","")="","Быт",_xlfn.XLOOKUP(AX112,Коды_код,Коды_группа)&amp;"")))</f>
        <v>Сил</v>
      </c>
      <c r="EQ112" s="6" t="str">
        <f t="shared" si="178"/>
        <v>Сил</v>
      </c>
      <c r="ER112" s="6">
        <f>IF(EQ112="Щит","щит",IF(EQ112="","",IF(EQ112="Быт",IFERROR(_xlfn.XLOOKUP(A112,Щиты[Щит],Щиты[Кс быт]),1),IF(EQ112="Сил",IF(ISNUMBER(Y112),Y112,IF(Методика="нормы 2026",IFERROR(_xlfn.XLOOKUP(A112,Щиты[Щит],Щиты[Кс силовых (табл. 7.5)]),1),1)),IF(OR(EQ112="Пост",EQ112="Отоп"),1,IF(EQ112="ВНГ",0.7,0))))))</f>
        <v>0.5</v>
      </c>
      <c r="ES112">
        <f t="shared" si="179"/>
        <v>1</v>
      </c>
      <c r="ET112">
        <f t="shared" si="180"/>
        <v>0.151</v>
      </c>
      <c r="EU112">
        <f t="shared" si="181"/>
        <v>0</v>
      </c>
      <c r="EV112">
        <f t="shared" si="182"/>
        <v>7.5499999999999998E-2</v>
      </c>
      <c r="EW112">
        <f t="shared" si="183"/>
        <v>0</v>
      </c>
      <c r="EX112">
        <f t="shared" si="184"/>
        <v>0</v>
      </c>
      <c r="EY112">
        <f t="shared" si="185"/>
        <v>0</v>
      </c>
      <c r="EZ112">
        <f t="shared" si="186"/>
        <v>0.151</v>
      </c>
      <c r="FA112">
        <f t="shared" si="187"/>
        <v>0.1208</v>
      </c>
      <c r="FB112">
        <f t="shared" si="188"/>
        <v>0.151</v>
      </c>
      <c r="FC112" t="str">
        <f t="shared" si="189"/>
        <v/>
      </c>
      <c r="FD112" t="str">
        <f>IF(B112="","",IF(CA112=0,IF(AW112=1,"",FF111),IF(OR(N(CV112)&gt;=3,N(BR112)&gt;=3),"L1,L2,L3",IFERROR(_xlfn.TEXTBEFORE(_xlfn.TEXTAFTER(_xlfn.XLOOKUP(A112,Щиты[Щит],Щиты[_фазы авто]),";"&amp;AW112&amp;":"),";"),"L1"))))</f>
        <v>L3</v>
      </c>
      <c r="FE112" t="str">
        <f t="shared" si="190"/>
        <v>L3</v>
      </c>
      <c r="FF112" t="str">
        <f t="shared" si="191"/>
        <v>L3</v>
      </c>
      <c r="FG112" cm="1">
        <f t="array" ref="FG112">IFERROR(IF(BX112=2,_xlfn.IFS(BR112=3,VLOOKUP(BN112,Справочная_двигатели,3,FALSE),BR112=1,VLOOKUP(BN112,Справочная_двигатели,5,TRUE)),0),0)</f>
        <v>0</v>
      </c>
      <c r="FH112">
        <f>IFERROR(IF(BX112=3,VLOOKUP(BN112,Справочная_ЛЭД,2,TRUE),0),0)</f>
        <v>0</v>
      </c>
      <c r="FI112" s="6">
        <f t="shared" si="192"/>
        <v>0</v>
      </c>
      <c r="FJ112" t="str" cm="1">
        <f t="array" ref="FJ112">IF(B112="","",IFERROR(INDEX({"I особая","I","II","III"},MATCH(TRIM(AC112&amp;""),{"I особая","I","II","III"},0)),"III"))</f>
        <v>II</v>
      </c>
      <c r="FK112" t="str">
        <f>IF(B112="","",IF(TRIM(AD112&amp;"")&lt;&gt;"",IF(LOWER(TRIM(AD112&amp;""))="да","да","нет"),IF(IFERROR(_xlfn.XLOOKUP(AX112,Коды_код,Коды_пожарная),"")="да","да","нет")))</f>
        <v>нет</v>
      </c>
      <c r="FL112" t="str">
        <f t="shared" si="193"/>
        <v/>
      </c>
      <c r="FM112" t="str">
        <f t="shared" si="194"/>
        <v>основная</v>
      </c>
      <c r="FN112">
        <f t="shared" si="195"/>
        <v>1</v>
      </c>
      <c r="FO112" t="str" cm="1">
        <f t="array" ref="FO112">IF(B112="","",_xlfn.LET(_xlpm.t,IFERROR(_xlfn.XLOOKUP(1,(Шины[Шина]=FM112)*(((Шины[Щит]=A112)+(Шины[Щит]=""))&gt;0),Шины[Тип]),"")&amp;"",IF(_xlpm.t&lt;&gt;"",_xlpm.t,IF(ISNUMBER(SEARCH("ИБП",FM112)),"ИБП",IF(ISNUMBER(SEARCH("ДГУ",FM112)),"ДГУ","Ввод "&amp;FN112)))))</f>
        <v>Ввод 1</v>
      </c>
      <c r="FP112" t="str">
        <f t="shared" si="196"/>
        <v>Ввод 1</v>
      </c>
      <c r="FQ112" t="str">
        <f>IF(B112="","",IF(OR(FO112="ИБП",FO112="ДГУ"),"I особая",IF(FO112="Одиночная","III",_xlfn.XLOOKUP(A112,Щиты[Щит],Щиты[Категория шины «Ввод»],"III"))))</f>
        <v>II</v>
      </c>
      <c r="FR112">
        <f>IF(B112="",0,IFERROR(MATCH(FJ112,{"III","II","I","I особая"},0),1))</f>
        <v>2</v>
      </c>
      <c r="FS112">
        <f t="shared" si="197"/>
        <v>2</v>
      </c>
      <c r="FT112" t="str">
        <f>IF(B112="","",IF(FR112&gt;IFERROR(MATCH(FQ112,{"III","II","I","I особая"},0),1),"НЕ ОБЕСПЕЧЕНА","ОК"))</f>
        <v>ОК</v>
      </c>
      <c r="FU112" t="str">
        <f>IF(A112="","",_xlfn.XLOOKUP(A112,Щиты[Щит],Щиты[Путь],""))</f>
        <v>|ГРЩ-ЖД|ЩОВ-01|</v>
      </c>
      <c r="FV112" t="str">
        <f>IF(B112="","",IF(AE112&lt;&gt;"",AE112,IF(IFERROR(_xlfn.XLOOKUP(AX112,Коды_код,Коды_вид)&amp;"","")="","Прочее",_xlfn.XLOOKUP(AX112,Коды_код,Коды_вид)&amp;"")))</f>
        <v>Кондиционирование и увлажнение</v>
      </c>
      <c r="FW112">
        <f>IF(BH112="","",INT((BH112-1)/Столбцов_на_лист)+1)</f>
        <v>2</v>
      </c>
      <c r="FX112" t="str">
        <f t="shared" si="198"/>
        <v>ВВГнг(А)-LS (3х1,5) L=27-0,24%</v>
      </c>
      <c r="FY112">
        <f t="shared" si="199"/>
        <v>0.151</v>
      </c>
      <c r="FZ112">
        <f t="shared" si="200"/>
        <v>0.82000000000000006</v>
      </c>
      <c r="GA112">
        <f t="shared" si="201"/>
        <v>1</v>
      </c>
      <c r="GB112">
        <f t="shared" si="202"/>
        <v>0</v>
      </c>
      <c r="GC112">
        <f t="shared" si="203"/>
        <v>1</v>
      </c>
      <c r="GD112">
        <f>IF(BH112="","",IF(AND(CA112=1,GC112=1),COUNTIFS(A$3:A112,A112,CA$3:CA112,1,GC$3:GC112,1),IF(OR(OR(AW112=1,A112&lt;&gt;A111),AF112="вручную",GC112=0),"",IF(AW112=1,"",GE111))))</f>
        <v>10</v>
      </c>
      <c r="GE112">
        <f t="shared" si="204"/>
        <v>10</v>
      </c>
      <c r="GF112">
        <f>IF(B112="","",IFERROR(LOOKUP(INDEX(CHOOSE(DL112,Iдоп_1ж,Iдоп_2ж,Iдоп_3ж),MATCH(DX112,Iдоп_S,0))*DJ112*DK112,{6,10,16,20,25,32,40,50,63,80,100,125,160,200,250,315,400,500,630}),""))</f>
        <v>16</v>
      </c>
      <c r="GG112" t="str">
        <f t="shared" si="205"/>
        <v>QF10</v>
      </c>
      <c r="GH112" t="str">
        <f t="shared" si="206"/>
        <v>QF10</v>
      </c>
      <c r="GI112" t="str">
        <f t="shared" si="207"/>
        <v/>
      </c>
      <c r="GJ112">
        <f t="shared" si="208"/>
        <v>0</v>
      </c>
      <c r="GK112" t="str">
        <f>IF(OR(AG112="",AG112="-"),"",IFERROR(VLOOKUP(AG112,Модули_спр,2,FALSE),"R"))</f>
        <v/>
      </c>
      <c r="GL112" t="str">
        <f>IF(GK112="","",GK112&amp;"."&amp;COUNTIFS(A$3:A112,A112,GK$3:GK112,GK112))</f>
        <v/>
      </c>
      <c r="GM112" t="str">
        <f t="shared" si="209"/>
        <v/>
      </c>
      <c r="GN112" t="str">
        <f t="shared" si="210"/>
        <v/>
      </c>
      <c r="GO112" t="str">
        <f t="shared" si="211"/>
        <v/>
      </c>
      <c r="GP112" t="str">
        <f t="shared" si="212"/>
        <v/>
      </c>
      <c r="GQ112">
        <f t="shared" si="213"/>
        <v>1</v>
      </c>
      <c r="GR112" t="str">
        <f>IF(GQ112=1,"XT"&amp;COUNTIFS(A$3:A112,A112,GQ$3:GQ112,1),"")</f>
        <v>XT10</v>
      </c>
      <c r="GS112" t="str">
        <f t="shared" si="214"/>
        <v/>
      </c>
      <c r="GT112" t="str">
        <f t="shared" si="215"/>
        <v>QF10</v>
      </c>
      <c r="GU112" t="str">
        <f t="shared" si="216"/>
        <v/>
      </c>
      <c r="GV112" t="str">
        <f t="shared" si="217"/>
        <v>ok</v>
      </c>
      <c r="GW112" t="str">
        <f>IF(OR(GO112="",GM112=""),"",IF(GO112&gt;IFERROR(VLOOKUP(GN112,Модули_спр,3,FALSE),99),"ЛИШНИЙ КАНАЛ",IF(AND(AH112&lt;&gt;"=",COUNTIFS(Линии[_модуль гр.],GM112,Линии[Канал (итог)],GO112,Линии[Канал],"&lt;&gt;=",Линии[Щит],A112)&gt;1),"ДУБЛЬ КАНАЛА","")))</f>
        <v/>
      </c>
      <c r="GX112" s="6" t="str">
        <f t="shared" si="218"/>
        <v/>
      </c>
      <c r="GY112">
        <f t="shared" si="219"/>
        <v>10</v>
      </c>
      <c r="GZ112" t="str">
        <f t="shared" si="220"/>
        <v/>
      </c>
      <c r="HA112" t="str">
        <f>IF(AND(B112="",GT112=""),"",_xlfn.TEXTJOIN("; ",TRUE,IF(AND(B112&lt;&gt;"",FE112=""),"нет фазы",""),IF(AND(B112&lt;&gt;"",N(FY112)=0,EQ112&lt;&gt;"Нет"),"нет мощности",""),IF(AND(GS112&lt;&gt;"",COUNTIFS(Линии[Щит],A112,Линии[Клемма (итог)],GS112)&gt;1),"дубль клеммы "&amp;GS112,""),IF(AND(GV112&lt;&gt;"",GV112&lt;&gt;"ok"),GV112,""),IF(GW112&lt;&gt;"",GW112,""),IF(AND(N(BV112)&gt;=4,N(BR112)=1),BV112&amp;" жил на 1 фазе",""),IF(AND(AX112="R",CA112=1,OR(N(CK112)=0,N(CK112)&gt;30)),"розетка без дифзащиты до 30 мА",""),IFERROR(IF(AND(ISNUMBER(R112),R112&gt;DV112),"потери "&amp;FIXED(R112,1)&amp;" % &gt; "&amp;DV112&amp;" %",""),""),IFERROR(IF(LEFT(GZ112,4)="мало","Iкз мало — отключение &gt; 0,4 с",""),""),IF(AND(B112&lt;&gt;"",BH112=""),"не на схеме",""),IF(AND(CA112=0,B112&lt;&gt;"",FE112&lt;&gt;"",IF(AW112=1,"",FF111)&lt;&gt;"",FE112&lt;&gt;IF(AW112=1,"",FF111)),"фаза не как у автомата группы ("&amp;IF(AW112=1,"",FF111)&amp;")","")))</f>
        <v/>
      </c>
      <c r="HB112" s="6">
        <f>IF(OR(CA112=0,DA112=""),"",_xlfn.LET(_xlpm.t,IFERROR(_xlfn.XLOOKUP(DA112,Каталог!$U$4:$U$500,Каталог!$G$4:$G$500),""),_xlpm.k,SEARCH("кА",_xlpm.t),IFERROR(--TRIM(RIGHT(SUBSTITUTE(MID(_xlpm.t,MAX(1,_xlpm.k-4),_xlpm.k-MAX(1,_xlpm.k-4))," ",REPT(" ",9)),5)),"")))</f>
        <v>6</v>
      </c>
      <c r="HC112" t="str">
        <f>IF(OR(HB112="",CA112=0),"",IF(_xlfn.XLOOKUP(A112,Щиты[Щит],Щиты[Iкз max на шинах, кА],"")="","",IF(HB112&lt;_xlfn.XLOOKUP(A112,Щиты[Щит],Щиты[Iкз max на шинах, кА]),"Icu "&amp;HB112&amp;" кА &lt; Iкз max","ok")))</f>
        <v/>
      </c>
      <c r="HD112" t="str">
        <f t="shared" si="221"/>
        <v/>
      </c>
      <c r="HE112" t="str">
        <f t="shared" si="222"/>
        <v>QF10</v>
      </c>
      <c r="HF112" t="str">
        <f t="shared" si="223"/>
        <v>QF10|кабель ВВГнг(А)-LS (3х1,5) → Внутренний блок кондиционирования цокольный этаж Пом. №002Т</v>
      </c>
      <c r="HG112" t="str" cm="1">
        <f t="array" ref="HG112">IF(HF112="","",_xlfn.LET(_xlpm.nd,_xlfn.TEXTSPLIT(HF112,"|"),IF(COLUMNS(_xlpm.nd)&gt;1,A112&amp;"¦"&amp;INDEX(_xlpm.nd,1)&amp;"¦"&amp;INDEX(_xlpm.nd,2),"")))</f>
        <v>ЩОВ-01¦QF10¦кабель ВВГнг(А)-LS (3х1,5) → Внутренний блок кондиционирования цокольный этаж Пом. №002Т</v>
      </c>
      <c r="HH112" t="str">
        <f t="shared" si="224"/>
        <v>K.0.002T.1¦Внутренний блок кондиционирования цокольный этаж Пом. №002Т</v>
      </c>
      <c r="HI112" t="str" cm="1">
        <f t="array" ref="HI112">IF(HF112="","",_xlfn.LET(_xlpm.nd,_xlfn.TEXTSPLIT(HF112,"|"),IF(COLUMNS(_xlpm.nd)&gt;2,A112&amp;"¦"&amp;INDEX(_xlpm.nd,2)&amp;"¦"&amp;INDEX(_xlpm.nd,3),"")))</f>
        <v/>
      </c>
      <c r="HJ112" t="str">
        <f t="shared" si="225"/>
        <v/>
      </c>
      <c r="HK112" t="str" cm="1">
        <f t="array" ref="HK112">IF(HF112="","",_xlfn.LET(_xlpm.nd,_xlfn.TEXTSPLIT(HF112,"|"),IF(COLUMNS(_xlpm.nd)&gt;3,A112&amp;"¦"&amp;INDEX(_xlpm.nd,3)&amp;"¦"&amp;INDEX(_xlpm.nd,4),"")))</f>
        <v/>
      </c>
      <c r="HL112" t="str">
        <f t="shared" si="226"/>
        <v/>
      </c>
      <c r="HM112" t="str" cm="1">
        <f t="array" ref="HM112">IF(HF112="","",_xlfn.LET(_xlpm.nd,_xlfn.TEXTSPLIT(HF112,"|"),IF(COLUMNS(_xlpm.nd)&gt;4,A112&amp;"¦"&amp;INDEX(_xlpm.nd,4)&amp;"¦"&amp;INDEX(_xlpm.nd,5),"")))</f>
        <v/>
      </c>
      <c r="HN112" t="str">
        <f t="shared" si="227"/>
        <v/>
      </c>
      <c r="HO112" t="str" cm="1">
        <f t="array" ref="HO112">IF(HF112="","",_xlfn.LET(_xlpm.nd,_xlfn.TEXTSPLIT(HF112,"|"),IF(COLUMNS(_xlpm.nd)&gt;5,A112&amp;"¦"&amp;INDEX(_xlpm.nd,5)&amp;"¦"&amp;INDEX(_xlpm.nd,6),"")))</f>
        <v/>
      </c>
      <c r="HP112" t="str">
        <f t="shared" si="228"/>
        <v/>
      </c>
      <c r="HQ112" t="str" cm="1">
        <f t="array" ref="HQ112">IF(HF112="","",_xlfn.LET(_xlpm.nd,_xlfn.TEXTSPLIT(HF112,"|"),IF(COLUMNS(_xlpm.nd)&gt;6,A112&amp;"¦"&amp;INDEX(_xlpm.nd,6)&amp;"¦"&amp;INDEX(_xlpm.nd,7),"")))</f>
        <v/>
      </c>
      <c r="HR112" t="str">
        <f t="shared" si="229"/>
        <v/>
      </c>
      <c r="HS112" t="str">
        <f t="shared" si="230"/>
        <v/>
      </c>
      <c r="HT112" t="str">
        <f t="shared" si="231"/>
        <v>QF10</v>
      </c>
      <c r="HU112">
        <f t="shared" si="232"/>
        <v>0</v>
      </c>
      <c r="HV112">
        <f t="shared" si="233"/>
        <v>0</v>
      </c>
      <c r="HW112" t="str">
        <f t="shared" si="234"/>
        <v/>
      </c>
      <c r="HX112" t="str">
        <f t="shared" si="235"/>
        <v/>
      </c>
      <c r="HY112" t="str">
        <f t="shared" si="236"/>
        <v/>
      </c>
      <c r="HZ112" t="str">
        <f t="shared" si="237"/>
        <v/>
      </c>
      <c r="IA112">
        <f>IF(B112="","",IFERROR(VLOOKUP(B112,УГО_спр,2,FALSE),IFERROR(VLOOKUP(AX112,УГО_спр,2,FALSE),IFERROR(VLOOKUP(LEFT(AX112,2),УГО_спр,2,FALSE),""))))</f>
        <v>0</v>
      </c>
      <c r="IB112" t="str">
        <f>IF(B112="","",IF(OR(IA112="",IA112=0),"BOX",IFERROR(IF(VLOOKUP(IA112,УГО_блоки,3,FALSE)&amp;""&lt;&gt;"",VLOOKUP(IA112,УГО_блоки,3,FALSE),VLOOKUP(IA112,УГО_блоки,2,FALSE)),IA112)))</f>
        <v>BOX</v>
      </c>
      <c r="IC112">
        <f t="shared" si="238"/>
        <v>1</v>
      </c>
      <c r="ID112" t="str">
        <f>IF(DA112="","",IF(COUNTIF(DA$3:DA112,DA112)=1,MAX(ID$2:ID111)+1,""))</f>
        <v/>
      </c>
      <c r="IE112" t="str">
        <f>IF(CO112="","",IF(COUNTIF(CO$3:CO112,CO112)+COUNTIF(CP$2:CP111,CO112)+COUNTIF(CQ$2:CQ111,CO112)=1,MAX(IE$2:IG111)+1,""))</f>
        <v/>
      </c>
      <c r="IF112" t="str">
        <f>IF(CP112="","",IF(COUNTIF(CO$3:CO112,CP112)+COUNTIF(CP$3:CP112,CP112)+COUNTIF(CQ$2:CQ111,CP112)=1,MAX(IE$2:IG111,IE112)+1,""))</f>
        <v/>
      </c>
      <c r="IG112" t="str">
        <f>IF(CQ112="","",IF(COUNTIF(CO$3:CO112,CQ112)+COUNTIF(CP$3:CP112,CQ112)+COUNTIF(CQ$3:CQ112,CQ112)=1,MAX(IE$2:IG111,IE112,IF112)+1,""))</f>
        <v/>
      </c>
      <c r="IH112" t="str">
        <f t="shared" si="239"/>
        <v>3х1,5</v>
      </c>
      <c r="II112" t="str">
        <f>IF(IH112="","",IF(COUNTIF(IH$3:IH112,IH112)=1,MAX(II$2:II111)+1,""))</f>
        <v/>
      </c>
      <c r="IJ112" t="str">
        <f>IF(GL112="","",COUNTIF(GL$3:GL112,"?*"))</f>
        <v/>
      </c>
      <c r="IK112" t="str">
        <f>IF(OR(GL112="",GN112=""),"",IF(COUNTIFS(GL$3:GL112,"?*",GN$3:GN112,GN112)=1,MAX(IK$2:IK111)+1,""))</f>
        <v/>
      </c>
      <c r="IL112">
        <f t="shared" si="240"/>
        <v>0</v>
      </c>
      <c r="IM112">
        <f>IF(B112="","",COUNTIF(B$3:B112,"?*"))</f>
        <v>110</v>
      </c>
      <c r="IN112">
        <f>IF(GQ112&lt;&gt;1,0,_xlfn.LET(_xlpm.k,MAX(IFERROR(--VLOOKUP(B112,УГО_спр,5,FALSE),0),IFERROR(--VLOOKUP(AX112,УГО_спр,5,FALSE),0),IFERROR(--VLOOKUP(LEFT(AX112,2),УГО_спр,5,FALSE),0)),IF(_xlpm.k&gt;0,_xlpm.k,IF(IFERROR(--LEFT(SUBSTITUTE(IH112,"x","х"),FIND("х",SUBSTITUTE(IH112,"x","х"))-1),3)&gt;3,Каталог!$S$9,1))))</f>
        <v>1</v>
      </c>
      <c r="IO112">
        <f t="shared" si="241"/>
        <v>0</v>
      </c>
      <c r="IP112" t="str">
        <f t="shared" si="242"/>
        <v>авто</v>
      </c>
      <c r="IQ112" t="str">
        <f t="shared" si="243"/>
        <v/>
      </c>
      <c r="IR112">
        <f t="shared" si="244"/>
        <v>0</v>
      </c>
      <c r="IS112">
        <f t="shared" si="245"/>
        <v>1</v>
      </c>
    </row>
    <row r="113" spans="1:253" x14ac:dyDescent="0.3">
      <c r="A113" t="s">
        <v>747</v>
      </c>
      <c r="B113" t="s">
        <v>1383</v>
      </c>
      <c r="C113" t="s">
        <v>1634</v>
      </c>
      <c r="D113">
        <v>1</v>
      </c>
      <c r="E113">
        <v>0.151</v>
      </c>
      <c r="G113">
        <v>10</v>
      </c>
      <c r="H113" t="str">
        <f>Линии[[#This Row],[_авто утечка]]</f>
        <v/>
      </c>
      <c r="I113" t="str">
        <f>Линии[[#This Row],[_авто управление]]</f>
        <v/>
      </c>
      <c r="J113" t="str">
        <f>Линии[[#This Row],[_авто аппараты]]</f>
        <v/>
      </c>
      <c r="K113">
        <v>1.5</v>
      </c>
      <c r="L113">
        <v>23</v>
      </c>
      <c r="M113" t="str">
        <f>Линии[[#This Row],[_авто фаза]]</f>
        <v>L1</v>
      </c>
      <c r="N113" t="s">
        <v>486</v>
      </c>
      <c r="O113" t="str">
        <f t="shared" si="123"/>
        <v/>
      </c>
      <c r="P113" s="6" cm="1">
        <f t="array" ref="P113">IF(B113="","",IF(BC113&lt;&gt;"",IFERROR(_xlfn.XLOOKUP(BC113,Щиты[Щит],Щиты[Iр, А]),""),IF(BK113=1,IFERROR(_xlfn.XLOOKUP(A113,Щиты[Щит],Щиты[Iр, А]),""),IFERROR(_xlfn.IFS(BR113=1,BN113/((Uн_лин/SQRT(3))*BY113),BR113=3,BN113/(SQRT(3)*Uн_лин*BY113)),""))))</f>
        <v>0.81731147482156374</v>
      </c>
      <c r="Q113" s="7">
        <f>IF(B113="","",IFERROR(IF(VLOOKUP(AX113,Потребители_обозначение,4,FALSE)=1,VLOOKUP(AX113,Потребители_обозначение,3,FALSE)*(D113*2-1)+DS113+VLOOKUP(AZ113,Этаж_обозначение,3,FALSE)+VLOOKUP(AZ113,Этаж_обозначение,4,FALSE),VLOOKUP(AX113,Потребители_обозначение,3,FALSE)*(D113*2-1)+DS113),DS113))</f>
        <v>25</v>
      </c>
      <c r="R113" s="6">
        <f t="shared" si="124"/>
        <v>0.46</v>
      </c>
      <c r="S113" t="str">
        <f t="shared" si="125"/>
        <v>ВВГнг(А)-LS (3х1,5)</v>
      </c>
      <c r="T113" t="str">
        <f>IF(BH113="","",IF(BI113="вводной узел","узел ","")&amp;"л."&amp;(INT((BH113-1)/Столбцов_на_лист)+1)&amp;" / "&amp;(MOD(BH113-1,Столбцов_на_лист)+1))</f>
        <v>л.2 / 13</v>
      </c>
      <c r="V113">
        <v>1</v>
      </c>
      <c r="W113">
        <v>230</v>
      </c>
      <c r="X113" t="s">
        <v>600</v>
      </c>
      <c r="Y113">
        <v>0.5</v>
      </c>
      <c r="AC113" t="s">
        <v>815</v>
      </c>
      <c r="AE113" t="s">
        <v>578</v>
      </c>
      <c r="AI113">
        <v>30</v>
      </c>
      <c r="AJ113" t="s">
        <v>11</v>
      </c>
      <c r="AK113">
        <v>3</v>
      </c>
      <c r="AM113">
        <v>15</v>
      </c>
      <c r="AN113">
        <v>10</v>
      </c>
      <c r="AP113">
        <v>1</v>
      </c>
      <c r="AW113" cm="1">
        <f t="array" ref="AW113">ROW()-ROW(Линии[#Headers])</f>
        <v>111</v>
      </c>
      <c r="AX113" s="6" t="str">
        <f t="shared" si="126"/>
        <v>K</v>
      </c>
      <c r="AY113" t="str">
        <f t="shared" si="127"/>
        <v>0.002T.2</v>
      </c>
      <c r="AZ113" t="str">
        <f t="shared" si="128"/>
        <v>0</v>
      </c>
      <c r="BA113" t="str">
        <f t="shared" si="129"/>
        <v>002T.2</v>
      </c>
      <c r="BB113" t="str">
        <f t="shared" si="130"/>
        <v>002T</v>
      </c>
      <c r="BC113" t="str">
        <f>IF(U113&lt;&gt;"",U113,IF(AND(B113&lt;&gt;"",B113&lt;&gt;A113,ISNUMBER(_xlfn.XMATCH(B113,Щиты[Щит]))),B113,""))</f>
        <v/>
      </c>
      <c r="BD113" t="str" cm="1">
        <f t="array" ref="BD113">IF(B113="","",IF(BC113&lt;&gt;"","Щит "&amp;BC113,_xlfn.LET(_xlpm.nm,IFERROR(_xlfn.XLOOKUP(AX113,Коды_код,Коды_имя)&amp;"",""),_xlpm.md,IFERROR(N(_xlfn.XLOOKUP(AX113,Коды_код,Коды_режим)),1),_xlpm.ex,IF(Имя_режим="по экспликации",IFERROR(_xlfn.XLOOKUP(AZ113&amp;"|"&amp;BB113,Экспликация[Этаж]&amp;"|"&amp;Экспликация[Помещение],Экспликация[Название])&amp;"",""),""),_xlpm.rm,IF(BB113="","",IF(_xlpm.ex&lt;&gt;"",". "&amp;_xlpm.ex&amp;IF(Имя_пом="нет"," ("&amp;BB113&amp;")"," (пом. "&amp;BB113&amp;")"),IF(Имя_пом="нет"," ",", пом. ")&amp;BB113)),IF(_xlpm.nm="","",IF(_xlpm.md=2,_xlpm.nm&amp;" шлейф "&amp;AZ113,_xlpm.nm&amp;_xlpm.rm)))))</f>
        <v>Внутренний блок кондиционирования, пом. 002T</v>
      </c>
      <c r="BE113" t="str">
        <f t="shared" si="131"/>
        <v>Внутренний блок кондиционирования цокольный этаж Пом. №002Т</v>
      </c>
      <c r="BF113">
        <f>IFERROR(_xlfn.XMATCH(A113,Щиты[Щит]),0)</f>
        <v>6</v>
      </c>
      <c r="BG113">
        <f>_xlfn.LET(_xlpm.k,IFERROR(_xlfn.XLOOKUP(A113,Щиты[Щит],Щиты[Листов под вводной узел]),""),IF(_xlpm.k="",1,N(_xlpm.k))*Столбцов_на_лист)</f>
        <v>17</v>
      </c>
      <c r="BH113">
        <f t="shared" si="132"/>
        <v>30</v>
      </c>
      <c r="BI113" t="str">
        <f t="shared" si="133"/>
        <v>линии</v>
      </c>
      <c r="BJ113" s="6">
        <f>IFERROR(N(_xlfn.XLOOKUP(AX113,Коды_код,Коды_квт)),0)</f>
        <v>0</v>
      </c>
      <c r="BK113">
        <f t="shared" si="134"/>
        <v>0</v>
      </c>
      <c r="BL113" t="str">
        <f>IF(B113="","",IF(BC113&lt;&gt;"",IFERROR(_xlfn.XLOOKUP(BC113,Щиты[Щит],Щиты[Руст, кВт]),0),IF(BK113=1,IFERROR(_xlfn.XLOOKUP(A113,Щиты[Щит],Щиты[Руст, кВт]),0),IF(BJ113&gt;0,ROUND(BJ113*MAX(1,N(D113)),3),""))))</f>
        <v/>
      </c>
      <c r="BM113">
        <f t="shared" si="135"/>
        <v>0.151</v>
      </c>
      <c r="BN113" s="6">
        <f>IF(B113="","",IF(BC113&lt;&gt;"",IFERROR(_xlfn.XLOOKUP(BC113,Щиты[Щит],Щиты[Руст, кВт]),0),N(BM113)))</f>
        <v>0.151</v>
      </c>
      <c r="BO113" t="str">
        <f>IF(B113="","",IFERROR(IF(VLOOKUP(AX113,Потребители_обозначение,8,FALSE)=0,"",VLOOKUP(AX113,Потребители_обозначение,8,FALSE)),""))</f>
        <v/>
      </c>
      <c r="BP113">
        <f t="shared" si="136"/>
        <v>230</v>
      </c>
      <c r="BQ113">
        <f>IF(B113="","",IF(BC113&lt;&gt;"",3,IFERROR(IF(N(VLOOKUP(AX113,Потребители_обозначение,9,FALSE))=0,1,VLOOKUP(AX113,Потребители_обозначение,9,FALSE)),1)))</f>
        <v>1</v>
      </c>
      <c r="BR113">
        <f t="shared" si="137"/>
        <v>1</v>
      </c>
      <c r="BS113" t="str">
        <f>IF(B113="","",_xlfn.LET(_xlpm.bc,IFERROR(IF(VLOOKUP(AX113,Потребители_обозначение,6,FALSE)=0,"",VLOOKUP(AX113,Потребители_обозначение,6,FALSE)&amp;""),""),IF(AND(FK113="да",OR(_xlpm.bc="",_xlpm.bc="мс")),Марка_пож,IF(AND(_xlpm.bc="",BC113&lt;&gt;""),"мс",_xlpm.bc))))</f>
        <v/>
      </c>
      <c r="BT113" t="str">
        <f t="shared" si="138"/>
        <v>мс</v>
      </c>
      <c r="BU113">
        <f>IF(B113="","",_xlfn.LET(_xlpm.cc,IFERROR(N(VLOOKUP(AX113,Потребители_обозначение,7,FALSE)),0),IF(_xlpm.cc&gt;0,_xlpm.cc,IF(BT113="","",IF(N(BR113)=3,5,3)))))</f>
        <v>3</v>
      </c>
      <c r="BV113">
        <f t="shared" si="139"/>
        <v>3</v>
      </c>
      <c r="BW113">
        <f>IFERROR(N(VLOOKUP(AX113,Потребители_обозначение,10,FALSE)),0)</f>
        <v>0</v>
      </c>
      <c r="BX113">
        <f>IFERROR(VLOOKUP(AX113,Потребители_обозначение,5,FALSE),0)</f>
        <v>1</v>
      </c>
      <c r="BY113" s="6" cm="1">
        <f t="array" ref="BY113">IF(B113="","",IF(BC113&lt;&gt;"",IFERROR(_xlfn.XLOOKUP(BC113,Щиты[Щит],Щиты[cos φ]),0.95),IF(BK113=1,IFERROR(_xlfn.XLOOKUP(A113,Щиты[Щит],Щиты[cos φ]),0.95),IF(ISNUMBER(Z113),Z113,IFERROR(IF(BX113=2,_xlfn.IFS(BR113=3,VLOOKUP(BN113,Справочная_двигатели,8,FALSE),BR113=1,VLOOKUP(BN113,Справочная_двигатели,10,TRUE)),IF(AND(Методика="нормы 2026",EQ113="Сил"),0.8,0.95)),0.95)))))</f>
        <v>0.8</v>
      </c>
      <c r="BZ113">
        <f t="shared" si="140"/>
        <v>0</v>
      </c>
      <c r="CA113">
        <f t="shared" si="141"/>
        <v>1</v>
      </c>
      <c r="CB113">
        <f t="shared" si="142"/>
        <v>0</v>
      </c>
      <c r="CC113">
        <f t="shared" si="143"/>
        <v>0</v>
      </c>
      <c r="CD113">
        <f t="shared" si="144"/>
        <v>0</v>
      </c>
      <c r="CE113">
        <f t="shared" si="145"/>
        <v>0</v>
      </c>
      <c r="CF113">
        <f t="shared" si="146"/>
        <v>0</v>
      </c>
      <c r="CG113">
        <f>IF(AX113="",0,_xlfn.LET(_xlpm.v,IFERROR(VLOOKUP(B113,УГО_спр,3,FALSE),IFERROR(VLOOKUP(AX113,УГО_спр,3,FALSE),IFERROR(VLOOKUP(LEFT(AX113,2),УГО_спр,3,FALSE),""))),IF(_xlpm.v="да",30,IF(ISNUMBER(_xlpm.v),_xlpm.v,0))))</f>
        <v>0</v>
      </c>
      <c r="CH113" t="str">
        <f t="shared" si="147"/>
        <v/>
      </c>
      <c r="CI113" t="str">
        <f>_xlfn.LET(_xlpm.k,IFERROR(_xlfn.XLOOKUP(AX113,Коды_код,Коды_утечка)&amp;"",""),IF(_xlpm.k="","дифавтомат",_xlpm.k))</f>
        <v>дифавтомат</v>
      </c>
      <c r="CJ113">
        <f t="shared" si="148"/>
        <v>0</v>
      </c>
      <c r="CK113">
        <f t="shared" si="149"/>
        <v>0</v>
      </c>
      <c r="CL113">
        <f>IF(B113="",0,IFERROR(--VLOOKUP(B113,УГО_спр,4,FALSE),IFERROR(--VLOOKUP(AX113,УГО_спр,4,FALSE),IFERROR(--VLOOKUP(LEFT(AX113,2),УГО_спр,4,FALSE),0))))</f>
        <v>0</v>
      </c>
      <c r="CM113" t="str">
        <f>IF(B113="","",IFERROR(_xlfn.XLOOKUP(AX113,Коды_код,Коды_апп)&amp;"",""))</f>
        <v/>
      </c>
      <c r="CN113" t="str">
        <f t="shared" si="150"/>
        <v/>
      </c>
      <c r="CO113" t="str" cm="1">
        <f t="array" ref="CO113">IF(TRIM(CN113&amp;"")="","",IFERROR(TRIM(INDEX(_xlfn.TEXTSPLIT(CN113&amp;";;;",";"),1)),""))</f>
        <v/>
      </c>
      <c r="CP113" t="str" cm="1">
        <f t="array" ref="CP113">IF(TRIM(CN113&amp;"")="","",IFERROR(TRIM(INDEX(_xlfn.TEXTSPLIT(CN113&amp;";;;",";"),2)),""))</f>
        <v/>
      </c>
      <c r="CQ113" t="str" cm="1">
        <f t="array" ref="CQ113">IF(TRIM(CN113&amp;"")="","",IFERROR(TRIM(INDEX(_xlfn.TEXTSPLIT(CN113&amp;";;;",";"),3)),""))</f>
        <v/>
      </c>
      <c r="CR113">
        <f t="shared" si="151"/>
        <v>0</v>
      </c>
      <c r="CS113" t="str">
        <f>IF(B113="","",_xlfn.LET(_xlpm.t,LOWER(AV113&amp;""),IF(ISNUMBER(SEARCH("dim",_xlpm.t)),"DIM",IF(ISNUMBER(SEARCH("dali",_xlpm.t)),"DALI",IF(OR(ISNUMBER(SEARCH("relay",_xlpm.t)),ISNUMBER(SEARCH("реле",_xlpm.t))),"Relay",IF(ISNUMBER(SEARCH("кнопк",_xlpm.t)),"",IFERROR(_xlfn.XLOOKUP(AX113,Коды_код,Коды_упр)&amp;"","")))))))</f>
        <v/>
      </c>
      <c r="CT113" t="str">
        <f t="shared" si="152"/>
        <v/>
      </c>
      <c r="CU113">
        <f>IF(B113="","",_xlfn.LET(_xlpm.ig,N(P113)+IF(AF113="вручную",0,N(CB113)),_xlpm.n0,IFERROR(VLOOKUP(_xlpm.ig,Автомат_номиналы,2,TRUE),0),_xlpm.mn,MAX(CL113,IF(AF113="вручную",0,N(CE113))),MAX(_xlpm.n0,_xlpm.mn,IF(CR113=1,Мин_автомат_БП,0))))</f>
        <v>6</v>
      </c>
      <c r="CV113">
        <f t="shared" si="153"/>
        <v>1</v>
      </c>
      <c r="CW113" t="str">
        <f t="shared" si="154"/>
        <v>1P</v>
      </c>
      <c r="CX113" t="str">
        <f>_xlfn.LET(_xlpm.cc,UPPER(TRIM(IFERROR(_xlfn.XLOOKUP(AX113,Коды_код,Коды_хар)&amp;"",""))),IF(OR(_xlpm.cc="B",_xlpm.cc="В"),"B",IF(_xlpm.cc="D","D","С")))</f>
        <v>С</v>
      </c>
      <c r="CY113" t="str">
        <f t="shared" si="155"/>
        <v>1P С6А</v>
      </c>
      <c r="CZ113">
        <f t="shared" si="156"/>
        <v>10</v>
      </c>
      <c r="DA113" t="str">
        <f t="shared" si="157"/>
        <v>1P С10А</v>
      </c>
      <c r="DB113" cm="1">
        <f t="array" ref="DB113">IF(DA113="","",_xlfn.LET(_xlpm.t,SUBSTITUTE(SUBSTITUTE(SUBSTITUTE(UPPER(DA113),"С","C"),"А","A"),"В","B"),_xlpm.tk,_xlfn.TEXTSPLIT(_xlpm.t,"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3" t="str">
        <f t="shared" si="158"/>
        <v>ok</v>
      </c>
      <c r="DD113">
        <f t="shared" si="159"/>
        <v>10</v>
      </c>
      <c r="DE113" t="str">
        <f t="shared" si="160"/>
        <v>1P С10А</v>
      </c>
      <c r="DF113">
        <f t="shared" si="161"/>
        <v>0</v>
      </c>
      <c r="DG113">
        <f t="shared" si="162"/>
        <v>0</v>
      </c>
      <c r="DH113">
        <f t="shared" si="163"/>
        <v>0</v>
      </c>
      <c r="DI113">
        <f t="shared" si="164"/>
        <v>0.81731147482156374</v>
      </c>
      <c r="DJ113">
        <f t="shared" si="165"/>
        <v>1</v>
      </c>
      <c r="DK113">
        <f>IF(ISNUMBER(AL113),AL113,К_прокл)</f>
        <v>1</v>
      </c>
      <c r="DL113">
        <f t="shared" si="166"/>
        <v>2</v>
      </c>
      <c r="DM113">
        <f>IFERROR(N(VLOOKUP(BT113,Кабель_обозначение,3,FALSE)),1)</f>
        <v>1</v>
      </c>
      <c r="DN113">
        <f>IFERROR(N(_xlfn.XLOOKUP(A113,Щиты[Щит],Щиты[ΔU до шин, %])),0)</f>
        <v>0.24000000000000002</v>
      </c>
      <c r="DO113" t="str">
        <f>IFERROR(_xlfn.XLOOKUP(A113,Щиты[Щит],Щиты[Zпетли на шинах, Ом]),"")</f>
        <v/>
      </c>
      <c r="DP113">
        <f>IFERROR(N(_xlfn.XLOOKUP(A113,Щиты[Щит],Щиты[ΔU до шин (подбор), %])),0)</f>
        <v>0.36</v>
      </c>
      <c r="DQ113" t="str">
        <f>IFERROR(_xlfn.XLOOKUP(A113,Щиты[Щит],Щиты[Zпетли на шинах (подбор), Ом]),"")</f>
        <v/>
      </c>
      <c r="DR113" t="str">
        <f t="shared" si="167"/>
        <v/>
      </c>
      <c r="DS113">
        <f t="shared" si="168"/>
        <v>23</v>
      </c>
      <c r="DT113">
        <f t="shared" si="169"/>
        <v>2</v>
      </c>
      <c r="DU113">
        <f t="shared" si="170"/>
        <v>0.6</v>
      </c>
      <c r="DV113" s="6">
        <f>IF(B113="","",IF(IFERROR(VLOOKUP(AX113,УГО_спр,2,FALSE),"")="Светильник",3,4)+IF(Методика="нормы 2026",MIN(0.5,MAX(0,N(Q113)-100)*0.005),0))</f>
        <v>4</v>
      </c>
      <c r="DW113" cm="1">
        <f t="array" ref="DW113">IF(OR(B113="",BT113="",DM113&lt;&gt;1),"",_xlfn.LET(_xlpm.sz,Iдоп_S,_xlpm.t_,CHOOSE(DL113,Iдоп_1ж,Iдоп_2ж,Iдоп_3ж)*DJ113*DK113,_xlpm.inn,N(DD113),_xlpm.smin,MAX(1.5,BW113),_xlpm.L_,N(Q113)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113)*(_xlpm.rho*_xlpm.L_/_xlpm.sz*N(BY113)+_xlpm.xx*_xlpm.L_*N(DU113)/1000)*N(P113)/((Uн_лин/SQRT(3))*1000)*100,999),_xlpm.kz,IF(OR(DG113=1,NOT(ISNUMBER(DQ113)),_xlpm.L_=0,_xlpm.inn=0),1,IFERROR(--(c_min*(Uн_лин*1000/SQRT(3))/(DQ113+2*ρкз_Cu*_xlpm.L_/_xlpm.sz)&gt;=GY113*_xlpm.inn),0)),_xlpm.ok,IFERROR((_xlpm.sz&gt;=_xlpm.smin)*(_xlpm.t_&gt;=_xlpm.inn)*IF(_xlpm.L_&gt;0,(_xlpm.du_+DP113&lt;=DV113+0.00001),1)*_xlpm.kz,0),_xlpm.r_,_xlfn._xlws.FILTER(_xlpm.sz,_xlpm.ok,"не подобрано"),INDEX(_xlpm.r_,1)))</f>
        <v>1.5</v>
      </c>
      <c r="DX113">
        <f t="shared" si="171"/>
        <v>1.5</v>
      </c>
      <c r="DY113" cm="1">
        <f t="array" ref="DY113">IF(OR(B113="",BT113="",DM113&lt;&gt;1),"",_xlfn.LET(_xlpm.sz,Iдоп_S,_xlpm.t_,CHOOSE(DL113,Iдоп_1ж,Iдоп_2ж,Iдоп_3ж)*DJ113*DK113,_xlpm.ok,IFERROR((_xlpm.sz&gt;=MAX(1.5,BW113))*(_xlpm.t_&gt;=N(DD113)),0),_xlpm.r_,_xlfn._xlws.FILTER(_xlpm.sz,_xlpm.ok,""),INDEX(_xlpm.r_,1)))</f>
        <v>1.5</v>
      </c>
      <c r="DZ113" s="6" cm="1">
        <f t="array" ref="DZ113">IFERROR(ROUNDUP(N(DT113)*(_xlfn.XLOOKUP(DY113,INDEX(Кабель_сопротивление,0,1),INDEX(Кабель_сопротивление,0,3))*N(Q113)/DY113*N(BY113)+_xlfn.XLOOKUP(DY113,INDEX(Кабель_сопротивление,0,1),INDEX(Кабель_сопротивление,0,2))*N(Q113)*N(DU113)/1000)*N(P113)/((Uн_лин/SQRT(3))*1000)*100,2),"")</f>
        <v>0.22</v>
      </c>
      <c r="EA113">
        <f>IFERROR(2*ρкз_Cu*N(Q113)/DY113,"")</f>
        <v>0.87666666666666659</v>
      </c>
      <c r="EB113">
        <f>IFERROR(VLOOKUP(DX113,Кабель_сопротивление,3,FALSE),"")</f>
        <v>2.2499999999999999E-2</v>
      </c>
      <c r="EC113">
        <f>IFERROR(VLOOKUP(DX113,Кабель_сопротивление,2,FALSE),"")</f>
        <v>0.11</v>
      </c>
      <c r="ED113">
        <f t="shared" si="172"/>
        <v>10</v>
      </c>
      <c r="EE113">
        <f t="shared" si="173"/>
        <v>0</v>
      </c>
      <c r="EF113">
        <f t="shared" si="174"/>
        <v>0.49308401275984948</v>
      </c>
      <c r="EG113" s="6">
        <f>IFERROR(ROUNDUP(EF113/((Uн_лин/SQRT(3))*1000)*100,2),"")</f>
        <v>0.22</v>
      </c>
      <c r="EH113" t="str">
        <f>IFERROR(VLOOKUP(BT113,Кабель_обозначение,2,FALSE),"")</f>
        <v>ВВГнг(А)-LS</v>
      </c>
      <c r="EI113" t="str">
        <f t="shared" si="175"/>
        <v>ВВГнг(А)-LS (3х1,5)</v>
      </c>
      <c r="EJ113" t="str">
        <f t="shared" si="176"/>
        <v>ВВГнг(А)-LS (3х1,5)
L=25-0,22%</v>
      </c>
      <c r="EK113">
        <f>IFERROR(2*ρкз_Cu*Q113/DX113,"")</f>
        <v>0.87666666666666659</v>
      </c>
      <c r="EL113">
        <f t="shared" si="177"/>
        <v>0.29166666666666669</v>
      </c>
      <c r="EM113" s="6" t="str">
        <f>IFERROR(IF(OR(B113="",NOT(ISNUMBER(DX113)),N(Q113)=0),"",_xlfn.XLOOKUP(A113,Щиты[Щит],Щиты[Zпетли на шинах, Ом])+EK113),"")</f>
        <v/>
      </c>
      <c r="EN113" s="6" t="str">
        <f>IF(ISNUMBER(EM113),c_min*(Uн_лин*1000/SQRT(3))/EM113,"")</f>
        <v/>
      </c>
      <c r="EO113" s="6" t="str">
        <f>IFERROR(IF(OR(B113="",NOT(ISNUMBER(DX113))),"",1.05*(Uн_лин*1000/SQRT(3))/(_xlfn.XLOOKUP(A113,Щиты[Щит],Щиты[Zmax на шинах, Ом])+EL113)/1000),"")</f>
        <v/>
      </c>
      <c r="EP113" s="6" t="str">
        <f>IF(B113="","",IF(ISNUMBER(Y113),"Сил",IF(IFERROR(_xlfn.XLOOKUP(AX113,Коды_код,Коды_группа)&amp;"","")="","Быт",_xlfn.XLOOKUP(AX113,Коды_код,Коды_группа)&amp;"")))</f>
        <v>Сил</v>
      </c>
      <c r="EQ113" s="6" t="str">
        <f t="shared" si="178"/>
        <v>Сил</v>
      </c>
      <c r="ER113" s="6">
        <f>IF(EQ113="Щит","щит",IF(EQ113="","",IF(EQ113="Быт",IFERROR(_xlfn.XLOOKUP(A113,Щиты[Щит],Щиты[Кс быт]),1),IF(EQ113="Сил",IF(ISNUMBER(Y113),Y113,IF(Методика="нормы 2026",IFERROR(_xlfn.XLOOKUP(A113,Щиты[Щит],Щиты[Кс силовых (табл. 7.5)]),1),1)),IF(OR(EQ113="Пост",EQ113="Отоп"),1,IF(EQ113="ВНГ",0.7,0))))))</f>
        <v>0.5</v>
      </c>
      <c r="ES113">
        <f t="shared" si="179"/>
        <v>1</v>
      </c>
      <c r="ET113">
        <f t="shared" si="180"/>
        <v>0.151</v>
      </c>
      <c r="EU113">
        <f t="shared" si="181"/>
        <v>0</v>
      </c>
      <c r="EV113">
        <f t="shared" si="182"/>
        <v>7.5499999999999998E-2</v>
      </c>
      <c r="EW113">
        <f t="shared" si="183"/>
        <v>0</v>
      </c>
      <c r="EX113">
        <f t="shared" si="184"/>
        <v>0</v>
      </c>
      <c r="EY113">
        <f t="shared" si="185"/>
        <v>0</v>
      </c>
      <c r="EZ113">
        <f t="shared" si="186"/>
        <v>0.151</v>
      </c>
      <c r="FA113">
        <f t="shared" si="187"/>
        <v>0.1208</v>
      </c>
      <c r="FB113">
        <f t="shared" si="188"/>
        <v>0.151</v>
      </c>
      <c r="FC113" t="str">
        <f t="shared" si="189"/>
        <v/>
      </c>
      <c r="FD113" t="str">
        <f>IF(B113="","",IF(CA113=0,IF(AW113=1,"",FF112),IF(OR(N(CV113)&gt;=3,N(BR113)&gt;=3),"L1,L2,L3",IFERROR(_xlfn.TEXTBEFORE(_xlfn.TEXTAFTER(_xlfn.XLOOKUP(A113,Щиты[Щит],Щиты[_фазы авто]),";"&amp;AW113&amp;":"),";"),"L1"))))</f>
        <v>L1</v>
      </c>
      <c r="FE113" t="str">
        <f t="shared" si="190"/>
        <v>L1</v>
      </c>
      <c r="FF113" t="str">
        <f t="shared" si="191"/>
        <v>L1</v>
      </c>
      <c r="FG113" cm="1">
        <f t="array" ref="FG113">IFERROR(IF(BX113=2,_xlfn.IFS(BR113=3,VLOOKUP(BN113,Справочная_двигатели,3,FALSE),BR113=1,VLOOKUP(BN113,Справочная_двигатели,5,TRUE)),0),0)</f>
        <v>0</v>
      </c>
      <c r="FH113">
        <f>IFERROR(IF(BX113=3,VLOOKUP(BN113,Справочная_ЛЭД,2,TRUE),0),0)</f>
        <v>0</v>
      </c>
      <c r="FI113" s="6">
        <f t="shared" si="192"/>
        <v>0</v>
      </c>
      <c r="FJ113" t="str" cm="1">
        <f t="array" ref="FJ113">IF(B113="","",IFERROR(INDEX({"I особая","I","II","III"},MATCH(TRIM(AC113&amp;""),{"I особая","I","II","III"},0)),"III"))</f>
        <v>II</v>
      </c>
      <c r="FK113" t="str">
        <f>IF(B113="","",IF(TRIM(AD113&amp;"")&lt;&gt;"",IF(LOWER(TRIM(AD113&amp;""))="да","да","нет"),IF(IFERROR(_xlfn.XLOOKUP(AX113,Коды_код,Коды_пожарная),"")="да","да","нет")))</f>
        <v>нет</v>
      </c>
      <c r="FL113" t="str">
        <f t="shared" si="193"/>
        <v/>
      </c>
      <c r="FM113" t="str">
        <f t="shared" si="194"/>
        <v>основная</v>
      </c>
      <c r="FN113">
        <f t="shared" si="195"/>
        <v>1</v>
      </c>
      <c r="FO113" t="str" cm="1">
        <f t="array" ref="FO113">IF(B113="","",_xlfn.LET(_xlpm.t,IFERROR(_xlfn.XLOOKUP(1,(Шины[Шина]=FM113)*(((Шины[Щит]=A113)+(Шины[Щит]=""))&gt;0),Шины[Тип]),"")&amp;"",IF(_xlpm.t&lt;&gt;"",_xlpm.t,IF(ISNUMBER(SEARCH("ИБП",FM113)),"ИБП",IF(ISNUMBER(SEARCH("ДГУ",FM113)),"ДГУ","Ввод "&amp;FN113)))))</f>
        <v>Ввод 1</v>
      </c>
      <c r="FP113" t="str">
        <f t="shared" si="196"/>
        <v>Ввод 1</v>
      </c>
      <c r="FQ113" t="str">
        <f>IF(B113="","",IF(OR(FO113="ИБП",FO113="ДГУ"),"I особая",IF(FO113="Одиночная","III",_xlfn.XLOOKUP(A113,Щиты[Щит],Щиты[Категория шины «Ввод»],"III"))))</f>
        <v>II</v>
      </c>
      <c r="FR113">
        <f>IF(B113="",0,IFERROR(MATCH(FJ113,{"III","II","I","I особая"},0),1))</f>
        <v>2</v>
      </c>
      <c r="FS113">
        <f t="shared" si="197"/>
        <v>2</v>
      </c>
      <c r="FT113" t="str">
        <f>IF(B113="","",IF(FR113&gt;IFERROR(MATCH(FQ113,{"III","II","I","I особая"},0),1),"НЕ ОБЕСПЕЧЕНА","ОК"))</f>
        <v>ОК</v>
      </c>
      <c r="FU113" t="str">
        <f>IF(A113="","",_xlfn.XLOOKUP(A113,Щиты[Щит],Щиты[Путь],""))</f>
        <v>|ГРЩ-ЖД|ЩОВ-01|</v>
      </c>
      <c r="FV113" t="str">
        <f>IF(B113="","",IF(AE113&lt;&gt;"",AE113,IF(IFERROR(_xlfn.XLOOKUP(AX113,Коды_код,Коды_вид)&amp;"","")="","Прочее",_xlfn.XLOOKUP(AX113,Коды_код,Коды_вид)&amp;"")))</f>
        <v>Кондиционирование и увлажнение</v>
      </c>
      <c r="FW113">
        <f>IF(BH113="","",INT((BH113-1)/Столбцов_на_лист)+1)</f>
        <v>2</v>
      </c>
      <c r="FX113" t="str">
        <f t="shared" si="198"/>
        <v>ВВГнг(А)-LS (3х1,5) L=25-0,22%</v>
      </c>
      <c r="FY113">
        <f t="shared" si="199"/>
        <v>0.151</v>
      </c>
      <c r="FZ113">
        <f t="shared" si="200"/>
        <v>0.82000000000000006</v>
      </c>
      <c r="GA113">
        <f t="shared" si="201"/>
        <v>1</v>
      </c>
      <c r="GB113">
        <f t="shared" si="202"/>
        <v>0</v>
      </c>
      <c r="GC113">
        <f t="shared" si="203"/>
        <v>1</v>
      </c>
      <c r="GD113">
        <f>IF(BH113="","",IF(AND(CA113=1,GC113=1),COUNTIFS(A$3:A113,A113,CA$3:CA113,1,GC$3:GC113,1),IF(OR(OR(AW113=1,A113&lt;&gt;A112),AF113="вручную",GC113=0),"",IF(AW113=1,"",GE112))))</f>
        <v>11</v>
      </c>
      <c r="GE113">
        <f t="shared" si="204"/>
        <v>11</v>
      </c>
      <c r="GF113">
        <f>IF(B113="","",IFERROR(LOOKUP(INDEX(CHOOSE(DL113,Iдоп_1ж,Iдоп_2ж,Iдоп_3ж),MATCH(DX113,Iдоп_S,0))*DJ113*DK113,{6,10,16,20,25,32,40,50,63,80,100,125,160,200,250,315,400,500,630}),""))</f>
        <v>16</v>
      </c>
      <c r="GG113" t="str">
        <f t="shared" si="205"/>
        <v>QF11</v>
      </c>
      <c r="GH113" t="str">
        <f t="shared" si="206"/>
        <v>QF11</v>
      </c>
      <c r="GI113" t="str">
        <f t="shared" si="207"/>
        <v/>
      </c>
      <c r="GJ113">
        <f t="shared" si="208"/>
        <v>0</v>
      </c>
      <c r="GK113" t="str">
        <f>IF(OR(AG113="",AG113="-"),"",IFERROR(VLOOKUP(AG113,Модули_спр,2,FALSE),"R"))</f>
        <v/>
      </c>
      <c r="GL113" t="str">
        <f>IF(GK113="","",GK113&amp;"."&amp;COUNTIFS(A$3:A113,A113,GK$3:GK113,GK113))</f>
        <v/>
      </c>
      <c r="GM113" t="str">
        <f t="shared" si="209"/>
        <v/>
      </c>
      <c r="GN113" t="str">
        <f t="shared" si="210"/>
        <v/>
      </c>
      <c r="GO113" t="str">
        <f t="shared" si="211"/>
        <v/>
      </c>
      <c r="GP113" t="str">
        <f t="shared" si="212"/>
        <v/>
      </c>
      <c r="GQ113">
        <f t="shared" si="213"/>
        <v>1</v>
      </c>
      <c r="GR113" t="str">
        <f>IF(GQ113=1,"XT"&amp;COUNTIFS(A$3:A113,A113,GQ$3:GQ113,1),"")</f>
        <v>XT11</v>
      </c>
      <c r="GS113" t="str">
        <f t="shared" si="214"/>
        <v/>
      </c>
      <c r="GT113" t="str">
        <f t="shared" si="215"/>
        <v>QF11</v>
      </c>
      <c r="GU113" t="str">
        <f t="shared" si="216"/>
        <v/>
      </c>
      <c r="GV113" t="str">
        <f t="shared" si="217"/>
        <v>ok</v>
      </c>
      <c r="GW113" t="str">
        <f>IF(OR(GO113="",GM113=""),"",IF(GO113&gt;IFERROR(VLOOKUP(GN113,Модули_спр,3,FALSE),99),"ЛИШНИЙ КАНАЛ",IF(AND(AH113&lt;&gt;"=",COUNTIFS(Линии[_модуль гр.],GM113,Линии[Канал (итог)],GO113,Линии[Канал],"&lt;&gt;=",Линии[Щит],A113)&gt;1),"ДУБЛЬ КАНАЛА","")))</f>
        <v/>
      </c>
      <c r="GX113" s="6" t="str">
        <f t="shared" si="218"/>
        <v/>
      </c>
      <c r="GY113">
        <f t="shared" si="219"/>
        <v>10</v>
      </c>
      <c r="GZ113" t="str">
        <f t="shared" si="220"/>
        <v/>
      </c>
      <c r="HA113" t="str">
        <f>IF(AND(B113="",GT113=""),"",_xlfn.TEXTJOIN("; ",TRUE,IF(AND(B113&lt;&gt;"",FE113=""),"нет фазы",""),IF(AND(B113&lt;&gt;"",N(FY113)=0,EQ113&lt;&gt;"Нет"),"нет мощности",""),IF(AND(GS113&lt;&gt;"",COUNTIFS(Линии[Щит],A113,Линии[Клемма (итог)],GS113)&gt;1),"дубль клеммы "&amp;GS113,""),IF(AND(GV113&lt;&gt;"",GV113&lt;&gt;"ok"),GV113,""),IF(GW113&lt;&gt;"",GW113,""),IF(AND(N(BV113)&gt;=4,N(BR113)=1),BV113&amp;" жил на 1 фазе",""),IF(AND(AX113="R",CA113=1,OR(N(CK113)=0,N(CK113)&gt;30)),"розетка без дифзащиты до 30 мА",""),IFERROR(IF(AND(ISNUMBER(R113),R113&gt;DV113),"потери "&amp;FIXED(R113,1)&amp;" % &gt; "&amp;DV113&amp;" %",""),""),IFERROR(IF(LEFT(GZ113,4)="мало","Iкз мало — отключение &gt; 0,4 с",""),""),IF(AND(B113&lt;&gt;"",BH113=""),"не на схеме",""),IF(AND(CA113=0,B113&lt;&gt;"",FE113&lt;&gt;"",IF(AW113=1,"",FF112)&lt;&gt;"",FE113&lt;&gt;IF(AW113=1,"",FF112)),"фаза не как у автомата группы ("&amp;IF(AW113=1,"",FF112)&amp;")","")))</f>
        <v/>
      </c>
      <c r="HB113" s="6">
        <f>IF(OR(CA113=0,DA113=""),"",_xlfn.LET(_xlpm.t,IFERROR(_xlfn.XLOOKUP(DA113,Каталог!$U$4:$U$500,Каталог!$G$4:$G$500),""),_xlpm.k,SEARCH("кА",_xlpm.t),IFERROR(--TRIM(RIGHT(SUBSTITUTE(MID(_xlpm.t,MAX(1,_xlpm.k-4),_xlpm.k-MAX(1,_xlpm.k-4))," ",REPT(" ",9)),5)),"")))</f>
        <v>6</v>
      </c>
      <c r="HC113" t="str">
        <f>IF(OR(HB113="",CA113=0),"",IF(_xlfn.XLOOKUP(A113,Щиты[Щит],Щиты[Iкз max на шинах, кА],"")="","",IF(HB113&lt;_xlfn.XLOOKUP(A113,Щиты[Щит],Щиты[Iкз max на шинах, кА]),"Icu "&amp;HB113&amp;" кА &lt; Iкз max","ok")))</f>
        <v/>
      </c>
      <c r="HD113" t="str">
        <f t="shared" si="221"/>
        <v/>
      </c>
      <c r="HE113" t="str">
        <f t="shared" si="222"/>
        <v>QF11</v>
      </c>
      <c r="HF113" t="str">
        <f t="shared" si="223"/>
        <v>QF11|кабель ВВГнг(А)-LS (3х1,5) → Внутренний блок кондиционирования цокольный этаж Пом. №002Т</v>
      </c>
      <c r="HG113" t="str" cm="1">
        <f t="array" ref="HG113">IF(HF113="","",_xlfn.LET(_xlpm.nd,_xlfn.TEXTSPLIT(HF113,"|"),IF(COLUMNS(_xlpm.nd)&gt;1,A113&amp;"¦"&amp;INDEX(_xlpm.nd,1)&amp;"¦"&amp;INDEX(_xlpm.nd,2),"")))</f>
        <v>ЩОВ-01¦QF11¦кабель ВВГнг(А)-LS (3х1,5) → Внутренний блок кондиционирования цокольный этаж Пом. №002Т</v>
      </c>
      <c r="HH113" t="str">
        <f t="shared" si="224"/>
        <v>K.0.002T.2¦Внутренний блок кондиционирования цокольный этаж Пом. №002Т</v>
      </c>
      <c r="HI113" t="str" cm="1">
        <f t="array" ref="HI113">IF(HF113="","",_xlfn.LET(_xlpm.nd,_xlfn.TEXTSPLIT(HF113,"|"),IF(COLUMNS(_xlpm.nd)&gt;2,A113&amp;"¦"&amp;INDEX(_xlpm.nd,2)&amp;"¦"&amp;INDEX(_xlpm.nd,3),"")))</f>
        <v/>
      </c>
      <c r="HJ113" t="str">
        <f t="shared" si="225"/>
        <v/>
      </c>
      <c r="HK113" t="str" cm="1">
        <f t="array" ref="HK113">IF(HF113="","",_xlfn.LET(_xlpm.nd,_xlfn.TEXTSPLIT(HF113,"|"),IF(COLUMNS(_xlpm.nd)&gt;3,A113&amp;"¦"&amp;INDEX(_xlpm.nd,3)&amp;"¦"&amp;INDEX(_xlpm.nd,4),"")))</f>
        <v/>
      </c>
      <c r="HL113" t="str">
        <f t="shared" si="226"/>
        <v/>
      </c>
      <c r="HM113" t="str" cm="1">
        <f t="array" ref="HM113">IF(HF113="","",_xlfn.LET(_xlpm.nd,_xlfn.TEXTSPLIT(HF113,"|"),IF(COLUMNS(_xlpm.nd)&gt;4,A113&amp;"¦"&amp;INDEX(_xlpm.nd,4)&amp;"¦"&amp;INDEX(_xlpm.nd,5),"")))</f>
        <v/>
      </c>
      <c r="HN113" t="str">
        <f t="shared" si="227"/>
        <v/>
      </c>
      <c r="HO113" t="str" cm="1">
        <f t="array" ref="HO113">IF(HF113="","",_xlfn.LET(_xlpm.nd,_xlfn.TEXTSPLIT(HF113,"|"),IF(COLUMNS(_xlpm.nd)&gt;5,A113&amp;"¦"&amp;INDEX(_xlpm.nd,5)&amp;"¦"&amp;INDEX(_xlpm.nd,6),"")))</f>
        <v/>
      </c>
      <c r="HP113" t="str">
        <f t="shared" si="228"/>
        <v/>
      </c>
      <c r="HQ113" t="str" cm="1">
        <f t="array" ref="HQ113">IF(HF113="","",_xlfn.LET(_xlpm.nd,_xlfn.TEXTSPLIT(HF113,"|"),IF(COLUMNS(_xlpm.nd)&gt;6,A113&amp;"¦"&amp;INDEX(_xlpm.nd,6)&amp;"¦"&amp;INDEX(_xlpm.nd,7),"")))</f>
        <v/>
      </c>
      <c r="HR113" t="str">
        <f t="shared" si="229"/>
        <v/>
      </c>
      <c r="HS113" t="str">
        <f t="shared" si="230"/>
        <v/>
      </c>
      <c r="HT113" t="str">
        <f t="shared" si="231"/>
        <v>QF11</v>
      </c>
      <c r="HU113">
        <f t="shared" si="232"/>
        <v>0</v>
      </c>
      <c r="HV113">
        <f t="shared" si="233"/>
        <v>0</v>
      </c>
      <c r="HW113" t="str">
        <f t="shared" si="234"/>
        <v/>
      </c>
      <c r="HX113" t="str">
        <f t="shared" si="235"/>
        <v/>
      </c>
      <c r="HY113" t="str">
        <f t="shared" si="236"/>
        <v/>
      </c>
      <c r="HZ113" t="str">
        <f t="shared" si="237"/>
        <v/>
      </c>
      <c r="IA113">
        <f>IF(B113="","",IFERROR(VLOOKUP(B113,УГО_спр,2,FALSE),IFERROR(VLOOKUP(AX113,УГО_спр,2,FALSE),IFERROR(VLOOKUP(LEFT(AX113,2),УГО_спр,2,FALSE),""))))</f>
        <v>0</v>
      </c>
      <c r="IB113" t="str">
        <f>IF(B113="","",IF(OR(IA113="",IA113=0),"BOX",IFERROR(IF(VLOOKUP(IA113,УГО_блоки,3,FALSE)&amp;""&lt;&gt;"",VLOOKUP(IA113,УГО_блоки,3,FALSE),VLOOKUP(IA113,УГО_блоки,2,FALSE)),IA113)))</f>
        <v>BOX</v>
      </c>
      <c r="IC113">
        <f t="shared" si="238"/>
        <v>1</v>
      </c>
      <c r="ID113" t="str">
        <f>IF(DA113="","",IF(COUNTIF(DA$3:DA113,DA113)=1,MAX(ID$2:ID112)+1,""))</f>
        <v/>
      </c>
      <c r="IE113" t="str">
        <f>IF(CO113="","",IF(COUNTIF(CO$3:CO113,CO113)+COUNTIF(CP$2:CP112,CO113)+COUNTIF(CQ$2:CQ112,CO113)=1,MAX(IE$2:IG112)+1,""))</f>
        <v/>
      </c>
      <c r="IF113" t="str">
        <f>IF(CP113="","",IF(COUNTIF(CO$3:CO113,CP113)+COUNTIF(CP$3:CP113,CP113)+COUNTIF(CQ$2:CQ112,CP113)=1,MAX(IE$2:IG112,IE113)+1,""))</f>
        <v/>
      </c>
      <c r="IG113" t="str">
        <f>IF(CQ113="","",IF(COUNTIF(CO$3:CO113,CQ113)+COUNTIF(CP$3:CP113,CQ113)+COUNTIF(CQ$3:CQ113,CQ113)=1,MAX(IE$2:IG112,IE113,IF113)+1,""))</f>
        <v/>
      </c>
      <c r="IH113" t="str">
        <f t="shared" si="239"/>
        <v>3х1,5</v>
      </c>
      <c r="II113" t="str">
        <f>IF(IH113="","",IF(COUNTIF(IH$3:IH113,IH113)=1,MAX(II$2:II112)+1,""))</f>
        <v/>
      </c>
      <c r="IJ113" t="str">
        <f>IF(GL113="","",COUNTIF(GL$3:GL113,"?*"))</f>
        <v/>
      </c>
      <c r="IK113" t="str">
        <f>IF(OR(GL113="",GN113=""),"",IF(COUNTIFS(GL$3:GL113,"?*",GN$3:GN113,GN113)=1,MAX(IK$2:IK112)+1,""))</f>
        <v/>
      </c>
      <c r="IL113">
        <f t="shared" si="240"/>
        <v>0</v>
      </c>
      <c r="IM113">
        <f>IF(B113="","",COUNTIF(B$3:B113,"?*"))</f>
        <v>111</v>
      </c>
      <c r="IN113">
        <f>IF(GQ113&lt;&gt;1,0,_xlfn.LET(_xlpm.k,MAX(IFERROR(--VLOOKUP(B113,УГО_спр,5,FALSE),0),IFERROR(--VLOOKUP(AX113,УГО_спр,5,FALSE),0),IFERROR(--VLOOKUP(LEFT(AX113,2),УГО_спр,5,FALSE),0)),IF(_xlpm.k&gt;0,_xlpm.k,IF(IFERROR(--LEFT(SUBSTITUTE(IH113,"x","х"),FIND("х",SUBSTITUTE(IH113,"x","х"))-1),3)&gt;3,Каталог!$S$9,1))))</f>
        <v>1</v>
      </c>
      <c r="IO113">
        <f t="shared" si="241"/>
        <v>0</v>
      </c>
      <c r="IP113" t="str">
        <f t="shared" si="242"/>
        <v>авто</v>
      </c>
      <c r="IQ113" t="str">
        <f t="shared" si="243"/>
        <v/>
      </c>
      <c r="IR113">
        <f t="shared" si="244"/>
        <v>0</v>
      </c>
      <c r="IS113">
        <f t="shared" si="245"/>
        <v>1</v>
      </c>
    </row>
    <row r="114" spans="1:253" x14ac:dyDescent="0.3">
      <c r="A114" t="s">
        <v>747</v>
      </c>
      <c r="B114" t="s">
        <v>1384</v>
      </c>
      <c r="C114" t="s">
        <v>1635</v>
      </c>
      <c r="D114">
        <v>1</v>
      </c>
      <c r="E114">
        <v>0.16200000000000001</v>
      </c>
      <c r="G114">
        <v>10</v>
      </c>
      <c r="H114" t="str">
        <f>Линии[[#This Row],[_авто утечка]]</f>
        <v/>
      </c>
      <c r="I114" t="str">
        <f>Линии[[#This Row],[_авто управление]]</f>
        <v/>
      </c>
      <c r="J114" t="str">
        <f>Линии[[#This Row],[_авто аппараты]]</f>
        <v/>
      </c>
      <c r="K114">
        <v>1.5</v>
      </c>
      <c r="L114">
        <v>52</v>
      </c>
      <c r="M114" t="str">
        <f>Линии[[#This Row],[_авто фаза]]</f>
        <v>L3</v>
      </c>
      <c r="N114" t="s">
        <v>486</v>
      </c>
      <c r="O114" t="str">
        <f t="shared" si="123"/>
        <v/>
      </c>
      <c r="P114" s="6" cm="1">
        <f t="array" ref="P114">IF(B114="","",IF(BC114&lt;&gt;"",IFERROR(_xlfn.XLOOKUP(BC114,Щиты[Щит],Щиты[Iр, А]),""),IF(BK114=1,IFERROR(_xlfn.XLOOKUP(A114,Щиты[Щит],Щиты[Iр, А]),""),IFERROR(_xlfn.IFS(BR114=1,BN114/((Uн_лин/SQRT(3))*BY114),BR114=3,BN114/(SQRT(3)*Uн_лин*BY114)),""))))</f>
        <v>0.87685072133174402</v>
      </c>
      <c r="Q114" s="7">
        <f>IF(B114="","",IFERROR(IF(VLOOKUP(AX114,Потребители_обозначение,4,FALSE)=1,VLOOKUP(AX114,Потребители_обозначение,3,FALSE)*(D114*2-1)+DS114+VLOOKUP(AZ114,Этаж_обозначение,3,FALSE)+VLOOKUP(AZ114,Этаж_обозначение,4,FALSE),VLOOKUP(AX114,Потребители_обозначение,3,FALSE)*(D114*2-1)+DS114),DS114))</f>
        <v>54</v>
      </c>
      <c r="R114" s="6">
        <f t="shared" si="124"/>
        <v>0.74</v>
      </c>
      <c r="S114" t="str">
        <f t="shared" si="125"/>
        <v>ВВГнг(А)-LS (3х1,5)</v>
      </c>
      <c r="T114" t="str">
        <f>IF(BH114="","",IF(BI114="вводной узел","узел ","")&amp;"л."&amp;(INT((BH114-1)/Столбцов_на_лист)+1)&amp;" / "&amp;(MOD(BH114-1,Столбцов_на_лист)+1))</f>
        <v>л.2 / 14</v>
      </c>
      <c r="V114">
        <v>1</v>
      </c>
      <c r="W114">
        <v>230</v>
      </c>
      <c r="X114" t="s">
        <v>600</v>
      </c>
      <c r="Y114">
        <v>0.5</v>
      </c>
      <c r="AC114" t="s">
        <v>815</v>
      </c>
      <c r="AE114" t="s">
        <v>578</v>
      </c>
      <c r="AI114">
        <v>31</v>
      </c>
      <c r="AJ114" t="s">
        <v>11</v>
      </c>
      <c r="AK114">
        <v>3</v>
      </c>
      <c r="AM114">
        <v>36</v>
      </c>
      <c r="AN114">
        <v>18</v>
      </c>
      <c r="AP114">
        <v>1</v>
      </c>
      <c r="AW114" cm="1">
        <f t="array" ref="AW114">ROW()-ROW(Линии[#Headers])</f>
        <v>112</v>
      </c>
      <c r="AX114" s="6" t="str">
        <f t="shared" si="126"/>
        <v>K</v>
      </c>
      <c r="AY114" t="str">
        <f t="shared" si="127"/>
        <v>0.004A-K.0.005A</v>
      </c>
      <c r="AZ114" t="str">
        <f t="shared" si="128"/>
        <v>0</v>
      </c>
      <c r="BA114" t="str">
        <f t="shared" si="129"/>
        <v>004A-K.0.005A</v>
      </c>
      <c r="BB114" t="str">
        <f t="shared" si="130"/>
        <v>004A-K</v>
      </c>
      <c r="BC114" t="str">
        <f>IF(U114&lt;&gt;"",U114,IF(AND(B114&lt;&gt;"",B114&lt;&gt;A114,ISNUMBER(_xlfn.XMATCH(B114,Щиты[Щит]))),B114,""))</f>
        <v/>
      </c>
      <c r="BD114" t="str" cm="1">
        <f t="array" ref="BD114">IF(B114="","",IF(BC114&lt;&gt;"","Щит "&amp;BC114,_xlfn.LET(_xlpm.nm,IFERROR(_xlfn.XLOOKUP(AX114,Коды_код,Коды_имя)&amp;"",""),_xlpm.md,IFERROR(N(_xlfn.XLOOKUP(AX114,Коды_код,Коды_режим)),1),_xlpm.ex,IF(Имя_режим="по экспликации",IFERROR(_xlfn.XLOOKUP(AZ114&amp;"|"&amp;BB114,Экспликация[Этаж]&amp;"|"&amp;Экспликация[Помещение],Экспликация[Название])&amp;"",""),""),_xlpm.rm,IF(BB114="","",IF(_xlpm.ex&lt;&gt;"",". "&amp;_xlpm.ex&amp;IF(Имя_пом="нет"," ("&amp;BB114&amp;")"," (пом. "&amp;BB114&amp;")"),IF(Имя_пом="нет"," ",", пом. ")&amp;BB114)),IF(_xlpm.nm="","",IF(_xlpm.md=2,_xlpm.nm&amp;" шлейф "&amp;AZ114,_xlpm.nm&amp;_xlpm.rm)))))</f>
        <v>Внутренний блок кондиционирования, пом. 004A-K</v>
      </c>
      <c r="BE114" t="str">
        <f t="shared" si="131"/>
        <v>Внутренний блок кондиционирования цокольный этаж Пом. №013.1Б</v>
      </c>
      <c r="BF114">
        <f>IFERROR(_xlfn.XMATCH(A114,Щиты[Щит]),0)</f>
        <v>6</v>
      </c>
      <c r="BG114">
        <f>_xlfn.LET(_xlpm.k,IFERROR(_xlfn.XLOOKUP(A114,Щиты[Щит],Щиты[Листов под вводной узел]),""),IF(_xlpm.k="",1,N(_xlpm.k))*Столбцов_на_лист)</f>
        <v>17</v>
      </c>
      <c r="BH114">
        <f t="shared" si="132"/>
        <v>31</v>
      </c>
      <c r="BI114" t="str">
        <f t="shared" si="133"/>
        <v>линии</v>
      </c>
      <c r="BJ114" s="6">
        <f>IFERROR(N(_xlfn.XLOOKUP(AX114,Коды_код,Коды_квт)),0)</f>
        <v>0</v>
      </c>
      <c r="BK114">
        <f t="shared" si="134"/>
        <v>0</v>
      </c>
      <c r="BL114" t="str">
        <f>IF(B114="","",IF(BC114&lt;&gt;"",IFERROR(_xlfn.XLOOKUP(BC114,Щиты[Щит],Щиты[Руст, кВт]),0),IF(BK114=1,IFERROR(_xlfn.XLOOKUP(A114,Щиты[Щит],Щиты[Руст, кВт]),0),IF(BJ114&gt;0,ROUND(BJ114*MAX(1,N(D114)),3),""))))</f>
        <v/>
      </c>
      <c r="BM114">
        <f t="shared" si="135"/>
        <v>0.16200000000000001</v>
      </c>
      <c r="BN114" s="6">
        <f>IF(B114="","",IF(BC114&lt;&gt;"",IFERROR(_xlfn.XLOOKUP(BC114,Щиты[Щит],Щиты[Руст, кВт]),0),N(BM114)))</f>
        <v>0.16200000000000001</v>
      </c>
      <c r="BO114" t="str">
        <f>IF(B114="","",IFERROR(IF(VLOOKUP(AX114,Потребители_обозначение,8,FALSE)=0,"",VLOOKUP(AX114,Потребители_обозначение,8,FALSE)),""))</f>
        <v/>
      </c>
      <c r="BP114">
        <f t="shared" si="136"/>
        <v>230</v>
      </c>
      <c r="BQ114">
        <f>IF(B114="","",IF(BC114&lt;&gt;"",3,IFERROR(IF(N(VLOOKUP(AX114,Потребители_обозначение,9,FALSE))=0,1,VLOOKUP(AX114,Потребители_обозначение,9,FALSE)),1)))</f>
        <v>1</v>
      </c>
      <c r="BR114">
        <f t="shared" si="137"/>
        <v>1</v>
      </c>
      <c r="BS114" t="str">
        <f>IF(B114="","",_xlfn.LET(_xlpm.bc,IFERROR(IF(VLOOKUP(AX114,Потребители_обозначение,6,FALSE)=0,"",VLOOKUP(AX114,Потребители_обозначение,6,FALSE)&amp;""),""),IF(AND(FK114="да",OR(_xlpm.bc="",_xlpm.bc="мс")),Марка_пож,IF(AND(_xlpm.bc="",BC114&lt;&gt;""),"мс",_xlpm.bc))))</f>
        <v/>
      </c>
      <c r="BT114" t="str">
        <f t="shared" si="138"/>
        <v>мс</v>
      </c>
      <c r="BU114">
        <f>IF(B114="","",_xlfn.LET(_xlpm.cc,IFERROR(N(VLOOKUP(AX114,Потребители_обозначение,7,FALSE)),0),IF(_xlpm.cc&gt;0,_xlpm.cc,IF(BT114="","",IF(N(BR114)=3,5,3)))))</f>
        <v>3</v>
      </c>
      <c r="BV114">
        <f t="shared" si="139"/>
        <v>3</v>
      </c>
      <c r="BW114">
        <f>IFERROR(N(VLOOKUP(AX114,Потребители_обозначение,10,FALSE)),0)</f>
        <v>0</v>
      </c>
      <c r="BX114">
        <f>IFERROR(VLOOKUP(AX114,Потребители_обозначение,5,FALSE),0)</f>
        <v>1</v>
      </c>
      <c r="BY114" s="6" cm="1">
        <f t="array" ref="BY114">IF(B114="","",IF(BC114&lt;&gt;"",IFERROR(_xlfn.XLOOKUP(BC114,Щиты[Щит],Щиты[cos φ]),0.95),IF(BK114=1,IFERROR(_xlfn.XLOOKUP(A114,Щиты[Щит],Щиты[cos φ]),0.95),IF(ISNUMBER(Z114),Z114,IFERROR(IF(BX114=2,_xlfn.IFS(BR114=3,VLOOKUP(BN114,Справочная_двигатели,8,FALSE),BR114=1,VLOOKUP(BN114,Справочная_двигатели,10,TRUE)),IF(AND(Методика="нормы 2026",EQ114="Сил"),0.8,0.95)),0.95)))))</f>
        <v>0.8</v>
      </c>
      <c r="BZ114">
        <f t="shared" si="140"/>
        <v>0</v>
      </c>
      <c r="CA114">
        <f t="shared" si="141"/>
        <v>1</v>
      </c>
      <c r="CB114">
        <f t="shared" si="142"/>
        <v>0</v>
      </c>
      <c r="CC114">
        <f t="shared" si="143"/>
        <v>0</v>
      </c>
      <c r="CD114">
        <f t="shared" si="144"/>
        <v>0</v>
      </c>
      <c r="CE114">
        <f t="shared" si="145"/>
        <v>0</v>
      </c>
      <c r="CF114">
        <f t="shared" si="146"/>
        <v>0</v>
      </c>
      <c r="CG114">
        <f>IF(AX114="",0,_xlfn.LET(_xlpm.v,IFERROR(VLOOKUP(B114,УГО_спр,3,FALSE),IFERROR(VLOOKUP(AX114,УГО_спр,3,FALSE),IFERROR(VLOOKUP(LEFT(AX114,2),УГО_спр,3,FALSE),""))),IF(_xlpm.v="да",30,IF(ISNUMBER(_xlpm.v),_xlpm.v,0))))</f>
        <v>0</v>
      </c>
      <c r="CH114" t="str">
        <f t="shared" si="147"/>
        <v/>
      </c>
      <c r="CI114" t="str">
        <f>_xlfn.LET(_xlpm.k,IFERROR(_xlfn.XLOOKUP(AX114,Коды_код,Коды_утечка)&amp;"",""),IF(_xlpm.k="","дифавтомат",_xlpm.k))</f>
        <v>дифавтомат</v>
      </c>
      <c r="CJ114">
        <f t="shared" si="148"/>
        <v>0</v>
      </c>
      <c r="CK114">
        <f t="shared" si="149"/>
        <v>0</v>
      </c>
      <c r="CL114">
        <f>IF(B114="",0,IFERROR(--VLOOKUP(B114,УГО_спр,4,FALSE),IFERROR(--VLOOKUP(AX114,УГО_спр,4,FALSE),IFERROR(--VLOOKUP(LEFT(AX114,2),УГО_спр,4,FALSE),0))))</f>
        <v>0</v>
      </c>
      <c r="CM114" t="str">
        <f>IF(B114="","",IFERROR(_xlfn.XLOOKUP(AX114,Коды_код,Коды_апп)&amp;"",""))</f>
        <v/>
      </c>
      <c r="CN114" t="str">
        <f t="shared" si="150"/>
        <v/>
      </c>
      <c r="CO114" t="str" cm="1">
        <f t="array" ref="CO114">IF(TRIM(CN114&amp;"")="","",IFERROR(TRIM(INDEX(_xlfn.TEXTSPLIT(CN114&amp;";;;",";"),1)),""))</f>
        <v/>
      </c>
      <c r="CP114" t="str" cm="1">
        <f t="array" ref="CP114">IF(TRIM(CN114&amp;"")="","",IFERROR(TRIM(INDEX(_xlfn.TEXTSPLIT(CN114&amp;";;;",";"),2)),""))</f>
        <v/>
      </c>
      <c r="CQ114" t="str" cm="1">
        <f t="array" ref="CQ114">IF(TRIM(CN114&amp;"")="","",IFERROR(TRIM(INDEX(_xlfn.TEXTSPLIT(CN114&amp;";;;",";"),3)),""))</f>
        <v/>
      </c>
      <c r="CR114">
        <f t="shared" si="151"/>
        <v>0</v>
      </c>
      <c r="CS114" t="str">
        <f>IF(B114="","",_xlfn.LET(_xlpm.t,LOWER(AV114&amp;""),IF(ISNUMBER(SEARCH("dim",_xlpm.t)),"DIM",IF(ISNUMBER(SEARCH("dali",_xlpm.t)),"DALI",IF(OR(ISNUMBER(SEARCH("relay",_xlpm.t)),ISNUMBER(SEARCH("реле",_xlpm.t))),"Relay",IF(ISNUMBER(SEARCH("кнопк",_xlpm.t)),"",IFERROR(_xlfn.XLOOKUP(AX114,Коды_код,Коды_упр)&amp;"","")))))))</f>
        <v/>
      </c>
      <c r="CT114" t="str">
        <f t="shared" si="152"/>
        <v/>
      </c>
      <c r="CU114">
        <f>IF(B114="","",_xlfn.LET(_xlpm.ig,N(P114)+IF(AF114="вручную",0,N(CB114)),_xlpm.n0,IFERROR(VLOOKUP(_xlpm.ig,Автомат_номиналы,2,TRUE),0),_xlpm.mn,MAX(CL114,IF(AF114="вручную",0,N(CE114))),MAX(_xlpm.n0,_xlpm.mn,IF(CR114=1,Мин_автомат_БП,0))))</f>
        <v>6</v>
      </c>
      <c r="CV114">
        <f t="shared" si="153"/>
        <v>1</v>
      </c>
      <c r="CW114" t="str">
        <f t="shared" si="154"/>
        <v>1P</v>
      </c>
      <c r="CX114" t="str">
        <f>_xlfn.LET(_xlpm.cc,UPPER(TRIM(IFERROR(_xlfn.XLOOKUP(AX114,Коды_код,Коды_хар)&amp;"",""))),IF(OR(_xlpm.cc="B",_xlpm.cc="В"),"B",IF(_xlpm.cc="D","D","С")))</f>
        <v>С</v>
      </c>
      <c r="CY114" t="str">
        <f t="shared" si="155"/>
        <v>1P С6А</v>
      </c>
      <c r="CZ114">
        <f t="shared" si="156"/>
        <v>10</v>
      </c>
      <c r="DA114" t="str">
        <f t="shared" si="157"/>
        <v>1P С10А</v>
      </c>
      <c r="DB114" cm="1">
        <f t="array" ref="DB114">IF(DA114="","",_xlfn.LET(_xlpm.t,SUBSTITUTE(SUBSTITUTE(SUBSTITUTE(UPPER(DA114),"С","C"),"А","A"),"В","B"),_xlpm.tk,_xlfn.TEXTSPLIT(_xlpm.t,"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4" t="str">
        <f t="shared" si="158"/>
        <v>ok</v>
      </c>
      <c r="DD114">
        <f t="shared" si="159"/>
        <v>10</v>
      </c>
      <c r="DE114" t="str">
        <f t="shared" si="160"/>
        <v>1P С10А</v>
      </c>
      <c r="DF114">
        <f t="shared" si="161"/>
        <v>0</v>
      </c>
      <c r="DG114">
        <f t="shared" si="162"/>
        <v>0</v>
      </c>
      <c r="DH114">
        <f t="shared" si="163"/>
        <v>0</v>
      </c>
      <c r="DI114">
        <f t="shared" si="164"/>
        <v>0.87685072133174402</v>
      </c>
      <c r="DJ114">
        <f t="shared" si="165"/>
        <v>1</v>
      </c>
      <c r="DK114">
        <f>IF(ISNUMBER(AL114),AL114,К_прокл)</f>
        <v>1</v>
      </c>
      <c r="DL114">
        <f t="shared" si="166"/>
        <v>2</v>
      </c>
      <c r="DM114">
        <f>IFERROR(N(VLOOKUP(BT114,Кабель_обозначение,3,FALSE)),1)</f>
        <v>1</v>
      </c>
      <c r="DN114">
        <f>IFERROR(N(_xlfn.XLOOKUP(A114,Щиты[Щит],Щиты[ΔU до шин, %])),0)</f>
        <v>0.24000000000000002</v>
      </c>
      <c r="DO114" t="str">
        <f>IFERROR(_xlfn.XLOOKUP(A114,Щиты[Щит],Щиты[Zпетли на шинах, Ом]),"")</f>
        <v/>
      </c>
      <c r="DP114">
        <f>IFERROR(N(_xlfn.XLOOKUP(A114,Щиты[Щит],Щиты[ΔU до шин (подбор), %])),0)</f>
        <v>0.36</v>
      </c>
      <c r="DQ114" t="str">
        <f>IFERROR(_xlfn.XLOOKUP(A114,Щиты[Щит],Щиты[Zпетли на шинах (подбор), Ом]),"")</f>
        <v/>
      </c>
      <c r="DR114" t="str">
        <f t="shared" si="167"/>
        <v/>
      </c>
      <c r="DS114">
        <f t="shared" si="168"/>
        <v>52</v>
      </c>
      <c r="DT114">
        <f t="shared" si="169"/>
        <v>2</v>
      </c>
      <c r="DU114">
        <f t="shared" si="170"/>
        <v>0.6</v>
      </c>
      <c r="DV114" s="6">
        <f>IF(B114="","",IF(IFERROR(VLOOKUP(AX114,УГО_спр,2,FALSE),"")="Светильник",3,4)+IF(Методика="нормы 2026",MIN(0.5,MAX(0,N(Q114)-100)*0.005),0))</f>
        <v>4</v>
      </c>
      <c r="DW114" cm="1">
        <f t="array" ref="DW114">IF(OR(B114="",BT114="",DM114&lt;&gt;1),"",_xlfn.LET(_xlpm.sz,Iдоп_S,_xlpm.t_,CHOOSE(DL114,Iдоп_1ж,Iдоп_2ж,Iдоп_3ж)*DJ114*DK114,_xlpm.inn,N(DD114),_xlpm.smin,MAX(1.5,BW114),_xlpm.L_,N(Q114)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114)*(_xlpm.rho*_xlpm.L_/_xlpm.sz*N(BY114)+_xlpm.xx*_xlpm.L_*N(DU114)/1000)*N(P114)/((Uн_лин/SQRT(3))*1000)*100,999),_xlpm.kz,IF(OR(DG114=1,NOT(ISNUMBER(DQ114)),_xlpm.L_=0,_xlpm.inn=0),1,IFERROR(--(c_min*(Uн_лин*1000/SQRT(3))/(DQ114+2*ρкз_Cu*_xlpm.L_/_xlpm.sz)&gt;=GY114*_xlpm.inn),0)),_xlpm.ok,IFERROR((_xlpm.sz&gt;=_xlpm.smin)*(_xlpm.t_&gt;=_xlpm.inn)*IF(_xlpm.L_&gt;0,(_xlpm.du_+DP114&lt;=DV114+0.00001),1)*_xlpm.kz,0),_xlpm.r_,_xlfn._xlws.FILTER(_xlpm.sz,_xlpm.ok,"не подобрано"),INDEX(_xlpm.r_,1)))</f>
        <v>1.5</v>
      </c>
      <c r="DX114">
        <f t="shared" si="171"/>
        <v>1.5</v>
      </c>
      <c r="DY114" cm="1">
        <f t="array" ref="DY114">IF(OR(B114="",BT114="",DM114&lt;&gt;1),"",_xlfn.LET(_xlpm.sz,Iдоп_S,_xlpm.t_,CHOOSE(DL114,Iдоп_1ж,Iдоп_2ж,Iдоп_3ж)*DJ114*DK114,_xlpm.ok,IFERROR((_xlpm.sz&gt;=MAX(1.5,BW114))*(_xlpm.t_&gt;=N(DD114)),0),_xlpm.r_,_xlfn._xlws.FILTER(_xlpm.sz,_xlpm.ok,""),INDEX(_xlpm.r_,1)))</f>
        <v>1.5</v>
      </c>
      <c r="DZ114" s="6" cm="1">
        <f t="array" ref="DZ114">IFERROR(ROUNDUP(N(DT114)*(_xlfn.XLOOKUP(DY114,INDEX(Кабель_сопротивление,0,1),INDEX(Кабель_сопротивление,0,3))*N(Q114)/DY114*N(BY114)+_xlfn.XLOOKUP(DY114,INDEX(Кабель_сопротивление,0,1),INDEX(Кабель_сопротивление,0,2))*N(Q114)*N(DU114)/1000)*N(P114)/((Uн_лин/SQRT(3))*1000)*100,2),"")</f>
        <v>0.5</v>
      </c>
      <c r="EA114">
        <f>IFERROR(2*ρкз_Cu*N(Q114)/DY114,"")</f>
        <v>1.8936000000000002</v>
      </c>
      <c r="EB114">
        <f>IFERROR(VLOOKUP(DX114,Кабель_сопротивление,3,FALSE),"")</f>
        <v>2.2499999999999999E-2</v>
      </c>
      <c r="EC114">
        <f>IFERROR(VLOOKUP(DX114,Кабель_сопротивление,2,FALSE),"")</f>
        <v>0.11</v>
      </c>
      <c r="ED114">
        <f t="shared" si="172"/>
        <v>18</v>
      </c>
      <c r="EE114">
        <f t="shared" si="173"/>
        <v>0</v>
      </c>
      <c r="EF114">
        <f t="shared" si="174"/>
        <v>1.1426487267875929</v>
      </c>
      <c r="EG114" s="6">
        <f>IFERROR(ROUNDUP(EF114/((Uн_лин/SQRT(3))*1000)*100,2),"")</f>
        <v>0.5</v>
      </c>
      <c r="EH114" t="str">
        <f>IFERROR(VLOOKUP(BT114,Кабель_обозначение,2,FALSE),"")</f>
        <v>ВВГнг(А)-LS</v>
      </c>
      <c r="EI114" t="str">
        <f t="shared" si="175"/>
        <v>ВВГнг(А)-LS (3х1,5)</v>
      </c>
      <c r="EJ114" t="str">
        <f t="shared" si="176"/>
        <v>ВВГнг(А)-LS (3х1,5)
L=54-0,5%</v>
      </c>
      <c r="EK114">
        <f>IFERROR(2*ρкз_Cu*Q114/DX114,"")</f>
        <v>1.8936000000000002</v>
      </c>
      <c r="EL114">
        <f t="shared" si="177"/>
        <v>0.63</v>
      </c>
      <c r="EM114" s="6" t="str">
        <f>IFERROR(IF(OR(B114="",NOT(ISNUMBER(DX114)),N(Q114)=0),"",_xlfn.XLOOKUP(A114,Щиты[Щит],Щиты[Zпетли на шинах, Ом])+EK114),"")</f>
        <v/>
      </c>
      <c r="EN114" s="6" t="str">
        <f>IF(ISNUMBER(EM114),c_min*(Uн_лин*1000/SQRT(3))/EM114,"")</f>
        <v/>
      </c>
      <c r="EO114" s="6" t="str">
        <f>IFERROR(IF(OR(B114="",NOT(ISNUMBER(DX114))),"",1.05*(Uн_лин*1000/SQRT(3))/(_xlfn.XLOOKUP(A114,Щиты[Щит],Щиты[Zmax на шинах, Ом])+EL114)/1000),"")</f>
        <v/>
      </c>
      <c r="EP114" s="6" t="str">
        <f>IF(B114="","",IF(ISNUMBER(Y114),"Сил",IF(IFERROR(_xlfn.XLOOKUP(AX114,Коды_код,Коды_группа)&amp;"","")="","Быт",_xlfn.XLOOKUP(AX114,Коды_код,Коды_группа)&amp;"")))</f>
        <v>Сил</v>
      </c>
      <c r="EQ114" s="6" t="str">
        <f t="shared" si="178"/>
        <v>Сил</v>
      </c>
      <c r="ER114" s="6">
        <f>IF(EQ114="Щит","щит",IF(EQ114="","",IF(EQ114="Быт",IFERROR(_xlfn.XLOOKUP(A114,Щиты[Щит],Щиты[Кс быт]),1),IF(EQ114="Сил",IF(ISNUMBER(Y114),Y114,IF(Методика="нормы 2026",IFERROR(_xlfn.XLOOKUP(A114,Щиты[Щит],Щиты[Кс силовых (табл. 7.5)]),1),1)),IF(OR(EQ114="Пост",EQ114="Отоп"),1,IF(EQ114="ВНГ",0.7,0))))))</f>
        <v>0.5</v>
      </c>
      <c r="ES114">
        <f t="shared" si="179"/>
        <v>1</v>
      </c>
      <c r="ET114">
        <f t="shared" si="180"/>
        <v>0.16200000000000001</v>
      </c>
      <c r="EU114">
        <f t="shared" si="181"/>
        <v>0</v>
      </c>
      <c r="EV114">
        <f t="shared" si="182"/>
        <v>8.1000000000000003E-2</v>
      </c>
      <c r="EW114">
        <f t="shared" si="183"/>
        <v>0</v>
      </c>
      <c r="EX114">
        <f t="shared" si="184"/>
        <v>0</v>
      </c>
      <c r="EY114">
        <f t="shared" si="185"/>
        <v>0</v>
      </c>
      <c r="EZ114">
        <f t="shared" si="186"/>
        <v>0.16200000000000001</v>
      </c>
      <c r="FA114">
        <f t="shared" si="187"/>
        <v>0.12960000000000002</v>
      </c>
      <c r="FB114">
        <f t="shared" si="188"/>
        <v>0.16200000000000001</v>
      </c>
      <c r="FC114" t="str">
        <f t="shared" si="189"/>
        <v/>
      </c>
      <c r="FD114" t="str">
        <f>IF(B114="","",IF(CA114=0,IF(AW114=1,"",FF113),IF(OR(N(CV114)&gt;=3,N(BR114)&gt;=3),"L1,L2,L3",IFERROR(_xlfn.TEXTBEFORE(_xlfn.TEXTAFTER(_xlfn.XLOOKUP(A114,Щиты[Щит],Щиты[_фазы авто]),";"&amp;AW114&amp;":"),";"),"L1"))))</f>
        <v>L3</v>
      </c>
      <c r="FE114" t="str">
        <f t="shared" si="190"/>
        <v>L3</v>
      </c>
      <c r="FF114" t="str">
        <f t="shared" si="191"/>
        <v>L3</v>
      </c>
      <c r="FG114" cm="1">
        <f t="array" ref="FG114">IFERROR(IF(BX114=2,_xlfn.IFS(BR114=3,VLOOKUP(BN114,Справочная_двигатели,3,FALSE),BR114=1,VLOOKUP(BN114,Справочная_двигатели,5,TRUE)),0),0)</f>
        <v>0</v>
      </c>
      <c r="FH114">
        <f>IFERROR(IF(BX114=3,VLOOKUP(BN114,Справочная_ЛЭД,2,TRUE),0),0)</f>
        <v>0</v>
      </c>
      <c r="FI114" s="6">
        <f t="shared" si="192"/>
        <v>0</v>
      </c>
      <c r="FJ114" t="str" cm="1">
        <f t="array" ref="FJ114">IF(B114="","",IFERROR(INDEX({"I особая","I","II","III"},MATCH(TRIM(AC114&amp;""),{"I особая","I","II","III"},0)),"III"))</f>
        <v>II</v>
      </c>
      <c r="FK114" t="str">
        <f>IF(B114="","",IF(TRIM(AD114&amp;"")&lt;&gt;"",IF(LOWER(TRIM(AD114&amp;""))="да","да","нет"),IF(IFERROR(_xlfn.XLOOKUP(AX114,Коды_код,Коды_пожарная),"")="да","да","нет")))</f>
        <v>нет</v>
      </c>
      <c r="FL114" t="str">
        <f t="shared" si="193"/>
        <v/>
      </c>
      <c r="FM114" t="str">
        <f t="shared" si="194"/>
        <v>основная</v>
      </c>
      <c r="FN114">
        <f t="shared" si="195"/>
        <v>1</v>
      </c>
      <c r="FO114" t="str" cm="1">
        <f t="array" ref="FO114">IF(B114="","",_xlfn.LET(_xlpm.t,IFERROR(_xlfn.XLOOKUP(1,(Шины[Шина]=FM114)*(((Шины[Щит]=A114)+(Шины[Щит]=""))&gt;0),Шины[Тип]),"")&amp;"",IF(_xlpm.t&lt;&gt;"",_xlpm.t,IF(ISNUMBER(SEARCH("ИБП",FM114)),"ИБП",IF(ISNUMBER(SEARCH("ДГУ",FM114)),"ДГУ","Ввод "&amp;FN114)))))</f>
        <v>Ввод 1</v>
      </c>
      <c r="FP114" t="str">
        <f t="shared" si="196"/>
        <v>Ввод 1</v>
      </c>
      <c r="FQ114" t="str">
        <f>IF(B114="","",IF(OR(FO114="ИБП",FO114="ДГУ"),"I особая",IF(FO114="Одиночная","III",_xlfn.XLOOKUP(A114,Щиты[Щит],Щиты[Категория шины «Ввод»],"III"))))</f>
        <v>II</v>
      </c>
      <c r="FR114">
        <f>IF(B114="",0,IFERROR(MATCH(FJ114,{"III","II","I","I особая"},0),1))</f>
        <v>2</v>
      </c>
      <c r="FS114">
        <f t="shared" si="197"/>
        <v>2</v>
      </c>
      <c r="FT114" t="str">
        <f>IF(B114="","",IF(FR114&gt;IFERROR(MATCH(FQ114,{"III","II","I","I особая"},0),1),"НЕ ОБЕСПЕЧЕНА","ОК"))</f>
        <v>ОК</v>
      </c>
      <c r="FU114" t="str">
        <f>IF(A114="","",_xlfn.XLOOKUP(A114,Щиты[Щит],Щиты[Путь],""))</f>
        <v>|ГРЩ-ЖД|ЩОВ-01|</v>
      </c>
      <c r="FV114" t="str">
        <f>IF(B114="","",IF(AE114&lt;&gt;"",AE114,IF(IFERROR(_xlfn.XLOOKUP(AX114,Коды_код,Коды_вид)&amp;"","")="","Прочее",_xlfn.XLOOKUP(AX114,Коды_код,Коды_вид)&amp;"")))</f>
        <v>Кондиционирование и увлажнение</v>
      </c>
      <c r="FW114">
        <f>IF(BH114="","",INT((BH114-1)/Столбцов_на_лист)+1)</f>
        <v>2</v>
      </c>
      <c r="FX114" t="str">
        <f t="shared" si="198"/>
        <v>ВВГнг(А)-LS (3х1,5) L=54-0,5%</v>
      </c>
      <c r="FY114">
        <f t="shared" si="199"/>
        <v>0.16200000000000001</v>
      </c>
      <c r="FZ114">
        <f t="shared" si="200"/>
        <v>0.88</v>
      </c>
      <c r="GA114">
        <f t="shared" si="201"/>
        <v>1</v>
      </c>
      <c r="GB114">
        <f t="shared" si="202"/>
        <v>0</v>
      </c>
      <c r="GC114">
        <f t="shared" si="203"/>
        <v>1</v>
      </c>
      <c r="GD114">
        <f>IF(BH114="","",IF(AND(CA114=1,GC114=1),COUNTIFS(A$3:A114,A114,CA$3:CA114,1,GC$3:GC114,1),IF(OR(OR(AW114=1,A114&lt;&gt;A113),AF114="вручную",GC114=0),"",IF(AW114=1,"",GE113))))</f>
        <v>12</v>
      </c>
      <c r="GE114">
        <f t="shared" si="204"/>
        <v>12</v>
      </c>
      <c r="GF114">
        <f>IF(B114="","",IFERROR(LOOKUP(INDEX(CHOOSE(DL114,Iдоп_1ж,Iдоп_2ж,Iдоп_3ж),MATCH(DX114,Iдоп_S,0))*DJ114*DK114,{6,10,16,20,25,32,40,50,63,80,100,125,160,200,250,315,400,500,630}),""))</f>
        <v>16</v>
      </c>
      <c r="GG114" t="str">
        <f t="shared" si="205"/>
        <v>QF12</v>
      </c>
      <c r="GH114" t="str">
        <f t="shared" si="206"/>
        <v>QF12</v>
      </c>
      <c r="GI114" t="str">
        <f t="shared" si="207"/>
        <v/>
      </c>
      <c r="GJ114">
        <f t="shared" si="208"/>
        <v>0</v>
      </c>
      <c r="GK114" t="str">
        <f>IF(OR(AG114="",AG114="-"),"",IFERROR(VLOOKUP(AG114,Модули_спр,2,FALSE),"R"))</f>
        <v/>
      </c>
      <c r="GL114" t="str">
        <f>IF(GK114="","",GK114&amp;"."&amp;COUNTIFS(A$3:A114,A114,GK$3:GK114,GK114))</f>
        <v/>
      </c>
      <c r="GM114" t="str">
        <f t="shared" si="209"/>
        <v/>
      </c>
      <c r="GN114" t="str">
        <f t="shared" si="210"/>
        <v/>
      </c>
      <c r="GO114" t="str">
        <f t="shared" si="211"/>
        <v/>
      </c>
      <c r="GP114" t="str">
        <f t="shared" si="212"/>
        <v/>
      </c>
      <c r="GQ114">
        <f t="shared" si="213"/>
        <v>1</v>
      </c>
      <c r="GR114" t="str">
        <f>IF(GQ114=1,"XT"&amp;COUNTIFS(A$3:A114,A114,GQ$3:GQ114,1),"")</f>
        <v>XT12</v>
      </c>
      <c r="GS114" t="str">
        <f t="shared" si="214"/>
        <v/>
      </c>
      <c r="GT114" t="str">
        <f t="shared" si="215"/>
        <v>QF12</v>
      </c>
      <c r="GU114" t="str">
        <f t="shared" si="216"/>
        <v/>
      </c>
      <c r="GV114" t="str">
        <f t="shared" si="217"/>
        <v>ok</v>
      </c>
      <c r="GW114" t="str">
        <f>IF(OR(GO114="",GM114=""),"",IF(GO114&gt;IFERROR(VLOOKUP(GN114,Модули_спр,3,FALSE),99),"ЛИШНИЙ КАНАЛ",IF(AND(AH114&lt;&gt;"=",COUNTIFS(Линии[_модуль гр.],GM114,Линии[Канал (итог)],GO114,Линии[Канал],"&lt;&gt;=",Линии[Щит],A114)&gt;1),"ДУБЛЬ КАНАЛА","")))</f>
        <v/>
      </c>
      <c r="GX114" s="6" t="str">
        <f t="shared" si="218"/>
        <v/>
      </c>
      <c r="GY114">
        <f t="shared" si="219"/>
        <v>10</v>
      </c>
      <c r="GZ114" t="str">
        <f t="shared" si="220"/>
        <v/>
      </c>
      <c r="HA114" t="str">
        <f>IF(AND(B114="",GT114=""),"",_xlfn.TEXTJOIN("; ",TRUE,IF(AND(B114&lt;&gt;"",FE114=""),"нет фазы",""),IF(AND(B114&lt;&gt;"",N(FY114)=0,EQ114&lt;&gt;"Нет"),"нет мощности",""),IF(AND(GS114&lt;&gt;"",COUNTIFS(Линии[Щит],A114,Линии[Клемма (итог)],GS114)&gt;1),"дубль клеммы "&amp;GS114,""),IF(AND(GV114&lt;&gt;"",GV114&lt;&gt;"ok"),GV114,""),IF(GW114&lt;&gt;"",GW114,""),IF(AND(N(BV114)&gt;=4,N(BR114)=1),BV114&amp;" жил на 1 фазе",""),IF(AND(AX114="R",CA114=1,OR(N(CK114)=0,N(CK114)&gt;30)),"розетка без дифзащиты до 30 мА",""),IFERROR(IF(AND(ISNUMBER(R114),R114&gt;DV114),"потери "&amp;FIXED(R114,1)&amp;" % &gt; "&amp;DV114&amp;" %",""),""),IFERROR(IF(LEFT(GZ114,4)="мало","Iкз мало — отключение &gt; 0,4 с",""),""),IF(AND(B114&lt;&gt;"",BH114=""),"не на схеме",""),IF(AND(CA114=0,B114&lt;&gt;"",FE114&lt;&gt;"",IF(AW114=1,"",FF113)&lt;&gt;"",FE114&lt;&gt;IF(AW114=1,"",FF113)),"фаза не как у автомата группы ("&amp;IF(AW114=1,"",FF113)&amp;")","")))</f>
        <v/>
      </c>
      <c r="HB114" s="6">
        <f>IF(OR(CA114=0,DA114=""),"",_xlfn.LET(_xlpm.t,IFERROR(_xlfn.XLOOKUP(DA114,Каталог!$U$4:$U$500,Каталог!$G$4:$G$500),""),_xlpm.k,SEARCH("кА",_xlpm.t),IFERROR(--TRIM(RIGHT(SUBSTITUTE(MID(_xlpm.t,MAX(1,_xlpm.k-4),_xlpm.k-MAX(1,_xlpm.k-4))," ",REPT(" ",9)),5)),"")))</f>
        <v>6</v>
      </c>
      <c r="HC114" t="str">
        <f>IF(OR(HB114="",CA114=0),"",IF(_xlfn.XLOOKUP(A114,Щиты[Щит],Щиты[Iкз max на шинах, кА],"")="","",IF(HB114&lt;_xlfn.XLOOKUP(A114,Щиты[Щит],Щиты[Iкз max на шинах, кА]),"Icu "&amp;HB114&amp;" кА &lt; Iкз max","ok")))</f>
        <v/>
      </c>
      <c r="HD114" t="str">
        <f t="shared" si="221"/>
        <v/>
      </c>
      <c r="HE114" t="str">
        <f t="shared" si="222"/>
        <v>QF12</v>
      </c>
      <c r="HF114" t="str">
        <f t="shared" si="223"/>
        <v>QF12|кабель ВВГнг(А)-LS (3х1,5) → Внутренний блок кондиционирования цокольный этаж Пом. №013.1Б</v>
      </c>
      <c r="HG114" t="str" cm="1">
        <f t="array" ref="HG114">IF(HF114="","",_xlfn.LET(_xlpm.nd,_xlfn.TEXTSPLIT(HF114,"|"),IF(COLUMNS(_xlpm.nd)&gt;1,A114&amp;"¦"&amp;INDEX(_xlpm.nd,1)&amp;"¦"&amp;INDEX(_xlpm.nd,2),"")))</f>
        <v>ЩОВ-01¦QF12¦кабель ВВГнг(А)-LS (3х1,5) → Внутренний блок кондиционирования цокольный этаж Пом. №013.1Б</v>
      </c>
      <c r="HH114" t="str">
        <f t="shared" si="224"/>
        <v>K.0.004A-K.0.005A¦Внутренний блок кондиционирования цокольный этаж Пом. №013.1Б</v>
      </c>
      <c r="HI114" t="str" cm="1">
        <f t="array" ref="HI114">IF(HF114="","",_xlfn.LET(_xlpm.nd,_xlfn.TEXTSPLIT(HF114,"|"),IF(COLUMNS(_xlpm.nd)&gt;2,A114&amp;"¦"&amp;INDEX(_xlpm.nd,2)&amp;"¦"&amp;INDEX(_xlpm.nd,3),"")))</f>
        <v/>
      </c>
      <c r="HJ114" t="str">
        <f t="shared" si="225"/>
        <v/>
      </c>
      <c r="HK114" t="str" cm="1">
        <f t="array" ref="HK114">IF(HF114="","",_xlfn.LET(_xlpm.nd,_xlfn.TEXTSPLIT(HF114,"|"),IF(COLUMNS(_xlpm.nd)&gt;3,A114&amp;"¦"&amp;INDEX(_xlpm.nd,3)&amp;"¦"&amp;INDEX(_xlpm.nd,4),"")))</f>
        <v/>
      </c>
      <c r="HL114" t="str">
        <f t="shared" si="226"/>
        <v/>
      </c>
      <c r="HM114" t="str" cm="1">
        <f t="array" ref="HM114">IF(HF114="","",_xlfn.LET(_xlpm.nd,_xlfn.TEXTSPLIT(HF114,"|"),IF(COLUMNS(_xlpm.nd)&gt;4,A114&amp;"¦"&amp;INDEX(_xlpm.nd,4)&amp;"¦"&amp;INDEX(_xlpm.nd,5),"")))</f>
        <v/>
      </c>
      <c r="HN114" t="str">
        <f t="shared" si="227"/>
        <v/>
      </c>
      <c r="HO114" t="str" cm="1">
        <f t="array" ref="HO114">IF(HF114="","",_xlfn.LET(_xlpm.nd,_xlfn.TEXTSPLIT(HF114,"|"),IF(COLUMNS(_xlpm.nd)&gt;5,A114&amp;"¦"&amp;INDEX(_xlpm.nd,5)&amp;"¦"&amp;INDEX(_xlpm.nd,6),"")))</f>
        <v/>
      </c>
      <c r="HP114" t="str">
        <f t="shared" si="228"/>
        <v/>
      </c>
      <c r="HQ114" t="str" cm="1">
        <f t="array" ref="HQ114">IF(HF114="","",_xlfn.LET(_xlpm.nd,_xlfn.TEXTSPLIT(HF114,"|"),IF(COLUMNS(_xlpm.nd)&gt;6,A114&amp;"¦"&amp;INDEX(_xlpm.nd,6)&amp;"¦"&amp;INDEX(_xlpm.nd,7),"")))</f>
        <v/>
      </c>
      <c r="HR114" t="str">
        <f t="shared" si="229"/>
        <v/>
      </c>
      <c r="HS114" t="str">
        <f t="shared" si="230"/>
        <v/>
      </c>
      <c r="HT114" t="str">
        <f t="shared" si="231"/>
        <v>QF12</v>
      </c>
      <c r="HU114">
        <f t="shared" si="232"/>
        <v>0</v>
      </c>
      <c r="HV114">
        <f t="shared" si="233"/>
        <v>0</v>
      </c>
      <c r="HW114" t="str">
        <f t="shared" si="234"/>
        <v/>
      </c>
      <c r="HX114" t="str">
        <f t="shared" si="235"/>
        <v/>
      </c>
      <c r="HY114" t="str">
        <f t="shared" si="236"/>
        <v/>
      </c>
      <c r="HZ114" t="str">
        <f t="shared" si="237"/>
        <v/>
      </c>
      <c r="IA114">
        <f>IF(B114="","",IFERROR(VLOOKUP(B114,УГО_спр,2,FALSE),IFERROR(VLOOKUP(AX114,УГО_спр,2,FALSE),IFERROR(VLOOKUP(LEFT(AX114,2),УГО_спр,2,FALSE),""))))</f>
        <v>0</v>
      </c>
      <c r="IB114" t="str">
        <f>IF(B114="","",IF(OR(IA114="",IA114=0),"BOX",IFERROR(IF(VLOOKUP(IA114,УГО_блоки,3,FALSE)&amp;""&lt;&gt;"",VLOOKUP(IA114,УГО_блоки,3,FALSE),VLOOKUP(IA114,УГО_блоки,2,FALSE)),IA114)))</f>
        <v>BOX</v>
      </c>
      <c r="IC114">
        <f t="shared" si="238"/>
        <v>1</v>
      </c>
      <c r="ID114" t="str">
        <f>IF(DA114="","",IF(COUNTIF(DA$3:DA114,DA114)=1,MAX(ID$2:ID113)+1,""))</f>
        <v/>
      </c>
      <c r="IE114" t="str">
        <f>IF(CO114="","",IF(COUNTIF(CO$3:CO114,CO114)+COUNTIF(CP$2:CP113,CO114)+COUNTIF(CQ$2:CQ113,CO114)=1,MAX(IE$2:IG113)+1,""))</f>
        <v/>
      </c>
      <c r="IF114" t="str">
        <f>IF(CP114="","",IF(COUNTIF(CO$3:CO114,CP114)+COUNTIF(CP$3:CP114,CP114)+COUNTIF(CQ$2:CQ113,CP114)=1,MAX(IE$2:IG113,IE114)+1,""))</f>
        <v/>
      </c>
      <c r="IG114" t="str">
        <f>IF(CQ114="","",IF(COUNTIF(CO$3:CO114,CQ114)+COUNTIF(CP$3:CP114,CQ114)+COUNTIF(CQ$3:CQ114,CQ114)=1,MAX(IE$2:IG113,IE114,IF114)+1,""))</f>
        <v/>
      </c>
      <c r="IH114" t="str">
        <f t="shared" si="239"/>
        <v>3х1,5</v>
      </c>
      <c r="II114" t="str">
        <f>IF(IH114="","",IF(COUNTIF(IH$3:IH114,IH114)=1,MAX(II$2:II113)+1,""))</f>
        <v/>
      </c>
      <c r="IJ114" t="str">
        <f>IF(GL114="","",COUNTIF(GL$3:GL114,"?*"))</f>
        <v/>
      </c>
      <c r="IK114" t="str">
        <f>IF(OR(GL114="",GN114=""),"",IF(COUNTIFS(GL$3:GL114,"?*",GN$3:GN114,GN114)=1,MAX(IK$2:IK113)+1,""))</f>
        <v/>
      </c>
      <c r="IL114">
        <f t="shared" si="240"/>
        <v>0</v>
      </c>
      <c r="IM114">
        <f>IF(B114="","",COUNTIF(B$3:B114,"?*"))</f>
        <v>112</v>
      </c>
      <c r="IN114">
        <f>IF(GQ114&lt;&gt;1,0,_xlfn.LET(_xlpm.k,MAX(IFERROR(--VLOOKUP(B114,УГО_спр,5,FALSE),0),IFERROR(--VLOOKUP(AX114,УГО_спр,5,FALSE),0),IFERROR(--VLOOKUP(LEFT(AX114,2),УГО_спр,5,FALSE),0)),IF(_xlpm.k&gt;0,_xlpm.k,IF(IFERROR(--LEFT(SUBSTITUTE(IH114,"x","х"),FIND("х",SUBSTITUTE(IH114,"x","х"))-1),3)&gt;3,Каталог!$S$9,1))))</f>
        <v>1</v>
      </c>
      <c r="IO114">
        <f t="shared" si="241"/>
        <v>0</v>
      </c>
      <c r="IP114" t="str">
        <f t="shared" si="242"/>
        <v>авто</v>
      </c>
      <c r="IQ114" t="str">
        <f t="shared" si="243"/>
        <v/>
      </c>
      <c r="IR114">
        <f t="shared" si="244"/>
        <v>0</v>
      </c>
      <c r="IS114">
        <f t="shared" si="245"/>
        <v>1</v>
      </c>
    </row>
    <row r="115" spans="1:253" x14ac:dyDescent="0.3">
      <c r="A115" t="s">
        <v>747</v>
      </c>
      <c r="B115" t="s">
        <v>1385</v>
      </c>
      <c r="C115" t="s">
        <v>1636</v>
      </c>
      <c r="D115">
        <v>1</v>
      </c>
      <c r="E115">
        <v>0.16200000000000001</v>
      </c>
      <c r="G115">
        <v>10</v>
      </c>
      <c r="H115" t="str">
        <f>Линии[[#This Row],[_авто утечка]]</f>
        <v/>
      </c>
      <c r="I115" t="str">
        <f>Линии[[#This Row],[_авто управление]]</f>
        <v/>
      </c>
      <c r="J115" t="str">
        <f>Линии[[#This Row],[_авто аппараты]]</f>
        <v/>
      </c>
      <c r="K115">
        <v>1.5</v>
      </c>
      <c r="L115">
        <v>40</v>
      </c>
      <c r="M115" t="str">
        <f>Линии[[#This Row],[_авто фаза]]</f>
        <v>L1</v>
      </c>
      <c r="N115" t="s">
        <v>486</v>
      </c>
      <c r="O115" t="str">
        <f t="shared" si="123"/>
        <v/>
      </c>
      <c r="P115" s="6" cm="1">
        <f t="array" ref="P115">IF(B115="","",IF(BC115&lt;&gt;"",IFERROR(_xlfn.XLOOKUP(BC115,Щиты[Щит],Щиты[Iр, А]),""),IF(BK115=1,IFERROR(_xlfn.XLOOKUP(A115,Щиты[Щит],Щиты[Iр, А]),""),IFERROR(_xlfn.IFS(BR115=1,BN115/((Uн_лин/SQRT(3))*BY115),BR115=3,BN115/(SQRT(3)*Uн_лин*BY115)),""))))</f>
        <v>0.87685072133174402</v>
      </c>
      <c r="Q115" s="7">
        <f>IF(B115="","",IFERROR(IF(VLOOKUP(AX115,Потребители_обозначение,4,FALSE)=1,VLOOKUP(AX115,Потребители_обозначение,3,FALSE)*(D115*2-1)+DS115+VLOOKUP(AZ115,Этаж_обозначение,3,FALSE)+VLOOKUP(AZ115,Этаж_обозначение,4,FALSE),VLOOKUP(AX115,Потребители_обозначение,3,FALSE)*(D115*2-1)+DS115),DS115))</f>
        <v>42</v>
      </c>
      <c r="R115" s="6">
        <f t="shared" si="124"/>
        <v>0.63</v>
      </c>
      <c r="S115" t="str">
        <f t="shared" si="125"/>
        <v>ВВГнг(А)-LS (3х1,5)</v>
      </c>
      <c r="T115" t="str">
        <f>IF(BH115="","",IF(BI115="вводной узел","узел ","")&amp;"л."&amp;(INT((BH115-1)/Столбцов_на_лист)+1)&amp;" / "&amp;(MOD(BH115-1,Столбцов_на_лист)+1))</f>
        <v>л.2 / 15</v>
      </c>
      <c r="V115">
        <v>1</v>
      </c>
      <c r="W115">
        <v>230</v>
      </c>
      <c r="X115" t="s">
        <v>600</v>
      </c>
      <c r="Y115">
        <v>0.5</v>
      </c>
      <c r="AC115" t="s">
        <v>815</v>
      </c>
      <c r="AE115" t="s">
        <v>578</v>
      </c>
      <c r="AI115">
        <v>32</v>
      </c>
      <c r="AJ115" t="s">
        <v>11</v>
      </c>
      <c r="AK115">
        <v>3</v>
      </c>
      <c r="AM115">
        <v>21</v>
      </c>
      <c r="AN115">
        <v>21</v>
      </c>
      <c r="AP115">
        <v>1</v>
      </c>
      <c r="AW115" cm="1">
        <f t="array" ref="AW115">ROW()-ROW(Линии[#Headers])</f>
        <v>113</v>
      </c>
      <c r="AX115" s="6" t="str">
        <f t="shared" si="126"/>
        <v>K</v>
      </c>
      <c r="AY115" t="str">
        <f t="shared" si="127"/>
        <v>0.005Б.1</v>
      </c>
      <c r="AZ115" t="str">
        <f t="shared" si="128"/>
        <v>0</v>
      </c>
      <c r="BA115" t="str">
        <f t="shared" si="129"/>
        <v>005Б.1</v>
      </c>
      <c r="BB115" t="str">
        <f t="shared" si="130"/>
        <v>005Б</v>
      </c>
      <c r="BC115" t="str">
        <f>IF(U115&lt;&gt;"",U115,IF(AND(B115&lt;&gt;"",B115&lt;&gt;A115,ISNUMBER(_xlfn.XMATCH(B115,Щиты[Щит]))),B115,""))</f>
        <v/>
      </c>
      <c r="BD115" t="str" cm="1">
        <f t="array" ref="BD115">IF(B115="","",IF(BC115&lt;&gt;"","Щит "&amp;BC115,_xlfn.LET(_xlpm.nm,IFERROR(_xlfn.XLOOKUP(AX115,Коды_код,Коды_имя)&amp;"",""),_xlpm.md,IFERROR(N(_xlfn.XLOOKUP(AX115,Коды_код,Коды_режим)),1),_xlpm.ex,IF(Имя_режим="по экспликации",IFERROR(_xlfn.XLOOKUP(AZ115&amp;"|"&amp;BB115,Экспликация[Этаж]&amp;"|"&amp;Экспликация[Помещение],Экспликация[Название])&amp;"",""),""),_xlpm.rm,IF(BB115="","",IF(_xlpm.ex&lt;&gt;"",". "&amp;_xlpm.ex&amp;IF(Имя_пом="нет"," ("&amp;BB115&amp;")"," (пом. "&amp;BB115&amp;")"),IF(Имя_пом="нет"," ",", пом. ")&amp;BB115)),IF(_xlpm.nm="","",IF(_xlpm.md=2,_xlpm.nm&amp;" шлейф "&amp;AZ115,_xlpm.nm&amp;_xlpm.rm)))))</f>
        <v>Внутренний блок кондиционирования, пом. 005Б</v>
      </c>
      <c r="BE115" t="str">
        <f t="shared" si="131"/>
        <v>Внутренний блок кондиционирования цокольный этаж Пом. №005Б</v>
      </c>
      <c r="BF115">
        <f>IFERROR(_xlfn.XMATCH(A115,Щиты[Щит]),0)</f>
        <v>6</v>
      </c>
      <c r="BG115">
        <f>_xlfn.LET(_xlpm.k,IFERROR(_xlfn.XLOOKUP(A115,Щиты[Щит],Щиты[Листов под вводной узел]),""),IF(_xlpm.k="",1,N(_xlpm.k))*Столбцов_на_лист)</f>
        <v>17</v>
      </c>
      <c r="BH115">
        <f t="shared" si="132"/>
        <v>32</v>
      </c>
      <c r="BI115" t="str">
        <f t="shared" si="133"/>
        <v>линии</v>
      </c>
      <c r="BJ115" s="6">
        <f>IFERROR(N(_xlfn.XLOOKUP(AX115,Коды_код,Коды_квт)),0)</f>
        <v>0</v>
      </c>
      <c r="BK115">
        <f t="shared" si="134"/>
        <v>0</v>
      </c>
      <c r="BL115" t="str">
        <f>IF(B115="","",IF(BC115&lt;&gt;"",IFERROR(_xlfn.XLOOKUP(BC115,Щиты[Щит],Щиты[Руст, кВт]),0),IF(BK115=1,IFERROR(_xlfn.XLOOKUP(A115,Щиты[Щит],Щиты[Руст, кВт]),0),IF(BJ115&gt;0,ROUND(BJ115*MAX(1,N(D115)),3),""))))</f>
        <v/>
      </c>
      <c r="BM115">
        <f t="shared" si="135"/>
        <v>0.16200000000000001</v>
      </c>
      <c r="BN115" s="6">
        <f>IF(B115="","",IF(BC115&lt;&gt;"",IFERROR(_xlfn.XLOOKUP(BC115,Щиты[Щит],Щиты[Руст, кВт]),0),N(BM115)))</f>
        <v>0.16200000000000001</v>
      </c>
      <c r="BO115" t="str">
        <f>IF(B115="","",IFERROR(IF(VLOOKUP(AX115,Потребители_обозначение,8,FALSE)=0,"",VLOOKUP(AX115,Потребители_обозначение,8,FALSE)),""))</f>
        <v/>
      </c>
      <c r="BP115">
        <f t="shared" si="136"/>
        <v>230</v>
      </c>
      <c r="BQ115">
        <f>IF(B115="","",IF(BC115&lt;&gt;"",3,IFERROR(IF(N(VLOOKUP(AX115,Потребители_обозначение,9,FALSE))=0,1,VLOOKUP(AX115,Потребители_обозначение,9,FALSE)),1)))</f>
        <v>1</v>
      </c>
      <c r="BR115">
        <f t="shared" si="137"/>
        <v>1</v>
      </c>
      <c r="BS115" t="str">
        <f>IF(B115="","",_xlfn.LET(_xlpm.bc,IFERROR(IF(VLOOKUP(AX115,Потребители_обозначение,6,FALSE)=0,"",VLOOKUP(AX115,Потребители_обозначение,6,FALSE)&amp;""),""),IF(AND(FK115="да",OR(_xlpm.bc="",_xlpm.bc="мс")),Марка_пож,IF(AND(_xlpm.bc="",BC115&lt;&gt;""),"мс",_xlpm.bc))))</f>
        <v/>
      </c>
      <c r="BT115" t="str">
        <f t="shared" si="138"/>
        <v>мс</v>
      </c>
      <c r="BU115">
        <f>IF(B115="","",_xlfn.LET(_xlpm.cc,IFERROR(N(VLOOKUP(AX115,Потребители_обозначение,7,FALSE)),0),IF(_xlpm.cc&gt;0,_xlpm.cc,IF(BT115="","",IF(N(BR115)=3,5,3)))))</f>
        <v>3</v>
      </c>
      <c r="BV115">
        <f t="shared" si="139"/>
        <v>3</v>
      </c>
      <c r="BW115">
        <f>IFERROR(N(VLOOKUP(AX115,Потребители_обозначение,10,FALSE)),0)</f>
        <v>0</v>
      </c>
      <c r="BX115">
        <f>IFERROR(VLOOKUP(AX115,Потребители_обозначение,5,FALSE),0)</f>
        <v>1</v>
      </c>
      <c r="BY115" s="6" cm="1">
        <f t="array" ref="BY115">IF(B115="","",IF(BC115&lt;&gt;"",IFERROR(_xlfn.XLOOKUP(BC115,Щиты[Щит],Щиты[cos φ]),0.95),IF(BK115=1,IFERROR(_xlfn.XLOOKUP(A115,Щиты[Щит],Щиты[cos φ]),0.95),IF(ISNUMBER(Z115),Z115,IFERROR(IF(BX115=2,_xlfn.IFS(BR115=3,VLOOKUP(BN115,Справочная_двигатели,8,FALSE),BR115=1,VLOOKUP(BN115,Справочная_двигатели,10,TRUE)),IF(AND(Методика="нормы 2026",EQ115="Сил"),0.8,0.95)),0.95)))))</f>
        <v>0.8</v>
      </c>
      <c r="BZ115">
        <f t="shared" si="140"/>
        <v>0</v>
      </c>
      <c r="CA115">
        <f t="shared" si="141"/>
        <v>1</v>
      </c>
      <c r="CB115">
        <f t="shared" si="142"/>
        <v>0</v>
      </c>
      <c r="CC115">
        <f t="shared" si="143"/>
        <v>0</v>
      </c>
      <c r="CD115">
        <f t="shared" si="144"/>
        <v>0</v>
      </c>
      <c r="CE115">
        <f t="shared" si="145"/>
        <v>0</v>
      </c>
      <c r="CF115">
        <f t="shared" si="146"/>
        <v>0</v>
      </c>
      <c r="CG115">
        <f>IF(AX115="",0,_xlfn.LET(_xlpm.v,IFERROR(VLOOKUP(B115,УГО_спр,3,FALSE),IFERROR(VLOOKUP(AX115,УГО_спр,3,FALSE),IFERROR(VLOOKUP(LEFT(AX115,2),УГО_спр,3,FALSE),""))),IF(_xlpm.v="да",30,IF(ISNUMBER(_xlpm.v),_xlpm.v,0))))</f>
        <v>0</v>
      </c>
      <c r="CH115" t="str">
        <f t="shared" si="147"/>
        <v/>
      </c>
      <c r="CI115" t="str">
        <f>_xlfn.LET(_xlpm.k,IFERROR(_xlfn.XLOOKUP(AX115,Коды_код,Коды_утечка)&amp;"",""),IF(_xlpm.k="","дифавтомат",_xlpm.k))</f>
        <v>дифавтомат</v>
      </c>
      <c r="CJ115">
        <f t="shared" si="148"/>
        <v>0</v>
      </c>
      <c r="CK115">
        <f t="shared" si="149"/>
        <v>0</v>
      </c>
      <c r="CL115">
        <f>IF(B115="",0,IFERROR(--VLOOKUP(B115,УГО_спр,4,FALSE),IFERROR(--VLOOKUP(AX115,УГО_спр,4,FALSE),IFERROR(--VLOOKUP(LEFT(AX115,2),УГО_спр,4,FALSE),0))))</f>
        <v>0</v>
      </c>
      <c r="CM115" t="str">
        <f>IF(B115="","",IFERROR(_xlfn.XLOOKUP(AX115,Коды_код,Коды_апп)&amp;"",""))</f>
        <v/>
      </c>
      <c r="CN115" t="str">
        <f t="shared" si="150"/>
        <v/>
      </c>
      <c r="CO115" t="str" cm="1">
        <f t="array" ref="CO115">IF(TRIM(CN115&amp;"")="","",IFERROR(TRIM(INDEX(_xlfn.TEXTSPLIT(CN115&amp;";;;",";"),1)),""))</f>
        <v/>
      </c>
      <c r="CP115" t="str" cm="1">
        <f t="array" ref="CP115">IF(TRIM(CN115&amp;"")="","",IFERROR(TRIM(INDEX(_xlfn.TEXTSPLIT(CN115&amp;";;;",";"),2)),""))</f>
        <v/>
      </c>
      <c r="CQ115" t="str" cm="1">
        <f t="array" ref="CQ115">IF(TRIM(CN115&amp;"")="","",IFERROR(TRIM(INDEX(_xlfn.TEXTSPLIT(CN115&amp;";;;",";"),3)),""))</f>
        <v/>
      </c>
      <c r="CR115">
        <f t="shared" si="151"/>
        <v>0</v>
      </c>
      <c r="CS115" t="str">
        <f>IF(B115="","",_xlfn.LET(_xlpm.t,LOWER(AV115&amp;""),IF(ISNUMBER(SEARCH("dim",_xlpm.t)),"DIM",IF(ISNUMBER(SEARCH("dali",_xlpm.t)),"DALI",IF(OR(ISNUMBER(SEARCH("relay",_xlpm.t)),ISNUMBER(SEARCH("реле",_xlpm.t))),"Relay",IF(ISNUMBER(SEARCH("кнопк",_xlpm.t)),"",IFERROR(_xlfn.XLOOKUP(AX115,Коды_код,Коды_упр)&amp;"","")))))))</f>
        <v/>
      </c>
      <c r="CT115" t="str">
        <f t="shared" si="152"/>
        <v/>
      </c>
      <c r="CU115">
        <f>IF(B115="","",_xlfn.LET(_xlpm.ig,N(P115)+IF(AF115="вручную",0,N(CB115)),_xlpm.n0,IFERROR(VLOOKUP(_xlpm.ig,Автомат_номиналы,2,TRUE),0),_xlpm.mn,MAX(CL115,IF(AF115="вручную",0,N(CE115))),MAX(_xlpm.n0,_xlpm.mn,IF(CR115=1,Мин_автомат_БП,0))))</f>
        <v>6</v>
      </c>
      <c r="CV115">
        <f t="shared" si="153"/>
        <v>1</v>
      </c>
      <c r="CW115" t="str">
        <f t="shared" si="154"/>
        <v>1P</v>
      </c>
      <c r="CX115" t="str">
        <f>_xlfn.LET(_xlpm.cc,UPPER(TRIM(IFERROR(_xlfn.XLOOKUP(AX115,Коды_код,Коды_хар)&amp;"",""))),IF(OR(_xlpm.cc="B",_xlpm.cc="В"),"B",IF(_xlpm.cc="D","D","С")))</f>
        <v>С</v>
      </c>
      <c r="CY115" t="str">
        <f t="shared" si="155"/>
        <v>1P С6А</v>
      </c>
      <c r="CZ115">
        <f t="shared" si="156"/>
        <v>10</v>
      </c>
      <c r="DA115" t="str">
        <f t="shared" si="157"/>
        <v>1P С10А</v>
      </c>
      <c r="DB115" cm="1">
        <f t="array" ref="DB115">IF(DA115="","",_xlfn.LET(_xlpm.t,SUBSTITUTE(SUBSTITUTE(SUBSTITUTE(UPPER(DA115),"С","C"),"А","A"),"В","B"),_xlpm.tk,_xlfn.TEXTSPLIT(_xlpm.t,"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5" t="str">
        <f t="shared" si="158"/>
        <v>ok</v>
      </c>
      <c r="DD115">
        <f t="shared" si="159"/>
        <v>10</v>
      </c>
      <c r="DE115" t="str">
        <f t="shared" si="160"/>
        <v>1P С10А</v>
      </c>
      <c r="DF115">
        <f t="shared" si="161"/>
        <v>0</v>
      </c>
      <c r="DG115">
        <f t="shared" si="162"/>
        <v>0</v>
      </c>
      <c r="DH115">
        <f t="shared" si="163"/>
        <v>0</v>
      </c>
      <c r="DI115">
        <f t="shared" si="164"/>
        <v>0.87685072133174402</v>
      </c>
      <c r="DJ115">
        <f t="shared" si="165"/>
        <v>1</v>
      </c>
      <c r="DK115">
        <f>IF(ISNUMBER(AL115),AL115,К_прокл)</f>
        <v>1</v>
      </c>
      <c r="DL115">
        <f t="shared" si="166"/>
        <v>2</v>
      </c>
      <c r="DM115">
        <f>IFERROR(N(VLOOKUP(BT115,Кабель_обозначение,3,FALSE)),1)</f>
        <v>1</v>
      </c>
      <c r="DN115">
        <f>IFERROR(N(_xlfn.XLOOKUP(A115,Щиты[Щит],Щиты[ΔU до шин, %])),0)</f>
        <v>0.24000000000000002</v>
      </c>
      <c r="DO115" t="str">
        <f>IFERROR(_xlfn.XLOOKUP(A115,Щиты[Щит],Щиты[Zпетли на шинах, Ом]),"")</f>
        <v/>
      </c>
      <c r="DP115">
        <f>IFERROR(N(_xlfn.XLOOKUP(A115,Щиты[Щит],Щиты[ΔU до шин (подбор), %])),0)</f>
        <v>0.36</v>
      </c>
      <c r="DQ115" t="str">
        <f>IFERROR(_xlfn.XLOOKUP(A115,Щиты[Щит],Щиты[Zпетли на шинах (подбор), Ом]),"")</f>
        <v/>
      </c>
      <c r="DR115" t="str">
        <f t="shared" si="167"/>
        <v/>
      </c>
      <c r="DS115">
        <f t="shared" si="168"/>
        <v>40</v>
      </c>
      <c r="DT115">
        <f t="shared" si="169"/>
        <v>2</v>
      </c>
      <c r="DU115">
        <f t="shared" si="170"/>
        <v>0.6</v>
      </c>
      <c r="DV115" s="6">
        <f>IF(B115="","",IF(IFERROR(VLOOKUP(AX115,УГО_спр,2,FALSE),"")="Светильник",3,4)+IF(Методика="нормы 2026",MIN(0.5,MAX(0,N(Q115)-100)*0.005),0))</f>
        <v>4</v>
      </c>
      <c r="DW115" cm="1">
        <f t="array" ref="DW115">IF(OR(B115="",BT115="",DM115&lt;&gt;1),"",_xlfn.LET(_xlpm.sz,Iдоп_S,_xlpm.t_,CHOOSE(DL115,Iдоп_1ж,Iдоп_2ж,Iдоп_3ж)*DJ115*DK115,_xlpm.inn,N(DD115),_xlpm.smin,MAX(1.5,BW115),_xlpm.L_,N(Q115)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115)*(_xlpm.rho*_xlpm.L_/_xlpm.sz*N(BY115)+_xlpm.xx*_xlpm.L_*N(DU115)/1000)*N(P115)/((Uн_лин/SQRT(3))*1000)*100,999),_xlpm.kz,IF(OR(DG115=1,NOT(ISNUMBER(DQ115)),_xlpm.L_=0,_xlpm.inn=0),1,IFERROR(--(c_min*(Uн_лин*1000/SQRT(3))/(DQ115+2*ρкз_Cu*_xlpm.L_/_xlpm.sz)&gt;=GY115*_xlpm.inn),0)),_xlpm.ok,IFERROR((_xlpm.sz&gt;=_xlpm.smin)*(_xlpm.t_&gt;=_xlpm.inn)*IF(_xlpm.L_&gt;0,(_xlpm.du_+DP115&lt;=DV115+0.00001),1)*_xlpm.kz,0),_xlpm.r_,_xlfn._xlws.FILTER(_xlpm.sz,_xlpm.ok,"не подобрано"),INDEX(_xlpm.r_,1)))</f>
        <v>1.5</v>
      </c>
      <c r="DX115">
        <f t="shared" si="171"/>
        <v>1.5</v>
      </c>
      <c r="DY115" cm="1">
        <f t="array" ref="DY115">IF(OR(B115="",BT115="",DM115&lt;&gt;1),"",_xlfn.LET(_xlpm.sz,Iдоп_S,_xlpm.t_,CHOOSE(DL115,Iдоп_1ж,Iдоп_2ж,Iдоп_3ж)*DJ115*DK115,_xlpm.ok,IFERROR((_xlpm.sz&gt;=MAX(1.5,BW115))*(_xlpm.t_&gt;=N(DD115)),0),_xlpm.r_,_xlfn._xlws.FILTER(_xlpm.sz,_xlpm.ok,""),INDEX(_xlpm.r_,1)))</f>
        <v>1.5</v>
      </c>
      <c r="DZ115" s="6" cm="1">
        <f t="array" ref="DZ115">IFERROR(ROUNDUP(N(DT115)*(_xlfn.XLOOKUP(DY115,INDEX(Кабель_сопротивление,0,1),INDEX(Кабель_сопротивление,0,3))*N(Q115)/DY115*N(BY115)+_xlfn.XLOOKUP(DY115,INDEX(Кабель_сопротивление,0,1),INDEX(Кабель_сопротивление,0,2))*N(Q115)*N(DU115)/1000)*N(P115)/((Uн_лин/SQRT(3))*1000)*100,2),"")</f>
        <v>0.39</v>
      </c>
      <c r="EA115">
        <f>IFERROR(2*ρкз_Cu*N(Q115)/DY115,"")</f>
        <v>1.4728000000000001</v>
      </c>
      <c r="EB115">
        <f>IFERROR(VLOOKUP(DX115,Кабель_сопротивление,3,FALSE),"")</f>
        <v>2.2499999999999999E-2</v>
      </c>
      <c r="EC115">
        <f>IFERROR(VLOOKUP(DX115,Кабель_сопротивление,2,FALSE),"")</f>
        <v>0.11</v>
      </c>
      <c r="ED115">
        <f t="shared" si="172"/>
        <v>21</v>
      </c>
      <c r="EE115">
        <f t="shared" si="173"/>
        <v>0</v>
      </c>
      <c r="EF115">
        <f t="shared" si="174"/>
        <v>0.88872678750146117</v>
      </c>
      <c r="EG115" s="6">
        <f>IFERROR(ROUNDUP(EF115/((Uн_лин/SQRT(3))*1000)*100,2),"")</f>
        <v>0.39</v>
      </c>
      <c r="EH115" t="str">
        <f>IFERROR(VLOOKUP(BT115,Кабель_обозначение,2,FALSE),"")</f>
        <v>ВВГнг(А)-LS</v>
      </c>
      <c r="EI115" t="str">
        <f t="shared" si="175"/>
        <v>ВВГнг(А)-LS (3х1,5)</v>
      </c>
      <c r="EJ115" t="str">
        <f t="shared" si="176"/>
        <v>ВВГнг(А)-LS (3х1,5)
L=42-0,39%</v>
      </c>
      <c r="EK115">
        <f>IFERROR(2*ρкз_Cu*Q115/DX115,"")</f>
        <v>1.4728000000000001</v>
      </c>
      <c r="EL115">
        <f t="shared" si="177"/>
        <v>0.49000000000000005</v>
      </c>
      <c r="EM115" s="6" t="str">
        <f>IFERROR(IF(OR(B115="",NOT(ISNUMBER(DX115)),N(Q115)=0),"",_xlfn.XLOOKUP(A115,Щиты[Щит],Щиты[Zпетли на шинах, Ом])+EK115),"")</f>
        <v/>
      </c>
      <c r="EN115" s="6" t="str">
        <f>IF(ISNUMBER(EM115),c_min*(Uн_лин*1000/SQRT(3))/EM115,"")</f>
        <v/>
      </c>
      <c r="EO115" s="6" t="str">
        <f>IFERROR(IF(OR(B115="",NOT(ISNUMBER(DX115))),"",1.05*(Uн_лин*1000/SQRT(3))/(_xlfn.XLOOKUP(A115,Щиты[Щит],Щиты[Zmax на шинах, Ом])+EL115)/1000),"")</f>
        <v/>
      </c>
      <c r="EP115" s="6" t="str">
        <f>IF(B115="","",IF(ISNUMBER(Y115),"Сил",IF(IFERROR(_xlfn.XLOOKUP(AX115,Коды_код,Коды_группа)&amp;"","")="","Быт",_xlfn.XLOOKUP(AX115,Коды_код,Коды_группа)&amp;"")))</f>
        <v>Сил</v>
      </c>
      <c r="EQ115" s="6" t="str">
        <f t="shared" si="178"/>
        <v>Сил</v>
      </c>
      <c r="ER115" s="6">
        <f>IF(EQ115="Щит","щит",IF(EQ115="","",IF(EQ115="Быт",IFERROR(_xlfn.XLOOKUP(A115,Щиты[Щит],Щиты[Кс быт]),1),IF(EQ115="Сил",IF(ISNUMBER(Y115),Y115,IF(Методика="нормы 2026",IFERROR(_xlfn.XLOOKUP(A115,Щиты[Щит],Щиты[Кс силовых (табл. 7.5)]),1),1)),IF(OR(EQ115="Пост",EQ115="Отоп"),1,IF(EQ115="ВНГ",0.7,0))))))</f>
        <v>0.5</v>
      </c>
      <c r="ES115">
        <f t="shared" si="179"/>
        <v>1</v>
      </c>
      <c r="ET115">
        <f t="shared" si="180"/>
        <v>0.16200000000000001</v>
      </c>
      <c r="EU115">
        <f t="shared" si="181"/>
        <v>0</v>
      </c>
      <c r="EV115">
        <f t="shared" si="182"/>
        <v>8.1000000000000003E-2</v>
      </c>
      <c r="EW115">
        <f t="shared" si="183"/>
        <v>0</v>
      </c>
      <c r="EX115">
        <f t="shared" si="184"/>
        <v>0</v>
      </c>
      <c r="EY115">
        <f t="shared" si="185"/>
        <v>0</v>
      </c>
      <c r="EZ115">
        <f t="shared" si="186"/>
        <v>0.16200000000000001</v>
      </c>
      <c r="FA115">
        <f t="shared" si="187"/>
        <v>0.12960000000000002</v>
      </c>
      <c r="FB115">
        <f t="shared" si="188"/>
        <v>0.16200000000000001</v>
      </c>
      <c r="FC115" t="str">
        <f t="shared" si="189"/>
        <v/>
      </c>
      <c r="FD115" t="str">
        <f>IF(B115="","",IF(CA115=0,IF(AW115=1,"",FF114),IF(OR(N(CV115)&gt;=3,N(BR115)&gt;=3),"L1,L2,L3",IFERROR(_xlfn.TEXTBEFORE(_xlfn.TEXTAFTER(_xlfn.XLOOKUP(A115,Щиты[Щит],Щиты[_фазы авто]),";"&amp;AW115&amp;":"),";"),"L1"))))</f>
        <v>L1</v>
      </c>
      <c r="FE115" t="str">
        <f t="shared" si="190"/>
        <v>L1</v>
      </c>
      <c r="FF115" t="str">
        <f t="shared" si="191"/>
        <v>L1</v>
      </c>
      <c r="FG115" cm="1">
        <f t="array" ref="FG115">IFERROR(IF(BX115=2,_xlfn.IFS(BR115=3,VLOOKUP(BN115,Справочная_двигатели,3,FALSE),BR115=1,VLOOKUP(BN115,Справочная_двигатели,5,TRUE)),0),0)</f>
        <v>0</v>
      </c>
      <c r="FH115">
        <f>IFERROR(IF(BX115=3,VLOOKUP(BN115,Справочная_ЛЭД,2,TRUE),0),0)</f>
        <v>0</v>
      </c>
      <c r="FI115" s="6">
        <f t="shared" si="192"/>
        <v>0</v>
      </c>
      <c r="FJ115" t="str" cm="1">
        <f t="array" ref="FJ115">IF(B115="","",IFERROR(INDEX({"I особая","I","II","III"},MATCH(TRIM(AC115&amp;""),{"I особая","I","II","III"},0)),"III"))</f>
        <v>II</v>
      </c>
      <c r="FK115" t="str">
        <f>IF(B115="","",IF(TRIM(AD115&amp;"")&lt;&gt;"",IF(LOWER(TRIM(AD115&amp;""))="да","да","нет"),IF(IFERROR(_xlfn.XLOOKUP(AX115,Коды_код,Коды_пожарная),"")="да","да","нет")))</f>
        <v>нет</v>
      </c>
      <c r="FL115" t="str">
        <f t="shared" si="193"/>
        <v/>
      </c>
      <c r="FM115" t="str">
        <f t="shared" si="194"/>
        <v>основная</v>
      </c>
      <c r="FN115">
        <f t="shared" si="195"/>
        <v>1</v>
      </c>
      <c r="FO115" t="str" cm="1">
        <f t="array" ref="FO115">IF(B115="","",_xlfn.LET(_xlpm.t,IFERROR(_xlfn.XLOOKUP(1,(Шины[Шина]=FM115)*(((Шины[Щит]=A115)+(Шины[Щит]=""))&gt;0),Шины[Тип]),"")&amp;"",IF(_xlpm.t&lt;&gt;"",_xlpm.t,IF(ISNUMBER(SEARCH("ИБП",FM115)),"ИБП",IF(ISNUMBER(SEARCH("ДГУ",FM115)),"ДГУ","Ввод "&amp;FN115)))))</f>
        <v>Ввод 1</v>
      </c>
      <c r="FP115" t="str">
        <f t="shared" si="196"/>
        <v>Ввод 1</v>
      </c>
      <c r="FQ115" t="str">
        <f>IF(B115="","",IF(OR(FO115="ИБП",FO115="ДГУ"),"I особая",IF(FO115="Одиночная","III",_xlfn.XLOOKUP(A115,Щиты[Щит],Щиты[Категория шины «Ввод»],"III"))))</f>
        <v>II</v>
      </c>
      <c r="FR115">
        <f>IF(B115="",0,IFERROR(MATCH(FJ115,{"III","II","I","I особая"},0),1))</f>
        <v>2</v>
      </c>
      <c r="FS115">
        <f t="shared" si="197"/>
        <v>2</v>
      </c>
      <c r="FT115" t="str">
        <f>IF(B115="","",IF(FR115&gt;IFERROR(MATCH(FQ115,{"III","II","I","I особая"},0),1),"НЕ ОБЕСПЕЧЕНА","ОК"))</f>
        <v>ОК</v>
      </c>
      <c r="FU115" t="str">
        <f>IF(A115="","",_xlfn.XLOOKUP(A115,Щиты[Щит],Щиты[Путь],""))</f>
        <v>|ГРЩ-ЖД|ЩОВ-01|</v>
      </c>
      <c r="FV115" t="str">
        <f>IF(B115="","",IF(AE115&lt;&gt;"",AE115,IF(IFERROR(_xlfn.XLOOKUP(AX115,Коды_код,Коды_вид)&amp;"","")="","Прочее",_xlfn.XLOOKUP(AX115,Коды_код,Коды_вид)&amp;"")))</f>
        <v>Кондиционирование и увлажнение</v>
      </c>
      <c r="FW115">
        <f>IF(BH115="","",INT((BH115-1)/Столбцов_на_лист)+1)</f>
        <v>2</v>
      </c>
      <c r="FX115" t="str">
        <f t="shared" si="198"/>
        <v>ВВГнг(А)-LS (3х1,5) L=42-0,39%</v>
      </c>
      <c r="FY115">
        <f t="shared" si="199"/>
        <v>0.16200000000000001</v>
      </c>
      <c r="FZ115">
        <f t="shared" si="200"/>
        <v>0.88</v>
      </c>
      <c r="GA115">
        <f t="shared" si="201"/>
        <v>1</v>
      </c>
      <c r="GB115">
        <f t="shared" si="202"/>
        <v>0</v>
      </c>
      <c r="GC115">
        <f t="shared" si="203"/>
        <v>1</v>
      </c>
      <c r="GD115">
        <f>IF(BH115="","",IF(AND(CA115=1,GC115=1),COUNTIFS(A$3:A115,A115,CA$3:CA115,1,GC$3:GC115,1),IF(OR(OR(AW115=1,A115&lt;&gt;A114),AF115="вручную",GC115=0),"",IF(AW115=1,"",GE114))))</f>
        <v>13</v>
      </c>
      <c r="GE115">
        <f t="shared" si="204"/>
        <v>13</v>
      </c>
      <c r="GF115">
        <f>IF(B115="","",IFERROR(LOOKUP(INDEX(CHOOSE(DL115,Iдоп_1ж,Iдоп_2ж,Iдоп_3ж),MATCH(DX115,Iдоп_S,0))*DJ115*DK115,{6,10,16,20,25,32,40,50,63,80,100,125,160,200,250,315,400,500,630}),""))</f>
        <v>16</v>
      </c>
      <c r="GG115" t="str">
        <f t="shared" si="205"/>
        <v>QF13</v>
      </c>
      <c r="GH115" t="str">
        <f t="shared" si="206"/>
        <v>QF13</v>
      </c>
      <c r="GI115" t="str">
        <f t="shared" si="207"/>
        <v/>
      </c>
      <c r="GJ115">
        <f t="shared" si="208"/>
        <v>0</v>
      </c>
      <c r="GK115" t="str">
        <f>IF(OR(AG115="",AG115="-"),"",IFERROR(VLOOKUP(AG115,Модули_спр,2,FALSE),"R"))</f>
        <v/>
      </c>
      <c r="GL115" t="str">
        <f>IF(GK115="","",GK115&amp;"."&amp;COUNTIFS(A$3:A115,A115,GK$3:GK115,GK115))</f>
        <v/>
      </c>
      <c r="GM115" t="str">
        <f t="shared" si="209"/>
        <v/>
      </c>
      <c r="GN115" t="str">
        <f t="shared" si="210"/>
        <v/>
      </c>
      <c r="GO115" t="str">
        <f t="shared" si="211"/>
        <v/>
      </c>
      <c r="GP115" t="str">
        <f t="shared" si="212"/>
        <v/>
      </c>
      <c r="GQ115">
        <f t="shared" si="213"/>
        <v>1</v>
      </c>
      <c r="GR115" t="str">
        <f>IF(GQ115=1,"XT"&amp;COUNTIFS(A$3:A115,A115,GQ$3:GQ115,1),"")</f>
        <v>XT13</v>
      </c>
      <c r="GS115" t="str">
        <f t="shared" si="214"/>
        <v/>
      </c>
      <c r="GT115" t="str">
        <f t="shared" si="215"/>
        <v>QF13</v>
      </c>
      <c r="GU115" t="str">
        <f t="shared" si="216"/>
        <v/>
      </c>
      <c r="GV115" t="str">
        <f t="shared" si="217"/>
        <v>ok</v>
      </c>
      <c r="GW115" t="str">
        <f>IF(OR(GO115="",GM115=""),"",IF(GO115&gt;IFERROR(VLOOKUP(GN115,Модули_спр,3,FALSE),99),"ЛИШНИЙ КАНАЛ",IF(AND(AH115&lt;&gt;"=",COUNTIFS(Линии[_модуль гр.],GM115,Линии[Канал (итог)],GO115,Линии[Канал],"&lt;&gt;=",Линии[Щит],A115)&gt;1),"ДУБЛЬ КАНАЛА","")))</f>
        <v/>
      </c>
      <c r="GX115" s="6" t="str">
        <f t="shared" si="218"/>
        <v/>
      </c>
      <c r="GY115">
        <f t="shared" si="219"/>
        <v>10</v>
      </c>
      <c r="GZ115" t="str">
        <f t="shared" si="220"/>
        <v/>
      </c>
      <c r="HA115" t="str">
        <f>IF(AND(B115="",GT115=""),"",_xlfn.TEXTJOIN("; ",TRUE,IF(AND(B115&lt;&gt;"",FE115=""),"нет фазы",""),IF(AND(B115&lt;&gt;"",N(FY115)=0,EQ115&lt;&gt;"Нет"),"нет мощности",""),IF(AND(GS115&lt;&gt;"",COUNTIFS(Линии[Щит],A115,Линии[Клемма (итог)],GS115)&gt;1),"дубль клеммы "&amp;GS115,""),IF(AND(GV115&lt;&gt;"",GV115&lt;&gt;"ok"),GV115,""),IF(GW115&lt;&gt;"",GW115,""),IF(AND(N(BV115)&gt;=4,N(BR115)=1),BV115&amp;" жил на 1 фазе",""),IF(AND(AX115="R",CA115=1,OR(N(CK115)=0,N(CK115)&gt;30)),"розетка без дифзащиты до 30 мА",""),IFERROR(IF(AND(ISNUMBER(R115),R115&gt;DV115),"потери "&amp;FIXED(R115,1)&amp;" % &gt; "&amp;DV115&amp;" %",""),""),IFERROR(IF(LEFT(GZ115,4)="мало","Iкз мало — отключение &gt; 0,4 с",""),""),IF(AND(B115&lt;&gt;"",BH115=""),"не на схеме",""),IF(AND(CA115=0,B115&lt;&gt;"",FE115&lt;&gt;"",IF(AW115=1,"",FF114)&lt;&gt;"",FE115&lt;&gt;IF(AW115=1,"",FF114)),"фаза не как у автомата группы ("&amp;IF(AW115=1,"",FF114)&amp;")","")))</f>
        <v/>
      </c>
      <c r="HB115" s="6">
        <f>IF(OR(CA115=0,DA115=""),"",_xlfn.LET(_xlpm.t,IFERROR(_xlfn.XLOOKUP(DA115,Каталог!$U$4:$U$500,Каталог!$G$4:$G$500),""),_xlpm.k,SEARCH("кА",_xlpm.t),IFERROR(--TRIM(RIGHT(SUBSTITUTE(MID(_xlpm.t,MAX(1,_xlpm.k-4),_xlpm.k-MAX(1,_xlpm.k-4))," ",REPT(" ",9)),5)),"")))</f>
        <v>6</v>
      </c>
      <c r="HC115" t="str">
        <f>IF(OR(HB115="",CA115=0),"",IF(_xlfn.XLOOKUP(A115,Щиты[Щит],Щиты[Iкз max на шинах, кА],"")="","",IF(HB115&lt;_xlfn.XLOOKUP(A115,Щиты[Щит],Щиты[Iкз max на шинах, кА]),"Icu "&amp;HB115&amp;" кА &lt; Iкз max","ok")))</f>
        <v/>
      </c>
      <c r="HD115" t="str">
        <f t="shared" si="221"/>
        <v/>
      </c>
      <c r="HE115" t="str">
        <f t="shared" si="222"/>
        <v>QF13</v>
      </c>
      <c r="HF115" t="str">
        <f t="shared" si="223"/>
        <v>QF13|кабель ВВГнг(А)-LS (3х1,5) → Внутренний блок кондиционирования цокольный этаж Пом. №005Б</v>
      </c>
      <c r="HG115" t="str" cm="1">
        <f t="array" ref="HG115">IF(HF115="","",_xlfn.LET(_xlpm.nd,_xlfn.TEXTSPLIT(HF115,"|"),IF(COLUMNS(_xlpm.nd)&gt;1,A115&amp;"¦"&amp;INDEX(_xlpm.nd,1)&amp;"¦"&amp;INDEX(_xlpm.nd,2),"")))</f>
        <v>ЩОВ-01¦QF13¦кабель ВВГнг(А)-LS (3х1,5) → Внутренний блок кондиционирования цокольный этаж Пом. №005Б</v>
      </c>
      <c r="HH115" t="str">
        <f t="shared" si="224"/>
        <v>K.0.005Б.1¦Внутренний блок кондиционирования цокольный этаж Пом. №005Б</v>
      </c>
      <c r="HI115" t="str" cm="1">
        <f t="array" ref="HI115">IF(HF115="","",_xlfn.LET(_xlpm.nd,_xlfn.TEXTSPLIT(HF115,"|"),IF(COLUMNS(_xlpm.nd)&gt;2,A115&amp;"¦"&amp;INDEX(_xlpm.nd,2)&amp;"¦"&amp;INDEX(_xlpm.nd,3),"")))</f>
        <v/>
      </c>
      <c r="HJ115" t="str">
        <f t="shared" si="225"/>
        <v/>
      </c>
      <c r="HK115" t="str" cm="1">
        <f t="array" ref="HK115">IF(HF115="","",_xlfn.LET(_xlpm.nd,_xlfn.TEXTSPLIT(HF115,"|"),IF(COLUMNS(_xlpm.nd)&gt;3,A115&amp;"¦"&amp;INDEX(_xlpm.nd,3)&amp;"¦"&amp;INDEX(_xlpm.nd,4),"")))</f>
        <v/>
      </c>
      <c r="HL115" t="str">
        <f t="shared" si="226"/>
        <v/>
      </c>
      <c r="HM115" t="str" cm="1">
        <f t="array" ref="HM115">IF(HF115="","",_xlfn.LET(_xlpm.nd,_xlfn.TEXTSPLIT(HF115,"|"),IF(COLUMNS(_xlpm.nd)&gt;4,A115&amp;"¦"&amp;INDEX(_xlpm.nd,4)&amp;"¦"&amp;INDEX(_xlpm.nd,5),"")))</f>
        <v/>
      </c>
      <c r="HN115" t="str">
        <f t="shared" si="227"/>
        <v/>
      </c>
      <c r="HO115" t="str" cm="1">
        <f t="array" ref="HO115">IF(HF115="","",_xlfn.LET(_xlpm.nd,_xlfn.TEXTSPLIT(HF115,"|"),IF(COLUMNS(_xlpm.nd)&gt;5,A115&amp;"¦"&amp;INDEX(_xlpm.nd,5)&amp;"¦"&amp;INDEX(_xlpm.nd,6),"")))</f>
        <v/>
      </c>
      <c r="HP115" t="str">
        <f t="shared" si="228"/>
        <v/>
      </c>
      <c r="HQ115" t="str" cm="1">
        <f t="array" ref="HQ115">IF(HF115="","",_xlfn.LET(_xlpm.nd,_xlfn.TEXTSPLIT(HF115,"|"),IF(COLUMNS(_xlpm.nd)&gt;6,A115&amp;"¦"&amp;INDEX(_xlpm.nd,6)&amp;"¦"&amp;INDEX(_xlpm.nd,7),"")))</f>
        <v/>
      </c>
      <c r="HR115" t="str">
        <f t="shared" si="229"/>
        <v/>
      </c>
      <c r="HS115" t="str">
        <f t="shared" si="230"/>
        <v/>
      </c>
      <c r="HT115" t="str">
        <f t="shared" si="231"/>
        <v>QF13</v>
      </c>
      <c r="HU115">
        <f t="shared" si="232"/>
        <v>0</v>
      </c>
      <c r="HV115">
        <f t="shared" si="233"/>
        <v>0</v>
      </c>
      <c r="HW115" t="str">
        <f t="shared" si="234"/>
        <v/>
      </c>
      <c r="HX115" t="str">
        <f t="shared" si="235"/>
        <v/>
      </c>
      <c r="HY115" t="str">
        <f t="shared" si="236"/>
        <v/>
      </c>
      <c r="HZ115" t="str">
        <f t="shared" si="237"/>
        <v/>
      </c>
      <c r="IA115">
        <f>IF(B115="","",IFERROR(VLOOKUP(B115,УГО_спр,2,FALSE),IFERROR(VLOOKUP(AX115,УГО_спр,2,FALSE),IFERROR(VLOOKUP(LEFT(AX115,2),УГО_спр,2,FALSE),""))))</f>
        <v>0</v>
      </c>
      <c r="IB115" t="str">
        <f>IF(B115="","",IF(OR(IA115="",IA115=0),"BOX",IFERROR(IF(VLOOKUP(IA115,УГО_блоки,3,FALSE)&amp;""&lt;&gt;"",VLOOKUP(IA115,УГО_блоки,3,FALSE),VLOOKUP(IA115,УГО_блоки,2,FALSE)),IA115)))</f>
        <v>BOX</v>
      </c>
      <c r="IC115">
        <f t="shared" si="238"/>
        <v>1</v>
      </c>
      <c r="ID115" t="str">
        <f>IF(DA115="","",IF(COUNTIF(DA$3:DA115,DA115)=1,MAX(ID$2:ID114)+1,""))</f>
        <v/>
      </c>
      <c r="IE115" t="str">
        <f>IF(CO115="","",IF(COUNTIF(CO$3:CO115,CO115)+COUNTIF(CP$2:CP114,CO115)+COUNTIF(CQ$2:CQ114,CO115)=1,MAX(IE$2:IG114)+1,""))</f>
        <v/>
      </c>
      <c r="IF115" t="str">
        <f>IF(CP115="","",IF(COUNTIF(CO$3:CO115,CP115)+COUNTIF(CP$3:CP115,CP115)+COUNTIF(CQ$2:CQ114,CP115)=1,MAX(IE$2:IG114,IE115)+1,""))</f>
        <v/>
      </c>
      <c r="IG115" t="str">
        <f>IF(CQ115="","",IF(COUNTIF(CO$3:CO115,CQ115)+COUNTIF(CP$3:CP115,CQ115)+COUNTIF(CQ$3:CQ115,CQ115)=1,MAX(IE$2:IG114,IE115,IF115)+1,""))</f>
        <v/>
      </c>
      <c r="IH115" t="str">
        <f t="shared" si="239"/>
        <v>3х1,5</v>
      </c>
      <c r="II115" t="str">
        <f>IF(IH115="","",IF(COUNTIF(IH$3:IH115,IH115)=1,MAX(II$2:II114)+1,""))</f>
        <v/>
      </c>
      <c r="IJ115" t="str">
        <f>IF(GL115="","",COUNTIF(GL$3:GL115,"?*"))</f>
        <v/>
      </c>
      <c r="IK115" t="str">
        <f>IF(OR(GL115="",GN115=""),"",IF(COUNTIFS(GL$3:GL115,"?*",GN$3:GN115,GN115)=1,MAX(IK$2:IK114)+1,""))</f>
        <v/>
      </c>
      <c r="IL115">
        <f t="shared" si="240"/>
        <v>0</v>
      </c>
      <c r="IM115">
        <f>IF(B115="","",COUNTIF(B$3:B115,"?*"))</f>
        <v>113</v>
      </c>
      <c r="IN115">
        <f>IF(GQ115&lt;&gt;1,0,_xlfn.LET(_xlpm.k,MAX(IFERROR(--VLOOKUP(B115,УГО_спр,5,FALSE),0),IFERROR(--VLOOKUP(AX115,УГО_спр,5,FALSE),0),IFERROR(--VLOOKUP(LEFT(AX115,2),УГО_спр,5,FALSE),0)),IF(_xlpm.k&gt;0,_xlpm.k,IF(IFERROR(--LEFT(SUBSTITUTE(IH115,"x","х"),FIND("х",SUBSTITUTE(IH115,"x","х"))-1),3)&gt;3,Каталог!$S$9,1))))</f>
        <v>1</v>
      </c>
      <c r="IO115">
        <f t="shared" si="241"/>
        <v>0</v>
      </c>
      <c r="IP115" t="str">
        <f t="shared" si="242"/>
        <v>авто</v>
      </c>
      <c r="IQ115" t="str">
        <f t="shared" si="243"/>
        <v/>
      </c>
      <c r="IR115">
        <f t="shared" si="244"/>
        <v>0</v>
      </c>
      <c r="IS115">
        <f t="shared" si="245"/>
        <v>1</v>
      </c>
    </row>
    <row r="116" spans="1:253" x14ac:dyDescent="0.3">
      <c r="A116" t="s">
        <v>747</v>
      </c>
      <c r="B116" t="s">
        <v>1386</v>
      </c>
      <c r="C116" t="s">
        <v>1636</v>
      </c>
      <c r="D116">
        <v>1</v>
      </c>
      <c r="E116">
        <v>0.16200000000000001</v>
      </c>
      <c r="G116">
        <v>10</v>
      </c>
      <c r="H116" t="str">
        <f>Линии[[#This Row],[_авто утечка]]</f>
        <v/>
      </c>
      <c r="I116" t="str">
        <f>Линии[[#This Row],[_авто управление]]</f>
        <v/>
      </c>
      <c r="J116" t="str">
        <f>Линии[[#This Row],[_авто аппараты]]</f>
        <v/>
      </c>
      <c r="K116">
        <v>1.5</v>
      </c>
      <c r="L116">
        <v>48</v>
      </c>
      <c r="M116" t="str">
        <f>Линии[[#This Row],[_авто фаза]]</f>
        <v>L2</v>
      </c>
      <c r="N116" t="s">
        <v>486</v>
      </c>
      <c r="O116" t="str">
        <f t="shared" si="123"/>
        <v/>
      </c>
      <c r="P116" s="6" cm="1">
        <f t="array" ref="P116">IF(B116="","",IF(BC116&lt;&gt;"",IFERROR(_xlfn.XLOOKUP(BC116,Щиты[Щит],Щиты[Iр, А]),""),IF(BK116=1,IFERROR(_xlfn.XLOOKUP(A116,Щиты[Щит],Щиты[Iр, А]),""),IFERROR(_xlfn.IFS(BR116=1,BN116/((Uн_лин/SQRT(3))*BY116),BR116=3,BN116/(SQRT(3)*Uн_лин*BY116)),""))))</f>
        <v>0.87685072133174402</v>
      </c>
      <c r="Q116" s="7">
        <f>IF(B116="","",IFERROR(IF(VLOOKUP(AX116,Потребители_обозначение,4,FALSE)=1,VLOOKUP(AX116,Потребители_обозначение,3,FALSE)*(D116*2-1)+DS116+VLOOKUP(AZ116,Этаж_обозначение,3,FALSE)+VLOOKUP(AZ116,Этаж_обозначение,4,FALSE),VLOOKUP(AX116,Потребители_обозначение,3,FALSE)*(D116*2-1)+DS116),DS116))</f>
        <v>50</v>
      </c>
      <c r="R116" s="6">
        <f t="shared" si="124"/>
        <v>0.70000000000000007</v>
      </c>
      <c r="S116" t="str">
        <f t="shared" si="125"/>
        <v>ВВГнг(А)-LS (3х1,5)</v>
      </c>
      <c r="T116" t="str">
        <f>IF(BH116="","",IF(BI116="вводной узел","узел ","")&amp;"л."&amp;(INT((BH116-1)/Столбцов_на_лист)+1)&amp;" / "&amp;(MOD(BH116-1,Столбцов_на_лист)+1))</f>
        <v>л.2 / 16</v>
      </c>
      <c r="V116">
        <v>1</v>
      </c>
      <c r="W116">
        <v>230</v>
      </c>
      <c r="X116" t="s">
        <v>600</v>
      </c>
      <c r="Y116">
        <v>0.5</v>
      </c>
      <c r="AC116" t="s">
        <v>815</v>
      </c>
      <c r="AE116" t="s">
        <v>578</v>
      </c>
      <c r="AI116">
        <v>33</v>
      </c>
      <c r="AJ116" t="s">
        <v>11</v>
      </c>
      <c r="AK116">
        <v>3</v>
      </c>
      <c r="AM116">
        <v>21</v>
      </c>
      <c r="AN116">
        <v>29</v>
      </c>
      <c r="AP116">
        <v>1</v>
      </c>
      <c r="AW116" cm="1">
        <f t="array" ref="AW116">ROW()-ROW(Линии[#Headers])</f>
        <v>114</v>
      </c>
      <c r="AX116" s="6" t="str">
        <f t="shared" si="126"/>
        <v>K</v>
      </c>
      <c r="AY116" t="str">
        <f t="shared" si="127"/>
        <v>0.005Б.2</v>
      </c>
      <c r="AZ116" t="str">
        <f t="shared" si="128"/>
        <v>0</v>
      </c>
      <c r="BA116" t="str">
        <f t="shared" si="129"/>
        <v>005Б.2</v>
      </c>
      <c r="BB116" t="str">
        <f t="shared" si="130"/>
        <v>005Б</v>
      </c>
      <c r="BC116" t="str">
        <f>IF(U116&lt;&gt;"",U116,IF(AND(B116&lt;&gt;"",B116&lt;&gt;A116,ISNUMBER(_xlfn.XMATCH(B116,Щиты[Щит]))),B116,""))</f>
        <v/>
      </c>
      <c r="BD116" t="str" cm="1">
        <f t="array" ref="BD116">IF(B116="","",IF(BC116&lt;&gt;"","Щит "&amp;BC116,_xlfn.LET(_xlpm.nm,IFERROR(_xlfn.XLOOKUP(AX116,Коды_код,Коды_имя)&amp;"",""),_xlpm.md,IFERROR(N(_xlfn.XLOOKUP(AX116,Коды_код,Коды_режим)),1),_xlpm.ex,IF(Имя_режим="по экспликации",IFERROR(_xlfn.XLOOKUP(AZ116&amp;"|"&amp;BB116,Экспликация[Этаж]&amp;"|"&amp;Экспликация[Помещение],Экспликация[Название])&amp;"",""),""),_xlpm.rm,IF(BB116="","",IF(_xlpm.ex&lt;&gt;"",". "&amp;_xlpm.ex&amp;IF(Имя_пом="нет"," ("&amp;BB116&amp;")"," (пом. "&amp;BB116&amp;")"),IF(Имя_пом="нет"," ",", пом. ")&amp;BB116)),IF(_xlpm.nm="","",IF(_xlpm.md=2,_xlpm.nm&amp;" шлейф "&amp;AZ116,_xlpm.nm&amp;_xlpm.rm)))))</f>
        <v>Внутренний блок кондиционирования, пом. 005Б</v>
      </c>
      <c r="BE116" t="str">
        <f t="shared" si="131"/>
        <v>Внутренний блок кондиционирования цокольный этаж Пом. №005Б</v>
      </c>
      <c r="BF116">
        <f>IFERROR(_xlfn.XMATCH(A116,Щиты[Щит]),0)</f>
        <v>6</v>
      </c>
      <c r="BG116">
        <f>_xlfn.LET(_xlpm.k,IFERROR(_xlfn.XLOOKUP(A116,Щиты[Щит],Щиты[Листов под вводной узел]),""),IF(_xlpm.k="",1,N(_xlpm.k))*Столбцов_на_лист)</f>
        <v>17</v>
      </c>
      <c r="BH116">
        <f t="shared" si="132"/>
        <v>33</v>
      </c>
      <c r="BI116" t="str">
        <f t="shared" si="133"/>
        <v>линии</v>
      </c>
      <c r="BJ116" s="6">
        <f>IFERROR(N(_xlfn.XLOOKUP(AX116,Коды_код,Коды_квт)),0)</f>
        <v>0</v>
      </c>
      <c r="BK116">
        <f t="shared" si="134"/>
        <v>0</v>
      </c>
      <c r="BL116" t="str">
        <f>IF(B116="","",IF(BC116&lt;&gt;"",IFERROR(_xlfn.XLOOKUP(BC116,Щиты[Щит],Щиты[Руст, кВт]),0),IF(BK116=1,IFERROR(_xlfn.XLOOKUP(A116,Щиты[Щит],Щиты[Руст, кВт]),0),IF(BJ116&gt;0,ROUND(BJ116*MAX(1,N(D116)),3),""))))</f>
        <v/>
      </c>
      <c r="BM116">
        <f t="shared" si="135"/>
        <v>0.16200000000000001</v>
      </c>
      <c r="BN116" s="6">
        <f>IF(B116="","",IF(BC116&lt;&gt;"",IFERROR(_xlfn.XLOOKUP(BC116,Щиты[Щит],Щиты[Руст, кВт]),0),N(BM116)))</f>
        <v>0.16200000000000001</v>
      </c>
      <c r="BO116" t="str">
        <f>IF(B116="","",IFERROR(IF(VLOOKUP(AX116,Потребители_обозначение,8,FALSE)=0,"",VLOOKUP(AX116,Потребители_обозначение,8,FALSE)),""))</f>
        <v/>
      </c>
      <c r="BP116">
        <f t="shared" si="136"/>
        <v>230</v>
      </c>
      <c r="BQ116">
        <f>IF(B116="","",IF(BC116&lt;&gt;"",3,IFERROR(IF(N(VLOOKUP(AX116,Потребители_обозначение,9,FALSE))=0,1,VLOOKUP(AX116,Потребители_обозначение,9,FALSE)),1)))</f>
        <v>1</v>
      </c>
      <c r="BR116">
        <f t="shared" si="137"/>
        <v>1</v>
      </c>
      <c r="BS116" t="str">
        <f>IF(B116="","",_xlfn.LET(_xlpm.bc,IFERROR(IF(VLOOKUP(AX116,Потребители_обозначение,6,FALSE)=0,"",VLOOKUP(AX116,Потребители_обозначение,6,FALSE)&amp;""),""),IF(AND(FK116="да",OR(_xlpm.bc="",_xlpm.bc="мс")),Марка_пож,IF(AND(_xlpm.bc="",BC116&lt;&gt;""),"мс",_xlpm.bc))))</f>
        <v/>
      </c>
      <c r="BT116" t="str">
        <f t="shared" si="138"/>
        <v>мс</v>
      </c>
      <c r="BU116">
        <f>IF(B116="","",_xlfn.LET(_xlpm.cc,IFERROR(N(VLOOKUP(AX116,Потребители_обозначение,7,FALSE)),0),IF(_xlpm.cc&gt;0,_xlpm.cc,IF(BT116="","",IF(N(BR116)=3,5,3)))))</f>
        <v>3</v>
      </c>
      <c r="BV116">
        <f t="shared" si="139"/>
        <v>3</v>
      </c>
      <c r="BW116">
        <f>IFERROR(N(VLOOKUP(AX116,Потребители_обозначение,10,FALSE)),0)</f>
        <v>0</v>
      </c>
      <c r="BX116">
        <f>IFERROR(VLOOKUP(AX116,Потребители_обозначение,5,FALSE),0)</f>
        <v>1</v>
      </c>
      <c r="BY116" s="6" cm="1">
        <f t="array" ref="BY116">IF(B116="","",IF(BC116&lt;&gt;"",IFERROR(_xlfn.XLOOKUP(BC116,Щиты[Щит],Щиты[cos φ]),0.95),IF(BK116=1,IFERROR(_xlfn.XLOOKUP(A116,Щиты[Щит],Щиты[cos φ]),0.95),IF(ISNUMBER(Z116),Z116,IFERROR(IF(BX116=2,_xlfn.IFS(BR116=3,VLOOKUP(BN116,Справочная_двигатели,8,FALSE),BR116=1,VLOOKUP(BN116,Справочная_двигатели,10,TRUE)),IF(AND(Методика="нормы 2026",EQ116="Сил"),0.8,0.95)),0.95)))))</f>
        <v>0.8</v>
      </c>
      <c r="BZ116">
        <f t="shared" si="140"/>
        <v>0</v>
      </c>
      <c r="CA116">
        <f t="shared" si="141"/>
        <v>1</v>
      </c>
      <c r="CB116">
        <f t="shared" si="142"/>
        <v>0</v>
      </c>
      <c r="CC116">
        <f t="shared" si="143"/>
        <v>0</v>
      </c>
      <c r="CD116">
        <f t="shared" si="144"/>
        <v>0</v>
      </c>
      <c r="CE116">
        <f t="shared" si="145"/>
        <v>0</v>
      </c>
      <c r="CF116">
        <f t="shared" si="146"/>
        <v>0</v>
      </c>
      <c r="CG116">
        <f>IF(AX116="",0,_xlfn.LET(_xlpm.v,IFERROR(VLOOKUP(B116,УГО_спр,3,FALSE),IFERROR(VLOOKUP(AX116,УГО_спр,3,FALSE),IFERROR(VLOOKUP(LEFT(AX116,2),УГО_спр,3,FALSE),""))),IF(_xlpm.v="да",30,IF(ISNUMBER(_xlpm.v),_xlpm.v,0))))</f>
        <v>0</v>
      </c>
      <c r="CH116" t="str">
        <f t="shared" si="147"/>
        <v/>
      </c>
      <c r="CI116" t="str">
        <f>_xlfn.LET(_xlpm.k,IFERROR(_xlfn.XLOOKUP(AX116,Коды_код,Коды_утечка)&amp;"",""),IF(_xlpm.k="","дифавтомат",_xlpm.k))</f>
        <v>дифавтомат</v>
      </c>
      <c r="CJ116">
        <f t="shared" si="148"/>
        <v>0</v>
      </c>
      <c r="CK116">
        <f t="shared" si="149"/>
        <v>0</v>
      </c>
      <c r="CL116">
        <f>IF(B116="",0,IFERROR(--VLOOKUP(B116,УГО_спр,4,FALSE),IFERROR(--VLOOKUP(AX116,УГО_спр,4,FALSE),IFERROR(--VLOOKUP(LEFT(AX116,2),УГО_спр,4,FALSE),0))))</f>
        <v>0</v>
      </c>
      <c r="CM116" t="str">
        <f>IF(B116="","",IFERROR(_xlfn.XLOOKUP(AX116,Коды_код,Коды_апп)&amp;"",""))</f>
        <v/>
      </c>
      <c r="CN116" t="str">
        <f t="shared" si="150"/>
        <v/>
      </c>
      <c r="CO116" t="str" cm="1">
        <f t="array" ref="CO116">IF(TRIM(CN116&amp;"")="","",IFERROR(TRIM(INDEX(_xlfn.TEXTSPLIT(CN116&amp;";;;",";"),1)),""))</f>
        <v/>
      </c>
      <c r="CP116" t="str" cm="1">
        <f t="array" ref="CP116">IF(TRIM(CN116&amp;"")="","",IFERROR(TRIM(INDEX(_xlfn.TEXTSPLIT(CN116&amp;";;;",";"),2)),""))</f>
        <v/>
      </c>
      <c r="CQ116" t="str" cm="1">
        <f t="array" ref="CQ116">IF(TRIM(CN116&amp;"")="","",IFERROR(TRIM(INDEX(_xlfn.TEXTSPLIT(CN116&amp;";;;",";"),3)),""))</f>
        <v/>
      </c>
      <c r="CR116">
        <f t="shared" si="151"/>
        <v>0</v>
      </c>
      <c r="CS116" t="str">
        <f>IF(B116="","",_xlfn.LET(_xlpm.t,LOWER(AV116&amp;""),IF(ISNUMBER(SEARCH("dim",_xlpm.t)),"DIM",IF(ISNUMBER(SEARCH("dali",_xlpm.t)),"DALI",IF(OR(ISNUMBER(SEARCH("relay",_xlpm.t)),ISNUMBER(SEARCH("реле",_xlpm.t))),"Relay",IF(ISNUMBER(SEARCH("кнопк",_xlpm.t)),"",IFERROR(_xlfn.XLOOKUP(AX116,Коды_код,Коды_упр)&amp;"","")))))))</f>
        <v/>
      </c>
      <c r="CT116" t="str">
        <f t="shared" si="152"/>
        <v/>
      </c>
      <c r="CU116">
        <f>IF(B116="","",_xlfn.LET(_xlpm.ig,N(P116)+IF(AF116="вручную",0,N(CB116)),_xlpm.n0,IFERROR(VLOOKUP(_xlpm.ig,Автомат_номиналы,2,TRUE),0),_xlpm.mn,MAX(CL116,IF(AF116="вручную",0,N(CE116))),MAX(_xlpm.n0,_xlpm.mn,IF(CR116=1,Мин_автомат_БП,0))))</f>
        <v>6</v>
      </c>
      <c r="CV116">
        <f t="shared" si="153"/>
        <v>1</v>
      </c>
      <c r="CW116" t="str">
        <f t="shared" si="154"/>
        <v>1P</v>
      </c>
      <c r="CX116" t="str">
        <f>_xlfn.LET(_xlpm.cc,UPPER(TRIM(IFERROR(_xlfn.XLOOKUP(AX116,Коды_код,Коды_хар)&amp;"",""))),IF(OR(_xlpm.cc="B",_xlpm.cc="В"),"B",IF(_xlpm.cc="D","D","С")))</f>
        <v>С</v>
      </c>
      <c r="CY116" t="str">
        <f t="shared" si="155"/>
        <v>1P С6А</v>
      </c>
      <c r="CZ116">
        <f t="shared" si="156"/>
        <v>10</v>
      </c>
      <c r="DA116" t="str">
        <f t="shared" si="157"/>
        <v>1P С10А</v>
      </c>
      <c r="DB116" cm="1">
        <f t="array" ref="DB116">IF(DA116="","",_xlfn.LET(_xlpm.t,SUBSTITUTE(SUBSTITUTE(SUBSTITUTE(UPPER(DA116),"С","C"),"А","A"),"В","B"),_xlpm.tk,_xlfn.TEXTSPLIT(_xlpm.t,"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6" t="str">
        <f t="shared" si="158"/>
        <v>ok</v>
      </c>
      <c r="DD116">
        <f t="shared" si="159"/>
        <v>10</v>
      </c>
      <c r="DE116" t="str">
        <f t="shared" si="160"/>
        <v>1P С10А</v>
      </c>
      <c r="DF116">
        <f t="shared" si="161"/>
        <v>0</v>
      </c>
      <c r="DG116">
        <f t="shared" si="162"/>
        <v>0</v>
      </c>
      <c r="DH116">
        <f t="shared" si="163"/>
        <v>0</v>
      </c>
      <c r="DI116">
        <f t="shared" si="164"/>
        <v>0.87685072133174402</v>
      </c>
      <c r="DJ116">
        <f t="shared" si="165"/>
        <v>1</v>
      </c>
      <c r="DK116">
        <f>IF(ISNUMBER(AL116),AL116,К_прокл)</f>
        <v>1</v>
      </c>
      <c r="DL116">
        <f t="shared" si="166"/>
        <v>2</v>
      </c>
      <c r="DM116">
        <f>IFERROR(N(VLOOKUP(BT116,Кабель_обозначение,3,FALSE)),1)</f>
        <v>1</v>
      </c>
      <c r="DN116">
        <f>IFERROR(N(_xlfn.XLOOKUP(A116,Щиты[Щит],Щиты[ΔU до шин, %])),0)</f>
        <v>0.24000000000000002</v>
      </c>
      <c r="DO116" t="str">
        <f>IFERROR(_xlfn.XLOOKUP(A116,Щиты[Щит],Щиты[Zпетли на шинах, Ом]),"")</f>
        <v/>
      </c>
      <c r="DP116">
        <f>IFERROR(N(_xlfn.XLOOKUP(A116,Щиты[Щит],Щиты[ΔU до шин (подбор), %])),0)</f>
        <v>0.36</v>
      </c>
      <c r="DQ116" t="str">
        <f>IFERROR(_xlfn.XLOOKUP(A116,Щиты[Щит],Щиты[Zпетли на шинах (подбор), Ом]),"")</f>
        <v/>
      </c>
      <c r="DR116" t="str">
        <f t="shared" si="167"/>
        <v/>
      </c>
      <c r="DS116">
        <f t="shared" si="168"/>
        <v>48</v>
      </c>
      <c r="DT116">
        <f t="shared" si="169"/>
        <v>2</v>
      </c>
      <c r="DU116">
        <f t="shared" si="170"/>
        <v>0.6</v>
      </c>
      <c r="DV116" s="6">
        <f>IF(B116="","",IF(IFERROR(VLOOKUP(AX116,УГО_спр,2,FALSE),"")="Светильник",3,4)+IF(Методика="нормы 2026",MIN(0.5,MAX(0,N(Q116)-100)*0.005),0))</f>
        <v>4</v>
      </c>
      <c r="DW116" cm="1">
        <f t="array" ref="DW116">IF(OR(B116="",BT116="",DM116&lt;&gt;1),"",_xlfn.LET(_xlpm.sz,Iдоп_S,_xlpm.t_,CHOOSE(DL116,Iдоп_1ж,Iдоп_2ж,Iдоп_3ж)*DJ116*DK116,_xlpm.inn,N(DD116),_xlpm.smin,MAX(1.5,BW116),_xlpm.L_,N(Q116)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116)*(_xlpm.rho*_xlpm.L_/_xlpm.sz*N(BY116)+_xlpm.xx*_xlpm.L_*N(DU116)/1000)*N(P116)/((Uн_лин/SQRT(3))*1000)*100,999),_xlpm.kz,IF(OR(DG116=1,NOT(ISNUMBER(DQ116)),_xlpm.L_=0,_xlpm.inn=0),1,IFERROR(--(c_min*(Uн_лин*1000/SQRT(3))/(DQ116+2*ρкз_Cu*_xlpm.L_/_xlpm.sz)&gt;=GY116*_xlpm.inn),0)),_xlpm.ok,IFERROR((_xlpm.sz&gt;=_xlpm.smin)*(_xlpm.t_&gt;=_xlpm.inn)*IF(_xlpm.L_&gt;0,(_xlpm.du_+DP116&lt;=DV116+0.00001),1)*_xlpm.kz,0),_xlpm.r_,_xlfn._xlws.FILTER(_xlpm.sz,_xlpm.ok,"не подобрано"),INDEX(_xlpm.r_,1)))</f>
        <v>1.5</v>
      </c>
      <c r="DX116">
        <f t="shared" si="171"/>
        <v>1.5</v>
      </c>
      <c r="DY116" cm="1">
        <f t="array" ref="DY116">IF(OR(B116="",BT116="",DM116&lt;&gt;1),"",_xlfn.LET(_xlpm.sz,Iдоп_S,_xlpm.t_,CHOOSE(DL116,Iдоп_1ж,Iдоп_2ж,Iдоп_3ж)*DJ116*DK116,_xlpm.ok,IFERROR((_xlpm.sz&gt;=MAX(1.5,BW116))*(_xlpm.t_&gt;=N(DD116)),0),_xlpm.r_,_xlfn._xlws.FILTER(_xlpm.sz,_xlpm.ok,""),INDEX(_xlpm.r_,1)))</f>
        <v>1.5</v>
      </c>
      <c r="DZ116" s="6" cm="1">
        <f t="array" ref="DZ116">IFERROR(ROUNDUP(N(DT116)*(_xlfn.XLOOKUP(DY116,INDEX(Кабель_сопротивление,0,1),INDEX(Кабель_сопротивление,0,3))*N(Q116)/DY116*N(BY116)+_xlfn.XLOOKUP(DY116,INDEX(Кабель_сопротивление,0,1),INDEX(Кабель_сопротивление,0,2))*N(Q116)*N(DU116)/1000)*N(P116)/((Uн_лин/SQRT(3))*1000)*100,2),"")</f>
        <v>0.46</v>
      </c>
      <c r="EA116">
        <f>IFERROR(2*ρкз_Cu*N(Q116)/DY116,"")</f>
        <v>1.7533333333333332</v>
      </c>
      <c r="EB116">
        <f>IFERROR(VLOOKUP(DX116,Кабель_сопротивление,3,FALSE),"")</f>
        <v>2.2499999999999999E-2</v>
      </c>
      <c r="EC116">
        <f>IFERROR(VLOOKUP(DX116,Кабель_сопротивление,2,FALSE),"")</f>
        <v>0.11</v>
      </c>
      <c r="ED116">
        <f t="shared" si="172"/>
        <v>29</v>
      </c>
      <c r="EE116">
        <f t="shared" si="173"/>
        <v>0</v>
      </c>
      <c r="EF116">
        <f t="shared" si="174"/>
        <v>1.0580080803588825</v>
      </c>
      <c r="EG116" s="6">
        <f>IFERROR(ROUNDUP(EF116/((Uн_лин/SQRT(3))*1000)*100,2),"")</f>
        <v>0.46</v>
      </c>
      <c r="EH116" t="str">
        <f>IFERROR(VLOOKUP(BT116,Кабель_обозначение,2,FALSE),"")</f>
        <v>ВВГнг(А)-LS</v>
      </c>
      <c r="EI116" t="str">
        <f t="shared" si="175"/>
        <v>ВВГнг(А)-LS (3х1,5)</v>
      </c>
      <c r="EJ116" t="str">
        <f t="shared" si="176"/>
        <v>ВВГнг(А)-LS (3х1,5)
L=50-0,46%</v>
      </c>
      <c r="EK116">
        <f>IFERROR(2*ρкз_Cu*Q116/DX116,"")</f>
        <v>1.7533333333333332</v>
      </c>
      <c r="EL116">
        <f t="shared" si="177"/>
        <v>0.58333333333333337</v>
      </c>
      <c r="EM116" s="6" t="str">
        <f>IFERROR(IF(OR(B116="",NOT(ISNUMBER(DX116)),N(Q116)=0),"",_xlfn.XLOOKUP(A116,Щиты[Щит],Щиты[Zпетли на шинах, Ом])+EK116),"")</f>
        <v/>
      </c>
      <c r="EN116" s="6" t="str">
        <f>IF(ISNUMBER(EM116),c_min*(Uн_лин*1000/SQRT(3))/EM116,"")</f>
        <v/>
      </c>
      <c r="EO116" s="6" t="str">
        <f>IFERROR(IF(OR(B116="",NOT(ISNUMBER(DX116))),"",1.05*(Uн_лин*1000/SQRT(3))/(_xlfn.XLOOKUP(A116,Щиты[Щит],Щиты[Zmax на шинах, Ом])+EL116)/1000),"")</f>
        <v/>
      </c>
      <c r="EP116" s="6" t="str">
        <f>IF(B116="","",IF(ISNUMBER(Y116),"Сил",IF(IFERROR(_xlfn.XLOOKUP(AX116,Коды_код,Коды_группа)&amp;"","")="","Быт",_xlfn.XLOOKUP(AX116,Коды_код,Коды_группа)&amp;"")))</f>
        <v>Сил</v>
      </c>
      <c r="EQ116" s="6" t="str">
        <f t="shared" si="178"/>
        <v>Сил</v>
      </c>
      <c r="ER116" s="6">
        <f>IF(EQ116="Щит","щит",IF(EQ116="","",IF(EQ116="Быт",IFERROR(_xlfn.XLOOKUP(A116,Щиты[Щит],Щиты[Кс быт]),1),IF(EQ116="Сил",IF(ISNUMBER(Y116),Y116,IF(Методика="нормы 2026",IFERROR(_xlfn.XLOOKUP(A116,Щиты[Щит],Щиты[Кс силовых (табл. 7.5)]),1),1)),IF(OR(EQ116="Пост",EQ116="Отоп"),1,IF(EQ116="ВНГ",0.7,0))))))</f>
        <v>0.5</v>
      </c>
      <c r="ES116">
        <f t="shared" si="179"/>
        <v>1</v>
      </c>
      <c r="ET116">
        <f t="shared" si="180"/>
        <v>0.16200000000000001</v>
      </c>
      <c r="EU116">
        <f t="shared" si="181"/>
        <v>0</v>
      </c>
      <c r="EV116">
        <f t="shared" si="182"/>
        <v>8.1000000000000003E-2</v>
      </c>
      <c r="EW116">
        <f t="shared" si="183"/>
        <v>0</v>
      </c>
      <c r="EX116">
        <f t="shared" si="184"/>
        <v>0</v>
      </c>
      <c r="EY116">
        <f t="shared" si="185"/>
        <v>0</v>
      </c>
      <c r="EZ116">
        <f t="shared" si="186"/>
        <v>0.16200000000000001</v>
      </c>
      <c r="FA116">
        <f t="shared" si="187"/>
        <v>0.12960000000000002</v>
      </c>
      <c r="FB116">
        <f t="shared" si="188"/>
        <v>0.16200000000000001</v>
      </c>
      <c r="FC116" t="str">
        <f t="shared" si="189"/>
        <v/>
      </c>
      <c r="FD116" t="str">
        <f>IF(B116="","",IF(CA116=0,IF(AW116=1,"",FF115),IF(OR(N(CV116)&gt;=3,N(BR116)&gt;=3),"L1,L2,L3",IFERROR(_xlfn.TEXTBEFORE(_xlfn.TEXTAFTER(_xlfn.XLOOKUP(A116,Щиты[Щит],Щиты[_фазы авто]),";"&amp;AW116&amp;":"),";"),"L1"))))</f>
        <v>L2</v>
      </c>
      <c r="FE116" t="str">
        <f t="shared" si="190"/>
        <v>L2</v>
      </c>
      <c r="FF116" t="str">
        <f t="shared" si="191"/>
        <v>L2</v>
      </c>
      <c r="FG116" cm="1">
        <f t="array" ref="FG116">IFERROR(IF(BX116=2,_xlfn.IFS(BR116=3,VLOOKUP(BN116,Справочная_двигатели,3,FALSE),BR116=1,VLOOKUP(BN116,Справочная_двигатели,5,TRUE)),0),0)</f>
        <v>0</v>
      </c>
      <c r="FH116">
        <f>IFERROR(IF(BX116=3,VLOOKUP(BN116,Справочная_ЛЭД,2,TRUE),0),0)</f>
        <v>0</v>
      </c>
      <c r="FI116" s="6">
        <f t="shared" si="192"/>
        <v>0</v>
      </c>
      <c r="FJ116" t="str" cm="1">
        <f t="array" ref="FJ116">IF(B116="","",IFERROR(INDEX({"I особая","I","II","III"},MATCH(TRIM(AC116&amp;""),{"I особая","I","II","III"},0)),"III"))</f>
        <v>II</v>
      </c>
      <c r="FK116" t="str">
        <f>IF(B116="","",IF(TRIM(AD116&amp;"")&lt;&gt;"",IF(LOWER(TRIM(AD116&amp;""))="да","да","нет"),IF(IFERROR(_xlfn.XLOOKUP(AX116,Коды_код,Коды_пожарная),"")="да","да","нет")))</f>
        <v>нет</v>
      </c>
      <c r="FL116" t="str">
        <f t="shared" si="193"/>
        <v/>
      </c>
      <c r="FM116" t="str">
        <f t="shared" si="194"/>
        <v>основная</v>
      </c>
      <c r="FN116">
        <f t="shared" si="195"/>
        <v>1</v>
      </c>
      <c r="FO116" t="str" cm="1">
        <f t="array" ref="FO116">IF(B116="","",_xlfn.LET(_xlpm.t,IFERROR(_xlfn.XLOOKUP(1,(Шины[Шина]=FM116)*(((Шины[Щит]=A116)+(Шины[Щит]=""))&gt;0),Шины[Тип]),"")&amp;"",IF(_xlpm.t&lt;&gt;"",_xlpm.t,IF(ISNUMBER(SEARCH("ИБП",FM116)),"ИБП",IF(ISNUMBER(SEARCH("ДГУ",FM116)),"ДГУ","Ввод "&amp;FN116)))))</f>
        <v>Ввод 1</v>
      </c>
      <c r="FP116" t="str">
        <f t="shared" si="196"/>
        <v>Ввод 1</v>
      </c>
      <c r="FQ116" t="str">
        <f>IF(B116="","",IF(OR(FO116="ИБП",FO116="ДГУ"),"I особая",IF(FO116="Одиночная","III",_xlfn.XLOOKUP(A116,Щиты[Щит],Щиты[Категория шины «Ввод»],"III"))))</f>
        <v>II</v>
      </c>
      <c r="FR116">
        <f>IF(B116="",0,IFERROR(MATCH(FJ116,{"III","II","I","I особая"},0),1))</f>
        <v>2</v>
      </c>
      <c r="FS116">
        <f t="shared" si="197"/>
        <v>2</v>
      </c>
      <c r="FT116" t="str">
        <f>IF(B116="","",IF(FR116&gt;IFERROR(MATCH(FQ116,{"III","II","I","I особая"},0),1),"НЕ ОБЕСПЕЧЕНА","ОК"))</f>
        <v>ОК</v>
      </c>
      <c r="FU116" t="str">
        <f>IF(A116="","",_xlfn.XLOOKUP(A116,Щиты[Щит],Щиты[Путь],""))</f>
        <v>|ГРЩ-ЖД|ЩОВ-01|</v>
      </c>
      <c r="FV116" t="str">
        <f>IF(B116="","",IF(AE116&lt;&gt;"",AE116,IF(IFERROR(_xlfn.XLOOKUP(AX116,Коды_код,Коды_вид)&amp;"","")="","Прочее",_xlfn.XLOOKUP(AX116,Коды_код,Коды_вид)&amp;"")))</f>
        <v>Кондиционирование и увлажнение</v>
      </c>
      <c r="FW116">
        <f>IF(BH116="","",INT((BH116-1)/Столбцов_на_лист)+1)</f>
        <v>2</v>
      </c>
      <c r="FX116" t="str">
        <f t="shared" si="198"/>
        <v>ВВГнг(А)-LS (3х1,5) L=50-0,46%</v>
      </c>
      <c r="FY116">
        <f t="shared" si="199"/>
        <v>0.16200000000000001</v>
      </c>
      <c r="FZ116">
        <f t="shared" si="200"/>
        <v>0.88</v>
      </c>
      <c r="GA116">
        <f t="shared" si="201"/>
        <v>1</v>
      </c>
      <c r="GB116">
        <f t="shared" si="202"/>
        <v>0</v>
      </c>
      <c r="GC116">
        <f t="shared" si="203"/>
        <v>1</v>
      </c>
      <c r="GD116">
        <f>IF(BH116="","",IF(AND(CA116=1,GC116=1),COUNTIFS(A$3:A116,A116,CA$3:CA116,1,GC$3:GC116,1),IF(OR(OR(AW116=1,A116&lt;&gt;A115),AF116="вручную",GC116=0),"",IF(AW116=1,"",GE115))))</f>
        <v>14</v>
      </c>
      <c r="GE116">
        <f t="shared" si="204"/>
        <v>14</v>
      </c>
      <c r="GF116">
        <f>IF(B116="","",IFERROR(LOOKUP(INDEX(CHOOSE(DL116,Iдоп_1ж,Iдоп_2ж,Iдоп_3ж),MATCH(DX116,Iдоп_S,0))*DJ116*DK116,{6,10,16,20,25,32,40,50,63,80,100,125,160,200,250,315,400,500,630}),""))</f>
        <v>16</v>
      </c>
      <c r="GG116" t="str">
        <f t="shared" si="205"/>
        <v>QF14</v>
      </c>
      <c r="GH116" t="str">
        <f t="shared" si="206"/>
        <v>QF14</v>
      </c>
      <c r="GI116" t="str">
        <f t="shared" si="207"/>
        <v/>
      </c>
      <c r="GJ116">
        <f t="shared" si="208"/>
        <v>0</v>
      </c>
      <c r="GK116" t="str">
        <f>IF(OR(AG116="",AG116="-"),"",IFERROR(VLOOKUP(AG116,Модули_спр,2,FALSE),"R"))</f>
        <v/>
      </c>
      <c r="GL116" t="str">
        <f>IF(GK116="","",GK116&amp;"."&amp;COUNTIFS(A$3:A116,A116,GK$3:GK116,GK116))</f>
        <v/>
      </c>
      <c r="GM116" t="str">
        <f t="shared" si="209"/>
        <v/>
      </c>
      <c r="GN116" t="str">
        <f t="shared" si="210"/>
        <v/>
      </c>
      <c r="GO116" t="str">
        <f t="shared" si="211"/>
        <v/>
      </c>
      <c r="GP116" t="str">
        <f t="shared" si="212"/>
        <v/>
      </c>
      <c r="GQ116">
        <f t="shared" si="213"/>
        <v>1</v>
      </c>
      <c r="GR116" t="str">
        <f>IF(GQ116=1,"XT"&amp;COUNTIFS(A$3:A116,A116,GQ$3:GQ116,1),"")</f>
        <v>XT14</v>
      </c>
      <c r="GS116" t="str">
        <f t="shared" si="214"/>
        <v/>
      </c>
      <c r="GT116" t="str">
        <f t="shared" si="215"/>
        <v>QF14</v>
      </c>
      <c r="GU116" t="str">
        <f t="shared" si="216"/>
        <v/>
      </c>
      <c r="GV116" t="str">
        <f t="shared" si="217"/>
        <v>ok</v>
      </c>
      <c r="GW116" t="str">
        <f>IF(OR(GO116="",GM116=""),"",IF(GO116&gt;IFERROR(VLOOKUP(GN116,Модули_спр,3,FALSE),99),"ЛИШНИЙ КАНАЛ",IF(AND(AH116&lt;&gt;"=",COUNTIFS(Линии[_модуль гр.],GM116,Линии[Канал (итог)],GO116,Линии[Канал],"&lt;&gt;=",Линии[Щит],A116)&gt;1),"ДУБЛЬ КАНАЛА","")))</f>
        <v/>
      </c>
      <c r="GX116" s="6" t="str">
        <f t="shared" si="218"/>
        <v/>
      </c>
      <c r="GY116">
        <f t="shared" si="219"/>
        <v>10</v>
      </c>
      <c r="GZ116" t="str">
        <f t="shared" si="220"/>
        <v/>
      </c>
      <c r="HA116" t="str">
        <f>IF(AND(B116="",GT116=""),"",_xlfn.TEXTJOIN("; ",TRUE,IF(AND(B116&lt;&gt;"",FE116=""),"нет фазы",""),IF(AND(B116&lt;&gt;"",N(FY116)=0,EQ116&lt;&gt;"Нет"),"нет мощности",""),IF(AND(GS116&lt;&gt;"",COUNTIFS(Линии[Щит],A116,Линии[Клемма (итог)],GS116)&gt;1),"дубль клеммы "&amp;GS116,""),IF(AND(GV116&lt;&gt;"",GV116&lt;&gt;"ok"),GV116,""),IF(GW116&lt;&gt;"",GW116,""),IF(AND(N(BV116)&gt;=4,N(BR116)=1),BV116&amp;" жил на 1 фазе",""),IF(AND(AX116="R",CA116=1,OR(N(CK116)=0,N(CK116)&gt;30)),"розетка без дифзащиты до 30 мА",""),IFERROR(IF(AND(ISNUMBER(R116),R116&gt;DV116),"потери "&amp;FIXED(R116,1)&amp;" % &gt; "&amp;DV116&amp;" %",""),""),IFERROR(IF(LEFT(GZ116,4)="мало","Iкз мало — отключение &gt; 0,4 с",""),""),IF(AND(B116&lt;&gt;"",BH116=""),"не на схеме",""),IF(AND(CA116=0,B116&lt;&gt;"",FE116&lt;&gt;"",IF(AW116=1,"",FF115)&lt;&gt;"",FE116&lt;&gt;IF(AW116=1,"",FF115)),"фаза не как у автомата группы ("&amp;IF(AW116=1,"",FF115)&amp;")","")))</f>
        <v/>
      </c>
      <c r="HB116" s="6">
        <f>IF(OR(CA116=0,DA116=""),"",_xlfn.LET(_xlpm.t,IFERROR(_xlfn.XLOOKUP(DA116,Каталог!$U$4:$U$500,Каталог!$G$4:$G$500),""),_xlpm.k,SEARCH("кА",_xlpm.t),IFERROR(--TRIM(RIGHT(SUBSTITUTE(MID(_xlpm.t,MAX(1,_xlpm.k-4),_xlpm.k-MAX(1,_xlpm.k-4))," ",REPT(" ",9)),5)),"")))</f>
        <v>6</v>
      </c>
      <c r="HC116" t="str">
        <f>IF(OR(HB116="",CA116=0),"",IF(_xlfn.XLOOKUP(A116,Щиты[Щит],Щиты[Iкз max на шинах, кА],"")="","",IF(HB116&lt;_xlfn.XLOOKUP(A116,Щиты[Щит],Щиты[Iкз max на шинах, кА]),"Icu "&amp;HB116&amp;" кА &lt; Iкз max","ok")))</f>
        <v/>
      </c>
      <c r="HD116" t="str">
        <f t="shared" si="221"/>
        <v/>
      </c>
      <c r="HE116" t="str">
        <f t="shared" si="222"/>
        <v>QF14</v>
      </c>
      <c r="HF116" t="str">
        <f t="shared" si="223"/>
        <v>QF14|кабель ВВГнг(А)-LS (3х1,5) → Внутренний блок кондиционирования цокольный этаж Пом. №005Б</v>
      </c>
      <c r="HG116" t="str" cm="1">
        <f t="array" ref="HG116">IF(HF116="","",_xlfn.LET(_xlpm.nd,_xlfn.TEXTSPLIT(HF116,"|"),IF(COLUMNS(_xlpm.nd)&gt;1,A116&amp;"¦"&amp;INDEX(_xlpm.nd,1)&amp;"¦"&amp;INDEX(_xlpm.nd,2),"")))</f>
        <v>ЩОВ-01¦QF14¦кабель ВВГнг(А)-LS (3х1,5) → Внутренний блок кондиционирования цокольный этаж Пом. №005Б</v>
      </c>
      <c r="HH116" t="str">
        <f t="shared" si="224"/>
        <v>K.0.005Б.2¦Внутренний блок кондиционирования цокольный этаж Пом. №005Б</v>
      </c>
      <c r="HI116" t="str" cm="1">
        <f t="array" ref="HI116">IF(HF116="","",_xlfn.LET(_xlpm.nd,_xlfn.TEXTSPLIT(HF116,"|"),IF(COLUMNS(_xlpm.nd)&gt;2,A116&amp;"¦"&amp;INDEX(_xlpm.nd,2)&amp;"¦"&amp;INDEX(_xlpm.nd,3),"")))</f>
        <v/>
      </c>
      <c r="HJ116" t="str">
        <f t="shared" si="225"/>
        <v/>
      </c>
      <c r="HK116" t="str" cm="1">
        <f t="array" ref="HK116">IF(HF116="","",_xlfn.LET(_xlpm.nd,_xlfn.TEXTSPLIT(HF116,"|"),IF(COLUMNS(_xlpm.nd)&gt;3,A116&amp;"¦"&amp;INDEX(_xlpm.nd,3)&amp;"¦"&amp;INDEX(_xlpm.nd,4),"")))</f>
        <v/>
      </c>
      <c r="HL116" t="str">
        <f t="shared" si="226"/>
        <v/>
      </c>
      <c r="HM116" t="str" cm="1">
        <f t="array" ref="HM116">IF(HF116="","",_xlfn.LET(_xlpm.nd,_xlfn.TEXTSPLIT(HF116,"|"),IF(COLUMNS(_xlpm.nd)&gt;4,A116&amp;"¦"&amp;INDEX(_xlpm.nd,4)&amp;"¦"&amp;INDEX(_xlpm.nd,5),"")))</f>
        <v/>
      </c>
      <c r="HN116" t="str">
        <f t="shared" si="227"/>
        <v/>
      </c>
      <c r="HO116" t="str" cm="1">
        <f t="array" ref="HO116">IF(HF116="","",_xlfn.LET(_xlpm.nd,_xlfn.TEXTSPLIT(HF116,"|"),IF(COLUMNS(_xlpm.nd)&gt;5,A116&amp;"¦"&amp;INDEX(_xlpm.nd,5)&amp;"¦"&amp;INDEX(_xlpm.nd,6),"")))</f>
        <v/>
      </c>
      <c r="HP116" t="str">
        <f t="shared" si="228"/>
        <v/>
      </c>
      <c r="HQ116" t="str" cm="1">
        <f t="array" ref="HQ116">IF(HF116="","",_xlfn.LET(_xlpm.nd,_xlfn.TEXTSPLIT(HF116,"|"),IF(COLUMNS(_xlpm.nd)&gt;6,A116&amp;"¦"&amp;INDEX(_xlpm.nd,6)&amp;"¦"&amp;INDEX(_xlpm.nd,7),"")))</f>
        <v/>
      </c>
      <c r="HR116" t="str">
        <f t="shared" si="229"/>
        <v/>
      </c>
      <c r="HS116" t="str">
        <f t="shared" si="230"/>
        <v/>
      </c>
      <c r="HT116" t="str">
        <f t="shared" si="231"/>
        <v>QF14</v>
      </c>
      <c r="HU116">
        <f t="shared" si="232"/>
        <v>0</v>
      </c>
      <c r="HV116">
        <f t="shared" si="233"/>
        <v>0</v>
      </c>
      <c r="HW116" t="str">
        <f t="shared" si="234"/>
        <v/>
      </c>
      <c r="HX116" t="str">
        <f t="shared" si="235"/>
        <v/>
      </c>
      <c r="HY116" t="str">
        <f t="shared" si="236"/>
        <v/>
      </c>
      <c r="HZ116" t="str">
        <f t="shared" si="237"/>
        <v/>
      </c>
      <c r="IA116">
        <f>IF(B116="","",IFERROR(VLOOKUP(B116,УГО_спр,2,FALSE),IFERROR(VLOOKUP(AX116,УГО_спр,2,FALSE),IFERROR(VLOOKUP(LEFT(AX116,2),УГО_спр,2,FALSE),""))))</f>
        <v>0</v>
      </c>
      <c r="IB116" t="str">
        <f>IF(B116="","",IF(OR(IA116="",IA116=0),"BOX",IFERROR(IF(VLOOKUP(IA116,УГО_блоки,3,FALSE)&amp;""&lt;&gt;"",VLOOKUP(IA116,УГО_блоки,3,FALSE),VLOOKUP(IA116,УГО_блоки,2,FALSE)),IA116)))</f>
        <v>BOX</v>
      </c>
      <c r="IC116">
        <f t="shared" si="238"/>
        <v>1</v>
      </c>
      <c r="ID116" t="str">
        <f>IF(DA116="","",IF(COUNTIF(DA$3:DA116,DA116)=1,MAX(ID$2:ID115)+1,""))</f>
        <v/>
      </c>
      <c r="IE116" t="str">
        <f>IF(CO116="","",IF(COUNTIF(CO$3:CO116,CO116)+COUNTIF(CP$2:CP115,CO116)+COUNTIF(CQ$2:CQ115,CO116)=1,MAX(IE$2:IG115)+1,""))</f>
        <v/>
      </c>
      <c r="IF116" t="str">
        <f>IF(CP116="","",IF(COUNTIF(CO$3:CO116,CP116)+COUNTIF(CP$3:CP116,CP116)+COUNTIF(CQ$2:CQ115,CP116)=1,MAX(IE$2:IG115,IE116)+1,""))</f>
        <v/>
      </c>
      <c r="IG116" t="str">
        <f>IF(CQ116="","",IF(COUNTIF(CO$3:CO116,CQ116)+COUNTIF(CP$3:CP116,CQ116)+COUNTIF(CQ$3:CQ116,CQ116)=1,MAX(IE$2:IG115,IE116,IF116)+1,""))</f>
        <v/>
      </c>
      <c r="IH116" t="str">
        <f t="shared" si="239"/>
        <v>3х1,5</v>
      </c>
      <c r="II116" t="str">
        <f>IF(IH116="","",IF(COUNTIF(IH$3:IH116,IH116)=1,MAX(II$2:II115)+1,""))</f>
        <v/>
      </c>
      <c r="IJ116" t="str">
        <f>IF(GL116="","",COUNTIF(GL$3:GL116,"?*"))</f>
        <v/>
      </c>
      <c r="IK116" t="str">
        <f>IF(OR(GL116="",GN116=""),"",IF(COUNTIFS(GL$3:GL116,"?*",GN$3:GN116,GN116)=1,MAX(IK$2:IK115)+1,""))</f>
        <v/>
      </c>
      <c r="IL116">
        <f t="shared" si="240"/>
        <v>0</v>
      </c>
      <c r="IM116">
        <f>IF(B116="","",COUNTIF(B$3:B116,"?*"))</f>
        <v>114</v>
      </c>
      <c r="IN116">
        <f>IF(GQ116&lt;&gt;1,0,_xlfn.LET(_xlpm.k,MAX(IFERROR(--VLOOKUP(B116,УГО_спр,5,FALSE),0),IFERROR(--VLOOKUP(AX116,УГО_спр,5,FALSE),0),IFERROR(--VLOOKUP(LEFT(AX116,2),УГО_спр,5,FALSE),0)),IF(_xlpm.k&gt;0,_xlpm.k,IF(IFERROR(--LEFT(SUBSTITUTE(IH116,"x","х"),FIND("х",SUBSTITUTE(IH116,"x","х"))-1),3)&gt;3,Каталог!$S$9,1))))</f>
        <v>1</v>
      </c>
      <c r="IO116">
        <f t="shared" si="241"/>
        <v>0</v>
      </c>
      <c r="IP116" t="str">
        <f t="shared" si="242"/>
        <v>авто</v>
      </c>
      <c r="IQ116" t="str">
        <f t="shared" si="243"/>
        <v/>
      </c>
      <c r="IR116">
        <f t="shared" si="244"/>
        <v>0</v>
      </c>
      <c r="IS116">
        <f t="shared" si="245"/>
        <v>1</v>
      </c>
    </row>
    <row r="117" spans="1:253" x14ac:dyDescent="0.3">
      <c r="A117" t="s">
        <v>747</v>
      </c>
      <c r="B117" t="s">
        <v>1365</v>
      </c>
      <c r="C117" t="s">
        <v>1637</v>
      </c>
      <c r="D117">
        <v>1</v>
      </c>
      <c r="E117">
        <v>0.111</v>
      </c>
      <c r="G117">
        <v>10</v>
      </c>
      <c r="H117" t="str">
        <f>Линии[[#This Row],[_авто утечка]]</f>
        <v/>
      </c>
      <c r="I117" t="str">
        <f>Линии[[#This Row],[_авто управление]]</f>
        <v/>
      </c>
      <c r="J117" t="str">
        <f>Линии[[#This Row],[_авто аппараты]]</f>
        <v/>
      </c>
      <c r="K117">
        <v>1.5</v>
      </c>
      <c r="L117">
        <v>50</v>
      </c>
      <c r="M117" t="str">
        <f>Линии[[#This Row],[_авто фаза]]</f>
        <v>L3</v>
      </c>
      <c r="N117" t="s">
        <v>486</v>
      </c>
      <c r="O117" t="str">
        <f t="shared" si="123"/>
        <v/>
      </c>
      <c r="P117" s="6" cm="1">
        <f t="array" ref="P117">IF(B117="","",IF(BC117&lt;&gt;"",IFERROR(_xlfn.XLOOKUP(BC117,Щиты[Щит],Щиты[Iр, А]),""),IF(BK117=1,IFERROR(_xlfn.XLOOKUP(A117,Щиты[Щит],Щиты[Iр, А]),""),IFERROR(_xlfn.IFS(BR117=1,BN117/((Uн_лин/SQRT(3))*BY117),BR117=3,BN117/(SQRT(3)*Uн_лин*BY117)),""))))</f>
        <v>0.60080512387545415</v>
      </c>
      <c r="Q117" s="7">
        <f>IF(B117="","",IFERROR(IF(VLOOKUP(AX117,Потребители_обозначение,4,FALSE)=1,VLOOKUP(AX117,Потребители_обозначение,3,FALSE)*(D117*2-1)+DS117+VLOOKUP(AZ117,Этаж_обозначение,3,FALSE)+VLOOKUP(AZ117,Этаж_обозначение,4,FALSE),VLOOKUP(AX117,Потребители_обозначение,3,FALSE)*(D117*2-1)+DS117),DS117))</f>
        <v>52</v>
      </c>
      <c r="R117" s="6">
        <f t="shared" si="124"/>
        <v>0.57000000000000006</v>
      </c>
      <c r="S117" t="str">
        <f t="shared" si="125"/>
        <v>ВВГнг(А)-LS (3х1,5)</v>
      </c>
      <c r="T117" t="str">
        <f>IF(BH117="","",IF(BI117="вводной узел","узел ","")&amp;"л."&amp;(INT((BH117-1)/Столбцов_на_лист)+1)&amp;" / "&amp;(MOD(BH117-1,Столбцов_на_лист)+1))</f>
        <v>л.2 / 17</v>
      </c>
      <c r="V117">
        <v>1</v>
      </c>
      <c r="W117">
        <v>230</v>
      </c>
      <c r="X117" t="s">
        <v>600</v>
      </c>
      <c r="Y117">
        <v>0.5</v>
      </c>
      <c r="AC117" t="s">
        <v>815</v>
      </c>
      <c r="AE117" t="s">
        <v>578</v>
      </c>
      <c r="AI117">
        <v>34</v>
      </c>
      <c r="AJ117" t="s">
        <v>11</v>
      </c>
      <c r="AK117">
        <v>3</v>
      </c>
      <c r="AM117">
        <v>36</v>
      </c>
      <c r="AN117">
        <v>16</v>
      </c>
      <c r="AP117">
        <v>1</v>
      </c>
      <c r="AW117" cm="1">
        <f t="array" ref="AW117">ROW()-ROW(Линии[#Headers])</f>
        <v>115</v>
      </c>
      <c r="AX117" s="6" t="str">
        <f t="shared" si="126"/>
        <v>K</v>
      </c>
      <c r="AY117" t="str">
        <f t="shared" si="127"/>
        <v>0.006A</v>
      </c>
      <c r="AZ117" t="str">
        <f t="shared" si="128"/>
        <v>0</v>
      </c>
      <c r="BA117" t="str">
        <f t="shared" si="129"/>
        <v>006A</v>
      </c>
      <c r="BB117" t="str">
        <f t="shared" si="130"/>
        <v>006A</v>
      </c>
      <c r="BC117" t="str">
        <f>IF(U117&lt;&gt;"",U117,IF(AND(B117&lt;&gt;"",B117&lt;&gt;A117,ISNUMBER(_xlfn.XMATCH(B117,Щиты[Щит]))),B117,""))</f>
        <v/>
      </c>
      <c r="BD117" t="str" cm="1">
        <f t="array" ref="BD117">IF(B117="","",IF(BC117&lt;&gt;"","Щит "&amp;BC117,_xlfn.LET(_xlpm.nm,IFERROR(_xlfn.XLOOKUP(AX117,Коды_код,Коды_имя)&amp;"",""),_xlpm.md,IFERROR(N(_xlfn.XLOOKUP(AX117,Коды_код,Коды_режим)),1),_xlpm.ex,IF(Имя_режим="по экспликации",IFERROR(_xlfn.XLOOKUP(AZ117&amp;"|"&amp;BB117,Экспликация[Этаж]&amp;"|"&amp;Экспликация[Помещение],Экспликация[Название])&amp;"",""),""),_xlpm.rm,IF(BB117="","",IF(_xlpm.ex&lt;&gt;"",". "&amp;_xlpm.ex&amp;IF(Имя_пом="нет"," ("&amp;BB117&amp;")"," (пом. "&amp;BB117&amp;")"),IF(Имя_пом="нет"," ",", пом. ")&amp;BB117)),IF(_xlpm.nm="","",IF(_xlpm.md=2,_xlpm.nm&amp;" шлейф "&amp;AZ117,_xlpm.nm&amp;_xlpm.rm)))))</f>
        <v>Внутренний блок кондиционирования, пом. 006A</v>
      </c>
      <c r="BE117" t="str">
        <f t="shared" si="131"/>
        <v>Внутренний блок кондиционирования цокольный этаж Пом. №014Б</v>
      </c>
      <c r="BF117">
        <f>IFERROR(_xlfn.XMATCH(A117,Щиты[Щит]),0)</f>
        <v>6</v>
      </c>
      <c r="BG117">
        <f>_xlfn.LET(_xlpm.k,IFERROR(_xlfn.XLOOKUP(A117,Щиты[Щит],Щиты[Листов под вводной узел]),""),IF(_xlpm.k="",1,N(_xlpm.k))*Столбцов_на_лист)</f>
        <v>17</v>
      </c>
      <c r="BH117">
        <f t="shared" si="132"/>
        <v>34</v>
      </c>
      <c r="BI117" t="str">
        <f t="shared" si="133"/>
        <v>линии</v>
      </c>
      <c r="BJ117" s="6">
        <f>IFERROR(N(_xlfn.XLOOKUP(AX117,Коды_код,Коды_квт)),0)</f>
        <v>0</v>
      </c>
      <c r="BK117">
        <f t="shared" si="134"/>
        <v>0</v>
      </c>
      <c r="BL117" t="str">
        <f>IF(B117="","",IF(BC117&lt;&gt;"",IFERROR(_xlfn.XLOOKUP(BC117,Щиты[Щит],Щиты[Руст, кВт]),0),IF(BK117=1,IFERROR(_xlfn.XLOOKUP(A117,Щиты[Щит],Щиты[Руст, кВт]),0),IF(BJ117&gt;0,ROUND(BJ117*MAX(1,N(D117)),3),""))))</f>
        <v/>
      </c>
      <c r="BM117">
        <f t="shared" si="135"/>
        <v>0.111</v>
      </c>
      <c r="BN117" s="6">
        <f>IF(B117="","",IF(BC117&lt;&gt;"",IFERROR(_xlfn.XLOOKUP(BC117,Щиты[Щит],Щиты[Руст, кВт]),0),N(BM117)))</f>
        <v>0.111</v>
      </c>
      <c r="BO117" t="str">
        <f>IF(B117="","",IFERROR(IF(VLOOKUP(AX117,Потребители_обозначение,8,FALSE)=0,"",VLOOKUP(AX117,Потребители_обозначение,8,FALSE)),""))</f>
        <v/>
      </c>
      <c r="BP117">
        <f t="shared" si="136"/>
        <v>230</v>
      </c>
      <c r="BQ117">
        <f>IF(B117="","",IF(BC117&lt;&gt;"",3,IFERROR(IF(N(VLOOKUP(AX117,Потребители_обозначение,9,FALSE))=0,1,VLOOKUP(AX117,Потребители_обозначение,9,FALSE)),1)))</f>
        <v>1</v>
      </c>
      <c r="BR117">
        <f t="shared" si="137"/>
        <v>1</v>
      </c>
      <c r="BS117" t="str">
        <f>IF(B117="","",_xlfn.LET(_xlpm.bc,IFERROR(IF(VLOOKUP(AX117,Потребители_обозначение,6,FALSE)=0,"",VLOOKUP(AX117,Потребители_обозначение,6,FALSE)&amp;""),""),IF(AND(FK117="да",OR(_xlpm.bc="",_xlpm.bc="мс")),Марка_пож,IF(AND(_xlpm.bc="",BC117&lt;&gt;""),"мс",_xlpm.bc))))</f>
        <v/>
      </c>
      <c r="BT117" t="str">
        <f t="shared" si="138"/>
        <v>мс</v>
      </c>
      <c r="BU117">
        <f>IF(B117="","",_xlfn.LET(_xlpm.cc,IFERROR(N(VLOOKUP(AX117,Потребители_обозначение,7,FALSE)),0),IF(_xlpm.cc&gt;0,_xlpm.cc,IF(BT117="","",IF(N(BR117)=3,5,3)))))</f>
        <v>3</v>
      </c>
      <c r="BV117">
        <f t="shared" si="139"/>
        <v>3</v>
      </c>
      <c r="BW117">
        <f>IFERROR(N(VLOOKUP(AX117,Потребители_обозначение,10,FALSE)),0)</f>
        <v>0</v>
      </c>
      <c r="BX117">
        <f>IFERROR(VLOOKUP(AX117,Потребители_обозначение,5,FALSE),0)</f>
        <v>1</v>
      </c>
      <c r="BY117" s="6" cm="1">
        <f t="array" ref="BY117">IF(B117="","",IF(BC117&lt;&gt;"",IFERROR(_xlfn.XLOOKUP(BC117,Щиты[Щит],Щиты[cos φ]),0.95),IF(BK117=1,IFERROR(_xlfn.XLOOKUP(A117,Щиты[Щит],Щиты[cos φ]),0.95),IF(ISNUMBER(Z117),Z117,IFERROR(IF(BX117=2,_xlfn.IFS(BR117=3,VLOOKUP(BN117,Справочная_двигатели,8,FALSE),BR117=1,VLOOKUP(BN117,Справочная_двигатели,10,TRUE)),IF(AND(Методика="нормы 2026",EQ117="Сил"),0.8,0.95)),0.95)))))</f>
        <v>0.8</v>
      </c>
      <c r="BZ117">
        <f t="shared" si="140"/>
        <v>0</v>
      </c>
      <c r="CA117">
        <f t="shared" si="141"/>
        <v>1</v>
      </c>
      <c r="CB117">
        <f t="shared" si="142"/>
        <v>0</v>
      </c>
      <c r="CC117">
        <f t="shared" si="143"/>
        <v>0</v>
      </c>
      <c r="CD117">
        <f t="shared" si="144"/>
        <v>0</v>
      </c>
      <c r="CE117">
        <f t="shared" si="145"/>
        <v>0</v>
      </c>
      <c r="CF117">
        <f t="shared" si="146"/>
        <v>0</v>
      </c>
      <c r="CG117">
        <f>IF(AX117="",0,_xlfn.LET(_xlpm.v,IFERROR(VLOOKUP(B117,УГО_спр,3,FALSE),IFERROR(VLOOKUP(AX117,УГО_спр,3,FALSE),IFERROR(VLOOKUP(LEFT(AX117,2),УГО_спр,3,FALSE),""))),IF(_xlpm.v="да",30,IF(ISNUMBER(_xlpm.v),_xlpm.v,0))))</f>
        <v>0</v>
      </c>
      <c r="CH117" t="str">
        <f t="shared" si="147"/>
        <v/>
      </c>
      <c r="CI117" t="str">
        <f>_xlfn.LET(_xlpm.k,IFERROR(_xlfn.XLOOKUP(AX117,Коды_код,Коды_утечка)&amp;"",""),IF(_xlpm.k="","дифавтомат",_xlpm.k))</f>
        <v>дифавтомат</v>
      </c>
      <c r="CJ117">
        <f t="shared" si="148"/>
        <v>0</v>
      </c>
      <c r="CK117">
        <f t="shared" si="149"/>
        <v>0</v>
      </c>
      <c r="CL117">
        <f>IF(B117="",0,IFERROR(--VLOOKUP(B117,УГО_спр,4,FALSE),IFERROR(--VLOOKUP(AX117,УГО_спр,4,FALSE),IFERROR(--VLOOKUP(LEFT(AX117,2),УГО_спр,4,FALSE),0))))</f>
        <v>0</v>
      </c>
      <c r="CM117" t="str">
        <f>IF(B117="","",IFERROR(_xlfn.XLOOKUP(AX117,Коды_код,Коды_апп)&amp;"",""))</f>
        <v/>
      </c>
      <c r="CN117" t="str">
        <f t="shared" si="150"/>
        <v/>
      </c>
      <c r="CO117" t="str" cm="1">
        <f t="array" ref="CO117">IF(TRIM(CN117&amp;"")="","",IFERROR(TRIM(INDEX(_xlfn.TEXTSPLIT(CN117&amp;";;;",";"),1)),""))</f>
        <v/>
      </c>
      <c r="CP117" t="str" cm="1">
        <f t="array" ref="CP117">IF(TRIM(CN117&amp;"")="","",IFERROR(TRIM(INDEX(_xlfn.TEXTSPLIT(CN117&amp;";;;",";"),2)),""))</f>
        <v/>
      </c>
      <c r="CQ117" t="str" cm="1">
        <f t="array" ref="CQ117">IF(TRIM(CN117&amp;"")="","",IFERROR(TRIM(INDEX(_xlfn.TEXTSPLIT(CN117&amp;";;;",";"),3)),""))</f>
        <v/>
      </c>
      <c r="CR117">
        <f t="shared" si="151"/>
        <v>0</v>
      </c>
      <c r="CS117" t="str">
        <f>IF(B117="","",_xlfn.LET(_xlpm.t,LOWER(AV117&amp;""),IF(ISNUMBER(SEARCH("dim",_xlpm.t)),"DIM",IF(ISNUMBER(SEARCH("dali",_xlpm.t)),"DALI",IF(OR(ISNUMBER(SEARCH("relay",_xlpm.t)),ISNUMBER(SEARCH("реле",_xlpm.t))),"Relay",IF(ISNUMBER(SEARCH("кнопк",_xlpm.t)),"",IFERROR(_xlfn.XLOOKUP(AX117,Коды_код,Коды_упр)&amp;"","")))))))</f>
        <v/>
      </c>
      <c r="CT117" t="str">
        <f t="shared" si="152"/>
        <v/>
      </c>
      <c r="CU117">
        <f>IF(B117="","",_xlfn.LET(_xlpm.ig,N(P117)+IF(AF117="вручную",0,N(CB117)),_xlpm.n0,IFERROR(VLOOKUP(_xlpm.ig,Автомат_номиналы,2,TRUE),0),_xlpm.mn,MAX(CL117,IF(AF117="вручную",0,N(CE117))),MAX(_xlpm.n0,_xlpm.mn,IF(CR117=1,Мин_автомат_БП,0))))</f>
        <v>6</v>
      </c>
      <c r="CV117">
        <f t="shared" si="153"/>
        <v>1</v>
      </c>
      <c r="CW117" t="str">
        <f t="shared" si="154"/>
        <v>1P</v>
      </c>
      <c r="CX117" t="str">
        <f>_xlfn.LET(_xlpm.cc,UPPER(TRIM(IFERROR(_xlfn.XLOOKUP(AX117,Коды_код,Коды_хар)&amp;"",""))),IF(OR(_xlpm.cc="B",_xlpm.cc="В"),"B",IF(_xlpm.cc="D","D","С")))</f>
        <v>С</v>
      </c>
      <c r="CY117" t="str">
        <f t="shared" si="155"/>
        <v>1P С6А</v>
      </c>
      <c r="CZ117">
        <f t="shared" si="156"/>
        <v>10</v>
      </c>
      <c r="DA117" t="str">
        <f t="shared" si="157"/>
        <v>1P С10А</v>
      </c>
      <c r="DB117" cm="1">
        <f t="array" ref="DB117">IF(DA117="","",_xlfn.LET(_xlpm.t,SUBSTITUTE(SUBSTITUTE(SUBSTITUTE(UPPER(DA117),"С","C"),"А","A"),"В","B"),_xlpm.tk,_xlfn.TEXTSPLIT(_xlpm.t,"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7" t="str">
        <f t="shared" si="158"/>
        <v>ok</v>
      </c>
      <c r="DD117">
        <f t="shared" si="159"/>
        <v>10</v>
      </c>
      <c r="DE117" t="str">
        <f t="shared" si="160"/>
        <v>1P С10А</v>
      </c>
      <c r="DF117">
        <f t="shared" si="161"/>
        <v>0</v>
      </c>
      <c r="DG117">
        <f t="shared" si="162"/>
        <v>0</v>
      </c>
      <c r="DH117">
        <f t="shared" si="163"/>
        <v>0</v>
      </c>
      <c r="DI117">
        <f t="shared" si="164"/>
        <v>0.60080512387545415</v>
      </c>
      <c r="DJ117">
        <f t="shared" si="165"/>
        <v>1</v>
      </c>
      <c r="DK117">
        <f>IF(ISNUMBER(AL117),AL117,К_прокл)</f>
        <v>1</v>
      </c>
      <c r="DL117">
        <f t="shared" si="166"/>
        <v>2</v>
      </c>
      <c r="DM117">
        <f>IFERROR(N(VLOOKUP(BT117,Кабель_обозначение,3,FALSE)),1)</f>
        <v>1</v>
      </c>
      <c r="DN117">
        <f>IFERROR(N(_xlfn.XLOOKUP(A117,Щиты[Щит],Щиты[ΔU до шин, %])),0)</f>
        <v>0.24000000000000002</v>
      </c>
      <c r="DO117" t="str">
        <f>IFERROR(_xlfn.XLOOKUP(A117,Щиты[Щит],Щиты[Zпетли на шинах, Ом]),"")</f>
        <v/>
      </c>
      <c r="DP117">
        <f>IFERROR(N(_xlfn.XLOOKUP(A117,Щиты[Щит],Щиты[ΔU до шин (подбор), %])),0)</f>
        <v>0.36</v>
      </c>
      <c r="DQ117" t="str">
        <f>IFERROR(_xlfn.XLOOKUP(A117,Щиты[Щит],Щиты[Zпетли на шинах (подбор), Ом]),"")</f>
        <v/>
      </c>
      <c r="DR117" t="str">
        <f t="shared" si="167"/>
        <v/>
      </c>
      <c r="DS117">
        <f t="shared" si="168"/>
        <v>50</v>
      </c>
      <c r="DT117">
        <f t="shared" si="169"/>
        <v>2</v>
      </c>
      <c r="DU117">
        <f t="shared" si="170"/>
        <v>0.6</v>
      </c>
      <c r="DV117" s="6">
        <f>IF(B117="","",IF(IFERROR(VLOOKUP(AX117,УГО_спр,2,FALSE),"")="Светильник",3,4)+IF(Методика="нормы 2026",MIN(0.5,MAX(0,N(Q117)-100)*0.005),0))</f>
        <v>4</v>
      </c>
      <c r="DW117" cm="1">
        <f t="array" ref="DW117">IF(OR(B117="",BT117="",DM117&lt;&gt;1),"",_xlfn.LET(_xlpm.sz,Iдоп_S,_xlpm.t_,CHOOSE(DL117,Iдоп_1ж,Iдоп_2ж,Iдоп_3ж)*DJ117*DK117,_xlpm.inn,N(DD117),_xlpm.smin,MAX(1.5,BW117),_xlpm.L_,N(Q117)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117)*(_xlpm.rho*_xlpm.L_/_xlpm.sz*N(BY117)+_xlpm.xx*_xlpm.L_*N(DU117)/1000)*N(P117)/((Uн_лин/SQRT(3))*1000)*100,999),_xlpm.kz,IF(OR(DG117=1,NOT(ISNUMBER(DQ117)),_xlpm.L_=0,_xlpm.inn=0),1,IFERROR(--(c_min*(Uн_лин*1000/SQRT(3))/(DQ117+2*ρкз_Cu*_xlpm.L_/_xlpm.sz)&gt;=GY117*_xlpm.inn),0)),_xlpm.ok,IFERROR((_xlpm.sz&gt;=_xlpm.smin)*(_xlpm.t_&gt;=_xlpm.inn)*IF(_xlpm.L_&gt;0,(_xlpm.du_+DP117&lt;=DV117+0.00001),1)*_xlpm.kz,0),_xlpm.r_,_xlfn._xlws.FILTER(_xlpm.sz,_xlpm.ok,"не подобрано"),INDEX(_xlpm.r_,1)))</f>
        <v>1.5</v>
      </c>
      <c r="DX117">
        <f t="shared" si="171"/>
        <v>1.5</v>
      </c>
      <c r="DY117" cm="1">
        <f t="array" ref="DY117">IF(OR(B117="",BT117="",DM117&lt;&gt;1),"",_xlfn.LET(_xlpm.sz,Iдоп_S,_xlpm.t_,CHOOSE(DL117,Iдоп_1ж,Iдоп_2ж,Iдоп_3ж)*DJ117*DK117,_xlpm.ok,IFERROR((_xlpm.sz&gt;=MAX(1.5,BW117))*(_xlpm.t_&gt;=N(DD117)),0),_xlpm.r_,_xlfn._xlws.FILTER(_xlpm.sz,_xlpm.ok,""),INDEX(_xlpm.r_,1)))</f>
        <v>1.5</v>
      </c>
      <c r="DZ117" s="6" cm="1">
        <f t="array" ref="DZ117">IFERROR(ROUNDUP(N(DT117)*(_xlfn.XLOOKUP(DY117,INDEX(Кабель_сопротивление,0,1),INDEX(Кабель_сопротивление,0,3))*N(Q117)/DY117*N(BY117)+_xlfn.XLOOKUP(DY117,INDEX(Кабель_сопротивление,0,1),INDEX(Кабель_сопротивление,0,2))*N(Q117)*N(DU117)/1000)*N(P117)/((Uн_лин/SQRT(3))*1000)*100,2),"")</f>
        <v>0.33</v>
      </c>
      <c r="EA117">
        <f>IFERROR(2*ρкз_Cu*N(Q117)/DY117,"")</f>
        <v>1.8234666666666666</v>
      </c>
      <c r="EB117">
        <f>IFERROR(VLOOKUP(DX117,Кабель_сопротивление,3,FALSE),"")</f>
        <v>2.2499999999999999E-2</v>
      </c>
      <c r="EC117">
        <f>IFERROR(VLOOKUP(DX117,Кабель_сопротивление,2,FALSE),"")</f>
        <v>0.11</v>
      </c>
      <c r="ED117">
        <f t="shared" si="172"/>
        <v>16</v>
      </c>
      <c r="EE117">
        <f t="shared" si="173"/>
        <v>0</v>
      </c>
      <c r="EF117">
        <f t="shared" si="174"/>
        <v>0.75392872096684793</v>
      </c>
      <c r="EG117" s="6">
        <f>IFERROR(ROUNDUP(EF117/((Uн_лин/SQRT(3))*1000)*100,2),"")</f>
        <v>0.33</v>
      </c>
      <c r="EH117" t="str">
        <f>IFERROR(VLOOKUP(BT117,Кабель_обозначение,2,FALSE),"")</f>
        <v>ВВГнг(А)-LS</v>
      </c>
      <c r="EI117" t="str">
        <f t="shared" si="175"/>
        <v>ВВГнг(А)-LS (3х1,5)</v>
      </c>
      <c r="EJ117" t="str">
        <f t="shared" si="176"/>
        <v>ВВГнг(А)-LS (3х1,5)
L=52-0,33%</v>
      </c>
      <c r="EK117">
        <f>IFERROR(2*ρкз_Cu*Q117/DX117,"")</f>
        <v>1.8234666666666666</v>
      </c>
      <c r="EL117">
        <f t="shared" si="177"/>
        <v>0.6066666666666668</v>
      </c>
      <c r="EM117" s="6" t="str">
        <f>IFERROR(IF(OR(B117="",NOT(ISNUMBER(DX117)),N(Q117)=0),"",_xlfn.XLOOKUP(A117,Щиты[Щит],Щиты[Zпетли на шинах, Ом])+EK117),"")</f>
        <v/>
      </c>
      <c r="EN117" s="6" t="str">
        <f>IF(ISNUMBER(EM117),c_min*(Uн_лин*1000/SQRT(3))/EM117,"")</f>
        <v/>
      </c>
      <c r="EO117" s="6" t="str">
        <f>IFERROR(IF(OR(B117="",NOT(ISNUMBER(DX117))),"",1.05*(Uн_лин*1000/SQRT(3))/(_xlfn.XLOOKUP(A117,Щиты[Щит],Щиты[Zmax на шинах, Ом])+EL117)/1000),"")</f>
        <v/>
      </c>
      <c r="EP117" s="6" t="str">
        <f>IF(B117="","",IF(ISNUMBER(Y117),"Сил",IF(IFERROR(_xlfn.XLOOKUP(AX117,Коды_код,Коды_группа)&amp;"","")="","Быт",_xlfn.XLOOKUP(AX117,Коды_код,Коды_группа)&amp;"")))</f>
        <v>Сил</v>
      </c>
      <c r="EQ117" s="6" t="str">
        <f t="shared" si="178"/>
        <v>Сил</v>
      </c>
      <c r="ER117" s="6">
        <f>IF(EQ117="Щит","щит",IF(EQ117="","",IF(EQ117="Быт",IFERROR(_xlfn.XLOOKUP(A117,Щиты[Щит],Щиты[Кс быт]),1),IF(EQ117="Сил",IF(ISNUMBER(Y117),Y117,IF(Методика="нормы 2026",IFERROR(_xlfn.XLOOKUP(A117,Щиты[Щит],Щиты[Кс силовых (табл. 7.5)]),1),1)),IF(OR(EQ117="Пост",EQ117="Отоп"),1,IF(EQ117="ВНГ",0.7,0))))))</f>
        <v>0.5</v>
      </c>
      <c r="ES117">
        <f t="shared" si="179"/>
        <v>1</v>
      </c>
      <c r="ET117">
        <f t="shared" si="180"/>
        <v>0.111</v>
      </c>
      <c r="EU117">
        <f t="shared" si="181"/>
        <v>0</v>
      </c>
      <c r="EV117">
        <f t="shared" si="182"/>
        <v>5.5500000000000001E-2</v>
      </c>
      <c r="EW117">
        <f t="shared" si="183"/>
        <v>0</v>
      </c>
      <c r="EX117">
        <f t="shared" si="184"/>
        <v>0</v>
      </c>
      <c r="EY117">
        <f t="shared" si="185"/>
        <v>0</v>
      </c>
      <c r="EZ117">
        <f t="shared" si="186"/>
        <v>0.111</v>
      </c>
      <c r="FA117">
        <f t="shared" si="187"/>
        <v>8.8800000000000004E-2</v>
      </c>
      <c r="FB117">
        <f t="shared" si="188"/>
        <v>0.111</v>
      </c>
      <c r="FC117" t="str">
        <f t="shared" si="189"/>
        <v/>
      </c>
      <c r="FD117" t="str">
        <f>IF(B117="","",IF(CA117=0,IF(AW117=1,"",FF116),IF(OR(N(CV117)&gt;=3,N(BR117)&gt;=3),"L1,L2,L3",IFERROR(_xlfn.TEXTBEFORE(_xlfn.TEXTAFTER(_xlfn.XLOOKUP(A117,Щиты[Щит],Щиты[_фазы авто]),";"&amp;AW117&amp;":"),";"),"L1"))))</f>
        <v>L3</v>
      </c>
      <c r="FE117" t="str">
        <f t="shared" si="190"/>
        <v>L3</v>
      </c>
      <c r="FF117" t="str">
        <f t="shared" si="191"/>
        <v>L3</v>
      </c>
      <c r="FG117" cm="1">
        <f t="array" ref="FG117">IFERROR(IF(BX117=2,_xlfn.IFS(BR117=3,VLOOKUP(BN117,Справочная_двигатели,3,FALSE),BR117=1,VLOOKUP(BN117,Справочная_двигатели,5,TRUE)),0),0)</f>
        <v>0</v>
      </c>
      <c r="FH117">
        <f>IFERROR(IF(BX117=3,VLOOKUP(BN117,Справочная_ЛЭД,2,TRUE),0),0)</f>
        <v>0</v>
      </c>
      <c r="FI117" s="6">
        <f t="shared" si="192"/>
        <v>0</v>
      </c>
      <c r="FJ117" t="str" cm="1">
        <f t="array" ref="FJ117">IF(B117="","",IFERROR(INDEX({"I особая","I","II","III"},MATCH(TRIM(AC117&amp;""),{"I особая","I","II","III"},0)),"III"))</f>
        <v>II</v>
      </c>
      <c r="FK117" t="str">
        <f>IF(B117="","",IF(TRIM(AD117&amp;"")&lt;&gt;"",IF(LOWER(TRIM(AD117&amp;""))="да","да","нет"),IF(IFERROR(_xlfn.XLOOKUP(AX117,Коды_код,Коды_пожарная),"")="да","да","нет")))</f>
        <v>нет</v>
      </c>
      <c r="FL117" t="str">
        <f t="shared" si="193"/>
        <v/>
      </c>
      <c r="FM117" t="str">
        <f t="shared" si="194"/>
        <v>основная</v>
      </c>
      <c r="FN117">
        <f t="shared" si="195"/>
        <v>1</v>
      </c>
      <c r="FO117" t="str" cm="1">
        <f t="array" ref="FO117">IF(B117="","",_xlfn.LET(_xlpm.t,IFERROR(_xlfn.XLOOKUP(1,(Шины[Шина]=FM117)*(((Шины[Щит]=A117)+(Шины[Щит]=""))&gt;0),Шины[Тип]),"")&amp;"",IF(_xlpm.t&lt;&gt;"",_xlpm.t,IF(ISNUMBER(SEARCH("ИБП",FM117)),"ИБП",IF(ISNUMBER(SEARCH("ДГУ",FM117)),"ДГУ","Ввод "&amp;FN117)))))</f>
        <v>Ввод 1</v>
      </c>
      <c r="FP117" t="str">
        <f t="shared" si="196"/>
        <v>Ввод 1</v>
      </c>
      <c r="FQ117" t="str">
        <f>IF(B117="","",IF(OR(FO117="ИБП",FO117="ДГУ"),"I особая",IF(FO117="Одиночная","III",_xlfn.XLOOKUP(A117,Щиты[Щит],Щиты[Категория шины «Ввод»],"III"))))</f>
        <v>II</v>
      </c>
      <c r="FR117">
        <f>IF(B117="",0,IFERROR(MATCH(FJ117,{"III","II","I","I особая"},0),1))</f>
        <v>2</v>
      </c>
      <c r="FS117">
        <f t="shared" si="197"/>
        <v>2</v>
      </c>
      <c r="FT117" t="str">
        <f>IF(B117="","",IF(FR117&gt;IFERROR(MATCH(FQ117,{"III","II","I","I особая"},0),1),"НЕ ОБЕСПЕЧЕНА","ОК"))</f>
        <v>ОК</v>
      </c>
      <c r="FU117" t="str">
        <f>IF(A117="","",_xlfn.XLOOKUP(A117,Щиты[Щит],Щиты[Путь],""))</f>
        <v>|ГРЩ-ЖД|ЩОВ-01|</v>
      </c>
      <c r="FV117" t="str">
        <f>IF(B117="","",IF(AE117&lt;&gt;"",AE117,IF(IFERROR(_xlfn.XLOOKUP(AX117,Коды_код,Коды_вид)&amp;"","")="","Прочее",_xlfn.XLOOKUP(AX117,Коды_код,Коды_вид)&amp;"")))</f>
        <v>Кондиционирование и увлажнение</v>
      </c>
      <c r="FW117">
        <f>IF(BH117="","",INT((BH117-1)/Столбцов_на_лист)+1)</f>
        <v>2</v>
      </c>
      <c r="FX117" t="str">
        <f t="shared" si="198"/>
        <v>ВВГнг(А)-LS (3х1,5) L=52-0,33%</v>
      </c>
      <c r="FY117">
        <f t="shared" si="199"/>
        <v>0.111</v>
      </c>
      <c r="FZ117">
        <f t="shared" si="200"/>
        <v>0.61</v>
      </c>
      <c r="GA117">
        <f t="shared" si="201"/>
        <v>1</v>
      </c>
      <c r="GB117">
        <f t="shared" si="202"/>
        <v>0</v>
      </c>
      <c r="GC117">
        <f t="shared" si="203"/>
        <v>1</v>
      </c>
      <c r="GD117">
        <f>IF(BH117="","",IF(AND(CA117=1,GC117=1),COUNTIFS(A$3:A117,A117,CA$3:CA117,1,GC$3:GC117,1),IF(OR(OR(AW117=1,A117&lt;&gt;A116),AF117="вручную",GC117=0),"",IF(AW117=1,"",GE116))))</f>
        <v>15</v>
      </c>
      <c r="GE117">
        <f t="shared" si="204"/>
        <v>15</v>
      </c>
      <c r="GF117">
        <f>IF(B117="","",IFERROR(LOOKUP(INDEX(CHOOSE(DL117,Iдоп_1ж,Iдоп_2ж,Iдоп_3ж),MATCH(DX117,Iдоп_S,0))*DJ117*DK117,{6,10,16,20,25,32,40,50,63,80,100,125,160,200,250,315,400,500,630}),""))</f>
        <v>16</v>
      </c>
      <c r="GG117" t="str">
        <f t="shared" si="205"/>
        <v>QF15</v>
      </c>
      <c r="GH117" t="str">
        <f t="shared" si="206"/>
        <v>QF15</v>
      </c>
      <c r="GI117" t="str">
        <f t="shared" si="207"/>
        <v/>
      </c>
      <c r="GJ117">
        <f t="shared" si="208"/>
        <v>0</v>
      </c>
      <c r="GK117" t="str">
        <f>IF(OR(AG117="",AG117="-"),"",IFERROR(VLOOKUP(AG117,Модули_спр,2,FALSE),"R"))</f>
        <v/>
      </c>
      <c r="GL117" t="str">
        <f>IF(GK117="","",GK117&amp;"."&amp;COUNTIFS(A$3:A117,A117,GK$3:GK117,GK117))</f>
        <v/>
      </c>
      <c r="GM117" t="str">
        <f t="shared" si="209"/>
        <v/>
      </c>
      <c r="GN117" t="str">
        <f t="shared" si="210"/>
        <v/>
      </c>
      <c r="GO117" t="str">
        <f t="shared" si="211"/>
        <v/>
      </c>
      <c r="GP117" t="str">
        <f t="shared" si="212"/>
        <v/>
      </c>
      <c r="GQ117">
        <f t="shared" si="213"/>
        <v>1</v>
      </c>
      <c r="GR117" t="str">
        <f>IF(GQ117=1,"XT"&amp;COUNTIFS(A$3:A117,A117,GQ$3:GQ117,1),"")</f>
        <v>XT15</v>
      </c>
      <c r="GS117" t="str">
        <f t="shared" si="214"/>
        <v/>
      </c>
      <c r="GT117" t="str">
        <f t="shared" si="215"/>
        <v>QF15</v>
      </c>
      <c r="GU117" t="str">
        <f t="shared" si="216"/>
        <v/>
      </c>
      <c r="GV117" t="str">
        <f t="shared" si="217"/>
        <v>ok</v>
      </c>
      <c r="GW117" t="str">
        <f>IF(OR(GO117="",GM117=""),"",IF(GO117&gt;IFERROR(VLOOKUP(GN117,Модули_спр,3,FALSE),99),"ЛИШНИЙ КАНАЛ",IF(AND(AH117&lt;&gt;"=",COUNTIFS(Линии[_модуль гр.],GM117,Линии[Канал (итог)],GO117,Линии[Канал],"&lt;&gt;=",Линии[Щит],A117)&gt;1),"ДУБЛЬ КАНАЛА","")))</f>
        <v/>
      </c>
      <c r="GX117" s="6" t="str">
        <f t="shared" si="218"/>
        <v/>
      </c>
      <c r="GY117">
        <f t="shared" si="219"/>
        <v>10</v>
      </c>
      <c r="GZ117" t="str">
        <f t="shared" si="220"/>
        <v/>
      </c>
      <c r="HA117" t="str">
        <f>IF(AND(B117="",GT117=""),"",_xlfn.TEXTJOIN("; ",TRUE,IF(AND(B117&lt;&gt;"",FE117=""),"нет фазы",""),IF(AND(B117&lt;&gt;"",N(FY117)=0,EQ117&lt;&gt;"Нет"),"нет мощности",""),IF(AND(GS117&lt;&gt;"",COUNTIFS(Линии[Щит],A117,Линии[Клемма (итог)],GS117)&gt;1),"дубль клеммы "&amp;GS117,""),IF(AND(GV117&lt;&gt;"",GV117&lt;&gt;"ok"),GV117,""),IF(GW117&lt;&gt;"",GW117,""),IF(AND(N(BV117)&gt;=4,N(BR117)=1),BV117&amp;" жил на 1 фазе",""),IF(AND(AX117="R",CA117=1,OR(N(CK117)=0,N(CK117)&gt;30)),"розетка без дифзащиты до 30 мА",""),IFERROR(IF(AND(ISNUMBER(R117),R117&gt;DV117),"потери "&amp;FIXED(R117,1)&amp;" % &gt; "&amp;DV117&amp;" %",""),""),IFERROR(IF(LEFT(GZ117,4)="мало","Iкз мало — отключение &gt; 0,4 с",""),""),IF(AND(B117&lt;&gt;"",BH117=""),"не на схеме",""),IF(AND(CA117=0,B117&lt;&gt;"",FE117&lt;&gt;"",IF(AW117=1,"",FF116)&lt;&gt;"",FE117&lt;&gt;IF(AW117=1,"",FF116)),"фаза не как у автомата группы ("&amp;IF(AW117=1,"",FF116)&amp;")","")))</f>
        <v/>
      </c>
      <c r="HB117" s="6">
        <f>IF(OR(CA117=0,DA117=""),"",_xlfn.LET(_xlpm.t,IFERROR(_xlfn.XLOOKUP(DA117,Каталог!$U$4:$U$500,Каталог!$G$4:$G$500),""),_xlpm.k,SEARCH("кА",_xlpm.t),IFERROR(--TRIM(RIGHT(SUBSTITUTE(MID(_xlpm.t,MAX(1,_xlpm.k-4),_xlpm.k-MAX(1,_xlpm.k-4))," ",REPT(" ",9)),5)),"")))</f>
        <v>6</v>
      </c>
      <c r="HC117" t="str">
        <f>IF(OR(HB117="",CA117=0),"",IF(_xlfn.XLOOKUP(A117,Щиты[Щит],Щиты[Iкз max на шинах, кА],"")="","",IF(HB117&lt;_xlfn.XLOOKUP(A117,Щиты[Щит],Щиты[Iкз max на шинах, кА]),"Icu "&amp;HB117&amp;" кА &lt; Iкз max","ok")))</f>
        <v/>
      </c>
      <c r="HD117" t="str">
        <f t="shared" si="221"/>
        <v/>
      </c>
      <c r="HE117" t="str">
        <f t="shared" si="222"/>
        <v>QF15</v>
      </c>
      <c r="HF117" t="str">
        <f t="shared" si="223"/>
        <v>QF15|кабель ВВГнг(А)-LS (3х1,5) → Внутренний блок кондиционирования цокольный этаж Пом. №014Б</v>
      </c>
      <c r="HG117" t="str" cm="1">
        <f t="array" ref="HG117">IF(HF117="","",_xlfn.LET(_xlpm.nd,_xlfn.TEXTSPLIT(HF117,"|"),IF(COLUMNS(_xlpm.nd)&gt;1,A117&amp;"¦"&amp;INDEX(_xlpm.nd,1)&amp;"¦"&amp;INDEX(_xlpm.nd,2),"")))</f>
        <v>ЩОВ-01¦QF15¦кабель ВВГнг(А)-LS (3х1,5) → Внутренний блок кондиционирования цокольный этаж Пом. №014Б</v>
      </c>
      <c r="HH117" t="str">
        <f t="shared" si="224"/>
        <v>K.0.006A¦Внутренний блок кондиционирования цокольный этаж Пом. №014Б</v>
      </c>
      <c r="HI117" t="str" cm="1">
        <f t="array" ref="HI117">IF(HF117="","",_xlfn.LET(_xlpm.nd,_xlfn.TEXTSPLIT(HF117,"|"),IF(COLUMNS(_xlpm.nd)&gt;2,A117&amp;"¦"&amp;INDEX(_xlpm.nd,2)&amp;"¦"&amp;INDEX(_xlpm.nd,3),"")))</f>
        <v/>
      </c>
      <c r="HJ117" t="str">
        <f t="shared" si="225"/>
        <v/>
      </c>
      <c r="HK117" t="str" cm="1">
        <f t="array" ref="HK117">IF(HF117="","",_xlfn.LET(_xlpm.nd,_xlfn.TEXTSPLIT(HF117,"|"),IF(COLUMNS(_xlpm.nd)&gt;3,A117&amp;"¦"&amp;INDEX(_xlpm.nd,3)&amp;"¦"&amp;INDEX(_xlpm.nd,4),"")))</f>
        <v/>
      </c>
      <c r="HL117" t="str">
        <f t="shared" si="226"/>
        <v/>
      </c>
      <c r="HM117" t="str" cm="1">
        <f t="array" ref="HM117">IF(HF117="","",_xlfn.LET(_xlpm.nd,_xlfn.TEXTSPLIT(HF117,"|"),IF(COLUMNS(_xlpm.nd)&gt;4,A117&amp;"¦"&amp;INDEX(_xlpm.nd,4)&amp;"¦"&amp;INDEX(_xlpm.nd,5),"")))</f>
        <v/>
      </c>
      <c r="HN117" t="str">
        <f t="shared" si="227"/>
        <v/>
      </c>
      <c r="HO117" t="str" cm="1">
        <f t="array" ref="HO117">IF(HF117="","",_xlfn.LET(_xlpm.nd,_xlfn.TEXTSPLIT(HF117,"|"),IF(COLUMNS(_xlpm.nd)&gt;5,A117&amp;"¦"&amp;INDEX(_xlpm.nd,5)&amp;"¦"&amp;INDEX(_xlpm.nd,6),"")))</f>
        <v/>
      </c>
      <c r="HP117" t="str">
        <f t="shared" si="228"/>
        <v/>
      </c>
      <c r="HQ117" t="str" cm="1">
        <f t="array" ref="HQ117">IF(HF117="","",_xlfn.LET(_xlpm.nd,_xlfn.TEXTSPLIT(HF117,"|"),IF(COLUMNS(_xlpm.nd)&gt;6,A117&amp;"¦"&amp;INDEX(_xlpm.nd,6)&amp;"¦"&amp;INDEX(_xlpm.nd,7),"")))</f>
        <v/>
      </c>
      <c r="HR117" t="str">
        <f t="shared" si="229"/>
        <v/>
      </c>
      <c r="HS117" t="str">
        <f t="shared" si="230"/>
        <v/>
      </c>
      <c r="HT117" t="str">
        <f t="shared" si="231"/>
        <v>QF15</v>
      </c>
      <c r="HU117">
        <f t="shared" si="232"/>
        <v>0</v>
      </c>
      <c r="HV117">
        <f t="shared" si="233"/>
        <v>0</v>
      </c>
      <c r="HW117" t="str">
        <f t="shared" si="234"/>
        <v/>
      </c>
      <c r="HX117" t="str">
        <f t="shared" si="235"/>
        <v/>
      </c>
      <c r="HY117" t="str">
        <f t="shared" si="236"/>
        <v/>
      </c>
      <c r="HZ117" t="str">
        <f t="shared" si="237"/>
        <v/>
      </c>
      <c r="IA117">
        <f>IF(B117="","",IFERROR(VLOOKUP(B117,УГО_спр,2,FALSE),IFERROR(VLOOKUP(AX117,УГО_спр,2,FALSE),IFERROR(VLOOKUP(LEFT(AX117,2),УГО_спр,2,FALSE),""))))</f>
        <v>0</v>
      </c>
      <c r="IB117" t="str">
        <f>IF(B117="","",IF(OR(IA117="",IA117=0),"BOX",IFERROR(IF(VLOOKUP(IA117,УГО_блоки,3,FALSE)&amp;""&lt;&gt;"",VLOOKUP(IA117,УГО_блоки,3,FALSE),VLOOKUP(IA117,УГО_блоки,2,FALSE)),IA117)))</f>
        <v>BOX</v>
      </c>
      <c r="IC117">
        <f t="shared" si="238"/>
        <v>1</v>
      </c>
      <c r="ID117" t="str">
        <f>IF(DA117="","",IF(COUNTIF(DA$3:DA117,DA117)=1,MAX(ID$2:ID116)+1,""))</f>
        <v/>
      </c>
      <c r="IE117" t="str">
        <f>IF(CO117="","",IF(COUNTIF(CO$3:CO117,CO117)+COUNTIF(CP$2:CP116,CO117)+COUNTIF(CQ$2:CQ116,CO117)=1,MAX(IE$2:IG116)+1,""))</f>
        <v/>
      </c>
      <c r="IF117" t="str">
        <f>IF(CP117="","",IF(COUNTIF(CO$3:CO117,CP117)+COUNTIF(CP$3:CP117,CP117)+COUNTIF(CQ$2:CQ116,CP117)=1,MAX(IE$2:IG116,IE117)+1,""))</f>
        <v/>
      </c>
      <c r="IG117" t="str">
        <f>IF(CQ117="","",IF(COUNTIF(CO$3:CO117,CQ117)+COUNTIF(CP$3:CP117,CQ117)+COUNTIF(CQ$3:CQ117,CQ117)=1,MAX(IE$2:IG116,IE117,IF117)+1,""))</f>
        <v/>
      </c>
      <c r="IH117" t="str">
        <f t="shared" si="239"/>
        <v>3х1,5</v>
      </c>
      <c r="II117" t="str">
        <f>IF(IH117="","",IF(COUNTIF(IH$3:IH117,IH117)=1,MAX(II$2:II116)+1,""))</f>
        <v/>
      </c>
      <c r="IJ117" t="str">
        <f>IF(GL117="","",COUNTIF(GL$3:GL117,"?*"))</f>
        <v/>
      </c>
      <c r="IK117" t="str">
        <f>IF(OR(GL117="",GN117=""),"",IF(COUNTIFS(GL$3:GL117,"?*",GN$3:GN117,GN117)=1,MAX(IK$2:IK116)+1,""))</f>
        <v/>
      </c>
      <c r="IL117">
        <f t="shared" si="240"/>
        <v>0</v>
      </c>
      <c r="IM117">
        <f>IF(B117="","",COUNTIF(B$3:B117,"?*"))</f>
        <v>115</v>
      </c>
      <c r="IN117">
        <f>IF(GQ117&lt;&gt;1,0,_xlfn.LET(_xlpm.k,MAX(IFERROR(--VLOOKUP(B117,УГО_спр,5,FALSE),0),IFERROR(--VLOOKUP(AX117,УГО_спр,5,FALSE),0),IFERROR(--VLOOKUP(LEFT(AX117,2),УГО_спр,5,FALSE),0)),IF(_xlpm.k&gt;0,_xlpm.k,IF(IFERROR(--LEFT(SUBSTITUTE(IH117,"x","х"),FIND("х",SUBSTITUTE(IH117,"x","х"))-1),3)&gt;3,Каталог!$S$9,1))))</f>
        <v>1</v>
      </c>
      <c r="IO117">
        <f t="shared" si="241"/>
        <v>0</v>
      </c>
      <c r="IP117" t="str">
        <f t="shared" si="242"/>
        <v>авто</v>
      </c>
      <c r="IQ117" t="str">
        <f t="shared" si="243"/>
        <v/>
      </c>
      <c r="IR117">
        <f t="shared" si="244"/>
        <v>0</v>
      </c>
      <c r="IS117">
        <f t="shared" si="245"/>
        <v>1</v>
      </c>
    </row>
    <row r="118" spans="1:253" x14ac:dyDescent="0.3">
      <c r="A118" t="s">
        <v>747</v>
      </c>
      <c r="B118" t="s">
        <v>1387</v>
      </c>
      <c r="C118" t="s">
        <v>1637</v>
      </c>
      <c r="D118">
        <v>1</v>
      </c>
      <c r="E118">
        <v>0.104</v>
      </c>
      <c r="G118">
        <v>10</v>
      </c>
      <c r="H118" t="str">
        <f>Линии[[#This Row],[_авто утечка]]</f>
        <v/>
      </c>
      <c r="I118" t="str">
        <f>Линии[[#This Row],[_авто управление]]</f>
        <v/>
      </c>
      <c r="J118" t="str">
        <f>Линии[[#This Row],[_авто аппараты]]</f>
        <v/>
      </c>
      <c r="K118">
        <v>1.5</v>
      </c>
      <c r="L118">
        <v>53</v>
      </c>
      <c r="M118" t="str">
        <f>Линии[[#This Row],[_авто фаза]]</f>
        <v>L1</v>
      </c>
      <c r="N118" t="s">
        <v>486</v>
      </c>
      <c r="O118" t="str">
        <f t="shared" si="123"/>
        <v/>
      </c>
      <c r="P118" s="6" cm="1">
        <f t="array" ref="P118">IF(B118="","",IF(BC118&lt;&gt;"",IFERROR(_xlfn.XLOOKUP(BC118,Щиты[Щит],Щиты[Iр, А]),""),IF(BK118=1,IFERROR(_xlfn.XLOOKUP(A118,Щиты[Щит],Щиты[Iр, А]),""),IFERROR(_xlfn.IFS(BR118=1,BN118/((Uн_лин/SQRT(3))*BY118),BR118=3,BN118/(SQRT(3)*Uн_лин*BY118)),""))))</f>
        <v>0.56291651245988494</v>
      </c>
      <c r="Q118" s="7">
        <f>IF(B118="","",IFERROR(IF(VLOOKUP(AX118,Потребители_обозначение,4,FALSE)=1,VLOOKUP(AX118,Потребители_обозначение,3,FALSE)*(D118*2-1)+DS118+VLOOKUP(AZ118,Этаж_обозначение,3,FALSE)+VLOOKUP(AZ118,Этаж_обозначение,4,FALSE),VLOOKUP(AX118,Потребители_обозначение,3,FALSE)*(D118*2-1)+DS118),DS118))</f>
        <v>55</v>
      </c>
      <c r="R118" s="6">
        <f t="shared" si="124"/>
        <v>0.57000000000000006</v>
      </c>
      <c r="S118" t="str">
        <f t="shared" si="125"/>
        <v>ВВГнг(А)-LS (3х1,5)</v>
      </c>
      <c r="T118" t="str">
        <f>IF(BH118="","",IF(BI118="вводной узел","узел ","")&amp;"л."&amp;(INT((BH118-1)/Столбцов_на_лист)+1)&amp;" / "&amp;(MOD(BH118-1,Столбцов_на_лист)+1))</f>
        <v>л.3 / 1</v>
      </c>
      <c r="V118">
        <v>1</v>
      </c>
      <c r="W118">
        <v>230</v>
      </c>
      <c r="X118" t="s">
        <v>600</v>
      </c>
      <c r="Y118">
        <v>0.5</v>
      </c>
      <c r="AC118" t="s">
        <v>815</v>
      </c>
      <c r="AE118" t="s">
        <v>578</v>
      </c>
      <c r="AI118">
        <v>35</v>
      </c>
      <c r="AJ118" t="s">
        <v>11</v>
      </c>
      <c r="AK118">
        <v>3</v>
      </c>
      <c r="AM118">
        <v>36</v>
      </c>
      <c r="AN118">
        <v>19</v>
      </c>
      <c r="AP118">
        <v>1</v>
      </c>
      <c r="AW118" cm="1">
        <f t="array" ref="AW118">ROW()-ROW(Линии[#Headers])</f>
        <v>116</v>
      </c>
      <c r="AX118" s="6" t="str">
        <f t="shared" si="126"/>
        <v>K</v>
      </c>
      <c r="AY118" t="str">
        <f t="shared" si="127"/>
        <v>0.008A</v>
      </c>
      <c r="AZ118" t="str">
        <f t="shared" si="128"/>
        <v>0</v>
      </c>
      <c r="BA118" t="str">
        <f t="shared" si="129"/>
        <v>008A</v>
      </c>
      <c r="BB118" t="str">
        <f t="shared" si="130"/>
        <v>008A</v>
      </c>
      <c r="BC118" t="str">
        <f>IF(U118&lt;&gt;"",U118,IF(AND(B118&lt;&gt;"",B118&lt;&gt;A118,ISNUMBER(_xlfn.XMATCH(B118,Щиты[Щит]))),B118,""))</f>
        <v/>
      </c>
      <c r="BD118" t="str" cm="1">
        <f t="array" ref="BD118">IF(B118="","",IF(BC118&lt;&gt;"","Щит "&amp;BC118,_xlfn.LET(_xlpm.nm,IFERROR(_xlfn.XLOOKUP(AX118,Коды_код,Коды_имя)&amp;"",""),_xlpm.md,IFERROR(N(_xlfn.XLOOKUP(AX118,Коды_код,Коды_режим)),1),_xlpm.ex,IF(Имя_режим="по экспликации",IFERROR(_xlfn.XLOOKUP(AZ118&amp;"|"&amp;BB118,Экспликация[Этаж]&amp;"|"&amp;Экспликация[Помещение],Экспликация[Название])&amp;"",""),""),_xlpm.rm,IF(BB118="","",IF(_xlpm.ex&lt;&gt;"",". "&amp;_xlpm.ex&amp;IF(Имя_пом="нет"," ("&amp;BB118&amp;")"," (пом. "&amp;BB118&amp;")"),IF(Имя_пом="нет"," ",", пом. ")&amp;BB118)),IF(_xlpm.nm="","",IF(_xlpm.md=2,_xlpm.nm&amp;" шлейф "&amp;AZ118,_xlpm.nm&amp;_xlpm.rm)))))</f>
        <v>Внутренний блок кондиционирования, пом. 008A</v>
      </c>
      <c r="BE118" t="str">
        <f t="shared" si="131"/>
        <v>Внутренний блок кондиционирования цокольный этаж Пом. №014Б</v>
      </c>
      <c r="BF118">
        <f>IFERROR(_xlfn.XMATCH(A118,Щиты[Щит]),0)</f>
        <v>6</v>
      </c>
      <c r="BG118">
        <f>_xlfn.LET(_xlpm.k,IFERROR(_xlfn.XLOOKUP(A118,Щиты[Щит],Щиты[Листов под вводной узел]),""),IF(_xlpm.k="",1,N(_xlpm.k))*Столбцов_на_лист)</f>
        <v>17</v>
      </c>
      <c r="BH118">
        <f t="shared" si="132"/>
        <v>35</v>
      </c>
      <c r="BI118" t="str">
        <f t="shared" si="133"/>
        <v>линии</v>
      </c>
      <c r="BJ118" s="6">
        <f>IFERROR(N(_xlfn.XLOOKUP(AX118,Коды_код,Коды_квт)),0)</f>
        <v>0</v>
      </c>
      <c r="BK118">
        <f t="shared" si="134"/>
        <v>0</v>
      </c>
      <c r="BL118" t="str">
        <f>IF(B118="","",IF(BC118&lt;&gt;"",IFERROR(_xlfn.XLOOKUP(BC118,Щиты[Щит],Щиты[Руст, кВт]),0),IF(BK118=1,IFERROR(_xlfn.XLOOKUP(A118,Щиты[Щит],Щиты[Руст, кВт]),0),IF(BJ118&gt;0,ROUND(BJ118*MAX(1,N(D118)),3),""))))</f>
        <v/>
      </c>
      <c r="BM118">
        <f t="shared" si="135"/>
        <v>0.104</v>
      </c>
      <c r="BN118" s="6">
        <f>IF(B118="","",IF(BC118&lt;&gt;"",IFERROR(_xlfn.XLOOKUP(BC118,Щиты[Щит],Щиты[Руст, кВт]),0),N(BM118)))</f>
        <v>0.104</v>
      </c>
      <c r="BO118" t="str">
        <f>IF(B118="","",IFERROR(IF(VLOOKUP(AX118,Потребители_обозначение,8,FALSE)=0,"",VLOOKUP(AX118,Потребители_обозначение,8,FALSE)),""))</f>
        <v/>
      </c>
      <c r="BP118">
        <f t="shared" si="136"/>
        <v>230</v>
      </c>
      <c r="BQ118">
        <f>IF(B118="","",IF(BC118&lt;&gt;"",3,IFERROR(IF(N(VLOOKUP(AX118,Потребители_обозначение,9,FALSE))=0,1,VLOOKUP(AX118,Потребители_обозначение,9,FALSE)),1)))</f>
        <v>1</v>
      </c>
      <c r="BR118">
        <f t="shared" si="137"/>
        <v>1</v>
      </c>
      <c r="BS118" t="str">
        <f>IF(B118="","",_xlfn.LET(_xlpm.bc,IFERROR(IF(VLOOKUP(AX118,Потребители_обозначение,6,FALSE)=0,"",VLOOKUP(AX118,Потребители_обозначение,6,FALSE)&amp;""),""),IF(AND(FK118="да",OR(_xlpm.bc="",_xlpm.bc="мс")),Марка_пож,IF(AND(_xlpm.bc="",BC118&lt;&gt;""),"мс",_xlpm.bc))))</f>
        <v/>
      </c>
      <c r="BT118" t="str">
        <f t="shared" si="138"/>
        <v>мс</v>
      </c>
      <c r="BU118">
        <f>IF(B118="","",_xlfn.LET(_xlpm.cc,IFERROR(N(VLOOKUP(AX118,Потребители_обозначение,7,FALSE)),0),IF(_xlpm.cc&gt;0,_xlpm.cc,IF(BT118="","",IF(N(BR118)=3,5,3)))))</f>
        <v>3</v>
      </c>
      <c r="BV118">
        <f t="shared" si="139"/>
        <v>3</v>
      </c>
      <c r="BW118">
        <f>IFERROR(N(VLOOKUP(AX118,Потребители_обозначение,10,FALSE)),0)</f>
        <v>0</v>
      </c>
      <c r="BX118">
        <f>IFERROR(VLOOKUP(AX118,Потребители_обозначение,5,FALSE),0)</f>
        <v>1</v>
      </c>
      <c r="BY118" s="6" cm="1">
        <f t="array" ref="BY118">IF(B118="","",IF(BC118&lt;&gt;"",IFERROR(_xlfn.XLOOKUP(BC118,Щиты[Щит],Щиты[cos φ]),0.95),IF(BK118=1,IFERROR(_xlfn.XLOOKUP(A118,Щиты[Щит],Щиты[cos φ]),0.95),IF(ISNUMBER(Z118),Z118,IFERROR(IF(BX118=2,_xlfn.IFS(BR118=3,VLOOKUP(BN118,Справочная_двигатели,8,FALSE),BR118=1,VLOOKUP(BN118,Справочная_двигатели,10,TRUE)),IF(AND(Методика="нормы 2026",EQ118="Сил"),0.8,0.95)),0.95)))))</f>
        <v>0.8</v>
      </c>
      <c r="BZ118">
        <f t="shared" si="140"/>
        <v>0</v>
      </c>
      <c r="CA118">
        <f t="shared" si="141"/>
        <v>1</v>
      </c>
      <c r="CB118">
        <f t="shared" si="142"/>
        <v>0</v>
      </c>
      <c r="CC118">
        <f t="shared" si="143"/>
        <v>0</v>
      </c>
      <c r="CD118">
        <f t="shared" si="144"/>
        <v>0</v>
      </c>
      <c r="CE118">
        <f t="shared" si="145"/>
        <v>0</v>
      </c>
      <c r="CF118">
        <f t="shared" si="146"/>
        <v>0</v>
      </c>
      <c r="CG118">
        <f>IF(AX118="",0,_xlfn.LET(_xlpm.v,IFERROR(VLOOKUP(B118,УГО_спр,3,FALSE),IFERROR(VLOOKUP(AX118,УГО_спр,3,FALSE),IFERROR(VLOOKUP(LEFT(AX118,2),УГО_спр,3,FALSE),""))),IF(_xlpm.v="да",30,IF(ISNUMBER(_xlpm.v),_xlpm.v,0))))</f>
        <v>0</v>
      </c>
      <c r="CH118" t="str">
        <f t="shared" si="147"/>
        <v/>
      </c>
      <c r="CI118" t="str">
        <f>_xlfn.LET(_xlpm.k,IFERROR(_xlfn.XLOOKUP(AX118,Коды_код,Коды_утечка)&amp;"",""),IF(_xlpm.k="","дифавтомат",_xlpm.k))</f>
        <v>дифавтомат</v>
      </c>
      <c r="CJ118">
        <f t="shared" si="148"/>
        <v>0</v>
      </c>
      <c r="CK118">
        <f t="shared" si="149"/>
        <v>0</v>
      </c>
      <c r="CL118">
        <f>IF(B118="",0,IFERROR(--VLOOKUP(B118,УГО_спр,4,FALSE),IFERROR(--VLOOKUP(AX118,УГО_спр,4,FALSE),IFERROR(--VLOOKUP(LEFT(AX118,2),УГО_спр,4,FALSE),0))))</f>
        <v>0</v>
      </c>
      <c r="CM118" t="str">
        <f>IF(B118="","",IFERROR(_xlfn.XLOOKUP(AX118,Коды_код,Коды_апп)&amp;"",""))</f>
        <v/>
      </c>
      <c r="CN118" t="str">
        <f t="shared" si="150"/>
        <v/>
      </c>
      <c r="CO118" t="str" cm="1">
        <f t="array" ref="CO118">IF(TRIM(CN118&amp;"")="","",IFERROR(TRIM(INDEX(_xlfn.TEXTSPLIT(CN118&amp;";;;",";"),1)),""))</f>
        <v/>
      </c>
      <c r="CP118" t="str" cm="1">
        <f t="array" ref="CP118">IF(TRIM(CN118&amp;"")="","",IFERROR(TRIM(INDEX(_xlfn.TEXTSPLIT(CN118&amp;";;;",";"),2)),""))</f>
        <v/>
      </c>
      <c r="CQ118" t="str" cm="1">
        <f t="array" ref="CQ118">IF(TRIM(CN118&amp;"")="","",IFERROR(TRIM(INDEX(_xlfn.TEXTSPLIT(CN118&amp;";;;",";"),3)),""))</f>
        <v/>
      </c>
      <c r="CR118">
        <f t="shared" si="151"/>
        <v>0</v>
      </c>
      <c r="CS118" t="str">
        <f>IF(B118="","",_xlfn.LET(_xlpm.t,LOWER(AV118&amp;""),IF(ISNUMBER(SEARCH("dim",_xlpm.t)),"DIM",IF(ISNUMBER(SEARCH("dali",_xlpm.t)),"DALI",IF(OR(ISNUMBER(SEARCH("relay",_xlpm.t)),ISNUMBER(SEARCH("реле",_xlpm.t))),"Relay",IF(ISNUMBER(SEARCH("кнопк",_xlpm.t)),"",IFERROR(_xlfn.XLOOKUP(AX118,Коды_код,Коды_упр)&amp;"","")))))))</f>
        <v/>
      </c>
      <c r="CT118" t="str">
        <f t="shared" si="152"/>
        <v/>
      </c>
      <c r="CU118">
        <f>IF(B118="","",_xlfn.LET(_xlpm.ig,N(P118)+IF(AF118="вручную",0,N(CB118)),_xlpm.n0,IFERROR(VLOOKUP(_xlpm.ig,Автомат_номиналы,2,TRUE),0),_xlpm.mn,MAX(CL118,IF(AF118="вручную",0,N(CE118))),MAX(_xlpm.n0,_xlpm.mn,IF(CR118=1,Мин_автомат_БП,0))))</f>
        <v>6</v>
      </c>
      <c r="CV118">
        <f t="shared" si="153"/>
        <v>1</v>
      </c>
      <c r="CW118" t="str">
        <f t="shared" si="154"/>
        <v>1P</v>
      </c>
      <c r="CX118" t="str">
        <f>_xlfn.LET(_xlpm.cc,UPPER(TRIM(IFERROR(_xlfn.XLOOKUP(AX118,Коды_код,Коды_хар)&amp;"",""))),IF(OR(_xlpm.cc="B",_xlpm.cc="В"),"B",IF(_xlpm.cc="D","D","С")))</f>
        <v>С</v>
      </c>
      <c r="CY118" t="str">
        <f t="shared" si="155"/>
        <v>1P С6А</v>
      </c>
      <c r="CZ118">
        <f t="shared" si="156"/>
        <v>10</v>
      </c>
      <c r="DA118" t="str">
        <f t="shared" si="157"/>
        <v>1P С10А</v>
      </c>
      <c r="DB118" cm="1">
        <f t="array" ref="DB118">IF(DA118="","",_xlfn.LET(_xlpm.t,SUBSTITUTE(SUBSTITUTE(SUBSTITUTE(UPPER(DA118),"С","C"),"А","A"),"В","B"),_xlpm.tk,_xlfn.TEXTSPLIT(_xlpm.t,"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8" t="str">
        <f t="shared" si="158"/>
        <v>ok</v>
      </c>
      <c r="DD118">
        <f t="shared" si="159"/>
        <v>10</v>
      </c>
      <c r="DE118" t="str">
        <f t="shared" si="160"/>
        <v>1P С10А</v>
      </c>
      <c r="DF118">
        <f t="shared" si="161"/>
        <v>0</v>
      </c>
      <c r="DG118">
        <f t="shared" si="162"/>
        <v>0</v>
      </c>
      <c r="DH118">
        <f t="shared" si="163"/>
        <v>0</v>
      </c>
      <c r="DI118">
        <f t="shared" si="164"/>
        <v>0.56291651245988494</v>
      </c>
      <c r="DJ118">
        <f t="shared" si="165"/>
        <v>1</v>
      </c>
      <c r="DK118">
        <f>IF(ISNUMBER(AL118),AL118,К_прокл)</f>
        <v>1</v>
      </c>
      <c r="DL118">
        <f t="shared" si="166"/>
        <v>2</v>
      </c>
      <c r="DM118">
        <f>IFERROR(N(VLOOKUP(BT118,Кабель_обозначение,3,FALSE)),1)</f>
        <v>1</v>
      </c>
      <c r="DN118">
        <f>IFERROR(N(_xlfn.XLOOKUP(A118,Щиты[Щит],Щиты[ΔU до шин, %])),0)</f>
        <v>0.24000000000000002</v>
      </c>
      <c r="DO118" t="str">
        <f>IFERROR(_xlfn.XLOOKUP(A118,Щиты[Щит],Щиты[Zпетли на шинах, Ом]),"")</f>
        <v/>
      </c>
      <c r="DP118">
        <f>IFERROR(N(_xlfn.XLOOKUP(A118,Щиты[Щит],Щиты[ΔU до шин (подбор), %])),0)</f>
        <v>0.36</v>
      </c>
      <c r="DQ118" t="str">
        <f>IFERROR(_xlfn.XLOOKUP(A118,Щиты[Щит],Щиты[Zпетли на шинах (подбор), Ом]),"")</f>
        <v/>
      </c>
      <c r="DR118" t="str">
        <f t="shared" si="167"/>
        <v/>
      </c>
      <c r="DS118">
        <f t="shared" si="168"/>
        <v>53</v>
      </c>
      <c r="DT118">
        <f t="shared" si="169"/>
        <v>2</v>
      </c>
      <c r="DU118">
        <f t="shared" si="170"/>
        <v>0.6</v>
      </c>
      <c r="DV118" s="6">
        <f>IF(B118="","",IF(IFERROR(VLOOKUP(AX118,УГО_спр,2,FALSE),"")="Светильник",3,4)+IF(Методика="нормы 2026",MIN(0.5,MAX(0,N(Q118)-100)*0.005),0))</f>
        <v>4</v>
      </c>
      <c r="DW118" cm="1">
        <f t="array" ref="DW118">IF(OR(B118="",BT118="",DM118&lt;&gt;1),"",_xlfn.LET(_xlpm.sz,Iдоп_S,_xlpm.t_,CHOOSE(DL118,Iдоп_1ж,Iдоп_2ж,Iдоп_3ж)*DJ118*DK118,_xlpm.inn,N(DD118),_xlpm.smin,MAX(1.5,BW118),_xlpm.L_,N(Q118)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118)*(_xlpm.rho*_xlpm.L_/_xlpm.sz*N(BY118)+_xlpm.xx*_xlpm.L_*N(DU118)/1000)*N(P118)/((Uн_лин/SQRT(3))*1000)*100,999),_xlpm.kz,IF(OR(DG118=1,NOT(ISNUMBER(DQ118)),_xlpm.L_=0,_xlpm.inn=0),1,IFERROR(--(c_min*(Uн_лин*1000/SQRT(3))/(DQ118+2*ρкз_Cu*_xlpm.L_/_xlpm.sz)&gt;=GY118*_xlpm.inn),0)),_xlpm.ok,IFERROR((_xlpm.sz&gt;=_xlpm.smin)*(_xlpm.t_&gt;=_xlpm.inn)*IF(_xlpm.L_&gt;0,(_xlpm.du_+DP118&lt;=DV118+0.00001),1)*_xlpm.kz,0),_xlpm.r_,_xlfn._xlws.FILTER(_xlpm.sz,_xlpm.ok,"не подобрано"),INDEX(_xlpm.r_,1)))</f>
        <v>1.5</v>
      </c>
      <c r="DX118">
        <f t="shared" si="171"/>
        <v>1.5</v>
      </c>
      <c r="DY118" cm="1">
        <f t="array" ref="DY118">IF(OR(B118="",BT118="",DM118&lt;&gt;1),"",_xlfn.LET(_xlpm.sz,Iдоп_S,_xlpm.t_,CHOOSE(DL118,Iдоп_1ж,Iдоп_2ж,Iдоп_3ж)*DJ118*DK118,_xlpm.ok,IFERROR((_xlpm.sz&gt;=MAX(1.5,BW118))*(_xlpm.t_&gt;=N(DD118)),0),_xlpm.r_,_xlfn._xlws.FILTER(_xlpm.sz,_xlpm.ok,""),INDEX(_xlpm.r_,1)))</f>
        <v>1.5</v>
      </c>
      <c r="DZ118" s="6" cm="1">
        <f t="array" ref="DZ118">IFERROR(ROUNDUP(N(DT118)*(_xlfn.XLOOKUP(DY118,INDEX(Кабель_сопротивление,0,1),INDEX(Кабель_сопротивление,0,3))*N(Q118)/DY118*N(BY118)+_xlfn.XLOOKUP(DY118,INDEX(Кабель_сопротивление,0,1),INDEX(Кабель_сопротивление,0,2))*N(Q118)*N(DU118)/1000)*N(P118)/((Uн_лин/SQRT(3))*1000)*100,2),"")</f>
        <v>0.33</v>
      </c>
      <c r="EA118">
        <f>IFERROR(2*ρкз_Cu*N(Q118)/DY118,"")</f>
        <v>1.9286666666666668</v>
      </c>
      <c r="EB118">
        <f>IFERROR(VLOOKUP(DX118,Кабель_сопротивление,3,FALSE),"")</f>
        <v>2.2499999999999999E-2</v>
      </c>
      <c r="EC118">
        <f>IFERROR(VLOOKUP(DX118,Кабель_сопротивление,2,FALSE),"")</f>
        <v>0.11</v>
      </c>
      <c r="ED118">
        <f t="shared" si="172"/>
        <v>19</v>
      </c>
      <c r="EE118">
        <f t="shared" si="173"/>
        <v>0</v>
      </c>
      <c r="EF118">
        <f t="shared" si="174"/>
        <v>0.74713657032750702</v>
      </c>
      <c r="EG118" s="6">
        <f>IFERROR(ROUNDUP(EF118/((Uн_лин/SQRT(3))*1000)*100,2),"")</f>
        <v>0.33</v>
      </c>
      <c r="EH118" t="str">
        <f>IFERROR(VLOOKUP(BT118,Кабель_обозначение,2,FALSE),"")</f>
        <v>ВВГнг(А)-LS</v>
      </c>
      <c r="EI118" t="str">
        <f t="shared" si="175"/>
        <v>ВВГнг(А)-LS (3х1,5)</v>
      </c>
      <c r="EJ118" t="str">
        <f t="shared" si="176"/>
        <v>ВВГнг(А)-LS (3х1,5)
L=55-0,33%</v>
      </c>
      <c r="EK118">
        <f>IFERROR(2*ρкз_Cu*Q118/DX118,"")</f>
        <v>1.9286666666666668</v>
      </c>
      <c r="EL118">
        <f t="shared" si="177"/>
        <v>0.64166666666666672</v>
      </c>
      <c r="EM118" s="6" t="str">
        <f>IFERROR(IF(OR(B118="",NOT(ISNUMBER(DX118)),N(Q118)=0),"",_xlfn.XLOOKUP(A118,Щиты[Щит],Щиты[Zпетли на шинах, Ом])+EK118),"")</f>
        <v/>
      </c>
      <c r="EN118" s="6" t="str">
        <f>IF(ISNUMBER(EM118),c_min*(Uн_лин*1000/SQRT(3))/EM118,"")</f>
        <v/>
      </c>
      <c r="EO118" s="6" t="str">
        <f>IFERROR(IF(OR(B118="",NOT(ISNUMBER(DX118))),"",1.05*(Uн_лин*1000/SQRT(3))/(_xlfn.XLOOKUP(A118,Щиты[Щит],Щиты[Zmax на шинах, Ом])+EL118)/1000),"")</f>
        <v/>
      </c>
      <c r="EP118" s="6" t="str">
        <f>IF(B118="","",IF(ISNUMBER(Y118),"Сил",IF(IFERROR(_xlfn.XLOOKUP(AX118,Коды_код,Коды_группа)&amp;"","")="","Быт",_xlfn.XLOOKUP(AX118,Коды_код,Коды_группа)&amp;"")))</f>
        <v>Сил</v>
      </c>
      <c r="EQ118" s="6" t="str">
        <f t="shared" si="178"/>
        <v>Сил</v>
      </c>
      <c r="ER118" s="6">
        <f>IF(EQ118="Щит","щит",IF(EQ118="","",IF(EQ118="Быт",IFERROR(_xlfn.XLOOKUP(A118,Щиты[Щит],Щиты[Кс быт]),1),IF(EQ118="Сил",IF(ISNUMBER(Y118),Y118,IF(Методика="нормы 2026",IFERROR(_xlfn.XLOOKUP(A118,Щиты[Щит],Щиты[Кс силовых (табл. 7.5)]),1),1)),IF(OR(EQ118="Пост",EQ118="Отоп"),1,IF(EQ118="ВНГ",0.7,0))))))</f>
        <v>0.5</v>
      </c>
      <c r="ES118">
        <f t="shared" si="179"/>
        <v>1</v>
      </c>
      <c r="ET118">
        <f t="shared" si="180"/>
        <v>0.104</v>
      </c>
      <c r="EU118">
        <f t="shared" si="181"/>
        <v>0</v>
      </c>
      <c r="EV118">
        <f t="shared" si="182"/>
        <v>5.1999999999999998E-2</v>
      </c>
      <c r="EW118">
        <f t="shared" si="183"/>
        <v>0</v>
      </c>
      <c r="EX118">
        <f t="shared" si="184"/>
        <v>0</v>
      </c>
      <c r="EY118">
        <f t="shared" si="185"/>
        <v>0</v>
      </c>
      <c r="EZ118">
        <f t="shared" si="186"/>
        <v>0.104</v>
      </c>
      <c r="FA118">
        <f t="shared" si="187"/>
        <v>8.3199999999999996E-2</v>
      </c>
      <c r="FB118">
        <f t="shared" si="188"/>
        <v>0.104</v>
      </c>
      <c r="FC118" t="str">
        <f t="shared" si="189"/>
        <v/>
      </c>
      <c r="FD118" t="str">
        <f>IF(B118="","",IF(CA118=0,IF(AW118=1,"",FF117),IF(OR(N(CV118)&gt;=3,N(BR118)&gt;=3),"L1,L2,L3",IFERROR(_xlfn.TEXTBEFORE(_xlfn.TEXTAFTER(_xlfn.XLOOKUP(A118,Щиты[Щит],Щиты[_фазы авто]),";"&amp;AW118&amp;":"),";"),"L1"))))</f>
        <v>L1</v>
      </c>
      <c r="FE118" t="str">
        <f t="shared" si="190"/>
        <v>L1</v>
      </c>
      <c r="FF118" t="str">
        <f t="shared" si="191"/>
        <v>L1</v>
      </c>
      <c r="FG118" cm="1">
        <f t="array" ref="FG118">IFERROR(IF(BX118=2,_xlfn.IFS(BR118=3,VLOOKUP(BN118,Справочная_двигатели,3,FALSE),BR118=1,VLOOKUP(BN118,Справочная_двигатели,5,TRUE)),0),0)</f>
        <v>0</v>
      </c>
      <c r="FH118">
        <f>IFERROR(IF(BX118=3,VLOOKUP(BN118,Справочная_ЛЭД,2,TRUE),0),0)</f>
        <v>0</v>
      </c>
      <c r="FI118" s="6">
        <f t="shared" si="192"/>
        <v>0</v>
      </c>
      <c r="FJ118" t="str" cm="1">
        <f t="array" ref="FJ118">IF(B118="","",IFERROR(INDEX({"I особая","I","II","III"},MATCH(TRIM(AC118&amp;""),{"I особая","I","II","III"},0)),"III"))</f>
        <v>II</v>
      </c>
      <c r="FK118" t="str">
        <f>IF(B118="","",IF(TRIM(AD118&amp;"")&lt;&gt;"",IF(LOWER(TRIM(AD118&amp;""))="да","да","нет"),IF(IFERROR(_xlfn.XLOOKUP(AX118,Коды_код,Коды_пожарная),"")="да","да","нет")))</f>
        <v>нет</v>
      </c>
      <c r="FL118" t="str">
        <f t="shared" si="193"/>
        <v/>
      </c>
      <c r="FM118" t="str">
        <f t="shared" si="194"/>
        <v>основная</v>
      </c>
      <c r="FN118">
        <f t="shared" si="195"/>
        <v>1</v>
      </c>
      <c r="FO118" t="str" cm="1">
        <f t="array" ref="FO118">IF(B118="","",_xlfn.LET(_xlpm.t,IFERROR(_xlfn.XLOOKUP(1,(Шины[Шина]=FM118)*(((Шины[Щит]=A118)+(Шины[Щит]=""))&gt;0),Шины[Тип]),"")&amp;"",IF(_xlpm.t&lt;&gt;"",_xlpm.t,IF(ISNUMBER(SEARCH("ИБП",FM118)),"ИБП",IF(ISNUMBER(SEARCH("ДГУ",FM118)),"ДГУ","Ввод "&amp;FN118)))))</f>
        <v>Ввод 1</v>
      </c>
      <c r="FP118" t="str">
        <f t="shared" si="196"/>
        <v>Ввод 1</v>
      </c>
      <c r="FQ118" t="str">
        <f>IF(B118="","",IF(OR(FO118="ИБП",FO118="ДГУ"),"I особая",IF(FO118="Одиночная","III",_xlfn.XLOOKUP(A118,Щиты[Щит],Щиты[Категория шины «Ввод»],"III"))))</f>
        <v>II</v>
      </c>
      <c r="FR118">
        <f>IF(B118="",0,IFERROR(MATCH(FJ118,{"III","II","I","I особая"},0),1))</f>
        <v>2</v>
      </c>
      <c r="FS118">
        <f t="shared" si="197"/>
        <v>2</v>
      </c>
      <c r="FT118" t="str">
        <f>IF(B118="","",IF(FR118&gt;IFERROR(MATCH(FQ118,{"III","II","I","I особая"},0),1),"НЕ ОБЕСПЕЧЕНА","ОК"))</f>
        <v>ОК</v>
      </c>
      <c r="FU118" t="str">
        <f>IF(A118="","",_xlfn.XLOOKUP(A118,Щиты[Щит],Щиты[Путь],""))</f>
        <v>|ГРЩ-ЖД|ЩОВ-01|</v>
      </c>
      <c r="FV118" t="str">
        <f>IF(B118="","",IF(AE118&lt;&gt;"",AE118,IF(IFERROR(_xlfn.XLOOKUP(AX118,Коды_код,Коды_вид)&amp;"","")="","Прочее",_xlfn.XLOOKUP(AX118,Коды_код,Коды_вид)&amp;"")))</f>
        <v>Кондиционирование и увлажнение</v>
      </c>
      <c r="FW118">
        <f>IF(BH118="","",INT((BH118-1)/Столбцов_на_лист)+1)</f>
        <v>3</v>
      </c>
      <c r="FX118" t="str">
        <f t="shared" si="198"/>
        <v>ВВГнг(А)-LS (3х1,5) L=55-0,33%</v>
      </c>
      <c r="FY118">
        <f t="shared" si="199"/>
        <v>0.104</v>
      </c>
      <c r="FZ118">
        <f t="shared" si="200"/>
        <v>0.57000000000000006</v>
      </c>
      <c r="GA118">
        <f t="shared" si="201"/>
        <v>1</v>
      </c>
      <c r="GB118">
        <f t="shared" si="202"/>
        <v>0</v>
      </c>
      <c r="GC118">
        <f t="shared" si="203"/>
        <v>1</v>
      </c>
      <c r="GD118">
        <f>IF(BH118="","",IF(AND(CA118=1,GC118=1),COUNTIFS(A$3:A118,A118,CA$3:CA118,1,GC$3:GC118,1),IF(OR(OR(AW118=1,A118&lt;&gt;A117),AF118="вручную",GC118=0),"",IF(AW118=1,"",GE117))))</f>
        <v>16</v>
      </c>
      <c r="GE118">
        <f t="shared" si="204"/>
        <v>16</v>
      </c>
      <c r="GF118">
        <f>IF(B118="","",IFERROR(LOOKUP(INDEX(CHOOSE(DL118,Iдоп_1ж,Iдоп_2ж,Iдоп_3ж),MATCH(DX118,Iдоп_S,0))*DJ118*DK118,{6,10,16,20,25,32,40,50,63,80,100,125,160,200,250,315,400,500,630}),""))</f>
        <v>16</v>
      </c>
      <c r="GG118" t="str">
        <f t="shared" si="205"/>
        <v>QF16</v>
      </c>
      <c r="GH118" t="str">
        <f t="shared" si="206"/>
        <v>QF16</v>
      </c>
      <c r="GI118" t="str">
        <f t="shared" si="207"/>
        <v/>
      </c>
      <c r="GJ118">
        <f t="shared" si="208"/>
        <v>0</v>
      </c>
      <c r="GK118" t="str">
        <f>IF(OR(AG118="",AG118="-"),"",IFERROR(VLOOKUP(AG118,Модули_спр,2,FALSE),"R"))</f>
        <v/>
      </c>
      <c r="GL118" t="str">
        <f>IF(GK118="","",GK118&amp;"."&amp;COUNTIFS(A$3:A118,A118,GK$3:GK118,GK118))</f>
        <v/>
      </c>
      <c r="GM118" t="str">
        <f t="shared" si="209"/>
        <v/>
      </c>
      <c r="GN118" t="str">
        <f t="shared" si="210"/>
        <v/>
      </c>
      <c r="GO118" t="str">
        <f t="shared" si="211"/>
        <v/>
      </c>
      <c r="GP118" t="str">
        <f t="shared" si="212"/>
        <v/>
      </c>
      <c r="GQ118">
        <f t="shared" si="213"/>
        <v>1</v>
      </c>
      <c r="GR118" t="str">
        <f>IF(GQ118=1,"XT"&amp;COUNTIFS(A$3:A118,A118,GQ$3:GQ118,1),"")</f>
        <v>XT16</v>
      </c>
      <c r="GS118" t="str">
        <f t="shared" si="214"/>
        <v/>
      </c>
      <c r="GT118" t="str">
        <f t="shared" si="215"/>
        <v>QF16</v>
      </c>
      <c r="GU118" t="str">
        <f t="shared" si="216"/>
        <v/>
      </c>
      <c r="GV118" t="str">
        <f t="shared" si="217"/>
        <v>ok</v>
      </c>
      <c r="GW118" t="str">
        <f>IF(OR(GO118="",GM118=""),"",IF(GO118&gt;IFERROR(VLOOKUP(GN118,Модули_спр,3,FALSE),99),"ЛИШНИЙ КАНАЛ",IF(AND(AH118&lt;&gt;"=",COUNTIFS(Линии[_модуль гр.],GM118,Линии[Канал (итог)],GO118,Линии[Канал],"&lt;&gt;=",Линии[Щит],A118)&gt;1),"ДУБЛЬ КАНАЛА","")))</f>
        <v/>
      </c>
      <c r="GX118" s="6" t="str">
        <f t="shared" si="218"/>
        <v/>
      </c>
      <c r="GY118">
        <f t="shared" si="219"/>
        <v>10</v>
      </c>
      <c r="GZ118" t="str">
        <f t="shared" si="220"/>
        <v/>
      </c>
      <c r="HA118" t="str">
        <f>IF(AND(B118="",GT118=""),"",_xlfn.TEXTJOIN("; ",TRUE,IF(AND(B118&lt;&gt;"",FE118=""),"нет фазы",""),IF(AND(B118&lt;&gt;"",N(FY118)=0,EQ118&lt;&gt;"Нет"),"нет мощности",""),IF(AND(GS118&lt;&gt;"",COUNTIFS(Линии[Щит],A118,Линии[Клемма (итог)],GS118)&gt;1),"дубль клеммы "&amp;GS118,""),IF(AND(GV118&lt;&gt;"",GV118&lt;&gt;"ok"),GV118,""),IF(GW118&lt;&gt;"",GW118,""),IF(AND(N(BV118)&gt;=4,N(BR118)=1),BV118&amp;" жил на 1 фазе",""),IF(AND(AX118="R",CA118=1,OR(N(CK118)=0,N(CK118)&gt;30)),"розетка без дифзащиты до 30 мА",""),IFERROR(IF(AND(ISNUMBER(R118),R118&gt;DV118),"потери "&amp;FIXED(R118,1)&amp;" % &gt; "&amp;DV118&amp;" %",""),""),IFERROR(IF(LEFT(GZ118,4)="мало","Iкз мало — отключение &gt; 0,4 с",""),""),IF(AND(B118&lt;&gt;"",BH118=""),"не на схеме",""),IF(AND(CA118=0,B118&lt;&gt;"",FE118&lt;&gt;"",IF(AW118=1,"",FF117)&lt;&gt;"",FE118&lt;&gt;IF(AW118=1,"",FF117)),"фаза не как у автомата группы ("&amp;IF(AW118=1,"",FF117)&amp;")","")))</f>
        <v/>
      </c>
      <c r="HB118" s="6">
        <f>IF(OR(CA118=0,DA118=""),"",_xlfn.LET(_xlpm.t,IFERROR(_xlfn.XLOOKUP(DA118,Каталог!$U$4:$U$500,Каталог!$G$4:$G$500),""),_xlpm.k,SEARCH("кА",_xlpm.t),IFERROR(--TRIM(RIGHT(SUBSTITUTE(MID(_xlpm.t,MAX(1,_xlpm.k-4),_xlpm.k-MAX(1,_xlpm.k-4))," ",REPT(" ",9)),5)),"")))</f>
        <v>6</v>
      </c>
      <c r="HC118" t="str">
        <f>IF(OR(HB118="",CA118=0),"",IF(_xlfn.XLOOKUP(A118,Щиты[Щит],Щиты[Iкз max на шинах, кА],"")="","",IF(HB118&lt;_xlfn.XLOOKUP(A118,Щиты[Щит],Щиты[Iкз max на шинах, кА]),"Icu "&amp;HB118&amp;" кА &lt; Iкз max","ok")))</f>
        <v/>
      </c>
      <c r="HD118" t="str">
        <f t="shared" si="221"/>
        <v/>
      </c>
      <c r="HE118" t="str">
        <f t="shared" si="222"/>
        <v>QF16</v>
      </c>
      <c r="HF118" t="str">
        <f t="shared" si="223"/>
        <v>QF16|кабель ВВГнг(А)-LS (3х1,5) → Внутренний блок кондиционирования цокольный этаж Пом. №014Б</v>
      </c>
      <c r="HG118" t="str" cm="1">
        <f t="array" ref="HG118">IF(HF118="","",_xlfn.LET(_xlpm.nd,_xlfn.TEXTSPLIT(HF118,"|"),IF(COLUMNS(_xlpm.nd)&gt;1,A118&amp;"¦"&amp;INDEX(_xlpm.nd,1)&amp;"¦"&amp;INDEX(_xlpm.nd,2),"")))</f>
        <v>ЩОВ-01¦QF16¦кабель ВВГнг(А)-LS (3х1,5) → Внутренний блок кондиционирования цокольный этаж Пом. №014Б</v>
      </c>
      <c r="HH118" t="str">
        <f t="shared" si="224"/>
        <v>K.0.008A¦Внутренний блок кондиционирования цокольный этаж Пом. №014Б</v>
      </c>
      <c r="HI118" t="str" cm="1">
        <f t="array" ref="HI118">IF(HF118="","",_xlfn.LET(_xlpm.nd,_xlfn.TEXTSPLIT(HF118,"|"),IF(COLUMNS(_xlpm.nd)&gt;2,A118&amp;"¦"&amp;INDEX(_xlpm.nd,2)&amp;"¦"&amp;INDEX(_xlpm.nd,3),"")))</f>
        <v/>
      </c>
      <c r="HJ118" t="str">
        <f t="shared" si="225"/>
        <v/>
      </c>
      <c r="HK118" t="str" cm="1">
        <f t="array" ref="HK118">IF(HF118="","",_xlfn.LET(_xlpm.nd,_xlfn.TEXTSPLIT(HF118,"|"),IF(COLUMNS(_xlpm.nd)&gt;3,A118&amp;"¦"&amp;INDEX(_xlpm.nd,3)&amp;"¦"&amp;INDEX(_xlpm.nd,4),"")))</f>
        <v/>
      </c>
      <c r="HL118" t="str">
        <f t="shared" si="226"/>
        <v/>
      </c>
      <c r="HM118" t="str" cm="1">
        <f t="array" ref="HM118">IF(HF118="","",_xlfn.LET(_xlpm.nd,_xlfn.TEXTSPLIT(HF118,"|"),IF(COLUMNS(_xlpm.nd)&gt;4,A118&amp;"¦"&amp;INDEX(_xlpm.nd,4)&amp;"¦"&amp;INDEX(_xlpm.nd,5),"")))</f>
        <v/>
      </c>
      <c r="HN118" t="str">
        <f t="shared" si="227"/>
        <v/>
      </c>
      <c r="HO118" t="str" cm="1">
        <f t="array" ref="HO118">IF(HF118="","",_xlfn.LET(_xlpm.nd,_xlfn.TEXTSPLIT(HF118,"|"),IF(COLUMNS(_xlpm.nd)&gt;5,A118&amp;"¦"&amp;INDEX(_xlpm.nd,5)&amp;"¦"&amp;INDEX(_xlpm.nd,6),"")))</f>
        <v/>
      </c>
      <c r="HP118" t="str">
        <f t="shared" si="228"/>
        <v/>
      </c>
      <c r="HQ118" t="str" cm="1">
        <f t="array" ref="HQ118">IF(HF118="","",_xlfn.LET(_xlpm.nd,_xlfn.TEXTSPLIT(HF118,"|"),IF(COLUMNS(_xlpm.nd)&gt;6,A118&amp;"¦"&amp;INDEX(_xlpm.nd,6)&amp;"¦"&amp;INDEX(_xlpm.nd,7),"")))</f>
        <v/>
      </c>
      <c r="HR118" t="str">
        <f t="shared" si="229"/>
        <v/>
      </c>
      <c r="HS118" t="str">
        <f t="shared" si="230"/>
        <v/>
      </c>
      <c r="HT118" t="str">
        <f t="shared" si="231"/>
        <v>QF16</v>
      </c>
      <c r="HU118">
        <f t="shared" si="232"/>
        <v>0</v>
      </c>
      <c r="HV118">
        <f t="shared" si="233"/>
        <v>0</v>
      </c>
      <c r="HW118" t="str">
        <f t="shared" si="234"/>
        <v/>
      </c>
      <c r="HX118" t="str">
        <f t="shared" si="235"/>
        <v/>
      </c>
      <c r="HY118" t="str">
        <f t="shared" si="236"/>
        <v/>
      </c>
      <c r="HZ118" t="str">
        <f t="shared" si="237"/>
        <v/>
      </c>
      <c r="IA118">
        <f>IF(B118="","",IFERROR(VLOOKUP(B118,УГО_спр,2,FALSE),IFERROR(VLOOKUP(AX118,УГО_спр,2,FALSE),IFERROR(VLOOKUP(LEFT(AX118,2),УГО_спр,2,FALSE),""))))</f>
        <v>0</v>
      </c>
      <c r="IB118" t="str">
        <f>IF(B118="","",IF(OR(IA118="",IA118=0),"BOX",IFERROR(IF(VLOOKUP(IA118,УГО_блоки,3,FALSE)&amp;""&lt;&gt;"",VLOOKUP(IA118,УГО_блоки,3,FALSE),VLOOKUP(IA118,УГО_блоки,2,FALSE)),IA118)))</f>
        <v>BOX</v>
      </c>
      <c r="IC118">
        <f t="shared" si="238"/>
        <v>1</v>
      </c>
      <c r="ID118" t="str">
        <f>IF(DA118="","",IF(COUNTIF(DA$3:DA118,DA118)=1,MAX(ID$2:ID117)+1,""))</f>
        <v/>
      </c>
      <c r="IE118" t="str">
        <f>IF(CO118="","",IF(COUNTIF(CO$3:CO118,CO118)+COUNTIF(CP$2:CP117,CO118)+COUNTIF(CQ$2:CQ117,CO118)=1,MAX(IE$2:IG117)+1,""))</f>
        <v/>
      </c>
      <c r="IF118" t="str">
        <f>IF(CP118="","",IF(COUNTIF(CO$3:CO118,CP118)+COUNTIF(CP$3:CP118,CP118)+COUNTIF(CQ$2:CQ117,CP118)=1,MAX(IE$2:IG117,IE118)+1,""))</f>
        <v/>
      </c>
      <c r="IG118" t="str">
        <f>IF(CQ118="","",IF(COUNTIF(CO$3:CO118,CQ118)+COUNTIF(CP$3:CP118,CQ118)+COUNTIF(CQ$3:CQ118,CQ118)=1,MAX(IE$2:IG117,IE118,IF118)+1,""))</f>
        <v/>
      </c>
      <c r="IH118" t="str">
        <f t="shared" si="239"/>
        <v>3х1,5</v>
      </c>
      <c r="II118" t="str">
        <f>IF(IH118="","",IF(COUNTIF(IH$3:IH118,IH118)=1,MAX(II$2:II117)+1,""))</f>
        <v/>
      </c>
      <c r="IJ118" t="str">
        <f>IF(GL118="","",COUNTIF(GL$3:GL118,"?*"))</f>
        <v/>
      </c>
      <c r="IK118" t="str">
        <f>IF(OR(GL118="",GN118=""),"",IF(COUNTIFS(GL$3:GL118,"?*",GN$3:GN118,GN118)=1,MAX(IK$2:IK117)+1,""))</f>
        <v/>
      </c>
      <c r="IL118">
        <f t="shared" si="240"/>
        <v>0</v>
      </c>
      <c r="IM118">
        <f>IF(B118="","",COUNTIF(B$3:B118,"?*"))</f>
        <v>116</v>
      </c>
      <c r="IN118">
        <f>IF(GQ118&lt;&gt;1,0,_xlfn.LET(_xlpm.k,MAX(IFERROR(--VLOOKUP(B118,УГО_спр,5,FALSE),0),IFERROR(--VLOOKUP(AX118,УГО_спр,5,FALSE),0),IFERROR(--VLOOKUP(LEFT(AX118,2),УГО_спр,5,FALSE),0)),IF(_xlpm.k&gt;0,_xlpm.k,IF(IFERROR(--LEFT(SUBSTITUTE(IH118,"x","х"),FIND("х",SUBSTITUTE(IH118,"x","х"))-1),3)&gt;3,Каталог!$S$9,1))))</f>
        <v>1</v>
      </c>
      <c r="IO118">
        <f t="shared" si="241"/>
        <v>0</v>
      </c>
      <c r="IP118" t="str">
        <f t="shared" si="242"/>
        <v>авто</v>
      </c>
      <c r="IQ118" t="str">
        <f t="shared" si="243"/>
        <v/>
      </c>
      <c r="IR118">
        <f t="shared" si="244"/>
        <v>0</v>
      </c>
      <c r="IS118">
        <f t="shared" si="245"/>
        <v>1</v>
      </c>
    </row>
    <row r="119" spans="1:253" x14ac:dyDescent="0.3">
      <c r="A119" t="s">
        <v>747</v>
      </c>
      <c r="B119" t="s">
        <v>1388</v>
      </c>
      <c r="C119" t="s">
        <v>1638</v>
      </c>
      <c r="D119">
        <v>1</v>
      </c>
      <c r="E119">
        <v>0.111</v>
      </c>
      <c r="G119">
        <v>10</v>
      </c>
      <c r="H119" t="str">
        <f>Линии[[#This Row],[_авто утечка]]</f>
        <v/>
      </c>
      <c r="I119" t="str">
        <f>Линии[[#This Row],[_авто управление]]</f>
        <v/>
      </c>
      <c r="J119" t="str">
        <f>Линии[[#This Row],[_авто аппараты]]</f>
        <v/>
      </c>
      <c r="K119">
        <v>1.5</v>
      </c>
      <c r="L119">
        <v>36</v>
      </c>
      <c r="M119" t="str">
        <f>Линии[[#This Row],[_авто фаза]]</f>
        <v>L2</v>
      </c>
      <c r="N119" t="s">
        <v>486</v>
      </c>
      <c r="O119" t="str">
        <f t="shared" si="123"/>
        <v/>
      </c>
      <c r="P119" s="6" cm="1">
        <f t="array" ref="P119">IF(B119="","",IF(BC119&lt;&gt;"",IFERROR(_xlfn.XLOOKUP(BC119,Щиты[Щит],Щиты[Iр, А]),""),IF(BK119=1,IFERROR(_xlfn.XLOOKUP(A119,Щиты[Щит],Щиты[Iр, А]),""),IFERROR(_xlfn.IFS(BR119=1,BN119/((Uн_лин/SQRT(3))*BY119),BR119=3,BN119/(SQRT(3)*Uн_лин*BY119)),""))))</f>
        <v>0.60080512387545415</v>
      </c>
      <c r="Q119" s="7">
        <f>IF(B119="","",IFERROR(IF(VLOOKUP(AX119,Потребители_обозначение,4,FALSE)=1,VLOOKUP(AX119,Потребители_обозначение,3,FALSE)*(D119*2-1)+DS119+VLOOKUP(AZ119,Этаж_обозначение,3,FALSE)+VLOOKUP(AZ119,Этаж_обозначение,4,FALSE),VLOOKUP(AX119,Потребители_обозначение,3,FALSE)*(D119*2-1)+DS119),DS119))</f>
        <v>38</v>
      </c>
      <c r="R119" s="6">
        <f t="shared" si="124"/>
        <v>0.48000000000000004</v>
      </c>
      <c r="S119" t="str">
        <f t="shared" si="125"/>
        <v>ВВГнг(А)-LS (3х1,5)</v>
      </c>
      <c r="T119" t="str">
        <f>IF(BH119="","",IF(BI119="вводной узел","узел ","")&amp;"л."&amp;(INT((BH119-1)/Столбцов_на_лист)+1)&amp;" / "&amp;(MOD(BH119-1,Столбцов_на_лист)+1))</f>
        <v>л.3 / 2</v>
      </c>
      <c r="V119">
        <v>1</v>
      </c>
      <c r="W119">
        <v>230</v>
      </c>
      <c r="X119" t="s">
        <v>600</v>
      </c>
      <c r="Y119">
        <v>0.5</v>
      </c>
      <c r="AC119" t="s">
        <v>815</v>
      </c>
      <c r="AE119" t="s">
        <v>578</v>
      </c>
      <c r="AI119">
        <v>36</v>
      </c>
      <c r="AJ119" t="s">
        <v>11</v>
      </c>
      <c r="AK119">
        <v>3</v>
      </c>
      <c r="AM119">
        <v>26</v>
      </c>
      <c r="AN119">
        <v>12</v>
      </c>
      <c r="AP119">
        <v>1</v>
      </c>
      <c r="AW119" cm="1">
        <f t="array" ref="AW119">ROW()-ROW(Линии[#Headers])</f>
        <v>117</v>
      </c>
      <c r="AX119" s="6" t="str">
        <f t="shared" si="126"/>
        <v>K</v>
      </c>
      <c r="AY119" t="str">
        <f t="shared" si="127"/>
        <v>0.012Б</v>
      </c>
      <c r="AZ119" t="str">
        <f t="shared" si="128"/>
        <v>0</v>
      </c>
      <c r="BA119" t="str">
        <f t="shared" si="129"/>
        <v>012Б</v>
      </c>
      <c r="BB119" t="str">
        <f t="shared" si="130"/>
        <v>012Б</v>
      </c>
      <c r="BC119" t="str">
        <f>IF(U119&lt;&gt;"",U119,IF(AND(B119&lt;&gt;"",B119&lt;&gt;A119,ISNUMBER(_xlfn.XMATCH(B119,Щиты[Щит]))),B119,""))</f>
        <v/>
      </c>
      <c r="BD119" t="str" cm="1">
        <f t="array" ref="BD119">IF(B119="","",IF(BC119&lt;&gt;"","Щит "&amp;BC119,_xlfn.LET(_xlpm.nm,IFERROR(_xlfn.XLOOKUP(AX119,Коды_код,Коды_имя)&amp;"",""),_xlpm.md,IFERROR(N(_xlfn.XLOOKUP(AX119,Коды_код,Коды_режим)),1),_xlpm.ex,IF(Имя_режим="по экспликации",IFERROR(_xlfn.XLOOKUP(AZ119&amp;"|"&amp;BB119,Экспликация[Этаж]&amp;"|"&amp;Экспликация[Помещение],Экспликация[Название])&amp;"",""),""),_xlpm.rm,IF(BB119="","",IF(_xlpm.ex&lt;&gt;"",". "&amp;_xlpm.ex&amp;IF(Имя_пом="нет"," ("&amp;BB119&amp;")"," (пом. "&amp;BB119&amp;")"),IF(Имя_пом="нет"," ",", пом. ")&amp;BB119)),IF(_xlpm.nm="","",IF(_xlpm.md=2,_xlpm.nm&amp;" шлейф "&amp;AZ119,_xlpm.nm&amp;_xlpm.rm)))))</f>
        <v>Внутренний блок кондиционирования, пом. 012Б</v>
      </c>
      <c r="BE119" t="str">
        <f t="shared" si="131"/>
        <v>Внутренний блок кондиционирования цокольный этаж Пом. №012Б</v>
      </c>
      <c r="BF119">
        <f>IFERROR(_xlfn.XMATCH(A119,Щиты[Щит]),0)</f>
        <v>6</v>
      </c>
      <c r="BG119">
        <f>_xlfn.LET(_xlpm.k,IFERROR(_xlfn.XLOOKUP(A119,Щиты[Щит],Щиты[Листов под вводной узел]),""),IF(_xlpm.k="",1,N(_xlpm.k))*Столбцов_на_лист)</f>
        <v>17</v>
      </c>
      <c r="BH119">
        <f t="shared" si="132"/>
        <v>36</v>
      </c>
      <c r="BI119" t="str">
        <f t="shared" si="133"/>
        <v>линии</v>
      </c>
      <c r="BJ119" s="6">
        <f>IFERROR(N(_xlfn.XLOOKUP(AX119,Коды_код,Коды_квт)),0)</f>
        <v>0</v>
      </c>
      <c r="BK119">
        <f t="shared" si="134"/>
        <v>0</v>
      </c>
      <c r="BL119" t="str">
        <f>IF(B119="","",IF(BC119&lt;&gt;"",IFERROR(_xlfn.XLOOKUP(BC119,Щиты[Щит],Щиты[Руст, кВт]),0),IF(BK119=1,IFERROR(_xlfn.XLOOKUP(A119,Щиты[Щит],Щиты[Руст, кВт]),0),IF(BJ119&gt;0,ROUND(BJ119*MAX(1,N(D119)),3),""))))</f>
        <v/>
      </c>
      <c r="BM119">
        <f t="shared" si="135"/>
        <v>0.111</v>
      </c>
      <c r="BN119" s="6">
        <f>IF(B119="","",IF(BC119&lt;&gt;"",IFERROR(_xlfn.XLOOKUP(BC119,Щиты[Щит],Щиты[Руст, кВт]),0),N(BM119)))</f>
        <v>0.111</v>
      </c>
      <c r="BO119" t="str">
        <f>IF(B119="","",IFERROR(IF(VLOOKUP(AX119,Потребители_обозначение,8,FALSE)=0,"",VLOOKUP(AX119,Потребители_обозначение,8,FALSE)),""))</f>
        <v/>
      </c>
      <c r="BP119">
        <f t="shared" si="136"/>
        <v>230</v>
      </c>
      <c r="BQ119">
        <f>IF(B119="","",IF(BC119&lt;&gt;"",3,IFERROR(IF(N(VLOOKUP(AX119,Потребители_обозначение,9,FALSE))=0,1,VLOOKUP(AX119,Потребители_обозначение,9,FALSE)),1)))</f>
        <v>1</v>
      </c>
      <c r="BR119">
        <f t="shared" si="137"/>
        <v>1</v>
      </c>
      <c r="BS119" t="str">
        <f>IF(B119="","",_xlfn.LET(_xlpm.bc,IFERROR(IF(VLOOKUP(AX119,Потребители_обозначение,6,FALSE)=0,"",VLOOKUP(AX119,Потребители_обозначение,6,FALSE)&amp;""),""),IF(AND(FK119="да",OR(_xlpm.bc="",_xlpm.bc="мс")),Марка_пож,IF(AND(_xlpm.bc="",BC119&lt;&gt;""),"мс",_xlpm.bc))))</f>
        <v/>
      </c>
      <c r="BT119" t="str">
        <f t="shared" si="138"/>
        <v>мс</v>
      </c>
      <c r="BU119">
        <f>IF(B119="","",_xlfn.LET(_xlpm.cc,IFERROR(N(VLOOKUP(AX119,Потребители_обозначение,7,FALSE)),0),IF(_xlpm.cc&gt;0,_xlpm.cc,IF(BT119="","",IF(N(BR119)=3,5,3)))))</f>
        <v>3</v>
      </c>
      <c r="BV119">
        <f t="shared" si="139"/>
        <v>3</v>
      </c>
      <c r="BW119">
        <f>IFERROR(N(VLOOKUP(AX119,Потребители_обозначение,10,FALSE)),0)</f>
        <v>0</v>
      </c>
      <c r="BX119">
        <f>IFERROR(VLOOKUP(AX119,Потребители_обозначение,5,FALSE),0)</f>
        <v>1</v>
      </c>
      <c r="BY119" s="6" cm="1">
        <f t="array" ref="BY119">IF(B119="","",IF(BC119&lt;&gt;"",IFERROR(_xlfn.XLOOKUP(BC119,Щиты[Щит],Щиты[cos φ]),0.95),IF(BK119=1,IFERROR(_xlfn.XLOOKUP(A119,Щиты[Щит],Щиты[cos φ]),0.95),IF(ISNUMBER(Z119),Z119,IFERROR(IF(BX119=2,_xlfn.IFS(BR119=3,VLOOKUP(BN119,Справочная_двигатели,8,FALSE),BR119=1,VLOOKUP(BN119,Справочная_двигатели,10,TRUE)),IF(AND(Методика="нормы 2026",EQ119="Сил"),0.8,0.95)),0.95)))))</f>
        <v>0.8</v>
      </c>
      <c r="BZ119">
        <f t="shared" si="140"/>
        <v>0</v>
      </c>
      <c r="CA119">
        <f t="shared" si="141"/>
        <v>1</v>
      </c>
      <c r="CB119">
        <f t="shared" si="142"/>
        <v>0</v>
      </c>
      <c r="CC119">
        <f t="shared" si="143"/>
        <v>0</v>
      </c>
      <c r="CD119">
        <f t="shared" si="144"/>
        <v>0</v>
      </c>
      <c r="CE119">
        <f t="shared" si="145"/>
        <v>0</v>
      </c>
      <c r="CF119">
        <f t="shared" si="146"/>
        <v>0</v>
      </c>
      <c r="CG119">
        <f>IF(AX119="",0,_xlfn.LET(_xlpm.v,IFERROR(VLOOKUP(B119,УГО_спр,3,FALSE),IFERROR(VLOOKUP(AX119,УГО_спр,3,FALSE),IFERROR(VLOOKUP(LEFT(AX119,2),УГО_спр,3,FALSE),""))),IF(_xlpm.v="да",30,IF(ISNUMBER(_xlpm.v),_xlpm.v,0))))</f>
        <v>0</v>
      </c>
      <c r="CH119" t="str">
        <f t="shared" si="147"/>
        <v/>
      </c>
      <c r="CI119" t="str">
        <f>_xlfn.LET(_xlpm.k,IFERROR(_xlfn.XLOOKUP(AX119,Коды_код,Коды_утечка)&amp;"",""),IF(_xlpm.k="","дифавтомат",_xlpm.k))</f>
        <v>дифавтомат</v>
      </c>
      <c r="CJ119">
        <f t="shared" si="148"/>
        <v>0</v>
      </c>
      <c r="CK119">
        <f t="shared" si="149"/>
        <v>0</v>
      </c>
      <c r="CL119">
        <f>IF(B119="",0,IFERROR(--VLOOKUP(B119,УГО_спр,4,FALSE),IFERROR(--VLOOKUP(AX119,УГО_спр,4,FALSE),IFERROR(--VLOOKUP(LEFT(AX119,2),УГО_спр,4,FALSE),0))))</f>
        <v>0</v>
      </c>
      <c r="CM119" t="str">
        <f>IF(B119="","",IFERROR(_xlfn.XLOOKUP(AX119,Коды_код,Коды_апп)&amp;"",""))</f>
        <v/>
      </c>
      <c r="CN119" t="str">
        <f t="shared" si="150"/>
        <v/>
      </c>
      <c r="CO119" t="str" cm="1">
        <f t="array" ref="CO119">IF(TRIM(CN119&amp;"")="","",IFERROR(TRIM(INDEX(_xlfn.TEXTSPLIT(CN119&amp;";;;",";"),1)),""))</f>
        <v/>
      </c>
      <c r="CP119" t="str" cm="1">
        <f t="array" ref="CP119">IF(TRIM(CN119&amp;"")="","",IFERROR(TRIM(INDEX(_xlfn.TEXTSPLIT(CN119&amp;";;;",";"),2)),""))</f>
        <v/>
      </c>
      <c r="CQ119" t="str" cm="1">
        <f t="array" ref="CQ119">IF(TRIM(CN119&amp;"")="","",IFERROR(TRIM(INDEX(_xlfn.TEXTSPLIT(CN119&amp;";;;",";"),3)),""))</f>
        <v/>
      </c>
      <c r="CR119">
        <f t="shared" si="151"/>
        <v>0</v>
      </c>
      <c r="CS119" t="str">
        <f>IF(B119="","",_xlfn.LET(_xlpm.t,LOWER(AV119&amp;""),IF(ISNUMBER(SEARCH("dim",_xlpm.t)),"DIM",IF(ISNUMBER(SEARCH("dali",_xlpm.t)),"DALI",IF(OR(ISNUMBER(SEARCH("relay",_xlpm.t)),ISNUMBER(SEARCH("реле",_xlpm.t))),"Relay",IF(ISNUMBER(SEARCH("кнопк",_xlpm.t)),"",IFERROR(_xlfn.XLOOKUP(AX119,Коды_код,Коды_упр)&amp;"","")))))))</f>
        <v/>
      </c>
      <c r="CT119" t="str">
        <f t="shared" si="152"/>
        <v/>
      </c>
      <c r="CU119">
        <f>IF(B119="","",_xlfn.LET(_xlpm.ig,N(P119)+IF(AF119="вручную",0,N(CB119)),_xlpm.n0,IFERROR(VLOOKUP(_xlpm.ig,Автомат_номиналы,2,TRUE),0),_xlpm.mn,MAX(CL119,IF(AF119="вручную",0,N(CE119))),MAX(_xlpm.n0,_xlpm.mn,IF(CR119=1,Мин_автомат_БП,0))))</f>
        <v>6</v>
      </c>
      <c r="CV119">
        <f t="shared" si="153"/>
        <v>1</v>
      </c>
      <c r="CW119" t="str">
        <f t="shared" si="154"/>
        <v>1P</v>
      </c>
      <c r="CX119" t="str">
        <f>_xlfn.LET(_xlpm.cc,UPPER(TRIM(IFERROR(_xlfn.XLOOKUP(AX119,Коды_код,Коды_хар)&amp;"",""))),IF(OR(_xlpm.cc="B",_xlpm.cc="В"),"B",IF(_xlpm.cc="D","D","С")))</f>
        <v>С</v>
      </c>
      <c r="CY119" t="str">
        <f t="shared" si="155"/>
        <v>1P С6А</v>
      </c>
      <c r="CZ119">
        <f t="shared" si="156"/>
        <v>10</v>
      </c>
      <c r="DA119" t="str">
        <f t="shared" si="157"/>
        <v>1P С10А</v>
      </c>
      <c r="DB119" cm="1">
        <f t="array" ref="DB119">IF(DA119="","",_xlfn.LET(_xlpm.t,SUBSTITUTE(SUBSTITUTE(SUBSTITUTE(UPPER(DA119),"С","C"),"А","A"),"В","B"),_xlpm.tk,_xlfn.TEXTSPLIT(_xlpm.t,"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9" t="str">
        <f t="shared" si="158"/>
        <v>ok</v>
      </c>
      <c r="DD119">
        <f t="shared" si="159"/>
        <v>10</v>
      </c>
      <c r="DE119" t="str">
        <f t="shared" si="160"/>
        <v>1P С10А</v>
      </c>
      <c r="DF119">
        <f t="shared" si="161"/>
        <v>0</v>
      </c>
      <c r="DG119">
        <f t="shared" si="162"/>
        <v>0</v>
      </c>
      <c r="DH119">
        <f t="shared" si="163"/>
        <v>0</v>
      </c>
      <c r="DI119">
        <f t="shared" si="164"/>
        <v>0.60080512387545415</v>
      </c>
      <c r="DJ119">
        <f t="shared" si="165"/>
        <v>1</v>
      </c>
      <c r="DK119">
        <f>IF(ISNUMBER(AL119),AL119,К_прокл)</f>
        <v>1</v>
      </c>
      <c r="DL119">
        <f t="shared" si="166"/>
        <v>2</v>
      </c>
      <c r="DM119">
        <f>IFERROR(N(VLOOKUP(BT119,Кабель_обозначение,3,FALSE)),1)</f>
        <v>1</v>
      </c>
      <c r="DN119">
        <f>IFERROR(N(_xlfn.XLOOKUP(A119,Щиты[Щит],Щиты[ΔU до шин, %])),0)</f>
        <v>0.24000000000000002</v>
      </c>
      <c r="DO119" t="str">
        <f>IFERROR(_xlfn.XLOOKUP(A119,Щиты[Щит],Щиты[Zпетли на шинах, Ом]),"")</f>
        <v/>
      </c>
      <c r="DP119">
        <f>IFERROR(N(_xlfn.XLOOKUP(A119,Щиты[Щит],Щиты[ΔU до шин (подбор), %])),0)</f>
        <v>0.36</v>
      </c>
      <c r="DQ119" t="str">
        <f>IFERROR(_xlfn.XLOOKUP(A119,Щиты[Щит],Щиты[Zпетли на шинах (подбор), Ом]),"")</f>
        <v/>
      </c>
      <c r="DR119" t="str">
        <f t="shared" si="167"/>
        <v/>
      </c>
      <c r="DS119">
        <f t="shared" si="168"/>
        <v>36</v>
      </c>
      <c r="DT119">
        <f t="shared" si="169"/>
        <v>2</v>
      </c>
      <c r="DU119">
        <f t="shared" si="170"/>
        <v>0.6</v>
      </c>
      <c r="DV119" s="6">
        <f>IF(B119="","",IF(IFERROR(VLOOKUP(AX119,УГО_спр,2,FALSE),"")="Светильник",3,4)+IF(Методика="нормы 2026",MIN(0.5,MAX(0,N(Q119)-100)*0.005),0))</f>
        <v>4</v>
      </c>
      <c r="DW119" cm="1">
        <f t="array" ref="DW119">IF(OR(B119="",BT119="",DM119&lt;&gt;1),"",_xlfn.LET(_xlpm.sz,Iдоп_S,_xlpm.t_,CHOOSE(DL119,Iдоп_1ж,Iдоп_2ж,Iдоп_3ж)*DJ119*DK119,_xlpm.inn,N(DD119),_xlpm.smin,MAX(1.5,BW119),_xlpm.L_,N(Q119)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119)*(_xlpm.rho*_xlpm.L_/_xlpm.sz*N(BY119)+_xlpm.xx*_xlpm.L_*N(DU119)/1000)*N(P119)/((Uн_лин/SQRT(3))*1000)*100,999),_xlpm.kz,IF(OR(DG119=1,NOT(ISNUMBER(DQ119)),_xlpm.L_=0,_xlpm.inn=0),1,IFERROR(--(c_min*(Uн_лин*1000/SQRT(3))/(DQ119+2*ρкз_Cu*_xlpm.L_/_xlpm.sz)&gt;=GY119*_xlpm.inn),0)),_xlpm.ok,IFERROR((_xlpm.sz&gt;=_xlpm.smin)*(_xlpm.t_&gt;=_xlpm.inn)*IF(_xlpm.L_&gt;0,(_xlpm.du_+DP119&lt;=DV119+0.00001),1)*_xlpm.kz,0),_xlpm.r_,_xlfn._xlws.FILTER(_xlpm.sz,_xlpm.ok,"не подобрано"),INDEX(_xlpm.r_,1)))</f>
        <v>1.5</v>
      </c>
      <c r="DX119">
        <f t="shared" si="171"/>
        <v>1.5</v>
      </c>
      <c r="DY119" cm="1">
        <f t="array" ref="DY119">IF(OR(B119="",BT119="",DM119&lt;&gt;1),"",_xlfn.LET(_xlpm.sz,Iдоп_S,_xlpm.t_,CHOOSE(DL119,Iдоп_1ж,Iдоп_2ж,Iдоп_3ж)*DJ119*DK119,_xlpm.ok,IFERROR((_xlpm.sz&gt;=MAX(1.5,BW119))*(_xlpm.t_&gt;=N(DD119)),0),_xlpm.r_,_xlfn._xlws.FILTER(_xlpm.sz,_xlpm.ok,""),INDEX(_xlpm.r_,1)))</f>
        <v>1.5</v>
      </c>
      <c r="DZ119" s="6" cm="1">
        <f t="array" ref="DZ119">IFERROR(ROUNDUP(N(DT119)*(_xlfn.XLOOKUP(DY119,INDEX(Кабель_сопротивление,0,1),INDEX(Кабель_сопротивление,0,3))*N(Q119)/DY119*N(BY119)+_xlfn.XLOOKUP(DY119,INDEX(Кабель_сопротивление,0,1),INDEX(Кабель_сопротивление,0,2))*N(Q119)*N(DU119)/1000)*N(P119)/((Uн_лин/SQRT(3))*1000)*100,2),"")</f>
        <v>0.24000000000000002</v>
      </c>
      <c r="EA119">
        <f>IFERROR(2*ρкз_Cu*N(Q119)/DY119,"")</f>
        <v>1.3325333333333333</v>
      </c>
      <c r="EB119">
        <f>IFERROR(VLOOKUP(DX119,Кабель_сопротивление,3,FALSE),"")</f>
        <v>2.2499999999999999E-2</v>
      </c>
      <c r="EC119">
        <f>IFERROR(VLOOKUP(DX119,Кабель_сопротивление,2,FALSE),"")</f>
        <v>0.11</v>
      </c>
      <c r="ED119">
        <f t="shared" si="172"/>
        <v>12</v>
      </c>
      <c r="EE119">
        <f t="shared" si="173"/>
        <v>0</v>
      </c>
      <c r="EF119">
        <f t="shared" si="174"/>
        <v>0.55094791147577338</v>
      </c>
      <c r="EG119" s="6">
        <f>IFERROR(ROUNDUP(EF119/((Uн_лин/SQRT(3))*1000)*100,2),"")</f>
        <v>0.24000000000000002</v>
      </c>
      <c r="EH119" t="str">
        <f>IFERROR(VLOOKUP(BT119,Кабель_обозначение,2,FALSE),"")</f>
        <v>ВВГнг(А)-LS</v>
      </c>
      <c r="EI119" t="str">
        <f t="shared" si="175"/>
        <v>ВВГнг(А)-LS (3х1,5)</v>
      </c>
      <c r="EJ119" t="str">
        <f t="shared" si="176"/>
        <v>ВВГнг(А)-LS (3х1,5)
L=38-0,24%</v>
      </c>
      <c r="EK119">
        <f>IFERROR(2*ρкз_Cu*Q119/DX119,"")</f>
        <v>1.3325333333333333</v>
      </c>
      <c r="EL119">
        <f t="shared" si="177"/>
        <v>0.44333333333333336</v>
      </c>
      <c r="EM119" s="6" t="str">
        <f>IFERROR(IF(OR(B119="",NOT(ISNUMBER(DX119)),N(Q119)=0),"",_xlfn.XLOOKUP(A119,Щиты[Щит],Щиты[Zпетли на шинах, Ом])+EK119),"")</f>
        <v/>
      </c>
      <c r="EN119" s="6" t="str">
        <f>IF(ISNUMBER(EM119),c_min*(Uн_лин*1000/SQRT(3))/EM119,"")</f>
        <v/>
      </c>
      <c r="EO119" s="6" t="str">
        <f>IFERROR(IF(OR(B119="",NOT(ISNUMBER(DX119))),"",1.05*(Uн_лин*1000/SQRT(3))/(_xlfn.XLOOKUP(A119,Щиты[Щит],Щиты[Zmax на шинах, Ом])+EL119)/1000),"")</f>
        <v/>
      </c>
      <c r="EP119" s="6" t="str">
        <f>IF(B119="","",IF(ISNUMBER(Y119),"Сил",IF(IFERROR(_xlfn.XLOOKUP(AX119,Коды_код,Коды_группа)&amp;"","")="","Быт",_xlfn.XLOOKUP(AX119,Коды_код,Коды_группа)&amp;"")))</f>
        <v>Сил</v>
      </c>
      <c r="EQ119" s="6" t="str">
        <f t="shared" si="178"/>
        <v>Сил</v>
      </c>
      <c r="ER119" s="6">
        <f>IF(EQ119="Щит","щит",IF(EQ119="","",IF(EQ119="Быт",IFERROR(_xlfn.XLOOKUP(A119,Щиты[Щит],Щиты[Кс быт]),1),IF(EQ119="Сил",IF(ISNUMBER(Y119),Y119,IF(Методика="нормы 2026",IFERROR(_xlfn.XLOOKUP(A119,Щиты[Щит],Щиты[Кс силовых (табл. 7.5)]),1),1)),IF(OR(EQ119="Пост",EQ119="Отоп"),1,IF(EQ119="ВНГ",0.7,0))))))</f>
        <v>0.5</v>
      </c>
      <c r="ES119">
        <f t="shared" si="179"/>
        <v>1</v>
      </c>
      <c r="ET119">
        <f t="shared" si="180"/>
        <v>0.111</v>
      </c>
      <c r="EU119">
        <f t="shared" si="181"/>
        <v>0</v>
      </c>
      <c r="EV119">
        <f t="shared" si="182"/>
        <v>5.5500000000000001E-2</v>
      </c>
      <c r="EW119">
        <f t="shared" si="183"/>
        <v>0</v>
      </c>
      <c r="EX119">
        <f t="shared" si="184"/>
        <v>0</v>
      </c>
      <c r="EY119">
        <f t="shared" si="185"/>
        <v>0</v>
      </c>
      <c r="EZ119">
        <f t="shared" si="186"/>
        <v>0.111</v>
      </c>
      <c r="FA119">
        <f t="shared" si="187"/>
        <v>8.8800000000000004E-2</v>
      </c>
      <c r="FB119">
        <f t="shared" si="188"/>
        <v>0.111</v>
      </c>
      <c r="FC119" t="str">
        <f t="shared" si="189"/>
        <v/>
      </c>
      <c r="FD119" t="str">
        <f>IF(B119="","",IF(CA119=0,IF(AW119=1,"",FF118),IF(OR(N(CV119)&gt;=3,N(BR119)&gt;=3),"L1,L2,L3",IFERROR(_xlfn.TEXTBEFORE(_xlfn.TEXTAFTER(_xlfn.XLOOKUP(A119,Щиты[Щит],Щиты[_фазы авто]),";"&amp;AW119&amp;":"),";"),"L1"))))</f>
        <v>L2</v>
      </c>
      <c r="FE119" t="str">
        <f t="shared" si="190"/>
        <v>L2</v>
      </c>
      <c r="FF119" t="str">
        <f t="shared" si="191"/>
        <v>L2</v>
      </c>
      <c r="FG119" cm="1">
        <f t="array" ref="FG119">IFERROR(IF(BX119=2,_xlfn.IFS(BR119=3,VLOOKUP(BN119,Справочная_двигатели,3,FALSE),BR119=1,VLOOKUP(BN119,Справочная_двигатели,5,TRUE)),0),0)</f>
        <v>0</v>
      </c>
      <c r="FH119">
        <f>IFERROR(IF(BX119=3,VLOOKUP(BN119,Справочная_ЛЭД,2,TRUE),0),0)</f>
        <v>0</v>
      </c>
      <c r="FI119" s="6">
        <f t="shared" si="192"/>
        <v>0</v>
      </c>
      <c r="FJ119" t="str" cm="1">
        <f t="array" ref="FJ119">IF(B119="","",IFERROR(INDEX({"I особая","I","II","III"},MATCH(TRIM(AC119&amp;""),{"I особая","I","II","III"},0)),"III"))</f>
        <v>II</v>
      </c>
      <c r="FK119" t="str">
        <f>IF(B119="","",IF(TRIM(AD119&amp;"")&lt;&gt;"",IF(LOWER(TRIM(AD119&amp;""))="да","да","нет"),IF(IFERROR(_xlfn.XLOOKUP(AX119,Коды_код,Коды_пожарная),"")="да","да","нет")))</f>
        <v>нет</v>
      </c>
      <c r="FL119" t="str">
        <f t="shared" si="193"/>
        <v/>
      </c>
      <c r="FM119" t="str">
        <f t="shared" si="194"/>
        <v>основная</v>
      </c>
      <c r="FN119">
        <f t="shared" si="195"/>
        <v>1</v>
      </c>
      <c r="FO119" t="str" cm="1">
        <f t="array" ref="FO119">IF(B119="","",_xlfn.LET(_xlpm.t,IFERROR(_xlfn.XLOOKUP(1,(Шины[Шина]=FM119)*(((Шины[Щит]=A119)+(Шины[Щит]=""))&gt;0),Шины[Тип]),"")&amp;"",IF(_xlpm.t&lt;&gt;"",_xlpm.t,IF(ISNUMBER(SEARCH("ИБП",FM119)),"ИБП",IF(ISNUMBER(SEARCH("ДГУ",FM119)),"ДГУ","Ввод "&amp;FN119)))))</f>
        <v>Ввод 1</v>
      </c>
      <c r="FP119" t="str">
        <f t="shared" si="196"/>
        <v>Ввод 1</v>
      </c>
      <c r="FQ119" t="str">
        <f>IF(B119="","",IF(OR(FO119="ИБП",FO119="ДГУ"),"I особая",IF(FO119="Одиночная","III",_xlfn.XLOOKUP(A119,Щиты[Щит],Щиты[Категория шины «Ввод»],"III"))))</f>
        <v>II</v>
      </c>
      <c r="FR119">
        <f>IF(B119="",0,IFERROR(MATCH(FJ119,{"III","II","I","I особая"},0),1))</f>
        <v>2</v>
      </c>
      <c r="FS119">
        <f t="shared" si="197"/>
        <v>2</v>
      </c>
      <c r="FT119" t="str">
        <f>IF(B119="","",IF(FR119&gt;IFERROR(MATCH(FQ119,{"III","II","I","I особая"},0),1),"НЕ ОБЕСПЕЧЕНА","ОК"))</f>
        <v>ОК</v>
      </c>
      <c r="FU119" t="str">
        <f>IF(A119="","",_xlfn.XLOOKUP(A119,Щиты[Щит],Щиты[Путь],""))</f>
        <v>|ГРЩ-ЖД|ЩОВ-01|</v>
      </c>
      <c r="FV119" t="str">
        <f>IF(B119="","",IF(AE119&lt;&gt;"",AE119,IF(IFERROR(_xlfn.XLOOKUP(AX119,Коды_код,Коды_вид)&amp;"","")="","Прочее",_xlfn.XLOOKUP(AX119,Коды_код,Коды_вид)&amp;"")))</f>
        <v>Кондиционирование и увлажнение</v>
      </c>
      <c r="FW119">
        <f>IF(BH119="","",INT((BH119-1)/Столбцов_на_лист)+1)</f>
        <v>3</v>
      </c>
      <c r="FX119" t="str">
        <f t="shared" si="198"/>
        <v>ВВГнг(А)-LS (3х1,5) L=38-0,24%</v>
      </c>
      <c r="FY119">
        <f t="shared" si="199"/>
        <v>0.111</v>
      </c>
      <c r="FZ119">
        <f t="shared" si="200"/>
        <v>0.61</v>
      </c>
      <c r="GA119">
        <f t="shared" si="201"/>
        <v>1</v>
      </c>
      <c r="GB119">
        <f t="shared" si="202"/>
        <v>0</v>
      </c>
      <c r="GC119">
        <f t="shared" si="203"/>
        <v>1</v>
      </c>
      <c r="GD119">
        <f>IF(BH119="","",IF(AND(CA119=1,GC119=1),COUNTIFS(A$3:A119,A119,CA$3:CA119,1,GC$3:GC119,1),IF(OR(OR(AW119=1,A119&lt;&gt;A118),AF119="вручную",GC119=0),"",IF(AW119=1,"",GE118))))</f>
        <v>17</v>
      </c>
      <c r="GE119">
        <f t="shared" si="204"/>
        <v>17</v>
      </c>
      <c r="GF119">
        <f>IF(B119="","",IFERROR(LOOKUP(INDEX(CHOOSE(DL119,Iдоп_1ж,Iдоп_2ж,Iдоп_3ж),MATCH(DX119,Iдоп_S,0))*DJ119*DK119,{6,10,16,20,25,32,40,50,63,80,100,125,160,200,250,315,400,500,630}),""))</f>
        <v>16</v>
      </c>
      <c r="GG119" t="str">
        <f t="shared" si="205"/>
        <v>QF17</v>
      </c>
      <c r="GH119" t="str">
        <f t="shared" si="206"/>
        <v>QF17</v>
      </c>
      <c r="GI119" t="str">
        <f t="shared" si="207"/>
        <v/>
      </c>
      <c r="GJ119">
        <f t="shared" si="208"/>
        <v>0</v>
      </c>
      <c r="GK119" t="str">
        <f>IF(OR(AG119="",AG119="-"),"",IFERROR(VLOOKUP(AG119,Модули_спр,2,FALSE),"R"))</f>
        <v/>
      </c>
      <c r="GL119" t="str">
        <f>IF(GK119="","",GK119&amp;"."&amp;COUNTIFS(A$3:A119,A119,GK$3:GK119,GK119))</f>
        <v/>
      </c>
      <c r="GM119" t="str">
        <f t="shared" si="209"/>
        <v/>
      </c>
      <c r="GN119" t="str">
        <f t="shared" si="210"/>
        <v/>
      </c>
      <c r="GO119" t="str">
        <f t="shared" si="211"/>
        <v/>
      </c>
      <c r="GP119" t="str">
        <f t="shared" si="212"/>
        <v/>
      </c>
      <c r="GQ119">
        <f t="shared" si="213"/>
        <v>1</v>
      </c>
      <c r="GR119" t="str">
        <f>IF(GQ119=1,"XT"&amp;COUNTIFS(A$3:A119,A119,GQ$3:GQ119,1),"")</f>
        <v>XT17</v>
      </c>
      <c r="GS119" t="str">
        <f t="shared" si="214"/>
        <v/>
      </c>
      <c r="GT119" t="str">
        <f t="shared" si="215"/>
        <v>QF17</v>
      </c>
      <c r="GU119" t="str">
        <f t="shared" si="216"/>
        <v/>
      </c>
      <c r="GV119" t="str">
        <f t="shared" si="217"/>
        <v>ok</v>
      </c>
      <c r="GW119" t="str">
        <f>IF(OR(GO119="",GM119=""),"",IF(GO119&gt;IFERROR(VLOOKUP(GN119,Модули_спр,3,FALSE),99),"ЛИШНИЙ КАНАЛ",IF(AND(AH119&lt;&gt;"=",COUNTIFS(Линии[_модуль гр.],GM119,Линии[Канал (итог)],GO119,Линии[Канал],"&lt;&gt;=",Линии[Щит],A119)&gt;1),"ДУБЛЬ КАНАЛА","")))</f>
        <v/>
      </c>
      <c r="GX119" s="6" t="str">
        <f t="shared" si="218"/>
        <v/>
      </c>
      <c r="GY119">
        <f t="shared" si="219"/>
        <v>10</v>
      </c>
      <c r="GZ119" t="str">
        <f t="shared" si="220"/>
        <v/>
      </c>
      <c r="HA119" t="str">
        <f>IF(AND(B119="",GT119=""),"",_xlfn.TEXTJOIN("; ",TRUE,IF(AND(B119&lt;&gt;"",FE119=""),"нет фазы",""),IF(AND(B119&lt;&gt;"",N(FY119)=0,EQ119&lt;&gt;"Нет"),"нет мощности",""),IF(AND(GS119&lt;&gt;"",COUNTIFS(Линии[Щит],A119,Линии[Клемма (итог)],GS119)&gt;1),"дубль клеммы "&amp;GS119,""),IF(AND(GV119&lt;&gt;"",GV119&lt;&gt;"ok"),GV119,""),IF(GW119&lt;&gt;"",GW119,""),IF(AND(N(BV119)&gt;=4,N(BR119)=1),BV119&amp;" жил на 1 фазе",""),IF(AND(AX119="R",CA119=1,OR(N(CK119)=0,N(CK119)&gt;30)),"розетка без дифзащиты до 30 мА",""),IFERROR(IF(AND(ISNUMBER(R119),R119&gt;DV119),"потери "&amp;FIXED(R119,1)&amp;" % &gt; "&amp;DV119&amp;" %",""),""),IFERROR(IF(LEFT(GZ119,4)="мало","Iкз мало — отключение &gt; 0,4 с",""),""),IF(AND(B119&lt;&gt;"",BH119=""),"не на схеме",""),IF(AND(CA119=0,B119&lt;&gt;"",FE119&lt;&gt;"",IF(AW119=1,"",FF118)&lt;&gt;"",FE119&lt;&gt;IF(AW119=1,"",FF118)),"фаза не как у автомата группы ("&amp;IF(AW119=1,"",FF118)&amp;")","")))</f>
        <v/>
      </c>
      <c r="HB119" s="6">
        <f>IF(OR(CA119=0,DA119=""),"",_xlfn.LET(_xlpm.t,IFERROR(_xlfn.XLOOKUP(DA119,Каталог!$U$4:$U$500,Каталог!$G$4:$G$500),""),_xlpm.k,SEARCH("кА",_xlpm.t),IFERROR(--TRIM(RIGHT(SUBSTITUTE(MID(_xlpm.t,MAX(1,_xlpm.k-4),_xlpm.k-MAX(1,_xlpm.k-4))," ",REPT(" ",9)),5)),"")))</f>
        <v>6</v>
      </c>
      <c r="HC119" t="str">
        <f>IF(OR(HB119="",CA119=0),"",IF(_xlfn.XLOOKUP(A119,Щиты[Щит],Щиты[Iкз max на шинах, кА],"")="","",IF(HB119&lt;_xlfn.XLOOKUP(A119,Щиты[Щит],Щиты[Iкз max на шинах, кА]),"Icu "&amp;HB119&amp;" кА &lt; Iкз max","ok")))</f>
        <v/>
      </c>
      <c r="HD119" t="str">
        <f t="shared" si="221"/>
        <v/>
      </c>
      <c r="HE119" t="str">
        <f t="shared" si="222"/>
        <v>QF17</v>
      </c>
      <c r="HF119" t="str">
        <f t="shared" si="223"/>
        <v>QF17|кабель ВВГнг(А)-LS (3х1,5) → Внутренний блок кондиционирования цокольный этаж Пом. №012Б</v>
      </c>
      <c r="HG119" t="str" cm="1">
        <f t="array" ref="HG119">IF(HF119="","",_xlfn.LET(_xlpm.nd,_xlfn.TEXTSPLIT(HF119,"|"),IF(COLUMNS(_xlpm.nd)&gt;1,A119&amp;"¦"&amp;INDEX(_xlpm.nd,1)&amp;"¦"&amp;INDEX(_xlpm.nd,2),"")))</f>
        <v>ЩОВ-01¦QF17¦кабель ВВГнг(А)-LS (3х1,5) → Внутренний блок кондиционирования цокольный этаж Пом. №012Б</v>
      </c>
      <c r="HH119" t="str">
        <f t="shared" si="224"/>
        <v>K.0.012Б¦Внутренний блок кондиционирования цокольный этаж Пом. №012Б</v>
      </c>
      <c r="HI119" t="str" cm="1">
        <f t="array" ref="HI119">IF(HF119="","",_xlfn.LET(_xlpm.nd,_xlfn.TEXTSPLIT(HF119,"|"),IF(COLUMNS(_xlpm.nd)&gt;2,A119&amp;"¦"&amp;INDEX(_xlpm.nd,2)&amp;"¦"&amp;INDEX(_xlpm.nd,3),"")))</f>
        <v/>
      </c>
      <c r="HJ119" t="str">
        <f t="shared" si="225"/>
        <v/>
      </c>
      <c r="HK119" t="str" cm="1">
        <f t="array" ref="HK119">IF(HF119="","",_xlfn.LET(_xlpm.nd,_xlfn.TEXTSPLIT(HF119,"|"),IF(COLUMNS(_xlpm.nd)&gt;3,A119&amp;"¦"&amp;INDEX(_xlpm.nd,3)&amp;"¦"&amp;INDEX(_xlpm.nd,4),"")))</f>
        <v/>
      </c>
      <c r="HL119" t="str">
        <f t="shared" si="226"/>
        <v/>
      </c>
      <c r="HM119" t="str" cm="1">
        <f t="array" ref="HM119">IF(HF119="","",_xlfn.LET(_xlpm.nd,_xlfn.TEXTSPLIT(HF119,"|"),IF(COLUMNS(_xlpm.nd)&gt;4,A119&amp;"¦"&amp;INDEX(_xlpm.nd,4)&amp;"¦"&amp;INDEX(_xlpm.nd,5),"")))</f>
        <v/>
      </c>
      <c r="HN119" t="str">
        <f t="shared" si="227"/>
        <v/>
      </c>
      <c r="HO119" t="str" cm="1">
        <f t="array" ref="HO119">IF(HF119="","",_xlfn.LET(_xlpm.nd,_xlfn.TEXTSPLIT(HF119,"|"),IF(COLUMNS(_xlpm.nd)&gt;5,A119&amp;"¦"&amp;INDEX(_xlpm.nd,5)&amp;"¦"&amp;INDEX(_xlpm.nd,6),"")))</f>
        <v/>
      </c>
      <c r="HP119" t="str">
        <f t="shared" si="228"/>
        <v/>
      </c>
      <c r="HQ119" t="str" cm="1">
        <f t="array" ref="HQ119">IF(HF119="","",_xlfn.LET(_xlpm.nd,_xlfn.TEXTSPLIT(HF119,"|"),IF(COLUMNS(_xlpm.nd)&gt;6,A119&amp;"¦"&amp;INDEX(_xlpm.nd,6)&amp;"¦"&amp;INDEX(_xlpm.nd,7),"")))</f>
        <v/>
      </c>
      <c r="HR119" t="str">
        <f t="shared" si="229"/>
        <v/>
      </c>
      <c r="HS119" t="str">
        <f t="shared" si="230"/>
        <v/>
      </c>
      <c r="HT119" t="str">
        <f t="shared" si="231"/>
        <v>QF17</v>
      </c>
      <c r="HU119">
        <f t="shared" si="232"/>
        <v>0</v>
      </c>
      <c r="HV119">
        <f t="shared" si="233"/>
        <v>0</v>
      </c>
      <c r="HW119" t="str">
        <f t="shared" si="234"/>
        <v/>
      </c>
      <c r="HX119" t="str">
        <f t="shared" si="235"/>
        <v/>
      </c>
      <c r="HY119" t="str">
        <f t="shared" si="236"/>
        <v/>
      </c>
      <c r="HZ119" t="str">
        <f t="shared" si="237"/>
        <v/>
      </c>
      <c r="IA119">
        <f>IF(B119="","",IFERROR(VLOOKUP(B119,УГО_спр,2,FALSE),IFERROR(VLOOKUP(AX119,УГО_спр,2,FALSE),IFERROR(VLOOKUP(LEFT(AX119,2),УГО_спр,2,FALSE),""))))</f>
        <v>0</v>
      </c>
      <c r="IB119" t="str">
        <f>IF(B119="","",IF(OR(IA119="",IA119=0),"BOX",IFERROR(IF(VLOOKUP(IA119,УГО_блоки,3,FALSE)&amp;""&lt;&gt;"",VLOOKUP(IA119,УГО_блоки,3,FALSE),VLOOKUP(IA119,УГО_блоки,2,FALSE)),IA119)))</f>
        <v>BOX</v>
      </c>
      <c r="IC119">
        <f t="shared" si="238"/>
        <v>1</v>
      </c>
      <c r="ID119" t="str">
        <f>IF(DA119="","",IF(COUNTIF(DA$3:DA119,DA119)=1,MAX(ID$2:ID118)+1,""))</f>
        <v/>
      </c>
      <c r="IE119" t="str">
        <f>IF(CO119="","",IF(COUNTIF(CO$3:CO119,CO119)+COUNTIF(CP$2:CP118,CO119)+COUNTIF(CQ$2:CQ118,CO119)=1,MAX(IE$2:IG118)+1,""))</f>
        <v/>
      </c>
      <c r="IF119" t="str">
        <f>IF(CP119="","",IF(COUNTIF(CO$3:CO119,CP119)+COUNTIF(CP$3:CP119,CP119)+COUNTIF(CQ$2:CQ118,CP119)=1,MAX(IE$2:IG118,IE119)+1,""))</f>
        <v/>
      </c>
      <c r="IG119" t="str">
        <f>IF(CQ119="","",IF(COUNTIF(CO$3:CO119,CQ119)+COUNTIF(CP$3:CP119,CQ119)+COUNTIF(CQ$3:CQ119,CQ119)=1,MAX(IE$2:IG118,IE119,IF119)+1,""))</f>
        <v/>
      </c>
      <c r="IH119" t="str">
        <f t="shared" si="239"/>
        <v>3х1,5</v>
      </c>
      <c r="II119" t="str">
        <f>IF(IH119="","",IF(COUNTIF(IH$3:IH119,IH119)=1,MAX(II$2:II118)+1,""))</f>
        <v/>
      </c>
      <c r="IJ119" t="str">
        <f>IF(GL119="","",COUNTIF(GL$3:GL119,"?*"))</f>
        <v/>
      </c>
      <c r="IK119" t="str">
        <f>IF(OR(GL119="",GN119=""),"",IF(COUNTIFS(GL$3:GL119,"?*",GN$3:GN119,GN119)=1,MAX(IK$2:IK118)+1,""))</f>
        <v/>
      </c>
      <c r="IL119">
        <f t="shared" si="240"/>
        <v>0</v>
      </c>
      <c r="IM119">
        <f>IF(B119="","",COUNTIF(B$3:B119,"?*"))</f>
        <v>117</v>
      </c>
      <c r="IN119">
        <f>IF(GQ119&lt;&gt;1,0,_xlfn.LET(_xlpm.k,MAX(IFERROR(--VLOOKUP(B119,УГО_спр,5,FALSE),0),IFERROR(--VLOOKUP(AX119,УГО_спр,5,FALSE),0),IFERROR(--VLOOKUP(LEFT(AX119,2),УГО_спр,5,FALSE),0)),IF(_xlpm.k&gt;0,_xlpm.k,IF(IFERROR(--LEFT(SUBSTITUTE(IH119,"x","х"),FIND("х",SUBSTITUTE(IH119,"x","х"))-1),3)&gt;3,Каталог!$S$9,1))))</f>
        <v>1</v>
      </c>
      <c r="IO119">
        <f t="shared" si="241"/>
        <v>0</v>
      </c>
      <c r="IP119" t="str">
        <f t="shared" si="242"/>
        <v>авто</v>
      </c>
      <c r="IQ119" t="str">
        <f t="shared" si="243"/>
        <v/>
      </c>
      <c r="IR119">
        <f t="shared" si="244"/>
        <v>0</v>
      </c>
      <c r="IS119">
        <f t="shared" si="245"/>
        <v>1</v>
      </c>
    </row>
    <row r="120" spans="1:253" x14ac:dyDescent="0.3">
      <c r="A120" t="s">
        <v>747</v>
      </c>
      <c r="B120" t="s">
        <v>1389</v>
      </c>
      <c r="C120" t="s">
        <v>1639</v>
      </c>
      <c r="D120">
        <v>1</v>
      </c>
      <c r="E120">
        <v>0.376</v>
      </c>
      <c r="G120">
        <v>10</v>
      </c>
      <c r="H120" t="str">
        <f>Линии[[#This Row],[_авто утечка]]</f>
        <v/>
      </c>
      <c r="I120" t="str">
        <f>Линии[[#This Row],[_авто управление]]</f>
        <v/>
      </c>
      <c r="J120" t="str">
        <f>Линии[[#This Row],[_авто аппараты]]</f>
        <v/>
      </c>
      <c r="K120">
        <v>1.5</v>
      </c>
      <c r="L120">
        <v>40</v>
      </c>
      <c r="M120" t="str">
        <f>Линии[[#This Row],[_авто фаза]]</f>
        <v>L1</v>
      </c>
      <c r="N120" t="s">
        <v>486</v>
      </c>
      <c r="O120" t="str">
        <f t="shared" si="123"/>
        <v/>
      </c>
      <c r="P120" s="6" cm="1">
        <f t="array" ref="P120">IF(B120="","",IF(BC120&lt;&gt;"",IFERROR(_xlfn.XLOOKUP(BC120,Щиты[Щит],Щиты[Iр, А]),""),IF(BK120=1,IFERROR(_xlfn.XLOOKUP(A120,Щиты[Щит],Щиты[Iр, А]),""),IFERROR(_xlfn.IFS(BR120=1,BN120/((Uн_лин/SQRT(3))*BY120),BR120=3,BN120/(SQRT(3)*Uн_лин*BY120)),""))))</f>
        <v>2.0351596988934304</v>
      </c>
      <c r="Q120" s="7">
        <f>IF(B120="","",IFERROR(IF(VLOOKUP(AX120,Потребители_обозначение,4,FALSE)=1,VLOOKUP(AX120,Потребители_обозначение,3,FALSE)*(D120*2-1)+DS120+VLOOKUP(AZ120,Этаж_обозначение,3,FALSE)+VLOOKUP(AZ120,Этаж_обозначение,4,FALSE),VLOOKUP(AX120,Потребители_обозначение,3,FALSE)*(D120*2-1)+DS120),DS120))</f>
        <v>42</v>
      </c>
      <c r="R120" s="6">
        <f t="shared" si="124"/>
        <v>1.1400000000000001</v>
      </c>
      <c r="S120" t="str">
        <f t="shared" si="125"/>
        <v>ВВГнг(А)-LS (3х1,5)</v>
      </c>
      <c r="T120" t="str">
        <f>IF(BH120="","",IF(BI120="вводной узел","узел ","")&amp;"л."&amp;(INT((BH120-1)/Столбцов_на_лист)+1)&amp;" / "&amp;(MOD(BH120-1,Столбцов_на_лист)+1))</f>
        <v>л.3 / 3</v>
      </c>
      <c r="V120">
        <v>1</v>
      </c>
      <c r="W120">
        <v>230</v>
      </c>
      <c r="X120" t="s">
        <v>600</v>
      </c>
      <c r="Y120">
        <v>0.5</v>
      </c>
      <c r="AC120" t="s">
        <v>815</v>
      </c>
      <c r="AE120" t="s">
        <v>578</v>
      </c>
      <c r="AI120">
        <v>37</v>
      </c>
      <c r="AJ120" t="s">
        <v>11</v>
      </c>
      <c r="AK120">
        <v>3</v>
      </c>
      <c r="AM120">
        <v>19</v>
      </c>
      <c r="AN120">
        <v>23</v>
      </c>
      <c r="AP120">
        <v>1</v>
      </c>
      <c r="AW120" cm="1">
        <f t="array" ref="AW120">ROW()-ROW(Линии[#Headers])</f>
        <v>118</v>
      </c>
      <c r="AX120" s="6" t="str">
        <f t="shared" si="126"/>
        <v>K</v>
      </c>
      <c r="AY120" t="str">
        <f t="shared" si="127"/>
        <v>1.002AБ.1</v>
      </c>
      <c r="AZ120" t="str">
        <f t="shared" si="128"/>
        <v>1</v>
      </c>
      <c r="BA120" t="str">
        <f t="shared" si="129"/>
        <v>002AБ.1</v>
      </c>
      <c r="BB120" t="str">
        <f t="shared" si="130"/>
        <v>002AБ</v>
      </c>
      <c r="BC120" t="str">
        <f>IF(U120&lt;&gt;"",U120,IF(AND(B120&lt;&gt;"",B120&lt;&gt;A120,ISNUMBER(_xlfn.XMATCH(B120,Щиты[Щит]))),B120,""))</f>
        <v/>
      </c>
      <c r="BD120" t="str" cm="1">
        <f t="array" ref="BD120">IF(B120="","",IF(BC120&lt;&gt;"","Щит "&amp;BC120,_xlfn.LET(_xlpm.nm,IFERROR(_xlfn.XLOOKUP(AX120,Коды_код,Коды_имя)&amp;"",""),_xlpm.md,IFERROR(N(_xlfn.XLOOKUP(AX120,Коды_код,Коды_режим)),1),_xlpm.ex,IF(Имя_режим="по экспликации",IFERROR(_xlfn.XLOOKUP(AZ120&amp;"|"&amp;BB120,Экспликация[Этаж]&amp;"|"&amp;Экспликация[Помещение],Экспликация[Название])&amp;"",""),""),_xlpm.rm,IF(BB120="","",IF(_xlpm.ex&lt;&gt;"",". "&amp;_xlpm.ex&amp;IF(Имя_пом="нет"," ("&amp;BB120&amp;")"," (пом. "&amp;BB120&amp;")"),IF(Имя_пом="нет"," ",", пом. ")&amp;BB120)),IF(_xlpm.nm="","",IF(_xlpm.md=2,_xlpm.nm&amp;" шлейф "&amp;AZ120,_xlpm.nm&amp;_xlpm.rm)))))</f>
        <v>Внутренний блок кондиционирования, пом. 002AБ</v>
      </c>
      <c r="BE120" t="str">
        <f t="shared" si="131"/>
        <v>Внутренний блок кондиционирования подвальный этаж Пом. №001Т</v>
      </c>
      <c r="BF120">
        <f>IFERROR(_xlfn.XMATCH(A120,Щиты[Щит]),0)</f>
        <v>6</v>
      </c>
      <c r="BG120">
        <f>_xlfn.LET(_xlpm.k,IFERROR(_xlfn.XLOOKUP(A120,Щиты[Щит],Щиты[Листов под вводной узел]),""),IF(_xlpm.k="",1,N(_xlpm.k))*Столбцов_на_лист)</f>
        <v>17</v>
      </c>
      <c r="BH120">
        <f t="shared" si="132"/>
        <v>37</v>
      </c>
      <c r="BI120" t="str">
        <f t="shared" si="133"/>
        <v>линии</v>
      </c>
      <c r="BJ120" s="6">
        <f>IFERROR(N(_xlfn.XLOOKUP(AX120,Коды_код,Коды_квт)),0)</f>
        <v>0</v>
      </c>
      <c r="BK120">
        <f t="shared" si="134"/>
        <v>0</v>
      </c>
      <c r="BL120" t="str">
        <f>IF(B120="","",IF(BC120&lt;&gt;"",IFERROR(_xlfn.XLOOKUP(BC120,Щиты[Щит],Щиты[Руст, кВт]),0),IF(BK120=1,IFERROR(_xlfn.XLOOKUP(A120,Щиты[Щит],Щиты[Руст, кВт]),0),IF(BJ120&gt;0,ROUND(BJ120*MAX(1,N(D120)),3),""))))</f>
        <v/>
      </c>
      <c r="BM120">
        <f t="shared" si="135"/>
        <v>0.376</v>
      </c>
      <c r="BN120" s="6">
        <f>IF(B120="","",IF(BC120&lt;&gt;"",IFERROR(_xlfn.XLOOKUP(BC120,Щиты[Щит],Щиты[Руст, кВт]),0),N(BM120)))</f>
        <v>0.376</v>
      </c>
      <c r="BO120" t="str">
        <f>IF(B120="","",IFERROR(IF(VLOOKUP(AX120,Потребители_обозначение,8,FALSE)=0,"",VLOOKUP(AX120,Потребители_обозначение,8,FALSE)),""))</f>
        <v/>
      </c>
      <c r="BP120">
        <f t="shared" si="136"/>
        <v>230</v>
      </c>
      <c r="BQ120">
        <f>IF(B120="","",IF(BC120&lt;&gt;"",3,IFERROR(IF(N(VLOOKUP(AX120,Потребители_обозначение,9,FALSE))=0,1,VLOOKUP(AX120,Потребители_обозначение,9,FALSE)),1)))</f>
        <v>1</v>
      </c>
      <c r="BR120">
        <f t="shared" si="137"/>
        <v>1</v>
      </c>
      <c r="BS120" t="str">
        <f>IF(B120="","",_xlfn.LET(_xlpm.bc,IFERROR(IF(VLOOKUP(AX120,Потребители_обозначение,6,FALSE)=0,"",VLOOKUP(AX120,Потребители_обозначение,6,FALSE)&amp;""),""),IF(AND(FK120="да",OR(_xlpm.bc="",_xlpm.bc="мс")),Марка_пож,IF(AND(_xlpm.bc="",BC120&lt;&gt;""),"мс",_xlpm.bc))))</f>
        <v/>
      </c>
      <c r="BT120" t="str">
        <f t="shared" si="138"/>
        <v>мс</v>
      </c>
      <c r="BU120">
        <f>IF(B120="","",_xlfn.LET(_xlpm.cc,IFERROR(N(VLOOKUP(AX120,Потребители_обозначение,7,FALSE)),0),IF(_xlpm.cc&gt;0,_xlpm.cc,IF(BT120="","",IF(N(BR120)=3,5,3)))))</f>
        <v>3</v>
      </c>
      <c r="BV120">
        <f t="shared" si="139"/>
        <v>3</v>
      </c>
      <c r="BW120">
        <f>IFERROR(N(VLOOKUP(AX120,Потребители_обозначение,10,FALSE)),0)</f>
        <v>0</v>
      </c>
      <c r="BX120">
        <f>IFERROR(VLOOKUP(AX120,Потребители_обозначение,5,FALSE),0)</f>
        <v>1</v>
      </c>
      <c r="BY120" s="6" cm="1">
        <f t="array" ref="BY120">IF(B120="","",IF(BC120&lt;&gt;"",IFERROR(_xlfn.XLOOKUP(BC120,Щиты[Щит],Щиты[cos φ]),0.95),IF(BK120=1,IFERROR(_xlfn.XLOOKUP(A120,Щиты[Щит],Щиты[cos φ]),0.95),IF(ISNUMBER(Z120),Z120,IFERROR(IF(BX120=2,_xlfn.IFS(BR120=3,VLOOKUP(BN120,Справочная_двигатели,8,FALSE),BR120=1,VLOOKUP(BN120,Справочная_двигатели,10,TRUE)),IF(AND(Методика="нормы 2026",EQ120="Сил"),0.8,0.95)),0.95)))))</f>
        <v>0.8</v>
      </c>
      <c r="BZ120">
        <f t="shared" si="140"/>
        <v>0</v>
      </c>
      <c r="CA120">
        <f t="shared" si="141"/>
        <v>1</v>
      </c>
      <c r="CB120">
        <f t="shared" si="142"/>
        <v>0</v>
      </c>
      <c r="CC120">
        <f t="shared" si="143"/>
        <v>0</v>
      </c>
      <c r="CD120">
        <f t="shared" si="144"/>
        <v>0</v>
      </c>
      <c r="CE120">
        <f t="shared" si="145"/>
        <v>0</v>
      </c>
      <c r="CF120">
        <f t="shared" si="146"/>
        <v>0</v>
      </c>
      <c r="CG120">
        <f>IF(AX120="",0,_xlfn.LET(_xlpm.v,IFERROR(VLOOKUP(B120,УГО_спр,3,FALSE),IFERROR(VLOOKUP(AX120,УГО_спр,3,FALSE),IFERROR(VLOOKUP(LEFT(AX120,2),УГО_спр,3,FALSE),""))),IF(_xlpm.v="да",30,IF(ISNUMBER(_xlpm.v),_xlpm.v,0))))</f>
        <v>0</v>
      </c>
      <c r="CH120" t="str">
        <f t="shared" si="147"/>
        <v/>
      </c>
      <c r="CI120" t="str">
        <f>_xlfn.LET(_xlpm.k,IFERROR(_xlfn.XLOOKUP(AX120,Коды_код,Коды_утечка)&amp;"",""),IF(_xlpm.k="","дифавтомат",_xlpm.k))</f>
        <v>дифавтомат</v>
      </c>
      <c r="CJ120">
        <f t="shared" si="148"/>
        <v>0</v>
      </c>
      <c r="CK120">
        <f t="shared" si="149"/>
        <v>0</v>
      </c>
      <c r="CL120">
        <f>IF(B120="",0,IFERROR(--VLOOKUP(B120,УГО_спр,4,FALSE),IFERROR(--VLOOKUP(AX120,УГО_спр,4,FALSE),IFERROR(--VLOOKUP(LEFT(AX120,2),УГО_спр,4,FALSE),0))))</f>
        <v>0</v>
      </c>
      <c r="CM120" t="str">
        <f>IF(B120="","",IFERROR(_xlfn.XLOOKUP(AX120,Коды_код,Коды_апп)&amp;"",""))</f>
        <v/>
      </c>
      <c r="CN120" t="str">
        <f t="shared" si="150"/>
        <v/>
      </c>
      <c r="CO120" t="str" cm="1">
        <f t="array" ref="CO120">IF(TRIM(CN120&amp;"")="","",IFERROR(TRIM(INDEX(_xlfn.TEXTSPLIT(CN120&amp;";;;",";"),1)),""))</f>
        <v/>
      </c>
      <c r="CP120" t="str" cm="1">
        <f t="array" ref="CP120">IF(TRIM(CN120&amp;"")="","",IFERROR(TRIM(INDEX(_xlfn.TEXTSPLIT(CN120&amp;";;;",";"),2)),""))</f>
        <v/>
      </c>
      <c r="CQ120" t="str" cm="1">
        <f t="array" ref="CQ120">IF(TRIM(CN120&amp;"")="","",IFERROR(TRIM(INDEX(_xlfn.TEXTSPLIT(CN120&amp;";;;",";"),3)),""))</f>
        <v/>
      </c>
      <c r="CR120">
        <f t="shared" si="151"/>
        <v>0</v>
      </c>
      <c r="CS120" t="str">
        <f>IF(B120="","",_xlfn.LET(_xlpm.t,LOWER(AV120&amp;""),IF(ISNUMBER(SEARCH("dim",_xlpm.t)),"DIM",IF(ISNUMBER(SEARCH("dali",_xlpm.t)),"DALI",IF(OR(ISNUMBER(SEARCH("relay",_xlpm.t)),ISNUMBER(SEARCH("реле",_xlpm.t))),"Relay",IF(ISNUMBER(SEARCH("кнопк",_xlpm.t)),"",IFERROR(_xlfn.XLOOKUP(AX120,Коды_код,Коды_упр)&amp;"","")))))))</f>
        <v/>
      </c>
      <c r="CT120" t="str">
        <f t="shared" si="152"/>
        <v/>
      </c>
      <c r="CU120">
        <f>IF(B120="","",_xlfn.LET(_xlpm.ig,N(P120)+IF(AF120="вручную",0,N(CB120)),_xlpm.n0,IFERROR(VLOOKUP(_xlpm.ig,Автомат_номиналы,2,TRUE),0),_xlpm.mn,MAX(CL120,IF(AF120="вручную",0,N(CE120))),MAX(_xlpm.n0,_xlpm.mn,IF(CR120=1,Мин_автомат_БП,0))))</f>
        <v>6</v>
      </c>
      <c r="CV120">
        <f t="shared" si="153"/>
        <v>1</v>
      </c>
      <c r="CW120" t="str">
        <f t="shared" si="154"/>
        <v>1P</v>
      </c>
      <c r="CX120" t="str">
        <f>_xlfn.LET(_xlpm.cc,UPPER(TRIM(IFERROR(_xlfn.XLOOKUP(AX120,Коды_код,Коды_хар)&amp;"",""))),IF(OR(_xlpm.cc="B",_xlpm.cc="В"),"B",IF(_xlpm.cc="D","D","С")))</f>
        <v>С</v>
      </c>
      <c r="CY120" t="str">
        <f t="shared" si="155"/>
        <v>1P С6А</v>
      </c>
      <c r="CZ120">
        <f t="shared" si="156"/>
        <v>10</v>
      </c>
      <c r="DA120" t="str">
        <f t="shared" si="157"/>
        <v>1P С10А</v>
      </c>
      <c r="DB120" cm="1">
        <f t="array" ref="DB120">IF(DA120="","",_xlfn.LET(_xlpm.t,SUBSTITUTE(SUBSTITUTE(SUBSTITUTE(UPPER(DA120),"С","C"),"А","A"),"В","B"),_xlpm.tk,_xlfn.TEXTSPLIT(_xlpm.t,"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0" t="str">
        <f t="shared" si="158"/>
        <v>ok</v>
      </c>
      <c r="DD120">
        <f t="shared" si="159"/>
        <v>10</v>
      </c>
      <c r="DE120" t="str">
        <f t="shared" si="160"/>
        <v>1P С10А</v>
      </c>
      <c r="DF120">
        <f t="shared" si="161"/>
        <v>0</v>
      </c>
      <c r="DG120">
        <f t="shared" si="162"/>
        <v>0</v>
      </c>
      <c r="DH120">
        <f t="shared" si="163"/>
        <v>0</v>
      </c>
      <c r="DI120">
        <f t="shared" si="164"/>
        <v>2.0351596988934304</v>
      </c>
      <c r="DJ120">
        <f t="shared" si="165"/>
        <v>1</v>
      </c>
      <c r="DK120">
        <f>IF(ISNUMBER(AL120),AL120,К_прокл)</f>
        <v>1</v>
      </c>
      <c r="DL120">
        <f t="shared" si="166"/>
        <v>2</v>
      </c>
      <c r="DM120">
        <f>IFERROR(N(VLOOKUP(BT120,Кабель_обозначение,3,FALSE)),1)</f>
        <v>1</v>
      </c>
      <c r="DN120">
        <f>IFERROR(N(_xlfn.XLOOKUP(A120,Щиты[Щит],Щиты[ΔU до шин, %])),0)</f>
        <v>0.24000000000000002</v>
      </c>
      <c r="DO120" t="str">
        <f>IFERROR(_xlfn.XLOOKUP(A120,Щиты[Щит],Щиты[Zпетли на шинах, Ом]),"")</f>
        <v/>
      </c>
      <c r="DP120">
        <f>IFERROR(N(_xlfn.XLOOKUP(A120,Щиты[Щит],Щиты[ΔU до шин (подбор), %])),0)</f>
        <v>0.36</v>
      </c>
      <c r="DQ120" t="str">
        <f>IFERROR(_xlfn.XLOOKUP(A120,Щиты[Щит],Щиты[Zпетли на шинах (подбор), Ом]),"")</f>
        <v/>
      </c>
      <c r="DR120" t="str">
        <f t="shared" si="167"/>
        <v/>
      </c>
      <c r="DS120">
        <f t="shared" si="168"/>
        <v>40</v>
      </c>
      <c r="DT120">
        <f t="shared" si="169"/>
        <v>2</v>
      </c>
      <c r="DU120">
        <f t="shared" si="170"/>
        <v>0.6</v>
      </c>
      <c r="DV120" s="6">
        <f>IF(B120="","",IF(IFERROR(VLOOKUP(AX120,УГО_спр,2,FALSE),"")="Светильник",3,4)+IF(Методика="нормы 2026",MIN(0.5,MAX(0,N(Q120)-100)*0.005),0))</f>
        <v>4</v>
      </c>
      <c r="DW120" cm="1">
        <f t="array" ref="DW120">IF(OR(B120="",BT120="",DM120&lt;&gt;1),"",_xlfn.LET(_xlpm.sz,Iдоп_S,_xlpm.t_,CHOOSE(DL120,Iдоп_1ж,Iдоп_2ж,Iдоп_3ж)*DJ120*DK120,_xlpm.inn,N(DD120),_xlpm.smin,MAX(1.5,BW120),_xlpm.L_,N(Q120)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120)*(_xlpm.rho*_xlpm.L_/_xlpm.sz*N(BY120)+_xlpm.xx*_xlpm.L_*N(DU120)/1000)*N(P120)/((Uн_лин/SQRT(3))*1000)*100,999),_xlpm.kz,IF(OR(DG120=1,NOT(ISNUMBER(DQ120)),_xlpm.L_=0,_xlpm.inn=0),1,IFERROR(--(c_min*(Uн_лин*1000/SQRT(3))/(DQ120+2*ρкз_Cu*_xlpm.L_/_xlpm.sz)&gt;=GY120*_xlpm.inn),0)),_xlpm.ok,IFERROR((_xlpm.sz&gt;=_xlpm.smin)*(_xlpm.t_&gt;=_xlpm.inn)*IF(_xlpm.L_&gt;0,(_xlpm.du_+DP120&lt;=DV120+0.00001),1)*_xlpm.kz,0),_xlpm.r_,_xlfn._xlws.FILTER(_xlpm.sz,_xlpm.ok,"не подобрано"),INDEX(_xlpm.r_,1)))</f>
        <v>1.5</v>
      </c>
      <c r="DX120">
        <f t="shared" si="171"/>
        <v>1.5</v>
      </c>
      <c r="DY120" cm="1">
        <f t="array" ref="DY120">IF(OR(B120="",BT120="",DM120&lt;&gt;1),"",_xlfn.LET(_xlpm.sz,Iдоп_S,_xlpm.t_,CHOOSE(DL120,Iдоп_1ж,Iдоп_2ж,Iдоп_3ж)*DJ120*DK120,_xlpm.ok,IFERROR((_xlpm.sz&gt;=MAX(1.5,BW120))*(_xlpm.t_&gt;=N(DD120)),0),_xlpm.r_,_xlfn._xlws.FILTER(_xlpm.sz,_xlpm.ok,""),INDEX(_xlpm.r_,1)))</f>
        <v>1.5</v>
      </c>
      <c r="DZ120" s="6" cm="1">
        <f t="array" ref="DZ120">IFERROR(ROUNDUP(N(DT120)*(_xlfn.XLOOKUP(DY120,INDEX(Кабель_сопротивление,0,1),INDEX(Кабель_сопротивление,0,3))*N(Q120)/DY120*N(BY120)+_xlfn.XLOOKUP(DY120,INDEX(Кабель_сопротивление,0,1),INDEX(Кабель_сопротивление,0,2))*N(Q120)*N(DU120)/1000)*N(P120)/((Uн_лин/SQRT(3))*1000)*100,2),"")</f>
        <v>0.9</v>
      </c>
      <c r="EA120">
        <f>IFERROR(2*ρкз_Cu*N(Q120)/DY120,"")</f>
        <v>1.4728000000000001</v>
      </c>
      <c r="EB120">
        <f>IFERROR(VLOOKUP(DX120,Кабель_сопротивление,3,FALSE),"")</f>
        <v>2.2499999999999999E-2</v>
      </c>
      <c r="EC120">
        <f>IFERROR(VLOOKUP(DX120,Кабель_сопротивление,2,FALSE),"")</f>
        <v>0.11</v>
      </c>
      <c r="ED120">
        <f t="shared" si="172"/>
        <v>23</v>
      </c>
      <c r="EE120">
        <f t="shared" si="173"/>
        <v>0</v>
      </c>
      <c r="EF120">
        <f t="shared" si="174"/>
        <v>2.062723901855243</v>
      </c>
      <c r="EG120" s="6">
        <f>IFERROR(ROUNDUP(EF120/((Uн_лин/SQRT(3))*1000)*100,2),"")</f>
        <v>0.9</v>
      </c>
      <c r="EH120" t="str">
        <f>IFERROR(VLOOKUP(BT120,Кабель_обозначение,2,FALSE),"")</f>
        <v>ВВГнг(А)-LS</v>
      </c>
      <c r="EI120" t="str">
        <f t="shared" si="175"/>
        <v>ВВГнг(А)-LS (3х1,5)</v>
      </c>
      <c r="EJ120" t="str">
        <f t="shared" si="176"/>
        <v>ВВГнг(А)-LS (3х1,5)
L=42-0,9%</v>
      </c>
      <c r="EK120">
        <f>IFERROR(2*ρкз_Cu*Q120/DX120,"")</f>
        <v>1.4728000000000001</v>
      </c>
      <c r="EL120">
        <f t="shared" si="177"/>
        <v>0.49000000000000005</v>
      </c>
      <c r="EM120" s="6" t="str">
        <f>IFERROR(IF(OR(B120="",NOT(ISNUMBER(DX120)),N(Q120)=0),"",_xlfn.XLOOKUP(A120,Щиты[Щит],Щиты[Zпетли на шинах, Ом])+EK120),"")</f>
        <v/>
      </c>
      <c r="EN120" s="6" t="str">
        <f>IF(ISNUMBER(EM120),c_min*(Uн_лин*1000/SQRT(3))/EM120,"")</f>
        <v/>
      </c>
      <c r="EO120" s="6" t="str">
        <f>IFERROR(IF(OR(B120="",NOT(ISNUMBER(DX120))),"",1.05*(Uн_лин*1000/SQRT(3))/(_xlfn.XLOOKUP(A120,Щиты[Щит],Щиты[Zmax на шинах, Ом])+EL120)/1000),"")</f>
        <v/>
      </c>
      <c r="EP120" s="6" t="str">
        <f>IF(B120="","",IF(ISNUMBER(Y120),"Сил",IF(IFERROR(_xlfn.XLOOKUP(AX120,Коды_код,Коды_группа)&amp;"","")="","Быт",_xlfn.XLOOKUP(AX120,Коды_код,Коды_группа)&amp;"")))</f>
        <v>Сил</v>
      </c>
      <c r="EQ120" s="6" t="str">
        <f t="shared" si="178"/>
        <v>Сил</v>
      </c>
      <c r="ER120" s="6">
        <f>IF(EQ120="Щит","щит",IF(EQ120="","",IF(EQ120="Быт",IFERROR(_xlfn.XLOOKUP(A120,Щиты[Щит],Щиты[Кс быт]),1),IF(EQ120="Сил",IF(ISNUMBER(Y120),Y120,IF(Методика="нормы 2026",IFERROR(_xlfn.XLOOKUP(A120,Щиты[Щит],Щиты[Кс силовых (табл. 7.5)]),1),1)),IF(OR(EQ120="Пост",EQ120="Отоп"),1,IF(EQ120="ВНГ",0.7,0))))))</f>
        <v>0.5</v>
      </c>
      <c r="ES120">
        <f t="shared" si="179"/>
        <v>1</v>
      </c>
      <c r="ET120">
        <f t="shared" si="180"/>
        <v>0.376</v>
      </c>
      <c r="EU120">
        <f t="shared" si="181"/>
        <v>0</v>
      </c>
      <c r="EV120">
        <f t="shared" si="182"/>
        <v>0.188</v>
      </c>
      <c r="EW120">
        <f t="shared" si="183"/>
        <v>0</v>
      </c>
      <c r="EX120">
        <f t="shared" si="184"/>
        <v>0</v>
      </c>
      <c r="EY120">
        <f t="shared" si="185"/>
        <v>0</v>
      </c>
      <c r="EZ120">
        <f t="shared" si="186"/>
        <v>0.376</v>
      </c>
      <c r="FA120">
        <f t="shared" si="187"/>
        <v>0.30080000000000001</v>
      </c>
      <c r="FB120">
        <f t="shared" si="188"/>
        <v>0.376</v>
      </c>
      <c r="FC120" t="str">
        <f t="shared" si="189"/>
        <v/>
      </c>
      <c r="FD120" t="str">
        <f>IF(B120="","",IF(CA120=0,IF(AW120=1,"",FF119),IF(OR(N(CV120)&gt;=3,N(BR120)&gt;=3),"L1,L2,L3",IFERROR(_xlfn.TEXTBEFORE(_xlfn.TEXTAFTER(_xlfn.XLOOKUP(A120,Щиты[Щит],Щиты[_фазы авто]),";"&amp;AW120&amp;":"),";"),"L1"))))</f>
        <v>L1</v>
      </c>
      <c r="FE120" t="str">
        <f t="shared" si="190"/>
        <v>L1</v>
      </c>
      <c r="FF120" t="str">
        <f t="shared" si="191"/>
        <v>L1</v>
      </c>
      <c r="FG120" cm="1">
        <f t="array" ref="FG120">IFERROR(IF(BX120=2,_xlfn.IFS(BR120=3,VLOOKUP(BN120,Справочная_двигатели,3,FALSE),BR120=1,VLOOKUP(BN120,Справочная_двигатели,5,TRUE)),0),0)</f>
        <v>0</v>
      </c>
      <c r="FH120">
        <f>IFERROR(IF(BX120=3,VLOOKUP(BN120,Справочная_ЛЭД,2,TRUE),0),0)</f>
        <v>0</v>
      </c>
      <c r="FI120" s="6">
        <f t="shared" si="192"/>
        <v>0</v>
      </c>
      <c r="FJ120" t="str" cm="1">
        <f t="array" ref="FJ120">IF(B120="","",IFERROR(INDEX({"I особая","I","II","III"},MATCH(TRIM(AC120&amp;""),{"I особая","I","II","III"},0)),"III"))</f>
        <v>II</v>
      </c>
      <c r="FK120" t="str">
        <f>IF(B120="","",IF(TRIM(AD120&amp;"")&lt;&gt;"",IF(LOWER(TRIM(AD120&amp;""))="да","да","нет"),IF(IFERROR(_xlfn.XLOOKUP(AX120,Коды_код,Коды_пожарная),"")="да","да","нет")))</f>
        <v>нет</v>
      </c>
      <c r="FL120" t="str">
        <f t="shared" si="193"/>
        <v/>
      </c>
      <c r="FM120" t="str">
        <f t="shared" si="194"/>
        <v>основная</v>
      </c>
      <c r="FN120">
        <f t="shared" si="195"/>
        <v>1</v>
      </c>
      <c r="FO120" t="str" cm="1">
        <f t="array" ref="FO120">IF(B120="","",_xlfn.LET(_xlpm.t,IFERROR(_xlfn.XLOOKUP(1,(Шины[Шина]=FM120)*(((Шины[Щит]=A120)+(Шины[Щит]=""))&gt;0),Шины[Тип]),"")&amp;"",IF(_xlpm.t&lt;&gt;"",_xlpm.t,IF(ISNUMBER(SEARCH("ИБП",FM120)),"ИБП",IF(ISNUMBER(SEARCH("ДГУ",FM120)),"ДГУ","Ввод "&amp;FN120)))))</f>
        <v>Ввод 1</v>
      </c>
      <c r="FP120" t="str">
        <f t="shared" si="196"/>
        <v>Ввод 1</v>
      </c>
      <c r="FQ120" t="str">
        <f>IF(B120="","",IF(OR(FO120="ИБП",FO120="ДГУ"),"I особая",IF(FO120="Одиночная","III",_xlfn.XLOOKUP(A120,Щиты[Щит],Щиты[Категория шины «Ввод»],"III"))))</f>
        <v>II</v>
      </c>
      <c r="FR120">
        <f>IF(B120="",0,IFERROR(MATCH(FJ120,{"III","II","I","I особая"},0),1))</f>
        <v>2</v>
      </c>
      <c r="FS120">
        <f t="shared" si="197"/>
        <v>2</v>
      </c>
      <c r="FT120" t="str">
        <f>IF(B120="","",IF(FR120&gt;IFERROR(MATCH(FQ120,{"III","II","I","I особая"},0),1),"НЕ ОБЕСПЕЧЕНА","ОК"))</f>
        <v>ОК</v>
      </c>
      <c r="FU120" t="str">
        <f>IF(A120="","",_xlfn.XLOOKUP(A120,Щиты[Щит],Щиты[Путь],""))</f>
        <v>|ГРЩ-ЖД|ЩОВ-01|</v>
      </c>
      <c r="FV120" t="str">
        <f>IF(B120="","",IF(AE120&lt;&gt;"",AE120,IF(IFERROR(_xlfn.XLOOKUP(AX120,Коды_код,Коды_вид)&amp;"","")="","Прочее",_xlfn.XLOOKUP(AX120,Коды_код,Коды_вид)&amp;"")))</f>
        <v>Кондиционирование и увлажнение</v>
      </c>
      <c r="FW120">
        <f>IF(BH120="","",INT((BH120-1)/Столбцов_на_лист)+1)</f>
        <v>3</v>
      </c>
      <c r="FX120" t="str">
        <f t="shared" si="198"/>
        <v>ВВГнг(А)-LS (3х1,5) L=42-0,9%</v>
      </c>
      <c r="FY120">
        <f t="shared" si="199"/>
        <v>0.376</v>
      </c>
      <c r="FZ120">
        <f t="shared" si="200"/>
        <v>2.0399999999999996</v>
      </c>
      <c r="GA120">
        <f t="shared" si="201"/>
        <v>1</v>
      </c>
      <c r="GB120">
        <f t="shared" si="202"/>
        <v>0</v>
      </c>
      <c r="GC120">
        <f t="shared" si="203"/>
        <v>1</v>
      </c>
      <c r="GD120">
        <f>IF(BH120="","",IF(AND(CA120=1,GC120=1),COUNTIFS(A$3:A120,A120,CA$3:CA120,1,GC$3:GC120,1),IF(OR(OR(AW120=1,A120&lt;&gt;A119),AF120="вручную",GC120=0),"",IF(AW120=1,"",GE119))))</f>
        <v>18</v>
      </c>
      <c r="GE120">
        <f t="shared" si="204"/>
        <v>18</v>
      </c>
      <c r="GF120">
        <f>IF(B120="","",IFERROR(LOOKUP(INDEX(CHOOSE(DL120,Iдоп_1ж,Iдоп_2ж,Iдоп_3ж),MATCH(DX120,Iдоп_S,0))*DJ120*DK120,{6,10,16,20,25,32,40,50,63,80,100,125,160,200,250,315,400,500,630}),""))</f>
        <v>16</v>
      </c>
      <c r="GG120" t="str">
        <f t="shared" si="205"/>
        <v>QF18</v>
      </c>
      <c r="GH120" t="str">
        <f t="shared" si="206"/>
        <v>QF18</v>
      </c>
      <c r="GI120" t="str">
        <f t="shared" si="207"/>
        <v/>
      </c>
      <c r="GJ120">
        <f t="shared" si="208"/>
        <v>0</v>
      </c>
      <c r="GK120" t="str">
        <f>IF(OR(AG120="",AG120="-"),"",IFERROR(VLOOKUP(AG120,Модули_спр,2,FALSE),"R"))</f>
        <v/>
      </c>
      <c r="GL120" t="str">
        <f>IF(GK120="","",GK120&amp;"."&amp;COUNTIFS(A$3:A120,A120,GK$3:GK120,GK120))</f>
        <v/>
      </c>
      <c r="GM120" t="str">
        <f t="shared" si="209"/>
        <v/>
      </c>
      <c r="GN120" t="str">
        <f t="shared" si="210"/>
        <v/>
      </c>
      <c r="GO120" t="str">
        <f t="shared" si="211"/>
        <v/>
      </c>
      <c r="GP120" t="str">
        <f t="shared" si="212"/>
        <v/>
      </c>
      <c r="GQ120">
        <f t="shared" si="213"/>
        <v>1</v>
      </c>
      <c r="GR120" t="str">
        <f>IF(GQ120=1,"XT"&amp;COUNTIFS(A$3:A120,A120,GQ$3:GQ120,1),"")</f>
        <v>XT18</v>
      </c>
      <c r="GS120" t="str">
        <f t="shared" si="214"/>
        <v/>
      </c>
      <c r="GT120" t="str">
        <f t="shared" si="215"/>
        <v>QF18</v>
      </c>
      <c r="GU120" t="str">
        <f t="shared" si="216"/>
        <v/>
      </c>
      <c r="GV120" t="str">
        <f t="shared" si="217"/>
        <v>ok</v>
      </c>
      <c r="GW120" t="str">
        <f>IF(OR(GO120="",GM120=""),"",IF(GO120&gt;IFERROR(VLOOKUP(GN120,Модули_спр,3,FALSE),99),"ЛИШНИЙ КАНАЛ",IF(AND(AH120&lt;&gt;"=",COUNTIFS(Линии[_модуль гр.],GM120,Линии[Канал (итог)],GO120,Линии[Канал],"&lt;&gt;=",Линии[Щит],A120)&gt;1),"ДУБЛЬ КАНАЛА","")))</f>
        <v/>
      </c>
      <c r="GX120" s="6" t="str">
        <f t="shared" si="218"/>
        <v/>
      </c>
      <c r="GY120">
        <f t="shared" si="219"/>
        <v>10</v>
      </c>
      <c r="GZ120" t="str">
        <f t="shared" si="220"/>
        <v/>
      </c>
      <c r="HA120" t="str">
        <f>IF(AND(B120="",GT120=""),"",_xlfn.TEXTJOIN("; ",TRUE,IF(AND(B120&lt;&gt;"",FE120=""),"нет фазы",""),IF(AND(B120&lt;&gt;"",N(FY120)=0,EQ120&lt;&gt;"Нет"),"нет мощности",""),IF(AND(GS120&lt;&gt;"",COUNTIFS(Линии[Щит],A120,Линии[Клемма (итог)],GS120)&gt;1),"дубль клеммы "&amp;GS120,""),IF(AND(GV120&lt;&gt;"",GV120&lt;&gt;"ok"),GV120,""),IF(GW120&lt;&gt;"",GW120,""),IF(AND(N(BV120)&gt;=4,N(BR120)=1),BV120&amp;" жил на 1 фазе",""),IF(AND(AX120="R",CA120=1,OR(N(CK120)=0,N(CK120)&gt;30)),"розетка без дифзащиты до 30 мА",""),IFERROR(IF(AND(ISNUMBER(R120),R120&gt;DV120),"потери "&amp;FIXED(R120,1)&amp;" % &gt; "&amp;DV120&amp;" %",""),""),IFERROR(IF(LEFT(GZ120,4)="мало","Iкз мало — отключение &gt; 0,4 с",""),""),IF(AND(B120&lt;&gt;"",BH120=""),"не на схеме",""),IF(AND(CA120=0,B120&lt;&gt;"",FE120&lt;&gt;"",IF(AW120=1,"",FF119)&lt;&gt;"",FE120&lt;&gt;IF(AW120=1,"",FF119)),"фаза не как у автомата группы ("&amp;IF(AW120=1,"",FF119)&amp;")","")))</f>
        <v/>
      </c>
      <c r="HB120" s="6">
        <f>IF(OR(CA120=0,DA120=""),"",_xlfn.LET(_xlpm.t,IFERROR(_xlfn.XLOOKUP(DA120,Каталог!$U$4:$U$500,Каталог!$G$4:$G$500),""),_xlpm.k,SEARCH("кА",_xlpm.t),IFERROR(--TRIM(RIGHT(SUBSTITUTE(MID(_xlpm.t,MAX(1,_xlpm.k-4),_xlpm.k-MAX(1,_xlpm.k-4))," ",REPT(" ",9)),5)),"")))</f>
        <v>6</v>
      </c>
      <c r="HC120" t="str">
        <f>IF(OR(HB120="",CA120=0),"",IF(_xlfn.XLOOKUP(A120,Щиты[Щит],Щиты[Iкз max на шинах, кА],"")="","",IF(HB120&lt;_xlfn.XLOOKUP(A120,Щиты[Щит],Щиты[Iкз max на шинах, кА]),"Icu "&amp;HB120&amp;" кА &lt; Iкз max","ok")))</f>
        <v/>
      </c>
      <c r="HD120" t="str">
        <f t="shared" si="221"/>
        <v/>
      </c>
      <c r="HE120" t="str">
        <f t="shared" si="222"/>
        <v>QF18</v>
      </c>
      <c r="HF120" t="str">
        <f t="shared" si="223"/>
        <v>QF18|кабель ВВГнг(А)-LS (3х1,5) → Внутренний блок кондиционирования подвальный этаж Пом. №001Т</v>
      </c>
      <c r="HG120" t="str" cm="1">
        <f t="array" ref="HG120">IF(HF120="","",_xlfn.LET(_xlpm.nd,_xlfn.TEXTSPLIT(HF120,"|"),IF(COLUMNS(_xlpm.nd)&gt;1,A120&amp;"¦"&amp;INDEX(_xlpm.nd,1)&amp;"¦"&amp;INDEX(_xlpm.nd,2),"")))</f>
        <v>ЩОВ-01¦QF18¦кабель ВВГнг(А)-LS (3х1,5) → Внутренний блок кондиционирования подвальный этаж Пом. №001Т</v>
      </c>
      <c r="HH120" t="str">
        <f t="shared" si="224"/>
        <v>K.1.002AБ.1¦Внутренний блок кондиционирования подвальный этаж Пом. №001Т</v>
      </c>
      <c r="HI120" t="str" cm="1">
        <f t="array" ref="HI120">IF(HF120="","",_xlfn.LET(_xlpm.nd,_xlfn.TEXTSPLIT(HF120,"|"),IF(COLUMNS(_xlpm.nd)&gt;2,A120&amp;"¦"&amp;INDEX(_xlpm.nd,2)&amp;"¦"&amp;INDEX(_xlpm.nd,3),"")))</f>
        <v/>
      </c>
      <c r="HJ120" t="str">
        <f t="shared" si="225"/>
        <v/>
      </c>
      <c r="HK120" t="str" cm="1">
        <f t="array" ref="HK120">IF(HF120="","",_xlfn.LET(_xlpm.nd,_xlfn.TEXTSPLIT(HF120,"|"),IF(COLUMNS(_xlpm.nd)&gt;3,A120&amp;"¦"&amp;INDEX(_xlpm.nd,3)&amp;"¦"&amp;INDEX(_xlpm.nd,4),"")))</f>
        <v/>
      </c>
      <c r="HL120" t="str">
        <f t="shared" si="226"/>
        <v/>
      </c>
      <c r="HM120" t="str" cm="1">
        <f t="array" ref="HM120">IF(HF120="","",_xlfn.LET(_xlpm.nd,_xlfn.TEXTSPLIT(HF120,"|"),IF(COLUMNS(_xlpm.nd)&gt;4,A120&amp;"¦"&amp;INDEX(_xlpm.nd,4)&amp;"¦"&amp;INDEX(_xlpm.nd,5),"")))</f>
        <v/>
      </c>
      <c r="HN120" t="str">
        <f t="shared" si="227"/>
        <v/>
      </c>
      <c r="HO120" t="str" cm="1">
        <f t="array" ref="HO120">IF(HF120="","",_xlfn.LET(_xlpm.nd,_xlfn.TEXTSPLIT(HF120,"|"),IF(COLUMNS(_xlpm.nd)&gt;5,A120&amp;"¦"&amp;INDEX(_xlpm.nd,5)&amp;"¦"&amp;INDEX(_xlpm.nd,6),"")))</f>
        <v/>
      </c>
      <c r="HP120" t="str">
        <f t="shared" si="228"/>
        <v/>
      </c>
      <c r="HQ120" t="str" cm="1">
        <f t="array" ref="HQ120">IF(HF120="","",_xlfn.LET(_xlpm.nd,_xlfn.TEXTSPLIT(HF120,"|"),IF(COLUMNS(_xlpm.nd)&gt;6,A120&amp;"¦"&amp;INDEX(_xlpm.nd,6)&amp;"¦"&amp;INDEX(_xlpm.nd,7),"")))</f>
        <v/>
      </c>
      <c r="HR120" t="str">
        <f t="shared" si="229"/>
        <v/>
      </c>
      <c r="HS120" t="str">
        <f t="shared" si="230"/>
        <v/>
      </c>
      <c r="HT120" t="str">
        <f t="shared" si="231"/>
        <v>QF18</v>
      </c>
      <c r="HU120">
        <f t="shared" si="232"/>
        <v>0</v>
      </c>
      <c r="HV120">
        <f t="shared" si="233"/>
        <v>0</v>
      </c>
      <c r="HW120" t="str">
        <f t="shared" si="234"/>
        <v/>
      </c>
      <c r="HX120" t="str">
        <f t="shared" si="235"/>
        <v/>
      </c>
      <c r="HY120" t="str">
        <f t="shared" si="236"/>
        <v/>
      </c>
      <c r="HZ120" t="str">
        <f t="shared" si="237"/>
        <v/>
      </c>
      <c r="IA120">
        <f>IF(B120="","",IFERROR(VLOOKUP(B120,УГО_спр,2,FALSE),IFERROR(VLOOKUP(AX120,УГО_спр,2,FALSE),IFERROR(VLOOKUP(LEFT(AX120,2),УГО_спр,2,FALSE),""))))</f>
        <v>0</v>
      </c>
      <c r="IB120" t="str">
        <f>IF(B120="","",IF(OR(IA120="",IA120=0),"BOX",IFERROR(IF(VLOOKUP(IA120,УГО_блоки,3,FALSE)&amp;""&lt;&gt;"",VLOOKUP(IA120,УГО_блоки,3,FALSE),VLOOKUP(IA120,УГО_блоки,2,FALSE)),IA120)))</f>
        <v>BOX</v>
      </c>
      <c r="IC120">
        <f t="shared" si="238"/>
        <v>1</v>
      </c>
      <c r="ID120" t="str">
        <f>IF(DA120="","",IF(COUNTIF(DA$3:DA120,DA120)=1,MAX(ID$2:ID119)+1,""))</f>
        <v/>
      </c>
      <c r="IE120" t="str">
        <f>IF(CO120="","",IF(COUNTIF(CO$3:CO120,CO120)+COUNTIF(CP$2:CP119,CO120)+COUNTIF(CQ$2:CQ119,CO120)=1,MAX(IE$2:IG119)+1,""))</f>
        <v/>
      </c>
      <c r="IF120" t="str">
        <f>IF(CP120="","",IF(COUNTIF(CO$3:CO120,CP120)+COUNTIF(CP$3:CP120,CP120)+COUNTIF(CQ$2:CQ119,CP120)=1,MAX(IE$2:IG119,IE120)+1,""))</f>
        <v/>
      </c>
      <c r="IG120" t="str">
        <f>IF(CQ120="","",IF(COUNTIF(CO$3:CO120,CQ120)+COUNTIF(CP$3:CP120,CQ120)+COUNTIF(CQ$3:CQ120,CQ120)=1,MAX(IE$2:IG119,IE120,IF120)+1,""))</f>
        <v/>
      </c>
      <c r="IH120" t="str">
        <f t="shared" si="239"/>
        <v>3х1,5</v>
      </c>
      <c r="II120" t="str">
        <f>IF(IH120="","",IF(COUNTIF(IH$3:IH120,IH120)=1,MAX(II$2:II119)+1,""))</f>
        <v/>
      </c>
      <c r="IJ120" t="str">
        <f>IF(GL120="","",COUNTIF(GL$3:GL120,"?*"))</f>
        <v/>
      </c>
      <c r="IK120" t="str">
        <f>IF(OR(GL120="",GN120=""),"",IF(COUNTIFS(GL$3:GL120,"?*",GN$3:GN120,GN120)=1,MAX(IK$2:IK119)+1,""))</f>
        <v/>
      </c>
      <c r="IL120">
        <f t="shared" si="240"/>
        <v>0</v>
      </c>
      <c r="IM120">
        <f>IF(B120="","",COUNTIF(B$3:B120,"?*"))</f>
        <v>118</v>
      </c>
      <c r="IN120">
        <f>IF(GQ120&lt;&gt;1,0,_xlfn.LET(_xlpm.k,MAX(IFERROR(--VLOOKUP(B120,УГО_спр,5,FALSE),0),IFERROR(--VLOOKUP(AX120,УГО_спр,5,FALSE),0),IFERROR(--VLOOKUP(LEFT(AX120,2),УГО_спр,5,FALSE),0)),IF(_xlpm.k&gt;0,_xlpm.k,IF(IFERROR(--LEFT(SUBSTITUTE(IH120,"x","х"),FIND("х",SUBSTITUTE(IH120,"x","х"))-1),3)&gt;3,Каталог!$S$9,1))))</f>
        <v>1</v>
      </c>
      <c r="IO120">
        <f t="shared" si="241"/>
        <v>0</v>
      </c>
      <c r="IP120" t="str">
        <f t="shared" si="242"/>
        <v>авто</v>
      </c>
      <c r="IQ120" t="str">
        <f t="shared" si="243"/>
        <v/>
      </c>
      <c r="IR120">
        <f t="shared" si="244"/>
        <v>0</v>
      </c>
      <c r="IS120">
        <f t="shared" si="245"/>
        <v>1</v>
      </c>
    </row>
    <row r="121" spans="1:253" x14ac:dyDescent="0.3">
      <c r="A121" t="s">
        <v>747</v>
      </c>
      <c r="B121" t="s">
        <v>1390</v>
      </c>
      <c r="C121" t="s">
        <v>1639</v>
      </c>
      <c r="D121">
        <v>1</v>
      </c>
      <c r="E121">
        <v>0.376</v>
      </c>
      <c r="G121">
        <v>10</v>
      </c>
      <c r="H121" t="str">
        <f>Линии[[#This Row],[_авто утечка]]</f>
        <v/>
      </c>
      <c r="I121" t="str">
        <f>Линии[[#This Row],[_авто управление]]</f>
        <v/>
      </c>
      <c r="J121" t="str">
        <f>Линии[[#This Row],[_авто аппараты]]</f>
        <v/>
      </c>
      <c r="K121">
        <v>1.5</v>
      </c>
      <c r="L121">
        <v>40</v>
      </c>
      <c r="M121" t="str">
        <f>Линии[[#This Row],[_авто фаза]]</f>
        <v>L3</v>
      </c>
      <c r="N121" t="s">
        <v>486</v>
      </c>
      <c r="O121" t="str">
        <f t="shared" si="123"/>
        <v/>
      </c>
      <c r="P121" s="6" cm="1">
        <f t="array" ref="P121">IF(B121="","",IF(BC121&lt;&gt;"",IFERROR(_xlfn.XLOOKUP(BC121,Щиты[Щит],Щиты[Iр, А]),""),IF(BK121=1,IFERROR(_xlfn.XLOOKUP(A121,Щиты[Щит],Щиты[Iр, А]),""),IFERROR(_xlfn.IFS(BR121=1,BN121/((Uн_лин/SQRT(3))*BY121),BR121=3,BN121/(SQRT(3)*Uн_лин*BY121)),""))))</f>
        <v>2.0351596988934304</v>
      </c>
      <c r="Q121" s="7">
        <f>IF(B121="","",IFERROR(IF(VLOOKUP(AX121,Потребители_обозначение,4,FALSE)=1,VLOOKUP(AX121,Потребители_обозначение,3,FALSE)*(D121*2-1)+DS121+VLOOKUP(AZ121,Этаж_обозначение,3,FALSE)+VLOOKUP(AZ121,Этаж_обозначение,4,FALSE),VLOOKUP(AX121,Потребители_обозначение,3,FALSE)*(D121*2-1)+DS121),DS121))</f>
        <v>42</v>
      </c>
      <c r="R121" s="6">
        <f t="shared" si="124"/>
        <v>1.1400000000000001</v>
      </c>
      <c r="S121" t="str">
        <f t="shared" si="125"/>
        <v>ВВГнг(А)-LS (3х1,5)</v>
      </c>
      <c r="T121" t="str">
        <f>IF(BH121="","",IF(BI121="вводной узел","узел ","")&amp;"л."&amp;(INT((BH121-1)/Столбцов_на_лист)+1)&amp;" / "&amp;(MOD(BH121-1,Столбцов_на_лист)+1))</f>
        <v>л.3 / 4</v>
      </c>
      <c r="V121">
        <v>1</v>
      </c>
      <c r="W121">
        <v>230</v>
      </c>
      <c r="X121" t="s">
        <v>600</v>
      </c>
      <c r="Y121">
        <v>0.5</v>
      </c>
      <c r="AC121" t="s">
        <v>815</v>
      </c>
      <c r="AE121" t="s">
        <v>578</v>
      </c>
      <c r="AI121">
        <v>38</v>
      </c>
      <c r="AJ121" t="s">
        <v>11</v>
      </c>
      <c r="AK121">
        <v>3</v>
      </c>
      <c r="AM121">
        <v>19</v>
      </c>
      <c r="AN121">
        <v>23</v>
      </c>
      <c r="AP121">
        <v>1</v>
      </c>
      <c r="AW121" cm="1">
        <f t="array" ref="AW121">ROW()-ROW(Линии[#Headers])</f>
        <v>119</v>
      </c>
      <c r="AX121" s="6" t="str">
        <f t="shared" si="126"/>
        <v>K</v>
      </c>
      <c r="AY121" t="str">
        <f t="shared" si="127"/>
        <v>1.002AБ.2</v>
      </c>
      <c r="AZ121" t="str">
        <f t="shared" si="128"/>
        <v>1</v>
      </c>
      <c r="BA121" t="str">
        <f t="shared" si="129"/>
        <v>002AБ.2</v>
      </c>
      <c r="BB121" t="str">
        <f t="shared" si="130"/>
        <v>002AБ</v>
      </c>
      <c r="BC121" t="str">
        <f>IF(U121&lt;&gt;"",U121,IF(AND(B121&lt;&gt;"",B121&lt;&gt;A121,ISNUMBER(_xlfn.XMATCH(B121,Щиты[Щит]))),B121,""))</f>
        <v/>
      </c>
      <c r="BD121" t="str" cm="1">
        <f t="array" ref="BD121">IF(B121="","",IF(BC121&lt;&gt;"","Щит "&amp;BC121,_xlfn.LET(_xlpm.nm,IFERROR(_xlfn.XLOOKUP(AX121,Коды_код,Коды_имя)&amp;"",""),_xlpm.md,IFERROR(N(_xlfn.XLOOKUP(AX121,Коды_код,Коды_режим)),1),_xlpm.ex,IF(Имя_режим="по экспликации",IFERROR(_xlfn.XLOOKUP(AZ121&amp;"|"&amp;BB121,Экспликация[Этаж]&amp;"|"&amp;Экспликация[Помещение],Экспликация[Название])&amp;"",""),""),_xlpm.rm,IF(BB121="","",IF(_xlpm.ex&lt;&gt;"",". "&amp;_xlpm.ex&amp;IF(Имя_пом="нет"," ("&amp;BB121&amp;")"," (пом. "&amp;BB121&amp;")"),IF(Имя_пом="нет"," ",", пом. ")&amp;BB121)),IF(_xlpm.nm="","",IF(_xlpm.md=2,_xlpm.nm&amp;" шлейф "&amp;AZ121,_xlpm.nm&amp;_xlpm.rm)))))</f>
        <v>Внутренний блок кондиционирования, пом. 002AБ</v>
      </c>
      <c r="BE121" t="str">
        <f t="shared" si="131"/>
        <v>Внутренний блок кондиционирования подвальный этаж Пом. №001Т</v>
      </c>
      <c r="BF121">
        <f>IFERROR(_xlfn.XMATCH(A121,Щиты[Щит]),0)</f>
        <v>6</v>
      </c>
      <c r="BG121">
        <f>_xlfn.LET(_xlpm.k,IFERROR(_xlfn.XLOOKUP(A121,Щиты[Щит],Щиты[Листов под вводной узел]),""),IF(_xlpm.k="",1,N(_xlpm.k))*Столбцов_на_лист)</f>
        <v>17</v>
      </c>
      <c r="BH121">
        <f t="shared" si="132"/>
        <v>38</v>
      </c>
      <c r="BI121" t="str">
        <f t="shared" si="133"/>
        <v>линии</v>
      </c>
      <c r="BJ121" s="6">
        <f>IFERROR(N(_xlfn.XLOOKUP(AX121,Коды_код,Коды_квт)),0)</f>
        <v>0</v>
      </c>
      <c r="BK121">
        <f t="shared" si="134"/>
        <v>0</v>
      </c>
      <c r="BL121" t="str">
        <f>IF(B121="","",IF(BC121&lt;&gt;"",IFERROR(_xlfn.XLOOKUP(BC121,Щиты[Щит],Щиты[Руст, кВт]),0),IF(BK121=1,IFERROR(_xlfn.XLOOKUP(A121,Щиты[Щит],Щиты[Руст, кВт]),0),IF(BJ121&gt;0,ROUND(BJ121*MAX(1,N(D121)),3),""))))</f>
        <v/>
      </c>
      <c r="BM121">
        <f t="shared" si="135"/>
        <v>0.376</v>
      </c>
      <c r="BN121" s="6">
        <f>IF(B121="","",IF(BC121&lt;&gt;"",IFERROR(_xlfn.XLOOKUP(BC121,Щиты[Щит],Щиты[Руст, кВт]),0),N(BM121)))</f>
        <v>0.376</v>
      </c>
      <c r="BO121" t="str">
        <f>IF(B121="","",IFERROR(IF(VLOOKUP(AX121,Потребители_обозначение,8,FALSE)=0,"",VLOOKUP(AX121,Потребители_обозначение,8,FALSE)),""))</f>
        <v/>
      </c>
      <c r="BP121">
        <f t="shared" si="136"/>
        <v>230</v>
      </c>
      <c r="BQ121">
        <f>IF(B121="","",IF(BC121&lt;&gt;"",3,IFERROR(IF(N(VLOOKUP(AX121,Потребители_обозначение,9,FALSE))=0,1,VLOOKUP(AX121,Потребители_обозначение,9,FALSE)),1)))</f>
        <v>1</v>
      </c>
      <c r="BR121">
        <f t="shared" si="137"/>
        <v>1</v>
      </c>
      <c r="BS121" t="str">
        <f>IF(B121="","",_xlfn.LET(_xlpm.bc,IFERROR(IF(VLOOKUP(AX121,Потребители_обозначение,6,FALSE)=0,"",VLOOKUP(AX121,Потребители_обозначение,6,FALSE)&amp;""),""),IF(AND(FK121="да",OR(_xlpm.bc="",_xlpm.bc="мс")),Марка_пож,IF(AND(_xlpm.bc="",BC121&lt;&gt;""),"мс",_xlpm.bc))))</f>
        <v/>
      </c>
      <c r="BT121" t="str">
        <f t="shared" si="138"/>
        <v>мс</v>
      </c>
      <c r="BU121">
        <f>IF(B121="","",_xlfn.LET(_xlpm.cc,IFERROR(N(VLOOKUP(AX121,Потребители_обозначение,7,FALSE)),0),IF(_xlpm.cc&gt;0,_xlpm.cc,IF(BT121="","",IF(N(BR121)=3,5,3)))))</f>
        <v>3</v>
      </c>
      <c r="BV121">
        <f t="shared" si="139"/>
        <v>3</v>
      </c>
      <c r="BW121">
        <f>IFERROR(N(VLOOKUP(AX121,Потребители_обозначение,10,FALSE)),0)</f>
        <v>0</v>
      </c>
      <c r="BX121">
        <f>IFERROR(VLOOKUP(AX121,Потребители_обозначение,5,FALSE),0)</f>
        <v>1</v>
      </c>
      <c r="BY121" s="6" cm="1">
        <f t="array" ref="BY121">IF(B121="","",IF(BC121&lt;&gt;"",IFERROR(_xlfn.XLOOKUP(BC121,Щиты[Щит],Щиты[cos φ]),0.95),IF(BK121=1,IFERROR(_xlfn.XLOOKUP(A121,Щиты[Щит],Щиты[cos φ]),0.95),IF(ISNUMBER(Z121),Z121,IFERROR(IF(BX121=2,_xlfn.IFS(BR121=3,VLOOKUP(BN121,Справочная_двигатели,8,FALSE),BR121=1,VLOOKUP(BN121,Справочная_двигатели,10,TRUE)),IF(AND(Методика="нормы 2026",EQ121="Сил"),0.8,0.95)),0.95)))))</f>
        <v>0.8</v>
      </c>
      <c r="BZ121">
        <f t="shared" si="140"/>
        <v>0</v>
      </c>
      <c r="CA121">
        <f t="shared" si="141"/>
        <v>1</v>
      </c>
      <c r="CB121">
        <f t="shared" si="142"/>
        <v>0</v>
      </c>
      <c r="CC121">
        <f t="shared" si="143"/>
        <v>0</v>
      </c>
      <c r="CD121">
        <f t="shared" si="144"/>
        <v>0</v>
      </c>
      <c r="CE121">
        <f t="shared" si="145"/>
        <v>0</v>
      </c>
      <c r="CF121">
        <f t="shared" si="146"/>
        <v>0</v>
      </c>
      <c r="CG121">
        <f>IF(AX121="",0,_xlfn.LET(_xlpm.v,IFERROR(VLOOKUP(B121,УГО_спр,3,FALSE),IFERROR(VLOOKUP(AX121,УГО_спр,3,FALSE),IFERROR(VLOOKUP(LEFT(AX121,2),УГО_спр,3,FALSE),""))),IF(_xlpm.v="да",30,IF(ISNUMBER(_xlpm.v),_xlpm.v,0))))</f>
        <v>0</v>
      </c>
      <c r="CH121" t="str">
        <f t="shared" si="147"/>
        <v/>
      </c>
      <c r="CI121" t="str">
        <f>_xlfn.LET(_xlpm.k,IFERROR(_xlfn.XLOOKUP(AX121,Коды_код,Коды_утечка)&amp;"",""),IF(_xlpm.k="","дифавтомат",_xlpm.k))</f>
        <v>дифавтомат</v>
      </c>
      <c r="CJ121">
        <f t="shared" si="148"/>
        <v>0</v>
      </c>
      <c r="CK121">
        <f t="shared" si="149"/>
        <v>0</v>
      </c>
      <c r="CL121">
        <f>IF(B121="",0,IFERROR(--VLOOKUP(B121,УГО_спр,4,FALSE),IFERROR(--VLOOKUP(AX121,УГО_спр,4,FALSE),IFERROR(--VLOOKUP(LEFT(AX121,2),УГО_спр,4,FALSE),0))))</f>
        <v>0</v>
      </c>
      <c r="CM121" t="str">
        <f>IF(B121="","",IFERROR(_xlfn.XLOOKUP(AX121,Коды_код,Коды_апп)&amp;"",""))</f>
        <v/>
      </c>
      <c r="CN121" t="str">
        <f t="shared" si="150"/>
        <v/>
      </c>
      <c r="CO121" t="str" cm="1">
        <f t="array" ref="CO121">IF(TRIM(CN121&amp;"")="","",IFERROR(TRIM(INDEX(_xlfn.TEXTSPLIT(CN121&amp;";;;",";"),1)),""))</f>
        <v/>
      </c>
      <c r="CP121" t="str" cm="1">
        <f t="array" ref="CP121">IF(TRIM(CN121&amp;"")="","",IFERROR(TRIM(INDEX(_xlfn.TEXTSPLIT(CN121&amp;";;;",";"),2)),""))</f>
        <v/>
      </c>
      <c r="CQ121" t="str" cm="1">
        <f t="array" ref="CQ121">IF(TRIM(CN121&amp;"")="","",IFERROR(TRIM(INDEX(_xlfn.TEXTSPLIT(CN121&amp;";;;",";"),3)),""))</f>
        <v/>
      </c>
      <c r="CR121">
        <f t="shared" si="151"/>
        <v>0</v>
      </c>
      <c r="CS121" t="str">
        <f>IF(B121="","",_xlfn.LET(_xlpm.t,LOWER(AV121&amp;""),IF(ISNUMBER(SEARCH("dim",_xlpm.t)),"DIM",IF(ISNUMBER(SEARCH("dali",_xlpm.t)),"DALI",IF(OR(ISNUMBER(SEARCH("relay",_xlpm.t)),ISNUMBER(SEARCH("реле",_xlpm.t))),"Relay",IF(ISNUMBER(SEARCH("кнопк",_xlpm.t)),"",IFERROR(_xlfn.XLOOKUP(AX121,Коды_код,Коды_упр)&amp;"","")))))))</f>
        <v/>
      </c>
      <c r="CT121" t="str">
        <f t="shared" si="152"/>
        <v/>
      </c>
      <c r="CU121">
        <f>IF(B121="","",_xlfn.LET(_xlpm.ig,N(P121)+IF(AF121="вручную",0,N(CB121)),_xlpm.n0,IFERROR(VLOOKUP(_xlpm.ig,Автомат_номиналы,2,TRUE),0),_xlpm.mn,MAX(CL121,IF(AF121="вручную",0,N(CE121))),MAX(_xlpm.n0,_xlpm.mn,IF(CR121=1,Мин_автомат_БП,0))))</f>
        <v>6</v>
      </c>
      <c r="CV121">
        <f t="shared" si="153"/>
        <v>1</v>
      </c>
      <c r="CW121" t="str">
        <f t="shared" si="154"/>
        <v>1P</v>
      </c>
      <c r="CX121" t="str">
        <f>_xlfn.LET(_xlpm.cc,UPPER(TRIM(IFERROR(_xlfn.XLOOKUP(AX121,Коды_код,Коды_хар)&amp;"",""))),IF(OR(_xlpm.cc="B",_xlpm.cc="В"),"B",IF(_xlpm.cc="D","D","С")))</f>
        <v>С</v>
      </c>
      <c r="CY121" t="str">
        <f t="shared" si="155"/>
        <v>1P С6А</v>
      </c>
      <c r="CZ121">
        <f t="shared" si="156"/>
        <v>10</v>
      </c>
      <c r="DA121" t="str">
        <f t="shared" si="157"/>
        <v>1P С10А</v>
      </c>
      <c r="DB121" cm="1">
        <f t="array" ref="DB121">IF(DA121="","",_xlfn.LET(_xlpm.t,SUBSTITUTE(SUBSTITUTE(SUBSTITUTE(UPPER(DA121),"С","C"),"А","A"),"В","B"),_xlpm.tk,_xlfn.TEXTSPLIT(_xlpm.t,"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1" t="str">
        <f t="shared" si="158"/>
        <v>ok</v>
      </c>
      <c r="DD121">
        <f t="shared" si="159"/>
        <v>10</v>
      </c>
      <c r="DE121" t="str">
        <f t="shared" si="160"/>
        <v>1P С10А</v>
      </c>
      <c r="DF121">
        <f t="shared" si="161"/>
        <v>0</v>
      </c>
      <c r="DG121">
        <f t="shared" si="162"/>
        <v>0</v>
      </c>
      <c r="DH121">
        <f t="shared" si="163"/>
        <v>0</v>
      </c>
      <c r="DI121">
        <f t="shared" si="164"/>
        <v>2.0351596988934304</v>
      </c>
      <c r="DJ121">
        <f t="shared" si="165"/>
        <v>1</v>
      </c>
      <c r="DK121">
        <f>IF(ISNUMBER(AL121),AL121,К_прокл)</f>
        <v>1</v>
      </c>
      <c r="DL121">
        <f t="shared" si="166"/>
        <v>2</v>
      </c>
      <c r="DM121">
        <f>IFERROR(N(VLOOKUP(BT121,Кабель_обозначение,3,FALSE)),1)</f>
        <v>1</v>
      </c>
      <c r="DN121">
        <f>IFERROR(N(_xlfn.XLOOKUP(A121,Щиты[Щит],Щиты[ΔU до шин, %])),0)</f>
        <v>0.24000000000000002</v>
      </c>
      <c r="DO121" t="str">
        <f>IFERROR(_xlfn.XLOOKUP(A121,Щиты[Щит],Щиты[Zпетли на шинах, Ом]),"")</f>
        <v/>
      </c>
      <c r="DP121">
        <f>IFERROR(N(_xlfn.XLOOKUP(A121,Щиты[Щит],Щиты[ΔU до шин (подбор), %])),0)</f>
        <v>0.36</v>
      </c>
      <c r="DQ121" t="str">
        <f>IFERROR(_xlfn.XLOOKUP(A121,Щиты[Щит],Щиты[Zпетли на шинах (подбор), Ом]),"")</f>
        <v/>
      </c>
      <c r="DR121" t="str">
        <f t="shared" si="167"/>
        <v/>
      </c>
      <c r="DS121">
        <f t="shared" si="168"/>
        <v>40</v>
      </c>
      <c r="DT121">
        <f t="shared" si="169"/>
        <v>2</v>
      </c>
      <c r="DU121">
        <f t="shared" si="170"/>
        <v>0.6</v>
      </c>
      <c r="DV121" s="6">
        <f>IF(B121="","",IF(IFERROR(VLOOKUP(AX121,УГО_спр,2,FALSE),"")="Светильник",3,4)+IF(Методика="нормы 2026",MIN(0.5,MAX(0,N(Q121)-100)*0.005),0))</f>
        <v>4</v>
      </c>
      <c r="DW121" cm="1">
        <f t="array" ref="DW121">IF(OR(B121="",BT121="",DM121&lt;&gt;1),"",_xlfn.LET(_xlpm.sz,Iдоп_S,_xlpm.t_,CHOOSE(DL121,Iдоп_1ж,Iдоп_2ж,Iдоп_3ж)*DJ121*DK121,_xlpm.inn,N(DD121),_xlpm.smin,MAX(1.5,BW121),_xlpm.L_,N(Q121)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121)*(_xlpm.rho*_xlpm.L_/_xlpm.sz*N(BY121)+_xlpm.xx*_xlpm.L_*N(DU121)/1000)*N(P121)/((Uн_лин/SQRT(3))*1000)*100,999),_xlpm.kz,IF(OR(DG121=1,NOT(ISNUMBER(DQ121)),_xlpm.L_=0,_xlpm.inn=0),1,IFERROR(--(c_min*(Uн_лин*1000/SQRT(3))/(DQ121+2*ρкз_Cu*_xlpm.L_/_xlpm.sz)&gt;=GY121*_xlpm.inn),0)),_xlpm.ok,IFERROR((_xlpm.sz&gt;=_xlpm.smin)*(_xlpm.t_&gt;=_xlpm.inn)*IF(_xlpm.L_&gt;0,(_xlpm.du_+DP121&lt;=DV121+0.00001),1)*_xlpm.kz,0),_xlpm.r_,_xlfn._xlws.FILTER(_xlpm.sz,_xlpm.ok,"не подобрано"),INDEX(_xlpm.r_,1)))</f>
        <v>1.5</v>
      </c>
      <c r="DX121">
        <f t="shared" si="171"/>
        <v>1.5</v>
      </c>
      <c r="DY121" cm="1">
        <f t="array" ref="DY121">IF(OR(B121="",BT121="",DM121&lt;&gt;1),"",_xlfn.LET(_xlpm.sz,Iдоп_S,_xlpm.t_,CHOOSE(DL121,Iдоп_1ж,Iдоп_2ж,Iдоп_3ж)*DJ121*DK121,_xlpm.ok,IFERROR((_xlpm.sz&gt;=MAX(1.5,BW121))*(_xlpm.t_&gt;=N(DD121)),0),_xlpm.r_,_xlfn._xlws.FILTER(_xlpm.sz,_xlpm.ok,""),INDEX(_xlpm.r_,1)))</f>
        <v>1.5</v>
      </c>
      <c r="DZ121" s="6" cm="1">
        <f t="array" ref="DZ121">IFERROR(ROUNDUP(N(DT121)*(_xlfn.XLOOKUP(DY121,INDEX(Кабель_сопротивление,0,1),INDEX(Кабель_сопротивление,0,3))*N(Q121)/DY121*N(BY121)+_xlfn.XLOOKUP(DY121,INDEX(Кабель_сопротивление,0,1),INDEX(Кабель_сопротивление,0,2))*N(Q121)*N(DU121)/1000)*N(P121)/((Uн_лин/SQRT(3))*1000)*100,2),"")</f>
        <v>0.9</v>
      </c>
      <c r="EA121">
        <f>IFERROR(2*ρкз_Cu*N(Q121)/DY121,"")</f>
        <v>1.4728000000000001</v>
      </c>
      <c r="EB121">
        <f>IFERROR(VLOOKUP(DX121,Кабель_сопротивление,3,FALSE),"")</f>
        <v>2.2499999999999999E-2</v>
      </c>
      <c r="EC121">
        <f>IFERROR(VLOOKUP(DX121,Кабель_сопротивление,2,FALSE),"")</f>
        <v>0.11</v>
      </c>
      <c r="ED121">
        <f t="shared" si="172"/>
        <v>23</v>
      </c>
      <c r="EE121">
        <f t="shared" si="173"/>
        <v>0</v>
      </c>
      <c r="EF121">
        <f t="shared" si="174"/>
        <v>2.062723901855243</v>
      </c>
      <c r="EG121" s="6">
        <f>IFERROR(ROUNDUP(EF121/((Uн_лин/SQRT(3))*1000)*100,2),"")</f>
        <v>0.9</v>
      </c>
      <c r="EH121" t="str">
        <f>IFERROR(VLOOKUP(BT121,Кабель_обозначение,2,FALSE),"")</f>
        <v>ВВГнг(А)-LS</v>
      </c>
      <c r="EI121" t="str">
        <f t="shared" si="175"/>
        <v>ВВГнг(А)-LS (3х1,5)</v>
      </c>
      <c r="EJ121" t="str">
        <f t="shared" si="176"/>
        <v>ВВГнг(А)-LS (3х1,5)
L=42-0,9%</v>
      </c>
      <c r="EK121">
        <f>IFERROR(2*ρкз_Cu*Q121/DX121,"")</f>
        <v>1.4728000000000001</v>
      </c>
      <c r="EL121">
        <f t="shared" si="177"/>
        <v>0.49000000000000005</v>
      </c>
      <c r="EM121" s="6" t="str">
        <f>IFERROR(IF(OR(B121="",NOT(ISNUMBER(DX121)),N(Q121)=0),"",_xlfn.XLOOKUP(A121,Щиты[Щит],Щиты[Zпетли на шинах, Ом])+EK121),"")</f>
        <v/>
      </c>
      <c r="EN121" s="6" t="str">
        <f>IF(ISNUMBER(EM121),c_min*(Uн_лин*1000/SQRT(3))/EM121,"")</f>
        <v/>
      </c>
      <c r="EO121" s="6" t="str">
        <f>IFERROR(IF(OR(B121="",NOT(ISNUMBER(DX121))),"",1.05*(Uн_лин*1000/SQRT(3))/(_xlfn.XLOOKUP(A121,Щиты[Щит],Щиты[Zmax на шинах, Ом])+EL121)/1000),"")</f>
        <v/>
      </c>
      <c r="EP121" s="6" t="str">
        <f>IF(B121="","",IF(ISNUMBER(Y121),"Сил",IF(IFERROR(_xlfn.XLOOKUP(AX121,Коды_код,Коды_группа)&amp;"","")="","Быт",_xlfn.XLOOKUP(AX121,Коды_код,Коды_группа)&amp;"")))</f>
        <v>Сил</v>
      </c>
      <c r="EQ121" s="6" t="str">
        <f t="shared" si="178"/>
        <v>Сил</v>
      </c>
      <c r="ER121" s="6">
        <f>IF(EQ121="Щит","щит",IF(EQ121="","",IF(EQ121="Быт",IFERROR(_xlfn.XLOOKUP(A121,Щиты[Щит],Щиты[Кс быт]),1),IF(EQ121="Сил",IF(ISNUMBER(Y121),Y121,IF(Методика="нормы 2026",IFERROR(_xlfn.XLOOKUP(A121,Щиты[Щит],Щиты[Кс силовых (табл. 7.5)]),1),1)),IF(OR(EQ121="Пост",EQ121="Отоп"),1,IF(EQ121="ВНГ",0.7,0))))))</f>
        <v>0.5</v>
      </c>
      <c r="ES121">
        <f t="shared" si="179"/>
        <v>1</v>
      </c>
      <c r="ET121">
        <f t="shared" si="180"/>
        <v>0.376</v>
      </c>
      <c r="EU121">
        <f t="shared" si="181"/>
        <v>0</v>
      </c>
      <c r="EV121">
        <f t="shared" si="182"/>
        <v>0.188</v>
      </c>
      <c r="EW121">
        <f t="shared" si="183"/>
        <v>0</v>
      </c>
      <c r="EX121">
        <f t="shared" si="184"/>
        <v>0</v>
      </c>
      <c r="EY121">
        <f t="shared" si="185"/>
        <v>0</v>
      </c>
      <c r="EZ121">
        <f t="shared" si="186"/>
        <v>0.376</v>
      </c>
      <c r="FA121">
        <f t="shared" si="187"/>
        <v>0.30080000000000001</v>
      </c>
      <c r="FB121">
        <f t="shared" si="188"/>
        <v>0.376</v>
      </c>
      <c r="FC121" t="str">
        <f t="shared" si="189"/>
        <v/>
      </c>
      <c r="FD121" t="str">
        <f>IF(B121="","",IF(CA121=0,IF(AW121=1,"",FF120),IF(OR(N(CV121)&gt;=3,N(BR121)&gt;=3),"L1,L2,L3",IFERROR(_xlfn.TEXTBEFORE(_xlfn.TEXTAFTER(_xlfn.XLOOKUP(A121,Щиты[Щит],Щиты[_фазы авто]),";"&amp;AW121&amp;":"),";"),"L1"))))</f>
        <v>L3</v>
      </c>
      <c r="FE121" t="str">
        <f t="shared" si="190"/>
        <v>L3</v>
      </c>
      <c r="FF121" t="str">
        <f t="shared" si="191"/>
        <v>L3</v>
      </c>
      <c r="FG121" cm="1">
        <f t="array" ref="FG121">IFERROR(IF(BX121=2,_xlfn.IFS(BR121=3,VLOOKUP(BN121,Справочная_двигатели,3,FALSE),BR121=1,VLOOKUP(BN121,Справочная_двигатели,5,TRUE)),0),0)</f>
        <v>0</v>
      </c>
      <c r="FH121">
        <f>IFERROR(IF(BX121=3,VLOOKUP(BN121,Справочная_ЛЭД,2,TRUE),0),0)</f>
        <v>0</v>
      </c>
      <c r="FI121" s="6">
        <f t="shared" si="192"/>
        <v>0</v>
      </c>
      <c r="FJ121" t="str" cm="1">
        <f t="array" ref="FJ121">IF(B121="","",IFERROR(INDEX({"I особая","I","II","III"},MATCH(TRIM(AC121&amp;""),{"I особая","I","II","III"},0)),"III"))</f>
        <v>II</v>
      </c>
      <c r="FK121" t="str">
        <f>IF(B121="","",IF(TRIM(AD121&amp;"")&lt;&gt;"",IF(LOWER(TRIM(AD121&amp;""))="да","да","нет"),IF(IFERROR(_xlfn.XLOOKUP(AX121,Коды_код,Коды_пожарная),"")="да","да","нет")))</f>
        <v>нет</v>
      </c>
      <c r="FL121" t="str">
        <f t="shared" si="193"/>
        <v/>
      </c>
      <c r="FM121" t="str">
        <f t="shared" si="194"/>
        <v>основная</v>
      </c>
      <c r="FN121">
        <f t="shared" si="195"/>
        <v>1</v>
      </c>
      <c r="FO121" t="str" cm="1">
        <f t="array" ref="FO121">IF(B121="","",_xlfn.LET(_xlpm.t,IFERROR(_xlfn.XLOOKUP(1,(Шины[Шина]=FM121)*(((Шины[Щит]=A121)+(Шины[Щит]=""))&gt;0),Шины[Тип]),"")&amp;"",IF(_xlpm.t&lt;&gt;"",_xlpm.t,IF(ISNUMBER(SEARCH("ИБП",FM121)),"ИБП",IF(ISNUMBER(SEARCH("ДГУ",FM121)),"ДГУ","Ввод "&amp;FN121)))))</f>
        <v>Ввод 1</v>
      </c>
      <c r="FP121" t="str">
        <f t="shared" si="196"/>
        <v>Ввод 1</v>
      </c>
      <c r="FQ121" t="str">
        <f>IF(B121="","",IF(OR(FO121="ИБП",FO121="ДГУ"),"I особая",IF(FO121="Одиночная","III",_xlfn.XLOOKUP(A121,Щиты[Щит],Щиты[Категория шины «Ввод»],"III"))))</f>
        <v>II</v>
      </c>
      <c r="FR121">
        <f>IF(B121="",0,IFERROR(MATCH(FJ121,{"III","II","I","I особая"},0),1))</f>
        <v>2</v>
      </c>
      <c r="FS121">
        <f t="shared" si="197"/>
        <v>2</v>
      </c>
      <c r="FT121" t="str">
        <f>IF(B121="","",IF(FR121&gt;IFERROR(MATCH(FQ121,{"III","II","I","I особая"},0),1),"НЕ ОБЕСПЕЧЕНА","ОК"))</f>
        <v>ОК</v>
      </c>
      <c r="FU121" t="str">
        <f>IF(A121="","",_xlfn.XLOOKUP(A121,Щиты[Щит],Щиты[Путь],""))</f>
        <v>|ГРЩ-ЖД|ЩОВ-01|</v>
      </c>
      <c r="FV121" t="str">
        <f>IF(B121="","",IF(AE121&lt;&gt;"",AE121,IF(IFERROR(_xlfn.XLOOKUP(AX121,Коды_код,Коды_вид)&amp;"","")="","Прочее",_xlfn.XLOOKUP(AX121,Коды_код,Коды_вид)&amp;"")))</f>
        <v>Кондиционирование и увлажнение</v>
      </c>
      <c r="FW121">
        <f>IF(BH121="","",INT((BH121-1)/Столбцов_на_лист)+1)</f>
        <v>3</v>
      </c>
      <c r="FX121" t="str">
        <f t="shared" si="198"/>
        <v>ВВГнг(А)-LS (3х1,5) L=42-0,9%</v>
      </c>
      <c r="FY121">
        <f t="shared" si="199"/>
        <v>0.376</v>
      </c>
      <c r="FZ121">
        <f t="shared" si="200"/>
        <v>2.0399999999999996</v>
      </c>
      <c r="GA121">
        <f t="shared" si="201"/>
        <v>1</v>
      </c>
      <c r="GB121">
        <f t="shared" si="202"/>
        <v>0</v>
      </c>
      <c r="GC121">
        <f t="shared" si="203"/>
        <v>1</v>
      </c>
      <c r="GD121">
        <f>IF(BH121="","",IF(AND(CA121=1,GC121=1),COUNTIFS(A$3:A121,A121,CA$3:CA121,1,GC$3:GC121,1),IF(OR(OR(AW121=1,A121&lt;&gt;A120),AF121="вручную",GC121=0),"",IF(AW121=1,"",GE120))))</f>
        <v>19</v>
      </c>
      <c r="GE121">
        <f t="shared" si="204"/>
        <v>19</v>
      </c>
      <c r="GF121">
        <f>IF(B121="","",IFERROR(LOOKUP(INDEX(CHOOSE(DL121,Iдоп_1ж,Iдоп_2ж,Iдоп_3ж),MATCH(DX121,Iдоп_S,0))*DJ121*DK121,{6,10,16,20,25,32,40,50,63,80,100,125,160,200,250,315,400,500,630}),""))</f>
        <v>16</v>
      </c>
      <c r="GG121" t="str">
        <f t="shared" si="205"/>
        <v>QF19</v>
      </c>
      <c r="GH121" t="str">
        <f t="shared" si="206"/>
        <v>QF19</v>
      </c>
      <c r="GI121" t="str">
        <f t="shared" si="207"/>
        <v/>
      </c>
      <c r="GJ121">
        <f t="shared" si="208"/>
        <v>0</v>
      </c>
      <c r="GK121" t="str">
        <f>IF(OR(AG121="",AG121="-"),"",IFERROR(VLOOKUP(AG121,Модули_спр,2,FALSE),"R"))</f>
        <v/>
      </c>
      <c r="GL121" t="str">
        <f>IF(GK121="","",GK121&amp;"."&amp;COUNTIFS(A$3:A121,A121,GK$3:GK121,GK121))</f>
        <v/>
      </c>
      <c r="GM121" t="str">
        <f t="shared" si="209"/>
        <v/>
      </c>
      <c r="GN121" t="str">
        <f t="shared" si="210"/>
        <v/>
      </c>
      <c r="GO121" t="str">
        <f t="shared" si="211"/>
        <v/>
      </c>
      <c r="GP121" t="str">
        <f t="shared" si="212"/>
        <v/>
      </c>
      <c r="GQ121">
        <f t="shared" si="213"/>
        <v>1</v>
      </c>
      <c r="GR121" t="str">
        <f>IF(GQ121=1,"XT"&amp;COUNTIFS(A$3:A121,A121,GQ$3:GQ121,1),"")</f>
        <v>XT19</v>
      </c>
      <c r="GS121" t="str">
        <f t="shared" si="214"/>
        <v/>
      </c>
      <c r="GT121" t="str">
        <f t="shared" si="215"/>
        <v>QF19</v>
      </c>
      <c r="GU121" t="str">
        <f t="shared" si="216"/>
        <v/>
      </c>
      <c r="GV121" t="str">
        <f t="shared" si="217"/>
        <v>ok</v>
      </c>
      <c r="GW121" t="str">
        <f>IF(OR(GO121="",GM121=""),"",IF(GO121&gt;IFERROR(VLOOKUP(GN121,Модули_спр,3,FALSE),99),"ЛИШНИЙ КАНАЛ",IF(AND(AH121&lt;&gt;"=",COUNTIFS(Линии[_модуль гр.],GM121,Линии[Канал (итог)],GO121,Линии[Канал],"&lt;&gt;=",Линии[Щит],A121)&gt;1),"ДУБЛЬ КАНАЛА","")))</f>
        <v/>
      </c>
      <c r="GX121" s="6" t="str">
        <f t="shared" si="218"/>
        <v/>
      </c>
      <c r="GY121">
        <f t="shared" si="219"/>
        <v>10</v>
      </c>
      <c r="GZ121" t="str">
        <f t="shared" si="220"/>
        <v/>
      </c>
      <c r="HA121" t="str">
        <f>IF(AND(B121="",GT121=""),"",_xlfn.TEXTJOIN("; ",TRUE,IF(AND(B121&lt;&gt;"",FE121=""),"нет фазы",""),IF(AND(B121&lt;&gt;"",N(FY121)=0,EQ121&lt;&gt;"Нет"),"нет мощности",""),IF(AND(GS121&lt;&gt;"",COUNTIFS(Линии[Щит],A121,Линии[Клемма (итог)],GS121)&gt;1),"дубль клеммы "&amp;GS121,""),IF(AND(GV121&lt;&gt;"",GV121&lt;&gt;"ok"),GV121,""),IF(GW121&lt;&gt;"",GW121,""),IF(AND(N(BV121)&gt;=4,N(BR121)=1),BV121&amp;" жил на 1 фазе",""),IF(AND(AX121="R",CA121=1,OR(N(CK121)=0,N(CK121)&gt;30)),"розетка без дифзащиты до 30 мА",""),IFERROR(IF(AND(ISNUMBER(R121),R121&gt;DV121),"потери "&amp;FIXED(R121,1)&amp;" % &gt; "&amp;DV121&amp;" %",""),""),IFERROR(IF(LEFT(GZ121,4)="мало","Iкз мало — отключение &gt; 0,4 с",""),""),IF(AND(B121&lt;&gt;"",BH121=""),"не на схеме",""),IF(AND(CA121=0,B121&lt;&gt;"",FE121&lt;&gt;"",IF(AW121=1,"",FF120)&lt;&gt;"",FE121&lt;&gt;IF(AW121=1,"",FF120)),"фаза не как у автомата группы ("&amp;IF(AW121=1,"",FF120)&amp;")","")))</f>
        <v/>
      </c>
      <c r="HB121" s="6">
        <f>IF(OR(CA121=0,DA121=""),"",_xlfn.LET(_xlpm.t,IFERROR(_xlfn.XLOOKUP(DA121,Каталог!$U$4:$U$500,Каталог!$G$4:$G$500),""),_xlpm.k,SEARCH("кА",_xlpm.t),IFERROR(--TRIM(RIGHT(SUBSTITUTE(MID(_xlpm.t,MAX(1,_xlpm.k-4),_xlpm.k-MAX(1,_xlpm.k-4))," ",REPT(" ",9)),5)),"")))</f>
        <v>6</v>
      </c>
      <c r="HC121" t="str">
        <f>IF(OR(HB121="",CA121=0),"",IF(_xlfn.XLOOKUP(A121,Щиты[Щит],Щиты[Iкз max на шинах, кА],"")="","",IF(HB121&lt;_xlfn.XLOOKUP(A121,Щиты[Щит],Щиты[Iкз max на шинах, кА]),"Icu "&amp;HB121&amp;" кА &lt; Iкз max","ok")))</f>
        <v/>
      </c>
      <c r="HD121" t="str">
        <f t="shared" si="221"/>
        <v/>
      </c>
      <c r="HE121" t="str">
        <f t="shared" si="222"/>
        <v>QF19</v>
      </c>
      <c r="HF121" t="str">
        <f t="shared" si="223"/>
        <v>QF19|кабель ВВГнг(А)-LS (3х1,5) → Внутренний блок кондиционирования подвальный этаж Пом. №001Т</v>
      </c>
      <c r="HG121" t="str" cm="1">
        <f t="array" ref="HG121">IF(HF121="","",_xlfn.LET(_xlpm.nd,_xlfn.TEXTSPLIT(HF121,"|"),IF(COLUMNS(_xlpm.nd)&gt;1,A121&amp;"¦"&amp;INDEX(_xlpm.nd,1)&amp;"¦"&amp;INDEX(_xlpm.nd,2),"")))</f>
        <v>ЩОВ-01¦QF19¦кабель ВВГнг(А)-LS (3х1,5) → Внутренний блок кондиционирования подвальный этаж Пом. №001Т</v>
      </c>
      <c r="HH121" t="str">
        <f t="shared" si="224"/>
        <v>K.1.002AБ.2¦Внутренний блок кондиционирования подвальный этаж Пом. №001Т</v>
      </c>
      <c r="HI121" t="str" cm="1">
        <f t="array" ref="HI121">IF(HF121="","",_xlfn.LET(_xlpm.nd,_xlfn.TEXTSPLIT(HF121,"|"),IF(COLUMNS(_xlpm.nd)&gt;2,A121&amp;"¦"&amp;INDEX(_xlpm.nd,2)&amp;"¦"&amp;INDEX(_xlpm.nd,3),"")))</f>
        <v/>
      </c>
      <c r="HJ121" t="str">
        <f t="shared" si="225"/>
        <v/>
      </c>
      <c r="HK121" t="str" cm="1">
        <f t="array" ref="HK121">IF(HF121="","",_xlfn.LET(_xlpm.nd,_xlfn.TEXTSPLIT(HF121,"|"),IF(COLUMNS(_xlpm.nd)&gt;3,A121&amp;"¦"&amp;INDEX(_xlpm.nd,3)&amp;"¦"&amp;INDEX(_xlpm.nd,4),"")))</f>
        <v/>
      </c>
      <c r="HL121" t="str">
        <f t="shared" si="226"/>
        <v/>
      </c>
      <c r="HM121" t="str" cm="1">
        <f t="array" ref="HM121">IF(HF121="","",_xlfn.LET(_xlpm.nd,_xlfn.TEXTSPLIT(HF121,"|"),IF(COLUMNS(_xlpm.nd)&gt;4,A121&amp;"¦"&amp;INDEX(_xlpm.nd,4)&amp;"¦"&amp;INDEX(_xlpm.nd,5),"")))</f>
        <v/>
      </c>
      <c r="HN121" t="str">
        <f t="shared" si="227"/>
        <v/>
      </c>
      <c r="HO121" t="str" cm="1">
        <f t="array" ref="HO121">IF(HF121="","",_xlfn.LET(_xlpm.nd,_xlfn.TEXTSPLIT(HF121,"|"),IF(COLUMNS(_xlpm.nd)&gt;5,A121&amp;"¦"&amp;INDEX(_xlpm.nd,5)&amp;"¦"&amp;INDEX(_xlpm.nd,6),"")))</f>
        <v/>
      </c>
      <c r="HP121" t="str">
        <f t="shared" si="228"/>
        <v/>
      </c>
      <c r="HQ121" t="str" cm="1">
        <f t="array" ref="HQ121">IF(HF121="","",_xlfn.LET(_xlpm.nd,_xlfn.TEXTSPLIT(HF121,"|"),IF(COLUMNS(_xlpm.nd)&gt;6,A121&amp;"¦"&amp;INDEX(_xlpm.nd,6)&amp;"¦"&amp;INDEX(_xlpm.nd,7),"")))</f>
        <v/>
      </c>
      <c r="HR121" t="str">
        <f t="shared" si="229"/>
        <v/>
      </c>
      <c r="HS121" t="str">
        <f t="shared" si="230"/>
        <v/>
      </c>
      <c r="HT121" t="str">
        <f t="shared" si="231"/>
        <v>QF19</v>
      </c>
      <c r="HU121">
        <f t="shared" si="232"/>
        <v>0</v>
      </c>
      <c r="HV121">
        <f t="shared" si="233"/>
        <v>0</v>
      </c>
      <c r="HW121" t="str">
        <f t="shared" si="234"/>
        <v/>
      </c>
      <c r="HX121" t="str">
        <f t="shared" si="235"/>
        <v/>
      </c>
      <c r="HY121" t="str">
        <f t="shared" si="236"/>
        <v/>
      </c>
      <c r="HZ121" t="str">
        <f t="shared" si="237"/>
        <v/>
      </c>
      <c r="IA121">
        <f>IF(B121="","",IFERROR(VLOOKUP(B121,УГО_спр,2,FALSE),IFERROR(VLOOKUP(AX121,УГО_спр,2,FALSE),IFERROR(VLOOKUP(LEFT(AX121,2),УГО_спр,2,FALSE),""))))</f>
        <v>0</v>
      </c>
      <c r="IB121" t="str">
        <f>IF(B121="","",IF(OR(IA121="",IA121=0),"BOX",IFERROR(IF(VLOOKUP(IA121,УГО_блоки,3,FALSE)&amp;""&lt;&gt;"",VLOOKUP(IA121,УГО_блоки,3,FALSE),VLOOKUP(IA121,УГО_блоки,2,FALSE)),IA121)))</f>
        <v>BOX</v>
      </c>
      <c r="IC121">
        <f t="shared" si="238"/>
        <v>1</v>
      </c>
      <c r="ID121" t="str">
        <f>IF(DA121="","",IF(COUNTIF(DA$3:DA121,DA121)=1,MAX(ID$2:ID120)+1,""))</f>
        <v/>
      </c>
      <c r="IE121" t="str">
        <f>IF(CO121="","",IF(COUNTIF(CO$3:CO121,CO121)+COUNTIF(CP$2:CP120,CO121)+COUNTIF(CQ$2:CQ120,CO121)=1,MAX(IE$2:IG120)+1,""))</f>
        <v/>
      </c>
      <c r="IF121" t="str">
        <f>IF(CP121="","",IF(COUNTIF(CO$3:CO121,CP121)+COUNTIF(CP$3:CP121,CP121)+COUNTIF(CQ$2:CQ120,CP121)=1,MAX(IE$2:IG120,IE121)+1,""))</f>
        <v/>
      </c>
      <c r="IG121" t="str">
        <f>IF(CQ121="","",IF(COUNTIF(CO$3:CO121,CQ121)+COUNTIF(CP$3:CP121,CQ121)+COUNTIF(CQ$3:CQ121,CQ121)=1,MAX(IE$2:IG120,IE121,IF121)+1,""))</f>
        <v/>
      </c>
      <c r="IH121" t="str">
        <f t="shared" si="239"/>
        <v>3х1,5</v>
      </c>
      <c r="II121" t="str">
        <f>IF(IH121="","",IF(COUNTIF(IH$3:IH121,IH121)=1,MAX(II$2:II120)+1,""))</f>
        <v/>
      </c>
      <c r="IJ121" t="str">
        <f>IF(GL121="","",COUNTIF(GL$3:GL121,"?*"))</f>
        <v/>
      </c>
      <c r="IK121" t="str">
        <f>IF(OR(GL121="",GN121=""),"",IF(COUNTIFS(GL$3:GL121,"?*",GN$3:GN121,GN121)=1,MAX(IK$2:IK120)+1,""))</f>
        <v/>
      </c>
      <c r="IL121">
        <f t="shared" si="240"/>
        <v>0</v>
      </c>
      <c r="IM121">
        <f>IF(B121="","",COUNTIF(B$3:B121,"?*"))</f>
        <v>119</v>
      </c>
      <c r="IN121">
        <f>IF(GQ121&lt;&gt;1,0,_xlfn.LET(_xlpm.k,MAX(IFERROR(--VLOOKUP(B121,УГО_спр,5,FALSE),0),IFERROR(--VLOOKUP(AX121,УГО_спр,5,FALSE),0),IFERROR(--VLOOKUP(LEFT(AX121,2),УГО_спр,5,FALSE),0)),IF(_xlpm.k&gt;0,_xlpm.k,IF(IFERROR(--LEFT(SUBSTITUTE(IH121,"x","х"),FIND("х",SUBSTITUTE(IH121,"x","х"))-1),3)&gt;3,Каталог!$S$9,1))))</f>
        <v>1</v>
      </c>
      <c r="IO121">
        <f t="shared" si="241"/>
        <v>0</v>
      </c>
      <c r="IP121" t="str">
        <f t="shared" si="242"/>
        <v>авто</v>
      </c>
      <c r="IQ121" t="str">
        <f t="shared" si="243"/>
        <v/>
      </c>
      <c r="IR121">
        <f t="shared" si="244"/>
        <v>0</v>
      </c>
      <c r="IS121">
        <f t="shared" si="245"/>
        <v>1</v>
      </c>
    </row>
    <row r="122" spans="1:253" x14ac:dyDescent="0.3">
      <c r="A122" t="s">
        <v>747</v>
      </c>
      <c r="B122" t="s">
        <v>1391</v>
      </c>
      <c r="C122" t="s">
        <v>1639</v>
      </c>
      <c r="D122">
        <v>1</v>
      </c>
      <c r="E122">
        <v>0.16400000000000001</v>
      </c>
      <c r="G122">
        <v>10</v>
      </c>
      <c r="H122" t="str">
        <f>Линии[[#This Row],[_авто утечка]]</f>
        <v/>
      </c>
      <c r="I122" t="str">
        <f>Линии[[#This Row],[_авто управление]]</f>
        <v/>
      </c>
      <c r="J122" t="str">
        <f>Линии[[#This Row],[_авто аппараты]]</f>
        <v/>
      </c>
      <c r="K122">
        <v>1.5</v>
      </c>
      <c r="L122">
        <v>39</v>
      </c>
      <c r="M122" t="str">
        <f>Линии[[#This Row],[_авто фаза]]</f>
        <v>L2</v>
      </c>
      <c r="N122" t="str">
        <f>Линии[[#This Row],[_авто клемма]]</f>
        <v>XT20</v>
      </c>
      <c r="O122" t="str">
        <f t="shared" si="123"/>
        <v/>
      </c>
      <c r="P122" s="6" cm="1">
        <f t="array" ref="P122">IF(B122="","",IF(BC122&lt;&gt;"",IFERROR(_xlfn.XLOOKUP(BC122,Щиты[Щит],Щиты[Iр, А]),""),IF(BK122=1,IFERROR(_xlfn.XLOOKUP(A122,Щиты[Щит],Щиты[Iр, А]),""),IFERROR(_xlfn.IFS(BR122=1,BN122/((Uн_лин/SQRT(3))*BY122),BR122=3,BN122/(SQRT(3)*Uн_лин*BY122)),""))))</f>
        <v>0.88767603887904944</v>
      </c>
      <c r="Q122" s="7">
        <f>IF(B122="","",IFERROR(IF(VLOOKUP(AX122,Потребители_обозначение,4,FALSE)=1,VLOOKUP(AX122,Потребители_обозначение,3,FALSE)*(D122*2-1)+DS122+VLOOKUP(AZ122,Этаж_обозначение,3,FALSE)+VLOOKUP(AZ122,Этаж_обозначение,4,FALSE),VLOOKUP(AX122,Потребители_обозначение,3,FALSE)*(D122*2-1)+DS122),DS122))</f>
        <v>41</v>
      </c>
      <c r="R122" s="6">
        <f t="shared" si="124"/>
        <v>0.63</v>
      </c>
      <c r="S122" t="str">
        <f t="shared" si="125"/>
        <v>ВВГнг(А)-LS (3х1,5)</v>
      </c>
      <c r="T122" t="str">
        <f>IF(BH122="","",IF(BI122="вводной узел","узел ","")&amp;"л."&amp;(INT((BH122-1)/Столбцов_на_лист)+1)&amp;" / "&amp;(MOD(BH122-1,Столбцов_на_лист)+1))</f>
        <v>л.3 / 7</v>
      </c>
      <c r="V122">
        <v>1</v>
      </c>
      <c r="W122">
        <v>230</v>
      </c>
      <c r="X122" t="s">
        <v>600</v>
      </c>
      <c r="Y122">
        <v>0.5</v>
      </c>
      <c r="AC122" t="s">
        <v>815</v>
      </c>
      <c r="AE122" t="s">
        <v>578</v>
      </c>
      <c r="AI122">
        <v>41</v>
      </c>
      <c r="AJ122" t="s">
        <v>11</v>
      </c>
      <c r="AK122">
        <v>3</v>
      </c>
      <c r="AM122">
        <v>19</v>
      </c>
      <c r="AN122">
        <v>22</v>
      </c>
      <c r="AP122">
        <v>1</v>
      </c>
      <c r="AW122" cm="1">
        <f t="array" ref="AW122">ROW()-ROW(Линии[#Headers])</f>
        <v>120</v>
      </c>
      <c r="AX122" s="6" t="str">
        <f t="shared" si="126"/>
        <v>K</v>
      </c>
      <c r="AY122" t="str">
        <f t="shared" si="127"/>
        <v>1.006A</v>
      </c>
      <c r="AZ122" t="str">
        <f t="shared" si="128"/>
        <v>1</v>
      </c>
      <c r="BA122" t="str">
        <f t="shared" si="129"/>
        <v>006A</v>
      </c>
      <c r="BB122" t="str">
        <f t="shared" si="130"/>
        <v>006A</v>
      </c>
      <c r="BC122" t="str">
        <f>IF(U122&lt;&gt;"",U122,IF(AND(B122&lt;&gt;"",B122&lt;&gt;A122,ISNUMBER(_xlfn.XMATCH(B122,Щиты[Щит]))),B122,""))</f>
        <v/>
      </c>
      <c r="BD122" t="str" cm="1">
        <f t="array" ref="BD122">IF(B122="","",IF(BC122&lt;&gt;"","Щит "&amp;BC122,_xlfn.LET(_xlpm.nm,IFERROR(_xlfn.XLOOKUP(AX122,Коды_код,Коды_имя)&amp;"",""),_xlpm.md,IFERROR(N(_xlfn.XLOOKUP(AX122,Коды_код,Коды_режим)),1),_xlpm.ex,IF(Имя_режим="по экспликации",IFERROR(_xlfn.XLOOKUP(AZ122&amp;"|"&amp;BB122,Экспликация[Этаж]&amp;"|"&amp;Экспликация[Помещение],Экспликация[Название])&amp;"",""),""),_xlpm.rm,IF(BB122="","",IF(_xlpm.ex&lt;&gt;"",". "&amp;_xlpm.ex&amp;IF(Имя_пом="нет"," ("&amp;BB122&amp;")"," (пом. "&amp;BB122&amp;")"),IF(Имя_пом="нет"," ",", пом. ")&amp;BB122)),IF(_xlpm.nm="","",IF(_xlpm.md=2,_xlpm.nm&amp;" шлейф "&amp;AZ122,_xlpm.nm&amp;_xlpm.rm)))))</f>
        <v>Внутренний блок кондиционирования, пом. 006A</v>
      </c>
      <c r="BE122" t="str">
        <f t="shared" si="131"/>
        <v>Внутренний блок кондиционирования подвальный этаж Пом. №001Т</v>
      </c>
      <c r="BF122">
        <f>IFERROR(_xlfn.XMATCH(A122,Щиты[Щит]),0)</f>
        <v>6</v>
      </c>
      <c r="BG122">
        <f>_xlfn.LET(_xlpm.k,IFERROR(_xlfn.XLOOKUP(A122,Щиты[Щит],Щиты[Листов под вводной узел]),""),IF(_xlpm.k="",1,N(_xlpm.k))*Столбцов_на_лист)</f>
        <v>17</v>
      </c>
      <c r="BH122">
        <f t="shared" si="132"/>
        <v>41</v>
      </c>
      <c r="BI122" t="str">
        <f t="shared" si="133"/>
        <v>линии</v>
      </c>
      <c r="BJ122" s="6">
        <f>IFERROR(N(_xlfn.XLOOKUP(AX122,Коды_код,Коды_квт)),0)</f>
        <v>0</v>
      </c>
      <c r="BK122">
        <f t="shared" si="134"/>
        <v>0</v>
      </c>
      <c r="BL122" t="str">
        <f>IF(B122="","",IF(BC122&lt;&gt;"",IFERROR(_xlfn.XLOOKUP(BC122,Щиты[Щит],Щиты[Руст, кВт]),0),IF(BK122=1,IFERROR(_xlfn.XLOOKUP(A122,Щиты[Щит],Щиты[Руст, кВт]),0),IF(BJ122&gt;0,ROUND(BJ122*MAX(1,N(D122)),3),""))))</f>
        <v/>
      </c>
      <c r="BM122">
        <f t="shared" si="135"/>
        <v>0.16400000000000001</v>
      </c>
      <c r="BN122" s="6">
        <f>IF(B122="","",IF(BC122&lt;&gt;"",IFERROR(_xlfn.XLOOKUP(BC122,Щиты[Щит],Щиты[Руст, кВт]),0),N(BM122)))</f>
        <v>0.16400000000000001</v>
      </c>
      <c r="BO122" t="str">
        <f>IF(B122="","",IFERROR(IF(VLOOKUP(AX122,Потребители_обозначение,8,FALSE)=0,"",VLOOKUP(AX122,Потребители_обозначение,8,FALSE)),""))</f>
        <v/>
      </c>
      <c r="BP122">
        <f t="shared" si="136"/>
        <v>230</v>
      </c>
      <c r="BQ122">
        <f>IF(B122="","",IF(BC122&lt;&gt;"",3,IFERROR(IF(N(VLOOKUP(AX122,Потребители_обозначение,9,FALSE))=0,1,VLOOKUP(AX122,Потребители_обозначение,9,FALSE)),1)))</f>
        <v>1</v>
      </c>
      <c r="BR122">
        <f t="shared" si="137"/>
        <v>1</v>
      </c>
      <c r="BS122" t="str">
        <f>IF(B122="","",_xlfn.LET(_xlpm.bc,IFERROR(IF(VLOOKUP(AX122,Потребители_обозначение,6,FALSE)=0,"",VLOOKUP(AX122,Потребители_обозначение,6,FALSE)&amp;""),""),IF(AND(FK122="да",OR(_xlpm.bc="",_xlpm.bc="мс")),Марка_пож,IF(AND(_xlpm.bc="",BC122&lt;&gt;""),"мс",_xlpm.bc))))</f>
        <v/>
      </c>
      <c r="BT122" t="str">
        <f t="shared" si="138"/>
        <v>мс</v>
      </c>
      <c r="BU122">
        <f>IF(B122="","",_xlfn.LET(_xlpm.cc,IFERROR(N(VLOOKUP(AX122,Потребители_обозначение,7,FALSE)),0),IF(_xlpm.cc&gt;0,_xlpm.cc,IF(BT122="","",IF(N(BR122)=3,5,3)))))</f>
        <v>3</v>
      </c>
      <c r="BV122">
        <f t="shared" si="139"/>
        <v>3</v>
      </c>
      <c r="BW122">
        <f>IFERROR(N(VLOOKUP(AX122,Потребители_обозначение,10,FALSE)),0)</f>
        <v>0</v>
      </c>
      <c r="BX122">
        <f>IFERROR(VLOOKUP(AX122,Потребители_обозначение,5,FALSE),0)</f>
        <v>1</v>
      </c>
      <c r="BY122" s="6" cm="1">
        <f t="array" ref="BY122">IF(B122="","",IF(BC122&lt;&gt;"",IFERROR(_xlfn.XLOOKUP(BC122,Щиты[Щит],Щиты[cos φ]),0.95),IF(BK122=1,IFERROR(_xlfn.XLOOKUP(A122,Щиты[Щит],Щиты[cos φ]),0.95),IF(ISNUMBER(Z122),Z122,IFERROR(IF(BX122=2,_xlfn.IFS(BR122=3,VLOOKUP(BN122,Справочная_двигатели,8,FALSE),BR122=1,VLOOKUP(BN122,Справочная_двигатели,10,TRUE)),IF(AND(Методика="нормы 2026",EQ122="Сил"),0.8,0.95)),0.95)))))</f>
        <v>0.8</v>
      </c>
      <c r="BZ122">
        <f t="shared" si="140"/>
        <v>0</v>
      </c>
      <c r="CA122">
        <f t="shared" si="141"/>
        <v>1</v>
      </c>
      <c r="CB122">
        <f t="shared" si="142"/>
        <v>0</v>
      </c>
      <c r="CC122">
        <f t="shared" si="143"/>
        <v>0</v>
      </c>
      <c r="CD122">
        <f t="shared" si="144"/>
        <v>0</v>
      </c>
      <c r="CE122">
        <f t="shared" si="145"/>
        <v>0</v>
      </c>
      <c r="CF122">
        <f t="shared" si="146"/>
        <v>0</v>
      </c>
      <c r="CG122">
        <f>IF(AX122="",0,_xlfn.LET(_xlpm.v,IFERROR(VLOOKUP(B122,УГО_спр,3,FALSE),IFERROR(VLOOKUP(AX122,УГО_спр,3,FALSE),IFERROR(VLOOKUP(LEFT(AX122,2),УГО_спр,3,FALSE),""))),IF(_xlpm.v="да",30,IF(ISNUMBER(_xlpm.v),_xlpm.v,0))))</f>
        <v>0</v>
      </c>
      <c r="CH122" t="str">
        <f t="shared" si="147"/>
        <v/>
      </c>
      <c r="CI122" t="str">
        <f>_xlfn.LET(_xlpm.k,IFERROR(_xlfn.XLOOKUP(AX122,Коды_код,Коды_утечка)&amp;"",""),IF(_xlpm.k="","дифавтомат",_xlpm.k))</f>
        <v>дифавтомат</v>
      </c>
      <c r="CJ122">
        <f t="shared" si="148"/>
        <v>0</v>
      </c>
      <c r="CK122">
        <f t="shared" si="149"/>
        <v>0</v>
      </c>
      <c r="CL122">
        <f>IF(B122="",0,IFERROR(--VLOOKUP(B122,УГО_спр,4,FALSE),IFERROR(--VLOOKUP(AX122,УГО_спр,4,FALSE),IFERROR(--VLOOKUP(LEFT(AX122,2),УГО_спр,4,FALSE),0))))</f>
        <v>0</v>
      </c>
      <c r="CM122" t="str">
        <f>IF(B122="","",IFERROR(_xlfn.XLOOKUP(AX122,Коды_код,Коды_апп)&amp;"",""))</f>
        <v/>
      </c>
      <c r="CN122" t="str">
        <f t="shared" si="150"/>
        <v/>
      </c>
      <c r="CO122" t="str" cm="1">
        <f t="array" ref="CO122">IF(TRIM(CN122&amp;"")="","",IFERROR(TRIM(INDEX(_xlfn.TEXTSPLIT(CN122&amp;";;;",";"),1)),""))</f>
        <v/>
      </c>
      <c r="CP122" t="str" cm="1">
        <f t="array" ref="CP122">IF(TRIM(CN122&amp;"")="","",IFERROR(TRIM(INDEX(_xlfn.TEXTSPLIT(CN122&amp;";;;",";"),2)),""))</f>
        <v/>
      </c>
      <c r="CQ122" t="str" cm="1">
        <f t="array" ref="CQ122">IF(TRIM(CN122&amp;"")="","",IFERROR(TRIM(INDEX(_xlfn.TEXTSPLIT(CN122&amp;";;;",";"),3)),""))</f>
        <v/>
      </c>
      <c r="CR122">
        <f t="shared" si="151"/>
        <v>0</v>
      </c>
      <c r="CS122" t="str">
        <f>IF(B122="","",_xlfn.LET(_xlpm.t,LOWER(AV122&amp;""),IF(ISNUMBER(SEARCH("dim",_xlpm.t)),"DIM",IF(ISNUMBER(SEARCH("dali",_xlpm.t)),"DALI",IF(OR(ISNUMBER(SEARCH("relay",_xlpm.t)),ISNUMBER(SEARCH("реле",_xlpm.t))),"Relay",IF(ISNUMBER(SEARCH("кнопк",_xlpm.t)),"",IFERROR(_xlfn.XLOOKUP(AX122,Коды_код,Коды_упр)&amp;"","")))))))</f>
        <v/>
      </c>
      <c r="CT122" t="str">
        <f t="shared" si="152"/>
        <v/>
      </c>
      <c r="CU122">
        <f>IF(B122="","",_xlfn.LET(_xlpm.ig,N(P122)+IF(AF122="вручную",0,N(CB122)),_xlpm.n0,IFERROR(VLOOKUP(_xlpm.ig,Автомат_номиналы,2,TRUE),0),_xlpm.mn,MAX(CL122,IF(AF122="вручную",0,N(CE122))),MAX(_xlpm.n0,_xlpm.mn,IF(CR122=1,Мин_автомат_БП,0))))</f>
        <v>6</v>
      </c>
      <c r="CV122">
        <f t="shared" si="153"/>
        <v>1</v>
      </c>
      <c r="CW122" t="str">
        <f t="shared" si="154"/>
        <v>1P</v>
      </c>
      <c r="CX122" t="str">
        <f>_xlfn.LET(_xlpm.cc,UPPER(TRIM(IFERROR(_xlfn.XLOOKUP(AX122,Коды_код,Коды_хар)&amp;"",""))),IF(OR(_xlpm.cc="B",_xlpm.cc="В"),"B",IF(_xlpm.cc="D","D","С")))</f>
        <v>С</v>
      </c>
      <c r="CY122" t="str">
        <f t="shared" si="155"/>
        <v>1P С6А</v>
      </c>
      <c r="CZ122">
        <f t="shared" si="156"/>
        <v>10</v>
      </c>
      <c r="DA122" t="str">
        <f t="shared" si="157"/>
        <v>1P С10А</v>
      </c>
      <c r="DB122" cm="1">
        <f t="array" ref="DB122">IF(DA122="","",_xlfn.LET(_xlpm.t,SUBSTITUTE(SUBSTITUTE(SUBSTITUTE(UPPER(DA122),"С","C"),"А","A"),"В","B"),_xlpm.tk,_xlfn.TEXTSPLIT(_xlpm.t,"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2" t="str">
        <f t="shared" si="158"/>
        <v>ok</v>
      </c>
      <c r="DD122">
        <f t="shared" si="159"/>
        <v>10</v>
      </c>
      <c r="DE122" t="str">
        <f t="shared" si="160"/>
        <v>1P С10А</v>
      </c>
      <c r="DF122">
        <f t="shared" si="161"/>
        <v>0</v>
      </c>
      <c r="DG122">
        <f t="shared" si="162"/>
        <v>0</v>
      </c>
      <c r="DH122">
        <f t="shared" si="163"/>
        <v>0</v>
      </c>
      <c r="DI122">
        <f t="shared" si="164"/>
        <v>0.88767603887904944</v>
      </c>
      <c r="DJ122">
        <f t="shared" si="165"/>
        <v>1</v>
      </c>
      <c r="DK122">
        <f>IF(ISNUMBER(AL122),AL122,К_прокл)</f>
        <v>1</v>
      </c>
      <c r="DL122">
        <f t="shared" si="166"/>
        <v>2</v>
      </c>
      <c r="DM122">
        <f>IFERROR(N(VLOOKUP(BT122,Кабель_обозначение,3,FALSE)),1)</f>
        <v>1</v>
      </c>
      <c r="DN122">
        <f>IFERROR(N(_xlfn.XLOOKUP(A122,Щиты[Щит],Щиты[ΔU до шин, %])),0)</f>
        <v>0.24000000000000002</v>
      </c>
      <c r="DO122" t="str">
        <f>IFERROR(_xlfn.XLOOKUP(A122,Щиты[Щит],Щиты[Zпетли на шинах, Ом]),"")</f>
        <v/>
      </c>
      <c r="DP122">
        <f>IFERROR(N(_xlfn.XLOOKUP(A122,Щиты[Щит],Щиты[ΔU до шин (подбор), %])),0)</f>
        <v>0.36</v>
      </c>
      <c r="DQ122" t="str">
        <f>IFERROR(_xlfn.XLOOKUP(A122,Щиты[Щит],Щиты[Zпетли на шинах (подбор), Ом]),"")</f>
        <v/>
      </c>
      <c r="DR122" t="str">
        <f t="shared" si="167"/>
        <v/>
      </c>
      <c r="DS122">
        <f t="shared" si="168"/>
        <v>39</v>
      </c>
      <c r="DT122">
        <f t="shared" si="169"/>
        <v>2</v>
      </c>
      <c r="DU122">
        <f t="shared" si="170"/>
        <v>0.6</v>
      </c>
      <c r="DV122" s="6">
        <f>IF(B122="","",IF(IFERROR(VLOOKUP(AX122,УГО_спр,2,FALSE),"")="Светильник",3,4)+IF(Методика="нормы 2026",MIN(0.5,MAX(0,N(Q122)-100)*0.005),0))</f>
        <v>4</v>
      </c>
      <c r="DW122" cm="1">
        <f t="array" ref="DW122">IF(OR(B122="",BT122="",DM122&lt;&gt;1),"",_xlfn.LET(_xlpm.sz,Iдоп_S,_xlpm.t_,CHOOSE(DL122,Iдоп_1ж,Iдоп_2ж,Iдоп_3ж)*DJ122*DK122,_xlpm.inn,N(DD122),_xlpm.smin,MAX(1.5,BW122),_xlpm.L_,N(Q122)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122)*(_xlpm.rho*_xlpm.L_/_xlpm.sz*N(BY122)+_xlpm.xx*_xlpm.L_*N(DU122)/1000)*N(P122)/((Uн_лин/SQRT(3))*1000)*100,999),_xlpm.kz,IF(OR(DG122=1,NOT(ISNUMBER(DQ122)),_xlpm.L_=0,_xlpm.inn=0),1,IFERROR(--(c_min*(Uн_лин*1000/SQRT(3))/(DQ122+2*ρкз_Cu*_xlpm.L_/_xlpm.sz)&gt;=GY122*_xlpm.inn),0)),_xlpm.ok,IFERROR((_xlpm.sz&gt;=_xlpm.smin)*(_xlpm.t_&gt;=_xlpm.inn)*IF(_xlpm.L_&gt;0,(_xlpm.du_+DP122&lt;=DV122+0.00001),1)*_xlpm.kz,0),_xlpm.r_,_xlfn._xlws.FILTER(_xlpm.sz,_xlpm.ok,"не подобрано"),INDEX(_xlpm.r_,1)))</f>
        <v>1.5</v>
      </c>
      <c r="DX122">
        <f t="shared" si="171"/>
        <v>1.5</v>
      </c>
      <c r="DY122" cm="1">
        <f t="array" ref="DY122">IF(OR(B122="",BT122="",DM122&lt;&gt;1),"",_xlfn.LET(_xlpm.sz,Iдоп_S,_xlpm.t_,CHOOSE(DL122,Iдоп_1ж,Iдоп_2ж,Iдоп_3ж)*DJ122*DK122,_xlpm.ok,IFERROR((_xlpm.sz&gt;=MAX(1.5,BW122))*(_xlpm.t_&gt;=N(DD122)),0),_xlpm.r_,_xlfn._xlws.FILTER(_xlpm.sz,_xlpm.ok,""),INDEX(_xlpm.r_,1)))</f>
        <v>1.5</v>
      </c>
      <c r="DZ122" s="6" cm="1">
        <f t="array" ref="DZ122">IFERROR(ROUNDUP(N(DT122)*(_xlfn.XLOOKUP(DY122,INDEX(Кабель_сопротивление,0,1),INDEX(Кабель_сопротивление,0,3))*N(Q122)/DY122*N(BY122)+_xlfn.XLOOKUP(DY122,INDEX(Кабель_сопротивление,0,1),INDEX(Кабель_сопротивление,0,2))*N(Q122)*N(DU122)/1000)*N(P122)/((Uн_лин/SQRT(3))*1000)*100,2),"")</f>
        <v>0.39</v>
      </c>
      <c r="EA122">
        <f>IFERROR(2*ρкз_Cu*N(Q122)/DY122,"")</f>
        <v>1.4377333333333333</v>
      </c>
      <c r="EB122">
        <f>IFERROR(VLOOKUP(DX122,Кабель_сопротивление,3,FALSE),"")</f>
        <v>2.2499999999999999E-2</v>
      </c>
      <c r="EC122">
        <f>IFERROR(VLOOKUP(DX122,Кабель_сопротивление,2,FALSE),"")</f>
        <v>0.11</v>
      </c>
      <c r="ED122">
        <f t="shared" si="172"/>
        <v>22</v>
      </c>
      <c r="EE122">
        <f t="shared" si="173"/>
        <v>0</v>
      </c>
      <c r="EF122">
        <f t="shared" si="174"/>
        <v>0.87827732497939803</v>
      </c>
      <c r="EG122" s="6">
        <f>IFERROR(ROUNDUP(EF122/((Uн_лин/SQRT(3))*1000)*100,2),"")</f>
        <v>0.39</v>
      </c>
      <c r="EH122" t="str">
        <f>IFERROR(VLOOKUP(BT122,Кабель_обозначение,2,FALSE),"")</f>
        <v>ВВГнг(А)-LS</v>
      </c>
      <c r="EI122" t="str">
        <f t="shared" si="175"/>
        <v>ВВГнг(А)-LS (3х1,5)</v>
      </c>
      <c r="EJ122" t="str">
        <f t="shared" si="176"/>
        <v>ВВГнг(А)-LS (3х1,5)
L=41-0,39%</v>
      </c>
      <c r="EK122">
        <f>IFERROR(2*ρкз_Cu*Q122/DX122,"")</f>
        <v>1.4377333333333333</v>
      </c>
      <c r="EL122">
        <f t="shared" si="177"/>
        <v>0.47833333333333333</v>
      </c>
      <c r="EM122" s="6" t="str">
        <f>IFERROR(IF(OR(B122="",NOT(ISNUMBER(DX122)),N(Q122)=0),"",_xlfn.XLOOKUP(A122,Щиты[Щит],Щиты[Zпетли на шинах, Ом])+EK122),"")</f>
        <v/>
      </c>
      <c r="EN122" s="6" t="str">
        <f>IF(ISNUMBER(EM122),c_min*(Uн_лин*1000/SQRT(3))/EM122,"")</f>
        <v/>
      </c>
      <c r="EO122" s="6" t="str">
        <f>IFERROR(IF(OR(B122="",NOT(ISNUMBER(DX122))),"",1.05*(Uн_лин*1000/SQRT(3))/(_xlfn.XLOOKUP(A122,Щиты[Щит],Щиты[Zmax на шинах, Ом])+EL122)/1000),"")</f>
        <v/>
      </c>
      <c r="EP122" s="6" t="str">
        <f>IF(B122="","",IF(ISNUMBER(Y122),"Сил",IF(IFERROR(_xlfn.XLOOKUP(AX122,Коды_код,Коды_группа)&amp;"","")="","Быт",_xlfn.XLOOKUP(AX122,Коды_код,Коды_группа)&amp;"")))</f>
        <v>Сил</v>
      </c>
      <c r="EQ122" s="6" t="str">
        <f t="shared" si="178"/>
        <v>Сил</v>
      </c>
      <c r="ER122" s="6">
        <f>IF(EQ122="Щит","щит",IF(EQ122="","",IF(EQ122="Быт",IFERROR(_xlfn.XLOOKUP(A122,Щиты[Щит],Щиты[Кс быт]),1),IF(EQ122="Сил",IF(ISNUMBER(Y122),Y122,IF(Методика="нормы 2026",IFERROR(_xlfn.XLOOKUP(A122,Щиты[Щит],Щиты[Кс силовых (табл. 7.5)]),1),1)),IF(OR(EQ122="Пост",EQ122="Отоп"),1,IF(EQ122="ВНГ",0.7,0))))))</f>
        <v>0.5</v>
      </c>
      <c r="ES122">
        <f t="shared" si="179"/>
        <v>1</v>
      </c>
      <c r="ET122">
        <f t="shared" si="180"/>
        <v>0.16400000000000001</v>
      </c>
      <c r="EU122">
        <f t="shared" si="181"/>
        <v>0</v>
      </c>
      <c r="EV122">
        <f t="shared" si="182"/>
        <v>8.2000000000000003E-2</v>
      </c>
      <c r="EW122">
        <f t="shared" si="183"/>
        <v>0</v>
      </c>
      <c r="EX122">
        <f t="shared" si="184"/>
        <v>0</v>
      </c>
      <c r="EY122">
        <f t="shared" si="185"/>
        <v>0</v>
      </c>
      <c r="EZ122">
        <f t="shared" si="186"/>
        <v>0.16400000000000001</v>
      </c>
      <c r="FA122">
        <f t="shared" si="187"/>
        <v>0.13120000000000001</v>
      </c>
      <c r="FB122">
        <f t="shared" si="188"/>
        <v>0.16400000000000001</v>
      </c>
      <c r="FC122" t="str">
        <f t="shared" si="189"/>
        <v/>
      </c>
      <c r="FD122" t="str">
        <f>IF(B122="","",IF(CA122=0,IF(AW122=1,"",FF121),IF(OR(N(CV122)&gt;=3,N(BR122)&gt;=3),"L1,L2,L3",IFERROR(_xlfn.TEXTBEFORE(_xlfn.TEXTAFTER(_xlfn.XLOOKUP(A122,Щиты[Щит],Щиты[_фазы авто]),";"&amp;AW122&amp;":"),";"),"L1"))))</f>
        <v>L2</v>
      </c>
      <c r="FE122" t="str">
        <f t="shared" si="190"/>
        <v>L2</v>
      </c>
      <c r="FF122" t="str">
        <f t="shared" si="191"/>
        <v>L2</v>
      </c>
      <c r="FG122" cm="1">
        <f t="array" ref="FG122">IFERROR(IF(BX122=2,_xlfn.IFS(BR122=3,VLOOKUP(BN122,Справочная_двигатели,3,FALSE),BR122=1,VLOOKUP(BN122,Справочная_двигатели,5,TRUE)),0),0)</f>
        <v>0</v>
      </c>
      <c r="FH122">
        <f>IFERROR(IF(BX122=3,VLOOKUP(BN122,Справочная_ЛЭД,2,TRUE),0),0)</f>
        <v>0</v>
      </c>
      <c r="FI122" s="6">
        <f t="shared" si="192"/>
        <v>0</v>
      </c>
      <c r="FJ122" t="str" cm="1">
        <f t="array" ref="FJ122">IF(B122="","",IFERROR(INDEX({"I особая","I","II","III"},MATCH(TRIM(AC122&amp;""),{"I особая","I","II","III"},0)),"III"))</f>
        <v>II</v>
      </c>
      <c r="FK122" t="str">
        <f>IF(B122="","",IF(TRIM(AD122&amp;"")&lt;&gt;"",IF(LOWER(TRIM(AD122&amp;""))="да","да","нет"),IF(IFERROR(_xlfn.XLOOKUP(AX122,Коды_код,Коды_пожарная),"")="да","да","нет")))</f>
        <v>нет</v>
      </c>
      <c r="FL122" t="str">
        <f t="shared" si="193"/>
        <v/>
      </c>
      <c r="FM122" t="str">
        <f t="shared" si="194"/>
        <v>основная</v>
      </c>
      <c r="FN122">
        <f t="shared" si="195"/>
        <v>1</v>
      </c>
      <c r="FO122" t="str" cm="1">
        <f t="array" ref="FO122">IF(B122="","",_xlfn.LET(_xlpm.t,IFERROR(_xlfn.XLOOKUP(1,(Шины[Шина]=FM122)*(((Шины[Щит]=A122)+(Шины[Щит]=""))&gt;0),Шины[Тип]),"")&amp;"",IF(_xlpm.t&lt;&gt;"",_xlpm.t,IF(ISNUMBER(SEARCH("ИБП",FM122)),"ИБП",IF(ISNUMBER(SEARCH("ДГУ",FM122)),"ДГУ","Ввод "&amp;FN122)))))</f>
        <v>Ввод 1</v>
      </c>
      <c r="FP122" t="str">
        <f t="shared" si="196"/>
        <v>Ввод 1</v>
      </c>
      <c r="FQ122" t="str">
        <f>IF(B122="","",IF(OR(FO122="ИБП",FO122="ДГУ"),"I особая",IF(FO122="Одиночная","III",_xlfn.XLOOKUP(A122,Щиты[Щит],Щиты[Категория шины «Ввод»],"III"))))</f>
        <v>II</v>
      </c>
      <c r="FR122">
        <f>IF(B122="",0,IFERROR(MATCH(FJ122,{"III","II","I","I особая"},0),1))</f>
        <v>2</v>
      </c>
      <c r="FS122">
        <f t="shared" si="197"/>
        <v>2</v>
      </c>
      <c r="FT122" t="str">
        <f>IF(B122="","",IF(FR122&gt;IFERROR(MATCH(FQ122,{"III","II","I","I особая"},0),1),"НЕ ОБЕСПЕЧЕНА","ОК"))</f>
        <v>ОК</v>
      </c>
      <c r="FU122" t="str">
        <f>IF(A122="","",_xlfn.XLOOKUP(A122,Щиты[Щит],Щиты[Путь],""))</f>
        <v>|ГРЩ-ЖД|ЩОВ-01|</v>
      </c>
      <c r="FV122" t="str">
        <f>IF(B122="","",IF(AE122&lt;&gt;"",AE122,IF(IFERROR(_xlfn.XLOOKUP(AX122,Коды_код,Коды_вид)&amp;"","")="","Прочее",_xlfn.XLOOKUP(AX122,Коды_код,Коды_вид)&amp;"")))</f>
        <v>Кондиционирование и увлажнение</v>
      </c>
      <c r="FW122">
        <f>IF(BH122="","",INT((BH122-1)/Столбцов_на_лист)+1)</f>
        <v>3</v>
      </c>
      <c r="FX122" t="str">
        <f t="shared" si="198"/>
        <v>ВВГнг(А)-LS (3х1,5) L=41-0,39%</v>
      </c>
      <c r="FY122">
        <f t="shared" si="199"/>
        <v>0.16400000000000001</v>
      </c>
      <c r="FZ122">
        <f t="shared" si="200"/>
        <v>0.89</v>
      </c>
      <c r="GA122">
        <f t="shared" si="201"/>
        <v>1</v>
      </c>
      <c r="GB122">
        <f t="shared" si="202"/>
        <v>0</v>
      </c>
      <c r="GC122">
        <f t="shared" si="203"/>
        <v>1</v>
      </c>
      <c r="GD122">
        <f>IF(BH122="","",IF(AND(CA122=1,GC122=1),COUNTIFS(A$3:A122,A122,CA$3:CA122,1,GC$3:GC122,1),IF(OR(OR(AW122=1,A122&lt;&gt;A121),AF122="вручную",GC122=0),"",IF(AW122=1,"",GE121))))</f>
        <v>20</v>
      </c>
      <c r="GE122">
        <f t="shared" si="204"/>
        <v>20</v>
      </c>
      <c r="GF122">
        <f>IF(B122="","",IFERROR(LOOKUP(INDEX(CHOOSE(DL122,Iдоп_1ж,Iдоп_2ж,Iдоп_3ж),MATCH(DX122,Iдоп_S,0))*DJ122*DK122,{6,10,16,20,25,32,40,50,63,80,100,125,160,200,250,315,400,500,630}),""))</f>
        <v>16</v>
      </c>
      <c r="GG122" t="str">
        <f t="shared" si="205"/>
        <v>QF20</v>
      </c>
      <c r="GH122" t="str">
        <f t="shared" si="206"/>
        <v>QF20</v>
      </c>
      <c r="GI122" t="str">
        <f t="shared" si="207"/>
        <v/>
      </c>
      <c r="GJ122">
        <f t="shared" si="208"/>
        <v>0</v>
      </c>
      <c r="GK122" t="str">
        <f>IF(OR(AG122="",AG122="-"),"",IFERROR(VLOOKUP(AG122,Модули_спр,2,FALSE),"R"))</f>
        <v/>
      </c>
      <c r="GL122" t="str">
        <f>IF(GK122="","",GK122&amp;"."&amp;COUNTIFS(A$3:A122,A122,GK$3:GK122,GK122))</f>
        <v/>
      </c>
      <c r="GM122" t="str">
        <f t="shared" si="209"/>
        <v/>
      </c>
      <c r="GN122" t="str">
        <f t="shared" si="210"/>
        <v/>
      </c>
      <c r="GO122" t="str">
        <f t="shared" si="211"/>
        <v/>
      </c>
      <c r="GP122" t="str">
        <f t="shared" si="212"/>
        <v/>
      </c>
      <c r="GQ122">
        <f t="shared" si="213"/>
        <v>1</v>
      </c>
      <c r="GR122" t="str">
        <f>IF(GQ122=1,"XT"&amp;COUNTIFS(A$3:A122,A122,GQ$3:GQ122,1),"")</f>
        <v>XT20</v>
      </c>
      <c r="GS122" t="str">
        <f t="shared" si="214"/>
        <v>XT20</v>
      </c>
      <c r="GT122" t="str">
        <f t="shared" si="215"/>
        <v>QF20</v>
      </c>
      <c r="GU122" t="str">
        <f t="shared" si="216"/>
        <v/>
      </c>
      <c r="GV122" t="str">
        <f t="shared" si="217"/>
        <v>ok</v>
      </c>
      <c r="GW122" t="str">
        <f>IF(OR(GO122="",GM122=""),"",IF(GO122&gt;IFERROR(VLOOKUP(GN122,Модули_спр,3,FALSE),99),"ЛИШНИЙ КАНАЛ",IF(AND(AH122&lt;&gt;"=",COUNTIFS(Линии[_модуль гр.],GM122,Линии[Канал (итог)],GO122,Линии[Канал],"&lt;&gt;=",Линии[Щит],A122)&gt;1),"ДУБЛЬ КАНАЛА","")))</f>
        <v/>
      </c>
      <c r="GX122" s="6" t="str">
        <f t="shared" si="218"/>
        <v/>
      </c>
      <c r="GY122">
        <f t="shared" si="219"/>
        <v>10</v>
      </c>
      <c r="GZ122" t="str">
        <f t="shared" si="220"/>
        <v/>
      </c>
      <c r="HA122" t="str">
        <f>IF(AND(B122="",GT122=""),"",_xlfn.TEXTJOIN("; ",TRUE,IF(AND(B122&lt;&gt;"",FE122=""),"нет фазы",""),IF(AND(B122&lt;&gt;"",N(FY122)=0,EQ122&lt;&gt;"Нет"),"нет мощности",""),IF(AND(GS122&lt;&gt;"",COUNTIFS(Линии[Щит],A122,Линии[Клемма (итог)],GS122)&gt;1),"дубль клеммы "&amp;GS122,""),IF(AND(GV122&lt;&gt;"",GV122&lt;&gt;"ok"),GV122,""),IF(GW122&lt;&gt;"",GW122,""),IF(AND(N(BV122)&gt;=4,N(BR122)=1),BV122&amp;" жил на 1 фазе",""),IF(AND(AX122="R",CA122=1,OR(N(CK122)=0,N(CK122)&gt;30)),"розетка без дифзащиты до 30 мА",""),IFERROR(IF(AND(ISNUMBER(R122),R122&gt;DV122),"потери "&amp;FIXED(R122,1)&amp;" % &gt; "&amp;DV122&amp;" %",""),""),IFERROR(IF(LEFT(GZ122,4)="мало","Iкз мало — отключение &gt; 0,4 с",""),""),IF(AND(B122&lt;&gt;"",BH122=""),"не на схеме",""),IF(AND(CA122=0,B122&lt;&gt;"",FE122&lt;&gt;"",IF(AW122=1,"",FF121)&lt;&gt;"",FE122&lt;&gt;IF(AW122=1,"",FF121)),"фаза не как у автомата группы ("&amp;IF(AW122=1,"",FF121)&amp;")","")))</f>
        <v/>
      </c>
      <c r="HB122" s="6">
        <f>IF(OR(CA122=0,DA122=""),"",_xlfn.LET(_xlpm.t,IFERROR(_xlfn.XLOOKUP(DA122,Каталог!$U$4:$U$500,Каталог!$G$4:$G$500),""),_xlpm.k,SEARCH("кА",_xlpm.t),IFERROR(--TRIM(RIGHT(SUBSTITUTE(MID(_xlpm.t,MAX(1,_xlpm.k-4),_xlpm.k-MAX(1,_xlpm.k-4))," ",REPT(" ",9)),5)),"")))</f>
        <v>6</v>
      </c>
      <c r="HC122" t="str">
        <f>IF(OR(HB122="",CA122=0),"",IF(_xlfn.XLOOKUP(A122,Щиты[Щит],Щиты[Iкз max на шинах, кА],"")="","",IF(HB122&lt;_xlfn.XLOOKUP(A122,Щиты[Щит],Щиты[Iкз max на шинах, кА]),"Icu "&amp;HB122&amp;" кА &lt; Iкз max","ok")))</f>
        <v/>
      </c>
      <c r="HD122" t="str">
        <f t="shared" si="221"/>
        <v/>
      </c>
      <c r="HE122" t="str">
        <f t="shared" si="222"/>
        <v>QF20|XT20</v>
      </c>
      <c r="HF122" t="str">
        <f t="shared" si="223"/>
        <v>QF20|XT20|кабель ВВГнг(А)-LS (3х1,5) → Внутренний блок кондиционирования подвальный этаж Пом. №001Т</v>
      </c>
      <c r="HG122" t="str" cm="1">
        <f t="array" ref="HG122">IF(HF122="","",_xlfn.LET(_xlpm.nd,_xlfn.TEXTSPLIT(HF122,"|"),IF(COLUMNS(_xlpm.nd)&gt;1,A122&amp;"¦"&amp;INDEX(_xlpm.nd,1)&amp;"¦"&amp;INDEX(_xlpm.nd,2),"")))</f>
        <v>ЩОВ-01¦QF20¦XT20</v>
      </c>
      <c r="HH122" t="str">
        <f t="shared" si="224"/>
        <v>K.1.006A¦Внутренний блок кондиционирования подвальный этаж Пом. №001Т</v>
      </c>
      <c r="HI122" t="str" cm="1">
        <f t="array" ref="HI122">IF(HF122="","",_xlfn.LET(_xlpm.nd,_xlfn.TEXTSPLIT(HF122,"|"),IF(COLUMNS(_xlpm.nd)&gt;2,A122&amp;"¦"&amp;INDEX(_xlpm.nd,2)&amp;"¦"&amp;INDEX(_xlpm.nd,3),"")))</f>
        <v>ЩОВ-01¦XT20¦кабель ВВГнг(А)-LS (3х1,5) → Внутренний блок кондиционирования подвальный этаж Пом. №001Т</v>
      </c>
      <c r="HJ122" t="str">
        <f t="shared" si="225"/>
        <v>K.1.006A¦Внутренний блок кондиционирования подвальный этаж Пом. №001Т</v>
      </c>
      <c r="HK122" t="str" cm="1">
        <f t="array" ref="HK122">IF(HF122="","",_xlfn.LET(_xlpm.nd,_xlfn.TEXTSPLIT(HF122,"|"),IF(COLUMNS(_xlpm.nd)&gt;3,A122&amp;"¦"&amp;INDEX(_xlpm.nd,3)&amp;"¦"&amp;INDEX(_xlpm.nd,4),"")))</f>
        <v/>
      </c>
      <c r="HL122" t="str">
        <f t="shared" si="226"/>
        <v/>
      </c>
      <c r="HM122" t="str" cm="1">
        <f t="array" ref="HM122">IF(HF122="","",_xlfn.LET(_xlpm.nd,_xlfn.TEXTSPLIT(HF122,"|"),IF(COLUMNS(_xlpm.nd)&gt;4,A122&amp;"¦"&amp;INDEX(_xlpm.nd,4)&amp;"¦"&amp;INDEX(_xlpm.nd,5),"")))</f>
        <v/>
      </c>
      <c r="HN122" t="str">
        <f t="shared" si="227"/>
        <v/>
      </c>
      <c r="HO122" t="str" cm="1">
        <f t="array" ref="HO122">IF(HF122="","",_xlfn.LET(_xlpm.nd,_xlfn.TEXTSPLIT(HF122,"|"),IF(COLUMNS(_xlpm.nd)&gt;5,A122&amp;"¦"&amp;INDEX(_xlpm.nd,5)&amp;"¦"&amp;INDEX(_xlpm.nd,6),"")))</f>
        <v/>
      </c>
      <c r="HP122" t="str">
        <f t="shared" si="228"/>
        <v/>
      </c>
      <c r="HQ122" t="str" cm="1">
        <f t="array" ref="HQ122">IF(HF122="","",_xlfn.LET(_xlpm.nd,_xlfn.TEXTSPLIT(HF122,"|"),IF(COLUMNS(_xlpm.nd)&gt;6,A122&amp;"¦"&amp;INDEX(_xlpm.nd,6)&amp;"¦"&amp;INDEX(_xlpm.nd,7),"")))</f>
        <v/>
      </c>
      <c r="HR122" t="str">
        <f t="shared" si="229"/>
        <v/>
      </c>
      <c r="HS122" t="str">
        <f t="shared" si="230"/>
        <v/>
      </c>
      <c r="HT122" t="str">
        <f t="shared" si="231"/>
        <v>QF20 → XT20</v>
      </c>
      <c r="HU122">
        <f t="shared" si="232"/>
        <v>0</v>
      </c>
      <c r="HV122">
        <f t="shared" si="233"/>
        <v>0</v>
      </c>
      <c r="HW122" t="str">
        <f t="shared" si="234"/>
        <v/>
      </c>
      <c r="HX122" t="str">
        <f t="shared" si="235"/>
        <v/>
      </c>
      <c r="HY122" t="str">
        <f t="shared" si="236"/>
        <v/>
      </c>
      <c r="HZ122" t="str">
        <f t="shared" si="237"/>
        <v/>
      </c>
      <c r="IA122">
        <f>IF(B122="","",IFERROR(VLOOKUP(B122,УГО_спр,2,FALSE),IFERROR(VLOOKUP(AX122,УГО_спр,2,FALSE),IFERROR(VLOOKUP(LEFT(AX122,2),УГО_спр,2,FALSE),""))))</f>
        <v>0</v>
      </c>
      <c r="IB122" t="str">
        <f>IF(B122="","",IF(OR(IA122="",IA122=0),"BOX",IFERROR(IF(VLOOKUP(IA122,УГО_блоки,3,FALSE)&amp;""&lt;&gt;"",VLOOKUP(IA122,УГО_блоки,3,FALSE),VLOOKUP(IA122,УГО_блоки,2,FALSE)),IA122)))</f>
        <v>BOX</v>
      </c>
      <c r="IC122">
        <f t="shared" si="238"/>
        <v>1</v>
      </c>
      <c r="ID122" t="str">
        <f>IF(DA122="","",IF(COUNTIF(DA$3:DA122,DA122)=1,MAX(ID$2:ID121)+1,""))</f>
        <v/>
      </c>
      <c r="IE122" t="str">
        <f>IF(CO122="","",IF(COUNTIF(CO$3:CO122,CO122)+COUNTIF(CP$2:CP121,CO122)+COUNTIF(CQ$2:CQ121,CO122)=1,MAX(IE$2:IG121)+1,""))</f>
        <v/>
      </c>
      <c r="IF122" t="str">
        <f>IF(CP122="","",IF(COUNTIF(CO$3:CO122,CP122)+COUNTIF(CP$3:CP122,CP122)+COUNTIF(CQ$2:CQ121,CP122)=1,MAX(IE$2:IG121,IE122)+1,""))</f>
        <v/>
      </c>
      <c r="IG122" t="str">
        <f>IF(CQ122="","",IF(COUNTIF(CO$3:CO122,CQ122)+COUNTIF(CP$3:CP122,CQ122)+COUNTIF(CQ$3:CQ122,CQ122)=1,MAX(IE$2:IG121,IE122,IF122)+1,""))</f>
        <v/>
      </c>
      <c r="IH122" t="str">
        <f t="shared" si="239"/>
        <v>3х1,5</v>
      </c>
      <c r="II122" t="str">
        <f>IF(IH122="","",IF(COUNTIF(IH$3:IH122,IH122)=1,MAX(II$2:II121)+1,""))</f>
        <v/>
      </c>
      <c r="IJ122" t="str">
        <f>IF(GL122="","",COUNTIF(GL$3:GL122,"?*"))</f>
        <v/>
      </c>
      <c r="IK122" t="str">
        <f>IF(OR(GL122="",GN122=""),"",IF(COUNTIFS(GL$3:GL122,"?*",GN$3:GN122,GN122)=1,MAX(IK$2:IK121)+1,""))</f>
        <v/>
      </c>
      <c r="IL122">
        <f t="shared" si="240"/>
        <v>0</v>
      </c>
      <c r="IM122">
        <f>IF(B122="","",COUNTIF(B$3:B122,"?*"))</f>
        <v>120</v>
      </c>
      <c r="IN122">
        <f>IF(GQ122&lt;&gt;1,0,_xlfn.LET(_xlpm.k,MAX(IFERROR(--VLOOKUP(B122,УГО_спр,5,FALSE),0),IFERROR(--VLOOKUP(AX122,УГО_спр,5,FALSE),0),IFERROR(--VLOOKUP(LEFT(AX122,2),УГО_спр,5,FALSE),0)),IF(_xlpm.k&gt;0,_xlpm.k,IF(IFERROR(--LEFT(SUBSTITUTE(IH122,"x","х"),FIND("х",SUBSTITUTE(IH122,"x","х"))-1),3)&gt;3,Каталог!$S$9,1))))</f>
        <v>1</v>
      </c>
      <c r="IO122">
        <f t="shared" si="241"/>
        <v>0</v>
      </c>
      <c r="IP122" t="str">
        <f t="shared" si="242"/>
        <v>авто</v>
      </c>
      <c r="IQ122" t="str">
        <f t="shared" si="243"/>
        <v/>
      </c>
      <c r="IR122">
        <f t="shared" si="244"/>
        <v>0</v>
      </c>
      <c r="IS122">
        <f t="shared" si="245"/>
        <v>1</v>
      </c>
    </row>
    <row r="123" spans="1:253" x14ac:dyDescent="0.3">
      <c r="A123" t="s">
        <v>747</v>
      </c>
      <c r="B123" t="s">
        <v>1392</v>
      </c>
      <c r="C123" t="s">
        <v>1640</v>
      </c>
      <c r="D123">
        <v>1</v>
      </c>
      <c r="E123">
        <v>0.376</v>
      </c>
      <c r="G123">
        <v>10</v>
      </c>
      <c r="H123" t="str">
        <f>Линии[[#This Row],[_авто утечка]]</f>
        <v/>
      </c>
      <c r="I123" t="str">
        <f>Линии[[#This Row],[_авто управление]]</f>
        <v/>
      </c>
      <c r="J123" t="str">
        <f>Линии[[#This Row],[_авто аппараты]]</f>
        <v/>
      </c>
      <c r="K123">
        <v>1.5</v>
      </c>
      <c r="L123">
        <v>72</v>
      </c>
      <c r="M123" t="str">
        <f>Линии[[#This Row],[_авто фаза]]</f>
        <v>L1</v>
      </c>
      <c r="N123" t="str">
        <f>Линии[[#This Row],[_авто клемма]]</f>
        <v>XT21</v>
      </c>
      <c r="O123" t="str">
        <f t="shared" si="123"/>
        <v/>
      </c>
      <c r="P123" s="6" cm="1">
        <f t="array" ref="P123">IF(B123="","",IF(BC123&lt;&gt;"",IFERROR(_xlfn.XLOOKUP(BC123,Щиты[Щит],Щиты[Iр, А]),""),IF(BK123=1,IFERROR(_xlfn.XLOOKUP(A123,Щиты[Щит],Щиты[Iр, А]),""),IFERROR(_xlfn.IFS(BR123=1,BN123/((Uн_лин/SQRT(3))*BY123),BR123=3,BN123/(SQRT(3)*Uн_лин*BY123)),""))))</f>
        <v>2.0351596988934304</v>
      </c>
      <c r="Q123" s="7">
        <f>IF(B123="","",IFERROR(IF(VLOOKUP(AX123,Потребители_обозначение,4,FALSE)=1,VLOOKUP(AX123,Потребители_обозначение,3,FALSE)*(D123*2-1)+DS123+VLOOKUP(AZ123,Этаж_обозначение,3,FALSE)+VLOOKUP(AZ123,Этаж_обозначение,4,FALSE),VLOOKUP(AX123,Потребители_обозначение,3,FALSE)*(D123*2-1)+DS123),DS123))</f>
        <v>74</v>
      </c>
      <c r="R123" s="6">
        <f t="shared" si="124"/>
        <v>1.82</v>
      </c>
      <c r="S123" t="str">
        <f t="shared" si="125"/>
        <v>ВВГнг(А)-LS (3х1,5)</v>
      </c>
      <c r="T123" t="str">
        <f>IF(BH123="","",IF(BI123="вводной узел","узел ","")&amp;"л."&amp;(INT((BH123-1)/Столбцов_на_лист)+1)&amp;" / "&amp;(MOD(BH123-1,Столбцов_на_лист)+1))</f>
        <v>л.3 / 8</v>
      </c>
      <c r="V123">
        <v>1</v>
      </c>
      <c r="W123">
        <v>230</v>
      </c>
      <c r="X123" t="s">
        <v>600</v>
      </c>
      <c r="Y123">
        <v>0.5</v>
      </c>
      <c r="AC123" t="s">
        <v>815</v>
      </c>
      <c r="AE123" t="s">
        <v>578</v>
      </c>
      <c r="AI123">
        <v>42</v>
      </c>
      <c r="AJ123" t="s">
        <v>11</v>
      </c>
      <c r="AK123">
        <v>3</v>
      </c>
      <c r="AM123">
        <v>60</v>
      </c>
      <c r="AN123">
        <v>14</v>
      </c>
      <c r="AP123">
        <v>1</v>
      </c>
      <c r="AW123" cm="1">
        <f t="array" ref="AW123">ROW()-ROW(Линии[#Headers])</f>
        <v>121</v>
      </c>
      <c r="AX123" s="6" t="str">
        <f t="shared" si="126"/>
        <v>K</v>
      </c>
      <c r="AY123" t="str">
        <f t="shared" si="127"/>
        <v>1.002Б</v>
      </c>
      <c r="AZ123" t="str">
        <f t="shared" si="128"/>
        <v>1</v>
      </c>
      <c r="BA123" t="str">
        <f t="shared" si="129"/>
        <v>002Б</v>
      </c>
      <c r="BB123" t="str">
        <f t="shared" si="130"/>
        <v>002Б</v>
      </c>
      <c r="BC123" t="str">
        <f>IF(U123&lt;&gt;"",U123,IF(AND(B123&lt;&gt;"",B123&lt;&gt;A123,ISNUMBER(_xlfn.XMATCH(B123,Щиты[Щит]))),B123,""))</f>
        <v/>
      </c>
      <c r="BD123" t="str" cm="1">
        <f t="array" ref="BD123">IF(B123="","",IF(BC123&lt;&gt;"","Щит "&amp;BC123,_xlfn.LET(_xlpm.nm,IFERROR(_xlfn.XLOOKUP(AX123,Коды_код,Коды_имя)&amp;"",""),_xlpm.md,IFERROR(N(_xlfn.XLOOKUP(AX123,Коды_код,Коды_режим)),1),_xlpm.ex,IF(Имя_режим="по экспликации",IFERROR(_xlfn.XLOOKUP(AZ123&amp;"|"&amp;BB123,Экспликация[Этаж]&amp;"|"&amp;Экспликация[Помещение],Экспликация[Название])&amp;"",""),""),_xlpm.rm,IF(BB123="","",IF(_xlpm.ex&lt;&gt;"",". "&amp;_xlpm.ex&amp;IF(Имя_пом="нет"," ("&amp;BB123&amp;")"," (пом. "&amp;BB123&amp;")"),IF(Имя_пом="нет"," ",", пом. ")&amp;BB123)),IF(_xlpm.nm="","",IF(_xlpm.md=2,_xlpm.nm&amp;" шлейф "&amp;AZ123,_xlpm.nm&amp;_xlpm.rm)))))</f>
        <v>Внутренний блок кондиционирования, пом. 002Б</v>
      </c>
      <c r="BE123" t="str">
        <f t="shared" si="131"/>
        <v>Внутренний блок кондиционирования первый этаж Пом. №002Б</v>
      </c>
      <c r="BF123">
        <f>IFERROR(_xlfn.XMATCH(A123,Щиты[Щит]),0)</f>
        <v>6</v>
      </c>
      <c r="BG123">
        <f>_xlfn.LET(_xlpm.k,IFERROR(_xlfn.XLOOKUP(A123,Щиты[Щит],Щиты[Листов под вводной узел]),""),IF(_xlpm.k="",1,N(_xlpm.k))*Столбцов_на_лист)</f>
        <v>17</v>
      </c>
      <c r="BH123">
        <f t="shared" si="132"/>
        <v>42</v>
      </c>
      <c r="BI123" t="str">
        <f t="shared" si="133"/>
        <v>линии</v>
      </c>
      <c r="BJ123" s="6">
        <f>IFERROR(N(_xlfn.XLOOKUP(AX123,Коды_код,Коды_квт)),0)</f>
        <v>0</v>
      </c>
      <c r="BK123">
        <f t="shared" si="134"/>
        <v>0</v>
      </c>
      <c r="BL123" t="str">
        <f>IF(B123="","",IF(BC123&lt;&gt;"",IFERROR(_xlfn.XLOOKUP(BC123,Щиты[Щит],Щиты[Руст, кВт]),0),IF(BK123=1,IFERROR(_xlfn.XLOOKUP(A123,Щиты[Щит],Щиты[Руст, кВт]),0),IF(BJ123&gt;0,ROUND(BJ123*MAX(1,N(D123)),3),""))))</f>
        <v/>
      </c>
      <c r="BM123">
        <f t="shared" si="135"/>
        <v>0.376</v>
      </c>
      <c r="BN123" s="6">
        <f>IF(B123="","",IF(BC123&lt;&gt;"",IFERROR(_xlfn.XLOOKUP(BC123,Щиты[Щит],Щиты[Руст, кВт]),0),N(BM123)))</f>
        <v>0.376</v>
      </c>
      <c r="BO123" t="str">
        <f>IF(B123="","",IFERROR(IF(VLOOKUP(AX123,Потребители_обозначение,8,FALSE)=0,"",VLOOKUP(AX123,Потребители_обозначение,8,FALSE)),""))</f>
        <v/>
      </c>
      <c r="BP123">
        <f t="shared" si="136"/>
        <v>230</v>
      </c>
      <c r="BQ123">
        <f>IF(B123="","",IF(BC123&lt;&gt;"",3,IFERROR(IF(N(VLOOKUP(AX123,Потребители_обозначение,9,FALSE))=0,1,VLOOKUP(AX123,Потребители_обозначение,9,FALSE)),1)))</f>
        <v>1</v>
      </c>
      <c r="BR123">
        <f t="shared" si="137"/>
        <v>1</v>
      </c>
      <c r="BS123" t="str">
        <f>IF(B123="","",_xlfn.LET(_xlpm.bc,IFERROR(IF(VLOOKUP(AX123,Потребители_обозначение,6,FALSE)=0,"",VLOOKUP(AX123,Потребители_обозначение,6,FALSE)&amp;""),""),IF(AND(FK123="да",OR(_xlpm.bc="",_xlpm.bc="мс")),Марка_пож,IF(AND(_xlpm.bc="",BC123&lt;&gt;""),"мс",_xlpm.bc))))</f>
        <v/>
      </c>
      <c r="BT123" t="str">
        <f t="shared" si="138"/>
        <v>мс</v>
      </c>
      <c r="BU123">
        <f>IF(B123="","",_xlfn.LET(_xlpm.cc,IFERROR(N(VLOOKUP(AX123,Потребители_обозначение,7,FALSE)),0),IF(_xlpm.cc&gt;0,_xlpm.cc,IF(BT123="","",IF(N(BR123)=3,5,3)))))</f>
        <v>3</v>
      </c>
      <c r="BV123">
        <f t="shared" si="139"/>
        <v>3</v>
      </c>
      <c r="BW123">
        <f>IFERROR(N(VLOOKUP(AX123,Потребители_обозначение,10,FALSE)),0)</f>
        <v>0</v>
      </c>
      <c r="BX123">
        <f>IFERROR(VLOOKUP(AX123,Потребители_обозначение,5,FALSE),0)</f>
        <v>1</v>
      </c>
      <c r="BY123" s="6" cm="1">
        <f t="array" ref="BY123">IF(B123="","",IF(BC123&lt;&gt;"",IFERROR(_xlfn.XLOOKUP(BC123,Щиты[Щит],Щиты[cos φ]),0.95),IF(BK123=1,IFERROR(_xlfn.XLOOKUP(A123,Щиты[Щит],Щиты[cos φ]),0.95),IF(ISNUMBER(Z123),Z123,IFERROR(IF(BX123=2,_xlfn.IFS(BR123=3,VLOOKUP(BN123,Справочная_двигатели,8,FALSE),BR123=1,VLOOKUP(BN123,Справочная_двигатели,10,TRUE)),IF(AND(Методика="нормы 2026",EQ123="Сил"),0.8,0.95)),0.95)))))</f>
        <v>0.8</v>
      </c>
      <c r="BZ123">
        <f t="shared" si="140"/>
        <v>0</v>
      </c>
      <c r="CA123">
        <f t="shared" si="141"/>
        <v>1</v>
      </c>
      <c r="CB123">
        <f t="shared" si="142"/>
        <v>0</v>
      </c>
      <c r="CC123">
        <f t="shared" si="143"/>
        <v>0</v>
      </c>
      <c r="CD123">
        <f t="shared" si="144"/>
        <v>0</v>
      </c>
      <c r="CE123">
        <f t="shared" si="145"/>
        <v>0</v>
      </c>
      <c r="CF123">
        <f t="shared" si="146"/>
        <v>0</v>
      </c>
      <c r="CG123">
        <f>IF(AX123="",0,_xlfn.LET(_xlpm.v,IFERROR(VLOOKUP(B123,УГО_спр,3,FALSE),IFERROR(VLOOKUP(AX123,УГО_спр,3,FALSE),IFERROR(VLOOKUP(LEFT(AX123,2),УГО_спр,3,FALSE),""))),IF(_xlpm.v="да",30,IF(ISNUMBER(_xlpm.v),_xlpm.v,0))))</f>
        <v>0</v>
      </c>
      <c r="CH123" t="str">
        <f t="shared" si="147"/>
        <v/>
      </c>
      <c r="CI123" t="str">
        <f>_xlfn.LET(_xlpm.k,IFERROR(_xlfn.XLOOKUP(AX123,Коды_код,Коды_утечка)&amp;"",""),IF(_xlpm.k="","дифавтомат",_xlpm.k))</f>
        <v>дифавтомат</v>
      </c>
      <c r="CJ123">
        <f t="shared" si="148"/>
        <v>0</v>
      </c>
      <c r="CK123">
        <f t="shared" si="149"/>
        <v>0</v>
      </c>
      <c r="CL123">
        <f>IF(B123="",0,IFERROR(--VLOOKUP(B123,УГО_спр,4,FALSE),IFERROR(--VLOOKUP(AX123,УГО_спр,4,FALSE),IFERROR(--VLOOKUP(LEFT(AX123,2),УГО_спр,4,FALSE),0))))</f>
        <v>0</v>
      </c>
      <c r="CM123" t="str">
        <f>IF(B123="","",IFERROR(_xlfn.XLOOKUP(AX123,Коды_код,Коды_апп)&amp;"",""))</f>
        <v/>
      </c>
      <c r="CN123" t="str">
        <f t="shared" si="150"/>
        <v/>
      </c>
      <c r="CO123" t="str" cm="1">
        <f t="array" ref="CO123">IF(TRIM(CN123&amp;"")="","",IFERROR(TRIM(INDEX(_xlfn.TEXTSPLIT(CN123&amp;";;;",";"),1)),""))</f>
        <v/>
      </c>
      <c r="CP123" t="str" cm="1">
        <f t="array" ref="CP123">IF(TRIM(CN123&amp;"")="","",IFERROR(TRIM(INDEX(_xlfn.TEXTSPLIT(CN123&amp;";;;",";"),2)),""))</f>
        <v/>
      </c>
      <c r="CQ123" t="str" cm="1">
        <f t="array" ref="CQ123">IF(TRIM(CN123&amp;"")="","",IFERROR(TRIM(INDEX(_xlfn.TEXTSPLIT(CN123&amp;";;;",";"),3)),""))</f>
        <v/>
      </c>
      <c r="CR123">
        <f t="shared" si="151"/>
        <v>0</v>
      </c>
      <c r="CS123" t="str">
        <f>IF(B123="","",_xlfn.LET(_xlpm.t,LOWER(AV123&amp;""),IF(ISNUMBER(SEARCH("dim",_xlpm.t)),"DIM",IF(ISNUMBER(SEARCH("dali",_xlpm.t)),"DALI",IF(OR(ISNUMBER(SEARCH("relay",_xlpm.t)),ISNUMBER(SEARCH("реле",_xlpm.t))),"Relay",IF(ISNUMBER(SEARCH("кнопк",_xlpm.t)),"",IFERROR(_xlfn.XLOOKUP(AX123,Коды_код,Коды_упр)&amp;"","")))))))</f>
        <v/>
      </c>
      <c r="CT123" t="str">
        <f t="shared" si="152"/>
        <v/>
      </c>
      <c r="CU123">
        <f>IF(B123="","",_xlfn.LET(_xlpm.ig,N(P123)+IF(AF123="вручную",0,N(CB123)),_xlpm.n0,IFERROR(VLOOKUP(_xlpm.ig,Автомат_номиналы,2,TRUE),0),_xlpm.mn,MAX(CL123,IF(AF123="вручную",0,N(CE123))),MAX(_xlpm.n0,_xlpm.mn,IF(CR123=1,Мин_автомат_БП,0))))</f>
        <v>6</v>
      </c>
      <c r="CV123">
        <f t="shared" si="153"/>
        <v>1</v>
      </c>
      <c r="CW123" t="str">
        <f t="shared" si="154"/>
        <v>1P</v>
      </c>
      <c r="CX123" t="str">
        <f>_xlfn.LET(_xlpm.cc,UPPER(TRIM(IFERROR(_xlfn.XLOOKUP(AX123,Коды_код,Коды_хар)&amp;"",""))),IF(OR(_xlpm.cc="B",_xlpm.cc="В"),"B",IF(_xlpm.cc="D","D","С")))</f>
        <v>С</v>
      </c>
      <c r="CY123" t="str">
        <f t="shared" si="155"/>
        <v>1P С6А</v>
      </c>
      <c r="CZ123">
        <f t="shared" si="156"/>
        <v>10</v>
      </c>
      <c r="DA123" t="str">
        <f t="shared" si="157"/>
        <v>1P С10А</v>
      </c>
      <c r="DB123" cm="1">
        <f t="array" ref="DB123">IF(DA123="","",_xlfn.LET(_xlpm.t,SUBSTITUTE(SUBSTITUTE(SUBSTITUTE(UPPER(DA123),"С","C"),"А","A"),"В","B"),_xlpm.tk,_xlfn.TEXTSPLIT(_xlpm.t,"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3" t="str">
        <f t="shared" si="158"/>
        <v>ok</v>
      </c>
      <c r="DD123">
        <f t="shared" si="159"/>
        <v>10</v>
      </c>
      <c r="DE123" t="str">
        <f t="shared" si="160"/>
        <v>1P С10А</v>
      </c>
      <c r="DF123">
        <f t="shared" si="161"/>
        <v>0</v>
      </c>
      <c r="DG123">
        <f t="shared" si="162"/>
        <v>0</v>
      </c>
      <c r="DH123">
        <f t="shared" si="163"/>
        <v>0</v>
      </c>
      <c r="DI123">
        <f t="shared" si="164"/>
        <v>2.0351596988934304</v>
      </c>
      <c r="DJ123">
        <f t="shared" si="165"/>
        <v>1</v>
      </c>
      <c r="DK123">
        <f>IF(ISNUMBER(AL123),AL123,К_прокл)</f>
        <v>1</v>
      </c>
      <c r="DL123">
        <f t="shared" si="166"/>
        <v>2</v>
      </c>
      <c r="DM123">
        <f>IFERROR(N(VLOOKUP(BT123,Кабель_обозначение,3,FALSE)),1)</f>
        <v>1</v>
      </c>
      <c r="DN123">
        <f>IFERROR(N(_xlfn.XLOOKUP(A123,Щиты[Щит],Щиты[ΔU до шин, %])),0)</f>
        <v>0.24000000000000002</v>
      </c>
      <c r="DO123" t="str">
        <f>IFERROR(_xlfn.XLOOKUP(A123,Щиты[Щит],Щиты[Zпетли на шинах, Ом]),"")</f>
        <v/>
      </c>
      <c r="DP123">
        <f>IFERROR(N(_xlfn.XLOOKUP(A123,Щиты[Щит],Щиты[ΔU до шин (подбор), %])),0)</f>
        <v>0.36</v>
      </c>
      <c r="DQ123" t="str">
        <f>IFERROR(_xlfn.XLOOKUP(A123,Щиты[Щит],Щиты[Zпетли на шинах (подбор), Ом]),"")</f>
        <v/>
      </c>
      <c r="DR123" t="str">
        <f t="shared" si="167"/>
        <v/>
      </c>
      <c r="DS123">
        <f t="shared" si="168"/>
        <v>72</v>
      </c>
      <c r="DT123">
        <f t="shared" si="169"/>
        <v>2</v>
      </c>
      <c r="DU123">
        <f t="shared" si="170"/>
        <v>0.6</v>
      </c>
      <c r="DV123" s="6">
        <f>IF(B123="","",IF(IFERROR(VLOOKUP(AX123,УГО_спр,2,FALSE),"")="Светильник",3,4)+IF(Методика="нормы 2026",MIN(0.5,MAX(0,N(Q123)-100)*0.005),0))</f>
        <v>4</v>
      </c>
      <c r="DW123" cm="1">
        <f t="array" ref="DW123">IF(OR(B123="",BT123="",DM123&lt;&gt;1),"",_xlfn.LET(_xlpm.sz,Iдоп_S,_xlpm.t_,CHOOSE(DL123,Iдоп_1ж,Iдоп_2ж,Iдоп_3ж)*DJ123*DK123,_xlpm.inn,N(DD123),_xlpm.smin,MAX(1.5,BW123),_xlpm.L_,N(Q123)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123)*(_xlpm.rho*_xlpm.L_/_xlpm.sz*N(BY123)+_xlpm.xx*_xlpm.L_*N(DU123)/1000)*N(P123)/((Uн_лин/SQRT(3))*1000)*100,999),_xlpm.kz,IF(OR(DG123=1,NOT(ISNUMBER(DQ123)),_xlpm.L_=0,_xlpm.inn=0),1,IFERROR(--(c_min*(Uн_лин*1000/SQRT(3))/(DQ123+2*ρкз_Cu*_xlpm.L_/_xlpm.sz)&gt;=GY123*_xlpm.inn),0)),_xlpm.ok,IFERROR((_xlpm.sz&gt;=_xlpm.smin)*(_xlpm.t_&gt;=_xlpm.inn)*IF(_xlpm.L_&gt;0,(_xlpm.du_+DP123&lt;=DV123+0.00001),1)*_xlpm.kz,0),_xlpm.r_,_xlfn._xlws.FILTER(_xlpm.sz,_xlpm.ok,"не подобрано"),INDEX(_xlpm.r_,1)))</f>
        <v>1.5</v>
      </c>
      <c r="DX123">
        <f t="shared" si="171"/>
        <v>1.5</v>
      </c>
      <c r="DY123" cm="1">
        <f t="array" ref="DY123">IF(OR(B123="",BT123="",DM123&lt;&gt;1),"",_xlfn.LET(_xlpm.sz,Iдоп_S,_xlpm.t_,CHOOSE(DL123,Iдоп_1ж,Iдоп_2ж,Iдоп_3ж)*DJ123*DK123,_xlpm.ok,IFERROR((_xlpm.sz&gt;=MAX(1.5,BW123))*(_xlpm.t_&gt;=N(DD123)),0),_xlpm.r_,_xlfn._xlws.FILTER(_xlpm.sz,_xlpm.ok,""),INDEX(_xlpm.r_,1)))</f>
        <v>1.5</v>
      </c>
      <c r="DZ123" s="6" cm="1">
        <f t="array" ref="DZ123">IFERROR(ROUNDUP(N(DT123)*(_xlfn.XLOOKUP(DY123,INDEX(Кабель_сопротивление,0,1),INDEX(Кабель_сопротивление,0,3))*N(Q123)/DY123*N(BY123)+_xlfn.XLOOKUP(DY123,INDEX(Кабель_сопротивление,0,1),INDEX(Кабель_сопротивление,0,2))*N(Q123)*N(DU123)/1000)*N(P123)/((Uн_лин/SQRT(3))*1000)*100,2),"")</f>
        <v>1.58</v>
      </c>
      <c r="EA123">
        <f>IFERROR(2*ρкз_Cu*N(Q123)/DY123,"")</f>
        <v>2.5949333333333331</v>
      </c>
      <c r="EB123">
        <f>IFERROR(VLOOKUP(DX123,Кабель_сопротивление,3,FALSE),"")</f>
        <v>2.2499999999999999E-2</v>
      </c>
      <c r="EC123">
        <f>IFERROR(VLOOKUP(DX123,Кабель_сопротивление,2,FALSE),"")</f>
        <v>0.11</v>
      </c>
      <c r="ED123">
        <f t="shared" si="172"/>
        <v>14</v>
      </c>
      <c r="EE123">
        <f t="shared" si="173"/>
        <v>0</v>
      </c>
      <c r="EF123">
        <f t="shared" si="174"/>
        <v>3.6343230651735241</v>
      </c>
      <c r="EG123" s="6">
        <f>IFERROR(ROUNDUP(EF123/((Uн_лин/SQRT(3))*1000)*100,2),"")</f>
        <v>1.58</v>
      </c>
      <c r="EH123" t="str">
        <f>IFERROR(VLOOKUP(BT123,Кабель_обозначение,2,FALSE),"")</f>
        <v>ВВГнг(А)-LS</v>
      </c>
      <c r="EI123" t="str">
        <f t="shared" si="175"/>
        <v>ВВГнг(А)-LS (3х1,5)</v>
      </c>
      <c r="EJ123" t="str">
        <f t="shared" si="176"/>
        <v>ВВГнг(А)-LS (3х1,5)
L=74-1,58%</v>
      </c>
      <c r="EK123">
        <f>IFERROR(2*ρкз_Cu*Q123/DX123,"")</f>
        <v>2.5949333333333331</v>
      </c>
      <c r="EL123">
        <f t="shared" si="177"/>
        <v>0.8633333333333334</v>
      </c>
      <c r="EM123" s="6" t="str">
        <f>IFERROR(IF(OR(B123="",NOT(ISNUMBER(DX123)),N(Q123)=0),"",_xlfn.XLOOKUP(A123,Щиты[Щит],Щиты[Zпетли на шинах, Ом])+EK123),"")</f>
        <v/>
      </c>
      <c r="EN123" s="6" t="str">
        <f>IF(ISNUMBER(EM123),c_min*(Uн_лин*1000/SQRT(3))/EM123,"")</f>
        <v/>
      </c>
      <c r="EO123" s="6" t="str">
        <f>IFERROR(IF(OR(B123="",NOT(ISNUMBER(DX123))),"",1.05*(Uн_лин*1000/SQRT(3))/(_xlfn.XLOOKUP(A123,Щиты[Щит],Щиты[Zmax на шинах, Ом])+EL123)/1000),"")</f>
        <v/>
      </c>
      <c r="EP123" s="6" t="str">
        <f>IF(B123="","",IF(ISNUMBER(Y123),"Сил",IF(IFERROR(_xlfn.XLOOKUP(AX123,Коды_код,Коды_группа)&amp;"","")="","Быт",_xlfn.XLOOKUP(AX123,Коды_код,Коды_группа)&amp;"")))</f>
        <v>Сил</v>
      </c>
      <c r="EQ123" s="6" t="str">
        <f t="shared" si="178"/>
        <v>Сил</v>
      </c>
      <c r="ER123" s="6">
        <f>IF(EQ123="Щит","щит",IF(EQ123="","",IF(EQ123="Быт",IFERROR(_xlfn.XLOOKUP(A123,Щиты[Щит],Щиты[Кс быт]),1),IF(EQ123="Сил",IF(ISNUMBER(Y123),Y123,IF(Методика="нормы 2026",IFERROR(_xlfn.XLOOKUP(A123,Щиты[Щит],Щиты[Кс силовых (табл. 7.5)]),1),1)),IF(OR(EQ123="Пост",EQ123="Отоп"),1,IF(EQ123="ВНГ",0.7,0))))))</f>
        <v>0.5</v>
      </c>
      <c r="ES123">
        <f t="shared" si="179"/>
        <v>1</v>
      </c>
      <c r="ET123">
        <f t="shared" si="180"/>
        <v>0.376</v>
      </c>
      <c r="EU123">
        <f t="shared" si="181"/>
        <v>0</v>
      </c>
      <c r="EV123">
        <f t="shared" si="182"/>
        <v>0.188</v>
      </c>
      <c r="EW123">
        <f t="shared" si="183"/>
        <v>0</v>
      </c>
      <c r="EX123">
        <f t="shared" si="184"/>
        <v>0</v>
      </c>
      <c r="EY123">
        <f t="shared" si="185"/>
        <v>0</v>
      </c>
      <c r="EZ123">
        <f t="shared" si="186"/>
        <v>0.376</v>
      </c>
      <c r="FA123">
        <f t="shared" si="187"/>
        <v>0.30080000000000001</v>
      </c>
      <c r="FB123">
        <f t="shared" si="188"/>
        <v>0.376</v>
      </c>
      <c r="FC123" t="str">
        <f t="shared" si="189"/>
        <v/>
      </c>
      <c r="FD123" t="str">
        <f>IF(B123="","",IF(CA123=0,IF(AW123=1,"",FF122),IF(OR(N(CV123)&gt;=3,N(BR123)&gt;=3),"L1,L2,L3",IFERROR(_xlfn.TEXTBEFORE(_xlfn.TEXTAFTER(_xlfn.XLOOKUP(A123,Щиты[Щит],Щиты[_фазы авто]),";"&amp;AW123&amp;":"),";"),"L1"))))</f>
        <v>L1</v>
      </c>
      <c r="FE123" t="str">
        <f t="shared" si="190"/>
        <v>L1</v>
      </c>
      <c r="FF123" t="str">
        <f t="shared" si="191"/>
        <v>L1</v>
      </c>
      <c r="FG123" cm="1">
        <f t="array" ref="FG123">IFERROR(IF(BX123=2,_xlfn.IFS(BR123=3,VLOOKUP(BN123,Справочная_двигатели,3,FALSE),BR123=1,VLOOKUP(BN123,Справочная_двигатели,5,TRUE)),0),0)</f>
        <v>0</v>
      </c>
      <c r="FH123">
        <f>IFERROR(IF(BX123=3,VLOOKUP(BN123,Справочная_ЛЭД,2,TRUE),0),0)</f>
        <v>0</v>
      </c>
      <c r="FI123" s="6">
        <f t="shared" si="192"/>
        <v>0</v>
      </c>
      <c r="FJ123" t="str" cm="1">
        <f t="array" ref="FJ123">IF(B123="","",IFERROR(INDEX({"I особая","I","II","III"},MATCH(TRIM(AC123&amp;""),{"I особая","I","II","III"},0)),"III"))</f>
        <v>II</v>
      </c>
      <c r="FK123" t="str">
        <f>IF(B123="","",IF(TRIM(AD123&amp;"")&lt;&gt;"",IF(LOWER(TRIM(AD123&amp;""))="да","да","нет"),IF(IFERROR(_xlfn.XLOOKUP(AX123,Коды_код,Коды_пожарная),"")="да","да","нет")))</f>
        <v>нет</v>
      </c>
      <c r="FL123" t="str">
        <f t="shared" si="193"/>
        <v/>
      </c>
      <c r="FM123" t="str">
        <f t="shared" si="194"/>
        <v>основная</v>
      </c>
      <c r="FN123">
        <f t="shared" si="195"/>
        <v>1</v>
      </c>
      <c r="FO123" t="str" cm="1">
        <f t="array" ref="FO123">IF(B123="","",_xlfn.LET(_xlpm.t,IFERROR(_xlfn.XLOOKUP(1,(Шины[Шина]=FM123)*(((Шины[Щит]=A123)+(Шины[Щит]=""))&gt;0),Шины[Тип]),"")&amp;"",IF(_xlpm.t&lt;&gt;"",_xlpm.t,IF(ISNUMBER(SEARCH("ИБП",FM123)),"ИБП",IF(ISNUMBER(SEARCH("ДГУ",FM123)),"ДГУ","Ввод "&amp;FN123)))))</f>
        <v>Ввод 1</v>
      </c>
      <c r="FP123" t="str">
        <f t="shared" si="196"/>
        <v>Ввод 1</v>
      </c>
      <c r="FQ123" t="str">
        <f>IF(B123="","",IF(OR(FO123="ИБП",FO123="ДГУ"),"I особая",IF(FO123="Одиночная","III",_xlfn.XLOOKUP(A123,Щиты[Щит],Щиты[Категория шины «Ввод»],"III"))))</f>
        <v>II</v>
      </c>
      <c r="FR123">
        <f>IF(B123="",0,IFERROR(MATCH(FJ123,{"III","II","I","I особая"},0),1))</f>
        <v>2</v>
      </c>
      <c r="FS123">
        <f t="shared" si="197"/>
        <v>2</v>
      </c>
      <c r="FT123" t="str">
        <f>IF(B123="","",IF(FR123&gt;IFERROR(MATCH(FQ123,{"III","II","I","I особая"},0),1),"НЕ ОБЕСПЕЧЕНА","ОК"))</f>
        <v>ОК</v>
      </c>
      <c r="FU123" t="str">
        <f>IF(A123="","",_xlfn.XLOOKUP(A123,Щиты[Щит],Щиты[Путь],""))</f>
        <v>|ГРЩ-ЖД|ЩОВ-01|</v>
      </c>
      <c r="FV123" t="str">
        <f>IF(B123="","",IF(AE123&lt;&gt;"",AE123,IF(IFERROR(_xlfn.XLOOKUP(AX123,Коды_код,Коды_вид)&amp;"","")="","Прочее",_xlfn.XLOOKUP(AX123,Коды_код,Коды_вид)&amp;"")))</f>
        <v>Кондиционирование и увлажнение</v>
      </c>
      <c r="FW123">
        <f>IF(BH123="","",INT((BH123-1)/Столбцов_на_лист)+1)</f>
        <v>3</v>
      </c>
      <c r="FX123" t="str">
        <f t="shared" si="198"/>
        <v>ВВГнг(А)-LS (3х1,5) L=74-1,58%</v>
      </c>
      <c r="FY123">
        <f t="shared" si="199"/>
        <v>0.376</v>
      </c>
      <c r="FZ123">
        <f t="shared" si="200"/>
        <v>2.0399999999999996</v>
      </c>
      <c r="GA123">
        <f t="shared" si="201"/>
        <v>1</v>
      </c>
      <c r="GB123">
        <f t="shared" si="202"/>
        <v>0</v>
      </c>
      <c r="GC123">
        <f t="shared" si="203"/>
        <v>1</v>
      </c>
      <c r="GD123">
        <f>IF(BH123="","",IF(AND(CA123=1,GC123=1),COUNTIFS(A$3:A123,A123,CA$3:CA123,1,GC$3:GC123,1),IF(OR(OR(AW123=1,A123&lt;&gt;A122),AF123="вручную",GC123=0),"",IF(AW123=1,"",GE122))))</f>
        <v>21</v>
      </c>
      <c r="GE123">
        <f t="shared" si="204"/>
        <v>21</v>
      </c>
      <c r="GF123">
        <f>IF(B123="","",IFERROR(LOOKUP(INDEX(CHOOSE(DL123,Iдоп_1ж,Iдоп_2ж,Iдоп_3ж),MATCH(DX123,Iдоп_S,0))*DJ123*DK123,{6,10,16,20,25,32,40,50,63,80,100,125,160,200,250,315,400,500,630}),""))</f>
        <v>16</v>
      </c>
      <c r="GG123" t="str">
        <f t="shared" si="205"/>
        <v>QF21</v>
      </c>
      <c r="GH123" t="str">
        <f t="shared" si="206"/>
        <v>QF21</v>
      </c>
      <c r="GI123" t="str">
        <f t="shared" si="207"/>
        <v/>
      </c>
      <c r="GJ123">
        <f t="shared" si="208"/>
        <v>0</v>
      </c>
      <c r="GK123" t="str">
        <f>IF(OR(AG123="",AG123="-"),"",IFERROR(VLOOKUP(AG123,Модули_спр,2,FALSE),"R"))</f>
        <v/>
      </c>
      <c r="GL123" t="str">
        <f>IF(GK123="","",GK123&amp;"."&amp;COUNTIFS(A$3:A123,A123,GK$3:GK123,GK123))</f>
        <v/>
      </c>
      <c r="GM123" t="str">
        <f t="shared" si="209"/>
        <v/>
      </c>
      <c r="GN123" t="str">
        <f t="shared" si="210"/>
        <v/>
      </c>
      <c r="GO123" t="str">
        <f t="shared" si="211"/>
        <v/>
      </c>
      <c r="GP123" t="str">
        <f t="shared" si="212"/>
        <v/>
      </c>
      <c r="GQ123">
        <f t="shared" si="213"/>
        <v>1</v>
      </c>
      <c r="GR123" t="str">
        <f>IF(GQ123=1,"XT"&amp;COUNTIFS(A$3:A123,A123,GQ$3:GQ123,1),"")</f>
        <v>XT21</v>
      </c>
      <c r="GS123" t="str">
        <f t="shared" si="214"/>
        <v>XT21</v>
      </c>
      <c r="GT123" t="str">
        <f t="shared" si="215"/>
        <v>QF21</v>
      </c>
      <c r="GU123" t="str">
        <f t="shared" si="216"/>
        <v/>
      </c>
      <c r="GV123" t="str">
        <f t="shared" si="217"/>
        <v>ok</v>
      </c>
      <c r="GW123" t="str">
        <f>IF(OR(GO123="",GM123=""),"",IF(GO123&gt;IFERROR(VLOOKUP(GN123,Модули_спр,3,FALSE),99),"ЛИШНИЙ КАНАЛ",IF(AND(AH123&lt;&gt;"=",COUNTIFS(Линии[_модуль гр.],GM123,Линии[Канал (итог)],GO123,Линии[Канал],"&lt;&gt;=",Линии[Щит],A123)&gt;1),"ДУБЛЬ КАНАЛА","")))</f>
        <v/>
      </c>
      <c r="GX123" s="6" t="str">
        <f t="shared" si="218"/>
        <v/>
      </c>
      <c r="GY123">
        <f t="shared" si="219"/>
        <v>10</v>
      </c>
      <c r="GZ123" t="str">
        <f t="shared" si="220"/>
        <v/>
      </c>
      <c r="HA123" t="str">
        <f>IF(AND(B123="",GT123=""),"",_xlfn.TEXTJOIN("; ",TRUE,IF(AND(B123&lt;&gt;"",FE123=""),"нет фазы",""),IF(AND(B123&lt;&gt;"",N(FY123)=0,EQ123&lt;&gt;"Нет"),"нет мощности",""),IF(AND(GS123&lt;&gt;"",COUNTIFS(Линии[Щит],A123,Линии[Клемма (итог)],GS123)&gt;1),"дубль клеммы "&amp;GS123,""),IF(AND(GV123&lt;&gt;"",GV123&lt;&gt;"ok"),GV123,""),IF(GW123&lt;&gt;"",GW123,""),IF(AND(N(BV123)&gt;=4,N(BR123)=1),BV123&amp;" жил на 1 фазе",""),IF(AND(AX123="R",CA123=1,OR(N(CK123)=0,N(CK123)&gt;30)),"розетка без дифзащиты до 30 мА",""),IFERROR(IF(AND(ISNUMBER(R123),R123&gt;DV123),"потери "&amp;FIXED(R123,1)&amp;" % &gt; "&amp;DV123&amp;" %",""),""),IFERROR(IF(LEFT(GZ123,4)="мало","Iкз мало — отключение &gt; 0,4 с",""),""),IF(AND(B123&lt;&gt;"",BH123=""),"не на схеме",""),IF(AND(CA123=0,B123&lt;&gt;"",FE123&lt;&gt;"",IF(AW123=1,"",FF122)&lt;&gt;"",FE123&lt;&gt;IF(AW123=1,"",FF122)),"фаза не как у автомата группы ("&amp;IF(AW123=1,"",FF122)&amp;")","")))</f>
        <v/>
      </c>
      <c r="HB123" s="6">
        <f>IF(OR(CA123=0,DA123=""),"",_xlfn.LET(_xlpm.t,IFERROR(_xlfn.XLOOKUP(DA123,Каталог!$U$4:$U$500,Каталог!$G$4:$G$500),""),_xlpm.k,SEARCH("кА",_xlpm.t),IFERROR(--TRIM(RIGHT(SUBSTITUTE(MID(_xlpm.t,MAX(1,_xlpm.k-4),_xlpm.k-MAX(1,_xlpm.k-4))," ",REPT(" ",9)),5)),"")))</f>
        <v>6</v>
      </c>
      <c r="HC123" t="str">
        <f>IF(OR(HB123="",CA123=0),"",IF(_xlfn.XLOOKUP(A123,Щиты[Щит],Щиты[Iкз max на шинах, кА],"")="","",IF(HB123&lt;_xlfn.XLOOKUP(A123,Щиты[Щит],Щиты[Iкз max на шинах, кА]),"Icu "&amp;HB123&amp;" кА &lt; Iкз max","ok")))</f>
        <v/>
      </c>
      <c r="HD123" t="str">
        <f t="shared" si="221"/>
        <v/>
      </c>
      <c r="HE123" t="str">
        <f t="shared" si="222"/>
        <v>QF21|XT21</v>
      </c>
      <c r="HF123" t="str">
        <f t="shared" si="223"/>
        <v>QF21|XT21|кабель ВВГнг(А)-LS (3х1,5) → Внутренний блок кондиционирования первый этаж Пом. №002Б</v>
      </c>
      <c r="HG123" t="str" cm="1">
        <f t="array" ref="HG123">IF(HF123="","",_xlfn.LET(_xlpm.nd,_xlfn.TEXTSPLIT(HF123,"|"),IF(COLUMNS(_xlpm.nd)&gt;1,A123&amp;"¦"&amp;INDEX(_xlpm.nd,1)&amp;"¦"&amp;INDEX(_xlpm.nd,2),"")))</f>
        <v>ЩОВ-01¦QF21¦XT21</v>
      </c>
      <c r="HH123" t="str">
        <f t="shared" si="224"/>
        <v>K.1.002Б¦Внутренний блок кондиционирования первый этаж Пом. №002Б</v>
      </c>
      <c r="HI123" t="str" cm="1">
        <f t="array" ref="HI123">IF(HF123="","",_xlfn.LET(_xlpm.nd,_xlfn.TEXTSPLIT(HF123,"|"),IF(COLUMNS(_xlpm.nd)&gt;2,A123&amp;"¦"&amp;INDEX(_xlpm.nd,2)&amp;"¦"&amp;INDEX(_xlpm.nd,3),"")))</f>
        <v>ЩОВ-01¦XT21¦кабель ВВГнг(А)-LS (3х1,5) → Внутренний блок кондиционирования первый этаж Пом. №002Б</v>
      </c>
      <c r="HJ123" t="str">
        <f t="shared" si="225"/>
        <v>K.1.002Б¦Внутренний блок кондиционирования первый этаж Пом. №002Б</v>
      </c>
      <c r="HK123" t="str" cm="1">
        <f t="array" ref="HK123">IF(HF123="","",_xlfn.LET(_xlpm.nd,_xlfn.TEXTSPLIT(HF123,"|"),IF(COLUMNS(_xlpm.nd)&gt;3,A123&amp;"¦"&amp;INDEX(_xlpm.nd,3)&amp;"¦"&amp;INDEX(_xlpm.nd,4),"")))</f>
        <v/>
      </c>
      <c r="HL123" t="str">
        <f t="shared" si="226"/>
        <v/>
      </c>
      <c r="HM123" t="str" cm="1">
        <f t="array" ref="HM123">IF(HF123="","",_xlfn.LET(_xlpm.nd,_xlfn.TEXTSPLIT(HF123,"|"),IF(COLUMNS(_xlpm.nd)&gt;4,A123&amp;"¦"&amp;INDEX(_xlpm.nd,4)&amp;"¦"&amp;INDEX(_xlpm.nd,5),"")))</f>
        <v/>
      </c>
      <c r="HN123" t="str">
        <f t="shared" si="227"/>
        <v/>
      </c>
      <c r="HO123" t="str" cm="1">
        <f t="array" ref="HO123">IF(HF123="","",_xlfn.LET(_xlpm.nd,_xlfn.TEXTSPLIT(HF123,"|"),IF(COLUMNS(_xlpm.nd)&gt;5,A123&amp;"¦"&amp;INDEX(_xlpm.nd,5)&amp;"¦"&amp;INDEX(_xlpm.nd,6),"")))</f>
        <v/>
      </c>
      <c r="HP123" t="str">
        <f t="shared" si="228"/>
        <v/>
      </c>
      <c r="HQ123" t="str" cm="1">
        <f t="array" ref="HQ123">IF(HF123="","",_xlfn.LET(_xlpm.nd,_xlfn.TEXTSPLIT(HF123,"|"),IF(COLUMNS(_xlpm.nd)&gt;6,A123&amp;"¦"&amp;INDEX(_xlpm.nd,6)&amp;"¦"&amp;INDEX(_xlpm.nd,7),"")))</f>
        <v/>
      </c>
      <c r="HR123" t="str">
        <f t="shared" si="229"/>
        <v/>
      </c>
      <c r="HS123" t="str">
        <f t="shared" si="230"/>
        <v/>
      </c>
      <c r="HT123" t="str">
        <f t="shared" si="231"/>
        <v>QF21 → XT21</v>
      </c>
      <c r="HU123">
        <f t="shared" si="232"/>
        <v>0</v>
      </c>
      <c r="HV123">
        <f t="shared" si="233"/>
        <v>0</v>
      </c>
      <c r="HW123" t="str">
        <f t="shared" si="234"/>
        <v/>
      </c>
      <c r="HX123" t="str">
        <f t="shared" si="235"/>
        <v/>
      </c>
      <c r="HY123" t="str">
        <f t="shared" si="236"/>
        <v/>
      </c>
      <c r="HZ123" t="str">
        <f t="shared" si="237"/>
        <v/>
      </c>
      <c r="IA123">
        <f>IF(B123="","",IFERROR(VLOOKUP(B123,УГО_спр,2,FALSE),IFERROR(VLOOKUP(AX123,УГО_спр,2,FALSE),IFERROR(VLOOKUP(LEFT(AX123,2),УГО_спр,2,FALSE),""))))</f>
        <v>0</v>
      </c>
      <c r="IB123" t="str">
        <f>IF(B123="","",IF(OR(IA123="",IA123=0),"BOX",IFERROR(IF(VLOOKUP(IA123,УГО_блоки,3,FALSE)&amp;""&lt;&gt;"",VLOOKUP(IA123,УГО_блоки,3,FALSE),VLOOKUP(IA123,УГО_блоки,2,FALSE)),IA123)))</f>
        <v>BOX</v>
      </c>
      <c r="IC123">
        <f t="shared" si="238"/>
        <v>1</v>
      </c>
      <c r="ID123" t="str">
        <f>IF(DA123="","",IF(COUNTIF(DA$3:DA123,DA123)=1,MAX(ID$2:ID122)+1,""))</f>
        <v/>
      </c>
      <c r="IE123" t="str">
        <f>IF(CO123="","",IF(COUNTIF(CO$3:CO123,CO123)+COUNTIF(CP$2:CP122,CO123)+COUNTIF(CQ$2:CQ122,CO123)=1,MAX(IE$2:IG122)+1,""))</f>
        <v/>
      </c>
      <c r="IF123" t="str">
        <f>IF(CP123="","",IF(COUNTIF(CO$3:CO123,CP123)+COUNTIF(CP$3:CP123,CP123)+COUNTIF(CQ$2:CQ122,CP123)=1,MAX(IE$2:IG122,IE123)+1,""))</f>
        <v/>
      </c>
      <c r="IG123" t="str">
        <f>IF(CQ123="","",IF(COUNTIF(CO$3:CO123,CQ123)+COUNTIF(CP$3:CP123,CQ123)+COUNTIF(CQ$3:CQ123,CQ123)=1,MAX(IE$2:IG122,IE123,IF123)+1,""))</f>
        <v/>
      </c>
      <c r="IH123" t="str">
        <f t="shared" si="239"/>
        <v>3х1,5</v>
      </c>
      <c r="II123" t="str">
        <f>IF(IH123="","",IF(COUNTIF(IH$3:IH123,IH123)=1,MAX(II$2:II122)+1,""))</f>
        <v/>
      </c>
      <c r="IJ123" t="str">
        <f>IF(GL123="","",COUNTIF(GL$3:GL123,"?*"))</f>
        <v/>
      </c>
      <c r="IK123" t="str">
        <f>IF(OR(GL123="",GN123=""),"",IF(COUNTIFS(GL$3:GL123,"?*",GN$3:GN123,GN123)=1,MAX(IK$2:IK122)+1,""))</f>
        <v/>
      </c>
      <c r="IL123">
        <f t="shared" si="240"/>
        <v>0</v>
      </c>
      <c r="IM123">
        <f>IF(B123="","",COUNTIF(B$3:B123,"?*"))</f>
        <v>121</v>
      </c>
      <c r="IN123">
        <f>IF(GQ123&lt;&gt;1,0,_xlfn.LET(_xlpm.k,MAX(IFERROR(--VLOOKUP(B123,УГО_спр,5,FALSE),0),IFERROR(--VLOOKUP(AX123,УГО_спр,5,FALSE),0),IFERROR(--VLOOKUP(LEFT(AX123,2),УГО_спр,5,FALSE),0)),IF(_xlpm.k&gt;0,_xlpm.k,IF(IFERROR(--LEFT(SUBSTITUTE(IH123,"x","х"),FIND("х",SUBSTITUTE(IH123,"x","х"))-1),3)&gt;3,Каталог!$S$9,1))))</f>
        <v>1</v>
      </c>
      <c r="IO123">
        <f t="shared" si="241"/>
        <v>0</v>
      </c>
      <c r="IP123" t="str">
        <f t="shared" si="242"/>
        <v>авто</v>
      </c>
      <c r="IQ123" t="str">
        <f t="shared" si="243"/>
        <v/>
      </c>
      <c r="IR123">
        <f t="shared" si="244"/>
        <v>0</v>
      </c>
      <c r="IS123">
        <f t="shared" si="245"/>
        <v>1</v>
      </c>
    </row>
    <row r="124" spans="1:253" x14ac:dyDescent="0.3">
      <c r="A124" t="s">
        <v>747</v>
      </c>
      <c r="B124" t="s">
        <v>1393</v>
      </c>
      <c r="C124" t="s">
        <v>1641</v>
      </c>
      <c r="D124">
        <v>1</v>
      </c>
      <c r="E124">
        <v>0.16400000000000001</v>
      </c>
      <c r="G124">
        <v>10</v>
      </c>
      <c r="H124" t="str">
        <f>Линии[[#This Row],[_авто утечка]]</f>
        <v/>
      </c>
      <c r="I124" t="str">
        <f>Линии[[#This Row],[_авто управление]]</f>
        <v/>
      </c>
      <c r="J124" t="str">
        <f>Линии[[#This Row],[_авто аппараты]]</f>
        <v/>
      </c>
      <c r="K124">
        <v>1.5</v>
      </c>
      <c r="L124">
        <v>72</v>
      </c>
      <c r="M124" t="str">
        <f>Линии[[#This Row],[_авто фаза]]</f>
        <v>L3</v>
      </c>
      <c r="N124" t="s">
        <v>486</v>
      </c>
      <c r="O124" t="str">
        <f t="shared" si="123"/>
        <v/>
      </c>
      <c r="P124" s="6" cm="1">
        <f t="array" ref="P124">IF(B124="","",IF(BC124&lt;&gt;"",IFERROR(_xlfn.XLOOKUP(BC124,Щиты[Щит],Щиты[Iр, А]),""),IF(BK124=1,IFERROR(_xlfn.XLOOKUP(A124,Щиты[Щит],Щиты[Iр, А]),""),IFERROR(_xlfn.IFS(BR124=1,BN124/((Uн_лин/SQRT(3))*BY124),BR124=3,BN124/(SQRT(3)*Uн_лин*BY124)),""))))</f>
        <v>0.88767603887904944</v>
      </c>
      <c r="Q124" s="7">
        <f>IF(B124="","",IFERROR(IF(VLOOKUP(AX124,Потребители_обозначение,4,FALSE)=1,VLOOKUP(AX124,Потребители_обозначение,3,FALSE)*(D124*2-1)+DS124+VLOOKUP(AZ124,Этаж_обозначение,3,FALSE)+VLOOKUP(AZ124,Этаж_обозначение,4,FALSE),VLOOKUP(AX124,Потребители_обозначение,3,FALSE)*(D124*2-1)+DS124),DS124))</f>
        <v>74</v>
      </c>
      <c r="R124" s="6">
        <f t="shared" si="124"/>
        <v>0.93</v>
      </c>
      <c r="S124" t="str">
        <f t="shared" si="125"/>
        <v>ВВГнг(А)-LS (3х1,5)</v>
      </c>
      <c r="T124" t="str">
        <f>IF(BH124="","",IF(BI124="вводной узел","узел ","")&amp;"л."&amp;(INT((BH124-1)/Столбцов_на_лист)+1)&amp;" / "&amp;(MOD(BH124-1,Столбцов_на_лист)+1))</f>
        <v>л.3 / 9</v>
      </c>
      <c r="V124">
        <v>1</v>
      </c>
      <c r="W124">
        <v>230</v>
      </c>
      <c r="X124" t="s">
        <v>600</v>
      </c>
      <c r="Y124">
        <v>0.5</v>
      </c>
      <c r="AC124" t="s">
        <v>815</v>
      </c>
      <c r="AE124" t="s">
        <v>578</v>
      </c>
      <c r="AI124">
        <v>43</v>
      </c>
      <c r="AJ124" t="s">
        <v>11</v>
      </c>
      <c r="AK124">
        <v>3</v>
      </c>
      <c r="AM124">
        <v>60</v>
      </c>
      <c r="AN124">
        <v>14</v>
      </c>
      <c r="AP124">
        <v>1</v>
      </c>
      <c r="AW124" cm="1">
        <f t="array" ref="AW124">ROW()-ROW(Линии[#Headers])</f>
        <v>122</v>
      </c>
      <c r="AX124" s="6" t="str">
        <f t="shared" si="126"/>
        <v>K</v>
      </c>
      <c r="AY124" t="str">
        <f t="shared" si="127"/>
        <v>1.007A</v>
      </c>
      <c r="AZ124" t="str">
        <f t="shared" si="128"/>
        <v>1</v>
      </c>
      <c r="BA124" t="str">
        <f t="shared" si="129"/>
        <v>007A</v>
      </c>
      <c r="BB124" t="str">
        <f t="shared" si="130"/>
        <v>007A</v>
      </c>
      <c r="BC124" t="str">
        <f>IF(U124&lt;&gt;"",U124,IF(AND(B124&lt;&gt;"",B124&lt;&gt;A124,ISNUMBER(_xlfn.XMATCH(B124,Щиты[Щит]))),B124,""))</f>
        <v/>
      </c>
      <c r="BD124" t="str" cm="1">
        <f t="array" ref="BD124">IF(B124="","",IF(BC124&lt;&gt;"","Щит "&amp;BC124,_xlfn.LET(_xlpm.nm,IFERROR(_xlfn.XLOOKUP(AX124,Коды_код,Коды_имя)&amp;"",""),_xlpm.md,IFERROR(N(_xlfn.XLOOKUP(AX124,Коды_код,Коды_режим)),1),_xlpm.ex,IF(Имя_режим="по экспликации",IFERROR(_xlfn.XLOOKUP(AZ124&amp;"|"&amp;BB124,Экспликация[Этаж]&amp;"|"&amp;Экспликация[Помещение],Экспликация[Название])&amp;"",""),""),_xlpm.rm,IF(BB124="","",IF(_xlpm.ex&lt;&gt;"",". "&amp;_xlpm.ex&amp;IF(Имя_пом="нет"," ("&amp;BB124&amp;")"," (пом. "&amp;BB124&amp;")"),IF(Имя_пом="нет"," ",", пом. ")&amp;BB124)),IF(_xlpm.nm="","",IF(_xlpm.md=2,_xlpm.nm&amp;" шлейф "&amp;AZ124,_xlpm.nm&amp;_xlpm.rm)))))</f>
        <v>Внутренний блок кондиционирования, пом. 007A</v>
      </c>
      <c r="BE124" t="str">
        <f t="shared" si="131"/>
        <v>Внутренний блок кондиционирования первый этаж Пом. №003Б</v>
      </c>
      <c r="BF124">
        <f>IFERROR(_xlfn.XMATCH(A124,Щиты[Щит]),0)</f>
        <v>6</v>
      </c>
      <c r="BG124">
        <f>_xlfn.LET(_xlpm.k,IFERROR(_xlfn.XLOOKUP(A124,Щиты[Щит],Щиты[Листов под вводной узел]),""),IF(_xlpm.k="",1,N(_xlpm.k))*Столбцов_на_лист)</f>
        <v>17</v>
      </c>
      <c r="BH124">
        <f t="shared" si="132"/>
        <v>43</v>
      </c>
      <c r="BI124" t="str">
        <f t="shared" si="133"/>
        <v>линии</v>
      </c>
      <c r="BJ124" s="6">
        <f>IFERROR(N(_xlfn.XLOOKUP(AX124,Коды_код,Коды_квт)),0)</f>
        <v>0</v>
      </c>
      <c r="BK124">
        <f t="shared" si="134"/>
        <v>0</v>
      </c>
      <c r="BL124" t="str">
        <f>IF(B124="","",IF(BC124&lt;&gt;"",IFERROR(_xlfn.XLOOKUP(BC124,Щиты[Щит],Щиты[Руст, кВт]),0),IF(BK124=1,IFERROR(_xlfn.XLOOKUP(A124,Щиты[Щит],Щиты[Руст, кВт]),0),IF(BJ124&gt;0,ROUND(BJ124*MAX(1,N(D124)),3),""))))</f>
        <v/>
      </c>
      <c r="BM124">
        <f t="shared" si="135"/>
        <v>0.16400000000000001</v>
      </c>
      <c r="BN124" s="6">
        <f>IF(B124="","",IF(BC124&lt;&gt;"",IFERROR(_xlfn.XLOOKUP(BC124,Щиты[Щит],Щиты[Руст, кВт]),0),N(BM124)))</f>
        <v>0.16400000000000001</v>
      </c>
      <c r="BO124" t="str">
        <f>IF(B124="","",IFERROR(IF(VLOOKUP(AX124,Потребители_обозначение,8,FALSE)=0,"",VLOOKUP(AX124,Потребители_обозначение,8,FALSE)),""))</f>
        <v/>
      </c>
      <c r="BP124">
        <f t="shared" si="136"/>
        <v>230</v>
      </c>
      <c r="BQ124">
        <f>IF(B124="","",IF(BC124&lt;&gt;"",3,IFERROR(IF(N(VLOOKUP(AX124,Потребители_обозначение,9,FALSE))=0,1,VLOOKUP(AX124,Потребители_обозначение,9,FALSE)),1)))</f>
        <v>1</v>
      </c>
      <c r="BR124">
        <f t="shared" si="137"/>
        <v>1</v>
      </c>
      <c r="BS124" t="str">
        <f>IF(B124="","",_xlfn.LET(_xlpm.bc,IFERROR(IF(VLOOKUP(AX124,Потребители_обозначение,6,FALSE)=0,"",VLOOKUP(AX124,Потребители_обозначение,6,FALSE)&amp;""),""),IF(AND(FK124="да",OR(_xlpm.bc="",_xlpm.bc="мс")),Марка_пож,IF(AND(_xlpm.bc="",BC124&lt;&gt;""),"мс",_xlpm.bc))))</f>
        <v/>
      </c>
      <c r="BT124" t="str">
        <f t="shared" si="138"/>
        <v>мс</v>
      </c>
      <c r="BU124">
        <f>IF(B124="","",_xlfn.LET(_xlpm.cc,IFERROR(N(VLOOKUP(AX124,Потребители_обозначение,7,FALSE)),0),IF(_xlpm.cc&gt;0,_xlpm.cc,IF(BT124="","",IF(N(BR124)=3,5,3)))))</f>
        <v>3</v>
      </c>
      <c r="BV124">
        <f t="shared" si="139"/>
        <v>3</v>
      </c>
      <c r="BW124">
        <f>IFERROR(N(VLOOKUP(AX124,Потребители_обозначение,10,FALSE)),0)</f>
        <v>0</v>
      </c>
      <c r="BX124">
        <f>IFERROR(VLOOKUP(AX124,Потребители_обозначение,5,FALSE),0)</f>
        <v>1</v>
      </c>
      <c r="BY124" s="6" cm="1">
        <f t="array" ref="BY124">IF(B124="","",IF(BC124&lt;&gt;"",IFERROR(_xlfn.XLOOKUP(BC124,Щиты[Щит],Щиты[cos φ]),0.95),IF(BK124=1,IFERROR(_xlfn.XLOOKUP(A124,Щиты[Щит],Щиты[cos φ]),0.95),IF(ISNUMBER(Z124),Z124,IFERROR(IF(BX124=2,_xlfn.IFS(BR124=3,VLOOKUP(BN124,Справочная_двигатели,8,FALSE),BR124=1,VLOOKUP(BN124,Справочная_двигатели,10,TRUE)),IF(AND(Методика="нормы 2026",EQ124="Сил"),0.8,0.95)),0.95)))))</f>
        <v>0.8</v>
      </c>
      <c r="BZ124">
        <f t="shared" si="140"/>
        <v>0</v>
      </c>
      <c r="CA124">
        <f t="shared" si="141"/>
        <v>1</v>
      </c>
      <c r="CB124">
        <f t="shared" si="142"/>
        <v>0</v>
      </c>
      <c r="CC124">
        <f t="shared" si="143"/>
        <v>0</v>
      </c>
      <c r="CD124">
        <f t="shared" si="144"/>
        <v>0</v>
      </c>
      <c r="CE124">
        <f t="shared" si="145"/>
        <v>0</v>
      </c>
      <c r="CF124">
        <f t="shared" si="146"/>
        <v>0</v>
      </c>
      <c r="CG124">
        <f>IF(AX124="",0,_xlfn.LET(_xlpm.v,IFERROR(VLOOKUP(B124,УГО_спр,3,FALSE),IFERROR(VLOOKUP(AX124,УГО_спр,3,FALSE),IFERROR(VLOOKUP(LEFT(AX124,2),УГО_спр,3,FALSE),""))),IF(_xlpm.v="да",30,IF(ISNUMBER(_xlpm.v),_xlpm.v,0))))</f>
        <v>0</v>
      </c>
      <c r="CH124" t="str">
        <f t="shared" si="147"/>
        <v/>
      </c>
      <c r="CI124" t="str">
        <f>_xlfn.LET(_xlpm.k,IFERROR(_xlfn.XLOOKUP(AX124,Коды_код,Коды_утечка)&amp;"",""),IF(_xlpm.k="","дифавтомат",_xlpm.k))</f>
        <v>дифавтомат</v>
      </c>
      <c r="CJ124">
        <f t="shared" si="148"/>
        <v>0</v>
      </c>
      <c r="CK124">
        <f t="shared" si="149"/>
        <v>0</v>
      </c>
      <c r="CL124">
        <f>IF(B124="",0,IFERROR(--VLOOKUP(B124,УГО_спр,4,FALSE),IFERROR(--VLOOKUP(AX124,УГО_спр,4,FALSE),IFERROR(--VLOOKUP(LEFT(AX124,2),УГО_спр,4,FALSE),0))))</f>
        <v>0</v>
      </c>
      <c r="CM124" t="str">
        <f>IF(B124="","",IFERROR(_xlfn.XLOOKUP(AX124,Коды_код,Коды_апп)&amp;"",""))</f>
        <v/>
      </c>
      <c r="CN124" t="str">
        <f t="shared" si="150"/>
        <v/>
      </c>
      <c r="CO124" t="str" cm="1">
        <f t="array" ref="CO124">IF(TRIM(CN124&amp;"")="","",IFERROR(TRIM(INDEX(_xlfn.TEXTSPLIT(CN124&amp;";;;",";"),1)),""))</f>
        <v/>
      </c>
      <c r="CP124" t="str" cm="1">
        <f t="array" ref="CP124">IF(TRIM(CN124&amp;"")="","",IFERROR(TRIM(INDEX(_xlfn.TEXTSPLIT(CN124&amp;";;;",";"),2)),""))</f>
        <v/>
      </c>
      <c r="CQ124" t="str" cm="1">
        <f t="array" ref="CQ124">IF(TRIM(CN124&amp;"")="","",IFERROR(TRIM(INDEX(_xlfn.TEXTSPLIT(CN124&amp;";;;",";"),3)),""))</f>
        <v/>
      </c>
      <c r="CR124">
        <f t="shared" si="151"/>
        <v>0</v>
      </c>
      <c r="CS124" t="str">
        <f>IF(B124="","",_xlfn.LET(_xlpm.t,LOWER(AV124&amp;""),IF(ISNUMBER(SEARCH("dim",_xlpm.t)),"DIM",IF(ISNUMBER(SEARCH("dali",_xlpm.t)),"DALI",IF(OR(ISNUMBER(SEARCH("relay",_xlpm.t)),ISNUMBER(SEARCH("реле",_xlpm.t))),"Relay",IF(ISNUMBER(SEARCH("кнопк",_xlpm.t)),"",IFERROR(_xlfn.XLOOKUP(AX124,Коды_код,Коды_упр)&amp;"","")))))))</f>
        <v/>
      </c>
      <c r="CT124" t="str">
        <f t="shared" si="152"/>
        <v/>
      </c>
      <c r="CU124">
        <f>IF(B124="","",_xlfn.LET(_xlpm.ig,N(P124)+IF(AF124="вручную",0,N(CB124)),_xlpm.n0,IFERROR(VLOOKUP(_xlpm.ig,Автомат_номиналы,2,TRUE),0),_xlpm.mn,MAX(CL124,IF(AF124="вручную",0,N(CE124))),MAX(_xlpm.n0,_xlpm.mn,IF(CR124=1,Мин_автомат_БП,0))))</f>
        <v>6</v>
      </c>
      <c r="CV124">
        <f t="shared" si="153"/>
        <v>1</v>
      </c>
      <c r="CW124" t="str">
        <f t="shared" si="154"/>
        <v>1P</v>
      </c>
      <c r="CX124" t="str">
        <f>_xlfn.LET(_xlpm.cc,UPPER(TRIM(IFERROR(_xlfn.XLOOKUP(AX124,Коды_код,Коды_хар)&amp;"",""))),IF(OR(_xlpm.cc="B",_xlpm.cc="В"),"B",IF(_xlpm.cc="D","D","С")))</f>
        <v>С</v>
      </c>
      <c r="CY124" t="str">
        <f t="shared" si="155"/>
        <v>1P С6А</v>
      </c>
      <c r="CZ124">
        <f t="shared" si="156"/>
        <v>10</v>
      </c>
      <c r="DA124" t="str">
        <f t="shared" si="157"/>
        <v>1P С10А</v>
      </c>
      <c r="DB124" cm="1">
        <f t="array" ref="DB124">IF(DA124="","",_xlfn.LET(_xlpm.t,SUBSTITUTE(SUBSTITUTE(SUBSTITUTE(UPPER(DA124),"С","C"),"А","A"),"В","B"),_xlpm.tk,_xlfn.TEXTSPLIT(_xlpm.t,"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4" t="str">
        <f t="shared" si="158"/>
        <v>ok</v>
      </c>
      <c r="DD124">
        <f t="shared" si="159"/>
        <v>10</v>
      </c>
      <c r="DE124" t="str">
        <f t="shared" si="160"/>
        <v>1P С10А</v>
      </c>
      <c r="DF124">
        <f t="shared" si="161"/>
        <v>0</v>
      </c>
      <c r="DG124">
        <f t="shared" si="162"/>
        <v>0</v>
      </c>
      <c r="DH124">
        <f t="shared" si="163"/>
        <v>0</v>
      </c>
      <c r="DI124">
        <f t="shared" si="164"/>
        <v>0.88767603887904944</v>
      </c>
      <c r="DJ124">
        <f t="shared" si="165"/>
        <v>1</v>
      </c>
      <c r="DK124">
        <f>IF(ISNUMBER(AL124),AL124,К_прокл)</f>
        <v>1</v>
      </c>
      <c r="DL124">
        <f t="shared" si="166"/>
        <v>2</v>
      </c>
      <c r="DM124">
        <f>IFERROR(N(VLOOKUP(BT124,Кабель_обозначение,3,FALSE)),1)</f>
        <v>1</v>
      </c>
      <c r="DN124">
        <f>IFERROR(N(_xlfn.XLOOKUP(A124,Щиты[Щит],Щиты[ΔU до шин, %])),0)</f>
        <v>0.24000000000000002</v>
      </c>
      <c r="DO124" t="str">
        <f>IFERROR(_xlfn.XLOOKUP(A124,Щиты[Щит],Щиты[Zпетли на шинах, Ом]),"")</f>
        <v/>
      </c>
      <c r="DP124">
        <f>IFERROR(N(_xlfn.XLOOKUP(A124,Щиты[Щит],Щиты[ΔU до шин (подбор), %])),0)</f>
        <v>0.36</v>
      </c>
      <c r="DQ124" t="str">
        <f>IFERROR(_xlfn.XLOOKUP(A124,Щиты[Щит],Щиты[Zпетли на шинах (подбор), Ом]),"")</f>
        <v/>
      </c>
      <c r="DR124" t="str">
        <f t="shared" si="167"/>
        <v/>
      </c>
      <c r="DS124">
        <f t="shared" si="168"/>
        <v>72</v>
      </c>
      <c r="DT124">
        <f t="shared" si="169"/>
        <v>2</v>
      </c>
      <c r="DU124">
        <f t="shared" si="170"/>
        <v>0.6</v>
      </c>
      <c r="DV124" s="6">
        <f>IF(B124="","",IF(IFERROR(VLOOKUP(AX124,УГО_спр,2,FALSE),"")="Светильник",3,4)+IF(Методика="нормы 2026",MIN(0.5,MAX(0,N(Q124)-100)*0.005),0))</f>
        <v>4</v>
      </c>
      <c r="DW124" cm="1">
        <f t="array" ref="DW124">IF(OR(B124="",BT124="",DM124&lt;&gt;1),"",_xlfn.LET(_xlpm.sz,Iдоп_S,_xlpm.t_,CHOOSE(DL124,Iдоп_1ж,Iдоп_2ж,Iдоп_3ж)*DJ124*DK124,_xlpm.inn,N(DD124),_xlpm.smin,MAX(1.5,BW124),_xlpm.L_,N(Q124)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124)*(_xlpm.rho*_xlpm.L_/_xlpm.sz*N(BY124)+_xlpm.xx*_xlpm.L_*N(DU124)/1000)*N(P124)/((Uн_лин/SQRT(3))*1000)*100,999),_xlpm.kz,IF(OR(DG124=1,NOT(ISNUMBER(DQ124)),_xlpm.L_=0,_xlpm.inn=0),1,IFERROR(--(c_min*(Uн_лин*1000/SQRT(3))/(DQ124+2*ρкз_Cu*_xlpm.L_/_xlpm.sz)&gt;=GY124*_xlpm.inn),0)),_xlpm.ok,IFERROR((_xlpm.sz&gt;=_xlpm.smin)*(_xlpm.t_&gt;=_xlpm.inn)*IF(_xlpm.L_&gt;0,(_xlpm.du_+DP124&lt;=DV124+0.00001),1)*_xlpm.kz,0),_xlpm.r_,_xlfn._xlws.FILTER(_xlpm.sz,_xlpm.ok,"не подобрано"),INDEX(_xlpm.r_,1)))</f>
        <v>1.5</v>
      </c>
      <c r="DX124">
        <f t="shared" si="171"/>
        <v>1.5</v>
      </c>
      <c r="DY124" cm="1">
        <f t="array" ref="DY124">IF(OR(B124="",BT124="",DM124&lt;&gt;1),"",_xlfn.LET(_xlpm.sz,Iдоп_S,_xlpm.t_,CHOOSE(DL124,Iдоп_1ж,Iдоп_2ж,Iдоп_3ж)*DJ124*DK124,_xlpm.ok,IFERROR((_xlpm.sz&gt;=MAX(1.5,BW124))*(_xlpm.t_&gt;=N(DD124)),0),_xlpm.r_,_xlfn._xlws.FILTER(_xlpm.sz,_xlpm.ok,""),INDEX(_xlpm.r_,1)))</f>
        <v>1.5</v>
      </c>
      <c r="DZ124" s="6" cm="1">
        <f t="array" ref="DZ124">IFERROR(ROUNDUP(N(DT124)*(_xlfn.XLOOKUP(DY124,INDEX(Кабель_сопротивление,0,1),INDEX(Кабель_сопротивление,0,3))*N(Q124)/DY124*N(BY124)+_xlfn.XLOOKUP(DY124,INDEX(Кабель_сопротивление,0,1),INDEX(Кабель_сопротивление,0,2))*N(Q124)*N(DU124)/1000)*N(P124)/((Uн_лин/SQRT(3))*1000)*100,2),"")</f>
        <v>0.69000000000000006</v>
      </c>
      <c r="EA124">
        <f>IFERROR(2*ρкз_Cu*N(Q124)/DY124,"")</f>
        <v>2.5949333333333331</v>
      </c>
      <c r="EB124">
        <f>IFERROR(VLOOKUP(DX124,Кабель_сопротивление,3,FALSE),"")</f>
        <v>2.2499999999999999E-2</v>
      </c>
      <c r="EC124">
        <f>IFERROR(VLOOKUP(DX124,Кабель_сопротивление,2,FALSE),"")</f>
        <v>0.11</v>
      </c>
      <c r="ED124">
        <f t="shared" si="172"/>
        <v>14</v>
      </c>
      <c r="EE124">
        <f t="shared" si="173"/>
        <v>0</v>
      </c>
      <c r="EF124">
        <f t="shared" si="174"/>
        <v>1.5851834645969627</v>
      </c>
      <c r="EG124" s="6">
        <f>IFERROR(ROUNDUP(EF124/((Uн_лин/SQRT(3))*1000)*100,2),"")</f>
        <v>0.69000000000000006</v>
      </c>
      <c r="EH124" t="str">
        <f>IFERROR(VLOOKUP(BT124,Кабель_обозначение,2,FALSE),"")</f>
        <v>ВВГнг(А)-LS</v>
      </c>
      <c r="EI124" t="str">
        <f t="shared" si="175"/>
        <v>ВВГнг(А)-LS (3х1,5)</v>
      </c>
      <c r="EJ124" t="str">
        <f t="shared" si="176"/>
        <v>ВВГнг(А)-LS (3х1,5)
L=74-0,69%</v>
      </c>
      <c r="EK124">
        <f>IFERROR(2*ρкз_Cu*Q124/DX124,"")</f>
        <v>2.5949333333333331</v>
      </c>
      <c r="EL124">
        <f t="shared" si="177"/>
        <v>0.8633333333333334</v>
      </c>
      <c r="EM124" s="6" t="str">
        <f>IFERROR(IF(OR(B124="",NOT(ISNUMBER(DX124)),N(Q124)=0),"",_xlfn.XLOOKUP(A124,Щиты[Щит],Щиты[Zпетли на шинах, Ом])+EK124),"")</f>
        <v/>
      </c>
      <c r="EN124" s="6" t="str">
        <f>IF(ISNUMBER(EM124),c_min*(Uн_лин*1000/SQRT(3))/EM124,"")</f>
        <v/>
      </c>
      <c r="EO124" s="6" t="str">
        <f>IFERROR(IF(OR(B124="",NOT(ISNUMBER(DX124))),"",1.05*(Uн_лин*1000/SQRT(3))/(_xlfn.XLOOKUP(A124,Щиты[Щит],Щиты[Zmax на шинах, Ом])+EL124)/1000),"")</f>
        <v/>
      </c>
      <c r="EP124" s="6" t="str">
        <f>IF(B124="","",IF(ISNUMBER(Y124),"Сил",IF(IFERROR(_xlfn.XLOOKUP(AX124,Коды_код,Коды_группа)&amp;"","")="","Быт",_xlfn.XLOOKUP(AX124,Коды_код,Коды_группа)&amp;"")))</f>
        <v>Сил</v>
      </c>
      <c r="EQ124" s="6" t="str">
        <f t="shared" si="178"/>
        <v>Сил</v>
      </c>
      <c r="ER124" s="6">
        <f>IF(EQ124="Щит","щит",IF(EQ124="","",IF(EQ124="Быт",IFERROR(_xlfn.XLOOKUP(A124,Щиты[Щит],Щиты[Кс быт]),1),IF(EQ124="Сил",IF(ISNUMBER(Y124),Y124,IF(Методика="нормы 2026",IFERROR(_xlfn.XLOOKUP(A124,Щиты[Щит],Щиты[Кс силовых (табл. 7.5)]),1),1)),IF(OR(EQ124="Пост",EQ124="Отоп"),1,IF(EQ124="ВНГ",0.7,0))))))</f>
        <v>0.5</v>
      </c>
      <c r="ES124">
        <f t="shared" si="179"/>
        <v>1</v>
      </c>
      <c r="ET124">
        <f t="shared" si="180"/>
        <v>0.16400000000000001</v>
      </c>
      <c r="EU124">
        <f t="shared" si="181"/>
        <v>0</v>
      </c>
      <c r="EV124">
        <f t="shared" si="182"/>
        <v>8.2000000000000003E-2</v>
      </c>
      <c r="EW124">
        <f t="shared" si="183"/>
        <v>0</v>
      </c>
      <c r="EX124">
        <f t="shared" si="184"/>
        <v>0</v>
      </c>
      <c r="EY124">
        <f t="shared" si="185"/>
        <v>0</v>
      </c>
      <c r="EZ124">
        <f t="shared" si="186"/>
        <v>0.16400000000000001</v>
      </c>
      <c r="FA124">
        <f t="shared" si="187"/>
        <v>0.13120000000000001</v>
      </c>
      <c r="FB124">
        <f t="shared" si="188"/>
        <v>0.16400000000000001</v>
      </c>
      <c r="FC124" t="str">
        <f t="shared" si="189"/>
        <v/>
      </c>
      <c r="FD124" t="str">
        <f>IF(B124="","",IF(CA124=0,IF(AW124=1,"",FF123),IF(OR(N(CV124)&gt;=3,N(BR124)&gt;=3),"L1,L2,L3",IFERROR(_xlfn.TEXTBEFORE(_xlfn.TEXTAFTER(_xlfn.XLOOKUP(A124,Щиты[Щит],Щиты[_фазы авто]),";"&amp;AW124&amp;":"),";"),"L1"))))</f>
        <v>L3</v>
      </c>
      <c r="FE124" t="str">
        <f t="shared" si="190"/>
        <v>L3</v>
      </c>
      <c r="FF124" t="str">
        <f t="shared" si="191"/>
        <v>L3</v>
      </c>
      <c r="FG124" cm="1">
        <f t="array" ref="FG124">IFERROR(IF(BX124=2,_xlfn.IFS(BR124=3,VLOOKUP(BN124,Справочная_двигатели,3,FALSE),BR124=1,VLOOKUP(BN124,Справочная_двигатели,5,TRUE)),0),0)</f>
        <v>0</v>
      </c>
      <c r="FH124">
        <f>IFERROR(IF(BX124=3,VLOOKUP(BN124,Справочная_ЛЭД,2,TRUE),0),0)</f>
        <v>0</v>
      </c>
      <c r="FI124" s="6">
        <f t="shared" si="192"/>
        <v>0</v>
      </c>
      <c r="FJ124" t="str" cm="1">
        <f t="array" ref="FJ124">IF(B124="","",IFERROR(INDEX({"I особая","I","II","III"},MATCH(TRIM(AC124&amp;""),{"I особая","I","II","III"},0)),"III"))</f>
        <v>II</v>
      </c>
      <c r="FK124" t="str">
        <f>IF(B124="","",IF(TRIM(AD124&amp;"")&lt;&gt;"",IF(LOWER(TRIM(AD124&amp;""))="да","да","нет"),IF(IFERROR(_xlfn.XLOOKUP(AX124,Коды_код,Коды_пожарная),"")="да","да","нет")))</f>
        <v>нет</v>
      </c>
      <c r="FL124" t="str">
        <f t="shared" si="193"/>
        <v/>
      </c>
      <c r="FM124" t="str">
        <f t="shared" si="194"/>
        <v>основная</v>
      </c>
      <c r="FN124">
        <f t="shared" si="195"/>
        <v>1</v>
      </c>
      <c r="FO124" t="str" cm="1">
        <f t="array" ref="FO124">IF(B124="","",_xlfn.LET(_xlpm.t,IFERROR(_xlfn.XLOOKUP(1,(Шины[Шина]=FM124)*(((Шины[Щит]=A124)+(Шины[Щит]=""))&gt;0),Шины[Тип]),"")&amp;"",IF(_xlpm.t&lt;&gt;"",_xlpm.t,IF(ISNUMBER(SEARCH("ИБП",FM124)),"ИБП",IF(ISNUMBER(SEARCH("ДГУ",FM124)),"ДГУ","Ввод "&amp;FN124)))))</f>
        <v>Ввод 1</v>
      </c>
      <c r="FP124" t="str">
        <f t="shared" si="196"/>
        <v>Ввод 1</v>
      </c>
      <c r="FQ124" t="str">
        <f>IF(B124="","",IF(OR(FO124="ИБП",FO124="ДГУ"),"I особая",IF(FO124="Одиночная","III",_xlfn.XLOOKUP(A124,Щиты[Щит],Щиты[Категория шины «Ввод»],"III"))))</f>
        <v>II</v>
      </c>
      <c r="FR124">
        <f>IF(B124="",0,IFERROR(MATCH(FJ124,{"III","II","I","I особая"},0),1))</f>
        <v>2</v>
      </c>
      <c r="FS124">
        <f t="shared" si="197"/>
        <v>2</v>
      </c>
      <c r="FT124" t="str">
        <f>IF(B124="","",IF(FR124&gt;IFERROR(MATCH(FQ124,{"III","II","I","I особая"},0),1),"НЕ ОБЕСПЕЧЕНА","ОК"))</f>
        <v>ОК</v>
      </c>
      <c r="FU124" t="str">
        <f>IF(A124="","",_xlfn.XLOOKUP(A124,Щиты[Щит],Щиты[Путь],""))</f>
        <v>|ГРЩ-ЖД|ЩОВ-01|</v>
      </c>
      <c r="FV124" t="str">
        <f>IF(B124="","",IF(AE124&lt;&gt;"",AE124,IF(IFERROR(_xlfn.XLOOKUP(AX124,Коды_код,Коды_вид)&amp;"","")="","Прочее",_xlfn.XLOOKUP(AX124,Коды_код,Коды_вид)&amp;"")))</f>
        <v>Кондиционирование и увлажнение</v>
      </c>
      <c r="FW124">
        <f>IF(BH124="","",INT((BH124-1)/Столбцов_на_лист)+1)</f>
        <v>3</v>
      </c>
      <c r="FX124" t="str">
        <f t="shared" si="198"/>
        <v>ВВГнг(А)-LS (3х1,5) L=74-0,69%</v>
      </c>
      <c r="FY124">
        <f t="shared" si="199"/>
        <v>0.16400000000000001</v>
      </c>
      <c r="FZ124">
        <f t="shared" si="200"/>
        <v>0.89</v>
      </c>
      <c r="GA124">
        <f t="shared" si="201"/>
        <v>1</v>
      </c>
      <c r="GB124">
        <f t="shared" si="202"/>
        <v>0</v>
      </c>
      <c r="GC124">
        <f t="shared" si="203"/>
        <v>1</v>
      </c>
      <c r="GD124">
        <f>IF(BH124="","",IF(AND(CA124=1,GC124=1),COUNTIFS(A$3:A124,A124,CA$3:CA124,1,GC$3:GC124,1),IF(OR(OR(AW124=1,A124&lt;&gt;A123),AF124="вручную",GC124=0),"",IF(AW124=1,"",GE123))))</f>
        <v>22</v>
      </c>
      <c r="GE124">
        <f t="shared" si="204"/>
        <v>22</v>
      </c>
      <c r="GF124">
        <f>IF(B124="","",IFERROR(LOOKUP(INDEX(CHOOSE(DL124,Iдоп_1ж,Iдоп_2ж,Iдоп_3ж),MATCH(DX124,Iдоп_S,0))*DJ124*DK124,{6,10,16,20,25,32,40,50,63,80,100,125,160,200,250,315,400,500,630}),""))</f>
        <v>16</v>
      </c>
      <c r="GG124" t="str">
        <f t="shared" si="205"/>
        <v>QF22</v>
      </c>
      <c r="GH124" t="str">
        <f t="shared" si="206"/>
        <v>QF22</v>
      </c>
      <c r="GI124" t="str">
        <f t="shared" si="207"/>
        <v/>
      </c>
      <c r="GJ124">
        <f t="shared" si="208"/>
        <v>0</v>
      </c>
      <c r="GK124" t="str">
        <f>IF(OR(AG124="",AG124="-"),"",IFERROR(VLOOKUP(AG124,Модули_спр,2,FALSE),"R"))</f>
        <v/>
      </c>
      <c r="GL124" t="str">
        <f>IF(GK124="","",GK124&amp;"."&amp;COUNTIFS(A$3:A124,A124,GK$3:GK124,GK124))</f>
        <v/>
      </c>
      <c r="GM124" t="str">
        <f t="shared" si="209"/>
        <v/>
      </c>
      <c r="GN124" t="str">
        <f t="shared" si="210"/>
        <v/>
      </c>
      <c r="GO124" t="str">
        <f t="shared" si="211"/>
        <v/>
      </c>
      <c r="GP124" t="str">
        <f t="shared" si="212"/>
        <v/>
      </c>
      <c r="GQ124">
        <f t="shared" si="213"/>
        <v>1</v>
      </c>
      <c r="GR124" t="str">
        <f>IF(GQ124=1,"XT"&amp;COUNTIFS(A$3:A124,A124,GQ$3:GQ124,1),"")</f>
        <v>XT22</v>
      </c>
      <c r="GS124" t="str">
        <f t="shared" si="214"/>
        <v/>
      </c>
      <c r="GT124" t="str">
        <f t="shared" si="215"/>
        <v>QF22</v>
      </c>
      <c r="GU124" t="str">
        <f t="shared" si="216"/>
        <v/>
      </c>
      <c r="GV124" t="str">
        <f t="shared" si="217"/>
        <v>ok</v>
      </c>
      <c r="GW124" t="str">
        <f>IF(OR(GO124="",GM124=""),"",IF(GO124&gt;IFERROR(VLOOKUP(GN124,Модули_спр,3,FALSE),99),"ЛИШНИЙ КАНАЛ",IF(AND(AH124&lt;&gt;"=",COUNTIFS(Линии[_модуль гр.],GM124,Линии[Канал (итог)],GO124,Линии[Канал],"&lt;&gt;=",Линии[Щит],A124)&gt;1),"ДУБЛЬ КАНАЛА","")))</f>
        <v/>
      </c>
      <c r="GX124" s="6" t="str">
        <f t="shared" si="218"/>
        <v/>
      </c>
      <c r="GY124">
        <f t="shared" si="219"/>
        <v>10</v>
      </c>
      <c r="GZ124" t="str">
        <f t="shared" si="220"/>
        <v/>
      </c>
      <c r="HA124" t="str">
        <f>IF(AND(B124="",GT124=""),"",_xlfn.TEXTJOIN("; ",TRUE,IF(AND(B124&lt;&gt;"",FE124=""),"нет фазы",""),IF(AND(B124&lt;&gt;"",N(FY124)=0,EQ124&lt;&gt;"Нет"),"нет мощности",""),IF(AND(GS124&lt;&gt;"",COUNTIFS(Линии[Щит],A124,Линии[Клемма (итог)],GS124)&gt;1),"дубль клеммы "&amp;GS124,""),IF(AND(GV124&lt;&gt;"",GV124&lt;&gt;"ok"),GV124,""),IF(GW124&lt;&gt;"",GW124,""),IF(AND(N(BV124)&gt;=4,N(BR124)=1),BV124&amp;" жил на 1 фазе",""),IF(AND(AX124="R",CA124=1,OR(N(CK124)=0,N(CK124)&gt;30)),"розетка без дифзащиты до 30 мА",""),IFERROR(IF(AND(ISNUMBER(R124),R124&gt;DV124),"потери "&amp;FIXED(R124,1)&amp;" % &gt; "&amp;DV124&amp;" %",""),""),IFERROR(IF(LEFT(GZ124,4)="мало","Iкз мало — отключение &gt; 0,4 с",""),""),IF(AND(B124&lt;&gt;"",BH124=""),"не на схеме",""),IF(AND(CA124=0,B124&lt;&gt;"",FE124&lt;&gt;"",IF(AW124=1,"",FF123)&lt;&gt;"",FE124&lt;&gt;IF(AW124=1,"",FF123)),"фаза не как у автомата группы ("&amp;IF(AW124=1,"",FF123)&amp;")","")))</f>
        <v/>
      </c>
      <c r="HB124" s="6">
        <f>IF(OR(CA124=0,DA124=""),"",_xlfn.LET(_xlpm.t,IFERROR(_xlfn.XLOOKUP(DA124,Каталог!$U$4:$U$500,Каталог!$G$4:$G$500),""),_xlpm.k,SEARCH("кА",_xlpm.t),IFERROR(--TRIM(RIGHT(SUBSTITUTE(MID(_xlpm.t,MAX(1,_xlpm.k-4),_xlpm.k-MAX(1,_xlpm.k-4))," ",REPT(" ",9)),5)),"")))</f>
        <v>6</v>
      </c>
      <c r="HC124" t="str">
        <f>IF(OR(HB124="",CA124=0),"",IF(_xlfn.XLOOKUP(A124,Щиты[Щит],Щиты[Iкз max на шинах, кА],"")="","",IF(HB124&lt;_xlfn.XLOOKUP(A124,Щиты[Щит],Щиты[Iкз max на шинах, кА]),"Icu "&amp;HB124&amp;" кА &lt; Iкз max","ok")))</f>
        <v/>
      </c>
      <c r="HD124" t="str">
        <f t="shared" si="221"/>
        <v/>
      </c>
      <c r="HE124" t="str">
        <f t="shared" si="222"/>
        <v>QF22</v>
      </c>
      <c r="HF124" t="str">
        <f t="shared" si="223"/>
        <v>QF22|кабель ВВГнг(А)-LS (3х1,5) → Внутренний блок кондиционирования первый этаж Пом. №003Б</v>
      </c>
      <c r="HG124" t="str" cm="1">
        <f t="array" ref="HG124">IF(HF124="","",_xlfn.LET(_xlpm.nd,_xlfn.TEXTSPLIT(HF124,"|"),IF(COLUMNS(_xlpm.nd)&gt;1,A124&amp;"¦"&amp;INDEX(_xlpm.nd,1)&amp;"¦"&amp;INDEX(_xlpm.nd,2),"")))</f>
        <v>ЩОВ-01¦QF22¦кабель ВВГнг(А)-LS (3х1,5) → Внутренний блок кондиционирования первый этаж Пом. №003Б</v>
      </c>
      <c r="HH124" t="str">
        <f t="shared" si="224"/>
        <v>K.1.007A¦Внутренний блок кондиционирования первый этаж Пом. №003Б</v>
      </c>
      <c r="HI124" t="str" cm="1">
        <f t="array" ref="HI124">IF(HF124="","",_xlfn.LET(_xlpm.nd,_xlfn.TEXTSPLIT(HF124,"|"),IF(COLUMNS(_xlpm.nd)&gt;2,A124&amp;"¦"&amp;INDEX(_xlpm.nd,2)&amp;"¦"&amp;INDEX(_xlpm.nd,3),"")))</f>
        <v/>
      </c>
      <c r="HJ124" t="str">
        <f t="shared" si="225"/>
        <v/>
      </c>
      <c r="HK124" t="str" cm="1">
        <f t="array" ref="HK124">IF(HF124="","",_xlfn.LET(_xlpm.nd,_xlfn.TEXTSPLIT(HF124,"|"),IF(COLUMNS(_xlpm.nd)&gt;3,A124&amp;"¦"&amp;INDEX(_xlpm.nd,3)&amp;"¦"&amp;INDEX(_xlpm.nd,4),"")))</f>
        <v/>
      </c>
      <c r="HL124" t="str">
        <f t="shared" si="226"/>
        <v/>
      </c>
      <c r="HM124" t="str" cm="1">
        <f t="array" ref="HM124">IF(HF124="","",_xlfn.LET(_xlpm.nd,_xlfn.TEXTSPLIT(HF124,"|"),IF(COLUMNS(_xlpm.nd)&gt;4,A124&amp;"¦"&amp;INDEX(_xlpm.nd,4)&amp;"¦"&amp;INDEX(_xlpm.nd,5),"")))</f>
        <v/>
      </c>
      <c r="HN124" t="str">
        <f t="shared" si="227"/>
        <v/>
      </c>
      <c r="HO124" t="str" cm="1">
        <f t="array" ref="HO124">IF(HF124="","",_xlfn.LET(_xlpm.nd,_xlfn.TEXTSPLIT(HF124,"|"),IF(COLUMNS(_xlpm.nd)&gt;5,A124&amp;"¦"&amp;INDEX(_xlpm.nd,5)&amp;"¦"&amp;INDEX(_xlpm.nd,6),"")))</f>
        <v/>
      </c>
      <c r="HP124" t="str">
        <f t="shared" si="228"/>
        <v/>
      </c>
      <c r="HQ124" t="str" cm="1">
        <f t="array" ref="HQ124">IF(HF124="","",_xlfn.LET(_xlpm.nd,_xlfn.TEXTSPLIT(HF124,"|"),IF(COLUMNS(_xlpm.nd)&gt;6,A124&amp;"¦"&amp;INDEX(_xlpm.nd,6)&amp;"¦"&amp;INDEX(_xlpm.nd,7),"")))</f>
        <v/>
      </c>
      <c r="HR124" t="str">
        <f t="shared" si="229"/>
        <v/>
      </c>
      <c r="HS124" t="str">
        <f t="shared" si="230"/>
        <v/>
      </c>
      <c r="HT124" t="str">
        <f t="shared" si="231"/>
        <v>QF22</v>
      </c>
      <c r="HU124">
        <f t="shared" si="232"/>
        <v>0</v>
      </c>
      <c r="HV124">
        <f t="shared" si="233"/>
        <v>0</v>
      </c>
      <c r="HW124" t="str">
        <f t="shared" si="234"/>
        <v/>
      </c>
      <c r="HX124" t="str">
        <f t="shared" si="235"/>
        <v/>
      </c>
      <c r="HY124" t="str">
        <f t="shared" si="236"/>
        <v/>
      </c>
      <c r="HZ124" t="str">
        <f t="shared" si="237"/>
        <v/>
      </c>
      <c r="IA124">
        <f>IF(B124="","",IFERROR(VLOOKUP(B124,УГО_спр,2,FALSE),IFERROR(VLOOKUP(AX124,УГО_спр,2,FALSE),IFERROR(VLOOKUP(LEFT(AX124,2),УГО_спр,2,FALSE),""))))</f>
        <v>0</v>
      </c>
      <c r="IB124" t="str">
        <f>IF(B124="","",IF(OR(IA124="",IA124=0),"BOX",IFERROR(IF(VLOOKUP(IA124,УГО_блоки,3,FALSE)&amp;""&lt;&gt;"",VLOOKUP(IA124,УГО_блоки,3,FALSE),VLOOKUP(IA124,УГО_блоки,2,FALSE)),IA124)))</f>
        <v>BOX</v>
      </c>
      <c r="IC124">
        <f t="shared" si="238"/>
        <v>1</v>
      </c>
      <c r="ID124" t="str">
        <f>IF(DA124="","",IF(COUNTIF(DA$3:DA124,DA124)=1,MAX(ID$2:ID123)+1,""))</f>
        <v/>
      </c>
      <c r="IE124" t="str">
        <f>IF(CO124="","",IF(COUNTIF(CO$3:CO124,CO124)+COUNTIF(CP$2:CP123,CO124)+COUNTIF(CQ$2:CQ123,CO124)=1,MAX(IE$2:IG123)+1,""))</f>
        <v/>
      </c>
      <c r="IF124" t="str">
        <f>IF(CP124="","",IF(COUNTIF(CO$3:CO124,CP124)+COUNTIF(CP$3:CP124,CP124)+COUNTIF(CQ$2:CQ123,CP124)=1,MAX(IE$2:IG123,IE124)+1,""))</f>
        <v/>
      </c>
      <c r="IG124" t="str">
        <f>IF(CQ124="","",IF(COUNTIF(CO$3:CO124,CQ124)+COUNTIF(CP$3:CP124,CQ124)+COUNTIF(CQ$3:CQ124,CQ124)=1,MAX(IE$2:IG123,IE124,IF124)+1,""))</f>
        <v/>
      </c>
      <c r="IH124" t="str">
        <f t="shared" si="239"/>
        <v>3х1,5</v>
      </c>
      <c r="II124" t="str">
        <f>IF(IH124="","",IF(COUNTIF(IH$3:IH124,IH124)=1,MAX(II$2:II123)+1,""))</f>
        <v/>
      </c>
      <c r="IJ124" t="str">
        <f>IF(GL124="","",COUNTIF(GL$3:GL124,"?*"))</f>
        <v/>
      </c>
      <c r="IK124" t="str">
        <f>IF(OR(GL124="",GN124=""),"",IF(COUNTIFS(GL$3:GL124,"?*",GN$3:GN124,GN124)=1,MAX(IK$2:IK123)+1,""))</f>
        <v/>
      </c>
      <c r="IL124">
        <f t="shared" si="240"/>
        <v>0</v>
      </c>
      <c r="IM124">
        <f>IF(B124="","",COUNTIF(B$3:B124,"?*"))</f>
        <v>122</v>
      </c>
      <c r="IN124">
        <f>IF(GQ124&lt;&gt;1,0,_xlfn.LET(_xlpm.k,MAX(IFERROR(--VLOOKUP(B124,УГО_спр,5,FALSE),0),IFERROR(--VLOOKUP(AX124,УГО_спр,5,FALSE),0),IFERROR(--VLOOKUP(LEFT(AX124,2),УГО_спр,5,FALSE),0)),IF(_xlpm.k&gt;0,_xlpm.k,IF(IFERROR(--LEFT(SUBSTITUTE(IH124,"x","х"),FIND("х",SUBSTITUTE(IH124,"x","х"))-1),3)&gt;3,Каталог!$S$9,1))))</f>
        <v>1</v>
      </c>
      <c r="IO124">
        <f t="shared" si="241"/>
        <v>0</v>
      </c>
      <c r="IP124" t="str">
        <f t="shared" si="242"/>
        <v>авто</v>
      </c>
      <c r="IQ124" t="str">
        <f t="shared" si="243"/>
        <v/>
      </c>
      <c r="IR124">
        <f t="shared" si="244"/>
        <v>0</v>
      </c>
      <c r="IS124">
        <f t="shared" si="245"/>
        <v>1</v>
      </c>
    </row>
    <row r="125" spans="1:253" x14ac:dyDescent="0.3">
      <c r="A125" t="s">
        <v>747</v>
      </c>
      <c r="B125" t="s">
        <v>1394</v>
      </c>
      <c r="C125" t="s">
        <v>1641</v>
      </c>
      <c r="D125">
        <v>1</v>
      </c>
      <c r="E125">
        <v>0.16400000000000001</v>
      </c>
      <c r="G125">
        <v>10</v>
      </c>
      <c r="H125" t="str">
        <f>Линии[[#This Row],[_авто утечка]]</f>
        <v/>
      </c>
      <c r="I125" t="str">
        <f>Линии[[#This Row],[_авто управление]]</f>
        <v/>
      </c>
      <c r="J125" t="str">
        <f>Линии[[#This Row],[_авто аппараты]]</f>
        <v/>
      </c>
      <c r="K125">
        <v>1.5</v>
      </c>
      <c r="L125">
        <v>74</v>
      </c>
      <c r="M125" t="str">
        <f>Линии[[#This Row],[_авто фаза]]</f>
        <v>L1</v>
      </c>
      <c r="N125" t="s">
        <v>486</v>
      </c>
      <c r="O125" t="str">
        <f t="shared" si="123"/>
        <v/>
      </c>
      <c r="P125" s="6" cm="1">
        <f t="array" ref="P125">IF(B125="","",IF(BC125&lt;&gt;"",IFERROR(_xlfn.XLOOKUP(BC125,Щиты[Щит],Щиты[Iр, А]),""),IF(BK125=1,IFERROR(_xlfn.XLOOKUP(A125,Щиты[Щит],Щиты[Iр, А]),""),IFERROR(_xlfn.IFS(BR125=1,BN125/((Uн_лин/SQRT(3))*BY125),BR125=3,BN125/(SQRT(3)*Uн_лин*BY125)),""))))</f>
        <v>0.88767603887904944</v>
      </c>
      <c r="Q125" s="7">
        <f>IF(B125="","",IFERROR(IF(VLOOKUP(AX125,Потребители_обозначение,4,FALSE)=1,VLOOKUP(AX125,Потребители_обозначение,3,FALSE)*(D125*2-1)+DS125+VLOOKUP(AZ125,Этаж_обозначение,3,FALSE)+VLOOKUP(AZ125,Этаж_обозначение,4,FALSE),VLOOKUP(AX125,Потребители_обозначение,3,FALSE)*(D125*2-1)+DS125),DS125))</f>
        <v>76</v>
      </c>
      <c r="R125" s="6">
        <f t="shared" si="124"/>
        <v>0.95</v>
      </c>
      <c r="S125" t="str">
        <f t="shared" si="125"/>
        <v>ВВГнг(А)-LS (3х1,5)</v>
      </c>
      <c r="T125" t="str">
        <f>IF(BH125="","",IF(BI125="вводной узел","узел ","")&amp;"л."&amp;(INT((BH125-1)/Столбцов_на_лист)+1)&amp;" / "&amp;(MOD(BH125-1,Столбцов_на_лист)+1))</f>
        <v>л.3 / 10</v>
      </c>
      <c r="V125">
        <v>1</v>
      </c>
      <c r="W125">
        <v>230</v>
      </c>
      <c r="X125" t="s">
        <v>600</v>
      </c>
      <c r="Y125">
        <v>0.5</v>
      </c>
      <c r="AC125" t="s">
        <v>815</v>
      </c>
      <c r="AE125" t="s">
        <v>578</v>
      </c>
      <c r="AI125">
        <v>44</v>
      </c>
      <c r="AJ125" t="s">
        <v>11</v>
      </c>
      <c r="AK125">
        <v>3</v>
      </c>
      <c r="AM125">
        <v>60</v>
      </c>
      <c r="AN125">
        <v>16</v>
      </c>
      <c r="AP125">
        <v>1</v>
      </c>
      <c r="AW125" cm="1">
        <f t="array" ref="AW125">ROW()-ROW(Линии[#Headers])</f>
        <v>123</v>
      </c>
      <c r="AX125" s="6" t="str">
        <f t="shared" si="126"/>
        <v>K</v>
      </c>
      <c r="AY125" t="str">
        <f t="shared" si="127"/>
        <v>1.010A</v>
      </c>
      <c r="AZ125" t="str">
        <f t="shared" si="128"/>
        <v>1</v>
      </c>
      <c r="BA125" t="str">
        <f t="shared" si="129"/>
        <v>010A</v>
      </c>
      <c r="BB125" t="str">
        <f t="shared" si="130"/>
        <v>010A</v>
      </c>
      <c r="BC125" t="str">
        <f>IF(U125&lt;&gt;"",U125,IF(AND(B125&lt;&gt;"",B125&lt;&gt;A125,ISNUMBER(_xlfn.XMATCH(B125,Щиты[Щит]))),B125,""))</f>
        <v/>
      </c>
      <c r="BD125" t="str" cm="1">
        <f t="array" ref="BD125">IF(B125="","",IF(BC125&lt;&gt;"","Щит "&amp;BC125,_xlfn.LET(_xlpm.nm,IFERROR(_xlfn.XLOOKUP(AX125,Коды_код,Коды_имя)&amp;"",""),_xlpm.md,IFERROR(N(_xlfn.XLOOKUP(AX125,Коды_код,Коды_режим)),1),_xlpm.ex,IF(Имя_режим="по экспликации",IFERROR(_xlfn.XLOOKUP(AZ125&amp;"|"&amp;BB125,Экспликация[Этаж]&amp;"|"&amp;Экспликация[Помещение],Экспликация[Название])&amp;"",""),""),_xlpm.rm,IF(BB125="","",IF(_xlpm.ex&lt;&gt;"",". "&amp;_xlpm.ex&amp;IF(Имя_пом="нет"," ("&amp;BB125&amp;")"," (пом. "&amp;BB125&amp;")"),IF(Имя_пом="нет"," ",", пом. ")&amp;BB125)),IF(_xlpm.nm="","",IF(_xlpm.md=2,_xlpm.nm&amp;" шлейф "&amp;AZ125,_xlpm.nm&amp;_xlpm.rm)))))</f>
        <v>Внутренний блок кондиционирования, пом. 010A</v>
      </c>
      <c r="BE125" t="str">
        <f t="shared" si="131"/>
        <v>Внутренний блок кондиционирования первый этаж Пом. №003Б</v>
      </c>
      <c r="BF125">
        <f>IFERROR(_xlfn.XMATCH(A125,Щиты[Щит]),0)</f>
        <v>6</v>
      </c>
      <c r="BG125">
        <f>_xlfn.LET(_xlpm.k,IFERROR(_xlfn.XLOOKUP(A125,Щиты[Щит],Щиты[Листов под вводной узел]),""),IF(_xlpm.k="",1,N(_xlpm.k))*Столбцов_на_лист)</f>
        <v>17</v>
      </c>
      <c r="BH125">
        <f t="shared" si="132"/>
        <v>44</v>
      </c>
      <c r="BI125" t="str">
        <f t="shared" si="133"/>
        <v>линии</v>
      </c>
      <c r="BJ125" s="6">
        <f>IFERROR(N(_xlfn.XLOOKUP(AX125,Коды_код,Коды_квт)),0)</f>
        <v>0</v>
      </c>
      <c r="BK125">
        <f t="shared" si="134"/>
        <v>0</v>
      </c>
      <c r="BL125" t="str">
        <f>IF(B125="","",IF(BC125&lt;&gt;"",IFERROR(_xlfn.XLOOKUP(BC125,Щиты[Щит],Щиты[Руст, кВт]),0),IF(BK125=1,IFERROR(_xlfn.XLOOKUP(A125,Щиты[Щит],Щиты[Руст, кВт]),0),IF(BJ125&gt;0,ROUND(BJ125*MAX(1,N(D125)),3),""))))</f>
        <v/>
      </c>
      <c r="BM125">
        <f t="shared" si="135"/>
        <v>0.16400000000000001</v>
      </c>
      <c r="BN125" s="6">
        <f>IF(B125="","",IF(BC125&lt;&gt;"",IFERROR(_xlfn.XLOOKUP(BC125,Щиты[Щит],Щиты[Руст, кВт]),0),N(BM125)))</f>
        <v>0.16400000000000001</v>
      </c>
      <c r="BO125" t="str">
        <f>IF(B125="","",IFERROR(IF(VLOOKUP(AX125,Потребители_обозначение,8,FALSE)=0,"",VLOOKUP(AX125,Потребители_обозначение,8,FALSE)),""))</f>
        <v/>
      </c>
      <c r="BP125">
        <f t="shared" si="136"/>
        <v>230</v>
      </c>
      <c r="BQ125">
        <f>IF(B125="","",IF(BC125&lt;&gt;"",3,IFERROR(IF(N(VLOOKUP(AX125,Потребители_обозначение,9,FALSE))=0,1,VLOOKUP(AX125,Потребители_обозначение,9,FALSE)),1)))</f>
        <v>1</v>
      </c>
      <c r="BR125">
        <f t="shared" si="137"/>
        <v>1</v>
      </c>
      <c r="BS125" t="str">
        <f>IF(B125="","",_xlfn.LET(_xlpm.bc,IFERROR(IF(VLOOKUP(AX125,Потребители_обозначение,6,FALSE)=0,"",VLOOKUP(AX125,Потребители_обозначение,6,FALSE)&amp;""),""),IF(AND(FK125="да",OR(_xlpm.bc="",_xlpm.bc="мс")),Марка_пож,IF(AND(_xlpm.bc="",BC125&lt;&gt;""),"мс",_xlpm.bc))))</f>
        <v/>
      </c>
      <c r="BT125" t="str">
        <f t="shared" si="138"/>
        <v>мс</v>
      </c>
      <c r="BU125">
        <f>IF(B125="","",_xlfn.LET(_xlpm.cc,IFERROR(N(VLOOKUP(AX125,Потребители_обозначение,7,FALSE)),0),IF(_xlpm.cc&gt;0,_xlpm.cc,IF(BT125="","",IF(N(BR125)=3,5,3)))))</f>
        <v>3</v>
      </c>
      <c r="BV125">
        <f t="shared" si="139"/>
        <v>3</v>
      </c>
      <c r="BW125">
        <f>IFERROR(N(VLOOKUP(AX125,Потребители_обозначение,10,FALSE)),0)</f>
        <v>0</v>
      </c>
      <c r="BX125">
        <f>IFERROR(VLOOKUP(AX125,Потребители_обозначение,5,FALSE),0)</f>
        <v>1</v>
      </c>
      <c r="BY125" s="6" cm="1">
        <f t="array" ref="BY125">IF(B125="","",IF(BC125&lt;&gt;"",IFERROR(_xlfn.XLOOKUP(BC125,Щиты[Щит],Щиты[cos φ]),0.95),IF(BK125=1,IFERROR(_xlfn.XLOOKUP(A125,Щиты[Щит],Щиты[cos φ]),0.95),IF(ISNUMBER(Z125),Z125,IFERROR(IF(BX125=2,_xlfn.IFS(BR125=3,VLOOKUP(BN125,Справочная_двигатели,8,FALSE),BR125=1,VLOOKUP(BN125,Справочная_двигатели,10,TRUE)),IF(AND(Методика="нормы 2026",EQ125="Сил"),0.8,0.95)),0.95)))))</f>
        <v>0.8</v>
      </c>
      <c r="BZ125">
        <f t="shared" si="140"/>
        <v>0</v>
      </c>
      <c r="CA125">
        <f t="shared" si="141"/>
        <v>1</v>
      </c>
      <c r="CB125">
        <f t="shared" si="142"/>
        <v>0</v>
      </c>
      <c r="CC125">
        <f t="shared" si="143"/>
        <v>0</v>
      </c>
      <c r="CD125">
        <f t="shared" si="144"/>
        <v>0</v>
      </c>
      <c r="CE125">
        <f t="shared" si="145"/>
        <v>0</v>
      </c>
      <c r="CF125">
        <f t="shared" si="146"/>
        <v>0</v>
      </c>
      <c r="CG125">
        <f>IF(AX125="",0,_xlfn.LET(_xlpm.v,IFERROR(VLOOKUP(B125,УГО_спр,3,FALSE),IFERROR(VLOOKUP(AX125,УГО_спр,3,FALSE),IFERROR(VLOOKUP(LEFT(AX125,2),УГО_спр,3,FALSE),""))),IF(_xlpm.v="да",30,IF(ISNUMBER(_xlpm.v),_xlpm.v,0))))</f>
        <v>0</v>
      </c>
      <c r="CH125" t="str">
        <f t="shared" si="147"/>
        <v/>
      </c>
      <c r="CI125" t="str">
        <f>_xlfn.LET(_xlpm.k,IFERROR(_xlfn.XLOOKUP(AX125,Коды_код,Коды_утечка)&amp;"",""),IF(_xlpm.k="","дифавтомат",_xlpm.k))</f>
        <v>дифавтомат</v>
      </c>
      <c r="CJ125">
        <f t="shared" si="148"/>
        <v>0</v>
      </c>
      <c r="CK125">
        <f t="shared" si="149"/>
        <v>0</v>
      </c>
      <c r="CL125">
        <f>IF(B125="",0,IFERROR(--VLOOKUP(B125,УГО_спр,4,FALSE),IFERROR(--VLOOKUP(AX125,УГО_спр,4,FALSE),IFERROR(--VLOOKUP(LEFT(AX125,2),УГО_спр,4,FALSE),0))))</f>
        <v>0</v>
      </c>
      <c r="CM125" t="str">
        <f>IF(B125="","",IFERROR(_xlfn.XLOOKUP(AX125,Коды_код,Коды_апп)&amp;"",""))</f>
        <v/>
      </c>
      <c r="CN125" t="str">
        <f t="shared" si="150"/>
        <v/>
      </c>
      <c r="CO125" t="str" cm="1">
        <f t="array" ref="CO125">IF(TRIM(CN125&amp;"")="","",IFERROR(TRIM(INDEX(_xlfn.TEXTSPLIT(CN125&amp;";;;",";"),1)),""))</f>
        <v/>
      </c>
      <c r="CP125" t="str" cm="1">
        <f t="array" ref="CP125">IF(TRIM(CN125&amp;"")="","",IFERROR(TRIM(INDEX(_xlfn.TEXTSPLIT(CN125&amp;";;;",";"),2)),""))</f>
        <v/>
      </c>
      <c r="CQ125" t="str" cm="1">
        <f t="array" ref="CQ125">IF(TRIM(CN125&amp;"")="","",IFERROR(TRIM(INDEX(_xlfn.TEXTSPLIT(CN125&amp;";;;",";"),3)),""))</f>
        <v/>
      </c>
      <c r="CR125">
        <f t="shared" si="151"/>
        <v>0</v>
      </c>
      <c r="CS125" t="str">
        <f>IF(B125="","",_xlfn.LET(_xlpm.t,LOWER(AV125&amp;""),IF(ISNUMBER(SEARCH("dim",_xlpm.t)),"DIM",IF(ISNUMBER(SEARCH("dali",_xlpm.t)),"DALI",IF(OR(ISNUMBER(SEARCH("relay",_xlpm.t)),ISNUMBER(SEARCH("реле",_xlpm.t))),"Relay",IF(ISNUMBER(SEARCH("кнопк",_xlpm.t)),"",IFERROR(_xlfn.XLOOKUP(AX125,Коды_код,Коды_упр)&amp;"","")))))))</f>
        <v/>
      </c>
      <c r="CT125" t="str">
        <f t="shared" si="152"/>
        <v/>
      </c>
      <c r="CU125">
        <f>IF(B125="","",_xlfn.LET(_xlpm.ig,N(P125)+IF(AF125="вручную",0,N(CB125)),_xlpm.n0,IFERROR(VLOOKUP(_xlpm.ig,Автомат_номиналы,2,TRUE),0),_xlpm.mn,MAX(CL125,IF(AF125="вручную",0,N(CE125))),MAX(_xlpm.n0,_xlpm.mn,IF(CR125=1,Мин_автомат_БП,0))))</f>
        <v>6</v>
      </c>
      <c r="CV125">
        <f t="shared" si="153"/>
        <v>1</v>
      </c>
      <c r="CW125" t="str">
        <f t="shared" si="154"/>
        <v>1P</v>
      </c>
      <c r="CX125" t="str">
        <f>_xlfn.LET(_xlpm.cc,UPPER(TRIM(IFERROR(_xlfn.XLOOKUP(AX125,Коды_код,Коды_хар)&amp;"",""))),IF(OR(_xlpm.cc="B",_xlpm.cc="В"),"B",IF(_xlpm.cc="D","D","С")))</f>
        <v>С</v>
      </c>
      <c r="CY125" t="str">
        <f t="shared" si="155"/>
        <v>1P С6А</v>
      </c>
      <c r="CZ125">
        <f t="shared" si="156"/>
        <v>10</v>
      </c>
      <c r="DA125" t="str">
        <f t="shared" si="157"/>
        <v>1P С10А</v>
      </c>
      <c r="DB125" cm="1">
        <f t="array" ref="DB125">IF(DA125="","",_xlfn.LET(_xlpm.t,SUBSTITUTE(SUBSTITUTE(SUBSTITUTE(UPPER(DA125),"С","C"),"А","A"),"В","B"),_xlpm.tk,_xlfn.TEXTSPLIT(_xlpm.t,"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5" t="str">
        <f t="shared" si="158"/>
        <v>ok</v>
      </c>
      <c r="DD125">
        <f t="shared" si="159"/>
        <v>10</v>
      </c>
      <c r="DE125" t="str">
        <f t="shared" si="160"/>
        <v>1P С10А</v>
      </c>
      <c r="DF125">
        <f t="shared" si="161"/>
        <v>0</v>
      </c>
      <c r="DG125">
        <f t="shared" si="162"/>
        <v>0</v>
      </c>
      <c r="DH125">
        <f t="shared" si="163"/>
        <v>0</v>
      </c>
      <c r="DI125">
        <f t="shared" si="164"/>
        <v>0.88767603887904944</v>
      </c>
      <c r="DJ125">
        <f t="shared" si="165"/>
        <v>1</v>
      </c>
      <c r="DK125">
        <f>IF(ISNUMBER(AL125),AL125,К_прокл)</f>
        <v>1</v>
      </c>
      <c r="DL125">
        <f t="shared" si="166"/>
        <v>2</v>
      </c>
      <c r="DM125">
        <f>IFERROR(N(VLOOKUP(BT125,Кабель_обозначение,3,FALSE)),1)</f>
        <v>1</v>
      </c>
      <c r="DN125">
        <f>IFERROR(N(_xlfn.XLOOKUP(A125,Щиты[Щит],Щиты[ΔU до шин, %])),0)</f>
        <v>0.24000000000000002</v>
      </c>
      <c r="DO125" t="str">
        <f>IFERROR(_xlfn.XLOOKUP(A125,Щиты[Щит],Щиты[Zпетли на шинах, Ом]),"")</f>
        <v/>
      </c>
      <c r="DP125">
        <f>IFERROR(N(_xlfn.XLOOKUP(A125,Щиты[Щит],Щиты[ΔU до шин (подбор), %])),0)</f>
        <v>0.36</v>
      </c>
      <c r="DQ125" t="str">
        <f>IFERROR(_xlfn.XLOOKUP(A125,Щиты[Щит],Щиты[Zпетли на шинах (подбор), Ом]),"")</f>
        <v/>
      </c>
      <c r="DR125" t="str">
        <f t="shared" si="167"/>
        <v/>
      </c>
      <c r="DS125">
        <f t="shared" si="168"/>
        <v>74</v>
      </c>
      <c r="DT125">
        <f t="shared" si="169"/>
        <v>2</v>
      </c>
      <c r="DU125">
        <f t="shared" si="170"/>
        <v>0.6</v>
      </c>
      <c r="DV125" s="6">
        <f>IF(B125="","",IF(IFERROR(VLOOKUP(AX125,УГО_спр,2,FALSE),"")="Светильник",3,4)+IF(Методика="нормы 2026",MIN(0.5,MAX(0,N(Q125)-100)*0.005),0))</f>
        <v>4</v>
      </c>
      <c r="DW125" cm="1">
        <f t="array" ref="DW125">IF(OR(B125="",BT125="",DM125&lt;&gt;1),"",_xlfn.LET(_xlpm.sz,Iдоп_S,_xlpm.t_,CHOOSE(DL125,Iдоп_1ж,Iдоп_2ж,Iдоп_3ж)*DJ125*DK125,_xlpm.inn,N(DD125),_xlpm.smin,MAX(1.5,BW125),_xlpm.L_,N(Q125)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125)*(_xlpm.rho*_xlpm.L_/_xlpm.sz*N(BY125)+_xlpm.xx*_xlpm.L_*N(DU125)/1000)*N(P125)/((Uн_лин/SQRT(3))*1000)*100,999),_xlpm.kz,IF(OR(DG125=1,NOT(ISNUMBER(DQ125)),_xlpm.L_=0,_xlpm.inn=0),1,IFERROR(--(c_min*(Uн_лин*1000/SQRT(3))/(DQ125+2*ρкз_Cu*_xlpm.L_/_xlpm.sz)&gt;=GY125*_xlpm.inn),0)),_xlpm.ok,IFERROR((_xlpm.sz&gt;=_xlpm.smin)*(_xlpm.t_&gt;=_xlpm.inn)*IF(_xlpm.L_&gt;0,(_xlpm.du_+DP125&lt;=DV125+0.00001),1)*_xlpm.kz,0),_xlpm.r_,_xlfn._xlws.FILTER(_xlpm.sz,_xlpm.ok,"не подобрано"),INDEX(_xlpm.r_,1)))</f>
        <v>1.5</v>
      </c>
      <c r="DX125">
        <f t="shared" si="171"/>
        <v>1.5</v>
      </c>
      <c r="DY125" cm="1">
        <f t="array" ref="DY125">IF(OR(B125="",BT125="",DM125&lt;&gt;1),"",_xlfn.LET(_xlpm.sz,Iдоп_S,_xlpm.t_,CHOOSE(DL125,Iдоп_1ж,Iдоп_2ж,Iдоп_3ж)*DJ125*DK125,_xlpm.ok,IFERROR((_xlpm.sz&gt;=MAX(1.5,BW125))*(_xlpm.t_&gt;=N(DD125)),0),_xlpm.r_,_xlfn._xlws.FILTER(_xlpm.sz,_xlpm.ok,""),INDEX(_xlpm.r_,1)))</f>
        <v>1.5</v>
      </c>
      <c r="DZ125" s="6" cm="1">
        <f t="array" ref="DZ125">IFERROR(ROUNDUP(N(DT125)*(_xlfn.XLOOKUP(DY125,INDEX(Кабель_сопротивление,0,1),INDEX(Кабель_сопротивление,0,3))*N(Q125)/DY125*N(BY125)+_xlfn.XLOOKUP(DY125,INDEX(Кабель_сопротивление,0,1),INDEX(Кабель_сопротивление,0,2))*N(Q125)*N(DU125)/1000)*N(P125)/((Uн_лин/SQRT(3))*1000)*100,2),"")</f>
        <v>0.71</v>
      </c>
      <c r="EA125">
        <f>IFERROR(2*ρкз_Cu*N(Q125)/DY125,"")</f>
        <v>2.6650666666666667</v>
      </c>
      <c r="EB125">
        <f>IFERROR(VLOOKUP(DX125,Кабель_сопротивление,3,FALSE),"")</f>
        <v>2.2499999999999999E-2</v>
      </c>
      <c r="EC125">
        <f>IFERROR(VLOOKUP(DX125,Кабель_сопротивление,2,FALSE),"")</f>
        <v>0.11</v>
      </c>
      <c r="ED125">
        <f t="shared" si="172"/>
        <v>16</v>
      </c>
      <c r="EE125">
        <f t="shared" si="173"/>
        <v>0</v>
      </c>
      <c r="EF125">
        <f t="shared" si="174"/>
        <v>1.6280262609374208</v>
      </c>
      <c r="EG125" s="6">
        <f>IFERROR(ROUNDUP(EF125/((Uн_лин/SQRT(3))*1000)*100,2),"")</f>
        <v>0.71</v>
      </c>
      <c r="EH125" t="str">
        <f>IFERROR(VLOOKUP(BT125,Кабель_обозначение,2,FALSE),"")</f>
        <v>ВВГнг(А)-LS</v>
      </c>
      <c r="EI125" t="str">
        <f t="shared" si="175"/>
        <v>ВВГнг(А)-LS (3х1,5)</v>
      </c>
      <c r="EJ125" t="str">
        <f t="shared" si="176"/>
        <v>ВВГнг(А)-LS (3х1,5)
L=76-0,71%</v>
      </c>
      <c r="EK125">
        <f>IFERROR(2*ρкз_Cu*Q125/DX125,"")</f>
        <v>2.6650666666666667</v>
      </c>
      <c r="EL125">
        <f t="shared" si="177"/>
        <v>0.88666666666666671</v>
      </c>
      <c r="EM125" s="6" t="str">
        <f>IFERROR(IF(OR(B125="",NOT(ISNUMBER(DX125)),N(Q125)=0),"",_xlfn.XLOOKUP(A125,Щиты[Щит],Щиты[Zпетли на шинах, Ом])+EK125),"")</f>
        <v/>
      </c>
      <c r="EN125" s="6" t="str">
        <f>IF(ISNUMBER(EM125),c_min*(Uн_лин*1000/SQRT(3))/EM125,"")</f>
        <v/>
      </c>
      <c r="EO125" s="6" t="str">
        <f>IFERROR(IF(OR(B125="",NOT(ISNUMBER(DX125))),"",1.05*(Uн_лин*1000/SQRT(3))/(_xlfn.XLOOKUP(A125,Щиты[Щит],Щиты[Zmax на шинах, Ом])+EL125)/1000),"")</f>
        <v/>
      </c>
      <c r="EP125" s="6" t="str">
        <f>IF(B125="","",IF(ISNUMBER(Y125),"Сил",IF(IFERROR(_xlfn.XLOOKUP(AX125,Коды_код,Коды_группа)&amp;"","")="","Быт",_xlfn.XLOOKUP(AX125,Коды_код,Коды_группа)&amp;"")))</f>
        <v>Сил</v>
      </c>
      <c r="EQ125" s="6" t="str">
        <f t="shared" si="178"/>
        <v>Сил</v>
      </c>
      <c r="ER125" s="6">
        <f>IF(EQ125="Щит","щит",IF(EQ125="","",IF(EQ125="Быт",IFERROR(_xlfn.XLOOKUP(A125,Щиты[Щит],Щиты[Кс быт]),1),IF(EQ125="Сил",IF(ISNUMBER(Y125),Y125,IF(Методика="нормы 2026",IFERROR(_xlfn.XLOOKUP(A125,Щиты[Щит],Щиты[Кс силовых (табл. 7.5)]),1),1)),IF(OR(EQ125="Пост",EQ125="Отоп"),1,IF(EQ125="ВНГ",0.7,0))))))</f>
        <v>0.5</v>
      </c>
      <c r="ES125">
        <f t="shared" si="179"/>
        <v>1</v>
      </c>
      <c r="ET125">
        <f t="shared" si="180"/>
        <v>0.16400000000000001</v>
      </c>
      <c r="EU125">
        <f t="shared" si="181"/>
        <v>0</v>
      </c>
      <c r="EV125">
        <f t="shared" si="182"/>
        <v>8.2000000000000003E-2</v>
      </c>
      <c r="EW125">
        <f t="shared" si="183"/>
        <v>0</v>
      </c>
      <c r="EX125">
        <f t="shared" si="184"/>
        <v>0</v>
      </c>
      <c r="EY125">
        <f t="shared" si="185"/>
        <v>0</v>
      </c>
      <c r="EZ125">
        <f t="shared" si="186"/>
        <v>0.16400000000000001</v>
      </c>
      <c r="FA125">
        <f t="shared" si="187"/>
        <v>0.13120000000000001</v>
      </c>
      <c r="FB125">
        <f t="shared" si="188"/>
        <v>0.16400000000000001</v>
      </c>
      <c r="FC125" t="str">
        <f t="shared" si="189"/>
        <v/>
      </c>
      <c r="FD125" t="str">
        <f>IF(B125="","",IF(CA125=0,IF(AW125=1,"",FF124),IF(OR(N(CV125)&gt;=3,N(BR125)&gt;=3),"L1,L2,L3",IFERROR(_xlfn.TEXTBEFORE(_xlfn.TEXTAFTER(_xlfn.XLOOKUP(A125,Щиты[Щит],Щиты[_фазы авто]),";"&amp;AW125&amp;":"),";"),"L1"))))</f>
        <v>L1</v>
      </c>
      <c r="FE125" t="str">
        <f t="shared" si="190"/>
        <v>L1</v>
      </c>
      <c r="FF125" t="str">
        <f t="shared" si="191"/>
        <v>L1</v>
      </c>
      <c r="FG125" cm="1">
        <f t="array" ref="FG125">IFERROR(IF(BX125=2,_xlfn.IFS(BR125=3,VLOOKUP(BN125,Справочная_двигатели,3,FALSE),BR125=1,VLOOKUP(BN125,Справочная_двигатели,5,TRUE)),0),0)</f>
        <v>0</v>
      </c>
      <c r="FH125">
        <f>IFERROR(IF(BX125=3,VLOOKUP(BN125,Справочная_ЛЭД,2,TRUE),0),0)</f>
        <v>0</v>
      </c>
      <c r="FI125" s="6">
        <f t="shared" si="192"/>
        <v>0</v>
      </c>
      <c r="FJ125" t="str" cm="1">
        <f t="array" ref="FJ125">IF(B125="","",IFERROR(INDEX({"I особая","I","II","III"},MATCH(TRIM(AC125&amp;""),{"I особая","I","II","III"},0)),"III"))</f>
        <v>II</v>
      </c>
      <c r="FK125" t="str">
        <f>IF(B125="","",IF(TRIM(AD125&amp;"")&lt;&gt;"",IF(LOWER(TRIM(AD125&amp;""))="да","да","нет"),IF(IFERROR(_xlfn.XLOOKUP(AX125,Коды_код,Коды_пожарная),"")="да","да","нет")))</f>
        <v>нет</v>
      </c>
      <c r="FL125" t="str">
        <f t="shared" si="193"/>
        <v/>
      </c>
      <c r="FM125" t="str">
        <f t="shared" si="194"/>
        <v>основная</v>
      </c>
      <c r="FN125">
        <f t="shared" si="195"/>
        <v>1</v>
      </c>
      <c r="FO125" t="str" cm="1">
        <f t="array" ref="FO125">IF(B125="","",_xlfn.LET(_xlpm.t,IFERROR(_xlfn.XLOOKUP(1,(Шины[Шина]=FM125)*(((Шины[Щит]=A125)+(Шины[Щит]=""))&gt;0),Шины[Тип]),"")&amp;"",IF(_xlpm.t&lt;&gt;"",_xlpm.t,IF(ISNUMBER(SEARCH("ИБП",FM125)),"ИБП",IF(ISNUMBER(SEARCH("ДГУ",FM125)),"ДГУ","Ввод "&amp;FN125)))))</f>
        <v>Ввод 1</v>
      </c>
      <c r="FP125" t="str">
        <f t="shared" si="196"/>
        <v>Ввод 1</v>
      </c>
      <c r="FQ125" t="str">
        <f>IF(B125="","",IF(OR(FO125="ИБП",FO125="ДГУ"),"I особая",IF(FO125="Одиночная","III",_xlfn.XLOOKUP(A125,Щиты[Щит],Щиты[Категория шины «Ввод»],"III"))))</f>
        <v>II</v>
      </c>
      <c r="FR125">
        <f>IF(B125="",0,IFERROR(MATCH(FJ125,{"III","II","I","I особая"},0),1))</f>
        <v>2</v>
      </c>
      <c r="FS125">
        <f t="shared" si="197"/>
        <v>2</v>
      </c>
      <c r="FT125" t="str">
        <f>IF(B125="","",IF(FR125&gt;IFERROR(MATCH(FQ125,{"III","II","I","I особая"},0),1),"НЕ ОБЕСПЕЧЕНА","ОК"))</f>
        <v>ОК</v>
      </c>
      <c r="FU125" t="str">
        <f>IF(A125="","",_xlfn.XLOOKUP(A125,Щиты[Щит],Щиты[Путь],""))</f>
        <v>|ГРЩ-ЖД|ЩОВ-01|</v>
      </c>
      <c r="FV125" t="str">
        <f>IF(B125="","",IF(AE125&lt;&gt;"",AE125,IF(IFERROR(_xlfn.XLOOKUP(AX125,Коды_код,Коды_вид)&amp;"","")="","Прочее",_xlfn.XLOOKUP(AX125,Коды_код,Коды_вид)&amp;"")))</f>
        <v>Кондиционирование и увлажнение</v>
      </c>
      <c r="FW125">
        <f>IF(BH125="","",INT((BH125-1)/Столбцов_на_лист)+1)</f>
        <v>3</v>
      </c>
      <c r="FX125" t="str">
        <f t="shared" si="198"/>
        <v>ВВГнг(А)-LS (3х1,5) L=76-0,71%</v>
      </c>
      <c r="FY125">
        <f t="shared" si="199"/>
        <v>0.16400000000000001</v>
      </c>
      <c r="FZ125">
        <f t="shared" si="200"/>
        <v>0.89</v>
      </c>
      <c r="GA125">
        <f t="shared" si="201"/>
        <v>1</v>
      </c>
      <c r="GB125">
        <f t="shared" si="202"/>
        <v>0</v>
      </c>
      <c r="GC125">
        <f t="shared" si="203"/>
        <v>1</v>
      </c>
      <c r="GD125">
        <f>IF(BH125="","",IF(AND(CA125=1,GC125=1),COUNTIFS(A$3:A125,A125,CA$3:CA125,1,GC$3:GC125,1),IF(OR(OR(AW125=1,A125&lt;&gt;A124),AF125="вручную",GC125=0),"",IF(AW125=1,"",GE124))))</f>
        <v>23</v>
      </c>
      <c r="GE125">
        <f t="shared" si="204"/>
        <v>23</v>
      </c>
      <c r="GF125">
        <f>IF(B125="","",IFERROR(LOOKUP(INDEX(CHOOSE(DL125,Iдоп_1ж,Iдоп_2ж,Iдоп_3ж),MATCH(DX125,Iдоп_S,0))*DJ125*DK125,{6,10,16,20,25,32,40,50,63,80,100,125,160,200,250,315,400,500,630}),""))</f>
        <v>16</v>
      </c>
      <c r="GG125" t="str">
        <f t="shared" si="205"/>
        <v>QF23</v>
      </c>
      <c r="GH125" t="str">
        <f t="shared" si="206"/>
        <v>QF23</v>
      </c>
      <c r="GI125" t="str">
        <f t="shared" si="207"/>
        <v/>
      </c>
      <c r="GJ125">
        <f t="shared" si="208"/>
        <v>0</v>
      </c>
      <c r="GK125" t="str">
        <f>IF(OR(AG125="",AG125="-"),"",IFERROR(VLOOKUP(AG125,Модули_спр,2,FALSE),"R"))</f>
        <v/>
      </c>
      <c r="GL125" t="str">
        <f>IF(GK125="","",GK125&amp;"."&amp;COUNTIFS(A$3:A125,A125,GK$3:GK125,GK125))</f>
        <v/>
      </c>
      <c r="GM125" t="str">
        <f t="shared" si="209"/>
        <v/>
      </c>
      <c r="GN125" t="str">
        <f t="shared" si="210"/>
        <v/>
      </c>
      <c r="GO125" t="str">
        <f t="shared" si="211"/>
        <v/>
      </c>
      <c r="GP125" t="str">
        <f t="shared" si="212"/>
        <v/>
      </c>
      <c r="GQ125">
        <f t="shared" si="213"/>
        <v>1</v>
      </c>
      <c r="GR125" t="str">
        <f>IF(GQ125=1,"XT"&amp;COUNTIFS(A$3:A125,A125,GQ$3:GQ125,1),"")</f>
        <v>XT23</v>
      </c>
      <c r="GS125" t="str">
        <f t="shared" si="214"/>
        <v/>
      </c>
      <c r="GT125" t="str">
        <f t="shared" si="215"/>
        <v>QF23</v>
      </c>
      <c r="GU125" t="str">
        <f t="shared" si="216"/>
        <v/>
      </c>
      <c r="GV125" t="str">
        <f t="shared" si="217"/>
        <v>ok</v>
      </c>
      <c r="GW125" t="str">
        <f>IF(OR(GO125="",GM125=""),"",IF(GO125&gt;IFERROR(VLOOKUP(GN125,Модули_спр,3,FALSE),99),"ЛИШНИЙ КАНАЛ",IF(AND(AH125&lt;&gt;"=",COUNTIFS(Линии[_модуль гр.],GM125,Линии[Канал (итог)],GO125,Линии[Канал],"&lt;&gt;=",Линии[Щит],A125)&gt;1),"ДУБЛЬ КАНАЛА","")))</f>
        <v/>
      </c>
      <c r="GX125" s="6" t="str">
        <f t="shared" si="218"/>
        <v/>
      </c>
      <c r="GY125">
        <f t="shared" si="219"/>
        <v>10</v>
      </c>
      <c r="GZ125" t="str">
        <f t="shared" si="220"/>
        <v/>
      </c>
      <c r="HA125" t="str">
        <f>IF(AND(B125="",GT125=""),"",_xlfn.TEXTJOIN("; ",TRUE,IF(AND(B125&lt;&gt;"",FE125=""),"нет фазы",""),IF(AND(B125&lt;&gt;"",N(FY125)=0,EQ125&lt;&gt;"Нет"),"нет мощности",""),IF(AND(GS125&lt;&gt;"",COUNTIFS(Линии[Щит],A125,Линии[Клемма (итог)],GS125)&gt;1),"дубль клеммы "&amp;GS125,""),IF(AND(GV125&lt;&gt;"",GV125&lt;&gt;"ok"),GV125,""),IF(GW125&lt;&gt;"",GW125,""),IF(AND(N(BV125)&gt;=4,N(BR125)=1),BV125&amp;" жил на 1 фазе",""),IF(AND(AX125="R",CA125=1,OR(N(CK125)=0,N(CK125)&gt;30)),"розетка без дифзащиты до 30 мА",""),IFERROR(IF(AND(ISNUMBER(R125),R125&gt;DV125),"потери "&amp;FIXED(R125,1)&amp;" % &gt; "&amp;DV125&amp;" %",""),""),IFERROR(IF(LEFT(GZ125,4)="мало","Iкз мало — отключение &gt; 0,4 с",""),""),IF(AND(B125&lt;&gt;"",BH125=""),"не на схеме",""),IF(AND(CA125=0,B125&lt;&gt;"",FE125&lt;&gt;"",IF(AW125=1,"",FF124)&lt;&gt;"",FE125&lt;&gt;IF(AW125=1,"",FF124)),"фаза не как у автомата группы ("&amp;IF(AW125=1,"",FF124)&amp;")","")))</f>
        <v/>
      </c>
      <c r="HB125" s="6">
        <f>IF(OR(CA125=0,DA125=""),"",_xlfn.LET(_xlpm.t,IFERROR(_xlfn.XLOOKUP(DA125,Каталог!$U$4:$U$500,Каталог!$G$4:$G$500),""),_xlpm.k,SEARCH("кА",_xlpm.t),IFERROR(--TRIM(RIGHT(SUBSTITUTE(MID(_xlpm.t,MAX(1,_xlpm.k-4),_xlpm.k-MAX(1,_xlpm.k-4))," ",REPT(" ",9)),5)),"")))</f>
        <v>6</v>
      </c>
      <c r="HC125" t="str">
        <f>IF(OR(HB125="",CA125=0),"",IF(_xlfn.XLOOKUP(A125,Щиты[Щит],Щиты[Iкз max на шинах, кА],"")="","",IF(HB125&lt;_xlfn.XLOOKUP(A125,Щиты[Щит],Щиты[Iкз max на шинах, кА]),"Icu "&amp;HB125&amp;" кА &lt; Iкз max","ok")))</f>
        <v/>
      </c>
      <c r="HD125" t="str">
        <f t="shared" si="221"/>
        <v/>
      </c>
      <c r="HE125" t="str">
        <f t="shared" si="222"/>
        <v>QF23</v>
      </c>
      <c r="HF125" t="str">
        <f t="shared" si="223"/>
        <v>QF23|кабель ВВГнг(А)-LS (3х1,5) → Внутренний блок кондиционирования первый этаж Пом. №003Б</v>
      </c>
      <c r="HG125" t="str" cm="1">
        <f t="array" ref="HG125">IF(HF125="","",_xlfn.LET(_xlpm.nd,_xlfn.TEXTSPLIT(HF125,"|"),IF(COLUMNS(_xlpm.nd)&gt;1,A125&amp;"¦"&amp;INDEX(_xlpm.nd,1)&amp;"¦"&amp;INDEX(_xlpm.nd,2),"")))</f>
        <v>ЩОВ-01¦QF23¦кабель ВВГнг(А)-LS (3х1,5) → Внутренний блок кондиционирования первый этаж Пом. №003Б</v>
      </c>
      <c r="HH125" t="str">
        <f t="shared" si="224"/>
        <v>K.1.010A¦Внутренний блок кондиционирования первый этаж Пом. №003Б</v>
      </c>
      <c r="HI125" t="str" cm="1">
        <f t="array" ref="HI125">IF(HF125="","",_xlfn.LET(_xlpm.nd,_xlfn.TEXTSPLIT(HF125,"|"),IF(COLUMNS(_xlpm.nd)&gt;2,A125&amp;"¦"&amp;INDEX(_xlpm.nd,2)&amp;"¦"&amp;INDEX(_xlpm.nd,3),"")))</f>
        <v/>
      </c>
      <c r="HJ125" t="str">
        <f t="shared" si="225"/>
        <v/>
      </c>
      <c r="HK125" t="str" cm="1">
        <f t="array" ref="HK125">IF(HF125="","",_xlfn.LET(_xlpm.nd,_xlfn.TEXTSPLIT(HF125,"|"),IF(COLUMNS(_xlpm.nd)&gt;3,A125&amp;"¦"&amp;INDEX(_xlpm.nd,3)&amp;"¦"&amp;INDEX(_xlpm.nd,4),"")))</f>
        <v/>
      </c>
      <c r="HL125" t="str">
        <f t="shared" si="226"/>
        <v/>
      </c>
      <c r="HM125" t="str" cm="1">
        <f t="array" ref="HM125">IF(HF125="","",_xlfn.LET(_xlpm.nd,_xlfn.TEXTSPLIT(HF125,"|"),IF(COLUMNS(_xlpm.nd)&gt;4,A125&amp;"¦"&amp;INDEX(_xlpm.nd,4)&amp;"¦"&amp;INDEX(_xlpm.nd,5),"")))</f>
        <v/>
      </c>
      <c r="HN125" t="str">
        <f t="shared" si="227"/>
        <v/>
      </c>
      <c r="HO125" t="str" cm="1">
        <f t="array" ref="HO125">IF(HF125="","",_xlfn.LET(_xlpm.nd,_xlfn.TEXTSPLIT(HF125,"|"),IF(COLUMNS(_xlpm.nd)&gt;5,A125&amp;"¦"&amp;INDEX(_xlpm.nd,5)&amp;"¦"&amp;INDEX(_xlpm.nd,6),"")))</f>
        <v/>
      </c>
      <c r="HP125" t="str">
        <f t="shared" si="228"/>
        <v/>
      </c>
      <c r="HQ125" t="str" cm="1">
        <f t="array" ref="HQ125">IF(HF125="","",_xlfn.LET(_xlpm.nd,_xlfn.TEXTSPLIT(HF125,"|"),IF(COLUMNS(_xlpm.nd)&gt;6,A125&amp;"¦"&amp;INDEX(_xlpm.nd,6)&amp;"¦"&amp;INDEX(_xlpm.nd,7),"")))</f>
        <v/>
      </c>
      <c r="HR125" t="str">
        <f t="shared" si="229"/>
        <v/>
      </c>
      <c r="HS125" t="str">
        <f t="shared" si="230"/>
        <v/>
      </c>
      <c r="HT125" t="str">
        <f t="shared" si="231"/>
        <v>QF23</v>
      </c>
      <c r="HU125">
        <f t="shared" si="232"/>
        <v>0</v>
      </c>
      <c r="HV125">
        <f t="shared" si="233"/>
        <v>0</v>
      </c>
      <c r="HW125" t="str">
        <f t="shared" si="234"/>
        <v/>
      </c>
      <c r="HX125" t="str">
        <f t="shared" si="235"/>
        <v/>
      </c>
      <c r="HY125" t="str">
        <f t="shared" si="236"/>
        <v/>
      </c>
      <c r="HZ125" t="str">
        <f t="shared" si="237"/>
        <v/>
      </c>
      <c r="IA125">
        <f>IF(B125="","",IFERROR(VLOOKUP(B125,УГО_спр,2,FALSE),IFERROR(VLOOKUP(AX125,УГО_спр,2,FALSE),IFERROR(VLOOKUP(LEFT(AX125,2),УГО_спр,2,FALSE),""))))</f>
        <v>0</v>
      </c>
      <c r="IB125" t="str">
        <f>IF(B125="","",IF(OR(IA125="",IA125=0),"BOX",IFERROR(IF(VLOOKUP(IA125,УГО_блоки,3,FALSE)&amp;""&lt;&gt;"",VLOOKUP(IA125,УГО_блоки,3,FALSE),VLOOKUP(IA125,УГО_блоки,2,FALSE)),IA125)))</f>
        <v>BOX</v>
      </c>
      <c r="IC125">
        <f t="shared" si="238"/>
        <v>1</v>
      </c>
      <c r="ID125" t="str">
        <f>IF(DA125="","",IF(COUNTIF(DA$3:DA125,DA125)=1,MAX(ID$2:ID124)+1,""))</f>
        <v/>
      </c>
      <c r="IE125" t="str">
        <f>IF(CO125="","",IF(COUNTIF(CO$3:CO125,CO125)+COUNTIF(CP$2:CP124,CO125)+COUNTIF(CQ$2:CQ124,CO125)=1,MAX(IE$2:IG124)+1,""))</f>
        <v/>
      </c>
      <c r="IF125" t="str">
        <f>IF(CP125="","",IF(COUNTIF(CO$3:CO125,CP125)+COUNTIF(CP$3:CP125,CP125)+COUNTIF(CQ$2:CQ124,CP125)=1,MAX(IE$2:IG124,IE125)+1,""))</f>
        <v/>
      </c>
      <c r="IG125" t="str">
        <f>IF(CQ125="","",IF(COUNTIF(CO$3:CO125,CQ125)+COUNTIF(CP$3:CP125,CQ125)+COUNTIF(CQ$3:CQ125,CQ125)=1,MAX(IE$2:IG124,IE125,IF125)+1,""))</f>
        <v/>
      </c>
      <c r="IH125" t="str">
        <f t="shared" si="239"/>
        <v>3х1,5</v>
      </c>
      <c r="II125" t="str">
        <f>IF(IH125="","",IF(COUNTIF(IH$3:IH125,IH125)=1,MAX(II$2:II124)+1,""))</f>
        <v/>
      </c>
      <c r="IJ125" t="str">
        <f>IF(GL125="","",COUNTIF(GL$3:GL125,"?*"))</f>
        <v/>
      </c>
      <c r="IK125" t="str">
        <f>IF(OR(GL125="",GN125=""),"",IF(COUNTIFS(GL$3:GL125,"?*",GN$3:GN125,GN125)=1,MAX(IK$2:IK124)+1,""))</f>
        <v/>
      </c>
      <c r="IL125">
        <f t="shared" si="240"/>
        <v>0</v>
      </c>
      <c r="IM125">
        <f>IF(B125="","",COUNTIF(B$3:B125,"?*"))</f>
        <v>123</v>
      </c>
      <c r="IN125">
        <f>IF(GQ125&lt;&gt;1,0,_xlfn.LET(_xlpm.k,MAX(IFERROR(--VLOOKUP(B125,УГО_спр,5,FALSE),0),IFERROR(--VLOOKUP(AX125,УГО_спр,5,FALSE),0),IFERROR(--VLOOKUP(LEFT(AX125,2),УГО_спр,5,FALSE),0)),IF(_xlpm.k&gt;0,_xlpm.k,IF(IFERROR(--LEFT(SUBSTITUTE(IH125,"x","х"),FIND("х",SUBSTITUTE(IH125,"x","х"))-1),3)&gt;3,Каталог!$S$9,1))))</f>
        <v>1</v>
      </c>
      <c r="IO125">
        <f t="shared" si="241"/>
        <v>0</v>
      </c>
      <c r="IP125" t="str">
        <f t="shared" si="242"/>
        <v>авто</v>
      </c>
      <c r="IQ125" t="str">
        <f t="shared" si="243"/>
        <v/>
      </c>
      <c r="IR125">
        <f t="shared" si="244"/>
        <v>0</v>
      </c>
      <c r="IS125">
        <f t="shared" si="245"/>
        <v>1</v>
      </c>
    </row>
    <row r="126" spans="1:253" x14ac:dyDescent="0.3">
      <c r="A126" t="s">
        <v>747</v>
      </c>
      <c r="B126" t="s">
        <v>1395</v>
      </c>
      <c r="C126" t="s">
        <v>1640</v>
      </c>
      <c r="D126">
        <v>1</v>
      </c>
      <c r="E126">
        <v>0.16400000000000001</v>
      </c>
      <c r="G126">
        <v>10</v>
      </c>
      <c r="H126" t="str">
        <f>Линии[[#This Row],[_авто утечка]]</f>
        <v/>
      </c>
      <c r="I126" t="str">
        <f>Линии[[#This Row],[_авто управление]]</f>
        <v/>
      </c>
      <c r="J126" t="str">
        <f>Линии[[#This Row],[_авто аппараты]]</f>
        <v/>
      </c>
      <c r="K126">
        <v>1.5</v>
      </c>
      <c r="L126">
        <v>70</v>
      </c>
      <c r="M126" t="str">
        <f>Линии[[#This Row],[_авто фаза]]</f>
        <v>L2</v>
      </c>
      <c r="N126" t="s">
        <v>486</v>
      </c>
      <c r="O126" t="str">
        <f t="shared" si="123"/>
        <v/>
      </c>
      <c r="P126" s="6" cm="1">
        <f t="array" ref="P126">IF(B126="","",IF(BC126&lt;&gt;"",IFERROR(_xlfn.XLOOKUP(BC126,Щиты[Щит],Щиты[Iр, А]),""),IF(BK126=1,IFERROR(_xlfn.XLOOKUP(A126,Щиты[Щит],Щиты[Iр, А]),""),IFERROR(_xlfn.IFS(BR126=1,BN126/((Uн_лин/SQRT(3))*BY126),BR126=3,BN126/(SQRT(3)*Uн_лин*BY126)),""))))</f>
        <v>0.88767603887904944</v>
      </c>
      <c r="Q126" s="7">
        <f>IF(B126="","",IFERROR(IF(VLOOKUP(AX126,Потребители_обозначение,4,FALSE)=1,VLOOKUP(AX126,Потребители_обозначение,3,FALSE)*(D126*2-1)+DS126+VLOOKUP(AZ126,Этаж_обозначение,3,FALSE)+VLOOKUP(AZ126,Этаж_обозначение,4,FALSE),VLOOKUP(AX126,Потребители_обозначение,3,FALSE)*(D126*2-1)+DS126),DS126))</f>
        <v>72</v>
      </c>
      <c r="R126" s="6">
        <f t="shared" si="124"/>
        <v>0.91</v>
      </c>
      <c r="S126" t="str">
        <f t="shared" si="125"/>
        <v>ВВГнг(А)-LS (3х1,5)</v>
      </c>
      <c r="T126" t="str">
        <f>IF(BH126="","",IF(BI126="вводной узел","узел ","")&amp;"л."&amp;(INT((BH126-1)/Столбцов_на_лист)+1)&amp;" / "&amp;(MOD(BH126-1,Столбцов_на_лист)+1))</f>
        <v>л.3 / 11</v>
      </c>
      <c r="V126">
        <v>1</v>
      </c>
      <c r="W126">
        <v>230</v>
      </c>
      <c r="X126" t="s">
        <v>600</v>
      </c>
      <c r="Y126">
        <v>0.5</v>
      </c>
      <c r="AC126" t="s">
        <v>815</v>
      </c>
      <c r="AE126" t="s">
        <v>578</v>
      </c>
      <c r="AI126">
        <v>45</v>
      </c>
      <c r="AJ126" t="s">
        <v>11</v>
      </c>
      <c r="AK126">
        <v>3</v>
      </c>
      <c r="AM126">
        <v>58</v>
      </c>
      <c r="AN126">
        <v>14</v>
      </c>
      <c r="AP126">
        <v>1</v>
      </c>
      <c r="AW126" cm="1">
        <f t="array" ref="AW126">ROW()-ROW(Линии[#Headers])</f>
        <v>124</v>
      </c>
      <c r="AX126" s="6" t="str">
        <f t="shared" si="126"/>
        <v>K</v>
      </c>
      <c r="AY126" t="str">
        <f t="shared" si="127"/>
        <v>1.011A</v>
      </c>
      <c r="AZ126" t="str">
        <f t="shared" si="128"/>
        <v>1</v>
      </c>
      <c r="BA126" t="str">
        <f t="shared" si="129"/>
        <v>011A</v>
      </c>
      <c r="BB126" t="str">
        <f t="shared" si="130"/>
        <v>011A</v>
      </c>
      <c r="BC126" t="str">
        <f>IF(U126&lt;&gt;"",U126,IF(AND(B126&lt;&gt;"",B126&lt;&gt;A126,ISNUMBER(_xlfn.XMATCH(B126,Щиты[Щит]))),B126,""))</f>
        <v/>
      </c>
      <c r="BD126" t="str" cm="1">
        <f t="array" ref="BD126">IF(B126="","",IF(BC126&lt;&gt;"","Щит "&amp;BC126,_xlfn.LET(_xlpm.nm,IFERROR(_xlfn.XLOOKUP(AX126,Коды_код,Коды_имя)&amp;"",""),_xlpm.md,IFERROR(N(_xlfn.XLOOKUP(AX126,Коды_код,Коды_режим)),1),_xlpm.ex,IF(Имя_режим="по экспликации",IFERROR(_xlfn.XLOOKUP(AZ126&amp;"|"&amp;BB126,Экспликация[Этаж]&amp;"|"&amp;Экспликация[Помещение],Экспликация[Название])&amp;"",""),""),_xlpm.rm,IF(BB126="","",IF(_xlpm.ex&lt;&gt;"",". "&amp;_xlpm.ex&amp;IF(Имя_пом="нет"," ("&amp;BB126&amp;")"," (пом. "&amp;BB126&amp;")"),IF(Имя_пом="нет"," ",", пом. ")&amp;BB126)),IF(_xlpm.nm="","",IF(_xlpm.md=2,_xlpm.nm&amp;" шлейф "&amp;AZ126,_xlpm.nm&amp;_xlpm.rm)))))</f>
        <v>Внутренний блок кондиционирования, пом. 011A</v>
      </c>
      <c r="BE126" t="str">
        <f t="shared" si="131"/>
        <v>Внутренний блок кондиционирования первый этаж Пом. №002Б</v>
      </c>
      <c r="BF126">
        <f>IFERROR(_xlfn.XMATCH(A126,Щиты[Щит]),0)</f>
        <v>6</v>
      </c>
      <c r="BG126">
        <f>_xlfn.LET(_xlpm.k,IFERROR(_xlfn.XLOOKUP(A126,Щиты[Щит],Щиты[Листов под вводной узел]),""),IF(_xlpm.k="",1,N(_xlpm.k))*Столбцов_на_лист)</f>
        <v>17</v>
      </c>
      <c r="BH126">
        <f t="shared" si="132"/>
        <v>45</v>
      </c>
      <c r="BI126" t="str">
        <f t="shared" si="133"/>
        <v>линии</v>
      </c>
      <c r="BJ126" s="6">
        <f>IFERROR(N(_xlfn.XLOOKUP(AX126,Коды_код,Коды_квт)),0)</f>
        <v>0</v>
      </c>
      <c r="BK126">
        <f t="shared" si="134"/>
        <v>0</v>
      </c>
      <c r="BL126" t="str">
        <f>IF(B126="","",IF(BC126&lt;&gt;"",IFERROR(_xlfn.XLOOKUP(BC126,Щиты[Щит],Щиты[Руст, кВт]),0),IF(BK126=1,IFERROR(_xlfn.XLOOKUP(A126,Щиты[Щит],Щиты[Руст, кВт]),0),IF(BJ126&gt;0,ROUND(BJ126*MAX(1,N(D126)),3),""))))</f>
        <v/>
      </c>
      <c r="BM126">
        <f t="shared" si="135"/>
        <v>0.16400000000000001</v>
      </c>
      <c r="BN126" s="6">
        <f>IF(B126="","",IF(BC126&lt;&gt;"",IFERROR(_xlfn.XLOOKUP(BC126,Щиты[Щит],Щиты[Руст, кВт]),0),N(BM126)))</f>
        <v>0.16400000000000001</v>
      </c>
      <c r="BO126" t="str">
        <f>IF(B126="","",IFERROR(IF(VLOOKUP(AX126,Потребители_обозначение,8,FALSE)=0,"",VLOOKUP(AX126,Потребители_обозначение,8,FALSE)),""))</f>
        <v/>
      </c>
      <c r="BP126">
        <f t="shared" si="136"/>
        <v>230</v>
      </c>
      <c r="BQ126">
        <f>IF(B126="","",IF(BC126&lt;&gt;"",3,IFERROR(IF(N(VLOOKUP(AX126,Потребители_обозначение,9,FALSE))=0,1,VLOOKUP(AX126,Потребители_обозначение,9,FALSE)),1)))</f>
        <v>1</v>
      </c>
      <c r="BR126">
        <f t="shared" si="137"/>
        <v>1</v>
      </c>
      <c r="BS126" t="str">
        <f>IF(B126="","",_xlfn.LET(_xlpm.bc,IFERROR(IF(VLOOKUP(AX126,Потребители_обозначение,6,FALSE)=0,"",VLOOKUP(AX126,Потребители_обозначение,6,FALSE)&amp;""),""),IF(AND(FK126="да",OR(_xlpm.bc="",_xlpm.bc="мс")),Марка_пож,IF(AND(_xlpm.bc="",BC126&lt;&gt;""),"мс",_xlpm.bc))))</f>
        <v/>
      </c>
      <c r="BT126" t="str">
        <f t="shared" si="138"/>
        <v>мс</v>
      </c>
      <c r="BU126">
        <f>IF(B126="","",_xlfn.LET(_xlpm.cc,IFERROR(N(VLOOKUP(AX126,Потребители_обозначение,7,FALSE)),0),IF(_xlpm.cc&gt;0,_xlpm.cc,IF(BT126="","",IF(N(BR126)=3,5,3)))))</f>
        <v>3</v>
      </c>
      <c r="BV126">
        <f t="shared" si="139"/>
        <v>3</v>
      </c>
      <c r="BW126">
        <f>IFERROR(N(VLOOKUP(AX126,Потребители_обозначение,10,FALSE)),0)</f>
        <v>0</v>
      </c>
      <c r="BX126">
        <f>IFERROR(VLOOKUP(AX126,Потребители_обозначение,5,FALSE),0)</f>
        <v>1</v>
      </c>
      <c r="BY126" s="6" cm="1">
        <f t="array" ref="BY126">IF(B126="","",IF(BC126&lt;&gt;"",IFERROR(_xlfn.XLOOKUP(BC126,Щиты[Щит],Щиты[cos φ]),0.95),IF(BK126=1,IFERROR(_xlfn.XLOOKUP(A126,Щиты[Щит],Щиты[cos φ]),0.95),IF(ISNUMBER(Z126),Z126,IFERROR(IF(BX126=2,_xlfn.IFS(BR126=3,VLOOKUP(BN126,Справочная_двигатели,8,FALSE),BR126=1,VLOOKUP(BN126,Справочная_двигатели,10,TRUE)),IF(AND(Методика="нормы 2026",EQ126="Сил"),0.8,0.95)),0.95)))))</f>
        <v>0.8</v>
      </c>
      <c r="BZ126">
        <f t="shared" si="140"/>
        <v>0</v>
      </c>
      <c r="CA126">
        <f t="shared" si="141"/>
        <v>1</v>
      </c>
      <c r="CB126">
        <f t="shared" si="142"/>
        <v>0</v>
      </c>
      <c r="CC126">
        <f t="shared" si="143"/>
        <v>0</v>
      </c>
      <c r="CD126">
        <f t="shared" si="144"/>
        <v>0</v>
      </c>
      <c r="CE126">
        <f t="shared" si="145"/>
        <v>0</v>
      </c>
      <c r="CF126">
        <f t="shared" si="146"/>
        <v>0</v>
      </c>
      <c r="CG126">
        <f>IF(AX126="",0,_xlfn.LET(_xlpm.v,IFERROR(VLOOKUP(B126,УГО_спр,3,FALSE),IFERROR(VLOOKUP(AX126,УГО_спр,3,FALSE),IFERROR(VLOOKUP(LEFT(AX126,2),УГО_спр,3,FALSE),""))),IF(_xlpm.v="да",30,IF(ISNUMBER(_xlpm.v),_xlpm.v,0))))</f>
        <v>0</v>
      </c>
      <c r="CH126" t="str">
        <f t="shared" si="147"/>
        <v/>
      </c>
      <c r="CI126" t="str">
        <f>_xlfn.LET(_xlpm.k,IFERROR(_xlfn.XLOOKUP(AX126,Коды_код,Коды_утечка)&amp;"",""),IF(_xlpm.k="","дифавтомат",_xlpm.k))</f>
        <v>дифавтомат</v>
      </c>
      <c r="CJ126">
        <f t="shared" si="148"/>
        <v>0</v>
      </c>
      <c r="CK126">
        <f t="shared" si="149"/>
        <v>0</v>
      </c>
      <c r="CL126">
        <f>IF(B126="",0,IFERROR(--VLOOKUP(B126,УГО_спр,4,FALSE),IFERROR(--VLOOKUP(AX126,УГО_спр,4,FALSE),IFERROR(--VLOOKUP(LEFT(AX126,2),УГО_спр,4,FALSE),0))))</f>
        <v>0</v>
      </c>
      <c r="CM126" t="str">
        <f>IF(B126="","",IFERROR(_xlfn.XLOOKUP(AX126,Коды_код,Коды_апп)&amp;"",""))</f>
        <v/>
      </c>
      <c r="CN126" t="str">
        <f t="shared" si="150"/>
        <v/>
      </c>
      <c r="CO126" t="str" cm="1">
        <f t="array" ref="CO126">IF(TRIM(CN126&amp;"")="","",IFERROR(TRIM(INDEX(_xlfn.TEXTSPLIT(CN126&amp;";;;",";"),1)),""))</f>
        <v/>
      </c>
      <c r="CP126" t="str" cm="1">
        <f t="array" ref="CP126">IF(TRIM(CN126&amp;"")="","",IFERROR(TRIM(INDEX(_xlfn.TEXTSPLIT(CN126&amp;";;;",";"),2)),""))</f>
        <v/>
      </c>
      <c r="CQ126" t="str" cm="1">
        <f t="array" ref="CQ126">IF(TRIM(CN126&amp;"")="","",IFERROR(TRIM(INDEX(_xlfn.TEXTSPLIT(CN126&amp;";;;",";"),3)),""))</f>
        <v/>
      </c>
      <c r="CR126">
        <f t="shared" si="151"/>
        <v>0</v>
      </c>
      <c r="CS126" t="str">
        <f>IF(B126="","",_xlfn.LET(_xlpm.t,LOWER(AV126&amp;""),IF(ISNUMBER(SEARCH("dim",_xlpm.t)),"DIM",IF(ISNUMBER(SEARCH("dali",_xlpm.t)),"DALI",IF(OR(ISNUMBER(SEARCH("relay",_xlpm.t)),ISNUMBER(SEARCH("реле",_xlpm.t))),"Relay",IF(ISNUMBER(SEARCH("кнопк",_xlpm.t)),"",IFERROR(_xlfn.XLOOKUP(AX126,Коды_код,Коды_упр)&amp;"","")))))))</f>
        <v/>
      </c>
      <c r="CT126" t="str">
        <f t="shared" si="152"/>
        <v/>
      </c>
      <c r="CU126">
        <f>IF(B126="","",_xlfn.LET(_xlpm.ig,N(P126)+IF(AF126="вручную",0,N(CB126)),_xlpm.n0,IFERROR(VLOOKUP(_xlpm.ig,Автомат_номиналы,2,TRUE),0),_xlpm.mn,MAX(CL126,IF(AF126="вручную",0,N(CE126))),MAX(_xlpm.n0,_xlpm.mn,IF(CR126=1,Мин_автомат_БП,0))))</f>
        <v>6</v>
      </c>
      <c r="CV126">
        <f t="shared" si="153"/>
        <v>1</v>
      </c>
      <c r="CW126" t="str">
        <f t="shared" si="154"/>
        <v>1P</v>
      </c>
      <c r="CX126" t="str">
        <f>_xlfn.LET(_xlpm.cc,UPPER(TRIM(IFERROR(_xlfn.XLOOKUP(AX126,Коды_код,Коды_хар)&amp;"",""))),IF(OR(_xlpm.cc="B",_xlpm.cc="В"),"B",IF(_xlpm.cc="D","D","С")))</f>
        <v>С</v>
      </c>
      <c r="CY126" t="str">
        <f t="shared" si="155"/>
        <v>1P С6А</v>
      </c>
      <c r="CZ126">
        <f t="shared" si="156"/>
        <v>10</v>
      </c>
      <c r="DA126" t="str">
        <f t="shared" si="157"/>
        <v>1P С10А</v>
      </c>
      <c r="DB126" cm="1">
        <f t="array" ref="DB126">IF(DA126="","",_xlfn.LET(_xlpm.t,SUBSTITUTE(SUBSTITUTE(SUBSTITUTE(UPPER(DA126),"С","C"),"А","A"),"В","B"),_xlpm.tk,_xlfn.TEXTSPLIT(_xlpm.t,"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6" t="str">
        <f t="shared" si="158"/>
        <v>ok</v>
      </c>
      <c r="DD126">
        <f t="shared" si="159"/>
        <v>10</v>
      </c>
      <c r="DE126" t="str">
        <f t="shared" si="160"/>
        <v>1P С10А</v>
      </c>
      <c r="DF126">
        <f t="shared" si="161"/>
        <v>0</v>
      </c>
      <c r="DG126">
        <f t="shared" si="162"/>
        <v>0</v>
      </c>
      <c r="DH126">
        <f t="shared" si="163"/>
        <v>0</v>
      </c>
      <c r="DI126">
        <f t="shared" si="164"/>
        <v>0.88767603887904944</v>
      </c>
      <c r="DJ126">
        <f t="shared" si="165"/>
        <v>1</v>
      </c>
      <c r="DK126">
        <f>IF(ISNUMBER(AL126),AL126,К_прокл)</f>
        <v>1</v>
      </c>
      <c r="DL126">
        <f t="shared" si="166"/>
        <v>2</v>
      </c>
      <c r="DM126">
        <f>IFERROR(N(VLOOKUP(BT126,Кабель_обозначение,3,FALSE)),1)</f>
        <v>1</v>
      </c>
      <c r="DN126">
        <f>IFERROR(N(_xlfn.XLOOKUP(A126,Щиты[Щит],Щиты[ΔU до шин, %])),0)</f>
        <v>0.24000000000000002</v>
      </c>
      <c r="DO126" t="str">
        <f>IFERROR(_xlfn.XLOOKUP(A126,Щиты[Щит],Щиты[Zпетли на шинах, Ом]),"")</f>
        <v/>
      </c>
      <c r="DP126">
        <f>IFERROR(N(_xlfn.XLOOKUP(A126,Щиты[Щит],Щиты[ΔU до шин (подбор), %])),0)</f>
        <v>0.36</v>
      </c>
      <c r="DQ126" t="str">
        <f>IFERROR(_xlfn.XLOOKUP(A126,Щиты[Щит],Щиты[Zпетли на шинах (подбор), Ом]),"")</f>
        <v/>
      </c>
      <c r="DR126" t="str">
        <f t="shared" si="167"/>
        <v/>
      </c>
      <c r="DS126">
        <f t="shared" si="168"/>
        <v>70</v>
      </c>
      <c r="DT126">
        <f t="shared" si="169"/>
        <v>2</v>
      </c>
      <c r="DU126">
        <f t="shared" si="170"/>
        <v>0.6</v>
      </c>
      <c r="DV126" s="6">
        <f>IF(B126="","",IF(IFERROR(VLOOKUP(AX126,УГО_спр,2,FALSE),"")="Светильник",3,4)+IF(Методика="нормы 2026",MIN(0.5,MAX(0,N(Q126)-100)*0.005),0))</f>
        <v>4</v>
      </c>
      <c r="DW126" cm="1">
        <f t="array" ref="DW126">IF(OR(B126="",BT126="",DM126&lt;&gt;1),"",_xlfn.LET(_xlpm.sz,Iдоп_S,_xlpm.t_,CHOOSE(DL126,Iдоп_1ж,Iдоп_2ж,Iдоп_3ж)*DJ126*DK126,_xlpm.inn,N(DD126),_xlpm.smin,MAX(1.5,BW126),_xlpm.L_,N(Q126)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126)*(_xlpm.rho*_xlpm.L_/_xlpm.sz*N(BY126)+_xlpm.xx*_xlpm.L_*N(DU126)/1000)*N(P126)/((Uн_лин/SQRT(3))*1000)*100,999),_xlpm.kz,IF(OR(DG126=1,NOT(ISNUMBER(DQ126)),_xlpm.L_=0,_xlpm.inn=0),1,IFERROR(--(c_min*(Uн_лин*1000/SQRT(3))/(DQ126+2*ρкз_Cu*_xlpm.L_/_xlpm.sz)&gt;=GY126*_xlpm.inn),0)),_xlpm.ok,IFERROR((_xlpm.sz&gt;=_xlpm.smin)*(_xlpm.t_&gt;=_xlpm.inn)*IF(_xlpm.L_&gt;0,(_xlpm.du_+DP126&lt;=DV126+0.00001),1)*_xlpm.kz,0),_xlpm.r_,_xlfn._xlws.FILTER(_xlpm.sz,_xlpm.ok,"не подобрано"),INDEX(_xlpm.r_,1)))</f>
        <v>1.5</v>
      </c>
      <c r="DX126">
        <f t="shared" si="171"/>
        <v>1.5</v>
      </c>
      <c r="DY126" cm="1">
        <f t="array" ref="DY126">IF(OR(B126="",BT126="",DM126&lt;&gt;1),"",_xlfn.LET(_xlpm.sz,Iдоп_S,_xlpm.t_,CHOOSE(DL126,Iдоп_1ж,Iдоп_2ж,Iдоп_3ж)*DJ126*DK126,_xlpm.ok,IFERROR((_xlpm.sz&gt;=MAX(1.5,BW126))*(_xlpm.t_&gt;=N(DD126)),0),_xlpm.r_,_xlfn._xlws.FILTER(_xlpm.sz,_xlpm.ok,""),INDEX(_xlpm.r_,1)))</f>
        <v>1.5</v>
      </c>
      <c r="DZ126" s="6" cm="1">
        <f t="array" ref="DZ126">IFERROR(ROUNDUP(N(DT126)*(_xlfn.XLOOKUP(DY126,INDEX(Кабель_сопротивление,0,1),INDEX(Кабель_сопротивление,0,3))*N(Q126)/DY126*N(BY126)+_xlfn.XLOOKUP(DY126,INDEX(Кабель_сопротивление,0,1),INDEX(Кабель_сопротивление,0,2))*N(Q126)*N(DU126)/1000)*N(P126)/((Uн_лин/SQRT(3))*1000)*100,2),"")</f>
        <v>0.67</v>
      </c>
      <c r="EA126">
        <f>IFERROR(2*ρкз_Cu*N(Q126)/DY126,"")</f>
        <v>2.5247999999999999</v>
      </c>
      <c r="EB126">
        <f>IFERROR(VLOOKUP(DX126,Кабель_сопротивление,3,FALSE),"")</f>
        <v>2.2499999999999999E-2</v>
      </c>
      <c r="EC126">
        <f>IFERROR(VLOOKUP(DX126,Кабель_сопротивление,2,FALSE),"")</f>
        <v>0.11</v>
      </c>
      <c r="ED126">
        <f t="shared" si="172"/>
        <v>14</v>
      </c>
      <c r="EE126">
        <f t="shared" si="173"/>
        <v>0</v>
      </c>
      <c r="EF126">
        <f t="shared" si="174"/>
        <v>1.5423406682565037</v>
      </c>
      <c r="EG126" s="6">
        <f>IFERROR(ROUNDUP(EF126/((Uн_лин/SQRT(3))*1000)*100,2),"")</f>
        <v>0.67</v>
      </c>
      <c r="EH126" t="str">
        <f>IFERROR(VLOOKUP(BT126,Кабель_обозначение,2,FALSE),"")</f>
        <v>ВВГнг(А)-LS</v>
      </c>
      <c r="EI126" t="str">
        <f t="shared" si="175"/>
        <v>ВВГнг(А)-LS (3х1,5)</v>
      </c>
      <c r="EJ126" t="str">
        <f t="shared" si="176"/>
        <v>ВВГнг(А)-LS (3х1,5)
L=72-0,67%</v>
      </c>
      <c r="EK126">
        <f>IFERROR(2*ρкз_Cu*Q126/DX126,"")</f>
        <v>2.5247999999999999</v>
      </c>
      <c r="EL126">
        <f t="shared" si="177"/>
        <v>0.84000000000000019</v>
      </c>
      <c r="EM126" s="6" t="str">
        <f>IFERROR(IF(OR(B126="",NOT(ISNUMBER(DX126)),N(Q126)=0),"",_xlfn.XLOOKUP(A126,Щиты[Щит],Щиты[Zпетли на шинах, Ом])+EK126),"")</f>
        <v/>
      </c>
      <c r="EN126" s="6" t="str">
        <f>IF(ISNUMBER(EM126),c_min*(Uн_лин*1000/SQRT(3))/EM126,"")</f>
        <v/>
      </c>
      <c r="EO126" s="6" t="str">
        <f>IFERROR(IF(OR(B126="",NOT(ISNUMBER(DX126))),"",1.05*(Uн_лин*1000/SQRT(3))/(_xlfn.XLOOKUP(A126,Щиты[Щит],Щиты[Zmax на шинах, Ом])+EL126)/1000),"")</f>
        <v/>
      </c>
      <c r="EP126" s="6" t="str">
        <f>IF(B126="","",IF(ISNUMBER(Y126),"Сил",IF(IFERROR(_xlfn.XLOOKUP(AX126,Коды_код,Коды_группа)&amp;"","")="","Быт",_xlfn.XLOOKUP(AX126,Коды_код,Коды_группа)&amp;"")))</f>
        <v>Сил</v>
      </c>
      <c r="EQ126" s="6" t="str">
        <f t="shared" si="178"/>
        <v>Сил</v>
      </c>
      <c r="ER126" s="6">
        <f>IF(EQ126="Щит","щит",IF(EQ126="","",IF(EQ126="Быт",IFERROR(_xlfn.XLOOKUP(A126,Щиты[Щит],Щиты[Кс быт]),1),IF(EQ126="Сил",IF(ISNUMBER(Y126),Y126,IF(Методика="нормы 2026",IFERROR(_xlfn.XLOOKUP(A126,Щиты[Щит],Щиты[Кс силовых (табл. 7.5)]),1),1)),IF(OR(EQ126="Пост",EQ126="Отоп"),1,IF(EQ126="ВНГ",0.7,0))))))</f>
        <v>0.5</v>
      </c>
      <c r="ES126">
        <f t="shared" si="179"/>
        <v>1</v>
      </c>
      <c r="ET126">
        <f t="shared" si="180"/>
        <v>0.16400000000000001</v>
      </c>
      <c r="EU126">
        <f t="shared" si="181"/>
        <v>0</v>
      </c>
      <c r="EV126">
        <f t="shared" si="182"/>
        <v>8.2000000000000003E-2</v>
      </c>
      <c r="EW126">
        <f t="shared" si="183"/>
        <v>0</v>
      </c>
      <c r="EX126">
        <f t="shared" si="184"/>
        <v>0</v>
      </c>
      <c r="EY126">
        <f t="shared" si="185"/>
        <v>0</v>
      </c>
      <c r="EZ126">
        <f t="shared" si="186"/>
        <v>0.16400000000000001</v>
      </c>
      <c r="FA126">
        <f t="shared" si="187"/>
        <v>0.13120000000000001</v>
      </c>
      <c r="FB126">
        <f t="shared" si="188"/>
        <v>0.16400000000000001</v>
      </c>
      <c r="FC126" t="str">
        <f t="shared" si="189"/>
        <v/>
      </c>
      <c r="FD126" t="str">
        <f>IF(B126="","",IF(CA126=0,IF(AW126=1,"",FF125),IF(OR(N(CV126)&gt;=3,N(BR126)&gt;=3),"L1,L2,L3",IFERROR(_xlfn.TEXTBEFORE(_xlfn.TEXTAFTER(_xlfn.XLOOKUP(A126,Щиты[Щит],Щиты[_фазы авто]),";"&amp;AW126&amp;":"),";"),"L1"))))</f>
        <v>L2</v>
      </c>
      <c r="FE126" t="str">
        <f t="shared" si="190"/>
        <v>L2</v>
      </c>
      <c r="FF126" t="str">
        <f t="shared" si="191"/>
        <v>L2</v>
      </c>
      <c r="FG126" cm="1">
        <f t="array" ref="FG126">IFERROR(IF(BX126=2,_xlfn.IFS(BR126=3,VLOOKUP(BN126,Справочная_двигатели,3,FALSE),BR126=1,VLOOKUP(BN126,Справочная_двигатели,5,TRUE)),0),0)</f>
        <v>0</v>
      </c>
      <c r="FH126">
        <f>IFERROR(IF(BX126=3,VLOOKUP(BN126,Справочная_ЛЭД,2,TRUE),0),0)</f>
        <v>0</v>
      </c>
      <c r="FI126" s="6">
        <f t="shared" si="192"/>
        <v>0</v>
      </c>
      <c r="FJ126" t="str" cm="1">
        <f t="array" ref="FJ126">IF(B126="","",IFERROR(INDEX({"I особая","I","II","III"},MATCH(TRIM(AC126&amp;""),{"I особая","I","II","III"},0)),"III"))</f>
        <v>II</v>
      </c>
      <c r="FK126" t="str">
        <f>IF(B126="","",IF(TRIM(AD126&amp;"")&lt;&gt;"",IF(LOWER(TRIM(AD126&amp;""))="да","да","нет"),IF(IFERROR(_xlfn.XLOOKUP(AX126,Коды_код,Коды_пожарная),"")="да","да","нет")))</f>
        <v>нет</v>
      </c>
      <c r="FL126" t="str">
        <f t="shared" si="193"/>
        <v/>
      </c>
      <c r="FM126" t="str">
        <f t="shared" si="194"/>
        <v>основная</v>
      </c>
      <c r="FN126">
        <f t="shared" si="195"/>
        <v>1</v>
      </c>
      <c r="FO126" t="str" cm="1">
        <f t="array" ref="FO126">IF(B126="","",_xlfn.LET(_xlpm.t,IFERROR(_xlfn.XLOOKUP(1,(Шины[Шина]=FM126)*(((Шины[Щит]=A126)+(Шины[Щит]=""))&gt;0),Шины[Тип]),"")&amp;"",IF(_xlpm.t&lt;&gt;"",_xlpm.t,IF(ISNUMBER(SEARCH("ИБП",FM126)),"ИБП",IF(ISNUMBER(SEARCH("ДГУ",FM126)),"ДГУ","Ввод "&amp;FN126)))))</f>
        <v>Ввод 1</v>
      </c>
      <c r="FP126" t="str">
        <f t="shared" si="196"/>
        <v>Ввод 1</v>
      </c>
      <c r="FQ126" t="str">
        <f>IF(B126="","",IF(OR(FO126="ИБП",FO126="ДГУ"),"I особая",IF(FO126="Одиночная","III",_xlfn.XLOOKUP(A126,Щиты[Щит],Щиты[Категория шины «Ввод»],"III"))))</f>
        <v>II</v>
      </c>
      <c r="FR126">
        <f>IF(B126="",0,IFERROR(MATCH(FJ126,{"III","II","I","I особая"},0),1))</f>
        <v>2</v>
      </c>
      <c r="FS126">
        <f t="shared" si="197"/>
        <v>2</v>
      </c>
      <c r="FT126" t="str">
        <f>IF(B126="","",IF(FR126&gt;IFERROR(MATCH(FQ126,{"III","II","I","I особая"},0),1),"НЕ ОБЕСПЕЧЕНА","ОК"))</f>
        <v>ОК</v>
      </c>
      <c r="FU126" t="str">
        <f>IF(A126="","",_xlfn.XLOOKUP(A126,Щиты[Щит],Щиты[Путь],""))</f>
        <v>|ГРЩ-ЖД|ЩОВ-01|</v>
      </c>
      <c r="FV126" t="str">
        <f>IF(B126="","",IF(AE126&lt;&gt;"",AE126,IF(IFERROR(_xlfn.XLOOKUP(AX126,Коды_код,Коды_вид)&amp;"","")="","Прочее",_xlfn.XLOOKUP(AX126,Коды_код,Коды_вид)&amp;"")))</f>
        <v>Кондиционирование и увлажнение</v>
      </c>
      <c r="FW126">
        <f>IF(BH126="","",INT((BH126-1)/Столбцов_на_лист)+1)</f>
        <v>3</v>
      </c>
      <c r="FX126" t="str">
        <f t="shared" si="198"/>
        <v>ВВГнг(А)-LS (3х1,5) L=72-0,67%</v>
      </c>
      <c r="FY126">
        <f t="shared" si="199"/>
        <v>0.16400000000000001</v>
      </c>
      <c r="FZ126">
        <f t="shared" si="200"/>
        <v>0.89</v>
      </c>
      <c r="GA126">
        <f t="shared" si="201"/>
        <v>1</v>
      </c>
      <c r="GB126">
        <f t="shared" si="202"/>
        <v>0</v>
      </c>
      <c r="GC126">
        <f t="shared" si="203"/>
        <v>1</v>
      </c>
      <c r="GD126">
        <f>IF(BH126="","",IF(AND(CA126=1,GC126=1),COUNTIFS(A$3:A126,A126,CA$3:CA126,1,GC$3:GC126,1),IF(OR(OR(AW126=1,A126&lt;&gt;A125),AF126="вручную",GC126=0),"",IF(AW126=1,"",GE125))))</f>
        <v>24</v>
      </c>
      <c r="GE126">
        <f t="shared" si="204"/>
        <v>24</v>
      </c>
      <c r="GF126">
        <f>IF(B126="","",IFERROR(LOOKUP(INDEX(CHOOSE(DL126,Iдоп_1ж,Iдоп_2ж,Iдоп_3ж),MATCH(DX126,Iдоп_S,0))*DJ126*DK126,{6,10,16,20,25,32,40,50,63,80,100,125,160,200,250,315,400,500,630}),""))</f>
        <v>16</v>
      </c>
      <c r="GG126" t="str">
        <f t="shared" si="205"/>
        <v>QF24</v>
      </c>
      <c r="GH126" t="str">
        <f t="shared" si="206"/>
        <v>QF24</v>
      </c>
      <c r="GI126" t="str">
        <f t="shared" si="207"/>
        <v/>
      </c>
      <c r="GJ126">
        <f t="shared" si="208"/>
        <v>0</v>
      </c>
      <c r="GK126" t="str">
        <f>IF(OR(AG126="",AG126="-"),"",IFERROR(VLOOKUP(AG126,Модули_спр,2,FALSE),"R"))</f>
        <v/>
      </c>
      <c r="GL126" t="str">
        <f>IF(GK126="","",GK126&amp;"."&amp;COUNTIFS(A$3:A126,A126,GK$3:GK126,GK126))</f>
        <v/>
      </c>
      <c r="GM126" t="str">
        <f t="shared" si="209"/>
        <v/>
      </c>
      <c r="GN126" t="str">
        <f t="shared" si="210"/>
        <v/>
      </c>
      <c r="GO126" t="str">
        <f t="shared" si="211"/>
        <v/>
      </c>
      <c r="GP126" t="str">
        <f t="shared" si="212"/>
        <v/>
      </c>
      <c r="GQ126">
        <f t="shared" si="213"/>
        <v>1</v>
      </c>
      <c r="GR126" t="str">
        <f>IF(GQ126=1,"XT"&amp;COUNTIFS(A$3:A126,A126,GQ$3:GQ126,1),"")</f>
        <v>XT24</v>
      </c>
      <c r="GS126" t="str">
        <f t="shared" si="214"/>
        <v/>
      </c>
      <c r="GT126" t="str">
        <f t="shared" si="215"/>
        <v>QF24</v>
      </c>
      <c r="GU126" t="str">
        <f t="shared" si="216"/>
        <v/>
      </c>
      <c r="GV126" t="str">
        <f t="shared" si="217"/>
        <v>ok</v>
      </c>
      <c r="GW126" t="str">
        <f>IF(OR(GO126="",GM126=""),"",IF(GO126&gt;IFERROR(VLOOKUP(GN126,Модули_спр,3,FALSE),99),"ЛИШНИЙ КАНАЛ",IF(AND(AH126&lt;&gt;"=",COUNTIFS(Линии[_модуль гр.],GM126,Линии[Канал (итог)],GO126,Линии[Канал],"&lt;&gt;=",Линии[Щит],A126)&gt;1),"ДУБЛЬ КАНАЛА","")))</f>
        <v/>
      </c>
      <c r="GX126" s="6" t="str">
        <f t="shared" si="218"/>
        <v/>
      </c>
      <c r="GY126">
        <f t="shared" si="219"/>
        <v>10</v>
      </c>
      <c r="GZ126" t="str">
        <f t="shared" si="220"/>
        <v/>
      </c>
      <c r="HA126" t="str">
        <f>IF(AND(B126="",GT126=""),"",_xlfn.TEXTJOIN("; ",TRUE,IF(AND(B126&lt;&gt;"",FE126=""),"нет фазы",""),IF(AND(B126&lt;&gt;"",N(FY126)=0,EQ126&lt;&gt;"Нет"),"нет мощности",""),IF(AND(GS126&lt;&gt;"",COUNTIFS(Линии[Щит],A126,Линии[Клемма (итог)],GS126)&gt;1),"дубль клеммы "&amp;GS126,""),IF(AND(GV126&lt;&gt;"",GV126&lt;&gt;"ok"),GV126,""),IF(GW126&lt;&gt;"",GW126,""),IF(AND(N(BV126)&gt;=4,N(BR126)=1),BV126&amp;" жил на 1 фазе",""),IF(AND(AX126="R",CA126=1,OR(N(CK126)=0,N(CK126)&gt;30)),"розетка без дифзащиты до 30 мА",""),IFERROR(IF(AND(ISNUMBER(R126),R126&gt;DV126),"потери "&amp;FIXED(R126,1)&amp;" % &gt; "&amp;DV126&amp;" %",""),""),IFERROR(IF(LEFT(GZ126,4)="мало","Iкз мало — отключение &gt; 0,4 с",""),""),IF(AND(B126&lt;&gt;"",BH126=""),"не на схеме",""),IF(AND(CA126=0,B126&lt;&gt;"",FE126&lt;&gt;"",IF(AW126=1,"",FF125)&lt;&gt;"",FE126&lt;&gt;IF(AW126=1,"",FF125)),"фаза не как у автомата группы ("&amp;IF(AW126=1,"",FF125)&amp;")","")))</f>
        <v/>
      </c>
      <c r="HB126" s="6">
        <f>IF(OR(CA126=0,DA126=""),"",_xlfn.LET(_xlpm.t,IFERROR(_xlfn.XLOOKUP(DA126,Каталог!$U$4:$U$500,Каталог!$G$4:$G$500),""),_xlpm.k,SEARCH("кА",_xlpm.t),IFERROR(--TRIM(RIGHT(SUBSTITUTE(MID(_xlpm.t,MAX(1,_xlpm.k-4),_xlpm.k-MAX(1,_xlpm.k-4))," ",REPT(" ",9)),5)),"")))</f>
        <v>6</v>
      </c>
      <c r="HC126" t="str">
        <f>IF(OR(HB126="",CA126=0),"",IF(_xlfn.XLOOKUP(A126,Щиты[Щит],Щиты[Iкз max на шинах, кА],"")="","",IF(HB126&lt;_xlfn.XLOOKUP(A126,Щиты[Щит],Щиты[Iкз max на шинах, кА]),"Icu "&amp;HB126&amp;" кА &lt; Iкз max","ok")))</f>
        <v/>
      </c>
      <c r="HD126" t="str">
        <f t="shared" si="221"/>
        <v/>
      </c>
      <c r="HE126" t="str">
        <f t="shared" si="222"/>
        <v>QF24</v>
      </c>
      <c r="HF126" t="str">
        <f t="shared" si="223"/>
        <v>QF24|кабель ВВГнг(А)-LS (3х1,5) → Внутренний блок кондиционирования первый этаж Пом. №002Б</v>
      </c>
      <c r="HG126" t="str" cm="1">
        <f t="array" ref="HG126">IF(HF126="","",_xlfn.LET(_xlpm.nd,_xlfn.TEXTSPLIT(HF126,"|"),IF(COLUMNS(_xlpm.nd)&gt;1,A126&amp;"¦"&amp;INDEX(_xlpm.nd,1)&amp;"¦"&amp;INDEX(_xlpm.nd,2),"")))</f>
        <v>ЩОВ-01¦QF24¦кабель ВВГнг(А)-LS (3х1,5) → Внутренний блок кондиционирования первый этаж Пом. №002Б</v>
      </c>
      <c r="HH126" t="str">
        <f t="shared" si="224"/>
        <v>K.1.011A¦Внутренний блок кондиционирования первый этаж Пом. №002Б</v>
      </c>
      <c r="HI126" t="str" cm="1">
        <f t="array" ref="HI126">IF(HF126="","",_xlfn.LET(_xlpm.nd,_xlfn.TEXTSPLIT(HF126,"|"),IF(COLUMNS(_xlpm.nd)&gt;2,A126&amp;"¦"&amp;INDEX(_xlpm.nd,2)&amp;"¦"&amp;INDEX(_xlpm.nd,3),"")))</f>
        <v/>
      </c>
      <c r="HJ126" t="str">
        <f t="shared" si="225"/>
        <v/>
      </c>
      <c r="HK126" t="str" cm="1">
        <f t="array" ref="HK126">IF(HF126="","",_xlfn.LET(_xlpm.nd,_xlfn.TEXTSPLIT(HF126,"|"),IF(COLUMNS(_xlpm.nd)&gt;3,A126&amp;"¦"&amp;INDEX(_xlpm.nd,3)&amp;"¦"&amp;INDEX(_xlpm.nd,4),"")))</f>
        <v/>
      </c>
      <c r="HL126" t="str">
        <f t="shared" si="226"/>
        <v/>
      </c>
      <c r="HM126" t="str" cm="1">
        <f t="array" ref="HM126">IF(HF126="","",_xlfn.LET(_xlpm.nd,_xlfn.TEXTSPLIT(HF126,"|"),IF(COLUMNS(_xlpm.nd)&gt;4,A126&amp;"¦"&amp;INDEX(_xlpm.nd,4)&amp;"¦"&amp;INDEX(_xlpm.nd,5),"")))</f>
        <v/>
      </c>
      <c r="HN126" t="str">
        <f t="shared" si="227"/>
        <v/>
      </c>
      <c r="HO126" t="str" cm="1">
        <f t="array" ref="HO126">IF(HF126="","",_xlfn.LET(_xlpm.nd,_xlfn.TEXTSPLIT(HF126,"|"),IF(COLUMNS(_xlpm.nd)&gt;5,A126&amp;"¦"&amp;INDEX(_xlpm.nd,5)&amp;"¦"&amp;INDEX(_xlpm.nd,6),"")))</f>
        <v/>
      </c>
      <c r="HP126" t="str">
        <f t="shared" si="228"/>
        <v/>
      </c>
      <c r="HQ126" t="str" cm="1">
        <f t="array" ref="HQ126">IF(HF126="","",_xlfn.LET(_xlpm.nd,_xlfn.TEXTSPLIT(HF126,"|"),IF(COLUMNS(_xlpm.nd)&gt;6,A126&amp;"¦"&amp;INDEX(_xlpm.nd,6)&amp;"¦"&amp;INDEX(_xlpm.nd,7),"")))</f>
        <v/>
      </c>
      <c r="HR126" t="str">
        <f t="shared" si="229"/>
        <v/>
      </c>
      <c r="HS126" t="str">
        <f t="shared" si="230"/>
        <v/>
      </c>
      <c r="HT126" t="str">
        <f t="shared" si="231"/>
        <v>QF24</v>
      </c>
      <c r="HU126">
        <f t="shared" si="232"/>
        <v>0</v>
      </c>
      <c r="HV126">
        <f t="shared" si="233"/>
        <v>0</v>
      </c>
      <c r="HW126" t="str">
        <f t="shared" si="234"/>
        <v/>
      </c>
      <c r="HX126" t="str">
        <f t="shared" si="235"/>
        <v/>
      </c>
      <c r="HY126" t="str">
        <f t="shared" si="236"/>
        <v/>
      </c>
      <c r="HZ126" t="str">
        <f t="shared" si="237"/>
        <v/>
      </c>
      <c r="IA126">
        <f>IF(B126="","",IFERROR(VLOOKUP(B126,УГО_спр,2,FALSE),IFERROR(VLOOKUP(AX126,УГО_спр,2,FALSE),IFERROR(VLOOKUP(LEFT(AX126,2),УГО_спр,2,FALSE),""))))</f>
        <v>0</v>
      </c>
      <c r="IB126" t="str">
        <f>IF(B126="","",IF(OR(IA126="",IA126=0),"BOX",IFERROR(IF(VLOOKUP(IA126,УГО_блоки,3,FALSE)&amp;""&lt;&gt;"",VLOOKUP(IA126,УГО_блоки,3,FALSE),VLOOKUP(IA126,УГО_блоки,2,FALSE)),IA126)))</f>
        <v>BOX</v>
      </c>
      <c r="IC126">
        <f t="shared" si="238"/>
        <v>1</v>
      </c>
      <c r="ID126" t="str">
        <f>IF(DA126="","",IF(COUNTIF(DA$3:DA126,DA126)=1,MAX(ID$2:ID125)+1,""))</f>
        <v/>
      </c>
      <c r="IE126" t="str">
        <f>IF(CO126="","",IF(COUNTIF(CO$3:CO126,CO126)+COUNTIF(CP$2:CP125,CO126)+COUNTIF(CQ$2:CQ125,CO126)=1,MAX(IE$2:IG125)+1,""))</f>
        <v/>
      </c>
      <c r="IF126" t="str">
        <f>IF(CP126="","",IF(COUNTIF(CO$3:CO126,CP126)+COUNTIF(CP$3:CP126,CP126)+COUNTIF(CQ$2:CQ125,CP126)=1,MAX(IE$2:IG125,IE126)+1,""))</f>
        <v/>
      </c>
      <c r="IG126" t="str">
        <f>IF(CQ126="","",IF(COUNTIF(CO$3:CO126,CQ126)+COUNTIF(CP$3:CP126,CQ126)+COUNTIF(CQ$3:CQ126,CQ126)=1,MAX(IE$2:IG125,IE126,IF126)+1,""))</f>
        <v/>
      </c>
      <c r="IH126" t="str">
        <f t="shared" si="239"/>
        <v>3х1,5</v>
      </c>
      <c r="II126" t="str">
        <f>IF(IH126="","",IF(COUNTIF(IH$3:IH126,IH126)=1,MAX(II$2:II125)+1,""))</f>
        <v/>
      </c>
      <c r="IJ126" t="str">
        <f>IF(GL126="","",COUNTIF(GL$3:GL126,"?*"))</f>
        <v/>
      </c>
      <c r="IK126" t="str">
        <f>IF(OR(GL126="",GN126=""),"",IF(COUNTIFS(GL$3:GL126,"?*",GN$3:GN126,GN126)=1,MAX(IK$2:IK125)+1,""))</f>
        <v/>
      </c>
      <c r="IL126">
        <f t="shared" si="240"/>
        <v>0</v>
      </c>
      <c r="IM126">
        <f>IF(B126="","",COUNTIF(B$3:B126,"?*"))</f>
        <v>124</v>
      </c>
      <c r="IN126">
        <f>IF(GQ126&lt;&gt;1,0,_xlfn.LET(_xlpm.k,MAX(IFERROR(--VLOOKUP(B126,УГО_спр,5,FALSE),0),IFERROR(--VLOOKUP(AX126,УГО_спр,5,FALSE),0),IFERROR(--VLOOKUP(LEFT(AX126,2),УГО_спр,5,FALSE),0)),IF(_xlpm.k&gt;0,_xlpm.k,IF(IFERROR(--LEFT(SUBSTITUTE(IH126,"x","х"),FIND("х",SUBSTITUTE(IH126,"x","х"))-1),3)&gt;3,Каталог!$S$9,1))))</f>
        <v>1</v>
      </c>
      <c r="IO126">
        <f t="shared" si="241"/>
        <v>0</v>
      </c>
      <c r="IP126" t="str">
        <f t="shared" si="242"/>
        <v>авто</v>
      </c>
      <c r="IQ126" t="str">
        <f t="shared" si="243"/>
        <v/>
      </c>
      <c r="IR126">
        <f t="shared" si="244"/>
        <v>0</v>
      </c>
      <c r="IS126">
        <f t="shared" si="245"/>
        <v>1</v>
      </c>
    </row>
    <row r="127" spans="1:253" x14ac:dyDescent="0.3">
      <c r="A127" t="s">
        <v>747</v>
      </c>
      <c r="B127" t="s">
        <v>1396</v>
      </c>
      <c r="C127" t="s">
        <v>1640</v>
      </c>
      <c r="D127">
        <v>1</v>
      </c>
      <c r="E127">
        <v>0.36</v>
      </c>
      <c r="G127">
        <v>10</v>
      </c>
      <c r="H127" t="str">
        <f>Линии[[#This Row],[_авто утечка]]</f>
        <v/>
      </c>
      <c r="I127" t="str">
        <f>Линии[[#This Row],[_авто управление]]</f>
        <v/>
      </c>
      <c r="J127" t="str">
        <f>Линии[[#This Row],[_авто аппараты]]</f>
        <v/>
      </c>
      <c r="K127">
        <v>1.5</v>
      </c>
      <c r="L127">
        <v>68</v>
      </c>
      <c r="M127" t="str">
        <f>Линии[[#This Row],[_авто фаза]]</f>
        <v>L1</v>
      </c>
      <c r="N127" t="s">
        <v>486</v>
      </c>
      <c r="O127" t="str">
        <f t="shared" si="123"/>
        <v/>
      </c>
      <c r="P127" s="6" cm="1">
        <f t="array" ref="P127">IF(B127="","",IF(BC127&lt;&gt;"",IFERROR(_xlfn.XLOOKUP(BC127,Щиты[Щит],Щиты[Iр, А]),""),IF(BK127=1,IFERROR(_xlfn.XLOOKUP(A127,Щиты[Щит],Щиты[Iр, А]),""),IFERROR(_xlfn.IFS(BR127=1,BN127/((Uн_лин/SQRT(3))*BY127),BR127=3,BN127/(SQRT(3)*Uн_лин*BY127)),""))))</f>
        <v>1.9485571585149866</v>
      </c>
      <c r="Q127" s="7">
        <f>IF(B127="","",IFERROR(IF(VLOOKUP(AX127,Потребители_обозначение,4,FALSE)=1,VLOOKUP(AX127,Потребители_обозначение,3,FALSE)*(D127*2-1)+DS127+VLOOKUP(AZ127,Этаж_обозначение,3,FALSE)+VLOOKUP(AZ127,Этаж_обозначение,4,FALSE),VLOOKUP(AX127,Потребители_обозначение,3,FALSE)*(D127*2-1)+DS127),DS127))</f>
        <v>70</v>
      </c>
      <c r="R127" s="6">
        <f t="shared" si="124"/>
        <v>1.67</v>
      </c>
      <c r="S127" t="str">
        <f t="shared" si="125"/>
        <v>ВВГнг(А)-LS (3х1,5)</v>
      </c>
      <c r="T127" t="str">
        <f>IF(BH127="","",IF(BI127="вводной узел","узел ","")&amp;"л."&amp;(INT((BH127-1)/Столбцов_на_лист)+1)&amp;" / "&amp;(MOD(BH127-1,Столбцов_на_лист)+1))</f>
        <v>л.3 / 12</v>
      </c>
      <c r="V127">
        <v>1</v>
      </c>
      <c r="W127">
        <v>230</v>
      </c>
      <c r="X127" t="s">
        <v>600</v>
      </c>
      <c r="Y127">
        <v>0.5</v>
      </c>
      <c r="AC127" t="s">
        <v>815</v>
      </c>
      <c r="AE127" t="s">
        <v>578</v>
      </c>
      <c r="AI127">
        <v>46</v>
      </c>
      <c r="AJ127" t="s">
        <v>11</v>
      </c>
      <c r="AK127">
        <v>3</v>
      </c>
      <c r="AM127">
        <v>58</v>
      </c>
      <c r="AN127">
        <v>12</v>
      </c>
      <c r="AP127">
        <v>1</v>
      </c>
      <c r="AW127" cm="1">
        <f t="array" ref="AW127">ROW()-ROW(Линии[#Headers])</f>
        <v>125</v>
      </c>
      <c r="AX127" s="6" t="str">
        <f t="shared" si="126"/>
        <v>K</v>
      </c>
      <c r="AY127" t="str">
        <f t="shared" si="127"/>
        <v>1.014A</v>
      </c>
      <c r="AZ127" t="str">
        <f t="shared" si="128"/>
        <v>1</v>
      </c>
      <c r="BA127" t="str">
        <f t="shared" si="129"/>
        <v>014A</v>
      </c>
      <c r="BB127" t="str">
        <f t="shared" si="130"/>
        <v>014A</v>
      </c>
      <c r="BC127" t="str">
        <f>IF(U127&lt;&gt;"",U127,IF(AND(B127&lt;&gt;"",B127&lt;&gt;A127,ISNUMBER(_xlfn.XMATCH(B127,Щиты[Щит]))),B127,""))</f>
        <v/>
      </c>
      <c r="BD127" t="str" cm="1">
        <f t="array" ref="BD127">IF(B127="","",IF(BC127&lt;&gt;"","Щит "&amp;BC127,_xlfn.LET(_xlpm.nm,IFERROR(_xlfn.XLOOKUP(AX127,Коды_код,Коды_имя)&amp;"",""),_xlpm.md,IFERROR(N(_xlfn.XLOOKUP(AX127,Коды_код,Коды_режим)),1),_xlpm.ex,IF(Имя_режим="по экспликации",IFERROR(_xlfn.XLOOKUP(AZ127&amp;"|"&amp;BB127,Экспликация[Этаж]&amp;"|"&amp;Экспликация[Помещение],Экспликация[Название])&amp;"",""),""),_xlpm.rm,IF(BB127="","",IF(_xlpm.ex&lt;&gt;"",". "&amp;_xlpm.ex&amp;IF(Имя_пом="нет"," ("&amp;BB127&amp;")"," (пом. "&amp;BB127&amp;")"),IF(Имя_пом="нет"," ",", пом. ")&amp;BB127)),IF(_xlpm.nm="","",IF(_xlpm.md=2,_xlpm.nm&amp;" шлейф "&amp;AZ127,_xlpm.nm&amp;_xlpm.rm)))))</f>
        <v>Внутренний блок кондиционирования, пом. 014A</v>
      </c>
      <c r="BE127" t="str">
        <f t="shared" si="131"/>
        <v>Внутренний блок кондиционирования первый этаж Пом. №002Б</v>
      </c>
      <c r="BF127">
        <f>IFERROR(_xlfn.XMATCH(A127,Щиты[Щит]),0)</f>
        <v>6</v>
      </c>
      <c r="BG127">
        <f>_xlfn.LET(_xlpm.k,IFERROR(_xlfn.XLOOKUP(A127,Щиты[Щит],Щиты[Листов под вводной узел]),""),IF(_xlpm.k="",1,N(_xlpm.k))*Столбцов_на_лист)</f>
        <v>17</v>
      </c>
      <c r="BH127">
        <f t="shared" si="132"/>
        <v>46</v>
      </c>
      <c r="BI127" t="str">
        <f t="shared" si="133"/>
        <v>линии</v>
      </c>
      <c r="BJ127" s="6">
        <f>IFERROR(N(_xlfn.XLOOKUP(AX127,Коды_код,Коды_квт)),0)</f>
        <v>0</v>
      </c>
      <c r="BK127">
        <f t="shared" si="134"/>
        <v>0</v>
      </c>
      <c r="BL127" t="str">
        <f>IF(B127="","",IF(BC127&lt;&gt;"",IFERROR(_xlfn.XLOOKUP(BC127,Щиты[Щит],Щиты[Руст, кВт]),0),IF(BK127=1,IFERROR(_xlfn.XLOOKUP(A127,Щиты[Щит],Щиты[Руст, кВт]),0),IF(BJ127&gt;0,ROUND(BJ127*MAX(1,N(D127)),3),""))))</f>
        <v/>
      </c>
      <c r="BM127">
        <f t="shared" si="135"/>
        <v>0.36</v>
      </c>
      <c r="BN127" s="6">
        <f>IF(B127="","",IF(BC127&lt;&gt;"",IFERROR(_xlfn.XLOOKUP(BC127,Щиты[Щит],Щиты[Руст, кВт]),0),N(BM127)))</f>
        <v>0.36</v>
      </c>
      <c r="BO127" t="str">
        <f>IF(B127="","",IFERROR(IF(VLOOKUP(AX127,Потребители_обозначение,8,FALSE)=0,"",VLOOKUP(AX127,Потребители_обозначение,8,FALSE)),""))</f>
        <v/>
      </c>
      <c r="BP127">
        <f t="shared" si="136"/>
        <v>230</v>
      </c>
      <c r="BQ127">
        <f>IF(B127="","",IF(BC127&lt;&gt;"",3,IFERROR(IF(N(VLOOKUP(AX127,Потребители_обозначение,9,FALSE))=0,1,VLOOKUP(AX127,Потребители_обозначение,9,FALSE)),1)))</f>
        <v>1</v>
      </c>
      <c r="BR127">
        <f t="shared" si="137"/>
        <v>1</v>
      </c>
      <c r="BS127" t="str">
        <f>IF(B127="","",_xlfn.LET(_xlpm.bc,IFERROR(IF(VLOOKUP(AX127,Потребители_обозначение,6,FALSE)=0,"",VLOOKUP(AX127,Потребители_обозначение,6,FALSE)&amp;""),""),IF(AND(FK127="да",OR(_xlpm.bc="",_xlpm.bc="мс")),Марка_пож,IF(AND(_xlpm.bc="",BC127&lt;&gt;""),"мс",_xlpm.bc))))</f>
        <v/>
      </c>
      <c r="BT127" t="str">
        <f t="shared" si="138"/>
        <v>мс</v>
      </c>
      <c r="BU127">
        <f>IF(B127="","",_xlfn.LET(_xlpm.cc,IFERROR(N(VLOOKUP(AX127,Потребители_обозначение,7,FALSE)),0),IF(_xlpm.cc&gt;0,_xlpm.cc,IF(BT127="","",IF(N(BR127)=3,5,3)))))</f>
        <v>3</v>
      </c>
      <c r="BV127">
        <f t="shared" si="139"/>
        <v>3</v>
      </c>
      <c r="BW127">
        <f>IFERROR(N(VLOOKUP(AX127,Потребители_обозначение,10,FALSE)),0)</f>
        <v>0</v>
      </c>
      <c r="BX127">
        <f>IFERROR(VLOOKUP(AX127,Потребители_обозначение,5,FALSE),0)</f>
        <v>1</v>
      </c>
      <c r="BY127" s="6" cm="1">
        <f t="array" ref="BY127">IF(B127="","",IF(BC127&lt;&gt;"",IFERROR(_xlfn.XLOOKUP(BC127,Щиты[Щит],Щиты[cos φ]),0.95),IF(BK127=1,IFERROR(_xlfn.XLOOKUP(A127,Щиты[Щит],Щиты[cos φ]),0.95),IF(ISNUMBER(Z127),Z127,IFERROR(IF(BX127=2,_xlfn.IFS(BR127=3,VLOOKUP(BN127,Справочная_двигатели,8,FALSE),BR127=1,VLOOKUP(BN127,Справочная_двигатели,10,TRUE)),IF(AND(Методика="нормы 2026",EQ127="Сил"),0.8,0.95)),0.95)))))</f>
        <v>0.8</v>
      </c>
      <c r="BZ127">
        <f t="shared" si="140"/>
        <v>0</v>
      </c>
      <c r="CA127">
        <f t="shared" si="141"/>
        <v>1</v>
      </c>
      <c r="CB127">
        <f t="shared" si="142"/>
        <v>0</v>
      </c>
      <c r="CC127">
        <f t="shared" si="143"/>
        <v>0</v>
      </c>
      <c r="CD127">
        <f t="shared" si="144"/>
        <v>0</v>
      </c>
      <c r="CE127">
        <f t="shared" si="145"/>
        <v>0</v>
      </c>
      <c r="CF127">
        <f t="shared" si="146"/>
        <v>0</v>
      </c>
      <c r="CG127">
        <f>IF(AX127="",0,_xlfn.LET(_xlpm.v,IFERROR(VLOOKUP(B127,УГО_спр,3,FALSE),IFERROR(VLOOKUP(AX127,УГО_спр,3,FALSE),IFERROR(VLOOKUP(LEFT(AX127,2),УГО_спр,3,FALSE),""))),IF(_xlpm.v="да",30,IF(ISNUMBER(_xlpm.v),_xlpm.v,0))))</f>
        <v>0</v>
      </c>
      <c r="CH127" t="str">
        <f t="shared" si="147"/>
        <v/>
      </c>
      <c r="CI127" t="str">
        <f>_xlfn.LET(_xlpm.k,IFERROR(_xlfn.XLOOKUP(AX127,Коды_код,Коды_утечка)&amp;"",""),IF(_xlpm.k="","дифавтомат",_xlpm.k))</f>
        <v>дифавтомат</v>
      </c>
      <c r="CJ127">
        <f t="shared" si="148"/>
        <v>0</v>
      </c>
      <c r="CK127">
        <f t="shared" si="149"/>
        <v>0</v>
      </c>
      <c r="CL127">
        <f>IF(B127="",0,IFERROR(--VLOOKUP(B127,УГО_спр,4,FALSE),IFERROR(--VLOOKUP(AX127,УГО_спр,4,FALSE),IFERROR(--VLOOKUP(LEFT(AX127,2),УГО_спр,4,FALSE),0))))</f>
        <v>0</v>
      </c>
      <c r="CM127" t="str">
        <f>IF(B127="","",IFERROR(_xlfn.XLOOKUP(AX127,Коды_код,Коды_апп)&amp;"",""))</f>
        <v/>
      </c>
      <c r="CN127" t="str">
        <f t="shared" si="150"/>
        <v/>
      </c>
      <c r="CO127" t="str" cm="1">
        <f t="array" ref="CO127">IF(TRIM(CN127&amp;"")="","",IFERROR(TRIM(INDEX(_xlfn.TEXTSPLIT(CN127&amp;";;;",";"),1)),""))</f>
        <v/>
      </c>
      <c r="CP127" t="str" cm="1">
        <f t="array" ref="CP127">IF(TRIM(CN127&amp;"")="","",IFERROR(TRIM(INDEX(_xlfn.TEXTSPLIT(CN127&amp;";;;",";"),2)),""))</f>
        <v/>
      </c>
      <c r="CQ127" t="str" cm="1">
        <f t="array" ref="CQ127">IF(TRIM(CN127&amp;"")="","",IFERROR(TRIM(INDEX(_xlfn.TEXTSPLIT(CN127&amp;";;;",";"),3)),""))</f>
        <v/>
      </c>
      <c r="CR127">
        <f t="shared" si="151"/>
        <v>0</v>
      </c>
      <c r="CS127" t="str">
        <f>IF(B127="","",_xlfn.LET(_xlpm.t,LOWER(AV127&amp;""),IF(ISNUMBER(SEARCH("dim",_xlpm.t)),"DIM",IF(ISNUMBER(SEARCH("dali",_xlpm.t)),"DALI",IF(OR(ISNUMBER(SEARCH("relay",_xlpm.t)),ISNUMBER(SEARCH("реле",_xlpm.t))),"Relay",IF(ISNUMBER(SEARCH("кнопк",_xlpm.t)),"",IFERROR(_xlfn.XLOOKUP(AX127,Коды_код,Коды_упр)&amp;"","")))))))</f>
        <v/>
      </c>
      <c r="CT127" t="str">
        <f t="shared" si="152"/>
        <v/>
      </c>
      <c r="CU127">
        <f>IF(B127="","",_xlfn.LET(_xlpm.ig,N(P127)+IF(AF127="вручную",0,N(CB127)),_xlpm.n0,IFERROR(VLOOKUP(_xlpm.ig,Автомат_номиналы,2,TRUE),0),_xlpm.mn,MAX(CL127,IF(AF127="вручную",0,N(CE127))),MAX(_xlpm.n0,_xlpm.mn,IF(CR127=1,Мин_автомат_БП,0))))</f>
        <v>6</v>
      </c>
      <c r="CV127">
        <f t="shared" si="153"/>
        <v>1</v>
      </c>
      <c r="CW127" t="str">
        <f t="shared" si="154"/>
        <v>1P</v>
      </c>
      <c r="CX127" t="str">
        <f>_xlfn.LET(_xlpm.cc,UPPER(TRIM(IFERROR(_xlfn.XLOOKUP(AX127,Коды_код,Коды_хар)&amp;"",""))),IF(OR(_xlpm.cc="B",_xlpm.cc="В"),"B",IF(_xlpm.cc="D","D","С")))</f>
        <v>С</v>
      </c>
      <c r="CY127" t="str">
        <f t="shared" si="155"/>
        <v>1P С6А</v>
      </c>
      <c r="CZ127">
        <f t="shared" si="156"/>
        <v>10</v>
      </c>
      <c r="DA127" t="str">
        <f t="shared" si="157"/>
        <v>1P С10А</v>
      </c>
      <c r="DB127" cm="1">
        <f t="array" ref="DB127">IF(DA127="","",_xlfn.LET(_xlpm.t,SUBSTITUTE(SUBSTITUTE(SUBSTITUTE(UPPER(DA127),"С","C"),"А","A"),"В","B"),_xlpm.tk,_xlfn.TEXTSPLIT(_xlpm.t,"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7" t="str">
        <f t="shared" si="158"/>
        <v>ok</v>
      </c>
      <c r="DD127">
        <f t="shared" si="159"/>
        <v>10</v>
      </c>
      <c r="DE127" t="str">
        <f t="shared" si="160"/>
        <v>1P С10А</v>
      </c>
      <c r="DF127">
        <f t="shared" si="161"/>
        <v>0</v>
      </c>
      <c r="DG127">
        <f t="shared" si="162"/>
        <v>0</v>
      </c>
      <c r="DH127">
        <f t="shared" si="163"/>
        <v>0</v>
      </c>
      <c r="DI127">
        <f t="shared" si="164"/>
        <v>1.9485571585149866</v>
      </c>
      <c r="DJ127">
        <f t="shared" si="165"/>
        <v>1</v>
      </c>
      <c r="DK127">
        <f>IF(ISNUMBER(AL127),AL127,К_прокл)</f>
        <v>1</v>
      </c>
      <c r="DL127">
        <f t="shared" si="166"/>
        <v>2</v>
      </c>
      <c r="DM127">
        <f>IFERROR(N(VLOOKUP(BT127,Кабель_обозначение,3,FALSE)),1)</f>
        <v>1</v>
      </c>
      <c r="DN127">
        <f>IFERROR(N(_xlfn.XLOOKUP(A127,Щиты[Щит],Щиты[ΔU до шин, %])),0)</f>
        <v>0.24000000000000002</v>
      </c>
      <c r="DO127" t="str">
        <f>IFERROR(_xlfn.XLOOKUP(A127,Щиты[Щит],Щиты[Zпетли на шинах, Ом]),"")</f>
        <v/>
      </c>
      <c r="DP127">
        <f>IFERROR(N(_xlfn.XLOOKUP(A127,Щиты[Щит],Щиты[ΔU до шин (подбор), %])),0)</f>
        <v>0.36</v>
      </c>
      <c r="DQ127" t="str">
        <f>IFERROR(_xlfn.XLOOKUP(A127,Щиты[Щит],Щиты[Zпетли на шинах (подбор), Ом]),"")</f>
        <v/>
      </c>
      <c r="DR127" t="str">
        <f t="shared" si="167"/>
        <v/>
      </c>
      <c r="DS127">
        <f t="shared" si="168"/>
        <v>68</v>
      </c>
      <c r="DT127">
        <f t="shared" si="169"/>
        <v>2</v>
      </c>
      <c r="DU127">
        <f t="shared" si="170"/>
        <v>0.6</v>
      </c>
      <c r="DV127" s="6">
        <f>IF(B127="","",IF(IFERROR(VLOOKUP(AX127,УГО_спр,2,FALSE),"")="Светильник",3,4)+IF(Методика="нормы 2026",MIN(0.5,MAX(0,N(Q127)-100)*0.005),0))</f>
        <v>4</v>
      </c>
      <c r="DW127" cm="1">
        <f t="array" ref="DW127">IF(OR(B127="",BT127="",DM127&lt;&gt;1),"",_xlfn.LET(_xlpm.sz,Iдоп_S,_xlpm.t_,CHOOSE(DL127,Iдоп_1ж,Iдоп_2ж,Iдоп_3ж)*DJ127*DK127,_xlpm.inn,N(DD127),_xlpm.smin,MAX(1.5,BW127),_xlpm.L_,N(Q127)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127)*(_xlpm.rho*_xlpm.L_/_xlpm.sz*N(BY127)+_xlpm.xx*_xlpm.L_*N(DU127)/1000)*N(P127)/((Uн_лин/SQRT(3))*1000)*100,999),_xlpm.kz,IF(OR(DG127=1,NOT(ISNUMBER(DQ127)),_xlpm.L_=0,_xlpm.inn=0),1,IFERROR(--(c_min*(Uн_лин*1000/SQRT(3))/(DQ127+2*ρкз_Cu*_xlpm.L_/_xlpm.sz)&gt;=GY127*_xlpm.inn),0)),_xlpm.ok,IFERROR((_xlpm.sz&gt;=_xlpm.smin)*(_xlpm.t_&gt;=_xlpm.inn)*IF(_xlpm.L_&gt;0,(_xlpm.du_+DP127&lt;=DV127+0.00001),1)*_xlpm.kz,0),_xlpm.r_,_xlfn._xlws.FILTER(_xlpm.sz,_xlpm.ok,"не подобрано"),INDEX(_xlpm.r_,1)))</f>
        <v>1.5</v>
      </c>
      <c r="DX127">
        <f t="shared" si="171"/>
        <v>1.5</v>
      </c>
      <c r="DY127" cm="1">
        <f t="array" ref="DY127">IF(OR(B127="",BT127="",DM127&lt;&gt;1),"",_xlfn.LET(_xlpm.sz,Iдоп_S,_xlpm.t_,CHOOSE(DL127,Iдоп_1ж,Iдоп_2ж,Iдоп_3ж)*DJ127*DK127,_xlpm.ok,IFERROR((_xlpm.sz&gt;=MAX(1.5,BW127))*(_xlpm.t_&gt;=N(DD127)),0),_xlpm.r_,_xlfn._xlws.FILTER(_xlpm.sz,_xlpm.ok,""),INDEX(_xlpm.r_,1)))</f>
        <v>1.5</v>
      </c>
      <c r="DZ127" s="6" cm="1">
        <f t="array" ref="DZ127">IFERROR(ROUNDUP(N(DT127)*(_xlfn.XLOOKUP(DY127,INDEX(Кабель_сопротивление,0,1),INDEX(Кабель_сопротивление,0,3))*N(Q127)/DY127*N(BY127)+_xlfn.XLOOKUP(DY127,INDEX(Кабель_сопротивление,0,1),INDEX(Кабель_сопротивление,0,2))*N(Q127)*N(DU127)/1000)*N(P127)/((Uн_лин/SQRT(3))*1000)*100,2),"")</f>
        <v>1.43</v>
      </c>
      <c r="EA127">
        <f>IFERROR(2*ρкз_Cu*N(Q127)/DY127,"")</f>
        <v>2.4546666666666668</v>
      </c>
      <c r="EB127">
        <f>IFERROR(VLOOKUP(DX127,Кабель_сопротивление,3,FALSE),"")</f>
        <v>2.2499999999999999E-2</v>
      </c>
      <c r="EC127">
        <f>IFERROR(VLOOKUP(DX127,Кабель_сопротивление,2,FALSE),"")</f>
        <v>0.11</v>
      </c>
      <c r="ED127">
        <f t="shared" si="172"/>
        <v>12</v>
      </c>
      <c r="EE127">
        <f t="shared" si="173"/>
        <v>0</v>
      </c>
      <c r="EF127">
        <f t="shared" si="174"/>
        <v>3.291580694449856</v>
      </c>
      <c r="EG127" s="6">
        <f>IFERROR(ROUNDUP(EF127/((Uн_лин/SQRT(3))*1000)*100,2),"")</f>
        <v>1.43</v>
      </c>
      <c r="EH127" t="str">
        <f>IFERROR(VLOOKUP(BT127,Кабель_обозначение,2,FALSE),"")</f>
        <v>ВВГнг(А)-LS</v>
      </c>
      <c r="EI127" t="str">
        <f t="shared" si="175"/>
        <v>ВВГнг(А)-LS (3х1,5)</v>
      </c>
      <c r="EJ127" t="str">
        <f t="shared" si="176"/>
        <v>ВВГнг(А)-LS (3х1,5)
L=70-1,43%</v>
      </c>
      <c r="EK127">
        <f>IFERROR(2*ρкз_Cu*Q127/DX127,"")</f>
        <v>2.4546666666666668</v>
      </c>
      <c r="EL127">
        <f t="shared" si="177"/>
        <v>0.81666666666666676</v>
      </c>
      <c r="EM127" s="6" t="str">
        <f>IFERROR(IF(OR(B127="",NOT(ISNUMBER(DX127)),N(Q127)=0),"",_xlfn.XLOOKUP(A127,Щиты[Щит],Щиты[Zпетли на шинах, Ом])+EK127),"")</f>
        <v/>
      </c>
      <c r="EN127" s="6" t="str">
        <f>IF(ISNUMBER(EM127),c_min*(Uн_лин*1000/SQRT(3))/EM127,"")</f>
        <v/>
      </c>
      <c r="EO127" s="6" t="str">
        <f>IFERROR(IF(OR(B127="",NOT(ISNUMBER(DX127))),"",1.05*(Uн_лин*1000/SQRT(3))/(_xlfn.XLOOKUP(A127,Щиты[Щит],Щиты[Zmax на шинах, Ом])+EL127)/1000),"")</f>
        <v/>
      </c>
      <c r="EP127" s="6" t="str">
        <f>IF(B127="","",IF(ISNUMBER(Y127),"Сил",IF(IFERROR(_xlfn.XLOOKUP(AX127,Коды_код,Коды_группа)&amp;"","")="","Быт",_xlfn.XLOOKUP(AX127,Коды_код,Коды_группа)&amp;"")))</f>
        <v>Сил</v>
      </c>
      <c r="EQ127" s="6" t="str">
        <f t="shared" si="178"/>
        <v>Сил</v>
      </c>
      <c r="ER127" s="6">
        <f>IF(EQ127="Щит","щит",IF(EQ127="","",IF(EQ127="Быт",IFERROR(_xlfn.XLOOKUP(A127,Щиты[Щит],Щиты[Кс быт]),1),IF(EQ127="Сил",IF(ISNUMBER(Y127),Y127,IF(Методика="нормы 2026",IFERROR(_xlfn.XLOOKUP(A127,Щиты[Щит],Щиты[Кс силовых (табл. 7.5)]),1),1)),IF(OR(EQ127="Пост",EQ127="Отоп"),1,IF(EQ127="ВНГ",0.7,0))))))</f>
        <v>0.5</v>
      </c>
      <c r="ES127">
        <f t="shared" si="179"/>
        <v>1</v>
      </c>
      <c r="ET127">
        <f t="shared" si="180"/>
        <v>0.36</v>
      </c>
      <c r="EU127">
        <f t="shared" si="181"/>
        <v>0</v>
      </c>
      <c r="EV127">
        <f t="shared" si="182"/>
        <v>0.18</v>
      </c>
      <c r="EW127">
        <f t="shared" si="183"/>
        <v>0</v>
      </c>
      <c r="EX127">
        <f t="shared" si="184"/>
        <v>0</v>
      </c>
      <c r="EY127">
        <f t="shared" si="185"/>
        <v>0</v>
      </c>
      <c r="EZ127">
        <f t="shared" si="186"/>
        <v>0.36</v>
      </c>
      <c r="FA127">
        <f t="shared" si="187"/>
        <v>0.28799999999999998</v>
      </c>
      <c r="FB127">
        <f t="shared" si="188"/>
        <v>0.36</v>
      </c>
      <c r="FC127" t="str">
        <f t="shared" si="189"/>
        <v/>
      </c>
      <c r="FD127" t="str">
        <f>IF(B127="","",IF(CA127=0,IF(AW127=1,"",FF126),IF(OR(N(CV127)&gt;=3,N(BR127)&gt;=3),"L1,L2,L3",IFERROR(_xlfn.TEXTBEFORE(_xlfn.TEXTAFTER(_xlfn.XLOOKUP(A127,Щиты[Щит],Щиты[_фазы авто]),";"&amp;AW127&amp;":"),";"),"L1"))))</f>
        <v>L1</v>
      </c>
      <c r="FE127" t="str">
        <f t="shared" si="190"/>
        <v>L1</v>
      </c>
      <c r="FF127" t="str">
        <f t="shared" si="191"/>
        <v>L1</v>
      </c>
      <c r="FG127" cm="1">
        <f t="array" ref="FG127">IFERROR(IF(BX127=2,_xlfn.IFS(BR127=3,VLOOKUP(BN127,Справочная_двигатели,3,FALSE),BR127=1,VLOOKUP(BN127,Справочная_двигатели,5,TRUE)),0),0)</f>
        <v>0</v>
      </c>
      <c r="FH127">
        <f>IFERROR(IF(BX127=3,VLOOKUP(BN127,Справочная_ЛЭД,2,TRUE),0),0)</f>
        <v>0</v>
      </c>
      <c r="FI127" s="6">
        <f t="shared" si="192"/>
        <v>0</v>
      </c>
      <c r="FJ127" t="str" cm="1">
        <f t="array" ref="FJ127">IF(B127="","",IFERROR(INDEX({"I особая","I","II","III"},MATCH(TRIM(AC127&amp;""),{"I особая","I","II","III"},0)),"III"))</f>
        <v>II</v>
      </c>
      <c r="FK127" t="str">
        <f>IF(B127="","",IF(TRIM(AD127&amp;"")&lt;&gt;"",IF(LOWER(TRIM(AD127&amp;""))="да","да","нет"),IF(IFERROR(_xlfn.XLOOKUP(AX127,Коды_код,Коды_пожарная),"")="да","да","нет")))</f>
        <v>нет</v>
      </c>
      <c r="FL127" t="str">
        <f t="shared" si="193"/>
        <v/>
      </c>
      <c r="FM127" t="str">
        <f t="shared" si="194"/>
        <v>основная</v>
      </c>
      <c r="FN127">
        <f t="shared" si="195"/>
        <v>1</v>
      </c>
      <c r="FO127" t="str" cm="1">
        <f t="array" ref="FO127">IF(B127="","",_xlfn.LET(_xlpm.t,IFERROR(_xlfn.XLOOKUP(1,(Шины[Шина]=FM127)*(((Шины[Щит]=A127)+(Шины[Щит]=""))&gt;0),Шины[Тип]),"")&amp;"",IF(_xlpm.t&lt;&gt;"",_xlpm.t,IF(ISNUMBER(SEARCH("ИБП",FM127)),"ИБП",IF(ISNUMBER(SEARCH("ДГУ",FM127)),"ДГУ","Ввод "&amp;FN127)))))</f>
        <v>Ввод 1</v>
      </c>
      <c r="FP127" t="str">
        <f t="shared" si="196"/>
        <v>Ввод 1</v>
      </c>
      <c r="FQ127" t="str">
        <f>IF(B127="","",IF(OR(FO127="ИБП",FO127="ДГУ"),"I особая",IF(FO127="Одиночная","III",_xlfn.XLOOKUP(A127,Щиты[Щит],Щиты[Категория шины «Ввод»],"III"))))</f>
        <v>II</v>
      </c>
      <c r="FR127">
        <f>IF(B127="",0,IFERROR(MATCH(FJ127,{"III","II","I","I особая"},0),1))</f>
        <v>2</v>
      </c>
      <c r="FS127">
        <f t="shared" si="197"/>
        <v>2</v>
      </c>
      <c r="FT127" t="str">
        <f>IF(B127="","",IF(FR127&gt;IFERROR(MATCH(FQ127,{"III","II","I","I особая"},0),1),"НЕ ОБЕСПЕЧЕНА","ОК"))</f>
        <v>ОК</v>
      </c>
      <c r="FU127" t="str">
        <f>IF(A127="","",_xlfn.XLOOKUP(A127,Щиты[Щит],Щиты[Путь],""))</f>
        <v>|ГРЩ-ЖД|ЩОВ-01|</v>
      </c>
      <c r="FV127" t="str">
        <f>IF(B127="","",IF(AE127&lt;&gt;"",AE127,IF(IFERROR(_xlfn.XLOOKUP(AX127,Коды_код,Коды_вид)&amp;"","")="","Прочее",_xlfn.XLOOKUP(AX127,Коды_код,Коды_вид)&amp;"")))</f>
        <v>Кондиционирование и увлажнение</v>
      </c>
      <c r="FW127">
        <f>IF(BH127="","",INT((BH127-1)/Столбцов_на_лист)+1)</f>
        <v>3</v>
      </c>
      <c r="FX127" t="str">
        <f t="shared" si="198"/>
        <v>ВВГнг(А)-LS (3х1,5) L=70-1,43%</v>
      </c>
      <c r="FY127">
        <f t="shared" si="199"/>
        <v>0.36</v>
      </c>
      <c r="FZ127">
        <f t="shared" si="200"/>
        <v>1.95</v>
      </c>
      <c r="GA127">
        <f t="shared" si="201"/>
        <v>1</v>
      </c>
      <c r="GB127">
        <f t="shared" si="202"/>
        <v>0</v>
      </c>
      <c r="GC127">
        <f t="shared" si="203"/>
        <v>1</v>
      </c>
      <c r="GD127">
        <f>IF(BH127="","",IF(AND(CA127=1,GC127=1),COUNTIFS(A$3:A127,A127,CA$3:CA127,1,GC$3:GC127,1),IF(OR(OR(AW127=1,A127&lt;&gt;A126),AF127="вручную",GC127=0),"",IF(AW127=1,"",GE126))))</f>
        <v>25</v>
      </c>
      <c r="GE127">
        <f t="shared" si="204"/>
        <v>25</v>
      </c>
      <c r="GF127">
        <f>IF(B127="","",IFERROR(LOOKUP(INDEX(CHOOSE(DL127,Iдоп_1ж,Iдоп_2ж,Iдоп_3ж),MATCH(DX127,Iдоп_S,0))*DJ127*DK127,{6,10,16,20,25,32,40,50,63,80,100,125,160,200,250,315,400,500,630}),""))</f>
        <v>16</v>
      </c>
      <c r="GG127" t="str">
        <f t="shared" si="205"/>
        <v>QF25</v>
      </c>
      <c r="GH127" t="str">
        <f t="shared" si="206"/>
        <v>QF25</v>
      </c>
      <c r="GI127" t="str">
        <f t="shared" si="207"/>
        <v/>
      </c>
      <c r="GJ127">
        <f t="shared" si="208"/>
        <v>0</v>
      </c>
      <c r="GK127" t="str">
        <f>IF(OR(AG127="",AG127="-"),"",IFERROR(VLOOKUP(AG127,Модули_спр,2,FALSE),"R"))</f>
        <v/>
      </c>
      <c r="GL127" t="str">
        <f>IF(GK127="","",GK127&amp;"."&amp;COUNTIFS(A$3:A127,A127,GK$3:GK127,GK127))</f>
        <v/>
      </c>
      <c r="GM127" t="str">
        <f t="shared" si="209"/>
        <v/>
      </c>
      <c r="GN127" t="str">
        <f t="shared" si="210"/>
        <v/>
      </c>
      <c r="GO127" t="str">
        <f t="shared" si="211"/>
        <v/>
      </c>
      <c r="GP127" t="str">
        <f t="shared" si="212"/>
        <v/>
      </c>
      <c r="GQ127">
        <f t="shared" si="213"/>
        <v>1</v>
      </c>
      <c r="GR127" t="str">
        <f>IF(GQ127=1,"XT"&amp;COUNTIFS(A$3:A127,A127,GQ$3:GQ127,1),"")</f>
        <v>XT25</v>
      </c>
      <c r="GS127" t="str">
        <f t="shared" si="214"/>
        <v/>
      </c>
      <c r="GT127" t="str">
        <f t="shared" si="215"/>
        <v>QF25</v>
      </c>
      <c r="GU127" t="str">
        <f t="shared" si="216"/>
        <v/>
      </c>
      <c r="GV127" t="str">
        <f t="shared" si="217"/>
        <v>ok</v>
      </c>
      <c r="GW127" t="str">
        <f>IF(OR(GO127="",GM127=""),"",IF(GO127&gt;IFERROR(VLOOKUP(GN127,Модули_спр,3,FALSE),99),"ЛИШНИЙ КАНАЛ",IF(AND(AH127&lt;&gt;"=",COUNTIFS(Линии[_модуль гр.],GM127,Линии[Канал (итог)],GO127,Линии[Канал],"&lt;&gt;=",Линии[Щит],A127)&gt;1),"ДУБЛЬ КАНАЛА","")))</f>
        <v/>
      </c>
      <c r="GX127" s="6" t="str">
        <f t="shared" si="218"/>
        <v/>
      </c>
      <c r="GY127">
        <f t="shared" si="219"/>
        <v>10</v>
      </c>
      <c r="GZ127" t="str">
        <f t="shared" si="220"/>
        <v/>
      </c>
      <c r="HA127" t="str">
        <f>IF(AND(B127="",GT127=""),"",_xlfn.TEXTJOIN("; ",TRUE,IF(AND(B127&lt;&gt;"",FE127=""),"нет фазы",""),IF(AND(B127&lt;&gt;"",N(FY127)=0,EQ127&lt;&gt;"Нет"),"нет мощности",""),IF(AND(GS127&lt;&gt;"",COUNTIFS(Линии[Щит],A127,Линии[Клемма (итог)],GS127)&gt;1),"дубль клеммы "&amp;GS127,""),IF(AND(GV127&lt;&gt;"",GV127&lt;&gt;"ok"),GV127,""),IF(GW127&lt;&gt;"",GW127,""),IF(AND(N(BV127)&gt;=4,N(BR127)=1),BV127&amp;" жил на 1 фазе",""),IF(AND(AX127="R",CA127=1,OR(N(CK127)=0,N(CK127)&gt;30)),"розетка без дифзащиты до 30 мА",""),IFERROR(IF(AND(ISNUMBER(R127),R127&gt;DV127),"потери "&amp;FIXED(R127,1)&amp;" % &gt; "&amp;DV127&amp;" %",""),""),IFERROR(IF(LEFT(GZ127,4)="мало","Iкз мало — отключение &gt; 0,4 с",""),""),IF(AND(B127&lt;&gt;"",BH127=""),"не на схеме",""),IF(AND(CA127=0,B127&lt;&gt;"",FE127&lt;&gt;"",IF(AW127=1,"",FF126)&lt;&gt;"",FE127&lt;&gt;IF(AW127=1,"",FF126)),"фаза не как у автомата группы ("&amp;IF(AW127=1,"",FF126)&amp;")","")))</f>
        <v/>
      </c>
      <c r="HB127" s="6">
        <f>IF(OR(CA127=0,DA127=""),"",_xlfn.LET(_xlpm.t,IFERROR(_xlfn.XLOOKUP(DA127,Каталог!$U$4:$U$500,Каталог!$G$4:$G$500),""),_xlpm.k,SEARCH("кА",_xlpm.t),IFERROR(--TRIM(RIGHT(SUBSTITUTE(MID(_xlpm.t,MAX(1,_xlpm.k-4),_xlpm.k-MAX(1,_xlpm.k-4))," ",REPT(" ",9)),5)),"")))</f>
        <v>6</v>
      </c>
      <c r="HC127" t="str">
        <f>IF(OR(HB127="",CA127=0),"",IF(_xlfn.XLOOKUP(A127,Щиты[Щит],Щиты[Iкз max на шинах, кА],"")="","",IF(HB127&lt;_xlfn.XLOOKUP(A127,Щиты[Щит],Щиты[Iкз max на шинах, кА]),"Icu "&amp;HB127&amp;" кА &lt; Iкз max","ok")))</f>
        <v/>
      </c>
      <c r="HD127" t="str">
        <f t="shared" si="221"/>
        <v/>
      </c>
      <c r="HE127" t="str">
        <f t="shared" si="222"/>
        <v>QF25</v>
      </c>
      <c r="HF127" t="str">
        <f t="shared" si="223"/>
        <v>QF25|кабель ВВГнг(А)-LS (3х1,5) → Внутренний блок кондиционирования первый этаж Пом. №002Б</v>
      </c>
      <c r="HG127" t="str" cm="1">
        <f t="array" ref="HG127">IF(HF127="","",_xlfn.LET(_xlpm.nd,_xlfn.TEXTSPLIT(HF127,"|"),IF(COLUMNS(_xlpm.nd)&gt;1,A127&amp;"¦"&amp;INDEX(_xlpm.nd,1)&amp;"¦"&amp;INDEX(_xlpm.nd,2),"")))</f>
        <v>ЩОВ-01¦QF25¦кабель ВВГнг(А)-LS (3х1,5) → Внутренний блок кондиционирования первый этаж Пом. №002Б</v>
      </c>
      <c r="HH127" t="str">
        <f t="shared" si="224"/>
        <v>K.1.014A¦Внутренний блок кондиционирования первый этаж Пом. №002Б</v>
      </c>
      <c r="HI127" t="str" cm="1">
        <f t="array" ref="HI127">IF(HF127="","",_xlfn.LET(_xlpm.nd,_xlfn.TEXTSPLIT(HF127,"|"),IF(COLUMNS(_xlpm.nd)&gt;2,A127&amp;"¦"&amp;INDEX(_xlpm.nd,2)&amp;"¦"&amp;INDEX(_xlpm.nd,3),"")))</f>
        <v/>
      </c>
      <c r="HJ127" t="str">
        <f t="shared" si="225"/>
        <v/>
      </c>
      <c r="HK127" t="str" cm="1">
        <f t="array" ref="HK127">IF(HF127="","",_xlfn.LET(_xlpm.nd,_xlfn.TEXTSPLIT(HF127,"|"),IF(COLUMNS(_xlpm.nd)&gt;3,A127&amp;"¦"&amp;INDEX(_xlpm.nd,3)&amp;"¦"&amp;INDEX(_xlpm.nd,4),"")))</f>
        <v/>
      </c>
      <c r="HL127" t="str">
        <f t="shared" si="226"/>
        <v/>
      </c>
      <c r="HM127" t="str" cm="1">
        <f t="array" ref="HM127">IF(HF127="","",_xlfn.LET(_xlpm.nd,_xlfn.TEXTSPLIT(HF127,"|"),IF(COLUMNS(_xlpm.nd)&gt;4,A127&amp;"¦"&amp;INDEX(_xlpm.nd,4)&amp;"¦"&amp;INDEX(_xlpm.nd,5),"")))</f>
        <v/>
      </c>
      <c r="HN127" t="str">
        <f t="shared" si="227"/>
        <v/>
      </c>
      <c r="HO127" t="str" cm="1">
        <f t="array" ref="HO127">IF(HF127="","",_xlfn.LET(_xlpm.nd,_xlfn.TEXTSPLIT(HF127,"|"),IF(COLUMNS(_xlpm.nd)&gt;5,A127&amp;"¦"&amp;INDEX(_xlpm.nd,5)&amp;"¦"&amp;INDEX(_xlpm.nd,6),"")))</f>
        <v/>
      </c>
      <c r="HP127" t="str">
        <f t="shared" si="228"/>
        <v/>
      </c>
      <c r="HQ127" t="str" cm="1">
        <f t="array" ref="HQ127">IF(HF127="","",_xlfn.LET(_xlpm.nd,_xlfn.TEXTSPLIT(HF127,"|"),IF(COLUMNS(_xlpm.nd)&gt;6,A127&amp;"¦"&amp;INDEX(_xlpm.nd,6)&amp;"¦"&amp;INDEX(_xlpm.nd,7),"")))</f>
        <v/>
      </c>
      <c r="HR127" t="str">
        <f t="shared" si="229"/>
        <v/>
      </c>
      <c r="HS127" t="str">
        <f t="shared" si="230"/>
        <v/>
      </c>
      <c r="HT127" t="str">
        <f t="shared" si="231"/>
        <v>QF25</v>
      </c>
      <c r="HU127">
        <f t="shared" si="232"/>
        <v>0</v>
      </c>
      <c r="HV127">
        <f t="shared" si="233"/>
        <v>0</v>
      </c>
      <c r="HW127" t="str">
        <f t="shared" si="234"/>
        <v/>
      </c>
      <c r="HX127" t="str">
        <f t="shared" si="235"/>
        <v/>
      </c>
      <c r="HY127" t="str">
        <f t="shared" si="236"/>
        <v/>
      </c>
      <c r="HZ127" t="str">
        <f t="shared" si="237"/>
        <v/>
      </c>
      <c r="IA127">
        <f>IF(B127="","",IFERROR(VLOOKUP(B127,УГО_спр,2,FALSE),IFERROR(VLOOKUP(AX127,УГО_спр,2,FALSE),IFERROR(VLOOKUP(LEFT(AX127,2),УГО_спр,2,FALSE),""))))</f>
        <v>0</v>
      </c>
      <c r="IB127" t="str">
        <f>IF(B127="","",IF(OR(IA127="",IA127=0),"BOX",IFERROR(IF(VLOOKUP(IA127,УГО_блоки,3,FALSE)&amp;""&lt;&gt;"",VLOOKUP(IA127,УГО_блоки,3,FALSE),VLOOKUP(IA127,УГО_блоки,2,FALSE)),IA127)))</f>
        <v>BOX</v>
      </c>
      <c r="IC127">
        <f t="shared" si="238"/>
        <v>1</v>
      </c>
      <c r="ID127" t="str">
        <f>IF(DA127="","",IF(COUNTIF(DA$3:DA127,DA127)=1,MAX(ID$2:ID126)+1,""))</f>
        <v/>
      </c>
      <c r="IE127" t="str">
        <f>IF(CO127="","",IF(COUNTIF(CO$3:CO127,CO127)+COUNTIF(CP$2:CP126,CO127)+COUNTIF(CQ$2:CQ126,CO127)=1,MAX(IE$2:IG126)+1,""))</f>
        <v/>
      </c>
      <c r="IF127" t="str">
        <f>IF(CP127="","",IF(COUNTIF(CO$3:CO127,CP127)+COUNTIF(CP$3:CP127,CP127)+COUNTIF(CQ$2:CQ126,CP127)=1,MAX(IE$2:IG126,IE127)+1,""))</f>
        <v/>
      </c>
      <c r="IG127" t="str">
        <f>IF(CQ127="","",IF(COUNTIF(CO$3:CO127,CQ127)+COUNTIF(CP$3:CP127,CQ127)+COUNTIF(CQ$3:CQ127,CQ127)=1,MAX(IE$2:IG126,IE127,IF127)+1,""))</f>
        <v/>
      </c>
      <c r="IH127" t="str">
        <f t="shared" si="239"/>
        <v>3х1,5</v>
      </c>
      <c r="II127" t="str">
        <f>IF(IH127="","",IF(COUNTIF(IH$3:IH127,IH127)=1,MAX(II$2:II126)+1,""))</f>
        <v/>
      </c>
      <c r="IJ127" t="str">
        <f>IF(GL127="","",COUNTIF(GL$3:GL127,"?*"))</f>
        <v/>
      </c>
      <c r="IK127" t="str">
        <f>IF(OR(GL127="",GN127=""),"",IF(COUNTIFS(GL$3:GL127,"?*",GN$3:GN127,GN127)=1,MAX(IK$2:IK126)+1,""))</f>
        <v/>
      </c>
      <c r="IL127">
        <f t="shared" si="240"/>
        <v>0</v>
      </c>
      <c r="IM127">
        <f>IF(B127="","",COUNTIF(B$3:B127,"?*"))</f>
        <v>125</v>
      </c>
      <c r="IN127">
        <f>IF(GQ127&lt;&gt;1,0,_xlfn.LET(_xlpm.k,MAX(IFERROR(--VLOOKUP(B127,УГО_спр,5,FALSE),0),IFERROR(--VLOOKUP(AX127,УГО_спр,5,FALSE),0),IFERROR(--VLOOKUP(LEFT(AX127,2),УГО_спр,5,FALSE),0)),IF(_xlpm.k&gt;0,_xlpm.k,IF(IFERROR(--LEFT(SUBSTITUTE(IH127,"x","х"),FIND("х",SUBSTITUTE(IH127,"x","х"))-1),3)&gt;3,Каталог!$S$9,1))))</f>
        <v>1</v>
      </c>
      <c r="IO127">
        <f t="shared" si="241"/>
        <v>0</v>
      </c>
      <c r="IP127" t="str">
        <f t="shared" si="242"/>
        <v>авто</v>
      </c>
      <c r="IQ127" t="str">
        <f t="shared" si="243"/>
        <v/>
      </c>
      <c r="IR127">
        <f t="shared" si="244"/>
        <v>0</v>
      </c>
      <c r="IS127">
        <f t="shared" si="245"/>
        <v>1</v>
      </c>
    </row>
    <row r="128" spans="1:253" x14ac:dyDescent="0.3">
      <c r="A128" t="s">
        <v>747</v>
      </c>
      <c r="B128" t="s">
        <v>1397</v>
      </c>
      <c r="C128" t="s">
        <v>1640</v>
      </c>
      <c r="D128">
        <v>1</v>
      </c>
      <c r="E128">
        <v>0.376</v>
      </c>
      <c r="G128">
        <v>10</v>
      </c>
      <c r="H128" t="str">
        <f>Линии[[#This Row],[_авто утечка]]</f>
        <v/>
      </c>
      <c r="I128" t="str">
        <f>Линии[[#This Row],[_авто управление]]</f>
        <v/>
      </c>
      <c r="J128" t="str">
        <f>Линии[[#This Row],[_авто аппараты]]</f>
        <v/>
      </c>
      <c r="K128">
        <v>1.5</v>
      </c>
      <c r="L128">
        <v>73</v>
      </c>
      <c r="M128" t="str">
        <f>Линии[[#This Row],[_авто фаза]]</f>
        <v>L3</v>
      </c>
      <c r="N128" t="s">
        <v>486</v>
      </c>
      <c r="O128" t="str">
        <f t="shared" si="123"/>
        <v/>
      </c>
      <c r="P128" s="6" cm="1">
        <f t="array" ref="P128">IF(B128="","",IF(BC128&lt;&gt;"",IFERROR(_xlfn.XLOOKUP(BC128,Щиты[Щит],Щиты[Iр, А]),""),IF(BK128=1,IFERROR(_xlfn.XLOOKUP(A128,Щиты[Щит],Щиты[Iр, А]),""),IFERROR(_xlfn.IFS(BR128=1,BN128/((Uн_лин/SQRT(3))*BY128),BR128=3,BN128/(SQRT(3)*Uн_лин*BY128)),""))))</f>
        <v>2.0351596988934304</v>
      </c>
      <c r="Q128" s="7">
        <f>IF(B128="","",IFERROR(IF(VLOOKUP(AX128,Потребители_обозначение,4,FALSE)=1,VLOOKUP(AX128,Потребители_обозначение,3,FALSE)*(D128*2-1)+DS128+VLOOKUP(AZ128,Этаж_обозначение,3,FALSE)+VLOOKUP(AZ128,Этаж_обозначение,4,FALSE),VLOOKUP(AX128,Потребители_обозначение,3,FALSE)*(D128*2-1)+DS128),DS128))</f>
        <v>75</v>
      </c>
      <c r="R128" s="6">
        <f t="shared" si="124"/>
        <v>1.84</v>
      </c>
      <c r="S128" t="str">
        <f t="shared" si="125"/>
        <v>ВВГнг(А)-LS (3х1,5)</v>
      </c>
      <c r="T128" t="str">
        <f>IF(BH128="","",IF(BI128="вводной узел","узел ","")&amp;"л."&amp;(INT((BH128-1)/Столбцов_на_лист)+1)&amp;" / "&amp;(MOD(BH128-1,Столбцов_на_лист)+1))</f>
        <v>л.3 / 13</v>
      </c>
      <c r="V128">
        <v>1</v>
      </c>
      <c r="W128">
        <v>230</v>
      </c>
      <c r="X128" t="s">
        <v>600</v>
      </c>
      <c r="Y128">
        <v>0.5</v>
      </c>
      <c r="AC128" t="s">
        <v>815</v>
      </c>
      <c r="AE128" t="s">
        <v>578</v>
      </c>
      <c r="AI128">
        <v>47</v>
      </c>
      <c r="AJ128" t="s">
        <v>11</v>
      </c>
      <c r="AK128">
        <v>3</v>
      </c>
      <c r="AM128">
        <v>58</v>
      </c>
      <c r="AN128">
        <v>17</v>
      </c>
      <c r="AP128">
        <v>1</v>
      </c>
      <c r="AW128" cm="1">
        <f t="array" ref="AW128">ROW()-ROW(Линии[#Headers])</f>
        <v>126</v>
      </c>
      <c r="AX128" s="6" t="str">
        <f t="shared" si="126"/>
        <v>K</v>
      </c>
      <c r="AY128" t="str">
        <f t="shared" si="127"/>
        <v>1.015A</v>
      </c>
      <c r="AZ128" t="str">
        <f t="shared" si="128"/>
        <v>1</v>
      </c>
      <c r="BA128" t="str">
        <f t="shared" si="129"/>
        <v>015A</v>
      </c>
      <c r="BB128" t="str">
        <f t="shared" si="130"/>
        <v>015A</v>
      </c>
      <c r="BC128" t="str">
        <f>IF(U128&lt;&gt;"",U128,IF(AND(B128&lt;&gt;"",B128&lt;&gt;A128,ISNUMBER(_xlfn.XMATCH(B128,Щиты[Щит]))),B128,""))</f>
        <v/>
      </c>
      <c r="BD128" t="str" cm="1">
        <f t="array" ref="BD128">IF(B128="","",IF(BC128&lt;&gt;"","Щит "&amp;BC128,_xlfn.LET(_xlpm.nm,IFERROR(_xlfn.XLOOKUP(AX128,Коды_код,Коды_имя)&amp;"",""),_xlpm.md,IFERROR(N(_xlfn.XLOOKUP(AX128,Коды_код,Коды_режим)),1),_xlpm.ex,IF(Имя_режим="по экспликации",IFERROR(_xlfn.XLOOKUP(AZ128&amp;"|"&amp;BB128,Экспликация[Этаж]&amp;"|"&amp;Экспликация[Помещение],Экспликация[Название])&amp;"",""),""),_xlpm.rm,IF(BB128="","",IF(_xlpm.ex&lt;&gt;"",". "&amp;_xlpm.ex&amp;IF(Имя_пом="нет"," ("&amp;BB128&amp;")"," (пом. "&amp;BB128&amp;")"),IF(Имя_пом="нет"," ",", пом. ")&amp;BB128)),IF(_xlpm.nm="","",IF(_xlpm.md=2,_xlpm.nm&amp;" шлейф "&amp;AZ128,_xlpm.nm&amp;_xlpm.rm)))))</f>
        <v>Внутренний блок кондиционирования, пом. 015A</v>
      </c>
      <c r="BE128" t="str">
        <f t="shared" si="131"/>
        <v>Внутренний блок кондиционирования первый этаж Пом. №002Б</v>
      </c>
      <c r="BF128">
        <f>IFERROR(_xlfn.XMATCH(A128,Щиты[Щит]),0)</f>
        <v>6</v>
      </c>
      <c r="BG128">
        <f>_xlfn.LET(_xlpm.k,IFERROR(_xlfn.XLOOKUP(A128,Щиты[Щит],Щиты[Листов под вводной узел]),""),IF(_xlpm.k="",1,N(_xlpm.k))*Столбцов_на_лист)</f>
        <v>17</v>
      </c>
      <c r="BH128">
        <f t="shared" si="132"/>
        <v>47</v>
      </c>
      <c r="BI128" t="str">
        <f t="shared" si="133"/>
        <v>линии</v>
      </c>
      <c r="BJ128" s="6">
        <f>IFERROR(N(_xlfn.XLOOKUP(AX128,Коды_код,Коды_квт)),0)</f>
        <v>0</v>
      </c>
      <c r="BK128">
        <f t="shared" si="134"/>
        <v>0</v>
      </c>
      <c r="BL128" t="str">
        <f>IF(B128="","",IF(BC128&lt;&gt;"",IFERROR(_xlfn.XLOOKUP(BC128,Щиты[Щит],Щиты[Руст, кВт]),0),IF(BK128=1,IFERROR(_xlfn.XLOOKUP(A128,Щиты[Щит],Щиты[Руст, кВт]),0),IF(BJ128&gt;0,ROUND(BJ128*MAX(1,N(D128)),3),""))))</f>
        <v/>
      </c>
      <c r="BM128">
        <f t="shared" si="135"/>
        <v>0.376</v>
      </c>
      <c r="BN128" s="6">
        <f>IF(B128="","",IF(BC128&lt;&gt;"",IFERROR(_xlfn.XLOOKUP(BC128,Щиты[Щит],Щиты[Руст, кВт]),0),N(BM128)))</f>
        <v>0.376</v>
      </c>
      <c r="BO128" t="str">
        <f>IF(B128="","",IFERROR(IF(VLOOKUP(AX128,Потребители_обозначение,8,FALSE)=0,"",VLOOKUP(AX128,Потребители_обозначение,8,FALSE)),""))</f>
        <v/>
      </c>
      <c r="BP128">
        <f t="shared" si="136"/>
        <v>230</v>
      </c>
      <c r="BQ128">
        <f>IF(B128="","",IF(BC128&lt;&gt;"",3,IFERROR(IF(N(VLOOKUP(AX128,Потребители_обозначение,9,FALSE))=0,1,VLOOKUP(AX128,Потребители_обозначение,9,FALSE)),1)))</f>
        <v>1</v>
      </c>
      <c r="BR128">
        <f t="shared" si="137"/>
        <v>1</v>
      </c>
      <c r="BS128" t="str">
        <f>IF(B128="","",_xlfn.LET(_xlpm.bc,IFERROR(IF(VLOOKUP(AX128,Потребители_обозначение,6,FALSE)=0,"",VLOOKUP(AX128,Потребители_обозначение,6,FALSE)&amp;""),""),IF(AND(FK128="да",OR(_xlpm.bc="",_xlpm.bc="мс")),Марка_пож,IF(AND(_xlpm.bc="",BC128&lt;&gt;""),"мс",_xlpm.bc))))</f>
        <v/>
      </c>
      <c r="BT128" t="str">
        <f t="shared" si="138"/>
        <v>мс</v>
      </c>
      <c r="BU128">
        <f>IF(B128="","",_xlfn.LET(_xlpm.cc,IFERROR(N(VLOOKUP(AX128,Потребители_обозначение,7,FALSE)),0),IF(_xlpm.cc&gt;0,_xlpm.cc,IF(BT128="","",IF(N(BR128)=3,5,3)))))</f>
        <v>3</v>
      </c>
      <c r="BV128">
        <f t="shared" si="139"/>
        <v>3</v>
      </c>
      <c r="BW128">
        <f>IFERROR(N(VLOOKUP(AX128,Потребители_обозначение,10,FALSE)),0)</f>
        <v>0</v>
      </c>
      <c r="BX128">
        <f>IFERROR(VLOOKUP(AX128,Потребители_обозначение,5,FALSE),0)</f>
        <v>1</v>
      </c>
      <c r="BY128" s="6" cm="1">
        <f t="array" ref="BY128">IF(B128="","",IF(BC128&lt;&gt;"",IFERROR(_xlfn.XLOOKUP(BC128,Щиты[Щит],Щиты[cos φ]),0.95),IF(BK128=1,IFERROR(_xlfn.XLOOKUP(A128,Щиты[Щит],Щиты[cos φ]),0.95),IF(ISNUMBER(Z128),Z128,IFERROR(IF(BX128=2,_xlfn.IFS(BR128=3,VLOOKUP(BN128,Справочная_двигатели,8,FALSE),BR128=1,VLOOKUP(BN128,Справочная_двигатели,10,TRUE)),IF(AND(Методика="нормы 2026",EQ128="Сил"),0.8,0.95)),0.95)))))</f>
        <v>0.8</v>
      </c>
      <c r="BZ128">
        <f t="shared" si="140"/>
        <v>0</v>
      </c>
      <c r="CA128">
        <f t="shared" si="141"/>
        <v>1</v>
      </c>
      <c r="CB128">
        <f t="shared" si="142"/>
        <v>0</v>
      </c>
      <c r="CC128">
        <f t="shared" si="143"/>
        <v>0</v>
      </c>
      <c r="CD128">
        <f t="shared" si="144"/>
        <v>0</v>
      </c>
      <c r="CE128">
        <f t="shared" si="145"/>
        <v>0</v>
      </c>
      <c r="CF128">
        <f t="shared" si="146"/>
        <v>0</v>
      </c>
      <c r="CG128">
        <f>IF(AX128="",0,_xlfn.LET(_xlpm.v,IFERROR(VLOOKUP(B128,УГО_спр,3,FALSE),IFERROR(VLOOKUP(AX128,УГО_спр,3,FALSE),IFERROR(VLOOKUP(LEFT(AX128,2),УГО_спр,3,FALSE),""))),IF(_xlpm.v="да",30,IF(ISNUMBER(_xlpm.v),_xlpm.v,0))))</f>
        <v>0</v>
      </c>
      <c r="CH128" t="str">
        <f t="shared" si="147"/>
        <v/>
      </c>
      <c r="CI128" t="str">
        <f>_xlfn.LET(_xlpm.k,IFERROR(_xlfn.XLOOKUP(AX128,Коды_код,Коды_утечка)&amp;"",""),IF(_xlpm.k="","дифавтомат",_xlpm.k))</f>
        <v>дифавтомат</v>
      </c>
      <c r="CJ128">
        <f t="shared" si="148"/>
        <v>0</v>
      </c>
      <c r="CK128">
        <f t="shared" si="149"/>
        <v>0</v>
      </c>
      <c r="CL128">
        <f>IF(B128="",0,IFERROR(--VLOOKUP(B128,УГО_спр,4,FALSE),IFERROR(--VLOOKUP(AX128,УГО_спр,4,FALSE),IFERROR(--VLOOKUP(LEFT(AX128,2),УГО_спр,4,FALSE),0))))</f>
        <v>0</v>
      </c>
      <c r="CM128" t="str">
        <f>IF(B128="","",IFERROR(_xlfn.XLOOKUP(AX128,Коды_код,Коды_апп)&amp;"",""))</f>
        <v/>
      </c>
      <c r="CN128" t="str">
        <f t="shared" si="150"/>
        <v/>
      </c>
      <c r="CO128" t="str" cm="1">
        <f t="array" ref="CO128">IF(TRIM(CN128&amp;"")="","",IFERROR(TRIM(INDEX(_xlfn.TEXTSPLIT(CN128&amp;";;;",";"),1)),""))</f>
        <v/>
      </c>
      <c r="CP128" t="str" cm="1">
        <f t="array" ref="CP128">IF(TRIM(CN128&amp;"")="","",IFERROR(TRIM(INDEX(_xlfn.TEXTSPLIT(CN128&amp;";;;",";"),2)),""))</f>
        <v/>
      </c>
      <c r="CQ128" t="str" cm="1">
        <f t="array" ref="CQ128">IF(TRIM(CN128&amp;"")="","",IFERROR(TRIM(INDEX(_xlfn.TEXTSPLIT(CN128&amp;";;;",";"),3)),""))</f>
        <v/>
      </c>
      <c r="CR128">
        <f t="shared" si="151"/>
        <v>0</v>
      </c>
      <c r="CS128" t="str">
        <f>IF(B128="","",_xlfn.LET(_xlpm.t,LOWER(AV128&amp;""),IF(ISNUMBER(SEARCH("dim",_xlpm.t)),"DIM",IF(ISNUMBER(SEARCH("dali",_xlpm.t)),"DALI",IF(OR(ISNUMBER(SEARCH("relay",_xlpm.t)),ISNUMBER(SEARCH("реле",_xlpm.t))),"Relay",IF(ISNUMBER(SEARCH("кнопк",_xlpm.t)),"",IFERROR(_xlfn.XLOOKUP(AX128,Коды_код,Коды_упр)&amp;"","")))))))</f>
        <v/>
      </c>
      <c r="CT128" t="str">
        <f t="shared" si="152"/>
        <v/>
      </c>
      <c r="CU128">
        <f>IF(B128="","",_xlfn.LET(_xlpm.ig,N(P128)+IF(AF128="вручную",0,N(CB128)),_xlpm.n0,IFERROR(VLOOKUP(_xlpm.ig,Автомат_номиналы,2,TRUE),0),_xlpm.mn,MAX(CL128,IF(AF128="вручную",0,N(CE128))),MAX(_xlpm.n0,_xlpm.mn,IF(CR128=1,Мин_автомат_БП,0))))</f>
        <v>6</v>
      </c>
      <c r="CV128">
        <f t="shared" si="153"/>
        <v>1</v>
      </c>
      <c r="CW128" t="str">
        <f t="shared" si="154"/>
        <v>1P</v>
      </c>
      <c r="CX128" t="str">
        <f>_xlfn.LET(_xlpm.cc,UPPER(TRIM(IFERROR(_xlfn.XLOOKUP(AX128,Коды_код,Коды_хар)&amp;"",""))),IF(OR(_xlpm.cc="B",_xlpm.cc="В"),"B",IF(_xlpm.cc="D","D","С")))</f>
        <v>С</v>
      </c>
      <c r="CY128" t="str">
        <f t="shared" si="155"/>
        <v>1P С6А</v>
      </c>
      <c r="CZ128">
        <f t="shared" si="156"/>
        <v>10</v>
      </c>
      <c r="DA128" t="str">
        <f t="shared" si="157"/>
        <v>1P С10А</v>
      </c>
      <c r="DB128" cm="1">
        <f t="array" ref="DB128">IF(DA128="","",_xlfn.LET(_xlpm.t,SUBSTITUTE(SUBSTITUTE(SUBSTITUTE(UPPER(DA128),"С","C"),"А","A"),"В","B"),_xlpm.tk,_xlfn.TEXTSPLIT(_xlpm.t,"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8" t="str">
        <f t="shared" si="158"/>
        <v>ok</v>
      </c>
      <c r="DD128">
        <f t="shared" si="159"/>
        <v>10</v>
      </c>
      <c r="DE128" t="str">
        <f t="shared" si="160"/>
        <v>1P С10А</v>
      </c>
      <c r="DF128">
        <f t="shared" si="161"/>
        <v>0</v>
      </c>
      <c r="DG128">
        <f t="shared" si="162"/>
        <v>0</v>
      </c>
      <c r="DH128">
        <f t="shared" si="163"/>
        <v>0</v>
      </c>
      <c r="DI128">
        <f t="shared" si="164"/>
        <v>2.0351596988934304</v>
      </c>
      <c r="DJ128">
        <f t="shared" si="165"/>
        <v>1</v>
      </c>
      <c r="DK128">
        <f>IF(ISNUMBER(AL128),AL128,К_прокл)</f>
        <v>1</v>
      </c>
      <c r="DL128">
        <f t="shared" si="166"/>
        <v>2</v>
      </c>
      <c r="DM128">
        <f>IFERROR(N(VLOOKUP(BT128,Кабель_обозначение,3,FALSE)),1)</f>
        <v>1</v>
      </c>
      <c r="DN128">
        <f>IFERROR(N(_xlfn.XLOOKUP(A128,Щиты[Щит],Щиты[ΔU до шин, %])),0)</f>
        <v>0.24000000000000002</v>
      </c>
      <c r="DO128" t="str">
        <f>IFERROR(_xlfn.XLOOKUP(A128,Щиты[Щит],Щиты[Zпетли на шинах, Ом]),"")</f>
        <v/>
      </c>
      <c r="DP128">
        <f>IFERROR(N(_xlfn.XLOOKUP(A128,Щиты[Щит],Щиты[ΔU до шин (подбор), %])),0)</f>
        <v>0.36</v>
      </c>
      <c r="DQ128" t="str">
        <f>IFERROR(_xlfn.XLOOKUP(A128,Щиты[Щит],Щиты[Zпетли на шинах (подбор), Ом]),"")</f>
        <v/>
      </c>
      <c r="DR128" t="str">
        <f t="shared" si="167"/>
        <v/>
      </c>
      <c r="DS128">
        <f t="shared" si="168"/>
        <v>73</v>
      </c>
      <c r="DT128">
        <f t="shared" si="169"/>
        <v>2</v>
      </c>
      <c r="DU128">
        <f t="shared" si="170"/>
        <v>0.6</v>
      </c>
      <c r="DV128" s="6">
        <f>IF(B128="","",IF(IFERROR(VLOOKUP(AX128,УГО_спр,2,FALSE),"")="Светильник",3,4)+IF(Методика="нормы 2026",MIN(0.5,MAX(0,N(Q128)-100)*0.005),0))</f>
        <v>4</v>
      </c>
      <c r="DW128" cm="1">
        <f t="array" ref="DW128">IF(OR(B128="",BT128="",DM128&lt;&gt;1),"",_xlfn.LET(_xlpm.sz,Iдоп_S,_xlpm.t_,CHOOSE(DL128,Iдоп_1ж,Iдоп_2ж,Iдоп_3ж)*DJ128*DK128,_xlpm.inn,N(DD128),_xlpm.smin,MAX(1.5,BW128),_xlpm.L_,N(Q128)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128)*(_xlpm.rho*_xlpm.L_/_xlpm.sz*N(BY128)+_xlpm.xx*_xlpm.L_*N(DU128)/1000)*N(P128)/((Uн_лин/SQRT(3))*1000)*100,999),_xlpm.kz,IF(OR(DG128=1,NOT(ISNUMBER(DQ128)),_xlpm.L_=0,_xlpm.inn=0),1,IFERROR(--(c_min*(Uн_лин*1000/SQRT(3))/(DQ128+2*ρкз_Cu*_xlpm.L_/_xlpm.sz)&gt;=GY128*_xlpm.inn),0)),_xlpm.ok,IFERROR((_xlpm.sz&gt;=_xlpm.smin)*(_xlpm.t_&gt;=_xlpm.inn)*IF(_xlpm.L_&gt;0,(_xlpm.du_+DP128&lt;=DV128+0.00001),1)*_xlpm.kz,0),_xlpm.r_,_xlfn._xlws.FILTER(_xlpm.sz,_xlpm.ok,"не подобрано"),INDEX(_xlpm.r_,1)))</f>
        <v>1.5</v>
      </c>
      <c r="DX128">
        <f t="shared" si="171"/>
        <v>1.5</v>
      </c>
      <c r="DY128" cm="1">
        <f t="array" ref="DY128">IF(OR(B128="",BT128="",DM128&lt;&gt;1),"",_xlfn.LET(_xlpm.sz,Iдоп_S,_xlpm.t_,CHOOSE(DL128,Iдоп_1ж,Iдоп_2ж,Iдоп_3ж)*DJ128*DK128,_xlpm.ok,IFERROR((_xlpm.sz&gt;=MAX(1.5,BW128))*(_xlpm.t_&gt;=N(DD128)),0),_xlpm.r_,_xlfn._xlws.FILTER(_xlpm.sz,_xlpm.ok,""),INDEX(_xlpm.r_,1)))</f>
        <v>1.5</v>
      </c>
      <c r="DZ128" s="6" cm="1">
        <f t="array" ref="DZ128">IFERROR(ROUNDUP(N(DT128)*(_xlfn.XLOOKUP(DY128,INDEX(Кабель_сопротивление,0,1),INDEX(Кабель_сопротивление,0,3))*N(Q128)/DY128*N(BY128)+_xlfn.XLOOKUP(DY128,INDEX(Кабель_сопротивление,0,1),INDEX(Кабель_сопротивление,0,2))*N(Q128)*N(DU128)/1000)*N(P128)/((Uн_лин/SQRT(3))*1000)*100,2),"")</f>
        <v>1.6</v>
      </c>
      <c r="EA128">
        <f>IFERROR(2*ρкз_Cu*N(Q128)/DY128,"")</f>
        <v>2.6300000000000003</v>
      </c>
      <c r="EB128">
        <f>IFERROR(VLOOKUP(DX128,Кабель_сопротивление,3,FALSE),"")</f>
        <v>2.2499999999999999E-2</v>
      </c>
      <c r="EC128">
        <f>IFERROR(VLOOKUP(DX128,Кабель_сопротивление,2,FALSE),"")</f>
        <v>0.11</v>
      </c>
      <c r="ED128">
        <f t="shared" si="172"/>
        <v>17</v>
      </c>
      <c r="EE128">
        <f t="shared" si="173"/>
        <v>0</v>
      </c>
      <c r="EF128">
        <f t="shared" si="174"/>
        <v>3.68343553902722</v>
      </c>
      <c r="EG128" s="6">
        <f>IFERROR(ROUNDUP(EF128/((Uн_лин/SQRT(3))*1000)*100,2),"")</f>
        <v>1.6</v>
      </c>
      <c r="EH128" t="str">
        <f>IFERROR(VLOOKUP(BT128,Кабель_обозначение,2,FALSE),"")</f>
        <v>ВВГнг(А)-LS</v>
      </c>
      <c r="EI128" t="str">
        <f t="shared" si="175"/>
        <v>ВВГнг(А)-LS (3х1,5)</v>
      </c>
      <c r="EJ128" t="str">
        <f t="shared" si="176"/>
        <v>ВВГнг(А)-LS (3х1,5)
L=75-1,6%</v>
      </c>
      <c r="EK128">
        <f>IFERROR(2*ρкз_Cu*Q128/DX128,"")</f>
        <v>2.6300000000000003</v>
      </c>
      <c r="EL128">
        <f t="shared" si="177"/>
        <v>0.87500000000000011</v>
      </c>
      <c r="EM128" s="6" t="str">
        <f>IFERROR(IF(OR(B128="",NOT(ISNUMBER(DX128)),N(Q128)=0),"",_xlfn.XLOOKUP(A128,Щиты[Щит],Щиты[Zпетли на шинах, Ом])+EK128),"")</f>
        <v/>
      </c>
      <c r="EN128" s="6" t="str">
        <f>IF(ISNUMBER(EM128),c_min*(Uн_лин*1000/SQRT(3))/EM128,"")</f>
        <v/>
      </c>
      <c r="EO128" s="6" t="str">
        <f>IFERROR(IF(OR(B128="",NOT(ISNUMBER(DX128))),"",1.05*(Uн_лин*1000/SQRT(3))/(_xlfn.XLOOKUP(A128,Щиты[Щит],Щиты[Zmax на шинах, Ом])+EL128)/1000),"")</f>
        <v/>
      </c>
      <c r="EP128" s="6" t="str">
        <f>IF(B128="","",IF(ISNUMBER(Y128),"Сил",IF(IFERROR(_xlfn.XLOOKUP(AX128,Коды_код,Коды_группа)&amp;"","")="","Быт",_xlfn.XLOOKUP(AX128,Коды_код,Коды_группа)&amp;"")))</f>
        <v>Сил</v>
      </c>
      <c r="EQ128" s="6" t="str">
        <f t="shared" si="178"/>
        <v>Сил</v>
      </c>
      <c r="ER128" s="6">
        <f>IF(EQ128="Щит","щит",IF(EQ128="","",IF(EQ128="Быт",IFERROR(_xlfn.XLOOKUP(A128,Щиты[Щит],Щиты[Кс быт]),1),IF(EQ128="Сил",IF(ISNUMBER(Y128),Y128,IF(Методика="нормы 2026",IFERROR(_xlfn.XLOOKUP(A128,Щиты[Щит],Щиты[Кс силовых (табл. 7.5)]),1),1)),IF(OR(EQ128="Пост",EQ128="Отоп"),1,IF(EQ128="ВНГ",0.7,0))))))</f>
        <v>0.5</v>
      </c>
      <c r="ES128">
        <f t="shared" si="179"/>
        <v>1</v>
      </c>
      <c r="ET128">
        <f t="shared" si="180"/>
        <v>0.376</v>
      </c>
      <c r="EU128">
        <f t="shared" si="181"/>
        <v>0</v>
      </c>
      <c r="EV128">
        <f t="shared" si="182"/>
        <v>0.188</v>
      </c>
      <c r="EW128">
        <f t="shared" si="183"/>
        <v>0</v>
      </c>
      <c r="EX128">
        <f t="shared" si="184"/>
        <v>0</v>
      </c>
      <c r="EY128">
        <f t="shared" si="185"/>
        <v>0</v>
      </c>
      <c r="EZ128">
        <f t="shared" si="186"/>
        <v>0.376</v>
      </c>
      <c r="FA128">
        <f t="shared" si="187"/>
        <v>0.30080000000000001</v>
      </c>
      <c r="FB128">
        <f t="shared" si="188"/>
        <v>0.376</v>
      </c>
      <c r="FC128" t="str">
        <f t="shared" si="189"/>
        <v/>
      </c>
      <c r="FD128" t="str">
        <f>IF(B128="","",IF(CA128=0,IF(AW128=1,"",FF127),IF(OR(N(CV128)&gt;=3,N(BR128)&gt;=3),"L1,L2,L3",IFERROR(_xlfn.TEXTBEFORE(_xlfn.TEXTAFTER(_xlfn.XLOOKUP(A128,Щиты[Щит],Щиты[_фазы авто]),";"&amp;AW128&amp;":"),";"),"L1"))))</f>
        <v>L3</v>
      </c>
      <c r="FE128" t="str">
        <f t="shared" si="190"/>
        <v>L3</v>
      </c>
      <c r="FF128" t="str">
        <f t="shared" si="191"/>
        <v>L3</v>
      </c>
      <c r="FG128" cm="1">
        <f t="array" ref="FG128">IFERROR(IF(BX128=2,_xlfn.IFS(BR128=3,VLOOKUP(BN128,Справочная_двигатели,3,FALSE),BR128=1,VLOOKUP(BN128,Справочная_двигатели,5,TRUE)),0),0)</f>
        <v>0</v>
      </c>
      <c r="FH128">
        <f>IFERROR(IF(BX128=3,VLOOKUP(BN128,Справочная_ЛЭД,2,TRUE),0),0)</f>
        <v>0</v>
      </c>
      <c r="FI128" s="6">
        <f t="shared" si="192"/>
        <v>0</v>
      </c>
      <c r="FJ128" t="str" cm="1">
        <f t="array" ref="FJ128">IF(B128="","",IFERROR(INDEX({"I особая","I","II","III"},MATCH(TRIM(AC128&amp;""),{"I особая","I","II","III"},0)),"III"))</f>
        <v>II</v>
      </c>
      <c r="FK128" t="str">
        <f>IF(B128="","",IF(TRIM(AD128&amp;"")&lt;&gt;"",IF(LOWER(TRIM(AD128&amp;""))="да","да","нет"),IF(IFERROR(_xlfn.XLOOKUP(AX128,Коды_код,Коды_пожарная),"")="да","да","нет")))</f>
        <v>нет</v>
      </c>
      <c r="FL128" t="str">
        <f t="shared" si="193"/>
        <v/>
      </c>
      <c r="FM128" t="str">
        <f t="shared" si="194"/>
        <v>основная</v>
      </c>
      <c r="FN128">
        <f t="shared" si="195"/>
        <v>1</v>
      </c>
      <c r="FO128" t="str" cm="1">
        <f t="array" ref="FO128">IF(B128="","",_xlfn.LET(_xlpm.t,IFERROR(_xlfn.XLOOKUP(1,(Шины[Шина]=FM128)*(((Шины[Щит]=A128)+(Шины[Щит]=""))&gt;0),Шины[Тип]),"")&amp;"",IF(_xlpm.t&lt;&gt;"",_xlpm.t,IF(ISNUMBER(SEARCH("ИБП",FM128)),"ИБП",IF(ISNUMBER(SEARCH("ДГУ",FM128)),"ДГУ","Ввод "&amp;FN128)))))</f>
        <v>Ввод 1</v>
      </c>
      <c r="FP128" t="str">
        <f t="shared" si="196"/>
        <v>Ввод 1</v>
      </c>
      <c r="FQ128" t="str">
        <f>IF(B128="","",IF(OR(FO128="ИБП",FO128="ДГУ"),"I особая",IF(FO128="Одиночная","III",_xlfn.XLOOKUP(A128,Щиты[Щит],Щиты[Категория шины «Ввод»],"III"))))</f>
        <v>II</v>
      </c>
      <c r="FR128">
        <f>IF(B128="",0,IFERROR(MATCH(FJ128,{"III","II","I","I особая"},0),1))</f>
        <v>2</v>
      </c>
      <c r="FS128">
        <f t="shared" si="197"/>
        <v>2</v>
      </c>
      <c r="FT128" t="str">
        <f>IF(B128="","",IF(FR128&gt;IFERROR(MATCH(FQ128,{"III","II","I","I особая"},0),1),"НЕ ОБЕСПЕЧЕНА","ОК"))</f>
        <v>ОК</v>
      </c>
      <c r="FU128" t="str">
        <f>IF(A128="","",_xlfn.XLOOKUP(A128,Щиты[Щит],Щиты[Путь],""))</f>
        <v>|ГРЩ-ЖД|ЩОВ-01|</v>
      </c>
      <c r="FV128" t="str">
        <f>IF(B128="","",IF(AE128&lt;&gt;"",AE128,IF(IFERROR(_xlfn.XLOOKUP(AX128,Коды_код,Коды_вид)&amp;"","")="","Прочее",_xlfn.XLOOKUP(AX128,Коды_код,Коды_вид)&amp;"")))</f>
        <v>Кондиционирование и увлажнение</v>
      </c>
      <c r="FW128">
        <f>IF(BH128="","",INT((BH128-1)/Столбцов_на_лист)+1)</f>
        <v>3</v>
      </c>
      <c r="FX128" t="str">
        <f t="shared" si="198"/>
        <v>ВВГнг(А)-LS (3х1,5) L=75-1,6%</v>
      </c>
      <c r="FY128">
        <f t="shared" si="199"/>
        <v>0.376</v>
      </c>
      <c r="FZ128">
        <f t="shared" si="200"/>
        <v>2.0399999999999996</v>
      </c>
      <c r="GA128">
        <f t="shared" si="201"/>
        <v>1</v>
      </c>
      <c r="GB128">
        <f t="shared" si="202"/>
        <v>0</v>
      </c>
      <c r="GC128">
        <f t="shared" si="203"/>
        <v>1</v>
      </c>
      <c r="GD128">
        <f>IF(BH128="","",IF(AND(CA128=1,GC128=1),COUNTIFS(A$3:A128,A128,CA$3:CA128,1,GC$3:GC128,1),IF(OR(OR(AW128=1,A128&lt;&gt;A127),AF128="вручную",GC128=0),"",IF(AW128=1,"",GE127))))</f>
        <v>26</v>
      </c>
      <c r="GE128">
        <f t="shared" si="204"/>
        <v>26</v>
      </c>
      <c r="GF128">
        <f>IF(B128="","",IFERROR(LOOKUP(INDEX(CHOOSE(DL128,Iдоп_1ж,Iдоп_2ж,Iдоп_3ж),MATCH(DX128,Iдоп_S,0))*DJ128*DK128,{6,10,16,20,25,32,40,50,63,80,100,125,160,200,250,315,400,500,630}),""))</f>
        <v>16</v>
      </c>
      <c r="GG128" t="str">
        <f t="shared" si="205"/>
        <v>QF26</v>
      </c>
      <c r="GH128" t="str">
        <f t="shared" si="206"/>
        <v>QF26</v>
      </c>
      <c r="GI128" t="str">
        <f t="shared" si="207"/>
        <v/>
      </c>
      <c r="GJ128">
        <f t="shared" si="208"/>
        <v>0</v>
      </c>
      <c r="GK128" t="str">
        <f>IF(OR(AG128="",AG128="-"),"",IFERROR(VLOOKUP(AG128,Модули_спр,2,FALSE),"R"))</f>
        <v/>
      </c>
      <c r="GL128" t="str">
        <f>IF(GK128="","",GK128&amp;"."&amp;COUNTIFS(A$3:A128,A128,GK$3:GK128,GK128))</f>
        <v/>
      </c>
      <c r="GM128" t="str">
        <f t="shared" si="209"/>
        <v/>
      </c>
      <c r="GN128" t="str">
        <f t="shared" si="210"/>
        <v/>
      </c>
      <c r="GO128" t="str">
        <f t="shared" si="211"/>
        <v/>
      </c>
      <c r="GP128" t="str">
        <f t="shared" si="212"/>
        <v/>
      </c>
      <c r="GQ128">
        <f t="shared" si="213"/>
        <v>1</v>
      </c>
      <c r="GR128" t="str">
        <f>IF(GQ128=1,"XT"&amp;COUNTIFS(A$3:A128,A128,GQ$3:GQ128,1),"")</f>
        <v>XT26</v>
      </c>
      <c r="GS128" t="str">
        <f t="shared" si="214"/>
        <v/>
      </c>
      <c r="GT128" t="str">
        <f t="shared" si="215"/>
        <v>QF26</v>
      </c>
      <c r="GU128" t="str">
        <f t="shared" si="216"/>
        <v/>
      </c>
      <c r="GV128" t="str">
        <f t="shared" si="217"/>
        <v>ok</v>
      </c>
      <c r="GW128" t="str">
        <f>IF(OR(GO128="",GM128=""),"",IF(GO128&gt;IFERROR(VLOOKUP(GN128,Модули_спр,3,FALSE),99),"ЛИШНИЙ КАНАЛ",IF(AND(AH128&lt;&gt;"=",COUNTIFS(Линии[_модуль гр.],GM128,Линии[Канал (итог)],GO128,Линии[Канал],"&lt;&gt;=",Линии[Щит],A128)&gt;1),"ДУБЛЬ КАНАЛА","")))</f>
        <v/>
      </c>
      <c r="GX128" s="6" t="str">
        <f t="shared" si="218"/>
        <v/>
      </c>
      <c r="GY128">
        <f t="shared" si="219"/>
        <v>10</v>
      </c>
      <c r="GZ128" t="str">
        <f t="shared" si="220"/>
        <v/>
      </c>
      <c r="HA128" t="str">
        <f>IF(AND(B128="",GT128=""),"",_xlfn.TEXTJOIN("; ",TRUE,IF(AND(B128&lt;&gt;"",FE128=""),"нет фазы",""),IF(AND(B128&lt;&gt;"",N(FY128)=0,EQ128&lt;&gt;"Нет"),"нет мощности",""),IF(AND(GS128&lt;&gt;"",COUNTIFS(Линии[Щит],A128,Линии[Клемма (итог)],GS128)&gt;1),"дубль клеммы "&amp;GS128,""),IF(AND(GV128&lt;&gt;"",GV128&lt;&gt;"ok"),GV128,""),IF(GW128&lt;&gt;"",GW128,""),IF(AND(N(BV128)&gt;=4,N(BR128)=1),BV128&amp;" жил на 1 фазе",""),IF(AND(AX128="R",CA128=1,OR(N(CK128)=0,N(CK128)&gt;30)),"розетка без дифзащиты до 30 мА",""),IFERROR(IF(AND(ISNUMBER(R128),R128&gt;DV128),"потери "&amp;FIXED(R128,1)&amp;" % &gt; "&amp;DV128&amp;" %",""),""),IFERROR(IF(LEFT(GZ128,4)="мало","Iкз мало — отключение &gt; 0,4 с",""),""),IF(AND(B128&lt;&gt;"",BH128=""),"не на схеме",""),IF(AND(CA128=0,B128&lt;&gt;"",FE128&lt;&gt;"",IF(AW128=1,"",FF127)&lt;&gt;"",FE128&lt;&gt;IF(AW128=1,"",FF127)),"фаза не как у автомата группы ("&amp;IF(AW128=1,"",FF127)&amp;")","")))</f>
        <v/>
      </c>
      <c r="HB128" s="6">
        <f>IF(OR(CA128=0,DA128=""),"",_xlfn.LET(_xlpm.t,IFERROR(_xlfn.XLOOKUP(DA128,Каталог!$U$4:$U$500,Каталог!$G$4:$G$500),""),_xlpm.k,SEARCH("кА",_xlpm.t),IFERROR(--TRIM(RIGHT(SUBSTITUTE(MID(_xlpm.t,MAX(1,_xlpm.k-4),_xlpm.k-MAX(1,_xlpm.k-4))," ",REPT(" ",9)),5)),"")))</f>
        <v>6</v>
      </c>
      <c r="HC128" t="str">
        <f>IF(OR(HB128="",CA128=0),"",IF(_xlfn.XLOOKUP(A128,Щиты[Щит],Щиты[Iкз max на шинах, кА],"")="","",IF(HB128&lt;_xlfn.XLOOKUP(A128,Щиты[Щит],Щиты[Iкз max на шинах, кА]),"Icu "&amp;HB128&amp;" кА &lt; Iкз max","ok")))</f>
        <v/>
      </c>
      <c r="HD128" t="str">
        <f t="shared" si="221"/>
        <v/>
      </c>
      <c r="HE128" t="str">
        <f t="shared" si="222"/>
        <v>QF26</v>
      </c>
      <c r="HF128" t="str">
        <f t="shared" si="223"/>
        <v>QF26|кабель ВВГнг(А)-LS (3х1,5) → Внутренний блок кондиционирования первый этаж Пом. №002Б</v>
      </c>
      <c r="HG128" t="str" cm="1">
        <f t="array" ref="HG128">IF(HF128="","",_xlfn.LET(_xlpm.nd,_xlfn.TEXTSPLIT(HF128,"|"),IF(COLUMNS(_xlpm.nd)&gt;1,A128&amp;"¦"&amp;INDEX(_xlpm.nd,1)&amp;"¦"&amp;INDEX(_xlpm.nd,2),"")))</f>
        <v>ЩОВ-01¦QF26¦кабель ВВГнг(А)-LS (3х1,5) → Внутренний блок кондиционирования первый этаж Пом. №002Б</v>
      </c>
      <c r="HH128" t="str">
        <f t="shared" si="224"/>
        <v>K.1.015A¦Внутренний блок кондиционирования первый этаж Пом. №002Б</v>
      </c>
      <c r="HI128" t="str" cm="1">
        <f t="array" ref="HI128">IF(HF128="","",_xlfn.LET(_xlpm.nd,_xlfn.TEXTSPLIT(HF128,"|"),IF(COLUMNS(_xlpm.nd)&gt;2,A128&amp;"¦"&amp;INDEX(_xlpm.nd,2)&amp;"¦"&amp;INDEX(_xlpm.nd,3),"")))</f>
        <v/>
      </c>
      <c r="HJ128" t="str">
        <f t="shared" si="225"/>
        <v/>
      </c>
      <c r="HK128" t="str" cm="1">
        <f t="array" ref="HK128">IF(HF128="","",_xlfn.LET(_xlpm.nd,_xlfn.TEXTSPLIT(HF128,"|"),IF(COLUMNS(_xlpm.nd)&gt;3,A128&amp;"¦"&amp;INDEX(_xlpm.nd,3)&amp;"¦"&amp;INDEX(_xlpm.nd,4),"")))</f>
        <v/>
      </c>
      <c r="HL128" t="str">
        <f t="shared" si="226"/>
        <v/>
      </c>
      <c r="HM128" t="str" cm="1">
        <f t="array" ref="HM128">IF(HF128="","",_xlfn.LET(_xlpm.nd,_xlfn.TEXTSPLIT(HF128,"|"),IF(COLUMNS(_xlpm.nd)&gt;4,A128&amp;"¦"&amp;INDEX(_xlpm.nd,4)&amp;"¦"&amp;INDEX(_xlpm.nd,5),"")))</f>
        <v/>
      </c>
      <c r="HN128" t="str">
        <f t="shared" si="227"/>
        <v/>
      </c>
      <c r="HO128" t="str" cm="1">
        <f t="array" ref="HO128">IF(HF128="","",_xlfn.LET(_xlpm.nd,_xlfn.TEXTSPLIT(HF128,"|"),IF(COLUMNS(_xlpm.nd)&gt;5,A128&amp;"¦"&amp;INDEX(_xlpm.nd,5)&amp;"¦"&amp;INDEX(_xlpm.nd,6),"")))</f>
        <v/>
      </c>
      <c r="HP128" t="str">
        <f t="shared" si="228"/>
        <v/>
      </c>
      <c r="HQ128" t="str" cm="1">
        <f t="array" ref="HQ128">IF(HF128="","",_xlfn.LET(_xlpm.nd,_xlfn.TEXTSPLIT(HF128,"|"),IF(COLUMNS(_xlpm.nd)&gt;6,A128&amp;"¦"&amp;INDEX(_xlpm.nd,6)&amp;"¦"&amp;INDEX(_xlpm.nd,7),"")))</f>
        <v/>
      </c>
      <c r="HR128" t="str">
        <f t="shared" si="229"/>
        <v/>
      </c>
      <c r="HS128" t="str">
        <f t="shared" si="230"/>
        <v/>
      </c>
      <c r="HT128" t="str">
        <f t="shared" si="231"/>
        <v>QF26</v>
      </c>
      <c r="HU128">
        <f t="shared" si="232"/>
        <v>0</v>
      </c>
      <c r="HV128">
        <f t="shared" si="233"/>
        <v>0</v>
      </c>
      <c r="HW128" t="str">
        <f t="shared" si="234"/>
        <v/>
      </c>
      <c r="HX128" t="str">
        <f t="shared" si="235"/>
        <v/>
      </c>
      <c r="HY128" t="str">
        <f t="shared" si="236"/>
        <v/>
      </c>
      <c r="HZ128" t="str">
        <f t="shared" si="237"/>
        <v/>
      </c>
      <c r="IA128">
        <f>IF(B128="","",IFERROR(VLOOKUP(B128,УГО_спр,2,FALSE),IFERROR(VLOOKUP(AX128,УГО_спр,2,FALSE),IFERROR(VLOOKUP(LEFT(AX128,2),УГО_спр,2,FALSE),""))))</f>
        <v>0</v>
      </c>
      <c r="IB128" t="str">
        <f>IF(B128="","",IF(OR(IA128="",IA128=0),"BOX",IFERROR(IF(VLOOKUP(IA128,УГО_блоки,3,FALSE)&amp;""&lt;&gt;"",VLOOKUP(IA128,УГО_блоки,3,FALSE),VLOOKUP(IA128,УГО_блоки,2,FALSE)),IA128)))</f>
        <v>BOX</v>
      </c>
      <c r="IC128">
        <f t="shared" si="238"/>
        <v>1</v>
      </c>
      <c r="ID128" t="str">
        <f>IF(DA128="","",IF(COUNTIF(DA$3:DA128,DA128)=1,MAX(ID$2:ID127)+1,""))</f>
        <v/>
      </c>
      <c r="IE128" t="str">
        <f>IF(CO128="","",IF(COUNTIF(CO$3:CO128,CO128)+COUNTIF(CP$2:CP127,CO128)+COUNTIF(CQ$2:CQ127,CO128)=1,MAX(IE$2:IG127)+1,""))</f>
        <v/>
      </c>
      <c r="IF128" t="str">
        <f>IF(CP128="","",IF(COUNTIF(CO$3:CO128,CP128)+COUNTIF(CP$3:CP128,CP128)+COUNTIF(CQ$2:CQ127,CP128)=1,MAX(IE$2:IG127,IE128)+1,""))</f>
        <v/>
      </c>
      <c r="IG128" t="str">
        <f>IF(CQ128="","",IF(COUNTIF(CO$3:CO128,CQ128)+COUNTIF(CP$3:CP128,CQ128)+COUNTIF(CQ$3:CQ128,CQ128)=1,MAX(IE$2:IG127,IE128,IF128)+1,""))</f>
        <v/>
      </c>
      <c r="IH128" t="str">
        <f t="shared" si="239"/>
        <v>3х1,5</v>
      </c>
      <c r="II128" t="str">
        <f>IF(IH128="","",IF(COUNTIF(IH$3:IH128,IH128)=1,MAX(II$2:II127)+1,""))</f>
        <v/>
      </c>
      <c r="IJ128" t="str">
        <f>IF(GL128="","",COUNTIF(GL$3:GL128,"?*"))</f>
        <v/>
      </c>
      <c r="IK128" t="str">
        <f>IF(OR(GL128="",GN128=""),"",IF(COUNTIFS(GL$3:GL128,"?*",GN$3:GN128,GN128)=1,MAX(IK$2:IK127)+1,""))</f>
        <v/>
      </c>
      <c r="IL128">
        <f t="shared" si="240"/>
        <v>0</v>
      </c>
      <c r="IM128">
        <f>IF(B128="","",COUNTIF(B$3:B128,"?*"))</f>
        <v>126</v>
      </c>
      <c r="IN128">
        <f>IF(GQ128&lt;&gt;1,0,_xlfn.LET(_xlpm.k,MAX(IFERROR(--VLOOKUP(B128,УГО_спр,5,FALSE),0),IFERROR(--VLOOKUP(AX128,УГО_спр,5,FALSE),0),IFERROR(--VLOOKUP(LEFT(AX128,2),УГО_спр,5,FALSE),0)),IF(_xlpm.k&gt;0,_xlpm.k,IF(IFERROR(--LEFT(SUBSTITUTE(IH128,"x","х"),FIND("х",SUBSTITUTE(IH128,"x","х"))-1),3)&gt;3,Каталог!$S$9,1))))</f>
        <v>1</v>
      </c>
      <c r="IO128">
        <f t="shared" si="241"/>
        <v>0</v>
      </c>
      <c r="IP128" t="str">
        <f t="shared" si="242"/>
        <v>авто</v>
      </c>
      <c r="IQ128" t="str">
        <f t="shared" si="243"/>
        <v/>
      </c>
      <c r="IR128">
        <f t="shared" si="244"/>
        <v>0</v>
      </c>
      <c r="IS128">
        <f t="shared" si="245"/>
        <v>1</v>
      </c>
    </row>
    <row r="129" spans="1:253" x14ac:dyDescent="0.3">
      <c r="A129" t="s">
        <v>747</v>
      </c>
      <c r="B129" t="s">
        <v>1398</v>
      </c>
      <c r="C129" t="s">
        <v>1642</v>
      </c>
      <c r="D129">
        <v>1</v>
      </c>
      <c r="E129">
        <v>0.111</v>
      </c>
      <c r="G129">
        <v>10</v>
      </c>
      <c r="H129" t="str">
        <f>Линии[[#This Row],[_авто утечка]]</f>
        <v/>
      </c>
      <c r="I129" t="str">
        <f>Линии[[#This Row],[_авто управление]]</f>
        <v/>
      </c>
      <c r="J129" t="str">
        <f>Линии[[#This Row],[_авто аппараты]]</f>
        <v/>
      </c>
      <c r="K129">
        <v>1.5</v>
      </c>
      <c r="L129">
        <v>23</v>
      </c>
      <c r="M129" t="str">
        <f>Линии[[#This Row],[_авто фаза]]</f>
        <v>L1</v>
      </c>
      <c r="N129" t="str">
        <f>Линии[[#This Row],[_авто клемма]]</f>
        <v>XT27</v>
      </c>
      <c r="O129" t="str">
        <f t="shared" si="123"/>
        <v>не на схеме</v>
      </c>
      <c r="P129" s="6" cm="1">
        <f t="array" ref="P129">IF(B129="","",IF(BC129&lt;&gt;"",IFERROR(_xlfn.XLOOKUP(BC129,Щиты[Щит],Щиты[Iр, А]),""),IF(BK129=1,IFERROR(_xlfn.XLOOKUP(A129,Щиты[Щит],Щиты[Iр, А]),""),IFERROR(_xlfn.IFS(BR129=1,BN129/((Uн_лин/SQRT(3))*BY129),BR129=3,BN129/(SQRT(3)*Uн_лин*BY129)),""))))</f>
        <v>0.60080512387545415</v>
      </c>
      <c r="Q129" s="7">
        <f>IF(B129="","",IFERROR(IF(VLOOKUP(AX129,Потребители_обозначение,4,FALSE)=1,VLOOKUP(AX129,Потребители_обозначение,3,FALSE)*(D129*2-1)+DS129+VLOOKUP(AZ129,Этаж_обозначение,3,FALSE)+VLOOKUP(AZ129,Этаж_обозначение,4,FALSE),VLOOKUP(AX129,Потребители_обозначение,3,FALSE)*(D129*2-1)+DS129),DS129))</f>
        <v>25</v>
      </c>
      <c r="R129" s="6">
        <f t="shared" si="124"/>
        <v>0.4</v>
      </c>
      <c r="S129" t="str">
        <f t="shared" si="125"/>
        <v>ВВГнг(А)-LS (3х1,5)</v>
      </c>
      <c r="T129" t="str">
        <f>IF(BH129="","",IF(BI129="вводной узел","узел ","")&amp;"л."&amp;(INT((BH129-1)/Столбцов_на_лист)+1)&amp;" / "&amp;(MOD(BH129-1,Столбцов_на_лист)+1))</f>
        <v/>
      </c>
      <c r="V129">
        <v>1</v>
      </c>
      <c r="W129">
        <v>230</v>
      </c>
      <c r="X129" t="s">
        <v>600</v>
      </c>
      <c r="Y129">
        <v>0.5</v>
      </c>
      <c r="AE129" t="s">
        <v>578</v>
      </c>
      <c r="AI129" t="s">
        <v>529</v>
      </c>
      <c r="AJ129" t="s">
        <v>11</v>
      </c>
      <c r="AK129">
        <v>3</v>
      </c>
      <c r="AM129">
        <v>15</v>
      </c>
      <c r="AN129">
        <v>10</v>
      </c>
      <c r="AP129">
        <v>1</v>
      </c>
      <c r="AW129" cm="1">
        <f t="array" ref="AW129">ROW()-ROW(Линии[#Headers])</f>
        <v>127</v>
      </c>
      <c r="AX129" s="6" t="str">
        <f t="shared" si="126"/>
        <v>K</v>
      </c>
      <c r="AY129" t="str">
        <f t="shared" si="127"/>
        <v>0.009А.1</v>
      </c>
      <c r="AZ129" t="str">
        <f t="shared" si="128"/>
        <v>0</v>
      </c>
      <c r="BA129" t="str">
        <f t="shared" si="129"/>
        <v>009А.1</v>
      </c>
      <c r="BB129" t="str">
        <f t="shared" si="130"/>
        <v>009А</v>
      </c>
      <c r="BC129" t="str">
        <f>IF(U129&lt;&gt;"",U129,IF(AND(B129&lt;&gt;"",B129&lt;&gt;A129,ISNUMBER(_xlfn.XMATCH(B129,Щиты[Щит]))),B129,""))</f>
        <v/>
      </c>
      <c r="BD129" t="str" cm="1">
        <f t="array" ref="BD129">IF(B129="","",IF(BC129&lt;&gt;"","Щит "&amp;BC129,_xlfn.LET(_xlpm.nm,IFERROR(_xlfn.XLOOKUP(AX129,Коды_код,Коды_имя)&amp;"",""),_xlpm.md,IFERROR(N(_xlfn.XLOOKUP(AX129,Коды_код,Коды_режим)),1),_xlpm.ex,IF(Имя_режим="по экспликации",IFERROR(_xlfn.XLOOKUP(AZ129&amp;"|"&amp;BB129,Экспликация[Этаж]&amp;"|"&amp;Экспликация[Помещение],Экспликация[Название])&amp;"",""),""),_xlpm.rm,IF(BB129="","",IF(_xlpm.ex&lt;&gt;"",". "&amp;_xlpm.ex&amp;IF(Имя_пом="нет"," ("&amp;BB129&amp;")"," (пом. "&amp;BB129&amp;")"),IF(Имя_пом="нет"," ",", пом. ")&amp;BB129)),IF(_xlpm.nm="","",IF(_xlpm.md=2,_xlpm.nm&amp;" шлейф "&amp;AZ129,_xlpm.nm&amp;_xlpm.rm)))))</f>
        <v>Внутренний блок кондиционирования, пом. 009А</v>
      </c>
      <c r="BE129" t="str">
        <f t="shared" si="131"/>
        <v>Внутренний блок кондиционирования цокольный этаж Пом. №0.002Т</v>
      </c>
      <c r="BF129">
        <f>IFERROR(_xlfn.XMATCH(A129,Щиты[Щит]),0)</f>
        <v>6</v>
      </c>
      <c r="BG129">
        <f>_xlfn.LET(_xlpm.k,IFERROR(_xlfn.XLOOKUP(A129,Щиты[Щит],Щиты[Листов под вводной узел]),""),IF(_xlpm.k="",1,N(_xlpm.k))*Столбцов_на_лист)</f>
        <v>17</v>
      </c>
      <c r="BH129" t="str">
        <f t="shared" si="132"/>
        <v/>
      </c>
      <c r="BI129" t="str">
        <f t="shared" si="133"/>
        <v/>
      </c>
      <c r="BJ129" s="6">
        <f>IFERROR(N(_xlfn.XLOOKUP(AX129,Коды_код,Коды_квт)),0)</f>
        <v>0</v>
      </c>
      <c r="BK129">
        <f t="shared" si="134"/>
        <v>0</v>
      </c>
      <c r="BL129" t="str">
        <f>IF(B129="","",IF(BC129&lt;&gt;"",IFERROR(_xlfn.XLOOKUP(BC129,Щиты[Щит],Щиты[Руст, кВт]),0),IF(BK129=1,IFERROR(_xlfn.XLOOKUP(A129,Щиты[Щит],Щиты[Руст, кВт]),0),IF(BJ129&gt;0,ROUND(BJ129*MAX(1,N(D129)),3),""))))</f>
        <v/>
      </c>
      <c r="BM129">
        <f t="shared" si="135"/>
        <v>0.111</v>
      </c>
      <c r="BN129" s="6">
        <f>IF(B129="","",IF(BC129&lt;&gt;"",IFERROR(_xlfn.XLOOKUP(BC129,Щиты[Щит],Щиты[Руст, кВт]),0),N(BM129)))</f>
        <v>0.111</v>
      </c>
      <c r="BO129" t="str">
        <f>IF(B129="","",IFERROR(IF(VLOOKUP(AX129,Потребители_обозначение,8,FALSE)=0,"",VLOOKUP(AX129,Потребители_обозначение,8,FALSE)),""))</f>
        <v/>
      </c>
      <c r="BP129">
        <f t="shared" si="136"/>
        <v>230</v>
      </c>
      <c r="BQ129">
        <f>IF(B129="","",IF(BC129&lt;&gt;"",3,IFERROR(IF(N(VLOOKUP(AX129,Потребители_обозначение,9,FALSE))=0,1,VLOOKUP(AX129,Потребители_обозначение,9,FALSE)),1)))</f>
        <v>1</v>
      </c>
      <c r="BR129">
        <f t="shared" si="137"/>
        <v>1</v>
      </c>
      <c r="BS129" t="str">
        <f>IF(B129="","",_xlfn.LET(_xlpm.bc,IFERROR(IF(VLOOKUP(AX129,Потребители_обозначение,6,FALSE)=0,"",VLOOKUP(AX129,Потребители_обозначение,6,FALSE)&amp;""),""),IF(AND(FK129="да",OR(_xlpm.bc="",_xlpm.bc="мс")),Марка_пож,IF(AND(_xlpm.bc="",BC129&lt;&gt;""),"мс",_xlpm.bc))))</f>
        <v/>
      </c>
      <c r="BT129" t="str">
        <f t="shared" si="138"/>
        <v>мс</v>
      </c>
      <c r="BU129">
        <f>IF(B129="","",_xlfn.LET(_xlpm.cc,IFERROR(N(VLOOKUP(AX129,Потребители_обозначение,7,FALSE)),0),IF(_xlpm.cc&gt;0,_xlpm.cc,IF(BT129="","",IF(N(BR129)=3,5,3)))))</f>
        <v>3</v>
      </c>
      <c r="BV129">
        <f t="shared" si="139"/>
        <v>3</v>
      </c>
      <c r="BW129">
        <f>IFERROR(N(VLOOKUP(AX129,Потребители_обозначение,10,FALSE)),0)</f>
        <v>0</v>
      </c>
      <c r="BX129">
        <f>IFERROR(VLOOKUP(AX129,Потребители_обозначение,5,FALSE),0)</f>
        <v>1</v>
      </c>
      <c r="BY129" s="6" cm="1">
        <f t="array" ref="BY129">IF(B129="","",IF(BC129&lt;&gt;"",IFERROR(_xlfn.XLOOKUP(BC129,Щиты[Щит],Щиты[cos φ]),0.95),IF(BK129=1,IFERROR(_xlfn.XLOOKUP(A129,Щиты[Щит],Щиты[cos φ]),0.95),IF(ISNUMBER(Z129),Z129,IFERROR(IF(BX129=2,_xlfn.IFS(BR129=3,VLOOKUP(BN129,Справочная_двигатели,8,FALSE),BR129=1,VLOOKUP(BN129,Справочная_двигатели,10,TRUE)),IF(AND(Методика="нормы 2026",EQ129="Сил"),0.8,0.95)),0.95)))))</f>
        <v>0.8</v>
      </c>
      <c r="BZ129">
        <f t="shared" si="140"/>
        <v>0</v>
      </c>
      <c r="CA129">
        <f t="shared" si="141"/>
        <v>1</v>
      </c>
      <c r="CB129">
        <f t="shared" si="142"/>
        <v>0</v>
      </c>
      <c r="CC129">
        <f t="shared" si="143"/>
        <v>0</v>
      </c>
      <c r="CD129">
        <f t="shared" si="144"/>
        <v>0</v>
      </c>
      <c r="CE129">
        <f t="shared" si="145"/>
        <v>0</v>
      </c>
      <c r="CF129">
        <f t="shared" si="146"/>
        <v>0</v>
      </c>
      <c r="CG129">
        <f>IF(AX129="",0,_xlfn.LET(_xlpm.v,IFERROR(VLOOKUP(B129,УГО_спр,3,FALSE),IFERROR(VLOOKUP(AX129,УГО_спр,3,FALSE),IFERROR(VLOOKUP(LEFT(AX129,2),УГО_спр,3,FALSE),""))),IF(_xlpm.v="да",30,IF(ISNUMBER(_xlpm.v),_xlpm.v,0))))</f>
        <v>0</v>
      </c>
      <c r="CH129" t="str">
        <f t="shared" si="147"/>
        <v/>
      </c>
      <c r="CI129" t="str">
        <f>_xlfn.LET(_xlpm.k,IFERROR(_xlfn.XLOOKUP(AX129,Коды_код,Коды_утечка)&amp;"",""),IF(_xlpm.k="","дифавтомат",_xlpm.k))</f>
        <v>дифавтомат</v>
      </c>
      <c r="CJ129">
        <f t="shared" si="148"/>
        <v>0</v>
      </c>
      <c r="CK129">
        <f t="shared" si="149"/>
        <v>0</v>
      </c>
      <c r="CL129">
        <f>IF(B129="",0,IFERROR(--VLOOKUP(B129,УГО_спр,4,FALSE),IFERROR(--VLOOKUP(AX129,УГО_спр,4,FALSE),IFERROR(--VLOOKUP(LEFT(AX129,2),УГО_спр,4,FALSE),0))))</f>
        <v>0</v>
      </c>
      <c r="CM129" t="str">
        <f>IF(B129="","",IFERROR(_xlfn.XLOOKUP(AX129,Коды_код,Коды_апп)&amp;"",""))</f>
        <v/>
      </c>
      <c r="CN129" t="str">
        <f t="shared" si="150"/>
        <v/>
      </c>
      <c r="CO129" t="str" cm="1">
        <f t="array" ref="CO129">IF(TRIM(CN129&amp;"")="","",IFERROR(TRIM(INDEX(_xlfn.TEXTSPLIT(CN129&amp;";;;",";"),1)),""))</f>
        <v/>
      </c>
      <c r="CP129" t="str" cm="1">
        <f t="array" ref="CP129">IF(TRIM(CN129&amp;"")="","",IFERROR(TRIM(INDEX(_xlfn.TEXTSPLIT(CN129&amp;";;;",";"),2)),""))</f>
        <v/>
      </c>
      <c r="CQ129" t="str" cm="1">
        <f t="array" ref="CQ129">IF(TRIM(CN129&amp;"")="","",IFERROR(TRIM(INDEX(_xlfn.TEXTSPLIT(CN129&amp;";;;",";"),3)),""))</f>
        <v/>
      </c>
      <c r="CR129">
        <f t="shared" si="151"/>
        <v>0</v>
      </c>
      <c r="CS129" t="str">
        <f>IF(B129="","",_xlfn.LET(_xlpm.t,LOWER(AV129&amp;""),IF(ISNUMBER(SEARCH("dim",_xlpm.t)),"DIM",IF(ISNUMBER(SEARCH("dali",_xlpm.t)),"DALI",IF(OR(ISNUMBER(SEARCH("relay",_xlpm.t)),ISNUMBER(SEARCH("реле",_xlpm.t))),"Relay",IF(ISNUMBER(SEARCH("кнопк",_xlpm.t)),"",IFERROR(_xlfn.XLOOKUP(AX129,Коды_код,Коды_упр)&amp;"","")))))))</f>
        <v/>
      </c>
      <c r="CT129" t="str">
        <f t="shared" si="152"/>
        <v/>
      </c>
      <c r="CU129">
        <f>IF(B129="","",_xlfn.LET(_xlpm.ig,N(P129)+IF(AF129="вручную",0,N(CB129)),_xlpm.n0,IFERROR(VLOOKUP(_xlpm.ig,Автомат_номиналы,2,TRUE),0),_xlpm.mn,MAX(CL129,IF(AF129="вручную",0,N(CE129))),MAX(_xlpm.n0,_xlpm.mn,IF(CR129=1,Мин_автомат_БП,0))))</f>
        <v>6</v>
      </c>
      <c r="CV129">
        <f t="shared" si="153"/>
        <v>1</v>
      </c>
      <c r="CW129" t="str">
        <f t="shared" si="154"/>
        <v>1P</v>
      </c>
      <c r="CX129" t="str">
        <f>_xlfn.LET(_xlpm.cc,UPPER(TRIM(IFERROR(_xlfn.XLOOKUP(AX129,Коды_код,Коды_хар)&amp;"",""))),IF(OR(_xlpm.cc="B",_xlpm.cc="В"),"B",IF(_xlpm.cc="D","D","С")))</f>
        <v>С</v>
      </c>
      <c r="CY129" t="str">
        <f t="shared" si="155"/>
        <v>1P С6А</v>
      </c>
      <c r="CZ129">
        <f t="shared" si="156"/>
        <v>10</v>
      </c>
      <c r="DA129" t="str">
        <f t="shared" si="157"/>
        <v>1P С10А</v>
      </c>
      <c r="DB129" cm="1">
        <f t="array" ref="DB129">IF(DA129="","",_xlfn.LET(_xlpm.t,SUBSTITUTE(SUBSTITUTE(SUBSTITUTE(UPPER(DA129),"С","C"),"А","A"),"В","B"),_xlpm.tk,_xlfn.TEXTSPLIT(_xlpm.t,"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9" t="str">
        <f t="shared" si="158"/>
        <v>ok</v>
      </c>
      <c r="DD129">
        <f t="shared" si="159"/>
        <v>10</v>
      </c>
      <c r="DE129" t="str">
        <f t="shared" si="160"/>
        <v>1P С10А</v>
      </c>
      <c r="DF129">
        <f t="shared" si="161"/>
        <v>0</v>
      </c>
      <c r="DG129">
        <f t="shared" si="162"/>
        <v>0</v>
      </c>
      <c r="DH129">
        <f t="shared" si="163"/>
        <v>0</v>
      </c>
      <c r="DI129">
        <f t="shared" si="164"/>
        <v>0.60080512387545415</v>
      </c>
      <c r="DJ129">
        <f t="shared" si="165"/>
        <v>1</v>
      </c>
      <c r="DK129">
        <f>IF(ISNUMBER(AL129),AL129,К_прокл)</f>
        <v>1</v>
      </c>
      <c r="DL129">
        <f t="shared" si="166"/>
        <v>2</v>
      </c>
      <c r="DM129">
        <f>IFERROR(N(VLOOKUP(BT129,Кабель_обозначение,3,FALSE)),1)</f>
        <v>1</v>
      </c>
      <c r="DN129">
        <f>IFERROR(N(_xlfn.XLOOKUP(A129,Щиты[Щит],Щиты[ΔU до шин, %])),0)</f>
        <v>0.24000000000000002</v>
      </c>
      <c r="DO129" t="str">
        <f>IFERROR(_xlfn.XLOOKUP(A129,Щиты[Щит],Щиты[Zпетли на шинах, Ом]),"")</f>
        <v/>
      </c>
      <c r="DP129">
        <f>IFERROR(N(_xlfn.XLOOKUP(A129,Щиты[Щит],Щиты[ΔU до шин (подбор), %])),0)</f>
        <v>0.36</v>
      </c>
      <c r="DQ129" t="str">
        <f>IFERROR(_xlfn.XLOOKUP(A129,Щиты[Щит],Щиты[Zпетли на шинах (подбор), Ом]),"")</f>
        <v/>
      </c>
      <c r="DR129" t="str">
        <f t="shared" si="167"/>
        <v/>
      </c>
      <c r="DS129">
        <f t="shared" si="168"/>
        <v>23</v>
      </c>
      <c r="DT129">
        <f t="shared" si="169"/>
        <v>2</v>
      </c>
      <c r="DU129">
        <f t="shared" si="170"/>
        <v>0.6</v>
      </c>
      <c r="DV129" s="6">
        <f>IF(B129="","",IF(IFERROR(VLOOKUP(AX129,УГО_спр,2,FALSE),"")="Светильник",3,4)+IF(Методика="нормы 2026",MIN(0.5,MAX(0,N(Q129)-100)*0.005),0))</f>
        <v>4</v>
      </c>
      <c r="DW129" cm="1">
        <f t="array" ref="DW129">IF(OR(B129="",BT129="",DM129&lt;&gt;1),"",_xlfn.LET(_xlpm.sz,Iдоп_S,_xlpm.t_,CHOOSE(DL129,Iдоп_1ж,Iдоп_2ж,Iдоп_3ж)*DJ129*DK129,_xlpm.inn,N(DD129),_xlpm.smin,MAX(1.5,BW129),_xlpm.L_,N(Q129)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129)*(_xlpm.rho*_xlpm.L_/_xlpm.sz*N(BY129)+_xlpm.xx*_xlpm.L_*N(DU129)/1000)*N(P129)/((Uн_лин/SQRT(3))*1000)*100,999),_xlpm.kz,IF(OR(DG129=1,NOT(ISNUMBER(DQ129)),_xlpm.L_=0,_xlpm.inn=0),1,IFERROR(--(c_min*(Uн_лин*1000/SQRT(3))/(DQ129+2*ρкз_Cu*_xlpm.L_/_xlpm.sz)&gt;=GY129*_xlpm.inn),0)),_xlpm.ok,IFERROR((_xlpm.sz&gt;=_xlpm.smin)*(_xlpm.t_&gt;=_xlpm.inn)*IF(_xlpm.L_&gt;0,(_xlpm.du_+DP129&lt;=DV129+0.00001),1)*_xlpm.kz,0),_xlpm.r_,_xlfn._xlws.FILTER(_xlpm.sz,_xlpm.ok,"не подобрано"),INDEX(_xlpm.r_,1)))</f>
        <v>1.5</v>
      </c>
      <c r="DX129">
        <f t="shared" si="171"/>
        <v>1.5</v>
      </c>
      <c r="DY129" cm="1">
        <f t="array" ref="DY129">IF(OR(B129="",BT129="",DM129&lt;&gt;1),"",_xlfn.LET(_xlpm.sz,Iдоп_S,_xlpm.t_,CHOOSE(DL129,Iдоп_1ж,Iдоп_2ж,Iдоп_3ж)*DJ129*DK129,_xlpm.ok,IFERROR((_xlpm.sz&gt;=MAX(1.5,BW129))*(_xlpm.t_&gt;=N(DD129)),0),_xlpm.r_,_xlfn._xlws.FILTER(_xlpm.sz,_xlpm.ok,""),INDEX(_xlpm.r_,1)))</f>
        <v>1.5</v>
      </c>
      <c r="DZ129" s="6" cm="1">
        <f t="array" ref="DZ129">IFERROR(ROUNDUP(N(DT129)*(_xlfn.XLOOKUP(DY129,INDEX(Кабель_сопротивление,0,1),INDEX(Кабель_сопротивление,0,3))*N(Q129)/DY129*N(BY129)+_xlfn.XLOOKUP(DY129,INDEX(Кабель_сопротивление,0,1),INDEX(Кабель_сопротивление,0,2))*N(Q129)*N(DU129)/1000)*N(P129)/((Uн_лин/SQRT(3))*1000)*100,2),"")</f>
        <v>0.16</v>
      </c>
      <c r="EA129">
        <f>IFERROR(2*ρкз_Cu*N(Q129)/DY129,"")</f>
        <v>0.87666666666666659</v>
      </c>
      <c r="EB129">
        <f>IFERROR(VLOOKUP(DX129,Кабель_сопротивление,3,FALSE),"")</f>
        <v>2.2499999999999999E-2</v>
      </c>
      <c r="EC129">
        <f>IFERROR(VLOOKUP(DX129,Кабель_сопротивление,2,FALSE),"")</f>
        <v>0.11</v>
      </c>
      <c r="ED129">
        <f t="shared" si="172"/>
        <v>10</v>
      </c>
      <c r="EE129">
        <f t="shared" si="173"/>
        <v>0</v>
      </c>
      <c r="EF129">
        <f t="shared" si="174"/>
        <v>0.36246573123406151</v>
      </c>
      <c r="EG129" s="6">
        <f>IFERROR(ROUNDUP(EF129/((Uн_лин/SQRT(3))*1000)*100,2),"")</f>
        <v>0.16</v>
      </c>
      <c r="EH129" t="str">
        <f>IFERROR(VLOOKUP(BT129,Кабель_обозначение,2,FALSE),"")</f>
        <v>ВВГнг(А)-LS</v>
      </c>
      <c r="EI129" t="str">
        <f t="shared" si="175"/>
        <v>ВВГнг(А)-LS (3х1,5)</v>
      </c>
      <c r="EJ129" t="str">
        <f t="shared" si="176"/>
        <v>ВВГнг(А)-LS (3х1,5)
L=25-0,16%</v>
      </c>
      <c r="EK129">
        <f>IFERROR(2*ρкз_Cu*Q129/DX129,"")</f>
        <v>0.87666666666666659</v>
      </c>
      <c r="EL129">
        <f t="shared" si="177"/>
        <v>0.29166666666666669</v>
      </c>
      <c r="EM129" s="6" t="str">
        <f>IFERROR(IF(OR(B129="",NOT(ISNUMBER(DX129)),N(Q129)=0),"",_xlfn.XLOOKUP(A129,Щиты[Щит],Щиты[Zпетли на шинах, Ом])+EK129),"")</f>
        <v/>
      </c>
      <c r="EN129" s="6" t="str">
        <f>IF(ISNUMBER(EM129),c_min*(Uн_лин*1000/SQRT(3))/EM129,"")</f>
        <v/>
      </c>
      <c r="EO129" s="6" t="str">
        <f>IFERROR(IF(OR(B129="",NOT(ISNUMBER(DX129))),"",1.05*(Uн_лин*1000/SQRT(3))/(_xlfn.XLOOKUP(A129,Щиты[Щит],Щиты[Zmax на шинах, Ом])+EL129)/1000),"")</f>
        <v/>
      </c>
      <c r="EP129" s="6" t="str">
        <f>IF(B129="","",IF(ISNUMBER(Y129),"Сил",IF(IFERROR(_xlfn.XLOOKUP(AX129,Коды_код,Коды_группа)&amp;"","")="","Быт",_xlfn.XLOOKUP(AX129,Коды_код,Коды_группа)&amp;"")))</f>
        <v>Сил</v>
      </c>
      <c r="EQ129" s="6" t="str">
        <f t="shared" si="178"/>
        <v>Сил</v>
      </c>
      <c r="ER129" s="6">
        <f>IF(EQ129="Щит","щит",IF(EQ129="","",IF(EQ129="Быт",IFERROR(_xlfn.XLOOKUP(A129,Щиты[Щит],Щиты[Кс быт]),1),IF(EQ129="Сил",IF(ISNUMBER(Y129),Y129,IF(Методика="нормы 2026",IFERROR(_xlfn.XLOOKUP(A129,Щиты[Щит],Щиты[Кс силовых (табл. 7.5)]),1),1)),IF(OR(EQ129="Пост",EQ129="Отоп"),1,IF(EQ129="ВНГ",0.7,0))))))</f>
        <v>0.5</v>
      </c>
      <c r="ES129">
        <f t="shared" si="179"/>
        <v>1</v>
      </c>
      <c r="ET129">
        <f t="shared" si="180"/>
        <v>0.111</v>
      </c>
      <c r="EU129">
        <f t="shared" si="181"/>
        <v>0</v>
      </c>
      <c r="EV129">
        <f t="shared" si="182"/>
        <v>5.5500000000000001E-2</v>
      </c>
      <c r="EW129">
        <f t="shared" si="183"/>
        <v>0</v>
      </c>
      <c r="EX129">
        <f t="shared" si="184"/>
        <v>0</v>
      </c>
      <c r="EY129">
        <f t="shared" si="185"/>
        <v>0</v>
      </c>
      <c r="EZ129">
        <f t="shared" si="186"/>
        <v>0.111</v>
      </c>
      <c r="FA129">
        <f t="shared" si="187"/>
        <v>8.8800000000000004E-2</v>
      </c>
      <c r="FB129">
        <f t="shared" si="188"/>
        <v>0.111</v>
      </c>
      <c r="FC129" t="str">
        <f t="shared" si="189"/>
        <v/>
      </c>
      <c r="FD129" t="str">
        <f>IF(B129="","",IF(CA129=0,IF(AW129=1,"",FF128),IF(OR(N(CV129)&gt;=3,N(BR129)&gt;=3),"L1,L2,L3",IFERROR(_xlfn.TEXTBEFORE(_xlfn.TEXTAFTER(_xlfn.XLOOKUP(A129,Щиты[Щит],Щиты[_фазы авто]),";"&amp;AW129&amp;":"),";"),"L1"))))</f>
        <v>L1</v>
      </c>
      <c r="FE129" t="str">
        <f t="shared" si="190"/>
        <v>L1</v>
      </c>
      <c r="FF129" t="str">
        <f t="shared" si="191"/>
        <v>L1</v>
      </c>
      <c r="FG129" cm="1">
        <f t="array" ref="FG129">IFERROR(IF(BX129=2,_xlfn.IFS(BR129=3,VLOOKUP(BN129,Справочная_двигатели,3,FALSE),BR129=1,VLOOKUP(BN129,Справочная_двигатели,5,TRUE)),0),0)</f>
        <v>0</v>
      </c>
      <c r="FH129">
        <f>IFERROR(IF(BX129=3,VLOOKUP(BN129,Справочная_ЛЭД,2,TRUE),0),0)</f>
        <v>0</v>
      </c>
      <c r="FI129" s="6">
        <f t="shared" si="192"/>
        <v>0</v>
      </c>
      <c r="FJ129" t="str" cm="1">
        <f t="array" ref="FJ129">IF(B129="","",IFERROR(INDEX({"I особая","I","II","III"},MATCH(TRIM(AC129&amp;""),{"I особая","I","II","III"},0)),"III"))</f>
        <v>III</v>
      </c>
      <c r="FK129" t="str">
        <f>IF(B129="","",IF(TRIM(AD129&amp;"")&lt;&gt;"",IF(LOWER(TRIM(AD129&amp;""))="да","да","нет"),IF(IFERROR(_xlfn.XLOOKUP(AX129,Коды_код,Коды_пожарная),"")="да","да","нет")))</f>
        <v>нет</v>
      </c>
      <c r="FL129" t="str">
        <f t="shared" si="193"/>
        <v/>
      </c>
      <c r="FM129" t="str">
        <f t="shared" si="194"/>
        <v>основная</v>
      </c>
      <c r="FN129">
        <f t="shared" si="195"/>
        <v>1</v>
      </c>
      <c r="FO129" t="str" cm="1">
        <f t="array" ref="FO129">IF(B129="","",_xlfn.LET(_xlpm.t,IFERROR(_xlfn.XLOOKUP(1,(Шины[Шина]=FM129)*(((Шины[Щит]=A129)+(Шины[Щит]=""))&gt;0),Шины[Тип]),"")&amp;"",IF(_xlpm.t&lt;&gt;"",_xlpm.t,IF(ISNUMBER(SEARCH("ИБП",FM129)),"ИБП",IF(ISNUMBER(SEARCH("ДГУ",FM129)),"ДГУ","Ввод "&amp;FN129)))))</f>
        <v>Ввод 1</v>
      </c>
      <c r="FP129" t="str">
        <f t="shared" si="196"/>
        <v>Ввод 1</v>
      </c>
      <c r="FQ129" t="str">
        <f>IF(B129="","",IF(OR(FO129="ИБП",FO129="ДГУ"),"I особая",IF(FO129="Одиночная","III",_xlfn.XLOOKUP(A129,Щиты[Щит],Щиты[Категория шины «Ввод»],"III"))))</f>
        <v>II</v>
      </c>
      <c r="FR129">
        <f>IF(B129="",0,IFERROR(MATCH(FJ129,{"III","II","I","I особая"},0),1))</f>
        <v>1</v>
      </c>
      <c r="FS129">
        <f t="shared" si="197"/>
        <v>1</v>
      </c>
      <c r="FT129" t="str">
        <f>IF(B129="","",IF(FR129&gt;IFERROR(MATCH(FQ129,{"III","II","I","I особая"},0),1),"НЕ ОБЕСПЕЧЕНА","ОК"))</f>
        <v>ОК</v>
      </c>
      <c r="FU129" t="str">
        <f>IF(A129="","",_xlfn.XLOOKUP(A129,Щиты[Щит],Щиты[Путь],""))</f>
        <v>|ГРЩ-ЖД|ЩОВ-01|</v>
      </c>
      <c r="FV129" t="str">
        <f>IF(B129="","",IF(AE129&lt;&gt;"",AE129,IF(IFERROR(_xlfn.XLOOKUP(AX129,Коды_код,Коды_вид)&amp;"","")="","Прочее",_xlfn.XLOOKUP(AX129,Коды_код,Коды_вид)&amp;"")))</f>
        <v>Кондиционирование и увлажнение</v>
      </c>
      <c r="FW129" t="str">
        <f>IF(BH129="","",INT((BH129-1)/Столбцов_на_лист)+1)</f>
        <v/>
      </c>
      <c r="FX129" t="str">
        <f t="shared" si="198"/>
        <v>ВВГнг(А)-LS (3х1,5) L=25-0,16%</v>
      </c>
      <c r="FY129">
        <f t="shared" si="199"/>
        <v>0.111</v>
      </c>
      <c r="FZ129">
        <f t="shared" si="200"/>
        <v>0.61</v>
      </c>
      <c r="GA129">
        <f t="shared" si="201"/>
        <v>1</v>
      </c>
      <c r="GB129">
        <f t="shared" si="202"/>
        <v>0</v>
      </c>
      <c r="GC129">
        <f t="shared" si="203"/>
        <v>0</v>
      </c>
      <c r="GD129" t="str">
        <f>IF(BH129="","",IF(AND(CA129=1,GC129=1),COUNTIFS(A$3:A129,A129,CA$3:CA129,1,GC$3:GC129,1),IF(OR(OR(AW129=1,A129&lt;&gt;A128),AF129="вручную",GC129=0),"",IF(AW129=1,"",GE128))))</f>
        <v/>
      </c>
      <c r="GE129">
        <f t="shared" si="204"/>
        <v>26</v>
      </c>
      <c r="GF129">
        <f>IF(B129="","",IFERROR(LOOKUP(INDEX(CHOOSE(DL129,Iдоп_1ж,Iдоп_2ж,Iдоп_3ж),MATCH(DX129,Iдоп_S,0))*DJ129*DK129,{6,10,16,20,25,32,40,50,63,80,100,125,160,200,250,315,400,500,630}),""))</f>
        <v>16</v>
      </c>
      <c r="GG129" t="str">
        <f t="shared" si="205"/>
        <v/>
      </c>
      <c r="GH129" t="str">
        <f t="shared" si="206"/>
        <v>QF26</v>
      </c>
      <c r="GI129" t="str">
        <f t="shared" si="207"/>
        <v/>
      </c>
      <c r="GJ129">
        <f t="shared" si="208"/>
        <v>0</v>
      </c>
      <c r="GK129" t="str">
        <f>IF(OR(AG129="",AG129="-"),"",IFERROR(VLOOKUP(AG129,Модули_спр,2,FALSE),"R"))</f>
        <v/>
      </c>
      <c r="GL129" t="str">
        <f>IF(GK129="","",GK129&amp;"."&amp;COUNTIFS(A$3:A129,A129,GK$3:GK129,GK129))</f>
        <v/>
      </c>
      <c r="GM129" t="str">
        <f t="shared" si="209"/>
        <v/>
      </c>
      <c r="GN129" t="str">
        <f t="shared" si="210"/>
        <v/>
      </c>
      <c r="GO129" t="str">
        <f t="shared" si="211"/>
        <v/>
      </c>
      <c r="GP129" t="str">
        <f t="shared" si="212"/>
        <v/>
      </c>
      <c r="GQ129">
        <f t="shared" si="213"/>
        <v>1</v>
      </c>
      <c r="GR129" t="str">
        <f>IF(GQ129=1,"XT"&amp;COUNTIFS(A$3:A129,A129,GQ$3:GQ129,1),"")</f>
        <v>XT27</v>
      </c>
      <c r="GS129" t="str">
        <f t="shared" si="214"/>
        <v>XT27</v>
      </c>
      <c r="GT129" t="str">
        <f t="shared" si="215"/>
        <v>QF26</v>
      </c>
      <c r="GU129" t="str">
        <f t="shared" si="216"/>
        <v/>
      </c>
      <c r="GV129" t="str">
        <f t="shared" si="217"/>
        <v>ok</v>
      </c>
      <c r="GW129" t="str">
        <f>IF(OR(GO129="",GM129=""),"",IF(GO129&gt;IFERROR(VLOOKUP(GN129,Модули_спр,3,FALSE),99),"ЛИШНИЙ КАНАЛ",IF(AND(AH129&lt;&gt;"=",COUNTIFS(Линии[_модуль гр.],GM129,Линии[Канал (итог)],GO129,Линии[Канал],"&lt;&gt;=",Линии[Щит],A129)&gt;1),"ДУБЛЬ КАНАЛА","")))</f>
        <v/>
      </c>
      <c r="GX129" s="6" t="str">
        <f t="shared" si="218"/>
        <v/>
      </c>
      <c r="GY129">
        <f t="shared" si="219"/>
        <v>10</v>
      </c>
      <c r="GZ129" t="str">
        <f t="shared" si="220"/>
        <v/>
      </c>
      <c r="HA129" t="str">
        <f>IF(AND(B129="",GT129=""),"",_xlfn.TEXTJOIN("; ",TRUE,IF(AND(B129&lt;&gt;"",FE129=""),"нет фазы",""),IF(AND(B129&lt;&gt;"",N(FY129)=0,EQ129&lt;&gt;"Нет"),"нет мощности",""),IF(AND(GS129&lt;&gt;"",COUNTIFS(Линии[Щит],A129,Линии[Клемма (итог)],GS129)&gt;1),"дубль клеммы "&amp;GS129,""),IF(AND(GV129&lt;&gt;"",GV129&lt;&gt;"ok"),GV129,""),IF(GW129&lt;&gt;"",GW129,""),IF(AND(N(BV129)&gt;=4,N(BR129)=1),BV129&amp;" жил на 1 фазе",""),IF(AND(AX129="R",CA129=1,OR(N(CK129)=0,N(CK129)&gt;30)),"розетка без дифзащиты до 30 мА",""),IFERROR(IF(AND(ISNUMBER(R129),R129&gt;DV129),"потери "&amp;FIXED(R129,1)&amp;" % &gt; "&amp;DV129&amp;" %",""),""),IFERROR(IF(LEFT(GZ129,4)="мало","Iкз мало — отключение &gt; 0,4 с",""),""),IF(AND(B129&lt;&gt;"",BH129=""),"не на схеме",""),IF(AND(CA129=0,B129&lt;&gt;"",FE129&lt;&gt;"",IF(AW129=1,"",FF128)&lt;&gt;"",FE129&lt;&gt;IF(AW129=1,"",FF128)),"фаза не как у автомата группы ("&amp;IF(AW129=1,"",FF128)&amp;")","")))</f>
        <v>не на схеме</v>
      </c>
      <c r="HB129" s="6">
        <f>IF(OR(CA129=0,DA129=""),"",_xlfn.LET(_xlpm.t,IFERROR(_xlfn.XLOOKUP(DA129,Каталог!$U$4:$U$500,Каталог!$G$4:$G$500),""),_xlpm.k,SEARCH("кА",_xlpm.t),IFERROR(--TRIM(RIGHT(SUBSTITUTE(MID(_xlpm.t,MAX(1,_xlpm.k-4),_xlpm.k-MAX(1,_xlpm.k-4))," ",REPT(" ",9)),5)),"")))</f>
        <v>6</v>
      </c>
      <c r="HC129" t="str">
        <f>IF(OR(HB129="",CA129=0),"",IF(_xlfn.XLOOKUP(A129,Щиты[Щит],Щиты[Iкз max на шинах, кА],"")="","",IF(HB129&lt;_xlfn.XLOOKUP(A129,Щиты[Щит],Щиты[Iкз max на шинах, кА]),"Icu "&amp;HB129&amp;" кА &lt; Iкз max","ok")))</f>
        <v/>
      </c>
      <c r="HD129" t="str">
        <f t="shared" si="221"/>
        <v/>
      </c>
      <c r="HE129" t="str">
        <f t="shared" si="222"/>
        <v/>
      </c>
      <c r="HF129" t="str">
        <f t="shared" si="223"/>
        <v/>
      </c>
      <c r="HG129" t="str" cm="1">
        <f t="array" ref="HG129">IF(HF129="","",_xlfn.LET(_xlpm.nd,_xlfn.TEXTSPLIT(HF129,"|"),IF(COLUMNS(_xlpm.nd)&gt;1,A129&amp;"¦"&amp;INDEX(_xlpm.nd,1)&amp;"¦"&amp;INDEX(_xlpm.nd,2),"")))</f>
        <v/>
      </c>
      <c r="HH129" t="str">
        <f t="shared" si="224"/>
        <v/>
      </c>
      <c r="HI129" t="str" cm="1">
        <f t="array" ref="HI129">IF(HF129="","",_xlfn.LET(_xlpm.nd,_xlfn.TEXTSPLIT(HF129,"|"),IF(COLUMNS(_xlpm.nd)&gt;2,A129&amp;"¦"&amp;INDEX(_xlpm.nd,2)&amp;"¦"&amp;INDEX(_xlpm.nd,3),"")))</f>
        <v/>
      </c>
      <c r="HJ129" t="str">
        <f t="shared" si="225"/>
        <v/>
      </c>
      <c r="HK129" t="str" cm="1">
        <f t="array" ref="HK129">IF(HF129="","",_xlfn.LET(_xlpm.nd,_xlfn.TEXTSPLIT(HF129,"|"),IF(COLUMNS(_xlpm.nd)&gt;3,A129&amp;"¦"&amp;INDEX(_xlpm.nd,3)&amp;"¦"&amp;INDEX(_xlpm.nd,4),"")))</f>
        <v/>
      </c>
      <c r="HL129" t="str">
        <f t="shared" si="226"/>
        <v/>
      </c>
      <c r="HM129" t="str" cm="1">
        <f t="array" ref="HM129">IF(HF129="","",_xlfn.LET(_xlpm.nd,_xlfn.TEXTSPLIT(HF129,"|"),IF(COLUMNS(_xlpm.nd)&gt;4,A129&amp;"¦"&amp;INDEX(_xlpm.nd,4)&amp;"¦"&amp;INDEX(_xlpm.nd,5),"")))</f>
        <v/>
      </c>
      <c r="HN129" t="str">
        <f t="shared" si="227"/>
        <v/>
      </c>
      <c r="HO129" t="str" cm="1">
        <f t="array" ref="HO129">IF(HF129="","",_xlfn.LET(_xlpm.nd,_xlfn.TEXTSPLIT(HF129,"|"),IF(COLUMNS(_xlpm.nd)&gt;5,A129&amp;"¦"&amp;INDEX(_xlpm.nd,5)&amp;"¦"&amp;INDEX(_xlpm.nd,6),"")))</f>
        <v/>
      </c>
      <c r="HP129" t="str">
        <f t="shared" si="228"/>
        <v/>
      </c>
      <c r="HQ129" t="str" cm="1">
        <f t="array" ref="HQ129">IF(HF129="","",_xlfn.LET(_xlpm.nd,_xlfn.TEXTSPLIT(HF129,"|"),IF(COLUMNS(_xlpm.nd)&gt;6,A129&amp;"¦"&amp;INDEX(_xlpm.nd,6)&amp;"¦"&amp;INDEX(_xlpm.nd,7),"")))</f>
        <v/>
      </c>
      <c r="HR129" t="str">
        <f t="shared" si="229"/>
        <v/>
      </c>
      <c r="HS129" t="str">
        <f t="shared" si="230"/>
        <v/>
      </c>
      <c r="HT129" t="str">
        <f t="shared" si="231"/>
        <v>QF26 → XT27</v>
      </c>
      <c r="HU129">
        <f t="shared" si="232"/>
        <v>0</v>
      </c>
      <c r="HV129">
        <f t="shared" si="233"/>
        <v>0</v>
      </c>
      <c r="HW129" t="str">
        <f t="shared" si="234"/>
        <v/>
      </c>
      <c r="HX129" t="str">
        <f t="shared" si="235"/>
        <v/>
      </c>
      <c r="HY129" t="str">
        <f t="shared" si="236"/>
        <v/>
      </c>
      <c r="HZ129" t="str">
        <f t="shared" si="237"/>
        <v/>
      </c>
      <c r="IA129">
        <f>IF(B129="","",IFERROR(VLOOKUP(B129,УГО_спр,2,FALSE),IFERROR(VLOOKUP(AX129,УГО_спр,2,FALSE),IFERROR(VLOOKUP(LEFT(AX129,2),УГО_спр,2,FALSE),""))))</f>
        <v>0</v>
      </c>
      <c r="IB129" t="str">
        <f>IF(B129="","",IF(OR(IA129="",IA129=0),"BOX",IFERROR(IF(VLOOKUP(IA129,УГО_блоки,3,FALSE)&amp;""&lt;&gt;"",VLOOKUP(IA129,УГО_блоки,3,FALSE),VLOOKUP(IA129,УГО_блоки,2,FALSE)),IA129)))</f>
        <v>BOX</v>
      </c>
      <c r="IC129">
        <f t="shared" si="238"/>
        <v>1</v>
      </c>
      <c r="ID129" t="str">
        <f>IF(DA129="","",IF(COUNTIF(DA$3:DA129,DA129)=1,MAX(ID$2:ID128)+1,""))</f>
        <v/>
      </c>
      <c r="IE129" t="str">
        <f>IF(CO129="","",IF(COUNTIF(CO$3:CO129,CO129)+COUNTIF(CP$2:CP128,CO129)+COUNTIF(CQ$2:CQ128,CO129)=1,MAX(IE$2:IG128)+1,""))</f>
        <v/>
      </c>
      <c r="IF129" t="str">
        <f>IF(CP129="","",IF(COUNTIF(CO$3:CO129,CP129)+COUNTIF(CP$3:CP129,CP129)+COUNTIF(CQ$2:CQ128,CP129)=1,MAX(IE$2:IG128,IE129)+1,""))</f>
        <v/>
      </c>
      <c r="IG129" t="str">
        <f>IF(CQ129="","",IF(COUNTIF(CO$3:CO129,CQ129)+COUNTIF(CP$3:CP129,CQ129)+COUNTIF(CQ$3:CQ129,CQ129)=1,MAX(IE$2:IG128,IE129,IF129)+1,""))</f>
        <v/>
      </c>
      <c r="IH129" t="str">
        <f t="shared" si="239"/>
        <v>3х1,5</v>
      </c>
      <c r="II129" t="str">
        <f>IF(IH129="","",IF(COUNTIF(IH$3:IH129,IH129)=1,MAX(II$2:II128)+1,""))</f>
        <v/>
      </c>
      <c r="IJ129" t="str">
        <f>IF(GL129="","",COUNTIF(GL$3:GL129,"?*"))</f>
        <v/>
      </c>
      <c r="IK129" t="str">
        <f>IF(OR(GL129="",GN129=""),"",IF(COUNTIFS(GL$3:GL129,"?*",GN$3:GN129,GN129)=1,MAX(IK$2:IK128)+1,""))</f>
        <v/>
      </c>
      <c r="IL129">
        <f t="shared" si="240"/>
        <v>1</v>
      </c>
      <c r="IM129">
        <f>IF(B129="","",COUNTIF(B$3:B129,"?*"))</f>
        <v>127</v>
      </c>
      <c r="IN129">
        <f>IF(GQ129&lt;&gt;1,0,_xlfn.LET(_xlpm.k,MAX(IFERROR(--VLOOKUP(B129,УГО_спр,5,FALSE),0),IFERROR(--VLOOKUP(AX129,УГО_спр,5,FALSE),0),IFERROR(--VLOOKUP(LEFT(AX129,2),УГО_спр,5,FALSE),0)),IF(_xlpm.k&gt;0,_xlpm.k,IF(IFERROR(--LEFT(SUBSTITUTE(IH129,"x","х"),FIND("х",SUBSTITUTE(IH129,"x","х"))-1),3)&gt;3,Каталог!$S$9,1))))</f>
        <v>1</v>
      </c>
      <c r="IO129">
        <f t="shared" si="241"/>
        <v>0</v>
      </c>
      <c r="IP129" t="str">
        <f t="shared" si="242"/>
        <v>авто</v>
      </c>
      <c r="IQ129" t="str">
        <f t="shared" si="243"/>
        <v/>
      </c>
      <c r="IR129">
        <f t="shared" si="244"/>
        <v>0</v>
      </c>
      <c r="IS129">
        <f t="shared" si="245"/>
        <v>1</v>
      </c>
    </row>
    <row r="130" spans="1:253" x14ac:dyDescent="0.3">
      <c r="A130" t="s">
        <v>753</v>
      </c>
      <c r="B130" t="s">
        <v>55</v>
      </c>
      <c r="C130" t="str">
        <f>Линии[[#This Row],[_авто наименование]]</f>
        <v xml:space="preserve">Вводной кабель шлейф </v>
      </c>
      <c r="D130">
        <v>1</v>
      </c>
      <c r="E130" t="s">
        <v>16</v>
      </c>
      <c r="G130">
        <v>20</v>
      </c>
      <c r="H130" t="str">
        <f>Линии[[#This Row],[_авто утечка]]</f>
        <v/>
      </c>
      <c r="I130" t="str">
        <f>Линии[[#This Row],[_авто управление]]</f>
        <v/>
      </c>
      <c r="J130" t="str">
        <f>Линии[[#This Row],[_авто аппараты]]</f>
        <v/>
      </c>
      <c r="K130">
        <v>4</v>
      </c>
      <c r="L130">
        <v>52</v>
      </c>
      <c r="M130" t="str">
        <f>Линии[[#This Row],[_авто фаза]]</f>
        <v>L1,L2,L3</v>
      </c>
      <c r="N130" t="str">
        <f>Линии[[#This Row],[_авто клемма]]</f>
        <v/>
      </c>
      <c r="O130" t="str">
        <f t="shared" si="123"/>
        <v/>
      </c>
      <c r="P130" s="6" cm="1">
        <f t="array" ref="P130">IF(B130="","",IF(BC130&lt;&gt;"",IFERROR(_xlfn.XLOOKUP(BC130,Щиты[Щит],Щиты[Iр, А]),""),IF(BK130=1,IFERROR(_xlfn.XLOOKUP(A130,Щиты[Щит],Щиты[Iр, А]),""),IFERROR(_xlfn.IFS(BR130=1,BN130/((Uн_лин/SQRT(3))*BY130),BR130=3,BN130/(SQRT(3)*Uн_лин*BY130)),""))))</f>
        <v>10.284051669940206</v>
      </c>
      <c r="Q130" s="7">
        <f>IF(B130="","",IFERROR(IF(VLOOKUP(AX130,Потребители_обозначение,4,FALSE)=1,VLOOKUP(AX130,Потребители_обозначение,3,FALSE)*(D130*2-1)+DS130+VLOOKUP(AZ130,Этаж_обозначение,3,FALSE)+VLOOKUP(AZ130,Этаж_обозначение,4,FALSE),VLOOKUP(AX130,Потребители_обозначение,3,FALSE)*(D130*2-1)+DS130),DS130))</f>
        <v>52</v>
      </c>
      <c r="R130" s="6">
        <f t="shared" si="124"/>
        <v>2.2000000000000002</v>
      </c>
      <c r="S130" t="str">
        <f t="shared" si="125"/>
        <v>ВВГнг(А)-LS (5х4)</v>
      </c>
      <c r="T130" t="str">
        <f>IF(BH130="","",IF(BI130="вводной узел","узел ","")&amp;"л."&amp;(INT((BH130-1)/Столбцов_на_лист)+1)&amp;" / "&amp;(MOD(BH130-1,Столбцов_на_лист)+1))</f>
        <v>узел л.1 / 2</v>
      </c>
      <c r="V130">
        <v>3</v>
      </c>
      <c r="W130">
        <v>400</v>
      </c>
      <c r="X130" t="s">
        <v>549</v>
      </c>
      <c r="AF130" t="s">
        <v>1303</v>
      </c>
      <c r="AI130">
        <v>2</v>
      </c>
      <c r="AJ130" t="s">
        <v>11</v>
      </c>
      <c r="AK130">
        <v>5</v>
      </c>
      <c r="AM130">
        <v>37</v>
      </c>
      <c r="AN130">
        <v>15</v>
      </c>
      <c r="AP130">
        <v>1</v>
      </c>
      <c r="AW130" cm="1">
        <f t="array" ref="AW130">ROW()-ROW(Линии[#Headers])</f>
        <v>128</v>
      </c>
      <c r="AX130" s="6" t="str">
        <f t="shared" si="126"/>
        <v>Ввод</v>
      </c>
      <c r="AY130" t="str">
        <f t="shared" si="127"/>
        <v/>
      </c>
      <c r="AZ130" t="str">
        <f t="shared" si="128"/>
        <v/>
      </c>
      <c r="BA130" t="str">
        <f t="shared" si="129"/>
        <v/>
      </c>
      <c r="BB130" t="str">
        <f t="shared" si="130"/>
        <v/>
      </c>
      <c r="BC130" t="str">
        <f>IF(U130&lt;&gt;"",U130,IF(AND(B130&lt;&gt;"",B130&lt;&gt;A130,ISNUMBER(_xlfn.XMATCH(B130,Щиты[Щит]))),B130,""))</f>
        <v/>
      </c>
      <c r="BD130" t="str" cm="1">
        <f t="array" ref="BD130">IF(B130="","",IF(BC130&lt;&gt;"","Щит "&amp;BC130,_xlfn.LET(_xlpm.nm,IFERROR(_xlfn.XLOOKUP(AX130,Коды_код,Коды_имя)&amp;"",""),_xlpm.md,IFERROR(N(_xlfn.XLOOKUP(AX130,Коды_код,Коды_режим)),1),_xlpm.ex,IF(Имя_режим="по экспликации",IFERROR(_xlfn.XLOOKUP(AZ130&amp;"|"&amp;BB130,Экспликация[Этаж]&amp;"|"&amp;Экспликация[Помещение],Экспликация[Название])&amp;"",""),""),_xlpm.rm,IF(BB130="","",IF(_xlpm.ex&lt;&gt;"",". "&amp;_xlpm.ex&amp;IF(Имя_пом="нет"," ("&amp;BB130&amp;")"," (пом. "&amp;BB130&amp;")"),IF(Имя_пом="нет"," ",", пом. ")&amp;BB130)),IF(_xlpm.nm="","",IF(_xlpm.md=2,_xlpm.nm&amp;" шлейф "&amp;AZ130,_xlpm.nm&amp;_xlpm.rm)))))</f>
        <v xml:space="preserve">Вводной кабель шлейф </v>
      </c>
      <c r="BE130" t="str">
        <f t="shared" si="131"/>
        <v xml:space="preserve">Вводной кабель шлейф </v>
      </c>
      <c r="BF130">
        <f>IFERROR(_xlfn.XMATCH(A130,Щиты[Щит]),0)</f>
        <v>7</v>
      </c>
      <c r="BG130">
        <f>_xlfn.LET(_xlpm.k,IFERROR(_xlfn.XLOOKUP(A130,Щиты[Щит],Щиты[Листов под вводной узел]),""),IF(_xlpm.k="",1,N(_xlpm.k))*Столбцов_на_лист)</f>
        <v>17</v>
      </c>
      <c r="BH130">
        <f t="shared" si="132"/>
        <v>2</v>
      </c>
      <c r="BI130" t="str">
        <f t="shared" si="133"/>
        <v>вводной узел</v>
      </c>
      <c r="BJ130" s="6">
        <f>IFERROR(N(_xlfn.XLOOKUP(AX130,Коды_код,Коды_квт)),0)</f>
        <v>0</v>
      </c>
      <c r="BK130">
        <f t="shared" si="134"/>
        <v>1</v>
      </c>
      <c r="BL130">
        <f>IF(B130="","",IF(BC130&lt;&gt;"",IFERROR(_xlfn.XLOOKUP(BC130,Щиты[Щит],Щиты[Руст, кВт]),0),IF(BK130=1,IFERROR(_xlfn.XLOOKUP(A130,Щиты[Щит],Щиты[Руст, кВт]),0),IF(BJ130&gt;0,ROUND(BJ130*MAX(1,N(D130)),3),""))))</f>
        <v>11.093000000000002</v>
      </c>
      <c r="BM130" t="str">
        <f t="shared" si="135"/>
        <v>кВт</v>
      </c>
      <c r="BN130" s="6">
        <f>IF(B130="","",IF(BC130&lt;&gt;"",IFERROR(_xlfn.XLOOKUP(BC130,Щиты[Щит],Щиты[Руст, кВт]),0),N(BM130)))</f>
        <v>0</v>
      </c>
      <c r="BO130" t="str">
        <f>IF(B130="","",IFERROR(IF(VLOOKUP(AX130,Потребители_обозначение,8,FALSE)=0,"",VLOOKUP(AX130,Потребители_обозначение,8,FALSE)),""))</f>
        <v/>
      </c>
      <c r="BP130">
        <f t="shared" si="136"/>
        <v>400</v>
      </c>
      <c r="BQ130">
        <f>IF(B130="","",IF(BC130&lt;&gt;"",3,IFERROR(IF(N(VLOOKUP(AX130,Потребители_обозначение,9,FALSE))=0,1,VLOOKUP(AX130,Потребители_обозначение,9,FALSE)),1)))</f>
        <v>1</v>
      </c>
      <c r="BR130">
        <f t="shared" si="137"/>
        <v>3</v>
      </c>
      <c r="BS130" t="str">
        <f>IF(B130="","",_xlfn.LET(_xlpm.bc,IFERROR(IF(VLOOKUP(AX130,Потребители_обозначение,6,FALSE)=0,"",VLOOKUP(AX130,Потребители_обозначение,6,FALSE)&amp;""),""),IF(AND(FK130="да",OR(_xlpm.bc="",_xlpm.bc="мс")),Марка_пож,IF(AND(_xlpm.bc="",BC130&lt;&gt;""),"мс",_xlpm.bc))))</f>
        <v/>
      </c>
      <c r="BT130" t="str">
        <f t="shared" si="138"/>
        <v>мс</v>
      </c>
      <c r="BU130">
        <f>IF(B130="","",_xlfn.LET(_xlpm.cc,IFERROR(N(VLOOKUP(AX130,Потребители_обозначение,7,FALSE)),0),IF(_xlpm.cc&gt;0,_xlpm.cc,IF(BT130="","",IF(N(BR130)=3,5,3)))))</f>
        <v>5</v>
      </c>
      <c r="BV130">
        <f t="shared" si="139"/>
        <v>5</v>
      </c>
      <c r="BW130">
        <f>IFERROR(N(VLOOKUP(AX130,Потребители_обозначение,10,FALSE)),0)</f>
        <v>0</v>
      </c>
      <c r="BX130">
        <f>IFERROR(VLOOKUP(AX130,Потребители_обозначение,5,FALSE),0)</f>
        <v>1</v>
      </c>
      <c r="BY130" s="6" cm="1">
        <f t="array" ref="BY130">IF(B130="","",IF(BC130&lt;&gt;"",IFERROR(_xlfn.XLOOKUP(BC130,Щиты[Щит],Щиты[cos φ]),0.95),IF(BK130=1,IFERROR(_xlfn.XLOOKUP(A130,Щиты[Щит],Щиты[cos φ]),0.95),IF(ISNUMBER(Z130),Z130,IFERROR(IF(BX130=2,_xlfn.IFS(BR130=3,VLOOKUP(BN130,Справочная_двигатели,8,FALSE),BR130=1,VLOOKUP(BN130,Справочная_двигатели,10,TRUE)),IF(AND(Методика="нормы 2026",EQ130="Сил"),0.8,0.95)),0.95)))))</f>
        <v>0.8</v>
      </c>
      <c r="BZ130">
        <f t="shared" si="140"/>
        <v>0</v>
      </c>
      <c r="CA130">
        <f t="shared" si="141"/>
        <v>1</v>
      </c>
      <c r="CB130">
        <f t="shared" si="142"/>
        <v>0</v>
      </c>
      <c r="CC130">
        <f t="shared" si="143"/>
        <v>0</v>
      </c>
      <c r="CD130">
        <f t="shared" si="144"/>
        <v>0</v>
      </c>
      <c r="CE130">
        <f t="shared" si="145"/>
        <v>0</v>
      </c>
      <c r="CF130">
        <f t="shared" si="146"/>
        <v>0</v>
      </c>
      <c r="CG130">
        <f>IF(AX130="",0,_xlfn.LET(_xlpm.v,IFERROR(VLOOKUP(B130,УГО_спр,3,FALSE),IFERROR(VLOOKUP(AX130,УГО_спр,3,FALSE),IFERROR(VLOOKUP(LEFT(AX130,2),УГО_спр,3,FALSE),""))),IF(_xlpm.v="да",30,IF(ISNUMBER(_xlpm.v),_xlpm.v,0))))</f>
        <v>0</v>
      </c>
      <c r="CH130" t="str">
        <f t="shared" si="147"/>
        <v/>
      </c>
      <c r="CI130" t="str">
        <f>_xlfn.LET(_xlpm.k,IFERROR(_xlfn.XLOOKUP(AX130,Коды_код,Коды_утечка)&amp;"",""),IF(_xlpm.k="","дифавтомат",_xlpm.k))</f>
        <v>дифавтомат</v>
      </c>
      <c r="CJ130">
        <f t="shared" si="148"/>
        <v>0</v>
      </c>
      <c r="CK130">
        <f t="shared" si="149"/>
        <v>0</v>
      </c>
      <c r="CL130">
        <f>IF(B130="",0,IFERROR(--VLOOKUP(B130,УГО_спр,4,FALSE),IFERROR(--VLOOKUP(AX130,УГО_спр,4,FALSE),IFERROR(--VLOOKUP(LEFT(AX130,2),УГО_спр,4,FALSE),0))))</f>
        <v>0</v>
      </c>
      <c r="CM130" t="str">
        <f>IF(B130="","",IFERROR(_xlfn.XLOOKUP(AX130,Коды_код,Коды_апп)&amp;"",""))</f>
        <v/>
      </c>
      <c r="CN130" t="str">
        <f t="shared" si="150"/>
        <v/>
      </c>
      <c r="CO130" t="str" cm="1">
        <f t="array" ref="CO130">IF(TRIM(CN130&amp;"")="","",IFERROR(TRIM(INDEX(_xlfn.TEXTSPLIT(CN130&amp;";;;",";"),1)),""))</f>
        <v/>
      </c>
      <c r="CP130" t="str" cm="1">
        <f t="array" ref="CP130">IF(TRIM(CN130&amp;"")="","",IFERROR(TRIM(INDEX(_xlfn.TEXTSPLIT(CN130&amp;";;;",";"),2)),""))</f>
        <v/>
      </c>
      <c r="CQ130" t="str" cm="1">
        <f t="array" ref="CQ130">IF(TRIM(CN130&amp;"")="","",IFERROR(TRIM(INDEX(_xlfn.TEXTSPLIT(CN130&amp;";;;",";"),3)),""))</f>
        <v/>
      </c>
      <c r="CR130">
        <f t="shared" si="151"/>
        <v>0</v>
      </c>
      <c r="CS130" t="str">
        <f>IF(B130="","",_xlfn.LET(_xlpm.t,LOWER(AV130&amp;""),IF(ISNUMBER(SEARCH("dim",_xlpm.t)),"DIM",IF(ISNUMBER(SEARCH("dali",_xlpm.t)),"DALI",IF(OR(ISNUMBER(SEARCH("relay",_xlpm.t)),ISNUMBER(SEARCH("реле",_xlpm.t))),"Relay",IF(ISNUMBER(SEARCH("кнопк",_xlpm.t)),"",IFERROR(_xlfn.XLOOKUP(AX130,Коды_код,Коды_упр)&amp;"","")))))))</f>
        <v/>
      </c>
      <c r="CT130" t="str">
        <f t="shared" si="152"/>
        <v/>
      </c>
      <c r="CU130">
        <f>IF(B130="","",_xlfn.LET(_xlpm.ig,N(P130)+IF(AF130="вручную",0,N(CB130)),_xlpm.n0,IFERROR(VLOOKUP(_xlpm.ig,Автомат_номиналы,2,TRUE),0),_xlpm.mn,MAX(CL130,IF(AF130="вручную",0,N(CE130))),MAX(_xlpm.n0,_xlpm.mn,IF(CR130=1,Мин_автомат_БП,0))))</f>
        <v>16</v>
      </c>
      <c r="CV130">
        <f t="shared" si="153"/>
        <v>3</v>
      </c>
      <c r="CW130" t="str">
        <f t="shared" si="154"/>
        <v>3P</v>
      </c>
      <c r="CX130" t="str">
        <f>_xlfn.LET(_xlpm.cc,UPPER(TRIM(IFERROR(_xlfn.XLOOKUP(AX130,Коды_код,Коды_хар)&amp;"",""))),IF(OR(_xlpm.cc="B",_xlpm.cc="В"),"B",IF(_xlpm.cc="D","D","С")))</f>
        <v>С</v>
      </c>
      <c r="CY130" t="str">
        <f t="shared" si="155"/>
        <v>3P С16А</v>
      </c>
      <c r="CZ130">
        <f t="shared" si="156"/>
        <v>20</v>
      </c>
      <c r="DA130" t="str">
        <f t="shared" si="157"/>
        <v>3P С20А</v>
      </c>
      <c r="DB130" cm="1">
        <f t="array" ref="DB130">IF(DA130="","",_xlfn.LET(_xlpm.t,SUBSTITUTE(SUBSTITUTE(SUBSTITUTE(UPPER(DA130),"С","C"),"А","A"),"В","B"),_xlpm.tk,_xlfn.TEXTSPLIT(_xlpm.t,"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30" t="str">
        <f t="shared" si="158"/>
        <v>узел</v>
      </c>
      <c r="DD130">
        <f t="shared" si="159"/>
        <v>20</v>
      </c>
      <c r="DE130" t="str">
        <f t="shared" si="160"/>
        <v>3P С20А</v>
      </c>
      <c r="DF130">
        <f t="shared" si="161"/>
        <v>0</v>
      </c>
      <c r="DG130">
        <f t="shared" si="162"/>
        <v>0</v>
      </c>
      <c r="DH130">
        <f t="shared" si="163"/>
        <v>0</v>
      </c>
      <c r="DI130">
        <f t="shared" si="164"/>
        <v>10.284051669940206</v>
      </c>
      <c r="DJ130">
        <f t="shared" si="165"/>
        <v>0.92</v>
      </c>
      <c r="DK130">
        <f>IF(ISNUMBER(AL130),AL130,К_прокл)</f>
        <v>1</v>
      </c>
      <c r="DL130">
        <f t="shared" si="166"/>
        <v>3</v>
      </c>
      <c r="DM130">
        <f>IFERROR(N(VLOOKUP(BT130,Кабель_обозначение,3,FALSE)),1)</f>
        <v>1</v>
      </c>
      <c r="DN130">
        <f>IFERROR(N(_xlfn.XLOOKUP(A130,Щиты[Щит],Щиты[ΔU до шин, %])),0)</f>
        <v>1.1399999999999999</v>
      </c>
      <c r="DO130" t="str">
        <f>IFERROR(_xlfn.XLOOKUP(A130,Щиты[Щит],Щиты[Zпетли на шинах, Ом]),"")</f>
        <v/>
      </c>
      <c r="DP130">
        <f>IFERROR(N(_xlfn.XLOOKUP(A130,Щиты[Щит],Щиты[ΔU до шин (подбор), %])),0)</f>
        <v>1.82</v>
      </c>
      <c r="DQ130" t="str">
        <f>IFERROR(_xlfn.XLOOKUP(A130,Щиты[Щит],Щиты[Zпетли на шинах (подбор), Ом]),"")</f>
        <v/>
      </c>
      <c r="DR130" t="str">
        <f t="shared" si="167"/>
        <v/>
      </c>
      <c r="DS130">
        <f t="shared" si="168"/>
        <v>52</v>
      </c>
      <c r="DT130">
        <f t="shared" si="169"/>
        <v>1</v>
      </c>
      <c r="DU130">
        <f t="shared" si="170"/>
        <v>0.6</v>
      </c>
      <c r="DV130" s="6">
        <f>IF(B130="","",IF(IFERROR(VLOOKUP(AX130,УГО_спр,2,FALSE),"")="Светильник",3,4)+IF(Методика="нормы 2026",MIN(0.5,MAX(0,N(Q130)-100)*0.005),0))</f>
        <v>4</v>
      </c>
      <c r="DW130" cm="1">
        <f t="array" ref="DW130">IF(OR(B130="",BT130="",DM130&lt;&gt;1),"",_xlfn.LET(_xlpm.sz,Iдоп_S,_xlpm.t_,CHOOSE(DL130,Iдоп_1ж,Iдоп_2ж,Iдоп_3ж)*DJ130*DK130,_xlpm.inn,N(DD130),_xlpm.smin,MAX(1.5,BW130),_xlpm.L_,N(Q130)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130)*(_xlpm.rho*_xlpm.L_/_xlpm.sz*N(BY130)+_xlpm.xx*_xlpm.L_*N(DU130)/1000)*N(P130)/((Uн_лин/SQRT(3))*1000)*100,999),_xlpm.kz,IF(OR(DG130=1,NOT(ISNUMBER(DQ130)),_xlpm.L_=0,_xlpm.inn=0),1,IFERROR(--(c_min*(Uн_лин*1000/SQRT(3))/(DQ130+2*ρкз_Cu*_xlpm.L_/_xlpm.sz)&gt;=GY130*_xlpm.inn),0)),_xlpm.ok,IFERROR((_xlpm.sz&gt;=_xlpm.smin)*(_xlpm.t_&gt;=_xlpm.inn)*IF(_xlpm.L_&gt;0,(_xlpm.du_+DP130&lt;=DV130+0.00001),1)*_xlpm.kz,0),_xlpm.r_,_xlfn._xlws.FILTER(_xlpm.sz,_xlpm.ok,"не подобрано"),INDEX(_xlpm.r_,1)))</f>
        <v>2.5</v>
      </c>
      <c r="DX130">
        <f t="shared" si="171"/>
        <v>4</v>
      </c>
      <c r="DY130" cm="1">
        <f t="array" ref="DY130">IF(OR(B130="",BT130="",DM130&lt;&gt;1),"",_xlfn.LET(_xlpm.sz,Iдоп_S,_xlpm.t_,CHOOSE(DL130,Iдоп_1ж,Iдоп_2ж,Iдоп_3ж)*DJ130*DK130,_xlpm.ok,IFERROR((_xlpm.sz&gt;=MAX(1.5,BW130))*(_xlpm.t_&gt;=N(DD130)),0),_xlpm.r_,_xlfn._xlws.FILTER(_xlpm.sz,_xlpm.ok,""),INDEX(_xlpm.r_,1)))</f>
        <v>2.5</v>
      </c>
      <c r="DZ130" s="6" cm="1">
        <f t="array" ref="DZ130">IFERROR(ROUNDUP(N(DT130)*(_xlfn.XLOOKUP(DY130,INDEX(Кабель_сопротивление,0,1),INDEX(Кабель_сопротивление,0,3))*N(Q130)/DY130*N(BY130)+_xlfn.XLOOKUP(DY130,INDEX(Кабель_сопротивление,0,1),INDEX(Кабель_сопротивление,0,2))*N(Q130)*N(DU130)/1000)*N(P130)/((Uн_лин/SQRT(3))*1000)*100,2),"")</f>
        <v>1.69</v>
      </c>
      <c r="EA130">
        <f>IFERROR(2*ρкз_Cu*N(Q130)/DY130,"")</f>
        <v>1.0940799999999999</v>
      </c>
      <c r="EB130">
        <f>IFERROR(VLOOKUP(DX130,Кабель_сопротивление,3,FALSE),"")</f>
        <v>2.2499999999999999E-2</v>
      </c>
      <c r="EC130">
        <f>IFERROR(VLOOKUP(DX130,Кабель_сопротивление,2,FALSE),"")</f>
        <v>9.5000000000000001E-2</v>
      </c>
      <c r="ED130">
        <f t="shared" si="172"/>
        <v>15</v>
      </c>
      <c r="EE130">
        <f t="shared" si="173"/>
        <v>0</v>
      </c>
      <c r="EF130">
        <f t="shared" si="174"/>
        <v>2.4369500199157108</v>
      </c>
      <c r="EG130" s="6">
        <f>IFERROR(ROUNDUP(EF130/((Uн_лин/SQRT(3))*1000)*100,2),"")</f>
        <v>1.06</v>
      </c>
      <c r="EH130" t="str">
        <f>IFERROR(VLOOKUP(BT130,Кабель_обозначение,2,FALSE),"")</f>
        <v>ВВГнг(А)-LS</v>
      </c>
      <c r="EI130" t="str">
        <f t="shared" si="175"/>
        <v>ВВГнг(А)-LS (5х4)</v>
      </c>
      <c r="EJ130" t="str">
        <f t="shared" si="176"/>
        <v/>
      </c>
      <c r="EK130">
        <f>IFERROR(2*ρкз_Cu*Q130/DX130,"")</f>
        <v>0.68379999999999996</v>
      </c>
      <c r="EL130">
        <f t="shared" si="177"/>
        <v>0.22750000000000004</v>
      </c>
      <c r="EM130" s="6" t="str">
        <f>IFERROR(IF(OR(B130="",NOT(ISNUMBER(DX130)),N(Q130)=0),"",_xlfn.XLOOKUP(A130,Щиты[Щит],Щиты[Zпетли на шинах, Ом])+EK130),"")</f>
        <v/>
      </c>
      <c r="EN130" s="6" t="str">
        <f>IF(ISNUMBER(EM130),c_min*(Uн_лин*1000/SQRT(3))/EM130,"")</f>
        <v/>
      </c>
      <c r="EO130" s="6" t="str">
        <f>IFERROR(IF(OR(B130="",NOT(ISNUMBER(DX130))),"",1.05*(Uн_лин*1000/SQRT(3))/(_xlfn.XLOOKUP(A130,Щиты[Щит],Щиты[Zmax на шинах, Ом])+EL130)/1000),"")</f>
        <v/>
      </c>
      <c r="EP130" s="6" t="str">
        <f>IF(B130="","",IF(ISNUMBER(Y130),"Сил",IF(IFERROR(_xlfn.XLOOKUP(AX130,Коды_код,Коды_группа)&amp;"","")="","Быт",_xlfn.XLOOKUP(AX130,Коды_код,Коды_группа)&amp;"")))</f>
        <v>Быт</v>
      </c>
      <c r="EQ130" s="6" t="str">
        <f t="shared" si="178"/>
        <v>Нет</v>
      </c>
      <c r="ER130" s="6">
        <f>IF(EQ130="Щит","щит",IF(EQ130="","",IF(EQ130="Быт",IFERROR(_xlfn.XLOOKUP(A130,Щиты[Щит],Щиты[Кс быт]),1),IF(EQ130="Сил",IF(ISNUMBER(Y130),Y130,IF(Методика="нормы 2026",IFERROR(_xlfn.XLOOKUP(A130,Щиты[Щит],Щиты[Кс силовых (табл. 7.5)]),1),1)),IF(OR(EQ130="Пост",EQ130="Отоп"),1,IF(EQ130="ВНГ",0.7,0))))))</f>
        <v>0</v>
      </c>
      <c r="ES130">
        <f t="shared" si="179"/>
        <v>1</v>
      </c>
      <c r="ET130">
        <f t="shared" si="180"/>
        <v>0</v>
      </c>
      <c r="EU130">
        <f t="shared" si="181"/>
        <v>0</v>
      </c>
      <c r="EV130">
        <f t="shared" si="182"/>
        <v>0</v>
      </c>
      <c r="EW130">
        <f t="shared" si="183"/>
        <v>0</v>
      </c>
      <c r="EX130">
        <f t="shared" si="184"/>
        <v>0</v>
      </c>
      <c r="EY130">
        <f t="shared" si="185"/>
        <v>0</v>
      </c>
      <c r="EZ130">
        <f t="shared" si="186"/>
        <v>0</v>
      </c>
      <c r="FA130">
        <f t="shared" si="187"/>
        <v>0</v>
      </c>
      <c r="FB130">
        <f t="shared" si="188"/>
        <v>0</v>
      </c>
      <c r="FC130" t="str">
        <f t="shared" si="189"/>
        <v/>
      </c>
      <c r="FD130" t="str">
        <f>IF(B130="","",IF(CA130=0,IF(AW130=1,"",FF129),IF(OR(N(CV130)&gt;=3,N(BR130)&gt;=3),"L1,L2,L3",IFERROR(_xlfn.TEXTBEFORE(_xlfn.TEXTAFTER(_xlfn.XLOOKUP(A130,Щиты[Щит],Щиты[_фазы авто]),";"&amp;AW130&amp;":"),";"),"L1"))))</f>
        <v>L1,L2,L3</v>
      </c>
      <c r="FE130" t="str">
        <f t="shared" si="190"/>
        <v>L1,L2,L3</v>
      </c>
      <c r="FF130" t="str">
        <f t="shared" si="191"/>
        <v>L1,L2,L3</v>
      </c>
      <c r="FG130" cm="1">
        <f t="array" ref="FG130">IFERROR(IF(BX130=2,_xlfn.IFS(BR130=3,VLOOKUP(BN130,Справочная_двигатели,3,FALSE),BR130=1,VLOOKUP(BN130,Справочная_двигатели,5,TRUE)),0),0)</f>
        <v>0</v>
      </c>
      <c r="FH130">
        <f>IFERROR(IF(BX130=3,VLOOKUP(BN130,Справочная_ЛЭД,2,TRUE),0),0)</f>
        <v>0</v>
      </c>
      <c r="FI130" s="6">
        <f t="shared" si="192"/>
        <v>0</v>
      </c>
      <c r="FJ130" t="str" cm="1">
        <f t="array" ref="FJ130">IF(B130="","",IFERROR(INDEX({"I особая","I","II","III"},MATCH(TRIM(AC130&amp;""),{"I особая","I","II","III"},0)),"III"))</f>
        <v>III</v>
      </c>
      <c r="FK130" t="str">
        <f>IF(B130="","",IF(TRIM(AD130&amp;"")&lt;&gt;"",IF(LOWER(TRIM(AD130&amp;""))="да","да","нет"),IF(IFERROR(_xlfn.XLOOKUP(AX130,Коды_код,Коды_пожарная),"")="да","да","нет")))</f>
        <v>нет</v>
      </c>
      <c r="FL130" t="str">
        <f t="shared" si="193"/>
        <v/>
      </c>
      <c r="FM130" t="str">
        <f t="shared" si="194"/>
        <v>основная</v>
      </c>
      <c r="FN130">
        <f t="shared" si="195"/>
        <v>1</v>
      </c>
      <c r="FO130" t="str" cm="1">
        <f t="array" ref="FO130">IF(B130="","",_xlfn.LET(_xlpm.t,IFERROR(_xlfn.XLOOKUP(1,(Шины[Шина]=FM130)*(((Шины[Щит]=A130)+(Шины[Щит]=""))&gt;0),Шины[Тип]),"")&amp;"",IF(_xlpm.t&lt;&gt;"",_xlpm.t,IF(ISNUMBER(SEARCH("ИБП",FM130)),"ИБП",IF(ISNUMBER(SEARCH("ДГУ",FM130)),"ДГУ","Ввод "&amp;FN130)))))</f>
        <v>Ввод 1</v>
      </c>
      <c r="FP130" t="str">
        <f t="shared" si="196"/>
        <v>Ввод 1</v>
      </c>
      <c r="FQ130" t="str">
        <f>IF(B130="","",IF(OR(FO130="ИБП",FO130="ДГУ"),"I особая",IF(FO130="Одиночная","III",_xlfn.XLOOKUP(A130,Щиты[Щит],Щиты[Категория шины «Ввод»],"III"))))</f>
        <v>II</v>
      </c>
      <c r="FR130">
        <f>IF(B130="",0,IFERROR(MATCH(FJ130,{"III","II","I","I особая"},0),1))</f>
        <v>1</v>
      </c>
      <c r="FS130">
        <f t="shared" si="197"/>
        <v>1</v>
      </c>
      <c r="FT130" t="str">
        <f>IF(B130="","",IF(FR130&gt;IFERROR(MATCH(FQ130,{"III","II","I","I особая"},0),1),"НЕ ОБЕСПЕЧЕНА","ОК"))</f>
        <v>ОК</v>
      </c>
      <c r="FU130" t="str">
        <f>IF(A130="","",_xlfn.XLOOKUP(A130,Щиты[Щит],Щиты[Путь],""))</f>
        <v>|ГРЩ-ЖД|ЩОВ-2|</v>
      </c>
      <c r="FV130" t="str">
        <f>IF(B130="","",IF(AE130&lt;&gt;"",AE130,IF(IFERROR(_xlfn.XLOOKUP(AX130,Коды_код,Коды_вид)&amp;"","")="","Прочее",_xlfn.XLOOKUP(AX130,Коды_код,Коды_вид)&amp;"")))</f>
        <v>Прочее</v>
      </c>
      <c r="FW130">
        <f>IF(BH130="","",INT((BH130-1)/Столбцов_на_лист)+1)</f>
        <v>1</v>
      </c>
      <c r="FX130" t="str">
        <f t="shared" si="198"/>
        <v/>
      </c>
      <c r="FY130">
        <f t="shared" si="199"/>
        <v>0</v>
      </c>
      <c r="FZ130">
        <f t="shared" si="200"/>
        <v>10.29</v>
      </c>
      <c r="GA130">
        <f t="shared" si="201"/>
        <v>3</v>
      </c>
      <c r="GB130">
        <f t="shared" si="202"/>
        <v>0</v>
      </c>
      <c r="GC130">
        <f t="shared" si="203"/>
        <v>0</v>
      </c>
      <c r="GD130" t="str">
        <f>IF(BH130="","",IF(AND(CA130=1,GC130=1),COUNTIFS(A$3:A130,A130,CA$3:CA130,1,GC$3:GC130,1),IF(OR(OR(AW130=1,A130&lt;&gt;A129),AF130="вручную",GC130=0),"",IF(AW130=1,"",GE129))))</f>
        <v/>
      </c>
      <c r="GE130" t="str">
        <f t="shared" si="204"/>
        <v/>
      </c>
      <c r="GF130">
        <f>IF(B130="","",IFERROR(LOOKUP(INDEX(CHOOSE(DL130,Iдоп_1ж,Iдоп_2ж,Iдоп_3ж),MATCH(DX130,Iдоп_S,0))*DJ130*DK130,{6,10,16,20,25,32,40,50,63,80,100,125,160,200,250,315,400,500,630}),""))</f>
        <v>32</v>
      </c>
      <c r="GG130" t="str">
        <f t="shared" si="205"/>
        <v/>
      </c>
      <c r="GH130" t="str">
        <f t="shared" si="206"/>
        <v/>
      </c>
      <c r="GI130" t="str">
        <f t="shared" si="207"/>
        <v/>
      </c>
      <c r="GJ130">
        <f t="shared" si="208"/>
        <v>0</v>
      </c>
      <c r="GK130" t="str">
        <f>IF(OR(AG130="",AG130="-"),"",IFERROR(VLOOKUP(AG130,Модули_спр,2,FALSE),"R"))</f>
        <v/>
      </c>
      <c r="GL130" t="str">
        <f>IF(GK130="","",GK130&amp;"."&amp;COUNTIFS(A$3:A130,A130,GK$3:GK130,GK130))</f>
        <v/>
      </c>
      <c r="GM130" t="str">
        <f t="shared" si="209"/>
        <v/>
      </c>
      <c r="GN130" t="str">
        <f t="shared" si="210"/>
        <v/>
      </c>
      <c r="GO130" t="str">
        <f t="shared" si="211"/>
        <v/>
      </c>
      <c r="GP130" t="str">
        <f t="shared" si="212"/>
        <v/>
      </c>
      <c r="GQ130">
        <f t="shared" si="213"/>
        <v>0</v>
      </c>
      <c r="GR130" t="str">
        <f>IF(GQ130=1,"XT"&amp;COUNTIFS(A$3:A130,A130,GQ$3:GQ130,1),"")</f>
        <v/>
      </c>
      <c r="GS130" t="str">
        <f t="shared" si="214"/>
        <v/>
      </c>
      <c r="GT130" t="str">
        <f t="shared" si="215"/>
        <v/>
      </c>
      <c r="GU130" t="str">
        <f t="shared" si="216"/>
        <v/>
      </c>
      <c r="GV130" t="str">
        <f t="shared" si="217"/>
        <v>ok</v>
      </c>
      <c r="GW130" t="str">
        <f>IF(OR(GO130="",GM130=""),"",IF(GO130&gt;IFERROR(VLOOKUP(GN130,Модули_спр,3,FALSE),99),"ЛИШНИЙ КАНАЛ",IF(AND(AH130&lt;&gt;"=",COUNTIFS(Линии[_модуль гр.],GM130,Линии[Канал (итог)],GO130,Линии[Канал],"&lt;&gt;=",Линии[Щит],A130)&gt;1),"ДУБЛЬ КАНАЛА","")))</f>
        <v/>
      </c>
      <c r="GX130" s="6" t="str">
        <f t="shared" si="218"/>
        <v/>
      </c>
      <c r="GY130">
        <f t="shared" si="219"/>
        <v>10</v>
      </c>
      <c r="GZ130" t="str">
        <f t="shared" si="220"/>
        <v/>
      </c>
      <c r="HA130" t="str">
        <f>IF(AND(B130="",GT130=""),"",_xlfn.TEXTJOIN("; ",TRUE,IF(AND(B130&lt;&gt;"",FE130=""),"нет фазы",""),IF(AND(B130&lt;&gt;"",N(FY130)=0,EQ130&lt;&gt;"Нет"),"нет мощности",""),IF(AND(GS130&lt;&gt;"",COUNTIFS(Линии[Щит],A130,Линии[Клемма (итог)],GS130)&gt;1),"дубль клеммы "&amp;GS130,""),IF(AND(GV130&lt;&gt;"",GV130&lt;&gt;"ok"),GV130,""),IF(GW130&lt;&gt;"",GW130,""),IF(AND(N(BV130)&gt;=4,N(BR130)=1),BV130&amp;" жил на 1 фазе",""),IF(AND(AX130="R",CA130=1,OR(N(CK130)=0,N(CK130)&gt;30)),"розетка без дифзащиты до 30 мА",""),IFERROR(IF(AND(ISNUMBER(R130),R130&gt;DV130),"потери "&amp;FIXED(R130,1)&amp;" % &gt; "&amp;DV130&amp;" %",""),""),IFERROR(IF(LEFT(GZ130,4)="мало","Iкз мало — отключение &gt; 0,4 с",""),""),IF(AND(B130&lt;&gt;"",BH130=""),"не на схеме",""),IF(AND(CA130=0,B130&lt;&gt;"",FE130&lt;&gt;"",IF(AW130=1,"",FF129)&lt;&gt;"",FE130&lt;&gt;IF(AW130=1,"",FF129)),"фаза не как у автомата группы ("&amp;IF(AW130=1,"",FF129)&amp;")","")))</f>
        <v/>
      </c>
      <c r="HB130" s="6">
        <f>IF(OR(CA130=0,DA130=""),"",_xlfn.LET(_xlpm.t,IFERROR(_xlfn.XLOOKUP(DA130,Каталог!$U$4:$U$500,Каталог!$G$4:$G$500),""),_xlpm.k,SEARCH("кА",_xlpm.t),IFERROR(--TRIM(RIGHT(SUBSTITUTE(MID(_xlpm.t,MAX(1,_xlpm.k-4),_xlpm.k-MAX(1,_xlpm.k-4))," ",REPT(" ",9)),5)),"")))</f>
        <v>6</v>
      </c>
      <c r="HC130" t="str">
        <f>IF(OR(HB130="",CA130=0),"",IF(_xlfn.XLOOKUP(A130,Щиты[Щит],Щиты[Iкз max на шинах, кА],"")="","",IF(HB130&lt;_xlfn.XLOOKUP(A130,Щиты[Щит],Щиты[Iкз max на шинах, кА]),"Icu "&amp;HB130&amp;" кА &lt; Iкз max","ok")))</f>
        <v/>
      </c>
      <c r="HD130" t="str">
        <f t="shared" si="221"/>
        <v/>
      </c>
      <c r="HE130" t="str">
        <f t="shared" si="222"/>
        <v/>
      </c>
      <c r="HF130" t="str">
        <f t="shared" si="223"/>
        <v/>
      </c>
      <c r="HG130" t="str" cm="1">
        <f t="array" ref="HG130">IF(HF130="","",_xlfn.LET(_xlpm.nd,_xlfn.TEXTSPLIT(HF130,"|"),IF(COLUMNS(_xlpm.nd)&gt;1,A130&amp;"¦"&amp;INDEX(_xlpm.nd,1)&amp;"¦"&amp;INDEX(_xlpm.nd,2),"")))</f>
        <v/>
      </c>
      <c r="HH130" t="str">
        <f t="shared" si="224"/>
        <v/>
      </c>
      <c r="HI130" t="str" cm="1">
        <f t="array" ref="HI130">IF(HF130="","",_xlfn.LET(_xlpm.nd,_xlfn.TEXTSPLIT(HF130,"|"),IF(COLUMNS(_xlpm.nd)&gt;2,A130&amp;"¦"&amp;INDEX(_xlpm.nd,2)&amp;"¦"&amp;INDEX(_xlpm.nd,3),"")))</f>
        <v/>
      </c>
      <c r="HJ130" t="str">
        <f t="shared" si="225"/>
        <v/>
      </c>
      <c r="HK130" t="str" cm="1">
        <f t="array" ref="HK130">IF(HF130="","",_xlfn.LET(_xlpm.nd,_xlfn.TEXTSPLIT(HF130,"|"),IF(COLUMNS(_xlpm.nd)&gt;3,A130&amp;"¦"&amp;INDEX(_xlpm.nd,3)&amp;"¦"&amp;INDEX(_xlpm.nd,4),"")))</f>
        <v/>
      </c>
      <c r="HL130" t="str">
        <f t="shared" si="226"/>
        <v/>
      </c>
      <c r="HM130" t="str" cm="1">
        <f t="array" ref="HM130">IF(HF130="","",_xlfn.LET(_xlpm.nd,_xlfn.TEXTSPLIT(HF130,"|"),IF(COLUMNS(_xlpm.nd)&gt;4,A130&amp;"¦"&amp;INDEX(_xlpm.nd,4)&amp;"¦"&amp;INDEX(_xlpm.nd,5),"")))</f>
        <v/>
      </c>
      <c r="HN130" t="str">
        <f t="shared" si="227"/>
        <v/>
      </c>
      <c r="HO130" t="str" cm="1">
        <f t="array" ref="HO130">IF(HF130="","",_xlfn.LET(_xlpm.nd,_xlfn.TEXTSPLIT(HF130,"|"),IF(COLUMNS(_xlpm.nd)&gt;5,A130&amp;"¦"&amp;INDEX(_xlpm.nd,5)&amp;"¦"&amp;INDEX(_xlpm.nd,6),"")))</f>
        <v/>
      </c>
      <c r="HP130" t="str">
        <f t="shared" si="228"/>
        <v/>
      </c>
      <c r="HQ130" t="str" cm="1">
        <f t="array" ref="HQ130">IF(HF130="","",_xlfn.LET(_xlpm.nd,_xlfn.TEXTSPLIT(HF130,"|"),IF(COLUMNS(_xlpm.nd)&gt;6,A130&amp;"¦"&amp;INDEX(_xlpm.nd,6)&amp;"¦"&amp;INDEX(_xlpm.nd,7),"")))</f>
        <v/>
      </c>
      <c r="HR130" t="str">
        <f t="shared" si="229"/>
        <v/>
      </c>
      <c r="HS130" t="str">
        <f t="shared" si="230"/>
        <v/>
      </c>
      <c r="HT130" t="str">
        <f t="shared" si="231"/>
        <v/>
      </c>
      <c r="HU130">
        <f t="shared" si="232"/>
        <v>0</v>
      </c>
      <c r="HV130">
        <f t="shared" si="233"/>
        <v>0</v>
      </c>
      <c r="HW130" t="str">
        <f t="shared" si="234"/>
        <v/>
      </c>
      <c r="HX130" t="str">
        <f t="shared" si="235"/>
        <v/>
      </c>
      <c r="HY130" t="str">
        <f t="shared" si="236"/>
        <v/>
      </c>
      <c r="HZ130" t="str">
        <f t="shared" si="237"/>
        <v/>
      </c>
      <c r="IA130">
        <f>IF(B130="","",IFERROR(VLOOKUP(B130,УГО_спр,2,FALSE),IFERROR(VLOOKUP(AX130,УГО_спр,2,FALSE),IFERROR(VLOOKUP(LEFT(AX130,2),УГО_спр,2,FALSE),""))))</f>
        <v>0</v>
      </c>
      <c r="IB130" t="str">
        <f>IF(B130="","",IF(OR(IA130="",IA130=0),"BOX",IFERROR(IF(VLOOKUP(IA130,УГО_блоки,3,FALSE)&amp;""&lt;&gt;"",VLOOKUP(IA130,УГО_блоки,3,FALSE),VLOOKUP(IA130,УГО_блоки,2,FALSE)),IA130)))</f>
        <v>BOX</v>
      </c>
      <c r="IC130">
        <f t="shared" si="238"/>
        <v>1</v>
      </c>
      <c r="ID130" t="str">
        <f>IF(DA130="","",IF(COUNTIF(DA$3:DA130,DA130)=1,MAX(ID$2:ID129)+1,""))</f>
        <v/>
      </c>
      <c r="IE130" t="str">
        <f>IF(CO130="","",IF(COUNTIF(CO$3:CO130,CO130)+COUNTIF(CP$2:CP129,CO130)+COUNTIF(CQ$2:CQ129,CO130)=1,MAX(IE$2:IG129)+1,""))</f>
        <v/>
      </c>
      <c r="IF130" t="str">
        <f>IF(CP130="","",IF(COUNTIF(CO$3:CO130,CP130)+COUNTIF(CP$3:CP130,CP130)+COUNTIF(CQ$2:CQ129,CP130)=1,MAX(IE$2:IG129,IE130)+1,""))</f>
        <v/>
      </c>
      <c r="IG130" t="str">
        <f>IF(CQ130="","",IF(COUNTIF(CO$3:CO130,CQ130)+COUNTIF(CP$3:CP130,CQ130)+COUNTIF(CQ$3:CQ130,CQ130)=1,MAX(IE$2:IG129,IE130,IF130)+1,""))</f>
        <v/>
      </c>
      <c r="IH130" t="str">
        <f t="shared" si="239"/>
        <v/>
      </c>
      <c r="II130" t="str">
        <f>IF(IH130="","",IF(COUNTIF(IH$3:IH130,IH130)=1,MAX(II$2:II129)+1,""))</f>
        <v/>
      </c>
      <c r="IJ130" t="str">
        <f>IF(GL130="","",COUNTIF(GL$3:GL130,"?*"))</f>
        <v/>
      </c>
      <c r="IK130" t="str">
        <f>IF(OR(GL130="",GN130=""),"",IF(COUNTIFS(GL$3:GL130,"?*",GN$3:GN130,GN130)=1,MAX(IK$2:IK129)+1,""))</f>
        <v/>
      </c>
      <c r="IL130">
        <f t="shared" si="240"/>
        <v>0</v>
      </c>
      <c r="IM130">
        <f>IF(B130="","",COUNTIF(B$3:B130,"?*"))</f>
        <v>128</v>
      </c>
      <c r="IN130">
        <f>IF(GQ130&lt;&gt;1,0,_xlfn.LET(_xlpm.k,MAX(IFERROR(--VLOOKUP(B130,УГО_спр,5,FALSE),0),IFERROR(--VLOOKUP(AX130,УГО_спр,5,FALSE),0),IFERROR(--VLOOKUP(LEFT(AX130,2),УГО_спр,5,FALSE),0)),IF(_xlpm.k&gt;0,_xlpm.k,IF(IFERROR(--LEFT(SUBSTITUTE(IH130,"x","х"),FIND("х",SUBSTITUTE(IH130,"x","х"))-1),3)&gt;3,Каталог!$S$9,1))))</f>
        <v>0</v>
      </c>
      <c r="IO130">
        <f t="shared" si="241"/>
        <v>0</v>
      </c>
      <c r="IP130" t="str">
        <f t="shared" si="242"/>
        <v>авто</v>
      </c>
      <c r="IQ130" t="str">
        <f t="shared" si="243"/>
        <v/>
      </c>
      <c r="IR130">
        <f t="shared" si="244"/>
        <v>0</v>
      </c>
      <c r="IS130">
        <f t="shared" si="245"/>
        <v>1</v>
      </c>
    </row>
    <row r="131" spans="1:253" x14ac:dyDescent="0.3">
      <c r="A131" t="s">
        <v>753</v>
      </c>
      <c r="B131" t="s">
        <v>1399</v>
      </c>
      <c r="C131" t="s">
        <v>1643</v>
      </c>
      <c r="D131">
        <v>1</v>
      </c>
      <c r="E131">
        <v>0.46100000000000002</v>
      </c>
      <c r="G131" t="str">
        <f>Линии[[#This Row],[_авто автомат]]</f>
        <v>1P С6А</v>
      </c>
      <c r="H131" t="str">
        <f>Линии[[#This Row],[_авто утечка]]</f>
        <v/>
      </c>
      <c r="I131" t="str">
        <f>Линии[[#This Row],[_авто управление]]</f>
        <v/>
      </c>
      <c r="J131" t="str">
        <f>Линии[[#This Row],[_авто аппараты]]</f>
        <v/>
      </c>
      <c r="K131">
        <v>1.5</v>
      </c>
      <c r="L131">
        <v>28</v>
      </c>
      <c r="M131">
        <v>2</v>
      </c>
      <c r="N131" t="str">
        <f>Линии[[#This Row],[_авто клемма]]</f>
        <v>XT1</v>
      </c>
      <c r="O131" t="str">
        <f t="shared" ref="O131:O194" si="246">_xlfn.TEXTJOIN("; ",TRUE,HD131,HA131,IF(FT131="НЕ ОБЕСПЕЧЕНА","категория "&amp;FJ131&amp;" не обеспечена (есть "&amp;FQ131&amp;")",""),IF(LEFT(HC131,3)="Icu",HC131,""),IF(AND(B131&lt;&gt;"",DX131="не подобрано"),"сечение не подобрано: проверьте длину и автомат или впишите сечение",""))</f>
        <v/>
      </c>
      <c r="P131" s="6" cm="1">
        <f t="array" ref="P131">IF(B131="","",IF(BC131&lt;&gt;"",IFERROR(_xlfn.XLOOKUP(BC131,Щиты[Щит],Щиты[Iр, А]),""),IF(BK131=1,IFERROR(_xlfn.XLOOKUP(A131,Щиты[Щит],Щиты[Iр, А]),""),IFERROR(_xlfn.IFS(BR131=1,BN131/((Uн_лин/SQRT(3))*BY131),BR131=3,BN131/(SQRT(3)*Uн_лин*BY131)),""))))</f>
        <v>2.4952356946539136</v>
      </c>
      <c r="Q131" s="7">
        <f>IF(B131="","",IFERROR(IF(VLOOKUP(AX131,Потребители_обозначение,4,FALSE)=1,VLOOKUP(AX131,Потребители_обозначение,3,FALSE)*(D131*2-1)+DS131+VLOOKUP(AZ131,Этаж_обозначение,3,FALSE)+VLOOKUP(AZ131,Этаж_обозначение,4,FALSE),VLOOKUP(AX131,Потребители_обозначение,3,FALSE)*(D131*2-1)+DS131),DS131))</f>
        <v>30</v>
      </c>
      <c r="R131" s="6">
        <f t="shared" ref="R131:R194" si="247">IF(ISNUMBER(EG131),EG131+DN131,"")</f>
        <v>1.93</v>
      </c>
      <c r="S131" t="str">
        <f t="shared" ref="S131:S194" si="248">IF(OR(B131="",EH131=""),"",IF(DX131="не подобрано",EH131&amp;" — сечение не подобрано",EI131))</f>
        <v>ВВГнг(А)-LS (3х1,5)</v>
      </c>
      <c r="T131" t="str">
        <f>IF(BH131="","",IF(BI131="вводной узел","узел ","")&amp;"л."&amp;(INT((BH131-1)/Столбцов_на_лист)+1)&amp;" / "&amp;(MOD(BH131-1,Столбцов_на_лист)+1))</f>
        <v>л.2 / 1</v>
      </c>
      <c r="V131">
        <v>1</v>
      </c>
      <c r="W131">
        <v>230</v>
      </c>
      <c r="X131" t="s">
        <v>600</v>
      </c>
      <c r="Y131">
        <v>0.5</v>
      </c>
      <c r="AC131" t="s">
        <v>815</v>
      </c>
      <c r="AE131" t="s">
        <v>578</v>
      </c>
      <c r="AI131">
        <v>18</v>
      </c>
      <c r="AJ131" t="s">
        <v>11</v>
      </c>
      <c r="AK131">
        <v>3</v>
      </c>
      <c r="AM131">
        <v>6</v>
      </c>
      <c r="AN131">
        <v>24</v>
      </c>
      <c r="AP131">
        <v>1</v>
      </c>
      <c r="AW131" cm="1">
        <f t="array" ref="AW131">ROW()-ROW(Линии[#Headers])</f>
        <v>129</v>
      </c>
      <c r="AX131" s="6" t="str">
        <f t="shared" ref="AX131:AX194" si="249">IF(B131="","",IFERROR(LEFT(B131,SEARCH(".",B131)-1),B131))</f>
        <v>K</v>
      </c>
      <c r="AY131" t="str">
        <f t="shared" ref="AY131:AY194" si="250">IFERROR(RIGHT(B131,LEN(B131)-SEARCH(".",B131)),"")</f>
        <v>1.001A.1</v>
      </c>
      <c r="AZ131" t="str">
        <f t="shared" ref="AZ131:AZ194" si="251">IFERROR(LEFT(AY131,SEARCH(".",AY131)-1),AY131)</f>
        <v>1</v>
      </c>
      <c r="BA131" t="str">
        <f t="shared" ref="BA131:BA194" si="252">IFERROR(RIGHT(AY131,LEN(AY131)-SEARCH(".",AY131)),"")</f>
        <v>001A.1</v>
      </c>
      <c r="BB131" t="str">
        <f t="shared" ref="BB131:BB194" si="253">IFERROR(LEFT(BA131,SEARCH(".",BA131)-1),BA131)</f>
        <v>001A</v>
      </c>
      <c r="BC131" t="str">
        <f>IF(U131&lt;&gt;"",U131,IF(AND(B131&lt;&gt;"",B131&lt;&gt;A131,ISNUMBER(_xlfn.XMATCH(B131,Щиты[Щит]))),B131,""))</f>
        <v/>
      </c>
      <c r="BD131" t="str" cm="1">
        <f t="array" ref="BD131">IF(B131="","",IF(BC131&lt;&gt;"","Щит "&amp;BC131,_xlfn.LET(_xlpm.nm,IFERROR(_xlfn.XLOOKUP(AX131,Коды_код,Коды_имя)&amp;"",""),_xlpm.md,IFERROR(N(_xlfn.XLOOKUP(AX131,Коды_код,Коды_режим)),1),_xlpm.ex,IF(Имя_режим="по экспликации",IFERROR(_xlfn.XLOOKUP(AZ131&amp;"|"&amp;BB131,Экспликация[Этаж]&amp;"|"&amp;Экспликация[Помещение],Экспликация[Название])&amp;"",""),""),_xlpm.rm,IF(BB131="","",IF(_xlpm.ex&lt;&gt;"",". "&amp;_xlpm.ex&amp;IF(Имя_пом="нет"," ("&amp;BB131&amp;")"," (пом. "&amp;BB131&amp;")"),IF(Имя_пом="нет"," ",", пом. ")&amp;BB131)),IF(_xlpm.nm="","",IF(_xlpm.md=2,_xlpm.nm&amp;" шлейф "&amp;AZ131,_xlpm.nm&amp;_xlpm.rm)))))</f>
        <v>Внутренний блок кондиционирования, пом. 001A</v>
      </c>
      <c r="BE131" t="str">
        <f t="shared" ref="BE131:BE194" si="254">IF(TRIM(C131&amp;"")="",BD131,C131)</f>
        <v>Внутренний блок кондиционирования Технический этаж Пом. №001Т</v>
      </c>
      <c r="BF131">
        <f>IFERROR(_xlfn.XMATCH(A131,Щиты[Щит]),0)</f>
        <v>7</v>
      </c>
      <c r="BG131">
        <f>_xlfn.LET(_xlpm.k,IFERROR(_xlfn.XLOOKUP(A131,Щиты[Щит],Щиты[Листов под вводной узел]),""),IF(_xlpm.k="",1,N(_xlpm.k))*Столбцов_на_лист)</f>
        <v>17</v>
      </c>
      <c r="BH131">
        <f t="shared" ref="BH131:BH194" si="255">IF(AI131="-","",IF(ISNUMBER(AI131),AI131,_xlfn.LET(_xlpm.prev,IF(OR(AW131=1,A131&lt;&gt;A130),0,N(IF(AW131=1,"",BH130))),_xlpm.nx,_xlpm.prev+1,IF(AND(AF131&lt;&gt;"вручную",_xlpm.nx&lt;=BG131),BG131+1,_xlpm.nx))))</f>
        <v>18</v>
      </c>
      <c r="BI131" t="str">
        <f t="shared" ref="BI131:BI194" si="256">IF(BH131="","",IF(BH131&lt;=BG131,"вводной узел","линии"))</f>
        <v>линии</v>
      </c>
      <c r="BJ131" s="6">
        <f>IFERROR(N(_xlfn.XLOOKUP(AX131,Коды_код,Коды_квт)),0)</f>
        <v>0</v>
      </c>
      <c r="BK131">
        <f t="shared" ref="BK131:BK194" si="257">IF(AND(B131&lt;&gt;"",AX131="Ввод"),1,0)</f>
        <v>0</v>
      </c>
      <c r="BL131" t="str">
        <f>IF(B131="","",IF(BC131&lt;&gt;"",IFERROR(_xlfn.XLOOKUP(BC131,Щиты[Щит],Щиты[Руст, кВт]),0),IF(BK131=1,IFERROR(_xlfn.XLOOKUP(A131,Щиты[Щит],Щиты[Руст, кВт]),0),IF(BJ131&gt;0,ROUND(BJ131*MAX(1,N(D131)),3),""))))</f>
        <v/>
      </c>
      <c r="BM131">
        <f t="shared" ref="BM131:BM194" si="258">IF(TRIM(E131&amp;"")="",BL131,E131)</f>
        <v>0.46100000000000002</v>
      </c>
      <c r="BN131" s="6">
        <f>IF(B131="","",IF(BC131&lt;&gt;"",IFERROR(_xlfn.XLOOKUP(BC131,Щиты[Щит],Щиты[Руст, кВт]),0),N(BM131)))</f>
        <v>0.46100000000000002</v>
      </c>
      <c r="BO131" t="str">
        <f>IF(B131="","",IFERROR(IF(VLOOKUP(AX131,Потребители_обозначение,8,FALSE)=0,"",VLOOKUP(AX131,Потребители_обозначение,8,FALSE)),""))</f>
        <v/>
      </c>
      <c r="BP131">
        <f t="shared" ref="BP131:BP194" si="259">IF(TRIM(W131&amp;"")="",BO131,W131)</f>
        <v>230</v>
      </c>
      <c r="BQ131">
        <f>IF(B131="","",IF(BC131&lt;&gt;"",3,IFERROR(IF(N(VLOOKUP(AX131,Потребители_обозначение,9,FALSE))=0,1,VLOOKUP(AX131,Потребители_обозначение,9,FALSE)),1)))</f>
        <v>1</v>
      </c>
      <c r="BR131">
        <f t="shared" ref="BR131:BR194" si="260">IF(B131="","",IF(TRIM(V131&amp;"")="",BQ131,N(V131)))</f>
        <v>1</v>
      </c>
      <c r="BS131" t="str">
        <f>IF(B131="","",_xlfn.LET(_xlpm.bc,IFERROR(IF(VLOOKUP(AX131,Потребители_обозначение,6,FALSE)=0,"",VLOOKUP(AX131,Потребители_обозначение,6,FALSE)&amp;""),""),IF(AND(FK131="да",OR(_xlpm.bc="",_xlpm.bc="мс")),Марка_пож,IF(AND(_xlpm.bc="",BC131&lt;&gt;""),"мс",_xlpm.bc))))</f>
        <v/>
      </c>
      <c r="BT131" t="str">
        <f t="shared" ref="BT131:BT194" si="261">IF(TRIM(AJ131&amp;"")="",BS131,AJ131)</f>
        <v>мс</v>
      </c>
      <c r="BU131">
        <f>IF(B131="","",_xlfn.LET(_xlpm.cc,IFERROR(N(VLOOKUP(AX131,Потребители_обозначение,7,FALSE)),0),IF(_xlpm.cc&gt;0,_xlpm.cc,IF(BT131="","",IF(N(BR131)=3,5,3)))))</f>
        <v>3</v>
      </c>
      <c r="BV131">
        <f t="shared" ref="BV131:BV194" si="262">IF(TRIM(AK131&amp;"")="",BU131,AK131)</f>
        <v>3</v>
      </c>
      <c r="BW131">
        <f>IFERROR(N(VLOOKUP(AX131,Потребители_обозначение,10,FALSE)),0)</f>
        <v>0</v>
      </c>
      <c r="BX131">
        <f>IFERROR(VLOOKUP(AX131,Потребители_обозначение,5,FALSE),0)</f>
        <v>1</v>
      </c>
      <c r="BY131" s="6" cm="1">
        <f t="array" ref="BY131">IF(B131="","",IF(BC131&lt;&gt;"",IFERROR(_xlfn.XLOOKUP(BC131,Щиты[Щит],Щиты[cos φ]),0.95),IF(BK131=1,IFERROR(_xlfn.XLOOKUP(A131,Щиты[Щит],Щиты[cos φ]),0.95),IF(ISNUMBER(Z131),Z131,IFERROR(IF(BX131=2,_xlfn.IFS(BR131=3,VLOOKUP(BN131,Справочная_двигатели,8,FALSE),BR131=1,VLOOKUP(BN131,Справочная_двигатели,10,TRUE)),IF(AND(Методика="нормы 2026",EQ131="Сил"),0.8,0.95)),0.95)))))</f>
        <v>0.8</v>
      </c>
      <c r="BZ131">
        <f t="shared" ref="BZ131:BZ194" si="263">IF(OR(TRIM(F131&amp;"")="гр",TRIM(F131&amp;"")="=",TRIM(F131&amp;"")="^",TRIM(F131&amp;"")="↑"),1,0)</f>
        <v>0</v>
      </c>
      <c r="CA131">
        <f t="shared" ref="CA131:CA194" si="264">IF(AND(B131&lt;&gt;"",BZ131=0),1,0)</f>
        <v>1</v>
      </c>
      <c r="CB131">
        <f t="shared" ref="CB131:CB194" si="265">IF(AND(A132=A131,AF132&lt;&gt;"вручную",OR(B132="",BZ132=1)),IF(B132="",0,N(P132))+N(CB132),0)</f>
        <v>0</v>
      </c>
      <c r="CC131">
        <f t="shared" ref="CC131:CC194" si="266">IF(AND(A132=A131,AF132&lt;&gt;"вручную",OR(B132="",BZ132=1)),IF(B132="",0,N(BN132))+N(CC132),0)</f>
        <v>0</v>
      </c>
      <c r="CD131">
        <f t="shared" ref="CD131:CD194" si="267">IF(AND(A132=A131,AF132&lt;&gt;"вручную",OR(B132="",BZ132=1)),MAX(IF(B132="",0,N(BR132)),N(CD132)),0)</f>
        <v>0</v>
      </c>
      <c r="CE131">
        <f t="shared" ref="CE131:CE194" si="268">IF(AND(A132=A131,AF132&lt;&gt;"вручную",OR(B132="",BZ132=1)),MAX(IF(B132="",0,N(CL132)),N(CE132)),0)</f>
        <v>0</v>
      </c>
      <c r="CF131">
        <f t="shared" ref="CF131:CF194" si="269">IF(AND(A132=A131,AF132&lt;&gt;"вручную",OR(B132="",BZ132=1)),_xlfn.LET(_xlpm.a_,IF(B132="",0,N(CJ132)),_xlpm.b_,N(CF132),IF(_xlpm.a_=0,_xlpm.b_,IF(_xlpm.b_=0,_xlpm.a_,MIN(_xlpm.a_,_xlpm.b_)))),0)</f>
        <v>0</v>
      </c>
      <c r="CG131">
        <f>IF(AX131="",0,_xlfn.LET(_xlpm.v,IFERROR(VLOOKUP(B131,УГО_спр,3,FALSE),IFERROR(VLOOKUP(AX131,УГО_спр,3,FALSE),IFERROR(VLOOKUP(LEFT(AX131,2),УГО_спр,3,FALSE),""))),IF(_xlpm.v="да",30,IF(ISNUMBER(_xlpm.v),_xlpm.v,0))))</f>
        <v>0</v>
      </c>
      <c r="CH131" t="str">
        <f t="shared" ref="CH131:CH194" si="270">IF(B131="","",IF(N(CG131)&gt;0,CG131,""))</f>
        <v/>
      </c>
      <c r="CI131" t="str">
        <f>_xlfn.LET(_xlpm.k,IFERROR(_xlfn.XLOOKUP(AX131,Коды_код,Коды_утечка)&amp;"",""),IF(_xlpm.k="","дифавтомат",_xlpm.k))</f>
        <v>дифавтомат</v>
      </c>
      <c r="CJ131">
        <f t="shared" ref="CJ131:CJ194" si="271">IF(B131="",0,_xlfn.LET(_xlpm.v,IF(TRIM(H131&amp;"")="",CH131,H131),_xlpm.nm,IF(_xlpm.v&amp;""="нет",0,IF(_xlpm.v&amp;""="да",30,IFERROR(--_xlpm.v,0))),IF(CI131="УЗО на группу",0,_xlpm.nm)))</f>
        <v>0</v>
      </c>
      <c r="CK131">
        <f t="shared" ref="CK131:CK194" si="272">IF(CA131=0,"",_xlfn.LET(_xlpm.a_,N(CJ131),_xlpm.b_,IF(AF131="вручную",0,N(CF131)),IF(_xlpm.a_=0,_xlpm.b_,IF(_xlpm.b_=0,_xlpm.a_,MIN(_xlpm.a_,_xlpm.b_)))))</f>
        <v>0</v>
      </c>
      <c r="CL131">
        <f>IF(B131="",0,IFERROR(--VLOOKUP(B131,УГО_спр,4,FALSE),IFERROR(--VLOOKUP(AX131,УГО_спр,4,FALSE),IFERROR(--VLOOKUP(LEFT(AX131,2),УГО_спр,4,FALSE),0))))</f>
        <v>0</v>
      </c>
      <c r="CM131" t="str">
        <f>IF(B131="","",IFERROR(_xlfn.XLOOKUP(AX131,Коды_код,Коды_апп)&amp;"",""))</f>
        <v/>
      </c>
      <c r="CN131" t="str">
        <f t="shared" ref="CN131:CN194" si="273">IF(TRIM(J131&amp;"")="",CM131,J131)</f>
        <v/>
      </c>
      <c r="CO131" t="str" cm="1">
        <f t="array" ref="CO131">IF(TRIM(CN131&amp;"")="","",IFERROR(TRIM(INDEX(_xlfn.TEXTSPLIT(CN131&amp;";;;",";"),1)),""))</f>
        <v/>
      </c>
      <c r="CP131" t="str" cm="1">
        <f t="array" ref="CP131">IF(TRIM(CN131&amp;"")="","",IFERROR(TRIM(INDEX(_xlfn.TEXTSPLIT(CN131&amp;";;;",";"),2)),""))</f>
        <v/>
      </c>
      <c r="CQ131" t="str" cm="1">
        <f t="array" ref="CQ131">IF(TRIM(CN131&amp;"")="","",IFERROR(TRIM(INDEX(_xlfn.TEXTSPLIT(CN131&amp;";;;",";"),3)),""))</f>
        <v/>
      </c>
      <c r="CR131">
        <f t="shared" ref="CR131:CR194" si="274">IF(CN131="",0,IF(OR(LEFT(CO131,2)="T ",LEFT(CO131,2)="Т ",ISNUMBER(SEARCH("БП",CN131)),ISNUMBER(SEARCH("; T ",CN131)),ISNUMBER(SEARCH("; Т ",CN131))),1,0))</f>
        <v>0</v>
      </c>
      <c r="CS131" t="str">
        <f>IF(B131="","",_xlfn.LET(_xlpm.t,LOWER(AV131&amp;""),IF(ISNUMBER(SEARCH("dim",_xlpm.t)),"DIM",IF(ISNUMBER(SEARCH("dali",_xlpm.t)),"DALI",IF(OR(ISNUMBER(SEARCH("relay",_xlpm.t)),ISNUMBER(SEARCH("реле",_xlpm.t))),"Relay",IF(ISNUMBER(SEARCH("кнопк",_xlpm.t)),"",IFERROR(_xlfn.XLOOKUP(AX131,Коды_код,Коды_упр)&amp;"","")))))))</f>
        <v/>
      </c>
      <c r="CT131" t="str">
        <f t="shared" ref="CT131:CT194" si="275">IF(TRIM(I131&amp;"")="",CS131,I131)</f>
        <v/>
      </c>
      <c r="CU131">
        <f>IF(B131="","",_xlfn.LET(_xlpm.ig,N(P131)+IF(AF131="вручную",0,N(CB131)),_xlpm.n0,IFERROR(VLOOKUP(_xlpm.ig,Автомат_номиналы,2,TRUE),0),_xlpm.mn,MAX(CL131,IF(AF131="вручную",0,N(CE131))),MAX(_xlpm.n0,_xlpm.mn,IF(CR131=1,Мин_автомат_БП,0))))</f>
        <v>6</v>
      </c>
      <c r="CV131">
        <f t="shared" ref="CV131:CV194" si="276">IF(B131="","",MAX(N(BR131),IF(AF131="вручную",0,N(CD131))))</f>
        <v>1</v>
      </c>
      <c r="CW131" t="str">
        <f t="shared" ref="CW131:CW194" si="277">IF(B131="","",IF(N(CV131)&gt;=3,IF(N(CK131)&gt;0,"4P","3P"),IF(N(CK131)&gt;0,"2P","1P")))</f>
        <v>1P</v>
      </c>
      <c r="CX131" t="str">
        <f>_xlfn.LET(_xlpm.cc,UPPER(TRIM(IFERROR(_xlfn.XLOOKUP(AX131,Коды_код,Коды_хар)&amp;"",""))),IF(OR(_xlpm.cc="B",_xlpm.cc="В"),"B",IF(_xlpm.cc="D","D","С")))</f>
        <v>С</v>
      </c>
      <c r="CY131" t="str">
        <f t="shared" ref="CY131:CY194" si="278">IF(B131="","",IF(CA131=0,IF(AND(AND(NOT(OR(AW131=1,A131&lt;&gt;A130)),AF131&lt;&gt;"вручную",IF(AW131=1,"",DC130)="ok"),IF(AW131=1,"",DE130)&lt;&gt;""),"↑ "&amp;IF(AW131=1,"",DE130),""),IF(N(CU131)=0,"",CW131&amp;" "&amp;CX131&amp;CU131&amp;"А"&amp;IF(N(CK131)&gt;0," "&amp;CK131&amp;"мА",""))))</f>
        <v>1P С6А</v>
      </c>
      <c r="CZ131" t="str">
        <f t="shared" ref="CZ131:CZ194" si="279">IF(TRIM(G131&amp;"")="",CY131,G131)</f>
        <v>1P С6А</v>
      </c>
      <c r="DA131" t="str">
        <f t="shared" ref="DA131:DA194" si="280">IF(CA131=0,"",_xlfn.LET(_xlpm.v,TRIM(CZ131&amp;""),IF(_xlpm.v="","",IF(ISNUMBER(--_xlpm.v),CW131&amp;" "&amp;CX131&amp;(--_xlpm.v)&amp;"А"&amp;IF(N(CK131)&gt;0," "&amp;CK131&amp;"мА",""),IF(ISNUMBER(SEARCH("P",UPPER(_xlpm.v))),_xlpm.v,CW131&amp;" "&amp;_xlpm.v)))))</f>
        <v>1P С6А</v>
      </c>
      <c r="DB131" cm="1">
        <f t="array" ref="DB131">IF(DA131="","",_xlfn.LET(_xlpm.t,SUBSTITUTE(SUBSTITUTE(SUBSTITUTE(UPPER(DA131),"С","C"),"А","A"),"В","B"),_xlpm.tk,_xlfn.TEXTSPLIT(_xlpm.t,"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1" t="str">
        <f t="shared" ref="DC131:DC194" si="281">IF(CA131=1,IF(AF131="вручную","узел","ok"),IF(OR(OR(AW131=1,A131&lt;&gt;A130),AF131="вручную"),"",IF(AW131=1,"",DC130)))</f>
        <v>ok</v>
      </c>
      <c r="DD131">
        <f t="shared" ref="DD131:DD194" si="282">IF(CA131=1,DB131,IF(AND(NOT(OR(AW131=1,A131&lt;&gt;A130)),AF131&lt;&gt;"вручную",IF(AW131=1,"",DC130)="ok"),IF(AW131=1,"",DD130),""))</f>
        <v>6</v>
      </c>
      <c r="DE131" t="str">
        <f t="shared" ref="DE131:DE194" si="283">IF(CA131=1,DA131,IF(AND(NOT(OR(AW131=1,A131&lt;&gt;A130)),AF131&lt;&gt;"вручную",IF(AW131=1,"",DC130)="ok"),IF(AW131=1,"",DE130),""))</f>
        <v>1P С6А</v>
      </c>
      <c r="DF131">
        <f t="shared" ref="DF131:DF194" si="284">IF(CA131=1,CK131,IF(AND(NOT(OR(AW131=1,A131&lt;&gt;A130)),AF131&lt;&gt;"вручную",IF(AW131=1,"",DC130)="ok"),IF(AW131=1,"",DF130),""))</f>
        <v>0</v>
      </c>
      <c r="DG131">
        <f t="shared" ref="DG131:DG194" si="285">IF(N(DF131)&gt;0,1,0)</f>
        <v>0</v>
      </c>
      <c r="DH131">
        <f t="shared" ref="DH131:DH194" si="286">IF(CA131=1,CR131,IF(AND(NOT(OR(AW131=1,A131&lt;&gt;A130)),AF131&lt;&gt;"вручную",IF(AW131=1,"",DC130)="ok"),N(IF(AW131=1,"",DH130)),0))</f>
        <v>0</v>
      </c>
      <c r="DI131">
        <f t="shared" ref="DI131:DI194" si="287">IF(CA131=1,N(P131)+IF(AF131="вручную",0,N(CB131)),"")</f>
        <v>2.4952356946539136</v>
      </c>
      <c r="DJ131">
        <f t="shared" ref="DJ131:DJ194" si="288">IF(N(BV131)=1,1,IF(BR131=1,1,IF(N(BV131)&gt;=4,0.92,1)))</f>
        <v>1</v>
      </c>
      <c r="DK131">
        <f>IF(ISNUMBER(AL131),AL131,К_прокл)</f>
        <v>1</v>
      </c>
      <c r="DL131">
        <f t="shared" ref="DL131:DL194" si="289">IF(N(BV131)=1,1,IF(BR131=1,2,3))</f>
        <v>2</v>
      </c>
      <c r="DM131">
        <f>IFERROR(N(VLOOKUP(BT131,Кабель_обозначение,3,FALSE)),1)</f>
        <v>1</v>
      </c>
      <c r="DN131">
        <f>IFERROR(N(_xlfn.XLOOKUP(A131,Щиты[Щит],Щиты[ΔU до шин, %])),0)</f>
        <v>1.1399999999999999</v>
      </c>
      <c r="DO131" t="str">
        <f>IFERROR(_xlfn.XLOOKUP(A131,Щиты[Щит],Щиты[Zпетли на шинах, Ом]),"")</f>
        <v/>
      </c>
      <c r="DP131">
        <f>IFERROR(N(_xlfn.XLOOKUP(A131,Щиты[Щит],Щиты[ΔU до шин (подбор), %])),0)</f>
        <v>1.82</v>
      </c>
      <c r="DQ131" t="str">
        <f>IFERROR(_xlfn.XLOOKUP(A131,Щиты[Щит],Щиты[Zпетли на шинах (подбор), Ом]),"")</f>
        <v/>
      </c>
      <c r="DR131" t="str">
        <f t="shared" ref="DR131:DR194" si="290">IF(COUNT(AR131,AS131)=0,"",ROUNDUP(SUM(AR131,AS131),0))</f>
        <v/>
      </c>
      <c r="DS131">
        <f t="shared" ref="DS131:DS194" si="291">IF(TRIM(L131&amp;"")="",DR131,L131)</f>
        <v>28</v>
      </c>
      <c r="DT131">
        <f t="shared" ref="DT131:DT194" si="292">IF(BR131=1,2,IF(BR131=3,1,""))</f>
        <v>2</v>
      </c>
      <c r="DU131">
        <f t="shared" ref="DU131:DU194" si="293">IFERROR(ROUND(SIN(ACOS(BY131)),2),"")</f>
        <v>0.6</v>
      </c>
      <c r="DV131" s="6">
        <f>IF(B131="","",IF(IFERROR(VLOOKUP(AX131,УГО_спр,2,FALSE),"")="Светильник",3,4)+IF(Методика="нормы 2026",MIN(0.5,MAX(0,N(Q131)-100)*0.005),0))</f>
        <v>4</v>
      </c>
      <c r="DW131" cm="1">
        <f t="array" ref="DW131">IF(OR(B131="",BT131="",DM131&lt;&gt;1),"",_xlfn.LET(_xlpm.sz,Iдоп_S,_xlpm.t_,CHOOSE(DL131,Iдоп_1ж,Iдоп_2ж,Iдоп_3ж)*DJ131*DK131,_xlpm.inn,N(DD131),_xlpm.smin,MAX(1.5,BW131),_xlpm.L_,N(Q131)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131)*(_xlpm.rho*_xlpm.L_/_xlpm.sz*N(BY131)+_xlpm.xx*_xlpm.L_*N(DU131)/1000)*N(P131)/((Uн_лин/SQRT(3))*1000)*100,999),_xlpm.kz,IF(OR(DG131=1,NOT(ISNUMBER(DQ131)),_xlpm.L_=0,_xlpm.inn=0),1,IFERROR(--(c_min*(Uн_лин*1000/SQRT(3))/(DQ131+2*ρкз_Cu*_xlpm.L_/_xlpm.sz)&gt;=GY131*_xlpm.inn),0)),_xlpm.ok,IFERROR((_xlpm.sz&gt;=_xlpm.smin)*(_xlpm.t_&gt;=_xlpm.inn)*IF(_xlpm.L_&gt;0,(_xlpm.du_+DP131&lt;=DV131+0.00001),1)*_xlpm.kz,0),_xlpm.r_,_xlfn._xlws.FILTER(_xlpm.sz,_xlpm.ok,"не подобрано"),INDEX(_xlpm.r_,1)))</f>
        <v>1.5</v>
      </c>
      <c r="DX131">
        <f t="shared" ref="DX131:DX194" si="294">IF(B131="","",IF(TRIM(K131&amp;"")="",DW131,K131))</f>
        <v>1.5</v>
      </c>
      <c r="DY131" cm="1">
        <f t="array" ref="DY131">IF(OR(B131="",BT131="",DM131&lt;&gt;1),"",_xlfn.LET(_xlpm.sz,Iдоп_S,_xlpm.t_,CHOOSE(DL131,Iдоп_1ж,Iдоп_2ж,Iдоп_3ж)*DJ131*DK131,_xlpm.ok,IFERROR((_xlpm.sz&gt;=MAX(1.5,BW131))*(_xlpm.t_&gt;=N(DD131)),0),_xlpm.r_,_xlfn._xlws.FILTER(_xlpm.sz,_xlpm.ok,""),INDEX(_xlpm.r_,1)))</f>
        <v>1.5</v>
      </c>
      <c r="DZ131" s="6" cm="1">
        <f t="array" ref="DZ131">IFERROR(ROUNDUP(N(DT131)*(_xlfn.XLOOKUP(DY131,INDEX(Кабель_сопротивление,0,1),INDEX(Кабель_сопротивление,0,3))*N(Q131)/DY131*N(BY131)+_xlfn.XLOOKUP(DY131,INDEX(Кабель_сопротивление,0,1),INDEX(Кабель_сопротивление,0,2))*N(Q131)*N(DU131)/1000)*N(P131)/((Uн_лин/SQRT(3))*1000)*100,2),"")</f>
        <v>0.79</v>
      </c>
      <c r="EA131">
        <f>IFERROR(2*ρкз_Cu*N(Q131)/DY131,"")</f>
        <v>1.052</v>
      </c>
      <c r="EB131">
        <f>IFERROR(VLOOKUP(DX131,Кабель_сопротивление,3,FALSE),"")</f>
        <v>2.2499999999999999E-2</v>
      </c>
      <c r="EC131">
        <f>IFERROR(VLOOKUP(DX131,Кабель_сопротивление,2,FALSE),"")</f>
        <v>0.11</v>
      </c>
      <c r="ED131">
        <f t="shared" ref="ED131:ED194" si="295">IF(AN131&lt;&gt;"",AN131,IF(OR(DS131="",AP131=""),"",IF(AP131=1,MAX(0,Q131-ROUNDUP(N(AS131),0)-4),ROUNDUP(N(AR131),0))))</f>
        <v>24</v>
      </c>
      <c r="EE131">
        <f t="shared" ref="EE131:EE194" si="296">IF(AO131&lt;&gt;"",AO131,IF(OR(DS131="",AP131=""),"",IF(AP131=2,MAX(0,Q131-ROUNDUP(N(AR131),0)-4),ROUNDUP(N(AS131),0))))</f>
        <v>0</v>
      </c>
      <c r="EF131">
        <f t="shared" ref="EF131:EF194" si="297">IFERROR(DT131*(EB131*Q131/DX131*BY131+EC131*Q131*DU131/1000)*P131,"")</f>
        <v>1.8064508335016471</v>
      </c>
      <c r="EG131" s="6">
        <f>IFERROR(ROUNDUP(EF131/((Uн_лин/SQRT(3))*1000)*100,2),"")</f>
        <v>0.79</v>
      </c>
      <c r="EH131" t="str">
        <f>IFERROR(VLOOKUP(BT131,Кабель_обозначение,2,FALSE),"")</f>
        <v>ВВГнг(А)-LS</v>
      </c>
      <c r="EI131" t="str">
        <f t="shared" ref="EI131:EI194" si="298">IFERROR(IF(DM131=1,IF(ISNUMBER(DX131),EH131&amp;" ("&amp;BV131&amp;"х"&amp;DX131&amp;")",EH131),EH131),"")</f>
        <v>ВВГнг(А)-LS (3х1,5)</v>
      </c>
      <c r="EJ131" t="str">
        <f t="shared" ref="EJ131:EJ194" si="299">IF(OR(B131="",EH131="",AND(BM131&lt;&gt;"",NOT(ISNUMBER(BM131)))),"",IF(N(DX131)=0,EH131,EI131&amp;CHAR(10)&amp;"L="&amp;Q131&amp;"-"&amp;EG131&amp;"%"))</f>
        <v>ВВГнг(А)-LS (3х1,5)
L=30-0,79%</v>
      </c>
      <c r="EK131">
        <f>IFERROR(2*ρкз_Cu*Q131/DX131,"")</f>
        <v>1.052</v>
      </c>
      <c r="EL131">
        <f t="shared" ref="EL131:EL194" si="300">IFERROR(0.0175*N(Q131)/DX131,"")</f>
        <v>0.35000000000000003</v>
      </c>
      <c r="EM131" s="6" t="str">
        <f>IFERROR(IF(OR(B131="",NOT(ISNUMBER(DX131)),N(Q131)=0),"",_xlfn.XLOOKUP(A131,Щиты[Щит],Щиты[Zпетли на шинах, Ом])+EK131),"")</f>
        <v/>
      </c>
      <c r="EN131" s="6" t="str">
        <f>IF(ISNUMBER(EM131),c_min*(Uн_лин*1000/SQRT(3))/EM131,"")</f>
        <v/>
      </c>
      <c r="EO131" s="6" t="str">
        <f>IFERROR(IF(OR(B131="",NOT(ISNUMBER(DX131))),"",1.05*(Uн_лин*1000/SQRT(3))/(_xlfn.XLOOKUP(A131,Щиты[Щит],Щиты[Zmax на шинах, Ом])+EL131)/1000),"")</f>
        <v/>
      </c>
      <c r="EP131" s="6" t="str">
        <f>IF(B131="","",IF(ISNUMBER(Y131),"Сил",IF(IFERROR(_xlfn.XLOOKUP(AX131,Коды_код,Коды_группа)&amp;"","")="","Быт",_xlfn.XLOOKUP(AX131,Коды_код,Коды_группа)&amp;"")))</f>
        <v>Сил</v>
      </c>
      <c r="EQ131" s="6" t="str">
        <f t="shared" ref="EQ131:EQ194" si="301">IF(B131="","",IF(BC131&lt;&gt;"","Щит",IF(TRIM(X131&amp;"")="",EP131,X131)))</f>
        <v>Сил</v>
      </c>
      <c r="ER131" s="6">
        <f>IF(EQ131="Щит","щит",IF(EQ131="","",IF(EQ131="Быт",IFERROR(_xlfn.XLOOKUP(A131,Щиты[Щит],Щиты[Кс быт]),1),IF(EQ131="Сил",IF(ISNUMBER(Y131),Y131,IF(Методика="нормы 2026",IFERROR(_xlfn.XLOOKUP(A131,Щиты[Щит],Щиты[Кс силовых (табл. 7.5)]),1),1)),IF(OR(EQ131="Пост",EQ131="Отоп"),1,IF(EQ131="ВНГ",0.7,0))))))</f>
        <v>0.5</v>
      </c>
      <c r="ES131">
        <f t="shared" ref="ES131:ES194" si="302">IF(EQ131="","",IFERROR(MIN(3,MAX(1,INT(--AA131))),1))</f>
        <v>1</v>
      </c>
      <c r="ET131">
        <f t="shared" ref="ET131:ET194" si="303">IF(OR(EQ131="",EQ131="Нет",EQ131="Щит"),0,N(BN131))</f>
        <v>0.46100000000000002</v>
      </c>
      <c r="EU131">
        <f t="shared" ref="EU131:EU194" si="304">IF(EQ131="Быт",N(BN131),0)</f>
        <v>0</v>
      </c>
      <c r="EV131">
        <f t="shared" ref="EV131:EV194" si="305">IF(EQ131="Сил",N(BN131)*N(ER131),0)</f>
        <v>0.23050000000000001</v>
      </c>
      <c r="EW131">
        <f t="shared" ref="EW131:EW194" si="306">IF(EQ131="Пост",N(BN131),0)</f>
        <v>0</v>
      </c>
      <c r="EX131">
        <f t="shared" ref="EX131:EX194" si="307">IF(EQ131="Отоп",N(BN131),0)</f>
        <v>0</v>
      </c>
      <c r="EY131">
        <f t="shared" ref="EY131:EY194" si="308">IF(EQ131="ВНГ",N(BN131)*0.7,0)</f>
        <v>0</v>
      </c>
      <c r="EZ131">
        <f t="shared" ref="EZ131:EZ194" si="309">IF(OR(B131="",EQ131="Щит",EQ131="Нет"),0,N(BN131))</f>
        <v>0.46100000000000002</v>
      </c>
      <c r="FA131">
        <f t="shared" ref="FA131:FA194" si="310">IF(OR(B131="",EQ131="Щит",EQ131="Нет"),0,N(BN131)*N(BY131))</f>
        <v>0.36880000000000002</v>
      </c>
      <c r="FB131">
        <f t="shared" ref="FB131:FB194" si="311">IF(CA131=1,N(BN131)+IF(AF131="вручную",0,N(CC131)),0)</f>
        <v>0.46100000000000002</v>
      </c>
      <c r="FC131" t="str">
        <f t="shared" ref="FC131:FC194" si="312">IF(B131="","",IF(_xlfn.ISFORMULA(M131),"",_xlfn.LET(_xlpm.v,UPPER(SUBSTITUTE(TRIM(M131&amp;"")," ","")),IF(_xlpm.v="","",IF(OR(_xlpm.v="1,2,3",_xlpm.v="L1,L2,L3",_xlpm.v="123",_xlpm.v="3Ф"),"L1,L2,L3",IF(OR(_xlpm.v="1",_xlpm.v="2",_xlpm.v="3"),"L"&amp;_xlpm.v,IF(OR(_xlpm.v="L1",_xlpm.v="L2",_xlpm.v="L3"),_xlpm.v,"")))))))</f>
        <v>L2</v>
      </c>
      <c r="FD131" t="str">
        <f>IF(B131="","",IF(CA131=0,IF(AW131=1,"",FF130),IF(OR(N(CV131)&gt;=3,N(BR131)&gt;=3),"L1,L2,L3",IFERROR(_xlfn.TEXTBEFORE(_xlfn.TEXTAFTER(_xlfn.XLOOKUP(A131,Щиты[Щит],Щиты[_фазы авто]),";"&amp;AW131&amp;":"),";"),"L1"))))</f>
        <v>L1</v>
      </c>
      <c r="FE131" t="str">
        <f t="shared" ref="FE131:FE194" si="313">IF(B131="","",_xlfn.LET(_xlpm.v,UPPER(SUBSTITUTE(TRIM(M131&amp;"")," ","")),IF(_xlpm.v="",FD131,IF(OR(_xlpm.v="1,2,3",_xlpm.v="L1,L2,L3",_xlpm.v="123",_xlpm.v="3Ф"),"L1,L2,L3",IF(OR(_xlpm.v="1",_xlpm.v="2",_xlpm.v="3"),"L"&amp;_xlpm.v,IF(OR(_xlpm.v="L1",_xlpm.v="L2",_xlpm.v="L3"),_xlpm.v,IF(_xlpm.v="УПР","",_xlpm.v)))))))</f>
        <v>L2</v>
      </c>
      <c r="FF131" t="str">
        <f t="shared" ref="FF131:FF194" si="314">IF(CA131=1,FE131,IF(AND(NOT(OR(AW131=1,A131&lt;&gt;A130)),AF131&lt;&gt;"вручную",IF(AW131=1,"",DC130)="ok"),IF(AW131=1,"",FF130),""))</f>
        <v>L2</v>
      </c>
      <c r="FG131" cm="1">
        <f t="array" ref="FG131">IFERROR(IF(BX131=2,_xlfn.IFS(BR131=3,VLOOKUP(BN131,Справочная_двигатели,3,FALSE),BR131=1,VLOOKUP(BN131,Справочная_двигатели,5,TRUE)),0),0)</f>
        <v>0</v>
      </c>
      <c r="FH131">
        <f>IFERROR(IF(BX131=3,VLOOKUP(BN131,Справочная_ЛЭД,2,TRUE),0),0)</f>
        <v>0</v>
      </c>
      <c r="FI131" s="6">
        <f t="shared" ref="FI131:FI194" si="315">IF(B131="","",IF(FG131=0,FH131,FG131))</f>
        <v>0</v>
      </c>
      <c r="FJ131" t="str" cm="1">
        <f t="array" ref="FJ131">IF(B131="","",IFERROR(INDEX({"I особая","I","II","III"},MATCH(TRIM(AC131&amp;""),{"I особая","I","II","III"},0)),"III"))</f>
        <v>II</v>
      </c>
      <c r="FK131" t="str">
        <f>IF(B131="","",IF(TRIM(AD131&amp;"")&lt;&gt;"",IF(LOWER(TRIM(AD131&amp;""))="да","да","нет"),IF(IFERROR(_xlfn.XLOOKUP(AX131,Коды_код,Коды_пожарная),"")="да","да","нет")))</f>
        <v>нет</v>
      </c>
      <c r="FL131" t="str">
        <f t="shared" ref="FL131:FL194" si="316">IF(AB131&lt;&gt;"",AB131,IF(CA131=1,"",IF(GH131="","",IF(AW131=1,"",FL130))))</f>
        <v/>
      </c>
      <c r="FM131" t="str">
        <f t="shared" ref="FM131:FM194" si="317">IF(B131="","",IF(FL131="","основная",FL131))</f>
        <v>основная</v>
      </c>
      <c r="FN131">
        <f t="shared" ref="FN131:FN194" si="318">IFERROR(MIN(3,MAX(1,INT(--AA131))),1)</f>
        <v>1</v>
      </c>
      <c r="FO131" t="str" cm="1">
        <f t="array" ref="FO131">IF(B131="","",_xlfn.LET(_xlpm.t,IFERROR(_xlfn.XLOOKUP(1,(Шины[Шина]=FM131)*(((Шины[Щит]=A131)+(Шины[Щит]=""))&gt;0),Шины[Тип]),"")&amp;"",IF(_xlpm.t&lt;&gt;"",_xlpm.t,IF(ISNUMBER(SEARCH("ИБП",FM131)),"ИБП",IF(ISNUMBER(SEARCH("ДГУ",FM131)),"ДГУ","Ввод "&amp;FN131)))))</f>
        <v>Ввод 1</v>
      </c>
      <c r="FP131" t="str">
        <f t="shared" ref="FP131:FP194" si="319">IF(B131="","",IF(OR(FO131="ИБП",FO131="ДГУ"),FO131,IF(LEFT(FO131,5)="Ввод ",FO131,"Ввод "&amp;FN131)))</f>
        <v>Ввод 1</v>
      </c>
      <c r="FQ131" t="str">
        <f>IF(B131="","",IF(OR(FO131="ИБП",FO131="ДГУ"),"I особая",IF(FO131="Одиночная","III",_xlfn.XLOOKUP(A131,Щиты[Щит],Щиты[Категория шины «Ввод»],"III"))))</f>
        <v>II</v>
      </c>
      <c r="FR131">
        <f>IF(B131="",0,IFERROR(MATCH(FJ131,{"III","II","I","I особая"},0),1))</f>
        <v>2</v>
      </c>
      <c r="FS131">
        <f t="shared" ref="FS131:FS194" si="320">IF(OR(FO131="ИБП",FO131="ДГУ"),MIN(FR131,3),FR131)</f>
        <v>2</v>
      </c>
      <c r="FT131" t="str">
        <f>IF(B131="","",IF(FR131&gt;IFERROR(MATCH(FQ131,{"III","II","I","I особая"},0),1),"НЕ ОБЕСПЕЧЕНА","ОК"))</f>
        <v>ОК</v>
      </c>
      <c r="FU131" t="str">
        <f>IF(A131="","",_xlfn.XLOOKUP(A131,Щиты[Щит],Щиты[Путь],""))</f>
        <v>|ГРЩ-ЖД|ЩОВ-2|</v>
      </c>
      <c r="FV131" t="str">
        <f>IF(B131="","",IF(AE131&lt;&gt;"",AE131,IF(IFERROR(_xlfn.XLOOKUP(AX131,Коды_код,Коды_вид)&amp;"","")="","Прочее",_xlfn.XLOOKUP(AX131,Коды_код,Коды_вид)&amp;"")))</f>
        <v>Кондиционирование и увлажнение</v>
      </c>
      <c r="FW131">
        <f>IF(BH131="","",INT((BH131-1)/Столбцов_на_лист)+1)</f>
        <v>2</v>
      </c>
      <c r="FX131" t="str">
        <f t="shared" ref="FX131:FX194" si="321">IF(B131="","",SUBSTITUTE(EJ131,CHAR(10)," "))</f>
        <v>ВВГнг(А)-LS (3х1,5) L=30-0,79%</v>
      </c>
      <c r="FY131">
        <f t="shared" ref="FY131:FY194" si="322">IF(B131="","",IFERROR(--BN131,""))</f>
        <v>0.46100000000000002</v>
      </c>
      <c r="FZ131">
        <f t="shared" ref="FZ131:FZ194" si="323">IF(B131="","",IFERROR(ROUNDUP(P131,2),""))</f>
        <v>2.5</v>
      </c>
      <c r="GA131">
        <f t="shared" ref="GA131:GA194" si="324">IF(B131="","",IFERROR(--BR131,1))</f>
        <v>1</v>
      </c>
      <c r="GB131">
        <f t="shared" ref="GB131:GB194" si="325">IF(OR(AH131="+",AND(B131&lt;&gt;"",B131=IF(AW131=1,"",B130))),1,0)</f>
        <v>0</v>
      </c>
      <c r="GC131">
        <f t="shared" ref="GC131:GC194" si="326">IF(OR(BH131="",AF131="вручную",AND(BI131="вводной узел",AF131&lt;&gt;"рисовать")),0,1)</f>
        <v>1</v>
      </c>
      <c r="GD131">
        <f>IF(BH131="","",IF(AND(CA131=1,GC131=1),COUNTIFS(A$3:A131,A131,CA$3:CA131,1,GC$3:GC131,1),IF(OR(OR(AW131=1,A131&lt;&gt;A130),AF131="вручную",GC131=0),"",IF(AW131=1,"",GE130))))</f>
        <v>1</v>
      </c>
      <c r="GE131">
        <f t="shared" ref="GE131:GE194" si="327">IF(BH131="",IF(OR(AW131=1,A131&lt;&gt;A130),"",IF(AW131=1,"",GE130)),GD131)</f>
        <v>1</v>
      </c>
      <c r="GF131">
        <f>IF(B131="","",IFERROR(LOOKUP(INDEX(CHOOSE(DL131,Iдоп_1ж,Iдоп_2ж,Iдоп_3ж),MATCH(DX131,Iдоп_S,0))*DJ131*DK131,{6,10,16,20,25,32,40,50,63,80,100,125,160,200,250,315,400,500,630}),""))</f>
        <v>16</v>
      </c>
      <c r="GG131" t="str">
        <f t="shared" ref="GG131:GG194" si="328">IF(AND(CA131=1,GC131=1,GD131&lt;&gt;""),IF(N(CK131)&gt;0,"QFD","QF")&amp;GD131,"")</f>
        <v>QF1</v>
      </c>
      <c r="GH131" t="str">
        <f t="shared" ref="GH131:GH194" si="329">IF(GG131&lt;&gt;"",GG131,IF(OR(OR(AW131=1,A131&lt;&gt;A130),AF131="вручную"),"",IF(AW131=1,"",GH130)))</f>
        <v>QF1</v>
      </c>
      <c r="GI131" t="str">
        <f t="shared" ref="GI131:GI194" si="330">IF(GG131&lt;&gt;"",_xlfn.TEXTJOIN(" → ",TRUE,CO131,CP131,CQ131),IF(GH131="","",IF(AW131=1,"",GI130)))</f>
        <v/>
      </c>
      <c r="GJ131">
        <f t="shared" ref="GJ131:GJ194" si="331">IF(GI131="",0,IF(OR(LEFT(GI131,2)="T ",LEFT(GI131,2)="Т ",ISNUMBER(SEARCH("→ T ",GI131)),ISNUMBER(SEARCH("→ Т ",GI131)),ISNUMBER(SEARCH("БП",GI131))),1,0))</f>
        <v>0</v>
      </c>
      <c r="GK131" t="str">
        <f>IF(OR(AG131="",AG131="-"),"",IFERROR(VLOOKUP(AG131,Модули_спр,2,FALSE),"R"))</f>
        <v/>
      </c>
      <c r="GL131" t="str">
        <f>IF(GK131="","",GK131&amp;"."&amp;COUNTIFS(A$3:A131,A131,GK$3:GK131,GK131))</f>
        <v/>
      </c>
      <c r="GM131" t="str">
        <f t="shared" ref="GM131:GM194" si="332">IF(AG131="-","",IF(GL131&lt;&gt;"",GL131,IF(OR(AW131=1,A131&lt;&gt;A130),"",IF(AW131=1,"",GM130))))</f>
        <v/>
      </c>
      <c r="GN131" t="str">
        <f t="shared" ref="GN131:GN194" si="333">IF(GM131="","",IF(AND(AG131&lt;&gt;"",AG131&lt;&gt;"-"),AG131,IF(AW131=1,"",GN130)))</f>
        <v/>
      </c>
      <c r="GO131" t="str">
        <f t="shared" ref="GO131:GO194" si="334">IF(AH131="=",IF(AW131=1,"",GP130),IF(ISNUMBER(AH131),AH131,IF(GM131="","",IF(OR(B131&lt;&gt;"",AH131="+",AH131="р"),IF(OR(GL131&lt;&gt;"",IF(AW131=1,"",GP130)=""),1,IF(AW131=1,"",GP130)+1),""))))</f>
        <v/>
      </c>
      <c r="GP131" t="str">
        <f t="shared" ref="GP131:GP194" si="335">IF(GO131&lt;&gt;"",GO131,IF(OR(OR(AW131=1,A131&lt;&gt;A130),AG131="-",GL131&lt;&gt;""),"",IF(AW131=1,"",GP130)))</f>
        <v/>
      </c>
      <c r="GQ131">
        <f t="shared" ref="GQ131:GQ194" si="336">IF(OR(AH131="б/к",AF131="вручную"),0,IF(OR(ISNUMBER(SEARCH("L=",EJ131)),AH131="+",AH131="="),1,0))</f>
        <v>1</v>
      </c>
      <c r="GR131" t="str">
        <f>IF(GQ131=1,"XT"&amp;COUNTIFS(A$3:A131,A131,GQ$3:GQ131,1),"")</f>
        <v>XT1</v>
      </c>
      <c r="GS131" t="str">
        <f t="shared" ref="GS131:GS194" si="337">_xlfn.LET(_xlpm.v,TRIM(N131&amp;""),IF(_xlpm.v="нет","",IF(_xlpm.v="",GR131,_xlpm.v)))</f>
        <v>XT1</v>
      </c>
      <c r="GT131" t="str">
        <f t="shared" ref="GT131:GT194" si="338">IF(OR(B131&lt;&gt;"",GO131&lt;&gt;"",GQ131=1),GH131,"")</f>
        <v>QF1</v>
      </c>
      <c r="GU131" t="str">
        <f t="shared" ref="GU131:GU194" si="339">IF(OR(GO131&lt;&gt;"",AND(AG131&lt;&gt;"",AG131&lt;&gt;"-")),GM131,"")</f>
        <v/>
      </c>
      <c r="GV131" t="str">
        <f t="shared" ref="GV131:GV194" si="340">IF(B131="","",IF(AND(CA131=1,DA131&lt;&gt;"",DB131=""),"номинал автомата не распознан",IF(DD131="",IF(BZ131=1,"«гр»: нет автомата выше",""),IF(AND(CA131=1,N(DI131)&gt;N(DD131)),"ПЕРЕГРУЗ",IF(AND(N(DH131)=0,ISNUMBER(GF131),N(GF131)&lt;N(DD131)),"КАБЕЛЬ НЕ ЗАЩИЩЁН","ok")))))</f>
        <v>ok</v>
      </c>
      <c r="GW131" t="str">
        <f>IF(OR(GO131="",GM131=""),"",IF(GO131&gt;IFERROR(VLOOKUP(GN131,Модули_спр,3,FALSE),99),"ЛИШНИЙ КАНАЛ",IF(AND(AH131&lt;&gt;"=",COUNTIFS(Линии[_модуль гр.],GM131,Линии[Канал (итог)],GO131,Линии[Канал],"&lt;&gt;=",Линии[Щит],A131)&gt;1),"ДУБЛЬ КАНАЛА","")))</f>
        <v/>
      </c>
      <c r="GX131" s="6" t="str">
        <f t="shared" ref="GX131:GX194" si="341">IFERROR(IF(ISNUMBER(EN131),EN131/N(DD131),""),"")</f>
        <v/>
      </c>
      <c r="GY131">
        <f t="shared" ref="GY131:GY194" si="342">IF(OR(ISNUMBER(SEARCH(" B"," "&amp;DE131)),ISNUMBER(SEARCH(" В"," "&amp;DE131))),5,IF(ISNUMBER(SEARCH(" D"," "&amp;DE131)),20,10))</f>
        <v>10</v>
      </c>
      <c r="GZ131" t="str">
        <f t="shared" ref="GZ131:GZ194" si="343">IF(NOT(ISNUMBER(GX131)),"",IF(GX131&gt;=GY131,"ok",IF(N(DG131)=1,"ok (дифзащита "&amp;DF131&amp;" мА)","мало: Iкз &lt; "&amp;GY131&amp;"·In")))</f>
        <v/>
      </c>
      <c r="HA131" t="str">
        <f>IF(AND(B131="",GT131=""),"",_xlfn.TEXTJOIN("; ",TRUE,IF(AND(B131&lt;&gt;"",FE131=""),"нет фазы",""),IF(AND(B131&lt;&gt;"",N(FY131)=0,EQ131&lt;&gt;"Нет"),"нет мощности",""),IF(AND(GS131&lt;&gt;"",COUNTIFS(Линии[Щит],A131,Линии[Клемма (итог)],GS131)&gt;1),"дубль клеммы "&amp;GS131,""),IF(AND(GV131&lt;&gt;"",GV131&lt;&gt;"ok"),GV131,""),IF(GW131&lt;&gt;"",GW131,""),IF(AND(N(BV131)&gt;=4,N(BR131)=1),BV131&amp;" жил на 1 фазе",""),IF(AND(AX131="R",CA131=1,OR(N(CK131)=0,N(CK131)&gt;30)),"розетка без дифзащиты до 30 мА",""),IFERROR(IF(AND(ISNUMBER(R131),R131&gt;DV131),"потери "&amp;FIXED(R131,1)&amp;" % &gt; "&amp;DV131&amp;" %",""),""),IFERROR(IF(LEFT(GZ131,4)="мало","Iкз мало — отключение &gt; 0,4 с",""),""),IF(AND(B131&lt;&gt;"",BH131=""),"не на схеме",""),IF(AND(CA131=0,B131&lt;&gt;"",FE131&lt;&gt;"",IF(AW131=1,"",FF130)&lt;&gt;"",FE131&lt;&gt;IF(AW131=1,"",FF130)),"фаза не как у автомата группы ("&amp;IF(AW131=1,"",FF130)&amp;")","")))</f>
        <v/>
      </c>
      <c r="HB131" s="6" t="str">
        <f>IF(OR(CA131=0,DA131=""),"",_xlfn.LET(_xlpm.t,IFERROR(_xlfn.XLOOKUP(DA131,Каталог!$U$4:$U$500,Каталог!$G$4:$G$500),""),_xlpm.k,SEARCH("кА",_xlpm.t),IFERROR(--TRIM(RIGHT(SUBSTITUTE(MID(_xlpm.t,MAX(1,_xlpm.k-4),_xlpm.k-MAX(1,_xlpm.k-4))," ",REPT(" ",9)),5)),"")))</f>
        <v/>
      </c>
      <c r="HC131" t="str">
        <f>IF(OR(HB131="",CA131=0),"",IF(_xlfn.XLOOKUP(A131,Щиты[Щит],Щиты[Iкз max на шинах, кА],"")="","",IF(HB131&lt;_xlfn.XLOOKUP(A131,Щиты[Щит],Щиты[Iкз max на шинах, кА]),"Icu "&amp;HB131&amp;" кА &lt; Iкз max","ok")))</f>
        <v/>
      </c>
      <c r="HD131" t="str">
        <f t="shared" ref="HD131:HD194" si="344">IF(OR(AND(AW131&gt;1,N(AW130)&lt;&gt;AW131-1),AND(AW132&lt;&gt;"",N(AW132)&lt;&gt;AW131+1)),"строки сдвинуты (вставка или удаление) — нажмите «Починить формулы»","")</f>
        <v/>
      </c>
      <c r="HE131" t="str">
        <f t="shared" ref="HE131:HE194" si="345">IF(OR(AF131="вручную",BH131="",AND(B131="",GS131="")),"",_xlfn.TEXTJOIN("|",TRUE,GH131,SUBSTITUTE(GI131," → ","|"),IF(GM131&lt;&gt;"",GM131&amp;IF(GO131&lt;&gt;""," к."&amp;GO131,""),""),GS131))</f>
        <v>QF1|XT1</v>
      </c>
      <c r="HF131" t="str">
        <f t="shared" ref="HF131:HF194" si="346">IF(HE131="","",HE131&amp;IF(B131&lt;&gt;"","|кабель "&amp;EI131&amp;" → "&amp;BE131,""))</f>
        <v>QF1|XT1|кабель ВВГнг(А)-LS (3х1,5) → Внутренний блок кондиционирования Технический этаж Пом. №001Т</v>
      </c>
      <c r="HG131" t="str" cm="1">
        <f t="array" ref="HG131">IF(HF131="","",_xlfn.LET(_xlpm.nd,_xlfn.TEXTSPLIT(HF131,"|"),IF(COLUMNS(_xlpm.nd)&gt;1,A131&amp;"¦"&amp;INDEX(_xlpm.nd,1)&amp;"¦"&amp;INDEX(_xlpm.nd,2),"")))</f>
        <v>ЩОВ-2¦QF1¦XT1</v>
      </c>
      <c r="HH131" t="str">
        <f t="shared" ref="HH131:HH194" si="347">IF(HG131="","",B131&amp;"¦"&amp;BE131)</f>
        <v>K.1.001A.1¦Внутренний блок кондиционирования Технический этаж Пом. №001Т</v>
      </c>
      <c r="HI131" t="str" cm="1">
        <f t="array" ref="HI131">IF(HF131="","",_xlfn.LET(_xlpm.nd,_xlfn.TEXTSPLIT(HF131,"|"),IF(COLUMNS(_xlpm.nd)&gt;2,A131&amp;"¦"&amp;INDEX(_xlpm.nd,2)&amp;"¦"&amp;INDEX(_xlpm.nd,3),"")))</f>
        <v>ЩОВ-2¦XT1¦кабель ВВГнг(А)-LS (3х1,5) → Внутренний блок кондиционирования Технический этаж Пом. №001Т</v>
      </c>
      <c r="HJ131" t="str">
        <f t="shared" ref="HJ131:HJ194" si="348">IF(HI131="","",B131&amp;"¦"&amp;BE131)</f>
        <v>K.1.001A.1¦Внутренний блок кондиционирования Технический этаж Пом. №001Т</v>
      </c>
      <c r="HK131" t="str" cm="1">
        <f t="array" ref="HK131">IF(HF131="","",_xlfn.LET(_xlpm.nd,_xlfn.TEXTSPLIT(HF131,"|"),IF(COLUMNS(_xlpm.nd)&gt;3,A131&amp;"¦"&amp;INDEX(_xlpm.nd,3)&amp;"¦"&amp;INDEX(_xlpm.nd,4),"")))</f>
        <v/>
      </c>
      <c r="HL131" t="str">
        <f t="shared" ref="HL131:HL194" si="349">IF(HK131="","",B131&amp;"¦"&amp;BE131)</f>
        <v/>
      </c>
      <c r="HM131" t="str" cm="1">
        <f t="array" ref="HM131">IF(HF131="","",_xlfn.LET(_xlpm.nd,_xlfn.TEXTSPLIT(HF131,"|"),IF(COLUMNS(_xlpm.nd)&gt;4,A131&amp;"¦"&amp;INDEX(_xlpm.nd,4)&amp;"¦"&amp;INDEX(_xlpm.nd,5),"")))</f>
        <v/>
      </c>
      <c r="HN131" t="str">
        <f t="shared" ref="HN131:HN194" si="350">IF(HM131="","",B131&amp;"¦"&amp;BE131)</f>
        <v/>
      </c>
      <c r="HO131" t="str" cm="1">
        <f t="array" ref="HO131">IF(HF131="","",_xlfn.LET(_xlpm.nd,_xlfn.TEXTSPLIT(HF131,"|"),IF(COLUMNS(_xlpm.nd)&gt;5,A131&amp;"¦"&amp;INDEX(_xlpm.nd,5)&amp;"¦"&amp;INDEX(_xlpm.nd,6),"")))</f>
        <v/>
      </c>
      <c r="HP131" t="str">
        <f t="shared" ref="HP131:HP194" si="351">IF(HO131="","",B131&amp;"¦"&amp;BE131)</f>
        <v/>
      </c>
      <c r="HQ131" t="str" cm="1">
        <f t="array" ref="HQ131">IF(HF131="","",_xlfn.LET(_xlpm.nd,_xlfn.TEXTSPLIT(HF131,"|"),IF(COLUMNS(_xlpm.nd)&gt;6,A131&amp;"¦"&amp;INDEX(_xlpm.nd,6)&amp;"¦"&amp;INDEX(_xlpm.nd,7),"")))</f>
        <v/>
      </c>
      <c r="HR131" t="str">
        <f t="shared" ref="HR131:HR194" si="352">IF(HQ131="","",B131&amp;"¦"&amp;BE131)</f>
        <v/>
      </c>
      <c r="HS131" t="str">
        <f t="shared" ref="HS131:HS194" si="353">IF(GU131="","",GN131)</f>
        <v/>
      </c>
      <c r="HT131" t="str">
        <f t="shared" ref="HT131:HT194" si="354">IF(AND(B131="",GO131="",GS131=""),"",_xlfn.TEXTJOIN(" → ",TRUE,GH131,GI131,IF(GM131&lt;&gt;"",GM131&amp;IF(GO131&lt;&gt;""," к."&amp;GO131,""),IF(GO131&lt;&gt;"","к."&amp;GO131,"")),GS131,IF(GB131=1,"(в кабель выше)","")))</f>
        <v>QF1 → XT1</v>
      </c>
      <c r="HU131">
        <f t="shared" ref="HU131:HU194" si="355">IF(AB131="",0,1)</f>
        <v>0</v>
      </c>
      <c r="HV131">
        <f t="shared" ref="HV131:HV194" si="356">IF(GG131="",0,IF(LEFT(GG131,3)="QFD",1,0))</f>
        <v>0</v>
      </c>
      <c r="HW131" t="str">
        <f t="shared" ref="HW131:HW194" si="357">IF(AH131="=","=",IF(AH131="+","+",IF(AH131="р","R","")))</f>
        <v/>
      </c>
      <c r="HX131" t="str">
        <f t="shared" ref="HX131:HX194" si="358">IF(CO131="","",IF(OR(LEFT(CO131,1)="T",LEFT(CO131,1)="Т"),"T",IF(LEFT(UPPER(CO131),2)="БП","PS",IF(OR(LEFT(UPPER(CO131),2)="МК",LEFT(UPPER(CO131),2)="MK"),"MK",IF(OR(LEFT(UPPER(CO131),2)="КМ",LEFT(UPPER(CO131),2)="KM"),"KM","X")))))</f>
        <v/>
      </c>
      <c r="HY131" t="str">
        <f t="shared" ref="HY131:HY194" si="359">IF(CP131="","",IF(OR(LEFT(CP131,1)="T",LEFT(CP131,1)="Т"),"T",IF(LEFT(UPPER(CP131),2)="БП","PS",IF(OR(LEFT(UPPER(CP131),2)="МК",LEFT(UPPER(CP131),2)="MK"),"MK",IF(OR(LEFT(UPPER(CP131),2)="КМ",LEFT(UPPER(CP131),2)="KM"),"KM","X")))))</f>
        <v/>
      </c>
      <c r="HZ131" t="str">
        <f t="shared" ref="HZ131:HZ194" si="360">IF(CQ131="","",IF(OR(LEFT(CQ131,1)="T",LEFT(CQ131,1)="Т"),"T",IF(LEFT(UPPER(CQ131),2)="БП","PS",IF(OR(LEFT(UPPER(CQ131),2)="МК",LEFT(UPPER(CQ131),2)="MK"),"MK",IF(OR(LEFT(UPPER(CQ131),2)="КМ",LEFT(UPPER(CQ131),2)="KM"),"KM","X")))))</f>
        <v/>
      </c>
      <c r="IA131">
        <f>IF(B131="","",IFERROR(VLOOKUP(B131,УГО_спр,2,FALSE),IFERROR(VLOOKUP(AX131,УГО_спр,2,FALSE),IFERROR(VLOOKUP(LEFT(AX131,2),УГО_спр,2,FALSE),""))))</f>
        <v>0</v>
      </c>
      <c r="IB131" t="str">
        <f>IF(B131="","",IF(OR(IA131="",IA131=0),"BOX",IFERROR(IF(VLOOKUP(IA131,УГО_блоки,3,FALSE)&amp;""&lt;&gt;"",VLOOKUP(IA131,УГО_блоки,3,FALSE),VLOOKUP(IA131,УГО_блоки,2,FALSE)),IA131)))</f>
        <v>BOX</v>
      </c>
      <c r="IC131">
        <f t="shared" ref="IC131:IC194" si="361">IF(B131="",0,1)</f>
        <v>1</v>
      </c>
      <c r="ID131" t="str">
        <f>IF(DA131="","",IF(COUNTIF(DA$3:DA131,DA131)=1,MAX(ID$2:ID130)+1,""))</f>
        <v/>
      </c>
      <c r="IE131" t="str">
        <f>IF(CO131="","",IF(COUNTIF(CO$3:CO131,CO131)+COUNTIF(CP$2:CP130,CO131)+COUNTIF(CQ$2:CQ130,CO131)=1,MAX(IE$2:IG130)+1,""))</f>
        <v/>
      </c>
      <c r="IF131" t="str">
        <f>IF(CP131="","",IF(COUNTIF(CO$3:CO131,CP131)+COUNTIF(CP$3:CP131,CP131)+COUNTIF(CQ$2:CQ130,CP131)=1,MAX(IE$2:IG130,IE131)+1,""))</f>
        <v/>
      </c>
      <c r="IG131" t="str">
        <f>IF(CQ131="","",IF(COUNTIF(CO$3:CO131,CQ131)+COUNTIF(CP$3:CP131,CQ131)+COUNTIF(CQ$3:CQ131,CQ131)=1,MAX(IE$2:IG130,IE131,IF131)+1,""))</f>
        <v/>
      </c>
      <c r="IH131" t="str">
        <f t="shared" ref="IH131:IH194" si="362">IF(GQ131=1,IFERROR(MID(FX131,FIND(" (",FX131)+2,FIND(")",FX131,FIND(" (",FX131))-FIND(" (",FX131)-2),"?"),"")</f>
        <v>3х1,5</v>
      </c>
      <c r="II131" t="str">
        <f>IF(IH131="","",IF(COUNTIF(IH$3:IH131,IH131)=1,MAX(II$2:II130)+1,""))</f>
        <v/>
      </c>
      <c r="IJ131" t="str">
        <f>IF(GL131="","",COUNTIF(GL$3:GL131,"?*"))</f>
        <v/>
      </c>
      <c r="IK131" t="str">
        <f>IF(OR(GL131="",GN131=""),"",IF(COUNTIFS(GL$3:GL131,"?*",GN$3:GN131,GN131)=1,MAX(IK$2:IK130)+1,""))</f>
        <v/>
      </c>
      <c r="IL131">
        <f t="shared" ref="IL131:IL194" si="363">IF(HA131="",0,IF(OR(ISNUMBER(SEARCH("дубль",HA131)),ISNUMBER(SEARCH("ПЕРЕГРУЗ",HA131)),ISNUMBER(SEARCH("ЗАЩИЩ",HA131)),ISNUMBER(SEARCH("КАНАЛ",HA131)),ISNUMBER(SEARCH("без диф",HA131))),2,1))</f>
        <v>0</v>
      </c>
      <c r="IM131">
        <f>IF(B131="","",COUNTIF(B$3:B131,"?*"))</f>
        <v>129</v>
      </c>
      <c r="IN131">
        <f>IF(GQ131&lt;&gt;1,0,_xlfn.LET(_xlpm.k,MAX(IFERROR(--VLOOKUP(B131,УГО_спр,5,FALSE),0),IFERROR(--VLOOKUP(AX131,УГО_спр,5,FALSE),0),IFERROR(--VLOOKUP(LEFT(AX131,2),УГО_спр,5,FALSE),0)),IF(_xlpm.k&gt;0,_xlpm.k,IF(IFERROR(--LEFT(SUBSTITUTE(IH131,"x","х"),FIND("х",SUBSTITUTE(IH131,"x","х"))-1),3)&gt;3,Каталог!$S$9,1))))</f>
        <v>1</v>
      </c>
      <c r="IO131">
        <f t="shared" ref="IO131:IO194" si="364">IF(GQ131&lt;&gt;1,0,MAX(0,IFERROR(--LEFT(SUBSTITUTE(IH131,"x","х"),FIND("х",SUBSTITUTE(IH131,"x","х"))-1),3)-3*IN131))</f>
        <v>0</v>
      </c>
      <c r="IP131" t="str">
        <f t="shared" ref="IP131:IP194" si="365">IF(CA131=1,"авто","")</f>
        <v>авто</v>
      </c>
      <c r="IQ131" t="str">
        <f t="shared" ref="IQ131:IQ194" si="366">IF(CA131=1,IF(N(CK131)&gt;0,CK131,""),"")</f>
        <v/>
      </c>
      <c r="IR131">
        <f t="shared" ref="IR131:IR194" si="367">IF(CA131=1,IF(N(CK131)&gt;0,1,0),"")</f>
        <v>0</v>
      </c>
      <c r="IS131">
        <f t="shared" ref="IS131:IS194" si="368">SUBTOTAL(103,A131)</f>
        <v>1</v>
      </c>
    </row>
    <row r="132" spans="1:253" x14ac:dyDescent="0.3">
      <c r="A132" t="s">
        <v>753</v>
      </c>
      <c r="B132" t="s">
        <v>1400</v>
      </c>
      <c r="C132" t="s">
        <v>1643</v>
      </c>
      <c r="D132">
        <v>1</v>
      </c>
      <c r="E132">
        <v>0.46100000000000002</v>
      </c>
      <c r="G132" t="str">
        <f>Линии[[#This Row],[_авто автомат]]</f>
        <v>1P С6А</v>
      </c>
      <c r="H132" t="str">
        <f>Линии[[#This Row],[_авто утечка]]</f>
        <v/>
      </c>
      <c r="I132" t="str">
        <f>Линии[[#This Row],[_авто управление]]</f>
        <v/>
      </c>
      <c r="J132" t="str">
        <f>Линии[[#This Row],[_авто аппараты]]</f>
        <v/>
      </c>
      <c r="K132">
        <v>1.5</v>
      </c>
      <c r="L132">
        <v>20</v>
      </c>
      <c r="M132" t="str">
        <f>Линии[[#This Row],[_авто фаза]]</f>
        <v>L1</v>
      </c>
      <c r="N132" t="str">
        <f>Линии[[#This Row],[_авто клемма]]</f>
        <v>XT2</v>
      </c>
      <c r="O132" t="str">
        <f t="shared" si="246"/>
        <v/>
      </c>
      <c r="P132" s="6" cm="1">
        <f t="array" ref="P132">IF(B132="","",IF(BC132&lt;&gt;"",IFERROR(_xlfn.XLOOKUP(BC132,Щиты[Щит],Щиты[Iр, А]),""),IF(BK132=1,IFERROR(_xlfn.XLOOKUP(A132,Щиты[Щит],Щиты[Iр, А]),""),IFERROR(_xlfn.IFS(BR132=1,BN132/((Uн_лин/SQRT(3))*BY132),BR132=3,BN132/(SQRT(3)*Uн_лин*BY132)),""))))</f>
        <v>2.4952356946539136</v>
      </c>
      <c r="Q132" s="7">
        <f>IF(B132="","",IFERROR(IF(VLOOKUP(AX132,Потребители_обозначение,4,FALSE)=1,VLOOKUP(AX132,Потребители_обозначение,3,FALSE)*(D132*2-1)+DS132+VLOOKUP(AZ132,Этаж_обозначение,3,FALSE)+VLOOKUP(AZ132,Этаж_обозначение,4,FALSE),VLOOKUP(AX132,Потребители_обозначение,3,FALSE)*(D132*2-1)+DS132),DS132))</f>
        <v>22</v>
      </c>
      <c r="R132" s="6">
        <f t="shared" si="247"/>
        <v>1.7199999999999998</v>
      </c>
      <c r="S132" t="str">
        <f t="shared" si="248"/>
        <v>ВВГнг(А)-LS (3х1,5)</v>
      </c>
      <c r="T132" t="str">
        <f>IF(BH132="","",IF(BI132="вводной узел","узел ","")&amp;"л."&amp;(INT((BH132-1)/Столбцов_на_лист)+1)&amp;" / "&amp;(MOD(BH132-1,Столбцов_на_лист)+1))</f>
        <v>л.2 / 2</v>
      </c>
      <c r="V132">
        <v>1</v>
      </c>
      <c r="W132">
        <v>230</v>
      </c>
      <c r="X132" t="s">
        <v>600</v>
      </c>
      <c r="Y132">
        <v>0.5</v>
      </c>
      <c r="AC132" t="s">
        <v>815</v>
      </c>
      <c r="AE132" t="s">
        <v>578</v>
      </c>
      <c r="AI132">
        <v>19</v>
      </c>
      <c r="AJ132" t="s">
        <v>11</v>
      </c>
      <c r="AK132">
        <v>3</v>
      </c>
      <c r="AM132">
        <v>4</v>
      </c>
      <c r="AN132">
        <v>18</v>
      </c>
      <c r="AP132">
        <v>1</v>
      </c>
      <c r="AW132" cm="1">
        <f t="array" ref="AW132">ROW()-ROW(Линии[#Headers])</f>
        <v>130</v>
      </c>
      <c r="AX132" s="6" t="str">
        <f t="shared" si="249"/>
        <v>K</v>
      </c>
      <c r="AY132" t="str">
        <f t="shared" si="250"/>
        <v>1.001A.2</v>
      </c>
      <c r="AZ132" t="str">
        <f t="shared" si="251"/>
        <v>1</v>
      </c>
      <c r="BA132" t="str">
        <f t="shared" si="252"/>
        <v>001A.2</v>
      </c>
      <c r="BB132" t="str">
        <f t="shared" si="253"/>
        <v>001A</v>
      </c>
      <c r="BC132" t="str">
        <f>IF(U132&lt;&gt;"",U132,IF(AND(B132&lt;&gt;"",B132&lt;&gt;A132,ISNUMBER(_xlfn.XMATCH(B132,Щиты[Щит]))),B132,""))</f>
        <v/>
      </c>
      <c r="BD132" t="str" cm="1">
        <f t="array" ref="BD132">IF(B132="","",IF(BC132&lt;&gt;"","Щит "&amp;BC132,_xlfn.LET(_xlpm.nm,IFERROR(_xlfn.XLOOKUP(AX132,Коды_код,Коды_имя)&amp;"",""),_xlpm.md,IFERROR(N(_xlfn.XLOOKUP(AX132,Коды_код,Коды_режим)),1),_xlpm.ex,IF(Имя_режим="по экспликации",IFERROR(_xlfn.XLOOKUP(AZ132&amp;"|"&amp;BB132,Экспликация[Этаж]&amp;"|"&amp;Экспликация[Помещение],Экспликация[Название])&amp;"",""),""),_xlpm.rm,IF(BB132="","",IF(_xlpm.ex&lt;&gt;"",". "&amp;_xlpm.ex&amp;IF(Имя_пом="нет"," ("&amp;BB132&amp;")"," (пом. "&amp;BB132&amp;")"),IF(Имя_пом="нет"," ",", пом. ")&amp;BB132)),IF(_xlpm.nm="","",IF(_xlpm.md=2,_xlpm.nm&amp;" шлейф "&amp;AZ132,_xlpm.nm&amp;_xlpm.rm)))))</f>
        <v>Внутренний блок кондиционирования, пом. 001A</v>
      </c>
      <c r="BE132" t="str">
        <f t="shared" si="254"/>
        <v>Внутренний блок кондиционирования Технический этаж Пом. №001Т</v>
      </c>
      <c r="BF132">
        <f>IFERROR(_xlfn.XMATCH(A132,Щиты[Щит]),0)</f>
        <v>7</v>
      </c>
      <c r="BG132">
        <f>_xlfn.LET(_xlpm.k,IFERROR(_xlfn.XLOOKUP(A132,Щиты[Щит],Щиты[Листов под вводной узел]),""),IF(_xlpm.k="",1,N(_xlpm.k))*Столбцов_на_лист)</f>
        <v>17</v>
      </c>
      <c r="BH132">
        <f t="shared" si="255"/>
        <v>19</v>
      </c>
      <c r="BI132" t="str">
        <f t="shared" si="256"/>
        <v>линии</v>
      </c>
      <c r="BJ132" s="6">
        <f>IFERROR(N(_xlfn.XLOOKUP(AX132,Коды_код,Коды_квт)),0)</f>
        <v>0</v>
      </c>
      <c r="BK132">
        <f t="shared" si="257"/>
        <v>0</v>
      </c>
      <c r="BL132" t="str">
        <f>IF(B132="","",IF(BC132&lt;&gt;"",IFERROR(_xlfn.XLOOKUP(BC132,Щиты[Щит],Щиты[Руст, кВт]),0),IF(BK132=1,IFERROR(_xlfn.XLOOKUP(A132,Щиты[Щит],Щиты[Руст, кВт]),0),IF(BJ132&gt;0,ROUND(BJ132*MAX(1,N(D132)),3),""))))</f>
        <v/>
      </c>
      <c r="BM132">
        <f t="shared" si="258"/>
        <v>0.46100000000000002</v>
      </c>
      <c r="BN132" s="6">
        <f>IF(B132="","",IF(BC132&lt;&gt;"",IFERROR(_xlfn.XLOOKUP(BC132,Щиты[Щит],Щиты[Руст, кВт]),0),N(BM132)))</f>
        <v>0.46100000000000002</v>
      </c>
      <c r="BO132" t="str">
        <f>IF(B132="","",IFERROR(IF(VLOOKUP(AX132,Потребители_обозначение,8,FALSE)=0,"",VLOOKUP(AX132,Потребители_обозначение,8,FALSE)),""))</f>
        <v/>
      </c>
      <c r="BP132">
        <f t="shared" si="259"/>
        <v>230</v>
      </c>
      <c r="BQ132">
        <f>IF(B132="","",IF(BC132&lt;&gt;"",3,IFERROR(IF(N(VLOOKUP(AX132,Потребители_обозначение,9,FALSE))=0,1,VLOOKUP(AX132,Потребители_обозначение,9,FALSE)),1)))</f>
        <v>1</v>
      </c>
      <c r="BR132">
        <f t="shared" si="260"/>
        <v>1</v>
      </c>
      <c r="BS132" t="str">
        <f>IF(B132="","",_xlfn.LET(_xlpm.bc,IFERROR(IF(VLOOKUP(AX132,Потребители_обозначение,6,FALSE)=0,"",VLOOKUP(AX132,Потребители_обозначение,6,FALSE)&amp;""),""),IF(AND(FK132="да",OR(_xlpm.bc="",_xlpm.bc="мс")),Марка_пож,IF(AND(_xlpm.bc="",BC132&lt;&gt;""),"мс",_xlpm.bc))))</f>
        <v/>
      </c>
      <c r="BT132" t="str">
        <f t="shared" si="261"/>
        <v>мс</v>
      </c>
      <c r="BU132">
        <f>IF(B132="","",_xlfn.LET(_xlpm.cc,IFERROR(N(VLOOKUP(AX132,Потребители_обозначение,7,FALSE)),0),IF(_xlpm.cc&gt;0,_xlpm.cc,IF(BT132="","",IF(N(BR132)=3,5,3)))))</f>
        <v>3</v>
      </c>
      <c r="BV132">
        <f t="shared" si="262"/>
        <v>3</v>
      </c>
      <c r="BW132">
        <f>IFERROR(N(VLOOKUP(AX132,Потребители_обозначение,10,FALSE)),0)</f>
        <v>0</v>
      </c>
      <c r="BX132">
        <f>IFERROR(VLOOKUP(AX132,Потребители_обозначение,5,FALSE),0)</f>
        <v>1</v>
      </c>
      <c r="BY132" s="6" cm="1">
        <f t="array" ref="BY132">IF(B132="","",IF(BC132&lt;&gt;"",IFERROR(_xlfn.XLOOKUP(BC132,Щиты[Щит],Щиты[cos φ]),0.95),IF(BK132=1,IFERROR(_xlfn.XLOOKUP(A132,Щиты[Щит],Щиты[cos φ]),0.95),IF(ISNUMBER(Z132),Z132,IFERROR(IF(BX132=2,_xlfn.IFS(BR132=3,VLOOKUP(BN132,Справочная_двигатели,8,FALSE),BR132=1,VLOOKUP(BN132,Справочная_двигатели,10,TRUE)),IF(AND(Методика="нормы 2026",EQ132="Сил"),0.8,0.95)),0.95)))))</f>
        <v>0.8</v>
      </c>
      <c r="BZ132">
        <f t="shared" si="263"/>
        <v>0</v>
      </c>
      <c r="CA132">
        <f t="shared" si="264"/>
        <v>1</v>
      </c>
      <c r="CB132">
        <f t="shared" si="265"/>
        <v>0</v>
      </c>
      <c r="CC132">
        <f t="shared" si="266"/>
        <v>0</v>
      </c>
      <c r="CD132">
        <f t="shared" si="267"/>
        <v>0</v>
      </c>
      <c r="CE132">
        <f t="shared" si="268"/>
        <v>0</v>
      </c>
      <c r="CF132">
        <f t="shared" si="269"/>
        <v>0</v>
      </c>
      <c r="CG132">
        <f>IF(AX132="",0,_xlfn.LET(_xlpm.v,IFERROR(VLOOKUP(B132,УГО_спр,3,FALSE),IFERROR(VLOOKUP(AX132,УГО_спр,3,FALSE),IFERROR(VLOOKUP(LEFT(AX132,2),УГО_спр,3,FALSE),""))),IF(_xlpm.v="да",30,IF(ISNUMBER(_xlpm.v),_xlpm.v,0))))</f>
        <v>0</v>
      </c>
      <c r="CH132" t="str">
        <f t="shared" si="270"/>
        <v/>
      </c>
      <c r="CI132" t="str">
        <f>_xlfn.LET(_xlpm.k,IFERROR(_xlfn.XLOOKUP(AX132,Коды_код,Коды_утечка)&amp;"",""),IF(_xlpm.k="","дифавтомат",_xlpm.k))</f>
        <v>дифавтомат</v>
      </c>
      <c r="CJ132">
        <f t="shared" si="271"/>
        <v>0</v>
      </c>
      <c r="CK132">
        <f t="shared" si="272"/>
        <v>0</v>
      </c>
      <c r="CL132">
        <f>IF(B132="",0,IFERROR(--VLOOKUP(B132,УГО_спр,4,FALSE),IFERROR(--VLOOKUP(AX132,УГО_спр,4,FALSE),IFERROR(--VLOOKUP(LEFT(AX132,2),УГО_спр,4,FALSE),0))))</f>
        <v>0</v>
      </c>
      <c r="CM132" t="str">
        <f>IF(B132="","",IFERROR(_xlfn.XLOOKUP(AX132,Коды_код,Коды_апп)&amp;"",""))</f>
        <v/>
      </c>
      <c r="CN132" t="str">
        <f t="shared" si="273"/>
        <v/>
      </c>
      <c r="CO132" t="str" cm="1">
        <f t="array" ref="CO132">IF(TRIM(CN132&amp;"")="","",IFERROR(TRIM(INDEX(_xlfn.TEXTSPLIT(CN132&amp;";;;",";"),1)),""))</f>
        <v/>
      </c>
      <c r="CP132" t="str" cm="1">
        <f t="array" ref="CP132">IF(TRIM(CN132&amp;"")="","",IFERROR(TRIM(INDEX(_xlfn.TEXTSPLIT(CN132&amp;";;;",";"),2)),""))</f>
        <v/>
      </c>
      <c r="CQ132" t="str" cm="1">
        <f t="array" ref="CQ132">IF(TRIM(CN132&amp;"")="","",IFERROR(TRIM(INDEX(_xlfn.TEXTSPLIT(CN132&amp;";;;",";"),3)),""))</f>
        <v/>
      </c>
      <c r="CR132">
        <f t="shared" si="274"/>
        <v>0</v>
      </c>
      <c r="CS132" t="str">
        <f>IF(B132="","",_xlfn.LET(_xlpm.t,LOWER(AV132&amp;""),IF(ISNUMBER(SEARCH("dim",_xlpm.t)),"DIM",IF(ISNUMBER(SEARCH("dali",_xlpm.t)),"DALI",IF(OR(ISNUMBER(SEARCH("relay",_xlpm.t)),ISNUMBER(SEARCH("реле",_xlpm.t))),"Relay",IF(ISNUMBER(SEARCH("кнопк",_xlpm.t)),"",IFERROR(_xlfn.XLOOKUP(AX132,Коды_код,Коды_упр)&amp;"","")))))))</f>
        <v/>
      </c>
      <c r="CT132" t="str">
        <f t="shared" si="275"/>
        <v/>
      </c>
      <c r="CU132">
        <f>IF(B132="","",_xlfn.LET(_xlpm.ig,N(P132)+IF(AF132="вручную",0,N(CB132)),_xlpm.n0,IFERROR(VLOOKUP(_xlpm.ig,Автомат_номиналы,2,TRUE),0),_xlpm.mn,MAX(CL132,IF(AF132="вручную",0,N(CE132))),MAX(_xlpm.n0,_xlpm.mn,IF(CR132=1,Мин_автомат_БП,0))))</f>
        <v>6</v>
      </c>
      <c r="CV132">
        <f t="shared" si="276"/>
        <v>1</v>
      </c>
      <c r="CW132" t="str">
        <f t="shared" si="277"/>
        <v>1P</v>
      </c>
      <c r="CX132" t="str">
        <f>_xlfn.LET(_xlpm.cc,UPPER(TRIM(IFERROR(_xlfn.XLOOKUP(AX132,Коды_код,Коды_хар)&amp;"",""))),IF(OR(_xlpm.cc="B",_xlpm.cc="В"),"B",IF(_xlpm.cc="D","D","С")))</f>
        <v>С</v>
      </c>
      <c r="CY132" t="str">
        <f t="shared" si="278"/>
        <v>1P С6А</v>
      </c>
      <c r="CZ132" t="str">
        <f t="shared" si="279"/>
        <v>1P С6А</v>
      </c>
      <c r="DA132" t="str">
        <f t="shared" si="280"/>
        <v>1P С6А</v>
      </c>
      <c r="DB132" cm="1">
        <f t="array" ref="DB132">IF(DA132="","",_xlfn.LET(_xlpm.t,SUBSTITUTE(SUBSTITUTE(SUBSTITUTE(UPPER(DA132),"С","C"),"А","A"),"В","B"),_xlpm.tk,_xlfn.TEXTSPLIT(_xlpm.t,"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2" t="str">
        <f t="shared" si="281"/>
        <v>ok</v>
      </c>
      <c r="DD132">
        <f t="shared" si="282"/>
        <v>6</v>
      </c>
      <c r="DE132" t="str">
        <f t="shared" si="283"/>
        <v>1P С6А</v>
      </c>
      <c r="DF132">
        <f t="shared" si="284"/>
        <v>0</v>
      </c>
      <c r="DG132">
        <f t="shared" si="285"/>
        <v>0</v>
      </c>
      <c r="DH132">
        <f t="shared" si="286"/>
        <v>0</v>
      </c>
      <c r="DI132">
        <f t="shared" si="287"/>
        <v>2.4952356946539136</v>
      </c>
      <c r="DJ132">
        <f t="shared" si="288"/>
        <v>1</v>
      </c>
      <c r="DK132">
        <f>IF(ISNUMBER(AL132),AL132,К_прокл)</f>
        <v>1</v>
      </c>
      <c r="DL132">
        <f t="shared" si="289"/>
        <v>2</v>
      </c>
      <c r="DM132">
        <f>IFERROR(N(VLOOKUP(BT132,Кабель_обозначение,3,FALSE)),1)</f>
        <v>1</v>
      </c>
      <c r="DN132">
        <f>IFERROR(N(_xlfn.XLOOKUP(A132,Щиты[Щит],Щиты[ΔU до шин, %])),0)</f>
        <v>1.1399999999999999</v>
      </c>
      <c r="DO132" t="str">
        <f>IFERROR(_xlfn.XLOOKUP(A132,Щиты[Щит],Щиты[Zпетли на шинах, Ом]),"")</f>
        <v/>
      </c>
      <c r="DP132">
        <f>IFERROR(N(_xlfn.XLOOKUP(A132,Щиты[Щит],Щиты[ΔU до шин (подбор), %])),0)</f>
        <v>1.82</v>
      </c>
      <c r="DQ132" t="str">
        <f>IFERROR(_xlfn.XLOOKUP(A132,Щиты[Щит],Щиты[Zпетли на шинах (подбор), Ом]),"")</f>
        <v/>
      </c>
      <c r="DR132" t="str">
        <f t="shared" si="290"/>
        <v/>
      </c>
      <c r="DS132">
        <f t="shared" si="291"/>
        <v>20</v>
      </c>
      <c r="DT132">
        <f t="shared" si="292"/>
        <v>2</v>
      </c>
      <c r="DU132">
        <f t="shared" si="293"/>
        <v>0.6</v>
      </c>
      <c r="DV132" s="6">
        <f>IF(B132="","",IF(IFERROR(VLOOKUP(AX132,УГО_спр,2,FALSE),"")="Светильник",3,4)+IF(Методика="нормы 2026",MIN(0.5,MAX(0,N(Q132)-100)*0.005),0))</f>
        <v>4</v>
      </c>
      <c r="DW132" cm="1">
        <f t="array" ref="DW132">IF(OR(B132="",BT132="",DM132&lt;&gt;1),"",_xlfn.LET(_xlpm.sz,Iдоп_S,_xlpm.t_,CHOOSE(DL132,Iдоп_1ж,Iдоп_2ж,Iдоп_3ж)*DJ132*DK132,_xlpm.inn,N(DD132),_xlpm.smin,MAX(1.5,BW132),_xlpm.L_,N(Q132)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132)*(_xlpm.rho*_xlpm.L_/_xlpm.sz*N(BY132)+_xlpm.xx*_xlpm.L_*N(DU132)/1000)*N(P132)/((Uн_лин/SQRT(3))*1000)*100,999),_xlpm.kz,IF(OR(DG132=1,NOT(ISNUMBER(DQ132)),_xlpm.L_=0,_xlpm.inn=0),1,IFERROR(--(c_min*(Uн_лин*1000/SQRT(3))/(DQ132+2*ρкз_Cu*_xlpm.L_/_xlpm.sz)&gt;=GY132*_xlpm.inn),0)),_xlpm.ok,IFERROR((_xlpm.sz&gt;=_xlpm.smin)*(_xlpm.t_&gt;=_xlpm.inn)*IF(_xlpm.L_&gt;0,(_xlpm.du_+DP132&lt;=DV132+0.00001),1)*_xlpm.kz,0),_xlpm.r_,_xlfn._xlws.FILTER(_xlpm.sz,_xlpm.ok,"не подобрано"),INDEX(_xlpm.r_,1)))</f>
        <v>1.5</v>
      </c>
      <c r="DX132">
        <f t="shared" si="294"/>
        <v>1.5</v>
      </c>
      <c r="DY132" cm="1">
        <f t="array" ref="DY132">IF(OR(B132="",BT132="",DM132&lt;&gt;1),"",_xlfn.LET(_xlpm.sz,Iдоп_S,_xlpm.t_,CHOOSE(DL132,Iдоп_1ж,Iдоп_2ж,Iдоп_3ж)*DJ132*DK132,_xlpm.ok,IFERROR((_xlpm.sz&gt;=MAX(1.5,BW132))*(_xlpm.t_&gt;=N(DD132)),0),_xlpm.r_,_xlfn._xlws.FILTER(_xlpm.sz,_xlpm.ok,""),INDEX(_xlpm.r_,1)))</f>
        <v>1.5</v>
      </c>
      <c r="DZ132" s="6" cm="1">
        <f t="array" ref="DZ132">IFERROR(ROUNDUP(N(DT132)*(_xlfn.XLOOKUP(DY132,INDEX(Кабель_сопротивление,0,1),INDEX(Кабель_сопротивление,0,3))*N(Q132)/DY132*N(BY132)+_xlfn.XLOOKUP(DY132,INDEX(Кабель_сопротивление,0,1),INDEX(Кабель_сопротивление,0,2))*N(Q132)*N(DU132)/1000)*N(P132)/((Uн_лин/SQRT(3))*1000)*100,2),"")</f>
        <v>0.57999999999999996</v>
      </c>
      <c r="EA132">
        <f>IFERROR(2*ρкз_Cu*N(Q132)/DY132,"")</f>
        <v>0.77146666666666663</v>
      </c>
      <c r="EB132">
        <f>IFERROR(VLOOKUP(DX132,Кабель_сопротивление,3,FALSE),"")</f>
        <v>2.2499999999999999E-2</v>
      </c>
      <c r="EC132">
        <f>IFERROR(VLOOKUP(DX132,Кабель_сопротивление,2,FALSE),"")</f>
        <v>0.11</v>
      </c>
      <c r="ED132">
        <f t="shared" si="295"/>
        <v>18</v>
      </c>
      <c r="EE132">
        <f t="shared" si="296"/>
        <v>0</v>
      </c>
      <c r="EF132">
        <f t="shared" si="297"/>
        <v>1.3247306112345414</v>
      </c>
      <c r="EG132" s="6">
        <f>IFERROR(ROUNDUP(EF132/((Uн_лин/SQRT(3))*1000)*100,2),"")</f>
        <v>0.57999999999999996</v>
      </c>
      <c r="EH132" t="str">
        <f>IFERROR(VLOOKUP(BT132,Кабель_обозначение,2,FALSE),"")</f>
        <v>ВВГнг(А)-LS</v>
      </c>
      <c r="EI132" t="str">
        <f t="shared" si="298"/>
        <v>ВВГнг(А)-LS (3х1,5)</v>
      </c>
      <c r="EJ132" t="str">
        <f t="shared" si="299"/>
        <v>ВВГнг(А)-LS (3х1,5)
L=22-0,58%</v>
      </c>
      <c r="EK132">
        <f>IFERROR(2*ρкз_Cu*Q132/DX132,"")</f>
        <v>0.77146666666666663</v>
      </c>
      <c r="EL132">
        <f t="shared" si="300"/>
        <v>0.25666666666666665</v>
      </c>
      <c r="EM132" s="6" t="str">
        <f>IFERROR(IF(OR(B132="",NOT(ISNUMBER(DX132)),N(Q132)=0),"",_xlfn.XLOOKUP(A132,Щиты[Щит],Щиты[Zпетли на шинах, Ом])+EK132),"")</f>
        <v/>
      </c>
      <c r="EN132" s="6" t="str">
        <f>IF(ISNUMBER(EM132),c_min*(Uн_лин*1000/SQRT(3))/EM132,"")</f>
        <v/>
      </c>
      <c r="EO132" s="6" t="str">
        <f>IFERROR(IF(OR(B132="",NOT(ISNUMBER(DX132))),"",1.05*(Uн_лин*1000/SQRT(3))/(_xlfn.XLOOKUP(A132,Щиты[Щит],Щиты[Zmax на шинах, Ом])+EL132)/1000),"")</f>
        <v/>
      </c>
      <c r="EP132" s="6" t="str">
        <f>IF(B132="","",IF(ISNUMBER(Y132),"Сил",IF(IFERROR(_xlfn.XLOOKUP(AX132,Коды_код,Коды_группа)&amp;"","")="","Быт",_xlfn.XLOOKUP(AX132,Коды_код,Коды_группа)&amp;"")))</f>
        <v>Сил</v>
      </c>
      <c r="EQ132" s="6" t="str">
        <f t="shared" si="301"/>
        <v>Сил</v>
      </c>
      <c r="ER132" s="6">
        <f>IF(EQ132="Щит","щит",IF(EQ132="","",IF(EQ132="Быт",IFERROR(_xlfn.XLOOKUP(A132,Щиты[Щит],Щиты[Кс быт]),1),IF(EQ132="Сил",IF(ISNUMBER(Y132),Y132,IF(Методика="нормы 2026",IFERROR(_xlfn.XLOOKUP(A132,Щиты[Щит],Щиты[Кс силовых (табл. 7.5)]),1),1)),IF(OR(EQ132="Пост",EQ132="Отоп"),1,IF(EQ132="ВНГ",0.7,0))))))</f>
        <v>0.5</v>
      </c>
      <c r="ES132">
        <f t="shared" si="302"/>
        <v>1</v>
      </c>
      <c r="ET132">
        <f t="shared" si="303"/>
        <v>0.46100000000000002</v>
      </c>
      <c r="EU132">
        <f t="shared" si="304"/>
        <v>0</v>
      </c>
      <c r="EV132">
        <f t="shared" si="305"/>
        <v>0.23050000000000001</v>
      </c>
      <c r="EW132">
        <f t="shared" si="306"/>
        <v>0</v>
      </c>
      <c r="EX132">
        <f t="shared" si="307"/>
        <v>0</v>
      </c>
      <c r="EY132">
        <f t="shared" si="308"/>
        <v>0</v>
      </c>
      <c r="EZ132">
        <f t="shared" si="309"/>
        <v>0.46100000000000002</v>
      </c>
      <c r="FA132">
        <f t="shared" si="310"/>
        <v>0.36880000000000002</v>
      </c>
      <c r="FB132">
        <f t="shared" si="311"/>
        <v>0.46100000000000002</v>
      </c>
      <c r="FC132" t="str">
        <f t="shared" si="312"/>
        <v/>
      </c>
      <c r="FD132" t="str">
        <f>IF(B132="","",IF(CA132=0,IF(AW132=1,"",FF131),IF(OR(N(CV132)&gt;=3,N(BR132)&gt;=3),"L1,L2,L3",IFERROR(_xlfn.TEXTBEFORE(_xlfn.TEXTAFTER(_xlfn.XLOOKUP(A132,Щиты[Щит],Щиты[_фазы авто]),";"&amp;AW132&amp;":"),";"),"L1"))))</f>
        <v>L1</v>
      </c>
      <c r="FE132" t="str">
        <f t="shared" si="313"/>
        <v>L1</v>
      </c>
      <c r="FF132" t="str">
        <f t="shared" si="314"/>
        <v>L1</v>
      </c>
      <c r="FG132" cm="1">
        <f t="array" ref="FG132">IFERROR(IF(BX132=2,_xlfn.IFS(BR132=3,VLOOKUP(BN132,Справочная_двигатели,3,FALSE),BR132=1,VLOOKUP(BN132,Справочная_двигатели,5,TRUE)),0),0)</f>
        <v>0</v>
      </c>
      <c r="FH132">
        <f>IFERROR(IF(BX132=3,VLOOKUP(BN132,Справочная_ЛЭД,2,TRUE),0),0)</f>
        <v>0</v>
      </c>
      <c r="FI132" s="6">
        <f t="shared" si="315"/>
        <v>0</v>
      </c>
      <c r="FJ132" t="str" cm="1">
        <f t="array" ref="FJ132">IF(B132="","",IFERROR(INDEX({"I особая","I","II","III"},MATCH(TRIM(AC132&amp;""),{"I особая","I","II","III"},0)),"III"))</f>
        <v>II</v>
      </c>
      <c r="FK132" t="str">
        <f>IF(B132="","",IF(TRIM(AD132&amp;"")&lt;&gt;"",IF(LOWER(TRIM(AD132&amp;""))="да","да","нет"),IF(IFERROR(_xlfn.XLOOKUP(AX132,Коды_код,Коды_пожарная),"")="да","да","нет")))</f>
        <v>нет</v>
      </c>
      <c r="FL132" t="str">
        <f t="shared" si="316"/>
        <v/>
      </c>
      <c r="FM132" t="str">
        <f t="shared" si="317"/>
        <v>основная</v>
      </c>
      <c r="FN132">
        <f t="shared" si="318"/>
        <v>1</v>
      </c>
      <c r="FO132" t="str" cm="1">
        <f t="array" ref="FO132">IF(B132="","",_xlfn.LET(_xlpm.t,IFERROR(_xlfn.XLOOKUP(1,(Шины[Шина]=FM132)*(((Шины[Щит]=A132)+(Шины[Щит]=""))&gt;0),Шины[Тип]),"")&amp;"",IF(_xlpm.t&lt;&gt;"",_xlpm.t,IF(ISNUMBER(SEARCH("ИБП",FM132)),"ИБП",IF(ISNUMBER(SEARCH("ДГУ",FM132)),"ДГУ","Ввод "&amp;FN132)))))</f>
        <v>Ввод 1</v>
      </c>
      <c r="FP132" t="str">
        <f t="shared" si="319"/>
        <v>Ввод 1</v>
      </c>
      <c r="FQ132" t="str">
        <f>IF(B132="","",IF(OR(FO132="ИБП",FO132="ДГУ"),"I особая",IF(FO132="Одиночная","III",_xlfn.XLOOKUP(A132,Щиты[Щит],Щиты[Категория шины «Ввод»],"III"))))</f>
        <v>II</v>
      </c>
      <c r="FR132">
        <f>IF(B132="",0,IFERROR(MATCH(FJ132,{"III","II","I","I особая"},0),1))</f>
        <v>2</v>
      </c>
      <c r="FS132">
        <f t="shared" si="320"/>
        <v>2</v>
      </c>
      <c r="FT132" t="str">
        <f>IF(B132="","",IF(FR132&gt;IFERROR(MATCH(FQ132,{"III","II","I","I особая"},0),1),"НЕ ОБЕСПЕЧЕНА","ОК"))</f>
        <v>ОК</v>
      </c>
      <c r="FU132" t="str">
        <f>IF(A132="","",_xlfn.XLOOKUP(A132,Щиты[Щит],Щиты[Путь],""))</f>
        <v>|ГРЩ-ЖД|ЩОВ-2|</v>
      </c>
      <c r="FV132" t="str">
        <f>IF(B132="","",IF(AE132&lt;&gt;"",AE132,IF(IFERROR(_xlfn.XLOOKUP(AX132,Коды_код,Коды_вид)&amp;"","")="","Прочее",_xlfn.XLOOKUP(AX132,Коды_код,Коды_вид)&amp;"")))</f>
        <v>Кондиционирование и увлажнение</v>
      </c>
      <c r="FW132">
        <f>IF(BH132="","",INT((BH132-1)/Столбцов_на_лист)+1)</f>
        <v>2</v>
      </c>
      <c r="FX132" t="str">
        <f t="shared" si="321"/>
        <v>ВВГнг(А)-LS (3х1,5) L=22-0,58%</v>
      </c>
      <c r="FY132">
        <f t="shared" si="322"/>
        <v>0.46100000000000002</v>
      </c>
      <c r="FZ132">
        <f t="shared" si="323"/>
        <v>2.5</v>
      </c>
      <c r="GA132">
        <f t="shared" si="324"/>
        <v>1</v>
      </c>
      <c r="GB132">
        <f t="shared" si="325"/>
        <v>0</v>
      </c>
      <c r="GC132">
        <f t="shared" si="326"/>
        <v>1</v>
      </c>
      <c r="GD132">
        <f>IF(BH132="","",IF(AND(CA132=1,GC132=1),COUNTIFS(A$3:A132,A132,CA$3:CA132,1,GC$3:GC132,1),IF(OR(OR(AW132=1,A132&lt;&gt;A131),AF132="вручную",GC132=0),"",IF(AW132=1,"",GE131))))</f>
        <v>2</v>
      </c>
      <c r="GE132">
        <f t="shared" si="327"/>
        <v>2</v>
      </c>
      <c r="GF132">
        <f>IF(B132="","",IFERROR(LOOKUP(INDEX(CHOOSE(DL132,Iдоп_1ж,Iдоп_2ж,Iдоп_3ж),MATCH(DX132,Iдоп_S,0))*DJ132*DK132,{6,10,16,20,25,32,40,50,63,80,100,125,160,200,250,315,400,500,630}),""))</f>
        <v>16</v>
      </c>
      <c r="GG132" t="str">
        <f t="shared" si="328"/>
        <v>QF2</v>
      </c>
      <c r="GH132" t="str">
        <f t="shared" si="329"/>
        <v>QF2</v>
      </c>
      <c r="GI132" t="str">
        <f t="shared" si="330"/>
        <v/>
      </c>
      <c r="GJ132">
        <f t="shared" si="331"/>
        <v>0</v>
      </c>
      <c r="GK132" t="str">
        <f>IF(OR(AG132="",AG132="-"),"",IFERROR(VLOOKUP(AG132,Модули_спр,2,FALSE),"R"))</f>
        <v/>
      </c>
      <c r="GL132" t="str">
        <f>IF(GK132="","",GK132&amp;"."&amp;COUNTIFS(A$3:A132,A132,GK$3:GK132,GK132))</f>
        <v/>
      </c>
      <c r="GM132" t="str">
        <f t="shared" si="332"/>
        <v/>
      </c>
      <c r="GN132" t="str">
        <f t="shared" si="333"/>
        <v/>
      </c>
      <c r="GO132" t="str">
        <f t="shared" si="334"/>
        <v/>
      </c>
      <c r="GP132" t="str">
        <f t="shared" si="335"/>
        <v/>
      </c>
      <c r="GQ132">
        <f t="shared" si="336"/>
        <v>1</v>
      </c>
      <c r="GR132" t="str">
        <f>IF(GQ132=1,"XT"&amp;COUNTIFS(A$3:A132,A132,GQ$3:GQ132,1),"")</f>
        <v>XT2</v>
      </c>
      <c r="GS132" t="str">
        <f t="shared" si="337"/>
        <v>XT2</v>
      </c>
      <c r="GT132" t="str">
        <f t="shared" si="338"/>
        <v>QF2</v>
      </c>
      <c r="GU132" t="str">
        <f t="shared" si="339"/>
        <v/>
      </c>
      <c r="GV132" t="str">
        <f t="shared" si="340"/>
        <v>ok</v>
      </c>
      <c r="GW132" t="str">
        <f>IF(OR(GO132="",GM132=""),"",IF(GO132&gt;IFERROR(VLOOKUP(GN132,Модули_спр,3,FALSE),99),"ЛИШНИЙ КАНАЛ",IF(AND(AH132&lt;&gt;"=",COUNTIFS(Линии[_модуль гр.],GM132,Линии[Канал (итог)],GO132,Линии[Канал],"&lt;&gt;=",Линии[Щит],A132)&gt;1),"ДУБЛЬ КАНАЛА","")))</f>
        <v/>
      </c>
      <c r="GX132" s="6" t="str">
        <f t="shared" si="341"/>
        <v/>
      </c>
      <c r="GY132">
        <f t="shared" si="342"/>
        <v>10</v>
      </c>
      <c r="GZ132" t="str">
        <f t="shared" si="343"/>
        <v/>
      </c>
      <c r="HA132" t="str">
        <f>IF(AND(B132="",GT132=""),"",_xlfn.TEXTJOIN("; ",TRUE,IF(AND(B132&lt;&gt;"",FE132=""),"нет фазы",""),IF(AND(B132&lt;&gt;"",N(FY132)=0,EQ132&lt;&gt;"Нет"),"нет мощности",""),IF(AND(GS132&lt;&gt;"",COUNTIFS(Линии[Щит],A132,Линии[Клемма (итог)],GS132)&gt;1),"дубль клеммы "&amp;GS132,""),IF(AND(GV132&lt;&gt;"",GV132&lt;&gt;"ok"),GV132,""),IF(GW132&lt;&gt;"",GW132,""),IF(AND(N(BV132)&gt;=4,N(BR132)=1),BV132&amp;" жил на 1 фазе",""),IF(AND(AX132="R",CA132=1,OR(N(CK132)=0,N(CK132)&gt;30)),"розетка без дифзащиты до 30 мА",""),IFERROR(IF(AND(ISNUMBER(R132),R132&gt;DV132),"потери "&amp;FIXED(R132,1)&amp;" % &gt; "&amp;DV132&amp;" %",""),""),IFERROR(IF(LEFT(GZ132,4)="мало","Iкз мало — отключение &gt; 0,4 с",""),""),IF(AND(B132&lt;&gt;"",BH132=""),"не на схеме",""),IF(AND(CA132=0,B132&lt;&gt;"",FE132&lt;&gt;"",IF(AW132=1,"",FF131)&lt;&gt;"",FE132&lt;&gt;IF(AW132=1,"",FF131)),"фаза не как у автомата группы ("&amp;IF(AW132=1,"",FF131)&amp;")","")))</f>
        <v/>
      </c>
      <c r="HB132" s="6" t="str">
        <f>IF(OR(CA132=0,DA132=""),"",_xlfn.LET(_xlpm.t,IFERROR(_xlfn.XLOOKUP(DA132,Каталог!$U$4:$U$500,Каталог!$G$4:$G$500),""),_xlpm.k,SEARCH("кА",_xlpm.t),IFERROR(--TRIM(RIGHT(SUBSTITUTE(MID(_xlpm.t,MAX(1,_xlpm.k-4),_xlpm.k-MAX(1,_xlpm.k-4))," ",REPT(" ",9)),5)),"")))</f>
        <v/>
      </c>
      <c r="HC132" t="str">
        <f>IF(OR(HB132="",CA132=0),"",IF(_xlfn.XLOOKUP(A132,Щиты[Щит],Щиты[Iкз max на шинах, кА],"")="","",IF(HB132&lt;_xlfn.XLOOKUP(A132,Щиты[Щит],Щиты[Iкз max на шинах, кА]),"Icu "&amp;HB132&amp;" кА &lt; Iкз max","ok")))</f>
        <v/>
      </c>
      <c r="HD132" t="str">
        <f t="shared" si="344"/>
        <v/>
      </c>
      <c r="HE132" t="str">
        <f t="shared" si="345"/>
        <v>QF2|XT2</v>
      </c>
      <c r="HF132" t="str">
        <f t="shared" si="346"/>
        <v>QF2|XT2|кабель ВВГнг(А)-LS (3х1,5) → Внутренний блок кондиционирования Технический этаж Пом. №001Т</v>
      </c>
      <c r="HG132" t="str" cm="1">
        <f t="array" ref="HG132">IF(HF132="","",_xlfn.LET(_xlpm.nd,_xlfn.TEXTSPLIT(HF132,"|"),IF(COLUMNS(_xlpm.nd)&gt;1,A132&amp;"¦"&amp;INDEX(_xlpm.nd,1)&amp;"¦"&amp;INDEX(_xlpm.nd,2),"")))</f>
        <v>ЩОВ-2¦QF2¦XT2</v>
      </c>
      <c r="HH132" t="str">
        <f t="shared" si="347"/>
        <v>K.1.001A.2¦Внутренний блок кондиционирования Технический этаж Пом. №001Т</v>
      </c>
      <c r="HI132" t="str" cm="1">
        <f t="array" ref="HI132">IF(HF132="","",_xlfn.LET(_xlpm.nd,_xlfn.TEXTSPLIT(HF132,"|"),IF(COLUMNS(_xlpm.nd)&gt;2,A132&amp;"¦"&amp;INDEX(_xlpm.nd,2)&amp;"¦"&amp;INDEX(_xlpm.nd,3),"")))</f>
        <v>ЩОВ-2¦XT2¦кабель ВВГнг(А)-LS (3х1,5) → Внутренний блок кондиционирования Технический этаж Пом. №001Т</v>
      </c>
      <c r="HJ132" t="str">
        <f t="shared" si="348"/>
        <v>K.1.001A.2¦Внутренний блок кондиционирования Технический этаж Пом. №001Т</v>
      </c>
      <c r="HK132" t="str" cm="1">
        <f t="array" ref="HK132">IF(HF132="","",_xlfn.LET(_xlpm.nd,_xlfn.TEXTSPLIT(HF132,"|"),IF(COLUMNS(_xlpm.nd)&gt;3,A132&amp;"¦"&amp;INDEX(_xlpm.nd,3)&amp;"¦"&amp;INDEX(_xlpm.nd,4),"")))</f>
        <v/>
      </c>
      <c r="HL132" t="str">
        <f t="shared" si="349"/>
        <v/>
      </c>
      <c r="HM132" t="str" cm="1">
        <f t="array" ref="HM132">IF(HF132="","",_xlfn.LET(_xlpm.nd,_xlfn.TEXTSPLIT(HF132,"|"),IF(COLUMNS(_xlpm.nd)&gt;4,A132&amp;"¦"&amp;INDEX(_xlpm.nd,4)&amp;"¦"&amp;INDEX(_xlpm.nd,5),"")))</f>
        <v/>
      </c>
      <c r="HN132" t="str">
        <f t="shared" si="350"/>
        <v/>
      </c>
      <c r="HO132" t="str" cm="1">
        <f t="array" ref="HO132">IF(HF132="","",_xlfn.LET(_xlpm.nd,_xlfn.TEXTSPLIT(HF132,"|"),IF(COLUMNS(_xlpm.nd)&gt;5,A132&amp;"¦"&amp;INDEX(_xlpm.nd,5)&amp;"¦"&amp;INDEX(_xlpm.nd,6),"")))</f>
        <v/>
      </c>
      <c r="HP132" t="str">
        <f t="shared" si="351"/>
        <v/>
      </c>
      <c r="HQ132" t="str" cm="1">
        <f t="array" ref="HQ132">IF(HF132="","",_xlfn.LET(_xlpm.nd,_xlfn.TEXTSPLIT(HF132,"|"),IF(COLUMNS(_xlpm.nd)&gt;6,A132&amp;"¦"&amp;INDEX(_xlpm.nd,6)&amp;"¦"&amp;INDEX(_xlpm.nd,7),"")))</f>
        <v/>
      </c>
      <c r="HR132" t="str">
        <f t="shared" si="352"/>
        <v/>
      </c>
      <c r="HS132" t="str">
        <f t="shared" si="353"/>
        <v/>
      </c>
      <c r="HT132" t="str">
        <f t="shared" si="354"/>
        <v>QF2 → XT2</v>
      </c>
      <c r="HU132">
        <f t="shared" si="355"/>
        <v>0</v>
      </c>
      <c r="HV132">
        <f t="shared" si="356"/>
        <v>0</v>
      </c>
      <c r="HW132" t="str">
        <f t="shared" si="357"/>
        <v/>
      </c>
      <c r="HX132" t="str">
        <f t="shared" si="358"/>
        <v/>
      </c>
      <c r="HY132" t="str">
        <f t="shared" si="359"/>
        <v/>
      </c>
      <c r="HZ132" t="str">
        <f t="shared" si="360"/>
        <v/>
      </c>
      <c r="IA132">
        <f>IF(B132="","",IFERROR(VLOOKUP(B132,УГО_спр,2,FALSE),IFERROR(VLOOKUP(AX132,УГО_спр,2,FALSE),IFERROR(VLOOKUP(LEFT(AX132,2),УГО_спр,2,FALSE),""))))</f>
        <v>0</v>
      </c>
      <c r="IB132" t="str">
        <f>IF(B132="","",IF(OR(IA132="",IA132=0),"BOX",IFERROR(IF(VLOOKUP(IA132,УГО_блоки,3,FALSE)&amp;""&lt;&gt;"",VLOOKUP(IA132,УГО_блоки,3,FALSE),VLOOKUP(IA132,УГО_блоки,2,FALSE)),IA132)))</f>
        <v>BOX</v>
      </c>
      <c r="IC132">
        <f t="shared" si="361"/>
        <v>1</v>
      </c>
      <c r="ID132" t="str">
        <f>IF(DA132="","",IF(COUNTIF(DA$3:DA132,DA132)=1,MAX(ID$2:ID131)+1,""))</f>
        <v/>
      </c>
      <c r="IE132" t="str">
        <f>IF(CO132="","",IF(COUNTIF(CO$3:CO132,CO132)+COUNTIF(CP$2:CP131,CO132)+COUNTIF(CQ$2:CQ131,CO132)=1,MAX(IE$2:IG131)+1,""))</f>
        <v/>
      </c>
      <c r="IF132" t="str">
        <f>IF(CP132="","",IF(COUNTIF(CO$3:CO132,CP132)+COUNTIF(CP$3:CP132,CP132)+COUNTIF(CQ$2:CQ131,CP132)=1,MAX(IE$2:IG131,IE132)+1,""))</f>
        <v/>
      </c>
      <c r="IG132" t="str">
        <f>IF(CQ132="","",IF(COUNTIF(CO$3:CO132,CQ132)+COUNTIF(CP$3:CP132,CQ132)+COUNTIF(CQ$3:CQ132,CQ132)=1,MAX(IE$2:IG131,IE132,IF132)+1,""))</f>
        <v/>
      </c>
      <c r="IH132" t="str">
        <f t="shared" si="362"/>
        <v>3х1,5</v>
      </c>
      <c r="II132" t="str">
        <f>IF(IH132="","",IF(COUNTIF(IH$3:IH132,IH132)=1,MAX(II$2:II131)+1,""))</f>
        <v/>
      </c>
      <c r="IJ132" t="str">
        <f>IF(GL132="","",COUNTIF(GL$3:GL132,"?*"))</f>
        <v/>
      </c>
      <c r="IK132" t="str">
        <f>IF(OR(GL132="",GN132=""),"",IF(COUNTIFS(GL$3:GL132,"?*",GN$3:GN132,GN132)=1,MAX(IK$2:IK131)+1,""))</f>
        <v/>
      </c>
      <c r="IL132">
        <f t="shared" si="363"/>
        <v>0</v>
      </c>
      <c r="IM132">
        <f>IF(B132="","",COUNTIF(B$3:B132,"?*"))</f>
        <v>130</v>
      </c>
      <c r="IN132">
        <f>IF(GQ132&lt;&gt;1,0,_xlfn.LET(_xlpm.k,MAX(IFERROR(--VLOOKUP(B132,УГО_спр,5,FALSE),0),IFERROR(--VLOOKUP(AX132,УГО_спр,5,FALSE),0),IFERROR(--VLOOKUP(LEFT(AX132,2),УГО_спр,5,FALSE),0)),IF(_xlpm.k&gt;0,_xlpm.k,IF(IFERROR(--LEFT(SUBSTITUTE(IH132,"x","х"),FIND("х",SUBSTITUTE(IH132,"x","х"))-1),3)&gt;3,Каталог!$S$9,1))))</f>
        <v>1</v>
      </c>
      <c r="IO132">
        <f t="shared" si="364"/>
        <v>0</v>
      </c>
      <c r="IP132" t="str">
        <f t="shared" si="365"/>
        <v>авто</v>
      </c>
      <c r="IQ132" t="str">
        <f t="shared" si="366"/>
        <v/>
      </c>
      <c r="IR132">
        <f t="shared" si="367"/>
        <v>0</v>
      </c>
      <c r="IS132">
        <f t="shared" si="368"/>
        <v>1</v>
      </c>
    </row>
    <row r="133" spans="1:253" x14ac:dyDescent="0.3">
      <c r="A133" t="s">
        <v>753</v>
      </c>
      <c r="B133" t="s">
        <v>1401</v>
      </c>
      <c r="C133" t="s">
        <v>1644</v>
      </c>
      <c r="D133">
        <v>1</v>
      </c>
      <c r="E133">
        <v>0.376</v>
      </c>
      <c r="G133" t="str">
        <f>Линии[[#This Row],[_авто автомат]]</f>
        <v>1P С6А</v>
      </c>
      <c r="H133" t="str">
        <f>Линии[[#This Row],[_авто утечка]]</f>
        <v/>
      </c>
      <c r="I133" t="str">
        <f>Линии[[#This Row],[_авто управление]]</f>
        <v/>
      </c>
      <c r="J133" t="str">
        <f>Линии[[#This Row],[_авто аппараты]]</f>
        <v/>
      </c>
      <c r="K133">
        <v>1.5</v>
      </c>
      <c r="L133">
        <v>24</v>
      </c>
      <c r="M133" t="str">
        <f>Линии[[#This Row],[_авто фаза]]</f>
        <v>L2</v>
      </c>
      <c r="N133" t="str">
        <f>Линии[[#This Row],[_авто клемма]]</f>
        <v>XT3</v>
      </c>
      <c r="O133" t="str">
        <f t="shared" si="246"/>
        <v/>
      </c>
      <c r="P133" s="6" cm="1">
        <f t="array" ref="P133">IF(B133="","",IF(BC133&lt;&gt;"",IFERROR(_xlfn.XLOOKUP(BC133,Щиты[Щит],Щиты[Iр, А]),""),IF(BK133=1,IFERROR(_xlfn.XLOOKUP(A133,Щиты[Щит],Щиты[Iр, А]),""),IFERROR(_xlfn.IFS(BR133=1,BN133/((Uн_лин/SQRT(3))*BY133),BR133=3,BN133/(SQRT(3)*Uн_лин*BY133)),""))))</f>
        <v>2.0351596988934304</v>
      </c>
      <c r="Q133" s="7">
        <f>IF(B133="","",IFERROR(IF(VLOOKUP(AX133,Потребители_обозначение,4,FALSE)=1,VLOOKUP(AX133,Потребители_обозначение,3,FALSE)*(D133*2-1)+DS133+VLOOKUP(AZ133,Этаж_обозначение,3,FALSE)+VLOOKUP(AZ133,Этаж_обозначение,4,FALSE),VLOOKUP(AX133,Потребители_обозначение,3,FALSE)*(D133*2-1)+DS133),DS133))</f>
        <v>26</v>
      </c>
      <c r="R133" s="6">
        <f t="shared" si="247"/>
        <v>1.7</v>
      </c>
      <c r="S133" t="str">
        <f t="shared" si="248"/>
        <v>ВВГнг(А)-LS (3х1,5)</v>
      </c>
      <c r="T133" t="str">
        <f>IF(BH133="","",IF(BI133="вводной узел","узел ","")&amp;"л."&amp;(INT((BH133-1)/Столбцов_на_лист)+1)&amp;" / "&amp;(MOD(BH133-1,Столбцов_на_лист)+1))</f>
        <v>л.2 / 3</v>
      </c>
      <c r="V133">
        <v>1</v>
      </c>
      <c r="W133">
        <v>230</v>
      </c>
      <c r="X133" t="s">
        <v>600</v>
      </c>
      <c r="Y133">
        <v>0.5</v>
      </c>
      <c r="AC133" t="s">
        <v>815</v>
      </c>
      <c r="AE133" t="s">
        <v>578</v>
      </c>
      <c r="AI133">
        <v>20</v>
      </c>
      <c r="AJ133" t="s">
        <v>11</v>
      </c>
      <c r="AK133">
        <v>3</v>
      </c>
      <c r="AM133">
        <v>12</v>
      </c>
      <c r="AN133">
        <v>14</v>
      </c>
      <c r="AP133">
        <v>1</v>
      </c>
      <c r="AW133" cm="1">
        <f t="array" ref="AW133">ROW()-ROW(Линии[#Headers])</f>
        <v>131</v>
      </c>
      <c r="AX133" s="6" t="str">
        <f t="shared" si="249"/>
        <v>K</v>
      </c>
      <c r="AY133" t="str">
        <f t="shared" si="250"/>
        <v>1.003A</v>
      </c>
      <c r="AZ133" t="str">
        <f t="shared" si="251"/>
        <v>1</v>
      </c>
      <c r="BA133" t="str">
        <f t="shared" si="252"/>
        <v>003A</v>
      </c>
      <c r="BB133" t="str">
        <f t="shared" si="253"/>
        <v>003A</v>
      </c>
      <c r="BC133" t="str">
        <f>IF(U133&lt;&gt;"",U133,IF(AND(B133&lt;&gt;"",B133&lt;&gt;A133,ISNUMBER(_xlfn.XMATCH(B133,Щиты[Щит]))),B133,""))</f>
        <v/>
      </c>
      <c r="BD133" t="str" cm="1">
        <f t="array" ref="BD133">IF(B133="","",IF(BC133&lt;&gt;"","Щит "&amp;BC133,_xlfn.LET(_xlpm.nm,IFERROR(_xlfn.XLOOKUP(AX133,Коды_код,Коды_имя)&amp;"",""),_xlpm.md,IFERROR(N(_xlfn.XLOOKUP(AX133,Коды_код,Коды_режим)),1),_xlpm.ex,IF(Имя_режим="по экспликации",IFERROR(_xlfn.XLOOKUP(AZ133&amp;"|"&amp;BB133,Экспликация[Этаж]&amp;"|"&amp;Экспликация[Помещение],Экспликация[Название])&amp;"",""),""),_xlpm.rm,IF(BB133="","",IF(_xlpm.ex&lt;&gt;"",". "&amp;_xlpm.ex&amp;IF(Имя_пом="нет"," ("&amp;BB133&amp;")"," (пом. "&amp;BB133&amp;")"),IF(Имя_пом="нет"," ",", пом. ")&amp;BB133)),IF(_xlpm.nm="","",IF(_xlpm.md=2,_xlpm.nm&amp;" шлейф "&amp;AZ133,_xlpm.nm&amp;_xlpm.rm)))))</f>
        <v>Внутренний блок кондиционирования, пом. 003A</v>
      </c>
      <c r="BE133" t="str">
        <f t="shared" si="254"/>
        <v>Внутренний блок кондиционирования Технический этаж Пом. №002Т</v>
      </c>
      <c r="BF133">
        <f>IFERROR(_xlfn.XMATCH(A133,Щиты[Щит]),0)</f>
        <v>7</v>
      </c>
      <c r="BG133">
        <f>_xlfn.LET(_xlpm.k,IFERROR(_xlfn.XLOOKUP(A133,Щиты[Щит],Щиты[Листов под вводной узел]),""),IF(_xlpm.k="",1,N(_xlpm.k))*Столбцов_на_лист)</f>
        <v>17</v>
      </c>
      <c r="BH133">
        <f t="shared" si="255"/>
        <v>20</v>
      </c>
      <c r="BI133" t="str">
        <f t="shared" si="256"/>
        <v>линии</v>
      </c>
      <c r="BJ133" s="6">
        <f>IFERROR(N(_xlfn.XLOOKUP(AX133,Коды_код,Коды_квт)),0)</f>
        <v>0</v>
      </c>
      <c r="BK133">
        <f t="shared" si="257"/>
        <v>0</v>
      </c>
      <c r="BL133" t="str">
        <f>IF(B133="","",IF(BC133&lt;&gt;"",IFERROR(_xlfn.XLOOKUP(BC133,Щиты[Щит],Щиты[Руст, кВт]),0),IF(BK133=1,IFERROR(_xlfn.XLOOKUP(A133,Щиты[Щит],Щиты[Руст, кВт]),0),IF(BJ133&gt;0,ROUND(BJ133*MAX(1,N(D133)),3),""))))</f>
        <v/>
      </c>
      <c r="BM133">
        <f t="shared" si="258"/>
        <v>0.376</v>
      </c>
      <c r="BN133" s="6">
        <f>IF(B133="","",IF(BC133&lt;&gt;"",IFERROR(_xlfn.XLOOKUP(BC133,Щиты[Щит],Щиты[Руст, кВт]),0),N(BM133)))</f>
        <v>0.376</v>
      </c>
      <c r="BO133" t="str">
        <f>IF(B133="","",IFERROR(IF(VLOOKUP(AX133,Потребители_обозначение,8,FALSE)=0,"",VLOOKUP(AX133,Потребители_обозначение,8,FALSE)),""))</f>
        <v/>
      </c>
      <c r="BP133">
        <f t="shared" si="259"/>
        <v>230</v>
      </c>
      <c r="BQ133">
        <f>IF(B133="","",IF(BC133&lt;&gt;"",3,IFERROR(IF(N(VLOOKUP(AX133,Потребители_обозначение,9,FALSE))=0,1,VLOOKUP(AX133,Потребители_обозначение,9,FALSE)),1)))</f>
        <v>1</v>
      </c>
      <c r="BR133">
        <f t="shared" si="260"/>
        <v>1</v>
      </c>
      <c r="BS133" t="str">
        <f>IF(B133="","",_xlfn.LET(_xlpm.bc,IFERROR(IF(VLOOKUP(AX133,Потребители_обозначение,6,FALSE)=0,"",VLOOKUP(AX133,Потребители_обозначение,6,FALSE)&amp;""),""),IF(AND(FK133="да",OR(_xlpm.bc="",_xlpm.bc="мс")),Марка_пож,IF(AND(_xlpm.bc="",BC133&lt;&gt;""),"мс",_xlpm.bc))))</f>
        <v/>
      </c>
      <c r="BT133" t="str">
        <f t="shared" si="261"/>
        <v>мс</v>
      </c>
      <c r="BU133">
        <f>IF(B133="","",_xlfn.LET(_xlpm.cc,IFERROR(N(VLOOKUP(AX133,Потребители_обозначение,7,FALSE)),0),IF(_xlpm.cc&gt;0,_xlpm.cc,IF(BT133="","",IF(N(BR133)=3,5,3)))))</f>
        <v>3</v>
      </c>
      <c r="BV133">
        <f t="shared" si="262"/>
        <v>3</v>
      </c>
      <c r="BW133">
        <f>IFERROR(N(VLOOKUP(AX133,Потребители_обозначение,10,FALSE)),0)</f>
        <v>0</v>
      </c>
      <c r="BX133">
        <f>IFERROR(VLOOKUP(AX133,Потребители_обозначение,5,FALSE),0)</f>
        <v>1</v>
      </c>
      <c r="BY133" s="6" cm="1">
        <f t="array" ref="BY133">IF(B133="","",IF(BC133&lt;&gt;"",IFERROR(_xlfn.XLOOKUP(BC133,Щиты[Щит],Щиты[cos φ]),0.95),IF(BK133=1,IFERROR(_xlfn.XLOOKUP(A133,Щиты[Щит],Щиты[cos φ]),0.95),IF(ISNUMBER(Z133),Z133,IFERROR(IF(BX133=2,_xlfn.IFS(BR133=3,VLOOKUP(BN133,Справочная_двигатели,8,FALSE),BR133=1,VLOOKUP(BN133,Справочная_двигатели,10,TRUE)),IF(AND(Методика="нормы 2026",EQ133="Сил"),0.8,0.95)),0.95)))))</f>
        <v>0.8</v>
      </c>
      <c r="BZ133">
        <f t="shared" si="263"/>
        <v>0</v>
      </c>
      <c r="CA133">
        <f t="shared" si="264"/>
        <v>1</v>
      </c>
      <c r="CB133">
        <f t="shared" si="265"/>
        <v>0</v>
      </c>
      <c r="CC133">
        <f t="shared" si="266"/>
        <v>0</v>
      </c>
      <c r="CD133">
        <f t="shared" si="267"/>
        <v>0</v>
      </c>
      <c r="CE133">
        <f t="shared" si="268"/>
        <v>0</v>
      </c>
      <c r="CF133">
        <f t="shared" si="269"/>
        <v>0</v>
      </c>
      <c r="CG133">
        <f>IF(AX133="",0,_xlfn.LET(_xlpm.v,IFERROR(VLOOKUP(B133,УГО_спр,3,FALSE),IFERROR(VLOOKUP(AX133,УГО_спр,3,FALSE),IFERROR(VLOOKUP(LEFT(AX133,2),УГО_спр,3,FALSE),""))),IF(_xlpm.v="да",30,IF(ISNUMBER(_xlpm.v),_xlpm.v,0))))</f>
        <v>0</v>
      </c>
      <c r="CH133" t="str">
        <f t="shared" si="270"/>
        <v/>
      </c>
      <c r="CI133" t="str">
        <f>_xlfn.LET(_xlpm.k,IFERROR(_xlfn.XLOOKUP(AX133,Коды_код,Коды_утечка)&amp;"",""),IF(_xlpm.k="","дифавтомат",_xlpm.k))</f>
        <v>дифавтомат</v>
      </c>
      <c r="CJ133">
        <f t="shared" si="271"/>
        <v>0</v>
      </c>
      <c r="CK133">
        <f t="shared" si="272"/>
        <v>0</v>
      </c>
      <c r="CL133">
        <f>IF(B133="",0,IFERROR(--VLOOKUP(B133,УГО_спр,4,FALSE),IFERROR(--VLOOKUP(AX133,УГО_спр,4,FALSE),IFERROR(--VLOOKUP(LEFT(AX133,2),УГО_спр,4,FALSE),0))))</f>
        <v>0</v>
      </c>
      <c r="CM133" t="str">
        <f>IF(B133="","",IFERROR(_xlfn.XLOOKUP(AX133,Коды_код,Коды_апп)&amp;"",""))</f>
        <v/>
      </c>
      <c r="CN133" t="str">
        <f t="shared" si="273"/>
        <v/>
      </c>
      <c r="CO133" t="str" cm="1">
        <f t="array" ref="CO133">IF(TRIM(CN133&amp;"")="","",IFERROR(TRIM(INDEX(_xlfn.TEXTSPLIT(CN133&amp;";;;",";"),1)),""))</f>
        <v/>
      </c>
      <c r="CP133" t="str" cm="1">
        <f t="array" ref="CP133">IF(TRIM(CN133&amp;"")="","",IFERROR(TRIM(INDEX(_xlfn.TEXTSPLIT(CN133&amp;";;;",";"),2)),""))</f>
        <v/>
      </c>
      <c r="CQ133" t="str" cm="1">
        <f t="array" ref="CQ133">IF(TRIM(CN133&amp;"")="","",IFERROR(TRIM(INDEX(_xlfn.TEXTSPLIT(CN133&amp;";;;",";"),3)),""))</f>
        <v/>
      </c>
      <c r="CR133">
        <f t="shared" si="274"/>
        <v>0</v>
      </c>
      <c r="CS133" t="str">
        <f>IF(B133="","",_xlfn.LET(_xlpm.t,LOWER(AV133&amp;""),IF(ISNUMBER(SEARCH("dim",_xlpm.t)),"DIM",IF(ISNUMBER(SEARCH("dali",_xlpm.t)),"DALI",IF(OR(ISNUMBER(SEARCH("relay",_xlpm.t)),ISNUMBER(SEARCH("реле",_xlpm.t))),"Relay",IF(ISNUMBER(SEARCH("кнопк",_xlpm.t)),"",IFERROR(_xlfn.XLOOKUP(AX133,Коды_код,Коды_упр)&amp;"","")))))))</f>
        <v/>
      </c>
      <c r="CT133" t="str">
        <f t="shared" si="275"/>
        <v/>
      </c>
      <c r="CU133">
        <f>IF(B133="","",_xlfn.LET(_xlpm.ig,N(P133)+IF(AF133="вручную",0,N(CB133)),_xlpm.n0,IFERROR(VLOOKUP(_xlpm.ig,Автомат_номиналы,2,TRUE),0),_xlpm.mn,MAX(CL133,IF(AF133="вручную",0,N(CE133))),MAX(_xlpm.n0,_xlpm.mn,IF(CR133=1,Мин_автомат_БП,0))))</f>
        <v>6</v>
      </c>
      <c r="CV133">
        <f t="shared" si="276"/>
        <v>1</v>
      </c>
      <c r="CW133" t="str">
        <f t="shared" si="277"/>
        <v>1P</v>
      </c>
      <c r="CX133" t="str">
        <f>_xlfn.LET(_xlpm.cc,UPPER(TRIM(IFERROR(_xlfn.XLOOKUP(AX133,Коды_код,Коды_хар)&amp;"",""))),IF(OR(_xlpm.cc="B",_xlpm.cc="В"),"B",IF(_xlpm.cc="D","D","С")))</f>
        <v>С</v>
      </c>
      <c r="CY133" t="str">
        <f t="shared" si="278"/>
        <v>1P С6А</v>
      </c>
      <c r="CZ133" t="str">
        <f t="shared" si="279"/>
        <v>1P С6А</v>
      </c>
      <c r="DA133" t="str">
        <f t="shared" si="280"/>
        <v>1P С6А</v>
      </c>
      <c r="DB133" cm="1">
        <f t="array" ref="DB133">IF(DA133="","",_xlfn.LET(_xlpm.t,SUBSTITUTE(SUBSTITUTE(SUBSTITUTE(UPPER(DA133),"С","C"),"А","A"),"В","B"),_xlpm.tk,_xlfn.TEXTSPLIT(_xlpm.t,"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3" t="str">
        <f t="shared" si="281"/>
        <v>ok</v>
      </c>
      <c r="DD133">
        <f t="shared" si="282"/>
        <v>6</v>
      </c>
      <c r="DE133" t="str">
        <f t="shared" si="283"/>
        <v>1P С6А</v>
      </c>
      <c r="DF133">
        <f t="shared" si="284"/>
        <v>0</v>
      </c>
      <c r="DG133">
        <f t="shared" si="285"/>
        <v>0</v>
      </c>
      <c r="DH133">
        <f t="shared" si="286"/>
        <v>0</v>
      </c>
      <c r="DI133">
        <f t="shared" si="287"/>
        <v>2.0351596988934304</v>
      </c>
      <c r="DJ133">
        <f t="shared" si="288"/>
        <v>1</v>
      </c>
      <c r="DK133">
        <f>IF(ISNUMBER(AL133),AL133,К_прокл)</f>
        <v>1</v>
      </c>
      <c r="DL133">
        <f t="shared" si="289"/>
        <v>2</v>
      </c>
      <c r="DM133">
        <f>IFERROR(N(VLOOKUP(BT133,Кабель_обозначение,3,FALSE)),1)</f>
        <v>1</v>
      </c>
      <c r="DN133">
        <f>IFERROR(N(_xlfn.XLOOKUP(A133,Щиты[Щит],Щиты[ΔU до шин, %])),0)</f>
        <v>1.1399999999999999</v>
      </c>
      <c r="DO133" t="str">
        <f>IFERROR(_xlfn.XLOOKUP(A133,Щиты[Щит],Щиты[Zпетли на шинах, Ом]),"")</f>
        <v/>
      </c>
      <c r="DP133">
        <f>IFERROR(N(_xlfn.XLOOKUP(A133,Щиты[Щит],Щиты[ΔU до шин (подбор), %])),0)</f>
        <v>1.82</v>
      </c>
      <c r="DQ133" t="str">
        <f>IFERROR(_xlfn.XLOOKUP(A133,Щиты[Щит],Щиты[Zпетли на шинах (подбор), Ом]),"")</f>
        <v/>
      </c>
      <c r="DR133" t="str">
        <f t="shared" si="290"/>
        <v/>
      </c>
      <c r="DS133">
        <f t="shared" si="291"/>
        <v>24</v>
      </c>
      <c r="DT133">
        <f t="shared" si="292"/>
        <v>2</v>
      </c>
      <c r="DU133">
        <f t="shared" si="293"/>
        <v>0.6</v>
      </c>
      <c r="DV133" s="6">
        <f>IF(B133="","",IF(IFERROR(VLOOKUP(AX133,УГО_спр,2,FALSE),"")="Светильник",3,4)+IF(Методика="нормы 2026",MIN(0.5,MAX(0,N(Q133)-100)*0.005),0))</f>
        <v>4</v>
      </c>
      <c r="DW133" cm="1">
        <f t="array" ref="DW133">IF(OR(B133="",BT133="",DM133&lt;&gt;1),"",_xlfn.LET(_xlpm.sz,Iдоп_S,_xlpm.t_,CHOOSE(DL133,Iдоп_1ж,Iдоп_2ж,Iдоп_3ж)*DJ133*DK133,_xlpm.inn,N(DD133),_xlpm.smin,MAX(1.5,BW133),_xlpm.L_,N(Q133)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133)*(_xlpm.rho*_xlpm.L_/_xlpm.sz*N(BY133)+_xlpm.xx*_xlpm.L_*N(DU133)/1000)*N(P133)/((Uн_лин/SQRT(3))*1000)*100,999),_xlpm.kz,IF(OR(DG133=1,NOT(ISNUMBER(DQ133)),_xlpm.L_=0,_xlpm.inn=0),1,IFERROR(--(c_min*(Uн_лин*1000/SQRT(3))/(DQ133+2*ρкз_Cu*_xlpm.L_/_xlpm.sz)&gt;=GY133*_xlpm.inn),0)),_xlpm.ok,IFERROR((_xlpm.sz&gt;=_xlpm.smin)*(_xlpm.t_&gt;=_xlpm.inn)*IF(_xlpm.L_&gt;0,(_xlpm.du_+DP133&lt;=DV133+0.00001),1)*_xlpm.kz,0),_xlpm.r_,_xlfn._xlws.FILTER(_xlpm.sz,_xlpm.ok,"не подобрано"),INDEX(_xlpm.r_,1)))</f>
        <v>1.5</v>
      </c>
      <c r="DX133">
        <f t="shared" si="294"/>
        <v>1.5</v>
      </c>
      <c r="DY133" cm="1">
        <f t="array" ref="DY133">IF(OR(B133="",BT133="",DM133&lt;&gt;1),"",_xlfn.LET(_xlpm.sz,Iдоп_S,_xlpm.t_,CHOOSE(DL133,Iдоп_1ж,Iдоп_2ж,Iдоп_3ж)*DJ133*DK133,_xlpm.ok,IFERROR((_xlpm.sz&gt;=MAX(1.5,BW133))*(_xlpm.t_&gt;=N(DD133)),0),_xlpm.r_,_xlfn._xlws.FILTER(_xlpm.sz,_xlpm.ok,""),INDEX(_xlpm.r_,1)))</f>
        <v>1.5</v>
      </c>
      <c r="DZ133" s="6" cm="1">
        <f t="array" ref="DZ133">IFERROR(ROUNDUP(N(DT133)*(_xlfn.XLOOKUP(DY133,INDEX(Кабель_сопротивление,0,1),INDEX(Кабель_сопротивление,0,3))*N(Q133)/DY133*N(BY133)+_xlfn.XLOOKUP(DY133,INDEX(Кабель_сопротивление,0,1),INDEX(Кабель_сопротивление,0,2))*N(Q133)*N(DU133)/1000)*N(P133)/((Uн_лин/SQRT(3))*1000)*100,2),"")</f>
        <v>0.56000000000000005</v>
      </c>
      <c r="EA133">
        <f>IFERROR(2*ρкз_Cu*N(Q133)/DY133,"")</f>
        <v>0.91173333333333328</v>
      </c>
      <c r="EB133">
        <f>IFERROR(VLOOKUP(DX133,Кабель_сопротивление,3,FALSE),"")</f>
        <v>2.2499999999999999E-2</v>
      </c>
      <c r="EC133">
        <f>IFERROR(VLOOKUP(DX133,Кабель_сопротивление,2,FALSE),"")</f>
        <v>0.11</v>
      </c>
      <c r="ED133">
        <f t="shared" si="295"/>
        <v>14</v>
      </c>
      <c r="EE133">
        <f t="shared" si="296"/>
        <v>0</v>
      </c>
      <c r="EF133">
        <f t="shared" si="297"/>
        <v>1.2769243201961029</v>
      </c>
      <c r="EG133" s="6">
        <f>IFERROR(ROUNDUP(EF133/((Uн_лин/SQRT(3))*1000)*100,2),"")</f>
        <v>0.56000000000000005</v>
      </c>
      <c r="EH133" t="str">
        <f>IFERROR(VLOOKUP(BT133,Кабель_обозначение,2,FALSE),"")</f>
        <v>ВВГнг(А)-LS</v>
      </c>
      <c r="EI133" t="str">
        <f t="shared" si="298"/>
        <v>ВВГнг(А)-LS (3х1,5)</v>
      </c>
      <c r="EJ133" t="str">
        <f t="shared" si="299"/>
        <v>ВВГнг(А)-LS (3х1,5)
L=26-0,56%</v>
      </c>
      <c r="EK133">
        <f>IFERROR(2*ρкз_Cu*Q133/DX133,"")</f>
        <v>0.91173333333333328</v>
      </c>
      <c r="EL133">
        <f t="shared" si="300"/>
        <v>0.3033333333333334</v>
      </c>
      <c r="EM133" s="6" t="str">
        <f>IFERROR(IF(OR(B133="",NOT(ISNUMBER(DX133)),N(Q133)=0),"",_xlfn.XLOOKUP(A133,Щиты[Щит],Щиты[Zпетли на шинах, Ом])+EK133),"")</f>
        <v/>
      </c>
      <c r="EN133" s="6" t="str">
        <f>IF(ISNUMBER(EM133),c_min*(Uн_лин*1000/SQRT(3))/EM133,"")</f>
        <v/>
      </c>
      <c r="EO133" s="6" t="str">
        <f>IFERROR(IF(OR(B133="",NOT(ISNUMBER(DX133))),"",1.05*(Uн_лин*1000/SQRT(3))/(_xlfn.XLOOKUP(A133,Щиты[Щит],Щиты[Zmax на шинах, Ом])+EL133)/1000),"")</f>
        <v/>
      </c>
      <c r="EP133" s="6" t="str">
        <f>IF(B133="","",IF(ISNUMBER(Y133),"Сил",IF(IFERROR(_xlfn.XLOOKUP(AX133,Коды_код,Коды_группа)&amp;"","")="","Быт",_xlfn.XLOOKUP(AX133,Коды_код,Коды_группа)&amp;"")))</f>
        <v>Сил</v>
      </c>
      <c r="EQ133" s="6" t="str">
        <f t="shared" si="301"/>
        <v>Сил</v>
      </c>
      <c r="ER133" s="6">
        <f>IF(EQ133="Щит","щит",IF(EQ133="","",IF(EQ133="Быт",IFERROR(_xlfn.XLOOKUP(A133,Щиты[Щит],Щиты[Кс быт]),1),IF(EQ133="Сил",IF(ISNUMBER(Y133),Y133,IF(Методика="нормы 2026",IFERROR(_xlfn.XLOOKUP(A133,Щиты[Щит],Щиты[Кс силовых (табл. 7.5)]),1),1)),IF(OR(EQ133="Пост",EQ133="Отоп"),1,IF(EQ133="ВНГ",0.7,0))))))</f>
        <v>0.5</v>
      </c>
      <c r="ES133">
        <f t="shared" si="302"/>
        <v>1</v>
      </c>
      <c r="ET133">
        <f t="shared" si="303"/>
        <v>0.376</v>
      </c>
      <c r="EU133">
        <f t="shared" si="304"/>
        <v>0</v>
      </c>
      <c r="EV133">
        <f t="shared" si="305"/>
        <v>0.188</v>
      </c>
      <c r="EW133">
        <f t="shared" si="306"/>
        <v>0</v>
      </c>
      <c r="EX133">
        <f t="shared" si="307"/>
        <v>0</v>
      </c>
      <c r="EY133">
        <f t="shared" si="308"/>
        <v>0</v>
      </c>
      <c r="EZ133">
        <f t="shared" si="309"/>
        <v>0.376</v>
      </c>
      <c r="FA133">
        <f t="shared" si="310"/>
        <v>0.30080000000000001</v>
      </c>
      <c r="FB133">
        <f t="shared" si="311"/>
        <v>0.376</v>
      </c>
      <c r="FC133" t="str">
        <f t="shared" si="312"/>
        <v/>
      </c>
      <c r="FD133" t="str">
        <f>IF(B133="","",IF(CA133=0,IF(AW133=1,"",FF132),IF(OR(N(CV133)&gt;=3,N(BR133)&gt;=3),"L1,L2,L3",IFERROR(_xlfn.TEXTBEFORE(_xlfn.TEXTAFTER(_xlfn.XLOOKUP(A133,Щиты[Щит],Щиты[_фазы авто]),";"&amp;AW133&amp;":"),";"),"L1"))))</f>
        <v>L2</v>
      </c>
      <c r="FE133" t="str">
        <f t="shared" si="313"/>
        <v>L2</v>
      </c>
      <c r="FF133" t="str">
        <f t="shared" si="314"/>
        <v>L2</v>
      </c>
      <c r="FG133" cm="1">
        <f t="array" ref="FG133">IFERROR(IF(BX133=2,_xlfn.IFS(BR133=3,VLOOKUP(BN133,Справочная_двигатели,3,FALSE),BR133=1,VLOOKUP(BN133,Справочная_двигатели,5,TRUE)),0),0)</f>
        <v>0</v>
      </c>
      <c r="FH133">
        <f>IFERROR(IF(BX133=3,VLOOKUP(BN133,Справочная_ЛЭД,2,TRUE),0),0)</f>
        <v>0</v>
      </c>
      <c r="FI133" s="6">
        <f t="shared" si="315"/>
        <v>0</v>
      </c>
      <c r="FJ133" t="str" cm="1">
        <f t="array" ref="FJ133">IF(B133="","",IFERROR(INDEX({"I особая","I","II","III"},MATCH(TRIM(AC133&amp;""),{"I особая","I","II","III"},0)),"III"))</f>
        <v>II</v>
      </c>
      <c r="FK133" t="str">
        <f>IF(B133="","",IF(TRIM(AD133&amp;"")&lt;&gt;"",IF(LOWER(TRIM(AD133&amp;""))="да","да","нет"),IF(IFERROR(_xlfn.XLOOKUP(AX133,Коды_код,Коды_пожарная),"")="да","да","нет")))</f>
        <v>нет</v>
      </c>
      <c r="FL133" t="str">
        <f t="shared" si="316"/>
        <v/>
      </c>
      <c r="FM133" t="str">
        <f t="shared" si="317"/>
        <v>основная</v>
      </c>
      <c r="FN133">
        <f t="shared" si="318"/>
        <v>1</v>
      </c>
      <c r="FO133" t="str" cm="1">
        <f t="array" ref="FO133">IF(B133="","",_xlfn.LET(_xlpm.t,IFERROR(_xlfn.XLOOKUP(1,(Шины[Шина]=FM133)*(((Шины[Щит]=A133)+(Шины[Щит]=""))&gt;0),Шины[Тип]),"")&amp;"",IF(_xlpm.t&lt;&gt;"",_xlpm.t,IF(ISNUMBER(SEARCH("ИБП",FM133)),"ИБП",IF(ISNUMBER(SEARCH("ДГУ",FM133)),"ДГУ","Ввод "&amp;FN133)))))</f>
        <v>Ввод 1</v>
      </c>
      <c r="FP133" t="str">
        <f t="shared" si="319"/>
        <v>Ввод 1</v>
      </c>
      <c r="FQ133" t="str">
        <f>IF(B133="","",IF(OR(FO133="ИБП",FO133="ДГУ"),"I особая",IF(FO133="Одиночная","III",_xlfn.XLOOKUP(A133,Щиты[Щит],Щиты[Категория шины «Ввод»],"III"))))</f>
        <v>II</v>
      </c>
      <c r="FR133">
        <f>IF(B133="",0,IFERROR(MATCH(FJ133,{"III","II","I","I особая"},0),1))</f>
        <v>2</v>
      </c>
      <c r="FS133">
        <f t="shared" si="320"/>
        <v>2</v>
      </c>
      <c r="FT133" t="str">
        <f>IF(B133="","",IF(FR133&gt;IFERROR(MATCH(FQ133,{"III","II","I","I особая"},0),1),"НЕ ОБЕСПЕЧЕНА","ОК"))</f>
        <v>ОК</v>
      </c>
      <c r="FU133" t="str">
        <f>IF(A133="","",_xlfn.XLOOKUP(A133,Щиты[Щит],Щиты[Путь],""))</f>
        <v>|ГРЩ-ЖД|ЩОВ-2|</v>
      </c>
      <c r="FV133" t="str">
        <f>IF(B133="","",IF(AE133&lt;&gt;"",AE133,IF(IFERROR(_xlfn.XLOOKUP(AX133,Коды_код,Коды_вид)&amp;"","")="","Прочее",_xlfn.XLOOKUP(AX133,Коды_код,Коды_вид)&amp;"")))</f>
        <v>Кондиционирование и увлажнение</v>
      </c>
      <c r="FW133">
        <f>IF(BH133="","",INT((BH133-1)/Столбцов_на_лист)+1)</f>
        <v>2</v>
      </c>
      <c r="FX133" t="str">
        <f t="shared" si="321"/>
        <v>ВВГнг(А)-LS (3х1,5) L=26-0,56%</v>
      </c>
      <c r="FY133">
        <f t="shared" si="322"/>
        <v>0.376</v>
      </c>
      <c r="FZ133">
        <f t="shared" si="323"/>
        <v>2.0399999999999996</v>
      </c>
      <c r="GA133">
        <f t="shared" si="324"/>
        <v>1</v>
      </c>
      <c r="GB133">
        <f t="shared" si="325"/>
        <v>0</v>
      </c>
      <c r="GC133">
        <f t="shared" si="326"/>
        <v>1</v>
      </c>
      <c r="GD133">
        <f>IF(BH133="","",IF(AND(CA133=1,GC133=1),COUNTIFS(A$3:A133,A133,CA$3:CA133,1,GC$3:GC133,1),IF(OR(OR(AW133=1,A133&lt;&gt;A132),AF133="вручную",GC133=0),"",IF(AW133=1,"",GE132))))</f>
        <v>3</v>
      </c>
      <c r="GE133">
        <f t="shared" si="327"/>
        <v>3</v>
      </c>
      <c r="GF133">
        <f>IF(B133="","",IFERROR(LOOKUP(INDEX(CHOOSE(DL133,Iдоп_1ж,Iдоп_2ж,Iдоп_3ж),MATCH(DX133,Iдоп_S,0))*DJ133*DK133,{6,10,16,20,25,32,40,50,63,80,100,125,160,200,250,315,400,500,630}),""))</f>
        <v>16</v>
      </c>
      <c r="GG133" t="str">
        <f t="shared" si="328"/>
        <v>QF3</v>
      </c>
      <c r="GH133" t="str">
        <f t="shared" si="329"/>
        <v>QF3</v>
      </c>
      <c r="GI133" t="str">
        <f t="shared" si="330"/>
        <v/>
      </c>
      <c r="GJ133">
        <f t="shared" si="331"/>
        <v>0</v>
      </c>
      <c r="GK133" t="str">
        <f>IF(OR(AG133="",AG133="-"),"",IFERROR(VLOOKUP(AG133,Модули_спр,2,FALSE),"R"))</f>
        <v/>
      </c>
      <c r="GL133" t="str">
        <f>IF(GK133="","",GK133&amp;"."&amp;COUNTIFS(A$3:A133,A133,GK$3:GK133,GK133))</f>
        <v/>
      </c>
      <c r="GM133" t="str">
        <f t="shared" si="332"/>
        <v/>
      </c>
      <c r="GN133" t="str">
        <f t="shared" si="333"/>
        <v/>
      </c>
      <c r="GO133" t="str">
        <f t="shared" si="334"/>
        <v/>
      </c>
      <c r="GP133" t="str">
        <f t="shared" si="335"/>
        <v/>
      </c>
      <c r="GQ133">
        <f t="shared" si="336"/>
        <v>1</v>
      </c>
      <c r="GR133" t="str">
        <f>IF(GQ133=1,"XT"&amp;COUNTIFS(A$3:A133,A133,GQ$3:GQ133,1),"")</f>
        <v>XT3</v>
      </c>
      <c r="GS133" t="str">
        <f t="shared" si="337"/>
        <v>XT3</v>
      </c>
      <c r="GT133" t="str">
        <f t="shared" si="338"/>
        <v>QF3</v>
      </c>
      <c r="GU133" t="str">
        <f t="shared" si="339"/>
        <v/>
      </c>
      <c r="GV133" t="str">
        <f t="shared" si="340"/>
        <v>ok</v>
      </c>
      <c r="GW133" t="str">
        <f>IF(OR(GO133="",GM133=""),"",IF(GO133&gt;IFERROR(VLOOKUP(GN133,Модули_спр,3,FALSE),99),"ЛИШНИЙ КАНАЛ",IF(AND(AH133&lt;&gt;"=",COUNTIFS(Линии[_модуль гр.],GM133,Линии[Канал (итог)],GO133,Линии[Канал],"&lt;&gt;=",Линии[Щит],A133)&gt;1),"ДУБЛЬ КАНАЛА","")))</f>
        <v/>
      </c>
      <c r="GX133" s="6" t="str">
        <f t="shared" si="341"/>
        <v/>
      </c>
      <c r="GY133">
        <f t="shared" si="342"/>
        <v>10</v>
      </c>
      <c r="GZ133" t="str">
        <f t="shared" si="343"/>
        <v/>
      </c>
      <c r="HA133" t="str">
        <f>IF(AND(B133="",GT133=""),"",_xlfn.TEXTJOIN("; ",TRUE,IF(AND(B133&lt;&gt;"",FE133=""),"нет фазы",""),IF(AND(B133&lt;&gt;"",N(FY133)=0,EQ133&lt;&gt;"Нет"),"нет мощности",""),IF(AND(GS133&lt;&gt;"",COUNTIFS(Линии[Щит],A133,Линии[Клемма (итог)],GS133)&gt;1),"дубль клеммы "&amp;GS133,""),IF(AND(GV133&lt;&gt;"",GV133&lt;&gt;"ok"),GV133,""),IF(GW133&lt;&gt;"",GW133,""),IF(AND(N(BV133)&gt;=4,N(BR133)=1),BV133&amp;" жил на 1 фазе",""),IF(AND(AX133="R",CA133=1,OR(N(CK133)=0,N(CK133)&gt;30)),"розетка без дифзащиты до 30 мА",""),IFERROR(IF(AND(ISNUMBER(R133),R133&gt;DV133),"потери "&amp;FIXED(R133,1)&amp;" % &gt; "&amp;DV133&amp;" %",""),""),IFERROR(IF(LEFT(GZ133,4)="мало","Iкз мало — отключение &gt; 0,4 с",""),""),IF(AND(B133&lt;&gt;"",BH133=""),"не на схеме",""),IF(AND(CA133=0,B133&lt;&gt;"",FE133&lt;&gt;"",IF(AW133=1,"",FF132)&lt;&gt;"",FE133&lt;&gt;IF(AW133=1,"",FF132)),"фаза не как у автомата группы ("&amp;IF(AW133=1,"",FF132)&amp;")","")))</f>
        <v/>
      </c>
      <c r="HB133" s="6" t="str">
        <f>IF(OR(CA133=0,DA133=""),"",_xlfn.LET(_xlpm.t,IFERROR(_xlfn.XLOOKUP(DA133,Каталог!$U$4:$U$500,Каталог!$G$4:$G$500),""),_xlpm.k,SEARCH("кА",_xlpm.t),IFERROR(--TRIM(RIGHT(SUBSTITUTE(MID(_xlpm.t,MAX(1,_xlpm.k-4),_xlpm.k-MAX(1,_xlpm.k-4))," ",REPT(" ",9)),5)),"")))</f>
        <v/>
      </c>
      <c r="HC133" t="str">
        <f>IF(OR(HB133="",CA133=0),"",IF(_xlfn.XLOOKUP(A133,Щиты[Щит],Щиты[Iкз max на шинах, кА],"")="","",IF(HB133&lt;_xlfn.XLOOKUP(A133,Щиты[Щит],Щиты[Iкз max на шинах, кА]),"Icu "&amp;HB133&amp;" кА &lt; Iкз max","ok")))</f>
        <v/>
      </c>
      <c r="HD133" t="str">
        <f t="shared" si="344"/>
        <v/>
      </c>
      <c r="HE133" t="str">
        <f t="shared" si="345"/>
        <v>QF3|XT3</v>
      </c>
      <c r="HF133" t="str">
        <f t="shared" si="346"/>
        <v>QF3|XT3|кабель ВВГнг(А)-LS (3х1,5) → Внутренний блок кондиционирования Технический этаж Пом. №002Т</v>
      </c>
      <c r="HG133" t="str" cm="1">
        <f t="array" ref="HG133">IF(HF133="","",_xlfn.LET(_xlpm.nd,_xlfn.TEXTSPLIT(HF133,"|"),IF(COLUMNS(_xlpm.nd)&gt;1,A133&amp;"¦"&amp;INDEX(_xlpm.nd,1)&amp;"¦"&amp;INDEX(_xlpm.nd,2),"")))</f>
        <v>ЩОВ-2¦QF3¦XT3</v>
      </c>
      <c r="HH133" t="str">
        <f t="shared" si="347"/>
        <v>K.1.003A¦Внутренний блок кондиционирования Технический этаж Пом. №002Т</v>
      </c>
      <c r="HI133" t="str" cm="1">
        <f t="array" ref="HI133">IF(HF133="","",_xlfn.LET(_xlpm.nd,_xlfn.TEXTSPLIT(HF133,"|"),IF(COLUMNS(_xlpm.nd)&gt;2,A133&amp;"¦"&amp;INDEX(_xlpm.nd,2)&amp;"¦"&amp;INDEX(_xlpm.nd,3),"")))</f>
        <v>ЩОВ-2¦XT3¦кабель ВВГнг(А)-LS (3х1,5) → Внутренний блок кондиционирования Технический этаж Пом. №002Т</v>
      </c>
      <c r="HJ133" t="str">
        <f t="shared" si="348"/>
        <v>K.1.003A¦Внутренний блок кондиционирования Технический этаж Пом. №002Т</v>
      </c>
      <c r="HK133" t="str" cm="1">
        <f t="array" ref="HK133">IF(HF133="","",_xlfn.LET(_xlpm.nd,_xlfn.TEXTSPLIT(HF133,"|"),IF(COLUMNS(_xlpm.nd)&gt;3,A133&amp;"¦"&amp;INDEX(_xlpm.nd,3)&amp;"¦"&amp;INDEX(_xlpm.nd,4),"")))</f>
        <v/>
      </c>
      <c r="HL133" t="str">
        <f t="shared" si="349"/>
        <v/>
      </c>
      <c r="HM133" t="str" cm="1">
        <f t="array" ref="HM133">IF(HF133="","",_xlfn.LET(_xlpm.nd,_xlfn.TEXTSPLIT(HF133,"|"),IF(COLUMNS(_xlpm.nd)&gt;4,A133&amp;"¦"&amp;INDEX(_xlpm.nd,4)&amp;"¦"&amp;INDEX(_xlpm.nd,5),"")))</f>
        <v/>
      </c>
      <c r="HN133" t="str">
        <f t="shared" si="350"/>
        <v/>
      </c>
      <c r="HO133" t="str" cm="1">
        <f t="array" ref="HO133">IF(HF133="","",_xlfn.LET(_xlpm.nd,_xlfn.TEXTSPLIT(HF133,"|"),IF(COLUMNS(_xlpm.nd)&gt;5,A133&amp;"¦"&amp;INDEX(_xlpm.nd,5)&amp;"¦"&amp;INDEX(_xlpm.nd,6),"")))</f>
        <v/>
      </c>
      <c r="HP133" t="str">
        <f t="shared" si="351"/>
        <v/>
      </c>
      <c r="HQ133" t="str" cm="1">
        <f t="array" ref="HQ133">IF(HF133="","",_xlfn.LET(_xlpm.nd,_xlfn.TEXTSPLIT(HF133,"|"),IF(COLUMNS(_xlpm.nd)&gt;6,A133&amp;"¦"&amp;INDEX(_xlpm.nd,6)&amp;"¦"&amp;INDEX(_xlpm.nd,7),"")))</f>
        <v/>
      </c>
      <c r="HR133" t="str">
        <f t="shared" si="352"/>
        <v/>
      </c>
      <c r="HS133" t="str">
        <f t="shared" si="353"/>
        <v/>
      </c>
      <c r="HT133" t="str">
        <f t="shared" si="354"/>
        <v>QF3 → XT3</v>
      </c>
      <c r="HU133">
        <f t="shared" si="355"/>
        <v>0</v>
      </c>
      <c r="HV133">
        <f t="shared" si="356"/>
        <v>0</v>
      </c>
      <c r="HW133" t="str">
        <f t="shared" si="357"/>
        <v/>
      </c>
      <c r="HX133" t="str">
        <f t="shared" si="358"/>
        <v/>
      </c>
      <c r="HY133" t="str">
        <f t="shared" si="359"/>
        <v/>
      </c>
      <c r="HZ133" t="str">
        <f t="shared" si="360"/>
        <v/>
      </c>
      <c r="IA133">
        <f>IF(B133="","",IFERROR(VLOOKUP(B133,УГО_спр,2,FALSE),IFERROR(VLOOKUP(AX133,УГО_спр,2,FALSE),IFERROR(VLOOKUP(LEFT(AX133,2),УГО_спр,2,FALSE),""))))</f>
        <v>0</v>
      </c>
      <c r="IB133" t="str">
        <f>IF(B133="","",IF(OR(IA133="",IA133=0),"BOX",IFERROR(IF(VLOOKUP(IA133,УГО_блоки,3,FALSE)&amp;""&lt;&gt;"",VLOOKUP(IA133,УГО_блоки,3,FALSE),VLOOKUP(IA133,УГО_блоки,2,FALSE)),IA133)))</f>
        <v>BOX</v>
      </c>
      <c r="IC133">
        <f t="shared" si="361"/>
        <v>1</v>
      </c>
      <c r="ID133" t="str">
        <f>IF(DA133="","",IF(COUNTIF(DA$3:DA133,DA133)=1,MAX(ID$2:ID132)+1,""))</f>
        <v/>
      </c>
      <c r="IE133" t="str">
        <f>IF(CO133="","",IF(COUNTIF(CO$3:CO133,CO133)+COUNTIF(CP$2:CP132,CO133)+COUNTIF(CQ$2:CQ132,CO133)=1,MAX(IE$2:IG132)+1,""))</f>
        <v/>
      </c>
      <c r="IF133" t="str">
        <f>IF(CP133="","",IF(COUNTIF(CO$3:CO133,CP133)+COUNTIF(CP$3:CP133,CP133)+COUNTIF(CQ$2:CQ132,CP133)=1,MAX(IE$2:IG132,IE133)+1,""))</f>
        <v/>
      </c>
      <c r="IG133" t="str">
        <f>IF(CQ133="","",IF(COUNTIF(CO$3:CO133,CQ133)+COUNTIF(CP$3:CP133,CQ133)+COUNTIF(CQ$3:CQ133,CQ133)=1,MAX(IE$2:IG132,IE133,IF133)+1,""))</f>
        <v/>
      </c>
      <c r="IH133" t="str">
        <f t="shared" si="362"/>
        <v>3х1,5</v>
      </c>
      <c r="II133" t="str">
        <f>IF(IH133="","",IF(COUNTIF(IH$3:IH133,IH133)=1,MAX(II$2:II132)+1,""))</f>
        <v/>
      </c>
      <c r="IJ133" t="str">
        <f>IF(GL133="","",COUNTIF(GL$3:GL133,"?*"))</f>
        <v/>
      </c>
      <c r="IK133" t="str">
        <f>IF(OR(GL133="",GN133=""),"",IF(COUNTIFS(GL$3:GL133,"?*",GN$3:GN133,GN133)=1,MAX(IK$2:IK132)+1,""))</f>
        <v/>
      </c>
      <c r="IL133">
        <f t="shared" si="363"/>
        <v>0</v>
      </c>
      <c r="IM133">
        <f>IF(B133="","",COUNTIF(B$3:B133,"?*"))</f>
        <v>131</v>
      </c>
      <c r="IN133">
        <f>IF(GQ133&lt;&gt;1,0,_xlfn.LET(_xlpm.k,MAX(IFERROR(--VLOOKUP(B133,УГО_спр,5,FALSE),0),IFERROR(--VLOOKUP(AX133,УГО_спр,5,FALSE),0),IFERROR(--VLOOKUP(LEFT(AX133,2),УГО_спр,5,FALSE),0)),IF(_xlpm.k&gt;0,_xlpm.k,IF(IFERROR(--LEFT(SUBSTITUTE(IH133,"x","х"),FIND("х",SUBSTITUTE(IH133,"x","х"))-1),3)&gt;3,Каталог!$S$9,1))))</f>
        <v>1</v>
      </c>
      <c r="IO133">
        <f t="shared" si="364"/>
        <v>0</v>
      </c>
      <c r="IP133" t="str">
        <f t="shared" si="365"/>
        <v>авто</v>
      </c>
      <c r="IQ133" t="str">
        <f t="shared" si="366"/>
        <v/>
      </c>
      <c r="IR133">
        <f t="shared" si="367"/>
        <v>0</v>
      </c>
      <c r="IS133">
        <f t="shared" si="368"/>
        <v>1</v>
      </c>
    </row>
    <row r="134" spans="1:253" x14ac:dyDescent="0.3">
      <c r="A134" t="s">
        <v>753</v>
      </c>
      <c r="B134" t="s">
        <v>1402</v>
      </c>
      <c r="C134" t="s">
        <v>1643</v>
      </c>
      <c r="D134">
        <v>1</v>
      </c>
      <c r="E134">
        <v>0.29799999999999999</v>
      </c>
      <c r="G134" t="str">
        <f>Линии[[#This Row],[_авто автомат]]</f>
        <v>1P С6А</v>
      </c>
      <c r="H134" t="str">
        <f>Линии[[#This Row],[_авто утечка]]</f>
        <v/>
      </c>
      <c r="I134" t="str">
        <f>Линии[[#This Row],[_авто управление]]</f>
        <v/>
      </c>
      <c r="J134" t="str">
        <f>Линии[[#This Row],[_авто аппараты]]</f>
        <v/>
      </c>
      <c r="K134">
        <v>1.5</v>
      </c>
      <c r="L134">
        <v>24</v>
      </c>
      <c r="M134">
        <v>1</v>
      </c>
      <c r="N134" t="str">
        <f>Линии[[#This Row],[_авто клемма]]</f>
        <v>XT4</v>
      </c>
      <c r="O134" t="str">
        <f t="shared" si="246"/>
        <v/>
      </c>
      <c r="P134" s="6" cm="1">
        <f t="array" ref="P134">IF(B134="","",IF(BC134&lt;&gt;"",IFERROR(_xlfn.XLOOKUP(BC134,Щиты[Щит],Щиты[Iр, А]),""),IF(BK134=1,IFERROR(_xlfn.XLOOKUP(A134,Щиты[Щит],Щиты[Iр, А]),""),IFERROR(_xlfn.IFS(BR134=1,BN134/((Uн_лин/SQRT(3))*BY134),BR134=3,BN134/(SQRT(3)*Uн_лин*BY134)),""))))</f>
        <v>1.6129723145485166</v>
      </c>
      <c r="Q134" s="7">
        <f>IF(B134="","",IFERROR(IF(VLOOKUP(AX134,Потребители_обозначение,4,FALSE)=1,VLOOKUP(AX134,Потребители_обозначение,3,FALSE)*(D134*2-1)+DS134+VLOOKUP(AZ134,Этаж_обозначение,3,FALSE)+VLOOKUP(AZ134,Этаж_обозначение,4,FALSE),VLOOKUP(AX134,Потребители_обозначение,3,FALSE)*(D134*2-1)+DS134),DS134))</f>
        <v>26</v>
      </c>
      <c r="R134" s="6">
        <f t="shared" si="247"/>
        <v>1.5799999999999998</v>
      </c>
      <c r="S134" t="str">
        <f t="shared" si="248"/>
        <v>ВВГнг(А)-LS (3х1,5)</v>
      </c>
      <c r="T134" t="str">
        <f>IF(BH134="","",IF(BI134="вводной узел","узел ","")&amp;"л."&amp;(INT((BH134-1)/Столбцов_на_лист)+1)&amp;" / "&amp;(MOD(BH134-1,Столбцов_на_лист)+1))</f>
        <v>л.2 / 4</v>
      </c>
      <c r="V134">
        <v>1</v>
      </c>
      <c r="W134">
        <v>230</v>
      </c>
      <c r="X134" t="s">
        <v>600</v>
      </c>
      <c r="Y134">
        <v>0.5</v>
      </c>
      <c r="AC134" t="s">
        <v>815</v>
      </c>
      <c r="AE134" t="s">
        <v>578</v>
      </c>
      <c r="AI134">
        <v>21</v>
      </c>
      <c r="AJ134" t="s">
        <v>11</v>
      </c>
      <c r="AK134">
        <v>3</v>
      </c>
      <c r="AM134">
        <v>12</v>
      </c>
      <c r="AN134">
        <v>14</v>
      </c>
      <c r="AP134">
        <v>1</v>
      </c>
      <c r="AW134" cm="1">
        <f t="array" ref="AW134">ROW()-ROW(Линии[#Headers])</f>
        <v>132</v>
      </c>
      <c r="AX134" s="6" t="str">
        <f t="shared" si="249"/>
        <v>K</v>
      </c>
      <c r="AY134" t="str">
        <f t="shared" si="250"/>
        <v>1.005A</v>
      </c>
      <c r="AZ134" t="str">
        <f t="shared" si="251"/>
        <v>1</v>
      </c>
      <c r="BA134" t="str">
        <f t="shared" si="252"/>
        <v>005A</v>
      </c>
      <c r="BB134" t="str">
        <f t="shared" si="253"/>
        <v>005A</v>
      </c>
      <c r="BC134" t="str">
        <f>IF(U134&lt;&gt;"",U134,IF(AND(B134&lt;&gt;"",B134&lt;&gt;A134,ISNUMBER(_xlfn.XMATCH(B134,Щиты[Щит]))),B134,""))</f>
        <v/>
      </c>
      <c r="BD134" t="str" cm="1">
        <f t="array" ref="BD134">IF(B134="","",IF(BC134&lt;&gt;"","Щит "&amp;BC134,_xlfn.LET(_xlpm.nm,IFERROR(_xlfn.XLOOKUP(AX134,Коды_код,Коды_имя)&amp;"",""),_xlpm.md,IFERROR(N(_xlfn.XLOOKUP(AX134,Коды_код,Коды_режим)),1),_xlpm.ex,IF(Имя_режим="по экспликации",IFERROR(_xlfn.XLOOKUP(AZ134&amp;"|"&amp;BB134,Экспликация[Этаж]&amp;"|"&amp;Экспликация[Помещение],Экспликация[Название])&amp;"",""),""),_xlpm.rm,IF(BB134="","",IF(_xlpm.ex&lt;&gt;"",". "&amp;_xlpm.ex&amp;IF(Имя_пом="нет"," ("&amp;BB134&amp;")"," (пом. "&amp;BB134&amp;")"),IF(Имя_пом="нет"," ",", пом. ")&amp;BB134)),IF(_xlpm.nm="","",IF(_xlpm.md=2,_xlpm.nm&amp;" шлейф "&amp;AZ134,_xlpm.nm&amp;_xlpm.rm)))))</f>
        <v>Внутренний блок кондиционирования, пом. 005A</v>
      </c>
      <c r="BE134" t="str">
        <f t="shared" si="254"/>
        <v>Внутренний блок кондиционирования Технический этаж Пом. №001Т</v>
      </c>
      <c r="BF134">
        <f>IFERROR(_xlfn.XMATCH(A134,Щиты[Щит]),0)</f>
        <v>7</v>
      </c>
      <c r="BG134">
        <f>_xlfn.LET(_xlpm.k,IFERROR(_xlfn.XLOOKUP(A134,Щиты[Щит],Щиты[Листов под вводной узел]),""),IF(_xlpm.k="",1,N(_xlpm.k))*Столбцов_на_лист)</f>
        <v>17</v>
      </c>
      <c r="BH134">
        <f t="shared" si="255"/>
        <v>21</v>
      </c>
      <c r="BI134" t="str">
        <f t="shared" si="256"/>
        <v>линии</v>
      </c>
      <c r="BJ134" s="6">
        <f>IFERROR(N(_xlfn.XLOOKUP(AX134,Коды_код,Коды_квт)),0)</f>
        <v>0</v>
      </c>
      <c r="BK134">
        <f t="shared" si="257"/>
        <v>0</v>
      </c>
      <c r="BL134" t="str">
        <f>IF(B134="","",IF(BC134&lt;&gt;"",IFERROR(_xlfn.XLOOKUP(BC134,Щиты[Щит],Щиты[Руст, кВт]),0),IF(BK134=1,IFERROR(_xlfn.XLOOKUP(A134,Щиты[Щит],Щиты[Руст, кВт]),0),IF(BJ134&gt;0,ROUND(BJ134*MAX(1,N(D134)),3),""))))</f>
        <v/>
      </c>
      <c r="BM134">
        <f t="shared" si="258"/>
        <v>0.29799999999999999</v>
      </c>
      <c r="BN134" s="6">
        <f>IF(B134="","",IF(BC134&lt;&gt;"",IFERROR(_xlfn.XLOOKUP(BC134,Щиты[Щит],Щиты[Руст, кВт]),0),N(BM134)))</f>
        <v>0.29799999999999999</v>
      </c>
      <c r="BO134" t="str">
        <f>IF(B134="","",IFERROR(IF(VLOOKUP(AX134,Потребители_обозначение,8,FALSE)=0,"",VLOOKUP(AX134,Потребители_обозначение,8,FALSE)),""))</f>
        <v/>
      </c>
      <c r="BP134">
        <f t="shared" si="259"/>
        <v>230</v>
      </c>
      <c r="BQ134">
        <f>IF(B134="","",IF(BC134&lt;&gt;"",3,IFERROR(IF(N(VLOOKUP(AX134,Потребители_обозначение,9,FALSE))=0,1,VLOOKUP(AX134,Потребители_обозначение,9,FALSE)),1)))</f>
        <v>1</v>
      </c>
      <c r="BR134">
        <f t="shared" si="260"/>
        <v>1</v>
      </c>
      <c r="BS134" t="str">
        <f>IF(B134="","",_xlfn.LET(_xlpm.bc,IFERROR(IF(VLOOKUP(AX134,Потребители_обозначение,6,FALSE)=0,"",VLOOKUP(AX134,Потребители_обозначение,6,FALSE)&amp;""),""),IF(AND(FK134="да",OR(_xlpm.bc="",_xlpm.bc="мс")),Марка_пож,IF(AND(_xlpm.bc="",BC134&lt;&gt;""),"мс",_xlpm.bc))))</f>
        <v/>
      </c>
      <c r="BT134" t="str">
        <f t="shared" si="261"/>
        <v>мс</v>
      </c>
      <c r="BU134">
        <f>IF(B134="","",_xlfn.LET(_xlpm.cc,IFERROR(N(VLOOKUP(AX134,Потребители_обозначение,7,FALSE)),0),IF(_xlpm.cc&gt;0,_xlpm.cc,IF(BT134="","",IF(N(BR134)=3,5,3)))))</f>
        <v>3</v>
      </c>
      <c r="BV134">
        <f t="shared" si="262"/>
        <v>3</v>
      </c>
      <c r="BW134">
        <f>IFERROR(N(VLOOKUP(AX134,Потребители_обозначение,10,FALSE)),0)</f>
        <v>0</v>
      </c>
      <c r="BX134">
        <f>IFERROR(VLOOKUP(AX134,Потребители_обозначение,5,FALSE),0)</f>
        <v>1</v>
      </c>
      <c r="BY134" s="6" cm="1">
        <f t="array" ref="BY134">IF(B134="","",IF(BC134&lt;&gt;"",IFERROR(_xlfn.XLOOKUP(BC134,Щиты[Щит],Щиты[cos φ]),0.95),IF(BK134=1,IFERROR(_xlfn.XLOOKUP(A134,Щиты[Щит],Щиты[cos φ]),0.95),IF(ISNUMBER(Z134),Z134,IFERROR(IF(BX134=2,_xlfn.IFS(BR134=3,VLOOKUP(BN134,Справочная_двигатели,8,FALSE),BR134=1,VLOOKUP(BN134,Справочная_двигатели,10,TRUE)),IF(AND(Методика="нормы 2026",EQ134="Сил"),0.8,0.95)),0.95)))))</f>
        <v>0.8</v>
      </c>
      <c r="BZ134">
        <f t="shared" si="263"/>
        <v>0</v>
      </c>
      <c r="CA134">
        <f t="shared" si="264"/>
        <v>1</v>
      </c>
      <c r="CB134">
        <f t="shared" si="265"/>
        <v>0</v>
      </c>
      <c r="CC134">
        <f t="shared" si="266"/>
        <v>0</v>
      </c>
      <c r="CD134">
        <f t="shared" si="267"/>
        <v>0</v>
      </c>
      <c r="CE134">
        <f t="shared" si="268"/>
        <v>0</v>
      </c>
      <c r="CF134">
        <f t="shared" si="269"/>
        <v>0</v>
      </c>
      <c r="CG134">
        <f>IF(AX134="",0,_xlfn.LET(_xlpm.v,IFERROR(VLOOKUP(B134,УГО_спр,3,FALSE),IFERROR(VLOOKUP(AX134,УГО_спр,3,FALSE),IFERROR(VLOOKUP(LEFT(AX134,2),УГО_спр,3,FALSE),""))),IF(_xlpm.v="да",30,IF(ISNUMBER(_xlpm.v),_xlpm.v,0))))</f>
        <v>0</v>
      </c>
      <c r="CH134" t="str">
        <f t="shared" si="270"/>
        <v/>
      </c>
      <c r="CI134" t="str">
        <f>_xlfn.LET(_xlpm.k,IFERROR(_xlfn.XLOOKUP(AX134,Коды_код,Коды_утечка)&amp;"",""),IF(_xlpm.k="","дифавтомат",_xlpm.k))</f>
        <v>дифавтомат</v>
      </c>
      <c r="CJ134">
        <f t="shared" si="271"/>
        <v>0</v>
      </c>
      <c r="CK134">
        <f t="shared" si="272"/>
        <v>0</v>
      </c>
      <c r="CL134">
        <f>IF(B134="",0,IFERROR(--VLOOKUP(B134,УГО_спр,4,FALSE),IFERROR(--VLOOKUP(AX134,УГО_спр,4,FALSE),IFERROR(--VLOOKUP(LEFT(AX134,2),УГО_спр,4,FALSE),0))))</f>
        <v>0</v>
      </c>
      <c r="CM134" t="str">
        <f>IF(B134="","",IFERROR(_xlfn.XLOOKUP(AX134,Коды_код,Коды_апп)&amp;"",""))</f>
        <v/>
      </c>
      <c r="CN134" t="str">
        <f t="shared" si="273"/>
        <v/>
      </c>
      <c r="CO134" t="str" cm="1">
        <f t="array" ref="CO134">IF(TRIM(CN134&amp;"")="","",IFERROR(TRIM(INDEX(_xlfn.TEXTSPLIT(CN134&amp;";;;",";"),1)),""))</f>
        <v/>
      </c>
      <c r="CP134" t="str" cm="1">
        <f t="array" ref="CP134">IF(TRIM(CN134&amp;"")="","",IFERROR(TRIM(INDEX(_xlfn.TEXTSPLIT(CN134&amp;";;;",";"),2)),""))</f>
        <v/>
      </c>
      <c r="CQ134" t="str" cm="1">
        <f t="array" ref="CQ134">IF(TRIM(CN134&amp;"")="","",IFERROR(TRIM(INDEX(_xlfn.TEXTSPLIT(CN134&amp;";;;",";"),3)),""))</f>
        <v/>
      </c>
      <c r="CR134">
        <f t="shared" si="274"/>
        <v>0</v>
      </c>
      <c r="CS134" t="str">
        <f>IF(B134="","",_xlfn.LET(_xlpm.t,LOWER(AV134&amp;""),IF(ISNUMBER(SEARCH("dim",_xlpm.t)),"DIM",IF(ISNUMBER(SEARCH("dali",_xlpm.t)),"DALI",IF(OR(ISNUMBER(SEARCH("relay",_xlpm.t)),ISNUMBER(SEARCH("реле",_xlpm.t))),"Relay",IF(ISNUMBER(SEARCH("кнопк",_xlpm.t)),"",IFERROR(_xlfn.XLOOKUP(AX134,Коды_код,Коды_упр)&amp;"","")))))))</f>
        <v/>
      </c>
      <c r="CT134" t="str">
        <f t="shared" si="275"/>
        <v/>
      </c>
      <c r="CU134">
        <f>IF(B134="","",_xlfn.LET(_xlpm.ig,N(P134)+IF(AF134="вручную",0,N(CB134)),_xlpm.n0,IFERROR(VLOOKUP(_xlpm.ig,Автомат_номиналы,2,TRUE),0),_xlpm.mn,MAX(CL134,IF(AF134="вручную",0,N(CE134))),MAX(_xlpm.n0,_xlpm.mn,IF(CR134=1,Мин_автомат_БП,0))))</f>
        <v>6</v>
      </c>
      <c r="CV134">
        <f t="shared" si="276"/>
        <v>1</v>
      </c>
      <c r="CW134" t="str">
        <f t="shared" si="277"/>
        <v>1P</v>
      </c>
      <c r="CX134" t="str">
        <f>_xlfn.LET(_xlpm.cc,UPPER(TRIM(IFERROR(_xlfn.XLOOKUP(AX134,Коды_код,Коды_хар)&amp;"",""))),IF(OR(_xlpm.cc="B",_xlpm.cc="В"),"B",IF(_xlpm.cc="D","D","С")))</f>
        <v>С</v>
      </c>
      <c r="CY134" t="str">
        <f t="shared" si="278"/>
        <v>1P С6А</v>
      </c>
      <c r="CZ134" t="str">
        <f t="shared" si="279"/>
        <v>1P С6А</v>
      </c>
      <c r="DA134" t="str">
        <f t="shared" si="280"/>
        <v>1P С6А</v>
      </c>
      <c r="DB134" cm="1">
        <f t="array" ref="DB134">IF(DA134="","",_xlfn.LET(_xlpm.t,SUBSTITUTE(SUBSTITUTE(SUBSTITUTE(UPPER(DA134),"С","C"),"А","A"),"В","B"),_xlpm.tk,_xlfn.TEXTSPLIT(_xlpm.t,"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4" t="str">
        <f t="shared" si="281"/>
        <v>ok</v>
      </c>
      <c r="DD134">
        <f t="shared" si="282"/>
        <v>6</v>
      </c>
      <c r="DE134" t="str">
        <f t="shared" si="283"/>
        <v>1P С6А</v>
      </c>
      <c r="DF134">
        <f t="shared" si="284"/>
        <v>0</v>
      </c>
      <c r="DG134">
        <f t="shared" si="285"/>
        <v>0</v>
      </c>
      <c r="DH134">
        <f t="shared" si="286"/>
        <v>0</v>
      </c>
      <c r="DI134">
        <f t="shared" si="287"/>
        <v>1.6129723145485166</v>
      </c>
      <c r="DJ134">
        <f t="shared" si="288"/>
        <v>1</v>
      </c>
      <c r="DK134">
        <f>IF(ISNUMBER(AL134),AL134,К_прокл)</f>
        <v>1</v>
      </c>
      <c r="DL134">
        <f t="shared" si="289"/>
        <v>2</v>
      </c>
      <c r="DM134">
        <f>IFERROR(N(VLOOKUP(BT134,Кабель_обозначение,3,FALSE)),1)</f>
        <v>1</v>
      </c>
      <c r="DN134">
        <f>IFERROR(N(_xlfn.XLOOKUP(A134,Щиты[Щит],Щиты[ΔU до шин, %])),0)</f>
        <v>1.1399999999999999</v>
      </c>
      <c r="DO134" t="str">
        <f>IFERROR(_xlfn.XLOOKUP(A134,Щиты[Щит],Щиты[Zпетли на шинах, Ом]),"")</f>
        <v/>
      </c>
      <c r="DP134">
        <f>IFERROR(N(_xlfn.XLOOKUP(A134,Щиты[Щит],Щиты[ΔU до шин (подбор), %])),0)</f>
        <v>1.82</v>
      </c>
      <c r="DQ134" t="str">
        <f>IFERROR(_xlfn.XLOOKUP(A134,Щиты[Щит],Щиты[Zпетли на шинах (подбор), Ом]),"")</f>
        <v/>
      </c>
      <c r="DR134" t="str">
        <f t="shared" si="290"/>
        <v/>
      </c>
      <c r="DS134">
        <f t="shared" si="291"/>
        <v>24</v>
      </c>
      <c r="DT134">
        <f t="shared" si="292"/>
        <v>2</v>
      </c>
      <c r="DU134">
        <f t="shared" si="293"/>
        <v>0.6</v>
      </c>
      <c r="DV134" s="6">
        <f>IF(B134="","",IF(IFERROR(VLOOKUP(AX134,УГО_спр,2,FALSE),"")="Светильник",3,4)+IF(Методика="нормы 2026",MIN(0.5,MAX(0,N(Q134)-100)*0.005),0))</f>
        <v>4</v>
      </c>
      <c r="DW134" cm="1">
        <f t="array" ref="DW134">IF(OR(B134="",BT134="",DM134&lt;&gt;1),"",_xlfn.LET(_xlpm.sz,Iдоп_S,_xlpm.t_,CHOOSE(DL134,Iдоп_1ж,Iдоп_2ж,Iдоп_3ж)*DJ134*DK134,_xlpm.inn,N(DD134),_xlpm.smin,MAX(1.5,BW134),_xlpm.L_,N(Q134)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134)*(_xlpm.rho*_xlpm.L_/_xlpm.sz*N(BY134)+_xlpm.xx*_xlpm.L_*N(DU134)/1000)*N(P134)/((Uн_лин/SQRT(3))*1000)*100,999),_xlpm.kz,IF(OR(DG134=1,NOT(ISNUMBER(DQ134)),_xlpm.L_=0,_xlpm.inn=0),1,IFERROR(--(c_min*(Uн_лин*1000/SQRT(3))/(DQ134+2*ρкз_Cu*_xlpm.L_/_xlpm.sz)&gt;=GY134*_xlpm.inn),0)),_xlpm.ok,IFERROR((_xlpm.sz&gt;=_xlpm.smin)*(_xlpm.t_&gt;=_xlpm.inn)*IF(_xlpm.L_&gt;0,(_xlpm.du_+DP134&lt;=DV134+0.00001),1)*_xlpm.kz,0),_xlpm.r_,_xlfn._xlws.FILTER(_xlpm.sz,_xlpm.ok,"не подобрано"),INDEX(_xlpm.r_,1)))</f>
        <v>1.5</v>
      </c>
      <c r="DX134">
        <f t="shared" si="294"/>
        <v>1.5</v>
      </c>
      <c r="DY134" cm="1">
        <f t="array" ref="DY134">IF(OR(B134="",BT134="",DM134&lt;&gt;1),"",_xlfn.LET(_xlpm.sz,Iдоп_S,_xlpm.t_,CHOOSE(DL134,Iдоп_1ж,Iдоп_2ж,Iдоп_3ж)*DJ134*DK134,_xlpm.ok,IFERROR((_xlpm.sz&gt;=MAX(1.5,BW134))*(_xlpm.t_&gt;=N(DD134)),0),_xlpm.r_,_xlfn._xlws.FILTER(_xlpm.sz,_xlpm.ok,""),INDEX(_xlpm.r_,1)))</f>
        <v>1.5</v>
      </c>
      <c r="DZ134" s="6" cm="1">
        <f t="array" ref="DZ134">IFERROR(ROUNDUP(N(DT134)*(_xlfn.XLOOKUP(DY134,INDEX(Кабель_сопротивление,0,1),INDEX(Кабель_сопротивление,0,3))*N(Q134)/DY134*N(BY134)+_xlfn.XLOOKUP(DY134,INDEX(Кабель_сопротивление,0,1),INDEX(Кабель_сопротивление,0,2))*N(Q134)*N(DU134)/1000)*N(P134)/((Uн_лин/SQRT(3))*1000)*100,2),"")</f>
        <v>0.44</v>
      </c>
      <c r="EA134">
        <f>IFERROR(2*ρкз_Cu*N(Q134)/DY134,"")</f>
        <v>0.91173333333333328</v>
      </c>
      <c r="EB134">
        <f>IFERROR(VLOOKUP(DX134,Кабель_сопротивление,3,FALSE),"")</f>
        <v>2.2499999999999999E-2</v>
      </c>
      <c r="EC134">
        <f>IFERROR(VLOOKUP(DX134,Кабель_сопротивление,2,FALSE),"")</f>
        <v>0.11</v>
      </c>
      <c r="ED134">
        <f t="shared" si="295"/>
        <v>14</v>
      </c>
      <c r="EE134">
        <f t="shared" si="296"/>
        <v>0</v>
      </c>
      <c r="EF134">
        <f t="shared" si="297"/>
        <v>1.012030445261805</v>
      </c>
      <c r="EG134" s="6">
        <f>IFERROR(ROUNDUP(EF134/((Uн_лин/SQRT(3))*1000)*100,2),"")</f>
        <v>0.44</v>
      </c>
      <c r="EH134" t="str">
        <f>IFERROR(VLOOKUP(BT134,Кабель_обозначение,2,FALSE),"")</f>
        <v>ВВГнг(А)-LS</v>
      </c>
      <c r="EI134" t="str">
        <f t="shared" si="298"/>
        <v>ВВГнг(А)-LS (3х1,5)</v>
      </c>
      <c r="EJ134" t="str">
        <f t="shared" si="299"/>
        <v>ВВГнг(А)-LS (3х1,5)
L=26-0,44%</v>
      </c>
      <c r="EK134">
        <f>IFERROR(2*ρкз_Cu*Q134/DX134,"")</f>
        <v>0.91173333333333328</v>
      </c>
      <c r="EL134">
        <f t="shared" si="300"/>
        <v>0.3033333333333334</v>
      </c>
      <c r="EM134" s="6" t="str">
        <f>IFERROR(IF(OR(B134="",NOT(ISNUMBER(DX134)),N(Q134)=0),"",_xlfn.XLOOKUP(A134,Щиты[Щит],Щиты[Zпетли на шинах, Ом])+EK134),"")</f>
        <v/>
      </c>
      <c r="EN134" s="6" t="str">
        <f>IF(ISNUMBER(EM134),c_min*(Uн_лин*1000/SQRT(3))/EM134,"")</f>
        <v/>
      </c>
      <c r="EO134" s="6" t="str">
        <f>IFERROR(IF(OR(B134="",NOT(ISNUMBER(DX134))),"",1.05*(Uн_лин*1000/SQRT(3))/(_xlfn.XLOOKUP(A134,Щиты[Щит],Щиты[Zmax на шинах, Ом])+EL134)/1000),"")</f>
        <v/>
      </c>
      <c r="EP134" s="6" t="str">
        <f>IF(B134="","",IF(ISNUMBER(Y134),"Сил",IF(IFERROR(_xlfn.XLOOKUP(AX134,Коды_код,Коды_группа)&amp;"","")="","Быт",_xlfn.XLOOKUP(AX134,Коды_код,Коды_группа)&amp;"")))</f>
        <v>Сил</v>
      </c>
      <c r="EQ134" s="6" t="str">
        <f t="shared" si="301"/>
        <v>Сил</v>
      </c>
      <c r="ER134" s="6">
        <f>IF(EQ134="Щит","щит",IF(EQ134="","",IF(EQ134="Быт",IFERROR(_xlfn.XLOOKUP(A134,Щиты[Щит],Щиты[Кс быт]),1),IF(EQ134="Сил",IF(ISNUMBER(Y134),Y134,IF(Методика="нормы 2026",IFERROR(_xlfn.XLOOKUP(A134,Щиты[Щит],Щиты[Кс силовых (табл. 7.5)]),1),1)),IF(OR(EQ134="Пост",EQ134="Отоп"),1,IF(EQ134="ВНГ",0.7,0))))))</f>
        <v>0.5</v>
      </c>
      <c r="ES134">
        <f t="shared" si="302"/>
        <v>1</v>
      </c>
      <c r="ET134">
        <f t="shared" si="303"/>
        <v>0.29799999999999999</v>
      </c>
      <c r="EU134">
        <f t="shared" si="304"/>
        <v>0</v>
      </c>
      <c r="EV134">
        <f t="shared" si="305"/>
        <v>0.14899999999999999</v>
      </c>
      <c r="EW134">
        <f t="shared" si="306"/>
        <v>0</v>
      </c>
      <c r="EX134">
        <f t="shared" si="307"/>
        <v>0</v>
      </c>
      <c r="EY134">
        <f t="shared" si="308"/>
        <v>0</v>
      </c>
      <c r="EZ134">
        <f t="shared" si="309"/>
        <v>0.29799999999999999</v>
      </c>
      <c r="FA134">
        <f t="shared" si="310"/>
        <v>0.2384</v>
      </c>
      <c r="FB134">
        <f t="shared" si="311"/>
        <v>0.29799999999999999</v>
      </c>
      <c r="FC134" t="str">
        <f t="shared" si="312"/>
        <v>L1</v>
      </c>
      <c r="FD134" t="str">
        <f>IF(B134="","",IF(CA134=0,IF(AW134=1,"",FF133),IF(OR(N(CV134)&gt;=3,N(BR134)&gt;=3),"L1,L2,L3",IFERROR(_xlfn.TEXTBEFORE(_xlfn.TEXTAFTER(_xlfn.XLOOKUP(A134,Щиты[Щит],Щиты[_фазы авто]),";"&amp;AW134&amp;":"),";"),"L1"))))</f>
        <v>L1</v>
      </c>
      <c r="FE134" t="str">
        <f t="shared" si="313"/>
        <v>L1</v>
      </c>
      <c r="FF134" t="str">
        <f t="shared" si="314"/>
        <v>L1</v>
      </c>
      <c r="FG134" cm="1">
        <f t="array" ref="FG134">IFERROR(IF(BX134=2,_xlfn.IFS(BR134=3,VLOOKUP(BN134,Справочная_двигатели,3,FALSE),BR134=1,VLOOKUP(BN134,Справочная_двигатели,5,TRUE)),0),0)</f>
        <v>0</v>
      </c>
      <c r="FH134">
        <f>IFERROR(IF(BX134=3,VLOOKUP(BN134,Справочная_ЛЭД,2,TRUE),0),0)</f>
        <v>0</v>
      </c>
      <c r="FI134" s="6">
        <f t="shared" si="315"/>
        <v>0</v>
      </c>
      <c r="FJ134" t="str" cm="1">
        <f t="array" ref="FJ134">IF(B134="","",IFERROR(INDEX({"I особая","I","II","III"},MATCH(TRIM(AC134&amp;""),{"I особая","I","II","III"},0)),"III"))</f>
        <v>II</v>
      </c>
      <c r="FK134" t="str">
        <f>IF(B134="","",IF(TRIM(AD134&amp;"")&lt;&gt;"",IF(LOWER(TRIM(AD134&amp;""))="да","да","нет"),IF(IFERROR(_xlfn.XLOOKUP(AX134,Коды_код,Коды_пожарная),"")="да","да","нет")))</f>
        <v>нет</v>
      </c>
      <c r="FL134" t="str">
        <f t="shared" si="316"/>
        <v/>
      </c>
      <c r="FM134" t="str">
        <f t="shared" si="317"/>
        <v>основная</v>
      </c>
      <c r="FN134">
        <f t="shared" si="318"/>
        <v>1</v>
      </c>
      <c r="FO134" t="str" cm="1">
        <f t="array" ref="FO134">IF(B134="","",_xlfn.LET(_xlpm.t,IFERROR(_xlfn.XLOOKUP(1,(Шины[Шина]=FM134)*(((Шины[Щит]=A134)+(Шины[Щит]=""))&gt;0),Шины[Тип]),"")&amp;"",IF(_xlpm.t&lt;&gt;"",_xlpm.t,IF(ISNUMBER(SEARCH("ИБП",FM134)),"ИБП",IF(ISNUMBER(SEARCH("ДГУ",FM134)),"ДГУ","Ввод "&amp;FN134)))))</f>
        <v>Ввод 1</v>
      </c>
      <c r="FP134" t="str">
        <f t="shared" si="319"/>
        <v>Ввод 1</v>
      </c>
      <c r="FQ134" t="str">
        <f>IF(B134="","",IF(OR(FO134="ИБП",FO134="ДГУ"),"I особая",IF(FO134="Одиночная","III",_xlfn.XLOOKUP(A134,Щиты[Щит],Щиты[Категория шины «Ввод»],"III"))))</f>
        <v>II</v>
      </c>
      <c r="FR134">
        <f>IF(B134="",0,IFERROR(MATCH(FJ134,{"III","II","I","I особая"},0),1))</f>
        <v>2</v>
      </c>
      <c r="FS134">
        <f t="shared" si="320"/>
        <v>2</v>
      </c>
      <c r="FT134" t="str">
        <f>IF(B134="","",IF(FR134&gt;IFERROR(MATCH(FQ134,{"III","II","I","I особая"},0),1),"НЕ ОБЕСПЕЧЕНА","ОК"))</f>
        <v>ОК</v>
      </c>
      <c r="FU134" t="str">
        <f>IF(A134="","",_xlfn.XLOOKUP(A134,Щиты[Щит],Щиты[Путь],""))</f>
        <v>|ГРЩ-ЖД|ЩОВ-2|</v>
      </c>
      <c r="FV134" t="str">
        <f>IF(B134="","",IF(AE134&lt;&gt;"",AE134,IF(IFERROR(_xlfn.XLOOKUP(AX134,Коды_код,Коды_вид)&amp;"","")="","Прочее",_xlfn.XLOOKUP(AX134,Коды_код,Коды_вид)&amp;"")))</f>
        <v>Кондиционирование и увлажнение</v>
      </c>
      <c r="FW134">
        <f>IF(BH134="","",INT((BH134-1)/Столбцов_на_лист)+1)</f>
        <v>2</v>
      </c>
      <c r="FX134" t="str">
        <f t="shared" si="321"/>
        <v>ВВГнг(А)-LS (3х1,5) L=26-0,44%</v>
      </c>
      <c r="FY134">
        <f t="shared" si="322"/>
        <v>0.29799999999999999</v>
      </c>
      <c r="FZ134">
        <f t="shared" si="323"/>
        <v>1.62</v>
      </c>
      <c r="GA134">
        <f t="shared" si="324"/>
        <v>1</v>
      </c>
      <c r="GB134">
        <f t="shared" si="325"/>
        <v>0</v>
      </c>
      <c r="GC134">
        <f t="shared" si="326"/>
        <v>1</v>
      </c>
      <c r="GD134">
        <f>IF(BH134="","",IF(AND(CA134=1,GC134=1),COUNTIFS(A$3:A134,A134,CA$3:CA134,1,GC$3:GC134,1),IF(OR(OR(AW134=1,A134&lt;&gt;A133),AF134="вручную",GC134=0),"",IF(AW134=1,"",GE133))))</f>
        <v>4</v>
      </c>
      <c r="GE134">
        <f t="shared" si="327"/>
        <v>4</v>
      </c>
      <c r="GF134">
        <f>IF(B134="","",IFERROR(LOOKUP(INDEX(CHOOSE(DL134,Iдоп_1ж,Iдоп_2ж,Iдоп_3ж),MATCH(DX134,Iдоп_S,0))*DJ134*DK134,{6,10,16,20,25,32,40,50,63,80,100,125,160,200,250,315,400,500,630}),""))</f>
        <v>16</v>
      </c>
      <c r="GG134" t="str">
        <f t="shared" si="328"/>
        <v>QF4</v>
      </c>
      <c r="GH134" t="str">
        <f t="shared" si="329"/>
        <v>QF4</v>
      </c>
      <c r="GI134" t="str">
        <f t="shared" si="330"/>
        <v/>
      </c>
      <c r="GJ134">
        <f t="shared" si="331"/>
        <v>0</v>
      </c>
      <c r="GK134" t="str">
        <f>IF(OR(AG134="",AG134="-"),"",IFERROR(VLOOKUP(AG134,Модули_спр,2,FALSE),"R"))</f>
        <v/>
      </c>
      <c r="GL134" t="str">
        <f>IF(GK134="","",GK134&amp;"."&amp;COUNTIFS(A$3:A134,A134,GK$3:GK134,GK134))</f>
        <v/>
      </c>
      <c r="GM134" t="str">
        <f t="shared" si="332"/>
        <v/>
      </c>
      <c r="GN134" t="str">
        <f t="shared" si="333"/>
        <v/>
      </c>
      <c r="GO134" t="str">
        <f t="shared" si="334"/>
        <v/>
      </c>
      <c r="GP134" t="str">
        <f t="shared" si="335"/>
        <v/>
      </c>
      <c r="GQ134">
        <f t="shared" si="336"/>
        <v>1</v>
      </c>
      <c r="GR134" t="str">
        <f>IF(GQ134=1,"XT"&amp;COUNTIFS(A$3:A134,A134,GQ$3:GQ134,1),"")</f>
        <v>XT4</v>
      </c>
      <c r="GS134" t="str">
        <f t="shared" si="337"/>
        <v>XT4</v>
      </c>
      <c r="GT134" t="str">
        <f t="shared" si="338"/>
        <v>QF4</v>
      </c>
      <c r="GU134" t="str">
        <f t="shared" si="339"/>
        <v/>
      </c>
      <c r="GV134" t="str">
        <f t="shared" si="340"/>
        <v>ok</v>
      </c>
      <c r="GW134" t="str">
        <f>IF(OR(GO134="",GM134=""),"",IF(GO134&gt;IFERROR(VLOOKUP(GN134,Модули_спр,3,FALSE),99),"ЛИШНИЙ КАНАЛ",IF(AND(AH134&lt;&gt;"=",COUNTIFS(Линии[_модуль гр.],GM134,Линии[Канал (итог)],GO134,Линии[Канал],"&lt;&gt;=",Линии[Щит],A134)&gt;1),"ДУБЛЬ КАНАЛА","")))</f>
        <v/>
      </c>
      <c r="GX134" s="6" t="str">
        <f t="shared" si="341"/>
        <v/>
      </c>
      <c r="GY134">
        <f t="shared" si="342"/>
        <v>10</v>
      </c>
      <c r="GZ134" t="str">
        <f t="shared" si="343"/>
        <v/>
      </c>
      <c r="HA134" t="str">
        <f>IF(AND(B134="",GT134=""),"",_xlfn.TEXTJOIN("; ",TRUE,IF(AND(B134&lt;&gt;"",FE134=""),"нет фазы",""),IF(AND(B134&lt;&gt;"",N(FY134)=0,EQ134&lt;&gt;"Нет"),"нет мощности",""),IF(AND(GS134&lt;&gt;"",COUNTIFS(Линии[Щит],A134,Линии[Клемма (итог)],GS134)&gt;1),"дубль клеммы "&amp;GS134,""),IF(AND(GV134&lt;&gt;"",GV134&lt;&gt;"ok"),GV134,""),IF(GW134&lt;&gt;"",GW134,""),IF(AND(N(BV134)&gt;=4,N(BR134)=1),BV134&amp;" жил на 1 фазе",""),IF(AND(AX134="R",CA134=1,OR(N(CK134)=0,N(CK134)&gt;30)),"розетка без дифзащиты до 30 мА",""),IFERROR(IF(AND(ISNUMBER(R134),R134&gt;DV134),"потери "&amp;FIXED(R134,1)&amp;" % &gt; "&amp;DV134&amp;" %",""),""),IFERROR(IF(LEFT(GZ134,4)="мало","Iкз мало — отключение &gt; 0,4 с",""),""),IF(AND(B134&lt;&gt;"",BH134=""),"не на схеме",""),IF(AND(CA134=0,B134&lt;&gt;"",FE134&lt;&gt;"",IF(AW134=1,"",FF133)&lt;&gt;"",FE134&lt;&gt;IF(AW134=1,"",FF133)),"фаза не как у автомата группы ("&amp;IF(AW134=1,"",FF133)&amp;")","")))</f>
        <v/>
      </c>
      <c r="HB134" s="6" t="str">
        <f>IF(OR(CA134=0,DA134=""),"",_xlfn.LET(_xlpm.t,IFERROR(_xlfn.XLOOKUP(DA134,Каталог!$U$4:$U$500,Каталог!$G$4:$G$500),""),_xlpm.k,SEARCH("кА",_xlpm.t),IFERROR(--TRIM(RIGHT(SUBSTITUTE(MID(_xlpm.t,MAX(1,_xlpm.k-4),_xlpm.k-MAX(1,_xlpm.k-4))," ",REPT(" ",9)),5)),"")))</f>
        <v/>
      </c>
      <c r="HC134" t="str">
        <f>IF(OR(HB134="",CA134=0),"",IF(_xlfn.XLOOKUP(A134,Щиты[Щит],Щиты[Iкз max на шинах, кА],"")="","",IF(HB134&lt;_xlfn.XLOOKUP(A134,Щиты[Щит],Щиты[Iкз max на шинах, кА]),"Icu "&amp;HB134&amp;" кА &lt; Iкз max","ok")))</f>
        <v/>
      </c>
      <c r="HD134" t="str">
        <f t="shared" si="344"/>
        <v/>
      </c>
      <c r="HE134" t="str">
        <f t="shared" si="345"/>
        <v>QF4|XT4</v>
      </c>
      <c r="HF134" t="str">
        <f t="shared" si="346"/>
        <v>QF4|XT4|кабель ВВГнг(А)-LS (3х1,5) → Внутренний блок кондиционирования Технический этаж Пом. №001Т</v>
      </c>
      <c r="HG134" t="str" cm="1">
        <f t="array" ref="HG134">IF(HF134="","",_xlfn.LET(_xlpm.nd,_xlfn.TEXTSPLIT(HF134,"|"),IF(COLUMNS(_xlpm.nd)&gt;1,A134&amp;"¦"&amp;INDEX(_xlpm.nd,1)&amp;"¦"&amp;INDEX(_xlpm.nd,2),"")))</f>
        <v>ЩОВ-2¦QF4¦XT4</v>
      </c>
      <c r="HH134" t="str">
        <f t="shared" si="347"/>
        <v>K.1.005A¦Внутренний блок кондиционирования Технический этаж Пом. №001Т</v>
      </c>
      <c r="HI134" t="str" cm="1">
        <f t="array" ref="HI134">IF(HF134="","",_xlfn.LET(_xlpm.nd,_xlfn.TEXTSPLIT(HF134,"|"),IF(COLUMNS(_xlpm.nd)&gt;2,A134&amp;"¦"&amp;INDEX(_xlpm.nd,2)&amp;"¦"&amp;INDEX(_xlpm.nd,3),"")))</f>
        <v>ЩОВ-2¦XT4¦кабель ВВГнг(А)-LS (3х1,5) → Внутренний блок кондиционирования Технический этаж Пом. №001Т</v>
      </c>
      <c r="HJ134" t="str">
        <f t="shared" si="348"/>
        <v>K.1.005A¦Внутренний блок кондиционирования Технический этаж Пом. №001Т</v>
      </c>
      <c r="HK134" t="str" cm="1">
        <f t="array" ref="HK134">IF(HF134="","",_xlfn.LET(_xlpm.nd,_xlfn.TEXTSPLIT(HF134,"|"),IF(COLUMNS(_xlpm.nd)&gt;3,A134&amp;"¦"&amp;INDEX(_xlpm.nd,3)&amp;"¦"&amp;INDEX(_xlpm.nd,4),"")))</f>
        <v/>
      </c>
      <c r="HL134" t="str">
        <f t="shared" si="349"/>
        <v/>
      </c>
      <c r="HM134" t="str" cm="1">
        <f t="array" ref="HM134">IF(HF134="","",_xlfn.LET(_xlpm.nd,_xlfn.TEXTSPLIT(HF134,"|"),IF(COLUMNS(_xlpm.nd)&gt;4,A134&amp;"¦"&amp;INDEX(_xlpm.nd,4)&amp;"¦"&amp;INDEX(_xlpm.nd,5),"")))</f>
        <v/>
      </c>
      <c r="HN134" t="str">
        <f t="shared" si="350"/>
        <v/>
      </c>
      <c r="HO134" t="str" cm="1">
        <f t="array" ref="HO134">IF(HF134="","",_xlfn.LET(_xlpm.nd,_xlfn.TEXTSPLIT(HF134,"|"),IF(COLUMNS(_xlpm.nd)&gt;5,A134&amp;"¦"&amp;INDEX(_xlpm.nd,5)&amp;"¦"&amp;INDEX(_xlpm.nd,6),"")))</f>
        <v/>
      </c>
      <c r="HP134" t="str">
        <f t="shared" si="351"/>
        <v/>
      </c>
      <c r="HQ134" t="str" cm="1">
        <f t="array" ref="HQ134">IF(HF134="","",_xlfn.LET(_xlpm.nd,_xlfn.TEXTSPLIT(HF134,"|"),IF(COLUMNS(_xlpm.nd)&gt;6,A134&amp;"¦"&amp;INDEX(_xlpm.nd,6)&amp;"¦"&amp;INDEX(_xlpm.nd,7),"")))</f>
        <v/>
      </c>
      <c r="HR134" t="str">
        <f t="shared" si="352"/>
        <v/>
      </c>
      <c r="HS134" t="str">
        <f t="shared" si="353"/>
        <v/>
      </c>
      <c r="HT134" t="str">
        <f t="shared" si="354"/>
        <v>QF4 → XT4</v>
      </c>
      <c r="HU134">
        <f t="shared" si="355"/>
        <v>0</v>
      </c>
      <c r="HV134">
        <f t="shared" si="356"/>
        <v>0</v>
      </c>
      <c r="HW134" t="str">
        <f t="shared" si="357"/>
        <v/>
      </c>
      <c r="HX134" t="str">
        <f t="shared" si="358"/>
        <v/>
      </c>
      <c r="HY134" t="str">
        <f t="shared" si="359"/>
        <v/>
      </c>
      <c r="HZ134" t="str">
        <f t="shared" si="360"/>
        <v/>
      </c>
      <c r="IA134">
        <f>IF(B134="","",IFERROR(VLOOKUP(B134,УГО_спр,2,FALSE),IFERROR(VLOOKUP(AX134,УГО_спр,2,FALSE),IFERROR(VLOOKUP(LEFT(AX134,2),УГО_спр,2,FALSE),""))))</f>
        <v>0</v>
      </c>
      <c r="IB134" t="str">
        <f>IF(B134="","",IF(OR(IA134="",IA134=0),"BOX",IFERROR(IF(VLOOKUP(IA134,УГО_блоки,3,FALSE)&amp;""&lt;&gt;"",VLOOKUP(IA134,УГО_блоки,3,FALSE),VLOOKUP(IA134,УГО_блоки,2,FALSE)),IA134)))</f>
        <v>BOX</v>
      </c>
      <c r="IC134">
        <f t="shared" si="361"/>
        <v>1</v>
      </c>
      <c r="ID134" t="str">
        <f>IF(DA134="","",IF(COUNTIF(DA$3:DA134,DA134)=1,MAX(ID$2:ID133)+1,""))</f>
        <v/>
      </c>
      <c r="IE134" t="str">
        <f>IF(CO134="","",IF(COUNTIF(CO$3:CO134,CO134)+COUNTIF(CP$2:CP133,CO134)+COUNTIF(CQ$2:CQ133,CO134)=1,MAX(IE$2:IG133)+1,""))</f>
        <v/>
      </c>
      <c r="IF134" t="str">
        <f>IF(CP134="","",IF(COUNTIF(CO$3:CO134,CP134)+COUNTIF(CP$3:CP134,CP134)+COUNTIF(CQ$2:CQ133,CP134)=1,MAX(IE$2:IG133,IE134)+1,""))</f>
        <v/>
      </c>
      <c r="IG134" t="str">
        <f>IF(CQ134="","",IF(COUNTIF(CO$3:CO134,CQ134)+COUNTIF(CP$3:CP134,CQ134)+COUNTIF(CQ$3:CQ134,CQ134)=1,MAX(IE$2:IG133,IE134,IF134)+1,""))</f>
        <v/>
      </c>
      <c r="IH134" t="str">
        <f t="shared" si="362"/>
        <v>3х1,5</v>
      </c>
      <c r="II134" t="str">
        <f>IF(IH134="","",IF(COUNTIF(IH$3:IH134,IH134)=1,MAX(II$2:II133)+1,""))</f>
        <v/>
      </c>
      <c r="IJ134" t="str">
        <f>IF(GL134="","",COUNTIF(GL$3:GL134,"?*"))</f>
        <v/>
      </c>
      <c r="IK134" t="str">
        <f>IF(OR(GL134="",GN134=""),"",IF(COUNTIFS(GL$3:GL134,"?*",GN$3:GN134,GN134)=1,MAX(IK$2:IK133)+1,""))</f>
        <v/>
      </c>
      <c r="IL134">
        <f t="shared" si="363"/>
        <v>0</v>
      </c>
      <c r="IM134">
        <f>IF(B134="","",COUNTIF(B$3:B134,"?*"))</f>
        <v>132</v>
      </c>
      <c r="IN134">
        <f>IF(GQ134&lt;&gt;1,0,_xlfn.LET(_xlpm.k,MAX(IFERROR(--VLOOKUP(B134,УГО_спр,5,FALSE),0),IFERROR(--VLOOKUP(AX134,УГО_спр,5,FALSE),0),IFERROR(--VLOOKUP(LEFT(AX134,2),УГО_спр,5,FALSE),0)),IF(_xlpm.k&gt;0,_xlpm.k,IF(IFERROR(--LEFT(SUBSTITUTE(IH134,"x","х"),FIND("х",SUBSTITUTE(IH134,"x","х"))-1),3)&gt;3,Каталог!$S$9,1))))</f>
        <v>1</v>
      </c>
      <c r="IO134">
        <f t="shared" si="364"/>
        <v>0</v>
      </c>
      <c r="IP134" t="str">
        <f t="shared" si="365"/>
        <v>авто</v>
      </c>
      <c r="IQ134" t="str">
        <f t="shared" si="366"/>
        <v/>
      </c>
      <c r="IR134">
        <f t="shared" si="367"/>
        <v>0</v>
      </c>
      <c r="IS134">
        <f t="shared" si="368"/>
        <v>1</v>
      </c>
    </row>
    <row r="135" spans="1:253" x14ac:dyDescent="0.3">
      <c r="A135" t="s">
        <v>753</v>
      </c>
      <c r="B135" t="s">
        <v>1403</v>
      </c>
      <c r="C135" t="s">
        <v>1644</v>
      </c>
      <c r="D135">
        <v>1</v>
      </c>
      <c r="E135">
        <v>0.104</v>
      </c>
      <c r="G135" t="str">
        <f>Линии[[#This Row],[_авто автомат]]</f>
        <v>1P С6А</v>
      </c>
      <c r="H135" t="str">
        <f>Линии[[#This Row],[_авто утечка]]</f>
        <v/>
      </c>
      <c r="I135" t="str">
        <f>Линии[[#This Row],[_авто управление]]</f>
        <v/>
      </c>
      <c r="J135" t="str">
        <f>Линии[[#This Row],[_авто аппараты]]</f>
        <v/>
      </c>
      <c r="K135">
        <v>1.5</v>
      </c>
      <c r="L135">
        <v>32</v>
      </c>
      <c r="M135">
        <v>2</v>
      </c>
      <c r="N135" t="s">
        <v>486</v>
      </c>
      <c r="O135" t="str">
        <f t="shared" si="246"/>
        <v/>
      </c>
      <c r="P135" s="6" cm="1">
        <f t="array" ref="P135">IF(B135="","",IF(BC135&lt;&gt;"",IFERROR(_xlfn.XLOOKUP(BC135,Щиты[Щит],Щиты[Iр, А]),""),IF(BK135=1,IFERROR(_xlfn.XLOOKUP(A135,Щиты[Щит],Щиты[Iр, А]),""),IFERROR(_xlfn.IFS(BR135=1,BN135/((Uн_лин/SQRT(3))*BY135),BR135=3,BN135/(SQRT(3)*Uн_лин*BY135)),""))))</f>
        <v>0.56291651245988494</v>
      </c>
      <c r="Q135" s="7">
        <f>IF(B135="","",IFERROR(IF(VLOOKUP(AX135,Потребители_обозначение,4,FALSE)=1,VLOOKUP(AX135,Потребители_обозначение,3,FALSE)*(D135*2-1)+DS135+VLOOKUP(AZ135,Этаж_обозначение,3,FALSE)+VLOOKUP(AZ135,Этаж_обозначение,4,FALSE),VLOOKUP(AX135,Потребители_обозначение,3,FALSE)*(D135*2-1)+DS135),DS135))</f>
        <v>34</v>
      </c>
      <c r="R135" s="6">
        <f t="shared" si="247"/>
        <v>1.3399999999999999</v>
      </c>
      <c r="S135" t="str">
        <f t="shared" si="248"/>
        <v>ВВГнг(А)-LS (3х1,5)</v>
      </c>
      <c r="T135" t="str">
        <f>IF(BH135="","",IF(BI135="вводной узел","узел ","")&amp;"л."&amp;(INT((BH135-1)/Столбцов_на_лист)+1)&amp;" / "&amp;(MOD(BH135-1,Столбцов_на_лист)+1))</f>
        <v>л.2 / 7</v>
      </c>
      <c r="V135">
        <v>1</v>
      </c>
      <c r="W135">
        <v>230</v>
      </c>
      <c r="X135" t="s">
        <v>600</v>
      </c>
      <c r="Y135">
        <v>0.5</v>
      </c>
      <c r="AC135" t="s">
        <v>815</v>
      </c>
      <c r="AE135" t="s">
        <v>578</v>
      </c>
      <c r="AI135">
        <v>24</v>
      </c>
      <c r="AJ135" t="s">
        <v>11</v>
      </c>
      <c r="AK135">
        <v>3</v>
      </c>
      <c r="AM135">
        <v>12</v>
      </c>
      <c r="AN135">
        <v>22</v>
      </c>
      <c r="AP135">
        <v>1</v>
      </c>
      <c r="AW135" cm="1">
        <f t="array" ref="AW135">ROW()-ROW(Линии[#Headers])</f>
        <v>133</v>
      </c>
      <c r="AX135" s="6" t="str">
        <f t="shared" si="249"/>
        <v>K</v>
      </c>
      <c r="AY135" t="str">
        <f t="shared" si="250"/>
        <v>2.004A</v>
      </c>
      <c r="AZ135" t="str">
        <f t="shared" si="251"/>
        <v>2</v>
      </c>
      <c r="BA135" t="str">
        <f t="shared" si="252"/>
        <v>004A</v>
      </c>
      <c r="BB135" t="str">
        <f t="shared" si="253"/>
        <v>004A</v>
      </c>
      <c r="BC135" t="str">
        <f>IF(U135&lt;&gt;"",U135,IF(AND(B135&lt;&gt;"",B135&lt;&gt;A135,ISNUMBER(_xlfn.XMATCH(B135,Щиты[Щит]))),B135,""))</f>
        <v/>
      </c>
      <c r="BD135" t="str" cm="1">
        <f t="array" ref="BD135">IF(B135="","",IF(BC135&lt;&gt;"","Щит "&amp;BC135,_xlfn.LET(_xlpm.nm,IFERROR(_xlfn.XLOOKUP(AX135,Коды_код,Коды_имя)&amp;"",""),_xlpm.md,IFERROR(N(_xlfn.XLOOKUP(AX135,Коды_код,Коды_режим)),1),_xlpm.ex,IF(Имя_режим="по экспликации",IFERROR(_xlfn.XLOOKUP(AZ135&amp;"|"&amp;BB135,Экспликация[Этаж]&amp;"|"&amp;Экспликация[Помещение],Экспликация[Название])&amp;"",""),""),_xlpm.rm,IF(BB135="","",IF(_xlpm.ex&lt;&gt;"",". "&amp;_xlpm.ex&amp;IF(Имя_пом="нет"," ("&amp;BB135&amp;")"," (пом. "&amp;BB135&amp;")"),IF(Имя_пом="нет"," ",", пом. ")&amp;BB135)),IF(_xlpm.nm="","",IF(_xlpm.md=2,_xlpm.nm&amp;" шлейф "&amp;AZ135,_xlpm.nm&amp;_xlpm.rm)))))</f>
        <v>Внутренний блок кондиционирования, пом. 004A</v>
      </c>
      <c r="BE135" t="str">
        <f t="shared" si="254"/>
        <v>Внутренний блок кондиционирования Технический этаж Пом. №002Т</v>
      </c>
      <c r="BF135">
        <f>IFERROR(_xlfn.XMATCH(A135,Щиты[Щит]),0)</f>
        <v>7</v>
      </c>
      <c r="BG135">
        <f>_xlfn.LET(_xlpm.k,IFERROR(_xlfn.XLOOKUP(A135,Щиты[Щит],Щиты[Листов под вводной узел]),""),IF(_xlpm.k="",1,N(_xlpm.k))*Столбцов_на_лист)</f>
        <v>17</v>
      </c>
      <c r="BH135">
        <f t="shared" si="255"/>
        <v>24</v>
      </c>
      <c r="BI135" t="str">
        <f t="shared" si="256"/>
        <v>линии</v>
      </c>
      <c r="BJ135" s="6">
        <f>IFERROR(N(_xlfn.XLOOKUP(AX135,Коды_код,Коды_квт)),0)</f>
        <v>0</v>
      </c>
      <c r="BK135">
        <f t="shared" si="257"/>
        <v>0</v>
      </c>
      <c r="BL135" t="str">
        <f>IF(B135="","",IF(BC135&lt;&gt;"",IFERROR(_xlfn.XLOOKUP(BC135,Щиты[Щит],Щиты[Руст, кВт]),0),IF(BK135=1,IFERROR(_xlfn.XLOOKUP(A135,Щиты[Щит],Щиты[Руст, кВт]),0),IF(BJ135&gt;0,ROUND(BJ135*MAX(1,N(D135)),3),""))))</f>
        <v/>
      </c>
      <c r="BM135">
        <f t="shared" si="258"/>
        <v>0.104</v>
      </c>
      <c r="BN135" s="6">
        <f>IF(B135="","",IF(BC135&lt;&gt;"",IFERROR(_xlfn.XLOOKUP(BC135,Щиты[Щит],Щиты[Руст, кВт]),0),N(BM135)))</f>
        <v>0.104</v>
      </c>
      <c r="BO135" t="str">
        <f>IF(B135="","",IFERROR(IF(VLOOKUP(AX135,Потребители_обозначение,8,FALSE)=0,"",VLOOKUP(AX135,Потребители_обозначение,8,FALSE)),""))</f>
        <v/>
      </c>
      <c r="BP135">
        <f t="shared" si="259"/>
        <v>230</v>
      </c>
      <c r="BQ135">
        <f>IF(B135="","",IF(BC135&lt;&gt;"",3,IFERROR(IF(N(VLOOKUP(AX135,Потребители_обозначение,9,FALSE))=0,1,VLOOKUP(AX135,Потребители_обозначение,9,FALSE)),1)))</f>
        <v>1</v>
      </c>
      <c r="BR135">
        <f t="shared" si="260"/>
        <v>1</v>
      </c>
      <c r="BS135" t="str">
        <f>IF(B135="","",_xlfn.LET(_xlpm.bc,IFERROR(IF(VLOOKUP(AX135,Потребители_обозначение,6,FALSE)=0,"",VLOOKUP(AX135,Потребители_обозначение,6,FALSE)&amp;""),""),IF(AND(FK135="да",OR(_xlpm.bc="",_xlpm.bc="мс")),Марка_пож,IF(AND(_xlpm.bc="",BC135&lt;&gt;""),"мс",_xlpm.bc))))</f>
        <v/>
      </c>
      <c r="BT135" t="str">
        <f t="shared" si="261"/>
        <v>мс</v>
      </c>
      <c r="BU135">
        <f>IF(B135="","",_xlfn.LET(_xlpm.cc,IFERROR(N(VLOOKUP(AX135,Потребители_обозначение,7,FALSE)),0),IF(_xlpm.cc&gt;0,_xlpm.cc,IF(BT135="","",IF(N(BR135)=3,5,3)))))</f>
        <v>3</v>
      </c>
      <c r="BV135">
        <f t="shared" si="262"/>
        <v>3</v>
      </c>
      <c r="BW135">
        <f>IFERROR(N(VLOOKUP(AX135,Потребители_обозначение,10,FALSE)),0)</f>
        <v>0</v>
      </c>
      <c r="BX135">
        <f>IFERROR(VLOOKUP(AX135,Потребители_обозначение,5,FALSE),0)</f>
        <v>1</v>
      </c>
      <c r="BY135" s="6" cm="1">
        <f t="array" ref="BY135">IF(B135="","",IF(BC135&lt;&gt;"",IFERROR(_xlfn.XLOOKUP(BC135,Щиты[Щит],Щиты[cos φ]),0.95),IF(BK135=1,IFERROR(_xlfn.XLOOKUP(A135,Щиты[Щит],Щиты[cos φ]),0.95),IF(ISNUMBER(Z135),Z135,IFERROR(IF(BX135=2,_xlfn.IFS(BR135=3,VLOOKUP(BN135,Справочная_двигатели,8,FALSE),BR135=1,VLOOKUP(BN135,Справочная_двигатели,10,TRUE)),IF(AND(Методика="нормы 2026",EQ135="Сил"),0.8,0.95)),0.95)))))</f>
        <v>0.8</v>
      </c>
      <c r="BZ135">
        <f t="shared" si="263"/>
        <v>0</v>
      </c>
      <c r="CA135">
        <f t="shared" si="264"/>
        <v>1</v>
      </c>
      <c r="CB135">
        <f t="shared" si="265"/>
        <v>0</v>
      </c>
      <c r="CC135">
        <f t="shared" si="266"/>
        <v>0</v>
      </c>
      <c r="CD135">
        <f t="shared" si="267"/>
        <v>0</v>
      </c>
      <c r="CE135">
        <f t="shared" si="268"/>
        <v>0</v>
      </c>
      <c r="CF135">
        <f t="shared" si="269"/>
        <v>0</v>
      </c>
      <c r="CG135">
        <f>IF(AX135="",0,_xlfn.LET(_xlpm.v,IFERROR(VLOOKUP(B135,УГО_спр,3,FALSE),IFERROR(VLOOKUP(AX135,УГО_спр,3,FALSE),IFERROR(VLOOKUP(LEFT(AX135,2),УГО_спр,3,FALSE),""))),IF(_xlpm.v="да",30,IF(ISNUMBER(_xlpm.v),_xlpm.v,0))))</f>
        <v>0</v>
      </c>
      <c r="CH135" t="str">
        <f t="shared" si="270"/>
        <v/>
      </c>
      <c r="CI135" t="str">
        <f>_xlfn.LET(_xlpm.k,IFERROR(_xlfn.XLOOKUP(AX135,Коды_код,Коды_утечка)&amp;"",""),IF(_xlpm.k="","дифавтомат",_xlpm.k))</f>
        <v>дифавтомат</v>
      </c>
      <c r="CJ135">
        <f t="shared" si="271"/>
        <v>0</v>
      </c>
      <c r="CK135">
        <f t="shared" si="272"/>
        <v>0</v>
      </c>
      <c r="CL135">
        <f>IF(B135="",0,IFERROR(--VLOOKUP(B135,УГО_спр,4,FALSE),IFERROR(--VLOOKUP(AX135,УГО_спр,4,FALSE),IFERROR(--VLOOKUP(LEFT(AX135,2),УГО_спр,4,FALSE),0))))</f>
        <v>0</v>
      </c>
      <c r="CM135" t="str">
        <f>IF(B135="","",IFERROR(_xlfn.XLOOKUP(AX135,Коды_код,Коды_апп)&amp;"",""))</f>
        <v/>
      </c>
      <c r="CN135" t="str">
        <f t="shared" si="273"/>
        <v/>
      </c>
      <c r="CO135" t="str" cm="1">
        <f t="array" ref="CO135">IF(TRIM(CN135&amp;"")="","",IFERROR(TRIM(INDEX(_xlfn.TEXTSPLIT(CN135&amp;";;;",";"),1)),""))</f>
        <v/>
      </c>
      <c r="CP135" t="str" cm="1">
        <f t="array" ref="CP135">IF(TRIM(CN135&amp;"")="","",IFERROR(TRIM(INDEX(_xlfn.TEXTSPLIT(CN135&amp;";;;",";"),2)),""))</f>
        <v/>
      </c>
      <c r="CQ135" t="str" cm="1">
        <f t="array" ref="CQ135">IF(TRIM(CN135&amp;"")="","",IFERROR(TRIM(INDEX(_xlfn.TEXTSPLIT(CN135&amp;";;;",";"),3)),""))</f>
        <v/>
      </c>
      <c r="CR135">
        <f t="shared" si="274"/>
        <v>0</v>
      </c>
      <c r="CS135" t="str">
        <f>IF(B135="","",_xlfn.LET(_xlpm.t,LOWER(AV135&amp;""),IF(ISNUMBER(SEARCH("dim",_xlpm.t)),"DIM",IF(ISNUMBER(SEARCH("dali",_xlpm.t)),"DALI",IF(OR(ISNUMBER(SEARCH("relay",_xlpm.t)),ISNUMBER(SEARCH("реле",_xlpm.t))),"Relay",IF(ISNUMBER(SEARCH("кнопк",_xlpm.t)),"",IFERROR(_xlfn.XLOOKUP(AX135,Коды_код,Коды_упр)&amp;"","")))))))</f>
        <v/>
      </c>
      <c r="CT135" t="str">
        <f t="shared" si="275"/>
        <v/>
      </c>
      <c r="CU135">
        <f>IF(B135="","",_xlfn.LET(_xlpm.ig,N(P135)+IF(AF135="вручную",0,N(CB135)),_xlpm.n0,IFERROR(VLOOKUP(_xlpm.ig,Автомат_номиналы,2,TRUE),0),_xlpm.mn,MAX(CL135,IF(AF135="вручную",0,N(CE135))),MAX(_xlpm.n0,_xlpm.mn,IF(CR135=1,Мин_автомат_БП,0))))</f>
        <v>6</v>
      </c>
      <c r="CV135">
        <f t="shared" si="276"/>
        <v>1</v>
      </c>
      <c r="CW135" t="str">
        <f t="shared" si="277"/>
        <v>1P</v>
      </c>
      <c r="CX135" t="str">
        <f>_xlfn.LET(_xlpm.cc,UPPER(TRIM(IFERROR(_xlfn.XLOOKUP(AX135,Коды_код,Коды_хар)&amp;"",""))),IF(OR(_xlpm.cc="B",_xlpm.cc="В"),"B",IF(_xlpm.cc="D","D","С")))</f>
        <v>С</v>
      </c>
      <c r="CY135" t="str">
        <f t="shared" si="278"/>
        <v>1P С6А</v>
      </c>
      <c r="CZ135" t="str">
        <f t="shared" si="279"/>
        <v>1P С6А</v>
      </c>
      <c r="DA135" t="str">
        <f t="shared" si="280"/>
        <v>1P С6А</v>
      </c>
      <c r="DB135" cm="1">
        <f t="array" ref="DB135">IF(DA135="","",_xlfn.LET(_xlpm.t,SUBSTITUTE(SUBSTITUTE(SUBSTITUTE(UPPER(DA135),"С","C"),"А","A"),"В","B"),_xlpm.tk,_xlfn.TEXTSPLIT(_xlpm.t,"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5" t="str">
        <f t="shared" si="281"/>
        <v>ok</v>
      </c>
      <c r="DD135">
        <f t="shared" si="282"/>
        <v>6</v>
      </c>
      <c r="DE135" t="str">
        <f t="shared" si="283"/>
        <v>1P С6А</v>
      </c>
      <c r="DF135">
        <f t="shared" si="284"/>
        <v>0</v>
      </c>
      <c r="DG135">
        <f t="shared" si="285"/>
        <v>0</v>
      </c>
      <c r="DH135">
        <f t="shared" si="286"/>
        <v>0</v>
      </c>
      <c r="DI135">
        <f t="shared" si="287"/>
        <v>0.56291651245988494</v>
      </c>
      <c r="DJ135">
        <f t="shared" si="288"/>
        <v>1</v>
      </c>
      <c r="DK135">
        <f>IF(ISNUMBER(AL135),AL135,К_прокл)</f>
        <v>1</v>
      </c>
      <c r="DL135">
        <f t="shared" si="289"/>
        <v>2</v>
      </c>
      <c r="DM135">
        <f>IFERROR(N(VLOOKUP(BT135,Кабель_обозначение,3,FALSE)),1)</f>
        <v>1</v>
      </c>
      <c r="DN135">
        <f>IFERROR(N(_xlfn.XLOOKUP(A135,Щиты[Щит],Щиты[ΔU до шин, %])),0)</f>
        <v>1.1399999999999999</v>
      </c>
      <c r="DO135" t="str">
        <f>IFERROR(_xlfn.XLOOKUP(A135,Щиты[Щит],Щиты[Zпетли на шинах, Ом]),"")</f>
        <v/>
      </c>
      <c r="DP135">
        <f>IFERROR(N(_xlfn.XLOOKUP(A135,Щиты[Щит],Щиты[ΔU до шин (подбор), %])),0)</f>
        <v>1.82</v>
      </c>
      <c r="DQ135" t="str">
        <f>IFERROR(_xlfn.XLOOKUP(A135,Щиты[Щит],Щиты[Zпетли на шинах (подбор), Ом]),"")</f>
        <v/>
      </c>
      <c r="DR135" t="str">
        <f t="shared" si="290"/>
        <v/>
      </c>
      <c r="DS135">
        <f t="shared" si="291"/>
        <v>32</v>
      </c>
      <c r="DT135">
        <f t="shared" si="292"/>
        <v>2</v>
      </c>
      <c r="DU135">
        <f t="shared" si="293"/>
        <v>0.6</v>
      </c>
      <c r="DV135" s="6">
        <f>IF(B135="","",IF(IFERROR(VLOOKUP(AX135,УГО_спр,2,FALSE),"")="Светильник",3,4)+IF(Методика="нормы 2026",MIN(0.5,MAX(0,N(Q135)-100)*0.005),0))</f>
        <v>4</v>
      </c>
      <c r="DW135" cm="1">
        <f t="array" ref="DW135">IF(OR(B135="",BT135="",DM135&lt;&gt;1),"",_xlfn.LET(_xlpm.sz,Iдоп_S,_xlpm.t_,CHOOSE(DL135,Iдоп_1ж,Iдоп_2ж,Iдоп_3ж)*DJ135*DK135,_xlpm.inn,N(DD135),_xlpm.smin,MAX(1.5,BW135),_xlpm.L_,N(Q135)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135)*(_xlpm.rho*_xlpm.L_/_xlpm.sz*N(BY135)+_xlpm.xx*_xlpm.L_*N(DU135)/1000)*N(P135)/((Uн_лин/SQRT(3))*1000)*100,999),_xlpm.kz,IF(OR(DG135=1,NOT(ISNUMBER(DQ135)),_xlpm.L_=0,_xlpm.inn=0),1,IFERROR(--(c_min*(Uн_лин*1000/SQRT(3))/(DQ135+2*ρкз_Cu*_xlpm.L_/_xlpm.sz)&gt;=GY135*_xlpm.inn),0)),_xlpm.ok,IFERROR((_xlpm.sz&gt;=_xlpm.smin)*(_xlpm.t_&gt;=_xlpm.inn)*IF(_xlpm.L_&gt;0,(_xlpm.du_+DP135&lt;=DV135+0.00001),1)*_xlpm.kz,0),_xlpm.r_,_xlfn._xlws.FILTER(_xlpm.sz,_xlpm.ok,"не подобрано"),INDEX(_xlpm.r_,1)))</f>
        <v>1.5</v>
      </c>
      <c r="DX135">
        <f t="shared" si="294"/>
        <v>1.5</v>
      </c>
      <c r="DY135" cm="1">
        <f t="array" ref="DY135">IF(OR(B135="",BT135="",DM135&lt;&gt;1),"",_xlfn.LET(_xlpm.sz,Iдоп_S,_xlpm.t_,CHOOSE(DL135,Iдоп_1ж,Iдоп_2ж,Iдоп_3ж)*DJ135*DK135,_xlpm.ok,IFERROR((_xlpm.sz&gt;=MAX(1.5,BW135))*(_xlpm.t_&gt;=N(DD135)),0),_xlpm.r_,_xlfn._xlws.FILTER(_xlpm.sz,_xlpm.ok,""),INDEX(_xlpm.r_,1)))</f>
        <v>1.5</v>
      </c>
      <c r="DZ135" s="6" cm="1">
        <f t="array" ref="DZ135">IFERROR(ROUNDUP(N(DT135)*(_xlfn.XLOOKUP(DY135,INDEX(Кабель_сопротивление,0,1),INDEX(Кабель_сопротивление,0,3))*N(Q135)/DY135*N(BY135)+_xlfn.XLOOKUP(DY135,INDEX(Кабель_сопротивление,0,1),INDEX(Кабель_сопротивление,0,2))*N(Q135)*N(DU135)/1000)*N(P135)/((Uн_лин/SQRT(3))*1000)*100,2),"")</f>
        <v>0.2</v>
      </c>
      <c r="EA135">
        <f>IFERROR(2*ρкз_Cu*N(Q135)/DY135,"")</f>
        <v>1.1922666666666666</v>
      </c>
      <c r="EB135">
        <f>IFERROR(VLOOKUP(DX135,Кабель_сопротивление,3,FALSE),"")</f>
        <v>2.2499999999999999E-2</v>
      </c>
      <c r="EC135">
        <f>IFERROR(VLOOKUP(DX135,Кабель_сопротивление,2,FALSE),"")</f>
        <v>0.11</v>
      </c>
      <c r="ED135">
        <f t="shared" si="295"/>
        <v>22</v>
      </c>
      <c r="EE135">
        <f t="shared" si="296"/>
        <v>0</v>
      </c>
      <c r="EF135">
        <f t="shared" si="297"/>
        <v>0.46186624347518612</v>
      </c>
      <c r="EG135" s="6">
        <f>IFERROR(ROUNDUP(EF135/((Uн_лин/SQRT(3))*1000)*100,2),"")</f>
        <v>0.2</v>
      </c>
      <c r="EH135" t="str">
        <f>IFERROR(VLOOKUP(BT135,Кабель_обозначение,2,FALSE),"")</f>
        <v>ВВГнг(А)-LS</v>
      </c>
      <c r="EI135" t="str">
        <f t="shared" si="298"/>
        <v>ВВГнг(А)-LS (3х1,5)</v>
      </c>
      <c r="EJ135" t="str">
        <f t="shared" si="299"/>
        <v>ВВГнг(А)-LS (3х1,5)
L=34-0,2%</v>
      </c>
      <c r="EK135">
        <f>IFERROR(2*ρкз_Cu*Q135/DX135,"")</f>
        <v>1.1922666666666666</v>
      </c>
      <c r="EL135">
        <f t="shared" si="300"/>
        <v>0.39666666666666672</v>
      </c>
      <c r="EM135" s="6" t="str">
        <f>IFERROR(IF(OR(B135="",NOT(ISNUMBER(DX135)),N(Q135)=0),"",_xlfn.XLOOKUP(A135,Щиты[Щит],Щиты[Zпетли на шинах, Ом])+EK135),"")</f>
        <v/>
      </c>
      <c r="EN135" s="6" t="str">
        <f>IF(ISNUMBER(EM135),c_min*(Uн_лин*1000/SQRT(3))/EM135,"")</f>
        <v/>
      </c>
      <c r="EO135" s="6" t="str">
        <f>IFERROR(IF(OR(B135="",NOT(ISNUMBER(DX135))),"",1.05*(Uн_лин*1000/SQRT(3))/(_xlfn.XLOOKUP(A135,Щиты[Щит],Щиты[Zmax на шинах, Ом])+EL135)/1000),"")</f>
        <v/>
      </c>
      <c r="EP135" s="6" t="str">
        <f>IF(B135="","",IF(ISNUMBER(Y135),"Сил",IF(IFERROR(_xlfn.XLOOKUP(AX135,Коды_код,Коды_группа)&amp;"","")="","Быт",_xlfn.XLOOKUP(AX135,Коды_код,Коды_группа)&amp;"")))</f>
        <v>Сил</v>
      </c>
      <c r="EQ135" s="6" t="str">
        <f t="shared" si="301"/>
        <v>Сил</v>
      </c>
      <c r="ER135" s="6">
        <f>IF(EQ135="Щит","щит",IF(EQ135="","",IF(EQ135="Быт",IFERROR(_xlfn.XLOOKUP(A135,Щиты[Щит],Щиты[Кс быт]),1),IF(EQ135="Сил",IF(ISNUMBER(Y135),Y135,IF(Методика="нормы 2026",IFERROR(_xlfn.XLOOKUP(A135,Щиты[Щит],Щиты[Кс силовых (табл. 7.5)]),1),1)),IF(OR(EQ135="Пост",EQ135="Отоп"),1,IF(EQ135="ВНГ",0.7,0))))))</f>
        <v>0.5</v>
      </c>
      <c r="ES135">
        <f t="shared" si="302"/>
        <v>1</v>
      </c>
      <c r="ET135">
        <f t="shared" si="303"/>
        <v>0.104</v>
      </c>
      <c r="EU135">
        <f t="shared" si="304"/>
        <v>0</v>
      </c>
      <c r="EV135">
        <f t="shared" si="305"/>
        <v>5.1999999999999998E-2</v>
      </c>
      <c r="EW135">
        <f t="shared" si="306"/>
        <v>0</v>
      </c>
      <c r="EX135">
        <f t="shared" si="307"/>
        <v>0</v>
      </c>
      <c r="EY135">
        <f t="shared" si="308"/>
        <v>0</v>
      </c>
      <c r="EZ135">
        <f t="shared" si="309"/>
        <v>0.104</v>
      </c>
      <c r="FA135">
        <f t="shared" si="310"/>
        <v>8.3199999999999996E-2</v>
      </c>
      <c r="FB135">
        <f t="shared" si="311"/>
        <v>0.104</v>
      </c>
      <c r="FC135" t="str">
        <f t="shared" si="312"/>
        <v>L2</v>
      </c>
      <c r="FD135" t="str">
        <f>IF(B135="","",IF(CA135=0,IF(AW135=1,"",FF134),IF(OR(N(CV135)&gt;=3,N(BR135)&gt;=3),"L1,L2,L3",IFERROR(_xlfn.TEXTBEFORE(_xlfn.TEXTAFTER(_xlfn.XLOOKUP(A135,Щиты[Щит],Щиты[_фазы авто]),";"&amp;AW135&amp;":"),";"),"L1"))))</f>
        <v>L1</v>
      </c>
      <c r="FE135" t="str">
        <f t="shared" si="313"/>
        <v>L2</v>
      </c>
      <c r="FF135" t="str">
        <f t="shared" si="314"/>
        <v>L2</v>
      </c>
      <c r="FG135" cm="1">
        <f t="array" ref="FG135">IFERROR(IF(BX135=2,_xlfn.IFS(BR135=3,VLOOKUP(BN135,Справочная_двигатели,3,FALSE),BR135=1,VLOOKUP(BN135,Справочная_двигатели,5,TRUE)),0),0)</f>
        <v>0</v>
      </c>
      <c r="FH135">
        <f>IFERROR(IF(BX135=3,VLOOKUP(BN135,Справочная_ЛЭД,2,TRUE),0),0)</f>
        <v>0</v>
      </c>
      <c r="FI135" s="6">
        <f t="shared" si="315"/>
        <v>0</v>
      </c>
      <c r="FJ135" t="str" cm="1">
        <f t="array" ref="FJ135">IF(B135="","",IFERROR(INDEX({"I особая","I","II","III"},MATCH(TRIM(AC135&amp;""),{"I особая","I","II","III"},0)),"III"))</f>
        <v>II</v>
      </c>
      <c r="FK135" t="str">
        <f>IF(B135="","",IF(TRIM(AD135&amp;"")&lt;&gt;"",IF(LOWER(TRIM(AD135&amp;""))="да","да","нет"),IF(IFERROR(_xlfn.XLOOKUP(AX135,Коды_код,Коды_пожарная),"")="да","да","нет")))</f>
        <v>нет</v>
      </c>
      <c r="FL135" t="str">
        <f t="shared" si="316"/>
        <v/>
      </c>
      <c r="FM135" t="str">
        <f t="shared" si="317"/>
        <v>основная</v>
      </c>
      <c r="FN135">
        <f t="shared" si="318"/>
        <v>1</v>
      </c>
      <c r="FO135" t="str" cm="1">
        <f t="array" ref="FO135">IF(B135="","",_xlfn.LET(_xlpm.t,IFERROR(_xlfn.XLOOKUP(1,(Шины[Шина]=FM135)*(((Шины[Щит]=A135)+(Шины[Щит]=""))&gt;0),Шины[Тип]),"")&amp;"",IF(_xlpm.t&lt;&gt;"",_xlpm.t,IF(ISNUMBER(SEARCH("ИБП",FM135)),"ИБП",IF(ISNUMBER(SEARCH("ДГУ",FM135)),"ДГУ","Ввод "&amp;FN135)))))</f>
        <v>Ввод 1</v>
      </c>
      <c r="FP135" t="str">
        <f t="shared" si="319"/>
        <v>Ввод 1</v>
      </c>
      <c r="FQ135" t="str">
        <f>IF(B135="","",IF(OR(FO135="ИБП",FO135="ДГУ"),"I особая",IF(FO135="Одиночная","III",_xlfn.XLOOKUP(A135,Щиты[Щит],Щиты[Категория шины «Ввод»],"III"))))</f>
        <v>II</v>
      </c>
      <c r="FR135">
        <f>IF(B135="",0,IFERROR(MATCH(FJ135,{"III","II","I","I особая"},0),1))</f>
        <v>2</v>
      </c>
      <c r="FS135">
        <f t="shared" si="320"/>
        <v>2</v>
      </c>
      <c r="FT135" t="str">
        <f>IF(B135="","",IF(FR135&gt;IFERROR(MATCH(FQ135,{"III","II","I","I особая"},0),1),"НЕ ОБЕСПЕЧЕНА","ОК"))</f>
        <v>ОК</v>
      </c>
      <c r="FU135" t="str">
        <f>IF(A135="","",_xlfn.XLOOKUP(A135,Щиты[Щит],Щиты[Путь],""))</f>
        <v>|ГРЩ-ЖД|ЩОВ-2|</v>
      </c>
      <c r="FV135" t="str">
        <f>IF(B135="","",IF(AE135&lt;&gt;"",AE135,IF(IFERROR(_xlfn.XLOOKUP(AX135,Коды_код,Коды_вид)&amp;"","")="","Прочее",_xlfn.XLOOKUP(AX135,Коды_код,Коды_вид)&amp;"")))</f>
        <v>Кондиционирование и увлажнение</v>
      </c>
      <c r="FW135">
        <f>IF(BH135="","",INT((BH135-1)/Столбцов_на_лист)+1)</f>
        <v>2</v>
      </c>
      <c r="FX135" t="str">
        <f t="shared" si="321"/>
        <v>ВВГнг(А)-LS (3х1,5) L=34-0,2%</v>
      </c>
      <c r="FY135">
        <f t="shared" si="322"/>
        <v>0.104</v>
      </c>
      <c r="FZ135">
        <f t="shared" si="323"/>
        <v>0.57000000000000006</v>
      </c>
      <c r="GA135">
        <f t="shared" si="324"/>
        <v>1</v>
      </c>
      <c r="GB135">
        <f t="shared" si="325"/>
        <v>0</v>
      </c>
      <c r="GC135">
        <f t="shared" si="326"/>
        <v>1</v>
      </c>
      <c r="GD135">
        <f>IF(BH135="","",IF(AND(CA135=1,GC135=1),COUNTIFS(A$3:A135,A135,CA$3:CA135,1,GC$3:GC135,1),IF(OR(OR(AW135=1,A135&lt;&gt;A134),AF135="вручную",GC135=0),"",IF(AW135=1,"",GE134))))</f>
        <v>5</v>
      </c>
      <c r="GE135">
        <f t="shared" si="327"/>
        <v>5</v>
      </c>
      <c r="GF135">
        <f>IF(B135="","",IFERROR(LOOKUP(INDEX(CHOOSE(DL135,Iдоп_1ж,Iдоп_2ж,Iдоп_3ж),MATCH(DX135,Iдоп_S,0))*DJ135*DK135,{6,10,16,20,25,32,40,50,63,80,100,125,160,200,250,315,400,500,630}),""))</f>
        <v>16</v>
      </c>
      <c r="GG135" t="str">
        <f t="shared" si="328"/>
        <v>QF5</v>
      </c>
      <c r="GH135" t="str">
        <f t="shared" si="329"/>
        <v>QF5</v>
      </c>
      <c r="GI135" t="str">
        <f t="shared" si="330"/>
        <v/>
      </c>
      <c r="GJ135">
        <f t="shared" si="331"/>
        <v>0</v>
      </c>
      <c r="GK135" t="str">
        <f>IF(OR(AG135="",AG135="-"),"",IFERROR(VLOOKUP(AG135,Модули_спр,2,FALSE),"R"))</f>
        <v/>
      </c>
      <c r="GL135" t="str">
        <f>IF(GK135="","",GK135&amp;"."&amp;COUNTIFS(A$3:A135,A135,GK$3:GK135,GK135))</f>
        <v/>
      </c>
      <c r="GM135" t="str">
        <f t="shared" si="332"/>
        <v/>
      </c>
      <c r="GN135" t="str">
        <f t="shared" si="333"/>
        <v/>
      </c>
      <c r="GO135" t="str">
        <f t="shared" si="334"/>
        <v/>
      </c>
      <c r="GP135" t="str">
        <f t="shared" si="335"/>
        <v/>
      </c>
      <c r="GQ135">
        <f t="shared" si="336"/>
        <v>1</v>
      </c>
      <c r="GR135" t="str">
        <f>IF(GQ135=1,"XT"&amp;COUNTIFS(A$3:A135,A135,GQ$3:GQ135,1),"")</f>
        <v>XT5</v>
      </c>
      <c r="GS135" t="str">
        <f t="shared" si="337"/>
        <v/>
      </c>
      <c r="GT135" t="str">
        <f t="shared" si="338"/>
        <v>QF5</v>
      </c>
      <c r="GU135" t="str">
        <f t="shared" si="339"/>
        <v/>
      </c>
      <c r="GV135" t="str">
        <f t="shared" si="340"/>
        <v>ok</v>
      </c>
      <c r="GW135" t="str">
        <f>IF(OR(GO135="",GM135=""),"",IF(GO135&gt;IFERROR(VLOOKUP(GN135,Модули_спр,3,FALSE),99),"ЛИШНИЙ КАНАЛ",IF(AND(AH135&lt;&gt;"=",COUNTIFS(Линии[_модуль гр.],GM135,Линии[Канал (итог)],GO135,Линии[Канал],"&lt;&gt;=",Линии[Щит],A135)&gt;1),"ДУБЛЬ КАНАЛА","")))</f>
        <v/>
      </c>
      <c r="GX135" s="6" t="str">
        <f t="shared" si="341"/>
        <v/>
      </c>
      <c r="GY135">
        <f t="shared" si="342"/>
        <v>10</v>
      </c>
      <c r="GZ135" t="str">
        <f t="shared" si="343"/>
        <v/>
      </c>
      <c r="HA135" t="str">
        <f>IF(AND(B135="",GT135=""),"",_xlfn.TEXTJOIN("; ",TRUE,IF(AND(B135&lt;&gt;"",FE135=""),"нет фазы",""),IF(AND(B135&lt;&gt;"",N(FY135)=0,EQ135&lt;&gt;"Нет"),"нет мощности",""),IF(AND(GS135&lt;&gt;"",COUNTIFS(Линии[Щит],A135,Линии[Клемма (итог)],GS135)&gt;1),"дубль клеммы "&amp;GS135,""),IF(AND(GV135&lt;&gt;"",GV135&lt;&gt;"ok"),GV135,""),IF(GW135&lt;&gt;"",GW135,""),IF(AND(N(BV135)&gt;=4,N(BR135)=1),BV135&amp;" жил на 1 фазе",""),IF(AND(AX135="R",CA135=1,OR(N(CK135)=0,N(CK135)&gt;30)),"розетка без дифзащиты до 30 мА",""),IFERROR(IF(AND(ISNUMBER(R135),R135&gt;DV135),"потери "&amp;FIXED(R135,1)&amp;" % &gt; "&amp;DV135&amp;" %",""),""),IFERROR(IF(LEFT(GZ135,4)="мало","Iкз мало — отключение &gt; 0,4 с",""),""),IF(AND(B135&lt;&gt;"",BH135=""),"не на схеме",""),IF(AND(CA135=0,B135&lt;&gt;"",FE135&lt;&gt;"",IF(AW135=1,"",FF134)&lt;&gt;"",FE135&lt;&gt;IF(AW135=1,"",FF134)),"фаза не как у автомата группы ("&amp;IF(AW135=1,"",FF134)&amp;")","")))</f>
        <v/>
      </c>
      <c r="HB135" s="6" t="str">
        <f>IF(OR(CA135=0,DA135=""),"",_xlfn.LET(_xlpm.t,IFERROR(_xlfn.XLOOKUP(DA135,Каталог!$U$4:$U$500,Каталог!$G$4:$G$500),""),_xlpm.k,SEARCH("кА",_xlpm.t),IFERROR(--TRIM(RIGHT(SUBSTITUTE(MID(_xlpm.t,MAX(1,_xlpm.k-4),_xlpm.k-MAX(1,_xlpm.k-4))," ",REPT(" ",9)),5)),"")))</f>
        <v/>
      </c>
      <c r="HC135" t="str">
        <f>IF(OR(HB135="",CA135=0),"",IF(_xlfn.XLOOKUP(A135,Щиты[Щит],Щиты[Iкз max на шинах, кА],"")="","",IF(HB135&lt;_xlfn.XLOOKUP(A135,Щиты[Щит],Щиты[Iкз max на шинах, кА]),"Icu "&amp;HB135&amp;" кА &lt; Iкз max","ok")))</f>
        <v/>
      </c>
      <c r="HD135" t="str">
        <f t="shared" si="344"/>
        <v/>
      </c>
      <c r="HE135" t="str">
        <f t="shared" si="345"/>
        <v>QF5</v>
      </c>
      <c r="HF135" t="str">
        <f t="shared" si="346"/>
        <v>QF5|кабель ВВГнг(А)-LS (3х1,5) → Внутренний блок кондиционирования Технический этаж Пом. №002Т</v>
      </c>
      <c r="HG135" t="str" cm="1">
        <f t="array" ref="HG135">IF(HF135="","",_xlfn.LET(_xlpm.nd,_xlfn.TEXTSPLIT(HF135,"|"),IF(COLUMNS(_xlpm.nd)&gt;1,A135&amp;"¦"&amp;INDEX(_xlpm.nd,1)&amp;"¦"&amp;INDEX(_xlpm.nd,2),"")))</f>
        <v>ЩОВ-2¦QF5¦кабель ВВГнг(А)-LS (3х1,5) → Внутренний блок кондиционирования Технический этаж Пом. №002Т</v>
      </c>
      <c r="HH135" t="str">
        <f t="shared" si="347"/>
        <v>K.2.004A¦Внутренний блок кондиционирования Технический этаж Пом. №002Т</v>
      </c>
      <c r="HI135" t="str" cm="1">
        <f t="array" ref="HI135">IF(HF135="","",_xlfn.LET(_xlpm.nd,_xlfn.TEXTSPLIT(HF135,"|"),IF(COLUMNS(_xlpm.nd)&gt;2,A135&amp;"¦"&amp;INDEX(_xlpm.nd,2)&amp;"¦"&amp;INDEX(_xlpm.nd,3),"")))</f>
        <v/>
      </c>
      <c r="HJ135" t="str">
        <f t="shared" si="348"/>
        <v/>
      </c>
      <c r="HK135" t="str" cm="1">
        <f t="array" ref="HK135">IF(HF135="","",_xlfn.LET(_xlpm.nd,_xlfn.TEXTSPLIT(HF135,"|"),IF(COLUMNS(_xlpm.nd)&gt;3,A135&amp;"¦"&amp;INDEX(_xlpm.nd,3)&amp;"¦"&amp;INDEX(_xlpm.nd,4),"")))</f>
        <v/>
      </c>
      <c r="HL135" t="str">
        <f t="shared" si="349"/>
        <v/>
      </c>
      <c r="HM135" t="str" cm="1">
        <f t="array" ref="HM135">IF(HF135="","",_xlfn.LET(_xlpm.nd,_xlfn.TEXTSPLIT(HF135,"|"),IF(COLUMNS(_xlpm.nd)&gt;4,A135&amp;"¦"&amp;INDEX(_xlpm.nd,4)&amp;"¦"&amp;INDEX(_xlpm.nd,5),"")))</f>
        <v/>
      </c>
      <c r="HN135" t="str">
        <f t="shared" si="350"/>
        <v/>
      </c>
      <c r="HO135" t="str" cm="1">
        <f t="array" ref="HO135">IF(HF135="","",_xlfn.LET(_xlpm.nd,_xlfn.TEXTSPLIT(HF135,"|"),IF(COLUMNS(_xlpm.nd)&gt;5,A135&amp;"¦"&amp;INDEX(_xlpm.nd,5)&amp;"¦"&amp;INDEX(_xlpm.nd,6),"")))</f>
        <v/>
      </c>
      <c r="HP135" t="str">
        <f t="shared" si="351"/>
        <v/>
      </c>
      <c r="HQ135" t="str" cm="1">
        <f t="array" ref="HQ135">IF(HF135="","",_xlfn.LET(_xlpm.nd,_xlfn.TEXTSPLIT(HF135,"|"),IF(COLUMNS(_xlpm.nd)&gt;6,A135&amp;"¦"&amp;INDEX(_xlpm.nd,6)&amp;"¦"&amp;INDEX(_xlpm.nd,7),"")))</f>
        <v/>
      </c>
      <c r="HR135" t="str">
        <f t="shared" si="352"/>
        <v/>
      </c>
      <c r="HS135" t="str">
        <f t="shared" si="353"/>
        <v/>
      </c>
      <c r="HT135" t="str">
        <f t="shared" si="354"/>
        <v>QF5</v>
      </c>
      <c r="HU135">
        <f t="shared" si="355"/>
        <v>0</v>
      </c>
      <c r="HV135">
        <f t="shared" si="356"/>
        <v>0</v>
      </c>
      <c r="HW135" t="str">
        <f t="shared" si="357"/>
        <v/>
      </c>
      <c r="HX135" t="str">
        <f t="shared" si="358"/>
        <v/>
      </c>
      <c r="HY135" t="str">
        <f t="shared" si="359"/>
        <v/>
      </c>
      <c r="HZ135" t="str">
        <f t="shared" si="360"/>
        <v/>
      </c>
      <c r="IA135">
        <f>IF(B135="","",IFERROR(VLOOKUP(B135,УГО_спр,2,FALSE),IFERROR(VLOOKUP(AX135,УГО_спр,2,FALSE),IFERROR(VLOOKUP(LEFT(AX135,2),УГО_спр,2,FALSE),""))))</f>
        <v>0</v>
      </c>
      <c r="IB135" t="str">
        <f>IF(B135="","",IF(OR(IA135="",IA135=0),"BOX",IFERROR(IF(VLOOKUP(IA135,УГО_блоки,3,FALSE)&amp;""&lt;&gt;"",VLOOKUP(IA135,УГО_блоки,3,FALSE),VLOOKUP(IA135,УГО_блоки,2,FALSE)),IA135)))</f>
        <v>BOX</v>
      </c>
      <c r="IC135">
        <f t="shared" si="361"/>
        <v>1</v>
      </c>
      <c r="ID135" t="str">
        <f>IF(DA135="","",IF(COUNTIF(DA$3:DA135,DA135)=1,MAX(ID$2:ID134)+1,""))</f>
        <v/>
      </c>
      <c r="IE135" t="str">
        <f>IF(CO135="","",IF(COUNTIF(CO$3:CO135,CO135)+COUNTIF(CP$2:CP134,CO135)+COUNTIF(CQ$2:CQ134,CO135)=1,MAX(IE$2:IG134)+1,""))</f>
        <v/>
      </c>
      <c r="IF135" t="str">
        <f>IF(CP135="","",IF(COUNTIF(CO$3:CO135,CP135)+COUNTIF(CP$3:CP135,CP135)+COUNTIF(CQ$2:CQ134,CP135)=1,MAX(IE$2:IG134,IE135)+1,""))</f>
        <v/>
      </c>
      <c r="IG135" t="str">
        <f>IF(CQ135="","",IF(COUNTIF(CO$3:CO135,CQ135)+COUNTIF(CP$3:CP135,CQ135)+COUNTIF(CQ$3:CQ135,CQ135)=1,MAX(IE$2:IG134,IE135,IF135)+1,""))</f>
        <v/>
      </c>
      <c r="IH135" t="str">
        <f t="shared" si="362"/>
        <v>3х1,5</v>
      </c>
      <c r="II135" t="str">
        <f>IF(IH135="","",IF(COUNTIF(IH$3:IH135,IH135)=1,MAX(II$2:II134)+1,""))</f>
        <v/>
      </c>
      <c r="IJ135" t="str">
        <f>IF(GL135="","",COUNTIF(GL$3:GL135,"?*"))</f>
        <v/>
      </c>
      <c r="IK135" t="str">
        <f>IF(OR(GL135="",GN135=""),"",IF(COUNTIFS(GL$3:GL135,"?*",GN$3:GN135,GN135)=1,MAX(IK$2:IK134)+1,""))</f>
        <v/>
      </c>
      <c r="IL135">
        <f t="shared" si="363"/>
        <v>0</v>
      </c>
      <c r="IM135">
        <f>IF(B135="","",COUNTIF(B$3:B135,"?*"))</f>
        <v>133</v>
      </c>
      <c r="IN135">
        <f>IF(GQ135&lt;&gt;1,0,_xlfn.LET(_xlpm.k,MAX(IFERROR(--VLOOKUP(B135,УГО_спр,5,FALSE),0),IFERROR(--VLOOKUP(AX135,УГО_спр,5,FALSE),0),IFERROR(--VLOOKUP(LEFT(AX135,2),УГО_спр,5,FALSE),0)),IF(_xlpm.k&gt;0,_xlpm.k,IF(IFERROR(--LEFT(SUBSTITUTE(IH135,"x","х"),FIND("х",SUBSTITUTE(IH135,"x","х"))-1),3)&gt;3,Каталог!$S$9,1))))</f>
        <v>1</v>
      </c>
      <c r="IO135">
        <f t="shared" si="364"/>
        <v>0</v>
      </c>
      <c r="IP135" t="str">
        <f t="shared" si="365"/>
        <v>авто</v>
      </c>
      <c r="IQ135" t="str">
        <f t="shared" si="366"/>
        <v/>
      </c>
      <c r="IR135">
        <f t="shared" si="367"/>
        <v>0</v>
      </c>
      <c r="IS135">
        <f t="shared" si="368"/>
        <v>1</v>
      </c>
    </row>
    <row r="136" spans="1:253" x14ac:dyDescent="0.3">
      <c r="A136" t="s">
        <v>753</v>
      </c>
      <c r="B136" t="s">
        <v>1404</v>
      </c>
      <c r="C136" t="s">
        <v>1644</v>
      </c>
      <c r="D136">
        <v>1</v>
      </c>
      <c r="E136">
        <v>0.16200000000000001</v>
      </c>
      <c r="G136" t="str">
        <f>Линии[[#This Row],[_авто автомат]]</f>
        <v>1P С6А</v>
      </c>
      <c r="H136" t="str">
        <f>Линии[[#This Row],[_авто утечка]]</f>
        <v/>
      </c>
      <c r="I136" t="str">
        <f>Линии[[#This Row],[_авто управление]]</f>
        <v/>
      </c>
      <c r="J136" t="str">
        <f>Линии[[#This Row],[_авто аппараты]]</f>
        <v/>
      </c>
      <c r="K136">
        <v>1.5</v>
      </c>
      <c r="L136">
        <v>32</v>
      </c>
      <c r="M136" t="str">
        <f>Линии[[#This Row],[_авто фаза]]</f>
        <v>L2</v>
      </c>
      <c r="N136" t="str">
        <f>Линии[[#This Row],[_авто клемма]]</f>
        <v>XT6</v>
      </c>
      <c r="O136" t="str">
        <f t="shared" si="246"/>
        <v/>
      </c>
      <c r="P136" s="6" cm="1">
        <f t="array" ref="P136">IF(B136="","",IF(BC136&lt;&gt;"",IFERROR(_xlfn.XLOOKUP(BC136,Щиты[Щит],Щиты[Iр, А]),""),IF(BK136=1,IFERROR(_xlfn.XLOOKUP(A136,Щиты[Щит],Щиты[Iр, А]),""),IFERROR(_xlfn.IFS(BR136=1,BN136/((Uн_лин/SQRT(3))*BY136),BR136=3,BN136/(SQRT(3)*Uн_лин*BY136)),""))))</f>
        <v>0.87685072133174402</v>
      </c>
      <c r="Q136" s="7">
        <f>IF(B136="","",IFERROR(IF(VLOOKUP(AX136,Потребители_обозначение,4,FALSE)=1,VLOOKUP(AX136,Потребители_обозначение,3,FALSE)*(D136*2-1)+DS136+VLOOKUP(AZ136,Этаж_обозначение,3,FALSE)+VLOOKUP(AZ136,Этаж_обозначение,4,FALSE),VLOOKUP(AX136,Потребители_обозначение,3,FALSE)*(D136*2-1)+DS136),DS136))</f>
        <v>34</v>
      </c>
      <c r="R136" s="6">
        <f t="shared" si="247"/>
        <v>1.46</v>
      </c>
      <c r="S136" t="str">
        <f t="shared" si="248"/>
        <v>ВВГнг(А)-LS (3х1,5)</v>
      </c>
      <c r="T136" t="str">
        <f>IF(BH136="","",IF(BI136="вводной узел","узел ","")&amp;"л."&amp;(INT((BH136-1)/Столбцов_на_лист)+1)&amp;" / "&amp;(MOD(BH136-1,Столбцов_на_лист)+1))</f>
        <v>л.2 / 8</v>
      </c>
      <c r="V136">
        <v>1</v>
      </c>
      <c r="W136">
        <v>230</v>
      </c>
      <c r="X136" t="s">
        <v>600</v>
      </c>
      <c r="Y136">
        <v>0.5</v>
      </c>
      <c r="AC136" t="s">
        <v>815</v>
      </c>
      <c r="AE136" t="s">
        <v>578</v>
      </c>
      <c r="AI136">
        <v>25</v>
      </c>
      <c r="AJ136" t="s">
        <v>11</v>
      </c>
      <c r="AK136">
        <v>3</v>
      </c>
      <c r="AM136">
        <v>12</v>
      </c>
      <c r="AN136">
        <v>22</v>
      </c>
      <c r="AP136">
        <v>1</v>
      </c>
      <c r="AW136" cm="1">
        <f t="array" ref="AW136">ROW()-ROW(Линии[#Headers])</f>
        <v>134</v>
      </c>
      <c r="AX136" s="6" t="str">
        <f t="shared" si="249"/>
        <v>K</v>
      </c>
      <c r="AY136" t="str">
        <f t="shared" si="250"/>
        <v>2.005A</v>
      </c>
      <c r="AZ136" t="str">
        <f t="shared" si="251"/>
        <v>2</v>
      </c>
      <c r="BA136" t="str">
        <f t="shared" si="252"/>
        <v>005A</v>
      </c>
      <c r="BB136" t="str">
        <f t="shared" si="253"/>
        <v>005A</v>
      </c>
      <c r="BC136" t="str">
        <f>IF(U136&lt;&gt;"",U136,IF(AND(B136&lt;&gt;"",B136&lt;&gt;A136,ISNUMBER(_xlfn.XMATCH(B136,Щиты[Щит]))),B136,""))</f>
        <v/>
      </c>
      <c r="BD136" t="str" cm="1">
        <f t="array" ref="BD136">IF(B136="","",IF(BC136&lt;&gt;"","Щит "&amp;BC136,_xlfn.LET(_xlpm.nm,IFERROR(_xlfn.XLOOKUP(AX136,Коды_код,Коды_имя)&amp;"",""),_xlpm.md,IFERROR(N(_xlfn.XLOOKUP(AX136,Коды_код,Коды_режим)),1),_xlpm.ex,IF(Имя_режим="по экспликации",IFERROR(_xlfn.XLOOKUP(AZ136&amp;"|"&amp;BB136,Экспликация[Этаж]&amp;"|"&amp;Экспликация[Помещение],Экспликация[Название])&amp;"",""),""),_xlpm.rm,IF(BB136="","",IF(_xlpm.ex&lt;&gt;"",". "&amp;_xlpm.ex&amp;IF(Имя_пом="нет"," ("&amp;BB136&amp;")"," (пом. "&amp;BB136&amp;")"),IF(Имя_пом="нет"," ",", пом. ")&amp;BB136)),IF(_xlpm.nm="","",IF(_xlpm.md=2,_xlpm.nm&amp;" шлейф "&amp;AZ136,_xlpm.nm&amp;_xlpm.rm)))))</f>
        <v>Внутренний блок кондиционирования, пом. 005A</v>
      </c>
      <c r="BE136" t="str">
        <f t="shared" si="254"/>
        <v>Внутренний блок кондиционирования Технический этаж Пом. №002Т</v>
      </c>
      <c r="BF136">
        <f>IFERROR(_xlfn.XMATCH(A136,Щиты[Щит]),0)</f>
        <v>7</v>
      </c>
      <c r="BG136">
        <f>_xlfn.LET(_xlpm.k,IFERROR(_xlfn.XLOOKUP(A136,Щиты[Щит],Щиты[Листов под вводной узел]),""),IF(_xlpm.k="",1,N(_xlpm.k))*Столбцов_на_лист)</f>
        <v>17</v>
      </c>
      <c r="BH136">
        <f t="shared" si="255"/>
        <v>25</v>
      </c>
      <c r="BI136" t="str">
        <f t="shared" si="256"/>
        <v>линии</v>
      </c>
      <c r="BJ136" s="6">
        <f>IFERROR(N(_xlfn.XLOOKUP(AX136,Коды_код,Коды_квт)),0)</f>
        <v>0</v>
      </c>
      <c r="BK136">
        <f t="shared" si="257"/>
        <v>0</v>
      </c>
      <c r="BL136" t="str">
        <f>IF(B136="","",IF(BC136&lt;&gt;"",IFERROR(_xlfn.XLOOKUP(BC136,Щиты[Щит],Щиты[Руст, кВт]),0),IF(BK136=1,IFERROR(_xlfn.XLOOKUP(A136,Щиты[Щит],Щиты[Руст, кВт]),0),IF(BJ136&gt;0,ROUND(BJ136*MAX(1,N(D136)),3),""))))</f>
        <v/>
      </c>
      <c r="BM136">
        <f t="shared" si="258"/>
        <v>0.16200000000000001</v>
      </c>
      <c r="BN136" s="6">
        <f>IF(B136="","",IF(BC136&lt;&gt;"",IFERROR(_xlfn.XLOOKUP(BC136,Щиты[Щит],Щиты[Руст, кВт]),0),N(BM136)))</f>
        <v>0.16200000000000001</v>
      </c>
      <c r="BO136" t="str">
        <f>IF(B136="","",IFERROR(IF(VLOOKUP(AX136,Потребители_обозначение,8,FALSE)=0,"",VLOOKUP(AX136,Потребители_обозначение,8,FALSE)),""))</f>
        <v/>
      </c>
      <c r="BP136">
        <f t="shared" si="259"/>
        <v>230</v>
      </c>
      <c r="BQ136">
        <f>IF(B136="","",IF(BC136&lt;&gt;"",3,IFERROR(IF(N(VLOOKUP(AX136,Потребители_обозначение,9,FALSE))=0,1,VLOOKUP(AX136,Потребители_обозначение,9,FALSE)),1)))</f>
        <v>1</v>
      </c>
      <c r="BR136">
        <f t="shared" si="260"/>
        <v>1</v>
      </c>
      <c r="BS136" t="str">
        <f>IF(B136="","",_xlfn.LET(_xlpm.bc,IFERROR(IF(VLOOKUP(AX136,Потребители_обозначение,6,FALSE)=0,"",VLOOKUP(AX136,Потребители_обозначение,6,FALSE)&amp;""),""),IF(AND(FK136="да",OR(_xlpm.bc="",_xlpm.bc="мс")),Марка_пож,IF(AND(_xlpm.bc="",BC136&lt;&gt;""),"мс",_xlpm.bc))))</f>
        <v/>
      </c>
      <c r="BT136" t="str">
        <f t="shared" si="261"/>
        <v>мс</v>
      </c>
      <c r="BU136">
        <f>IF(B136="","",_xlfn.LET(_xlpm.cc,IFERROR(N(VLOOKUP(AX136,Потребители_обозначение,7,FALSE)),0),IF(_xlpm.cc&gt;0,_xlpm.cc,IF(BT136="","",IF(N(BR136)=3,5,3)))))</f>
        <v>3</v>
      </c>
      <c r="BV136">
        <f t="shared" si="262"/>
        <v>3</v>
      </c>
      <c r="BW136">
        <f>IFERROR(N(VLOOKUP(AX136,Потребители_обозначение,10,FALSE)),0)</f>
        <v>0</v>
      </c>
      <c r="BX136">
        <f>IFERROR(VLOOKUP(AX136,Потребители_обозначение,5,FALSE),0)</f>
        <v>1</v>
      </c>
      <c r="BY136" s="6" cm="1">
        <f t="array" ref="BY136">IF(B136="","",IF(BC136&lt;&gt;"",IFERROR(_xlfn.XLOOKUP(BC136,Щиты[Щит],Щиты[cos φ]),0.95),IF(BK136=1,IFERROR(_xlfn.XLOOKUP(A136,Щиты[Щит],Щиты[cos φ]),0.95),IF(ISNUMBER(Z136),Z136,IFERROR(IF(BX136=2,_xlfn.IFS(BR136=3,VLOOKUP(BN136,Справочная_двигатели,8,FALSE),BR136=1,VLOOKUP(BN136,Справочная_двигатели,10,TRUE)),IF(AND(Методика="нормы 2026",EQ136="Сил"),0.8,0.95)),0.95)))))</f>
        <v>0.8</v>
      </c>
      <c r="BZ136">
        <f t="shared" si="263"/>
        <v>0</v>
      </c>
      <c r="CA136">
        <f t="shared" si="264"/>
        <v>1</v>
      </c>
      <c r="CB136">
        <f t="shared" si="265"/>
        <v>0</v>
      </c>
      <c r="CC136">
        <f t="shared" si="266"/>
        <v>0</v>
      </c>
      <c r="CD136">
        <f t="shared" si="267"/>
        <v>0</v>
      </c>
      <c r="CE136">
        <f t="shared" si="268"/>
        <v>0</v>
      </c>
      <c r="CF136">
        <f t="shared" si="269"/>
        <v>0</v>
      </c>
      <c r="CG136">
        <f>IF(AX136="",0,_xlfn.LET(_xlpm.v,IFERROR(VLOOKUP(B136,УГО_спр,3,FALSE),IFERROR(VLOOKUP(AX136,УГО_спр,3,FALSE),IFERROR(VLOOKUP(LEFT(AX136,2),УГО_спр,3,FALSE),""))),IF(_xlpm.v="да",30,IF(ISNUMBER(_xlpm.v),_xlpm.v,0))))</f>
        <v>0</v>
      </c>
      <c r="CH136" t="str">
        <f t="shared" si="270"/>
        <v/>
      </c>
      <c r="CI136" t="str">
        <f>_xlfn.LET(_xlpm.k,IFERROR(_xlfn.XLOOKUP(AX136,Коды_код,Коды_утечка)&amp;"",""),IF(_xlpm.k="","дифавтомат",_xlpm.k))</f>
        <v>дифавтомат</v>
      </c>
      <c r="CJ136">
        <f t="shared" si="271"/>
        <v>0</v>
      </c>
      <c r="CK136">
        <f t="shared" si="272"/>
        <v>0</v>
      </c>
      <c r="CL136">
        <f>IF(B136="",0,IFERROR(--VLOOKUP(B136,УГО_спр,4,FALSE),IFERROR(--VLOOKUP(AX136,УГО_спр,4,FALSE),IFERROR(--VLOOKUP(LEFT(AX136,2),УГО_спр,4,FALSE),0))))</f>
        <v>0</v>
      </c>
      <c r="CM136" t="str">
        <f>IF(B136="","",IFERROR(_xlfn.XLOOKUP(AX136,Коды_код,Коды_апп)&amp;"",""))</f>
        <v/>
      </c>
      <c r="CN136" t="str">
        <f t="shared" si="273"/>
        <v/>
      </c>
      <c r="CO136" t="str" cm="1">
        <f t="array" ref="CO136">IF(TRIM(CN136&amp;"")="","",IFERROR(TRIM(INDEX(_xlfn.TEXTSPLIT(CN136&amp;";;;",";"),1)),""))</f>
        <v/>
      </c>
      <c r="CP136" t="str" cm="1">
        <f t="array" ref="CP136">IF(TRIM(CN136&amp;"")="","",IFERROR(TRIM(INDEX(_xlfn.TEXTSPLIT(CN136&amp;";;;",";"),2)),""))</f>
        <v/>
      </c>
      <c r="CQ136" t="str" cm="1">
        <f t="array" ref="CQ136">IF(TRIM(CN136&amp;"")="","",IFERROR(TRIM(INDEX(_xlfn.TEXTSPLIT(CN136&amp;";;;",";"),3)),""))</f>
        <v/>
      </c>
      <c r="CR136">
        <f t="shared" si="274"/>
        <v>0</v>
      </c>
      <c r="CS136" t="str">
        <f>IF(B136="","",_xlfn.LET(_xlpm.t,LOWER(AV136&amp;""),IF(ISNUMBER(SEARCH("dim",_xlpm.t)),"DIM",IF(ISNUMBER(SEARCH("dali",_xlpm.t)),"DALI",IF(OR(ISNUMBER(SEARCH("relay",_xlpm.t)),ISNUMBER(SEARCH("реле",_xlpm.t))),"Relay",IF(ISNUMBER(SEARCH("кнопк",_xlpm.t)),"",IFERROR(_xlfn.XLOOKUP(AX136,Коды_код,Коды_упр)&amp;"","")))))))</f>
        <v/>
      </c>
      <c r="CT136" t="str">
        <f t="shared" si="275"/>
        <v/>
      </c>
      <c r="CU136">
        <f>IF(B136="","",_xlfn.LET(_xlpm.ig,N(P136)+IF(AF136="вручную",0,N(CB136)),_xlpm.n0,IFERROR(VLOOKUP(_xlpm.ig,Автомат_номиналы,2,TRUE),0),_xlpm.mn,MAX(CL136,IF(AF136="вручную",0,N(CE136))),MAX(_xlpm.n0,_xlpm.mn,IF(CR136=1,Мин_автомат_БП,0))))</f>
        <v>6</v>
      </c>
      <c r="CV136">
        <f t="shared" si="276"/>
        <v>1</v>
      </c>
      <c r="CW136" t="str">
        <f t="shared" si="277"/>
        <v>1P</v>
      </c>
      <c r="CX136" t="str">
        <f>_xlfn.LET(_xlpm.cc,UPPER(TRIM(IFERROR(_xlfn.XLOOKUP(AX136,Коды_код,Коды_хар)&amp;"",""))),IF(OR(_xlpm.cc="B",_xlpm.cc="В"),"B",IF(_xlpm.cc="D","D","С")))</f>
        <v>С</v>
      </c>
      <c r="CY136" t="str">
        <f t="shared" si="278"/>
        <v>1P С6А</v>
      </c>
      <c r="CZ136" t="str">
        <f t="shared" si="279"/>
        <v>1P С6А</v>
      </c>
      <c r="DA136" t="str">
        <f t="shared" si="280"/>
        <v>1P С6А</v>
      </c>
      <c r="DB136" cm="1">
        <f t="array" ref="DB136">IF(DA136="","",_xlfn.LET(_xlpm.t,SUBSTITUTE(SUBSTITUTE(SUBSTITUTE(UPPER(DA136),"С","C"),"А","A"),"В","B"),_xlpm.tk,_xlfn.TEXTSPLIT(_xlpm.t,"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6" t="str">
        <f t="shared" si="281"/>
        <v>ok</v>
      </c>
      <c r="DD136">
        <f t="shared" si="282"/>
        <v>6</v>
      </c>
      <c r="DE136" t="str">
        <f t="shared" si="283"/>
        <v>1P С6А</v>
      </c>
      <c r="DF136">
        <f t="shared" si="284"/>
        <v>0</v>
      </c>
      <c r="DG136">
        <f t="shared" si="285"/>
        <v>0</v>
      </c>
      <c r="DH136">
        <f t="shared" si="286"/>
        <v>0</v>
      </c>
      <c r="DI136">
        <f t="shared" si="287"/>
        <v>0.87685072133174402</v>
      </c>
      <c r="DJ136">
        <f t="shared" si="288"/>
        <v>1</v>
      </c>
      <c r="DK136">
        <f>IF(ISNUMBER(AL136),AL136,К_прокл)</f>
        <v>1</v>
      </c>
      <c r="DL136">
        <f t="shared" si="289"/>
        <v>2</v>
      </c>
      <c r="DM136">
        <f>IFERROR(N(VLOOKUP(BT136,Кабель_обозначение,3,FALSE)),1)</f>
        <v>1</v>
      </c>
      <c r="DN136">
        <f>IFERROR(N(_xlfn.XLOOKUP(A136,Щиты[Щит],Щиты[ΔU до шин, %])),0)</f>
        <v>1.1399999999999999</v>
      </c>
      <c r="DO136" t="str">
        <f>IFERROR(_xlfn.XLOOKUP(A136,Щиты[Щит],Щиты[Zпетли на шинах, Ом]),"")</f>
        <v/>
      </c>
      <c r="DP136">
        <f>IFERROR(N(_xlfn.XLOOKUP(A136,Щиты[Щит],Щиты[ΔU до шин (подбор), %])),0)</f>
        <v>1.82</v>
      </c>
      <c r="DQ136" t="str">
        <f>IFERROR(_xlfn.XLOOKUP(A136,Щиты[Щит],Щиты[Zпетли на шинах (подбор), Ом]),"")</f>
        <v/>
      </c>
      <c r="DR136" t="str">
        <f t="shared" si="290"/>
        <v/>
      </c>
      <c r="DS136">
        <f t="shared" si="291"/>
        <v>32</v>
      </c>
      <c r="DT136">
        <f t="shared" si="292"/>
        <v>2</v>
      </c>
      <c r="DU136">
        <f t="shared" si="293"/>
        <v>0.6</v>
      </c>
      <c r="DV136" s="6">
        <f>IF(B136="","",IF(IFERROR(VLOOKUP(AX136,УГО_спр,2,FALSE),"")="Светильник",3,4)+IF(Методика="нормы 2026",MIN(0.5,MAX(0,N(Q136)-100)*0.005),0))</f>
        <v>4</v>
      </c>
      <c r="DW136" cm="1">
        <f t="array" ref="DW136">IF(OR(B136="",BT136="",DM136&lt;&gt;1),"",_xlfn.LET(_xlpm.sz,Iдоп_S,_xlpm.t_,CHOOSE(DL136,Iдоп_1ж,Iдоп_2ж,Iдоп_3ж)*DJ136*DK136,_xlpm.inn,N(DD136),_xlpm.smin,MAX(1.5,BW136),_xlpm.L_,N(Q136)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136)*(_xlpm.rho*_xlpm.L_/_xlpm.sz*N(BY136)+_xlpm.xx*_xlpm.L_*N(DU136)/1000)*N(P136)/((Uн_лин/SQRT(3))*1000)*100,999),_xlpm.kz,IF(OR(DG136=1,NOT(ISNUMBER(DQ136)),_xlpm.L_=0,_xlpm.inn=0),1,IFERROR(--(c_min*(Uн_лин*1000/SQRT(3))/(DQ136+2*ρкз_Cu*_xlpm.L_/_xlpm.sz)&gt;=GY136*_xlpm.inn),0)),_xlpm.ok,IFERROR((_xlpm.sz&gt;=_xlpm.smin)*(_xlpm.t_&gt;=_xlpm.inn)*IF(_xlpm.L_&gt;0,(_xlpm.du_+DP136&lt;=DV136+0.00001),1)*_xlpm.kz,0),_xlpm.r_,_xlfn._xlws.FILTER(_xlpm.sz,_xlpm.ok,"не подобрано"),INDEX(_xlpm.r_,1)))</f>
        <v>1.5</v>
      </c>
      <c r="DX136">
        <f t="shared" si="294"/>
        <v>1.5</v>
      </c>
      <c r="DY136" cm="1">
        <f t="array" ref="DY136">IF(OR(B136="",BT136="",DM136&lt;&gt;1),"",_xlfn.LET(_xlpm.sz,Iдоп_S,_xlpm.t_,CHOOSE(DL136,Iдоп_1ж,Iдоп_2ж,Iдоп_3ж)*DJ136*DK136,_xlpm.ok,IFERROR((_xlpm.sz&gt;=MAX(1.5,BW136))*(_xlpm.t_&gt;=N(DD136)),0),_xlpm.r_,_xlfn._xlws.FILTER(_xlpm.sz,_xlpm.ok,""),INDEX(_xlpm.r_,1)))</f>
        <v>1.5</v>
      </c>
      <c r="DZ136" s="6" cm="1">
        <f t="array" ref="DZ136">IFERROR(ROUNDUP(N(DT136)*(_xlfn.XLOOKUP(DY136,INDEX(Кабель_сопротивление,0,1),INDEX(Кабель_сопротивление,0,3))*N(Q136)/DY136*N(BY136)+_xlfn.XLOOKUP(DY136,INDEX(Кабель_сопротивление,0,1),INDEX(Кабель_сопротивление,0,2))*N(Q136)*N(DU136)/1000)*N(P136)/((Uн_лин/SQRT(3))*1000)*100,2),"")</f>
        <v>0.32</v>
      </c>
      <c r="EA136">
        <f>IFERROR(2*ρкз_Cu*N(Q136)/DY136,"")</f>
        <v>1.1922666666666666</v>
      </c>
      <c r="EB136">
        <f>IFERROR(VLOOKUP(DX136,Кабель_сопротивление,3,FALSE),"")</f>
        <v>2.2499999999999999E-2</v>
      </c>
      <c r="EC136">
        <f>IFERROR(VLOOKUP(DX136,Кабель_сопротивление,2,FALSE),"")</f>
        <v>0.11</v>
      </c>
      <c r="ED136">
        <f t="shared" si="295"/>
        <v>22</v>
      </c>
      <c r="EE136">
        <f t="shared" si="296"/>
        <v>0</v>
      </c>
      <c r="EF136">
        <f t="shared" si="297"/>
        <v>0.71944549464404006</v>
      </c>
      <c r="EG136" s="6">
        <f>IFERROR(ROUNDUP(EF136/((Uн_лин/SQRT(3))*1000)*100,2),"")</f>
        <v>0.32</v>
      </c>
      <c r="EH136" t="str">
        <f>IFERROR(VLOOKUP(BT136,Кабель_обозначение,2,FALSE),"")</f>
        <v>ВВГнг(А)-LS</v>
      </c>
      <c r="EI136" t="str">
        <f t="shared" si="298"/>
        <v>ВВГнг(А)-LS (3х1,5)</v>
      </c>
      <c r="EJ136" t="str">
        <f t="shared" si="299"/>
        <v>ВВГнг(А)-LS (3х1,5)
L=34-0,32%</v>
      </c>
      <c r="EK136">
        <f>IFERROR(2*ρкз_Cu*Q136/DX136,"")</f>
        <v>1.1922666666666666</v>
      </c>
      <c r="EL136">
        <f t="shared" si="300"/>
        <v>0.39666666666666672</v>
      </c>
      <c r="EM136" s="6" t="str">
        <f>IFERROR(IF(OR(B136="",NOT(ISNUMBER(DX136)),N(Q136)=0),"",_xlfn.XLOOKUP(A136,Щиты[Щит],Щиты[Zпетли на шинах, Ом])+EK136),"")</f>
        <v/>
      </c>
      <c r="EN136" s="6" t="str">
        <f>IF(ISNUMBER(EM136),c_min*(Uн_лин*1000/SQRT(3))/EM136,"")</f>
        <v/>
      </c>
      <c r="EO136" s="6" t="str">
        <f>IFERROR(IF(OR(B136="",NOT(ISNUMBER(DX136))),"",1.05*(Uн_лин*1000/SQRT(3))/(_xlfn.XLOOKUP(A136,Щиты[Щит],Щиты[Zmax на шинах, Ом])+EL136)/1000),"")</f>
        <v/>
      </c>
      <c r="EP136" s="6" t="str">
        <f>IF(B136="","",IF(ISNUMBER(Y136),"Сил",IF(IFERROR(_xlfn.XLOOKUP(AX136,Коды_код,Коды_группа)&amp;"","")="","Быт",_xlfn.XLOOKUP(AX136,Коды_код,Коды_группа)&amp;"")))</f>
        <v>Сил</v>
      </c>
      <c r="EQ136" s="6" t="str">
        <f t="shared" si="301"/>
        <v>Сил</v>
      </c>
      <c r="ER136" s="6">
        <f>IF(EQ136="Щит","щит",IF(EQ136="","",IF(EQ136="Быт",IFERROR(_xlfn.XLOOKUP(A136,Щиты[Щит],Щиты[Кс быт]),1),IF(EQ136="Сил",IF(ISNUMBER(Y136),Y136,IF(Методика="нормы 2026",IFERROR(_xlfn.XLOOKUP(A136,Щиты[Щит],Щиты[Кс силовых (табл. 7.5)]),1),1)),IF(OR(EQ136="Пост",EQ136="Отоп"),1,IF(EQ136="ВНГ",0.7,0))))))</f>
        <v>0.5</v>
      </c>
      <c r="ES136">
        <f t="shared" si="302"/>
        <v>1</v>
      </c>
      <c r="ET136">
        <f t="shared" si="303"/>
        <v>0.16200000000000001</v>
      </c>
      <c r="EU136">
        <f t="shared" si="304"/>
        <v>0</v>
      </c>
      <c r="EV136">
        <f t="shared" si="305"/>
        <v>8.1000000000000003E-2</v>
      </c>
      <c r="EW136">
        <f t="shared" si="306"/>
        <v>0</v>
      </c>
      <c r="EX136">
        <f t="shared" si="307"/>
        <v>0</v>
      </c>
      <c r="EY136">
        <f t="shared" si="308"/>
        <v>0</v>
      </c>
      <c r="EZ136">
        <f t="shared" si="309"/>
        <v>0.16200000000000001</v>
      </c>
      <c r="FA136">
        <f t="shared" si="310"/>
        <v>0.12960000000000002</v>
      </c>
      <c r="FB136">
        <f t="shared" si="311"/>
        <v>0.16200000000000001</v>
      </c>
      <c r="FC136" t="str">
        <f t="shared" si="312"/>
        <v/>
      </c>
      <c r="FD136" t="str">
        <f>IF(B136="","",IF(CA136=0,IF(AW136=1,"",FF135),IF(OR(N(CV136)&gt;=3,N(BR136)&gt;=3),"L1,L2,L3",IFERROR(_xlfn.TEXTBEFORE(_xlfn.TEXTAFTER(_xlfn.XLOOKUP(A136,Щиты[Щит],Щиты[_фазы авто]),";"&amp;AW136&amp;":"),";"),"L1"))))</f>
        <v>L2</v>
      </c>
      <c r="FE136" t="str">
        <f t="shared" si="313"/>
        <v>L2</v>
      </c>
      <c r="FF136" t="str">
        <f t="shared" si="314"/>
        <v>L2</v>
      </c>
      <c r="FG136" cm="1">
        <f t="array" ref="FG136">IFERROR(IF(BX136=2,_xlfn.IFS(BR136=3,VLOOKUP(BN136,Справочная_двигатели,3,FALSE),BR136=1,VLOOKUP(BN136,Справочная_двигатели,5,TRUE)),0),0)</f>
        <v>0</v>
      </c>
      <c r="FH136">
        <f>IFERROR(IF(BX136=3,VLOOKUP(BN136,Справочная_ЛЭД,2,TRUE),0),0)</f>
        <v>0</v>
      </c>
      <c r="FI136" s="6">
        <f t="shared" si="315"/>
        <v>0</v>
      </c>
      <c r="FJ136" t="str" cm="1">
        <f t="array" ref="FJ136">IF(B136="","",IFERROR(INDEX({"I особая","I","II","III"},MATCH(TRIM(AC136&amp;""),{"I особая","I","II","III"},0)),"III"))</f>
        <v>II</v>
      </c>
      <c r="FK136" t="str">
        <f>IF(B136="","",IF(TRIM(AD136&amp;"")&lt;&gt;"",IF(LOWER(TRIM(AD136&amp;""))="да","да","нет"),IF(IFERROR(_xlfn.XLOOKUP(AX136,Коды_код,Коды_пожарная),"")="да","да","нет")))</f>
        <v>нет</v>
      </c>
      <c r="FL136" t="str">
        <f t="shared" si="316"/>
        <v/>
      </c>
      <c r="FM136" t="str">
        <f t="shared" si="317"/>
        <v>основная</v>
      </c>
      <c r="FN136">
        <f t="shared" si="318"/>
        <v>1</v>
      </c>
      <c r="FO136" t="str" cm="1">
        <f t="array" ref="FO136">IF(B136="","",_xlfn.LET(_xlpm.t,IFERROR(_xlfn.XLOOKUP(1,(Шины[Шина]=FM136)*(((Шины[Щит]=A136)+(Шины[Щит]=""))&gt;0),Шины[Тип]),"")&amp;"",IF(_xlpm.t&lt;&gt;"",_xlpm.t,IF(ISNUMBER(SEARCH("ИБП",FM136)),"ИБП",IF(ISNUMBER(SEARCH("ДГУ",FM136)),"ДГУ","Ввод "&amp;FN136)))))</f>
        <v>Ввод 1</v>
      </c>
      <c r="FP136" t="str">
        <f t="shared" si="319"/>
        <v>Ввод 1</v>
      </c>
      <c r="FQ136" t="str">
        <f>IF(B136="","",IF(OR(FO136="ИБП",FO136="ДГУ"),"I особая",IF(FO136="Одиночная","III",_xlfn.XLOOKUP(A136,Щиты[Щит],Щиты[Категория шины «Ввод»],"III"))))</f>
        <v>II</v>
      </c>
      <c r="FR136">
        <f>IF(B136="",0,IFERROR(MATCH(FJ136,{"III","II","I","I особая"},0),1))</f>
        <v>2</v>
      </c>
      <c r="FS136">
        <f t="shared" si="320"/>
        <v>2</v>
      </c>
      <c r="FT136" t="str">
        <f>IF(B136="","",IF(FR136&gt;IFERROR(MATCH(FQ136,{"III","II","I","I особая"},0),1),"НЕ ОБЕСПЕЧЕНА","ОК"))</f>
        <v>ОК</v>
      </c>
      <c r="FU136" t="str">
        <f>IF(A136="","",_xlfn.XLOOKUP(A136,Щиты[Щит],Щиты[Путь],""))</f>
        <v>|ГРЩ-ЖД|ЩОВ-2|</v>
      </c>
      <c r="FV136" t="str">
        <f>IF(B136="","",IF(AE136&lt;&gt;"",AE136,IF(IFERROR(_xlfn.XLOOKUP(AX136,Коды_код,Коды_вид)&amp;"","")="","Прочее",_xlfn.XLOOKUP(AX136,Коды_код,Коды_вид)&amp;"")))</f>
        <v>Кондиционирование и увлажнение</v>
      </c>
      <c r="FW136">
        <f>IF(BH136="","",INT((BH136-1)/Столбцов_на_лист)+1)</f>
        <v>2</v>
      </c>
      <c r="FX136" t="str">
        <f t="shared" si="321"/>
        <v>ВВГнг(А)-LS (3х1,5) L=34-0,32%</v>
      </c>
      <c r="FY136">
        <f t="shared" si="322"/>
        <v>0.16200000000000001</v>
      </c>
      <c r="FZ136">
        <f t="shared" si="323"/>
        <v>0.88</v>
      </c>
      <c r="GA136">
        <f t="shared" si="324"/>
        <v>1</v>
      </c>
      <c r="GB136">
        <f t="shared" si="325"/>
        <v>0</v>
      </c>
      <c r="GC136">
        <f t="shared" si="326"/>
        <v>1</v>
      </c>
      <c r="GD136">
        <f>IF(BH136="","",IF(AND(CA136=1,GC136=1),COUNTIFS(A$3:A136,A136,CA$3:CA136,1,GC$3:GC136,1),IF(OR(OR(AW136=1,A136&lt;&gt;A135),AF136="вручную",GC136=0),"",IF(AW136=1,"",GE135))))</f>
        <v>6</v>
      </c>
      <c r="GE136">
        <f t="shared" si="327"/>
        <v>6</v>
      </c>
      <c r="GF136">
        <f>IF(B136="","",IFERROR(LOOKUP(INDEX(CHOOSE(DL136,Iдоп_1ж,Iдоп_2ж,Iдоп_3ж),MATCH(DX136,Iдоп_S,0))*DJ136*DK136,{6,10,16,20,25,32,40,50,63,80,100,125,160,200,250,315,400,500,630}),""))</f>
        <v>16</v>
      </c>
      <c r="GG136" t="str">
        <f t="shared" si="328"/>
        <v>QF6</v>
      </c>
      <c r="GH136" t="str">
        <f t="shared" si="329"/>
        <v>QF6</v>
      </c>
      <c r="GI136" t="str">
        <f t="shared" si="330"/>
        <v/>
      </c>
      <c r="GJ136">
        <f t="shared" si="331"/>
        <v>0</v>
      </c>
      <c r="GK136" t="str">
        <f>IF(OR(AG136="",AG136="-"),"",IFERROR(VLOOKUP(AG136,Модули_спр,2,FALSE),"R"))</f>
        <v/>
      </c>
      <c r="GL136" t="str">
        <f>IF(GK136="","",GK136&amp;"."&amp;COUNTIFS(A$3:A136,A136,GK$3:GK136,GK136))</f>
        <v/>
      </c>
      <c r="GM136" t="str">
        <f t="shared" si="332"/>
        <v/>
      </c>
      <c r="GN136" t="str">
        <f t="shared" si="333"/>
        <v/>
      </c>
      <c r="GO136" t="str">
        <f t="shared" si="334"/>
        <v/>
      </c>
      <c r="GP136" t="str">
        <f t="shared" si="335"/>
        <v/>
      </c>
      <c r="GQ136">
        <f t="shared" si="336"/>
        <v>1</v>
      </c>
      <c r="GR136" t="str">
        <f>IF(GQ136=1,"XT"&amp;COUNTIFS(A$3:A136,A136,GQ$3:GQ136,1),"")</f>
        <v>XT6</v>
      </c>
      <c r="GS136" t="str">
        <f t="shared" si="337"/>
        <v>XT6</v>
      </c>
      <c r="GT136" t="str">
        <f t="shared" si="338"/>
        <v>QF6</v>
      </c>
      <c r="GU136" t="str">
        <f t="shared" si="339"/>
        <v/>
      </c>
      <c r="GV136" t="str">
        <f t="shared" si="340"/>
        <v>ok</v>
      </c>
      <c r="GW136" t="str">
        <f>IF(OR(GO136="",GM136=""),"",IF(GO136&gt;IFERROR(VLOOKUP(GN136,Модули_спр,3,FALSE),99),"ЛИШНИЙ КАНАЛ",IF(AND(AH136&lt;&gt;"=",COUNTIFS(Линии[_модуль гр.],GM136,Линии[Канал (итог)],GO136,Линии[Канал],"&lt;&gt;=",Линии[Щит],A136)&gt;1),"ДУБЛЬ КАНАЛА","")))</f>
        <v/>
      </c>
      <c r="GX136" s="6" t="str">
        <f t="shared" si="341"/>
        <v/>
      </c>
      <c r="GY136">
        <f t="shared" si="342"/>
        <v>10</v>
      </c>
      <c r="GZ136" t="str">
        <f t="shared" si="343"/>
        <v/>
      </c>
      <c r="HA136" t="str">
        <f>IF(AND(B136="",GT136=""),"",_xlfn.TEXTJOIN("; ",TRUE,IF(AND(B136&lt;&gt;"",FE136=""),"нет фазы",""),IF(AND(B136&lt;&gt;"",N(FY136)=0,EQ136&lt;&gt;"Нет"),"нет мощности",""),IF(AND(GS136&lt;&gt;"",COUNTIFS(Линии[Щит],A136,Линии[Клемма (итог)],GS136)&gt;1),"дубль клеммы "&amp;GS136,""),IF(AND(GV136&lt;&gt;"",GV136&lt;&gt;"ok"),GV136,""),IF(GW136&lt;&gt;"",GW136,""),IF(AND(N(BV136)&gt;=4,N(BR136)=1),BV136&amp;" жил на 1 фазе",""),IF(AND(AX136="R",CA136=1,OR(N(CK136)=0,N(CK136)&gt;30)),"розетка без дифзащиты до 30 мА",""),IFERROR(IF(AND(ISNUMBER(R136),R136&gt;DV136),"потери "&amp;FIXED(R136,1)&amp;" % &gt; "&amp;DV136&amp;" %",""),""),IFERROR(IF(LEFT(GZ136,4)="мало","Iкз мало — отключение &gt; 0,4 с",""),""),IF(AND(B136&lt;&gt;"",BH136=""),"не на схеме",""),IF(AND(CA136=0,B136&lt;&gt;"",FE136&lt;&gt;"",IF(AW136=1,"",FF135)&lt;&gt;"",FE136&lt;&gt;IF(AW136=1,"",FF135)),"фаза не как у автомата группы ("&amp;IF(AW136=1,"",FF135)&amp;")","")))</f>
        <v/>
      </c>
      <c r="HB136" s="6" t="str">
        <f>IF(OR(CA136=0,DA136=""),"",_xlfn.LET(_xlpm.t,IFERROR(_xlfn.XLOOKUP(DA136,Каталог!$U$4:$U$500,Каталог!$G$4:$G$500),""),_xlpm.k,SEARCH("кА",_xlpm.t),IFERROR(--TRIM(RIGHT(SUBSTITUTE(MID(_xlpm.t,MAX(1,_xlpm.k-4),_xlpm.k-MAX(1,_xlpm.k-4))," ",REPT(" ",9)),5)),"")))</f>
        <v/>
      </c>
      <c r="HC136" t="str">
        <f>IF(OR(HB136="",CA136=0),"",IF(_xlfn.XLOOKUP(A136,Щиты[Щит],Щиты[Iкз max на шинах, кА],"")="","",IF(HB136&lt;_xlfn.XLOOKUP(A136,Щиты[Щит],Щиты[Iкз max на шинах, кА]),"Icu "&amp;HB136&amp;" кА &lt; Iкз max","ok")))</f>
        <v/>
      </c>
      <c r="HD136" t="str">
        <f t="shared" si="344"/>
        <v/>
      </c>
      <c r="HE136" t="str">
        <f t="shared" si="345"/>
        <v>QF6|XT6</v>
      </c>
      <c r="HF136" t="str">
        <f t="shared" si="346"/>
        <v>QF6|XT6|кабель ВВГнг(А)-LS (3х1,5) → Внутренний блок кондиционирования Технический этаж Пом. №002Т</v>
      </c>
      <c r="HG136" t="str" cm="1">
        <f t="array" ref="HG136">IF(HF136="","",_xlfn.LET(_xlpm.nd,_xlfn.TEXTSPLIT(HF136,"|"),IF(COLUMNS(_xlpm.nd)&gt;1,A136&amp;"¦"&amp;INDEX(_xlpm.nd,1)&amp;"¦"&amp;INDEX(_xlpm.nd,2),"")))</f>
        <v>ЩОВ-2¦QF6¦XT6</v>
      </c>
      <c r="HH136" t="str">
        <f t="shared" si="347"/>
        <v>K.2.005A¦Внутренний блок кондиционирования Технический этаж Пом. №002Т</v>
      </c>
      <c r="HI136" t="str" cm="1">
        <f t="array" ref="HI136">IF(HF136="","",_xlfn.LET(_xlpm.nd,_xlfn.TEXTSPLIT(HF136,"|"),IF(COLUMNS(_xlpm.nd)&gt;2,A136&amp;"¦"&amp;INDEX(_xlpm.nd,2)&amp;"¦"&amp;INDEX(_xlpm.nd,3),"")))</f>
        <v>ЩОВ-2¦XT6¦кабель ВВГнг(А)-LS (3х1,5) → Внутренний блок кондиционирования Технический этаж Пом. №002Т</v>
      </c>
      <c r="HJ136" t="str">
        <f t="shared" si="348"/>
        <v>K.2.005A¦Внутренний блок кондиционирования Технический этаж Пом. №002Т</v>
      </c>
      <c r="HK136" t="str" cm="1">
        <f t="array" ref="HK136">IF(HF136="","",_xlfn.LET(_xlpm.nd,_xlfn.TEXTSPLIT(HF136,"|"),IF(COLUMNS(_xlpm.nd)&gt;3,A136&amp;"¦"&amp;INDEX(_xlpm.nd,3)&amp;"¦"&amp;INDEX(_xlpm.nd,4),"")))</f>
        <v/>
      </c>
      <c r="HL136" t="str">
        <f t="shared" si="349"/>
        <v/>
      </c>
      <c r="HM136" t="str" cm="1">
        <f t="array" ref="HM136">IF(HF136="","",_xlfn.LET(_xlpm.nd,_xlfn.TEXTSPLIT(HF136,"|"),IF(COLUMNS(_xlpm.nd)&gt;4,A136&amp;"¦"&amp;INDEX(_xlpm.nd,4)&amp;"¦"&amp;INDEX(_xlpm.nd,5),"")))</f>
        <v/>
      </c>
      <c r="HN136" t="str">
        <f t="shared" si="350"/>
        <v/>
      </c>
      <c r="HO136" t="str" cm="1">
        <f t="array" ref="HO136">IF(HF136="","",_xlfn.LET(_xlpm.nd,_xlfn.TEXTSPLIT(HF136,"|"),IF(COLUMNS(_xlpm.nd)&gt;5,A136&amp;"¦"&amp;INDEX(_xlpm.nd,5)&amp;"¦"&amp;INDEX(_xlpm.nd,6),"")))</f>
        <v/>
      </c>
      <c r="HP136" t="str">
        <f t="shared" si="351"/>
        <v/>
      </c>
      <c r="HQ136" t="str" cm="1">
        <f t="array" ref="HQ136">IF(HF136="","",_xlfn.LET(_xlpm.nd,_xlfn.TEXTSPLIT(HF136,"|"),IF(COLUMNS(_xlpm.nd)&gt;6,A136&amp;"¦"&amp;INDEX(_xlpm.nd,6)&amp;"¦"&amp;INDEX(_xlpm.nd,7),"")))</f>
        <v/>
      </c>
      <c r="HR136" t="str">
        <f t="shared" si="352"/>
        <v/>
      </c>
      <c r="HS136" t="str">
        <f t="shared" si="353"/>
        <v/>
      </c>
      <c r="HT136" t="str">
        <f t="shared" si="354"/>
        <v>QF6 → XT6</v>
      </c>
      <c r="HU136">
        <f t="shared" si="355"/>
        <v>0</v>
      </c>
      <c r="HV136">
        <f t="shared" si="356"/>
        <v>0</v>
      </c>
      <c r="HW136" t="str">
        <f t="shared" si="357"/>
        <v/>
      </c>
      <c r="HX136" t="str">
        <f t="shared" si="358"/>
        <v/>
      </c>
      <c r="HY136" t="str">
        <f t="shared" si="359"/>
        <v/>
      </c>
      <c r="HZ136" t="str">
        <f t="shared" si="360"/>
        <v/>
      </c>
      <c r="IA136">
        <f>IF(B136="","",IFERROR(VLOOKUP(B136,УГО_спр,2,FALSE),IFERROR(VLOOKUP(AX136,УГО_спр,2,FALSE),IFERROR(VLOOKUP(LEFT(AX136,2),УГО_спр,2,FALSE),""))))</f>
        <v>0</v>
      </c>
      <c r="IB136" t="str">
        <f>IF(B136="","",IF(OR(IA136="",IA136=0),"BOX",IFERROR(IF(VLOOKUP(IA136,УГО_блоки,3,FALSE)&amp;""&lt;&gt;"",VLOOKUP(IA136,УГО_блоки,3,FALSE),VLOOKUP(IA136,УГО_блоки,2,FALSE)),IA136)))</f>
        <v>BOX</v>
      </c>
      <c r="IC136">
        <f t="shared" si="361"/>
        <v>1</v>
      </c>
      <c r="ID136" t="str">
        <f>IF(DA136="","",IF(COUNTIF(DA$3:DA136,DA136)=1,MAX(ID$2:ID135)+1,""))</f>
        <v/>
      </c>
      <c r="IE136" t="str">
        <f>IF(CO136="","",IF(COUNTIF(CO$3:CO136,CO136)+COUNTIF(CP$2:CP135,CO136)+COUNTIF(CQ$2:CQ135,CO136)=1,MAX(IE$2:IG135)+1,""))</f>
        <v/>
      </c>
      <c r="IF136" t="str">
        <f>IF(CP136="","",IF(COUNTIF(CO$3:CO136,CP136)+COUNTIF(CP$3:CP136,CP136)+COUNTIF(CQ$2:CQ135,CP136)=1,MAX(IE$2:IG135,IE136)+1,""))</f>
        <v/>
      </c>
      <c r="IG136" t="str">
        <f>IF(CQ136="","",IF(COUNTIF(CO$3:CO136,CQ136)+COUNTIF(CP$3:CP136,CQ136)+COUNTIF(CQ$3:CQ136,CQ136)=1,MAX(IE$2:IG135,IE136,IF136)+1,""))</f>
        <v/>
      </c>
      <c r="IH136" t="str">
        <f t="shared" si="362"/>
        <v>3х1,5</v>
      </c>
      <c r="II136" t="str">
        <f>IF(IH136="","",IF(COUNTIF(IH$3:IH136,IH136)=1,MAX(II$2:II135)+1,""))</f>
        <v/>
      </c>
      <c r="IJ136" t="str">
        <f>IF(GL136="","",COUNTIF(GL$3:GL136,"?*"))</f>
        <v/>
      </c>
      <c r="IK136" t="str">
        <f>IF(OR(GL136="",GN136=""),"",IF(COUNTIFS(GL$3:GL136,"?*",GN$3:GN136,GN136)=1,MAX(IK$2:IK135)+1,""))</f>
        <v/>
      </c>
      <c r="IL136">
        <f t="shared" si="363"/>
        <v>0</v>
      </c>
      <c r="IM136">
        <f>IF(B136="","",COUNTIF(B$3:B136,"?*"))</f>
        <v>134</v>
      </c>
      <c r="IN136">
        <f>IF(GQ136&lt;&gt;1,0,_xlfn.LET(_xlpm.k,MAX(IFERROR(--VLOOKUP(B136,УГО_спр,5,FALSE),0),IFERROR(--VLOOKUP(AX136,УГО_спр,5,FALSE),0),IFERROR(--VLOOKUP(LEFT(AX136,2),УГО_спр,5,FALSE),0)),IF(_xlpm.k&gt;0,_xlpm.k,IF(IFERROR(--LEFT(SUBSTITUTE(IH136,"x","х"),FIND("х",SUBSTITUTE(IH136,"x","х"))-1),3)&gt;3,Каталог!$S$9,1))))</f>
        <v>1</v>
      </c>
      <c r="IO136">
        <f t="shared" si="364"/>
        <v>0</v>
      </c>
      <c r="IP136" t="str">
        <f t="shared" si="365"/>
        <v>авто</v>
      </c>
      <c r="IQ136" t="str">
        <f t="shared" si="366"/>
        <v/>
      </c>
      <c r="IR136">
        <f t="shared" si="367"/>
        <v>0</v>
      </c>
      <c r="IS136">
        <f t="shared" si="368"/>
        <v>1</v>
      </c>
    </row>
    <row r="137" spans="1:253" x14ac:dyDescent="0.3">
      <c r="A137" t="s">
        <v>753</v>
      </c>
      <c r="B137" t="s">
        <v>1405</v>
      </c>
      <c r="C137" t="s">
        <v>1644</v>
      </c>
      <c r="D137">
        <v>1</v>
      </c>
      <c r="E137">
        <v>0.104</v>
      </c>
      <c r="G137" t="str">
        <f>Линии[[#This Row],[_авто автомат]]</f>
        <v>1P С6А</v>
      </c>
      <c r="H137" t="str">
        <f>Линии[[#This Row],[_авто утечка]]</f>
        <v/>
      </c>
      <c r="I137" t="str">
        <f>Линии[[#This Row],[_авто управление]]</f>
        <v/>
      </c>
      <c r="J137" t="str">
        <f>Линии[[#This Row],[_авто аппараты]]</f>
        <v/>
      </c>
      <c r="K137">
        <v>1.5</v>
      </c>
      <c r="L137">
        <v>21</v>
      </c>
      <c r="M137" t="str">
        <f>Линии[[#This Row],[_авто фаза]]</f>
        <v>L1</v>
      </c>
      <c r="N137" t="s">
        <v>486</v>
      </c>
      <c r="O137" t="str">
        <f t="shared" si="246"/>
        <v/>
      </c>
      <c r="P137" s="6" cm="1">
        <f t="array" ref="P137">IF(B137="","",IF(BC137&lt;&gt;"",IFERROR(_xlfn.XLOOKUP(BC137,Щиты[Щит],Щиты[Iр, А]),""),IF(BK137=1,IFERROR(_xlfn.XLOOKUP(A137,Щиты[Щит],Щиты[Iр, А]),""),IFERROR(_xlfn.IFS(BR137=1,BN137/((Uн_лин/SQRT(3))*BY137),BR137=3,BN137/(SQRT(3)*Uн_лин*BY137)),""))))</f>
        <v>0.56291651245988494</v>
      </c>
      <c r="Q137" s="7">
        <f>IF(B137="","",IFERROR(IF(VLOOKUP(AX137,Потребители_обозначение,4,FALSE)=1,VLOOKUP(AX137,Потребители_обозначение,3,FALSE)*(D137*2-1)+DS137+VLOOKUP(AZ137,Этаж_обозначение,3,FALSE)+VLOOKUP(AZ137,Этаж_обозначение,4,FALSE),VLOOKUP(AX137,Потребители_обозначение,3,FALSE)*(D137*2-1)+DS137),DS137))</f>
        <v>23</v>
      </c>
      <c r="R137" s="6">
        <f t="shared" si="247"/>
        <v>1.2799999999999998</v>
      </c>
      <c r="S137" t="str">
        <f t="shared" si="248"/>
        <v>ВВГнг(А)-LS (3х1,5)</v>
      </c>
      <c r="T137" t="str">
        <f>IF(BH137="","",IF(BI137="вводной узел","узел ","")&amp;"л."&amp;(INT((BH137-1)/Столбцов_на_лист)+1)&amp;" / "&amp;(MOD(BH137-1,Столбцов_на_лист)+1))</f>
        <v>л.2 / 9</v>
      </c>
      <c r="V137">
        <v>1</v>
      </c>
      <c r="W137">
        <v>230</v>
      </c>
      <c r="X137" t="s">
        <v>600</v>
      </c>
      <c r="Y137">
        <v>0.5</v>
      </c>
      <c r="AC137" t="s">
        <v>815</v>
      </c>
      <c r="AE137" t="s">
        <v>578</v>
      </c>
      <c r="AI137">
        <v>26</v>
      </c>
      <c r="AJ137" t="s">
        <v>11</v>
      </c>
      <c r="AK137">
        <v>3</v>
      </c>
      <c r="AM137">
        <v>10</v>
      </c>
      <c r="AN137">
        <v>13</v>
      </c>
      <c r="AP137">
        <v>1</v>
      </c>
      <c r="AW137" cm="1">
        <f t="array" ref="AW137">ROW()-ROW(Линии[#Headers])</f>
        <v>135</v>
      </c>
      <c r="AX137" s="6" t="str">
        <f t="shared" si="249"/>
        <v>K</v>
      </c>
      <c r="AY137" t="str">
        <f t="shared" si="250"/>
        <v>2.008A</v>
      </c>
      <c r="AZ137" t="str">
        <f t="shared" si="251"/>
        <v>2</v>
      </c>
      <c r="BA137" t="str">
        <f t="shared" si="252"/>
        <v>008A</v>
      </c>
      <c r="BB137" t="str">
        <f t="shared" si="253"/>
        <v>008A</v>
      </c>
      <c r="BC137" t="str">
        <f>IF(U137&lt;&gt;"",U137,IF(AND(B137&lt;&gt;"",B137&lt;&gt;A137,ISNUMBER(_xlfn.XMATCH(B137,Щиты[Щит]))),B137,""))</f>
        <v/>
      </c>
      <c r="BD137" t="str" cm="1">
        <f t="array" ref="BD137">IF(B137="","",IF(BC137&lt;&gt;"","Щит "&amp;BC137,_xlfn.LET(_xlpm.nm,IFERROR(_xlfn.XLOOKUP(AX137,Коды_код,Коды_имя)&amp;"",""),_xlpm.md,IFERROR(N(_xlfn.XLOOKUP(AX137,Коды_код,Коды_режим)),1),_xlpm.ex,IF(Имя_режим="по экспликации",IFERROR(_xlfn.XLOOKUP(AZ137&amp;"|"&amp;BB137,Экспликация[Этаж]&amp;"|"&amp;Экспликация[Помещение],Экспликация[Название])&amp;"",""),""),_xlpm.rm,IF(BB137="","",IF(_xlpm.ex&lt;&gt;"",". "&amp;_xlpm.ex&amp;IF(Имя_пом="нет"," ("&amp;BB137&amp;")"," (пом. "&amp;BB137&amp;")"),IF(Имя_пом="нет"," ",", пом. ")&amp;BB137)),IF(_xlpm.nm="","",IF(_xlpm.md=2,_xlpm.nm&amp;" шлейф "&amp;AZ137,_xlpm.nm&amp;_xlpm.rm)))))</f>
        <v>Внутренний блок кондиционирования, пом. 008A</v>
      </c>
      <c r="BE137" t="str">
        <f t="shared" si="254"/>
        <v>Внутренний блок кондиционирования Технический этаж Пом. №002Т</v>
      </c>
      <c r="BF137">
        <f>IFERROR(_xlfn.XMATCH(A137,Щиты[Щит]),0)</f>
        <v>7</v>
      </c>
      <c r="BG137">
        <f>_xlfn.LET(_xlpm.k,IFERROR(_xlfn.XLOOKUP(A137,Щиты[Щит],Щиты[Листов под вводной узел]),""),IF(_xlpm.k="",1,N(_xlpm.k))*Столбцов_на_лист)</f>
        <v>17</v>
      </c>
      <c r="BH137">
        <f t="shared" si="255"/>
        <v>26</v>
      </c>
      <c r="BI137" t="str">
        <f t="shared" si="256"/>
        <v>линии</v>
      </c>
      <c r="BJ137" s="6">
        <f>IFERROR(N(_xlfn.XLOOKUP(AX137,Коды_код,Коды_квт)),0)</f>
        <v>0</v>
      </c>
      <c r="BK137">
        <f t="shared" si="257"/>
        <v>0</v>
      </c>
      <c r="BL137" t="str">
        <f>IF(B137="","",IF(BC137&lt;&gt;"",IFERROR(_xlfn.XLOOKUP(BC137,Щиты[Щит],Щиты[Руст, кВт]),0),IF(BK137=1,IFERROR(_xlfn.XLOOKUP(A137,Щиты[Щит],Щиты[Руст, кВт]),0),IF(BJ137&gt;0,ROUND(BJ137*MAX(1,N(D137)),3),""))))</f>
        <v/>
      </c>
      <c r="BM137">
        <f t="shared" si="258"/>
        <v>0.104</v>
      </c>
      <c r="BN137" s="6">
        <f>IF(B137="","",IF(BC137&lt;&gt;"",IFERROR(_xlfn.XLOOKUP(BC137,Щиты[Щит],Щиты[Руст, кВт]),0),N(BM137)))</f>
        <v>0.104</v>
      </c>
      <c r="BO137" t="str">
        <f>IF(B137="","",IFERROR(IF(VLOOKUP(AX137,Потребители_обозначение,8,FALSE)=0,"",VLOOKUP(AX137,Потребители_обозначение,8,FALSE)),""))</f>
        <v/>
      </c>
      <c r="BP137">
        <f t="shared" si="259"/>
        <v>230</v>
      </c>
      <c r="BQ137">
        <f>IF(B137="","",IF(BC137&lt;&gt;"",3,IFERROR(IF(N(VLOOKUP(AX137,Потребители_обозначение,9,FALSE))=0,1,VLOOKUP(AX137,Потребители_обозначение,9,FALSE)),1)))</f>
        <v>1</v>
      </c>
      <c r="BR137">
        <f t="shared" si="260"/>
        <v>1</v>
      </c>
      <c r="BS137" t="str">
        <f>IF(B137="","",_xlfn.LET(_xlpm.bc,IFERROR(IF(VLOOKUP(AX137,Потребители_обозначение,6,FALSE)=0,"",VLOOKUP(AX137,Потребители_обозначение,6,FALSE)&amp;""),""),IF(AND(FK137="да",OR(_xlpm.bc="",_xlpm.bc="мс")),Марка_пож,IF(AND(_xlpm.bc="",BC137&lt;&gt;""),"мс",_xlpm.bc))))</f>
        <v/>
      </c>
      <c r="BT137" t="str">
        <f t="shared" si="261"/>
        <v>мс</v>
      </c>
      <c r="BU137">
        <f>IF(B137="","",_xlfn.LET(_xlpm.cc,IFERROR(N(VLOOKUP(AX137,Потребители_обозначение,7,FALSE)),0),IF(_xlpm.cc&gt;0,_xlpm.cc,IF(BT137="","",IF(N(BR137)=3,5,3)))))</f>
        <v>3</v>
      </c>
      <c r="BV137">
        <f t="shared" si="262"/>
        <v>3</v>
      </c>
      <c r="BW137">
        <f>IFERROR(N(VLOOKUP(AX137,Потребители_обозначение,10,FALSE)),0)</f>
        <v>0</v>
      </c>
      <c r="BX137">
        <f>IFERROR(VLOOKUP(AX137,Потребители_обозначение,5,FALSE),0)</f>
        <v>1</v>
      </c>
      <c r="BY137" s="6" cm="1">
        <f t="array" ref="BY137">IF(B137="","",IF(BC137&lt;&gt;"",IFERROR(_xlfn.XLOOKUP(BC137,Щиты[Щит],Щиты[cos φ]),0.95),IF(BK137=1,IFERROR(_xlfn.XLOOKUP(A137,Щиты[Щит],Щиты[cos φ]),0.95),IF(ISNUMBER(Z137),Z137,IFERROR(IF(BX137=2,_xlfn.IFS(BR137=3,VLOOKUP(BN137,Справочная_двигатели,8,FALSE),BR137=1,VLOOKUP(BN137,Справочная_двигатели,10,TRUE)),IF(AND(Методика="нормы 2026",EQ137="Сил"),0.8,0.95)),0.95)))))</f>
        <v>0.8</v>
      </c>
      <c r="BZ137">
        <f t="shared" si="263"/>
        <v>0</v>
      </c>
      <c r="CA137">
        <f t="shared" si="264"/>
        <v>1</v>
      </c>
      <c r="CB137">
        <f t="shared" si="265"/>
        <v>0</v>
      </c>
      <c r="CC137">
        <f t="shared" si="266"/>
        <v>0</v>
      </c>
      <c r="CD137">
        <f t="shared" si="267"/>
        <v>0</v>
      </c>
      <c r="CE137">
        <f t="shared" si="268"/>
        <v>0</v>
      </c>
      <c r="CF137">
        <f t="shared" si="269"/>
        <v>0</v>
      </c>
      <c r="CG137">
        <f>IF(AX137="",0,_xlfn.LET(_xlpm.v,IFERROR(VLOOKUP(B137,УГО_спр,3,FALSE),IFERROR(VLOOKUP(AX137,УГО_спр,3,FALSE),IFERROR(VLOOKUP(LEFT(AX137,2),УГО_спр,3,FALSE),""))),IF(_xlpm.v="да",30,IF(ISNUMBER(_xlpm.v),_xlpm.v,0))))</f>
        <v>0</v>
      </c>
      <c r="CH137" t="str">
        <f t="shared" si="270"/>
        <v/>
      </c>
      <c r="CI137" t="str">
        <f>_xlfn.LET(_xlpm.k,IFERROR(_xlfn.XLOOKUP(AX137,Коды_код,Коды_утечка)&amp;"",""),IF(_xlpm.k="","дифавтомат",_xlpm.k))</f>
        <v>дифавтомат</v>
      </c>
      <c r="CJ137">
        <f t="shared" si="271"/>
        <v>0</v>
      </c>
      <c r="CK137">
        <f t="shared" si="272"/>
        <v>0</v>
      </c>
      <c r="CL137">
        <f>IF(B137="",0,IFERROR(--VLOOKUP(B137,УГО_спр,4,FALSE),IFERROR(--VLOOKUP(AX137,УГО_спр,4,FALSE),IFERROR(--VLOOKUP(LEFT(AX137,2),УГО_спр,4,FALSE),0))))</f>
        <v>0</v>
      </c>
      <c r="CM137" t="str">
        <f>IF(B137="","",IFERROR(_xlfn.XLOOKUP(AX137,Коды_код,Коды_апп)&amp;"",""))</f>
        <v/>
      </c>
      <c r="CN137" t="str">
        <f t="shared" si="273"/>
        <v/>
      </c>
      <c r="CO137" t="str" cm="1">
        <f t="array" ref="CO137">IF(TRIM(CN137&amp;"")="","",IFERROR(TRIM(INDEX(_xlfn.TEXTSPLIT(CN137&amp;";;;",";"),1)),""))</f>
        <v/>
      </c>
      <c r="CP137" t="str" cm="1">
        <f t="array" ref="CP137">IF(TRIM(CN137&amp;"")="","",IFERROR(TRIM(INDEX(_xlfn.TEXTSPLIT(CN137&amp;";;;",";"),2)),""))</f>
        <v/>
      </c>
      <c r="CQ137" t="str" cm="1">
        <f t="array" ref="CQ137">IF(TRIM(CN137&amp;"")="","",IFERROR(TRIM(INDEX(_xlfn.TEXTSPLIT(CN137&amp;";;;",";"),3)),""))</f>
        <v/>
      </c>
      <c r="CR137">
        <f t="shared" si="274"/>
        <v>0</v>
      </c>
      <c r="CS137" t="str">
        <f>IF(B137="","",_xlfn.LET(_xlpm.t,LOWER(AV137&amp;""),IF(ISNUMBER(SEARCH("dim",_xlpm.t)),"DIM",IF(ISNUMBER(SEARCH("dali",_xlpm.t)),"DALI",IF(OR(ISNUMBER(SEARCH("relay",_xlpm.t)),ISNUMBER(SEARCH("реле",_xlpm.t))),"Relay",IF(ISNUMBER(SEARCH("кнопк",_xlpm.t)),"",IFERROR(_xlfn.XLOOKUP(AX137,Коды_код,Коды_упр)&amp;"","")))))))</f>
        <v/>
      </c>
      <c r="CT137" t="str">
        <f t="shared" si="275"/>
        <v/>
      </c>
      <c r="CU137">
        <f>IF(B137="","",_xlfn.LET(_xlpm.ig,N(P137)+IF(AF137="вручную",0,N(CB137)),_xlpm.n0,IFERROR(VLOOKUP(_xlpm.ig,Автомат_номиналы,2,TRUE),0),_xlpm.mn,MAX(CL137,IF(AF137="вручную",0,N(CE137))),MAX(_xlpm.n0,_xlpm.mn,IF(CR137=1,Мин_автомат_БП,0))))</f>
        <v>6</v>
      </c>
      <c r="CV137">
        <f t="shared" si="276"/>
        <v>1</v>
      </c>
      <c r="CW137" t="str">
        <f t="shared" si="277"/>
        <v>1P</v>
      </c>
      <c r="CX137" t="str">
        <f>_xlfn.LET(_xlpm.cc,UPPER(TRIM(IFERROR(_xlfn.XLOOKUP(AX137,Коды_код,Коды_хар)&amp;"",""))),IF(OR(_xlpm.cc="B",_xlpm.cc="В"),"B",IF(_xlpm.cc="D","D","С")))</f>
        <v>С</v>
      </c>
      <c r="CY137" t="str">
        <f t="shared" si="278"/>
        <v>1P С6А</v>
      </c>
      <c r="CZ137" t="str">
        <f t="shared" si="279"/>
        <v>1P С6А</v>
      </c>
      <c r="DA137" t="str">
        <f t="shared" si="280"/>
        <v>1P С6А</v>
      </c>
      <c r="DB137" cm="1">
        <f t="array" ref="DB137">IF(DA137="","",_xlfn.LET(_xlpm.t,SUBSTITUTE(SUBSTITUTE(SUBSTITUTE(UPPER(DA137),"С","C"),"А","A"),"В","B"),_xlpm.tk,_xlfn.TEXTSPLIT(_xlpm.t,"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7" t="str">
        <f t="shared" si="281"/>
        <v>ok</v>
      </c>
      <c r="DD137">
        <f t="shared" si="282"/>
        <v>6</v>
      </c>
      <c r="DE137" t="str">
        <f t="shared" si="283"/>
        <v>1P С6А</v>
      </c>
      <c r="DF137">
        <f t="shared" si="284"/>
        <v>0</v>
      </c>
      <c r="DG137">
        <f t="shared" si="285"/>
        <v>0</v>
      </c>
      <c r="DH137">
        <f t="shared" si="286"/>
        <v>0</v>
      </c>
      <c r="DI137">
        <f t="shared" si="287"/>
        <v>0.56291651245988494</v>
      </c>
      <c r="DJ137">
        <f t="shared" si="288"/>
        <v>1</v>
      </c>
      <c r="DK137">
        <f>IF(ISNUMBER(AL137),AL137,К_прокл)</f>
        <v>1</v>
      </c>
      <c r="DL137">
        <f t="shared" si="289"/>
        <v>2</v>
      </c>
      <c r="DM137">
        <f>IFERROR(N(VLOOKUP(BT137,Кабель_обозначение,3,FALSE)),1)</f>
        <v>1</v>
      </c>
      <c r="DN137">
        <f>IFERROR(N(_xlfn.XLOOKUP(A137,Щиты[Щит],Щиты[ΔU до шин, %])),0)</f>
        <v>1.1399999999999999</v>
      </c>
      <c r="DO137" t="str">
        <f>IFERROR(_xlfn.XLOOKUP(A137,Щиты[Щит],Щиты[Zпетли на шинах, Ом]),"")</f>
        <v/>
      </c>
      <c r="DP137">
        <f>IFERROR(N(_xlfn.XLOOKUP(A137,Щиты[Щит],Щиты[ΔU до шин (подбор), %])),0)</f>
        <v>1.82</v>
      </c>
      <c r="DQ137" t="str">
        <f>IFERROR(_xlfn.XLOOKUP(A137,Щиты[Щит],Щиты[Zпетли на шинах (подбор), Ом]),"")</f>
        <v/>
      </c>
      <c r="DR137" t="str">
        <f t="shared" si="290"/>
        <v/>
      </c>
      <c r="DS137">
        <f t="shared" si="291"/>
        <v>21</v>
      </c>
      <c r="DT137">
        <f t="shared" si="292"/>
        <v>2</v>
      </c>
      <c r="DU137">
        <f t="shared" si="293"/>
        <v>0.6</v>
      </c>
      <c r="DV137" s="6">
        <f>IF(B137="","",IF(IFERROR(VLOOKUP(AX137,УГО_спр,2,FALSE),"")="Светильник",3,4)+IF(Методика="нормы 2026",MIN(0.5,MAX(0,N(Q137)-100)*0.005),0))</f>
        <v>4</v>
      </c>
      <c r="DW137" cm="1">
        <f t="array" ref="DW137">IF(OR(B137="",BT137="",DM137&lt;&gt;1),"",_xlfn.LET(_xlpm.sz,Iдоп_S,_xlpm.t_,CHOOSE(DL137,Iдоп_1ж,Iдоп_2ж,Iдоп_3ж)*DJ137*DK137,_xlpm.inn,N(DD137),_xlpm.smin,MAX(1.5,BW137),_xlpm.L_,N(Q137)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137)*(_xlpm.rho*_xlpm.L_/_xlpm.sz*N(BY137)+_xlpm.xx*_xlpm.L_*N(DU137)/1000)*N(P137)/((Uн_лин/SQRT(3))*1000)*100,999),_xlpm.kz,IF(OR(DG137=1,NOT(ISNUMBER(DQ137)),_xlpm.L_=0,_xlpm.inn=0),1,IFERROR(--(c_min*(Uн_лин*1000/SQRT(3))/(DQ137+2*ρкз_Cu*_xlpm.L_/_xlpm.sz)&gt;=GY137*_xlpm.inn),0)),_xlpm.ok,IFERROR((_xlpm.sz&gt;=_xlpm.smin)*(_xlpm.t_&gt;=_xlpm.inn)*IF(_xlpm.L_&gt;0,(_xlpm.du_+DP137&lt;=DV137+0.00001),1)*_xlpm.kz,0),_xlpm.r_,_xlfn._xlws.FILTER(_xlpm.sz,_xlpm.ok,"не подобрано"),INDEX(_xlpm.r_,1)))</f>
        <v>1.5</v>
      </c>
      <c r="DX137">
        <f t="shared" si="294"/>
        <v>1.5</v>
      </c>
      <c r="DY137" cm="1">
        <f t="array" ref="DY137">IF(OR(B137="",BT137="",DM137&lt;&gt;1),"",_xlfn.LET(_xlpm.sz,Iдоп_S,_xlpm.t_,CHOOSE(DL137,Iдоп_1ж,Iдоп_2ж,Iдоп_3ж)*DJ137*DK137,_xlpm.ok,IFERROR((_xlpm.sz&gt;=MAX(1.5,BW137))*(_xlpm.t_&gt;=N(DD137)),0),_xlpm.r_,_xlfn._xlws.FILTER(_xlpm.sz,_xlpm.ok,""),INDEX(_xlpm.r_,1)))</f>
        <v>1.5</v>
      </c>
      <c r="DZ137" s="6" cm="1">
        <f t="array" ref="DZ137">IFERROR(ROUNDUP(N(DT137)*(_xlfn.XLOOKUP(DY137,INDEX(Кабель_сопротивление,0,1),INDEX(Кабель_сопротивление,0,3))*N(Q137)/DY137*N(BY137)+_xlfn.XLOOKUP(DY137,INDEX(Кабель_сопротивление,0,1),INDEX(Кабель_сопротивление,0,2))*N(Q137)*N(DU137)/1000)*N(P137)/((Uн_лин/SQRT(3))*1000)*100,2),"")</f>
        <v>0.14000000000000001</v>
      </c>
      <c r="EA137">
        <f>IFERROR(2*ρкз_Cu*N(Q137)/DY137,"")</f>
        <v>0.80653333333333332</v>
      </c>
      <c r="EB137">
        <f>IFERROR(VLOOKUP(DX137,Кабель_сопротивление,3,FALSE),"")</f>
        <v>2.2499999999999999E-2</v>
      </c>
      <c r="EC137">
        <f>IFERROR(VLOOKUP(DX137,Кабель_сопротивление,2,FALSE),"")</f>
        <v>0.11</v>
      </c>
      <c r="ED137">
        <f t="shared" si="295"/>
        <v>13</v>
      </c>
      <c r="EE137">
        <f t="shared" si="296"/>
        <v>0</v>
      </c>
      <c r="EF137">
        <f t="shared" si="297"/>
        <v>0.31243892940968471</v>
      </c>
      <c r="EG137" s="6">
        <f>IFERROR(ROUNDUP(EF137/((Uн_лин/SQRT(3))*1000)*100,2),"")</f>
        <v>0.14000000000000001</v>
      </c>
      <c r="EH137" t="str">
        <f>IFERROR(VLOOKUP(BT137,Кабель_обозначение,2,FALSE),"")</f>
        <v>ВВГнг(А)-LS</v>
      </c>
      <c r="EI137" t="str">
        <f t="shared" si="298"/>
        <v>ВВГнг(А)-LS (3х1,5)</v>
      </c>
      <c r="EJ137" t="str">
        <f t="shared" si="299"/>
        <v>ВВГнг(А)-LS (3х1,5)
L=23-0,14%</v>
      </c>
      <c r="EK137">
        <f>IFERROR(2*ρкз_Cu*Q137/DX137,"")</f>
        <v>0.80653333333333332</v>
      </c>
      <c r="EL137">
        <f t="shared" si="300"/>
        <v>0.26833333333333337</v>
      </c>
      <c r="EM137" s="6" t="str">
        <f>IFERROR(IF(OR(B137="",NOT(ISNUMBER(DX137)),N(Q137)=0),"",_xlfn.XLOOKUP(A137,Щиты[Щит],Щиты[Zпетли на шинах, Ом])+EK137),"")</f>
        <v/>
      </c>
      <c r="EN137" s="6" t="str">
        <f>IF(ISNUMBER(EM137),c_min*(Uн_лин*1000/SQRT(3))/EM137,"")</f>
        <v/>
      </c>
      <c r="EO137" s="6" t="str">
        <f>IFERROR(IF(OR(B137="",NOT(ISNUMBER(DX137))),"",1.05*(Uн_лин*1000/SQRT(3))/(_xlfn.XLOOKUP(A137,Щиты[Щит],Щиты[Zmax на шинах, Ом])+EL137)/1000),"")</f>
        <v/>
      </c>
      <c r="EP137" s="6" t="str">
        <f>IF(B137="","",IF(ISNUMBER(Y137),"Сил",IF(IFERROR(_xlfn.XLOOKUP(AX137,Коды_код,Коды_группа)&amp;"","")="","Быт",_xlfn.XLOOKUP(AX137,Коды_код,Коды_группа)&amp;"")))</f>
        <v>Сил</v>
      </c>
      <c r="EQ137" s="6" t="str">
        <f t="shared" si="301"/>
        <v>Сил</v>
      </c>
      <c r="ER137" s="6">
        <f>IF(EQ137="Щит","щит",IF(EQ137="","",IF(EQ137="Быт",IFERROR(_xlfn.XLOOKUP(A137,Щиты[Щит],Щиты[Кс быт]),1),IF(EQ137="Сил",IF(ISNUMBER(Y137),Y137,IF(Методика="нормы 2026",IFERROR(_xlfn.XLOOKUP(A137,Щиты[Щит],Щиты[Кс силовых (табл. 7.5)]),1),1)),IF(OR(EQ137="Пост",EQ137="Отоп"),1,IF(EQ137="ВНГ",0.7,0))))))</f>
        <v>0.5</v>
      </c>
      <c r="ES137">
        <f t="shared" si="302"/>
        <v>1</v>
      </c>
      <c r="ET137">
        <f t="shared" si="303"/>
        <v>0.104</v>
      </c>
      <c r="EU137">
        <f t="shared" si="304"/>
        <v>0</v>
      </c>
      <c r="EV137">
        <f t="shared" si="305"/>
        <v>5.1999999999999998E-2</v>
      </c>
      <c r="EW137">
        <f t="shared" si="306"/>
        <v>0</v>
      </c>
      <c r="EX137">
        <f t="shared" si="307"/>
        <v>0</v>
      </c>
      <c r="EY137">
        <f t="shared" si="308"/>
        <v>0</v>
      </c>
      <c r="EZ137">
        <f t="shared" si="309"/>
        <v>0.104</v>
      </c>
      <c r="FA137">
        <f t="shared" si="310"/>
        <v>8.3199999999999996E-2</v>
      </c>
      <c r="FB137">
        <f t="shared" si="311"/>
        <v>0.104</v>
      </c>
      <c r="FC137" t="str">
        <f t="shared" si="312"/>
        <v/>
      </c>
      <c r="FD137" t="str">
        <f>IF(B137="","",IF(CA137=0,IF(AW137=1,"",FF136),IF(OR(N(CV137)&gt;=3,N(BR137)&gt;=3),"L1,L2,L3",IFERROR(_xlfn.TEXTBEFORE(_xlfn.TEXTAFTER(_xlfn.XLOOKUP(A137,Щиты[Щит],Щиты[_фазы авто]),";"&amp;AW137&amp;":"),";"),"L1"))))</f>
        <v>L1</v>
      </c>
      <c r="FE137" t="str">
        <f t="shared" si="313"/>
        <v>L1</v>
      </c>
      <c r="FF137" t="str">
        <f t="shared" si="314"/>
        <v>L1</v>
      </c>
      <c r="FG137" cm="1">
        <f t="array" ref="FG137">IFERROR(IF(BX137=2,_xlfn.IFS(BR137=3,VLOOKUP(BN137,Справочная_двигатели,3,FALSE),BR137=1,VLOOKUP(BN137,Справочная_двигатели,5,TRUE)),0),0)</f>
        <v>0</v>
      </c>
      <c r="FH137">
        <f>IFERROR(IF(BX137=3,VLOOKUP(BN137,Справочная_ЛЭД,2,TRUE),0),0)</f>
        <v>0</v>
      </c>
      <c r="FI137" s="6">
        <f t="shared" si="315"/>
        <v>0</v>
      </c>
      <c r="FJ137" t="str" cm="1">
        <f t="array" ref="FJ137">IF(B137="","",IFERROR(INDEX({"I особая","I","II","III"},MATCH(TRIM(AC137&amp;""),{"I особая","I","II","III"},0)),"III"))</f>
        <v>II</v>
      </c>
      <c r="FK137" t="str">
        <f>IF(B137="","",IF(TRIM(AD137&amp;"")&lt;&gt;"",IF(LOWER(TRIM(AD137&amp;""))="да","да","нет"),IF(IFERROR(_xlfn.XLOOKUP(AX137,Коды_код,Коды_пожарная),"")="да","да","нет")))</f>
        <v>нет</v>
      </c>
      <c r="FL137" t="str">
        <f t="shared" si="316"/>
        <v/>
      </c>
      <c r="FM137" t="str">
        <f t="shared" si="317"/>
        <v>основная</v>
      </c>
      <c r="FN137">
        <f t="shared" si="318"/>
        <v>1</v>
      </c>
      <c r="FO137" t="str" cm="1">
        <f t="array" ref="FO137">IF(B137="","",_xlfn.LET(_xlpm.t,IFERROR(_xlfn.XLOOKUP(1,(Шины[Шина]=FM137)*(((Шины[Щит]=A137)+(Шины[Щит]=""))&gt;0),Шины[Тип]),"")&amp;"",IF(_xlpm.t&lt;&gt;"",_xlpm.t,IF(ISNUMBER(SEARCH("ИБП",FM137)),"ИБП",IF(ISNUMBER(SEARCH("ДГУ",FM137)),"ДГУ","Ввод "&amp;FN137)))))</f>
        <v>Ввод 1</v>
      </c>
      <c r="FP137" t="str">
        <f t="shared" si="319"/>
        <v>Ввод 1</v>
      </c>
      <c r="FQ137" t="str">
        <f>IF(B137="","",IF(OR(FO137="ИБП",FO137="ДГУ"),"I особая",IF(FO137="Одиночная","III",_xlfn.XLOOKUP(A137,Щиты[Щит],Щиты[Категория шины «Ввод»],"III"))))</f>
        <v>II</v>
      </c>
      <c r="FR137">
        <f>IF(B137="",0,IFERROR(MATCH(FJ137,{"III","II","I","I особая"},0),1))</f>
        <v>2</v>
      </c>
      <c r="FS137">
        <f t="shared" si="320"/>
        <v>2</v>
      </c>
      <c r="FT137" t="str">
        <f>IF(B137="","",IF(FR137&gt;IFERROR(MATCH(FQ137,{"III","II","I","I особая"},0),1),"НЕ ОБЕСПЕЧЕНА","ОК"))</f>
        <v>ОК</v>
      </c>
      <c r="FU137" t="str">
        <f>IF(A137="","",_xlfn.XLOOKUP(A137,Щиты[Щит],Щиты[Путь],""))</f>
        <v>|ГРЩ-ЖД|ЩОВ-2|</v>
      </c>
      <c r="FV137" t="str">
        <f>IF(B137="","",IF(AE137&lt;&gt;"",AE137,IF(IFERROR(_xlfn.XLOOKUP(AX137,Коды_код,Коды_вид)&amp;"","")="","Прочее",_xlfn.XLOOKUP(AX137,Коды_код,Коды_вид)&amp;"")))</f>
        <v>Кондиционирование и увлажнение</v>
      </c>
      <c r="FW137">
        <f>IF(BH137="","",INT((BH137-1)/Столбцов_на_лист)+1)</f>
        <v>2</v>
      </c>
      <c r="FX137" t="str">
        <f t="shared" si="321"/>
        <v>ВВГнг(А)-LS (3х1,5) L=23-0,14%</v>
      </c>
      <c r="FY137">
        <f t="shared" si="322"/>
        <v>0.104</v>
      </c>
      <c r="FZ137">
        <f t="shared" si="323"/>
        <v>0.57000000000000006</v>
      </c>
      <c r="GA137">
        <f t="shared" si="324"/>
        <v>1</v>
      </c>
      <c r="GB137">
        <f t="shared" si="325"/>
        <v>0</v>
      </c>
      <c r="GC137">
        <f t="shared" si="326"/>
        <v>1</v>
      </c>
      <c r="GD137">
        <f>IF(BH137="","",IF(AND(CA137=1,GC137=1),COUNTIFS(A$3:A137,A137,CA$3:CA137,1,GC$3:GC137,1),IF(OR(OR(AW137=1,A137&lt;&gt;A136),AF137="вручную",GC137=0),"",IF(AW137=1,"",GE136))))</f>
        <v>7</v>
      </c>
      <c r="GE137">
        <f t="shared" si="327"/>
        <v>7</v>
      </c>
      <c r="GF137">
        <f>IF(B137="","",IFERROR(LOOKUP(INDEX(CHOOSE(DL137,Iдоп_1ж,Iдоп_2ж,Iдоп_3ж),MATCH(DX137,Iдоп_S,0))*DJ137*DK137,{6,10,16,20,25,32,40,50,63,80,100,125,160,200,250,315,400,500,630}),""))</f>
        <v>16</v>
      </c>
      <c r="GG137" t="str">
        <f t="shared" si="328"/>
        <v>QF7</v>
      </c>
      <c r="GH137" t="str">
        <f t="shared" si="329"/>
        <v>QF7</v>
      </c>
      <c r="GI137" t="str">
        <f t="shared" si="330"/>
        <v/>
      </c>
      <c r="GJ137">
        <f t="shared" si="331"/>
        <v>0</v>
      </c>
      <c r="GK137" t="str">
        <f>IF(OR(AG137="",AG137="-"),"",IFERROR(VLOOKUP(AG137,Модули_спр,2,FALSE),"R"))</f>
        <v/>
      </c>
      <c r="GL137" t="str">
        <f>IF(GK137="","",GK137&amp;"."&amp;COUNTIFS(A$3:A137,A137,GK$3:GK137,GK137))</f>
        <v/>
      </c>
      <c r="GM137" t="str">
        <f t="shared" si="332"/>
        <v/>
      </c>
      <c r="GN137" t="str">
        <f t="shared" si="333"/>
        <v/>
      </c>
      <c r="GO137" t="str">
        <f t="shared" si="334"/>
        <v/>
      </c>
      <c r="GP137" t="str">
        <f t="shared" si="335"/>
        <v/>
      </c>
      <c r="GQ137">
        <f t="shared" si="336"/>
        <v>1</v>
      </c>
      <c r="GR137" t="str">
        <f>IF(GQ137=1,"XT"&amp;COUNTIFS(A$3:A137,A137,GQ$3:GQ137,1),"")</f>
        <v>XT7</v>
      </c>
      <c r="GS137" t="str">
        <f t="shared" si="337"/>
        <v/>
      </c>
      <c r="GT137" t="str">
        <f t="shared" si="338"/>
        <v>QF7</v>
      </c>
      <c r="GU137" t="str">
        <f t="shared" si="339"/>
        <v/>
      </c>
      <c r="GV137" t="str">
        <f t="shared" si="340"/>
        <v>ok</v>
      </c>
      <c r="GW137" t="str">
        <f>IF(OR(GO137="",GM137=""),"",IF(GO137&gt;IFERROR(VLOOKUP(GN137,Модули_спр,3,FALSE),99),"ЛИШНИЙ КАНАЛ",IF(AND(AH137&lt;&gt;"=",COUNTIFS(Линии[_модуль гр.],GM137,Линии[Канал (итог)],GO137,Линии[Канал],"&lt;&gt;=",Линии[Щит],A137)&gt;1),"ДУБЛЬ КАНАЛА","")))</f>
        <v/>
      </c>
      <c r="GX137" s="6" t="str">
        <f t="shared" si="341"/>
        <v/>
      </c>
      <c r="GY137">
        <f t="shared" si="342"/>
        <v>10</v>
      </c>
      <c r="GZ137" t="str">
        <f t="shared" si="343"/>
        <v/>
      </c>
      <c r="HA137" t="str">
        <f>IF(AND(B137="",GT137=""),"",_xlfn.TEXTJOIN("; ",TRUE,IF(AND(B137&lt;&gt;"",FE137=""),"нет фазы",""),IF(AND(B137&lt;&gt;"",N(FY137)=0,EQ137&lt;&gt;"Нет"),"нет мощности",""),IF(AND(GS137&lt;&gt;"",COUNTIFS(Линии[Щит],A137,Линии[Клемма (итог)],GS137)&gt;1),"дубль клеммы "&amp;GS137,""),IF(AND(GV137&lt;&gt;"",GV137&lt;&gt;"ok"),GV137,""),IF(GW137&lt;&gt;"",GW137,""),IF(AND(N(BV137)&gt;=4,N(BR137)=1),BV137&amp;" жил на 1 фазе",""),IF(AND(AX137="R",CA137=1,OR(N(CK137)=0,N(CK137)&gt;30)),"розетка без дифзащиты до 30 мА",""),IFERROR(IF(AND(ISNUMBER(R137),R137&gt;DV137),"потери "&amp;FIXED(R137,1)&amp;" % &gt; "&amp;DV137&amp;" %",""),""),IFERROR(IF(LEFT(GZ137,4)="мало","Iкз мало — отключение &gt; 0,4 с",""),""),IF(AND(B137&lt;&gt;"",BH137=""),"не на схеме",""),IF(AND(CA137=0,B137&lt;&gt;"",FE137&lt;&gt;"",IF(AW137=1,"",FF136)&lt;&gt;"",FE137&lt;&gt;IF(AW137=1,"",FF136)),"фаза не как у автомата группы ("&amp;IF(AW137=1,"",FF136)&amp;")","")))</f>
        <v/>
      </c>
      <c r="HB137" s="6" t="str">
        <f>IF(OR(CA137=0,DA137=""),"",_xlfn.LET(_xlpm.t,IFERROR(_xlfn.XLOOKUP(DA137,Каталог!$U$4:$U$500,Каталог!$G$4:$G$500),""),_xlpm.k,SEARCH("кА",_xlpm.t),IFERROR(--TRIM(RIGHT(SUBSTITUTE(MID(_xlpm.t,MAX(1,_xlpm.k-4),_xlpm.k-MAX(1,_xlpm.k-4))," ",REPT(" ",9)),5)),"")))</f>
        <v/>
      </c>
      <c r="HC137" t="str">
        <f>IF(OR(HB137="",CA137=0),"",IF(_xlfn.XLOOKUP(A137,Щиты[Щит],Щиты[Iкз max на шинах, кА],"")="","",IF(HB137&lt;_xlfn.XLOOKUP(A137,Щиты[Щит],Щиты[Iкз max на шинах, кА]),"Icu "&amp;HB137&amp;" кА &lt; Iкз max","ok")))</f>
        <v/>
      </c>
      <c r="HD137" t="str">
        <f t="shared" si="344"/>
        <v/>
      </c>
      <c r="HE137" t="str">
        <f t="shared" si="345"/>
        <v>QF7</v>
      </c>
      <c r="HF137" t="str">
        <f t="shared" si="346"/>
        <v>QF7|кабель ВВГнг(А)-LS (3х1,5) → Внутренний блок кондиционирования Технический этаж Пом. №002Т</v>
      </c>
      <c r="HG137" t="str" cm="1">
        <f t="array" ref="HG137">IF(HF137="","",_xlfn.LET(_xlpm.nd,_xlfn.TEXTSPLIT(HF137,"|"),IF(COLUMNS(_xlpm.nd)&gt;1,A137&amp;"¦"&amp;INDEX(_xlpm.nd,1)&amp;"¦"&amp;INDEX(_xlpm.nd,2),"")))</f>
        <v>ЩОВ-2¦QF7¦кабель ВВГнг(А)-LS (3х1,5) → Внутренний блок кондиционирования Технический этаж Пом. №002Т</v>
      </c>
      <c r="HH137" t="str">
        <f t="shared" si="347"/>
        <v>K.2.008A¦Внутренний блок кондиционирования Технический этаж Пом. №002Т</v>
      </c>
      <c r="HI137" t="str" cm="1">
        <f t="array" ref="HI137">IF(HF137="","",_xlfn.LET(_xlpm.nd,_xlfn.TEXTSPLIT(HF137,"|"),IF(COLUMNS(_xlpm.nd)&gt;2,A137&amp;"¦"&amp;INDEX(_xlpm.nd,2)&amp;"¦"&amp;INDEX(_xlpm.nd,3),"")))</f>
        <v/>
      </c>
      <c r="HJ137" t="str">
        <f t="shared" si="348"/>
        <v/>
      </c>
      <c r="HK137" t="str" cm="1">
        <f t="array" ref="HK137">IF(HF137="","",_xlfn.LET(_xlpm.nd,_xlfn.TEXTSPLIT(HF137,"|"),IF(COLUMNS(_xlpm.nd)&gt;3,A137&amp;"¦"&amp;INDEX(_xlpm.nd,3)&amp;"¦"&amp;INDEX(_xlpm.nd,4),"")))</f>
        <v/>
      </c>
      <c r="HL137" t="str">
        <f t="shared" si="349"/>
        <v/>
      </c>
      <c r="HM137" t="str" cm="1">
        <f t="array" ref="HM137">IF(HF137="","",_xlfn.LET(_xlpm.nd,_xlfn.TEXTSPLIT(HF137,"|"),IF(COLUMNS(_xlpm.nd)&gt;4,A137&amp;"¦"&amp;INDEX(_xlpm.nd,4)&amp;"¦"&amp;INDEX(_xlpm.nd,5),"")))</f>
        <v/>
      </c>
      <c r="HN137" t="str">
        <f t="shared" si="350"/>
        <v/>
      </c>
      <c r="HO137" t="str" cm="1">
        <f t="array" ref="HO137">IF(HF137="","",_xlfn.LET(_xlpm.nd,_xlfn.TEXTSPLIT(HF137,"|"),IF(COLUMNS(_xlpm.nd)&gt;5,A137&amp;"¦"&amp;INDEX(_xlpm.nd,5)&amp;"¦"&amp;INDEX(_xlpm.nd,6),"")))</f>
        <v/>
      </c>
      <c r="HP137" t="str">
        <f t="shared" si="351"/>
        <v/>
      </c>
      <c r="HQ137" t="str" cm="1">
        <f t="array" ref="HQ137">IF(HF137="","",_xlfn.LET(_xlpm.nd,_xlfn.TEXTSPLIT(HF137,"|"),IF(COLUMNS(_xlpm.nd)&gt;6,A137&amp;"¦"&amp;INDEX(_xlpm.nd,6)&amp;"¦"&amp;INDEX(_xlpm.nd,7),"")))</f>
        <v/>
      </c>
      <c r="HR137" t="str">
        <f t="shared" si="352"/>
        <v/>
      </c>
      <c r="HS137" t="str">
        <f t="shared" si="353"/>
        <v/>
      </c>
      <c r="HT137" t="str">
        <f t="shared" si="354"/>
        <v>QF7</v>
      </c>
      <c r="HU137">
        <f t="shared" si="355"/>
        <v>0</v>
      </c>
      <c r="HV137">
        <f t="shared" si="356"/>
        <v>0</v>
      </c>
      <c r="HW137" t="str">
        <f t="shared" si="357"/>
        <v/>
      </c>
      <c r="HX137" t="str">
        <f t="shared" si="358"/>
        <v/>
      </c>
      <c r="HY137" t="str">
        <f t="shared" si="359"/>
        <v/>
      </c>
      <c r="HZ137" t="str">
        <f t="shared" si="360"/>
        <v/>
      </c>
      <c r="IA137">
        <f>IF(B137="","",IFERROR(VLOOKUP(B137,УГО_спр,2,FALSE),IFERROR(VLOOKUP(AX137,УГО_спр,2,FALSE),IFERROR(VLOOKUP(LEFT(AX137,2),УГО_спр,2,FALSE),""))))</f>
        <v>0</v>
      </c>
      <c r="IB137" t="str">
        <f>IF(B137="","",IF(OR(IA137="",IA137=0),"BOX",IFERROR(IF(VLOOKUP(IA137,УГО_блоки,3,FALSE)&amp;""&lt;&gt;"",VLOOKUP(IA137,УГО_блоки,3,FALSE),VLOOKUP(IA137,УГО_блоки,2,FALSE)),IA137)))</f>
        <v>BOX</v>
      </c>
      <c r="IC137">
        <f t="shared" si="361"/>
        <v>1</v>
      </c>
      <c r="ID137" t="str">
        <f>IF(DA137="","",IF(COUNTIF(DA$3:DA137,DA137)=1,MAX(ID$2:ID136)+1,""))</f>
        <v/>
      </c>
      <c r="IE137" t="str">
        <f>IF(CO137="","",IF(COUNTIF(CO$3:CO137,CO137)+COUNTIF(CP$2:CP136,CO137)+COUNTIF(CQ$2:CQ136,CO137)=1,MAX(IE$2:IG136)+1,""))</f>
        <v/>
      </c>
      <c r="IF137" t="str">
        <f>IF(CP137="","",IF(COUNTIF(CO$3:CO137,CP137)+COUNTIF(CP$3:CP137,CP137)+COUNTIF(CQ$2:CQ136,CP137)=1,MAX(IE$2:IG136,IE137)+1,""))</f>
        <v/>
      </c>
      <c r="IG137" t="str">
        <f>IF(CQ137="","",IF(COUNTIF(CO$3:CO137,CQ137)+COUNTIF(CP$3:CP137,CQ137)+COUNTIF(CQ$3:CQ137,CQ137)=1,MAX(IE$2:IG136,IE137,IF137)+1,""))</f>
        <v/>
      </c>
      <c r="IH137" t="str">
        <f t="shared" si="362"/>
        <v>3х1,5</v>
      </c>
      <c r="II137" t="str">
        <f>IF(IH137="","",IF(COUNTIF(IH$3:IH137,IH137)=1,MAX(II$2:II136)+1,""))</f>
        <v/>
      </c>
      <c r="IJ137" t="str">
        <f>IF(GL137="","",COUNTIF(GL$3:GL137,"?*"))</f>
        <v/>
      </c>
      <c r="IK137" t="str">
        <f>IF(OR(GL137="",GN137=""),"",IF(COUNTIFS(GL$3:GL137,"?*",GN$3:GN137,GN137)=1,MAX(IK$2:IK136)+1,""))</f>
        <v/>
      </c>
      <c r="IL137">
        <f t="shared" si="363"/>
        <v>0</v>
      </c>
      <c r="IM137">
        <f>IF(B137="","",COUNTIF(B$3:B137,"?*"))</f>
        <v>135</v>
      </c>
      <c r="IN137">
        <f>IF(GQ137&lt;&gt;1,0,_xlfn.LET(_xlpm.k,MAX(IFERROR(--VLOOKUP(B137,УГО_спр,5,FALSE),0),IFERROR(--VLOOKUP(AX137,УГО_спр,5,FALSE),0),IFERROR(--VLOOKUP(LEFT(AX137,2),УГО_спр,5,FALSE),0)),IF(_xlpm.k&gt;0,_xlpm.k,IF(IFERROR(--LEFT(SUBSTITUTE(IH137,"x","х"),FIND("х",SUBSTITUTE(IH137,"x","х"))-1),3)&gt;3,Каталог!$S$9,1))))</f>
        <v>1</v>
      </c>
      <c r="IO137">
        <f t="shared" si="364"/>
        <v>0</v>
      </c>
      <c r="IP137" t="str">
        <f t="shared" si="365"/>
        <v>авто</v>
      </c>
      <c r="IQ137" t="str">
        <f t="shared" si="366"/>
        <v/>
      </c>
      <c r="IR137">
        <f t="shared" si="367"/>
        <v>0</v>
      </c>
      <c r="IS137">
        <f t="shared" si="368"/>
        <v>1</v>
      </c>
    </row>
    <row r="138" spans="1:253" x14ac:dyDescent="0.3">
      <c r="A138" t="s">
        <v>753</v>
      </c>
      <c r="B138" t="s">
        <v>1406</v>
      </c>
      <c r="C138" t="s">
        <v>1644</v>
      </c>
      <c r="D138">
        <v>1</v>
      </c>
      <c r="E138">
        <v>0.16200000000000001</v>
      </c>
      <c r="G138" t="str">
        <f>Линии[[#This Row],[_авто автомат]]</f>
        <v>1P С6А</v>
      </c>
      <c r="H138" t="str">
        <f>Линии[[#This Row],[_авто утечка]]</f>
        <v/>
      </c>
      <c r="I138" t="str">
        <f>Линии[[#This Row],[_авто управление]]</f>
        <v/>
      </c>
      <c r="J138" t="str">
        <f>Линии[[#This Row],[_авто аппараты]]</f>
        <v/>
      </c>
      <c r="K138">
        <v>1.5</v>
      </c>
      <c r="L138">
        <v>20</v>
      </c>
      <c r="M138">
        <v>1</v>
      </c>
      <c r="N138" t="s">
        <v>486</v>
      </c>
      <c r="O138" t="str">
        <f t="shared" si="246"/>
        <v/>
      </c>
      <c r="P138" s="6" cm="1">
        <f t="array" ref="P138">IF(B138="","",IF(BC138&lt;&gt;"",IFERROR(_xlfn.XLOOKUP(BC138,Щиты[Щит],Щиты[Iр, А]),""),IF(BK138=1,IFERROR(_xlfn.XLOOKUP(A138,Щиты[Щит],Щиты[Iр, А]),""),IFERROR(_xlfn.IFS(BR138=1,BN138/((Uн_лин/SQRT(3))*BY138),BR138=3,BN138/(SQRT(3)*Uн_лин*BY138)),""))))</f>
        <v>0.87685072133174402</v>
      </c>
      <c r="Q138" s="7">
        <f>IF(B138="","",IFERROR(IF(VLOOKUP(AX138,Потребители_обозначение,4,FALSE)=1,VLOOKUP(AX138,Потребители_обозначение,3,FALSE)*(D138*2-1)+DS138+VLOOKUP(AZ138,Этаж_обозначение,3,FALSE)+VLOOKUP(AZ138,Этаж_обозначение,4,FALSE),VLOOKUP(AX138,Потребители_обозначение,3,FALSE)*(D138*2-1)+DS138),DS138))</f>
        <v>22</v>
      </c>
      <c r="R138" s="6">
        <f t="shared" si="247"/>
        <v>1.3499999999999999</v>
      </c>
      <c r="S138" t="str">
        <f t="shared" si="248"/>
        <v>ВВГнг(А)-LS (3х1,5)</v>
      </c>
      <c r="T138" t="str">
        <f>IF(BH138="","",IF(BI138="вводной узел","узел ","")&amp;"л."&amp;(INT((BH138-1)/Столбцов_на_лист)+1)&amp;" / "&amp;(MOD(BH138-1,Столбцов_на_лист)+1))</f>
        <v>л.2 / 10</v>
      </c>
      <c r="V138">
        <v>1</v>
      </c>
      <c r="W138">
        <v>230</v>
      </c>
      <c r="X138" t="s">
        <v>600</v>
      </c>
      <c r="Y138">
        <v>0.5</v>
      </c>
      <c r="AC138" t="s">
        <v>815</v>
      </c>
      <c r="AE138" t="s">
        <v>578</v>
      </c>
      <c r="AI138">
        <v>27</v>
      </c>
      <c r="AJ138" t="s">
        <v>11</v>
      </c>
      <c r="AK138">
        <v>3</v>
      </c>
      <c r="AM138">
        <v>10</v>
      </c>
      <c r="AN138">
        <v>12</v>
      </c>
      <c r="AP138">
        <v>1</v>
      </c>
      <c r="AW138" cm="1">
        <f t="array" ref="AW138">ROW()-ROW(Линии[#Headers])</f>
        <v>136</v>
      </c>
      <c r="AX138" s="6" t="str">
        <f t="shared" si="249"/>
        <v>K</v>
      </c>
      <c r="AY138" t="str">
        <f t="shared" si="250"/>
        <v>2.009A</v>
      </c>
      <c r="AZ138" t="str">
        <f t="shared" si="251"/>
        <v>2</v>
      </c>
      <c r="BA138" t="str">
        <f t="shared" si="252"/>
        <v>009A</v>
      </c>
      <c r="BB138" t="str">
        <f t="shared" si="253"/>
        <v>009A</v>
      </c>
      <c r="BC138" t="str">
        <f>IF(U138&lt;&gt;"",U138,IF(AND(B138&lt;&gt;"",B138&lt;&gt;A138,ISNUMBER(_xlfn.XMATCH(B138,Щиты[Щит]))),B138,""))</f>
        <v/>
      </c>
      <c r="BD138" t="str" cm="1">
        <f t="array" ref="BD138">IF(B138="","",IF(BC138&lt;&gt;"","Щит "&amp;BC138,_xlfn.LET(_xlpm.nm,IFERROR(_xlfn.XLOOKUP(AX138,Коды_код,Коды_имя)&amp;"",""),_xlpm.md,IFERROR(N(_xlfn.XLOOKUP(AX138,Коды_код,Коды_режим)),1),_xlpm.ex,IF(Имя_режим="по экспликации",IFERROR(_xlfn.XLOOKUP(AZ138&amp;"|"&amp;BB138,Экспликация[Этаж]&amp;"|"&amp;Экспликация[Помещение],Экспликация[Название])&amp;"",""),""),_xlpm.rm,IF(BB138="","",IF(_xlpm.ex&lt;&gt;"",". "&amp;_xlpm.ex&amp;IF(Имя_пом="нет"," ("&amp;BB138&amp;")"," (пом. "&amp;BB138&amp;")"),IF(Имя_пом="нет"," ",", пом. ")&amp;BB138)),IF(_xlpm.nm="","",IF(_xlpm.md=2,_xlpm.nm&amp;" шлейф "&amp;AZ138,_xlpm.nm&amp;_xlpm.rm)))))</f>
        <v>Внутренний блок кондиционирования, пом. 009A</v>
      </c>
      <c r="BE138" t="str">
        <f t="shared" si="254"/>
        <v>Внутренний блок кондиционирования Технический этаж Пом. №002Т</v>
      </c>
      <c r="BF138">
        <f>IFERROR(_xlfn.XMATCH(A138,Щиты[Щит]),0)</f>
        <v>7</v>
      </c>
      <c r="BG138">
        <f>_xlfn.LET(_xlpm.k,IFERROR(_xlfn.XLOOKUP(A138,Щиты[Щит],Щиты[Листов под вводной узел]),""),IF(_xlpm.k="",1,N(_xlpm.k))*Столбцов_на_лист)</f>
        <v>17</v>
      </c>
      <c r="BH138">
        <f t="shared" si="255"/>
        <v>27</v>
      </c>
      <c r="BI138" t="str">
        <f t="shared" si="256"/>
        <v>линии</v>
      </c>
      <c r="BJ138" s="6">
        <f>IFERROR(N(_xlfn.XLOOKUP(AX138,Коды_код,Коды_квт)),0)</f>
        <v>0</v>
      </c>
      <c r="BK138">
        <f t="shared" si="257"/>
        <v>0</v>
      </c>
      <c r="BL138" t="str">
        <f>IF(B138="","",IF(BC138&lt;&gt;"",IFERROR(_xlfn.XLOOKUP(BC138,Щиты[Щит],Щиты[Руст, кВт]),0),IF(BK138=1,IFERROR(_xlfn.XLOOKUP(A138,Щиты[Щит],Щиты[Руст, кВт]),0),IF(BJ138&gt;0,ROUND(BJ138*MAX(1,N(D138)),3),""))))</f>
        <v/>
      </c>
      <c r="BM138">
        <f t="shared" si="258"/>
        <v>0.16200000000000001</v>
      </c>
      <c r="BN138" s="6">
        <f>IF(B138="","",IF(BC138&lt;&gt;"",IFERROR(_xlfn.XLOOKUP(BC138,Щиты[Щит],Щиты[Руст, кВт]),0),N(BM138)))</f>
        <v>0.16200000000000001</v>
      </c>
      <c r="BO138" t="str">
        <f>IF(B138="","",IFERROR(IF(VLOOKUP(AX138,Потребители_обозначение,8,FALSE)=0,"",VLOOKUP(AX138,Потребители_обозначение,8,FALSE)),""))</f>
        <v/>
      </c>
      <c r="BP138">
        <f t="shared" si="259"/>
        <v>230</v>
      </c>
      <c r="BQ138">
        <f>IF(B138="","",IF(BC138&lt;&gt;"",3,IFERROR(IF(N(VLOOKUP(AX138,Потребители_обозначение,9,FALSE))=0,1,VLOOKUP(AX138,Потребители_обозначение,9,FALSE)),1)))</f>
        <v>1</v>
      </c>
      <c r="BR138">
        <f t="shared" si="260"/>
        <v>1</v>
      </c>
      <c r="BS138" t="str">
        <f>IF(B138="","",_xlfn.LET(_xlpm.bc,IFERROR(IF(VLOOKUP(AX138,Потребители_обозначение,6,FALSE)=0,"",VLOOKUP(AX138,Потребители_обозначение,6,FALSE)&amp;""),""),IF(AND(FK138="да",OR(_xlpm.bc="",_xlpm.bc="мс")),Марка_пож,IF(AND(_xlpm.bc="",BC138&lt;&gt;""),"мс",_xlpm.bc))))</f>
        <v/>
      </c>
      <c r="BT138" t="str">
        <f t="shared" si="261"/>
        <v>мс</v>
      </c>
      <c r="BU138">
        <f>IF(B138="","",_xlfn.LET(_xlpm.cc,IFERROR(N(VLOOKUP(AX138,Потребители_обозначение,7,FALSE)),0),IF(_xlpm.cc&gt;0,_xlpm.cc,IF(BT138="","",IF(N(BR138)=3,5,3)))))</f>
        <v>3</v>
      </c>
      <c r="BV138">
        <f t="shared" si="262"/>
        <v>3</v>
      </c>
      <c r="BW138">
        <f>IFERROR(N(VLOOKUP(AX138,Потребители_обозначение,10,FALSE)),0)</f>
        <v>0</v>
      </c>
      <c r="BX138">
        <f>IFERROR(VLOOKUP(AX138,Потребители_обозначение,5,FALSE),0)</f>
        <v>1</v>
      </c>
      <c r="BY138" s="6" cm="1">
        <f t="array" ref="BY138">IF(B138="","",IF(BC138&lt;&gt;"",IFERROR(_xlfn.XLOOKUP(BC138,Щиты[Щит],Щиты[cos φ]),0.95),IF(BK138=1,IFERROR(_xlfn.XLOOKUP(A138,Щиты[Щит],Щиты[cos φ]),0.95),IF(ISNUMBER(Z138),Z138,IFERROR(IF(BX138=2,_xlfn.IFS(BR138=3,VLOOKUP(BN138,Справочная_двигатели,8,FALSE),BR138=1,VLOOKUP(BN138,Справочная_двигатели,10,TRUE)),IF(AND(Методика="нормы 2026",EQ138="Сил"),0.8,0.95)),0.95)))))</f>
        <v>0.8</v>
      </c>
      <c r="BZ138">
        <f t="shared" si="263"/>
        <v>0</v>
      </c>
      <c r="CA138">
        <f t="shared" si="264"/>
        <v>1</v>
      </c>
      <c r="CB138">
        <f t="shared" si="265"/>
        <v>0</v>
      </c>
      <c r="CC138">
        <f t="shared" si="266"/>
        <v>0</v>
      </c>
      <c r="CD138">
        <f t="shared" si="267"/>
        <v>0</v>
      </c>
      <c r="CE138">
        <f t="shared" si="268"/>
        <v>0</v>
      </c>
      <c r="CF138">
        <f t="shared" si="269"/>
        <v>0</v>
      </c>
      <c r="CG138">
        <f>IF(AX138="",0,_xlfn.LET(_xlpm.v,IFERROR(VLOOKUP(B138,УГО_спр,3,FALSE),IFERROR(VLOOKUP(AX138,УГО_спр,3,FALSE),IFERROR(VLOOKUP(LEFT(AX138,2),УГО_спр,3,FALSE),""))),IF(_xlpm.v="да",30,IF(ISNUMBER(_xlpm.v),_xlpm.v,0))))</f>
        <v>0</v>
      </c>
      <c r="CH138" t="str">
        <f t="shared" si="270"/>
        <v/>
      </c>
      <c r="CI138" t="str">
        <f>_xlfn.LET(_xlpm.k,IFERROR(_xlfn.XLOOKUP(AX138,Коды_код,Коды_утечка)&amp;"",""),IF(_xlpm.k="","дифавтомат",_xlpm.k))</f>
        <v>дифавтомат</v>
      </c>
      <c r="CJ138">
        <f t="shared" si="271"/>
        <v>0</v>
      </c>
      <c r="CK138">
        <f t="shared" si="272"/>
        <v>0</v>
      </c>
      <c r="CL138">
        <f>IF(B138="",0,IFERROR(--VLOOKUP(B138,УГО_спр,4,FALSE),IFERROR(--VLOOKUP(AX138,УГО_спр,4,FALSE),IFERROR(--VLOOKUP(LEFT(AX138,2),УГО_спр,4,FALSE),0))))</f>
        <v>0</v>
      </c>
      <c r="CM138" t="str">
        <f>IF(B138="","",IFERROR(_xlfn.XLOOKUP(AX138,Коды_код,Коды_апп)&amp;"",""))</f>
        <v/>
      </c>
      <c r="CN138" t="str">
        <f t="shared" si="273"/>
        <v/>
      </c>
      <c r="CO138" t="str" cm="1">
        <f t="array" ref="CO138">IF(TRIM(CN138&amp;"")="","",IFERROR(TRIM(INDEX(_xlfn.TEXTSPLIT(CN138&amp;";;;",";"),1)),""))</f>
        <v/>
      </c>
      <c r="CP138" t="str" cm="1">
        <f t="array" ref="CP138">IF(TRIM(CN138&amp;"")="","",IFERROR(TRIM(INDEX(_xlfn.TEXTSPLIT(CN138&amp;";;;",";"),2)),""))</f>
        <v/>
      </c>
      <c r="CQ138" t="str" cm="1">
        <f t="array" ref="CQ138">IF(TRIM(CN138&amp;"")="","",IFERROR(TRIM(INDEX(_xlfn.TEXTSPLIT(CN138&amp;";;;",";"),3)),""))</f>
        <v/>
      </c>
      <c r="CR138">
        <f t="shared" si="274"/>
        <v>0</v>
      </c>
      <c r="CS138" t="str">
        <f>IF(B138="","",_xlfn.LET(_xlpm.t,LOWER(AV138&amp;""),IF(ISNUMBER(SEARCH("dim",_xlpm.t)),"DIM",IF(ISNUMBER(SEARCH("dali",_xlpm.t)),"DALI",IF(OR(ISNUMBER(SEARCH("relay",_xlpm.t)),ISNUMBER(SEARCH("реле",_xlpm.t))),"Relay",IF(ISNUMBER(SEARCH("кнопк",_xlpm.t)),"",IFERROR(_xlfn.XLOOKUP(AX138,Коды_код,Коды_упр)&amp;"","")))))))</f>
        <v/>
      </c>
      <c r="CT138" t="str">
        <f t="shared" si="275"/>
        <v/>
      </c>
      <c r="CU138">
        <f>IF(B138="","",_xlfn.LET(_xlpm.ig,N(P138)+IF(AF138="вручную",0,N(CB138)),_xlpm.n0,IFERROR(VLOOKUP(_xlpm.ig,Автомат_номиналы,2,TRUE),0),_xlpm.mn,MAX(CL138,IF(AF138="вручную",0,N(CE138))),MAX(_xlpm.n0,_xlpm.mn,IF(CR138=1,Мин_автомат_БП,0))))</f>
        <v>6</v>
      </c>
      <c r="CV138">
        <f t="shared" si="276"/>
        <v>1</v>
      </c>
      <c r="CW138" t="str">
        <f t="shared" si="277"/>
        <v>1P</v>
      </c>
      <c r="CX138" t="str">
        <f>_xlfn.LET(_xlpm.cc,UPPER(TRIM(IFERROR(_xlfn.XLOOKUP(AX138,Коды_код,Коды_хар)&amp;"",""))),IF(OR(_xlpm.cc="B",_xlpm.cc="В"),"B",IF(_xlpm.cc="D","D","С")))</f>
        <v>С</v>
      </c>
      <c r="CY138" t="str">
        <f t="shared" si="278"/>
        <v>1P С6А</v>
      </c>
      <c r="CZ138" t="str">
        <f t="shared" si="279"/>
        <v>1P С6А</v>
      </c>
      <c r="DA138" t="str">
        <f t="shared" si="280"/>
        <v>1P С6А</v>
      </c>
      <c r="DB138" cm="1">
        <f t="array" ref="DB138">IF(DA138="","",_xlfn.LET(_xlpm.t,SUBSTITUTE(SUBSTITUTE(SUBSTITUTE(UPPER(DA138),"С","C"),"А","A"),"В","B"),_xlpm.tk,_xlfn.TEXTSPLIT(_xlpm.t,"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8" t="str">
        <f t="shared" si="281"/>
        <v>ok</v>
      </c>
      <c r="DD138">
        <f t="shared" si="282"/>
        <v>6</v>
      </c>
      <c r="DE138" t="str">
        <f t="shared" si="283"/>
        <v>1P С6А</v>
      </c>
      <c r="DF138">
        <f t="shared" si="284"/>
        <v>0</v>
      </c>
      <c r="DG138">
        <f t="shared" si="285"/>
        <v>0</v>
      </c>
      <c r="DH138">
        <f t="shared" si="286"/>
        <v>0</v>
      </c>
      <c r="DI138">
        <f t="shared" si="287"/>
        <v>0.87685072133174402</v>
      </c>
      <c r="DJ138">
        <f t="shared" si="288"/>
        <v>1</v>
      </c>
      <c r="DK138">
        <f>IF(ISNUMBER(AL138),AL138,К_прокл)</f>
        <v>1</v>
      </c>
      <c r="DL138">
        <f t="shared" si="289"/>
        <v>2</v>
      </c>
      <c r="DM138">
        <f>IFERROR(N(VLOOKUP(BT138,Кабель_обозначение,3,FALSE)),1)</f>
        <v>1</v>
      </c>
      <c r="DN138">
        <f>IFERROR(N(_xlfn.XLOOKUP(A138,Щиты[Щит],Щиты[ΔU до шин, %])),0)</f>
        <v>1.1399999999999999</v>
      </c>
      <c r="DO138" t="str">
        <f>IFERROR(_xlfn.XLOOKUP(A138,Щиты[Щит],Щиты[Zпетли на шинах, Ом]),"")</f>
        <v/>
      </c>
      <c r="DP138">
        <f>IFERROR(N(_xlfn.XLOOKUP(A138,Щиты[Щит],Щиты[ΔU до шин (подбор), %])),0)</f>
        <v>1.82</v>
      </c>
      <c r="DQ138" t="str">
        <f>IFERROR(_xlfn.XLOOKUP(A138,Щиты[Щит],Щиты[Zпетли на шинах (подбор), Ом]),"")</f>
        <v/>
      </c>
      <c r="DR138" t="str">
        <f t="shared" si="290"/>
        <v/>
      </c>
      <c r="DS138">
        <f t="shared" si="291"/>
        <v>20</v>
      </c>
      <c r="DT138">
        <f t="shared" si="292"/>
        <v>2</v>
      </c>
      <c r="DU138">
        <f t="shared" si="293"/>
        <v>0.6</v>
      </c>
      <c r="DV138" s="6">
        <f>IF(B138="","",IF(IFERROR(VLOOKUP(AX138,УГО_спр,2,FALSE),"")="Светильник",3,4)+IF(Методика="нормы 2026",MIN(0.5,MAX(0,N(Q138)-100)*0.005),0))</f>
        <v>4</v>
      </c>
      <c r="DW138" cm="1">
        <f t="array" ref="DW138">IF(OR(B138="",BT138="",DM138&lt;&gt;1),"",_xlfn.LET(_xlpm.sz,Iдоп_S,_xlpm.t_,CHOOSE(DL138,Iдоп_1ж,Iдоп_2ж,Iдоп_3ж)*DJ138*DK138,_xlpm.inn,N(DD138),_xlpm.smin,MAX(1.5,BW138),_xlpm.L_,N(Q138)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138)*(_xlpm.rho*_xlpm.L_/_xlpm.sz*N(BY138)+_xlpm.xx*_xlpm.L_*N(DU138)/1000)*N(P138)/((Uн_лин/SQRT(3))*1000)*100,999),_xlpm.kz,IF(OR(DG138=1,NOT(ISNUMBER(DQ138)),_xlpm.L_=0,_xlpm.inn=0),1,IFERROR(--(c_min*(Uн_лин*1000/SQRT(3))/(DQ138+2*ρкз_Cu*_xlpm.L_/_xlpm.sz)&gt;=GY138*_xlpm.inn),0)),_xlpm.ok,IFERROR((_xlpm.sz&gt;=_xlpm.smin)*(_xlpm.t_&gt;=_xlpm.inn)*IF(_xlpm.L_&gt;0,(_xlpm.du_+DP138&lt;=DV138+0.00001),1)*_xlpm.kz,0),_xlpm.r_,_xlfn._xlws.FILTER(_xlpm.sz,_xlpm.ok,"не подобрано"),INDEX(_xlpm.r_,1)))</f>
        <v>1.5</v>
      </c>
      <c r="DX138">
        <f t="shared" si="294"/>
        <v>1.5</v>
      </c>
      <c r="DY138" cm="1">
        <f t="array" ref="DY138">IF(OR(B138="",BT138="",DM138&lt;&gt;1),"",_xlfn.LET(_xlpm.sz,Iдоп_S,_xlpm.t_,CHOOSE(DL138,Iдоп_1ж,Iдоп_2ж,Iдоп_3ж)*DJ138*DK138,_xlpm.ok,IFERROR((_xlpm.sz&gt;=MAX(1.5,BW138))*(_xlpm.t_&gt;=N(DD138)),0),_xlpm.r_,_xlfn._xlws.FILTER(_xlpm.sz,_xlpm.ok,""),INDEX(_xlpm.r_,1)))</f>
        <v>1.5</v>
      </c>
      <c r="DZ138" s="6" cm="1">
        <f t="array" ref="DZ138">IFERROR(ROUNDUP(N(DT138)*(_xlfn.XLOOKUP(DY138,INDEX(Кабель_сопротивление,0,1),INDEX(Кабель_сопротивление,0,3))*N(Q138)/DY138*N(BY138)+_xlfn.XLOOKUP(DY138,INDEX(Кабель_сопротивление,0,1),INDEX(Кабель_сопротивление,0,2))*N(Q138)*N(DU138)/1000)*N(P138)/((Uн_лин/SQRT(3))*1000)*100,2),"")</f>
        <v>0.21000000000000002</v>
      </c>
      <c r="EA138">
        <f>IFERROR(2*ρкз_Cu*N(Q138)/DY138,"")</f>
        <v>0.77146666666666663</v>
      </c>
      <c r="EB138">
        <f>IFERROR(VLOOKUP(DX138,Кабель_сопротивление,3,FALSE),"")</f>
        <v>2.2499999999999999E-2</v>
      </c>
      <c r="EC138">
        <f>IFERROR(VLOOKUP(DX138,Кабель_сопротивление,2,FALSE),"")</f>
        <v>0.11</v>
      </c>
      <c r="ED138">
        <f t="shared" si="295"/>
        <v>12</v>
      </c>
      <c r="EE138">
        <f t="shared" si="296"/>
        <v>0</v>
      </c>
      <c r="EF138">
        <f t="shared" si="297"/>
        <v>0.46552355535790829</v>
      </c>
      <c r="EG138" s="6">
        <f>IFERROR(ROUNDUP(EF138/((Uн_лин/SQRT(3))*1000)*100,2),"")</f>
        <v>0.21000000000000002</v>
      </c>
      <c r="EH138" t="str">
        <f>IFERROR(VLOOKUP(BT138,Кабель_обозначение,2,FALSE),"")</f>
        <v>ВВГнг(А)-LS</v>
      </c>
      <c r="EI138" t="str">
        <f t="shared" si="298"/>
        <v>ВВГнг(А)-LS (3х1,5)</v>
      </c>
      <c r="EJ138" t="str">
        <f t="shared" si="299"/>
        <v>ВВГнг(А)-LS (3х1,5)
L=22-0,21%</v>
      </c>
      <c r="EK138">
        <f>IFERROR(2*ρкз_Cu*Q138/DX138,"")</f>
        <v>0.77146666666666663</v>
      </c>
      <c r="EL138">
        <f t="shared" si="300"/>
        <v>0.25666666666666665</v>
      </c>
      <c r="EM138" s="6" t="str">
        <f>IFERROR(IF(OR(B138="",NOT(ISNUMBER(DX138)),N(Q138)=0),"",_xlfn.XLOOKUP(A138,Щиты[Щит],Щиты[Zпетли на шинах, Ом])+EK138),"")</f>
        <v/>
      </c>
      <c r="EN138" s="6" t="str">
        <f>IF(ISNUMBER(EM138),c_min*(Uн_лин*1000/SQRT(3))/EM138,"")</f>
        <v/>
      </c>
      <c r="EO138" s="6" t="str">
        <f>IFERROR(IF(OR(B138="",NOT(ISNUMBER(DX138))),"",1.05*(Uн_лин*1000/SQRT(3))/(_xlfn.XLOOKUP(A138,Щиты[Щит],Щиты[Zmax на шинах, Ом])+EL138)/1000),"")</f>
        <v/>
      </c>
      <c r="EP138" s="6" t="str">
        <f>IF(B138="","",IF(ISNUMBER(Y138),"Сил",IF(IFERROR(_xlfn.XLOOKUP(AX138,Коды_код,Коды_группа)&amp;"","")="","Быт",_xlfn.XLOOKUP(AX138,Коды_код,Коды_группа)&amp;"")))</f>
        <v>Сил</v>
      </c>
      <c r="EQ138" s="6" t="str">
        <f t="shared" si="301"/>
        <v>Сил</v>
      </c>
      <c r="ER138" s="6">
        <f>IF(EQ138="Щит","щит",IF(EQ138="","",IF(EQ138="Быт",IFERROR(_xlfn.XLOOKUP(A138,Щиты[Щит],Щиты[Кс быт]),1),IF(EQ138="Сил",IF(ISNUMBER(Y138),Y138,IF(Методика="нормы 2026",IFERROR(_xlfn.XLOOKUP(A138,Щиты[Щит],Щиты[Кс силовых (табл. 7.5)]),1),1)),IF(OR(EQ138="Пост",EQ138="Отоп"),1,IF(EQ138="ВНГ",0.7,0))))))</f>
        <v>0.5</v>
      </c>
      <c r="ES138">
        <f t="shared" si="302"/>
        <v>1</v>
      </c>
      <c r="ET138">
        <f t="shared" si="303"/>
        <v>0.16200000000000001</v>
      </c>
      <c r="EU138">
        <f t="shared" si="304"/>
        <v>0</v>
      </c>
      <c r="EV138">
        <f t="shared" si="305"/>
        <v>8.1000000000000003E-2</v>
      </c>
      <c r="EW138">
        <f t="shared" si="306"/>
        <v>0</v>
      </c>
      <c r="EX138">
        <f t="shared" si="307"/>
        <v>0</v>
      </c>
      <c r="EY138">
        <f t="shared" si="308"/>
        <v>0</v>
      </c>
      <c r="EZ138">
        <f t="shared" si="309"/>
        <v>0.16200000000000001</v>
      </c>
      <c r="FA138">
        <f t="shared" si="310"/>
        <v>0.12960000000000002</v>
      </c>
      <c r="FB138">
        <f t="shared" si="311"/>
        <v>0.16200000000000001</v>
      </c>
      <c r="FC138" t="str">
        <f t="shared" si="312"/>
        <v>L1</v>
      </c>
      <c r="FD138" t="str">
        <f>IF(B138="","",IF(CA138=0,IF(AW138=1,"",FF137),IF(OR(N(CV138)&gt;=3,N(BR138)&gt;=3),"L1,L2,L3",IFERROR(_xlfn.TEXTBEFORE(_xlfn.TEXTAFTER(_xlfn.XLOOKUP(A138,Щиты[Щит],Щиты[_фазы авто]),";"&amp;AW138&amp;":"),";"),"L1"))))</f>
        <v>L1</v>
      </c>
      <c r="FE138" t="str">
        <f t="shared" si="313"/>
        <v>L1</v>
      </c>
      <c r="FF138" t="str">
        <f t="shared" si="314"/>
        <v>L1</v>
      </c>
      <c r="FG138" cm="1">
        <f t="array" ref="FG138">IFERROR(IF(BX138=2,_xlfn.IFS(BR138=3,VLOOKUP(BN138,Справочная_двигатели,3,FALSE),BR138=1,VLOOKUP(BN138,Справочная_двигатели,5,TRUE)),0),0)</f>
        <v>0</v>
      </c>
      <c r="FH138">
        <f>IFERROR(IF(BX138=3,VLOOKUP(BN138,Справочная_ЛЭД,2,TRUE),0),0)</f>
        <v>0</v>
      </c>
      <c r="FI138" s="6">
        <f t="shared" si="315"/>
        <v>0</v>
      </c>
      <c r="FJ138" t="str" cm="1">
        <f t="array" ref="FJ138">IF(B138="","",IFERROR(INDEX({"I особая","I","II","III"},MATCH(TRIM(AC138&amp;""),{"I особая","I","II","III"},0)),"III"))</f>
        <v>II</v>
      </c>
      <c r="FK138" t="str">
        <f>IF(B138="","",IF(TRIM(AD138&amp;"")&lt;&gt;"",IF(LOWER(TRIM(AD138&amp;""))="да","да","нет"),IF(IFERROR(_xlfn.XLOOKUP(AX138,Коды_код,Коды_пожарная),"")="да","да","нет")))</f>
        <v>нет</v>
      </c>
      <c r="FL138" t="str">
        <f t="shared" si="316"/>
        <v/>
      </c>
      <c r="FM138" t="str">
        <f t="shared" si="317"/>
        <v>основная</v>
      </c>
      <c r="FN138">
        <f t="shared" si="318"/>
        <v>1</v>
      </c>
      <c r="FO138" t="str" cm="1">
        <f t="array" ref="FO138">IF(B138="","",_xlfn.LET(_xlpm.t,IFERROR(_xlfn.XLOOKUP(1,(Шины[Шина]=FM138)*(((Шины[Щит]=A138)+(Шины[Щит]=""))&gt;0),Шины[Тип]),"")&amp;"",IF(_xlpm.t&lt;&gt;"",_xlpm.t,IF(ISNUMBER(SEARCH("ИБП",FM138)),"ИБП",IF(ISNUMBER(SEARCH("ДГУ",FM138)),"ДГУ","Ввод "&amp;FN138)))))</f>
        <v>Ввод 1</v>
      </c>
      <c r="FP138" t="str">
        <f t="shared" si="319"/>
        <v>Ввод 1</v>
      </c>
      <c r="FQ138" t="str">
        <f>IF(B138="","",IF(OR(FO138="ИБП",FO138="ДГУ"),"I особая",IF(FO138="Одиночная","III",_xlfn.XLOOKUP(A138,Щиты[Щит],Щиты[Категория шины «Ввод»],"III"))))</f>
        <v>II</v>
      </c>
      <c r="FR138">
        <f>IF(B138="",0,IFERROR(MATCH(FJ138,{"III","II","I","I особая"},0),1))</f>
        <v>2</v>
      </c>
      <c r="FS138">
        <f t="shared" si="320"/>
        <v>2</v>
      </c>
      <c r="FT138" t="str">
        <f>IF(B138="","",IF(FR138&gt;IFERROR(MATCH(FQ138,{"III","II","I","I особая"},0),1),"НЕ ОБЕСПЕЧЕНА","ОК"))</f>
        <v>ОК</v>
      </c>
      <c r="FU138" t="str">
        <f>IF(A138="","",_xlfn.XLOOKUP(A138,Щиты[Щит],Щиты[Путь],""))</f>
        <v>|ГРЩ-ЖД|ЩОВ-2|</v>
      </c>
      <c r="FV138" t="str">
        <f>IF(B138="","",IF(AE138&lt;&gt;"",AE138,IF(IFERROR(_xlfn.XLOOKUP(AX138,Коды_код,Коды_вид)&amp;"","")="","Прочее",_xlfn.XLOOKUP(AX138,Коды_код,Коды_вид)&amp;"")))</f>
        <v>Кондиционирование и увлажнение</v>
      </c>
      <c r="FW138">
        <f>IF(BH138="","",INT((BH138-1)/Столбцов_на_лист)+1)</f>
        <v>2</v>
      </c>
      <c r="FX138" t="str">
        <f t="shared" si="321"/>
        <v>ВВГнг(А)-LS (3х1,5) L=22-0,21%</v>
      </c>
      <c r="FY138">
        <f t="shared" si="322"/>
        <v>0.16200000000000001</v>
      </c>
      <c r="FZ138">
        <f t="shared" si="323"/>
        <v>0.88</v>
      </c>
      <c r="GA138">
        <f t="shared" si="324"/>
        <v>1</v>
      </c>
      <c r="GB138">
        <f t="shared" si="325"/>
        <v>0</v>
      </c>
      <c r="GC138">
        <f t="shared" si="326"/>
        <v>1</v>
      </c>
      <c r="GD138">
        <f>IF(BH138="","",IF(AND(CA138=1,GC138=1),COUNTIFS(A$3:A138,A138,CA$3:CA138,1,GC$3:GC138,1),IF(OR(OR(AW138=1,A138&lt;&gt;A137),AF138="вручную",GC138=0),"",IF(AW138=1,"",GE137))))</f>
        <v>8</v>
      </c>
      <c r="GE138">
        <f t="shared" si="327"/>
        <v>8</v>
      </c>
      <c r="GF138">
        <f>IF(B138="","",IFERROR(LOOKUP(INDEX(CHOOSE(DL138,Iдоп_1ж,Iдоп_2ж,Iдоп_3ж),MATCH(DX138,Iдоп_S,0))*DJ138*DK138,{6,10,16,20,25,32,40,50,63,80,100,125,160,200,250,315,400,500,630}),""))</f>
        <v>16</v>
      </c>
      <c r="GG138" t="str">
        <f t="shared" si="328"/>
        <v>QF8</v>
      </c>
      <c r="GH138" t="str">
        <f t="shared" si="329"/>
        <v>QF8</v>
      </c>
      <c r="GI138" t="str">
        <f t="shared" si="330"/>
        <v/>
      </c>
      <c r="GJ138">
        <f t="shared" si="331"/>
        <v>0</v>
      </c>
      <c r="GK138" t="str">
        <f>IF(OR(AG138="",AG138="-"),"",IFERROR(VLOOKUP(AG138,Модули_спр,2,FALSE),"R"))</f>
        <v/>
      </c>
      <c r="GL138" t="str">
        <f>IF(GK138="","",GK138&amp;"."&amp;COUNTIFS(A$3:A138,A138,GK$3:GK138,GK138))</f>
        <v/>
      </c>
      <c r="GM138" t="str">
        <f t="shared" si="332"/>
        <v/>
      </c>
      <c r="GN138" t="str">
        <f t="shared" si="333"/>
        <v/>
      </c>
      <c r="GO138" t="str">
        <f t="shared" si="334"/>
        <v/>
      </c>
      <c r="GP138" t="str">
        <f t="shared" si="335"/>
        <v/>
      </c>
      <c r="GQ138">
        <f t="shared" si="336"/>
        <v>1</v>
      </c>
      <c r="GR138" t="str">
        <f>IF(GQ138=1,"XT"&amp;COUNTIFS(A$3:A138,A138,GQ$3:GQ138,1),"")</f>
        <v>XT8</v>
      </c>
      <c r="GS138" t="str">
        <f t="shared" si="337"/>
        <v/>
      </c>
      <c r="GT138" t="str">
        <f t="shared" si="338"/>
        <v>QF8</v>
      </c>
      <c r="GU138" t="str">
        <f t="shared" si="339"/>
        <v/>
      </c>
      <c r="GV138" t="str">
        <f t="shared" si="340"/>
        <v>ok</v>
      </c>
      <c r="GW138" t="str">
        <f>IF(OR(GO138="",GM138=""),"",IF(GO138&gt;IFERROR(VLOOKUP(GN138,Модули_спр,3,FALSE),99),"ЛИШНИЙ КАНАЛ",IF(AND(AH138&lt;&gt;"=",COUNTIFS(Линии[_модуль гр.],GM138,Линии[Канал (итог)],GO138,Линии[Канал],"&lt;&gt;=",Линии[Щит],A138)&gt;1),"ДУБЛЬ КАНАЛА","")))</f>
        <v/>
      </c>
      <c r="GX138" s="6" t="str">
        <f t="shared" si="341"/>
        <v/>
      </c>
      <c r="GY138">
        <f t="shared" si="342"/>
        <v>10</v>
      </c>
      <c r="GZ138" t="str">
        <f t="shared" si="343"/>
        <v/>
      </c>
      <c r="HA138" t="str">
        <f>IF(AND(B138="",GT138=""),"",_xlfn.TEXTJOIN("; ",TRUE,IF(AND(B138&lt;&gt;"",FE138=""),"нет фазы",""),IF(AND(B138&lt;&gt;"",N(FY138)=0,EQ138&lt;&gt;"Нет"),"нет мощности",""),IF(AND(GS138&lt;&gt;"",COUNTIFS(Линии[Щит],A138,Линии[Клемма (итог)],GS138)&gt;1),"дубль клеммы "&amp;GS138,""),IF(AND(GV138&lt;&gt;"",GV138&lt;&gt;"ok"),GV138,""),IF(GW138&lt;&gt;"",GW138,""),IF(AND(N(BV138)&gt;=4,N(BR138)=1),BV138&amp;" жил на 1 фазе",""),IF(AND(AX138="R",CA138=1,OR(N(CK138)=0,N(CK138)&gt;30)),"розетка без дифзащиты до 30 мА",""),IFERROR(IF(AND(ISNUMBER(R138),R138&gt;DV138),"потери "&amp;FIXED(R138,1)&amp;" % &gt; "&amp;DV138&amp;" %",""),""),IFERROR(IF(LEFT(GZ138,4)="мало","Iкз мало — отключение &gt; 0,4 с",""),""),IF(AND(B138&lt;&gt;"",BH138=""),"не на схеме",""),IF(AND(CA138=0,B138&lt;&gt;"",FE138&lt;&gt;"",IF(AW138=1,"",FF137)&lt;&gt;"",FE138&lt;&gt;IF(AW138=1,"",FF137)),"фаза не как у автомата группы ("&amp;IF(AW138=1,"",FF137)&amp;")","")))</f>
        <v/>
      </c>
      <c r="HB138" s="6" t="str">
        <f>IF(OR(CA138=0,DA138=""),"",_xlfn.LET(_xlpm.t,IFERROR(_xlfn.XLOOKUP(DA138,Каталог!$U$4:$U$500,Каталог!$G$4:$G$500),""),_xlpm.k,SEARCH("кА",_xlpm.t),IFERROR(--TRIM(RIGHT(SUBSTITUTE(MID(_xlpm.t,MAX(1,_xlpm.k-4),_xlpm.k-MAX(1,_xlpm.k-4))," ",REPT(" ",9)),5)),"")))</f>
        <v/>
      </c>
      <c r="HC138" t="str">
        <f>IF(OR(HB138="",CA138=0),"",IF(_xlfn.XLOOKUP(A138,Щиты[Щит],Щиты[Iкз max на шинах, кА],"")="","",IF(HB138&lt;_xlfn.XLOOKUP(A138,Щиты[Щит],Щиты[Iкз max на шинах, кА]),"Icu "&amp;HB138&amp;" кА &lt; Iкз max","ok")))</f>
        <v/>
      </c>
      <c r="HD138" t="str">
        <f t="shared" si="344"/>
        <v/>
      </c>
      <c r="HE138" t="str">
        <f t="shared" si="345"/>
        <v>QF8</v>
      </c>
      <c r="HF138" t="str">
        <f t="shared" si="346"/>
        <v>QF8|кабель ВВГнг(А)-LS (3х1,5) → Внутренний блок кондиционирования Технический этаж Пом. №002Т</v>
      </c>
      <c r="HG138" t="str" cm="1">
        <f t="array" ref="HG138">IF(HF138="","",_xlfn.LET(_xlpm.nd,_xlfn.TEXTSPLIT(HF138,"|"),IF(COLUMNS(_xlpm.nd)&gt;1,A138&amp;"¦"&amp;INDEX(_xlpm.nd,1)&amp;"¦"&amp;INDEX(_xlpm.nd,2),"")))</f>
        <v>ЩОВ-2¦QF8¦кабель ВВГнг(А)-LS (3х1,5) → Внутренний блок кондиционирования Технический этаж Пом. №002Т</v>
      </c>
      <c r="HH138" t="str">
        <f t="shared" si="347"/>
        <v>K.2.009A¦Внутренний блок кондиционирования Технический этаж Пом. №002Т</v>
      </c>
      <c r="HI138" t="str" cm="1">
        <f t="array" ref="HI138">IF(HF138="","",_xlfn.LET(_xlpm.nd,_xlfn.TEXTSPLIT(HF138,"|"),IF(COLUMNS(_xlpm.nd)&gt;2,A138&amp;"¦"&amp;INDEX(_xlpm.nd,2)&amp;"¦"&amp;INDEX(_xlpm.nd,3),"")))</f>
        <v/>
      </c>
      <c r="HJ138" t="str">
        <f t="shared" si="348"/>
        <v/>
      </c>
      <c r="HK138" t="str" cm="1">
        <f t="array" ref="HK138">IF(HF138="","",_xlfn.LET(_xlpm.nd,_xlfn.TEXTSPLIT(HF138,"|"),IF(COLUMNS(_xlpm.nd)&gt;3,A138&amp;"¦"&amp;INDEX(_xlpm.nd,3)&amp;"¦"&amp;INDEX(_xlpm.nd,4),"")))</f>
        <v/>
      </c>
      <c r="HL138" t="str">
        <f t="shared" si="349"/>
        <v/>
      </c>
      <c r="HM138" t="str" cm="1">
        <f t="array" ref="HM138">IF(HF138="","",_xlfn.LET(_xlpm.nd,_xlfn.TEXTSPLIT(HF138,"|"),IF(COLUMNS(_xlpm.nd)&gt;4,A138&amp;"¦"&amp;INDEX(_xlpm.nd,4)&amp;"¦"&amp;INDEX(_xlpm.nd,5),"")))</f>
        <v/>
      </c>
      <c r="HN138" t="str">
        <f t="shared" si="350"/>
        <v/>
      </c>
      <c r="HO138" t="str" cm="1">
        <f t="array" ref="HO138">IF(HF138="","",_xlfn.LET(_xlpm.nd,_xlfn.TEXTSPLIT(HF138,"|"),IF(COLUMNS(_xlpm.nd)&gt;5,A138&amp;"¦"&amp;INDEX(_xlpm.nd,5)&amp;"¦"&amp;INDEX(_xlpm.nd,6),"")))</f>
        <v/>
      </c>
      <c r="HP138" t="str">
        <f t="shared" si="351"/>
        <v/>
      </c>
      <c r="HQ138" t="str" cm="1">
        <f t="array" ref="HQ138">IF(HF138="","",_xlfn.LET(_xlpm.nd,_xlfn.TEXTSPLIT(HF138,"|"),IF(COLUMNS(_xlpm.nd)&gt;6,A138&amp;"¦"&amp;INDEX(_xlpm.nd,6)&amp;"¦"&amp;INDEX(_xlpm.nd,7),"")))</f>
        <v/>
      </c>
      <c r="HR138" t="str">
        <f t="shared" si="352"/>
        <v/>
      </c>
      <c r="HS138" t="str">
        <f t="shared" si="353"/>
        <v/>
      </c>
      <c r="HT138" t="str">
        <f t="shared" si="354"/>
        <v>QF8</v>
      </c>
      <c r="HU138">
        <f t="shared" si="355"/>
        <v>0</v>
      </c>
      <c r="HV138">
        <f t="shared" si="356"/>
        <v>0</v>
      </c>
      <c r="HW138" t="str">
        <f t="shared" si="357"/>
        <v/>
      </c>
      <c r="HX138" t="str">
        <f t="shared" si="358"/>
        <v/>
      </c>
      <c r="HY138" t="str">
        <f t="shared" si="359"/>
        <v/>
      </c>
      <c r="HZ138" t="str">
        <f t="shared" si="360"/>
        <v/>
      </c>
      <c r="IA138">
        <f>IF(B138="","",IFERROR(VLOOKUP(B138,УГО_спр,2,FALSE),IFERROR(VLOOKUP(AX138,УГО_спр,2,FALSE),IFERROR(VLOOKUP(LEFT(AX138,2),УГО_спр,2,FALSE),""))))</f>
        <v>0</v>
      </c>
      <c r="IB138" t="str">
        <f>IF(B138="","",IF(OR(IA138="",IA138=0),"BOX",IFERROR(IF(VLOOKUP(IA138,УГО_блоки,3,FALSE)&amp;""&lt;&gt;"",VLOOKUP(IA138,УГО_блоки,3,FALSE),VLOOKUP(IA138,УГО_блоки,2,FALSE)),IA138)))</f>
        <v>BOX</v>
      </c>
      <c r="IC138">
        <f t="shared" si="361"/>
        <v>1</v>
      </c>
      <c r="ID138" t="str">
        <f>IF(DA138="","",IF(COUNTIF(DA$3:DA138,DA138)=1,MAX(ID$2:ID137)+1,""))</f>
        <v/>
      </c>
      <c r="IE138" t="str">
        <f>IF(CO138="","",IF(COUNTIF(CO$3:CO138,CO138)+COUNTIF(CP$2:CP137,CO138)+COUNTIF(CQ$2:CQ137,CO138)=1,MAX(IE$2:IG137)+1,""))</f>
        <v/>
      </c>
      <c r="IF138" t="str">
        <f>IF(CP138="","",IF(COUNTIF(CO$3:CO138,CP138)+COUNTIF(CP$3:CP138,CP138)+COUNTIF(CQ$2:CQ137,CP138)=1,MAX(IE$2:IG137,IE138)+1,""))</f>
        <v/>
      </c>
      <c r="IG138" t="str">
        <f>IF(CQ138="","",IF(COUNTIF(CO$3:CO138,CQ138)+COUNTIF(CP$3:CP138,CQ138)+COUNTIF(CQ$3:CQ138,CQ138)=1,MAX(IE$2:IG137,IE138,IF138)+1,""))</f>
        <v/>
      </c>
      <c r="IH138" t="str">
        <f t="shared" si="362"/>
        <v>3х1,5</v>
      </c>
      <c r="II138" t="str">
        <f>IF(IH138="","",IF(COUNTIF(IH$3:IH138,IH138)=1,MAX(II$2:II137)+1,""))</f>
        <v/>
      </c>
      <c r="IJ138" t="str">
        <f>IF(GL138="","",COUNTIF(GL$3:GL138,"?*"))</f>
        <v/>
      </c>
      <c r="IK138" t="str">
        <f>IF(OR(GL138="",GN138=""),"",IF(COUNTIFS(GL$3:GL138,"?*",GN$3:GN138,GN138)=1,MAX(IK$2:IK137)+1,""))</f>
        <v/>
      </c>
      <c r="IL138">
        <f t="shared" si="363"/>
        <v>0</v>
      </c>
      <c r="IM138">
        <f>IF(B138="","",COUNTIF(B$3:B138,"?*"))</f>
        <v>136</v>
      </c>
      <c r="IN138">
        <f>IF(GQ138&lt;&gt;1,0,_xlfn.LET(_xlpm.k,MAX(IFERROR(--VLOOKUP(B138,УГО_спр,5,FALSE),0),IFERROR(--VLOOKUP(AX138,УГО_спр,5,FALSE),0),IFERROR(--VLOOKUP(LEFT(AX138,2),УГО_спр,5,FALSE),0)),IF(_xlpm.k&gt;0,_xlpm.k,IF(IFERROR(--LEFT(SUBSTITUTE(IH138,"x","х"),FIND("х",SUBSTITUTE(IH138,"x","х"))-1),3)&gt;3,Каталог!$S$9,1))))</f>
        <v>1</v>
      </c>
      <c r="IO138">
        <f t="shared" si="364"/>
        <v>0</v>
      </c>
      <c r="IP138" t="str">
        <f t="shared" si="365"/>
        <v>авто</v>
      </c>
      <c r="IQ138" t="str">
        <f t="shared" si="366"/>
        <v/>
      </c>
      <c r="IR138">
        <f t="shared" si="367"/>
        <v>0</v>
      </c>
      <c r="IS138">
        <f t="shared" si="368"/>
        <v>1</v>
      </c>
    </row>
    <row r="139" spans="1:253" x14ac:dyDescent="0.3">
      <c r="A139" t="s">
        <v>753</v>
      </c>
      <c r="B139" t="s">
        <v>1407</v>
      </c>
      <c r="C139" t="s">
        <v>1644</v>
      </c>
      <c r="D139">
        <v>1</v>
      </c>
      <c r="E139">
        <v>0.222</v>
      </c>
      <c r="G139" t="str">
        <f>Линии[[#This Row],[_авто автомат]]</f>
        <v>1P С6А</v>
      </c>
      <c r="H139" t="str">
        <f>Линии[[#This Row],[_авто утечка]]</f>
        <v/>
      </c>
      <c r="I139" t="str">
        <f>Линии[[#This Row],[_авто управление]]</f>
        <v/>
      </c>
      <c r="J139" t="str">
        <f>Линии[[#This Row],[_авто аппараты]]</f>
        <v/>
      </c>
      <c r="K139">
        <v>1.5</v>
      </c>
      <c r="L139">
        <v>17</v>
      </c>
      <c r="M139" t="str">
        <f>Линии[[#This Row],[_авто фаза]]</f>
        <v>L1</v>
      </c>
      <c r="N139" t="s">
        <v>486</v>
      </c>
      <c r="O139" t="str">
        <f t="shared" si="246"/>
        <v/>
      </c>
      <c r="P139" s="6" cm="1">
        <f t="array" ref="P139">IF(B139="","",IF(BC139&lt;&gt;"",IFERROR(_xlfn.XLOOKUP(BC139,Щиты[Щит],Щиты[Iр, А]),""),IF(BK139=1,IFERROR(_xlfn.XLOOKUP(A139,Щиты[Щит],Щиты[Iр, А]),""),IFERROR(_xlfn.IFS(BR139=1,BN139/((Uн_лин/SQRT(3))*BY139),BR139=3,BN139/(SQRT(3)*Uн_лин*BY139)),""))))</f>
        <v>1.2016102477509083</v>
      </c>
      <c r="Q139" s="7">
        <f>IF(B139="","",IFERROR(IF(VLOOKUP(AX139,Потребители_обозначение,4,FALSE)=1,VLOOKUP(AX139,Потребители_обозначение,3,FALSE)*(D139*2-1)+DS139+VLOOKUP(AZ139,Этаж_обозначение,3,FALSE)+VLOOKUP(AZ139,Этаж_обозначение,4,FALSE),VLOOKUP(AX139,Потребители_обозначение,3,FALSE)*(D139*2-1)+DS139),DS139))</f>
        <v>19</v>
      </c>
      <c r="R139" s="6">
        <f t="shared" si="247"/>
        <v>1.38</v>
      </c>
      <c r="S139" t="str">
        <f t="shared" si="248"/>
        <v>ВВГнг(А)-LS (3х1,5)</v>
      </c>
      <c r="T139" t="str">
        <f>IF(BH139="","",IF(BI139="вводной узел","узел ","")&amp;"л."&amp;(INT((BH139-1)/Столбцов_на_лист)+1)&amp;" / "&amp;(MOD(BH139-1,Столбцов_на_лист)+1))</f>
        <v>л.2 / 11</v>
      </c>
      <c r="V139">
        <v>1</v>
      </c>
      <c r="W139">
        <v>230</v>
      </c>
      <c r="X139" t="s">
        <v>600</v>
      </c>
      <c r="Y139">
        <v>0.5</v>
      </c>
      <c r="AC139" t="s">
        <v>815</v>
      </c>
      <c r="AE139" t="s">
        <v>578</v>
      </c>
      <c r="AI139">
        <v>28</v>
      </c>
      <c r="AJ139" t="s">
        <v>11</v>
      </c>
      <c r="AK139">
        <v>3</v>
      </c>
      <c r="AM139">
        <v>10</v>
      </c>
      <c r="AN139">
        <v>9</v>
      </c>
      <c r="AP139">
        <v>1</v>
      </c>
      <c r="AW139" cm="1">
        <f t="array" ref="AW139">ROW()-ROW(Линии[#Headers])</f>
        <v>137</v>
      </c>
      <c r="AX139" s="6" t="str">
        <f t="shared" si="249"/>
        <v>K</v>
      </c>
      <c r="AY139" t="str">
        <f t="shared" si="250"/>
        <v>2.014A</v>
      </c>
      <c r="AZ139" t="str">
        <f t="shared" si="251"/>
        <v>2</v>
      </c>
      <c r="BA139" t="str">
        <f t="shared" si="252"/>
        <v>014A</v>
      </c>
      <c r="BB139" t="str">
        <f t="shared" si="253"/>
        <v>014A</v>
      </c>
      <c r="BC139" t="str">
        <f>IF(U139&lt;&gt;"",U139,IF(AND(B139&lt;&gt;"",B139&lt;&gt;A139,ISNUMBER(_xlfn.XMATCH(B139,Щиты[Щит]))),B139,""))</f>
        <v/>
      </c>
      <c r="BD139" t="str" cm="1">
        <f t="array" ref="BD139">IF(B139="","",IF(BC139&lt;&gt;"","Щит "&amp;BC139,_xlfn.LET(_xlpm.nm,IFERROR(_xlfn.XLOOKUP(AX139,Коды_код,Коды_имя)&amp;"",""),_xlpm.md,IFERROR(N(_xlfn.XLOOKUP(AX139,Коды_код,Коды_режим)),1),_xlpm.ex,IF(Имя_режим="по экспликации",IFERROR(_xlfn.XLOOKUP(AZ139&amp;"|"&amp;BB139,Экспликация[Этаж]&amp;"|"&amp;Экспликация[Помещение],Экспликация[Название])&amp;"",""),""),_xlpm.rm,IF(BB139="","",IF(_xlpm.ex&lt;&gt;"",". "&amp;_xlpm.ex&amp;IF(Имя_пом="нет"," ("&amp;BB139&amp;")"," (пом. "&amp;BB139&amp;")"),IF(Имя_пом="нет"," ",", пом. ")&amp;BB139)),IF(_xlpm.nm="","",IF(_xlpm.md=2,_xlpm.nm&amp;" шлейф "&amp;AZ139,_xlpm.nm&amp;_xlpm.rm)))))</f>
        <v>Внутренний блок кондиционирования, пом. 014A</v>
      </c>
      <c r="BE139" t="str">
        <f t="shared" si="254"/>
        <v>Внутренний блок кондиционирования Технический этаж Пом. №002Т</v>
      </c>
      <c r="BF139">
        <f>IFERROR(_xlfn.XMATCH(A139,Щиты[Щит]),0)</f>
        <v>7</v>
      </c>
      <c r="BG139">
        <f>_xlfn.LET(_xlpm.k,IFERROR(_xlfn.XLOOKUP(A139,Щиты[Щит],Щиты[Листов под вводной узел]),""),IF(_xlpm.k="",1,N(_xlpm.k))*Столбцов_на_лист)</f>
        <v>17</v>
      </c>
      <c r="BH139">
        <f t="shared" si="255"/>
        <v>28</v>
      </c>
      <c r="BI139" t="str">
        <f t="shared" si="256"/>
        <v>линии</v>
      </c>
      <c r="BJ139" s="6">
        <f>IFERROR(N(_xlfn.XLOOKUP(AX139,Коды_код,Коды_квт)),0)</f>
        <v>0</v>
      </c>
      <c r="BK139">
        <f t="shared" si="257"/>
        <v>0</v>
      </c>
      <c r="BL139" t="str">
        <f>IF(B139="","",IF(BC139&lt;&gt;"",IFERROR(_xlfn.XLOOKUP(BC139,Щиты[Щит],Щиты[Руст, кВт]),0),IF(BK139=1,IFERROR(_xlfn.XLOOKUP(A139,Щиты[Щит],Щиты[Руст, кВт]),0),IF(BJ139&gt;0,ROUND(BJ139*MAX(1,N(D139)),3),""))))</f>
        <v/>
      </c>
      <c r="BM139">
        <f t="shared" si="258"/>
        <v>0.222</v>
      </c>
      <c r="BN139" s="6">
        <f>IF(B139="","",IF(BC139&lt;&gt;"",IFERROR(_xlfn.XLOOKUP(BC139,Щиты[Щит],Щиты[Руст, кВт]),0),N(BM139)))</f>
        <v>0.222</v>
      </c>
      <c r="BO139" t="str">
        <f>IF(B139="","",IFERROR(IF(VLOOKUP(AX139,Потребители_обозначение,8,FALSE)=0,"",VLOOKUP(AX139,Потребители_обозначение,8,FALSE)),""))</f>
        <v/>
      </c>
      <c r="BP139">
        <f t="shared" si="259"/>
        <v>230</v>
      </c>
      <c r="BQ139">
        <f>IF(B139="","",IF(BC139&lt;&gt;"",3,IFERROR(IF(N(VLOOKUP(AX139,Потребители_обозначение,9,FALSE))=0,1,VLOOKUP(AX139,Потребители_обозначение,9,FALSE)),1)))</f>
        <v>1</v>
      </c>
      <c r="BR139">
        <f t="shared" si="260"/>
        <v>1</v>
      </c>
      <c r="BS139" t="str">
        <f>IF(B139="","",_xlfn.LET(_xlpm.bc,IFERROR(IF(VLOOKUP(AX139,Потребители_обозначение,6,FALSE)=0,"",VLOOKUP(AX139,Потребители_обозначение,6,FALSE)&amp;""),""),IF(AND(FK139="да",OR(_xlpm.bc="",_xlpm.bc="мс")),Марка_пож,IF(AND(_xlpm.bc="",BC139&lt;&gt;""),"мс",_xlpm.bc))))</f>
        <v/>
      </c>
      <c r="BT139" t="str">
        <f t="shared" si="261"/>
        <v>мс</v>
      </c>
      <c r="BU139">
        <f>IF(B139="","",_xlfn.LET(_xlpm.cc,IFERROR(N(VLOOKUP(AX139,Потребители_обозначение,7,FALSE)),0),IF(_xlpm.cc&gt;0,_xlpm.cc,IF(BT139="","",IF(N(BR139)=3,5,3)))))</f>
        <v>3</v>
      </c>
      <c r="BV139">
        <f t="shared" si="262"/>
        <v>3</v>
      </c>
      <c r="BW139">
        <f>IFERROR(N(VLOOKUP(AX139,Потребители_обозначение,10,FALSE)),0)</f>
        <v>0</v>
      </c>
      <c r="BX139">
        <f>IFERROR(VLOOKUP(AX139,Потребители_обозначение,5,FALSE),0)</f>
        <v>1</v>
      </c>
      <c r="BY139" s="6" cm="1">
        <f t="array" ref="BY139">IF(B139="","",IF(BC139&lt;&gt;"",IFERROR(_xlfn.XLOOKUP(BC139,Щиты[Щит],Щиты[cos φ]),0.95),IF(BK139=1,IFERROR(_xlfn.XLOOKUP(A139,Щиты[Щит],Щиты[cos φ]),0.95),IF(ISNUMBER(Z139),Z139,IFERROR(IF(BX139=2,_xlfn.IFS(BR139=3,VLOOKUP(BN139,Справочная_двигатели,8,FALSE),BR139=1,VLOOKUP(BN139,Справочная_двигатели,10,TRUE)),IF(AND(Методика="нормы 2026",EQ139="Сил"),0.8,0.95)),0.95)))))</f>
        <v>0.8</v>
      </c>
      <c r="BZ139">
        <f t="shared" si="263"/>
        <v>0</v>
      </c>
      <c r="CA139">
        <f t="shared" si="264"/>
        <v>1</v>
      </c>
      <c r="CB139">
        <f t="shared" si="265"/>
        <v>0</v>
      </c>
      <c r="CC139">
        <f t="shared" si="266"/>
        <v>0</v>
      </c>
      <c r="CD139">
        <f t="shared" si="267"/>
        <v>0</v>
      </c>
      <c r="CE139">
        <f t="shared" si="268"/>
        <v>0</v>
      </c>
      <c r="CF139">
        <f t="shared" si="269"/>
        <v>0</v>
      </c>
      <c r="CG139">
        <f>IF(AX139="",0,_xlfn.LET(_xlpm.v,IFERROR(VLOOKUP(B139,УГО_спр,3,FALSE),IFERROR(VLOOKUP(AX139,УГО_спр,3,FALSE),IFERROR(VLOOKUP(LEFT(AX139,2),УГО_спр,3,FALSE),""))),IF(_xlpm.v="да",30,IF(ISNUMBER(_xlpm.v),_xlpm.v,0))))</f>
        <v>0</v>
      </c>
      <c r="CH139" t="str">
        <f t="shared" si="270"/>
        <v/>
      </c>
      <c r="CI139" t="str">
        <f>_xlfn.LET(_xlpm.k,IFERROR(_xlfn.XLOOKUP(AX139,Коды_код,Коды_утечка)&amp;"",""),IF(_xlpm.k="","дифавтомат",_xlpm.k))</f>
        <v>дифавтомат</v>
      </c>
      <c r="CJ139">
        <f t="shared" si="271"/>
        <v>0</v>
      </c>
      <c r="CK139">
        <f t="shared" si="272"/>
        <v>0</v>
      </c>
      <c r="CL139">
        <f>IF(B139="",0,IFERROR(--VLOOKUP(B139,УГО_спр,4,FALSE),IFERROR(--VLOOKUP(AX139,УГО_спр,4,FALSE),IFERROR(--VLOOKUP(LEFT(AX139,2),УГО_спр,4,FALSE),0))))</f>
        <v>0</v>
      </c>
      <c r="CM139" t="str">
        <f>IF(B139="","",IFERROR(_xlfn.XLOOKUP(AX139,Коды_код,Коды_апп)&amp;"",""))</f>
        <v/>
      </c>
      <c r="CN139" t="str">
        <f t="shared" si="273"/>
        <v/>
      </c>
      <c r="CO139" t="str" cm="1">
        <f t="array" ref="CO139">IF(TRIM(CN139&amp;"")="","",IFERROR(TRIM(INDEX(_xlfn.TEXTSPLIT(CN139&amp;";;;",";"),1)),""))</f>
        <v/>
      </c>
      <c r="CP139" t="str" cm="1">
        <f t="array" ref="CP139">IF(TRIM(CN139&amp;"")="","",IFERROR(TRIM(INDEX(_xlfn.TEXTSPLIT(CN139&amp;";;;",";"),2)),""))</f>
        <v/>
      </c>
      <c r="CQ139" t="str" cm="1">
        <f t="array" ref="CQ139">IF(TRIM(CN139&amp;"")="","",IFERROR(TRIM(INDEX(_xlfn.TEXTSPLIT(CN139&amp;";;;",";"),3)),""))</f>
        <v/>
      </c>
      <c r="CR139">
        <f t="shared" si="274"/>
        <v>0</v>
      </c>
      <c r="CS139" t="str">
        <f>IF(B139="","",_xlfn.LET(_xlpm.t,LOWER(AV139&amp;""),IF(ISNUMBER(SEARCH("dim",_xlpm.t)),"DIM",IF(ISNUMBER(SEARCH("dali",_xlpm.t)),"DALI",IF(OR(ISNUMBER(SEARCH("relay",_xlpm.t)),ISNUMBER(SEARCH("реле",_xlpm.t))),"Relay",IF(ISNUMBER(SEARCH("кнопк",_xlpm.t)),"",IFERROR(_xlfn.XLOOKUP(AX139,Коды_код,Коды_упр)&amp;"","")))))))</f>
        <v/>
      </c>
      <c r="CT139" t="str">
        <f t="shared" si="275"/>
        <v/>
      </c>
      <c r="CU139">
        <f>IF(B139="","",_xlfn.LET(_xlpm.ig,N(P139)+IF(AF139="вручную",0,N(CB139)),_xlpm.n0,IFERROR(VLOOKUP(_xlpm.ig,Автомат_номиналы,2,TRUE),0),_xlpm.mn,MAX(CL139,IF(AF139="вручную",0,N(CE139))),MAX(_xlpm.n0,_xlpm.mn,IF(CR139=1,Мин_автомат_БП,0))))</f>
        <v>6</v>
      </c>
      <c r="CV139">
        <f t="shared" si="276"/>
        <v>1</v>
      </c>
      <c r="CW139" t="str">
        <f t="shared" si="277"/>
        <v>1P</v>
      </c>
      <c r="CX139" t="str">
        <f>_xlfn.LET(_xlpm.cc,UPPER(TRIM(IFERROR(_xlfn.XLOOKUP(AX139,Коды_код,Коды_хар)&amp;"",""))),IF(OR(_xlpm.cc="B",_xlpm.cc="В"),"B",IF(_xlpm.cc="D","D","С")))</f>
        <v>С</v>
      </c>
      <c r="CY139" t="str">
        <f t="shared" si="278"/>
        <v>1P С6А</v>
      </c>
      <c r="CZ139" t="str">
        <f t="shared" si="279"/>
        <v>1P С6А</v>
      </c>
      <c r="DA139" t="str">
        <f t="shared" si="280"/>
        <v>1P С6А</v>
      </c>
      <c r="DB139" cm="1">
        <f t="array" ref="DB139">IF(DA139="","",_xlfn.LET(_xlpm.t,SUBSTITUTE(SUBSTITUTE(SUBSTITUTE(UPPER(DA139),"С","C"),"А","A"),"В","B"),_xlpm.tk,_xlfn.TEXTSPLIT(_xlpm.t,"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9" t="str">
        <f t="shared" si="281"/>
        <v>ok</v>
      </c>
      <c r="DD139">
        <f t="shared" si="282"/>
        <v>6</v>
      </c>
      <c r="DE139" t="str">
        <f t="shared" si="283"/>
        <v>1P С6А</v>
      </c>
      <c r="DF139">
        <f t="shared" si="284"/>
        <v>0</v>
      </c>
      <c r="DG139">
        <f t="shared" si="285"/>
        <v>0</v>
      </c>
      <c r="DH139">
        <f t="shared" si="286"/>
        <v>0</v>
      </c>
      <c r="DI139">
        <f t="shared" si="287"/>
        <v>1.2016102477509083</v>
      </c>
      <c r="DJ139">
        <f t="shared" si="288"/>
        <v>1</v>
      </c>
      <c r="DK139">
        <f>IF(ISNUMBER(AL139),AL139,К_прокл)</f>
        <v>1</v>
      </c>
      <c r="DL139">
        <f t="shared" si="289"/>
        <v>2</v>
      </c>
      <c r="DM139">
        <f>IFERROR(N(VLOOKUP(BT139,Кабель_обозначение,3,FALSE)),1)</f>
        <v>1</v>
      </c>
      <c r="DN139">
        <f>IFERROR(N(_xlfn.XLOOKUP(A139,Щиты[Щит],Щиты[ΔU до шин, %])),0)</f>
        <v>1.1399999999999999</v>
      </c>
      <c r="DO139" t="str">
        <f>IFERROR(_xlfn.XLOOKUP(A139,Щиты[Щит],Щиты[Zпетли на шинах, Ом]),"")</f>
        <v/>
      </c>
      <c r="DP139">
        <f>IFERROR(N(_xlfn.XLOOKUP(A139,Щиты[Щит],Щиты[ΔU до шин (подбор), %])),0)</f>
        <v>1.82</v>
      </c>
      <c r="DQ139" t="str">
        <f>IFERROR(_xlfn.XLOOKUP(A139,Щиты[Щит],Щиты[Zпетли на шинах (подбор), Ом]),"")</f>
        <v/>
      </c>
      <c r="DR139" t="str">
        <f t="shared" si="290"/>
        <v/>
      </c>
      <c r="DS139">
        <f t="shared" si="291"/>
        <v>17</v>
      </c>
      <c r="DT139">
        <f t="shared" si="292"/>
        <v>2</v>
      </c>
      <c r="DU139">
        <f t="shared" si="293"/>
        <v>0.6</v>
      </c>
      <c r="DV139" s="6">
        <f>IF(B139="","",IF(IFERROR(VLOOKUP(AX139,УГО_спр,2,FALSE),"")="Светильник",3,4)+IF(Методика="нормы 2026",MIN(0.5,MAX(0,N(Q139)-100)*0.005),0))</f>
        <v>4</v>
      </c>
      <c r="DW139" cm="1">
        <f t="array" ref="DW139">IF(OR(B139="",BT139="",DM139&lt;&gt;1),"",_xlfn.LET(_xlpm.sz,Iдоп_S,_xlpm.t_,CHOOSE(DL139,Iдоп_1ж,Iдоп_2ж,Iдоп_3ж)*DJ139*DK139,_xlpm.inn,N(DD139),_xlpm.smin,MAX(1.5,BW139),_xlpm.L_,N(Q139)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139)*(_xlpm.rho*_xlpm.L_/_xlpm.sz*N(BY139)+_xlpm.xx*_xlpm.L_*N(DU139)/1000)*N(P139)/((Uн_лин/SQRT(3))*1000)*100,999),_xlpm.kz,IF(OR(DG139=1,NOT(ISNUMBER(DQ139)),_xlpm.L_=0,_xlpm.inn=0),1,IFERROR(--(c_min*(Uн_лин*1000/SQRT(3))/(DQ139+2*ρкз_Cu*_xlpm.L_/_xlpm.sz)&gt;=GY139*_xlpm.inn),0)),_xlpm.ok,IFERROR((_xlpm.sz&gt;=_xlpm.smin)*(_xlpm.t_&gt;=_xlpm.inn)*IF(_xlpm.L_&gt;0,(_xlpm.du_+DP139&lt;=DV139+0.00001),1)*_xlpm.kz,0),_xlpm.r_,_xlfn._xlws.FILTER(_xlpm.sz,_xlpm.ok,"не подобрано"),INDEX(_xlpm.r_,1)))</f>
        <v>1.5</v>
      </c>
      <c r="DX139">
        <f t="shared" si="294"/>
        <v>1.5</v>
      </c>
      <c r="DY139" cm="1">
        <f t="array" ref="DY139">IF(OR(B139="",BT139="",DM139&lt;&gt;1),"",_xlfn.LET(_xlpm.sz,Iдоп_S,_xlpm.t_,CHOOSE(DL139,Iдоп_1ж,Iдоп_2ж,Iдоп_3ж)*DJ139*DK139,_xlpm.ok,IFERROR((_xlpm.sz&gt;=MAX(1.5,BW139))*(_xlpm.t_&gt;=N(DD139)),0),_xlpm.r_,_xlfn._xlws.FILTER(_xlpm.sz,_xlpm.ok,""),INDEX(_xlpm.r_,1)))</f>
        <v>1.5</v>
      </c>
      <c r="DZ139" s="6" cm="1">
        <f t="array" ref="DZ139">IFERROR(ROUNDUP(N(DT139)*(_xlfn.XLOOKUP(DY139,INDEX(Кабель_сопротивление,0,1),INDEX(Кабель_сопротивление,0,3))*N(Q139)/DY139*N(BY139)+_xlfn.XLOOKUP(DY139,INDEX(Кабель_сопротивление,0,1),INDEX(Кабель_сопротивление,0,2))*N(Q139)*N(DU139)/1000)*N(P139)/((Uн_лин/SQRT(3))*1000)*100,2),"")</f>
        <v>0.24000000000000002</v>
      </c>
      <c r="EA139">
        <f>IFERROR(2*ρкз_Cu*N(Q139)/DY139,"")</f>
        <v>0.66626666666666667</v>
      </c>
      <c r="EB139">
        <f>IFERROR(VLOOKUP(DX139,Кабель_сопротивление,3,FALSE),"")</f>
        <v>2.2499999999999999E-2</v>
      </c>
      <c r="EC139">
        <f>IFERROR(VLOOKUP(DX139,Кабель_сопротивление,2,FALSE),"")</f>
        <v>0.11</v>
      </c>
      <c r="ED139">
        <f t="shared" si="295"/>
        <v>9</v>
      </c>
      <c r="EE139">
        <f t="shared" si="296"/>
        <v>0</v>
      </c>
      <c r="EF139">
        <f t="shared" si="297"/>
        <v>0.55094791147577338</v>
      </c>
      <c r="EG139" s="6">
        <f>IFERROR(ROUNDUP(EF139/((Uн_лин/SQRT(3))*1000)*100,2),"")</f>
        <v>0.24000000000000002</v>
      </c>
      <c r="EH139" t="str">
        <f>IFERROR(VLOOKUP(BT139,Кабель_обозначение,2,FALSE),"")</f>
        <v>ВВГнг(А)-LS</v>
      </c>
      <c r="EI139" t="str">
        <f t="shared" si="298"/>
        <v>ВВГнг(А)-LS (3х1,5)</v>
      </c>
      <c r="EJ139" t="str">
        <f t="shared" si="299"/>
        <v>ВВГнг(А)-LS (3х1,5)
L=19-0,24%</v>
      </c>
      <c r="EK139">
        <f>IFERROR(2*ρкз_Cu*Q139/DX139,"")</f>
        <v>0.66626666666666667</v>
      </c>
      <c r="EL139">
        <f t="shared" si="300"/>
        <v>0.22166666666666668</v>
      </c>
      <c r="EM139" s="6" t="str">
        <f>IFERROR(IF(OR(B139="",NOT(ISNUMBER(DX139)),N(Q139)=0),"",_xlfn.XLOOKUP(A139,Щиты[Щит],Щиты[Zпетли на шинах, Ом])+EK139),"")</f>
        <v/>
      </c>
      <c r="EN139" s="6" t="str">
        <f>IF(ISNUMBER(EM139),c_min*(Uн_лин*1000/SQRT(3))/EM139,"")</f>
        <v/>
      </c>
      <c r="EO139" s="6" t="str">
        <f>IFERROR(IF(OR(B139="",NOT(ISNUMBER(DX139))),"",1.05*(Uн_лин*1000/SQRT(3))/(_xlfn.XLOOKUP(A139,Щиты[Щит],Щиты[Zmax на шинах, Ом])+EL139)/1000),"")</f>
        <v/>
      </c>
      <c r="EP139" s="6" t="str">
        <f>IF(B139="","",IF(ISNUMBER(Y139),"Сил",IF(IFERROR(_xlfn.XLOOKUP(AX139,Коды_код,Коды_группа)&amp;"","")="","Быт",_xlfn.XLOOKUP(AX139,Коды_код,Коды_группа)&amp;"")))</f>
        <v>Сил</v>
      </c>
      <c r="EQ139" s="6" t="str">
        <f t="shared" si="301"/>
        <v>Сил</v>
      </c>
      <c r="ER139" s="6">
        <f>IF(EQ139="Щит","щит",IF(EQ139="","",IF(EQ139="Быт",IFERROR(_xlfn.XLOOKUP(A139,Щиты[Щит],Щиты[Кс быт]),1),IF(EQ139="Сил",IF(ISNUMBER(Y139),Y139,IF(Методика="нормы 2026",IFERROR(_xlfn.XLOOKUP(A139,Щиты[Щит],Щиты[Кс силовых (табл. 7.5)]),1),1)),IF(OR(EQ139="Пост",EQ139="Отоп"),1,IF(EQ139="ВНГ",0.7,0))))))</f>
        <v>0.5</v>
      </c>
      <c r="ES139">
        <f t="shared" si="302"/>
        <v>1</v>
      </c>
      <c r="ET139">
        <f t="shared" si="303"/>
        <v>0.222</v>
      </c>
      <c r="EU139">
        <f t="shared" si="304"/>
        <v>0</v>
      </c>
      <c r="EV139">
        <f t="shared" si="305"/>
        <v>0.111</v>
      </c>
      <c r="EW139">
        <f t="shared" si="306"/>
        <v>0</v>
      </c>
      <c r="EX139">
        <f t="shared" si="307"/>
        <v>0</v>
      </c>
      <c r="EY139">
        <f t="shared" si="308"/>
        <v>0</v>
      </c>
      <c r="EZ139">
        <f t="shared" si="309"/>
        <v>0.222</v>
      </c>
      <c r="FA139">
        <f t="shared" si="310"/>
        <v>0.17760000000000001</v>
      </c>
      <c r="FB139">
        <f t="shared" si="311"/>
        <v>0.222</v>
      </c>
      <c r="FC139" t="str">
        <f t="shared" si="312"/>
        <v/>
      </c>
      <c r="FD139" t="str">
        <f>IF(B139="","",IF(CA139=0,IF(AW139=1,"",FF138),IF(OR(N(CV139)&gt;=3,N(BR139)&gt;=3),"L1,L2,L3",IFERROR(_xlfn.TEXTBEFORE(_xlfn.TEXTAFTER(_xlfn.XLOOKUP(A139,Щиты[Щит],Щиты[_фазы авто]),";"&amp;AW139&amp;":"),";"),"L1"))))</f>
        <v>L1</v>
      </c>
      <c r="FE139" t="str">
        <f t="shared" si="313"/>
        <v>L1</v>
      </c>
      <c r="FF139" t="str">
        <f t="shared" si="314"/>
        <v>L1</v>
      </c>
      <c r="FG139" cm="1">
        <f t="array" ref="FG139">IFERROR(IF(BX139=2,_xlfn.IFS(BR139=3,VLOOKUP(BN139,Справочная_двигатели,3,FALSE),BR139=1,VLOOKUP(BN139,Справочная_двигатели,5,TRUE)),0),0)</f>
        <v>0</v>
      </c>
      <c r="FH139">
        <f>IFERROR(IF(BX139=3,VLOOKUP(BN139,Справочная_ЛЭД,2,TRUE),0),0)</f>
        <v>0</v>
      </c>
      <c r="FI139" s="6">
        <f t="shared" si="315"/>
        <v>0</v>
      </c>
      <c r="FJ139" t="str" cm="1">
        <f t="array" ref="FJ139">IF(B139="","",IFERROR(INDEX({"I особая","I","II","III"},MATCH(TRIM(AC139&amp;""),{"I особая","I","II","III"},0)),"III"))</f>
        <v>II</v>
      </c>
      <c r="FK139" t="str">
        <f>IF(B139="","",IF(TRIM(AD139&amp;"")&lt;&gt;"",IF(LOWER(TRIM(AD139&amp;""))="да","да","нет"),IF(IFERROR(_xlfn.XLOOKUP(AX139,Коды_код,Коды_пожарная),"")="да","да","нет")))</f>
        <v>нет</v>
      </c>
      <c r="FL139" t="str">
        <f t="shared" si="316"/>
        <v/>
      </c>
      <c r="FM139" t="str">
        <f t="shared" si="317"/>
        <v>основная</v>
      </c>
      <c r="FN139">
        <f t="shared" si="318"/>
        <v>1</v>
      </c>
      <c r="FO139" t="str" cm="1">
        <f t="array" ref="FO139">IF(B139="","",_xlfn.LET(_xlpm.t,IFERROR(_xlfn.XLOOKUP(1,(Шины[Шина]=FM139)*(((Шины[Щит]=A139)+(Шины[Щит]=""))&gt;0),Шины[Тип]),"")&amp;"",IF(_xlpm.t&lt;&gt;"",_xlpm.t,IF(ISNUMBER(SEARCH("ИБП",FM139)),"ИБП",IF(ISNUMBER(SEARCH("ДГУ",FM139)),"ДГУ","Ввод "&amp;FN139)))))</f>
        <v>Ввод 1</v>
      </c>
      <c r="FP139" t="str">
        <f t="shared" si="319"/>
        <v>Ввод 1</v>
      </c>
      <c r="FQ139" t="str">
        <f>IF(B139="","",IF(OR(FO139="ИБП",FO139="ДГУ"),"I особая",IF(FO139="Одиночная","III",_xlfn.XLOOKUP(A139,Щиты[Щит],Щиты[Категория шины «Ввод»],"III"))))</f>
        <v>II</v>
      </c>
      <c r="FR139">
        <f>IF(B139="",0,IFERROR(MATCH(FJ139,{"III","II","I","I особая"},0),1))</f>
        <v>2</v>
      </c>
      <c r="FS139">
        <f t="shared" si="320"/>
        <v>2</v>
      </c>
      <c r="FT139" t="str">
        <f>IF(B139="","",IF(FR139&gt;IFERROR(MATCH(FQ139,{"III","II","I","I особая"},0),1),"НЕ ОБЕСПЕЧЕНА","ОК"))</f>
        <v>ОК</v>
      </c>
      <c r="FU139" t="str">
        <f>IF(A139="","",_xlfn.XLOOKUP(A139,Щиты[Щит],Щиты[Путь],""))</f>
        <v>|ГРЩ-ЖД|ЩОВ-2|</v>
      </c>
      <c r="FV139" t="str">
        <f>IF(B139="","",IF(AE139&lt;&gt;"",AE139,IF(IFERROR(_xlfn.XLOOKUP(AX139,Коды_код,Коды_вид)&amp;"","")="","Прочее",_xlfn.XLOOKUP(AX139,Коды_код,Коды_вид)&amp;"")))</f>
        <v>Кондиционирование и увлажнение</v>
      </c>
      <c r="FW139">
        <f>IF(BH139="","",INT((BH139-1)/Столбцов_на_лист)+1)</f>
        <v>2</v>
      </c>
      <c r="FX139" t="str">
        <f t="shared" si="321"/>
        <v>ВВГнг(А)-LS (3х1,5) L=19-0,24%</v>
      </c>
      <c r="FY139">
        <f t="shared" si="322"/>
        <v>0.222</v>
      </c>
      <c r="FZ139">
        <f t="shared" si="323"/>
        <v>1.21</v>
      </c>
      <c r="GA139">
        <f t="shared" si="324"/>
        <v>1</v>
      </c>
      <c r="GB139">
        <f t="shared" si="325"/>
        <v>0</v>
      </c>
      <c r="GC139">
        <f t="shared" si="326"/>
        <v>1</v>
      </c>
      <c r="GD139">
        <f>IF(BH139="","",IF(AND(CA139=1,GC139=1),COUNTIFS(A$3:A139,A139,CA$3:CA139,1,GC$3:GC139,1),IF(OR(OR(AW139=1,A139&lt;&gt;A138),AF139="вручную",GC139=0),"",IF(AW139=1,"",GE138))))</f>
        <v>9</v>
      </c>
      <c r="GE139">
        <f t="shared" si="327"/>
        <v>9</v>
      </c>
      <c r="GF139">
        <f>IF(B139="","",IFERROR(LOOKUP(INDEX(CHOOSE(DL139,Iдоп_1ж,Iдоп_2ж,Iдоп_3ж),MATCH(DX139,Iдоп_S,0))*DJ139*DK139,{6,10,16,20,25,32,40,50,63,80,100,125,160,200,250,315,400,500,630}),""))</f>
        <v>16</v>
      </c>
      <c r="GG139" t="str">
        <f t="shared" si="328"/>
        <v>QF9</v>
      </c>
      <c r="GH139" t="str">
        <f t="shared" si="329"/>
        <v>QF9</v>
      </c>
      <c r="GI139" t="str">
        <f t="shared" si="330"/>
        <v/>
      </c>
      <c r="GJ139">
        <f t="shared" si="331"/>
        <v>0</v>
      </c>
      <c r="GK139" t="str">
        <f>IF(OR(AG139="",AG139="-"),"",IFERROR(VLOOKUP(AG139,Модули_спр,2,FALSE),"R"))</f>
        <v/>
      </c>
      <c r="GL139" t="str">
        <f>IF(GK139="","",GK139&amp;"."&amp;COUNTIFS(A$3:A139,A139,GK$3:GK139,GK139))</f>
        <v/>
      </c>
      <c r="GM139" t="str">
        <f t="shared" si="332"/>
        <v/>
      </c>
      <c r="GN139" t="str">
        <f t="shared" si="333"/>
        <v/>
      </c>
      <c r="GO139" t="str">
        <f t="shared" si="334"/>
        <v/>
      </c>
      <c r="GP139" t="str">
        <f t="shared" si="335"/>
        <v/>
      </c>
      <c r="GQ139">
        <f t="shared" si="336"/>
        <v>1</v>
      </c>
      <c r="GR139" t="str">
        <f>IF(GQ139=1,"XT"&amp;COUNTIFS(A$3:A139,A139,GQ$3:GQ139,1),"")</f>
        <v>XT9</v>
      </c>
      <c r="GS139" t="str">
        <f t="shared" si="337"/>
        <v/>
      </c>
      <c r="GT139" t="str">
        <f t="shared" si="338"/>
        <v>QF9</v>
      </c>
      <c r="GU139" t="str">
        <f t="shared" si="339"/>
        <v/>
      </c>
      <c r="GV139" t="str">
        <f t="shared" si="340"/>
        <v>ok</v>
      </c>
      <c r="GW139" t="str">
        <f>IF(OR(GO139="",GM139=""),"",IF(GO139&gt;IFERROR(VLOOKUP(GN139,Модули_спр,3,FALSE),99),"ЛИШНИЙ КАНАЛ",IF(AND(AH139&lt;&gt;"=",COUNTIFS(Линии[_модуль гр.],GM139,Линии[Канал (итог)],GO139,Линии[Канал],"&lt;&gt;=",Линии[Щит],A139)&gt;1),"ДУБЛЬ КАНАЛА","")))</f>
        <v/>
      </c>
      <c r="GX139" s="6" t="str">
        <f t="shared" si="341"/>
        <v/>
      </c>
      <c r="GY139">
        <f t="shared" si="342"/>
        <v>10</v>
      </c>
      <c r="GZ139" t="str">
        <f t="shared" si="343"/>
        <v/>
      </c>
      <c r="HA139" t="str">
        <f>IF(AND(B139="",GT139=""),"",_xlfn.TEXTJOIN("; ",TRUE,IF(AND(B139&lt;&gt;"",FE139=""),"нет фазы",""),IF(AND(B139&lt;&gt;"",N(FY139)=0,EQ139&lt;&gt;"Нет"),"нет мощности",""),IF(AND(GS139&lt;&gt;"",COUNTIFS(Линии[Щит],A139,Линии[Клемма (итог)],GS139)&gt;1),"дубль клеммы "&amp;GS139,""),IF(AND(GV139&lt;&gt;"",GV139&lt;&gt;"ok"),GV139,""),IF(GW139&lt;&gt;"",GW139,""),IF(AND(N(BV139)&gt;=4,N(BR139)=1),BV139&amp;" жил на 1 фазе",""),IF(AND(AX139="R",CA139=1,OR(N(CK139)=0,N(CK139)&gt;30)),"розетка без дифзащиты до 30 мА",""),IFERROR(IF(AND(ISNUMBER(R139),R139&gt;DV139),"потери "&amp;FIXED(R139,1)&amp;" % &gt; "&amp;DV139&amp;" %",""),""),IFERROR(IF(LEFT(GZ139,4)="мало","Iкз мало — отключение &gt; 0,4 с",""),""),IF(AND(B139&lt;&gt;"",BH139=""),"не на схеме",""),IF(AND(CA139=0,B139&lt;&gt;"",FE139&lt;&gt;"",IF(AW139=1,"",FF138)&lt;&gt;"",FE139&lt;&gt;IF(AW139=1,"",FF138)),"фаза не как у автомата группы ("&amp;IF(AW139=1,"",FF138)&amp;")","")))</f>
        <v/>
      </c>
      <c r="HB139" s="6" t="str">
        <f>IF(OR(CA139=0,DA139=""),"",_xlfn.LET(_xlpm.t,IFERROR(_xlfn.XLOOKUP(DA139,Каталог!$U$4:$U$500,Каталог!$G$4:$G$500),""),_xlpm.k,SEARCH("кА",_xlpm.t),IFERROR(--TRIM(RIGHT(SUBSTITUTE(MID(_xlpm.t,MAX(1,_xlpm.k-4),_xlpm.k-MAX(1,_xlpm.k-4))," ",REPT(" ",9)),5)),"")))</f>
        <v/>
      </c>
      <c r="HC139" t="str">
        <f>IF(OR(HB139="",CA139=0),"",IF(_xlfn.XLOOKUP(A139,Щиты[Щит],Щиты[Iкз max на шинах, кА],"")="","",IF(HB139&lt;_xlfn.XLOOKUP(A139,Щиты[Щит],Щиты[Iкз max на шинах, кА]),"Icu "&amp;HB139&amp;" кА &lt; Iкз max","ok")))</f>
        <v/>
      </c>
      <c r="HD139" t="str">
        <f t="shared" si="344"/>
        <v/>
      </c>
      <c r="HE139" t="str">
        <f t="shared" si="345"/>
        <v>QF9</v>
      </c>
      <c r="HF139" t="str">
        <f t="shared" si="346"/>
        <v>QF9|кабель ВВГнг(А)-LS (3х1,5) → Внутренний блок кондиционирования Технический этаж Пом. №002Т</v>
      </c>
      <c r="HG139" t="str" cm="1">
        <f t="array" ref="HG139">IF(HF139="","",_xlfn.LET(_xlpm.nd,_xlfn.TEXTSPLIT(HF139,"|"),IF(COLUMNS(_xlpm.nd)&gt;1,A139&amp;"¦"&amp;INDEX(_xlpm.nd,1)&amp;"¦"&amp;INDEX(_xlpm.nd,2),"")))</f>
        <v>ЩОВ-2¦QF9¦кабель ВВГнг(А)-LS (3х1,5) → Внутренний блок кондиционирования Технический этаж Пом. №002Т</v>
      </c>
      <c r="HH139" t="str">
        <f t="shared" si="347"/>
        <v>K.2.014A¦Внутренний блок кондиционирования Технический этаж Пом. №002Т</v>
      </c>
      <c r="HI139" t="str" cm="1">
        <f t="array" ref="HI139">IF(HF139="","",_xlfn.LET(_xlpm.nd,_xlfn.TEXTSPLIT(HF139,"|"),IF(COLUMNS(_xlpm.nd)&gt;2,A139&amp;"¦"&amp;INDEX(_xlpm.nd,2)&amp;"¦"&amp;INDEX(_xlpm.nd,3),"")))</f>
        <v/>
      </c>
      <c r="HJ139" t="str">
        <f t="shared" si="348"/>
        <v/>
      </c>
      <c r="HK139" t="str" cm="1">
        <f t="array" ref="HK139">IF(HF139="","",_xlfn.LET(_xlpm.nd,_xlfn.TEXTSPLIT(HF139,"|"),IF(COLUMNS(_xlpm.nd)&gt;3,A139&amp;"¦"&amp;INDEX(_xlpm.nd,3)&amp;"¦"&amp;INDEX(_xlpm.nd,4),"")))</f>
        <v/>
      </c>
      <c r="HL139" t="str">
        <f t="shared" si="349"/>
        <v/>
      </c>
      <c r="HM139" t="str" cm="1">
        <f t="array" ref="HM139">IF(HF139="","",_xlfn.LET(_xlpm.nd,_xlfn.TEXTSPLIT(HF139,"|"),IF(COLUMNS(_xlpm.nd)&gt;4,A139&amp;"¦"&amp;INDEX(_xlpm.nd,4)&amp;"¦"&amp;INDEX(_xlpm.nd,5),"")))</f>
        <v/>
      </c>
      <c r="HN139" t="str">
        <f t="shared" si="350"/>
        <v/>
      </c>
      <c r="HO139" t="str" cm="1">
        <f t="array" ref="HO139">IF(HF139="","",_xlfn.LET(_xlpm.nd,_xlfn.TEXTSPLIT(HF139,"|"),IF(COLUMNS(_xlpm.nd)&gt;5,A139&amp;"¦"&amp;INDEX(_xlpm.nd,5)&amp;"¦"&amp;INDEX(_xlpm.nd,6),"")))</f>
        <v/>
      </c>
      <c r="HP139" t="str">
        <f t="shared" si="351"/>
        <v/>
      </c>
      <c r="HQ139" t="str" cm="1">
        <f t="array" ref="HQ139">IF(HF139="","",_xlfn.LET(_xlpm.nd,_xlfn.TEXTSPLIT(HF139,"|"),IF(COLUMNS(_xlpm.nd)&gt;6,A139&amp;"¦"&amp;INDEX(_xlpm.nd,6)&amp;"¦"&amp;INDEX(_xlpm.nd,7),"")))</f>
        <v/>
      </c>
      <c r="HR139" t="str">
        <f t="shared" si="352"/>
        <v/>
      </c>
      <c r="HS139" t="str">
        <f t="shared" si="353"/>
        <v/>
      </c>
      <c r="HT139" t="str">
        <f t="shared" si="354"/>
        <v>QF9</v>
      </c>
      <c r="HU139">
        <f t="shared" si="355"/>
        <v>0</v>
      </c>
      <c r="HV139">
        <f t="shared" si="356"/>
        <v>0</v>
      </c>
      <c r="HW139" t="str">
        <f t="shared" si="357"/>
        <v/>
      </c>
      <c r="HX139" t="str">
        <f t="shared" si="358"/>
        <v/>
      </c>
      <c r="HY139" t="str">
        <f t="shared" si="359"/>
        <v/>
      </c>
      <c r="HZ139" t="str">
        <f t="shared" si="360"/>
        <v/>
      </c>
      <c r="IA139">
        <f>IF(B139="","",IFERROR(VLOOKUP(B139,УГО_спр,2,FALSE),IFERROR(VLOOKUP(AX139,УГО_спр,2,FALSE),IFERROR(VLOOKUP(LEFT(AX139,2),УГО_спр,2,FALSE),""))))</f>
        <v>0</v>
      </c>
      <c r="IB139" t="str">
        <f>IF(B139="","",IF(OR(IA139="",IA139=0),"BOX",IFERROR(IF(VLOOKUP(IA139,УГО_блоки,3,FALSE)&amp;""&lt;&gt;"",VLOOKUP(IA139,УГО_блоки,3,FALSE),VLOOKUP(IA139,УГО_блоки,2,FALSE)),IA139)))</f>
        <v>BOX</v>
      </c>
      <c r="IC139">
        <f t="shared" si="361"/>
        <v>1</v>
      </c>
      <c r="ID139" t="str">
        <f>IF(DA139="","",IF(COUNTIF(DA$3:DA139,DA139)=1,MAX(ID$2:ID138)+1,""))</f>
        <v/>
      </c>
      <c r="IE139" t="str">
        <f>IF(CO139="","",IF(COUNTIF(CO$3:CO139,CO139)+COUNTIF(CP$2:CP138,CO139)+COUNTIF(CQ$2:CQ138,CO139)=1,MAX(IE$2:IG138)+1,""))</f>
        <v/>
      </c>
      <c r="IF139" t="str">
        <f>IF(CP139="","",IF(COUNTIF(CO$3:CO139,CP139)+COUNTIF(CP$3:CP139,CP139)+COUNTIF(CQ$2:CQ138,CP139)=1,MAX(IE$2:IG138,IE139)+1,""))</f>
        <v/>
      </c>
      <c r="IG139" t="str">
        <f>IF(CQ139="","",IF(COUNTIF(CO$3:CO139,CQ139)+COUNTIF(CP$3:CP139,CQ139)+COUNTIF(CQ$3:CQ139,CQ139)=1,MAX(IE$2:IG138,IE139,IF139)+1,""))</f>
        <v/>
      </c>
      <c r="IH139" t="str">
        <f t="shared" si="362"/>
        <v>3х1,5</v>
      </c>
      <c r="II139" t="str">
        <f>IF(IH139="","",IF(COUNTIF(IH$3:IH139,IH139)=1,MAX(II$2:II138)+1,""))</f>
        <v/>
      </c>
      <c r="IJ139" t="str">
        <f>IF(GL139="","",COUNTIF(GL$3:GL139,"?*"))</f>
        <v/>
      </c>
      <c r="IK139" t="str">
        <f>IF(OR(GL139="",GN139=""),"",IF(COUNTIFS(GL$3:GL139,"?*",GN$3:GN139,GN139)=1,MAX(IK$2:IK138)+1,""))</f>
        <v/>
      </c>
      <c r="IL139">
        <f t="shared" si="363"/>
        <v>0</v>
      </c>
      <c r="IM139">
        <f>IF(B139="","",COUNTIF(B$3:B139,"?*"))</f>
        <v>137</v>
      </c>
      <c r="IN139">
        <f>IF(GQ139&lt;&gt;1,0,_xlfn.LET(_xlpm.k,MAX(IFERROR(--VLOOKUP(B139,УГО_спр,5,FALSE),0),IFERROR(--VLOOKUP(AX139,УГО_спр,5,FALSE),0),IFERROR(--VLOOKUP(LEFT(AX139,2),УГО_спр,5,FALSE),0)),IF(_xlpm.k&gt;0,_xlpm.k,IF(IFERROR(--LEFT(SUBSTITUTE(IH139,"x","х"),FIND("х",SUBSTITUTE(IH139,"x","х"))-1),3)&gt;3,Каталог!$S$9,1))))</f>
        <v>1</v>
      </c>
      <c r="IO139">
        <f t="shared" si="364"/>
        <v>0</v>
      </c>
      <c r="IP139" t="str">
        <f t="shared" si="365"/>
        <v>авто</v>
      </c>
      <c r="IQ139" t="str">
        <f t="shared" si="366"/>
        <v/>
      </c>
      <c r="IR139">
        <f t="shared" si="367"/>
        <v>0</v>
      </c>
      <c r="IS139">
        <f t="shared" si="368"/>
        <v>1</v>
      </c>
    </row>
    <row r="140" spans="1:253" x14ac:dyDescent="0.3">
      <c r="A140" t="s">
        <v>753</v>
      </c>
      <c r="B140" t="s">
        <v>1408</v>
      </c>
      <c r="C140" t="s">
        <v>1645</v>
      </c>
      <c r="D140">
        <v>1</v>
      </c>
      <c r="E140">
        <v>0.104</v>
      </c>
      <c r="G140" t="str">
        <f>Линии[[#This Row],[_авто автомат]]</f>
        <v>1P С6А</v>
      </c>
      <c r="H140" t="str">
        <f>Линии[[#This Row],[_авто утечка]]</f>
        <v/>
      </c>
      <c r="I140" t="str">
        <f>Линии[[#This Row],[_авто управление]]</f>
        <v/>
      </c>
      <c r="J140" t="str">
        <f>Линии[[#This Row],[_авто аппараты]]</f>
        <v/>
      </c>
      <c r="K140">
        <v>1.5</v>
      </c>
      <c r="L140">
        <v>33</v>
      </c>
      <c r="M140" t="str">
        <f>Линии[[#This Row],[_авто фаза]]</f>
        <v>L1</v>
      </c>
      <c r="N140" t="s">
        <v>486</v>
      </c>
      <c r="O140" t="str">
        <f t="shared" si="246"/>
        <v/>
      </c>
      <c r="P140" s="6" cm="1">
        <f t="array" ref="P140">IF(B140="","",IF(BC140&lt;&gt;"",IFERROR(_xlfn.XLOOKUP(BC140,Щиты[Щит],Щиты[Iр, А]),""),IF(BK140=1,IFERROR(_xlfn.XLOOKUP(A140,Щиты[Щит],Щиты[Iр, А]),""),IFERROR(_xlfn.IFS(BR140=1,BN140/((Uн_лин/SQRT(3))*BY140),BR140=3,BN140/(SQRT(3)*Uн_лин*BY140)),""))))</f>
        <v>0.56291651245988494</v>
      </c>
      <c r="Q140" s="7">
        <f>IF(B140="","",IFERROR(IF(VLOOKUP(AX140,Потребители_обозначение,4,FALSE)=1,VLOOKUP(AX140,Потребители_обозначение,3,FALSE)*(D140*2-1)+DS140+VLOOKUP(AZ140,Этаж_обозначение,3,FALSE)+VLOOKUP(AZ140,Этаж_обозначение,4,FALSE),VLOOKUP(AX140,Потребители_обозначение,3,FALSE)*(D140*2-1)+DS140),DS140))</f>
        <v>35</v>
      </c>
      <c r="R140" s="6">
        <f t="shared" si="247"/>
        <v>1.3499999999999999</v>
      </c>
      <c r="S140" t="str">
        <f t="shared" si="248"/>
        <v>ВВГнг(А)-LS (3х1,5)</v>
      </c>
      <c r="T140" t="str">
        <f>IF(BH140="","",IF(BI140="вводной узел","узел ","")&amp;"л."&amp;(INT((BH140-1)/Столбцов_на_лист)+1)&amp;" / "&amp;(MOD(BH140-1,Столбцов_на_лист)+1))</f>
        <v>л.2 / 12</v>
      </c>
      <c r="V140">
        <v>1</v>
      </c>
      <c r="W140">
        <v>230</v>
      </c>
      <c r="X140" t="s">
        <v>600</v>
      </c>
      <c r="Y140">
        <v>0.5</v>
      </c>
      <c r="AC140" t="s">
        <v>815</v>
      </c>
      <c r="AE140" t="s">
        <v>578</v>
      </c>
      <c r="AI140">
        <v>29</v>
      </c>
      <c r="AJ140" t="s">
        <v>11</v>
      </c>
      <c r="AK140">
        <v>3</v>
      </c>
      <c r="AM140">
        <v>4</v>
      </c>
      <c r="AN140">
        <v>31</v>
      </c>
      <c r="AP140">
        <v>1</v>
      </c>
      <c r="AW140" cm="1">
        <f t="array" ref="AW140">ROW()-ROW(Линии[#Headers])</f>
        <v>138</v>
      </c>
      <c r="AX140" s="6" t="str">
        <f t="shared" si="249"/>
        <v>K</v>
      </c>
      <c r="AY140" t="str">
        <f t="shared" si="250"/>
        <v>2.016A</v>
      </c>
      <c r="AZ140" t="str">
        <f t="shared" si="251"/>
        <v>2</v>
      </c>
      <c r="BA140" t="str">
        <f t="shared" si="252"/>
        <v>016A</v>
      </c>
      <c r="BB140" t="str">
        <f t="shared" si="253"/>
        <v>016A</v>
      </c>
      <c r="BC140" t="str">
        <f>IF(U140&lt;&gt;"",U140,IF(AND(B140&lt;&gt;"",B140&lt;&gt;A140,ISNUMBER(_xlfn.XMATCH(B140,Щиты[Щит]))),B140,""))</f>
        <v/>
      </c>
      <c r="BD140" t="str" cm="1">
        <f t="array" ref="BD140">IF(B140="","",IF(BC140&lt;&gt;"","Щит "&amp;BC140,_xlfn.LET(_xlpm.nm,IFERROR(_xlfn.XLOOKUP(AX140,Коды_код,Коды_имя)&amp;"",""),_xlpm.md,IFERROR(N(_xlfn.XLOOKUP(AX140,Коды_код,Коды_режим)),1),_xlpm.ex,IF(Имя_режим="по экспликации",IFERROR(_xlfn.XLOOKUP(AZ140&amp;"|"&amp;BB140,Экспликация[Этаж]&amp;"|"&amp;Экспликация[Помещение],Экспликация[Название])&amp;"",""),""),_xlpm.rm,IF(BB140="","",IF(_xlpm.ex&lt;&gt;"",". "&amp;_xlpm.ex&amp;IF(Имя_пом="нет"," ("&amp;BB140&amp;")"," (пом. "&amp;BB140&amp;")"),IF(Имя_пом="нет"," ",", пом. ")&amp;BB140)),IF(_xlpm.nm="","",IF(_xlpm.md=2,_xlpm.nm&amp;" шлейф "&amp;AZ140,_xlpm.nm&amp;_xlpm.rm)))))</f>
        <v>Внутренний блок кондиционирования, пом. 016A</v>
      </c>
      <c r="BE140" t="str">
        <f t="shared" si="254"/>
        <v>Внутренний блок кондиционирования Технический этаж Пом. №001Б</v>
      </c>
      <c r="BF140">
        <f>IFERROR(_xlfn.XMATCH(A140,Щиты[Щит]),0)</f>
        <v>7</v>
      </c>
      <c r="BG140">
        <f>_xlfn.LET(_xlpm.k,IFERROR(_xlfn.XLOOKUP(A140,Щиты[Щит],Щиты[Листов под вводной узел]),""),IF(_xlpm.k="",1,N(_xlpm.k))*Столбцов_на_лист)</f>
        <v>17</v>
      </c>
      <c r="BH140">
        <f t="shared" si="255"/>
        <v>29</v>
      </c>
      <c r="BI140" t="str">
        <f t="shared" si="256"/>
        <v>линии</v>
      </c>
      <c r="BJ140" s="6">
        <f>IFERROR(N(_xlfn.XLOOKUP(AX140,Коды_код,Коды_квт)),0)</f>
        <v>0</v>
      </c>
      <c r="BK140">
        <f t="shared" si="257"/>
        <v>0</v>
      </c>
      <c r="BL140" t="str">
        <f>IF(B140="","",IF(BC140&lt;&gt;"",IFERROR(_xlfn.XLOOKUP(BC140,Щиты[Щит],Щиты[Руст, кВт]),0),IF(BK140=1,IFERROR(_xlfn.XLOOKUP(A140,Щиты[Щит],Щиты[Руст, кВт]),0),IF(BJ140&gt;0,ROUND(BJ140*MAX(1,N(D140)),3),""))))</f>
        <v/>
      </c>
      <c r="BM140">
        <f t="shared" si="258"/>
        <v>0.104</v>
      </c>
      <c r="BN140" s="6">
        <f>IF(B140="","",IF(BC140&lt;&gt;"",IFERROR(_xlfn.XLOOKUP(BC140,Щиты[Щит],Щиты[Руст, кВт]),0),N(BM140)))</f>
        <v>0.104</v>
      </c>
      <c r="BO140" t="str">
        <f>IF(B140="","",IFERROR(IF(VLOOKUP(AX140,Потребители_обозначение,8,FALSE)=0,"",VLOOKUP(AX140,Потребители_обозначение,8,FALSE)),""))</f>
        <v/>
      </c>
      <c r="BP140">
        <f t="shared" si="259"/>
        <v>230</v>
      </c>
      <c r="BQ140">
        <f>IF(B140="","",IF(BC140&lt;&gt;"",3,IFERROR(IF(N(VLOOKUP(AX140,Потребители_обозначение,9,FALSE))=0,1,VLOOKUP(AX140,Потребители_обозначение,9,FALSE)),1)))</f>
        <v>1</v>
      </c>
      <c r="BR140">
        <f t="shared" si="260"/>
        <v>1</v>
      </c>
      <c r="BS140" t="str">
        <f>IF(B140="","",_xlfn.LET(_xlpm.bc,IFERROR(IF(VLOOKUP(AX140,Потребители_обозначение,6,FALSE)=0,"",VLOOKUP(AX140,Потребители_обозначение,6,FALSE)&amp;""),""),IF(AND(FK140="да",OR(_xlpm.bc="",_xlpm.bc="мс")),Марка_пож,IF(AND(_xlpm.bc="",BC140&lt;&gt;""),"мс",_xlpm.bc))))</f>
        <v/>
      </c>
      <c r="BT140" t="str">
        <f t="shared" si="261"/>
        <v>мс</v>
      </c>
      <c r="BU140">
        <f>IF(B140="","",_xlfn.LET(_xlpm.cc,IFERROR(N(VLOOKUP(AX140,Потребители_обозначение,7,FALSE)),0),IF(_xlpm.cc&gt;0,_xlpm.cc,IF(BT140="","",IF(N(BR140)=3,5,3)))))</f>
        <v>3</v>
      </c>
      <c r="BV140">
        <f t="shared" si="262"/>
        <v>3</v>
      </c>
      <c r="BW140">
        <f>IFERROR(N(VLOOKUP(AX140,Потребители_обозначение,10,FALSE)),0)</f>
        <v>0</v>
      </c>
      <c r="BX140">
        <f>IFERROR(VLOOKUP(AX140,Потребители_обозначение,5,FALSE),0)</f>
        <v>1</v>
      </c>
      <c r="BY140" s="6" cm="1">
        <f t="array" ref="BY140">IF(B140="","",IF(BC140&lt;&gt;"",IFERROR(_xlfn.XLOOKUP(BC140,Щиты[Щит],Щиты[cos φ]),0.95),IF(BK140=1,IFERROR(_xlfn.XLOOKUP(A140,Щиты[Щит],Щиты[cos φ]),0.95),IF(ISNUMBER(Z140),Z140,IFERROR(IF(BX140=2,_xlfn.IFS(BR140=3,VLOOKUP(BN140,Справочная_двигатели,8,FALSE),BR140=1,VLOOKUP(BN140,Справочная_двигатели,10,TRUE)),IF(AND(Методика="нормы 2026",EQ140="Сил"),0.8,0.95)),0.95)))))</f>
        <v>0.8</v>
      </c>
      <c r="BZ140">
        <f t="shared" si="263"/>
        <v>0</v>
      </c>
      <c r="CA140">
        <f t="shared" si="264"/>
        <v>1</v>
      </c>
      <c r="CB140">
        <f t="shared" si="265"/>
        <v>0</v>
      </c>
      <c r="CC140">
        <f t="shared" si="266"/>
        <v>0</v>
      </c>
      <c r="CD140">
        <f t="shared" si="267"/>
        <v>0</v>
      </c>
      <c r="CE140">
        <f t="shared" si="268"/>
        <v>0</v>
      </c>
      <c r="CF140">
        <f t="shared" si="269"/>
        <v>0</v>
      </c>
      <c r="CG140">
        <f>IF(AX140="",0,_xlfn.LET(_xlpm.v,IFERROR(VLOOKUP(B140,УГО_спр,3,FALSE),IFERROR(VLOOKUP(AX140,УГО_спр,3,FALSE),IFERROR(VLOOKUP(LEFT(AX140,2),УГО_спр,3,FALSE),""))),IF(_xlpm.v="да",30,IF(ISNUMBER(_xlpm.v),_xlpm.v,0))))</f>
        <v>0</v>
      </c>
      <c r="CH140" t="str">
        <f t="shared" si="270"/>
        <v/>
      </c>
      <c r="CI140" t="str">
        <f>_xlfn.LET(_xlpm.k,IFERROR(_xlfn.XLOOKUP(AX140,Коды_код,Коды_утечка)&amp;"",""),IF(_xlpm.k="","дифавтомат",_xlpm.k))</f>
        <v>дифавтомат</v>
      </c>
      <c r="CJ140">
        <f t="shared" si="271"/>
        <v>0</v>
      </c>
      <c r="CK140">
        <f t="shared" si="272"/>
        <v>0</v>
      </c>
      <c r="CL140">
        <f>IF(B140="",0,IFERROR(--VLOOKUP(B140,УГО_спр,4,FALSE),IFERROR(--VLOOKUP(AX140,УГО_спр,4,FALSE),IFERROR(--VLOOKUP(LEFT(AX140,2),УГО_спр,4,FALSE),0))))</f>
        <v>0</v>
      </c>
      <c r="CM140" t="str">
        <f>IF(B140="","",IFERROR(_xlfn.XLOOKUP(AX140,Коды_код,Коды_апп)&amp;"",""))</f>
        <v/>
      </c>
      <c r="CN140" t="str">
        <f t="shared" si="273"/>
        <v/>
      </c>
      <c r="CO140" t="str" cm="1">
        <f t="array" ref="CO140">IF(TRIM(CN140&amp;"")="","",IFERROR(TRIM(INDEX(_xlfn.TEXTSPLIT(CN140&amp;";;;",";"),1)),""))</f>
        <v/>
      </c>
      <c r="CP140" t="str" cm="1">
        <f t="array" ref="CP140">IF(TRIM(CN140&amp;"")="","",IFERROR(TRIM(INDEX(_xlfn.TEXTSPLIT(CN140&amp;";;;",";"),2)),""))</f>
        <v/>
      </c>
      <c r="CQ140" t="str" cm="1">
        <f t="array" ref="CQ140">IF(TRIM(CN140&amp;"")="","",IFERROR(TRIM(INDEX(_xlfn.TEXTSPLIT(CN140&amp;";;;",";"),3)),""))</f>
        <v/>
      </c>
      <c r="CR140">
        <f t="shared" si="274"/>
        <v>0</v>
      </c>
      <c r="CS140" t="str">
        <f>IF(B140="","",_xlfn.LET(_xlpm.t,LOWER(AV140&amp;""),IF(ISNUMBER(SEARCH("dim",_xlpm.t)),"DIM",IF(ISNUMBER(SEARCH("dali",_xlpm.t)),"DALI",IF(OR(ISNUMBER(SEARCH("relay",_xlpm.t)),ISNUMBER(SEARCH("реле",_xlpm.t))),"Relay",IF(ISNUMBER(SEARCH("кнопк",_xlpm.t)),"",IFERROR(_xlfn.XLOOKUP(AX140,Коды_код,Коды_упр)&amp;"","")))))))</f>
        <v/>
      </c>
      <c r="CT140" t="str">
        <f t="shared" si="275"/>
        <v/>
      </c>
      <c r="CU140">
        <f>IF(B140="","",_xlfn.LET(_xlpm.ig,N(P140)+IF(AF140="вручную",0,N(CB140)),_xlpm.n0,IFERROR(VLOOKUP(_xlpm.ig,Автомат_номиналы,2,TRUE),0),_xlpm.mn,MAX(CL140,IF(AF140="вручную",0,N(CE140))),MAX(_xlpm.n0,_xlpm.mn,IF(CR140=1,Мин_автомат_БП,0))))</f>
        <v>6</v>
      </c>
      <c r="CV140">
        <f t="shared" si="276"/>
        <v>1</v>
      </c>
      <c r="CW140" t="str">
        <f t="shared" si="277"/>
        <v>1P</v>
      </c>
      <c r="CX140" t="str">
        <f>_xlfn.LET(_xlpm.cc,UPPER(TRIM(IFERROR(_xlfn.XLOOKUP(AX140,Коды_код,Коды_хар)&amp;"",""))),IF(OR(_xlpm.cc="B",_xlpm.cc="В"),"B",IF(_xlpm.cc="D","D","С")))</f>
        <v>С</v>
      </c>
      <c r="CY140" t="str">
        <f t="shared" si="278"/>
        <v>1P С6А</v>
      </c>
      <c r="CZ140" t="str">
        <f t="shared" si="279"/>
        <v>1P С6А</v>
      </c>
      <c r="DA140" t="str">
        <f t="shared" si="280"/>
        <v>1P С6А</v>
      </c>
      <c r="DB140" cm="1">
        <f t="array" ref="DB140">IF(DA140="","",_xlfn.LET(_xlpm.t,SUBSTITUTE(SUBSTITUTE(SUBSTITUTE(UPPER(DA140),"С","C"),"А","A"),"В","B"),_xlpm.tk,_xlfn.TEXTSPLIT(_xlpm.t,"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0" t="str">
        <f t="shared" si="281"/>
        <v>ok</v>
      </c>
      <c r="DD140">
        <f t="shared" si="282"/>
        <v>6</v>
      </c>
      <c r="DE140" t="str">
        <f t="shared" si="283"/>
        <v>1P С6А</v>
      </c>
      <c r="DF140">
        <f t="shared" si="284"/>
        <v>0</v>
      </c>
      <c r="DG140">
        <f t="shared" si="285"/>
        <v>0</v>
      </c>
      <c r="DH140">
        <f t="shared" si="286"/>
        <v>0</v>
      </c>
      <c r="DI140">
        <f t="shared" si="287"/>
        <v>0.56291651245988494</v>
      </c>
      <c r="DJ140">
        <f t="shared" si="288"/>
        <v>1</v>
      </c>
      <c r="DK140">
        <f>IF(ISNUMBER(AL140),AL140,К_прокл)</f>
        <v>1</v>
      </c>
      <c r="DL140">
        <f t="shared" si="289"/>
        <v>2</v>
      </c>
      <c r="DM140">
        <f>IFERROR(N(VLOOKUP(BT140,Кабель_обозначение,3,FALSE)),1)</f>
        <v>1</v>
      </c>
      <c r="DN140">
        <f>IFERROR(N(_xlfn.XLOOKUP(A140,Щиты[Щит],Щиты[ΔU до шин, %])),0)</f>
        <v>1.1399999999999999</v>
      </c>
      <c r="DO140" t="str">
        <f>IFERROR(_xlfn.XLOOKUP(A140,Щиты[Щит],Щиты[Zпетли на шинах, Ом]),"")</f>
        <v/>
      </c>
      <c r="DP140">
        <f>IFERROR(N(_xlfn.XLOOKUP(A140,Щиты[Щит],Щиты[ΔU до шин (подбор), %])),0)</f>
        <v>1.82</v>
      </c>
      <c r="DQ140" t="str">
        <f>IFERROR(_xlfn.XLOOKUP(A140,Щиты[Щит],Щиты[Zпетли на шинах (подбор), Ом]),"")</f>
        <v/>
      </c>
      <c r="DR140" t="str">
        <f t="shared" si="290"/>
        <v/>
      </c>
      <c r="DS140">
        <f t="shared" si="291"/>
        <v>33</v>
      </c>
      <c r="DT140">
        <f t="shared" si="292"/>
        <v>2</v>
      </c>
      <c r="DU140">
        <f t="shared" si="293"/>
        <v>0.6</v>
      </c>
      <c r="DV140" s="6">
        <f>IF(B140="","",IF(IFERROR(VLOOKUP(AX140,УГО_спр,2,FALSE),"")="Светильник",3,4)+IF(Методика="нормы 2026",MIN(0.5,MAX(0,N(Q140)-100)*0.005),0))</f>
        <v>4</v>
      </c>
      <c r="DW140" cm="1">
        <f t="array" ref="DW140">IF(OR(B140="",BT140="",DM140&lt;&gt;1),"",_xlfn.LET(_xlpm.sz,Iдоп_S,_xlpm.t_,CHOOSE(DL140,Iдоп_1ж,Iдоп_2ж,Iдоп_3ж)*DJ140*DK140,_xlpm.inn,N(DD140),_xlpm.smin,MAX(1.5,BW140),_xlpm.L_,N(Q140)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140)*(_xlpm.rho*_xlpm.L_/_xlpm.sz*N(BY140)+_xlpm.xx*_xlpm.L_*N(DU140)/1000)*N(P140)/((Uн_лин/SQRT(3))*1000)*100,999),_xlpm.kz,IF(OR(DG140=1,NOT(ISNUMBER(DQ140)),_xlpm.L_=0,_xlpm.inn=0),1,IFERROR(--(c_min*(Uн_лин*1000/SQRT(3))/(DQ140+2*ρкз_Cu*_xlpm.L_/_xlpm.sz)&gt;=GY140*_xlpm.inn),0)),_xlpm.ok,IFERROR((_xlpm.sz&gt;=_xlpm.smin)*(_xlpm.t_&gt;=_xlpm.inn)*IF(_xlpm.L_&gt;0,(_xlpm.du_+DP140&lt;=DV140+0.00001),1)*_xlpm.kz,0),_xlpm.r_,_xlfn._xlws.FILTER(_xlpm.sz,_xlpm.ok,"не подобрано"),INDEX(_xlpm.r_,1)))</f>
        <v>1.5</v>
      </c>
      <c r="DX140">
        <f t="shared" si="294"/>
        <v>1.5</v>
      </c>
      <c r="DY140" cm="1">
        <f t="array" ref="DY140">IF(OR(B140="",BT140="",DM140&lt;&gt;1),"",_xlfn.LET(_xlpm.sz,Iдоп_S,_xlpm.t_,CHOOSE(DL140,Iдоп_1ж,Iдоп_2ж,Iдоп_3ж)*DJ140*DK140,_xlpm.ok,IFERROR((_xlpm.sz&gt;=MAX(1.5,BW140))*(_xlpm.t_&gt;=N(DD140)),0),_xlpm.r_,_xlfn._xlws.FILTER(_xlpm.sz,_xlpm.ok,""),INDEX(_xlpm.r_,1)))</f>
        <v>1.5</v>
      </c>
      <c r="DZ140" s="6" cm="1">
        <f t="array" ref="DZ140">IFERROR(ROUNDUP(N(DT140)*(_xlfn.XLOOKUP(DY140,INDEX(Кабель_сопротивление,0,1),INDEX(Кабель_сопротивление,0,3))*N(Q140)/DY140*N(BY140)+_xlfn.XLOOKUP(DY140,INDEX(Кабель_сопротивление,0,1),INDEX(Кабель_сопротивление,0,2))*N(Q140)*N(DU140)/1000)*N(P140)/((Uн_лин/SQRT(3))*1000)*100,2),"")</f>
        <v>0.21000000000000002</v>
      </c>
      <c r="EA140">
        <f>IFERROR(2*ρкз_Cu*N(Q140)/DY140,"")</f>
        <v>1.2273333333333334</v>
      </c>
      <c r="EB140">
        <f>IFERROR(VLOOKUP(DX140,Кабель_сопротивление,3,FALSE),"")</f>
        <v>2.2499999999999999E-2</v>
      </c>
      <c r="EC140">
        <f>IFERROR(VLOOKUP(DX140,Кабель_сопротивление,2,FALSE),"")</f>
        <v>0.11</v>
      </c>
      <c r="ED140">
        <f t="shared" si="295"/>
        <v>31</v>
      </c>
      <c r="EE140">
        <f t="shared" si="296"/>
        <v>0</v>
      </c>
      <c r="EF140">
        <f t="shared" si="297"/>
        <v>0.47545054475386805</v>
      </c>
      <c r="EG140" s="6">
        <f>IFERROR(ROUNDUP(EF140/((Uн_лин/SQRT(3))*1000)*100,2),"")</f>
        <v>0.21000000000000002</v>
      </c>
      <c r="EH140" t="str">
        <f>IFERROR(VLOOKUP(BT140,Кабель_обозначение,2,FALSE),"")</f>
        <v>ВВГнг(А)-LS</v>
      </c>
      <c r="EI140" t="str">
        <f t="shared" si="298"/>
        <v>ВВГнг(А)-LS (3х1,5)</v>
      </c>
      <c r="EJ140" t="str">
        <f t="shared" si="299"/>
        <v>ВВГнг(А)-LS (3х1,5)
L=35-0,21%</v>
      </c>
      <c r="EK140">
        <f>IFERROR(2*ρкз_Cu*Q140/DX140,"")</f>
        <v>1.2273333333333334</v>
      </c>
      <c r="EL140">
        <f t="shared" si="300"/>
        <v>0.40833333333333338</v>
      </c>
      <c r="EM140" s="6" t="str">
        <f>IFERROR(IF(OR(B140="",NOT(ISNUMBER(DX140)),N(Q140)=0),"",_xlfn.XLOOKUP(A140,Щиты[Щит],Щиты[Zпетли на шинах, Ом])+EK140),"")</f>
        <v/>
      </c>
      <c r="EN140" s="6" t="str">
        <f>IF(ISNUMBER(EM140),c_min*(Uн_лин*1000/SQRT(3))/EM140,"")</f>
        <v/>
      </c>
      <c r="EO140" s="6" t="str">
        <f>IFERROR(IF(OR(B140="",NOT(ISNUMBER(DX140))),"",1.05*(Uн_лин*1000/SQRT(3))/(_xlfn.XLOOKUP(A140,Щиты[Щит],Щиты[Zmax на шинах, Ом])+EL140)/1000),"")</f>
        <v/>
      </c>
      <c r="EP140" s="6" t="str">
        <f>IF(B140="","",IF(ISNUMBER(Y140),"Сил",IF(IFERROR(_xlfn.XLOOKUP(AX140,Коды_код,Коды_группа)&amp;"","")="","Быт",_xlfn.XLOOKUP(AX140,Коды_код,Коды_группа)&amp;"")))</f>
        <v>Сил</v>
      </c>
      <c r="EQ140" s="6" t="str">
        <f t="shared" si="301"/>
        <v>Сил</v>
      </c>
      <c r="ER140" s="6">
        <f>IF(EQ140="Щит","щит",IF(EQ140="","",IF(EQ140="Быт",IFERROR(_xlfn.XLOOKUP(A140,Щиты[Щит],Щиты[Кс быт]),1),IF(EQ140="Сил",IF(ISNUMBER(Y140),Y140,IF(Методика="нормы 2026",IFERROR(_xlfn.XLOOKUP(A140,Щиты[Щит],Щиты[Кс силовых (табл. 7.5)]),1),1)),IF(OR(EQ140="Пост",EQ140="Отоп"),1,IF(EQ140="ВНГ",0.7,0))))))</f>
        <v>0.5</v>
      </c>
      <c r="ES140">
        <f t="shared" si="302"/>
        <v>1</v>
      </c>
      <c r="ET140">
        <f t="shared" si="303"/>
        <v>0.104</v>
      </c>
      <c r="EU140">
        <f t="shared" si="304"/>
        <v>0</v>
      </c>
      <c r="EV140">
        <f t="shared" si="305"/>
        <v>5.1999999999999998E-2</v>
      </c>
      <c r="EW140">
        <f t="shared" si="306"/>
        <v>0</v>
      </c>
      <c r="EX140">
        <f t="shared" si="307"/>
        <v>0</v>
      </c>
      <c r="EY140">
        <f t="shared" si="308"/>
        <v>0</v>
      </c>
      <c r="EZ140">
        <f t="shared" si="309"/>
        <v>0.104</v>
      </c>
      <c r="FA140">
        <f t="shared" si="310"/>
        <v>8.3199999999999996E-2</v>
      </c>
      <c r="FB140">
        <f t="shared" si="311"/>
        <v>0.104</v>
      </c>
      <c r="FC140" t="str">
        <f t="shared" si="312"/>
        <v/>
      </c>
      <c r="FD140" t="str">
        <f>IF(B140="","",IF(CA140=0,IF(AW140=1,"",FF139),IF(OR(N(CV140)&gt;=3,N(BR140)&gt;=3),"L1,L2,L3",IFERROR(_xlfn.TEXTBEFORE(_xlfn.TEXTAFTER(_xlfn.XLOOKUP(A140,Щиты[Щит],Щиты[_фазы авто]),";"&amp;AW140&amp;":"),";"),"L1"))))</f>
        <v>L1</v>
      </c>
      <c r="FE140" t="str">
        <f t="shared" si="313"/>
        <v>L1</v>
      </c>
      <c r="FF140" t="str">
        <f t="shared" si="314"/>
        <v>L1</v>
      </c>
      <c r="FG140" cm="1">
        <f t="array" ref="FG140">IFERROR(IF(BX140=2,_xlfn.IFS(BR140=3,VLOOKUP(BN140,Справочная_двигатели,3,FALSE),BR140=1,VLOOKUP(BN140,Справочная_двигатели,5,TRUE)),0),0)</f>
        <v>0</v>
      </c>
      <c r="FH140">
        <f>IFERROR(IF(BX140=3,VLOOKUP(BN140,Справочная_ЛЭД,2,TRUE),0),0)</f>
        <v>0</v>
      </c>
      <c r="FI140" s="6">
        <f t="shared" si="315"/>
        <v>0</v>
      </c>
      <c r="FJ140" t="str" cm="1">
        <f t="array" ref="FJ140">IF(B140="","",IFERROR(INDEX({"I особая","I","II","III"},MATCH(TRIM(AC140&amp;""),{"I особая","I","II","III"},0)),"III"))</f>
        <v>II</v>
      </c>
      <c r="FK140" t="str">
        <f>IF(B140="","",IF(TRIM(AD140&amp;"")&lt;&gt;"",IF(LOWER(TRIM(AD140&amp;""))="да","да","нет"),IF(IFERROR(_xlfn.XLOOKUP(AX140,Коды_код,Коды_пожарная),"")="да","да","нет")))</f>
        <v>нет</v>
      </c>
      <c r="FL140" t="str">
        <f t="shared" si="316"/>
        <v/>
      </c>
      <c r="FM140" t="str">
        <f t="shared" si="317"/>
        <v>основная</v>
      </c>
      <c r="FN140">
        <f t="shared" si="318"/>
        <v>1</v>
      </c>
      <c r="FO140" t="str" cm="1">
        <f t="array" ref="FO140">IF(B140="","",_xlfn.LET(_xlpm.t,IFERROR(_xlfn.XLOOKUP(1,(Шины[Шина]=FM140)*(((Шины[Щит]=A140)+(Шины[Щит]=""))&gt;0),Шины[Тип]),"")&amp;"",IF(_xlpm.t&lt;&gt;"",_xlpm.t,IF(ISNUMBER(SEARCH("ИБП",FM140)),"ИБП",IF(ISNUMBER(SEARCH("ДГУ",FM140)),"ДГУ","Ввод "&amp;FN140)))))</f>
        <v>Ввод 1</v>
      </c>
      <c r="FP140" t="str">
        <f t="shared" si="319"/>
        <v>Ввод 1</v>
      </c>
      <c r="FQ140" t="str">
        <f>IF(B140="","",IF(OR(FO140="ИБП",FO140="ДГУ"),"I особая",IF(FO140="Одиночная","III",_xlfn.XLOOKUP(A140,Щиты[Щит],Щиты[Категория шины «Ввод»],"III"))))</f>
        <v>II</v>
      </c>
      <c r="FR140">
        <f>IF(B140="",0,IFERROR(MATCH(FJ140,{"III","II","I","I особая"},0),1))</f>
        <v>2</v>
      </c>
      <c r="FS140">
        <f t="shared" si="320"/>
        <v>2</v>
      </c>
      <c r="FT140" t="str">
        <f>IF(B140="","",IF(FR140&gt;IFERROR(MATCH(FQ140,{"III","II","I","I особая"},0),1),"НЕ ОБЕСПЕЧЕНА","ОК"))</f>
        <v>ОК</v>
      </c>
      <c r="FU140" t="str">
        <f>IF(A140="","",_xlfn.XLOOKUP(A140,Щиты[Щит],Щиты[Путь],""))</f>
        <v>|ГРЩ-ЖД|ЩОВ-2|</v>
      </c>
      <c r="FV140" t="str">
        <f>IF(B140="","",IF(AE140&lt;&gt;"",AE140,IF(IFERROR(_xlfn.XLOOKUP(AX140,Коды_код,Коды_вид)&amp;"","")="","Прочее",_xlfn.XLOOKUP(AX140,Коды_код,Коды_вид)&amp;"")))</f>
        <v>Кондиционирование и увлажнение</v>
      </c>
      <c r="FW140">
        <f>IF(BH140="","",INT((BH140-1)/Столбцов_на_лист)+1)</f>
        <v>2</v>
      </c>
      <c r="FX140" t="str">
        <f t="shared" si="321"/>
        <v>ВВГнг(А)-LS (3х1,5) L=35-0,21%</v>
      </c>
      <c r="FY140">
        <f t="shared" si="322"/>
        <v>0.104</v>
      </c>
      <c r="FZ140">
        <f t="shared" si="323"/>
        <v>0.57000000000000006</v>
      </c>
      <c r="GA140">
        <f t="shared" si="324"/>
        <v>1</v>
      </c>
      <c r="GB140">
        <f t="shared" si="325"/>
        <v>0</v>
      </c>
      <c r="GC140">
        <f t="shared" si="326"/>
        <v>1</v>
      </c>
      <c r="GD140">
        <f>IF(BH140="","",IF(AND(CA140=1,GC140=1),COUNTIFS(A$3:A140,A140,CA$3:CA140,1,GC$3:GC140,1),IF(OR(OR(AW140=1,A140&lt;&gt;A139),AF140="вручную",GC140=0),"",IF(AW140=1,"",GE139))))</f>
        <v>10</v>
      </c>
      <c r="GE140">
        <f t="shared" si="327"/>
        <v>10</v>
      </c>
      <c r="GF140">
        <f>IF(B140="","",IFERROR(LOOKUP(INDEX(CHOOSE(DL140,Iдоп_1ж,Iдоп_2ж,Iдоп_3ж),MATCH(DX140,Iдоп_S,0))*DJ140*DK140,{6,10,16,20,25,32,40,50,63,80,100,125,160,200,250,315,400,500,630}),""))</f>
        <v>16</v>
      </c>
      <c r="GG140" t="str">
        <f t="shared" si="328"/>
        <v>QF10</v>
      </c>
      <c r="GH140" t="str">
        <f t="shared" si="329"/>
        <v>QF10</v>
      </c>
      <c r="GI140" t="str">
        <f t="shared" si="330"/>
        <v/>
      </c>
      <c r="GJ140">
        <f t="shared" si="331"/>
        <v>0</v>
      </c>
      <c r="GK140" t="str">
        <f>IF(OR(AG140="",AG140="-"),"",IFERROR(VLOOKUP(AG140,Модули_спр,2,FALSE),"R"))</f>
        <v/>
      </c>
      <c r="GL140" t="str">
        <f>IF(GK140="","",GK140&amp;"."&amp;COUNTIFS(A$3:A140,A140,GK$3:GK140,GK140))</f>
        <v/>
      </c>
      <c r="GM140" t="str">
        <f t="shared" si="332"/>
        <v/>
      </c>
      <c r="GN140" t="str">
        <f t="shared" si="333"/>
        <v/>
      </c>
      <c r="GO140" t="str">
        <f t="shared" si="334"/>
        <v/>
      </c>
      <c r="GP140" t="str">
        <f t="shared" si="335"/>
        <v/>
      </c>
      <c r="GQ140">
        <f t="shared" si="336"/>
        <v>1</v>
      </c>
      <c r="GR140" t="str">
        <f>IF(GQ140=1,"XT"&amp;COUNTIFS(A$3:A140,A140,GQ$3:GQ140,1),"")</f>
        <v>XT10</v>
      </c>
      <c r="GS140" t="str">
        <f t="shared" si="337"/>
        <v/>
      </c>
      <c r="GT140" t="str">
        <f t="shared" si="338"/>
        <v>QF10</v>
      </c>
      <c r="GU140" t="str">
        <f t="shared" si="339"/>
        <v/>
      </c>
      <c r="GV140" t="str">
        <f t="shared" si="340"/>
        <v>ok</v>
      </c>
      <c r="GW140" t="str">
        <f>IF(OR(GO140="",GM140=""),"",IF(GO140&gt;IFERROR(VLOOKUP(GN140,Модули_спр,3,FALSE),99),"ЛИШНИЙ КАНАЛ",IF(AND(AH140&lt;&gt;"=",COUNTIFS(Линии[_модуль гр.],GM140,Линии[Канал (итог)],GO140,Линии[Канал],"&lt;&gt;=",Линии[Щит],A140)&gt;1),"ДУБЛЬ КАНАЛА","")))</f>
        <v/>
      </c>
      <c r="GX140" s="6" t="str">
        <f t="shared" si="341"/>
        <v/>
      </c>
      <c r="GY140">
        <f t="shared" si="342"/>
        <v>10</v>
      </c>
      <c r="GZ140" t="str">
        <f t="shared" si="343"/>
        <v/>
      </c>
      <c r="HA140" t="str">
        <f>IF(AND(B140="",GT140=""),"",_xlfn.TEXTJOIN("; ",TRUE,IF(AND(B140&lt;&gt;"",FE140=""),"нет фазы",""),IF(AND(B140&lt;&gt;"",N(FY140)=0,EQ140&lt;&gt;"Нет"),"нет мощности",""),IF(AND(GS140&lt;&gt;"",COUNTIFS(Линии[Щит],A140,Линии[Клемма (итог)],GS140)&gt;1),"дубль клеммы "&amp;GS140,""),IF(AND(GV140&lt;&gt;"",GV140&lt;&gt;"ok"),GV140,""),IF(GW140&lt;&gt;"",GW140,""),IF(AND(N(BV140)&gt;=4,N(BR140)=1),BV140&amp;" жил на 1 фазе",""),IF(AND(AX140="R",CA140=1,OR(N(CK140)=0,N(CK140)&gt;30)),"розетка без дифзащиты до 30 мА",""),IFERROR(IF(AND(ISNUMBER(R140),R140&gt;DV140),"потери "&amp;FIXED(R140,1)&amp;" % &gt; "&amp;DV140&amp;" %",""),""),IFERROR(IF(LEFT(GZ140,4)="мало","Iкз мало — отключение &gt; 0,4 с",""),""),IF(AND(B140&lt;&gt;"",BH140=""),"не на схеме",""),IF(AND(CA140=0,B140&lt;&gt;"",FE140&lt;&gt;"",IF(AW140=1,"",FF139)&lt;&gt;"",FE140&lt;&gt;IF(AW140=1,"",FF139)),"фаза не как у автомата группы ("&amp;IF(AW140=1,"",FF139)&amp;")","")))</f>
        <v/>
      </c>
      <c r="HB140" s="6" t="str">
        <f>IF(OR(CA140=0,DA140=""),"",_xlfn.LET(_xlpm.t,IFERROR(_xlfn.XLOOKUP(DA140,Каталог!$U$4:$U$500,Каталог!$G$4:$G$500),""),_xlpm.k,SEARCH("кА",_xlpm.t),IFERROR(--TRIM(RIGHT(SUBSTITUTE(MID(_xlpm.t,MAX(1,_xlpm.k-4),_xlpm.k-MAX(1,_xlpm.k-4))," ",REPT(" ",9)),5)),"")))</f>
        <v/>
      </c>
      <c r="HC140" t="str">
        <f>IF(OR(HB140="",CA140=0),"",IF(_xlfn.XLOOKUP(A140,Щиты[Щит],Щиты[Iкз max на шинах, кА],"")="","",IF(HB140&lt;_xlfn.XLOOKUP(A140,Щиты[Щит],Щиты[Iкз max на шинах, кА]),"Icu "&amp;HB140&amp;" кА &lt; Iкз max","ok")))</f>
        <v/>
      </c>
      <c r="HD140" t="str">
        <f t="shared" si="344"/>
        <v/>
      </c>
      <c r="HE140" t="str">
        <f t="shared" si="345"/>
        <v>QF10</v>
      </c>
      <c r="HF140" t="str">
        <f t="shared" si="346"/>
        <v>QF10|кабель ВВГнг(А)-LS (3х1,5) → Внутренний блок кондиционирования Технический этаж Пом. №001Б</v>
      </c>
      <c r="HG140" t="str" cm="1">
        <f t="array" ref="HG140">IF(HF140="","",_xlfn.LET(_xlpm.nd,_xlfn.TEXTSPLIT(HF140,"|"),IF(COLUMNS(_xlpm.nd)&gt;1,A140&amp;"¦"&amp;INDEX(_xlpm.nd,1)&amp;"¦"&amp;INDEX(_xlpm.nd,2),"")))</f>
        <v>ЩОВ-2¦QF10¦кабель ВВГнг(А)-LS (3х1,5) → Внутренний блок кондиционирования Технический этаж Пом. №001Б</v>
      </c>
      <c r="HH140" t="str">
        <f t="shared" si="347"/>
        <v>K.2.016A¦Внутренний блок кондиционирования Технический этаж Пом. №001Б</v>
      </c>
      <c r="HI140" t="str" cm="1">
        <f t="array" ref="HI140">IF(HF140="","",_xlfn.LET(_xlpm.nd,_xlfn.TEXTSPLIT(HF140,"|"),IF(COLUMNS(_xlpm.nd)&gt;2,A140&amp;"¦"&amp;INDEX(_xlpm.nd,2)&amp;"¦"&amp;INDEX(_xlpm.nd,3),"")))</f>
        <v/>
      </c>
      <c r="HJ140" t="str">
        <f t="shared" si="348"/>
        <v/>
      </c>
      <c r="HK140" t="str" cm="1">
        <f t="array" ref="HK140">IF(HF140="","",_xlfn.LET(_xlpm.nd,_xlfn.TEXTSPLIT(HF140,"|"),IF(COLUMNS(_xlpm.nd)&gt;3,A140&amp;"¦"&amp;INDEX(_xlpm.nd,3)&amp;"¦"&amp;INDEX(_xlpm.nd,4),"")))</f>
        <v/>
      </c>
      <c r="HL140" t="str">
        <f t="shared" si="349"/>
        <v/>
      </c>
      <c r="HM140" t="str" cm="1">
        <f t="array" ref="HM140">IF(HF140="","",_xlfn.LET(_xlpm.nd,_xlfn.TEXTSPLIT(HF140,"|"),IF(COLUMNS(_xlpm.nd)&gt;4,A140&amp;"¦"&amp;INDEX(_xlpm.nd,4)&amp;"¦"&amp;INDEX(_xlpm.nd,5),"")))</f>
        <v/>
      </c>
      <c r="HN140" t="str">
        <f t="shared" si="350"/>
        <v/>
      </c>
      <c r="HO140" t="str" cm="1">
        <f t="array" ref="HO140">IF(HF140="","",_xlfn.LET(_xlpm.nd,_xlfn.TEXTSPLIT(HF140,"|"),IF(COLUMNS(_xlpm.nd)&gt;5,A140&amp;"¦"&amp;INDEX(_xlpm.nd,5)&amp;"¦"&amp;INDEX(_xlpm.nd,6),"")))</f>
        <v/>
      </c>
      <c r="HP140" t="str">
        <f t="shared" si="351"/>
        <v/>
      </c>
      <c r="HQ140" t="str" cm="1">
        <f t="array" ref="HQ140">IF(HF140="","",_xlfn.LET(_xlpm.nd,_xlfn.TEXTSPLIT(HF140,"|"),IF(COLUMNS(_xlpm.nd)&gt;6,A140&amp;"¦"&amp;INDEX(_xlpm.nd,6)&amp;"¦"&amp;INDEX(_xlpm.nd,7),"")))</f>
        <v/>
      </c>
      <c r="HR140" t="str">
        <f t="shared" si="352"/>
        <v/>
      </c>
      <c r="HS140" t="str">
        <f t="shared" si="353"/>
        <v/>
      </c>
      <c r="HT140" t="str">
        <f t="shared" si="354"/>
        <v>QF10</v>
      </c>
      <c r="HU140">
        <f t="shared" si="355"/>
        <v>0</v>
      </c>
      <c r="HV140">
        <f t="shared" si="356"/>
        <v>0</v>
      </c>
      <c r="HW140" t="str">
        <f t="shared" si="357"/>
        <v/>
      </c>
      <c r="HX140" t="str">
        <f t="shared" si="358"/>
        <v/>
      </c>
      <c r="HY140" t="str">
        <f t="shared" si="359"/>
        <v/>
      </c>
      <c r="HZ140" t="str">
        <f t="shared" si="360"/>
        <v/>
      </c>
      <c r="IA140">
        <f>IF(B140="","",IFERROR(VLOOKUP(B140,УГО_спр,2,FALSE),IFERROR(VLOOKUP(AX140,УГО_спр,2,FALSE),IFERROR(VLOOKUP(LEFT(AX140,2),УГО_спр,2,FALSE),""))))</f>
        <v>0</v>
      </c>
      <c r="IB140" t="str">
        <f>IF(B140="","",IF(OR(IA140="",IA140=0),"BOX",IFERROR(IF(VLOOKUP(IA140,УГО_блоки,3,FALSE)&amp;""&lt;&gt;"",VLOOKUP(IA140,УГО_блоки,3,FALSE),VLOOKUP(IA140,УГО_блоки,2,FALSE)),IA140)))</f>
        <v>BOX</v>
      </c>
      <c r="IC140">
        <f t="shared" si="361"/>
        <v>1</v>
      </c>
      <c r="ID140" t="str">
        <f>IF(DA140="","",IF(COUNTIF(DA$3:DA140,DA140)=1,MAX(ID$2:ID139)+1,""))</f>
        <v/>
      </c>
      <c r="IE140" t="str">
        <f>IF(CO140="","",IF(COUNTIF(CO$3:CO140,CO140)+COUNTIF(CP$2:CP139,CO140)+COUNTIF(CQ$2:CQ139,CO140)=1,MAX(IE$2:IG139)+1,""))</f>
        <v/>
      </c>
      <c r="IF140" t="str">
        <f>IF(CP140="","",IF(COUNTIF(CO$3:CO140,CP140)+COUNTIF(CP$3:CP140,CP140)+COUNTIF(CQ$2:CQ139,CP140)=1,MAX(IE$2:IG139,IE140)+1,""))</f>
        <v/>
      </c>
      <c r="IG140" t="str">
        <f>IF(CQ140="","",IF(COUNTIF(CO$3:CO140,CQ140)+COUNTIF(CP$3:CP140,CQ140)+COUNTIF(CQ$3:CQ140,CQ140)=1,MAX(IE$2:IG139,IE140,IF140)+1,""))</f>
        <v/>
      </c>
      <c r="IH140" t="str">
        <f t="shared" si="362"/>
        <v>3х1,5</v>
      </c>
      <c r="II140" t="str">
        <f>IF(IH140="","",IF(COUNTIF(IH$3:IH140,IH140)=1,MAX(II$2:II139)+1,""))</f>
        <v/>
      </c>
      <c r="IJ140" t="str">
        <f>IF(GL140="","",COUNTIF(GL$3:GL140,"?*"))</f>
        <v/>
      </c>
      <c r="IK140" t="str">
        <f>IF(OR(GL140="",GN140=""),"",IF(COUNTIFS(GL$3:GL140,"?*",GN$3:GN140,GN140)=1,MAX(IK$2:IK139)+1,""))</f>
        <v/>
      </c>
      <c r="IL140">
        <f t="shared" si="363"/>
        <v>0</v>
      </c>
      <c r="IM140">
        <f>IF(B140="","",COUNTIF(B$3:B140,"?*"))</f>
        <v>138</v>
      </c>
      <c r="IN140">
        <f>IF(GQ140&lt;&gt;1,0,_xlfn.LET(_xlpm.k,MAX(IFERROR(--VLOOKUP(B140,УГО_спр,5,FALSE),0),IFERROR(--VLOOKUP(AX140,УГО_спр,5,FALSE),0),IFERROR(--VLOOKUP(LEFT(AX140,2),УГО_спр,5,FALSE),0)),IF(_xlpm.k&gt;0,_xlpm.k,IF(IFERROR(--LEFT(SUBSTITUTE(IH140,"x","х"),FIND("х",SUBSTITUTE(IH140,"x","х"))-1),3)&gt;3,Каталог!$S$9,1))))</f>
        <v>1</v>
      </c>
      <c r="IO140">
        <f t="shared" si="364"/>
        <v>0</v>
      </c>
      <c r="IP140" t="str">
        <f t="shared" si="365"/>
        <v>авто</v>
      </c>
      <c r="IQ140" t="str">
        <f t="shared" si="366"/>
        <v/>
      </c>
      <c r="IR140">
        <f t="shared" si="367"/>
        <v>0</v>
      </c>
      <c r="IS140">
        <f t="shared" si="368"/>
        <v>1</v>
      </c>
    </row>
    <row r="141" spans="1:253" x14ac:dyDescent="0.3">
      <c r="A141" t="s">
        <v>753</v>
      </c>
      <c r="B141" t="s">
        <v>1409</v>
      </c>
      <c r="C141" t="s">
        <v>1646</v>
      </c>
      <c r="D141">
        <v>1</v>
      </c>
      <c r="E141">
        <v>0.16200000000000001</v>
      </c>
      <c r="G141" t="str">
        <f>Линии[[#This Row],[_авто автомат]]</f>
        <v>1P С6А</v>
      </c>
      <c r="H141" t="str">
        <f>Линии[[#This Row],[_авто утечка]]</f>
        <v/>
      </c>
      <c r="I141" t="str">
        <f>Линии[[#This Row],[_авто управление]]</f>
        <v/>
      </c>
      <c r="J141" t="str">
        <f>Линии[[#This Row],[_авто аппараты]]</f>
        <v/>
      </c>
      <c r="K141">
        <v>1.5</v>
      </c>
      <c r="L141">
        <v>30</v>
      </c>
      <c r="M141">
        <v>1</v>
      </c>
      <c r="N141" t="s">
        <v>486</v>
      </c>
      <c r="O141" t="str">
        <f t="shared" si="246"/>
        <v/>
      </c>
      <c r="P141" s="6" cm="1">
        <f t="array" ref="P141">IF(B141="","",IF(BC141&lt;&gt;"",IFERROR(_xlfn.XLOOKUP(BC141,Щиты[Щит],Щиты[Iр, А]),""),IF(BK141=1,IFERROR(_xlfn.XLOOKUP(A141,Щиты[Щит],Щиты[Iр, А]),""),IFERROR(_xlfn.IFS(BR141=1,BN141/((Uн_лин/SQRT(3))*BY141),BR141=3,BN141/(SQRT(3)*Uн_лин*BY141)),""))))</f>
        <v>0.87685072133174402</v>
      </c>
      <c r="Q141" s="7">
        <f>IF(B141="","",IFERROR(IF(VLOOKUP(AX141,Потребители_обозначение,4,FALSE)=1,VLOOKUP(AX141,Потребители_обозначение,3,FALSE)*(D141*2-1)+DS141+VLOOKUP(AZ141,Этаж_обозначение,3,FALSE)+VLOOKUP(AZ141,Этаж_обозначение,4,FALSE),VLOOKUP(AX141,Потребители_обозначение,3,FALSE)*(D141*2-1)+DS141),DS141))</f>
        <v>32</v>
      </c>
      <c r="R141" s="6">
        <f t="shared" si="247"/>
        <v>1.44</v>
      </c>
      <c r="S141" t="str">
        <f t="shared" si="248"/>
        <v>ВВГнг(А)-LS (3х1,5)</v>
      </c>
      <c r="T141" t="str">
        <f>IF(BH141="","",IF(BI141="вводной узел","узел ","")&amp;"л."&amp;(INT((BH141-1)/Столбцов_на_лист)+1)&amp;" / "&amp;(MOD(BH141-1,Столбцов_на_лист)+1))</f>
        <v>л.2 / 13</v>
      </c>
      <c r="V141">
        <v>1</v>
      </c>
      <c r="W141">
        <v>230</v>
      </c>
      <c r="X141" t="s">
        <v>600</v>
      </c>
      <c r="Y141">
        <v>0.5</v>
      </c>
      <c r="AC141" t="s">
        <v>815</v>
      </c>
      <c r="AE141" t="s">
        <v>578</v>
      </c>
      <c r="AI141">
        <v>30</v>
      </c>
      <c r="AJ141" t="s">
        <v>11</v>
      </c>
      <c r="AK141">
        <v>3</v>
      </c>
      <c r="AM141">
        <v>4</v>
      </c>
      <c r="AN141">
        <v>28</v>
      </c>
      <c r="AP141">
        <v>1</v>
      </c>
      <c r="AW141" cm="1">
        <f t="array" ref="AW141">ROW()-ROW(Линии[#Headers])</f>
        <v>139</v>
      </c>
      <c r="AX141" s="6" t="str">
        <f t="shared" si="249"/>
        <v>K</v>
      </c>
      <c r="AY141" t="str">
        <f t="shared" si="250"/>
        <v>2.019A</v>
      </c>
      <c r="AZ141" t="str">
        <f t="shared" si="251"/>
        <v>2</v>
      </c>
      <c r="BA141" t="str">
        <f t="shared" si="252"/>
        <v>019A</v>
      </c>
      <c r="BB141" t="str">
        <f t="shared" si="253"/>
        <v>019A</v>
      </c>
      <c r="BC141" t="str">
        <f>IF(U141&lt;&gt;"",U141,IF(AND(B141&lt;&gt;"",B141&lt;&gt;A141,ISNUMBER(_xlfn.XMATCH(B141,Щиты[Щит]))),B141,""))</f>
        <v/>
      </c>
      <c r="BD141" t="str" cm="1">
        <f t="array" ref="BD141">IF(B141="","",IF(BC141&lt;&gt;"","Щит "&amp;BC141,_xlfn.LET(_xlpm.nm,IFERROR(_xlfn.XLOOKUP(AX141,Коды_код,Коды_имя)&amp;"",""),_xlpm.md,IFERROR(N(_xlfn.XLOOKUP(AX141,Коды_код,Коды_режим)),1),_xlpm.ex,IF(Имя_режим="по экспликации",IFERROR(_xlfn.XLOOKUP(AZ141&amp;"|"&amp;BB141,Экспликация[Этаж]&amp;"|"&amp;Экспликация[Помещение],Экспликация[Название])&amp;"",""),""),_xlpm.rm,IF(BB141="","",IF(_xlpm.ex&lt;&gt;"",". "&amp;_xlpm.ex&amp;IF(Имя_пом="нет"," ("&amp;BB141&amp;")"," (пом. "&amp;BB141&amp;")"),IF(Имя_пом="нет"," ",", пом. ")&amp;BB141)),IF(_xlpm.nm="","",IF(_xlpm.md=2,_xlpm.nm&amp;" шлейф "&amp;AZ141,_xlpm.nm&amp;_xlpm.rm)))))</f>
        <v>Внутренний блок кондиционирования, пом. 019A</v>
      </c>
      <c r="BE141" t="str">
        <f t="shared" si="254"/>
        <v>Внутренний блок кондиционирования Технический этаж Пом. №003Т</v>
      </c>
      <c r="BF141">
        <f>IFERROR(_xlfn.XMATCH(A141,Щиты[Щит]),0)</f>
        <v>7</v>
      </c>
      <c r="BG141">
        <f>_xlfn.LET(_xlpm.k,IFERROR(_xlfn.XLOOKUP(A141,Щиты[Щит],Щиты[Листов под вводной узел]),""),IF(_xlpm.k="",1,N(_xlpm.k))*Столбцов_на_лист)</f>
        <v>17</v>
      </c>
      <c r="BH141">
        <f t="shared" si="255"/>
        <v>30</v>
      </c>
      <c r="BI141" t="str">
        <f t="shared" si="256"/>
        <v>линии</v>
      </c>
      <c r="BJ141" s="6">
        <f>IFERROR(N(_xlfn.XLOOKUP(AX141,Коды_код,Коды_квт)),0)</f>
        <v>0</v>
      </c>
      <c r="BK141">
        <f t="shared" si="257"/>
        <v>0</v>
      </c>
      <c r="BL141" t="str">
        <f>IF(B141="","",IF(BC141&lt;&gt;"",IFERROR(_xlfn.XLOOKUP(BC141,Щиты[Щит],Щиты[Руст, кВт]),0),IF(BK141=1,IFERROR(_xlfn.XLOOKUP(A141,Щиты[Щит],Щиты[Руст, кВт]),0),IF(BJ141&gt;0,ROUND(BJ141*MAX(1,N(D141)),3),""))))</f>
        <v/>
      </c>
      <c r="BM141">
        <f t="shared" si="258"/>
        <v>0.16200000000000001</v>
      </c>
      <c r="BN141" s="6">
        <f>IF(B141="","",IF(BC141&lt;&gt;"",IFERROR(_xlfn.XLOOKUP(BC141,Щиты[Щит],Щиты[Руст, кВт]),0),N(BM141)))</f>
        <v>0.16200000000000001</v>
      </c>
      <c r="BO141" t="str">
        <f>IF(B141="","",IFERROR(IF(VLOOKUP(AX141,Потребители_обозначение,8,FALSE)=0,"",VLOOKUP(AX141,Потребители_обозначение,8,FALSE)),""))</f>
        <v/>
      </c>
      <c r="BP141">
        <f t="shared" si="259"/>
        <v>230</v>
      </c>
      <c r="BQ141">
        <f>IF(B141="","",IF(BC141&lt;&gt;"",3,IFERROR(IF(N(VLOOKUP(AX141,Потребители_обозначение,9,FALSE))=0,1,VLOOKUP(AX141,Потребители_обозначение,9,FALSE)),1)))</f>
        <v>1</v>
      </c>
      <c r="BR141">
        <f t="shared" si="260"/>
        <v>1</v>
      </c>
      <c r="BS141" t="str">
        <f>IF(B141="","",_xlfn.LET(_xlpm.bc,IFERROR(IF(VLOOKUP(AX141,Потребители_обозначение,6,FALSE)=0,"",VLOOKUP(AX141,Потребители_обозначение,6,FALSE)&amp;""),""),IF(AND(FK141="да",OR(_xlpm.bc="",_xlpm.bc="мс")),Марка_пож,IF(AND(_xlpm.bc="",BC141&lt;&gt;""),"мс",_xlpm.bc))))</f>
        <v/>
      </c>
      <c r="BT141" t="str">
        <f t="shared" si="261"/>
        <v>мс</v>
      </c>
      <c r="BU141">
        <f>IF(B141="","",_xlfn.LET(_xlpm.cc,IFERROR(N(VLOOKUP(AX141,Потребители_обозначение,7,FALSE)),0),IF(_xlpm.cc&gt;0,_xlpm.cc,IF(BT141="","",IF(N(BR141)=3,5,3)))))</f>
        <v>3</v>
      </c>
      <c r="BV141">
        <f t="shared" si="262"/>
        <v>3</v>
      </c>
      <c r="BW141">
        <f>IFERROR(N(VLOOKUP(AX141,Потребители_обозначение,10,FALSE)),0)</f>
        <v>0</v>
      </c>
      <c r="BX141">
        <f>IFERROR(VLOOKUP(AX141,Потребители_обозначение,5,FALSE),0)</f>
        <v>1</v>
      </c>
      <c r="BY141" s="6" cm="1">
        <f t="array" ref="BY141">IF(B141="","",IF(BC141&lt;&gt;"",IFERROR(_xlfn.XLOOKUP(BC141,Щиты[Щит],Щиты[cos φ]),0.95),IF(BK141=1,IFERROR(_xlfn.XLOOKUP(A141,Щиты[Щит],Щиты[cos φ]),0.95),IF(ISNUMBER(Z141),Z141,IFERROR(IF(BX141=2,_xlfn.IFS(BR141=3,VLOOKUP(BN141,Справочная_двигатели,8,FALSE),BR141=1,VLOOKUP(BN141,Справочная_двигатели,10,TRUE)),IF(AND(Методика="нормы 2026",EQ141="Сил"),0.8,0.95)),0.95)))))</f>
        <v>0.8</v>
      </c>
      <c r="BZ141">
        <f t="shared" si="263"/>
        <v>0</v>
      </c>
      <c r="CA141">
        <f t="shared" si="264"/>
        <v>1</v>
      </c>
      <c r="CB141">
        <f t="shared" si="265"/>
        <v>0</v>
      </c>
      <c r="CC141">
        <f t="shared" si="266"/>
        <v>0</v>
      </c>
      <c r="CD141">
        <f t="shared" si="267"/>
        <v>0</v>
      </c>
      <c r="CE141">
        <f t="shared" si="268"/>
        <v>0</v>
      </c>
      <c r="CF141">
        <f t="shared" si="269"/>
        <v>0</v>
      </c>
      <c r="CG141">
        <f>IF(AX141="",0,_xlfn.LET(_xlpm.v,IFERROR(VLOOKUP(B141,УГО_спр,3,FALSE),IFERROR(VLOOKUP(AX141,УГО_спр,3,FALSE),IFERROR(VLOOKUP(LEFT(AX141,2),УГО_спр,3,FALSE),""))),IF(_xlpm.v="да",30,IF(ISNUMBER(_xlpm.v),_xlpm.v,0))))</f>
        <v>0</v>
      </c>
      <c r="CH141" t="str">
        <f t="shared" si="270"/>
        <v/>
      </c>
      <c r="CI141" t="str">
        <f>_xlfn.LET(_xlpm.k,IFERROR(_xlfn.XLOOKUP(AX141,Коды_код,Коды_утечка)&amp;"",""),IF(_xlpm.k="","дифавтомат",_xlpm.k))</f>
        <v>дифавтомат</v>
      </c>
      <c r="CJ141">
        <f t="shared" si="271"/>
        <v>0</v>
      </c>
      <c r="CK141">
        <f t="shared" si="272"/>
        <v>0</v>
      </c>
      <c r="CL141">
        <f>IF(B141="",0,IFERROR(--VLOOKUP(B141,УГО_спр,4,FALSE),IFERROR(--VLOOKUP(AX141,УГО_спр,4,FALSE),IFERROR(--VLOOKUP(LEFT(AX141,2),УГО_спр,4,FALSE),0))))</f>
        <v>0</v>
      </c>
      <c r="CM141" t="str">
        <f>IF(B141="","",IFERROR(_xlfn.XLOOKUP(AX141,Коды_код,Коды_апп)&amp;"",""))</f>
        <v/>
      </c>
      <c r="CN141" t="str">
        <f t="shared" si="273"/>
        <v/>
      </c>
      <c r="CO141" t="str" cm="1">
        <f t="array" ref="CO141">IF(TRIM(CN141&amp;"")="","",IFERROR(TRIM(INDEX(_xlfn.TEXTSPLIT(CN141&amp;";;;",";"),1)),""))</f>
        <v/>
      </c>
      <c r="CP141" t="str" cm="1">
        <f t="array" ref="CP141">IF(TRIM(CN141&amp;"")="","",IFERROR(TRIM(INDEX(_xlfn.TEXTSPLIT(CN141&amp;";;;",";"),2)),""))</f>
        <v/>
      </c>
      <c r="CQ141" t="str" cm="1">
        <f t="array" ref="CQ141">IF(TRIM(CN141&amp;"")="","",IFERROR(TRIM(INDEX(_xlfn.TEXTSPLIT(CN141&amp;";;;",";"),3)),""))</f>
        <v/>
      </c>
      <c r="CR141">
        <f t="shared" si="274"/>
        <v>0</v>
      </c>
      <c r="CS141" t="str">
        <f>IF(B141="","",_xlfn.LET(_xlpm.t,LOWER(AV141&amp;""),IF(ISNUMBER(SEARCH("dim",_xlpm.t)),"DIM",IF(ISNUMBER(SEARCH("dali",_xlpm.t)),"DALI",IF(OR(ISNUMBER(SEARCH("relay",_xlpm.t)),ISNUMBER(SEARCH("реле",_xlpm.t))),"Relay",IF(ISNUMBER(SEARCH("кнопк",_xlpm.t)),"",IFERROR(_xlfn.XLOOKUP(AX141,Коды_код,Коды_упр)&amp;"","")))))))</f>
        <v/>
      </c>
      <c r="CT141" t="str">
        <f t="shared" si="275"/>
        <v/>
      </c>
      <c r="CU141">
        <f>IF(B141="","",_xlfn.LET(_xlpm.ig,N(P141)+IF(AF141="вручную",0,N(CB141)),_xlpm.n0,IFERROR(VLOOKUP(_xlpm.ig,Автомат_номиналы,2,TRUE),0),_xlpm.mn,MAX(CL141,IF(AF141="вручную",0,N(CE141))),MAX(_xlpm.n0,_xlpm.mn,IF(CR141=1,Мин_автомат_БП,0))))</f>
        <v>6</v>
      </c>
      <c r="CV141">
        <f t="shared" si="276"/>
        <v>1</v>
      </c>
      <c r="CW141" t="str">
        <f t="shared" si="277"/>
        <v>1P</v>
      </c>
      <c r="CX141" t="str">
        <f>_xlfn.LET(_xlpm.cc,UPPER(TRIM(IFERROR(_xlfn.XLOOKUP(AX141,Коды_код,Коды_хар)&amp;"",""))),IF(OR(_xlpm.cc="B",_xlpm.cc="В"),"B",IF(_xlpm.cc="D","D","С")))</f>
        <v>С</v>
      </c>
      <c r="CY141" t="str">
        <f t="shared" si="278"/>
        <v>1P С6А</v>
      </c>
      <c r="CZ141" t="str">
        <f t="shared" si="279"/>
        <v>1P С6А</v>
      </c>
      <c r="DA141" t="str">
        <f t="shared" si="280"/>
        <v>1P С6А</v>
      </c>
      <c r="DB141" cm="1">
        <f t="array" ref="DB141">IF(DA141="","",_xlfn.LET(_xlpm.t,SUBSTITUTE(SUBSTITUTE(SUBSTITUTE(UPPER(DA141),"С","C"),"А","A"),"В","B"),_xlpm.tk,_xlfn.TEXTSPLIT(_xlpm.t,"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1" t="str">
        <f t="shared" si="281"/>
        <v>ok</v>
      </c>
      <c r="DD141">
        <f t="shared" si="282"/>
        <v>6</v>
      </c>
      <c r="DE141" t="str">
        <f t="shared" si="283"/>
        <v>1P С6А</v>
      </c>
      <c r="DF141">
        <f t="shared" si="284"/>
        <v>0</v>
      </c>
      <c r="DG141">
        <f t="shared" si="285"/>
        <v>0</v>
      </c>
      <c r="DH141">
        <f t="shared" si="286"/>
        <v>0</v>
      </c>
      <c r="DI141">
        <f t="shared" si="287"/>
        <v>0.87685072133174402</v>
      </c>
      <c r="DJ141">
        <f t="shared" si="288"/>
        <v>1</v>
      </c>
      <c r="DK141">
        <f>IF(ISNUMBER(AL141),AL141,К_прокл)</f>
        <v>1</v>
      </c>
      <c r="DL141">
        <f t="shared" si="289"/>
        <v>2</v>
      </c>
      <c r="DM141">
        <f>IFERROR(N(VLOOKUP(BT141,Кабель_обозначение,3,FALSE)),1)</f>
        <v>1</v>
      </c>
      <c r="DN141">
        <f>IFERROR(N(_xlfn.XLOOKUP(A141,Щиты[Щит],Щиты[ΔU до шин, %])),0)</f>
        <v>1.1399999999999999</v>
      </c>
      <c r="DO141" t="str">
        <f>IFERROR(_xlfn.XLOOKUP(A141,Щиты[Щит],Щиты[Zпетли на шинах, Ом]),"")</f>
        <v/>
      </c>
      <c r="DP141">
        <f>IFERROR(N(_xlfn.XLOOKUP(A141,Щиты[Щит],Щиты[ΔU до шин (подбор), %])),0)</f>
        <v>1.82</v>
      </c>
      <c r="DQ141" t="str">
        <f>IFERROR(_xlfn.XLOOKUP(A141,Щиты[Щит],Щиты[Zпетли на шинах (подбор), Ом]),"")</f>
        <v/>
      </c>
      <c r="DR141" t="str">
        <f t="shared" si="290"/>
        <v/>
      </c>
      <c r="DS141">
        <f t="shared" si="291"/>
        <v>30</v>
      </c>
      <c r="DT141">
        <f t="shared" si="292"/>
        <v>2</v>
      </c>
      <c r="DU141">
        <f t="shared" si="293"/>
        <v>0.6</v>
      </c>
      <c r="DV141" s="6">
        <f>IF(B141="","",IF(IFERROR(VLOOKUP(AX141,УГО_спр,2,FALSE),"")="Светильник",3,4)+IF(Методика="нормы 2026",MIN(0.5,MAX(0,N(Q141)-100)*0.005),0))</f>
        <v>4</v>
      </c>
      <c r="DW141" cm="1">
        <f t="array" ref="DW141">IF(OR(B141="",BT141="",DM141&lt;&gt;1),"",_xlfn.LET(_xlpm.sz,Iдоп_S,_xlpm.t_,CHOOSE(DL141,Iдоп_1ж,Iдоп_2ж,Iдоп_3ж)*DJ141*DK141,_xlpm.inn,N(DD141),_xlpm.smin,MAX(1.5,BW141),_xlpm.L_,N(Q141)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141)*(_xlpm.rho*_xlpm.L_/_xlpm.sz*N(BY141)+_xlpm.xx*_xlpm.L_*N(DU141)/1000)*N(P141)/((Uн_лин/SQRT(3))*1000)*100,999),_xlpm.kz,IF(OR(DG141=1,NOT(ISNUMBER(DQ141)),_xlpm.L_=0,_xlpm.inn=0),1,IFERROR(--(c_min*(Uн_лин*1000/SQRT(3))/(DQ141+2*ρкз_Cu*_xlpm.L_/_xlpm.sz)&gt;=GY141*_xlpm.inn),0)),_xlpm.ok,IFERROR((_xlpm.sz&gt;=_xlpm.smin)*(_xlpm.t_&gt;=_xlpm.inn)*IF(_xlpm.L_&gt;0,(_xlpm.du_+DP141&lt;=DV141+0.00001),1)*_xlpm.kz,0),_xlpm.r_,_xlfn._xlws.FILTER(_xlpm.sz,_xlpm.ok,"не подобрано"),INDEX(_xlpm.r_,1)))</f>
        <v>1.5</v>
      </c>
      <c r="DX141">
        <f t="shared" si="294"/>
        <v>1.5</v>
      </c>
      <c r="DY141" cm="1">
        <f t="array" ref="DY141">IF(OR(B141="",BT141="",DM141&lt;&gt;1),"",_xlfn.LET(_xlpm.sz,Iдоп_S,_xlpm.t_,CHOOSE(DL141,Iдоп_1ж,Iдоп_2ж,Iдоп_3ж)*DJ141*DK141,_xlpm.ok,IFERROR((_xlpm.sz&gt;=MAX(1.5,BW141))*(_xlpm.t_&gt;=N(DD141)),0),_xlpm.r_,_xlfn._xlws.FILTER(_xlpm.sz,_xlpm.ok,""),INDEX(_xlpm.r_,1)))</f>
        <v>1.5</v>
      </c>
      <c r="DZ141" s="6" cm="1">
        <f t="array" ref="DZ141">IFERROR(ROUNDUP(N(DT141)*(_xlfn.XLOOKUP(DY141,INDEX(Кабель_сопротивление,0,1),INDEX(Кабель_сопротивление,0,3))*N(Q141)/DY141*N(BY141)+_xlfn.XLOOKUP(DY141,INDEX(Кабель_сопротивление,0,1),INDEX(Кабель_сопротивление,0,2))*N(Q141)*N(DU141)/1000)*N(P141)/((Uн_лин/SQRT(3))*1000)*100,2),"")</f>
        <v>0.3</v>
      </c>
      <c r="EA141">
        <f>IFERROR(2*ρкз_Cu*N(Q141)/DY141,"")</f>
        <v>1.1221333333333334</v>
      </c>
      <c r="EB141">
        <f>IFERROR(VLOOKUP(DX141,Кабель_сопротивление,3,FALSE),"")</f>
        <v>2.2499999999999999E-2</v>
      </c>
      <c r="EC141">
        <f>IFERROR(VLOOKUP(DX141,Кабель_сопротивление,2,FALSE),"")</f>
        <v>0.11</v>
      </c>
      <c r="ED141">
        <f t="shared" si="295"/>
        <v>28</v>
      </c>
      <c r="EE141">
        <f t="shared" si="296"/>
        <v>0</v>
      </c>
      <c r="EF141">
        <f t="shared" si="297"/>
        <v>0.67712517142968476</v>
      </c>
      <c r="EG141" s="6">
        <f>IFERROR(ROUNDUP(EF141/((Uн_лин/SQRT(3))*1000)*100,2),"")</f>
        <v>0.3</v>
      </c>
      <c r="EH141" t="str">
        <f>IFERROR(VLOOKUP(BT141,Кабель_обозначение,2,FALSE),"")</f>
        <v>ВВГнг(А)-LS</v>
      </c>
      <c r="EI141" t="str">
        <f t="shared" si="298"/>
        <v>ВВГнг(А)-LS (3х1,5)</v>
      </c>
      <c r="EJ141" t="str">
        <f t="shared" si="299"/>
        <v>ВВГнг(А)-LS (3х1,5)
L=32-0,3%</v>
      </c>
      <c r="EK141">
        <f>IFERROR(2*ρкз_Cu*Q141/DX141,"")</f>
        <v>1.1221333333333334</v>
      </c>
      <c r="EL141">
        <f t="shared" si="300"/>
        <v>0.37333333333333335</v>
      </c>
      <c r="EM141" s="6" t="str">
        <f>IFERROR(IF(OR(B141="",NOT(ISNUMBER(DX141)),N(Q141)=0),"",_xlfn.XLOOKUP(A141,Щиты[Щит],Щиты[Zпетли на шинах, Ом])+EK141),"")</f>
        <v/>
      </c>
      <c r="EN141" s="6" t="str">
        <f>IF(ISNUMBER(EM141),c_min*(Uн_лин*1000/SQRT(3))/EM141,"")</f>
        <v/>
      </c>
      <c r="EO141" s="6" t="str">
        <f>IFERROR(IF(OR(B141="",NOT(ISNUMBER(DX141))),"",1.05*(Uн_лин*1000/SQRT(3))/(_xlfn.XLOOKUP(A141,Щиты[Щит],Щиты[Zmax на шинах, Ом])+EL141)/1000),"")</f>
        <v/>
      </c>
      <c r="EP141" s="6" t="str">
        <f>IF(B141="","",IF(ISNUMBER(Y141),"Сил",IF(IFERROR(_xlfn.XLOOKUP(AX141,Коды_код,Коды_группа)&amp;"","")="","Быт",_xlfn.XLOOKUP(AX141,Коды_код,Коды_группа)&amp;"")))</f>
        <v>Сил</v>
      </c>
      <c r="EQ141" s="6" t="str">
        <f t="shared" si="301"/>
        <v>Сил</v>
      </c>
      <c r="ER141" s="6">
        <f>IF(EQ141="Щит","щит",IF(EQ141="","",IF(EQ141="Быт",IFERROR(_xlfn.XLOOKUP(A141,Щиты[Щит],Щиты[Кс быт]),1),IF(EQ141="Сил",IF(ISNUMBER(Y141),Y141,IF(Методика="нормы 2026",IFERROR(_xlfn.XLOOKUP(A141,Щиты[Щит],Щиты[Кс силовых (табл. 7.5)]),1),1)),IF(OR(EQ141="Пост",EQ141="Отоп"),1,IF(EQ141="ВНГ",0.7,0))))))</f>
        <v>0.5</v>
      </c>
      <c r="ES141">
        <f t="shared" si="302"/>
        <v>1</v>
      </c>
      <c r="ET141">
        <f t="shared" si="303"/>
        <v>0.16200000000000001</v>
      </c>
      <c r="EU141">
        <f t="shared" si="304"/>
        <v>0</v>
      </c>
      <c r="EV141">
        <f t="shared" si="305"/>
        <v>8.1000000000000003E-2</v>
      </c>
      <c r="EW141">
        <f t="shared" si="306"/>
        <v>0</v>
      </c>
      <c r="EX141">
        <f t="shared" si="307"/>
        <v>0</v>
      </c>
      <c r="EY141">
        <f t="shared" si="308"/>
        <v>0</v>
      </c>
      <c r="EZ141">
        <f t="shared" si="309"/>
        <v>0.16200000000000001</v>
      </c>
      <c r="FA141">
        <f t="shared" si="310"/>
        <v>0.12960000000000002</v>
      </c>
      <c r="FB141">
        <f t="shared" si="311"/>
        <v>0.16200000000000001</v>
      </c>
      <c r="FC141" t="str">
        <f t="shared" si="312"/>
        <v>L1</v>
      </c>
      <c r="FD141" t="str">
        <f>IF(B141="","",IF(CA141=0,IF(AW141=1,"",FF140),IF(OR(N(CV141)&gt;=3,N(BR141)&gt;=3),"L1,L2,L3",IFERROR(_xlfn.TEXTBEFORE(_xlfn.TEXTAFTER(_xlfn.XLOOKUP(A141,Щиты[Щит],Щиты[_фазы авто]),";"&amp;AW141&amp;":"),";"),"L1"))))</f>
        <v>L1</v>
      </c>
      <c r="FE141" t="str">
        <f t="shared" si="313"/>
        <v>L1</v>
      </c>
      <c r="FF141" t="str">
        <f t="shared" si="314"/>
        <v>L1</v>
      </c>
      <c r="FG141" cm="1">
        <f t="array" ref="FG141">IFERROR(IF(BX141=2,_xlfn.IFS(BR141=3,VLOOKUP(BN141,Справочная_двигатели,3,FALSE),BR141=1,VLOOKUP(BN141,Справочная_двигатели,5,TRUE)),0),0)</f>
        <v>0</v>
      </c>
      <c r="FH141">
        <f>IFERROR(IF(BX141=3,VLOOKUP(BN141,Справочная_ЛЭД,2,TRUE),0),0)</f>
        <v>0</v>
      </c>
      <c r="FI141" s="6">
        <f t="shared" si="315"/>
        <v>0</v>
      </c>
      <c r="FJ141" t="str" cm="1">
        <f t="array" ref="FJ141">IF(B141="","",IFERROR(INDEX({"I особая","I","II","III"},MATCH(TRIM(AC141&amp;""),{"I особая","I","II","III"},0)),"III"))</f>
        <v>II</v>
      </c>
      <c r="FK141" t="str">
        <f>IF(B141="","",IF(TRIM(AD141&amp;"")&lt;&gt;"",IF(LOWER(TRIM(AD141&amp;""))="да","да","нет"),IF(IFERROR(_xlfn.XLOOKUP(AX141,Коды_код,Коды_пожарная),"")="да","да","нет")))</f>
        <v>нет</v>
      </c>
      <c r="FL141" t="str">
        <f t="shared" si="316"/>
        <v/>
      </c>
      <c r="FM141" t="str">
        <f t="shared" si="317"/>
        <v>основная</v>
      </c>
      <c r="FN141">
        <f t="shared" si="318"/>
        <v>1</v>
      </c>
      <c r="FO141" t="str" cm="1">
        <f t="array" ref="FO141">IF(B141="","",_xlfn.LET(_xlpm.t,IFERROR(_xlfn.XLOOKUP(1,(Шины[Шина]=FM141)*(((Шины[Щит]=A141)+(Шины[Щит]=""))&gt;0),Шины[Тип]),"")&amp;"",IF(_xlpm.t&lt;&gt;"",_xlpm.t,IF(ISNUMBER(SEARCH("ИБП",FM141)),"ИБП",IF(ISNUMBER(SEARCH("ДГУ",FM141)),"ДГУ","Ввод "&amp;FN141)))))</f>
        <v>Ввод 1</v>
      </c>
      <c r="FP141" t="str">
        <f t="shared" si="319"/>
        <v>Ввод 1</v>
      </c>
      <c r="FQ141" t="str">
        <f>IF(B141="","",IF(OR(FO141="ИБП",FO141="ДГУ"),"I особая",IF(FO141="Одиночная","III",_xlfn.XLOOKUP(A141,Щиты[Щит],Щиты[Категория шины «Ввод»],"III"))))</f>
        <v>II</v>
      </c>
      <c r="FR141">
        <f>IF(B141="",0,IFERROR(MATCH(FJ141,{"III","II","I","I особая"},0),1))</f>
        <v>2</v>
      </c>
      <c r="FS141">
        <f t="shared" si="320"/>
        <v>2</v>
      </c>
      <c r="FT141" t="str">
        <f>IF(B141="","",IF(FR141&gt;IFERROR(MATCH(FQ141,{"III","II","I","I особая"},0),1),"НЕ ОБЕСПЕЧЕНА","ОК"))</f>
        <v>ОК</v>
      </c>
      <c r="FU141" t="str">
        <f>IF(A141="","",_xlfn.XLOOKUP(A141,Щиты[Щит],Щиты[Путь],""))</f>
        <v>|ГРЩ-ЖД|ЩОВ-2|</v>
      </c>
      <c r="FV141" t="str">
        <f>IF(B141="","",IF(AE141&lt;&gt;"",AE141,IF(IFERROR(_xlfn.XLOOKUP(AX141,Коды_код,Коды_вид)&amp;"","")="","Прочее",_xlfn.XLOOKUP(AX141,Коды_код,Коды_вид)&amp;"")))</f>
        <v>Кондиционирование и увлажнение</v>
      </c>
      <c r="FW141">
        <f>IF(BH141="","",INT((BH141-1)/Столбцов_на_лист)+1)</f>
        <v>2</v>
      </c>
      <c r="FX141" t="str">
        <f t="shared" si="321"/>
        <v>ВВГнг(А)-LS (3х1,5) L=32-0,3%</v>
      </c>
      <c r="FY141">
        <f t="shared" si="322"/>
        <v>0.16200000000000001</v>
      </c>
      <c r="FZ141">
        <f t="shared" si="323"/>
        <v>0.88</v>
      </c>
      <c r="GA141">
        <f t="shared" si="324"/>
        <v>1</v>
      </c>
      <c r="GB141">
        <f t="shared" si="325"/>
        <v>0</v>
      </c>
      <c r="GC141">
        <f t="shared" si="326"/>
        <v>1</v>
      </c>
      <c r="GD141">
        <f>IF(BH141="","",IF(AND(CA141=1,GC141=1),COUNTIFS(A$3:A141,A141,CA$3:CA141,1,GC$3:GC141,1),IF(OR(OR(AW141=1,A141&lt;&gt;A140),AF141="вручную",GC141=0),"",IF(AW141=1,"",GE140))))</f>
        <v>11</v>
      </c>
      <c r="GE141">
        <f t="shared" si="327"/>
        <v>11</v>
      </c>
      <c r="GF141">
        <f>IF(B141="","",IFERROR(LOOKUP(INDEX(CHOOSE(DL141,Iдоп_1ж,Iдоп_2ж,Iдоп_3ж),MATCH(DX141,Iдоп_S,0))*DJ141*DK141,{6,10,16,20,25,32,40,50,63,80,100,125,160,200,250,315,400,500,630}),""))</f>
        <v>16</v>
      </c>
      <c r="GG141" t="str">
        <f t="shared" si="328"/>
        <v>QF11</v>
      </c>
      <c r="GH141" t="str">
        <f t="shared" si="329"/>
        <v>QF11</v>
      </c>
      <c r="GI141" t="str">
        <f t="shared" si="330"/>
        <v/>
      </c>
      <c r="GJ141">
        <f t="shared" si="331"/>
        <v>0</v>
      </c>
      <c r="GK141" t="str">
        <f>IF(OR(AG141="",AG141="-"),"",IFERROR(VLOOKUP(AG141,Модули_спр,2,FALSE),"R"))</f>
        <v/>
      </c>
      <c r="GL141" t="str">
        <f>IF(GK141="","",GK141&amp;"."&amp;COUNTIFS(A$3:A141,A141,GK$3:GK141,GK141))</f>
        <v/>
      </c>
      <c r="GM141" t="str">
        <f t="shared" si="332"/>
        <v/>
      </c>
      <c r="GN141" t="str">
        <f t="shared" si="333"/>
        <v/>
      </c>
      <c r="GO141" t="str">
        <f t="shared" si="334"/>
        <v/>
      </c>
      <c r="GP141" t="str">
        <f t="shared" si="335"/>
        <v/>
      </c>
      <c r="GQ141">
        <f t="shared" si="336"/>
        <v>1</v>
      </c>
      <c r="GR141" t="str">
        <f>IF(GQ141=1,"XT"&amp;COUNTIFS(A$3:A141,A141,GQ$3:GQ141,1),"")</f>
        <v>XT11</v>
      </c>
      <c r="GS141" t="str">
        <f t="shared" si="337"/>
        <v/>
      </c>
      <c r="GT141" t="str">
        <f t="shared" si="338"/>
        <v>QF11</v>
      </c>
      <c r="GU141" t="str">
        <f t="shared" si="339"/>
        <v/>
      </c>
      <c r="GV141" t="str">
        <f t="shared" si="340"/>
        <v>ok</v>
      </c>
      <c r="GW141" t="str">
        <f>IF(OR(GO141="",GM141=""),"",IF(GO141&gt;IFERROR(VLOOKUP(GN141,Модули_спр,3,FALSE),99),"ЛИШНИЙ КАНАЛ",IF(AND(AH141&lt;&gt;"=",COUNTIFS(Линии[_модуль гр.],GM141,Линии[Канал (итог)],GO141,Линии[Канал],"&lt;&gt;=",Линии[Щит],A141)&gt;1),"ДУБЛЬ КАНАЛА","")))</f>
        <v/>
      </c>
      <c r="GX141" s="6" t="str">
        <f t="shared" si="341"/>
        <v/>
      </c>
      <c r="GY141">
        <f t="shared" si="342"/>
        <v>10</v>
      </c>
      <c r="GZ141" t="str">
        <f t="shared" si="343"/>
        <v/>
      </c>
      <c r="HA141" t="str">
        <f>IF(AND(B141="",GT141=""),"",_xlfn.TEXTJOIN("; ",TRUE,IF(AND(B141&lt;&gt;"",FE141=""),"нет фазы",""),IF(AND(B141&lt;&gt;"",N(FY141)=0,EQ141&lt;&gt;"Нет"),"нет мощности",""),IF(AND(GS141&lt;&gt;"",COUNTIFS(Линии[Щит],A141,Линии[Клемма (итог)],GS141)&gt;1),"дубль клеммы "&amp;GS141,""),IF(AND(GV141&lt;&gt;"",GV141&lt;&gt;"ok"),GV141,""),IF(GW141&lt;&gt;"",GW141,""),IF(AND(N(BV141)&gt;=4,N(BR141)=1),BV141&amp;" жил на 1 фазе",""),IF(AND(AX141="R",CA141=1,OR(N(CK141)=0,N(CK141)&gt;30)),"розетка без дифзащиты до 30 мА",""),IFERROR(IF(AND(ISNUMBER(R141),R141&gt;DV141),"потери "&amp;FIXED(R141,1)&amp;" % &gt; "&amp;DV141&amp;" %",""),""),IFERROR(IF(LEFT(GZ141,4)="мало","Iкз мало — отключение &gt; 0,4 с",""),""),IF(AND(B141&lt;&gt;"",BH141=""),"не на схеме",""),IF(AND(CA141=0,B141&lt;&gt;"",FE141&lt;&gt;"",IF(AW141=1,"",FF140)&lt;&gt;"",FE141&lt;&gt;IF(AW141=1,"",FF140)),"фаза не как у автомата группы ("&amp;IF(AW141=1,"",FF140)&amp;")","")))</f>
        <v/>
      </c>
      <c r="HB141" s="6" t="str">
        <f>IF(OR(CA141=0,DA141=""),"",_xlfn.LET(_xlpm.t,IFERROR(_xlfn.XLOOKUP(DA141,Каталог!$U$4:$U$500,Каталог!$G$4:$G$500),""),_xlpm.k,SEARCH("кА",_xlpm.t),IFERROR(--TRIM(RIGHT(SUBSTITUTE(MID(_xlpm.t,MAX(1,_xlpm.k-4),_xlpm.k-MAX(1,_xlpm.k-4))," ",REPT(" ",9)),5)),"")))</f>
        <v/>
      </c>
      <c r="HC141" t="str">
        <f>IF(OR(HB141="",CA141=0),"",IF(_xlfn.XLOOKUP(A141,Щиты[Щит],Щиты[Iкз max на шинах, кА],"")="","",IF(HB141&lt;_xlfn.XLOOKUP(A141,Щиты[Щит],Щиты[Iкз max на шинах, кА]),"Icu "&amp;HB141&amp;" кА &lt; Iкз max","ok")))</f>
        <v/>
      </c>
      <c r="HD141" t="str">
        <f t="shared" si="344"/>
        <v/>
      </c>
      <c r="HE141" t="str">
        <f t="shared" si="345"/>
        <v>QF11</v>
      </c>
      <c r="HF141" t="str">
        <f t="shared" si="346"/>
        <v>QF11|кабель ВВГнг(А)-LS (3х1,5) → Внутренний блок кондиционирования Технический этаж Пом. №003Т</v>
      </c>
      <c r="HG141" t="str" cm="1">
        <f t="array" ref="HG141">IF(HF141="","",_xlfn.LET(_xlpm.nd,_xlfn.TEXTSPLIT(HF141,"|"),IF(COLUMNS(_xlpm.nd)&gt;1,A141&amp;"¦"&amp;INDEX(_xlpm.nd,1)&amp;"¦"&amp;INDEX(_xlpm.nd,2),"")))</f>
        <v>ЩОВ-2¦QF11¦кабель ВВГнг(А)-LS (3х1,5) → Внутренний блок кондиционирования Технический этаж Пом. №003Т</v>
      </c>
      <c r="HH141" t="str">
        <f t="shared" si="347"/>
        <v>K.2.019A¦Внутренний блок кондиционирования Технический этаж Пом. №003Т</v>
      </c>
      <c r="HI141" t="str" cm="1">
        <f t="array" ref="HI141">IF(HF141="","",_xlfn.LET(_xlpm.nd,_xlfn.TEXTSPLIT(HF141,"|"),IF(COLUMNS(_xlpm.nd)&gt;2,A141&amp;"¦"&amp;INDEX(_xlpm.nd,2)&amp;"¦"&amp;INDEX(_xlpm.nd,3),"")))</f>
        <v/>
      </c>
      <c r="HJ141" t="str">
        <f t="shared" si="348"/>
        <v/>
      </c>
      <c r="HK141" t="str" cm="1">
        <f t="array" ref="HK141">IF(HF141="","",_xlfn.LET(_xlpm.nd,_xlfn.TEXTSPLIT(HF141,"|"),IF(COLUMNS(_xlpm.nd)&gt;3,A141&amp;"¦"&amp;INDEX(_xlpm.nd,3)&amp;"¦"&amp;INDEX(_xlpm.nd,4),"")))</f>
        <v/>
      </c>
      <c r="HL141" t="str">
        <f t="shared" si="349"/>
        <v/>
      </c>
      <c r="HM141" t="str" cm="1">
        <f t="array" ref="HM141">IF(HF141="","",_xlfn.LET(_xlpm.nd,_xlfn.TEXTSPLIT(HF141,"|"),IF(COLUMNS(_xlpm.nd)&gt;4,A141&amp;"¦"&amp;INDEX(_xlpm.nd,4)&amp;"¦"&amp;INDEX(_xlpm.nd,5),"")))</f>
        <v/>
      </c>
      <c r="HN141" t="str">
        <f t="shared" si="350"/>
        <v/>
      </c>
      <c r="HO141" t="str" cm="1">
        <f t="array" ref="HO141">IF(HF141="","",_xlfn.LET(_xlpm.nd,_xlfn.TEXTSPLIT(HF141,"|"),IF(COLUMNS(_xlpm.nd)&gt;5,A141&amp;"¦"&amp;INDEX(_xlpm.nd,5)&amp;"¦"&amp;INDEX(_xlpm.nd,6),"")))</f>
        <v/>
      </c>
      <c r="HP141" t="str">
        <f t="shared" si="351"/>
        <v/>
      </c>
      <c r="HQ141" t="str" cm="1">
        <f t="array" ref="HQ141">IF(HF141="","",_xlfn.LET(_xlpm.nd,_xlfn.TEXTSPLIT(HF141,"|"),IF(COLUMNS(_xlpm.nd)&gt;6,A141&amp;"¦"&amp;INDEX(_xlpm.nd,6)&amp;"¦"&amp;INDEX(_xlpm.nd,7),"")))</f>
        <v/>
      </c>
      <c r="HR141" t="str">
        <f t="shared" si="352"/>
        <v/>
      </c>
      <c r="HS141" t="str">
        <f t="shared" si="353"/>
        <v/>
      </c>
      <c r="HT141" t="str">
        <f t="shared" si="354"/>
        <v>QF11</v>
      </c>
      <c r="HU141">
        <f t="shared" si="355"/>
        <v>0</v>
      </c>
      <c r="HV141">
        <f t="shared" si="356"/>
        <v>0</v>
      </c>
      <c r="HW141" t="str">
        <f t="shared" si="357"/>
        <v/>
      </c>
      <c r="HX141" t="str">
        <f t="shared" si="358"/>
        <v/>
      </c>
      <c r="HY141" t="str">
        <f t="shared" si="359"/>
        <v/>
      </c>
      <c r="HZ141" t="str">
        <f t="shared" si="360"/>
        <v/>
      </c>
      <c r="IA141">
        <f>IF(B141="","",IFERROR(VLOOKUP(B141,УГО_спр,2,FALSE),IFERROR(VLOOKUP(AX141,УГО_спр,2,FALSE),IFERROR(VLOOKUP(LEFT(AX141,2),УГО_спр,2,FALSE),""))))</f>
        <v>0</v>
      </c>
      <c r="IB141" t="str">
        <f>IF(B141="","",IF(OR(IA141="",IA141=0),"BOX",IFERROR(IF(VLOOKUP(IA141,УГО_блоки,3,FALSE)&amp;""&lt;&gt;"",VLOOKUP(IA141,УГО_блоки,3,FALSE),VLOOKUP(IA141,УГО_блоки,2,FALSE)),IA141)))</f>
        <v>BOX</v>
      </c>
      <c r="IC141">
        <f t="shared" si="361"/>
        <v>1</v>
      </c>
      <c r="ID141" t="str">
        <f>IF(DA141="","",IF(COUNTIF(DA$3:DA141,DA141)=1,MAX(ID$2:ID140)+1,""))</f>
        <v/>
      </c>
      <c r="IE141" t="str">
        <f>IF(CO141="","",IF(COUNTIF(CO$3:CO141,CO141)+COUNTIF(CP$2:CP140,CO141)+COUNTIF(CQ$2:CQ140,CO141)=1,MAX(IE$2:IG140)+1,""))</f>
        <v/>
      </c>
      <c r="IF141" t="str">
        <f>IF(CP141="","",IF(COUNTIF(CO$3:CO141,CP141)+COUNTIF(CP$3:CP141,CP141)+COUNTIF(CQ$2:CQ140,CP141)=1,MAX(IE$2:IG140,IE141)+1,""))</f>
        <v/>
      </c>
      <c r="IG141" t="str">
        <f>IF(CQ141="","",IF(COUNTIF(CO$3:CO141,CQ141)+COUNTIF(CP$3:CP141,CQ141)+COUNTIF(CQ$3:CQ141,CQ141)=1,MAX(IE$2:IG140,IE141,IF141)+1,""))</f>
        <v/>
      </c>
      <c r="IH141" t="str">
        <f t="shared" si="362"/>
        <v>3х1,5</v>
      </c>
      <c r="II141" t="str">
        <f>IF(IH141="","",IF(COUNTIF(IH$3:IH141,IH141)=1,MAX(II$2:II140)+1,""))</f>
        <v/>
      </c>
      <c r="IJ141" t="str">
        <f>IF(GL141="","",COUNTIF(GL$3:GL141,"?*"))</f>
        <v/>
      </c>
      <c r="IK141" t="str">
        <f>IF(OR(GL141="",GN141=""),"",IF(COUNTIFS(GL$3:GL141,"?*",GN$3:GN141,GN141)=1,MAX(IK$2:IK140)+1,""))</f>
        <v/>
      </c>
      <c r="IL141">
        <f t="shared" si="363"/>
        <v>0</v>
      </c>
      <c r="IM141">
        <f>IF(B141="","",COUNTIF(B$3:B141,"?*"))</f>
        <v>139</v>
      </c>
      <c r="IN141">
        <f>IF(GQ141&lt;&gt;1,0,_xlfn.LET(_xlpm.k,MAX(IFERROR(--VLOOKUP(B141,УГО_спр,5,FALSE),0),IFERROR(--VLOOKUP(AX141,УГО_спр,5,FALSE),0),IFERROR(--VLOOKUP(LEFT(AX141,2),УГО_спр,5,FALSE),0)),IF(_xlpm.k&gt;0,_xlpm.k,IF(IFERROR(--LEFT(SUBSTITUTE(IH141,"x","х"),FIND("х",SUBSTITUTE(IH141,"x","х"))-1),3)&gt;3,Каталог!$S$9,1))))</f>
        <v>1</v>
      </c>
      <c r="IO141">
        <f t="shared" si="364"/>
        <v>0</v>
      </c>
      <c r="IP141" t="str">
        <f t="shared" si="365"/>
        <v>авто</v>
      </c>
      <c r="IQ141" t="str">
        <f t="shared" si="366"/>
        <v/>
      </c>
      <c r="IR141">
        <f t="shared" si="367"/>
        <v>0</v>
      </c>
      <c r="IS141">
        <f t="shared" si="368"/>
        <v>1</v>
      </c>
    </row>
    <row r="142" spans="1:253" x14ac:dyDescent="0.3">
      <c r="A142" t="s">
        <v>753</v>
      </c>
      <c r="B142" t="s">
        <v>1410</v>
      </c>
      <c r="C142" t="s">
        <v>1646</v>
      </c>
      <c r="D142">
        <v>1</v>
      </c>
      <c r="E142">
        <v>2.7E-2</v>
      </c>
      <c r="G142" t="str">
        <f>Линии[[#This Row],[_авто автомат]]</f>
        <v>1P С6А</v>
      </c>
      <c r="H142" t="str">
        <f>Линии[[#This Row],[_авто утечка]]</f>
        <v/>
      </c>
      <c r="I142" t="str">
        <f>Линии[[#This Row],[_авто управление]]</f>
        <v/>
      </c>
      <c r="J142" t="str">
        <f>Линии[[#This Row],[_авто аппараты]]</f>
        <v/>
      </c>
      <c r="K142">
        <v>1.5</v>
      </c>
      <c r="L142">
        <v>33</v>
      </c>
      <c r="M142" t="str">
        <f>Линии[[#This Row],[_авто фаза]]</f>
        <v>L2</v>
      </c>
      <c r="N142" t="s">
        <v>486</v>
      </c>
      <c r="O142" t="str">
        <f t="shared" si="246"/>
        <v/>
      </c>
      <c r="P142" s="6" cm="1">
        <f t="array" ref="P142">IF(B142="","",IF(BC142&lt;&gt;"",IFERROR(_xlfn.XLOOKUP(BC142,Щиты[Щит],Щиты[Iр, А]),""),IF(BK142=1,IFERROR(_xlfn.XLOOKUP(A142,Щиты[Щит],Щиты[Iр, А]),""),IFERROR(_xlfn.IFS(BR142=1,BN142/((Uн_лин/SQRT(3))*BY142),BR142=3,BN142/(SQRT(3)*Uн_лин*BY142)),""))))</f>
        <v>0.146141786888624</v>
      </c>
      <c r="Q142" s="7">
        <f>IF(B142="","",IFERROR(IF(VLOOKUP(AX142,Потребители_обозначение,4,FALSE)=1,VLOOKUP(AX142,Потребители_обозначение,3,FALSE)*(D142*2-1)+DS142+VLOOKUP(AZ142,Этаж_обозначение,3,FALSE)+VLOOKUP(AZ142,Этаж_обозначение,4,FALSE),VLOOKUP(AX142,Потребители_обозначение,3,FALSE)*(D142*2-1)+DS142),DS142))</f>
        <v>35</v>
      </c>
      <c r="R142" s="6">
        <f t="shared" si="247"/>
        <v>1.2</v>
      </c>
      <c r="S142" t="str">
        <f t="shared" si="248"/>
        <v>ВВГнг(А)-LS (3х1,5)</v>
      </c>
      <c r="T142" t="str">
        <f>IF(BH142="","",IF(BI142="вводной узел","узел ","")&amp;"л."&amp;(INT((BH142-1)/Столбцов_на_лист)+1)&amp;" / "&amp;(MOD(BH142-1,Столбцов_на_лист)+1))</f>
        <v>л.2 / 14</v>
      </c>
      <c r="V142">
        <v>1</v>
      </c>
      <c r="W142">
        <v>230</v>
      </c>
      <c r="X142" t="s">
        <v>600</v>
      </c>
      <c r="Y142">
        <v>0.5</v>
      </c>
      <c r="AC142" t="s">
        <v>815</v>
      </c>
      <c r="AE142" t="s">
        <v>578</v>
      </c>
      <c r="AI142">
        <v>31</v>
      </c>
      <c r="AJ142" t="s">
        <v>11</v>
      </c>
      <c r="AK142">
        <v>3</v>
      </c>
      <c r="AM142">
        <v>4</v>
      </c>
      <c r="AN142">
        <v>31</v>
      </c>
      <c r="AP142">
        <v>1</v>
      </c>
      <c r="AW142" cm="1">
        <f t="array" ref="AW142">ROW()-ROW(Линии[#Headers])</f>
        <v>140</v>
      </c>
      <c r="AX142" s="6" t="str">
        <f t="shared" si="249"/>
        <v>K</v>
      </c>
      <c r="AY142" t="str">
        <f t="shared" si="250"/>
        <v>3.002Б</v>
      </c>
      <c r="AZ142" t="str">
        <f t="shared" si="251"/>
        <v>3</v>
      </c>
      <c r="BA142" t="str">
        <f t="shared" si="252"/>
        <v>002Б</v>
      </c>
      <c r="BB142" t="str">
        <f t="shared" si="253"/>
        <v>002Б</v>
      </c>
      <c r="BC142" t="str">
        <f>IF(U142&lt;&gt;"",U142,IF(AND(B142&lt;&gt;"",B142&lt;&gt;A142,ISNUMBER(_xlfn.XMATCH(B142,Щиты[Щит]))),B142,""))</f>
        <v/>
      </c>
      <c r="BD142" t="str" cm="1">
        <f t="array" ref="BD142">IF(B142="","",IF(BC142&lt;&gt;"","Щит "&amp;BC142,_xlfn.LET(_xlpm.nm,IFERROR(_xlfn.XLOOKUP(AX142,Коды_код,Коды_имя)&amp;"",""),_xlpm.md,IFERROR(N(_xlfn.XLOOKUP(AX142,Коды_код,Коды_режим)),1),_xlpm.ex,IF(Имя_режим="по экспликации",IFERROR(_xlfn.XLOOKUP(AZ142&amp;"|"&amp;BB142,Экспликация[Этаж]&amp;"|"&amp;Экспликация[Помещение],Экспликация[Название])&amp;"",""),""),_xlpm.rm,IF(BB142="","",IF(_xlpm.ex&lt;&gt;"",". "&amp;_xlpm.ex&amp;IF(Имя_пом="нет"," ("&amp;BB142&amp;")"," (пом. "&amp;BB142&amp;")"),IF(Имя_пом="нет"," ",", пом. ")&amp;BB142)),IF(_xlpm.nm="","",IF(_xlpm.md=2,_xlpm.nm&amp;" шлейф "&amp;AZ142,_xlpm.nm&amp;_xlpm.rm)))))</f>
        <v>Внутренний блок кондиционирования, пом. 002Б</v>
      </c>
      <c r="BE142" t="str">
        <f t="shared" si="254"/>
        <v>Внутренний блок кондиционирования Технический этаж Пом. №003Т</v>
      </c>
      <c r="BF142">
        <f>IFERROR(_xlfn.XMATCH(A142,Щиты[Щит]),0)</f>
        <v>7</v>
      </c>
      <c r="BG142">
        <f>_xlfn.LET(_xlpm.k,IFERROR(_xlfn.XLOOKUP(A142,Щиты[Щит],Щиты[Листов под вводной узел]),""),IF(_xlpm.k="",1,N(_xlpm.k))*Столбцов_на_лист)</f>
        <v>17</v>
      </c>
      <c r="BH142">
        <f t="shared" si="255"/>
        <v>31</v>
      </c>
      <c r="BI142" t="str">
        <f t="shared" si="256"/>
        <v>линии</v>
      </c>
      <c r="BJ142" s="6">
        <f>IFERROR(N(_xlfn.XLOOKUP(AX142,Коды_код,Коды_квт)),0)</f>
        <v>0</v>
      </c>
      <c r="BK142">
        <f t="shared" si="257"/>
        <v>0</v>
      </c>
      <c r="BL142" t="str">
        <f>IF(B142="","",IF(BC142&lt;&gt;"",IFERROR(_xlfn.XLOOKUP(BC142,Щиты[Щит],Щиты[Руст, кВт]),0),IF(BK142=1,IFERROR(_xlfn.XLOOKUP(A142,Щиты[Щит],Щиты[Руст, кВт]),0),IF(BJ142&gt;0,ROUND(BJ142*MAX(1,N(D142)),3),""))))</f>
        <v/>
      </c>
      <c r="BM142">
        <f t="shared" si="258"/>
        <v>2.7E-2</v>
      </c>
      <c r="BN142" s="6">
        <f>IF(B142="","",IF(BC142&lt;&gt;"",IFERROR(_xlfn.XLOOKUP(BC142,Щиты[Щит],Щиты[Руст, кВт]),0),N(BM142)))</f>
        <v>2.7E-2</v>
      </c>
      <c r="BO142" t="str">
        <f>IF(B142="","",IFERROR(IF(VLOOKUP(AX142,Потребители_обозначение,8,FALSE)=0,"",VLOOKUP(AX142,Потребители_обозначение,8,FALSE)),""))</f>
        <v/>
      </c>
      <c r="BP142">
        <f t="shared" si="259"/>
        <v>230</v>
      </c>
      <c r="BQ142">
        <f>IF(B142="","",IF(BC142&lt;&gt;"",3,IFERROR(IF(N(VLOOKUP(AX142,Потребители_обозначение,9,FALSE))=0,1,VLOOKUP(AX142,Потребители_обозначение,9,FALSE)),1)))</f>
        <v>1</v>
      </c>
      <c r="BR142">
        <f t="shared" si="260"/>
        <v>1</v>
      </c>
      <c r="BS142" t="str">
        <f>IF(B142="","",_xlfn.LET(_xlpm.bc,IFERROR(IF(VLOOKUP(AX142,Потребители_обозначение,6,FALSE)=0,"",VLOOKUP(AX142,Потребители_обозначение,6,FALSE)&amp;""),""),IF(AND(FK142="да",OR(_xlpm.bc="",_xlpm.bc="мс")),Марка_пож,IF(AND(_xlpm.bc="",BC142&lt;&gt;""),"мс",_xlpm.bc))))</f>
        <v/>
      </c>
      <c r="BT142" t="str">
        <f t="shared" si="261"/>
        <v>мс</v>
      </c>
      <c r="BU142">
        <f>IF(B142="","",_xlfn.LET(_xlpm.cc,IFERROR(N(VLOOKUP(AX142,Потребители_обозначение,7,FALSE)),0),IF(_xlpm.cc&gt;0,_xlpm.cc,IF(BT142="","",IF(N(BR142)=3,5,3)))))</f>
        <v>3</v>
      </c>
      <c r="BV142">
        <f t="shared" si="262"/>
        <v>3</v>
      </c>
      <c r="BW142">
        <f>IFERROR(N(VLOOKUP(AX142,Потребители_обозначение,10,FALSE)),0)</f>
        <v>0</v>
      </c>
      <c r="BX142">
        <f>IFERROR(VLOOKUP(AX142,Потребители_обозначение,5,FALSE),0)</f>
        <v>1</v>
      </c>
      <c r="BY142" s="6" cm="1">
        <f t="array" ref="BY142">IF(B142="","",IF(BC142&lt;&gt;"",IFERROR(_xlfn.XLOOKUP(BC142,Щиты[Щит],Щиты[cos φ]),0.95),IF(BK142=1,IFERROR(_xlfn.XLOOKUP(A142,Щиты[Щит],Щиты[cos φ]),0.95),IF(ISNUMBER(Z142),Z142,IFERROR(IF(BX142=2,_xlfn.IFS(BR142=3,VLOOKUP(BN142,Справочная_двигатели,8,FALSE),BR142=1,VLOOKUP(BN142,Справочная_двигатели,10,TRUE)),IF(AND(Методика="нормы 2026",EQ142="Сил"),0.8,0.95)),0.95)))))</f>
        <v>0.8</v>
      </c>
      <c r="BZ142">
        <f t="shared" si="263"/>
        <v>0</v>
      </c>
      <c r="CA142">
        <f t="shared" si="264"/>
        <v>1</v>
      </c>
      <c r="CB142">
        <f t="shared" si="265"/>
        <v>0</v>
      </c>
      <c r="CC142">
        <f t="shared" si="266"/>
        <v>0</v>
      </c>
      <c r="CD142">
        <f t="shared" si="267"/>
        <v>0</v>
      </c>
      <c r="CE142">
        <f t="shared" si="268"/>
        <v>0</v>
      </c>
      <c r="CF142">
        <f t="shared" si="269"/>
        <v>0</v>
      </c>
      <c r="CG142">
        <f>IF(AX142="",0,_xlfn.LET(_xlpm.v,IFERROR(VLOOKUP(B142,УГО_спр,3,FALSE),IFERROR(VLOOKUP(AX142,УГО_спр,3,FALSE),IFERROR(VLOOKUP(LEFT(AX142,2),УГО_спр,3,FALSE),""))),IF(_xlpm.v="да",30,IF(ISNUMBER(_xlpm.v),_xlpm.v,0))))</f>
        <v>0</v>
      </c>
      <c r="CH142" t="str">
        <f t="shared" si="270"/>
        <v/>
      </c>
      <c r="CI142" t="str">
        <f>_xlfn.LET(_xlpm.k,IFERROR(_xlfn.XLOOKUP(AX142,Коды_код,Коды_утечка)&amp;"",""),IF(_xlpm.k="","дифавтомат",_xlpm.k))</f>
        <v>дифавтомат</v>
      </c>
      <c r="CJ142">
        <f t="shared" si="271"/>
        <v>0</v>
      </c>
      <c r="CK142">
        <f t="shared" si="272"/>
        <v>0</v>
      </c>
      <c r="CL142">
        <f>IF(B142="",0,IFERROR(--VLOOKUP(B142,УГО_спр,4,FALSE),IFERROR(--VLOOKUP(AX142,УГО_спр,4,FALSE),IFERROR(--VLOOKUP(LEFT(AX142,2),УГО_спр,4,FALSE),0))))</f>
        <v>0</v>
      </c>
      <c r="CM142" t="str">
        <f>IF(B142="","",IFERROR(_xlfn.XLOOKUP(AX142,Коды_код,Коды_апп)&amp;"",""))</f>
        <v/>
      </c>
      <c r="CN142" t="str">
        <f t="shared" si="273"/>
        <v/>
      </c>
      <c r="CO142" t="str" cm="1">
        <f t="array" ref="CO142">IF(TRIM(CN142&amp;"")="","",IFERROR(TRIM(INDEX(_xlfn.TEXTSPLIT(CN142&amp;";;;",";"),1)),""))</f>
        <v/>
      </c>
      <c r="CP142" t="str" cm="1">
        <f t="array" ref="CP142">IF(TRIM(CN142&amp;"")="","",IFERROR(TRIM(INDEX(_xlfn.TEXTSPLIT(CN142&amp;";;;",";"),2)),""))</f>
        <v/>
      </c>
      <c r="CQ142" t="str" cm="1">
        <f t="array" ref="CQ142">IF(TRIM(CN142&amp;"")="","",IFERROR(TRIM(INDEX(_xlfn.TEXTSPLIT(CN142&amp;";;;",";"),3)),""))</f>
        <v/>
      </c>
      <c r="CR142">
        <f t="shared" si="274"/>
        <v>0</v>
      </c>
      <c r="CS142" t="str">
        <f>IF(B142="","",_xlfn.LET(_xlpm.t,LOWER(AV142&amp;""),IF(ISNUMBER(SEARCH("dim",_xlpm.t)),"DIM",IF(ISNUMBER(SEARCH("dali",_xlpm.t)),"DALI",IF(OR(ISNUMBER(SEARCH("relay",_xlpm.t)),ISNUMBER(SEARCH("реле",_xlpm.t))),"Relay",IF(ISNUMBER(SEARCH("кнопк",_xlpm.t)),"",IFERROR(_xlfn.XLOOKUP(AX142,Коды_код,Коды_упр)&amp;"","")))))))</f>
        <v/>
      </c>
      <c r="CT142" t="str">
        <f t="shared" si="275"/>
        <v/>
      </c>
      <c r="CU142">
        <f>IF(B142="","",_xlfn.LET(_xlpm.ig,N(P142)+IF(AF142="вручную",0,N(CB142)),_xlpm.n0,IFERROR(VLOOKUP(_xlpm.ig,Автомат_номиналы,2,TRUE),0),_xlpm.mn,MAX(CL142,IF(AF142="вручную",0,N(CE142))),MAX(_xlpm.n0,_xlpm.mn,IF(CR142=1,Мин_автомат_БП,0))))</f>
        <v>6</v>
      </c>
      <c r="CV142">
        <f t="shared" si="276"/>
        <v>1</v>
      </c>
      <c r="CW142" t="str">
        <f t="shared" si="277"/>
        <v>1P</v>
      </c>
      <c r="CX142" t="str">
        <f>_xlfn.LET(_xlpm.cc,UPPER(TRIM(IFERROR(_xlfn.XLOOKUP(AX142,Коды_код,Коды_хар)&amp;"",""))),IF(OR(_xlpm.cc="B",_xlpm.cc="В"),"B",IF(_xlpm.cc="D","D","С")))</f>
        <v>С</v>
      </c>
      <c r="CY142" t="str">
        <f t="shared" si="278"/>
        <v>1P С6А</v>
      </c>
      <c r="CZ142" t="str">
        <f t="shared" si="279"/>
        <v>1P С6А</v>
      </c>
      <c r="DA142" t="str">
        <f t="shared" si="280"/>
        <v>1P С6А</v>
      </c>
      <c r="DB142" cm="1">
        <f t="array" ref="DB142">IF(DA142="","",_xlfn.LET(_xlpm.t,SUBSTITUTE(SUBSTITUTE(SUBSTITUTE(UPPER(DA142),"С","C"),"А","A"),"В","B"),_xlpm.tk,_xlfn.TEXTSPLIT(_xlpm.t,"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2" t="str">
        <f t="shared" si="281"/>
        <v>ok</v>
      </c>
      <c r="DD142">
        <f t="shared" si="282"/>
        <v>6</v>
      </c>
      <c r="DE142" t="str">
        <f t="shared" si="283"/>
        <v>1P С6А</v>
      </c>
      <c r="DF142">
        <f t="shared" si="284"/>
        <v>0</v>
      </c>
      <c r="DG142">
        <f t="shared" si="285"/>
        <v>0</v>
      </c>
      <c r="DH142">
        <f t="shared" si="286"/>
        <v>0</v>
      </c>
      <c r="DI142">
        <f t="shared" si="287"/>
        <v>0.146141786888624</v>
      </c>
      <c r="DJ142">
        <f t="shared" si="288"/>
        <v>1</v>
      </c>
      <c r="DK142">
        <f>IF(ISNUMBER(AL142),AL142,К_прокл)</f>
        <v>1</v>
      </c>
      <c r="DL142">
        <f t="shared" si="289"/>
        <v>2</v>
      </c>
      <c r="DM142">
        <f>IFERROR(N(VLOOKUP(BT142,Кабель_обозначение,3,FALSE)),1)</f>
        <v>1</v>
      </c>
      <c r="DN142">
        <f>IFERROR(N(_xlfn.XLOOKUP(A142,Щиты[Щит],Щиты[ΔU до шин, %])),0)</f>
        <v>1.1399999999999999</v>
      </c>
      <c r="DO142" t="str">
        <f>IFERROR(_xlfn.XLOOKUP(A142,Щиты[Щит],Щиты[Zпетли на шинах, Ом]),"")</f>
        <v/>
      </c>
      <c r="DP142">
        <f>IFERROR(N(_xlfn.XLOOKUP(A142,Щиты[Щит],Щиты[ΔU до шин (подбор), %])),0)</f>
        <v>1.82</v>
      </c>
      <c r="DQ142" t="str">
        <f>IFERROR(_xlfn.XLOOKUP(A142,Щиты[Щит],Щиты[Zпетли на шинах (подбор), Ом]),"")</f>
        <v/>
      </c>
      <c r="DR142" t="str">
        <f t="shared" si="290"/>
        <v/>
      </c>
      <c r="DS142">
        <f t="shared" si="291"/>
        <v>33</v>
      </c>
      <c r="DT142">
        <f t="shared" si="292"/>
        <v>2</v>
      </c>
      <c r="DU142">
        <f t="shared" si="293"/>
        <v>0.6</v>
      </c>
      <c r="DV142" s="6">
        <f>IF(B142="","",IF(IFERROR(VLOOKUP(AX142,УГО_спр,2,FALSE),"")="Светильник",3,4)+IF(Методика="нормы 2026",MIN(0.5,MAX(0,N(Q142)-100)*0.005),0))</f>
        <v>4</v>
      </c>
      <c r="DW142" cm="1">
        <f t="array" ref="DW142">IF(OR(B142="",BT142="",DM142&lt;&gt;1),"",_xlfn.LET(_xlpm.sz,Iдоп_S,_xlpm.t_,CHOOSE(DL142,Iдоп_1ж,Iдоп_2ж,Iдоп_3ж)*DJ142*DK142,_xlpm.inn,N(DD142),_xlpm.smin,MAX(1.5,BW142),_xlpm.L_,N(Q142)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142)*(_xlpm.rho*_xlpm.L_/_xlpm.sz*N(BY142)+_xlpm.xx*_xlpm.L_*N(DU142)/1000)*N(P142)/((Uн_лин/SQRT(3))*1000)*100,999),_xlpm.kz,IF(OR(DG142=1,NOT(ISNUMBER(DQ142)),_xlpm.L_=0,_xlpm.inn=0),1,IFERROR(--(c_min*(Uн_лин*1000/SQRT(3))/(DQ142+2*ρкз_Cu*_xlpm.L_/_xlpm.sz)&gt;=GY142*_xlpm.inn),0)),_xlpm.ok,IFERROR((_xlpm.sz&gt;=_xlpm.smin)*(_xlpm.t_&gt;=_xlpm.inn)*IF(_xlpm.L_&gt;0,(_xlpm.du_+DP142&lt;=DV142+0.00001),1)*_xlpm.kz,0),_xlpm.r_,_xlfn._xlws.FILTER(_xlpm.sz,_xlpm.ok,"не подобрано"),INDEX(_xlpm.r_,1)))</f>
        <v>1.5</v>
      </c>
      <c r="DX142">
        <f t="shared" si="294"/>
        <v>1.5</v>
      </c>
      <c r="DY142" cm="1">
        <f t="array" ref="DY142">IF(OR(B142="",BT142="",DM142&lt;&gt;1),"",_xlfn.LET(_xlpm.sz,Iдоп_S,_xlpm.t_,CHOOSE(DL142,Iдоп_1ж,Iдоп_2ж,Iдоп_3ж)*DJ142*DK142,_xlpm.ok,IFERROR((_xlpm.sz&gt;=MAX(1.5,BW142))*(_xlpm.t_&gt;=N(DD142)),0),_xlpm.r_,_xlfn._xlws.FILTER(_xlpm.sz,_xlpm.ok,""),INDEX(_xlpm.r_,1)))</f>
        <v>1.5</v>
      </c>
      <c r="DZ142" s="6" cm="1">
        <f t="array" ref="DZ142">IFERROR(ROUNDUP(N(DT142)*(_xlfn.XLOOKUP(DY142,INDEX(Кабель_сопротивление,0,1),INDEX(Кабель_сопротивление,0,3))*N(Q142)/DY142*N(BY142)+_xlfn.XLOOKUP(DY142,INDEX(Кабель_сопротивление,0,1),INDEX(Кабель_сопротивление,0,2))*N(Q142)*N(DU142)/1000)*N(P142)/((Uн_лин/SQRT(3))*1000)*100,2),"")</f>
        <v>6.0000000000000005E-2</v>
      </c>
      <c r="EA142">
        <f>IFERROR(2*ρкз_Cu*N(Q142)/DY142,"")</f>
        <v>1.2273333333333334</v>
      </c>
      <c r="EB142">
        <f>IFERROR(VLOOKUP(DX142,Кабель_сопротивление,3,FALSE),"")</f>
        <v>2.2499999999999999E-2</v>
      </c>
      <c r="EC142">
        <f>IFERROR(VLOOKUP(DX142,Кабель_сопротивление,2,FALSE),"")</f>
        <v>0.11</v>
      </c>
      <c r="ED142">
        <f t="shared" si="295"/>
        <v>31</v>
      </c>
      <c r="EE142">
        <f t="shared" si="296"/>
        <v>0</v>
      </c>
      <c r="EF142">
        <f t="shared" si="297"/>
        <v>0.12343427604186961</v>
      </c>
      <c r="EG142" s="6">
        <f>IFERROR(ROUNDUP(EF142/((Uн_лин/SQRT(3))*1000)*100,2),"")</f>
        <v>6.0000000000000005E-2</v>
      </c>
      <c r="EH142" t="str">
        <f>IFERROR(VLOOKUP(BT142,Кабель_обозначение,2,FALSE),"")</f>
        <v>ВВГнг(А)-LS</v>
      </c>
      <c r="EI142" t="str">
        <f t="shared" si="298"/>
        <v>ВВГнг(А)-LS (3х1,5)</v>
      </c>
      <c r="EJ142" t="str">
        <f t="shared" si="299"/>
        <v>ВВГнг(А)-LS (3х1,5)
L=35-0,06%</v>
      </c>
      <c r="EK142">
        <f>IFERROR(2*ρкз_Cu*Q142/DX142,"")</f>
        <v>1.2273333333333334</v>
      </c>
      <c r="EL142">
        <f t="shared" si="300"/>
        <v>0.40833333333333338</v>
      </c>
      <c r="EM142" s="6" t="str">
        <f>IFERROR(IF(OR(B142="",NOT(ISNUMBER(DX142)),N(Q142)=0),"",_xlfn.XLOOKUP(A142,Щиты[Щит],Щиты[Zпетли на шинах, Ом])+EK142),"")</f>
        <v/>
      </c>
      <c r="EN142" s="6" t="str">
        <f>IF(ISNUMBER(EM142),c_min*(Uн_лин*1000/SQRT(3))/EM142,"")</f>
        <v/>
      </c>
      <c r="EO142" s="6" t="str">
        <f>IFERROR(IF(OR(B142="",NOT(ISNUMBER(DX142))),"",1.05*(Uн_лин*1000/SQRT(3))/(_xlfn.XLOOKUP(A142,Щиты[Щит],Щиты[Zmax на шинах, Ом])+EL142)/1000),"")</f>
        <v/>
      </c>
      <c r="EP142" s="6" t="str">
        <f>IF(B142="","",IF(ISNUMBER(Y142),"Сил",IF(IFERROR(_xlfn.XLOOKUP(AX142,Коды_код,Коды_группа)&amp;"","")="","Быт",_xlfn.XLOOKUP(AX142,Коды_код,Коды_группа)&amp;"")))</f>
        <v>Сил</v>
      </c>
      <c r="EQ142" s="6" t="str">
        <f t="shared" si="301"/>
        <v>Сил</v>
      </c>
      <c r="ER142" s="6">
        <f>IF(EQ142="Щит","щит",IF(EQ142="","",IF(EQ142="Быт",IFERROR(_xlfn.XLOOKUP(A142,Щиты[Щит],Щиты[Кс быт]),1),IF(EQ142="Сил",IF(ISNUMBER(Y142),Y142,IF(Методика="нормы 2026",IFERROR(_xlfn.XLOOKUP(A142,Щиты[Щит],Щиты[Кс силовых (табл. 7.5)]),1),1)),IF(OR(EQ142="Пост",EQ142="Отоп"),1,IF(EQ142="ВНГ",0.7,0))))))</f>
        <v>0.5</v>
      </c>
      <c r="ES142">
        <f t="shared" si="302"/>
        <v>1</v>
      </c>
      <c r="ET142">
        <f t="shared" si="303"/>
        <v>2.7E-2</v>
      </c>
      <c r="EU142">
        <f t="shared" si="304"/>
        <v>0</v>
      </c>
      <c r="EV142">
        <f t="shared" si="305"/>
        <v>1.35E-2</v>
      </c>
      <c r="EW142">
        <f t="shared" si="306"/>
        <v>0</v>
      </c>
      <c r="EX142">
        <f t="shared" si="307"/>
        <v>0</v>
      </c>
      <c r="EY142">
        <f t="shared" si="308"/>
        <v>0</v>
      </c>
      <c r="EZ142">
        <f t="shared" si="309"/>
        <v>2.7E-2</v>
      </c>
      <c r="FA142">
        <f t="shared" si="310"/>
        <v>2.1600000000000001E-2</v>
      </c>
      <c r="FB142">
        <f t="shared" si="311"/>
        <v>2.7E-2</v>
      </c>
      <c r="FC142" t="str">
        <f t="shared" si="312"/>
        <v/>
      </c>
      <c r="FD142" t="str">
        <f>IF(B142="","",IF(CA142=0,IF(AW142=1,"",FF141),IF(OR(N(CV142)&gt;=3,N(BR142)&gt;=3),"L1,L2,L3",IFERROR(_xlfn.TEXTBEFORE(_xlfn.TEXTAFTER(_xlfn.XLOOKUP(A142,Щиты[Щит],Щиты[_фазы авто]),";"&amp;AW142&amp;":"),";"),"L1"))))</f>
        <v>L2</v>
      </c>
      <c r="FE142" t="str">
        <f t="shared" si="313"/>
        <v>L2</v>
      </c>
      <c r="FF142" t="str">
        <f t="shared" si="314"/>
        <v>L2</v>
      </c>
      <c r="FG142" cm="1">
        <f t="array" ref="FG142">IFERROR(IF(BX142=2,_xlfn.IFS(BR142=3,VLOOKUP(BN142,Справочная_двигатели,3,FALSE),BR142=1,VLOOKUP(BN142,Справочная_двигатели,5,TRUE)),0),0)</f>
        <v>0</v>
      </c>
      <c r="FH142">
        <f>IFERROR(IF(BX142=3,VLOOKUP(BN142,Справочная_ЛЭД,2,TRUE),0),0)</f>
        <v>0</v>
      </c>
      <c r="FI142" s="6">
        <f t="shared" si="315"/>
        <v>0</v>
      </c>
      <c r="FJ142" t="str" cm="1">
        <f t="array" ref="FJ142">IF(B142="","",IFERROR(INDEX({"I особая","I","II","III"},MATCH(TRIM(AC142&amp;""),{"I особая","I","II","III"},0)),"III"))</f>
        <v>II</v>
      </c>
      <c r="FK142" t="str">
        <f>IF(B142="","",IF(TRIM(AD142&amp;"")&lt;&gt;"",IF(LOWER(TRIM(AD142&amp;""))="да","да","нет"),IF(IFERROR(_xlfn.XLOOKUP(AX142,Коды_код,Коды_пожарная),"")="да","да","нет")))</f>
        <v>нет</v>
      </c>
      <c r="FL142" t="str">
        <f t="shared" si="316"/>
        <v/>
      </c>
      <c r="FM142" t="str">
        <f t="shared" si="317"/>
        <v>основная</v>
      </c>
      <c r="FN142">
        <f t="shared" si="318"/>
        <v>1</v>
      </c>
      <c r="FO142" t="str" cm="1">
        <f t="array" ref="FO142">IF(B142="","",_xlfn.LET(_xlpm.t,IFERROR(_xlfn.XLOOKUP(1,(Шины[Шина]=FM142)*(((Шины[Щит]=A142)+(Шины[Щит]=""))&gt;0),Шины[Тип]),"")&amp;"",IF(_xlpm.t&lt;&gt;"",_xlpm.t,IF(ISNUMBER(SEARCH("ИБП",FM142)),"ИБП",IF(ISNUMBER(SEARCH("ДГУ",FM142)),"ДГУ","Ввод "&amp;FN142)))))</f>
        <v>Ввод 1</v>
      </c>
      <c r="FP142" t="str">
        <f t="shared" si="319"/>
        <v>Ввод 1</v>
      </c>
      <c r="FQ142" t="str">
        <f>IF(B142="","",IF(OR(FO142="ИБП",FO142="ДГУ"),"I особая",IF(FO142="Одиночная","III",_xlfn.XLOOKUP(A142,Щиты[Щит],Щиты[Категория шины «Ввод»],"III"))))</f>
        <v>II</v>
      </c>
      <c r="FR142">
        <f>IF(B142="",0,IFERROR(MATCH(FJ142,{"III","II","I","I особая"},0),1))</f>
        <v>2</v>
      </c>
      <c r="FS142">
        <f t="shared" si="320"/>
        <v>2</v>
      </c>
      <c r="FT142" t="str">
        <f>IF(B142="","",IF(FR142&gt;IFERROR(MATCH(FQ142,{"III","II","I","I особая"},0),1),"НЕ ОБЕСПЕЧЕНА","ОК"))</f>
        <v>ОК</v>
      </c>
      <c r="FU142" t="str">
        <f>IF(A142="","",_xlfn.XLOOKUP(A142,Щиты[Щит],Щиты[Путь],""))</f>
        <v>|ГРЩ-ЖД|ЩОВ-2|</v>
      </c>
      <c r="FV142" t="str">
        <f>IF(B142="","",IF(AE142&lt;&gt;"",AE142,IF(IFERROR(_xlfn.XLOOKUP(AX142,Коды_код,Коды_вид)&amp;"","")="","Прочее",_xlfn.XLOOKUP(AX142,Коды_код,Коды_вид)&amp;"")))</f>
        <v>Кондиционирование и увлажнение</v>
      </c>
      <c r="FW142">
        <f>IF(BH142="","",INT((BH142-1)/Столбцов_на_лист)+1)</f>
        <v>2</v>
      </c>
      <c r="FX142" t="str">
        <f t="shared" si="321"/>
        <v>ВВГнг(А)-LS (3х1,5) L=35-0,06%</v>
      </c>
      <c r="FY142">
        <f t="shared" si="322"/>
        <v>2.7E-2</v>
      </c>
      <c r="FZ142">
        <f t="shared" si="323"/>
        <v>0.15000000000000002</v>
      </c>
      <c r="GA142">
        <f t="shared" si="324"/>
        <v>1</v>
      </c>
      <c r="GB142">
        <f t="shared" si="325"/>
        <v>0</v>
      </c>
      <c r="GC142">
        <f t="shared" si="326"/>
        <v>1</v>
      </c>
      <c r="GD142">
        <f>IF(BH142="","",IF(AND(CA142=1,GC142=1),COUNTIFS(A$3:A142,A142,CA$3:CA142,1,GC$3:GC142,1),IF(OR(OR(AW142=1,A142&lt;&gt;A141),AF142="вручную",GC142=0),"",IF(AW142=1,"",GE141))))</f>
        <v>12</v>
      </c>
      <c r="GE142">
        <f t="shared" si="327"/>
        <v>12</v>
      </c>
      <c r="GF142">
        <f>IF(B142="","",IFERROR(LOOKUP(INDEX(CHOOSE(DL142,Iдоп_1ж,Iдоп_2ж,Iдоп_3ж),MATCH(DX142,Iдоп_S,0))*DJ142*DK142,{6,10,16,20,25,32,40,50,63,80,100,125,160,200,250,315,400,500,630}),""))</f>
        <v>16</v>
      </c>
      <c r="GG142" t="str">
        <f t="shared" si="328"/>
        <v>QF12</v>
      </c>
      <c r="GH142" t="str">
        <f t="shared" si="329"/>
        <v>QF12</v>
      </c>
      <c r="GI142" t="str">
        <f t="shared" si="330"/>
        <v/>
      </c>
      <c r="GJ142">
        <f t="shared" si="331"/>
        <v>0</v>
      </c>
      <c r="GK142" t="str">
        <f>IF(OR(AG142="",AG142="-"),"",IFERROR(VLOOKUP(AG142,Модули_спр,2,FALSE),"R"))</f>
        <v/>
      </c>
      <c r="GL142" t="str">
        <f>IF(GK142="","",GK142&amp;"."&amp;COUNTIFS(A$3:A142,A142,GK$3:GK142,GK142))</f>
        <v/>
      </c>
      <c r="GM142" t="str">
        <f t="shared" si="332"/>
        <v/>
      </c>
      <c r="GN142" t="str">
        <f t="shared" si="333"/>
        <v/>
      </c>
      <c r="GO142" t="str">
        <f t="shared" si="334"/>
        <v/>
      </c>
      <c r="GP142" t="str">
        <f t="shared" si="335"/>
        <v/>
      </c>
      <c r="GQ142">
        <f t="shared" si="336"/>
        <v>1</v>
      </c>
      <c r="GR142" t="str">
        <f>IF(GQ142=1,"XT"&amp;COUNTIFS(A$3:A142,A142,GQ$3:GQ142,1),"")</f>
        <v>XT12</v>
      </c>
      <c r="GS142" t="str">
        <f t="shared" si="337"/>
        <v/>
      </c>
      <c r="GT142" t="str">
        <f t="shared" si="338"/>
        <v>QF12</v>
      </c>
      <c r="GU142" t="str">
        <f t="shared" si="339"/>
        <v/>
      </c>
      <c r="GV142" t="str">
        <f t="shared" si="340"/>
        <v>ok</v>
      </c>
      <c r="GW142" t="str">
        <f>IF(OR(GO142="",GM142=""),"",IF(GO142&gt;IFERROR(VLOOKUP(GN142,Модули_спр,3,FALSE),99),"ЛИШНИЙ КАНАЛ",IF(AND(AH142&lt;&gt;"=",COUNTIFS(Линии[_модуль гр.],GM142,Линии[Канал (итог)],GO142,Линии[Канал],"&lt;&gt;=",Линии[Щит],A142)&gt;1),"ДУБЛЬ КАНАЛА","")))</f>
        <v/>
      </c>
      <c r="GX142" s="6" t="str">
        <f t="shared" si="341"/>
        <v/>
      </c>
      <c r="GY142">
        <f t="shared" si="342"/>
        <v>10</v>
      </c>
      <c r="GZ142" t="str">
        <f t="shared" si="343"/>
        <v/>
      </c>
      <c r="HA142" t="str">
        <f>IF(AND(B142="",GT142=""),"",_xlfn.TEXTJOIN("; ",TRUE,IF(AND(B142&lt;&gt;"",FE142=""),"нет фазы",""),IF(AND(B142&lt;&gt;"",N(FY142)=0,EQ142&lt;&gt;"Нет"),"нет мощности",""),IF(AND(GS142&lt;&gt;"",COUNTIFS(Линии[Щит],A142,Линии[Клемма (итог)],GS142)&gt;1),"дубль клеммы "&amp;GS142,""),IF(AND(GV142&lt;&gt;"",GV142&lt;&gt;"ok"),GV142,""),IF(GW142&lt;&gt;"",GW142,""),IF(AND(N(BV142)&gt;=4,N(BR142)=1),BV142&amp;" жил на 1 фазе",""),IF(AND(AX142="R",CA142=1,OR(N(CK142)=0,N(CK142)&gt;30)),"розетка без дифзащиты до 30 мА",""),IFERROR(IF(AND(ISNUMBER(R142),R142&gt;DV142),"потери "&amp;FIXED(R142,1)&amp;" % &gt; "&amp;DV142&amp;" %",""),""),IFERROR(IF(LEFT(GZ142,4)="мало","Iкз мало — отключение &gt; 0,4 с",""),""),IF(AND(B142&lt;&gt;"",BH142=""),"не на схеме",""),IF(AND(CA142=0,B142&lt;&gt;"",FE142&lt;&gt;"",IF(AW142=1,"",FF141)&lt;&gt;"",FE142&lt;&gt;IF(AW142=1,"",FF141)),"фаза не как у автомата группы ("&amp;IF(AW142=1,"",FF141)&amp;")","")))</f>
        <v/>
      </c>
      <c r="HB142" s="6" t="str">
        <f>IF(OR(CA142=0,DA142=""),"",_xlfn.LET(_xlpm.t,IFERROR(_xlfn.XLOOKUP(DA142,Каталог!$U$4:$U$500,Каталог!$G$4:$G$500),""),_xlpm.k,SEARCH("кА",_xlpm.t),IFERROR(--TRIM(RIGHT(SUBSTITUTE(MID(_xlpm.t,MAX(1,_xlpm.k-4),_xlpm.k-MAX(1,_xlpm.k-4))," ",REPT(" ",9)),5)),"")))</f>
        <v/>
      </c>
      <c r="HC142" t="str">
        <f>IF(OR(HB142="",CA142=0),"",IF(_xlfn.XLOOKUP(A142,Щиты[Щит],Щиты[Iкз max на шинах, кА],"")="","",IF(HB142&lt;_xlfn.XLOOKUP(A142,Щиты[Щит],Щиты[Iкз max на шинах, кА]),"Icu "&amp;HB142&amp;" кА &lt; Iкз max","ok")))</f>
        <v/>
      </c>
      <c r="HD142" t="str">
        <f t="shared" si="344"/>
        <v/>
      </c>
      <c r="HE142" t="str">
        <f t="shared" si="345"/>
        <v>QF12</v>
      </c>
      <c r="HF142" t="str">
        <f t="shared" si="346"/>
        <v>QF12|кабель ВВГнг(А)-LS (3х1,5) → Внутренний блок кондиционирования Технический этаж Пом. №003Т</v>
      </c>
      <c r="HG142" t="str" cm="1">
        <f t="array" ref="HG142">IF(HF142="","",_xlfn.LET(_xlpm.nd,_xlfn.TEXTSPLIT(HF142,"|"),IF(COLUMNS(_xlpm.nd)&gt;1,A142&amp;"¦"&amp;INDEX(_xlpm.nd,1)&amp;"¦"&amp;INDEX(_xlpm.nd,2),"")))</f>
        <v>ЩОВ-2¦QF12¦кабель ВВГнг(А)-LS (3х1,5) → Внутренний блок кондиционирования Технический этаж Пом. №003Т</v>
      </c>
      <c r="HH142" t="str">
        <f t="shared" si="347"/>
        <v>K.3.002Б¦Внутренний блок кондиционирования Технический этаж Пом. №003Т</v>
      </c>
      <c r="HI142" t="str" cm="1">
        <f t="array" ref="HI142">IF(HF142="","",_xlfn.LET(_xlpm.nd,_xlfn.TEXTSPLIT(HF142,"|"),IF(COLUMNS(_xlpm.nd)&gt;2,A142&amp;"¦"&amp;INDEX(_xlpm.nd,2)&amp;"¦"&amp;INDEX(_xlpm.nd,3),"")))</f>
        <v/>
      </c>
      <c r="HJ142" t="str">
        <f t="shared" si="348"/>
        <v/>
      </c>
      <c r="HK142" t="str" cm="1">
        <f t="array" ref="HK142">IF(HF142="","",_xlfn.LET(_xlpm.nd,_xlfn.TEXTSPLIT(HF142,"|"),IF(COLUMNS(_xlpm.nd)&gt;3,A142&amp;"¦"&amp;INDEX(_xlpm.nd,3)&amp;"¦"&amp;INDEX(_xlpm.nd,4),"")))</f>
        <v/>
      </c>
      <c r="HL142" t="str">
        <f t="shared" si="349"/>
        <v/>
      </c>
      <c r="HM142" t="str" cm="1">
        <f t="array" ref="HM142">IF(HF142="","",_xlfn.LET(_xlpm.nd,_xlfn.TEXTSPLIT(HF142,"|"),IF(COLUMNS(_xlpm.nd)&gt;4,A142&amp;"¦"&amp;INDEX(_xlpm.nd,4)&amp;"¦"&amp;INDEX(_xlpm.nd,5),"")))</f>
        <v/>
      </c>
      <c r="HN142" t="str">
        <f t="shared" si="350"/>
        <v/>
      </c>
      <c r="HO142" t="str" cm="1">
        <f t="array" ref="HO142">IF(HF142="","",_xlfn.LET(_xlpm.nd,_xlfn.TEXTSPLIT(HF142,"|"),IF(COLUMNS(_xlpm.nd)&gt;5,A142&amp;"¦"&amp;INDEX(_xlpm.nd,5)&amp;"¦"&amp;INDEX(_xlpm.nd,6),"")))</f>
        <v/>
      </c>
      <c r="HP142" t="str">
        <f t="shared" si="351"/>
        <v/>
      </c>
      <c r="HQ142" t="str" cm="1">
        <f t="array" ref="HQ142">IF(HF142="","",_xlfn.LET(_xlpm.nd,_xlfn.TEXTSPLIT(HF142,"|"),IF(COLUMNS(_xlpm.nd)&gt;6,A142&amp;"¦"&amp;INDEX(_xlpm.nd,6)&amp;"¦"&amp;INDEX(_xlpm.nd,7),"")))</f>
        <v/>
      </c>
      <c r="HR142" t="str">
        <f t="shared" si="352"/>
        <v/>
      </c>
      <c r="HS142" t="str">
        <f t="shared" si="353"/>
        <v/>
      </c>
      <c r="HT142" t="str">
        <f t="shared" si="354"/>
        <v>QF12</v>
      </c>
      <c r="HU142">
        <f t="shared" si="355"/>
        <v>0</v>
      </c>
      <c r="HV142">
        <f t="shared" si="356"/>
        <v>0</v>
      </c>
      <c r="HW142" t="str">
        <f t="shared" si="357"/>
        <v/>
      </c>
      <c r="HX142" t="str">
        <f t="shared" si="358"/>
        <v/>
      </c>
      <c r="HY142" t="str">
        <f t="shared" si="359"/>
        <v/>
      </c>
      <c r="HZ142" t="str">
        <f t="shared" si="360"/>
        <v/>
      </c>
      <c r="IA142">
        <f>IF(B142="","",IFERROR(VLOOKUP(B142,УГО_спр,2,FALSE),IFERROR(VLOOKUP(AX142,УГО_спр,2,FALSE),IFERROR(VLOOKUP(LEFT(AX142,2),УГО_спр,2,FALSE),""))))</f>
        <v>0</v>
      </c>
      <c r="IB142" t="str">
        <f>IF(B142="","",IF(OR(IA142="",IA142=0),"BOX",IFERROR(IF(VLOOKUP(IA142,УГО_блоки,3,FALSE)&amp;""&lt;&gt;"",VLOOKUP(IA142,УГО_блоки,3,FALSE),VLOOKUP(IA142,УГО_блоки,2,FALSE)),IA142)))</f>
        <v>BOX</v>
      </c>
      <c r="IC142">
        <f t="shared" si="361"/>
        <v>1</v>
      </c>
      <c r="ID142" t="str">
        <f>IF(DA142="","",IF(COUNTIF(DA$3:DA142,DA142)=1,MAX(ID$2:ID141)+1,""))</f>
        <v/>
      </c>
      <c r="IE142" t="str">
        <f>IF(CO142="","",IF(COUNTIF(CO$3:CO142,CO142)+COUNTIF(CP$2:CP141,CO142)+COUNTIF(CQ$2:CQ141,CO142)=1,MAX(IE$2:IG141)+1,""))</f>
        <v/>
      </c>
      <c r="IF142" t="str">
        <f>IF(CP142="","",IF(COUNTIF(CO$3:CO142,CP142)+COUNTIF(CP$3:CP142,CP142)+COUNTIF(CQ$2:CQ141,CP142)=1,MAX(IE$2:IG141,IE142)+1,""))</f>
        <v/>
      </c>
      <c r="IG142" t="str">
        <f>IF(CQ142="","",IF(COUNTIF(CO$3:CO142,CQ142)+COUNTIF(CP$3:CP142,CQ142)+COUNTIF(CQ$3:CQ142,CQ142)=1,MAX(IE$2:IG141,IE142,IF142)+1,""))</f>
        <v/>
      </c>
      <c r="IH142" t="str">
        <f t="shared" si="362"/>
        <v>3х1,5</v>
      </c>
      <c r="II142" t="str">
        <f>IF(IH142="","",IF(COUNTIF(IH$3:IH142,IH142)=1,MAX(II$2:II141)+1,""))</f>
        <v/>
      </c>
      <c r="IJ142" t="str">
        <f>IF(GL142="","",COUNTIF(GL$3:GL142,"?*"))</f>
        <v/>
      </c>
      <c r="IK142" t="str">
        <f>IF(OR(GL142="",GN142=""),"",IF(COUNTIFS(GL$3:GL142,"?*",GN$3:GN142,GN142)=1,MAX(IK$2:IK141)+1,""))</f>
        <v/>
      </c>
      <c r="IL142">
        <f t="shared" si="363"/>
        <v>0</v>
      </c>
      <c r="IM142">
        <f>IF(B142="","",COUNTIF(B$3:B142,"?*"))</f>
        <v>140</v>
      </c>
      <c r="IN142">
        <f>IF(GQ142&lt;&gt;1,0,_xlfn.LET(_xlpm.k,MAX(IFERROR(--VLOOKUP(B142,УГО_спр,5,FALSE),0),IFERROR(--VLOOKUP(AX142,УГО_спр,5,FALSE),0),IFERROR(--VLOOKUP(LEFT(AX142,2),УГО_спр,5,FALSE),0)),IF(_xlpm.k&gt;0,_xlpm.k,IF(IFERROR(--LEFT(SUBSTITUTE(IH142,"x","х"),FIND("х",SUBSTITUTE(IH142,"x","х"))-1),3)&gt;3,Каталог!$S$9,1))))</f>
        <v>1</v>
      </c>
      <c r="IO142">
        <f t="shared" si="364"/>
        <v>0</v>
      </c>
      <c r="IP142" t="str">
        <f t="shared" si="365"/>
        <v>авто</v>
      </c>
      <c r="IQ142" t="str">
        <f t="shared" si="366"/>
        <v/>
      </c>
      <c r="IR142">
        <f t="shared" si="367"/>
        <v>0</v>
      </c>
      <c r="IS142">
        <f t="shared" si="368"/>
        <v>1</v>
      </c>
    </row>
    <row r="143" spans="1:253" x14ac:dyDescent="0.3">
      <c r="A143" t="s">
        <v>753</v>
      </c>
      <c r="B143" t="s">
        <v>1411</v>
      </c>
      <c r="C143" t="s">
        <v>1647</v>
      </c>
      <c r="D143">
        <v>1</v>
      </c>
      <c r="E143">
        <v>0.04</v>
      </c>
      <c r="G143" t="str">
        <f>Линии[[#This Row],[_авто автомат]]</f>
        <v>1P С6А</v>
      </c>
      <c r="H143" t="str">
        <f>Линии[[#This Row],[_авто утечка]]</f>
        <v/>
      </c>
      <c r="I143" t="str">
        <f>Линии[[#This Row],[_авто управление]]</f>
        <v/>
      </c>
      <c r="J143" t="str">
        <f>Линии[[#This Row],[_авто аппараты]]</f>
        <v/>
      </c>
      <c r="K143">
        <v>1.5</v>
      </c>
      <c r="L143">
        <v>28</v>
      </c>
      <c r="M143" t="str">
        <f>Линии[[#This Row],[_авто фаза]]</f>
        <v>L2</v>
      </c>
      <c r="N143" t="s">
        <v>486</v>
      </c>
      <c r="O143" t="str">
        <f t="shared" si="246"/>
        <v/>
      </c>
      <c r="P143" s="6" cm="1">
        <f t="array" ref="P143">IF(B143="","",IF(BC143&lt;&gt;"",IFERROR(_xlfn.XLOOKUP(BC143,Щиты[Щит],Щиты[Iр, А]),""),IF(BK143=1,IFERROR(_xlfn.XLOOKUP(A143,Щиты[Щит],Щиты[Iр, А]),""),IFERROR(_xlfn.IFS(BR143=1,BN143/((Uн_лин/SQRT(3))*BY143),BR143=3,BN143/(SQRT(3)*Uн_лин*BY143)),""))))</f>
        <v>0.21650635094610962</v>
      </c>
      <c r="Q143" s="7">
        <f>IF(B143="","",IFERROR(IF(VLOOKUP(AX143,Потребители_обозначение,4,FALSE)=1,VLOOKUP(AX143,Потребители_обозначение,3,FALSE)*(D143*2-1)+DS143+VLOOKUP(AZ143,Этаж_обозначение,3,FALSE)+VLOOKUP(AZ143,Этаж_обозначение,4,FALSE),VLOOKUP(AX143,Потребители_обозначение,3,FALSE)*(D143*2-1)+DS143),DS143))</f>
        <v>30</v>
      </c>
      <c r="R143" s="6">
        <f t="shared" si="247"/>
        <v>1.21</v>
      </c>
      <c r="S143" t="str">
        <f t="shared" si="248"/>
        <v>ВВГнг(А)-LS (3х1,5)</v>
      </c>
      <c r="T143" t="str">
        <f>IF(BH143="","",IF(BI143="вводной узел","узел ","")&amp;"л."&amp;(INT((BH143-1)/Столбцов_на_лист)+1)&amp;" / "&amp;(MOD(BH143-1,Столбцов_на_лист)+1))</f>
        <v>л.2 / 15</v>
      </c>
      <c r="V143">
        <v>1</v>
      </c>
      <c r="W143">
        <v>230</v>
      </c>
      <c r="X143" t="s">
        <v>600</v>
      </c>
      <c r="Y143">
        <v>0.5</v>
      </c>
      <c r="AC143" t="s">
        <v>815</v>
      </c>
      <c r="AE143" t="s">
        <v>578</v>
      </c>
      <c r="AI143">
        <v>32</v>
      </c>
      <c r="AJ143" t="s">
        <v>11</v>
      </c>
      <c r="AK143">
        <v>3</v>
      </c>
      <c r="AM143">
        <v>4</v>
      </c>
      <c r="AN143">
        <v>26</v>
      </c>
      <c r="AP143">
        <v>1</v>
      </c>
      <c r="AW143" cm="1">
        <f t="array" ref="AW143">ROW()-ROW(Линии[#Headers])</f>
        <v>141</v>
      </c>
      <c r="AX143" s="6" t="str">
        <f t="shared" si="249"/>
        <v>K</v>
      </c>
      <c r="AY143" t="str">
        <f t="shared" si="250"/>
        <v>3.004T.1</v>
      </c>
      <c r="AZ143" t="str">
        <f t="shared" si="251"/>
        <v>3</v>
      </c>
      <c r="BA143" t="str">
        <f t="shared" si="252"/>
        <v>004T.1</v>
      </c>
      <c r="BB143" t="str">
        <f t="shared" si="253"/>
        <v>004T</v>
      </c>
      <c r="BC143" t="str">
        <f>IF(U143&lt;&gt;"",U143,IF(AND(B143&lt;&gt;"",B143&lt;&gt;A143,ISNUMBER(_xlfn.XMATCH(B143,Щиты[Щит]))),B143,""))</f>
        <v/>
      </c>
      <c r="BD143" t="str" cm="1">
        <f t="array" ref="BD143">IF(B143="","",IF(BC143&lt;&gt;"","Щит "&amp;BC143,_xlfn.LET(_xlpm.nm,IFERROR(_xlfn.XLOOKUP(AX143,Коды_код,Коды_имя)&amp;"",""),_xlpm.md,IFERROR(N(_xlfn.XLOOKUP(AX143,Коды_код,Коды_режим)),1),_xlpm.ex,IF(Имя_режим="по экспликации",IFERROR(_xlfn.XLOOKUP(AZ143&amp;"|"&amp;BB143,Экспликация[Этаж]&amp;"|"&amp;Экспликация[Помещение],Экспликация[Название])&amp;"",""),""),_xlpm.rm,IF(BB143="","",IF(_xlpm.ex&lt;&gt;"",". "&amp;_xlpm.ex&amp;IF(Имя_пом="нет"," ("&amp;BB143&amp;")"," (пом. "&amp;BB143&amp;")"),IF(Имя_пом="нет"," ",", пом. ")&amp;BB143)),IF(_xlpm.nm="","",IF(_xlpm.md=2,_xlpm.nm&amp;" шлейф "&amp;AZ143,_xlpm.nm&amp;_xlpm.rm)))))</f>
        <v>Внутренний блок кондиционирования, пом. 004T</v>
      </c>
      <c r="BE143" t="str">
        <f t="shared" si="254"/>
        <v>Внутренний блок кондиционирования Технический этаж Пом. №004Т</v>
      </c>
      <c r="BF143">
        <f>IFERROR(_xlfn.XMATCH(A143,Щиты[Щит]),0)</f>
        <v>7</v>
      </c>
      <c r="BG143">
        <f>_xlfn.LET(_xlpm.k,IFERROR(_xlfn.XLOOKUP(A143,Щиты[Щит],Щиты[Листов под вводной узел]),""),IF(_xlpm.k="",1,N(_xlpm.k))*Столбцов_на_лист)</f>
        <v>17</v>
      </c>
      <c r="BH143">
        <f t="shared" si="255"/>
        <v>32</v>
      </c>
      <c r="BI143" t="str">
        <f t="shared" si="256"/>
        <v>линии</v>
      </c>
      <c r="BJ143" s="6">
        <f>IFERROR(N(_xlfn.XLOOKUP(AX143,Коды_код,Коды_квт)),0)</f>
        <v>0</v>
      </c>
      <c r="BK143">
        <f t="shared" si="257"/>
        <v>0</v>
      </c>
      <c r="BL143" t="str">
        <f>IF(B143="","",IF(BC143&lt;&gt;"",IFERROR(_xlfn.XLOOKUP(BC143,Щиты[Щит],Щиты[Руст, кВт]),0),IF(BK143=1,IFERROR(_xlfn.XLOOKUP(A143,Щиты[Щит],Щиты[Руст, кВт]),0),IF(BJ143&gt;0,ROUND(BJ143*MAX(1,N(D143)),3),""))))</f>
        <v/>
      </c>
      <c r="BM143">
        <f t="shared" si="258"/>
        <v>0.04</v>
      </c>
      <c r="BN143" s="6">
        <f>IF(B143="","",IF(BC143&lt;&gt;"",IFERROR(_xlfn.XLOOKUP(BC143,Щиты[Щит],Щиты[Руст, кВт]),0),N(BM143)))</f>
        <v>0.04</v>
      </c>
      <c r="BO143" t="str">
        <f>IF(B143="","",IFERROR(IF(VLOOKUP(AX143,Потребители_обозначение,8,FALSE)=0,"",VLOOKUP(AX143,Потребители_обозначение,8,FALSE)),""))</f>
        <v/>
      </c>
      <c r="BP143">
        <f t="shared" si="259"/>
        <v>230</v>
      </c>
      <c r="BQ143">
        <f>IF(B143="","",IF(BC143&lt;&gt;"",3,IFERROR(IF(N(VLOOKUP(AX143,Потребители_обозначение,9,FALSE))=0,1,VLOOKUP(AX143,Потребители_обозначение,9,FALSE)),1)))</f>
        <v>1</v>
      </c>
      <c r="BR143">
        <f t="shared" si="260"/>
        <v>1</v>
      </c>
      <c r="BS143" t="str">
        <f>IF(B143="","",_xlfn.LET(_xlpm.bc,IFERROR(IF(VLOOKUP(AX143,Потребители_обозначение,6,FALSE)=0,"",VLOOKUP(AX143,Потребители_обозначение,6,FALSE)&amp;""),""),IF(AND(FK143="да",OR(_xlpm.bc="",_xlpm.bc="мс")),Марка_пож,IF(AND(_xlpm.bc="",BC143&lt;&gt;""),"мс",_xlpm.bc))))</f>
        <v/>
      </c>
      <c r="BT143" t="str">
        <f t="shared" si="261"/>
        <v>мс</v>
      </c>
      <c r="BU143">
        <f>IF(B143="","",_xlfn.LET(_xlpm.cc,IFERROR(N(VLOOKUP(AX143,Потребители_обозначение,7,FALSE)),0),IF(_xlpm.cc&gt;0,_xlpm.cc,IF(BT143="","",IF(N(BR143)=3,5,3)))))</f>
        <v>3</v>
      </c>
      <c r="BV143">
        <f t="shared" si="262"/>
        <v>3</v>
      </c>
      <c r="BW143">
        <f>IFERROR(N(VLOOKUP(AX143,Потребители_обозначение,10,FALSE)),0)</f>
        <v>0</v>
      </c>
      <c r="BX143">
        <f>IFERROR(VLOOKUP(AX143,Потребители_обозначение,5,FALSE),0)</f>
        <v>1</v>
      </c>
      <c r="BY143" s="6" cm="1">
        <f t="array" ref="BY143">IF(B143="","",IF(BC143&lt;&gt;"",IFERROR(_xlfn.XLOOKUP(BC143,Щиты[Щит],Щиты[cos φ]),0.95),IF(BK143=1,IFERROR(_xlfn.XLOOKUP(A143,Щиты[Щит],Щиты[cos φ]),0.95),IF(ISNUMBER(Z143),Z143,IFERROR(IF(BX143=2,_xlfn.IFS(BR143=3,VLOOKUP(BN143,Справочная_двигатели,8,FALSE),BR143=1,VLOOKUP(BN143,Справочная_двигатели,10,TRUE)),IF(AND(Методика="нормы 2026",EQ143="Сил"),0.8,0.95)),0.95)))))</f>
        <v>0.8</v>
      </c>
      <c r="BZ143">
        <f t="shared" si="263"/>
        <v>0</v>
      </c>
      <c r="CA143">
        <f t="shared" si="264"/>
        <v>1</v>
      </c>
      <c r="CB143">
        <f t="shared" si="265"/>
        <v>0</v>
      </c>
      <c r="CC143">
        <f t="shared" si="266"/>
        <v>0</v>
      </c>
      <c r="CD143">
        <f t="shared" si="267"/>
        <v>0</v>
      </c>
      <c r="CE143">
        <f t="shared" si="268"/>
        <v>0</v>
      </c>
      <c r="CF143">
        <f t="shared" si="269"/>
        <v>0</v>
      </c>
      <c r="CG143">
        <f>IF(AX143="",0,_xlfn.LET(_xlpm.v,IFERROR(VLOOKUP(B143,УГО_спр,3,FALSE),IFERROR(VLOOKUP(AX143,УГО_спр,3,FALSE),IFERROR(VLOOKUP(LEFT(AX143,2),УГО_спр,3,FALSE),""))),IF(_xlpm.v="да",30,IF(ISNUMBER(_xlpm.v),_xlpm.v,0))))</f>
        <v>0</v>
      </c>
      <c r="CH143" t="str">
        <f t="shared" si="270"/>
        <v/>
      </c>
      <c r="CI143" t="str">
        <f>_xlfn.LET(_xlpm.k,IFERROR(_xlfn.XLOOKUP(AX143,Коды_код,Коды_утечка)&amp;"",""),IF(_xlpm.k="","дифавтомат",_xlpm.k))</f>
        <v>дифавтомат</v>
      </c>
      <c r="CJ143">
        <f t="shared" si="271"/>
        <v>0</v>
      </c>
      <c r="CK143">
        <f t="shared" si="272"/>
        <v>0</v>
      </c>
      <c r="CL143">
        <f>IF(B143="",0,IFERROR(--VLOOKUP(B143,УГО_спр,4,FALSE),IFERROR(--VLOOKUP(AX143,УГО_спр,4,FALSE),IFERROR(--VLOOKUP(LEFT(AX143,2),УГО_спр,4,FALSE),0))))</f>
        <v>0</v>
      </c>
      <c r="CM143" t="str">
        <f>IF(B143="","",IFERROR(_xlfn.XLOOKUP(AX143,Коды_код,Коды_апп)&amp;"",""))</f>
        <v/>
      </c>
      <c r="CN143" t="str">
        <f t="shared" si="273"/>
        <v/>
      </c>
      <c r="CO143" t="str" cm="1">
        <f t="array" ref="CO143">IF(TRIM(CN143&amp;"")="","",IFERROR(TRIM(INDEX(_xlfn.TEXTSPLIT(CN143&amp;";;;",";"),1)),""))</f>
        <v/>
      </c>
      <c r="CP143" t="str" cm="1">
        <f t="array" ref="CP143">IF(TRIM(CN143&amp;"")="","",IFERROR(TRIM(INDEX(_xlfn.TEXTSPLIT(CN143&amp;";;;",";"),2)),""))</f>
        <v/>
      </c>
      <c r="CQ143" t="str" cm="1">
        <f t="array" ref="CQ143">IF(TRIM(CN143&amp;"")="","",IFERROR(TRIM(INDEX(_xlfn.TEXTSPLIT(CN143&amp;";;;",";"),3)),""))</f>
        <v/>
      </c>
      <c r="CR143">
        <f t="shared" si="274"/>
        <v>0</v>
      </c>
      <c r="CS143" t="str">
        <f>IF(B143="","",_xlfn.LET(_xlpm.t,LOWER(AV143&amp;""),IF(ISNUMBER(SEARCH("dim",_xlpm.t)),"DIM",IF(ISNUMBER(SEARCH("dali",_xlpm.t)),"DALI",IF(OR(ISNUMBER(SEARCH("relay",_xlpm.t)),ISNUMBER(SEARCH("реле",_xlpm.t))),"Relay",IF(ISNUMBER(SEARCH("кнопк",_xlpm.t)),"",IFERROR(_xlfn.XLOOKUP(AX143,Коды_код,Коды_упр)&amp;"","")))))))</f>
        <v/>
      </c>
      <c r="CT143" t="str">
        <f t="shared" si="275"/>
        <v/>
      </c>
      <c r="CU143">
        <f>IF(B143="","",_xlfn.LET(_xlpm.ig,N(P143)+IF(AF143="вручную",0,N(CB143)),_xlpm.n0,IFERROR(VLOOKUP(_xlpm.ig,Автомат_номиналы,2,TRUE),0),_xlpm.mn,MAX(CL143,IF(AF143="вручную",0,N(CE143))),MAX(_xlpm.n0,_xlpm.mn,IF(CR143=1,Мин_автомат_БП,0))))</f>
        <v>6</v>
      </c>
      <c r="CV143">
        <f t="shared" si="276"/>
        <v>1</v>
      </c>
      <c r="CW143" t="str">
        <f t="shared" si="277"/>
        <v>1P</v>
      </c>
      <c r="CX143" t="str">
        <f>_xlfn.LET(_xlpm.cc,UPPER(TRIM(IFERROR(_xlfn.XLOOKUP(AX143,Коды_код,Коды_хар)&amp;"",""))),IF(OR(_xlpm.cc="B",_xlpm.cc="В"),"B",IF(_xlpm.cc="D","D","С")))</f>
        <v>С</v>
      </c>
      <c r="CY143" t="str">
        <f t="shared" si="278"/>
        <v>1P С6А</v>
      </c>
      <c r="CZ143" t="str">
        <f t="shared" si="279"/>
        <v>1P С6А</v>
      </c>
      <c r="DA143" t="str">
        <f t="shared" si="280"/>
        <v>1P С6А</v>
      </c>
      <c r="DB143" cm="1">
        <f t="array" ref="DB143">IF(DA143="","",_xlfn.LET(_xlpm.t,SUBSTITUTE(SUBSTITUTE(SUBSTITUTE(UPPER(DA143),"С","C"),"А","A"),"В","B"),_xlpm.tk,_xlfn.TEXTSPLIT(_xlpm.t,"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3" t="str">
        <f t="shared" si="281"/>
        <v>ok</v>
      </c>
      <c r="DD143">
        <f t="shared" si="282"/>
        <v>6</v>
      </c>
      <c r="DE143" t="str">
        <f t="shared" si="283"/>
        <v>1P С6А</v>
      </c>
      <c r="DF143">
        <f t="shared" si="284"/>
        <v>0</v>
      </c>
      <c r="DG143">
        <f t="shared" si="285"/>
        <v>0</v>
      </c>
      <c r="DH143">
        <f t="shared" si="286"/>
        <v>0</v>
      </c>
      <c r="DI143">
        <f t="shared" si="287"/>
        <v>0.21650635094610962</v>
      </c>
      <c r="DJ143">
        <f t="shared" si="288"/>
        <v>1</v>
      </c>
      <c r="DK143">
        <f>IF(ISNUMBER(AL143),AL143,К_прокл)</f>
        <v>1</v>
      </c>
      <c r="DL143">
        <f t="shared" si="289"/>
        <v>2</v>
      </c>
      <c r="DM143">
        <f>IFERROR(N(VLOOKUP(BT143,Кабель_обозначение,3,FALSE)),1)</f>
        <v>1</v>
      </c>
      <c r="DN143">
        <f>IFERROR(N(_xlfn.XLOOKUP(A143,Щиты[Щит],Щиты[ΔU до шин, %])),0)</f>
        <v>1.1399999999999999</v>
      </c>
      <c r="DO143" t="str">
        <f>IFERROR(_xlfn.XLOOKUP(A143,Щиты[Щит],Щиты[Zпетли на шинах, Ом]),"")</f>
        <v/>
      </c>
      <c r="DP143">
        <f>IFERROR(N(_xlfn.XLOOKUP(A143,Щиты[Щит],Щиты[ΔU до шин (подбор), %])),0)</f>
        <v>1.82</v>
      </c>
      <c r="DQ143" t="str">
        <f>IFERROR(_xlfn.XLOOKUP(A143,Щиты[Щит],Щиты[Zпетли на шинах (подбор), Ом]),"")</f>
        <v/>
      </c>
      <c r="DR143" t="str">
        <f t="shared" si="290"/>
        <v/>
      </c>
      <c r="DS143">
        <f t="shared" si="291"/>
        <v>28</v>
      </c>
      <c r="DT143">
        <f t="shared" si="292"/>
        <v>2</v>
      </c>
      <c r="DU143">
        <f t="shared" si="293"/>
        <v>0.6</v>
      </c>
      <c r="DV143" s="6">
        <f>IF(B143="","",IF(IFERROR(VLOOKUP(AX143,УГО_спр,2,FALSE),"")="Светильник",3,4)+IF(Методика="нормы 2026",MIN(0.5,MAX(0,N(Q143)-100)*0.005),0))</f>
        <v>4</v>
      </c>
      <c r="DW143" cm="1">
        <f t="array" ref="DW143">IF(OR(B143="",BT143="",DM143&lt;&gt;1),"",_xlfn.LET(_xlpm.sz,Iдоп_S,_xlpm.t_,CHOOSE(DL143,Iдоп_1ж,Iдоп_2ж,Iдоп_3ж)*DJ143*DK143,_xlpm.inn,N(DD143),_xlpm.smin,MAX(1.5,BW143),_xlpm.L_,N(Q143)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143)*(_xlpm.rho*_xlpm.L_/_xlpm.sz*N(BY143)+_xlpm.xx*_xlpm.L_*N(DU143)/1000)*N(P143)/((Uн_лин/SQRT(3))*1000)*100,999),_xlpm.kz,IF(OR(DG143=1,NOT(ISNUMBER(DQ143)),_xlpm.L_=0,_xlpm.inn=0),1,IFERROR(--(c_min*(Uн_лин*1000/SQRT(3))/(DQ143+2*ρкз_Cu*_xlpm.L_/_xlpm.sz)&gt;=GY143*_xlpm.inn),0)),_xlpm.ok,IFERROR((_xlpm.sz&gt;=_xlpm.smin)*(_xlpm.t_&gt;=_xlpm.inn)*IF(_xlpm.L_&gt;0,(_xlpm.du_+DP143&lt;=DV143+0.00001),1)*_xlpm.kz,0),_xlpm.r_,_xlfn._xlws.FILTER(_xlpm.sz,_xlpm.ok,"не подобрано"),INDEX(_xlpm.r_,1)))</f>
        <v>1.5</v>
      </c>
      <c r="DX143">
        <f t="shared" si="294"/>
        <v>1.5</v>
      </c>
      <c r="DY143" cm="1">
        <f t="array" ref="DY143">IF(OR(B143="",BT143="",DM143&lt;&gt;1),"",_xlfn.LET(_xlpm.sz,Iдоп_S,_xlpm.t_,CHOOSE(DL143,Iдоп_1ж,Iдоп_2ж,Iдоп_3ж)*DJ143*DK143,_xlpm.ok,IFERROR((_xlpm.sz&gt;=MAX(1.5,BW143))*(_xlpm.t_&gt;=N(DD143)),0),_xlpm.r_,_xlfn._xlws.FILTER(_xlpm.sz,_xlpm.ok,""),INDEX(_xlpm.r_,1)))</f>
        <v>1.5</v>
      </c>
      <c r="DZ143" s="6" cm="1">
        <f t="array" ref="DZ143">IFERROR(ROUNDUP(N(DT143)*(_xlfn.XLOOKUP(DY143,INDEX(Кабель_сопротивление,0,1),INDEX(Кабель_сопротивление,0,3))*N(Q143)/DY143*N(BY143)+_xlfn.XLOOKUP(DY143,INDEX(Кабель_сопротивление,0,1),INDEX(Кабель_сопротивление,0,2))*N(Q143)*N(DU143)/1000)*N(P143)/((Uн_лин/SQRT(3))*1000)*100,2),"")</f>
        <v>6.9999999999999993E-2</v>
      </c>
      <c r="EA143">
        <f>IFERROR(2*ρкз_Cu*N(Q143)/DY143,"")</f>
        <v>1.052</v>
      </c>
      <c r="EB143">
        <f>IFERROR(VLOOKUP(DX143,Кабель_сопротивление,3,FALSE),"")</f>
        <v>2.2499999999999999E-2</v>
      </c>
      <c r="EC143">
        <f>IFERROR(VLOOKUP(DX143,Кабель_сопротивление,2,FALSE),"")</f>
        <v>0.11</v>
      </c>
      <c r="ED143">
        <f t="shared" si="295"/>
        <v>26</v>
      </c>
      <c r="EE143">
        <f t="shared" si="296"/>
        <v>0</v>
      </c>
      <c r="EF143">
        <f t="shared" si="297"/>
        <v>0.1567419378309455</v>
      </c>
      <c r="EG143" s="6">
        <f>IFERROR(ROUNDUP(EF143/((Uн_лин/SQRT(3))*1000)*100,2),"")</f>
        <v>6.9999999999999993E-2</v>
      </c>
      <c r="EH143" t="str">
        <f>IFERROR(VLOOKUP(BT143,Кабель_обозначение,2,FALSE),"")</f>
        <v>ВВГнг(А)-LS</v>
      </c>
      <c r="EI143" t="str">
        <f t="shared" si="298"/>
        <v>ВВГнг(А)-LS (3х1,5)</v>
      </c>
      <c r="EJ143" t="str">
        <f t="shared" si="299"/>
        <v>ВВГнг(А)-LS (3х1,5)
L=30-0,07%</v>
      </c>
      <c r="EK143">
        <f>IFERROR(2*ρкз_Cu*Q143/DX143,"")</f>
        <v>1.052</v>
      </c>
      <c r="EL143">
        <f t="shared" si="300"/>
        <v>0.35000000000000003</v>
      </c>
      <c r="EM143" s="6" t="str">
        <f>IFERROR(IF(OR(B143="",NOT(ISNUMBER(DX143)),N(Q143)=0),"",_xlfn.XLOOKUP(A143,Щиты[Щит],Щиты[Zпетли на шинах, Ом])+EK143),"")</f>
        <v/>
      </c>
      <c r="EN143" s="6" t="str">
        <f>IF(ISNUMBER(EM143),c_min*(Uн_лин*1000/SQRT(3))/EM143,"")</f>
        <v/>
      </c>
      <c r="EO143" s="6" t="str">
        <f>IFERROR(IF(OR(B143="",NOT(ISNUMBER(DX143))),"",1.05*(Uн_лин*1000/SQRT(3))/(_xlfn.XLOOKUP(A143,Щиты[Щит],Щиты[Zmax на шинах, Ом])+EL143)/1000),"")</f>
        <v/>
      </c>
      <c r="EP143" s="6" t="str">
        <f>IF(B143="","",IF(ISNUMBER(Y143),"Сил",IF(IFERROR(_xlfn.XLOOKUP(AX143,Коды_код,Коды_группа)&amp;"","")="","Быт",_xlfn.XLOOKUP(AX143,Коды_код,Коды_группа)&amp;"")))</f>
        <v>Сил</v>
      </c>
      <c r="EQ143" s="6" t="str">
        <f t="shared" si="301"/>
        <v>Сил</v>
      </c>
      <c r="ER143" s="6">
        <f>IF(EQ143="Щит","щит",IF(EQ143="","",IF(EQ143="Быт",IFERROR(_xlfn.XLOOKUP(A143,Щиты[Щит],Щиты[Кс быт]),1),IF(EQ143="Сил",IF(ISNUMBER(Y143),Y143,IF(Методика="нормы 2026",IFERROR(_xlfn.XLOOKUP(A143,Щиты[Щит],Щиты[Кс силовых (табл. 7.5)]),1),1)),IF(OR(EQ143="Пост",EQ143="Отоп"),1,IF(EQ143="ВНГ",0.7,0))))))</f>
        <v>0.5</v>
      </c>
      <c r="ES143">
        <f t="shared" si="302"/>
        <v>1</v>
      </c>
      <c r="ET143">
        <f t="shared" si="303"/>
        <v>0.04</v>
      </c>
      <c r="EU143">
        <f t="shared" si="304"/>
        <v>0</v>
      </c>
      <c r="EV143">
        <f t="shared" si="305"/>
        <v>0.02</v>
      </c>
      <c r="EW143">
        <f t="shared" si="306"/>
        <v>0</v>
      </c>
      <c r="EX143">
        <f t="shared" si="307"/>
        <v>0</v>
      </c>
      <c r="EY143">
        <f t="shared" si="308"/>
        <v>0</v>
      </c>
      <c r="EZ143">
        <f t="shared" si="309"/>
        <v>0.04</v>
      </c>
      <c r="FA143">
        <f t="shared" si="310"/>
        <v>3.2000000000000001E-2</v>
      </c>
      <c r="FB143">
        <f t="shared" si="311"/>
        <v>0.04</v>
      </c>
      <c r="FC143" t="str">
        <f t="shared" si="312"/>
        <v/>
      </c>
      <c r="FD143" t="str">
        <f>IF(B143="","",IF(CA143=0,IF(AW143=1,"",FF142),IF(OR(N(CV143)&gt;=3,N(BR143)&gt;=3),"L1,L2,L3",IFERROR(_xlfn.TEXTBEFORE(_xlfn.TEXTAFTER(_xlfn.XLOOKUP(A143,Щиты[Щит],Щиты[_фазы авто]),";"&amp;AW143&amp;":"),";"),"L1"))))</f>
        <v>L2</v>
      </c>
      <c r="FE143" t="str">
        <f t="shared" si="313"/>
        <v>L2</v>
      </c>
      <c r="FF143" t="str">
        <f t="shared" si="314"/>
        <v>L2</v>
      </c>
      <c r="FG143" cm="1">
        <f t="array" ref="FG143">IFERROR(IF(BX143=2,_xlfn.IFS(BR143=3,VLOOKUP(BN143,Справочная_двигатели,3,FALSE),BR143=1,VLOOKUP(BN143,Справочная_двигатели,5,TRUE)),0),0)</f>
        <v>0</v>
      </c>
      <c r="FH143">
        <f>IFERROR(IF(BX143=3,VLOOKUP(BN143,Справочная_ЛЭД,2,TRUE),0),0)</f>
        <v>0</v>
      </c>
      <c r="FI143" s="6">
        <f t="shared" si="315"/>
        <v>0</v>
      </c>
      <c r="FJ143" t="str" cm="1">
        <f t="array" ref="FJ143">IF(B143="","",IFERROR(INDEX({"I особая","I","II","III"},MATCH(TRIM(AC143&amp;""),{"I особая","I","II","III"},0)),"III"))</f>
        <v>II</v>
      </c>
      <c r="FK143" t="str">
        <f>IF(B143="","",IF(TRIM(AD143&amp;"")&lt;&gt;"",IF(LOWER(TRIM(AD143&amp;""))="да","да","нет"),IF(IFERROR(_xlfn.XLOOKUP(AX143,Коды_код,Коды_пожарная),"")="да","да","нет")))</f>
        <v>нет</v>
      </c>
      <c r="FL143" t="str">
        <f t="shared" si="316"/>
        <v/>
      </c>
      <c r="FM143" t="str">
        <f t="shared" si="317"/>
        <v>основная</v>
      </c>
      <c r="FN143">
        <f t="shared" si="318"/>
        <v>1</v>
      </c>
      <c r="FO143" t="str" cm="1">
        <f t="array" ref="FO143">IF(B143="","",_xlfn.LET(_xlpm.t,IFERROR(_xlfn.XLOOKUP(1,(Шины[Шина]=FM143)*(((Шины[Щит]=A143)+(Шины[Щит]=""))&gt;0),Шины[Тип]),"")&amp;"",IF(_xlpm.t&lt;&gt;"",_xlpm.t,IF(ISNUMBER(SEARCH("ИБП",FM143)),"ИБП",IF(ISNUMBER(SEARCH("ДГУ",FM143)),"ДГУ","Ввод "&amp;FN143)))))</f>
        <v>Ввод 1</v>
      </c>
      <c r="FP143" t="str">
        <f t="shared" si="319"/>
        <v>Ввод 1</v>
      </c>
      <c r="FQ143" t="str">
        <f>IF(B143="","",IF(OR(FO143="ИБП",FO143="ДГУ"),"I особая",IF(FO143="Одиночная","III",_xlfn.XLOOKUP(A143,Щиты[Щит],Щиты[Категория шины «Ввод»],"III"))))</f>
        <v>II</v>
      </c>
      <c r="FR143">
        <f>IF(B143="",0,IFERROR(MATCH(FJ143,{"III","II","I","I особая"},0),1))</f>
        <v>2</v>
      </c>
      <c r="FS143">
        <f t="shared" si="320"/>
        <v>2</v>
      </c>
      <c r="FT143" t="str">
        <f>IF(B143="","",IF(FR143&gt;IFERROR(MATCH(FQ143,{"III","II","I","I особая"},0),1),"НЕ ОБЕСПЕЧЕНА","ОК"))</f>
        <v>ОК</v>
      </c>
      <c r="FU143" t="str">
        <f>IF(A143="","",_xlfn.XLOOKUP(A143,Щиты[Щит],Щиты[Путь],""))</f>
        <v>|ГРЩ-ЖД|ЩОВ-2|</v>
      </c>
      <c r="FV143" t="str">
        <f>IF(B143="","",IF(AE143&lt;&gt;"",AE143,IF(IFERROR(_xlfn.XLOOKUP(AX143,Коды_код,Коды_вид)&amp;"","")="","Прочее",_xlfn.XLOOKUP(AX143,Коды_код,Коды_вид)&amp;"")))</f>
        <v>Кондиционирование и увлажнение</v>
      </c>
      <c r="FW143">
        <f>IF(BH143="","",INT((BH143-1)/Столбцов_на_лист)+1)</f>
        <v>2</v>
      </c>
      <c r="FX143" t="str">
        <f t="shared" si="321"/>
        <v>ВВГнг(А)-LS (3х1,5) L=30-0,07%</v>
      </c>
      <c r="FY143">
        <f t="shared" si="322"/>
        <v>0.04</v>
      </c>
      <c r="FZ143">
        <f t="shared" si="323"/>
        <v>0.22</v>
      </c>
      <c r="GA143">
        <f t="shared" si="324"/>
        <v>1</v>
      </c>
      <c r="GB143">
        <f t="shared" si="325"/>
        <v>0</v>
      </c>
      <c r="GC143">
        <f t="shared" si="326"/>
        <v>1</v>
      </c>
      <c r="GD143">
        <f>IF(BH143="","",IF(AND(CA143=1,GC143=1),COUNTIFS(A$3:A143,A143,CA$3:CA143,1,GC$3:GC143,1),IF(OR(OR(AW143=1,A143&lt;&gt;A142),AF143="вручную",GC143=0),"",IF(AW143=1,"",GE142))))</f>
        <v>13</v>
      </c>
      <c r="GE143">
        <f t="shared" si="327"/>
        <v>13</v>
      </c>
      <c r="GF143">
        <f>IF(B143="","",IFERROR(LOOKUP(INDEX(CHOOSE(DL143,Iдоп_1ж,Iдоп_2ж,Iдоп_3ж),MATCH(DX143,Iдоп_S,0))*DJ143*DK143,{6,10,16,20,25,32,40,50,63,80,100,125,160,200,250,315,400,500,630}),""))</f>
        <v>16</v>
      </c>
      <c r="GG143" t="str">
        <f t="shared" si="328"/>
        <v>QF13</v>
      </c>
      <c r="GH143" t="str">
        <f t="shared" si="329"/>
        <v>QF13</v>
      </c>
      <c r="GI143" t="str">
        <f t="shared" si="330"/>
        <v/>
      </c>
      <c r="GJ143">
        <f t="shared" si="331"/>
        <v>0</v>
      </c>
      <c r="GK143" t="str">
        <f>IF(OR(AG143="",AG143="-"),"",IFERROR(VLOOKUP(AG143,Модули_спр,2,FALSE),"R"))</f>
        <v/>
      </c>
      <c r="GL143" t="str">
        <f>IF(GK143="","",GK143&amp;"."&amp;COUNTIFS(A$3:A143,A143,GK$3:GK143,GK143))</f>
        <v/>
      </c>
      <c r="GM143" t="str">
        <f t="shared" si="332"/>
        <v/>
      </c>
      <c r="GN143" t="str">
        <f t="shared" si="333"/>
        <v/>
      </c>
      <c r="GO143" t="str">
        <f t="shared" si="334"/>
        <v/>
      </c>
      <c r="GP143" t="str">
        <f t="shared" si="335"/>
        <v/>
      </c>
      <c r="GQ143">
        <f t="shared" si="336"/>
        <v>1</v>
      </c>
      <c r="GR143" t="str">
        <f>IF(GQ143=1,"XT"&amp;COUNTIFS(A$3:A143,A143,GQ$3:GQ143,1),"")</f>
        <v>XT13</v>
      </c>
      <c r="GS143" t="str">
        <f t="shared" si="337"/>
        <v/>
      </c>
      <c r="GT143" t="str">
        <f t="shared" si="338"/>
        <v>QF13</v>
      </c>
      <c r="GU143" t="str">
        <f t="shared" si="339"/>
        <v/>
      </c>
      <c r="GV143" t="str">
        <f t="shared" si="340"/>
        <v>ok</v>
      </c>
      <c r="GW143" t="str">
        <f>IF(OR(GO143="",GM143=""),"",IF(GO143&gt;IFERROR(VLOOKUP(GN143,Модули_спр,3,FALSE),99),"ЛИШНИЙ КАНАЛ",IF(AND(AH143&lt;&gt;"=",COUNTIFS(Линии[_модуль гр.],GM143,Линии[Канал (итог)],GO143,Линии[Канал],"&lt;&gt;=",Линии[Щит],A143)&gt;1),"ДУБЛЬ КАНАЛА","")))</f>
        <v/>
      </c>
      <c r="GX143" s="6" t="str">
        <f t="shared" si="341"/>
        <v/>
      </c>
      <c r="GY143">
        <f t="shared" si="342"/>
        <v>10</v>
      </c>
      <c r="GZ143" t="str">
        <f t="shared" si="343"/>
        <v/>
      </c>
      <c r="HA143" t="str">
        <f>IF(AND(B143="",GT143=""),"",_xlfn.TEXTJOIN("; ",TRUE,IF(AND(B143&lt;&gt;"",FE143=""),"нет фазы",""),IF(AND(B143&lt;&gt;"",N(FY143)=0,EQ143&lt;&gt;"Нет"),"нет мощности",""),IF(AND(GS143&lt;&gt;"",COUNTIFS(Линии[Щит],A143,Линии[Клемма (итог)],GS143)&gt;1),"дубль клеммы "&amp;GS143,""),IF(AND(GV143&lt;&gt;"",GV143&lt;&gt;"ok"),GV143,""),IF(GW143&lt;&gt;"",GW143,""),IF(AND(N(BV143)&gt;=4,N(BR143)=1),BV143&amp;" жил на 1 фазе",""),IF(AND(AX143="R",CA143=1,OR(N(CK143)=0,N(CK143)&gt;30)),"розетка без дифзащиты до 30 мА",""),IFERROR(IF(AND(ISNUMBER(R143),R143&gt;DV143),"потери "&amp;FIXED(R143,1)&amp;" % &gt; "&amp;DV143&amp;" %",""),""),IFERROR(IF(LEFT(GZ143,4)="мало","Iкз мало — отключение &gt; 0,4 с",""),""),IF(AND(B143&lt;&gt;"",BH143=""),"не на схеме",""),IF(AND(CA143=0,B143&lt;&gt;"",FE143&lt;&gt;"",IF(AW143=1,"",FF142)&lt;&gt;"",FE143&lt;&gt;IF(AW143=1,"",FF142)),"фаза не как у автомата группы ("&amp;IF(AW143=1,"",FF142)&amp;")","")))</f>
        <v/>
      </c>
      <c r="HB143" s="6" t="str">
        <f>IF(OR(CA143=0,DA143=""),"",_xlfn.LET(_xlpm.t,IFERROR(_xlfn.XLOOKUP(DA143,Каталог!$U$4:$U$500,Каталог!$G$4:$G$500),""),_xlpm.k,SEARCH("кА",_xlpm.t),IFERROR(--TRIM(RIGHT(SUBSTITUTE(MID(_xlpm.t,MAX(1,_xlpm.k-4),_xlpm.k-MAX(1,_xlpm.k-4))," ",REPT(" ",9)),5)),"")))</f>
        <v/>
      </c>
      <c r="HC143" t="str">
        <f>IF(OR(HB143="",CA143=0),"",IF(_xlfn.XLOOKUP(A143,Щиты[Щит],Щиты[Iкз max на шинах, кА],"")="","",IF(HB143&lt;_xlfn.XLOOKUP(A143,Щиты[Щит],Щиты[Iкз max на шинах, кА]),"Icu "&amp;HB143&amp;" кА &lt; Iкз max","ok")))</f>
        <v/>
      </c>
      <c r="HD143" t="str">
        <f t="shared" si="344"/>
        <v/>
      </c>
      <c r="HE143" t="str">
        <f t="shared" si="345"/>
        <v>QF13</v>
      </c>
      <c r="HF143" t="str">
        <f t="shared" si="346"/>
        <v>QF13|кабель ВВГнг(А)-LS (3х1,5) → Внутренний блок кондиционирования Технический этаж Пом. №004Т</v>
      </c>
      <c r="HG143" t="str" cm="1">
        <f t="array" ref="HG143">IF(HF143="","",_xlfn.LET(_xlpm.nd,_xlfn.TEXTSPLIT(HF143,"|"),IF(COLUMNS(_xlpm.nd)&gt;1,A143&amp;"¦"&amp;INDEX(_xlpm.nd,1)&amp;"¦"&amp;INDEX(_xlpm.nd,2),"")))</f>
        <v>ЩОВ-2¦QF13¦кабель ВВГнг(А)-LS (3х1,5) → Внутренний блок кондиционирования Технический этаж Пом. №004Т</v>
      </c>
      <c r="HH143" t="str">
        <f t="shared" si="347"/>
        <v>K.3.004T.1¦Внутренний блок кондиционирования Технический этаж Пом. №004Т</v>
      </c>
      <c r="HI143" t="str" cm="1">
        <f t="array" ref="HI143">IF(HF143="","",_xlfn.LET(_xlpm.nd,_xlfn.TEXTSPLIT(HF143,"|"),IF(COLUMNS(_xlpm.nd)&gt;2,A143&amp;"¦"&amp;INDEX(_xlpm.nd,2)&amp;"¦"&amp;INDEX(_xlpm.nd,3),"")))</f>
        <v/>
      </c>
      <c r="HJ143" t="str">
        <f t="shared" si="348"/>
        <v/>
      </c>
      <c r="HK143" t="str" cm="1">
        <f t="array" ref="HK143">IF(HF143="","",_xlfn.LET(_xlpm.nd,_xlfn.TEXTSPLIT(HF143,"|"),IF(COLUMNS(_xlpm.nd)&gt;3,A143&amp;"¦"&amp;INDEX(_xlpm.nd,3)&amp;"¦"&amp;INDEX(_xlpm.nd,4),"")))</f>
        <v/>
      </c>
      <c r="HL143" t="str">
        <f t="shared" si="349"/>
        <v/>
      </c>
      <c r="HM143" t="str" cm="1">
        <f t="array" ref="HM143">IF(HF143="","",_xlfn.LET(_xlpm.nd,_xlfn.TEXTSPLIT(HF143,"|"),IF(COLUMNS(_xlpm.nd)&gt;4,A143&amp;"¦"&amp;INDEX(_xlpm.nd,4)&amp;"¦"&amp;INDEX(_xlpm.nd,5),"")))</f>
        <v/>
      </c>
      <c r="HN143" t="str">
        <f t="shared" si="350"/>
        <v/>
      </c>
      <c r="HO143" t="str" cm="1">
        <f t="array" ref="HO143">IF(HF143="","",_xlfn.LET(_xlpm.nd,_xlfn.TEXTSPLIT(HF143,"|"),IF(COLUMNS(_xlpm.nd)&gt;5,A143&amp;"¦"&amp;INDEX(_xlpm.nd,5)&amp;"¦"&amp;INDEX(_xlpm.nd,6),"")))</f>
        <v/>
      </c>
      <c r="HP143" t="str">
        <f t="shared" si="351"/>
        <v/>
      </c>
      <c r="HQ143" t="str" cm="1">
        <f t="array" ref="HQ143">IF(HF143="","",_xlfn.LET(_xlpm.nd,_xlfn.TEXTSPLIT(HF143,"|"),IF(COLUMNS(_xlpm.nd)&gt;6,A143&amp;"¦"&amp;INDEX(_xlpm.nd,6)&amp;"¦"&amp;INDEX(_xlpm.nd,7),"")))</f>
        <v/>
      </c>
      <c r="HR143" t="str">
        <f t="shared" si="352"/>
        <v/>
      </c>
      <c r="HS143" t="str">
        <f t="shared" si="353"/>
        <v/>
      </c>
      <c r="HT143" t="str">
        <f t="shared" si="354"/>
        <v>QF13</v>
      </c>
      <c r="HU143">
        <f t="shared" si="355"/>
        <v>0</v>
      </c>
      <c r="HV143">
        <f t="shared" si="356"/>
        <v>0</v>
      </c>
      <c r="HW143" t="str">
        <f t="shared" si="357"/>
        <v/>
      </c>
      <c r="HX143" t="str">
        <f t="shared" si="358"/>
        <v/>
      </c>
      <c r="HY143" t="str">
        <f t="shared" si="359"/>
        <v/>
      </c>
      <c r="HZ143" t="str">
        <f t="shared" si="360"/>
        <v/>
      </c>
      <c r="IA143">
        <f>IF(B143="","",IFERROR(VLOOKUP(B143,УГО_спр,2,FALSE),IFERROR(VLOOKUP(AX143,УГО_спр,2,FALSE),IFERROR(VLOOKUP(LEFT(AX143,2),УГО_спр,2,FALSE),""))))</f>
        <v>0</v>
      </c>
      <c r="IB143" t="str">
        <f>IF(B143="","",IF(OR(IA143="",IA143=0),"BOX",IFERROR(IF(VLOOKUP(IA143,УГО_блоки,3,FALSE)&amp;""&lt;&gt;"",VLOOKUP(IA143,УГО_блоки,3,FALSE),VLOOKUP(IA143,УГО_блоки,2,FALSE)),IA143)))</f>
        <v>BOX</v>
      </c>
      <c r="IC143">
        <f t="shared" si="361"/>
        <v>1</v>
      </c>
      <c r="ID143" t="str">
        <f>IF(DA143="","",IF(COUNTIF(DA$3:DA143,DA143)=1,MAX(ID$2:ID142)+1,""))</f>
        <v/>
      </c>
      <c r="IE143" t="str">
        <f>IF(CO143="","",IF(COUNTIF(CO$3:CO143,CO143)+COUNTIF(CP$2:CP142,CO143)+COUNTIF(CQ$2:CQ142,CO143)=1,MAX(IE$2:IG142)+1,""))</f>
        <v/>
      </c>
      <c r="IF143" t="str">
        <f>IF(CP143="","",IF(COUNTIF(CO$3:CO143,CP143)+COUNTIF(CP$3:CP143,CP143)+COUNTIF(CQ$2:CQ142,CP143)=1,MAX(IE$2:IG142,IE143)+1,""))</f>
        <v/>
      </c>
      <c r="IG143" t="str">
        <f>IF(CQ143="","",IF(COUNTIF(CO$3:CO143,CQ143)+COUNTIF(CP$3:CP143,CQ143)+COUNTIF(CQ$3:CQ143,CQ143)=1,MAX(IE$2:IG142,IE143,IF143)+1,""))</f>
        <v/>
      </c>
      <c r="IH143" t="str">
        <f t="shared" si="362"/>
        <v>3х1,5</v>
      </c>
      <c r="II143" t="str">
        <f>IF(IH143="","",IF(COUNTIF(IH$3:IH143,IH143)=1,MAX(II$2:II142)+1,""))</f>
        <v/>
      </c>
      <c r="IJ143" t="str">
        <f>IF(GL143="","",COUNTIF(GL$3:GL143,"?*"))</f>
        <v/>
      </c>
      <c r="IK143" t="str">
        <f>IF(OR(GL143="",GN143=""),"",IF(COUNTIFS(GL$3:GL143,"?*",GN$3:GN143,GN143)=1,MAX(IK$2:IK142)+1,""))</f>
        <v/>
      </c>
      <c r="IL143">
        <f t="shared" si="363"/>
        <v>0</v>
      </c>
      <c r="IM143">
        <f>IF(B143="","",COUNTIF(B$3:B143,"?*"))</f>
        <v>141</v>
      </c>
      <c r="IN143">
        <f>IF(GQ143&lt;&gt;1,0,_xlfn.LET(_xlpm.k,MAX(IFERROR(--VLOOKUP(B143,УГО_спр,5,FALSE),0),IFERROR(--VLOOKUP(AX143,УГО_спр,5,FALSE),0),IFERROR(--VLOOKUP(LEFT(AX143,2),УГО_спр,5,FALSE),0)),IF(_xlpm.k&gt;0,_xlpm.k,IF(IFERROR(--LEFT(SUBSTITUTE(IH143,"x","х"),FIND("х",SUBSTITUTE(IH143,"x","х"))-1),3)&gt;3,Каталог!$S$9,1))))</f>
        <v>1</v>
      </c>
      <c r="IO143">
        <f t="shared" si="364"/>
        <v>0</v>
      </c>
      <c r="IP143" t="str">
        <f t="shared" si="365"/>
        <v>авто</v>
      </c>
      <c r="IQ143" t="str">
        <f t="shared" si="366"/>
        <v/>
      </c>
      <c r="IR143">
        <f t="shared" si="367"/>
        <v>0</v>
      </c>
      <c r="IS143">
        <f t="shared" si="368"/>
        <v>1</v>
      </c>
    </row>
    <row r="144" spans="1:253" x14ac:dyDescent="0.3">
      <c r="A144" t="s">
        <v>753</v>
      </c>
      <c r="B144" t="s">
        <v>1412</v>
      </c>
      <c r="C144" t="s">
        <v>1647</v>
      </c>
      <c r="D144">
        <v>1</v>
      </c>
      <c r="E144">
        <v>0.04</v>
      </c>
      <c r="G144" t="str">
        <f>Линии[[#This Row],[_авто автомат]]</f>
        <v>1P С6А</v>
      </c>
      <c r="H144" t="str">
        <f>Линии[[#This Row],[_авто утечка]]</f>
        <v/>
      </c>
      <c r="I144" t="str">
        <f>Линии[[#This Row],[_авто управление]]</f>
        <v/>
      </c>
      <c r="J144" t="str">
        <f>Линии[[#This Row],[_авто аппараты]]</f>
        <v/>
      </c>
      <c r="K144">
        <v>1.5</v>
      </c>
      <c r="L144">
        <v>27</v>
      </c>
      <c r="M144">
        <v>1</v>
      </c>
      <c r="N144" t="s">
        <v>486</v>
      </c>
      <c r="O144" t="str">
        <f t="shared" si="246"/>
        <v/>
      </c>
      <c r="P144" s="6" cm="1">
        <f t="array" ref="P144">IF(B144="","",IF(BC144&lt;&gt;"",IFERROR(_xlfn.XLOOKUP(BC144,Щиты[Щит],Щиты[Iр, А]),""),IF(BK144=1,IFERROR(_xlfn.XLOOKUP(A144,Щиты[Щит],Щиты[Iр, А]),""),IFERROR(_xlfn.IFS(BR144=1,BN144/((Uн_лин/SQRT(3))*BY144),BR144=3,BN144/(SQRT(3)*Uн_лин*BY144)),""))))</f>
        <v>0.21650635094610962</v>
      </c>
      <c r="Q144" s="7">
        <f>IF(B144="","",IFERROR(IF(VLOOKUP(AX144,Потребители_обозначение,4,FALSE)=1,VLOOKUP(AX144,Потребители_обозначение,3,FALSE)*(D144*2-1)+DS144+VLOOKUP(AZ144,Этаж_обозначение,3,FALSE)+VLOOKUP(AZ144,Этаж_обозначение,4,FALSE),VLOOKUP(AX144,Потребители_обозначение,3,FALSE)*(D144*2-1)+DS144),DS144))</f>
        <v>29</v>
      </c>
      <c r="R144" s="6">
        <f t="shared" si="247"/>
        <v>1.21</v>
      </c>
      <c r="S144" t="str">
        <f t="shared" si="248"/>
        <v>ВВГнг(А)-LS (3х1,5)</v>
      </c>
      <c r="T144" t="str">
        <f>IF(BH144="","",IF(BI144="вводной узел","узел ","")&amp;"л."&amp;(INT((BH144-1)/Столбцов_на_лист)+1)&amp;" / "&amp;(MOD(BH144-1,Столбцов_на_лист)+1))</f>
        <v>л.2 / 16</v>
      </c>
      <c r="V144">
        <v>1</v>
      </c>
      <c r="W144">
        <v>230</v>
      </c>
      <c r="X144" t="s">
        <v>600</v>
      </c>
      <c r="Y144">
        <v>0.5</v>
      </c>
      <c r="AC144" t="s">
        <v>815</v>
      </c>
      <c r="AE144" t="s">
        <v>578</v>
      </c>
      <c r="AI144">
        <v>33</v>
      </c>
      <c r="AJ144" t="s">
        <v>11</v>
      </c>
      <c r="AK144">
        <v>3</v>
      </c>
      <c r="AM144">
        <v>4</v>
      </c>
      <c r="AN144">
        <v>25</v>
      </c>
      <c r="AP144">
        <v>1</v>
      </c>
      <c r="AW144" cm="1">
        <f t="array" ref="AW144">ROW()-ROW(Линии[#Headers])</f>
        <v>142</v>
      </c>
      <c r="AX144" s="6" t="str">
        <f t="shared" si="249"/>
        <v>K</v>
      </c>
      <c r="AY144" t="str">
        <f t="shared" si="250"/>
        <v>3.004T.2</v>
      </c>
      <c r="AZ144" t="str">
        <f t="shared" si="251"/>
        <v>3</v>
      </c>
      <c r="BA144" t="str">
        <f t="shared" si="252"/>
        <v>004T.2</v>
      </c>
      <c r="BB144" t="str">
        <f t="shared" si="253"/>
        <v>004T</v>
      </c>
      <c r="BC144" t="str">
        <f>IF(U144&lt;&gt;"",U144,IF(AND(B144&lt;&gt;"",B144&lt;&gt;A144,ISNUMBER(_xlfn.XMATCH(B144,Щиты[Щит]))),B144,""))</f>
        <v/>
      </c>
      <c r="BD144" t="str" cm="1">
        <f t="array" ref="BD144">IF(B144="","",IF(BC144&lt;&gt;"","Щит "&amp;BC144,_xlfn.LET(_xlpm.nm,IFERROR(_xlfn.XLOOKUP(AX144,Коды_код,Коды_имя)&amp;"",""),_xlpm.md,IFERROR(N(_xlfn.XLOOKUP(AX144,Коды_код,Коды_режим)),1),_xlpm.ex,IF(Имя_режим="по экспликации",IFERROR(_xlfn.XLOOKUP(AZ144&amp;"|"&amp;BB144,Экспликация[Этаж]&amp;"|"&amp;Экспликация[Помещение],Экспликация[Название])&amp;"",""),""),_xlpm.rm,IF(BB144="","",IF(_xlpm.ex&lt;&gt;"",". "&amp;_xlpm.ex&amp;IF(Имя_пом="нет"," ("&amp;BB144&amp;")"," (пом. "&amp;BB144&amp;")"),IF(Имя_пом="нет"," ",", пом. ")&amp;BB144)),IF(_xlpm.nm="","",IF(_xlpm.md=2,_xlpm.nm&amp;" шлейф "&amp;AZ144,_xlpm.nm&amp;_xlpm.rm)))))</f>
        <v>Внутренний блок кондиционирования, пом. 004T</v>
      </c>
      <c r="BE144" t="str">
        <f t="shared" si="254"/>
        <v>Внутренний блок кондиционирования Технический этаж Пом. №004Т</v>
      </c>
      <c r="BF144">
        <f>IFERROR(_xlfn.XMATCH(A144,Щиты[Щит]),0)</f>
        <v>7</v>
      </c>
      <c r="BG144">
        <f>_xlfn.LET(_xlpm.k,IFERROR(_xlfn.XLOOKUP(A144,Щиты[Щит],Щиты[Листов под вводной узел]),""),IF(_xlpm.k="",1,N(_xlpm.k))*Столбцов_на_лист)</f>
        <v>17</v>
      </c>
      <c r="BH144">
        <f t="shared" si="255"/>
        <v>33</v>
      </c>
      <c r="BI144" t="str">
        <f t="shared" si="256"/>
        <v>линии</v>
      </c>
      <c r="BJ144" s="6">
        <f>IFERROR(N(_xlfn.XLOOKUP(AX144,Коды_код,Коды_квт)),0)</f>
        <v>0</v>
      </c>
      <c r="BK144">
        <f t="shared" si="257"/>
        <v>0</v>
      </c>
      <c r="BL144" t="str">
        <f>IF(B144="","",IF(BC144&lt;&gt;"",IFERROR(_xlfn.XLOOKUP(BC144,Щиты[Щит],Щиты[Руст, кВт]),0),IF(BK144=1,IFERROR(_xlfn.XLOOKUP(A144,Щиты[Щит],Щиты[Руст, кВт]),0),IF(BJ144&gt;0,ROUND(BJ144*MAX(1,N(D144)),3),""))))</f>
        <v/>
      </c>
      <c r="BM144">
        <f t="shared" si="258"/>
        <v>0.04</v>
      </c>
      <c r="BN144" s="6">
        <f>IF(B144="","",IF(BC144&lt;&gt;"",IFERROR(_xlfn.XLOOKUP(BC144,Щиты[Щит],Щиты[Руст, кВт]),0),N(BM144)))</f>
        <v>0.04</v>
      </c>
      <c r="BO144" t="str">
        <f>IF(B144="","",IFERROR(IF(VLOOKUP(AX144,Потребители_обозначение,8,FALSE)=0,"",VLOOKUP(AX144,Потребители_обозначение,8,FALSE)),""))</f>
        <v/>
      </c>
      <c r="BP144">
        <f t="shared" si="259"/>
        <v>230</v>
      </c>
      <c r="BQ144">
        <f>IF(B144="","",IF(BC144&lt;&gt;"",3,IFERROR(IF(N(VLOOKUP(AX144,Потребители_обозначение,9,FALSE))=0,1,VLOOKUP(AX144,Потребители_обозначение,9,FALSE)),1)))</f>
        <v>1</v>
      </c>
      <c r="BR144">
        <f t="shared" si="260"/>
        <v>1</v>
      </c>
      <c r="BS144" t="str">
        <f>IF(B144="","",_xlfn.LET(_xlpm.bc,IFERROR(IF(VLOOKUP(AX144,Потребители_обозначение,6,FALSE)=0,"",VLOOKUP(AX144,Потребители_обозначение,6,FALSE)&amp;""),""),IF(AND(FK144="да",OR(_xlpm.bc="",_xlpm.bc="мс")),Марка_пож,IF(AND(_xlpm.bc="",BC144&lt;&gt;""),"мс",_xlpm.bc))))</f>
        <v/>
      </c>
      <c r="BT144" t="str">
        <f t="shared" si="261"/>
        <v>мс</v>
      </c>
      <c r="BU144">
        <f>IF(B144="","",_xlfn.LET(_xlpm.cc,IFERROR(N(VLOOKUP(AX144,Потребители_обозначение,7,FALSE)),0),IF(_xlpm.cc&gt;0,_xlpm.cc,IF(BT144="","",IF(N(BR144)=3,5,3)))))</f>
        <v>3</v>
      </c>
      <c r="BV144">
        <f t="shared" si="262"/>
        <v>3</v>
      </c>
      <c r="BW144">
        <f>IFERROR(N(VLOOKUP(AX144,Потребители_обозначение,10,FALSE)),0)</f>
        <v>0</v>
      </c>
      <c r="BX144">
        <f>IFERROR(VLOOKUP(AX144,Потребители_обозначение,5,FALSE),0)</f>
        <v>1</v>
      </c>
      <c r="BY144" s="6" cm="1">
        <f t="array" ref="BY144">IF(B144="","",IF(BC144&lt;&gt;"",IFERROR(_xlfn.XLOOKUP(BC144,Щиты[Щит],Щиты[cos φ]),0.95),IF(BK144=1,IFERROR(_xlfn.XLOOKUP(A144,Щиты[Щит],Щиты[cos φ]),0.95),IF(ISNUMBER(Z144),Z144,IFERROR(IF(BX144=2,_xlfn.IFS(BR144=3,VLOOKUP(BN144,Справочная_двигатели,8,FALSE),BR144=1,VLOOKUP(BN144,Справочная_двигатели,10,TRUE)),IF(AND(Методика="нормы 2026",EQ144="Сил"),0.8,0.95)),0.95)))))</f>
        <v>0.8</v>
      </c>
      <c r="BZ144">
        <f t="shared" si="263"/>
        <v>0</v>
      </c>
      <c r="CA144">
        <f t="shared" si="264"/>
        <v>1</v>
      </c>
      <c r="CB144">
        <f t="shared" si="265"/>
        <v>0</v>
      </c>
      <c r="CC144">
        <f t="shared" si="266"/>
        <v>0</v>
      </c>
      <c r="CD144">
        <f t="shared" si="267"/>
        <v>0</v>
      </c>
      <c r="CE144">
        <f t="shared" si="268"/>
        <v>0</v>
      </c>
      <c r="CF144">
        <f t="shared" si="269"/>
        <v>0</v>
      </c>
      <c r="CG144">
        <f>IF(AX144="",0,_xlfn.LET(_xlpm.v,IFERROR(VLOOKUP(B144,УГО_спр,3,FALSE),IFERROR(VLOOKUP(AX144,УГО_спр,3,FALSE),IFERROR(VLOOKUP(LEFT(AX144,2),УГО_спр,3,FALSE),""))),IF(_xlpm.v="да",30,IF(ISNUMBER(_xlpm.v),_xlpm.v,0))))</f>
        <v>0</v>
      </c>
      <c r="CH144" t="str">
        <f t="shared" si="270"/>
        <v/>
      </c>
      <c r="CI144" t="str">
        <f>_xlfn.LET(_xlpm.k,IFERROR(_xlfn.XLOOKUP(AX144,Коды_код,Коды_утечка)&amp;"",""),IF(_xlpm.k="","дифавтомат",_xlpm.k))</f>
        <v>дифавтомат</v>
      </c>
      <c r="CJ144">
        <f t="shared" si="271"/>
        <v>0</v>
      </c>
      <c r="CK144">
        <f t="shared" si="272"/>
        <v>0</v>
      </c>
      <c r="CL144">
        <f>IF(B144="",0,IFERROR(--VLOOKUP(B144,УГО_спр,4,FALSE),IFERROR(--VLOOKUP(AX144,УГО_спр,4,FALSE),IFERROR(--VLOOKUP(LEFT(AX144,2),УГО_спр,4,FALSE),0))))</f>
        <v>0</v>
      </c>
      <c r="CM144" t="str">
        <f>IF(B144="","",IFERROR(_xlfn.XLOOKUP(AX144,Коды_код,Коды_апп)&amp;"",""))</f>
        <v/>
      </c>
      <c r="CN144" t="str">
        <f t="shared" si="273"/>
        <v/>
      </c>
      <c r="CO144" t="str" cm="1">
        <f t="array" ref="CO144">IF(TRIM(CN144&amp;"")="","",IFERROR(TRIM(INDEX(_xlfn.TEXTSPLIT(CN144&amp;";;;",";"),1)),""))</f>
        <v/>
      </c>
      <c r="CP144" t="str" cm="1">
        <f t="array" ref="CP144">IF(TRIM(CN144&amp;"")="","",IFERROR(TRIM(INDEX(_xlfn.TEXTSPLIT(CN144&amp;";;;",";"),2)),""))</f>
        <v/>
      </c>
      <c r="CQ144" t="str" cm="1">
        <f t="array" ref="CQ144">IF(TRIM(CN144&amp;"")="","",IFERROR(TRIM(INDEX(_xlfn.TEXTSPLIT(CN144&amp;";;;",";"),3)),""))</f>
        <v/>
      </c>
      <c r="CR144">
        <f t="shared" si="274"/>
        <v>0</v>
      </c>
      <c r="CS144" t="str">
        <f>IF(B144="","",_xlfn.LET(_xlpm.t,LOWER(AV144&amp;""),IF(ISNUMBER(SEARCH("dim",_xlpm.t)),"DIM",IF(ISNUMBER(SEARCH("dali",_xlpm.t)),"DALI",IF(OR(ISNUMBER(SEARCH("relay",_xlpm.t)),ISNUMBER(SEARCH("реле",_xlpm.t))),"Relay",IF(ISNUMBER(SEARCH("кнопк",_xlpm.t)),"",IFERROR(_xlfn.XLOOKUP(AX144,Коды_код,Коды_упр)&amp;"","")))))))</f>
        <v/>
      </c>
      <c r="CT144" t="str">
        <f t="shared" si="275"/>
        <v/>
      </c>
      <c r="CU144">
        <f>IF(B144="","",_xlfn.LET(_xlpm.ig,N(P144)+IF(AF144="вручную",0,N(CB144)),_xlpm.n0,IFERROR(VLOOKUP(_xlpm.ig,Автомат_номиналы,2,TRUE),0),_xlpm.mn,MAX(CL144,IF(AF144="вручную",0,N(CE144))),MAX(_xlpm.n0,_xlpm.mn,IF(CR144=1,Мин_автомат_БП,0))))</f>
        <v>6</v>
      </c>
      <c r="CV144">
        <f t="shared" si="276"/>
        <v>1</v>
      </c>
      <c r="CW144" t="str">
        <f t="shared" si="277"/>
        <v>1P</v>
      </c>
      <c r="CX144" t="str">
        <f>_xlfn.LET(_xlpm.cc,UPPER(TRIM(IFERROR(_xlfn.XLOOKUP(AX144,Коды_код,Коды_хар)&amp;"",""))),IF(OR(_xlpm.cc="B",_xlpm.cc="В"),"B",IF(_xlpm.cc="D","D","С")))</f>
        <v>С</v>
      </c>
      <c r="CY144" t="str">
        <f t="shared" si="278"/>
        <v>1P С6А</v>
      </c>
      <c r="CZ144" t="str">
        <f t="shared" si="279"/>
        <v>1P С6А</v>
      </c>
      <c r="DA144" t="str">
        <f t="shared" si="280"/>
        <v>1P С6А</v>
      </c>
      <c r="DB144" cm="1">
        <f t="array" ref="DB144">IF(DA144="","",_xlfn.LET(_xlpm.t,SUBSTITUTE(SUBSTITUTE(SUBSTITUTE(UPPER(DA144),"С","C"),"А","A"),"В","B"),_xlpm.tk,_xlfn.TEXTSPLIT(_xlpm.t,"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4" t="str">
        <f t="shared" si="281"/>
        <v>ok</v>
      </c>
      <c r="DD144">
        <f t="shared" si="282"/>
        <v>6</v>
      </c>
      <c r="DE144" t="str">
        <f t="shared" si="283"/>
        <v>1P С6А</v>
      </c>
      <c r="DF144">
        <f t="shared" si="284"/>
        <v>0</v>
      </c>
      <c r="DG144">
        <f t="shared" si="285"/>
        <v>0</v>
      </c>
      <c r="DH144">
        <f t="shared" si="286"/>
        <v>0</v>
      </c>
      <c r="DI144">
        <f t="shared" si="287"/>
        <v>0.21650635094610962</v>
      </c>
      <c r="DJ144">
        <f t="shared" si="288"/>
        <v>1</v>
      </c>
      <c r="DK144">
        <f>IF(ISNUMBER(AL144),AL144,К_прокл)</f>
        <v>1</v>
      </c>
      <c r="DL144">
        <f t="shared" si="289"/>
        <v>2</v>
      </c>
      <c r="DM144">
        <f>IFERROR(N(VLOOKUP(BT144,Кабель_обозначение,3,FALSE)),1)</f>
        <v>1</v>
      </c>
      <c r="DN144">
        <f>IFERROR(N(_xlfn.XLOOKUP(A144,Щиты[Щит],Щиты[ΔU до шин, %])),0)</f>
        <v>1.1399999999999999</v>
      </c>
      <c r="DO144" t="str">
        <f>IFERROR(_xlfn.XLOOKUP(A144,Щиты[Щит],Щиты[Zпетли на шинах, Ом]),"")</f>
        <v/>
      </c>
      <c r="DP144">
        <f>IFERROR(N(_xlfn.XLOOKUP(A144,Щиты[Щит],Щиты[ΔU до шин (подбор), %])),0)</f>
        <v>1.82</v>
      </c>
      <c r="DQ144" t="str">
        <f>IFERROR(_xlfn.XLOOKUP(A144,Щиты[Щит],Щиты[Zпетли на шинах (подбор), Ом]),"")</f>
        <v/>
      </c>
      <c r="DR144" t="str">
        <f t="shared" si="290"/>
        <v/>
      </c>
      <c r="DS144">
        <f t="shared" si="291"/>
        <v>27</v>
      </c>
      <c r="DT144">
        <f t="shared" si="292"/>
        <v>2</v>
      </c>
      <c r="DU144">
        <f t="shared" si="293"/>
        <v>0.6</v>
      </c>
      <c r="DV144" s="6">
        <f>IF(B144="","",IF(IFERROR(VLOOKUP(AX144,УГО_спр,2,FALSE),"")="Светильник",3,4)+IF(Методика="нормы 2026",MIN(0.5,MAX(0,N(Q144)-100)*0.005),0))</f>
        <v>4</v>
      </c>
      <c r="DW144" cm="1">
        <f t="array" ref="DW144">IF(OR(B144="",BT144="",DM144&lt;&gt;1),"",_xlfn.LET(_xlpm.sz,Iдоп_S,_xlpm.t_,CHOOSE(DL144,Iдоп_1ж,Iдоп_2ж,Iдоп_3ж)*DJ144*DK144,_xlpm.inn,N(DD144),_xlpm.smin,MAX(1.5,BW144),_xlpm.L_,N(Q144)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144)*(_xlpm.rho*_xlpm.L_/_xlpm.sz*N(BY144)+_xlpm.xx*_xlpm.L_*N(DU144)/1000)*N(P144)/((Uн_лин/SQRT(3))*1000)*100,999),_xlpm.kz,IF(OR(DG144=1,NOT(ISNUMBER(DQ144)),_xlpm.L_=0,_xlpm.inn=0),1,IFERROR(--(c_min*(Uн_лин*1000/SQRT(3))/(DQ144+2*ρкз_Cu*_xlpm.L_/_xlpm.sz)&gt;=GY144*_xlpm.inn),0)),_xlpm.ok,IFERROR((_xlpm.sz&gt;=_xlpm.smin)*(_xlpm.t_&gt;=_xlpm.inn)*IF(_xlpm.L_&gt;0,(_xlpm.du_+DP144&lt;=DV144+0.00001),1)*_xlpm.kz,0),_xlpm.r_,_xlfn._xlws.FILTER(_xlpm.sz,_xlpm.ok,"не подобрано"),INDEX(_xlpm.r_,1)))</f>
        <v>1.5</v>
      </c>
      <c r="DX144">
        <f t="shared" si="294"/>
        <v>1.5</v>
      </c>
      <c r="DY144" cm="1">
        <f t="array" ref="DY144">IF(OR(B144="",BT144="",DM144&lt;&gt;1),"",_xlfn.LET(_xlpm.sz,Iдоп_S,_xlpm.t_,CHOOSE(DL144,Iдоп_1ж,Iдоп_2ж,Iдоп_3ж)*DJ144*DK144,_xlpm.ok,IFERROR((_xlpm.sz&gt;=MAX(1.5,BW144))*(_xlpm.t_&gt;=N(DD144)),0),_xlpm.r_,_xlfn._xlws.FILTER(_xlpm.sz,_xlpm.ok,""),INDEX(_xlpm.r_,1)))</f>
        <v>1.5</v>
      </c>
      <c r="DZ144" s="6" cm="1">
        <f t="array" ref="DZ144">IFERROR(ROUNDUP(N(DT144)*(_xlfn.XLOOKUP(DY144,INDEX(Кабель_сопротивление,0,1),INDEX(Кабель_сопротивление,0,3))*N(Q144)/DY144*N(BY144)+_xlfn.XLOOKUP(DY144,INDEX(Кабель_сопротивление,0,1),INDEX(Кабель_сопротивление,0,2))*N(Q144)*N(DU144)/1000)*N(P144)/((Uн_лин/SQRT(3))*1000)*100,2),"")</f>
        <v>6.9999999999999993E-2</v>
      </c>
      <c r="EA144">
        <f>IFERROR(2*ρкз_Cu*N(Q144)/DY144,"")</f>
        <v>1.0169333333333335</v>
      </c>
      <c r="EB144">
        <f>IFERROR(VLOOKUP(DX144,Кабель_сопротивление,3,FALSE),"")</f>
        <v>2.2499999999999999E-2</v>
      </c>
      <c r="EC144">
        <f>IFERROR(VLOOKUP(DX144,Кабель_сопротивление,2,FALSE),"")</f>
        <v>0.11</v>
      </c>
      <c r="ED144">
        <f t="shared" si="295"/>
        <v>25</v>
      </c>
      <c r="EE144">
        <f t="shared" si="296"/>
        <v>0</v>
      </c>
      <c r="EF144">
        <f t="shared" si="297"/>
        <v>0.15151720656991402</v>
      </c>
      <c r="EG144" s="6">
        <f>IFERROR(ROUNDUP(EF144/((Uн_лин/SQRT(3))*1000)*100,2),"")</f>
        <v>6.9999999999999993E-2</v>
      </c>
      <c r="EH144" t="str">
        <f>IFERROR(VLOOKUP(BT144,Кабель_обозначение,2,FALSE),"")</f>
        <v>ВВГнг(А)-LS</v>
      </c>
      <c r="EI144" t="str">
        <f t="shared" si="298"/>
        <v>ВВГнг(А)-LS (3х1,5)</v>
      </c>
      <c r="EJ144" t="str">
        <f t="shared" si="299"/>
        <v>ВВГнг(А)-LS (3х1,5)
L=29-0,07%</v>
      </c>
      <c r="EK144">
        <f>IFERROR(2*ρкз_Cu*Q144/DX144,"")</f>
        <v>1.0169333333333335</v>
      </c>
      <c r="EL144">
        <f t="shared" si="300"/>
        <v>0.33833333333333337</v>
      </c>
      <c r="EM144" s="6" t="str">
        <f>IFERROR(IF(OR(B144="",NOT(ISNUMBER(DX144)),N(Q144)=0),"",_xlfn.XLOOKUP(A144,Щиты[Щит],Щиты[Zпетли на шинах, Ом])+EK144),"")</f>
        <v/>
      </c>
      <c r="EN144" s="6" t="str">
        <f>IF(ISNUMBER(EM144),c_min*(Uн_лин*1000/SQRT(3))/EM144,"")</f>
        <v/>
      </c>
      <c r="EO144" s="6" t="str">
        <f>IFERROR(IF(OR(B144="",NOT(ISNUMBER(DX144))),"",1.05*(Uн_лин*1000/SQRT(3))/(_xlfn.XLOOKUP(A144,Щиты[Щит],Щиты[Zmax на шинах, Ом])+EL144)/1000),"")</f>
        <v/>
      </c>
      <c r="EP144" s="6" t="str">
        <f>IF(B144="","",IF(ISNUMBER(Y144),"Сил",IF(IFERROR(_xlfn.XLOOKUP(AX144,Коды_код,Коды_группа)&amp;"","")="","Быт",_xlfn.XLOOKUP(AX144,Коды_код,Коды_группа)&amp;"")))</f>
        <v>Сил</v>
      </c>
      <c r="EQ144" s="6" t="str">
        <f t="shared" si="301"/>
        <v>Сил</v>
      </c>
      <c r="ER144" s="6">
        <f>IF(EQ144="Щит","щит",IF(EQ144="","",IF(EQ144="Быт",IFERROR(_xlfn.XLOOKUP(A144,Щиты[Щит],Щиты[Кс быт]),1),IF(EQ144="Сил",IF(ISNUMBER(Y144),Y144,IF(Методика="нормы 2026",IFERROR(_xlfn.XLOOKUP(A144,Щиты[Щит],Щиты[Кс силовых (табл. 7.5)]),1),1)),IF(OR(EQ144="Пост",EQ144="Отоп"),1,IF(EQ144="ВНГ",0.7,0))))))</f>
        <v>0.5</v>
      </c>
      <c r="ES144">
        <f t="shared" si="302"/>
        <v>1</v>
      </c>
      <c r="ET144">
        <f t="shared" si="303"/>
        <v>0.04</v>
      </c>
      <c r="EU144">
        <f t="shared" si="304"/>
        <v>0</v>
      </c>
      <c r="EV144">
        <f t="shared" si="305"/>
        <v>0.02</v>
      </c>
      <c r="EW144">
        <f t="shared" si="306"/>
        <v>0</v>
      </c>
      <c r="EX144">
        <f t="shared" si="307"/>
        <v>0</v>
      </c>
      <c r="EY144">
        <f t="shared" si="308"/>
        <v>0</v>
      </c>
      <c r="EZ144">
        <f t="shared" si="309"/>
        <v>0.04</v>
      </c>
      <c r="FA144">
        <f t="shared" si="310"/>
        <v>3.2000000000000001E-2</v>
      </c>
      <c r="FB144">
        <f t="shared" si="311"/>
        <v>0.04</v>
      </c>
      <c r="FC144" t="str">
        <f t="shared" si="312"/>
        <v>L1</v>
      </c>
      <c r="FD144" t="str">
        <f>IF(B144="","",IF(CA144=0,IF(AW144=1,"",FF143),IF(OR(N(CV144)&gt;=3,N(BR144)&gt;=3),"L1,L2,L3",IFERROR(_xlfn.TEXTBEFORE(_xlfn.TEXTAFTER(_xlfn.XLOOKUP(A144,Щиты[Щит],Щиты[_фазы авто]),";"&amp;AW144&amp;":"),";"),"L1"))))</f>
        <v>L1</v>
      </c>
      <c r="FE144" t="str">
        <f t="shared" si="313"/>
        <v>L1</v>
      </c>
      <c r="FF144" t="str">
        <f t="shared" si="314"/>
        <v>L1</v>
      </c>
      <c r="FG144" cm="1">
        <f t="array" ref="FG144">IFERROR(IF(BX144=2,_xlfn.IFS(BR144=3,VLOOKUP(BN144,Справочная_двигатели,3,FALSE),BR144=1,VLOOKUP(BN144,Справочная_двигатели,5,TRUE)),0),0)</f>
        <v>0</v>
      </c>
      <c r="FH144">
        <f>IFERROR(IF(BX144=3,VLOOKUP(BN144,Справочная_ЛЭД,2,TRUE),0),0)</f>
        <v>0</v>
      </c>
      <c r="FI144" s="6">
        <f t="shared" si="315"/>
        <v>0</v>
      </c>
      <c r="FJ144" t="str" cm="1">
        <f t="array" ref="FJ144">IF(B144="","",IFERROR(INDEX({"I особая","I","II","III"},MATCH(TRIM(AC144&amp;""),{"I особая","I","II","III"},0)),"III"))</f>
        <v>II</v>
      </c>
      <c r="FK144" t="str">
        <f>IF(B144="","",IF(TRIM(AD144&amp;"")&lt;&gt;"",IF(LOWER(TRIM(AD144&amp;""))="да","да","нет"),IF(IFERROR(_xlfn.XLOOKUP(AX144,Коды_код,Коды_пожарная),"")="да","да","нет")))</f>
        <v>нет</v>
      </c>
      <c r="FL144" t="str">
        <f t="shared" si="316"/>
        <v/>
      </c>
      <c r="FM144" t="str">
        <f t="shared" si="317"/>
        <v>основная</v>
      </c>
      <c r="FN144">
        <f t="shared" si="318"/>
        <v>1</v>
      </c>
      <c r="FO144" t="str" cm="1">
        <f t="array" ref="FO144">IF(B144="","",_xlfn.LET(_xlpm.t,IFERROR(_xlfn.XLOOKUP(1,(Шины[Шина]=FM144)*(((Шины[Щит]=A144)+(Шины[Щит]=""))&gt;0),Шины[Тип]),"")&amp;"",IF(_xlpm.t&lt;&gt;"",_xlpm.t,IF(ISNUMBER(SEARCH("ИБП",FM144)),"ИБП",IF(ISNUMBER(SEARCH("ДГУ",FM144)),"ДГУ","Ввод "&amp;FN144)))))</f>
        <v>Ввод 1</v>
      </c>
      <c r="FP144" t="str">
        <f t="shared" si="319"/>
        <v>Ввод 1</v>
      </c>
      <c r="FQ144" t="str">
        <f>IF(B144="","",IF(OR(FO144="ИБП",FO144="ДГУ"),"I особая",IF(FO144="Одиночная","III",_xlfn.XLOOKUP(A144,Щиты[Щит],Щиты[Категория шины «Ввод»],"III"))))</f>
        <v>II</v>
      </c>
      <c r="FR144">
        <f>IF(B144="",0,IFERROR(MATCH(FJ144,{"III","II","I","I особая"},0),1))</f>
        <v>2</v>
      </c>
      <c r="FS144">
        <f t="shared" si="320"/>
        <v>2</v>
      </c>
      <c r="FT144" t="str">
        <f>IF(B144="","",IF(FR144&gt;IFERROR(MATCH(FQ144,{"III","II","I","I особая"},0),1),"НЕ ОБЕСПЕЧЕНА","ОК"))</f>
        <v>ОК</v>
      </c>
      <c r="FU144" t="str">
        <f>IF(A144="","",_xlfn.XLOOKUP(A144,Щиты[Щит],Щиты[Путь],""))</f>
        <v>|ГРЩ-ЖД|ЩОВ-2|</v>
      </c>
      <c r="FV144" t="str">
        <f>IF(B144="","",IF(AE144&lt;&gt;"",AE144,IF(IFERROR(_xlfn.XLOOKUP(AX144,Коды_код,Коды_вид)&amp;"","")="","Прочее",_xlfn.XLOOKUP(AX144,Коды_код,Коды_вид)&amp;"")))</f>
        <v>Кондиционирование и увлажнение</v>
      </c>
      <c r="FW144">
        <f>IF(BH144="","",INT((BH144-1)/Столбцов_на_лист)+1)</f>
        <v>2</v>
      </c>
      <c r="FX144" t="str">
        <f t="shared" si="321"/>
        <v>ВВГнг(А)-LS (3х1,5) L=29-0,07%</v>
      </c>
      <c r="FY144">
        <f t="shared" si="322"/>
        <v>0.04</v>
      </c>
      <c r="FZ144">
        <f t="shared" si="323"/>
        <v>0.22</v>
      </c>
      <c r="GA144">
        <f t="shared" si="324"/>
        <v>1</v>
      </c>
      <c r="GB144">
        <f t="shared" si="325"/>
        <v>0</v>
      </c>
      <c r="GC144">
        <f t="shared" si="326"/>
        <v>1</v>
      </c>
      <c r="GD144">
        <f>IF(BH144="","",IF(AND(CA144=1,GC144=1),COUNTIFS(A$3:A144,A144,CA$3:CA144,1,GC$3:GC144,1),IF(OR(OR(AW144=1,A144&lt;&gt;A143),AF144="вручную",GC144=0),"",IF(AW144=1,"",GE143))))</f>
        <v>14</v>
      </c>
      <c r="GE144">
        <f t="shared" si="327"/>
        <v>14</v>
      </c>
      <c r="GF144">
        <f>IF(B144="","",IFERROR(LOOKUP(INDEX(CHOOSE(DL144,Iдоп_1ж,Iдоп_2ж,Iдоп_3ж),MATCH(DX144,Iдоп_S,0))*DJ144*DK144,{6,10,16,20,25,32,40,50,63,80,100,125,160,200,250,315,400,500,630}),""))</f>
        <v>16</v>
      </c>
      <c r="GG144" t="str">
        <f t="shared" si="328"/>
        <v>QF14</v>
      </c>
      <c r="GH144" t="str">
        <f t="shared" si="329"/>
        <v>QF14</v>
      </c>
      <c r="GI144" t="str">
        <f t="shared" si="330"/>
        <v/>
      </c>
      <c r="GJ144">
        <f t="shared" si="331"/>
        <v>0</v>
      </c>
      <c r="GK144" t="str">
        <f>IF(OR(AG144="",AG144="-"),"",IFERROR(VLOOKUP(AG144,Модули_спр,2,FALSE),"R"))</f>
        <v/>
      </c>
      <c r="GL144" t="str">
        <f>IF(GK144="","",GK144&amp;"."&amp;COUNTIFS(A$3:A144,A144,GK$3:GK144,GK144))</f>
        <v/>
      </c>
      <c r="GM144" t="str">
        <f t="shared" si="332"/>
        <v/>
      </c>
      <c r="GN144" t="str">
        <f t="shared" si="333"/>
        <v/>
      </c>
      <c r="GO144" t="str">
        <f t="shared" si="334"/>
        <v/>
      </c>
      <c r="GP144" t="str">
        <f t="shared" si="335"/>
        <v/>
      </c>
      <c r="GQ144">
        <f t="shared" si="336"/>
        <v>1</v>
      </c>
      <c r="GR144" t="str">
        <f>IF(GQ144=1,"XT"&amp;COUNTIFS(A$3:A144,A144,GQ$3:GQ144,1),"")</f>
        <v>XT14</v>
      </c>
      <c r="GS144" t="str">
        <f t="shared" si="337"/>
        <v/>
      </c>
      <c r="GT144" t="str">
        <f t="shared" si="338"/>
        <v>QF14</v>
      </c>
      <c r="GU144" t="str">
        <f t="shared" si="339"/>
        <v/>
      </c>
      <c r="GV144" t="str">
        <f t="shared" si="340"/>
        <v>ok</v>
      </c>
      <c r="GW144" t="str">
        <f>IF(OR(GO144="",GM144=""),"",IF(GO144&gt;IFERROR(VLOOKUP(GN144,Модули_спр,3,FALSE),99),"ЛИШНИЙ КАНАЛ",IF(AND(AH144&lt;&gt;"=",COUNTIFS(Линии[_модуль гр.],GM144,Линии[Канал (итог)],GO144,Линии[Канал],"&lt;&gt;=",Линии[Щит],A144)&gt;1),"ДУБЛЬ КАНАЛА","")))</f>
        <v/>
      </c>
      <c r="GX144" s="6" t="str">
        <f t="shared" si="341"/>
        <v/>
      </c>
      <c r="GY144">
        <f t="shared" si="342"/>
        <v>10</v>
      </c>
      <c r="GZ144" t="str">
        <f t="shared" si="343"/>
        <v/>
      </c>
      <c r="HA144" t="str">
        <f>IF(AND(B144="",GT144=""),"",_xlfn.TEXTJOIN("; ",TRUE,IF(AND(B144&lt;&gt;"",FE144=""),"нет фазы",""),IF(AND(B144&lt;&gt;"",N(FY144)=0,EQ144&lt;&gt;"Нет"),"нет мощности",""),IF(AND(GS144&lt;&gt;"",COUNTIFS(Линии[Щит],A144,Линии[Клемма (итог)],GS144)&gt;1),"дубль клеммы "&amp;GS144,""),IF(AND(GV144&lt;&gt;"",GV144&lt;&gt;"ok"),GV144,""),IF(GW144&lt;&gt;"",GW144,""),IF(AND(N(BV144)&gt;=4,N(BR144)=1),BV144&amp;" жил на 1 фазе",""),IF(AND(AX144="R",CA144=1,OR(N(CK144)=0,N(CK144)&gt;30)),"розетка без дифзащиты до 30 мА",""),IFERROR(IF(AND(ISNUMBER(R144),R144&gt;DV144),"потери "&amp;FIXED(R144,1)&amp;" % &gt; "&amp;DV144&amp;" %",""),""),IFERROR(IF(LEFT(GZ144,4)="мало","Iкз мало — отключение &gt; 0,4 с",""),""),IF(AND(B144&lt;&gt;"",BH144=""),"не на схеме",""),IF(AND(CA144=0,B144&lt;&gt;"",FE144&lt;&gt;"",IF(AW144=1,"",FF143)&lt;&gt;"",FE144&lt;&gt;IF(AW144=1,"",FF143)),"фаза не как у автомата группы ("&amp;IF(AW144=1,"",FF143)&amp;")","")))</f>
        <v/>
      </c>
      <c r="HB144" s="6" t="str">
        <f>IF(OR(CA144=0,DA144=""),"",_xlfn.LET(_xlpm.t,IFERROR(_xlfn.XLOOKUP(DA144,Каталог!$U$4:$U$500,Каталог!$G$4:$G$500),""),_xlpm.k,SEARCH("кА",_xlpm.t),IFERROR(--TRIM(RIGHT(SUBSTITUTE(MID(_xlpm.t,MAX(1,_xlpm.k-4),_xlpm.k-MAX(1,_xlpm.k-4))," ",REPT(" ",9)),5)),"")))</f>
        <v/>
      </c>
      <c r="HC144" t="str">
        <f>IF(OR(HB144="",CA144=0),"",IF(_xlfn.XLOOKUP(A144,Щиты[Щит],Щиты[Iкз max на шинах, кА],"")="","",IF(HB144&lt;_xlfn.XLOOKUP(A144,Щиты[Щит],Щиты[Iкз max на шинах, кА]),"Icu "&amp;HB144&amp;" кА &lt; Iкз max","ok")))</f>
        <v/>
      </c>
      <c r="HD144" t="str">
        <f t="shared" si="344"/>
        <v/>
      </c>
      <c r="HE144" t="str">
        <f t="shared" si="345"/>
        <v>QF14</v>
      </c>
      <c r="HF144" t="str">
        <f t="shared" si="346"/>
        <v>QF14|кабель ВВГнг(А)-LS (3х1,5) → Внутренний блок кондиционирования Технический этаж Пом. №004Т</v>
      </c>
      <c r="HG144" t="str" cm="1">
        <f t="array" ref="HG144">IF(HF144="","",_xlfn.LET(_xlpm.nd,_xlfn.TEXTSPLIT(HF144,"|"),IF(COLUMNS(_xlpm.nd)&gt;1,A144&amp;"¦"&amp;INDEX(_xlpm.nd,1)&amp;"¦"&amp;INDEX(_xlpm.nd,2),"")))</f>
        <v>ЩОВ-2¦QF14¦кабель ВВГнг(А)-LS (3х1,5) → Внутренний блок кондиционирования Технический этаж Пом. №004Т</v>
      </c>
      <c r="HH144" t="str">
        <f t="shared" si="347"/>
        <v>K.3.004T.2¦Внутренний блок кондиционирования Технический этаж Пом. №004Т</v>
      </c>
      <c r="HI144" t="str" cm="1">
        <f t="array" ref="HI144">IF(HF144="","",_xlfn.LET(_xlpm.nd,_xlfn.TEXTSPLIT(HF144,"|"),IF(COLUMNS(_xlpm.nd)&gt;2,A144&amp;"¦"&amp;INDEX(_xlpm.nd,2)&amp;"¦"&amp;INDEX(_xlpm.nd,3),"")))</f>
        <v/>
      </c>
      <c r="HJ144" t="str">
        <f t="shared" si="348"/>
        <v/>
      </c>
      <c r="HK144" t="str" cm="1">
        <f t="array" ref="HK144">IF(HF144="","",_xlfn.LET(_xlpm.nd,_xlfn.TEXTSPLIT(HF144,"|"),IF(COLUMNS(_xlpm.nd)&gt;3,A144&amp;"¦"&amp;INDEX(_xlpm.nd,3)&amp;"¦"&amp;INDEX(_xlpm.nd,4),"")))</f>
        <v/>
      </c>
      <c r="HL144" t="str">
        <f t="shared" si="349"/>
        <v/>
      </c>
      <c r="HM144" t="str" cm="1">
        <f t="array" ref="HM144">IF(HF144="","",_xlfn.LET(_xlpm.nd,_xlfn.TEXTSPLIT(HF144,"|"),IF(COLUMNS(_xlpm.nd)&gt;4,A144&amp;"¦"&amp;INDEX(_xlpm.nd,4)&amp;"¦"&amp;INDEX(_xlpm.nd,5),"")))</f>
        <v/>
      </c>
      <c r="HN144" t="str">
        <f t="shared" si="350"/>
        <v/>
      </c>
      <c r="HO144" t="str" cm="1">
        <f t="array" ref="HO144">IF(HF144="","",_xlfn.LET(_xlpm.nd,_xlfn.TEXTSPLIT(HF144,"|"),IF(COLUMNS(_xlpm.nd)&gt;5,A144&amp;"¦"&amp;INDEX(_xlpm.nd,5)&amp;"¦"&amp;INDEX(_xlpm.nd,6),"")))</f>
        <v/>
      </c>
      <c r="HP144" t="str">
        <f t="shared" si="351"/>
        <v/>
      </c>
      <c r="HQ144" t="str" cm="1">
        <f t="array" ref="HQ144">IF(HF144="","",_xlfn.LET(_xlpm.nd,_xlfn.TEXTSPLIT(HF144,"|"),IF(COLUMNS(_xlpm.nd)&gt;6,A144&amp;"¦"&amp;INDEX(_xlpm.nd,6)&amp;"¦"&amp;INDEX(_xlpm.nd,7),"")))</f>
        <v/>
      </c>
      <c r="HR144" t="str">
        <f t="shared" si="352"/>
        <v/>
      </c>
      <c r="HS144" t="str">
        <f t="shared" si="353"/>
        <v/>
      </c>
      <c r="HT144" t="str">
        <f t="shared" si="354"/>
        <v>QF14</v>
      </c>
      <c r="HU144">
        <f t="shared" si="355"/>
        <v>0</v>
      </c>
      <c r="HV144">
        <f t="shared" si="356"/>
        <v>0</v>
      </c>
      <c r="HW144" t="str">
        <f t="shared" si="357"/>
        <v/>
      </c>
      <c r="HX144" t="str">
        <f t="shared" si="358"/>
        <v/>
      </c>
      <c r="HY144" t="str">
        <f t="shared" si="359"/>
        <v/>
      </c>
      <c r="HZ144" t="str">
        <f t="shared" si="360"/>
        <v/>
      </c>
      <c r="IA144">
        <f>IF(B144="","",IFERROR(VLOOKUP(B144,УГО_спр,2,FALSE),IFERROR(VLOOKUP(AX144,УГО_спр,2,FALSE),IFERROR(VLOOKUP(LEFT(AX144,2),УГО_спр,2,FALSE),""))))</f>
        <v>0</v>
      </c>
      <c r="IB144" t="str">
        <f>IF(B144="","",IF(OR(IA144="",IA144=0),"BOX",IFERROR(IF(VLOOKUP(IA144,УГО_блоки,3,FALSE)&amp;""&lt;&gt;"",VLOOKUP(IA144,УГО_блоки,3,FALSE),VLOOKUP(IA144,УГО_блоки,2,FALSE)),IA144)))</f>
        <v>BOX</v>
      </c>
      <c r="IC144">
        <f t="shared" si="361"/>
        <v>1</v>
      </c>
      <c r="ID144" t="str">
        <f>IF(DA144="","",IF(COUNTIF(DA$3:DA144,DA144)=1,MAX(ID$2:ID143)+1,""))</f>
        <v/>
      </c>
      <c r="IE144" t="str">
        <f>IF(CO144="","",IF(COUNTIF(CO$3:CO144,CO144)+COUNTIF(CP$2:CP143,CO144)+COUNTIF(CQ$2:CQ143,CO144)=1,MAX(IE$2:IG143)+1,""))</f>
        <v/>
      </c>
      <c r="IF144" t="str">
        <f>IF(CP144="","",IF(COUNTIF(CO$3:CO144,CP144)+COUNTIF(CP$3:CP144,CP144)+COUNTIF(CQ$2:CQ143,CP144)=1,MAX(IE$2:IG143,IE144)+1,""))</f>
        <v/>
      </c>
      <c r="IG144" t="str">
        <f>IF(CQ144="","",IF(COUNTIF(CO$3:CO144,CQ144)+COUNTIF(CP$3:CP144,CQ144)+COUNTIF(CQ$3:CQ144,CQ144)=1,MAX(IE$2:IG143,IE144,IF144)+1,""))</f>
        <v/>
      </c>
      <c r="IH144" t="str">
        <f t="shared" si="362"/>
        <v>3х1,5</v>
      </c>
      <c r="II144" t="str">
        <f>IF(IH144="","",IF(COUNTIF(IH$3:IH144,IH144)=1,MAX(II$2:II143)+1,""))</f>
        <v/>
      </c>
      <c r="IJ144" t="str">
        <f>IF(GL144="","",COUNTIF(GL$3:GL144,"?*"))</f>
        <v/>
      </c>
      <c r="IK144" t="str">
        <f>IF(OR(GL144="",GN144=""),"",IF(COUNTIFS(GL$3:GL144,"?*",GN$3:GN144,GN144)=1,MAX(IK$2:IK143)+1,""))</f>
        <v/>
      </c>
      <c r="IL144">
        <f t="shared" si="363"/>
        <v>0</v>
      </c>
      <c r="IM144">
        <f>IF(B144="","",COUNTIF(B$3:B144,"?*"))</f>
        <v>142</v>
      </c>
      <c r="IN144">
        <f>IF(GQ144&lt;&gt;1,0,_xlfn.LET(_xlpm.k,MAX(IFERROR(--VLOOKUP(B144,УГО_спр,5,FALSE),0),IFERROR(--VLOOKUP(AX144,УГО_спр,5,FALSE),0),IFERROR(--VLOOKUP(LEFT(AX144,2),УГО_спр,5,FALSE),0)),IF(_xlpm.k&gt;0,_xlpm.k,IF(IFERROR(--LEFT(SUBSTITUTE(IH144,"x","х"),FIND("х",SUBSTITUTE(IH144,"x","х"))-1),3)&gt;3,Каталог!$S$9,1))))</f>
        <v>1</v>
      </c>
      <c r="IO144">
        <f t="shared" si="364"/>
        <v>0</v>
      </c>
      <c r="IP144" t="str">
        <f t="shared" si="365"/>
        <v>авто</v>
      </c>
      <c r="IQ144" t="str">
        <f t="shared" si="366"/>
        <v/>
      </c>
      <c r="IR144">
        <f t="shared" si="367"/>
        <v>0</v>
      </c>
      <c r="IS144">
        <f t="shared" si="368"/>
        <v>1</v>
      </c>
    </row>
    <row r="145" spans="1:253" x14ac:dyDescent="0.3">
      <c r="A145" t="s">
        <v>753</v>
      </c>
      <c r="B145" t="s">
        <v>1413</v>
      </c>
      <c r="C145" t="s">
        <v>1648</v>
      </c>
      <c r="D145">
        <v>1</v>
      </c>
      <c r="E145">
        <v>0.27</v>
      </c>
      <c r="G145" t="str">
        <f>Линии[[#This Row],[_авто автомат]]</f>
        <v>1P С6А</v>
      </c>
      <c r="H145" t="str">
        <f>Линии[[#This Row],[_авто утечка]]</f>
        <v/>
      </c>
      <c r="I145" t="str">
        <f>Линии[[#This Row],[_авто управление]]</f>
        <v/>
      </c>
      <c r="J145" t="str">
        <f>Линии[[#This Row],[_авто аппараты]]</f>
        <v/>
      </c>
      <c r="K145">
        <v>1.5</v>
      </c>
      <c r="L145">
        <v>13</v>
      </c>
      <c r="M145" t="str">
        <f>Линии[[#This Row],[_авто фаза]]</f>
        <v>L1</v>
      </c>
      <c r="N145" t="s">
        <v>486</v>
      </c>
      <c r="O145" t="str">
        <f t="shared" si="246"/>
        <v/>
      </c>
      <c r="P145" s="6" cm="1">
        <f t="array" ref="P145">IF(B145="","",IF(BC145&lt;&gt;"",IFERROR(_xlfn.XLOOKUP(BC145,Щиты[Щит],Щиты[Iр, А]),""),IF(BK145=1,IFERROR(_xlfn.XLOOKUP(A145,Щиты[Щит],Щиты[Iр, А]),""),IFERROR(_xlfn.IFS(BR145=1,BN145/((Uн_лин/SQRT(3))*BY145),BR145=3,BN145/(SQRT(3)*Uн_лин*BY145)),""))))</f>
        <v>1.46141786888624</v>
      </c>
      <c r="Q145" s="7">
        <f>IF(B145="","",IFERROR(IF(VLOOKUP(AX145,Потребители_обозначение,4,FALSE)=1,VLOOKUP(AX145,Потребители_обозначение,3,FALSE)*(D145*2-1)+DS145+VLOOKUP(AZ145,Этаж_обозначение,3,FALSE)+VLOOKUP(AZ145,Этаж_обозначение,4,FALSE),VLOOKUP(AX145,Потребители_обозначение,3,FALSE)*(D145*2-1)+DS145),DS145))</f>
        <v>17</v>
      </c>
      <c r="R145" s="6">
        <f t="shared" si="247"/>
        <v>1.4</v>
      </c>
      <c r="S145" t="str">
        <f t="shared" si="248"/>
        <v>ВВГнг(А)-LS (3х1,5)</v>
      </c>
      <c r="T145" t="str">
        <f>IF(BH145="","",IF(BI145="вводной узел","узел ","")&amp;"л."&amp;(INT((BH145-1)/Столбцов_на_лист)+1)&amp;" / "&amp;(MOD(BH145-1,Столбцов_на_лист)+1))</f>
        <v>л.2 / 17</v>
      </c>
      <c r="V145">
        <v>1</v>
      </c>
      <c r="W145">
        <v>230</v>
      </c>
      <c r="X145" t="s">
        <v>600</v>
      </c>
      <c r="Y145">
        <v>0.5</v>
      </c>
      <c r="AC145" t="s">
        <v>815</v>
      </c>
      <c r="AE145" t="s">
        <v>582</v>
      </c>
      <c r="AI145">
        <v>34</v>
      </c>
      <c r="AJ145" t="s">
        <v>11</v>
      </c>
      <c r="AK145">
        <v>3</v>
      </c>
      <c r="AM145">
        <v>4</v>
      </c>
      <c r="AN145">
        <v>13</v>
      </c>
      <c r="AP145">
        <v>1</v>
      </c>
      <c r="AW145" cm="1">
        <f t="array" ref="AW145">ROW()-ROW(Линии[#Headers])</f>
        <v>143</v>
      </c>
      <c r="AX145" s="6" t="str">
        <f t="shared" si="249"/>
        <v>В</v>
      </c>
      <c r="AY145" t="str">
        <f t="shared" si="250"/>
        <v>1</v>
      </c>
      <c r="AZ145" t="str">
        <f t="shared" si="251"/>
        <v>1</v>
      </c>
      <c r="BA145" t="str">
        <f t="shared" si="252"/>
        <v/>
      </c>
      <c r="BB145" t="str">
        <f t="shared" si="253"/>
        <v/>
      </c>
      <c r="BC145" t="str">
        <f>IF(U145&lt;&gt;"",U145,IF(AND(B145&lt;&gt;"",B145&lt;&gt;A145,ISNUMBER(_xlfn.XMATCH(B145,Щиты[Щит]))),B145,""))</f>
        <v/>
      </c>
      <c r="BD145" t="str" cm="1">
        <f t="array" ref="BD145">IF(B145="","",IF(BC145&lt;&gt;"","Щит "&amp;BC145,_xlfn.LET(_xlpm.nm,IFERROR(_xlfn.XLOOKUP(AX145,Коды_код,Коды_имя)&amp;"",""),_xlpm.md,IFERROR(N(_xlfn.XLOOKUP(AX145,Коды_код,Коды_режим)),1),_xlpm.ex,IF(Имя_режим="по экспликации",IFERROR(_xlfn.XLOOKUP(AZ145&amp;"|"&amp;BB145,Экспликация[Этаж]&amp;"|"&amp;Экспликация[Помещение],Экспликация[Название])&amp;"",""),""),_xlpm.rm,IF(BB145="","",IF(_xlpm.ex&lt;&gt;"",". "&amp;_xlpm.ex&amp;IF(Имя_пом="нет"," ("&amp;BB145&amp;")"," (пом. "&amp;BB145&amp;")"),IF(Имя_пом="нет"," ",", пом. ")&amp;BB145)),IF(_xlpm.nm="","",IF(_xlpm.md=2,_xlpm.nm&amp;" шлейф "&amp;AZ145,_xlpm.nm&amp;_xlpm.rm)))))</f>
        <v>Вытяжная установка шлейф 1</v>
      </c>
      <c r="BE145" t="str">
        <f t="shared" si="254"/>
        <v>Вытяжная установка Технический этаж Пом. №001Т</v>
      </c>
      <c r="BF145">
        <f>IFERROR(_xlfn.XMATCH(A145,Щиты[Щит]),0)</f>
        <v>7</v>
      </c>
      <c r="BG145">
        <f>_xlfn.LET(_xlpm.k,IFERROR(_xlfn.XLOOKUP(A145,Щиты[Щит],Щиты[Листов под вводной узел]),""),IF(_xlpm.k="",1,N(_xlpm.k))*Столбцов_на_лист)</f>
        <v>17</v>
      </c>
      <c r="BH145">
        <f t="shared" si="255"/>
        <v>34</v>
      </c>
      <c r="BI145" t="str">
        <f t="shared" si="256"/>
        <v>линии</v>
      </c>
      <c r="BJ145" s="6">
        <f>IFERROR(N(_xlfn.XLOOKUP(AX145,Коды_код,Коды_квт)),0)</f>
        <v>0</v>
      </c>
      <c r="BK145">
        <f t="shared" si="257"/>
        <v>0</v>
      </c>
      <c r="BL145" t="str">
        <f>IF(B145="","",IF(BC145&lt;&gt;"",IFERROR(_xlfn.XLOOKUP(BC145,Щиты[Щит],Щиты[Руст, кВт]),0),IF(BK145=1,IFERROR(_xlfn.XLOOKUP(A145,Щиты[Щит],Щиты[Руст, кВт]),0),IF(BJ145&gt;0,ROUND(BJ145*MAX(1,N(D145)),3),""))))</f>
        <v/>
      </c>
      <c r="BM145">
        <f t="shared" si="258"/>
        <v>0.27</v>
      </c>
      <c r="BN145" s="6">
        <f>IF(B145="","",IF(BC145&lt;&gt;"",IFERROR(_xlfn.XLOOKUP(BC145,Щиты[Щит],Щиты[Руст, кВт]),0),N(BM145)))</f>
        <v>0.27</v>
      </c>
      <c r="BO145" t="str">
        <f>IF(B145="","",IFERROR(IF(VLOOKUP(AX145,Потребители_обозначение,8,FALSE)=0,"",VLOOKUP(AX145,Потребители_обозначение,8,FALSE)),""))</f>
        <v/>
      </c>
      <c r="BP145">
        <f t="shared" si="259"/>
        <v>230</v>
      </c>
      <c r="BQ145">
        <f>IF(B145="","",IF(BC145&lt;&gt;"",3,IFERROR(IF(N(VLOOKUP(AX145,Потребители_обозначение,9,FALSE))=0,1,VLOOKUP(AX145,Потребители_обозначение,9,FALSE)),1)))</f>
        <v>1</v>
      </c>
      <c r="BR145">
        <f t="shared" si="260"/>
        <v>1</v>
      </c>
      <c r="BS145" t="str">
        <f>IF(B145="","",_xlfn.LET(_xlpm.bc,IFERROR(IF(VLOOKUP(AX145,Потребители_обозначение,6,FALSE)=0,"",VLOOKUP(AX145,Потребители_обозначение,6,FALSE)&amp;""),""),IF(AND(FK145="да",OR(_xlpm.bc="",_xlpm.bc="мс")),Марка_пож,IF(AND(_xlpm.bc="",BC145&lt;&gt;""),"мс",_xlpm.bc))))</f>
        <v/>
      </c>
      <c r="BT145" t="str">
        <f t="shared" si="261"/>
        <v>мс</v>
      </c>
      <c r="BU145">
        <f>IF(B145="","",_xlfn.LET(_xlpm.cc,IFERROR(N(VLOOKUP(AX145,Потребители_обозначение,7,FALSE)),0),IF(_xlpm.cc&gt;0,_xlpm.cc,IF(BT145="","",IF(N(BR145)=3,5,3)))))</f>
        <v>3</v>
      </c>
      <c r="BV145">
        <f t="shared" si="262"/>
        <v>3</v>
      </c>
      <c r="BW145">
        <f>IFERROR(N(VLOOKUP(AX145,Потребители_обозначение,10,FALSE)),0)</f>
        <v>0</v>
      </c>
      <c r="BX145">
        <f>IFERROR(VLOOKUP(AX145,Потребители_обозначение,5,FALSE),0)</f>
        <v>1</v>
      </c>
      <c r="BY145" s="6" cm="1">
        <f t="array" ref="BY145">IF(B145="","",IF(BC145&lt;&gt;"",IFERROR(_xlfn.XLOOKUP(BC145,Щиты[Щит],Щиты[cos φ]),0.95),IF(BK145=1,IFERROR(_xlfn.XLOOKUP(A145,Щиты[Щит],Щиты[cos φ]),0.95),IF(ISNUMBER(Z145),Z145,IFERROR(IF(BX145=2,_xlfn.IFS(BR145=3,VLOOKUP(BN145,Справочная_двигатели,8,FALSE),BR145=1,VLOOKUP(BN145,Справочная_двигатели,10,TRUE)),IF(AND(Методика="нормы 2026",EQ145="Сил"),0.8,0.95)),0.95)))))</f>
        <v>0.8</v>
      </c>
      <c r="BZ145">
        <f t="shared" si="263"/>
        <v>0</v>
      </c>
      <c r="CA145">
        <f t="shared" si="264"/>
        <v>1</v>
      </c>
      <c r="CB145">
        <f t="shared" si="265"/>
        <v>0</v>
      </c>
      <c r="CC145">
        <f t="shared" si="266"/>
        <v>0</v>
      </c>
      <c r="CD145">
        <f t="shared" si="267"/>
        <v>0</v>
      </c>
      <c r="CE145">
        <f t="shared" si="268"/>
        <v>0</v>
      </c>
      <c r="CF145">
        <f t="shared" si="269"/>
        <v>0</v>
      </c>
      <c r="CG145">
        <f>IF(AX145="",0,_xlfn.LET(_xlpm.v,IFERROR(VLOOKUP(B145,УГО_спр,3,FALSE),IFERROR(VLOOKUP(AX145,УГО_спр,3,FALSE),IFERROR(VLOOKUP(LEFT(AX145,2),УГО_спр,3,FALSE),""))),IF(_xlpm.v="да",30,IF(ISNUMBER(_xlpm.v),_xlpm.v,0))))</f>
        <v>0</v>
      </c>
      <c r="CH145" t="str">
        <f t="shared" si="270"/>
        <v/>
      </c>
      <c r="CI145" t="str">
        <f>_xlfn.LET(_xlpm.k,IFERROR(_xlfn.XLOOKUP(AX145,Коды_код,Коды_утечка)&amp;"",""),IF(_xlpm.k="","дифавтомат",_xlpm.k))</f>
        <v>дифавтомат</v>
      </c>
      <c r="CJ145">
        <f t="shared" si="271"/>
        <v>0</v>
      </c>
      <c r="CK145">
        <f t="shared" si="272"/>
        <v>0</v>
      </c>
      <c r="CL145">
        <f>IF(B145="",0,IFERROR(--VLOOKUP(B145,УГО_спр,4,FALSE),IFERROR(--VLOOKUP(AX145,УГО_спр,4,FALSE),IFERROR(--VLOOKUP(LEFT(AX145,2),УГО_спр,4,FALSE),0))))</f>
        <v>0</v>
      </c>
      <c r="CM145" t="str">
        <f>IF(B145="","",IFERROR(_xlfn.XLOOKUP(AX145,Коды_код,Коды_апп)&amp;"",""))</f>
        <v/>
      </c>
      <c r="CN145" t="str">
        <f t="shared" si="273"/>
        <v/>
      </c>
      <c r="CO145" t="str" cm="1">
        <f t="array" ref="CO145">IF(TRIM(CN145&amp;"")="","",IFERROR(TRIM(INDEX(_xlfn.TEXTSPLIT(CN145&amp;";;;",";"),1)),""))</f>
        <v/>
      </c>
      <c r="CP145" t="str" cm="1">
        <f t="array" ref="CP145">IF(TRIM(CN145&amp;"")="","",IFERROR(TRIM(INDEX(_xlfn.TEXTSPLIT(CN145&amp;";;;",";"),2)),""))</f>
        <v/>
      </c>
      <c r="CQ145" t="str" cm="1">
        <f t="array" ref="CQ145">IF(TRIM(CN145&amp;"")="","",IFERROR(TRIM(INDEX(_xlfn.TEXTSPLIT(CN145&amp;";;;",";"),3)),""))</f>
        <v/>
      </c>
      <c r="CR145">
        <f t="shared" si="274"/>
        <v>0</v>
      </c>
      <c r="CS145" t="str">
        <f>IF(B145="","",_xlfn.LET(_xlpm.t,LOWER(AV145&amp;""),IF(ISNUMBER(SEARCH("dim",_xlpm.t)),"DIM",IF(ISNUMBER(SEARCH("dali",_xlpm.t)),"DALI",IF(OR(ISNUMBER(SEARCH("relay",_xlpm.t)),ISNUMBER(SEARCH("реле",_xlpm.t))),"Relay",IF(ISNUMBER(SEARCH("кнопк",_xlpm.t)),"",IFERROR(_xlfn.XLOOKUP(AX145,Коды_код,Коды_упр)&amp;"","")))))))</f>
        <v/>
      </c>
      <c r="CT145" t="str">
        <f t="shared" si="275"/>
        <v/>
      </c>
      <c r="CU145">
        <f>IF(B145="","",_xlfn.LET(_xlpm.ig,N(P145)+IF(AF145="вручную",0,N(CB145)),_xlpm.n0,IFERROR(VLOOKUP(_xlpm.ig,Автомат_номиналы,2,TRUE),0),_xlpm.mn,MAX(CL145,IF(AF145="вручную",0,N(CE145))),MAX(_xlpm.n0,_xlpm.mn,IF(CR145=1,Мин_автомат_БП,0))))</f>
        <v>6</v>
      </c>
      <c r="CV145">
        <f t="shared" si="276"/>
        <v>1</v>
      </c>
      <c r="CW145" t="str">
        <f t="shared" si="277"/>
        <v>1P</v>
      </c>
      <c r="CX145" t="str">
        <f>_xlfn.LET(_xlpm.cc,UPPER(TRIM(IFERROR(_xlfn.XLOOKUP(AX145,Коды_код,Коды_хар)&amp;"",""))),IF(OR(_xlpm.cc="B",_xlpm.cc="В"),"B",IF(_xlpm.cc="D","D","С")))</f>
        <v>С</v>
      </c>
      <c r="CY145" t="str">
        <f t="shared" si="278"/>
        <v>1P С6А</v>
      </c>
      <c r="CZ145" t="str">
        <f t="shared" si="279"/>
        <v>1P С6А</v>
      </c>
      <c r="DA145" t="str">
        <f t="shared" si="280"/>
        <v>1P С6А</v>
      </c>
      <c r="DB145" cm="1">
        <f t="array" ref="DB145">IF(DA145="","",_xlfn.LET(_xlpm.t,SUBSTITUTE(SUBSTITUTE(SUBSTITUTE(UPPER(DA145),"С","C"),"А","A"),"В","B"),_xlpm.tk,_xlfn.TEXTSPLIT(_xlpm.t,"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5" t="str">
        <f t="shared" si="281"/>
        <v>ok</v>
      </c>
      <c r="DD145">
        <f t="shared" si="282"/>
        <v>6</v>
      </c>
      <c r="DE145" t="str">
        <f t="shared" si="283"/>
        <v>1P С6А</v>
      </c>
      <c r="DF145">
        <f t="shared" si="284"/>
        <v>0</v>
      </c>
      <c r="DG145">
        <f t="shared" si="285"/>
        <v>0</v>
      </c>
      <c r="DH145">
        <f t="shared" si="286"/>
        <v>0</v>
      </c>
      <c r="DI145">
        <f t="shared" si="287"/>
        <v>1.46141786888624</v>
      </c>
      <c r="DJ145">
        <f t="shared" si="288"/>
        <v>1</v>
      </c>
      <c r="DK145">
        <f>IF(ISNUMBER(AL145),AL145,К_прокл)</f>
        <v>1</v>
      </c>
      <c r="DL145">
        <f t="shared" si="289"/>
        <v>2</v>
      </c>
      <c r="DM145">
        <f>IFERROR(N(VLOOKUP(BT145,Кабель_обозначение,3,FALSE)),1)</f>
        <v>1</v>
      </c>
      <c r="DN145">
        <f>IFERROR(N(_xlfn.XLOOKUP(A145,Щиты[Щит],Щиты[ΔU до шин, %])),0)</f>
        <v>1.1399999999999999</v>
      </c>
      <c r="DO145" t="str">
        <f>IFERROR(_xlfn.XLOOKUP(A145,Щиты[Щит],Щиты[Zпетли на шинах, Ом]),"")</f>
        <v/>
      </c>
      <c r="DP145">
        <f>IFERROR(N(_xlfn.XLOOKUP(A145,Щиты[Щит],Щиты[ΔU до шин (подбор), %])),0)</f>
        <v>1.82</v>
      </c>
      <c r="DQ145" t="str">
        <f>IFERROR(_xlfn.XLOOKUP(A145,Щиты[Щит],Щиты[Zпетли на шинах (подбор), Ом]),"")</f>
        <v/>
      </c>
      <c r="DR145" t="str">
        <f t="shared" si="290"/>
        <v/>
      </c>
      <c r="DS145">
        <f t="shared" si="291"/>
        <v>13</v>
      </c>
      <c r="DT145">
        <f t="shared" si="292"/>
        <v>2</v>
      </c>
      <c r="DU145">
        <f t="shared" si="293"/>
        <v>0.6</v>
      </c>
      <c r="DV145" s="6">
        <f>IF(B145="","",IF(IFERROR(VLOOKUP(AX145,УГО_спр,2,FALSE),"")="Светильник",3,4)+IF(Методика="нормы 2026",MIN(0.5,MAX(0,N(Q145)-100)*0.005),0))</f>
        <v>4</v>
      </c>
      <c r="DW145" cm="1">
        <f t="array" ref="DW145">IF(OR(B145="",BT145="",DM145&lt;&gt;1),"",_xlfn.LET(_xlpm.sz,Iдоп_S,_xlpm.t_,CHOOSE(DL145,Iдоп_1ж,Iдоп_2ж,Iдоп_3ж)*DJ145*DK145,_xlpm.inn,N(DD145),_xlpm.smin,MAX(1.5,BW145),_xlpm.L_,N(Q145)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145)*(_xlpm.rho*_xlpm.L_/_xlpm.sz*N(BY145)+_xlpm.xx*_xlpm.L_*N(DU145)/1000)*N(P145)/((Uн_лин/SQRT(3))*1000)*100,999),_xlpm.kz,IF(OR(DG145=1,NOT(ISNUMBER(DQ145)),_xlpm.L_=0,_xlpm.inn=0),1,IFERROR(--(c_min*(Uн_лин*1000/SQRT(3))/(DQ145+2*ρкз_Cu*_xlpm.L_/_xlpm.sz)&gt;=GY145*_xlpm.inn),0)),_xlpm.ok,IFERROR((_xlpm.sz&gt;=_xlpm.smin)*(_xlpm.t_&gt;=_xlpm.inn)*IF(_xlpm.L_&gt;0,(_xlpm.du_+DP145&lt;=DV145+0.00001),1)*_xlpm.kz,0),_xlpm.r_,_xlfn._xlws.FILTER(_xlpm.sz,_xlpm.ok,"не подобрано"),INDEX(_xlpm.r_,1)))</f>
        <v>1.5</v>
      </c>
      <c r="DX145">
        <f t="shared" si="294"/>
        <v>1.5</v>
      </c>
      <c r="DY145" cm="1">
        <f t="array" ref="DY145">IF(OR(B145="",BT145="",DM145&lt;&gt;1),"",_xlfn.LET(_xlpm.sz,Iдоп_S,_xlpm.t_,CHOOSE(DL145,Iдоп_1ж,Iдоп_2ж,Iдоп_3ж)*DJ145*DK145,_xlpm.ok,IFERROR((_xlpm.sz&gt;=MAX(1.5,BW145))*(_xlpm.t_&gt;=N(DD145)),0),_xlpm.r_,_xlfn._xlws.FILTER(_xlpm.sz,_xlpm.ok,""),INDEX(_xlpm.r_,1)))</f>
        <v>1.5</v>
      </c>
      <c r="DZ145" s="6" cm="1">
        <f t="array" ref="DZ145">IFERROR(ROUNDUP(N(DT145)*(_xlfn.XLOOKUP(DY145,INDEX(Кабель_сопротивление,0,1),INDEX(Кабель_сопротивление,0,3))*N(Q145)/DY145*N(BY145)+_xlfn.XLOOKUP(DY145,INDEX(Кабель_сопротивление,0,1),INDEX(Кабель_сопротивление,0,2))*N(Q145)*N(DU145)/1000)*N(P145)/((Uн_лин/SQRT(3))*1000)*100,2),"")</f>
        <v>0.26</v>
      </c>
      <c r="EA145">
        <f>IFERROR(2*ρкз_Cu*N(Q145)/DY145,"")</f>
        <v>0.59613333333333329</v>
      </c>
      <c r="EB145">
        <f>IFERROR(VLOOKUP(DX145,Кабель_сопротивление,3,FALSE),"")</f>
        <v>2.2499999999999999E-2</v>
      </c>
      <c r="EC145">
        <f>IFERROR(VLOOKUP(DX145,Кабель_сопротивление,2,FALSE),"")</f>
        <v>0.11</v>
      </c>
      <c r="ED145">
        <f t="shared" si="295"/>
        <v>13</v>
      </c>
      <c r="EE145">
        <f t="shared" si="296"/>
        <v>0</v>
      </c>
      <c r="EF145">
        <f t="shared" si="297"/>
        <v>0.59953791220336672</v>
      </c>
      <c r="EG145" s="6">
        <f>IFERROR(ROUNDUP(EF145/((Uн_лин/SQRT(3))*1000)*100,2),"")</f>
        <v>0.26</v>
      </c>
      <c r="EH145" t="str">
        <f>IFERROR(VLOOKUP(BT145,Кабель_обозначение,2,FALSE),"")</f>
        <v>ВВГнг(А)-LS</v>
      </c>
      <c r="EI145" t="str">
        <f t="shared" si="298"/>
        <v>ВВГнг(А)-LS (3х1,5)</v>
      </c>
      <c r="EJ145" t="str">
        <f t="shared" si="299"/>
        <v>ВВГнг(А)-LS (3х1,5)
L=17-0,26%</v>
      </c>
      <c r="EK145">
        <f>IFERROR(2*ρкз_Cu*Q145/DX145,"")</f>
        <v>0.59613333333333329</v>
      </c>
      <c r="EL145">
        <f t="shared" si="300"/>
        <v>0.19833333333333336</v>
      </c>
      <c r="EM145" s="6" t="str">
        <f>IFERROR(IF(OR(B145="",NOT(ISNUMBER(DX145)),N(Q145)=0),"",_xlfn.XLOOKUP(A145,Щиты[Щит],Щиты[Zпетли на шинах, Ом])+EK145),"")</f>
        <v/>
      </c>
      <c r="EN145" s="6" t="str">
        <f>IF(ISNUMBER(EM145),c_min*(Uн_лин*1000/SQRT(3))/EM145,"")</f>
        <v/>
      </c>
      <c r="EO145" s="6" t="str">
        <f>IFERROR(IF(OR(B145="",NOT(ISNUMBER(DX145))),"",1.05*(Uн_лин*1000/SQRT(3))/(_xlfn.XLOOKUP(A145,Щиты[Щит],Щиты[Zmax на шинах, Ом])+EL145)/1000),"")</f>
        <v/>
      </c>
      <c r="EP145" s="6" t="str">
        <f>IF(B145="","",IF(ISNUMBER(Y145),"Сил",IF(IFERROR(_xlfn.XLOOKUP(AX145,Коды_код,Коды_группа)&amp;"","")="","Быт",_xlfn.XLOOKUP(AX145,Коды_код,Коды_группа)&amp;"")))</f>
        <v>Сил</v>
      </c>
      <c r="EQ145" s="6" t="str">
        <f t="shared" si="301"/>
        <v>Сил</v>
      </c>
      <c r="ER145" s="6">
        <f>IF(EQ145="Щит","щит",IF(EQ145="","",IF(EQ145="Быт",IFERROR(_xlfn.XLOOKUP(A145,Щиты[Щит],Щиты[Кс быт]),1),IF(EQ145="Сил",IF(ISNUMBER(Y145),Y145,IF(Методика="нормы 2026",IFERROR(_xlfn.XLOOKUP(A145,Щиты[Щит],Щиты[Кс силовых (табл. 7.5)]),1),1)),IF(OR(EQ145="Пост",EQ145="Отоп"),1,IF(EQ145="ВНГ",0.7,0))))))</f>
        <v>0.5</v>
      </c>
      <c r="ES145">
        <f t="shared" si="302"/>
        <v>1</v>
      </c>
      <c r="ET145">
        <f t="shared" si="303"/>
        <v>0.27</v>
      </c>
      <c r="EU145">
        <f t="shared" si="304"/>
        <v>0</v>
      </c>
      <c r="EV145">
        <f t="shared" si="305"/>
        <v>0.13500000000000001</v>
      </c>
      <c r="EW145">
        <f t="shared" si="306"/>
        <v>0</v>
      </c>
      <c r="EX145">
        <f t="shared" si="307"/>
        <v>0</v>
      </c>
      <c r="EY145">
        <f t="shared" si="308"/>
        <v>0</v>
      </c>
      <c r="EZ145">
        <f t="shared" si="309"/>
        <v>0.27</v>
      </c>
      <c r="FA145">
        <f t="shared" si="310"/>
        <v>0.21600000000000003</v>
      </c>
      <c r="FB145">
        <f t="shared" si="311"/>
        <v>0.27</v>
      </c>
      <c r="FC145" t="str">
        <f t="shared" si="312"/>
        <v/>
      </c>
      <c r="FD145" t="str">
        <f>IF(B145="","",IF(CA145=0,IF(AW145=1,"",FF144),IF(OR(N(CV145)&gt;=3,N(BR145)&gt;=3),"L1,L2,L3",IFERROR(_xlfn.TEXTBEFORE(_xlfn.TEXTAFTER(_xlfn.XLOOKUP(A145,Щиты[Щит],Щиты[_фазы авто]),";"&amp;AW145&amp;":"),";"),"L1"))))</f>
        <v>L1</v>
      </c>
      <c r="FE145" t="str">
        <f t="shared" si="313"/>
        <v>L1</v>
      </c>
      <c r="FF145" t="str">
        <f t="shared" si="314"/>
        <v>L1</v>
      </c>
      <c r="FG145" cm="1">
        <f t="array" ref="FG145">IFERROR(IF(BX145=2,_xlfn.IFS(BR145=3,VLOOKUP(BN145,Справочная_двигатели,3,FALSE),BR145=1,VLOOKUP(BN145,Справочная_двигатели,5,TRUE)),0),0)</f>
        <v>0</v>
      </c>
      <c r="FH145">
        <f>IFERROR(IF(BX145=3,VLOOKUP(BN145,Справочная_ЛЭД,2,TRUE),0),0)</f>
        <v>0</v>
      </c>
      <c r="FI145" s="6">
        <f t="shared" si="315"/>
        <v>0</v>
      </c>
      <c r="FJ145" t="str" cm="1">
        <f t="array" ref="FJ145">IF(B145="","",IFERROR(INDEX({"I особая","I","II","III"},MATCH(TRIM(AC145&amp;""),{"I особая","I","II","III"},0)),"III"))</f>
        <v>II</v>
      </c>
      <c r="FK145" t="str">
        <f>IF(B145="","",IF(TRIM(AD145&amp;"")&lt;&gt;"",IF(LOWER(TRIM(AD145&amp;""))="да","да","нет"),IF(IFERROR(_xlfn.XLOOKUP(AX145,Коды_код,Коды_пожарная),"")="да","да","нет")))</f>
        <v>нет</v>
      </c>
      <c r="FL145" t="str">
        <f t="shared" si="316"/>
        <v/>
      </c>
      <c r="FM145" t="str">
        <f t="shared" si="317"/>
        <v>основная</v>
      </c>
      <c r="FN145">
        <f t="shared" si="318"/>
        <v>1</v>
      </c>
      <c r="FO145" t="str" cm="1">
        <f t="array" ref="FO145">IF(B145="","",_xlfn.LET(_xlpm.t,IFERROR(_xlfn.XLOOKUP(1,(Шины[Шина]=FM145)*(((Шины[Щит]=A145)+(Шины[Щит]=""))&gt;0),Шины[Тип]),"")&amp;"",IF(_xlpm.t&lt;&gt;"",_xlpm.t,IF(ISNUMBER(SEARCH("ИБП",FM145)),"ИБП",IF(ISNUMBER(SEARCH("ДГУ",FM145)),"ДГУ","Ввод "&amp;FN145)))))</f>
        <v>Ввод 1</v>
      </c>
      <c r="FP145" t="str">
        <f t="shared" si="319"/>
        <v>Ввод 1</v>
      </c>
      <c r="FQ145" t="str">
        <f>IF(B145="","",IF(OR(FO145="ИБП",FO145="ДГУ"),"I особая",IF(FO145="Одиночная","III",_xlfn.XLOOKUP(A145,Щиты[Щит],Щиты[Категория шины «Ввод»],"III"))))</f>
        <v>II</v>
      </c>
      <c r="FR145">
        <f>IF(B145="",0,IFERROR(MATCH(FJ145,{"III","II","I","I особая"},0),1))</f>
        <v>2</v>
      </c>
      <c r="FS145">
        <f t="shared" si="320"/>
        <v>2</v>
      </c>
      <c r="FT145" t="str">
        <f>IF(B145="","",IF(FR145&gt;IFERROR(MATCH(FQ145,{"III","II","I","I особая"},0),1),"НЕ ОБЕСПЕЧЕНА","ОК"))</f>
        <v>ОК</v>
      </c>
      <c r="FU145" t="str">
        <f>IF(A145="","",_xlfn.XLOOKUP(A145,Щиты[Щит],Щиты[Путь],""))</f>
        <v>|ГРЩ-ЖД|ЩОВ-2|</v>
      </c>
      <c r="FV145" t="str">
        <f>IF(B145="","",IF(AE145&lt;&gt;"",AE145,IF(IFERROR(_xlfn.XLOOKUP(AX145,Коды_код,Коды_вид)&amp;"","")="","Прочее",_xlfn.XLOOKUP(AX145,Коды_код,Коды_вид)&amp;"")))</f>
        <v>Вентиляция</v>
      </c>
      <c r="FW145">
        <f>IF(BH145="","",INT((BH145-1)/Столбцов_на_лист)+1)</f>
        <v>2</v>
      </c>
      <c r="FX145" t="str">
        <f t="shared" si="321"/>
        <v>ВВГнг(А)-LS (3х1,5) L=17-0,26%</v>
      </c>
      <c r="FY145">
        <f t="shared" si="322"/>
        <v>0.27</v>
      </c>
      <c r="FZ145">
        <f t="shared" si="323"/>
        <v>1.47</v>
      </c>
      <c r="GA145">
        <f t="shared" si="324"/>
        <v>1</v>
      </c>
      <c r="GB145">
        <f t="shared" si="325"/>
        <v>0</v>
      </c>
      <c r="GC145">
        <f t="shared" si="326"/>
        <v>1</v>
      </c>
      <c r="GD145">
        <f>IF(BH145="","",IF(AND(CA145=1,GC145=1),COUNTIFS(A$3:A145,A145,CA$3:CA145,1,GC$3:GC145,1),IF(OR(OR(AW145=1,A145&lt;&gt;A144),AF145="вручную",GC145=0),"",IF(AW145=1,"",GE144))))</f>
        <v>15</v>
      </c>
      <c r="GE145">
        <f t="shared" si="327"/>
        <v>15</v>
      </c>
      <c r="GF145">
        <f>IF(B145="","",IFERROR(LOOKUP(INDEX(CHOOSE(DL145,Iдоп_1ж,Iдоп_2ж,Iдоп_3ж),MATCH(DX145,Iдоп_S,0))*DJ145*DK145,{6,10,16,20,25,32,40,50,63,80,100,125,160,200,250,315,400,500,630}),""))</f>
        <v>16</v>
      </c>
      <c r="GG145" t="str">
        <f t="shared" si="328"/>
        <v>QF15</v>
      </c>
      <c r="GH145" t="str">
        <f t="shared" si="329"/>
        <v>QF15</v>
      </c>
      <c r="GI145" t="str">
        <f t="shared" si="330"/>
        <v/>
      </c>
      <c r="GJ145">
        <f t="shared" si="331"/>
        <v>0</v>
      </c>
      <c r="GK145" t="str">
        <f>IF(OR(AG145="",AG145="-"),"",IFERROR(VLOOKUP(AG145,Модули_спр,2,FALSE),"R"))</f>
        <v/>
      </c>
      <c r="GL145" t="str">
        <f>IF(GK145="","",GK145&amp;"."&amp;COUNTIFS(A$3:A145,A145,GK$3:GK145,GK145))</f>
        <v/>
      </c>
      <c r="GM145" t="str">
        <f t="shared" si="332"/>
        <v/>
      </c>
      <c r="GN145" t="str">
        <f t="shared" si="333"/>
        <v/>
      </c>
      <c r="GO145" t="str">
        <f t="shared" si="334"/>
        <v/>
      </c>
      <c r="GP145" t="str">
        <f t="shared" si="335"/>
        <v/>
      </c>
      <c r="GQ145">
        <f t="shared" si="336"/>
        <v>1</v>
      </c>
      <c r="GR145" t="str">
        <f>IF(GQ145=1,"XT"&amp;COUNTIFS(A$3:A145,A145,GQ$3:GQ145,1),"")</f>
        <v>XT15</v>
      </c>
      <c r="GS145" t="str">
        <f t="shared" si="337"/>
        <v/>
      </c>
      <c r="GT145" t="str">
        <f t="shared" si="338"/>
        <v>QF15</v>
      </c>
      <c r="GU145" t="str">
        <f t="shared" si="339"/>
        <v/>
      </c>
      <c r="GV145" t="str">
        <f t="shared" si="340"/>
        <v>ok</v>
      </c>
      <c r="GW145" t="str">
        <f>IF(OR(GO145="",GM145=""),"",IF(GO145&gt;IFERROR(VLOOKUP(GN145,Модули_спр,3,FALSE),99),"ЛИШНИЙ КАНАЛ",IF(AND(AH145&lt;&gt;"=",COUNTIFS(Линии[_модуль гр.],GM145,Линии[Канал (итог)],GO145,Линии[Канал],"&lt;&gt;=",Линии[Щит],A145)&gt;1),"ДУБЛЬ КАНАЛА","")))</f>
        <v/>
      </c>
      <c r="GX145" s="6" t="str">
        <f t="shared" si="341"/>
        <v/>
      </c>
      <c r="GY145">
        <f t="shared" si="342"/>
        <v>10</v>
      </c>
      <c r="GZ145" t="str">
        <f t="shared" si="343"/>
        <v/>
      </c>
      <c r="HA145" t="str">
        <f>IF(AND(B145="",GT145=""),"",_xlfn.TEXTJOIN("; ",TRUE,IF(AND(B145&lt;&gt;"",FE145=""),"нет фазы",""),IF(AND(B145&lt;&gt;"",N(FY145)=0,EQ145&lt;&gt;"Нет"),"нет мощности",""),IF(AND(GS145&lt;&gt;"",COUNTIFS(Линии[Щит],A145,Линии[Клемма (итог)],GS145)&gt;1),"дубль клеммы "&amp;GS145,""),IF(AND(GV145&lt;&gt;"",GV145&lt;&gt;"ok"),GV145,""),IF(GW145&lt;&gt;"",GW145,""),IF(AND(N(BV145)&gt;=4,N(BR145)=1),BV145&amp;" жил на 1 фазе",""),IF(AND(AX145="R",CA145=1,OR(N(CK145)=0,N(CK145)&gt;30)),"розетка без дифзащиты до 30 мА",""),IFERROR(IF(AND(ISNUMBER(R145),R145&gt;DV145),"потери "&amp;FIXED(R145,1)&amp;" % &gt; "&amp;DV145&amp;" %",""),""),IFERROR(IF(LEFT(GZ145,4)="мало","Iкз мало — отключение &gt; 0,4 с",""),""),IF(AND(B145&lt;&gt;"",BH145=""),"не на схеме",""),IF(AND(CA145=0,B145&lt;&gt;"",FE145&lt;&gt;"",IF(AW145=1,"",FF144)&lt;&gt;"",FE145&lt;&gt;IF(AW145=1,"",FF144)),"фаза не как у автомата группы ("&amp;IF(AW145=1,"",FF144)&amp;")","")))</f>
        <v/>
      </c>
      <c r="HB145" s="6" t="str">
        <f>IF(OR(CA145=0,DA145=""),"",_xlfn.LET(_xlpm.t,IFERROR(_xlfn.XLOOKUP(DA145,Каталог!$U$4:$U$500,Каталог!$G$4:$G$500),""),_xlpm.k,SEARCH("кА",_xlpm.t),IFERROR(--TRIM(RIGHT(SUBSTITUTE(MID(_xlpm.t,MAX(1,_xlpm.k-4),_xlpm.k-MAX(1,_xlpm.k-4))," ",REPT(" ",9)),5)),"")))</f>
        <v/>
      </c>
      <c r="HC145" t="str">
        <f>IF(OR(HB145="",CA145=0),"",IF(_xlfn.XLOOKUP(A145,Щиты[Щит],Щиты[Iкз max на шинах, кА],"")="","",IF(HB145&lt;_xlfn.XLOOKUP(A145,Щиты[Щит],Щиты[Iкз max на шинах, кА]),"Icu "&amp;HB145&amp;" кА &lt; Iкз max","ok")))</f>
        <v/>
      </c>
      <c r="HD145" t="str">
        <f t="shared" si="344"/>
        <v/>
      </c>
      <c r="HE145" t="str">
        <f t="shared" si="345"/>
        <v>QF15</v>
      </c>
      <c r="HF145" t="str">
        <f t="shared" si="346"/>
        <v>QF15|кабель ВВГнг(А)-LS (3х1,5) → Вытяжная установка Технический этаж Пом. №001Т</v>
      </c>
      <c r="HG145" t="str" cm="1">
        <f t="array" ref="HG145">IF(HF145="","",_xlfn.LET(_xlpm.nd,_xlfn.TEXTSPLIT(HF145,"|"),IF(COLUMNS(_xlpm.nd)&gt;1,A145&amp;"¦"&amp;INDEX(_xlpm.nd,1)&amp;"¦"&amp;INDEX(_xlpm.nd,2),"")))</f>
        <v>ЩОВ-2¦QF15¦кабель ВВГнг(А)-LS (3х1,5) → Вытяжная установка Технический этаж Пом. №001Т</v>
      </c>
      <c r="HH145" t="str">
        <f t="shared" si="347"/>
        <v>В.1¦Вытяжная установка Технический этаж Пом. №001Т</v>
      </c>
      <c r="HI145" t="str" cm="1">
        <f t="array" ref="HI145">IF(HF145="","",_xlfn.LET(_xlpm.nd,_xlfn.TEXTSPLIT(HF145,"|"),IF(COLUMNS(_xlpm.nd)&gt;2,A145&amp;"¦"&amp;INDEX(_xlpm.nd,2)&amp;"¦"&amp;INDEX(_xlpm.nd,3),"")))</f>
        <v/>
      </c>
      <c r="HJ145" t="str">
        <f t="shared" si="348"/>
        <v/>
      </c>
      <c r="HK145" t="str" cm="1">
        <f t="array" ref="HK145">IF(HF145="","",_xlfn.LET(_xlpm.nd,_xlfn.TEXTSPLIT(HF145,"|"),IF(COLUMNS(_xlpm.nd)&gt;3,A145&amp;"¦"&amp;INDEX(_xlpm.nd,3)&amp;"¦"&amp;INDEX(_xlpm.nd,4),"")))</f>
        <v/>
      </c>
      <c r="HL145" t="str">
        <f t="shared" si="349"/>
        <v/>
      </c>
      <c r="HM145" t="str" cm="1">
        <f t="array" ref="HM145">IF(HF145="","",_xlfn.LET(_xlpm.nd,_xlfn.TEXTSPLIT(HF145,"|"),IF(COLUMNS(_xlpm.nd)&gt;4,A145&amp;"¦"&amp;INDEX(_xlpm.nd,4)&amp;"¦"&amp;INDEX(_xlpm.nd,5),"")))</f>
        <v/>
      </c>
      <c r="HN145" t="str">
        <f t="shared" si="350"/>
        <v/>
      </c>
      <c r="HO145" t="str" cm="1">
        <f t="array" ref="HO145">IF(HF145="","",_xlfn.LET(_xlpm.nd,_xlfn.TEXTSPLIT(HF145,"|"),IF(COLUMNS(_xlpm.nd)&gt;5,A145&amp;"¦"&amp;INDEX(_xlpm.nd,5)&amp;"¦"&amp;INDEX(_xlpm.nd,6),"")))</f>
        <v/>
      </c>
      <c r="HP145" t="str">
        <f t="shared" si="351"/>
        <v/>
      </c>
      <c r="HQ145" t="str" cm="1">
        <f t="array" ref="HQ145">IF(HF145="","",_xlfn.LET(_xlpm.nd,_xlfn.TEXTSPLIT(HF145,"|"),IF(COLUMNS(_xlpm.nd)&gt;6,A145&amp;"¦"&amp;INDEX(_xlpm.nd,6)&amp;"¦"&amp;INDEX(_xlpm.nd,7),"")))</f>
        <v/>
      </c>
      <c r="HR145" t="str">
        <f t="shared" si="352"/>
        <v/>
      </c>
      <c r="HS145" t="str">
        <f t="shared" si="353"/>
        <v/>
      </c>
      <c r="HT145" t="str">
        <f t="shared" si="354"/>
        <v>QF15</v>
      </c>
      <c r="HU145">
        <f t="shared" si="355"/>
        <v>0</v>
      </c>
      <c r="HV145">
        <f t="shared" si="356"/>
        <v>0</v>
      </c>
      <c r="HW145" t="str">
        <f t="shared" si="357"/>
        <v/>
      </c>
      <c r="HX145" t="str">
        <f t="shared" si="358"/>
        <v/>
      </c>
      <c r="HY145" t="str">
        <f t="shared" si="359"/>
        <v/>
      </c>
      <c r="HZ145" t="str">
        <f t="shared" si="360"/>
        <v/>
      </c>
      <c r="IA145" t="str">
        <f>IF(B145="","",IFERROR(VLOOKUP(B145,УГО_спр,2,FALSE),IFERROR(VLOOKUP(AX145,УГО_спр,2,FALSE),IFERROR(VLOOKUP(LEFT(AX145,2),УГО_спр,2,FALSE),""))))</f>
        <v>Привод (двигатель)</v>
      </c>
      <c r="IB145" t="str">
        <f>IF(B145="","",IF(OR(IA145="",IA145=0),"BOX",IFERROR(IF(VLOOKUP(IA145,УГО_блоки,3,FALSE)&amp;""&lt;&gt;"",VLOOKUP(IA145,УГО_блоки,3,FALSE),VLOOKUP(IA145,УГО_блоки,2,FALSE)),IA145)))</f>
        <v>MOTOR</v>
      </c>
      <c r="IC145">
        <f t="shared" si="361"/>
        <v>1</v>
      </c>
      <c r="ID145" t="str">
        <f>IF(DA145="","",IF(COUNTIF(DA$3:DA145,DA145)=1,MAX(ID$2:ID144)+1,""))</f>
        <v/>
      </c>
      <c r="IE145" t="str">
        <f>IF(CO145="","",IF(COUNTIF(CO$3:CO145,CO145)+COUNTIF(CP$2:CP144,CO145)+COUNTIF(CQ$2:CQ144,CO145)=1,MAX(IE$2:IG144)+1,""))</f>
        <v/>
      </c>
      <c r="IF145" t="str">
        <f>IF(CP145="","",IF(COUNTIF(CO$3:CO145,CP145)+COUNTIF(CP$3:CP145,CP145)+COUNTIF(CQ$2:CQ144,CP145)=1,MAX(IE$2:IG144,IE145)+1,""))</f>
        <v/>
      </c>
      <c r="IG145" t="str">
        <f>IF(CQ145="","",IF(COUNTIF(CO$3:CO145,CQ145)+COUNTIF(CP$3:CP145,CQ145)+COUNTIF(CQ$3:CQ145,CQ145)=1,MAX(IE$2:IG144,IE145,IF145)+1,""))</f>
        <v/>
      </c>
      <c r="IH145" t="str">
        <f t="shared" si="362"/>
        <v>3х1,5</v>
      </c>
      <c r="II145" t="str">
        <f>IF(IH145="","",IF(COUNTIF(IH$3:IH145,IH145)=1,MAX(II$2:II144)+1,""))</f>
        <v/>
      </c>
      <c r="IJ145" t="str">
        <f>IF(GL145="","",COUNTIF(GL$3:GL145,"?*"))</f>
        <v/>
      </c>
      <c r="IK145" t="str">
        <f>IF(OR(GL145="",GN145=""),"",IF(COUNTIFS(GL$3:GL145,"?*",GN$3:GN145,GN145)=1,MAX(IK$2:IK144)+1,""))</f>
        <v/>
      </c>
      <c r="IL145">
        <f t="shared" si="363"/>
        <v>0</v>
      </c>
      <c r="IM145">
        <f>IF(B145="","",COUNTIF(B$3:B145,"?*"))</f>
        <v>143</v>
      </c>
      <c r="IN145">
        <f>IF(GQ145&lt;&gt;1,0,_xlfn.LET(_xlpm.k,MAX(IFERROR(--VLOOKUP(B145,УГО_спр,5,FALSE),0),IFERROR(--VLOOKUP(AX145,УГО_спр,5,FALSE),0),IFERROR(--VLOOKUP(LEFT(AX145,2),УГО_спр,5,FALSE),0)),IF(_xlpm.k&gt;0,_xlpm.k,IF(IFERROR(--LEFT(SUBSTITUTE(IH145,"x","х"),FIND("х",SUBSTITUTE(IH145,"x","х"))-1),3)&gt;3,Каталог!$S$9,1))))</f>
        <v>1</v>
      </c>
      <c r="IO145">
        <f t="shared" si="364"/>
        <v>0</v>
      </c>
      <c r="IP145" t="str">
        <f t="shared" si="365"/>
        <v>авто</v>
      </c>
      <c r="IQ145" t="str">
        <f t="shared" si="366"/>
        <v/>
      </c>
      <c r="IR145">
        <f t="shared" si="367"/>
        <v>0</v>
      </c>
      <c r="IS145">
        <f t="shared" si="368"/>
        <v>1</v>
      </c>
    </row>
    <row r="146" spans="1:253" x14ac:dyDescent="0.3">
      <c r="A146" t="s">
        <v>753</v>
      </c>
      <c r="B146" t="s">
        <v>1414</v>
      </c>
      <c r="C146" t="s">
        <v>1648</v>
      </c>
      <c r="D146">
        <v>1</v>
      </c>
      <c r="E146">
        <v>0.27</v>
      </c>
      <c r="G146" t="str">
        <f>Линии[[#This Row],[_авто автомат]]</f>
        <v>1P С6А</v>
      </c>
      <c r="H146" t="str">
        <f>Линии[[#This Row],[_авто утечка]]</f>
        <v/>
      </c>
      <c r="I146" t="str">
        <f>Линии[[#This Row],[_авто управление]]</f>
        <v/>
      </c>
      <c r="J146" t="str">
        <f>Линии[[#This Row],[_авто аппараты]]</f>
        <v/>
      </c>
      <c r="K146">
        <v>1.5</v>
      </c>
      <c r="L146">
        <v>16</v>
      </c>
      <c r="M146" t="str">
        <f>Линии[[#This Row],[_авто фаза]]</f>
        <v>L2</v>
      </c>
      <c r="N146" t="s">
        <v>486</v>
      </c>
      <c r="O146" t="str">
        <f t="shared" si="246"/>
        <v/>
      </c>
      <c r="P146" s="6" cm="1">
        <f t="array" ref="P146">IF(B146="","",IF(BC146&lt;&gt;"",IFERROR(_xlfn.XLOOKUP(BC146,Щиты[Щит],Щиты[Iр, А]),""),IF(BK146=1,IFERROR(_xlfn.XLOOKUP(A146,Щиты[Щит],Щиты[Iр, А]),""),IFERROR(_xlfn.IFS(BR146=1,BN146/((Uн_лин/SQRT(3))*BY146),BR146=3,BN146/(SQRT(3)*Uн_лин*BY146)),""))))</f>
        <v>1.46141786888624</v>
      </c>
      <c r="Q146" s="7">
        <f>IF(B146="","",IFERROR(IF(VLOOKUP(AX146,Потребители_обозначение,4,FALSE)=1,VLOOKUP(AX146,Потребители_обозначение,3,FALSE)*(D146*2-1)+DS146+VLOOKUP(AZ146,Этаж_обозначение,3,FALSE)+VLOOKUP(AZ146,Этаж_обозначение,4,FALSE),VLOOKUP(AX146,Потребители_обозначение,3,FALSE)*(D146*2-1)+DS146),DS146))</f>
        <v>20</v>
      </c>
      <c r="R146" s="6">
        <f t="shared" si="247"/>
        <v>1.45</v>
      </c>
      <c r="S146" t="str">
        <f t="shared" si="248"/>
        <v>ВВГнг(А)-LS (3х1,5)</v>
      </c>
      <c r="T146" t="str">
        <f>IF(BH146="","",IF(BI146="вводной узел","узел ","")&amp;"л."&amp;(INT((BH146-1)/Столбцов_на_лист)+1)&amp;" / "&amp;(MOD(BH146-1,Столбцов_на_лист)+1))</f>
        <v>л.3 / 1</v>
      </c>
      <c r="V146">
        <v>1</v>
      </c>
      <c r="W146">
        <v>230</v>
      </c>
      <c r="X146" t="s">
        <v>600</v>
      </c>
      <c r="Y146">
        <v>0.5</v>
      </c>
      <c r="AC146" t="s">
        <v>815</v>
      </c>
      <c r="AE146" t="s">
        <v>582</v>
      </c>
      <c r="AI146">
        <v>35</v>
      </c>
      <c r="AJ146" t="s">
        <v>11</v>
      </c>
      <c r="AK146">
        <v>3</v>
      </c>
      <c r="AM146">
        <v>4</v>
      </c>
      <c r="AN146">
        <v>16</v>
      </c>
      <c r="AP146">
        <v>1</v>
      </c>
      <c r="AW146" cm="1">
        <f t="array" ref="AW146">ROW()-ROW(Линии[#Headers])</f>
        <v>144</v>
      </c>
      <c r="AX146" s="6" t="str">
        <f t="shared" si="249"/>
        <v>В</v>
      </c>
      <c r="AY146" t="str">
        <f t="shared" si="250"/>
        <v>22</v>
      </c>
      <c r="AZ146" t="str">
        <f t="shared" si="251"/>
        <v>22</v>
      </c>
      <c r="BA146" t="str">
        <f t="shared" si="252"/>
        <v/>
      </c>
      <c r="BB146" t="str">
        <f t="shared" si="253"/>
        <v/>
      </c>
      <c r="BC146" t="str">
        <f>IF(U146&lt;&gt;"",U146,IF(AND(B146&lt;&gt;"",B146&lt;&gt;A146,ISNUMBER(_xlfn.XMATCH(B146,Щиты[Щит]))),B146,""))</f>
        <v/>
      </c>
      <c r="BD146" t="str" cm="1">
        <f t="array" ref="BD146">IF(B146="","",IF(BC146&lt;&gt;"","Щит "&amp;BC146,_xlfn.LET(_xlpm.nm,IFERROR(_xlfn.XLOOKUP(AX146,Коды_код,Коды_имя)&amp;"",""),_xlpm.md,IFERROR(N(_xlfn.XLOOKUP(AX146,Коды_код,Коды_режим)),1),_xlpm.ex,IF(Имя_режим="по экспликации",IFERROR(_xlfn.XLOOKUP(AZ146&amp;"|"&amp;BB146,Экспликация[Этаж]&amp;"|"&amp;Экспликация[Помещение],Экспликация[Название])&amp;"",""),""),_xlpm.rm,IF(BB146="","",IF(_xlpm.ex&lt;&gt;"",". "&amp;_xlpm.ex&amp;IF(Имя_пом="нет"," ("&amp;BB146&amp;")"," (пом. "&amp;BB146&amp;")"),IF(Имя_пом="нет"," ",", пом. ")&amp;BB146)),IF(_xlpm.nm="","",IF(_xlpm.md=2,_xlpm.nm&amp;" шлейф "&amp;AZ146,_xlpm.nm&amp;_xlpm.rm)))))</f>
        <v>Вытяжная установка шлейф 22</v>
      </c>
      <c r="BE146" t="str">
        <f t="shared" si="254"/>
        <v>Вытяжная установка Технический этаж Пом. №001Т</v>
      </c>
      <c r="BF146">
        <f>IFERROR(_xlfn.XMATCH(A146,Щиты[Щит]),0)</f>
        <v>7</v>
      </c>
      <c r="BG146">
        <f>_xlfn.LET(_xlpm.k,IFERROR(_xlfn.XLOOKUP(A146,Щиты[Щит],Щиты[Листов под вводной узел]),""),IF(_xlpm.k="",1,N(_xlpm.k))*Столбцов_на_лист)</f>
        <v>17</v>
      </c>
      <c r="BH146">
        <f t="shared" si="255"/>
        <v>35</v>
      </c>
      <c r="BI146" t="str">
        <f t="shared" si="256"/>
        <v>линии</v>
      </c>
      <c r="BJ146" s="6">
        <f>IFERROR(N(_xlfn.XLOOKUP(AX146,Коды_код,Коды_квт)),0)</f>
        <v>0</v>
      </c>
      <c r="BK146">
        <f t="shared" si="257"/>
        <v>0</v>
      </c>
      <c r="BL146" t="str">
        <f>IF(B146="","",IF(BC146&lt;&gt;"",IFERROR(_xlfn.XLOOKUP(BC146,Щиты[Щит],Щиты[Руст, кВт]),0),IF(BK146=1,IFERROR(_xlfn.XLOOKUP(A146,Щиты[Щит],Щиты[Руст, кВт]),0),IF(BJ146&gt;0,ROUND(BJ146*MAX(1,N(D146)),3),""))))</f>
        <v/>
      </c>
      <c r="BM146">
        <f t="shared" si="258"/>
        <v>0.27</v>
      </c>
      <c r="BN146" s="6">
        <f>IF(B146="","",IF(BC146&lt;&gt;"",IFERROR(_xlfn.XLOOKUP(BC146,Щиты[Щит],Щиты[Руст, кВт]),0),N(BM146)))</f>
        <v>0.27</v>
      </c>
      <c r="BO146" t="str">
        <f>IF(B146="","",IFERROR(IF(VLOOKUP(AX146,Потребители_обозначение,8,FALSE)=0,"",VLOOKUP(AX146,Потребители_обозначение,8,FALSE)),""))</f>
        <v/>
      </c>
      <c r="BP146">
        <f t="shared" si="259"/>
        <v>230</v>
      </c>
      <c r="BQ146">
        <f>IF(B146="","",IF(BC146&lt;&gt;"",3,IFERROR(IF(N(VLOOKUP(AX146,Потребители_обозначение,9,FALSE))=0,1,VLOOKUP(AX146,Потребители_обозначение,9,FALSE)),1)))</f>
        <v>1</v>
      </c>
      <c r="BR146">
        <f t="shared" si="260"/>
        <v>1</v>
      </c>
      <c r="BS146" t="str">
        <f>IF(B146="","",_xlfn.LET(_xlpm.bc,IFERROR(IF(VLOOKUP(AX146,Потребители_обозначение,6,FALSE)=0,"",VLOOKUP(AX146,Потребители_обозначение,6,FALSE)&amp;""),""),IF(AND(FK146="да",OR(_xlpm.bc="",_xlpm.bc="мс")),Марка_пож,IF(AND(_xlpm.bc="",BC146&lt;&gt;""),"мс",_xlpm.bc))))</f>
        <v/>
      </c>
      <c r="BT146" t="str">
        <f t="shared" si="261"/>
        <v>мс</v>
      </c>
      <c r="BU146">
        <f>IF(B146="","",_xlfn.LET(_xlpm.cc,IFERROR(N(VLOOKUP(AX146,Потребители_обозначение,7,FALSE)),0),IF(_xlpm.cc&gt;0,_xlpm.cc,IF(BT146="","",IF(N(BR146)=3,5,3)))))</f>
        <v>3</v>
      </c>
      <c r="BV146">
        <f t="shared" si="262"/>
        <v>3</v>
      </c>
      <c r="BW146">
        <f>IFERROR(N(VLOOKUP(AX146,Потребители_обозначение,10,FALSE)),0)</f>
        <v>0</v>
      </c>
      <c r="BX146">
        <f>IFERROR(VLOOKUP(AX146,Потребители_обозначение,5,FALSE),0)</f>
        <v>1</v>
      </c>
      <c r="BY146" s="6" cm="1">
        <f t="array" ref="BY146">IF(B146="","",IF(BC146&lt;&gt;"",IFERROR(_xlfn.XLOOKUP(BC146,Щиты[Щит],Щиты[cos φ]),0.95),IF(BK146=1,IFERROR(_xlfn.XLOOKUP(A146,Щиты[Щит],Щиты[cos φ]),0.95),IF(ISNUMBER(Z146),Z146,IFERROR(IF(BX146=2,_xlfn.IFS(BR146=3,VLOOKUP(BN146,Справочная_двигатели,8,FALSE),BR146=1,VLOOKUP(BN146,Справочная_двигатели,10,TRUE)),IF(AND(Методика="нормы 2026",EQ146="Сил"),0.8,0.95)),0.95)))))</f>
        <v>0.8</v>
      </c>
      <c r="BZ146">
        <f t="shared" si="263"/>
        <v>0</v>
      </c>
      <c r="CA146">
        <f t="shared" si="264"/>
        <v>1</v>
      </c>
      <c r="CB146">
        <f t="shared" si="265"/>
        <v>0</v>
      </c>
      <c r="CC146">
        <f t="shared" si="266"/>
        <v>0</v>
      </c>
      <c r="CD146">
        <f t="shared" si="267"/>
        <v>0</v>
      </c>
      <c r="CE146">
        <f t="shared" si="268"/>
        <v>0</v>
      </c>
      <c r="CF146">
        <f t="shared" si="269"/>
        <v>0</v>
      </c>
      <c r="CG146">
        <f>IF(AX146="",0,_xlfn.LET(_xlpm.v,IFERROR(VLOOKUP(B146,УГО_спр,3,FALSE),IFERROR(VLOOKUP(AX146,УГО_спр,3,FALSE),IFERROR(VLOOKUP(LEFT(AX146,2),УГО_спр,3,FALSE),""))),IF(_xlpm.v="да",30,IF(ISNUMBER(_xlpm.v),_xlpm.v,0))))</f>
        <v>0</v>
      </c>
      <c r="CH146" t="str">
        <f t="shared" si="270"/>
        <v/>
      </c>
      <c r="CI146" t="str">
        <f>_xlfn.LET(_xlpm.k,IFERROR(_xlfn.XLOOKUP(AX146,Коды_код,Коды_утечка)&amp;"",""),IF(_xlpm.k="","дифавтомат",_xlpm.k))</f>
        <v>дифавтомат</v>
      </c>
      <c r="CJ146">
        <f t="shared" si="271"/>
        <v>0</v>
      </c>
      <c r="CK146">
        <f t="shared" si="272"/>
        <v>0</v>
      </c>
      <c r="CL146">
        <f>IF(B146="",0,IFERROR(--VLOOKUP(B146,УГО_спр,4,FALSE),IFERROR(--VLOOKUP(AX146,УГО_спр,4,FALSE),IFERROR(--VLOOKUP(LEFT(AX146,2),УГО_спр,4,FALSE),0))))</f>
        <v>0</v>
      </c>
      <c r="CM146" t="str">
        <f>IF(B146="","",IFERROR(_xlfn.XLOOKUP(AX146,Коды_код,Коды_апп)&amp;"",""))</f>
        <v/>
      </c>
      <c r="CN146" t="str">
        <f t="shared" si="273"/>
        <v/>
      </c>
      <c r="CO146" t="str" cm="1">
        <f t="array" ref="CO146">IF(TRIM(CN146&amp;"")="","",IFERROR(TRIM(INDEX(_xlfn.TEXTSPLIT(CN146&amp;";;;",";"),1)),""))</f>
        <v/>
      </c>
      <c r="CP146" t="str" cm="1">
        <f t="array" ref="CP146">IF(TRIM(CN146&amp;"")="","",IFERROR(TRIM(INDEX(_xlfn.TEXTSPLIT(CN146&amp;";;;",";"),2)),""))</f>
        <v/>
      </c>
      <c r="CQ146" t="str" cm="1">
        <f t="array" ref="CQ146">IF(TRIM(CN146&amp;"")="","",IFERROR(TRIM(INDEX(_xlfn.TEXTSPLIT(CN146&amp;";;;",";"),3)),""))</f>
        <v/>
      </c>
      <c r="CR146">
        <f t="shared" si="274"/>
        <v>0</v>
      </c>
      <c r="CS146" t="str">
        <f>IF(B146="","",_xlfn.LET(_xlpm.t,LOWER(AV146&amp;""),IF(ISNUMBER(SEARCH("dim",_xlpm.t)),"DIM",IF(ISNUMBER(SEARCH("dali",_xlpm.t)),"DALI",IF(OR(ISNUMBER(SEARCH("relay",_xlpm.t)),ISNUMBER(SEARCH("реле",_xlpm.t))),"Relay",IF(ISNUMBER(SEARCH("кнопк",_xlpm.t)),"",IFERROR(_xlfn.XLOOKUP(AX146,Коды_код,Коды_упр)&amp;"","")))))))</f>
        <v/>
      </c>
      <c r="CT146" t="str">
        <f t="shared" si="275"/>
        <v/>
      </c>
      <c r="CU146">
        <f>IF(B146="","",_xlfn.LET(_xlpm.ig,N(P146)+IF(AF146="вручную",0,N(CB146)),_xlpm.n0,IFERROR(VLOOKUP(_xlpm.ig,Автомат_номиналы,2,TRUE),0),_xlpm.mn,MAX(CL146,IF(AF146="вручную",0,N(CE146))),MAX(_xlpm.n0,_xlpm.mn,IF(CR146=1,Мин_автомат_БП,0))))</f>
        <v>6</v>
      </c>
      <c r="CV146">
        <f t="shared" si="276"/>
        <v>1</v>
      </c>
      <c r="CW146" t="str">
        <f t="shared" si="277"/>
        <v>1P</v>
      </c>
      <c r="CX146" t="str">
        <f>_xlfn.LET(_xlpm.cc,UPPER(TRIM(IFERROR(_xlfn.XLOOKUP(AX146,Коды_код,Коды_хар)&amp;"",""))),IF(OR(_xlpm.cc="B",_xlpm.cc="В"),"B",IF(_xlpm.cc="D","D","С")))</f>
        <v>С</v>
      </c>
      <c r="CY146" t="str">
        <f t="shared" si="278"/>
        <v>1P С6А</v>
      </c>
      <c r="CZ146" t="str">
        <f t="shared" si="279"/>
        <v>1P С6А</v>
      </c>
      <c r="DA146" t="str">
        <f t="shared" si="280"/>
        <v>1P С6А</v>
      </c>
      <c r="DB146" cm="1">
        <f t="array" ref="DB146">IF(DA146="","",_xlfn.LET(_xlpm.t,SUBSTITUTE(SUBSTITUTE(SUBSTITUTE(UPPER(DA146),"С","C"),"А","A"),"В","B"),_xlpm.tk,_xlfn.TEXTSPLIT(_xlpm.t,"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6" t="str">
        <f t="shared" si="281"/>
        <v>ok</v>
      </c>
      <c r="DD146">
        <f t="shared" si="282"/>
        <v>6</v>
      </c>
      <c r="DE146" t="str">
        <f t="shared" si="283"/>
        <v>1P С6А</v>
      </c>
      <c r="DF146">
        <f t="shared" si="284"/>
        <v>0</v>
      </c>
      <c r="DG146">
        <f t="shared" si="285"/>
        <v>0</v>
      </c>
      <c r="DH146">
        <f t="shared" si="286"/>
        <v>0</v>
      </c>
      <c r="DI146">
        <f t="shared" si="287"/>
        <v>1.46141786888624</v>
      </c>
      <c r="DJ146">
        <f t="shared" si="288"/>
        <v>1</v>
      </c>
      <c r="DK146">
        <f>IF(ISNUMBER(AL146),AL146,К_прокл)</f>
        <v>1</v>
      </c>
      <c r="DL146">
        <f t="shared" si="289"/>
        <v>2</v>
      </c>
      <c r="DM146">
        <f>IFERROR(N(VLOOKUP(BT146,Кабель_обозначение,3,FALSE)),1)</f>
        <v>1</v>
      </c>
      <c r="DN146">
        <f>IFERROR(N(_xlfn.XLOOKUP(A146,Щиты[Щит],Щиты[ΔU до шин, %])),0)</f>
        <v>1.1399999999999999</v>
      </c>
      <c r="DO146" t="str">
        <f>IFERROR(_xlfn.XLOOKUP(A146,Щиты[Щит],Щиты[Zпетли на шинах, Ом]),"")</f>
        <v/>
      </c>
      <c r="DP146">
        <f>IFERROR(N(_xlfn.XLOOKUP(A146,Щиты[Щит],Щиты[ΔU до шин (подбор), %])),0)</f>
        <v>1.82</v>
      </c>
      <c r="DQ146" t="str">
        <f>IFERROR(_xlfn.XLOOKUP(A146,Щиты[Щит],Щиты[Zпетли на шинах (подбор), Ом]),"")</f>
        <v/>
      </c>
      <c r="DR146" t="str">
        <f t="shared" si="290"/>
        <v/>
      </c>
      <c r="DS146">
        <f t="shared" si="291"/>
        <v>16</v>
      </c>
      <c r="DT146">
        <f t="shared" si="292"/>
        <v>2</v>
      </c>
      <c r="DU146">
        <f t="shared" si="293"/>
        <v>0.6</v>
      </c>
      <c r="DV146" s="6">
        <f>IF(B146="","",IF(IFERROR(VLOOKUP(AX146,УГО_спр,2,FALSE),"")="Светильник",3,4)+IF(Методика="нормы 2026",MIN(0.5,MAX(0,N(Q146)-100)*0.005),0))</f>
        <v>4</v>
      </c>
      <c r="DW146" cm="1">
        <f t="array" ref="DW146">IF(OR(B146="",BT146="",DM146&lt;&gt;1),"",_xlfn.LET(_xlpm.sz,Iдоп_S,_xlpm.t_,CHOOSE(DL146,Iдоп_1ж,Iдоп_2ж,Iдоп_3ж)*DJ146*DK146,_xlpm.inn,N(DD146),_xlpm.smin,MAX(1.5,BW146),_xlpm.L_,N(Q146)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146)*(_xlpm.rho*_xlpm.L_/_xlpm.sz*N(BY146)+_xlpm.xx*_xlpm.L_*N(DU146)/1000)*N(P146)/((Uн_лин/SQRT(3))*1000)*100,999),_xlpm.kz,IF(OR(DG146=1,NOT(ISNUMBER(DQ146)),_xlpm.L_=0,_xlpm.inn=0),1,IFERROR(--(c_min*(Uн_лин*1000/SQRT(3))/(DQ146+2*ρкз_Cu*_xlpm.L_/_xlpm.sz)&gt;=GY146*_xlpm.inn),0)),_xlpm.ok,IFERROR((_xlpm.sz&gt;=_xlpm.smin)*(_xlpm.t_&gt;=_xlpm.inn)*IF(_xlpm.L_&gt;0,(_xlpm.du_+DP146&lt;=DV146+0.00001),1)*_xlpm.kz,0),_xlpm.r_,_xlfn._xlws.FILTER(_xlpm.sz,_xlpm.ok,"не подобрано"),INDEX(_xlpm.r_,1)))</f>
        <v>1.5</v>
      </c>
      <c r="DX146">
        <f t="shared" si="294"/>
        <v>1.5</v>
      </c>
      <c r="DY146" cm="1">
        <f t="array" ref="DY146">IF(OR(B146="",BT146="",DM146&lt;&gt;1),"",_xlfn.LET(_xlpm.sz,Iдоп_S,_xlpm.t_,CHOOSE(DL146,Iдоп_1ж,Iдоп_2ж,Iдоп_3ж)*DJ146*DK146,_xlpm.ok,IFERROR((_xlpm.sz&gt;=MAX(1.5,BW146))*(_xlpm.t_&gt;=N(DD146)),0),_xlpm.r_,_xlfn._xlws.FILTER(_xlpm.sz,_xlpm.ok,""),INDEX(_xlpm.r_,1)))</f>
        <v>1.5</v>
      </c>
      <c r="DZ146" s="6" cm="1">
        <f t="array" ref="DZ146">IFERROR(ROUNDUP(N(DT146)*(_xlfn.XLOOKUP(DY146,INDEX(Кабель_сопротивление,0,1),INDEX(Кабель_сопротивление,0,3))*N(Q146)/DY146*N(BY146)+_xlfn.XLOOKUP(DY146,INDEX(Кабель_сопротивление,0,1),INDEX(Кабель_сопротивление,0,2))*N(Q146)*N(DU146)/1000)*N(P146)/((Uн_лин/SQRT(3))*1000)*100,2),"")</f>
        <v>0.31</v>
      </c>
      <c r="EA146">
        <f>IFERROR(2*ρкз_Cu*N(Q146)/DY146,"")</f>
        <v>0.70133333333333336</v>
      </c>
      <c r="EB146">
        <f>IFERROR(VLOOKUP(DX146,Кабель_сопротивление,3,FALSE),"")</f>
        <v>2.2499999999999999E-2</v>
      </c>
      <c r="EC146">
        <f>IFERROR(VLOOKUP(DX146,Кабель_сопротивление,2,FALSE),"")</f>
        <v>0.11</v>
      </c>
      <c r="ED146">
        <f t="shared" si="295"/>
        <v>16</v>
      </c>
      <c r="EE146">
        <f t="shared" si="296"/>
        <v>0</v>
      </c>
      <c r="EF146">
        <f t="shared" si="297"/>
        <v>0.70533872023925481</v>
      </c>
      <c r="EG146" s="6">
        <f>IFERROR(ROUNDUP(EF146/((Uн_лин/SQRT(3))*1000)*100,2),"")</f>
        <v>0.31</v>
      </c>
      <c r="EH146" t="str">
        <f>IFERROR(VLOOKUP(BT146,Кабель_обозначение,2,FALSE),"")</f>
        <v>ВВГнг(А)-LS</v>
      </c>
      <c r="EI146" t="str">
        <f t="shared" si="298"/>
        <v>ВВГнг(А)-LS (3х1,5)</v>
      </c>
      <c r="EJ146" t="str">
        <f t="shared" si="299"/>
        <v>ВВГнг(А)-LS (3х1,5)
L=20-0,31%</v>
      </c>
      <c r="EK146">
        <f>IFERROR(2*ρкз_Cu*Q146/DX146,"")</f>
        <v>0.70133333333333336</v>
      </c>
      <c r="EL146">
        <f t="shared" si="300"/>
        <v>0.23333333333333336</v>
      </c>
      <c r="EM146" s="6" t="str">
        <f>IFERROR(IF(OR(B146="",NOT(ISNUMBER(DX146)),N(Q146)=0),"",_xlfn.XLOOKUP(A146,Щиты[Щит],Щиты[Zпетли на шинах, Ом])+EK146),"")</f>
        <v/>
      </c>
      <c r="EN146" s="6" t="str">
        <f>IF(ISNUMBER(EM146),c_min*(Uн_лин*1000/SQRT(3))/EM146,"")</f>
        <v/>
      </c>
      <c r="EO146" s="6" t="str">
        <f>IFERROR(IF(OR(B146="",NOT(ISNUMBER(DX146))),"",1.05*(Uн_лин*1000/SQRT(3))/(_xlfn.XLOOKUP(A146,Щиты[Щит],Щиты[Zmax на шинах, Ом])+EL146)/1000),"")</f>
        <v/>
      </c>
      <c r="EP146" s="6" t="str">
        <f>IF(B146="","",IF(ISNUMBER(Y146),"Сил",IF(IFERROR(_xlfn.XLOOKUP(AX146,Коды_код,Коды_группа)&amp;"","")="","Быт",_xlfn.XLOOKUP(AX146,Коды_код,Коды_группа)&amp;"")))</f>
        <v>Сил</v>
      </c>
      <c r="EQ146" s="6" t="str">
        <f t="shared" si="301"/>
        <v>Сил</v>
      </c>
      <c r="ER146" s="6">
        <f>IF(EQ146="Щит","щит",IF(EQ146="","",IF(EQ146="Быт",IFERROR(_xlfn.XLOOKUP(A146,Щиты[Щит],Щиты[Кс быт]),1),IF(EQ146="Сил",IF(ISNUMBER(Y146),Y146,IF(Методика="нормы 2026",IFERROR(_xlfn.XLOOKUP(A146,Щиты[Щит],Щиты[Кс силовых (табл. 7.5)]),1),1)),IF(OR(EQ146="Пост",EQ146="Отоп"),1,IF(EQ146="ВНГ",0.7,0))))))</f>
        <v>0.5</v>
      </c>
      <c r="ES146">
        <f t="shared" si="302"/>
        <v>1</v>
      </c>
      <c r="ET146">
        <f t="shared" si="303"/>
        <v>0.27</v>
      </c>
      <c r="EU146">
        <f t="shared" si="304"/>
        <v>0</v>
      </c>
      <c r="EV146">
        <f t="shared" si="305"/>
        <v>0.13500000000000001</v>
      </c>
      <c r="EW146">
        <f t="shared" si="306"/>
        <v>0</v>
      </c>
      <c r="EX146">
        <f t="shared" si="307"/>
        <v>0</v>
      </c>
      <c r="EY146">
        <f t="shared" si="308"/>
        <v>0</v>
      </c>
      <c r="EZ146">
        <f t="shared" si="309"/>
        <v>0.27</v>
      </c>
      <c r="FA146">
        <f t="shared" si="310"/>
        <v>0.21600000000000003</v>
      </c>
      <c r="FB146">
        <f t="shared" si="311"/>
        <v>0.27</v>
      </c>
      <c r="FC146" t="str">
        <f t="shared" si="312"/>
        <v/>
      </c>
      <c r="FD146" t="str">
        <f>IF(B146="","",IF(CA146=0,IF(AW146=1,"",FF145),IF(OR(N(CV146)&gt;=3,N(BR146)&gt;=3),"L1,L2,L3",IFERROR(_xlfn.TEXTBEFORE(_xlfn.TEXTAFTER(_xlfn.XLOOKUP(A146,Щиты[Щит],Щиты[_фазы авто]),";"&amp;AW146&amp;":"),";"),"L1"))))</f>
        <v>L2</v>
      </c>
      <c r="FE146" t="str">
        <f t="shared" si="313"/>
        <v>L2</v>
      </c>
      <c r="FF146" t="str">
        <f t="shared" si="314"/>
        <v>L2</v>
      </c>
      <c r="FG146" cm="1">
        <f t="array" ref="FG146">IFERROR(IF(BX146=2,_xlfn.IFS(BR146=3,VLOOKUP(BN146,Справочная_двигатели,3,FALSE),BR146=1,VLOOKUP(BN146,Справочная_двигатели,5,TRUE)),0),0)</f>
        <v>0</v>
      </c>
      <c r="FH146">
        <f>IFERROR(IF(BX146=3,VLOOKUP(BN146,Справочная_ЛЭД,2,TRUE),0),0)</f>
        <v>0</v>
      </c>
      <c r="FI146" s="6">
        <f t="shared" si="315"/>
        <v>0</v>
      </c>
      <c r="FJ146" t="str" cm="1">
        <f t="array" ref="FJ146">IF(B146="","",IFERROR(INDEX({"I особая","I","II","III"},MATCH(TRIM(AC146&amp;""),{"I особая","I","II","III"},0)),"III"))</f>
        <v>II</v>
      </c>
      <c r="FK146" t="str">
        <f>IF(B146="","",IF(TRIM(AD146&amp;"")&lt;&gt;"",IF(LOWER(TRIM(AD146&amp;""))="да","да","нет"),IF(IFERROR(_xlfn.XLOOKUP(AX146,Коды_код,Коды_пожарная),"")="да","да","нет")))</f>
        <v>нет</v>
      </c>
      <c r="FL146" t="str">
        <f t="shared" si="316"/>
        <v/>
      </c>
      <c r="FM146" t="str">
        <f t="shared" si="317"/>
        <v>основная</v>
      </c>
      <c r="FN146">
        <f t="shared" si="318"/>
        <v>1</v>
      </c>
      <c r="FO146" t="str" cm="1">
        <f t="array" ref="FO146">IF(B146="","",_xlfn.LET(_xlpm.t,IFERROR(_xlfn.XLOOKUP(1,(Шины[Шина]=FM146)*(((Шины[Щит]=A146)+(Шины[Щит]=""))&gt;0),Шины[Тип]),"")&amp;"",IF(_xlpm.t&lt;&gt;"",_xlpm.t,IF(ISNUMBER(SEARCH("ИБП",FM146)),"ИБП",IF(ISNUMBER(SEARCH("ДГУ",FM146)),"ДГУ","Ввод "&amp;FN146)))))</f>
        <v>Ввод 1</v>
      </c>
      <c r="FP146" t="str">
        <f t="shared" si="319"/>
        <v>Ввод 1</v>
      </c>
      <c r="FQ146" t="str">
        <f>IF(B146="","",IF(OR(FO146="ИБП",FO146="ДГУ"),"I особая",IF(FO146="Одиночная","III",_xlfn.XLOOKUP(A146,Щиты[Щит],Щиты[Категория шины «Ввод»],"III"))))</f>
        <v>II</v>
      </c>
      <c r="FR146">
        <f>IF(B146="",0,IFERROR(MATCH(FJ146,{"III","II","I","I особая"},0),1))</f>
        <v>2</v>
      </c>
      <c r="FS146">
        <f t="shared" si="320"/>
        <v>2</v>
      </c>
      <c r="FT146" t="str">
        <f>IF(B146="","",IF(FR146&gt;IFERROR(MATCH(FQ146,{"III","II","I","I особая"},0),1),"НЕ ОБЕСПЕЧЕНА","ОК"))</f>
        <v>ОК</v>
      </c>
      <c r="FU146" t="str">
        <f>IF(A146="","",_xlfn.XLOOKUP(A146,Щиты[Щит],Щиты[Путь],""))</f>
        <v>|ГРЩ-ЖД|ЩОВ-2|</v>
      </c>
      <c r="FV146" t="str">
        <f>IF(B146="","",IF(AE146&lt;&gt;"",AE146,IF(IFERROR(_xlfn.XLOOKUP(AX146,Коды_код,Коды_вид)&amp;"","")="","Прочее",_xlfn.XLOOKUP(AX146,Коды_код,Коды_вид)&amp;"")))</f>
        <v>Вентиляция</v>
      </c>
      <c r="FW146">
        <f>IF(BH146="","",INT((BH146-1)/Столбцов_на_лист)+1)</f>
        <v>3</v>
      </c>
      <c r="FX146" t="str">
        <f t="shared" si="321"/>
        <v>ВВГнг(А)-LS (3х1,5) L=20-0,31%</v>
      </c>
      <c r="FY146">
        <f t="shared" si="322"/>
        <v>0.27</v>
      </c>
      <c r="FZ146">
        <f t="shared" si="323"/>
        <v>1.47</v>
      </c>
      <c r="GA146">
        <f t="shared" si="324"/>
        <v>1</v>
      </c>
      <c r="GB146">
        <f t="shared" si="325"/>
        <v>0</v>
      </c>
      <c r="GC146">
        <f t="shared" si="326"/>
        <v>1</v>
      </c>
      <c r="GD146">
        <f>IF(BH146="","",IF(AND(CA146=1,GC146=1),COUNTIFS(A$3:A146,A146,CA$3:CA146,1,GC$3:GC146,1),IF(OR(OR(AW146=1,A146&lt;&gt;A145),AF146="вручную",GC146=0),"",IF(AW146=1,"",GE145))))</f>
        <v>16</v>
      </c>
      <c r="GE146">
        <f t="shared" si="327"/>
        <v>16</v>
      </c>
      <c r="GF146">
        <f>IF(B146="","",IFERROR(LOOKUP(INDEX(CHOOSE(DL146,Iдоп_1ж,Iдоп_2ж,Iдоп_3ж),MATCH(DX146,Iдоп_S,0))*DJ146*DK146,{6,10,16,20,25,32,40,50,63,80,100,125,160,200,250,315,400,500,630}),""))</f>
        <v>16</v>
      </c>
      <c r="GG146" t="str">
        <f t="shared" si="328"/>
        <v>QF16</v>
      </c>
      <c r="GH146" t="str">
        <f t="shared" si="329"/>
        <v>QF16</v>
      </c>
      <c r="GI146" t="str">
        <f t="shared" si="330"/>
        <v/>
      </c>
      <c r="GJ146">
        <f t="shared" si="331"/>
        <v>0</v>
      </c>
      <c r="GK146" t="str">
        <f>IF(OR(AG146="",AG146="-"),"",IFERROR(VLOOKUP(AG146,Модули_спр,2,FALSE),"R"))</f>
        <v/>
      </c>
      <c r="GL146" t="str">
        <f>IF(GK146="","",GK146&amp;"."&amp;COUNTIFS(A$3:A146,A146,GK$3:GK146,GK146))</f>
        <v/>
      </c>
      <c r="GM146" t="str">
        <f t="shared" si="332"/>
        <v/>
      </c>
      <c r="GN146" t="str">
        <f t="shared" si="333"/>
        <v/>
      </c>
      <c r="GO146" t="str">
        <f t="shared" si="334"/>
        <v/>
      </c>
      <c r="GP146" t="str">
        <f t="shared" si="335"/>
        <v/>
      </c>
      <c r="GQ146">
        <f t="shared" si="336"/>
        <v>1</v>
      </c>
      <c r="GR146" t="str">
        <f>IF(GQ146=1,"XT"&amp;COUNTIFS(A$3:A146,A146,GQ$3:GQ146,1),"")</f>
        <v>XT16</v>
      </c>
      <c r="GS146" t="str">
        <f t="shared" si="337"/>
        <v/>
      </c>
      <c r="GT146" t="str">
        <f t="shared" si="338"/>
        <v>QF16</v>
      </c>
      <c r="GU146" t="str">
        <f t="shared" si="339"/>
        <v/>
      </c>
      <c r="GV146" t="str">
        <f t="shared" si="340"/>
        <v>ok</v>
      </c>
      <c r="GW146" t="str">
        <f>IF(OR(GO146="",GM146=""),"",IF(GO146&gt;IFERROR(VLOOKUP(GN146,Модули_спр,3,FALSE),99),"ЛИШНИЙ КАНАЛ",IF(AND(AH146&lt;&gt;"=",COUNTIFS(Линии[_модуль гр.],GM146,Линии[Канал (итог)],GO146,Линии[Канал],"&lt;&gt;=",Линии[Щит],A146)&gt;1),"ДУБЛЬ КАНАЛА","")))</f>
        <v/>
      </c>
      <c r="GX146" s="6" t="str">
        <f t="shared" si="341"/>
        <v/>
      </c>
      <c r="GY146">
        <f t="shared" si="342"/>
        <v>10</v>
      </c>
      <c r="GZ146" t="str">
        <f t="shared" si="343"/>
        <v/>
      </c>
      <c r="HA146" t="str">
        <f>IF(AND(B146="",GT146=""),"",_xlfn.TEXTJOIN("; ",TRUE,IF(AND(B146&lt;&gt;"",FE146=""),"нет фазы",""),IF(AND(B146&lt;&gt;"",N(FY146)=0,EQ146&lt;&gt;"Нет"),"нет мощности",""),IF(AND(GS146&lt;&gt;"",COUNTIFS(Линии[Щит],A146,Линии[Клемма (итог)],GS146)&gt;1),"дубль клеммы "&amp;GS146,""),IF(AND(GV146&lt;&gt;"",GV146&lt;&gt;"ok"),GV146,""),IF(GW146&lt;&gt;"",GW146,""),IF(AND(N(BV146)&gt;=4,N(BR146)=1),BV146&amp;" жил на 1 фазе",""),IF(AND(AX146="R",CA146=1,OR(N(CK146)=0,N(CK146)&gt;30)),"розетка без дифзащиты до 30 мА",""),IFERROR(IF(AND(ISNUMBER(R146),R146&gt;DV146),"потери "&amp;FIXED(R146,1)&amp;" % &gt; "&amp;DV146&amp;" %",""),""),IFERROR(IF(LEFT(GZ146,4)="мало","Iкз мало — отключение &gt; 0,4 с",""),""),IF(AND(B146&lt;&gt;"",BH146=""),"не на схеме",""),IF(AND(CA146=0,B146&lt;&gt;"",FE146&lt;&gt;"",IF(AW146=1,"",FF145)&lt;&gt;"",FE146&lt;&gt;IF(AW146=1,"",FF145)),"фаза не как у автомата группы ("&amp;IF(AW146=1,"",FF145)&amp;")","")))</f>
        <v/>
      </c>
      <c r="HB146" s="6" t="str">
        <f>IF(OR(CA146=0,DA146=""),"",_xlfn.LET(_xlpm.t,IFERROR(_xlfn.XLOOKUP(DA146,Каталог!$U$4:$U$500,Каталог!$G$4:$G$500),""),_xlpm.k,SEARCH("кА",_xlpm.t),IFERROR(--TRIM(RIGHT(SUBSTITUTE(MID(_xlpm.t,MAX(1,_xlpm.k-4),_xlpm.k-MAX(1,_xlpm.k-4))," ",REPT(" ",9)),5)),"")))</f>
        <v/>
      </c>
      <c r="HC146" t="str">
        <f>IF(OR(HB146="",CA146=0),"",IF(_xlfn.XLOOKUP(A146,Щиты[Щит],Щиты[Iкз max на шинах, кА],"")="","",IF(HB146&lt;_xlfn.XLOOKUP(A146,Щиты[Щит],Щиты[Iкз max на шинах, кА]),"Icu "&amp;HB146&amp;" кА &lt; Iкз max","ok")))</f>
        <v/>
      </c>
      <c r="HD146" t="str">
        <f t="shared" si="344"/>
        <v/>
      </c>
      <c r="HE146" t="str">
        <f t="shared" si="345"/>
        <v>QF16</v>
      </c>
      <c r="HF146" t="str">
        <f t="shared" si="346"/>
        <v>QF16|кабель ВВГнг(А)-LS (3х1,5) → Вытяжная установка Технический этаж Пом. №001Т</v>
      </c>
      <c r="HG146" t="str" cm="1">
        <f t="array" ref="HG146">IF(HF146="","",_xlfn.LET(_xlpm.nd,_xlfn.TEXTSPLIT(HF146,"|"),IF(COLUMNS(_xlpm.nd)&gt;1,A146&amp;"¦"&amp;INDEX(_xlpm.nd,1)&amp;"¦"&amp;INDEX(_xlpm.nd,2),"")))</f>
        <v>ЩОВ-2¦QF16¦кабель ВВГнг(А)-LS (3х1,5) → Вытяжная установка Технический этаж Пом. №001Т</v>
      </c>
      <c r="HH146" t="str">
        <f t="shared" si="347"/>
        <v>В.22¦Вытяжная установка Технический этаж Пом. №001Т</v>
      </c>
      <c r="HI146" t="str" cm="1">
        <f t="array" ref="HI146">IF(HF146="","",_xlfn.LET(_xlpm.nd,_xlfn.TEXTSPLIT(HF146,"|"),IF(COLUMNS(_xlpm.nd)&gt;2,A146&amp;"¦"&amp;INDEX(_xlpm.nd,2)&amp;"¦"&amp;INDEX(_xlpm.nd,3),"")))</f>
        <v/>
      </c>
      <c r="HJ146" t="str">
        <f t="shared" si="348"/>
        <v/>
      </c>
      <c r="HK146" t="str" cm="1">
        <f t="array" ref="HK146">IF(HF146="","",_xlfn.LET(_xlpm.nd,_xlfn.TEXTSPLIT(HF146,"|"),IF(COLUMNS(_xlpm.nd)&gt;3,A146&amp;"¦"&amp;INDEX(_xlpm.nd,3)&amp;"¦"&amp;INDEX(_xlpm.nd,4),"")))</f>
        <v/>
      </c>
      <c r="HL146" t="str">
        <f t="shared" si="349"/>
        <v/>
      </c>
      <c r="HM146" t="str" cm="1">
        <f t="array" ref="HM146">IF(HF146="","",_xlfn.LET(_xlpm.nd,_xlfn.TEXTSPLIT(HF146,"|"),IF(COLUMNS(_xlpm.nd)&gt;4,A146&amp;"¦"&amp;INDEX(_xlpm.nd,4)&amp;"¦"&amp;INDEX(_xlpm.nd,5),"")))</f>
        <v/>
      </c>
      <c r="HN146" t="str">
        <f t="shared" si="350"/>
        <v/>
      </c>
      <c r="HO146" t="str" cm="1">
        <f t="array" ref="HO146">IF(HF146="","",_xlfn.LET(_xlpm.nd,_xlfn.TEXTSPLIT(HF146,"|"),IF(COLUMNS(_xlpm.nd)&gt;5,A146&amp;"¦"&amp;INDEX(_xlpm.nd,5)&amp;"¦"&amp;INDEX(_xlpm.nd,6),"")))</f>
        <v/>
      </c>
      <c r="HP146" t="str">
        <f t="shared" si="351"/>
        <v/>
      </c>
      <c r="HQ146" t="str" cm="1">
        <f t="array" ref="HQ146">IF(HF146="","",_xlfn.LET(_xlpm.nd,_xlfn.TEXTSPLIT(HF146,"|"),IF(COLUMNS(_xlpm.nd)&gt;6,A146&amp;"¦"&amp;INDEX(_xlpm.nd,6)&amp;"¦"&amp;INDEX(_xlpm.nd,7),"")))</f>
        <v/>
      </c>
      <c r="HR146" t="str">
        <f t="shared" si="352"/>
        <v/>
      </c>
      <c r="HS146" t="str">
        <f t="shared" si="353"/>
        <v/>
      </c>
      <c r="HT146" t="str">
        <f t="shared" si="354"/>
        <v>QF16</v>
      </c>
      <c r="HU146">
        <f t="shared" si="355"/>
        <v>0</v>
      </c>
      <c r="HV146">
        <f t="shared" si="356"/>
        <v>0</v>
      </c>
      <c r="HW146" t="str">
        <f t="shared" si="357"/>
        <v/>
      </c>
      <c r="HX146" t="str">
        <f t="shared" si="358"/>
        <v/>
      </c>
      <c r="HY146" t="str">
        <f t="shared" si="359"/>
        <v/>
      </c>
      <c r="HZ146" t="str">
        <f t="shared" si="360"/>
        <v/>
      </c>
      <c r="IA146" t="str">
        <f>IF(B146="","",IFERROR(VLOOKUP(B146,УГО_спр,2,FALSE),IFERROR(VLOOKUP(AX146,УГО_спр,2,FALSE),IFERROR(VLOOKUP(LEFT(AX146,2),УГО_спр,2,FALSE),""))))</f>
        <v>Привод (двигатель)</v>
      </c>
      <c r="IB146" t="str">
        <f>IF(B146="","",IF(OR(IA146="",IA146=0),"BOX",IFERROR(IF(VLOOKUP(IA146,УГО_блоки,3,FALSE)&amp;""&lt;&gt;"",VLOOKUP(IA146,УГО_блоки,3,FALSE),VLOOKUP(IA146,УГО_блоки,2,FALSE)),IA146)))</f>
        <v>MOTOR</v>
      </c>
      <c r="IC146">
        <f t="shared" si="361"/>
        <v>1</v>
      </c>
      <c r="ID146" t="str">
        <f>IF(DA146="","",IF(COUNTIF(DA$3:DA146,DA146)=1,MAX(ID$2:ID145)+1,""))</f>
        <v/>
      </c>
      <c r="IE146" t="str">
        <f>IF(CO146="","",IF(COUNTIF(CO$3:CO146,CO146)+COUNTIF(CP$2:CP145,CO146)+COUNTIF(CQ$2:CQ145,CO146)=1,MAX(IE$2:IG145)+1,""))</f>
        <v/>
      </c>
      <c r="IF146" t="str">
        <f>IF(CP146="","",IF(COUNTIF(CO$3:CO146,CP146)+COUNTIF(CP$3:CP146,CP146)+COUNTIF(CQ$2:CQ145,CP146)=1,MAX(IE$2:IG145,IE146)+1,""))</f>
        <v/>
      </c>
      <c r="IG146" t="str">
        <f>IF(CQ146="","",IF(COUNTIF(CO$3:CO146,CQ146)+COUNTIF(CP$3:CP146,CQ146)+COUNTIF(CQ$3:CQ146,CQ146)=1,MAX(IE$2:IG145,IE146,IF146)+1,""))</f>
        <v/>
      </c>
      <c r="IH146" t="str">
        <f t="shared" si="362"/>
        <v>3х1,5</v>
      </c>
      <c r="II146" t="str">
        <f>IF(IH146="","",IF(COUNTIF(IH$3:IH146,IH146)=1,MAX(II$2:II145)+1,""))</f>
        <v/>
      </c>
      <c r="IJ146" t="str">
        <f>IF(GL146="","",COUNTIF(GL$3:GL146,"?*"))</f>
        <v/>
      </c>
      <c r="IK146" t="str">
        <f>IF(OR(GL146="",GN146=""),"",IF(COUNTIFS(GL$3:GL146,"?*",GN$3:GN146,GN146)=1,MAX(IK$2:IK145)+1,""))</f>
        <v/>
      </c>
      <c r="IL146">
        <f t="shared" si="363"/>
        <v>0</v>
      </c>
      <c r="IM146">
        <f>IF(B146="","",COUNTIF(B$3:B146,"?*"))</f>
        <v>144</v>
      </c>
      <c r="IN146">
        <f>IF(GQ146&lt;&gt;1,0,_xlfn.LET(_xlpm.k,MAX(IFERROR(--VLOOKUP(B146,УГО_спр,5,FALSE),0),IFERROR(--VLOOKUP(AX146,УГО_спр,5,FALSE),0),IFERROR(--VLOOKUP(LEFT(AX146,2),УГО_спр,5,FALSE),0)),IF(_xlpm.k&gt;0,_xlpm.k,IF(IFERROR(--LEFT(SUBSTITUTE(IH146,"x","х"),FIND("х",SUBSTITUTE(IH146,"x","х"))-1),3)&gt;3,Каталог!$S$9,1))))</f>
        <v>1</v>
      </c>
      <c r="IO146">
        <f t="shared" si="364"/>
        <v>0</v>
      </c>
      <c r="IP146" t="str">
        <f t="shared" si="365"/>
        <v>авто</v>
      </c>
      <c r="IQ146" t="str">
        <f t="shared" si="366"/>
        <v/>
      </c>
      <c r="IR146">
        <f t="shared" si="367"/>
        <v>0</v>
      </c>
      <c r="IS146">
        <f t="shared" si="368"/>
        <v>1</v>
      </c>
    </row>
    <row r="147" spans="1:253" x14ac:dyDescent="0.3">
      <c r="A147" t="s">
        <v>753</v>
      </c>
      <c r="B147" t="s">
        <v>1415</v>
      </c>
      <c r="C147" t="s">
        <v>1648</v>
      </c>
      <c r="D147">
        <v>1</v>
      </c>
      <c r="E147">
        <v>0.27</v>
      </c>
      <c r="G147" t="str">
        <f>Линии[[#This Row],[_авто автомат]]</f>
        <v>1P С6А</v>
      </c>
      <c r="H147" t="str">
        <f>Линии[[#This Row],[_авто утечка]]</f>
        <v/>
      </c>
      <c r="I147" t="str">
        <f>Линии[[#This Row],[_авто управление]]</f>
        <v/>
      </c>
      <c r="J147" t="str">
        <f>Линии[[#This Row],[_авто аппараты]]</f>
        <v/>
      </c>
      <c r="K147">
        <v>1.5</v>
      </c>
      <c r="L147">
        <v>30</v>
      </c>
      <c r="M147">
        <v>1</v>
      </c>
      <c r="N147" t="s">
        <v>486</v>
      </c>
      <c r="O147" t="str">
        <f t="shared" si="246"/>
        <v/>
      </c>
      <c r="P147" s="6" cm="1">
        <f t="array" ref="P147">IF(B147="","",IF(BC147&lt;&gt;"",IFERROR(_xlfn.XLOOKUP(BC147,Щиты[Щит],Щиты[Iр, А]),""),IF(BK147=1,IFERROR(_xlfn.XLOOKUP(A147,Щиты[Щит],Щиты[Iр, А]),""),IFERROR(_xlfn.IFS(BR147=1,BN147/((Uн_лин/SQRT(3))*BY147),BR147=3,BN147/(SQRT(3)*Uн_лин*BY147)),""))))</f>
        <v>1.46141786888624</v>
      </c>
      <c r="Q147" s="7">
        <f>IF(B147="","",IFERROR(IF(VLOOKUP(AX147,Потребители_обозначение,4,FALSE)=1,VLOOKUP(AX147,Потребители_обозначение,3,FALSE)*(D147*2-1)+DS147+VLOOKUP(AZ147,Этаж_обозначение,3,FALSE)+VLOOKUP(AZ147,Этаж_обозначение,4,FALSE),VLOOKUP(AX147,Потребители_обозначение,3,FALSE)*(D147*2-1)+DS147),DS147))</f>
        <v>34</v>
      </c>
      <c r="R147" s="6">
        <f t="shared" si="247"/>
        <v>1.66</v>
      </c>
      <c r="S147" t="str">
        <f t="shared" si="248"/>
        <v>ВВГнг(А)-LS (3х1,5)</v>
      </c>
      <c r="T147" t="str">
        <f>IF(BH147="","",IF(BI147="вводной узел","узел ","")&amp;"л."&amp;(INT((BH147-1)/Столбцов_на_лист)+1)&amp;" / "&amp;(MOD(BH147-1,Столбцов_на_лист)+1))</f>
        <v>л.3 / 2</v>
      </c>
      <c r="V147">
        <v>1</v>
      </c>
      <c r="W147">
        <v>230</v>
      </c>
      <c r="X147" t="s">
        <v>600</v>
      </c>
      <c r="Y147">
        <v>0.5</v>
      </c>
      <c r="AC147" t="s">
        <v>815</v>
      </c>
      <c r="AE147" t="s">
        <v>582</v>
      </c>
      <c r="AI147">
        <v>36</v>
      </c>
      <c r="AJ147" t="s">
        <v>11</v>
      </c>
      <c r="AK147">
        <v>3</v>
      </c>
      <c r="AM147">
        <v>4</v>
      </c>
      <c r="AN147">
        <v>30</v>
      </c>
      <c r="AP147">
        <v>1</v>
      </c>
      <c r="AW147" cm="1">
        <f t="array" ref="AW147">ROW()-ROW(Линии[#Headers])</f>
        <v>145</v>
      </c>
      <c r="AX147" s="6" t="str">
        <f t="shared" si="249"/>
        <v>В</v>
      </c>
      <c r="AY147" t="str">
        <f t="shared" si="250"/>
        <v>23</v>
      </c>
      <c r="AZ147" t="str">
        <f t="shared" si="251"/>
        <v>23</v>
      </c>
      <c r="BA147" t="str">
        <f t="shared" si="252"/>
        <v/>
      </c>
      <c r="BB147" t="str">
        <f t="shared" si="253"/>
        <v/>
      </c>
      <c r="BC147" t="str">
        <f>IF(U147&lt;&gt;"",U147,IF(AND(B147&lt;&gt;"",B147&lt;&gt;A147,ISNUMBER(_xlfn.XMATCH(B147,Щиты[Щит]))),B147,""))</f>
        <v/>
      </c>
      <c r="BD147" t="str" cm="1">
        <f t="array" ref="BD147">IF(B147="","",IF(BC147&lt;&gt;"","Щит "&amp;BC147,_xlfn.LET(_xlpm.nm,IFERROR(_xlfn.XLOOKUP(AX147,Коды_код,Коды_имя)&amp;"",""),_xlpm.md,IFERROR(N(_xlfn.XLOOKUP(AX147,Коды_код,Коды_режим)),1),_xlpm.ex,IF(Имя_режим="по экспликации",IFERROR(_xlfn.XLOOKUP(AZ147&amp;"|"&amp;BB147,Экспликация[Этаж]&amp;"|"&amp;Экспликация[Помещение],Экспликация[Название])&amp;"",""),""),_xlpm.rm,IF(BB147="","",IF(_xlpm.ex&lt;&gt;"",". "&amp;_xlpm.ex&amp;IF(Имя_пом="нет"," ("&amp;BB147&amp;")"," (пом. "&amp;BB147&amp;")"),IF(Имя_пом="нет"," ",", пом. ")&amp;BB147)),IF(_xlpm.nm="","",IF(_xlpm.md=2,_xlpm.nm&amp;" шлейф "&amp;AZ147,_xlpm.nm&amp;_xlpm.rm)))))</f>
        <v>Вытяжная установка шлейф 23</v>
      </c>
      <c r="BE147" t="str">
        <f t="shared" si="254"/>
        <v>Вытяжная установка Технический этаж Пом. №001Т</v>
      </c>
      <c r="BF147">
        <f>IFERROR(_xlfn.XMATCH(A147,Щиты[Щит]),0)</f>
        <v>7</v>
      </c>
      <c r="BG147">
        <f>_xlfn.LET(_xlpm.k,IFERROR(_xlfn.XLOOKUP(A147,Щиты[Щит],Щиты[Листов под вводной узел]),""),IF(_xlpm.k="",1,N(_xlpm.k))*Столбцов_на_лист)</f>
        <v>17</v>
      </c>
      <c r="BH147">
        <f t="shared" si="255"/>
        <v>36</v>
      </c>
      <c r="BI147" t="str">
        <f t="shared" si="256"/>
        <v>линии</v>
      </c>
      <c r="BJ147" s="6">
        <f>IFERROR(N(_xlfn.XLOOKUP(AX147,Коды_код,Коды_квт)),0)</f>
        <v>0</v>
      </c>
      <c r="BK147">
        <f t="shared" si="257"/>
        <v>0</v>
      </c>
      <c r="BL147" t="str">
        <f>IF(B147="","",IF(BC147&lt;&gt;"",IFERROR(_xlfn.XLOOKUP(BC147,Щиты[Щит],Щиты[Руст, кВт]),0),IF(BK147=1,IFERROR(_xlfn.XLOOKUP(A147,Щиты[Щит],Щиты[Руст, кВт]),0),IF(BJ147&gt;0,ROUND(BJ147*MAX(1,N(D147)),3),""))))</f>
        <v/>
      </c>
      <c r="BM147">
        <f t="shared" si="258"/>
        <v>0.27</v>
      </c>
      <c r="BN147" s="6">
        <f>IF(B147="","",IF(BC147&lt;&gt;"",IFERROR(_xlfn.XLOOKUP(BC147,Щиты[Щит],Щиты[Руст, кВт]),0),N(BM147)))</f>
        <v>0.27</v>
      </c>
      <c r="BO147" t="str">
        <f>IF(B147="","",IFERROR(IF(VLOOKUP(AX147,Потребители_обозначение,8,FALSE)=0,"",VLOOKUP(AX147,Потребители_обозначение,8,FALSE)),""))</f>
        <v/>
      </c>
      <c r="BP147">
        <f t="shared" si="259"/>
        <v>230</v>
      </c>
      <c r="BQ147">
        <f>IF(B147="","",IF(BC147&lt;&gt;"",3,IFERROR(IF(N(VLOOKUP(AX147,Потребители_обозначение,9,FALSE))=0,1,VLOOKUP(AX147,Потребители_обозначение,9,FALSE)),1)))</f>
        <v>1</v>
      </c>
      <c r="BR147">
        <f t="shared" si="260"/>
        <v>1</v>
      </c>
      <c r="BS147" t="str">
        <f>IF(B147="","",_xlfn.LET(_xlpm.bc,IFERROR(IF(VLOOKUP(AX147,Потребители_обозначение,6,FALSE)=0,"",VLOOKUP(AX147,Потребители_обозначение,6,FALSE)&amp;""),""),IF(AND(FK147="да",OR(_xlpm.bc="",_xlpm.bc="мс")),Марка_пож,IF(AND(_xlpm.bc="",BC147&lt;&gt;""),"мс",_xlpm.bc))))</f>
        <v/>
      </c>
      <c r="BT147" t="str">
        <f t="shared" si="261"/>
        <v>мс</v>
      </c>
      <c r="BU147">
        <f>IF(B147="","",_xlfn.LET(_xlpm.cc,IFERROR(N(VLOOKUP(AX147,Потребители_обозначение,7,FALSE)),0),IF(_xlpm.cc&gt;0,_xlpm.cc,IF(BT147="","",IF(N(BR147)=3,5,3)))))</f>
        <v>3</v>
      </c>
      <c r="BV147">
        <f t="shared" si="262"/>
        <v>3</v>
      </c>
      <c r="BW147">
        <f>IFERROR(N(VLOOKUP(AX147,Потребители_обозначение,10,FALSE)),0)</f>
        <v>0</v>
      </c>
      <c r="BX147">
        <f>IFERROR(VLOOKUP(AX147,Потребители_обозначение,5,FALSE),0)</f>
        <v>1</v>
      </c>
      <c r="BY147" s="6" cm="1">
        <f t="array" ref="BY147">IF(B147="","",IF(BC147&lt;&gt;"",IFERROR(_xlfn.XLOOKUP(BC147,Щиты[Щит],Щиты[cos φ]),0.95),IF(BK147=1,IFERROR(_xlfn.XLOOKUP(A147,Щиты[Щит],Щиты[cos φ]),0.95),IF(ISNUMBER(Z147),Z147,IFERROR(IF(BX147=2,_xlfn.IFS(BR147=3,VLOOKUP(BN147,Справочная_двигатели,8,FALSE),BR147=1,VLOOKUP(BN147,Справочная_двигатели,10,TRUE)),IF(AND(Методика="нормы 2026",EQ147="Сил"),0.8,0.95)),0.95)))))</f>
        <v>0.8</v>
      </c>
      <c r="BZ147">
        <f t="shared" si="263"/>
        <v>0</v>
      </c>
      <c r="CA147">
        <f t="shared" si="264"/>
        <v>1</v>
      </c>
      <c r="CB147">
        <f t="shared" si="265"/>
        <v>0</v>
      </c>
      <c r="CC147">
        <f t="shared" si="266"/>
        <v>0</v>
      </c>
      <c r="CD147">
        <f t="shared" si="267"/>
        <v>0</v>
      </c>
      <c r="CE147">
        <f t="shared" si="268"/>
        <v>0</v>
      </c>
      <c r="CF147">
        <f t="shared" si="269"/>
        <v>0</v>
      </c>
      <c r="CG147">
        <f>IF(AX147="",0,_xlfn.LET(_xlpm.v,IFERROR(VLOOKUP(B147,УГО_спр,3,FALSE),IFERROR(VLOOKUP(AX147,УГО_спр,3,FALSE),IFERROR(VLOOKUP(LEFT(AX147,2),УГО_спр,3,FALSE),""))),IF(_xlpm.v="да",30,IF(ISNUMBER(_xlpm.v),_xlpm.v,0))))</f>
        <v>0</v>
      </c>
      <c r="CH147" t="str">
        <f t="shared" si="270"/>
        <v/>
      </c>
      <c r="CI147" t="str">
        <f>_xlfn.LET(_xlpm.k,IFERROR(_xlfn.XLOOKUP(AX147,Коды_код,Коды_утечка)&amp;"",""),IF(_xlpm.k="","дифавтомат",_xlpm.k))</f>
        <v>дифавтомат</v>
      </c>
      <c r="CJ147">
        <f t="shared" si="271"/>
        <v>0</v>
      </c>
      <c r="CK147">
        <f t="shared" si="272"/>
        <v>0</v>
      </c>
      <c r="CL147">
        <f>IF(B147="",0,IFERROR(--VLOOKUP(B147,УГО_спр,4,FALSE),IFERROR(--VLOOKUP(AX147,УГО_спр,4,FALSE),IFERROR(--VLOOKUP(LEFT(AX147,2),УГО_спр,4,FALSE),0))))</f>
        <v>0</v>
      </c>
      <c r="CM147" t="str">
        <f>IF(B147="","",IFERROR(_xlfn.XLOOKUP(AX147,Коды_код,Коды_апп)&amp;"",""))</f>
        <v/>
      </c>
      <c r="CN147" t="str">
        <f t="shared" si="273"/>
        <v/>
      </c>
      <c r="CO147" t="str" cm="1">
        <f t="array" ref="CO147">IF(TRIM(CN147&amp;"")="","",IFERROR(TRIM(INDEX(_xlfn.TEXTSPLIT(CN147&amp;";;;",";"),1)),""))</f>
        <v/>
      </c>
      <c r="CP147" t="str" cm="1">
        <f t="array" ref="CP147">IF(TRIM(CN147&amp;"")="","",IFERROR(TRIM(INDEX(_xlfn.TEXTSPLIT(CN147&amp;";;;",";"),2)),""))</f>
        <v/>
      </c>
      <c r="CQ147" t="str" cm="1">
        <f t="array" ref="CQ147">IF(TRIM(CN147&amp;"")="","",IFERROR(TRIM(INDEX(_xlfn.TEXTSPLIT(CN147&amp;";;;",";"),3)),""))</f>
        <v/>
      </c>
      <c r="CR147">
        <f t="shared" si="274"/>
        <v>0</v>
      </c>
      <c r="CS147" t="str">
        <f>IF(B147="","",_xlfn.LET(_xlpm.t,LOWER(AV147&amp;""),IF(ISNUMBER(SEARCH("dim",_xlpm.t)),"DIM",IF(ISNUMBER(SEARCH("dali",_xlpm.t)),"DALI",IF(OR(ISNUMBER(SEARCH("relay",_xlpm.t)),ISNUMBER(SEARCH("реле",_xlpm.t))),"Relay",IF(ISNUMBER(SEARCH("кнопк",_xlpm.t)),"",IFERROR(_xlfn.XLOOKUP(AX147,Коды_код,Коды_упр)&amp;"","")))))))</f>
        <v/>
      </c>
      <c r="CT147" t="str">
        <f t="shared" si="275"/>
        <v/>
      </c>
      <c r="CU147">
        <f>IF(B147="","",_xlfn.LET(_xlpm.ig,N(P147)+IF(AF147="вручную",0,N(CB147)),_xlpm.n0,IFERROR(VLOOKUP(_xlpm.ig,Автомат_номиналы,2,TRUE),0),_xlpm.mn,MAX(CL147,IF(AF147="вручную",0,N(CE147))),MAX(_xlpm.n0,_xlpm.mn,IF(CR147=1,Мин_автомат_БП,0))))</f>
        <v>6</v>
      </c>
      <c r="CV147">
        <f t="shared" si="276"/>
        <v>1</v>
      </c>
      <c r="CW147" t="str">
        <f t="shared" si="277"/>
        <v>1P</v>
      </c>
      <c r="CX147" t="str">
        <f>_xlfn.LET(_xlpm.cc,UPPER(TRIM(IFERROR(_xlfn.XLOOKUP(AX147,Коды_код,Коды_хар)&amp;"",""))),IF(OR(_xlpm.cc="B",_xlpm.cc="В"),"B",IF(_xlpm.cc="D","D","С")))</f>
        <v>С</v>
      </c>
      <c r="CY147" t="str">
        <f t="shared" si="278"/>
        <v>1P С6А</v>
      </c>
      <c r="CZ147" t="str">
        <f t="shared" si="279"/>
        <v>1P С6А</v>
      </c>
      <c r="DA147" t="str">
        <f t="shared" si="280"/>
        <v>1P С6А</v>
      </c>
      <c r="DB147" cm="1">
        <f t="array" ref="DB147">IF(DA147="","",_xlfn.LET(_xlpm.t,SUBSTITUTE(SUBSTITUTE(SUBSTITUTE(UPPER(DA147),"С","C"),"А","A"),"В","B"),_xlpm.tk,_xlfn.TEXTSPLIT(_xlpm.t,"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7" t="str">
        <f t="shared" si="281"/>
        <v>ok</v>
      </c>
      <c r="DD147">
        <f t="shared" si="282"/>
        <v>6</v>
      </c>
      <c r="DE147" t="str">
        <f t="shared" si="283"/>
        <v>1P С6А</v>
      </c>
      <c r="DF147">
        <f t="shared" si="284"/>
        <v>0</v>
      </c>
      <c r="DG147">
        <f t="shared" si="285"/>
        <v>0</v>
      </c>
      <c r="DH147">
        <f t="shared" si="286"/>
        <v>0</v>
      </c>
      <c r="DI147">
        <f t="shared" si="287"/>
        <v>1.46141786888624</v>
      </c>
      <c r="DJ147">
        <f t="shared" si="288"/>
        <v>1</v>
      </c>
      <c r="DK147">
        <f>IF(ISNUMBER(AL147),AL147,К_прокл)</f>
        <v>1</v>
      </c>
      <c r="DL147">
        <f t="shared" si="289"/>
        <v>2</v>
      </c>
      <c r="DM147">
        <f>IFERROR(N(VLOOKUP(BT147,Кабель_обозначение,3,FALSE)),1)</f>
        <v>1</v>
      </c>
      <c r="DN147">
        <f>IFERROR(N(_xlfn.XLOOKUP(A147,Щиты[Щит],Щиты[ΔU до шин, %])),0)</f>
        <v>1.1399999999999999</v>
      </c>
      <c r="DO147" t="str">
        <f>IFERROR(_xlfn.XLOOKUP(A147,Щиты[Щит],Щиты[Zпетли на шинах, Ом]),"")</f>
        <v/>
      </c>
      <c r="DP147">
        <f>IFERROR(N(_xlfn.XLOOKUP(A147,Щиты[Щит],Щиты[ΔU до шин (подбор), %])),0)</f>
        <v>1.82</v>
      </c>
      <c r="DQ147" t="str">
        <f>IFERROR(_xlfn.XLOOKUP(A147,Щиты[Щит],Щиты[Zпетли на шинах (подбор), Ом]),"")</f>
        <v/>
      </c>
      <c r="DR147" t="str">
        <f t="shared" si="290"/>
        <v/>
      </c>
      <c r="DS147">
        <f t="shared" si="291"/>
        <v>30</v>
      </c>
      <c r="DT147">
        <f t="shared" si="292"/>
        <v>2</v>
      </c>
      <c r="DU147">
        <f t="shared" si="293"/>
        <v>0.6</v>
      </c>
      <c r="DV147" s="6">
        <f>IF(B147="","",IF(IFERROR(VLOOKUP(AX147,УГО_спр,2,FALSE),"")="Светильник",3,4)+IF(Методика="нормы 2026",MIN(0.5,MAX(0,N(Q147)-100)*0.005),0))</f>
        <v>4</v>
      </c>
      <c r="DW147" cm="1">
        <f t="array" ref="DW147">IF(OR(B147="",BT147="",DM147&lt;&gt;1),"",_xlfn.LET(_xlpm.sz,Iдоп_S,_xlpm.t_,CHOOSE(DL147,Iдоп_1ж,Iдоп_2ж,Iдоп_3ж)*DJ147*DK147,_xlpm.inn,N(DD147),_xlpm.smin,MAX(1.5,BW147),_xlpm.L_,N(Q147)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147)*(_xlpm.rho*_xlpm.L_/_xlpm.sz*N(BY147)+_xlpm.xx*_xlpm.L_*N(DU147)/1000)*N(P147)/((Uн_лин/SQRT(3))*1000)*100,999),_xlpm.kz,IF(OR(DG147=1,NOT(ISNUMBER(DQ147)),_xlpm.L_=0,_xlpm.inn=0),1,IFERROR(--(c_min*(Uн_лин*1000/SQRT(3))/(DQ147+2*ρкз_Cu*_xlpm.L_/_xlpm.sz)&gt;=GY147*_xlpm.inn),0)),_xlpm.ok,IFERROR((_xlpm.sz&gt;=_xlpm.smin)*(_xlpm.t_&gt;=_xlpm.inn)*IF(_xlpm.L_&gt;0,(_xlpm.du_+DP147&lt;=DV147+0.00001),1)*_xlpm.kz,0),_xlpm.r_,_xlfn._xlws.FILTER(_xlpm.sz,_xlpm.ok,"не подобрано"),INDEX(_xlpm.r_,1)))</f>
        <v>1.5</v>
      </c>
      <c r="DX147">
        <f t="shared" si="294"/>
        <v>1.5</v>
      </c>
      <c r="DY147" cm="1">
        <f t="array" ref="DY147">IF(OR(B147="",BT147="",DM147&lt;&gt;1),"",_xlfn.LET(_xlpm.sz,Iдоп_S,_xlpm.t_,CHOOSE(DL147,Iдоп_1ж,Iдоп_2ж,Iдоп_3ж)*DJ147*DK147,_xlpm.ok,IFERROR((_xlpm.sz&gt;=MAX(1.5,BW147))*(_xlpm.t_&gt;=N(DD147)),0),_xlpm.r_,_xlfn._xlws.FILTER(_xlpm.sz,_xlpm.ok,""),INDEX(_xlpm.r_,1)))</f>
        <v>1.5</v>
      </c>
      <c r="DZ147" s="6" cm="1">
        <f t="array" ref="DZ147">IFERROR(ROUNDUP(N(DT147)*(_xlfn.XLOOKUP(DY147,INDEX(Кабель_сопротивление,0,1),INDEX(Кабель_сопротивление,0,3))*N(Q147)/DY147*N(BY147)+_xlfn.XLOOKUP(DY147,INDEX(Кабель_сопротивление,0,1),INDEX(Кабель_сопротивление,0,2))*N(Q147)*N(DU147)/1000)*N(P147)/((Uн_лин/SQRT(3))*1000)*100,2),"")</f>
        <v>0.52</v>
      </c>
      <c r="EA147">
        <f>IFERROR(2*ρкз_Cu*N(Q147)/DY147,"")</f>
        <v>1.1922666666666666</v>
      </c>
      <c r="EB147">
        <f>IFERROR(VLOOKUP(DX147,Кабель_сопротивление,3,FALSE),"")</f>
        <v>2.2499999999999999E-2</v>
      </c>
      <c r="EC147">
        <f>IFERROR(VLOOKUP(DX147,Кабель_сопротивление,2,FALSE),"")</f>
        <v>0.11</v>
      </c>
      <c r="ED147">
        <f t="shared" si="295"/>
        <v>30</v>
      </c>
      <c r="EE147">
        <f t="shared" si="296"/>
        <v>0</v>
      </c>
      <c r="EF147">
        <f t="shared" si="297"/>
        <v>1.1990758244067334</v>
      </c>
      <c r="EG147" s="6">
        <f>IFERROR(ROUNDUP(EF147/((Uн_лин/SQRT(3))*1000)*100,2),"")</f>
        <v>0.52</v>
      </c>
      <c r="EH147" t="str">
        <f>IFERROR(VLOOKUP(BT147,Кабель_обозначение,2,FALSE),"")</f>
        <v>ВВГнг(А)-LS</v>
      </c>
      <c r="EI147" t="str">
        <f t="shared" si="298"/>
        <v>ВВГнг(А)-LS (3х1,5)</v>
      </c>
      <c r="EJ147" t="str">
        <f t="shared" si="299"/>
        <v>ВВГнг(А)-LS (3х1,5)
L=34-0,52%</v>
      </c>
      <c r="EK147">
        <f>IFERROR(2*ρкз_Cu*Q147/DX147,"")</f>
        <v>1.1922666666666666</v>
      </c>
      <c r="EL147">
        <f t="shared" si="300"/>
        <v>0.39666666666666672</v>
      </c>
      <c r="EM147" s="6" t="str">
        <f>IFERROR(IF(OR(B147="",NOT(ISNUMBER(DX147)),N(Q147)=0),"",_xlfn.XLOOKUP(A147,Щиты[Щит],Щиты[Zпетли на шинах, Ом])+EK147),"")</f>
        <v/>
      </c>
      <c r="EN147" s="6" t="str">
        <f>IF(ISNUMBER(EM147),c_min*(Uн_лин*1000/SQRT(3))/EM147,"")</f>
        <v/>
      </c>
      <c r="EO147" s="6" t="str">
        <f>IFERROR(IF(OR(B147="",NOT(ISNUMBER(DX147))),"",1.05*(Uн_лин*1000/SQRT(3))/(_xlfn.XLOOKUP(A147,Щиты[Щит],Щиты[Zmax на шинах, Ом])+EL147)/1000),"")</f>
        <v/>
      </c>
      <c r="EP147" s="6" t="str">
        <f>IF(B147="","",IF(ISNUMBER(Y147),"Сил",IF(IFERROR(_xlfn.XLOOKUP(AX147,Коды_код,Коды_группа)&amp;"","")="","Быт",_xlfn.XLOOKUP(AX147,Коды_код,Коды_группа)&amp;"")))</f>
        <v>Сил</v>
      </c>
      <c r="EQ147" s="6" t="str">
        <f t="shared" si="301"/>
        <v>Сил</v>
      </c>
      <c r="ER147" s="6">
        <f>IF(EQ147="Щит","щит",IF(EQ147="","",IF(EQ147="Быт",IFERROR(_xlfn.XLOOKUP(A147,Щиты[Щит],Щиты[Кс быт]),1),IF(EQ147="Сил",IF(ISNUMBER(Y147),Y147,IF(Методика="нормы 2026",IFERROR(_xlfn.XLOOKUP(A147,Щиты[Щит],Щиты[Кс силовых (табл. 7.5)]),1),1)),IF(OR(EQ147="Пост",EQ147="Отоп"),1,IF(EQ147="ВНГ",0.7,0))))))</f>
        <v>0.5</v>
      </c>
      <c r="ES147">
        <f t="shared" si="302"/>
        <v>1</v>
      </c>
      <c r="ET147">
        <f t="shared" si="303"/>
        <v>0.27</v>
      </c>
      <c r="EU147">
        <f t="shared" si="304"/>
        <v>0</v>
      </c>
      <c r="EV147">
        <f t="shared" si="305"/>
        <v>0.13500000000000001</v>
      </c>
      <c r="EW147">
        <f t="shared" si="306"/>
        <v>0</v>
      </c>
      <c r="EX147">
        <f t="shared" si="307"/>
        <v>0</v>
      </c>
      <c r="EY147">
        <f t="shared" si="308"/>
        <v>0</v>
      </c>
      <c r="EZ147">
        <f t="shared" si="309"/>
        <v>0.27</v>
      </c>
      <c r="FA147">
        <f t="shared" si="310"/>
        <v>0.21600000000000003</v>
      </c>
      <c r="FB147">
        <f t="shared" si="311"/>
        <v>0.27</v>
      </c>
      <c r="FC147" t="str">
        <f t="shared" si="312"/>
        <v>L1</v>
      </c>
      <c r="FD147" t="str">
        <f>IF(B147="","",IF(CA147=0,IF(AW147=1,"",FF146),IF(OR(N(CV147)&gt;=3,N(BR147)&gt;=3),"L1,L2,L3",IFERROR(_xlfn.TEXTBEFORE(_xlfn.TEXTAFTER(_xlfn.XLOOKUP(A147,Щиты[Щит],Щиты[_фазы авто]),";"&amp;AW147&amp;":"),";"),"L1"))))</f>
        <v>L1</v>
      </c>
      <c r="FE147" t="str">
        <f t="shared" si="313"/>
        <v>L1</v>
      </c>
      <c r="FF147" t="str">
        <f t="shared" si="314"/>
        <v>L1</v>
      </c>
      <c r="FG147" cm="1">
        <f t="array" ref="FG147">IFERROR(IF(BX147=2,_xlfn.IFS(BR147=3,VLOOKUP(BN147,Справочная_двигатели,3,FALSE),BR147=1,VLOOKUP(BN147,Справочная_двигатели,5,TRUE)),0),0)</f>
        <v>0</v>
      </c>
      <c r="FH147">
        <f>IFERROR(IF(BX147=3,VLOOKUP(BN147,Справочная_ЛЭД,2,TRUE),0),0)</f>
        <v>0</v>
      </c>
      <c r="FI147" s="6">
        <f t="shared" si="315"/>
        <v>0</v>
      </c>
      <c r="FJ147" t="str" cm="1">
        <f t="array" ref="FJ147">IF(B147="","",IFERROR(INDEX({"I особая","I","II","III"},MATCH(TRIM(AC147&amp;""),{"I особая","I","II","III"},0)),"III"))</f>
        <v>II</v>
      </c>
      <c r="FK147" t="str">
        <f>IF(B147="","",IF(TRIM(AD147&amp;"")&lt;&gt;"",IF(LOWER(TRIM(AD147&amp;""))="да","да","нет"),IF(IFERROR(_xlfn.XLOOKUP(AX147,Коды_код,Коды_пожарная),"")="да","да","нет")))</f>
        <v>нет</v>
      </c>
      <c r="FL147" t="str">
        <f t="shared" si="316"/>
        <v/>
      </c>
      <c r="FM147" t="str">
        <f t="shared" si="317"/>
        <v>основная</v>
      </c>
      <c r="FN147">
        <f t="shared" si="318"/>
        <v>1</v>
      </c>
      <c r="FO147" t="str" cm="1">
        <f t="array" ref="FO147">IF(B147="","",_xlfn.LET(_xlpm.t,IFERROR(_xlfn.XLOOKUP(1,(Шины[Шина]=FM147)*(((Шины[Щит]=A147)+(Шины[Щит]=""))&gt;0),Шины[Тип]),"")&amp;"",IF(_xlpm.t&lt;&gt;"",_xlpm.t,IF(ISNUMBER(SEARCH("ИБП",FM147)),"ИБП",IF(ISNUMBER(SEARCH("ДГУ",FM147)),"ДГУ","Ввод "&amp;FN147)))))</f>
        <v>Ввод 1</v>
      </c>
      <c r="FP147" t="str">
        <f t="shared" si="319"/>
        <v>Ввод 1</v>
      </c>
      <c r="FQ147" t="str">
        <f>IF(B147="","",IF(OR(FO147="ИБП",FO147="ДГУ"),"I особая",IF(FO147="Одиночная","III",_xlfn.XLOOKUP(A147,Щиты[Щит],Щиты[Категория шины «Ввод»],"III"))))</f>
        <v>II</v>
      </c>
      <c r="FR147">
        <f>IF(B147="",0,IFERROR(MATCH(FJ147,{"III","II","I","I особая"},0),1))</f>
        <v>2</v>
      </c>
      <c r="FS147">
        <f t="shared" si="320"/>
        <v>2</v>
      </c>
      <c r="FT147" t="str">
        <f>IF(B147="","",IF(FR147&gt;IFERROR(MATCH(FQ147,{"III","II","I","I особая"},0),1),"НЕ ОБЕСПЕЧЕНА","ОК"))</f>
        <v>ОК</v>
      </c>
      <c r="FU147" t="str">
        <f>IF(A147="","",_xlfn.XLOOKUP(A147,Щиты[Щит],Щиты[Путь],""))</f>
        <v>|ГРЩ-ЖД|ЩОВ-2|</v>
      </c>
      <c r="FV147" t="str">
        <f>IF(B147="","",IF(AE147&lt;&gt;"",AE147,IF(IFERROR(_xlfn.XLOOKUP(AX147,Коды_код,Коды_вид)&amp;"","")="","Прочее",_xlfn.XLOOKUP(AX147,Коды_код,Коды_вид)&amp;"")))</f>
        <v>Вентиляция</v>
      </c>
      <c r="FW147">
        <f>IF(BH147="","",INT((BH147-1)/Столбцов_на_лист)+1)</f>
        <v>3</v>
      </c>
      <c r="FX147" t="str">
        <f t="shared" si="321"/>
        <v>ВВГнг(А)-LS (3х1,5) L=34-0,52%</v>
      </c>
      <c r="FY147">
        <f t="shared" si="322"/>
        <v>0.27</v>
      </c>
      <c r="FZ147">
        <f t="shared" si="323"/>
        <v>1.47</v>
      </c>
      <c r="GA147">
        <f t="shared" si="324"/>
        <v>1</v>
      </c>
      <c r="GB147">
        <f t="shared" si="325"/>
        <v>0</v>
      </c>
      <c r="GC147">
        <f t="shared" si="326"/>
        <v>1</v>
      </c>
      <c r="GD147">
        <f>IF(BH147="","",IF(AND(CA147=1,GC147=1),COUNTIFS(A$3:A147,A147,CA$3:CA147,1,GC$3:GC147,1),IF(OR(OR(AW147=1,A147&lt;&gt;A146),AF147="вручную",GC147=0),"",IF(AW147=1,"",GE146))))</f>
        <v>17</v>
      </c>
      <c r="GE147">
        <f t="shared" si="327"/>
        <v>17</v>
      </c>
      <c r="GF147">
        <f>IF(B147="","",IFERROR(LOOKUP(INDEX(CHOOSE(DL147,Iдоп_1ж,Iдоп_2ж,Iдоп_3ж),MATCH(DX147,Iдоп_S,0))*DJ147*DK147,{6,10,16,20,25,32,40,50,63,80,100,125,160,200,250,315,400,500,630}),""))</f>
        <v>16</v>
      </c>
      <c r="GG147" t="str">
        <f t="shared" si="328"/>
        <v>QF17</v>
      </c>
      <c r="GH147" t="str">
        <f t="shared" si="329"/>
        <v>QF17</v>
      </c>
      <c r="GI147" t="str">
        <f t="shared" si="330"/>
        <v/>
      </c>
      <c r="GJ147">
        <f t="shared" si="331"/>
        <v>0</v>
      </c>
      <c r="GK147" t="str">
        <f>IF(OR(AG147="",AG147="-"),"",IFERROR(VLOOKUP(AG147,Модули_спр,2,FALSE),"R"))</f>
        <v/>
      </c>
      <c r="GL147" t="str">
        <f>IF(GK147="","",GK147&amp;"."&amp;COUNTIFS(A$3:A147,A147,GK$3:GK147,GK147))</f>
        <v/>
      </c>
      <c r="GM147" t="str">
        <f t="shared" si="332"/>
        <v/>
      </c>
      <c r="GN147" t="str">
        <f t="shared" si="333"/>
        <v/>
      </c>
      <c r="GO147" t="str">
        <f t="shared" si="334"/>
        <v/>
      </c>
      <c r="GP147" t="str">
        <f t="shared" si="335"/>
        <v/>
      </c>
      <c r="GQ147">
        <f t="shared" si="336"/>
        <v>1</v>
      </c>
      <c r="GR147" t="str">
        <f>IF(GQ147=1,"XT"&amp;COUNTIFS(A$3:A147,A147,GQ$3:GQ147,1),"")</f>
        <v>XT17</v>
      </c>
      <c r="GS147" t="str">
        <f t="shared" si="337"/>
        <v/>
      </c>
      <c r="GT147" t="str">
        <f t="shared" si="338"/>
        <v>QF17</v>
      </c>
      <c r="GU147" t="str">
        <f t="shared" si="339"/>
        <v/>
      </c>
      <c r="GV147" t="str">
        <f t="shared" si="340"/>
        <v>ok</v>
      </c>
      <c r="GW147" t="str">
        <f>IF(OR(GO147="",GM147=""),"",IF(GO147&gt;IFERROR(VLOOKUP(GN147,Модули_спр,3,FALSE),99),"ЛИШНИЙ КАНАЛ",IF(AND(AH147&lt;&gt;"=",COUNTIFS(Линии[_модуль гр.],GM147,Линии[Канал (итог)],GO147,Линии[Канал],"&lt;&gt;=",Линии[Щит],A147)&gt;1),"ДУБЛЬ КАНАЛА","")))</f>
        <v/>
      </c>
      <c r="GX147" s="6" t="str">
        <f t="shared" si="341"/>
        <v/>
      </c>
      <c r="GY147">
        <f t="shared" si="342"/>
        <v>10</v>
      </c>
      <c r="GZ147" t="str">
        <f t="shared" si="343"/>
        <v/>
      </c>
      <c r="HA147" t="str">
        <f>IF(AND(B147="",GT147=""),"",_xlfn.TEXTJOIN("; ",TRUE,IF(AND(B147&lt;&gt;"",FE147=""),"нет фазы",""),IF(AND(B147&lt;&gt;"",N(FY147)=0,EQ147&lt;&gt;"Нет"),"нет мощности",""),IF(AND(GS147&lt;&gt;"",COUNTIFS(Линии[Щит],A147,Линии[Клемма (итог)],GS147)&gt;1),"дубль клеммы "&amp;GS147,""),IF(AND(GV147&lt;&gt;"",GV147&lt;&gt;"ok"),GV147,""),IF(GW147&lt;&gt;"",GW147,""),IF(AND(N(BV147)&gt;=4,N(BR147)=1),BV147&amp;" жил на 1 фазе",""),IF(AND(AX147="R",CA147=1,OR(N(CK147)=0,N(CK147)&gt;30)),"розетка без дифзащиты до 30 мА",""),IFERROR(IF(AND(ISNUMBER(R147),R147&gt;DV147),"потери "&amp;FIXED(R147,1)&amp;" % &gt; "&amp;DV147&amp;" %",""),""),IFERROR(IF(LEFT(GZ147,4)="мало","Iкз мало — отключение &gt; 0,4 с",""),""),IF(AND(B147&lt;&gt;"",BH147=""),"не на схеме",""),IF(AND(CA147=0,B147&lt;&gt;"",FE147&lt;&gt;"",IF(AW147=1,"",FF146)&lt;&gt;"",FE147&lt;&gt;IF(AW147=1,"",FF146)),"фаза не как у автомата группы ("&amp;IF(AW147=1,"",FF146)&amp;")","")))</f>
        <v/>
      </c>
      <c r="HB147" s="6" t="str">
        <f>IF(OR(CA147=0,DA147=""),"",_xlfn.LET(_xlpm.t,IFERROR(_xlfn.XLOOKUP(DA147,Каталог!$U$4:$U$500,Каталог!$G$4:$G$500),""),_xlpm.k,SEARCH("кА",_xlpm.t),IFERROR(--TRIM(RIGHT(SUBSTITUTE(MID(_xlpm.t,MAX(1,_xlpm.k-4),_xlpm.k-MAX(1,_xlpm.k-4))," ",REPT(" ",9)),5)),"")))</f>
        <v/>
      </c>
      <c r="HC147" t="str">
        <f>IF(OR(HB147="",CA147=0),"",IF(_xlfn.XLOOKUP(A147,Щиты[Щит],Щиты[Iкз max на шинах, кА],"")="","",IF(HB147&lt;_xlfn.XLOOKUP(A147,Щиты[Щит],Щиты[Iкз max на шинах, кА]),"Icu "&amp;HB147&amp;" кА &lt; Iкз max","ok")))</f>
        <v/>
      </c>
      <c r="HD147" t="str">
        <f t="shared" si="344"/>
        <v/>
      </c>
      <c r="HE147" t="str">
        <f t="shared" si="345"/>
        <v>QF17</v>
      </c>
      <c r="HF147" t="str">
        <f t="shared" si="346"/>
        <v>QF17|кабель ВВГнг(А)-LS (3х1,5) → Вытяжная установка Технический этаж Пом. №001Т</v>
      </c>
      <c r="HG147" t="str" cm="1">
        <f t="array" ref="HG147">IF(HF147="","",_xlfn.LET(_xlpm.nd,_xlfn.TEXTSPLIT(HF147,"|"),IF(COLUMNS(_xlpm.nd)&gt;1,A147&amp;"¦"&amp;INDEX(_xlpm.nd,1)&amp;"¦"&amp;INDEX(_xlpm.nd,2),"")))</f>
        <v>ЩОВ-2¦QF17¦кабель ВВГнг(А)-LS (3х1,5) → Вытяжная установка Технический этаж Пом. №001Т</v>
      </c>
      <c r="HH147" t="str">
        <f t="shared" si="347"/>
        <v>В.23¦Вытяжная установка Технический этаж Пом. №001Т</v>
      </c>
      <c r="HI147" t="str" cm="1">
        <f t="array" ref="HI147">IF(HF147="","",_xlfn.LET(_xlpm.nd,_xlfn.TEXTSPLIT(HF147,"|"),IF(COLUMNS(_xlpm.nd)&gt;2,A147&amp;"¦"&amp;INDEX(_xlpm.nd,2)&amp;"¦"&amp;INDEX(_xlpm.nd,3),"")))</f>
        <v/>
      </c>
      <c r="HJ147" t="str">
        <f t="shared" si="348"/>
        <v/>
      </c>
      <c r="HK147" t="str" cm="1">
        <f t="array" ref="HK147">IF(HF147="","",_xlfn.LET(_xlpm.nd,_xlfn.TEXTSPLIT(HF147,"|"),IF(COLUMNS(_xlpm.nd)&gt;3,A147&amp;"¦"&amp;INDEX(_xlpm.nd,3)&amp;"¦"&amp;INDEX(_xlpm.nd,4),"")))</f>
        <v/>
      </c>
      <c r="HL147" t="str">
        <f t="shared" si="349"/>
        <v/>
      </c>
      <c r="HM147" t="str" cm="1">
        <f t="array" ref="HM147">IF(HF147="","",_xlfn.LET(_xlpm.nd,_xlfn.TEXTSPLIT(HF147,"|"),IF(COLUMNS(_xlpm.nd)&gt;4,A147&amp;"¦"&amp;INDEX(_xlpm.nd,4)&amp;"¦"&amp;INDEX(_xlpm.nd,5),"")))</f>
        <v/>
      </c>
      <c r="HN147" t="str">
        <f t="shared" si="350"/>
        <v/>
      </c>
      <c r="HO147" t="str" cm="1">
        <f t="array" ref="HO147">IF(HF147="","",_xlfn.LET(_xlpm.nd,_xlfn.TEXTSPLIT(HF147,"|"),IF(COLUMNS(_xlpm.nd)&gt;5,A147&amp;"¦"&amp;INDEX(_xlpm.nd,5)&amp;"¦"&amp;INDEX(_xlpm.nd,6),"")))</f>
        <v/>
      </c>
      <c r="HP147" t="str">
        <f t="shared" si="351"/>
        <v/>
      </c>
      <c r="HQ147" t="str" cm="1">
        <f t="array" ref="HQ147">IF(HF147="","",_xlfn.LET(_xlpm.nd,_xlfn.TEXTSPLIT(HF147,"|"),IF(COLUMNS(_xlpm.nd)&gt;6,A147&amp;"¦"&amp;INDEX(_xlpm.nd,6)&amp;"¦"&amp;INDEX(_xlpm.nd,7),"")))</f>
        <v/>
      </c>
      <c r="HR147" t="str">
        <f t="shared" si="352"/>
        <v/>
      </c>
      <c r="HS147" t="str">
        <f t="shared" si="353"/>
        <v/>
      </c>
      <c r="HT147" t="str">
        <f t="shared" si="354"/>
        <v>QF17</v>
      </c>
      <c r="HU147">
        <f t="shared" si="355"/>
        <v>0</v>
      </c>
      <c r="HV147">
        <f t="shared" si="356"/>
        <v>0</v>
      </c>
      <c r="HW147" t="str">
        <f t="shared" si="357"/>
        <v/>
      </c>
      <c r="HX147" t="str">
        <f t="shared" si="358"/>
        <v/>
      </c>
      <c r="HY147" t="str">
        <f t="shared" si="359"/>
        <v/>
      </c>
      <c r="HZ147" t="str">
        <f t="shared" si="360"/>
        <v/>
      </c>
      <c r="IA147" t="str">
        <f>IF(B147="","",IFERROR(VLOOKUP(B147,УГО_спр,2,FALSE),IFERROR(VLOOKUP(AX147,УГО_спр,2,FALSE),IFERROR(VLOOKUP(LEFT(AX147,2),УГО_спр,2,FALSE),""))))</f>
        <v>Привод (двигатель)</v>
      </c>
      <c r="IB147" t="str">
        <f>IF(B147="","",IF(OR(IA147="",IA147=0),"BOX",IFERROR(IF(VLOOKUP(IA147,УГО_блоки,3,FALSE)&amp;""&lt;&gt;"",VLOOKUP(IA147,УГО_блоки,3,FALSE),VLOOKUP(IA147,УГО_блоки,2,FALSE)),IA147)))</f>
        <v>MOTOR</v>
      </c>
      <c r="IC147">
        <f t="shared" si="361"/>
        <v>1</v>
      </c>
      <c r="ID147" t="str">
        <f>IF(DA147="","",IF(COUNTIF(DA$3:DA147,DA147)=1,MAX(ID$2:ID146)+1,""))</f>
        <v/>
      </c>
      <c r="IE147" t="str">
        <f>IF(CO147="","",IF(COUNTIF(CO$3:CO147,CO147)+COUNTIF(CP$2:CP146,CO147)+COUNTIF(CQ$2:CQ146,CO147)=1,MAX(IE$2:IG146)+1,""))</f>
        <v/>
      </c>
      <c r="IF147" t="str">
        <f>IF(CP147="","",IF(COUNTIF(CO$3:CO147,CP147)+COUNTIF(CP$3:CP147,CP147)+COUNTIF(CQ$2:CQ146,CP147)=1,MAX(IE$2:IG146,IE147)+1,""))</f>
        <v/>
      </c>
      <c r="IG147" t="str">
        <f>IF(CQ147="","",IF(COUNTIF(CO$3:CO147,CQ147)+COUNTIF(CP$3:CP147,CQ147)+COUNTIF(CQ$3:CQ147,CQ147)=1,MAX(IE$2:IG146,IE147,IF147)+1,""))</f>
        <v/>
      </c>
      <c r="IH147" t="str">
        <f t="shared" si="362"/>
        <v>3х1,5</v>
      </c>
      <c r="II147" t="str">
        <f>IF(IH147="","",IF(COUNTIF(IH$3:IH147,IH147)=1,MAX(II$2:II146)+1,""))</f>
        <v/>
      </c>
      <c r="IJ147" t="str">
        <f>IF(GL147="","",COUNTIF(GL$3:GL147,"?*"))</f>
        <v/>
      </c>
      <c r="IK147" t="str">
        <f>IF(OR(GL147="",GN147=""),"",IF(COUNTIFS(GL$3:GL147,"?*",GN$3:GN147,GN147)=1,MAX(IK$2:IK146)+1,""))</f>
        <v/>
      </c>
      <c r="IL147">
        <f t="shared" si="363"/>
        <v>0</v>
      </c>
      <c r="IM147">
        <f>IF(B147="","",COUNTIF(B$3:B147,"?*"))</f>
        <v>145</v>
      </c>
      <c r="IN147">
        <f>IF(GQ147&lt;&gt;1,0,_xlfn.LET(_xlpm.k,MAX(IFERROR(--VLOOKUP(B147,УГО_спр,5,FALSE),0),IFERROR(--VLOOKUP(AX147,УГО_спр,5,FALSE),0),IFERROR(--VLOOKUP(LEFT(AX147,2),УГО_спр,5,FALSE),0)),IF(_xlpm.k&gt;0,_xlpm.k,IF(IFERROR(--LEFT(SUBSTITUTE(IH147,"x","х"),FIND("х",SUBSTITUTE(IH147,"x","х"))-1),3)&gt;3,Каталог!$S$9,1))))</f>
        <v>1</v>
      </c>
      <c r="IO147">
        <f t="shared" si="364"/>
        <v>0</v>
      </c>
      <c r="IP147" t="str">
        <f t="shared" si="365"/>
        <v>авто</v>
      </c>
      <c r="IQ147" t="str">
        <f t="shared" si="366"/>
        <v/>
      </c>
      <c r="IR147">
        <f t="shared" si="367"/>
        <v>0</v>
      </c>
      <c r="IS147">
        <f t="shared" si="368"/>
        <v>1</v>
      </c>
    </row>
    <row r="148" spans="1:253" x14ac:dyDescent="0.3">
      <c r="A148" t="s">
        <v>753</v>
      </c>
      <c r="B148" t="s">
        <v>1416</v>
      </c>
      <c r="C148" t="s">
        <v>1648</v>
      </c>
      <c r="D148">
        <v>1</v>
      </c>
      <c r="E148">
        <v>0.27</v>
      </c>
      <c r="G148" t="str">
        <f>Линии[[#This Row],[_авто автомат]]</f>
        <v>1P С6А</v>
      </c>
      <c r="H148" t="str">
        <f>Линии[[#This Row],[_авто утечка]]</f>
        <v/>
      </c>
      <c r="I148" t="str">
        <f>Линии[[#This Row],[_авто управление]]</f>
        <v/>
      </c>
      <c r="J148" t="str">
        <f>Линии[[#This Row],[_авто аппараты]]</f>
        <v/>
      </c>
      <c r="K148">
        <v>1.5</v>
      </c>
      <c r="L148">
        <v>13</v>
      </c>
      <c r="M148" t="str">
        <f>Линии[[#This Row],[_авто фаза]]</f>
        <v>L1</v>
      </c>
      <c r="N148" t="s">
        <v>486</v>
      </c>
      <c r="O148" t="str">
        <f t="shared" si="246"/>
        <v/>
      </c>
      <c r="P148" s="6" cm="1">
        <f t="array" ref="P148">IF(B148="","",IF(BC148&lt;&gt;"",IFERROR(_xlfn.XLOOKUP(BC148,Щиты[Щит],Щиты[Iр, А]),""),IF(BK148=1,IFERROR(_xlfn.XLOOKUP(A148,Щиты[Щит],Щиты[Iр, А]),""),IFERROR(_xlfn.IFS(BR148=1,BN148/((Uн_лин/SQRT(3))*BY148),BR148=3,BN148/(SQRT(3)*Uн_лин*BY148)),""))))</f>
        <v>1.46141786888624</v>
      </c>
      <c r="Q148" s="7">
        <f>IF(B148="","",IFERROR(IF(VLOOKUP(AX148,Потребители_обозначение,4,FALSE)=1,VLOOKUP(AX148,Потребители_обозначение,3,FALSE)*(D148*2-1)+DS148+VLOOKUP(AZ148,Этаж_обозначение,3,FALSE)+VLOOKUP(AZ148,Этаж_обозначение,4,FALSE),VLOOKUP(AX148,Потребители_обозначение,3,FALSE)*(D148*2-1)+DS148),DS148))</f>
        <v>17</v>
      </c>
      <c r="R148" s="6">
        <f t="shared" si="247"/>
        <v>1.4</v>
      </c>
      <c r="S148" t="str">
        <f t="shared" si="248"/>
        <v>ВВГнг(А)-LS (3х1,5)</v>
      </c>
      <c r="T148" t="str">
        <f>IF(BH148="","",IF(BI148="вводной узел","узел ","")&amp;"л."&amp;(INT((BH148-1)/Столбцов_на_лист)+1)&amp;" / "&amp;(MOD(BH148-1,Столбцов_на_лист)+1))</f>
        <v>л.3 / 3</v>
      </c>
      <c r="V148">
        <v>1</v>
      </c>
      <c r="W148">
        <v>230</v>
      </c>
      <c r="X148" t="s">
        <v>600</v>
      </c>
      <c r="Y148">
        <v>0.5</v>
      </c>
      <c r="AC148" t="s">
        <v>815</v>
      </c>
      <c r="AE148" t="s">
        <v>582</v>
      </c>
      <c r="AI148">
        <v>37</v>
      </c>
      <c r="AJ148" t="s">
        <v>11</v>
      </c>
      <c r="AK148">
        <v>3</v>
      </c>
      <c r="AM148">
        <v>4</v>
      </c>
      <c r="AN148">
        <v>13</v>
      </c>
      <c r="AP148">
        <v>1</v>
      </c>
      <c r="AW148" cm="1">
        <f t="array" ref="AW148">ROW()-ROW(Линии[#Headers])</f>
        <v>146</v>
      </c>
      <c r="AX148" s="6" t="str">
        <f t="shared" si="249"/>
        <v>В</v>
      </c>
      <c r="AY148" t="str">
        <f t="shared" si="250"/>
        <v>8</v>
      </c>
      <c r="AZ148" t="str">
        <f t="shared" si="251"/>
        <v>8</v>
      </c>
      <c r="BA148" t="str">
        <f t="shared" si="252"/>
        <v/>
      </c>
      <c r="BB148" t="str">
        <f t="shared" si="253"/>
        <v/>
      </c>
      <c r="BC148" t="str">
        <f>IF(U148&lt;&gt;"",U148,IF(AND(B148&lt;&gt;"",B148&lt;&gt;A148,ISNUMBER(_xlfn.XMATCH(B148,Щиты[Щит]))),B148,""))</f>
        <v/>
      </c>
      <c r="BD148" t="str" cm="1">
        <f t="array" ref="BD148">IF(B148="","",IF(BC148&lt;&gt;"","Щит "&amp;BC148,_xlfn.LET(_xlpm.nm,IFERROR(_xlfn.XLOOKUP(AX148,Коды_код,Коды_имя)&amp;"",""),_xlpm.md,IFERROR(N(_xlfn.XLOOKUP(AX148,Коды_код,Коды_режим)),1),_xlpm.ex,IF(Имя_режим="по экспликации",IFERROR(_xlfn.XLOOKUP(AZ148&amp;"|"&amp;BB148,Экспликация[Этаж]&amp;"|"&amp;Экспликация[Помещение],Экспликация[Название])&amp;"",""),""),_xlpm.rm,IF(BB148="","",IF(_xlpm.ex&lt;&gt;"",". "&amp;_xlpm.ex&amp;IF(Имя_пом="нет"," ("&amp;BB148&amp;")"," (пом. "&amp;BB148&amp;")"),IF(Имя_пом="нет"," ",", пом. ")&amp;BB148)),IF(_xlpm.nm="","",IF(_xlpm.md=2,_xlpm.nm&amp;" шлейф "&amp;AZ148,_xlpm.nm&amp;_xlpm.rm)))))</f>
        <v>Вытяжная установка шлейф 8</v>
      </c>
      <c r="BE148" t="str">
        <f t="shared" si="254"/>
        <v>Вытяжная установка Технический этаж Пом. №001Т</v>
      </c>
      <c r="BF148">
        <f>IFERROR(_xlfn.XMATCH(A148,Щиты[Щит]),0)</f>
        <v>7</v>
      </c>
      <c r="BG148">
        <f>_xlfn.LET(_xlpm.k,IFERROR(_xlfn.XLOOKUP(A148,Щиты[Щит],Щиты[Листов под вводной узел]),""),IF(_xlpm.k="",1,N(_xlpm.k))*Столбцов_на_лист)</f>
        <v>17</v>
      </c>
      <c r="BH148">
        <f t="shared" si="255"/>
        <v>37</v>
      </c>
      <c r="BI148" t="str">
        <f t="shared" si="256"/>
        <v>линии</v>
      </c>
      <c r="BJ148" s="6">
        <f>IFERROR(N(_xlfn.XLOOKUP(AX148,Коды_код,Коды_квт)),0)</f>
        <v>0</v>
      </c>
      <c r="BK148">
        <f t="shared" si="257"/>
        <v>0</v>
      </c>
      <c r="BL148" t="str">
        <f>IF(B148="","",IF(BC148&lt;&gt;"",IFERROR(_xlfn.XLOOKUP(BC148,Щиты[Щит],Щиты[Руст, кВт]),0),IF(BK148=1,IFERROR(_xlfn.XLOOKUP(A148,Щиты[Щит],Щиты[Руст, кВт]),0),IF(BJ148&gt;0,ROUND(BJ148*MAX(1,N(D148)),3),""))))</f>
        <v/>
      </c>
      <c r="BM148">
        <f t="shared" si="258"/>
        <v>0.27</v>
      </c>
      <c r="BN148" s="6">
        <f>IF(B148="","",IF(BC148&lt;&gt;"",IFERROR(_xlfn.XLOOKUP(BC148,Щиты[Щит],Щиты[Руст, кВт]),0),N(BM148)))</f>
        <v>0.27</v>
      </c>
      <c r="BO148" t="str">
        <f>IF(B148="","",IFERROR(IF(VLOOKUP(AX148,Потребители_обозначение,8,FALSE)=0,"",VLOOKUP(AX148,Потребители_обозначение,8,FALSE)),""))</f>
        <v/>
      </c>
      <c r="BP148">
        <f t="shared" si="259"/>
        <v>230</v>
      </c>
      <c r="BQ148">
        <f>IF(B148="","",IF(BC148&lt;&gt;"",3,IFERROR(IF(N(VLOOKUP(AX148,Потребители_обозначение,9,FALSE))=0,1,VLOOKUP(AX148,Потребители_обозначение,9,FALSE)),1)))</f>
        <v>1</v>
      </c>
      <c r="BR148">
        <f t="shared" si="260"/>
        <v>1</v>
      </c>
      <c r="BS148" t="str">
        <f>IF(B148="","",_xlfn.LET(_xlpm.bc,IFERROR(IF(VLOOKUP(AX148,Потребители_обозначение,6,FALSE)=0,"",VLOOKUP(AX148,Потребители_обозначение,6,FALSE)&amp;""),""),IF(AND(FK148="да",OR(_xlpm.bc="",_xlpm.bc="мс")),Марка_пож,IF(AND(_xlpm.bc="",BC148&lt;&gt;""),"мс",_xlpm.bc))))</f>
        <v/>
      </c>
      <c r="BT148" t="str">
        <f t="shared" si="261"/>
        <v>мс</v>
      </c>
      <c r="BU148">
        <f>IF(B148="","",_xlfn.LET(_xlpm.cc,IFERROR(N(VLOOKUP(AX148,Потребители_обозначение,7,FALSE)),0),IF(_xlpm.cc&gt;0,_xlpm.cc,IF(BT148="","",IF(N(BR148)=3,5,3)))))</f>
        <v>3</v>
      </c>
      <c r="BV148">
        <f t="shared" si="262"/>
        <v>3</v>
      </c>
      <c r="BW148">
        <f>IFERROR(N(VLOOKUP(AX148,Потребители_обозначение,10,FALSE)),0)</f>
        <v>0</v>
      </c>
      <c r="BX148">
        <f>IFERROR(VLOOKUP(AX148,Потребители_обозначение,5,FALSE),0)</f>
        <v>1</v>
      </c>
      <c r="BY148" s="6" cm="1">
        <f t="array" ref="BY148">IF(B148="","",IF(BC148&lt;&gt;"",IFERROR(_xlfn.XLOOKUP(BC148,Щиты[Щит],Щиты[cos φ]),0.95),IF(BK148=1,IFERROR(_xlfn.XLOOKUP(A148,Щиты[Щит],Щиты[cos φ]),0.95),IF(ISNUMBER(Z148),Z148,IFERROR(IF(BX148=2,_xlfn.IFS(BR148=3,VLOOKUP(BN148,Справочная_двигатели,8,FALSE),BR148=1,VLOOKUP(BN148,Справочная_двигатели,10,TRUE)),IF(AND(Методика="нормы 2026",EQ148="Сил"),0.8,0.95)),0.95)))))</f>
        <v>0.8</v>
      </c>
      <c r="BZ148">
        <f t="shared" si="263"/>
        <v>0</v>
      </c>
      <c r="CA148">
        <f t="shared" si="264"/>
        <v>1</v>
      </c>
      <c r="CB148">
        <f t="shared" si="265"/>
        <v>0</v>
      </c>
      <c r="CC148">
        <f t="shared" si="266"/>
        <v>0</v>
      </c>
      <c r="CD148">
        <f t="shared" si="267"/>
        <v>0</v>
      </c>
      <c r="CE148">
        <f t="shared" si="268"/>
        <v>0</v>
      </c>
      <c r="CF148">
        <f t="shared" si="269"/>
        <v>0</v>
      </c>
      <c r="CG148">
        <f>IF(AX148="",0,_xlfn.LET(_xlpm.v,IFERROR(VLOOKUP(B148,УГО_спр,3,FALSE),IFERROR(VLOOKUP(AX148,УГО_спр,3,FALSE),IFERROR(VLOOKUP(LEFT(AX148,2),УГО_спр,3,FALSE),""))),IF(_xlpm.v="да",30,IF(ISNUMBER(_xlpm.v),_xlpm.v,0))))</f>
        <v>0</v>
      </c>
      <c r="CH148" t="str">
        <f t="shared" si="270"/>
        <v/>
      </c>
      <c r="CI148" t="str">
        <f>_xlfn.LET(_xlpm.k,IFERROR(_xlfn.XLOOKUP(AX148,Коды_код,Коды_утечка)&amp;"",""),IF(_xlpm.k="","дифавтомат",_xlpm.k))</f>
        <v>дифавтомат</v>
      </c>
      <c r="CJ148">
        <f t="shared" si="271"/>
        <v>0</v>
      </c>
      <c r="CK148">
        <f t="shared" si="272"/>
        <v>0</v>
      </c>
      <c r="CL148">
        <f>IF(B148="",0,IFERROR(--VLOOKUP(B148,УГО_спр,4,FALSE),IFERROR(--VLOOKUP(AX148,УГО_спр,4,FALSE),IFERROR(--VLOOKUP(LEFT(AX148,2),УГО_спр,4,FALSE),0))))</f>
        <v>0</v>
      </c>
      <c r="CM148" t="str">
        <f>IF(B148="","",IFERROR(_xlfn.XLOOKUP(AX148,Коды_код,Коды_апп)&amp;"",""))</f>
        <v/>
      </c>
      <c r="CN148" t="str">
        <f t="shared" si="273"/>
        <v/>
      </c>
      <c r="CO148" t="str" cm="1">
        <f t="array" ref="CO148">IF(TRIM(CN148&amp;"")="","",IFERROR(TRIM(INDEX(_xlfn.TEXTSPLIT(CN148&amp;";;;",";"),1)),""))</f>
        <v/>
      </c>
      <c r="CP148" t="str" cm="1">
        <f t="array" ref="CP148">IF(TRIM(CN148&amp;"")="","",IFERROR(TRIM(INDEX(_xlfn.TEXTSPLIT(CN148&amp;";;;",";"),2)),""))</f>
        <v/>
      </c>
      <c r="CQ148" t="str" cm="1">
        <f t="array" ref="CQ148">IF(TRIM(CN148&amp;"")="","",IFERROR(TRIM(INDEX(_xlfn.TEXTSPLIT(CN148&amp;";;;",";"),3)),""))</f>
        <v/>
      </c>
      <c r="CR148">
        <f t="shared" si="274"/>
        <v>0</v>
      </c>
      <c r="CS148" t="str">
        <f>IF(B148="","",_xlfn.LET(_xlpm.t,LOWER(AV148&amp;""),IF(ISNUMBER(SEARCH("dim",_xlpm.t)),"DIM",IF(ISNUMBER(SEARCH("dali",_xlpm.t)),"DALI",IF(OR(ISNUMBER(SEARCH("relay",_xlpm.t)),ISNUMBER(SEARCH("реле",_xlpm.t))),"Relay",IF(ISNUMBER(SEARCH("кнопк",_xlpm.t)),"",IFERROR(_xlfn.XLOOKUP(AX148,Коды_код,Коды_упр)&amp;"","")))))))</f>
        <v/>
      </c>
      <c r="CT148" t="str">
        <f t="shared" si="275"/>
        <v/>
      </c>
      <c r="CU148">
        <f>IF(B148="","",_xlfn.LET(_xlpm.ig,N(P148)+IF(AF148="вручную",0,N(CB148)),_xlpm.n0,IFERROR(VLOOKUP(_xlpm.ig,Автомат_номиналы,2,TRUE),0),_xlpm.mn,MAX(CL148,IF(AF148="вручную",0,N(CE148))),MAX(_xlpm.n0,_xlpm.mn,IF(CR148=1,Мин_автомат_БП,0))))</f>
        <v>6</v>
      </c>
      <c r="CV148">
        <f t="shared" si="276"/>
        <v>1</v>
      </c>
      <c r="CW148" t="str">
        <f t="shared" si="277"/>
        <v>1P</v>
      </c>
      <c r="CX148" t="str">
        <f>_xlfn.LET(_xlpm.cc,UPPER(TRIM(IFERROR(_xlfn.XLOOKUP(AX148,Коды_код,Коды_хар)&amp;"",""))),IF(OR(_xlpm.cc="B",_xlpm.cc="В"),"B",IF(_xlpm.cc="D","D","С")))</f>
        <v>С</v>
      </c>
      <c r="CY148" t="str">
        <f t="shared" si="278"/>
        <v>1P С6А</v>
      </c>
      <c r="CZ148" t="str">
        <f t="shared" si="279"/>
        <v>1P С6А</v>
      </c>
      <c r="DA148" t="str">
        <f t="shared" si="280"/>
        <v>1P С6А</v>
      </c>
      <c r="DB148" cm="1">
        <f t="array" ref="DB148">IF(DA148="","",_xlfn.LET(_xlpm.t,SUBSTITUTE(SUBSTITUTE(SUBSTITUTE(UPPER(DA148),"С","C"),"А","A"),"В","B"),_xlpm.tk,_xlfn.TEXTSPLIT(_xlpm.t,"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8" t="str">
        <f t="shared" si="281"/>
        <v>ok</v>
      </c>
      <c r="DD148">
        <f t="shared" si="282"/>
        <v>6</v>
      </c>
      <c r="DE148" t="str">
        <f t="shared" si="283"/>
        <v>1P С6А</v>
      </c>
      <c r="DF148">
        <f t="shared" si="284"/>
        <v>0</v>
      </c>
      <c r="DG148">
        <f t="shared" si="285"/>
        <v>0</v>
      </c>
      <c r="DH148">
        <f t="shared" si="286"/>
        <v>0</v>
      </c>
      <c r="DI148">
        <f t="shared" si="287"/>
        <v>1.46141786888624</v>
      </c>
      <c r="DJ148">
        <f t="shared" si="288"/>
        <v>1</v>
      </c>
      <c r="DK148">
        <f>IF(ISNUMBER(AL148),AL148,К_прокл)</f>
        <v>1</v>
      </c>
      <c r="DL148">
        <f t="shared" si="289"/>
        <v>2</v>
      </c>
      <c r="DM148">
        <f>IFERROR(N(VLOOKUP(BT148,Кабель_обозначение,3,FALSE)),1)</f>
        <v>1</v>
      </c>
      <c r="DN148">
        <f>IFERROR(N(_xlfn.XLOOKUP(A148,Щиты[Щит],Щиты[ΔU до шин, %])),0)</f>
        <v>1.1399999999999999</v>
      </c>
      <c r="DO148" t="str">
        <f>IFERROR(_xlfn.XLOOKUP(A148,Щиты[Щит],Щиты[Zпетли на шинах, Ом]),"")</f>
        <v/>
      </c>
      <c r="DP148">
        <f>IFERROR(N(_xlfn.XLOOKUP(A148,Щиты[Щит],Щиты[ΔU до шин (подбор), %])),0)</f>
        <v>1.82</v>
      </c>
      <c r="DQ148" t="str">
        <f>IFERROR(_xlfn.XLOOKUP(A148,Щиты[Щит],Щиты[Zпетли на шинах (подбор), Ом]),"")</f>
        <v/>
      </c>
      <c r="DR148" t="str">
        <f t="shared" si="290"/>
        <v/>
      </c>
      <c r="DS148">
        <f t="shared" si="291"/>
        <v>13</v>
      </c>
      <c r="DT148">
        <f t="shared" si="292"/>
        <v>2</v>
      </c>
      <c r="DU148">
        <f t="shared" si="293"/>
        <v>0.6</v>
      </c>
      <c r="DV148" s="6">
        <f>IF(B148="","",IF(IFERROR(VLOOKUP(AX148,УГО_спр,2,FALSE),"")="Светильник",3,4)+IF(Методика="нормы 2026",MIN(0.5,MAX(0,N(Q148)-100)*0.005),0))</f>
        <v>4</v>
      </c>
      <c r="DW148" cm="1">
        <f t="array" ref="DW148">IF(OR(B148="",BT148="",DM148&lt;&gt;1),"",_xlfn.LET(_xlpm.sz,Iдоп_S,_xlpm.t_,CHOOSE(DL148,Iдоп_1ж,Iдоп_2ж,Iдоп_3ж)*DJ148*DK148,_xlpm.inn,N(DD148),_xlpm.smin,MAX(1.5,BW148),_xlpm.L_,N(Q148)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148)*(_xlpm.rho*_xlpm.L_/_xlpm.sz*N(BY148)+_xlpm.xx*_xlpm.L_*N(DU148)/1000)*N(P148)/((Uн_лин/SQRT(3))*1000)*100,999),_xlpm.kz,IF(OR(DG148=1,NOT(ISNUMBER(DQ148)),_xlpm.L_=0,_xlpm.inn=0),1,IFERROR(--(c_min*(Uн_лин*1000/SQRT(3))/(DQ148+2*ρкз_Cu*_xlpm.L_/_xlpm.sz)&gt;=GY148*_xlpm.inn),0)),_xlpm.ok,IFERROR((_xlpm.sz&gt;=_xlpm.smin)*(_xlpm.t_&gt;=_xlpm.inn)*IF(_xlpm.L_&gt;0,(_xlpm.du_+DP148&lt;=DV148+0.00001),1)*_xlpm.kz,0),_xlpm.r_,_xlfn._xlws.FILTER(_xlpm.sz,_xlpm.ok,"не подобрано"),INDEX(_xlpm.r_,1)))</f>
        <v>1.5</v>
      </c>
      <c r="DX148">
        <f t="shared" si="294"/>
        <v>1.5</v>
      </c>
      <c r="DY148" cm="1">
        <f t="array" ref="DY148">IF(OR(B148="",BT148="",DM148&lt;&gt;1),"",_xlfn.LET(_xlpm.sz,Iдоп_S,_xlpm.t_,CHOOSE(DL148,Iдоп_1ж,Iдоп_2ж,Iдоп_3ж)*DJ148*DK148,_xlpm.ok,IFERROR((_xlpm.sz&gt;=MAX(1.5,BW148))*(_xlpm.t_&gt;=N(DD148)),0),_xlpm.r_,_xlfn._xlws.FILTER(_xlpm.sz,_xlpm.ok,""),INDEX(_xlpm.r_,1)))</f>
        <v>1.5</v>
      </c>
      <c r="DZ148" s="6" cm="1">
        <f t="array" ref="DZ148">IFERROR(ROUNDUP(N(DT148)*(_xlfn.XLOOKUP(DY148,INDEX(Кабель_сопротивление,0,1),INDEX(Кабель_сопротивление,0,3))*N(Q148)/DY148*N(BY148)+_xlfn.XLOOKUP(DY148,INDEX(Кабель_сопротивление,0,1),INDEX(Кабель_сопротивление,0,2))*N(Q148)*N(DU148)/1000)*N(P148)/((Uн_лин/SQRT(3))*1000)*100,2),"")</f>
        <v>0.26</v>
      </c>
      <c r="EA148">
        <f>IFERROR(2*ρкз_Cu*N(Q148)/DY148,"")</f>
        <v>0.59613333333333329</v>
      </c>
      <c r="EB148">
        <f>IFERROR(VLOOKUP(DX148,Кабель_сопротивление,3,FALSE),"")</f>
        <v>2.2499999999999999E-2</v>
      </c>
      <c r="EC148">
        <f>IFERROR(VLOOKUP(DX148,Кабель_сопротивление,2,FALSE),"")</f>
        <v>0.11</v>
      </c>
      <c r="ED148">
        <f t="shared" si="295"/>
        <v>13</v>
      </c>
      <c r="EE148">
        <f t="shared" si="296"/>
        <v>0</v>
      </c>
      <c r="EF148">
        <f t="shared" si="297"/>
        <v>0.59953791220336672</v>
      </c>
      <c r="EG148" s="6">
        <f>IFERROR(ROUNDUP(EF148/((Uн_лин/SQRT(3))*1000)*100,2),"")</f>
        <v>0.26</v>
      </c>
      <c r="EH148" t="str">
        <f>IFERROR(VLOOKUP(BT148,Кабель_обозначение,2,FALSE),"")</f>
        <v>ВВГнг(А)-LS</v>
      </c>
      <c r="EI148" t="str">
        <f t="shared" si="298"/>
        <v>ВВГнг(А)-LS (3х1,5)</v>
      </c>
      <c r="EJ148" t="str">
        <f t="shared" si="299"/>
        <v>ВВГнг(А)-LS (3х1,5)
L=17-0,26%</v>
      </c>
      <c r="EK148">
        <f>IFERROR(2*ρкз_Cu*Q148/DX148,"")</f>
        <v>0.59613333333333329</v>
      </c>
      <c r="EL148">
        <f t="shared" si="300"/>
        <v>0.19833333333333336</v>
      </c>
      <c r="EM148" s="6" t="str">
        <f>IFERROR(IF(OR(B148="",NOT(ISNUMBER(DX148)),N(Q148)=0),"",_xlfn.XLOOKUP(A148,Щиты[Щит],Щиты[Zпетли на шинах, Ом])+EK148),"")</f>
        <v/>
      </c>
      <c r="EN148" s="6" t="str">
        <f>IF(ISNUMBER(EM148),c_min*(Uн_лин*1000/SQRT(3))/EM148,"")</f>
        <v/>
      </c>
      <c r="EO148" s="6" t="str">
        <f>IFERROR(IF(OR(B148="",NOT(ISNUMBER(DX148))),"",1.05*(Uн_лин*1000/SQRT(3))/(_xlfn.XLOOKUP(A148,Щиты[Щит],Щиты[Zmax на шинах, Ом])+EL148)/1000),"")</f>
        <v/>
      </c>
      <c r="EP148" s="6" t="str">
        <f>IF(B148="","",IF(ISNUMBER(Y148),"Сил",IF(IFERROR(_xlfn.XLOOKUP(AX148,Коды_код,Коды_группа)&amp;"","")="","Быт",_xlfn.XLOOKUP(AX148,Коды_код,Коды_группа)&amp;"")))</f>
        <v>Сил</v>
      </c>
      <c r="EQ148" s="6" t="str">
        <f t="shared" si="301"/>
        <v>Сил</v>
      </c>
      <c r="ER148" s="6">
        <f>IF(EQ148="Щит","щит",IF(EQ148="","",IF(EQ148="Быт",IFERROR(_xlfn.XLOOKUP(A148,Щиты[Щит],Щиты[Кс быт]),1),IF(EQ148="Сил",IF(ISNUMBER(Y148),Y148,IF(Методика="нормы 2026",IFERROR(_xlfn.XLOOKUP(A148,Щиты[Щит],Щиты[Кс силовых (табл. 7.5)]),1),1)),IF(OR(EQ148="Пост",EQ148="Отоп"),1,IF(EQ148="ВНГ",0.7,0))))))</f>
        <v>0.5</v>
      </c>
      <c r="ES148">
        <f t="shared" si="302"/>
        <v>1</v>
      </c>
      <c r="ET148">
        <f t="shared" si="303"/>
        <v>0.27</v>
      </c>
      <c r="EU148">
        <f t="shared" si="304"/>
        <v>0</v>
      </c>
      <c r="EV148">
        <f t="shared" si="305"/>
        <v>0.13500000000000001</v>
      </c>
      <c r="EW148">
        <f t="shared" si="306"/>
        <v>0</v>
      </c>
      <c r="EX148">
        <f t="shared" si="307"/>
        <v>0</v>
      </c>
      <c r="EY148">
        <f t="shared" si="308"/>
        <v>0</v>
      </c>
      <c r="EZ148">
        <f t="shared" si="309"/>
        <v>0.27</v>
      </c>
      <c r="FA148">
        <f t="shared" si="310"/>
        <v>0.21600000000000003</v>
      </c>
      <c r="FB148">
        <f t="shared" si="311"/>
        <v>0.27</v>
      </c>
      <c r="FC148" t="str">
        <f t="shared" si="312"/>
        <v/>
      </c>
      <c r="FD148" t="str">
        <f>IF(B148="","",IF(CA148=0,IF(AW148=1,"",FF147),IF(OR(N(CV148)&gt;=3,N(BR148)&gt;=3),"L1,L2,L3",IFERROR(_xlfn.TEXTBEFORE(_xlfn.TEXTAFTER(_xlfn.XLOOKUP(A148,Щиты[Щит],Щиты[_фазы авто]),";"&amp;AW148&amp;":"),";"),"L1"))))</f>
        <v>L1</v>
      </c>
      <c r="FE148" t="str">
        <f t="shared" si="313"/>
        <v>L1</v>
      </c>
      <c r="FF148" t="str">
        <f t="shared" si="314"/>
        <v>L1</v>
      </c>
      <c r="FG148" cm="1">
        <f t="array" ref="FG148">IFERROR(IF(BX148=2,_xlfn.IFS(BR148=3,VLOOKUP(BN148,Справочная_двигатели,3,FALSE),BR148=1,VLOOKUP(BN148,Справочная_двигатели,5,TRUE)),0),0)</f>
        <v>0</v>
      </c>
      <c r="FH148">
        <f>IFERROR(IF(BX148=3,VLOOKUP(BN148,Справочная_ЛЭД,2,TRUE),0),0)</f>
        <v>0</v>
      </c>
      <c r="FI148" s="6">
        <f t="shared" si="315"/>
        <v>0</v>
      </c>
      <c r="FJ148" t="str" cm="1">
        <f t="array" ref="FJ148">IF(B148="","",IFERROR(INDEX({"I особая","I","II","III"},MATCH(TRIM(AC148&amp;""),{"I особая","I","II","III"},0)),"III"))</f>
        <v>II</v>
      </c>
      <c r="FK148" t="str">
        <f>IF(B148="","",IF(TRIM(AD148&amp;"")&lt;&gt;"",IF(LOWER(TRIM(AD148&amp;""))="да","да","нет"),IF(IFERROR(_xlfn.XLOOKUP(AX148,Коды_код,Коды_пожарная),"")="да","да","нет")))</f>
        <v>нет</v>
      </c>
      <c r="FL148" t="str">
        <f t="shared" si="316"/>
        <v/>
      </c>
      <c r="FM148" t="str">
        <f t="shared" si="317"/>
        <v>основная</v>
      </c>
      <c r="FN148">
        <f t="shared" si="318"/>
        <v>1</v>
      </c>
      <c r="FO148" t="str" cm="1">
        <f t="array" ref="FO148">IF(B148="","",_xlfn.LET(_xlpm.t,IFERROR(_xlfn.XLOOKUP(1,(Шины[Шина]=FM148)*(((Шины[Щит]=A148)+(Шины[Щит]=""))&gt;0),Шины[Тип]),"")&amp;"",IF(_xlpm.t&lt;&gt;"",_xlpm.t,IF(ISNUMBER(SEARCH("ИБП",FM148)),"ИБП",IF(ISNUMBER(SEARCH("ДГУ",FM148)),"ДГУ","Ввод "&amp;FN148)))))</f>
        <v>Ввод 1</v>
      </c>
      <c r="FP148" t="str">
        <f t="shared" si="319"/>
        <v>Ввод 1</v>
      </c>
      <c r="FQ148" t="str">
        <f>IF(B148="","",IF(OR(FO148="ИБП",FO148="ДГУ"),"I особая",IF(FO148="Одиночная","III",_xlfn.XLOOKUP(A148,Щиты[Щит],Щиты[Категория шины «Ввод»],"III"))))</f>
        <v>II</v>
      </c>
      <c r="FR148">
        <f>IF(B148="",0,IFERROR(MATCH(FJ148,{"III","II","I","I особая"},0),1))</f>
        <v>2</v>
      </c>
      <c r="FS148">
        <f t="shared" si="320"/>
        <v>2</v>
      </c>
      <c r="FT148" t="str">
        <f>IF(B148="","",IF(FR148&gt;IFERROR(MATCH(FQ148,{"III","II","I","I особая"},0),1),"НЕ ОБЕСПЕЧЕНА","ОК"))</f>
        <v>ОК</v>
      </c>
      <c r="FU148" t="str">
        <f>IF(A148="","",_xlfn.XLOOKUP(A148,Щиты[Щит],Щиты[Путь],""))</f>
        <v>|ГРЩ-ЖД|ЩОВ-2|</v>
      </c>
      <c r="FV148" t="str">
        <f>IF(B148="","",IF(AE148&lt;&gt;"",AE148,IF(IFERROR(_xlfn.XLOOKUP(AX148,Коды_код,Коды_вид)&amp;"","")="","Прочее",_xlfn.XLOOKUP(AX148,Коды_код,Коды_вид)&amp;"")))</f>
        <v>Вентиляция</v>
      </c>
      <c r="FW148">
        <f>IF(BH148="","",INT((BH148-1)/Столбцов_на_лист)+1)</f>
        <v>3</v>
      </c>
      <c r="FX148" t="str">
        <f t="shared" si="321"/>
        <v>ВВГнг(А)-LS (3х1,5) L=17-0,26%</v>
      </c>
      <c r="FY148">
        <f t="shared" si="322"/>
        <v>0.27</v>
      </c>
      <c r="FZ148">
        <f t="shared" si="323"/>
        <v>1.47</v>
      </c>
      <c r="GA148">
        <f t="shared" si="324"/>
        <v>1</v>
      </c>
      <c r="GB148">
        <f t="shared" si="325"/>
        <v>0</v>
      </c>
      <c r="GC148">
        <f t="shared" si="326"/>
        <v>1</v>
      </c>
      <c r="GD148">
        <f>IF(BH148="","",IF(AND(CA148=1,GC148=1),COUNTIFS(A$3:A148,A148,CA$3:CA148,1,GC$3:GC148,1),IF(OR(OR(AW148=1,A148&lt;&gt;A147),AF148="вручную",GC148=0),"",IF(AW148=1,"",GE147))))</f>
        <v>18</v>
      </c>
      <c r="GE148">
        <f t="shared" si="327"/>
        <v>18</v>
      </c>
      <c r="GF148">
        <f>IF(B148="","",IFERROR(LOOKUP(INDEX(CHOOSE(DL148,Iдоп_1ж,Iдоп_2ж,Iдоп_3ж),MATCH(DX148,Iдоп_S,0))*DJ148*DK148,{6,10,16,20,25,32,40,50,63,80,100,125,160,200,250,315,400,500,630}),""))</f>
        <v>16</v>
      </c>
      <c r="GG148" t="str">
        <f t="shared" si="328"/>
        <v>QF18</v>
      </c>
      <c r="GH148" t="str">
        <f t="shared" si="329"/>
        <v>QF18</v>
      </c>
      <c r="GI148" t="str">
        <f t="shared" si="330"/>
        <v/>
      </c>
      <c r="GJ148">
        <f t="shared" si="331"/>
        <v>0</v>
      </c>
      <c r="GK148" t="str">
        <f>IF(OR(AG148="",AG148="-"),"",IFERROR(VLOOKUP(AG148,Модули_спр,2,FALSE),"R"))</f>
        <v/>
      </c>
      <c r="GL148" t="str">
        <f>IF(GK148="","",GK148&amp;"."&amp;COUNTIFS(A$3:A148,A148,GK$3:GK148,GK148))</f>
        <v/>
      </c>
      <c r="GM148" t="str">
        <f t="shared" si="332"/>
        <v/>
      </c>
      <c r="GN148" t="str">
        <f t="shared" si="333"/>
        <v/>
      </c>
      <c r="GO148" t="str">
        <f t="shared" si="334"/>
        <v/>
      </c>
      <c r="GP148" t="str">
        <f t="shared" si="335"/>
        <v/>
      </c>
      <c r="GQ148">
        <f t="shared" si="336"/>
        <v>1</v>
      </c>
      <c r="GR148" t="str">
        <f>IF(GQ148=1,"XT"&amp;COUNTIFS(A$3:A148,A148,GQ$3:GQ148,1),"")</f>
        <v>XT18</v>
      </c>
      <c r="GS148" t="str">
        <f t="shared" si="337"/>
        <v/>
      </c>
      <c r="GT148" t="str">
        <f t="shared" si="338"/>
        <v>QF18</v>
      </c>
      <c r="GU148" t="str">
        <f t="shared" si="339"/>
        <v/>
      </c>
      <c r="GV148" t="str">
        <f t="shared" si="340"/>
        <v>ok</v>
      </c>
      <c r="GW148" t="str">
        <f>IF(OR(GO148="",GM148=""),"",IF(GO148&gt;IFERROR(VLOOKUP(GN148,Модули_спр,3,FALSE),99),"ЛИШНИЙ КАНАЛ",IF(AND(AH148&lt;&gt;"=",COUNTIFS(Линии[_модуль гр.],GM148,Линии[Канал (итог)],GO148,Линии[Канал],"&lt;&gt;=",Линии[Щит],A148)&gt;1),"ДУБЛЬ КАНАЛА","")))</f>
        <v/>
      </c>
      <c r="GX148" s="6" t="str">
        <f t="shared" si="341"/>
        <v/>
      </c>
      <c r="GY148">
        <f t="shared" si="342"/>
        <v>10</v>
      </c>
      <c r="GZ148" t="str">
        <f t="shared" si="343"/>
        <v/>
      </c>
      <c r="HA148" t="str">
        <f>IF(AND(B148="",GT148=""),"",_xlfn.TEXTJOIN("; ",TRUE,IF(AND(B148&lt;&gt;"",FE148=""),"нет фазы",""),IF(AND(B148&lt;&gt;"",N(FY148)=0,EQ148&lt;&gt;"Нет"),"нет мощности",""),IF(AND(GS148&lt;&gt;"",COUNTIFS(Линии[Щит],A148,Линии[Клемма (итог)],GS148)&gt;1),"дубль клеммы "&amp;GS148,""),IF(AND(GV148&lt;&gt;"",GV148&lt;&gt;"ok"),GV148,""),IF(GW148&lt;&gt;"",GW148,""),IF(AND(N(BV148)&gt;=4,N(BR148)=1),BV148&amp;" жил на 1 фазе",""),IF(AND(AX148="R",CA148=1,OR(N(CK148)=0,N(CK148)&gt;30)),"розетка без дифзащиты до 30 мА",""),IFERROR(IF(AND(ISNUMBER(R148),R148&gt;DV148),"потери "&amp;FIXED(R148,1)&amp;" % &gt; "&amp;DV148&amp;" %",""),""),IFERROR(IF(LEFT(GZ148,4)="мало","Iкз мало — отключение &gt; 0,4 с",""),""),IF(AND(B148&lt;&gt;"",BH148=""),"не на схеме",""),IF(AND(CA148=0,B148&lt;&gt;"",FE148&lt;&gt;"",IF(AW148=1,"",FF147)&lt;&gt;"",FE148&lt;&gt;IF(AW148=1,"",FF147)),"фаза не как у автомата группы ("&amp;IF(AW148=1,"",FF147)&amp;")","")))</f>
        <v/>
      </c>
      <c r="HB148" s="6" t="str">
        <f>IF(OR(CA148=0,DA148=""),"",_xlfn.LET(_xlpm.t,IFERROR(_xlfn.XLOOKUP(DA148,Каталог!$U$4:$U$500,Каталог!$G$4:$G$500),""),_xlpm.k,SEARCH("кА",_xlpm.t),IFERROR(--TRIM(RIGHT(SUBSTITUTE(MID(_xlpm.t,MAX(1,_xlpm.k-4),_xlpm.k-MAX(1,_xlpm.k-4))," ",REPT(" ",9)),5)),"")))</f>
        <v/>
      </c>
      <c r="HC148" t="str">
        <f>IF(OR(HB148="",CA148=0),"",IF(_xlfn.XLOOKUP(A148,Щиты[Щит],Щиты[Iкз max на шинах, кА],"")="","",IF(HB148&lt;_xlfn.XLOOKUP(A148,Щиты[Щит],Щиты[Iкз max на шинах, кА]),"Icu "&amp;HB148&amp;" кА &lt; Iкз max","ok")))</f>
        <v/>
      </c>
      <c r="HD148" t="str">
        <f t="shared" si="344"/>
        <v/>
      </c>
      <c r="HE148" t="str">
        <f t="shared" si="345"/>
        <v>QF18</v>
      </c>
      <c r="HF148" t="str">
        <f t="shared" si="346"/>
        <v>QF18|кабель ВВГнг(А)-LS (3х1,5) → Вытяжная установка Технический этаж Пом. №001Т</v>
      </c>
      <c r="HG148" t="str" cm="1">
        <f t="array" ref="HG148">IF(HF148="","",_xlfn.LET(_xlpm.nd,_xlfn.TEXTSPLIT(HF148,"|"),IF(COLUMNS(_xlpm.nd)&gt;1,A148&amp;"¦"&amp;INDEX(_xlpm.nd,1)&amp;"¦"&amp;INDEX(_xlpm.nd,2),"")))</f>
        <v>ЩОВ-2¦QF18¦кабель ВВГнг(А)-LS (3х1,5) → Вытяжная установка Технический этаж Пом. №001Т</v>
      </c>
      <c r="HH148" t="str">
        <f t="shared" si="347"/>
        <v>В.8¦Вытяжная установка Технический этаж Пом. №001Т</v>
      </c>
      <c r="HI148" t="str" cm="1">
        <f t="array" ref="HI148">IF(HF148="","",_xlfn.LET(_xlpm.nd,_xlfn.TEXTSPLIT(HF148,"|"),IF(COLUMNS(_xlpm.nd)&gt;2,A148&amp;"¦"&amp;INDEX(_xlpm.nd,2)&amp;"¦"&amp;INDEX(_xlpm.nd,3),"")))</f>
        <v/>
      </c>
      <c r="HJ148" t="str">
        <f t="shared" si="348"/>
        <v/>
      </c>
      <c r="HK148" t="str" cm="1">
        <f t="array" ref="HK148">IF(HF148="","",_xlfn.LET(_xlpm.nd,_xlfn.TEXTSPLIT(HF148,"|"),IF(COLUMNS(_xlpm.nd)&gt;3,A148&amp;"¦"&amp;INDEX(_xlpm.nd,3)&amp;"¦"&amp;INDEX(_xlpm.nd,4),"")))</f>
        <v/>
      </c>
      <c r="HL148" t="str">
        <f t="shared" si="349"/>
        <v/>
      </c>
      <c r="HM148" t="str" cm="1">
        <f t="array" ref="HM148">IF(HF148="","",_xlfn.LET(_xlpm.nd,_xlfn.TEXTSPLIT(HF148,"|"),IF(COLUMNS(_xlpm.nd)&gt;4,A148&amp;"¦"&amp;INDEX(_xlpm.nd,4)&amp;"¦"&amp;INDEX(_xlpm.nd,5),"")))</f>
        <v/>
      </c>
      <c r="HN148" t="str">
        <f t="shared" si="350"/>
        <v/>
      </c>
      <c r="HO148" t="str" cm="1">
        <f t="array" ref="HO148">IF(HF148="","",_xlfn.LET(_xlpm.nd,_xlfn.TEXTSPLIT(HF148,"|"),IF(COLUMNS(_xlpm.nd)&gt;5,A148&amp;"¦"&amp;INDEX(_xlpm.nd,5)&amp;"¦"&amp;INDEX(_xlpm.nd,6),"")))</f>
        <v/>
      </c>
      <c r="HP148" t="str">
        <f t="shared" si="351"/>
        <v/>
      </c>
      <c r="HQ148" t="str" cm="1">
        <f t="array" ref="HQ148">IF(HF148="","",_xlfn.LET(_xlpm.nd,_xlfn.TEXTSPLIT(HF148,"|"),IF(COLUMNS(_xlpm.nd)&gt;6,A148&amp;"¦"&amp;INDEX(_xlpm.nd,6)&amp;"¦"&amp;INDEX(_xlpm.nd,7),"")))</f>
        <v/>
      </c>
      <c r="HR148" t="str">
        <f t="shared" si="352"/>
        <v/>
      </c>
      <c r="HS148" t="str">
        <f t="shared" si="353"/>
        <v/>
      </c>
      <c r="HT148" t="str">
        <f t="shared" si="354"/>
        <v>QF18</v>
      </c>
      <c r="HU148">
        <f t="shared" si="355"/>
        <v>0</v>
      </c>
      <c r="HV148">
        <f t="shared" si="356"/>
        <v>0</v>
      </c>
      <c r="HW148" t="str">
        <f t="shared" si="357"/>
        <v/>
      </c>
      <c r="HX148" t="str">
        <f t="shared" si="358"/>
        <v/>
      </c>
      <c r="HY148" t="str">
        <f t="shared" si="359"/>
        <v/>
      </c>
      <c r="HZ148" t="str">
        <f t="shared" si="360"/>
        <v/>
      </c>
      <c r="IA148" t="str">
        <f>IF(B148="","",IFERROR(VLOOKUP(B148,УГО_спр,2,FALSE),IFERROR(VLOOKUP(AX148,УГО_спр,2,FALSE),IFERROR(VLOOKUP(LEFT(AX148,2),УГО_спр,2,FALSE),""))))</f>
        <v>Привод (двигатель)</v>
      </c>
      <c r="IB148" t="str">
        <f>IF(B148="","",IF(OR(IA148="",IA148=0),"BOX",IFERROR(IF(VLOOKUP(IA148,УГО_блоки,3,FALSE)&amp;""&lt;&gt;"",VLOOKUP(IA148,УГО_блоки,3,FALSE),VLOOKUP(IA148,УГО_блоки,2,FALSE)),IA148)))</f>
        <v>MOTOR</v>
      </c>
      <c r="IC148">
        <f t="shared" si="361"/>
        <v>1</v>
      </c>
      <c r="ID148" t="str">
        <f>IF(DA148="","",IF(COUNTIF(DA$3:DA148,DA148)=1,MAX(ID$2:ID147)+1,""))</f>
        <v/>
      </c>
      <c r="IE148" t="str">
        <f>IF(CO148="","",IF(COUNTIF(CO$3:CO148,CO148)+COUNTIF(CP$2:CP147,CO148)+COUNTIF(CQ$2:CQ147,CO148)=1,MAX(IE$2:IG147)+1,""))</f>
        <v/>
      </c>
      <c r="IF148" t="str">
        <f>IF(CP148="","",IF(COUNTIF(CO$3:CO148,CP148)+COUNTIF(CP$3:CP148,CP148)+COUNTIF(CQ$2:CQ147,CP148)=1,MAX(IE$2:IG147,IE148)+1,""))</f>
        <v/>
      </c>
      <c r="IG148" t="str">
        <f>IF(CQ148="","",IF(COUNTIF(CO$3:CO148,CQ148)+COUNTIF(CP$3:CP148,CQ148)+COUNTIF(CQ$3:CQ148,CQ148)=1,MAX(IE$2:IG147,IE148,IF148)+1,""))</f>
        <v/>
      </c>
      <c r="IH148" t="str">
        <f t="shared" si="362"/>
        <v>3х1,5</v>
      </c>
      <c r="II148" t="str">
        <f>IF(IH148="","",IF(COUNTIF(IH$3:IH148,IH148)=1,MAX(II$2:II147)+1,""))</f>
        <v/>
      </c>
      <c r="IJ148" t="str">
        <f>IF(GL148="","",COUNTIF(GL$3:GL148,"?*"))</f>
        <v/>
      </c>
      <c r="IK148" t="str">
        <f>IF(OR(GL148="",GN148=""),"",IF(COUNTIFS(GL$3:GL148,"?*",GN$3:GN148,GN148)=1,MAX(IK$2:IK147)+1,""))</f>
        <v/>
      </c>
      <c r="IL148">
        <f t="shared" si="363"/>
        <v>0</v>
      </c>
      <c r="IM148">
        <f>IF(B148="","",COUNTIF(B$3:B148,"?*"))</f>
        <v>146</v>
      </c>
      <c r="IN148">
        <f>IF(GQ148&lt;&gt;1,0,_xlfn.LET(_xlpm.k,MAX(IFERROR(--VLOOKUP(B148,УГО_спр,5,FALSE),0),IFERROR(--VLOOKUP(AX148,УГО_спр,5,FALSE),0),IFERROR(--VLOOKUP(LEFT(AX148,2),УГО_спр,5,FALSE),0)),IF(_xlpm.k&gt;0,_xlpm.k,IF(IFERROR(--LEFT(SUBSTITUTE(IH148,"x","х"),FIND("х",SUBSTITUTE(IH148,"x","х"))-1),3)&gt;3,Каталог!$S$9,1))))</f>
        <v>1</v>
      </c>
      <c r="IO148">
        <f t="shared" si="364"/>
        <v>0</v>
      </c>
      <c r="IP148" t="str">
        <f t="shared" si="365"/>
        <v>авто</v>
      </c>
      <c r="IQ148" t="str">
        <f t="shared" si="366"/>
        <v/>
      </c>
      <c r="IR148">
        <f t="shared" si="367"/>
        <v>0</v>
      </c>
      <c r="IS148">
        <f t="shared" si="368"/>
        <v>1</v>
      </c>
    </row>
    <row r="149" spans="1:253" x14ac:dyDescent="0.3">
      <c r="A149" t="s">
        <v>753</v>
      </c>
      <c r="B149" t="s">
        <v>1417</v>
      </c>
      <c r="C149" t="s">
        <v>1649</v>
      </c>
      <c r="D149">
        <v>1</v>
      </c>
      <c r="E149">
        <v>0.12</v>
      </c>
      <c r="G149" t="str">
        <f>Линии[[#This Row],[_авто автомат]]</f>
        <v>1P С6А</v>
      </c>
      <c r="H149" t="str">
        <f>Линии[[#This Row],[_авто утечка]]</f>
        <v/>
      </c>
      <c r="I149" t="str">
        <f>Линии[[#This Row],[_авто управление]]</f>
        <v/>
      </c>
      <c r="J149" t="str">
        <f>Линии[[#This Row],[_авто аппараты]]</f>
        <v/>
      </c>
      <c r="K149">
        <v>2.5</v>
      </c>
      <c r="L149">
        <v>19</v>
      </c>
      <c r="M149" t="str">
        <f>Линии[[#This Row],[_авто фаза]]</f>
        <v>L2</v>
      </c>
      <c r="N149" t="s">
        <v>486</v>
      </c>
      <c r="O149" t="str">
        <f t="shared" si="246"/>
        <v/>
      </c>
      <c r="P149" s="6" cm="1">
        <f t="array" ref="P149">IF(B149="","",IF(BC149&lt;&gt;"",IFERROR(_xlfn.XLOOKUP(BC149,Щиты[Щит],Щиты[Iр, А]),""),IF(BK149=1,IFERROR(_xlfn.XLOOKUP(A149,Щиты[Щит],Щиты[Iр, А]),""),IFERROR(_xlfn.IFS(BR149=1,BN149/((Uн_лин/SQRT(3))*BY149),BR149=3,BN149/(SQRT(3)*Uн_лин*BY149)),""))))</f>
        <v>0.64951905283832878</v>
      </c>
      <c r="Q149" s="7">
        <f>IF(B149="","",IFERROR(IF(VLOOKUP(AX149,Потребители_обозначение,4,FALSE)=1,VLOOKUP(AX149,Потребители_обозначение,3,FALSE)*(D149*2-1)+DS149+VLOOKUP(AZ149,Этаж_обозначение,3,FALSE)+VLOOKUP(AZ149,Этаж_обозначение,4,FALSE),VLOOKUP(AX149,Потребители_обозначение,3,FALSE)*(D149*2-1)+DS149),DS149))</f>
        <v>23</v>
      </c>
      <c r="R149" s="6">
        <f t="shared" si="247"/>
        <v>1.24</v>
      </c>
      <c r="S149" t="str">
        <f t="shared" si="248"/>
        <v>ВВГнг(А)-LS (3х2,5)</v>
      </c>
      <c r="T149" t="str">
        <f>IF(BH149="","",IF(BI149="вводной узел","узел ","")&amp;"л."&amp;(INT((BH149-1)/Столбцов_на_лист)+1)&amp;" / "&amp;(MOD(BH149-1,Столбцов_на_лист)+1))</f>
        <v>л.3 / 4</v>
      </c>
      <c r="V149">
        <v>1</v>
      </c>
      <c r="W149">
        <v>230</v>
      </c>
      <c r="X149" t="s">
        <v>600</v>
      </c>
      <c r="Y149">
        <v>0.5</v>
      </c>
      <c r="AC149" t="s">
        <v>815</v>
      </c>
      <c r="AE149" t="s">
        <v>582</v>
      </c>
      <c r="AI149">
        <v>38</v>
      </c>
      <c r="AJ149" t="s">
        <v>11</v>
      </c>
      <c r="AK149">
        <v>3</v>
      </c>
      <c r="AM149">
        <v>6</v>
      </c>
      <c r="AN149">
        <v>17</v>
      </c>
      <c r="AP149">
        <v>1</v>
      </c>
      <c r="AW149" cm="1">
        <f t="array" ref="AW149">ROW()-ROW(Линии[#Headers])</f>
        <v>147</v>
      </c>
      <c r="AX149" s="6" t="str">
        <f t="shared" si="249"/>
        <v>П</v>
      </c>
      <c r="AY149" t="str">
        <f t="shared" si="250"/>
        <v>3</v>
      </c>
      <c r="AZ149" t="str">
        <f t="shared" si="251"/>
        <v>3</v>
      </c>
      <c r="BA149" t="str">
        <f t="shared" si="252"/>
        <v/>
      </c>
      <c r="BB149" t="str">
        <f t="shared" si="253"/>
        <v/>
      </c>
      <c r="BC149" t="str">
        <f>IF(U149&lt;&gt;"",U149,IF(AND(B149&lt;&gt;"",B149&lt;&gt;A149,ISNUMBER(_xlfn.XMATCH(B149,Щиты[Щит]))),B149,""))</f>
        <v/>
      </c>
      <c r="BD149" t="str" cm="1">
        <f t="array" ref="BD149">IF(B149="","",IF(BC149&lt;&gt;"","Щит "&amp;BC149,_xlfn.LET(_xlpm.nm,IFERROR(_xlfn.XLOOKUP(AX149,Коды_код,Коды_имя)&amp;"",""),_xlpm.md,IFERROR(N(_xlfn.XLOOKUP(AX149,Коды_код,Коды_режим)),1),_xlpm.ex,IF(Имя_режим="по экспликации",IFERROR(_xlfn.XLOOKUP(AZ149&amp;"|"&amp;BB149,Экспликация[Этаж]&amp;"|"&amp;Экспликация[Помещение],Экспликация[Название])&amp;"",""),""),_xlpm.rm,IF(BB149="","",IF(_xlpm.ex&lt;&gt;"",". "&amp;_xlpm.ex&amp;IF(Имя_пом="нет"," ("&amp;BB149&amp;")"," (пом. "&amp;BB149&amp;")"),IF(Имя_пом="нет"," ",", пом. ")&amp;BB149)),IF(_xlpm.nm="","",IF(_xlpm.md=2,_xlpm.nm&amp;" шлейф "&amp;AZ149,_xlpm.nm&amp;_xlpm.rm)))))</f>
        <v>Приточная установка шлейф 3</v>
      </c>
      <c r="BE149" t="str">
        <f t="shared" si="254"/>
        <v>Приточная установка Технический этаж Пом. №001Т</v>
      </c>
      <c r="BF149">
        <f>IFERROR(_xlfn.XMATCH(A149,Щиты[Щит]),0)</f>
        <v>7</v>
      </c>
      <c r="BG149">
        <f>_xlfn.LET(_xlpm.k,IFERROR(_xlfn.XLOOKUP(A149,Щиты[Щит],Щиты[Листов под вводной узел]),""),IF(_xlpm.k="",1,N(_xlpm.k))*Столбцов_на_лист)</f>
        <v>17</v>
      </c>
      <c r="BH149">
        <f t="shared" si="255"/>
        <v>38</v>
      </c>
      <c r="BI149" t="str">
        <f t="shared" si="256"/>
        <v>линии</v>
      </c>
      <c r="BJ149" s="6">
        <f>IFERROR(N(_xlfn.XLOOKUP(AX149,Коды_код,Коды_квт)),0)</f>
        <v>0</v>
      </c>
      <c r="BK149">
        <f t="shared" si="257"/>
        <v>0</v>
      </c>
      <c r="BL149" t="str">
        <f>IF(B149="","",IF(BC149&lt;&gt;"",IFERROR(_xlfn.XLOOKUP(BC149,Щиты[Щит],Щиты[Руст, кВт]),0),IF(BK149=1,IFERROR(_xlfn.XLOOKUP(A149,Щиты[Щит],Щиты[Руст, кВт]),0),IF(BJ149&gt;0,ROUND(BJ149*MAX(1,N(D149)),3),""))))</f>
        <v/>
      </c>
      <c r="BM149">
        <f t="shared" si="258"/>
        <v>0.12</v>
      </c>
      <c r="BN149" s="6">
        <f>IF(B149="","",IF(BC149&lt;&gt;"",IFERROR(_xlfn.XLOOKUP(BC149,Щиты[Щит],Щиты[Руст, кВт]),0),N(BM149)))</f>
        <v>0.12</v>
      </c>
      <c r="BO149" t="str">
        <f>IF(B149="","",IFERROR(IF(VLOOKUP(AX149,Потребители_обозначение,8,FALSE)=0,"",VLOOKUP(AX149,Потребители_обозначение,8,FALSE)),""))</f>
        <v/>
      </c>
      <c r="BP149">
        <f t="shared" si="259"/>
        <v>230</v>
      </c>
      <c r="BQ149">
        <f>IF(B149="","",IF(BC149&lt;&gt;"",3,IFERROR(IF(N(VLOOKUP(AX149,Потребители_обозначение,9,FALSE))=0,1,VLOOKUP(AX149,Потребители_обозначение,9,FALSE)),1)))</f>
        <v>1</v>
      </c>
      <c r="BR149">
        <f t="shared" si="260"/>
        <v>1</v>
      </c>
      <c r="BS149" t="str">
        <f>IF(B149="","",_xlfn.LET(_xlpm.bc,IFERROR(IF(VLOOKUP(AX149,Потребители_обозначение,6,FALSE)=0,"",VLOOKUP(AX149,Потребители_обозначение,6,FALSE)&amp;""),""),IF(AND(FK149="да",OR(_xlpm.bc="",_xlpm.bc="мс")),Марка_пож,IF(AND(_xlpm.bc="",BC149&lt;&gt;""),"мс",_xlpm.bc))))</f>
        <v/>
      </c>
      <c r="BT149" t="str">
        <f t="shared" si="261"/>
        <v>мс</v>
      </c>
      <c r="BU149">
        <f>IF(B149="","",_xlfn.LET(_xlpm.cc,IFERROR(N(VLOOKUP(AX149,Потребители_обозначение,7,FALSE)),0),IF(_xlpm.cc&gt;0,_xlpm.cc,IF(BT149="","",IF(N(BR149)=3,5,3)))))</f>
        <v>3</v>
      </c>
      <c r="BV149">
        <f t="shared" si="262"/>
        <v>3</v>
      </c>
      <c r="BW149">
        <f>IFERROR(N(VLOOKUP(AX149,Потребители_обозначение,10,FALSE)),0)</f>
        <v>0</v>
      </c>
      <c r="BX149">
        <f>IFERROR(VLOOKUP(AX149,Потребители_обозначение,5,FALSE),0)</f>
        <v>1</v>
      </c>
      <c r="BY149" s="6" cm="1">
        <f t="array" ref="BY149">IF(B149="","",IF(BC149&lt;&gt;"",IFERROR(_xlfn.XLOOKUP(BC149,Щиты[Щит],Щиты[cos φ]),0.95),IF(BK149=1,IFERROR(_xlfn.XLOOKUP(A149,Щиты[Щит],Щиты[cos φ]),0.95),IF(ISNUMBER(Z149),Z149,IFERROR(IF(BX149=2,_xlfn.IFS(BR149=3,VLOOKUP(BN149,Справочная_двигатели,8,FALSE),BR149=1,VLOOKUP(BN149,Справочная_двигатели,10,TRUE)),IF(AND(Методика="нормы 2026",EQ149="Сил"),0.8,0.95)),0.95)))))</f>
        <v>0.8</v>
      </c>
      <c r="BZ149">
        <f t="shared" si="263"/>
        <v>0</v>
      </c>
      <c r="CA149">
        <f t="shared" si="264"/>
        <v>1</v>
      </c>
      <c r="CB149">
        <f t="shared" si="265"/>
        <v>0</v>
      </c>
      <c r="CC149">
        <f t="shared" si="266"/>
        <v>0</v>
      </c>
      <c r="CD149">
        <f t="shared" si="267"/>
        <v>0</v>
      </c>
      <c r="CE149">
        <f t="shared" si="268"/>
        <v>0</v>
      </c>
      <c r="CF149">
        <f t="shared" si="269"/>
        <v>0</v>
      </c>
      <c r="CG149">
        <f>IF(AX149="",0,_xlfn.LET(_xlpm.v,IFERROR(VLOOKUP(B149,УГО_спр,3,FALSE),IFERROR(VLOOKUP(AX149,УГО_спр,3,FALSE),IFERROR(VLOOKUP(LEFT(AX149,2),УГО_спр,3,FALSE),""))),IF(_xlpm.v="да",30,IF(ISNUMBER(_xlpm.v),_xlpm.v,0))))</f>
        <v>0</v>
      </c>
      <c r="CH149" t="str">
        <f t="shared" si="270"/>
        <v/>
      </c>
      <c r="CI149" t="str">
        <f>_xlfn.LET(_xlpm.k,IFERROR(_xlfn.XLOOKUP(AX149,Коды_код,Коды_утечка)&amp;"",""),IF(_xlpm.k="","дифавтомат",_xlpm.k))</f>
        <v>дифавтомат</v>
      </c>
      <c r="CJ149">
        <f t="shared" si="271"/>
        <v>0</v>
      </c>
      <c r="CK149">
        <f t="shared" si="272"/>
        <v>0</v>
      </c>
      <c r="CL149">
        <f>IF(B149="",0,IFERROR(--VLOOKUP(B149,УГО_спр,4,FALSE),IFERROR(--VLOOKUP(AX149,УГО_спр,4,FALSE),IFERROR(--VLOOKUP(LEFT(AX149,2),УГО_спр,4,FALSE),0))))</f>
        <v>0</v>
      </c>
      <c r="CM149" t="str">
        <f>IF(B149="","",IFERROR(_xlfn.XLOOKUP(AX149,Коды_код,Коды_апп)&amp;"",""))</f>
        <v/>
      </c>
      <c r="CN149" t="str">
        <f t="shared" si="273"/>
        <v/>
      </c>
      <c r="CO149" t="str" cm="1">
        <f t="array" ref="CO149">IF(TRIM(CN149&amp;"")="","",IFERROR(TRIM(INDEX(_xlfn.TEXTSPLIT(CN149&amp;";;;",";"),1)),""))</f>
        <v/>
      </c>
      <c r="CP149" t="str" cm="1">
        <f t="array" ref="CP149">IF(TRIM(CN149&amp;"")="","",IFERROR(TRIM(INDEX(_xlfn.TEXTSPLIT(CN149&amp;";;;",";"),2)),""))</f>
        <v/>
      </c>
      <c r="CQ149" t="str" cm="1">
        <f t="array" ref="CQ149">IF(TRIM(CN149&amp;"")="","",IFERROR(TRIM(INDEX(_xlfn.TEXTSPLIT(CN149&amp;";;;",";"),3)),""))</f>
        <v/>
      </c>
      <c r="CR149">
        <f t="shared" si="274"/>
        <v>0</v>
      </c>
      <c r="CS149" t="str">
        <f>IF(B149="","",_xlfn.LET(_xlpm.t,LOWER(AV149&amp;""),IF(ISNUMBER(SEARCH("dim",_xlpm.t)),"DIM",IF(ISNUMBER(SEARCH("dali",_xlpm.t)),"DALI",IF(OR(ISNUMBER(SEARCH("relay",_xlpm.t)),ISNUMBER(SEARCH("реле",_xlpm.t))),"Relay",IF(ISNUMBER(SEARCH("кнопк",_xlpm.t)),"",IFERROR(_xlfn.XLOOKUP(AX149,Коды_код,Коды_упр)&amp;"","")))))))</f>
        <v/>
      </c>
      <c r="CT149" t="str">
        <f t="shared" si="275"/>
        <v/>
      </c>
      <c r="CU149">
        <f>IF(B149="","",_xlfn.LET(_xlpm.ig,N(P149)+IF(AF149="вручную",0,N(CB149)),_xlpm.n0,IFERROR(VLOOKUP(_xlpm.ig,Автомат_номиналы,2,TRUE),0),_xlpm.mn,MAX(CL149,IF(AF149="вручную",0,N(CE149))),MAX(_xlpm.n0,_xlpm.mn,IF(CR149=1,Мин_автомат_БП,0))))</f>
        <v>6</v>
      </c>
      <c r="CV149">
        <f t="shared" si="276"/>
        <v>1</v>
      </c>
      <c r="CW149" t="str">
        <f t="shared" si="277"/>
        <v>1P</v>
      </c>
      <c r="CX149" t="str">
        <f>_xlfn.LET(_xlpm.cc,UPPER(TRIM(IFERROR(_xlfn.XLOOKUP(AX149,Коды_код,Коды_хар)&amp;"",""))),IF(OR(_xlpm.cc="B",_xlpm.cc="В"),"B",IF(_xlpm.cc="D","D","С")))</f>
        <v>С</v>
      </c>
      <c r="CY149" t="str">
        <f t="shared" si="278"/>
        <v>1P С6А</v>
      </c>
      <c r="CZ149" t="str">
        <f t="shared" si="279"/>
        <v>1P С6А</v>
      </c>
      <c r="DA149" t="str">
        <f t="shared" si="280"/>
        <v>1P С6А</v>
      </c>
      <c r="DB149" cm="1">
        <f t="array" ref="DB149">IF(DA149="","",_xlfn.LET(_xlpm.t,SUBSTITUTE(SUBSTITUTE(SUBSTITUTE(UPPER(DA149),"С","C"),"А","A"),"В","B"),_xlpm.tk,_xlfn.TEXTSPLIT(_xlpm.t,"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9" t="str">
        <f t="shared" si="281"/>
        <v>ok</v>
      </c>
      <c r="DD149">
        <f t="shared" si="282"/>
        <v>6</v>
      </c>
      <c r="DE149" t="str">
        <f t="shared" si="283"/>
        <v>1P С6А</v>
      </c>
      <c r="DF149">
        <f t="shared" si="284"/>
        <v>0</v>
      </c>
      <c r="DG149">
        <f t="shared" si="285"/>
        <v>0</v>
      </c>
      <c r="DH149">
        <f t="shared" si="286"/>
        <v>0</v>
      </c>
      <c r="DI149">
        <f t="shared" si="287"/>
        <v>0.64951905283832878</v>
      </c>
      <c r="DJ149">
        <f t="shared" si="288"/>
        <v>1</v>
      </c>
      <c r="DK149">
        <f>IF(ISNUMBER(AL149),AL149,К_прокл)</f>
        <v>1</v>
      </c>
      <c r="DL149">
        <f t="shared" si="289"/>
        <v>2</v>
      </c>
      <c r="DM149">
        <f>IFERROR(N(VLOOKUP(BT149,Кабель_обозначение,3,FALSE)),1)</f>
        <v>1</v>
      </c>
      <c r="DN149">
        <f>IFERROR(N(_xlfn.XLOOKUP(A149,Щиты[Щит],Щиты[ΔU до шин, %])),0)</f>
        <v>1.1399999999999999</v>
      </c>
      <c r="DO149" t="str">
        <f>IFERROR(_xlfn.XLOOKUP(A149,Щиты[Щит],Щиты[Zпетли на шинах, Ом]),"")</f>
        <v/>
      </c>
      <c r="DP149">
        <f>IFERROR(N(_xlfn.XLOOKUP(A149,Щиты[Щит],Щиты[ΔU до шин (подбор), %])),0)</f>
        <v>1.82</v>
      </c>
      <c r="DQ149" t="str">
        <f>IFERROR(_xlfn.XLOOKUP(A149,Щиты[Щит],Щиты[Zпетли на шинах (подбор), Ом]),"")</f>
        <v/>
      </c>
      <c r="DR149" t="str">
        <f t="shared" si="290"/>
        <v/>
      </c>
      <c r="DS149">
        <f t="shared" si="291"/>
        <v>19</v>
      </c>
      <c r="DT149">
        <f t="shared" si="292"/>
        <v>2</v>
      </c>
      <c r="DU149">
        <f t="shared" si="293"/>
        <v>0.6</v>
      </c>
      <c r="DV149" s="6">
        <f>IF(B149="","",IF(IFERROR(VLOOKUP(AX149,УГО_спр,2,FALSE),"")="Светильник",3,4)+IF(Методика="нормы 2026",MIN(0.5,MAX(0,N(Q149)-100)*0.005),0))</f>
        <v>4</v>
      </c>
      <c r="DW149" cm="1">
        <f t="array" ref="DW149">IF(OR(B149="",BT149="",DM149&lt;&gt;1),"",_xlfn.LET(_xlpm.sz,Iдоп_S,_xlpm.t_,CHOOSE(DL149,Iдоп_1ж,Iдоп_2ж,Iдоп_3ж)*DJ149*DK149,_xlpm.inn,N(DD149),_xlpm.smin,MAX(1.5,BW149),_xlpm.L_,N(Q149)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149)*(_xlpm.rho*_xlpm.L_/_xlpm.sz*N(BY149)+_xlpm.xx*_xlpm.L_*N(DU149)/1000)*N(P149)/((Uн_лин/SQRT(3))*1000)*100,999),_xlpm.kz,IF(OR(DG149=1,NOT(ISNUMBER(DQ149)),_xlpm.L_=0,_xlpm.inn=0),1,IFERROR(--(c_min*(Uн_лин*1000/SQRT(3))/(DQ149+2*ρкз_Cu*_xlpm.L_/_xlpm.sz)&gt;=GY149*_xlpm.inn),0)),_xlpm.ok,IFERROR((_xlpm.sz&gt;=_xlpm.smin)*(_xlpm.t_&gt;=_xlpm.inn)*IF(_xlpm.L_&gt;0,(_xlpm.du_+DP149&lt;=DV149+0.00001),1)*_xlpm.kz,0),_xlpm.r_,_xlfn._xlws.FILTER(_xlpm.sz,_xlpm.ok,"не подобрано"),INDEX(_xlpm.r_,1)))</f>
        <v>1.5</v>
      </c>
      <c r="DX149">
        <f t="shared" si="294"/>
        <v>2.5</v>
      </c>
      <c r="DY149" cm="1">
        <f t="array" ref="DY149">IF(OR(B149="",BT149="",DM149&lt;&gt;1),"",_xlfn.LET(_xlpm.sz,Iдоп_S,_xlpm.t_,CHOOSE(DL149,Iдоп_1ж,Iдоп_2ж,Iдоп_3ж)*DJ149*DK149,_xlpm.ok,IFERROR((_xlpm.sz&gt;=MAX(1.5,BW149))*(_xlpm.t_&gt;=N(DD149)),0),_xlpm.r_,_xlfn._xlws.FILTER(_xlpm.sz,_xlpm.ok,""),INDEX(_xlpm.r_,1)))</f>
        <v>1.5</v>
      </c>
      <c r="DZ149" s="6" cm="1">
        <f t="array" ref="DZ149">IFERROR(ROUNDUP(N(DT149)*(_xlfn.XLOOKUP(DY149,INDEX(Кабель_сопротивление,0,1),INDEX(Кабель_сопротивление,0,3))*N(Q149)/DY149*N(BY149)+_xlfn.XLOOKUP(DY149,INDEX(Кабель_сопротивление,0,1),INDEX(Кабель_сопротивление,0,2))*N(Q149)*N(DU149)/1000)*N(P149)/((Uн_лин/SQRT(3))*1000)*100,2),"")</f>
        <v>0.16</v>
      </c>
      <c r="EA149">
        <f>IFERROR(2*ρкз_Cu*N(Q149)/DY149,"")</f>
        <v>0.80653333333333332</v>
      </c>
      <c r="EB149">
        <f>IFERROR(VLOOKUP(DX149,Кабель_сопротивление,3,FALSE),"")</f>
        <v>2.2499999999999999E-2</v>
      </c>
      <c r="EC149">
        <f>IFERROR(VLOOKUP(DX149,Кабель_сопротивление,2,FALSE),"")</f>
        <v>0.1</v>
      </c>
      <c r="ED149">
        <f t="shared" si="295"/>
        <v>17</v>
      </c>
      <c r="EE149">
        <f t="shared" si="296"/>
        <v>0</v>
      </c>
      <c r="EF149">
        <f t="shared" si="297"/>
        <v>0.21691338288588827</v>
      </c>
      <c r="EG149" s="6">
        <f>IFERROR(ROUNDUP(EF149/((Uн_лин/SQRT(3))*1000)*100,2),"")</f>
        <v>9.9999999999999992E-2</v>
      </c>
      <c r="EH149" t="str">
        <f>IFERROR(VLOOKUP(BT149,Кабель_обозначение,2,FALSE),"")</f>
        <v>ВВГнг(А)-LS</v>
      </c>
      <c r="EI149" t="str">
        <f t="shared" si="298"/>
        <v>ВВГнг(А)-LS (3х2,5)</v>
      </c>
      <c r="EJ149" t="str">
        <f t="shared" si="299"/>
        <v>ВВГнг(А)-LS (3х2,5)
L=23-0,1%</v>
      </c>
      <c r="EK149">
        <f>IFERROR(2*ρкз_Cu*Q149/DX149,"")</f>
        <v>0.48392000000000002</v>
      </c>
      <c r="EL149">
        <f t="shared" si="300"/>
        <v>0.161</v>
      </c>
      <c r="EM149" s="6" t="str">
        <f>IFERROR(IF(OR(B149="",NOT(ISNUMBER(DX149)),N(Q149)=0),"",_xlfn.XLOOKUP(A149,Щиты[Щит],Щиты[Zпетли на шинах, Ом])+EK149),"")</f>
        <v/>
      </c>
      <c r="EN149" s="6" t="str">
        <f>IF(ISNUMBER(EM149),c_min*(Uн_лин*1000/SQRT(3))/EM149,"")</f>
        <v/>
      </c>
      <c r="EO149" s="6" t="str">
        <f>IFERROR(IF(OR(B149="",NOT(ISNUMBER(DX149))),"",1.05*(Uн_лин*1000/SQRT(3))/(_xlfn.XLOOKUP(A149,Щиты[Щит],Щиты[Zmax на шинах, Ом])+EL149)/1000),"")</f>
        <v/>
      </c>
      <c r="EP149" s="6" t="str">
        <f>IF(B149="","",IF(ISNUMBER(Y149),"Сил",IF(IFERROR(_xlfn.XLOOKUP(AX149,Коды_код,Коды_группа)&amp;"","")="","Быт",_xlfn.XLOOKUP(AX149,Коды_код,Коды_группа)&amp;"")))</f>
        <v>Сил</v>
      </c>
      <c r="EQ149" s="6" t="str">
        <f t="shared" si="301"/>
        <v>Сил</v>
      </c>
      <c r="ER149" s="6">
        <f>IF(EQ149="Щит","щит",IF(EQ149="","",IF(EQ149="Быт",IFERROR(_xlfn.XLOOKUP(A149,Щиты[Щит],Щиты[Кс быт]),1),IF(EQ149="Сил",IF(ISNUMBER(Y149),Y149,IF(Методика="нормы 2026",IFERROR(_xlfn.XLOOKUP(A149,Щиты[Щит],Щиты[Кс силовых (табл. 7.5)]),1),1)),IF(OR(EQ149="Пост",EQ149="Отоп"),1,IF(EQ149="ВНГ",0.7,0))))))</f>
        <v>0.5</v>
      </c>
      <c r="ES149">
        <f t="shared" si="302"/>
        <v>1</v>
      </c>
      <c r="ET149">
        <f t="shared" si="303"/>
        <v>0.12</v>
      </c>
      <c r="EU149">
        <f t="shared" si="304"/>
        <v>0</v>
      </c>
      <c r="EV149">
        <f t="shared" si="305"/>
        <v>0.06</v>
      </c>
      <c r="EW149">
        <f t="shared" si="306"/>
        <v>0</v>
      </c>
      <c r="EX149">
        <f t="shared" si="307"/>
        <v>0</v>
      </c>
      <c r="EY149">
        <f t="shared" si="308"/>
        <v>0</v>
      </c>
      <c r="EZ149">
        <f t="shared" si="309"/>
        <v>0.12</v>
      </c>
      <c r="FA149">
        <f t="shared" si="310"/>
        <v>9.6000000000000002E-2</v>
      </c>
      <c r="FB149">
        <f t="shared" si="311"/>
        <v>0.12</v>
      </c>
      <c r="FC149" t="str">
        <f t="shared" si="312"/>
        <v/>
      </c>
      <c r="FD149" t="str">
        <f>IF(B149="","",IF(CA149=0,IF(AW149=1,"",FF148),IF(OR(N(CV149)&gt;=3,N(BR149)&gt;=3),"L1,L2,L3",IFERROR(_xlfn.TEXTBEFORE(_xlfn.TEXTAFTER(_xlfn.XLOOKUP(A149,Щиты[Щит],Щиты[_фазы авто]),";"&amp;AW149&amp;":"),";"),"L1"))))</f>
        <v>L2</v>
      </c>
      <c r="FE149" t="str">
        <f t="shared" si="313"/>
        <v>L2</v>
      </c>
      <c r="FF149" t="str">
        <f t="shared" si="314"/>
        <v>L2</v>
      </c>
      <c r="FG149" cm="1">
        <f t="array" ref="FG149">IFERROR(IF(BX149=2,_xlfn.IFS(BR149=3,VLOOKUP(BN149,Справочная_двигатели,3,FALSE),BR149=1,VLOOKUP(BN149,Справочная_двигатели,5,TRUE)),0),0)</f>
        <v>0</v>
      </c>
      <c r="FH149">
        <f>IFERROR(IF(BX149=3,VLOOKUP(BN149,Справочная_ЛЭД,2,TRUE),0),0)</f>
        <v>0</v>
      </c>
      <c r="FI149" s="6">
        <f t="shared" si="315"/>
        <v>0</v>
      </c>
      <c r="FJ149" t="str" cm="1">
        <f t="array" ref="FJ149">IF(B149="","",IFERROR(INDEX({"I особая","I","II","III"},MATCH(TRIM(AC149&amp;""),{"I особая","I","II","III"},0)),"III"))</f>
        <v>II</v>
      </c>
      <c r="FK149" t="str">
        <f>IF(B149="","",IF(TRIM(AD149&amp;"")&lt;&gt;"",IF(LOWER(TRIM(AD149&amp;""))="да","да","нет"),IF(IFERROR(_xlfn.XLOOKUP(AX149,Коды_код,Коды_пожарная),"")="да","да","нет")))</f>
        <v>нет</v>
      </c>
      <c r="FL149" t="str">
        <f t="shared" si="316"/>
        <v/>
      </c>
      <c r="FM149" t="str">
        <f t="shared" si="317"/>
        <v>основная</v>
      </c>
      <c r="FN149">
        <f t="shared" si="318"/>
        <v>1</v>
      </c>
      <c r="FO149" t="str" cm="1">
        <f t="array" ref="FO149">IF(B149="","",_xlfn.LET(_xlpm.t,IFERROR(_xlfn.XLOOKUP(1,(Шины[Шина]=FM149)*(((Шины[Щит]=A149)+(Шины[Щит]=""))&gt;0),Шины[Тип]),"")&amp;"",IF(_xlpm.t&lt;&gt;"",_xlpm.t,IF(ISNUMBER(SEARCH("ИБП",FM149)),"ИБП",IF(ISNUMBER(SEARCH("ДГУ",FM149)),"ДГУ","Ввод "&amp;FN149)))))</f>
        <v>Ввод 1</v>
      </c>
      <c r="FP149" t="str">
        <f t="shared" si="319"/>
        <v>Ввод 1</v>
      </c>
      <c r="FQ149" t="str">
        <f>IF(B149="","",IF(OR(FO149="ИБП",FO149="ДГУ"),"I особая",IF(FO149="Одиночная","III",_xlfn.XLOOKUP(A149,Щиты[Щит],Щиты[Категория шины «Ввод»],"III"))))</f>
        <v>II</v>
      </c>
      <c r="FR149">
        <f>IF(B149="",0,IFERROR(MATCH(FJ149,{"III","II","I","I особая"},0),1))</f>
        <v>2</v>
      </c>
      <c r="FS149">
        <f t="shared" si="320"/>
        <v>2</v>
      </c>
      <c r="FT149" t="str">
        <f>IF(B149="","",IF(FR149&gt;IFERROR(MATCH(FQ149,{"III","II","I","I особая"},0),1),"НЕ ОБЕСПЕЧЕНА","ОК"))</f>
        <v>ОК</v>
      </c>
      <c r="FU149" t="str">
        <f>IF(A149="","",_xlfn.XLOOKUP(A149,Щиты[Щит],Щиты[Путь],""))</f>
        <v>|ГРЩ-ЖД|ЩОВ-2|</v>
      </c>
      <c r="FV149" t="str">
        <f>IF(B149="","",IF(AE149&lt;&gt;"",AE149,IF(IFERROR(_xlfn.XLOOKUP(AX149,Коды_код,Коды_вид)&amp;"","")="","Прочее",_xlfn.XLOOKUP(AX149,Коды_код,Коды_вид)&amp;"")))</f>
        <v>Вентиляция</v>
      </c>
      <c r="FW149">
        <f>IF(BH149="","",INT((BH149-1)/Столбцов_на_лист)+1)</f>
        <v>3</v>
      </c>
      <c r="FX149" t="str">
        <f t="shared" si="321"/>
        <v>ВВГнг(А)-LS (3х2,5) L=23-0,1%</v>
      </c>
      <c r="FY149">
        <f t="shared" si="322"/>
        <v>0.12</v>
      </c>
      <c r="FZ149">
        <f t="shared" si="323"/>
        <v>0.65</v>
      </c>
      <c r="GA149">
        <f t="shared" si="324"/>
        <v>1</v>
      </c>
      <c r="GB149">
        <f t="shared" si="325"/>
        <v>0</v>
      </c>
      <c r="GC149">
        <f t="shared" si="326"/>
        <v>1</v>
      </c>
      <c r="GD149">
        <f>IF(BH149="","",IF(AND(CA149=1,GC149=1),COUNTIFS(A$3:A149,A149,CA$3:CA149,1,GC$3:GC149,1),IF(OR(OR(AW149=1,A149&lt;&gt;A148),AF149="вручную",GC149=0),"",IF(AW149=1,"",GE148))))</f>
        <v>19</v>
      </c>
      <c r="GE149">
        <f t="shared" si="327"/>
        <v>19</v>
      </c>
      <c r="GF149">
        <f>IF(B149="","",IFERROR(LOOKUP(INDEX(CHOOSE(DL149,Iдоп_1ж,Iдоп_2ж,Iдоп_3ж),MATCH(DX149,Iдоп_S,0))*DJ149*DK149,{6,10,16,20,25,32,40,50,63,80,100,125,160,200,250,315,400,500,630}),""))</f>
        <v>25</v>
      </c>
      <c r="GG149" t="str">
        <f t="shared" si="328"/>
        <v>QF19</v>
      </c>
      <c r="GH149" t="str">
        <f t="shared" si="329"/>
        <v>QF19</v>
      </c>
      <c r="GI149" t="str">
        <f t="shared" si="330"/>
        <v/>
      </c>
      <c r="GJ149">
        <f t="shared" si="331"/>
        <v>0</v>
      </c>
      <c r="GK149" t="str">
        <f>IF(OR(AG149="",AG149="-"),"",IFERROR(VLOOKUP(AG149,Модули_спр,2,FALSE),"R"))</f>
        <v/>
      </c>
      <c r="GL149" t="str">
        <f>IF(GK149="","",GK149&amp;"."&amp;COUNTIFS(A$3:A149,A149,GK$3:GK149,GK149))</f>
        <v/>
      </c>
      <c r="GM149" t="str">
        <f t="shared" si="332"/>
        <v/>
      </c>
      <c r="GN149" t="str">
        <f t="shared" si="333"/>
        <v/>
      </c>
      <c r="GO149" t="str">
        <f t="shared" si="334"/>
        <v/>
      </c>
      <c r="GP149" t="str">
        <f t="shared" si="335"/>
        <v/>
      </c>
      <c r="GQ149">
        <f t="shared" si="336"/>
        <v>1</v>
      </c>
      <c r="GR149" t="str">
        <f>IF(GQ149=1,"XT"&amp;COUNTIFS(A$3:A149,A149,GQ$3:GQ149,1),"")</f>
        <v>XT19</v>
      </c>
      <c r="GS149" t="str">
        <f t="shared" si="337"/>
        <v/>
      </c>
      <c r="GT149" t="str">
        <f t="shared" si="338"/>
        <v>QF19</v>
      </c>
      <c r="GU149" t="str">
        <f t="shared" si="339"/>
        <v/>
      </c>
      <c r="GV149" t="str">
        <f t="shared" si="340"/>
        <v>ok</v>
      </c>
      <c r="GW149" t="str">
        <f>IF(OR(GO149="",GM149=""),"",IF(GO149&gt;IFERROR(VLOOKUP(GN149,Модули_спр,3,FALSE),99),"ЛИШНИЙ КАНАЛ",IF(AND(AH149&lt;&gt;"=",COUNTIFS(Линии[_модуль гр.],GM149,Линии[Канал (итог)],GO149,Линии[Канал],"&lt;&gt;=",Линии[Щит],A149)&gt;1),"ДУБЛЬ КАНАЛА","")))</f>
        <v/>
      </c>
      <c r="GX149" s="6" t="str">
        <f t="shared" si="341"/>
        <v/>
      </c>
      <c r="GY149">
        <f t="shared" si="342"/>
        <v>10</v>
      </c>
      <c r="GZ149" t="str">
        <f t="shared" si="343"/>
        <v/>
      </c>
      <c r="HA149" t="str">
        <f>IF(AND(B149="",GT149=""),"",_xlfn.TEXTJOIN("; ",TRUE,IF(AND(B149&lt;&gt;"",FE149=""),"нет фазы",""),IF(AND(B149&lt;&gt;"",N(FY149)=0,EQ149&lt;&gt;"Нет"),"нет мощности",""),IF(AND(GS149&lt;&gt;"",COUNTIFS(Линии[Щит],A149,Линии[Клемма (итог)],GS149)&gt;1),"дубль клеммы "&amp;GS149,""),IF(AND(GV149&lt;&gt;"",GV149&lt;&gt;"ok"),GV149,""),IF(GW149&lt;&gt;"",GW149,""),IF(AND(N(BV149)&gt;=4,N(BR149)=1),BV149&amp;" жил на 1 фазе",""),IF(AND(AX149="R",CA149=1,OR(N(CK149)=0,N(CK149)&gt;30)),"розетка без дифзащиты до 30 мА",""),IFERROR(IF(AND(ISNUMBER(R149),R149&gt;DV149),"потери "&amp;FIXED(R149,1)&amp;" % &gt; "&amp;DV149&amp;" %",""),""),IFERROR(IF(LEFT(GZ149,4)="мало","Iкз мало — отключение &gt; 0,4 с",""),""),IF(AND(B149&lt;&gt;"",BH149=""),"не на схеме",""),IF(AND(CA149=0,B149&lt;&gt;"",FE149&lt;&gt;"",IF(AW149=1,"",FF148)&lt;&gt;"",FE149&lt;&gt;IF(AW149=1,"",FF148)),"фаза не как у автомата группы ("&amp;IF(AW149=1,"",FF148)&amp;")","")))</f>
        <v/>
      </c>
      <c r="HB149" s="6" t="str">
        <f>IF(OR(CA149=0,DA149=""),"",_xlfn.LET(_xlpm.t,IFERROR(_xlfn.XLOOKUP(DA149,Каталог!$U$4:$U$500,Каталог!$G$4:$G$500),""),_xlpm.k,SEARCH("кА",_xlpm.t),IFERROR(--TRIM(RIGHT(SUBSTITUTE(MID(_xlpm.t,MAX(1,_xlpm.k-4),_xlpm.k-MAX(1,_xlpm.k-4))," ",REPT(" ",9)),5)),"")))</f>
        <v/>
      </c>
      <c r="HC149" t="str">
        <f>IF(OR(HB149="",CA149=0),"",IF(_xlfn.XLOOKUP(A149,Щиты[Щит],Щиты[Iкз max на шинах, кА],"")="","",IF(HB149&lt;_xlfn.XLOOKUP(A149,Щиты[Щит],Щиты[Iкз max на шинах, кА]),"Icu "&amp;HB149&amp;" кА &lt; Iкз max","ok")))</f>
        <v/>
      </c>
      <c r="HD149" t="str">
        <f t="shared" si="344"/>
        <v/>
      </c>
      <c r="HE149" t="str">
        <f t="shared" si="345"/>
        <v>QF19</v>
      </c>
      <c r="HF149" t="str">
        <f t="shared" si="346"/>
        <v>QF19|кабель ВВГнг(А)-LS (3х2,5) → Приточная установка Технический этаж Пом. №001Т</v>
      </c>
      <c r="HG149" t="str" cm="1">
        <f t="array" ref="HG149">IF(HF149="","",_xlfn.LET(_xlpm.nd,_xlfn.TEXTSPLIT(HF149,"|"),IF(COLUMNS(_xlpm.nd)&gt;1,A149&amp;"¦"&amp;INDEX(_xlpm.nd,1)&amp;"¦"&amp;INDEX(_xlpm.nd,2),"")))</f>
        <v>ЩОВ-2¦QF19¦кабель ВВГнг(А)-LS (3х2,5) → Приточная установка Технический этаж Пом. №001Т</v>
      </c>
      <c r="HH149" t="str">
        <f t="shared" si="347"/>
        <v>П.3¦Приточная установка Технический этаж Пом. №001Т</v>
      </c>
      <c r="HI149" t="str" cm="1">
        <f t="array" ref="HI149">IF(HF149="","",_xlfn.LET(_xlpm.nd,_xlfn.TEXTSPLIT(HF149,"|"),IF(COLUMNS(_xlpm.nd)&gt;2,A149&amp;"¦"&amp;INDEX(_xlpm.nd,2)&amp;"¦"&amp;INDEX(_xlpm.nd,3),"")))</f>
        <v/>
      </c>
      <c r="HJ149" t="str">
        <f t="shared" si="348"/>
        <v/>
      </c>
      <c r="HK149" t="str" cm="1">
        <f t="array" ref="HK149">IF(HF149="","",_xlfn.LET(_xlpm.nd,_xlfn.TEXTSPLIT(HF149,"|"),IF(COLUMNS(_xlpm.nd)&gt;3,A149&amp;"¦"&amp;INDEX(_xlpm.nd,3)&amp;"¦"&amp;INDEX(_xlpm.nd,4),"")))</f>
        <v/>
      </c>
      <c r="HL149" t="str">
        <f t="shared" si="349"/>
        <v/>
      </c>
      <c r="HM149" t="str" cm="1">
        <f t="array" ref="HM149">IF(HF149="","",_xlfn.LET(_xlpm.nd,_xlfn.TEXTSPLIT(HF149,"|"),IF(COLUMNS(_xlpm.nd)&gt;4,A149&amp;"¦"&amp;INDEX(_xlpm.nd,4)&amp;"¦"&amp;INDEX(_xlpm.nd,5),"")))</f>
        <v/>
      </c>
      <c r="HN149" t="str">
        <f t="shared" si="350"/>
        <v/>
      </c>
      <c r="HO149" t="str" cm="1">
        <f t="array" ref="HO149">IF(HF149="","",_xlfn.LET(_xlpm.nd,_xlfn.TEXTSPLIT(HF149,"|"),IF(COLUMNS(_xlpm.nd)&gt;5,A149&amp;"¦"&amp;INDEX(_xlpm.nd,5)&amp;"¦"&amp;INDEX(_xlpm.nd,6),"")))</f>
        <v/>
      </c>
      <c r="HP149" t="str">
        <f t="shared" si="351"/>
        <v/>
      </c>
      <c r="HQ149" t="str" cm="1">
        <f t="array" ref="HQ149">IF(HF149="","",_xlfn.LET(_xlpm.nd,_xlfn.TEXTSPLIT(HF149,"|"),IF(COLUMNS(_xlpm.nd)&gt;6,A149&amp;"¦"&amp;INDEX(_xlpm.nd,6)&amp;"¦"&amp;INDEX(_xlpm.nd,7),"")))</f>
        <v/>
      </c>
      <c r="HR149" t="str">
        <f t="shared" si="352"/>
        <v/>
      </c>
      <c r="HS149" t="str">
        <f t="shared" si="353"/>
        <v/>
      </c>
      <c r="HT149" t="str">
        <f t="shared" si="354"/>
        <v>QF19</v>
      </c>
      <c r="HU149">
        <f t="shared" si="355"/>
        <v>0</v>
      </c>
      <c r="HV149">
        <f t="shared" si="356"/>
        <v>0</v>
      </c>
      <c r="HW149" t="str">
        <f t="shared" si="357"/>
        <v/>
      </c>
      <c r="HX149" t="str">
        <f t="shared" si="358"/>
        <v/>
      </c>
      <c r="HY149" t="str">
        <f t="shared" si="359"/>
        <v/>
      </c>
      <c r="HZ149" t="str">
        <f t="shared" si="360"/>
        <v/>
      </c>
      <c r="IA149" t="str">
        <f>IF(B149="","",IFERROR(VLOOKUP(B149,УГО_спр,2,FALSE),IFERROR(VLOOKUP(AX149,УГО_спр,2,FALSE),IFERROR(VLOOKUP(LEFT(AX149,2),УГО_спр,2,FALSE),""))))</f>
        <v>Привод (двигатель)</v>
      </c>
      <c r="IB149" t="str">
        <f>IF(B149="","",IF(OR(IA149="",IA149=0),"BOX",IFERROR(IF(VLOOKUP(IA149,УГО_блоки,3,FALSE)&amp;""&lt;&gt;"",VLOOKUP(IA149,УГО_блоки,3,FALSE),VLOOKUP(IA149,УГО_блоки,2,FALSE)),IA149)))</f>
        <v>MOTOR</v>
      </c>
      <c r="IC149">
        <f t="shared" si="361"/>
        <v>1</v>
      </c>
      <c r="ID149" t="str">
        <f>IF(DA149="","",IF(COUNTIF(DA$3:DA149,DA149)=1,MAX(ID$2:ID148)+1,""))</f>
        <v/>
      </c>
      <c r="IE149" t="str">
        <f>IF(CO149="","",IF(COUNTIF(CO$3:CO149,CO149)+COUNTIF(CP$2:CP148,CO149)+COUNTIF(CQ$2:CQ148,CO149)=1,MAX(IE$2:IG148)+1,""))</f>
        <v/>
      </c>
      <c r="IF149" t="str">
        <f>IF(CP149="","",IF(COUNTIF(CO$3:CO149,CP149)+COUNTIF(CP$3:CP149,CP149)+COUNTIF(CQ$2:CQ148,CP149)=1,MAX(IE$2:IG148,IE149)+1,""))</f>
        <v/>
      </c>
      <c r="IG149" t="str">
        <f>IF(CQ149="","",IF(COUNTIF(CO$3:CO149,CQ149)+COUNTIF(CP$3:CP149,CQ149)+COUNTIF(CQ$3:CQ149,CQ149)=1,MAX(IE$2:IG148,IE149,IF149)+1,""))</f>
        <v/>
      </c>
      <c r="IH149" t="str">
        <f t="shared" si="362"/>
        <v>3х2,5</v>
      </c>
      <c r="II149" t="str">
        <f>IF(IH149="","",IF(COUNTIF(IH$3:IH149,IH149)=1,MAX(II$2:II148)+1,""))</f>
        <v/>
      </c>
      <c r="IJ149" t="str">
        <f>IF(GL149="","",COUNTIF(GL$3:GL149,"?*"))</f>
        <v/>
      </c>
      <c r="IK149" t="str">
        <f>IF(OR(GL149="",GN149=""),"",IF(COUNTIFS(GL$3:GL149,"?*",GN$3:GN149,GN149)=1,MAX(IK$2:IK148)+1,""))</f>
        <v/>
      </c>
      <c r="IL149">
        <f t="shared" si="363"/>
        <v>0</v>
      </c>
      <c r="IM149">
        <f>IF(B149="","",COUNTIF(B$3:B149,"?*"))</f>
        <v>147</v>
      </c>
      <c r="IN149">
        <f>IF(GQ149&lt;&gt;1,0,_xlfn.LET(_xlpm.k,MAX(IFERROR(--VLOOKUP(B149,УГО_спр,5,FALSE),0),IFERROR(--VLOOKUP(AX149,УГО_спр,5,FALSE),0),IFERROR(--VLOOKUP(LEFT(AX149,2),УГО_спр,5,FALSE),0)),IF(_xlpm.k&gt;0,_xlpm.k,IF(IFERROR(--LEFT(SUBSTITUTE(IH149,"x","х"),FIND("х",SUBSTITUTE(IH149,"x","х"))-1),3)&gt;3,Каталог!$S$9,1))))</f>
        <v>1</v>
      </c>
      <c r="IO149">
        <f t="shared" si="364"/>
        <v>0</v>
      </c>
      <c r="IP149" t="str">
        <f t="shared" si="365"/>
        <v>авто</v>
      </c>
      <c r="IQ149" t="str">
        <f t="shared" si="366"/>
        <v/>
      </c>
      <c r="IR149">
        <f t="shared" si="367"/>
        <v>0</v>
      </c>
      <c r="IS149">
        <f t="shared" si="368"/>
        <v>1</v>
      </c>
    </row>
    <row r="150" spans="1:253" x14ac:dyDescent="0.3">
      <c r="A150" t="s">
        <v>753</v>
      </c>
      <c r="B150" t="s">
        <v>1418</v>
      </c>
      <c r="C150" t="s">
        <v>1649</v>
      </c>
      <c r="D150">
        <v>1</v>
      </c>
      <c r="E150">
        <v>0.27</v>
      </c>
      <c r="G150" t="str">
        <f>Линии[[#This Row],[_авто автомат]]</f>
        <v>1P С6А</v>
      </c>
      <c r="H150" t="str">
        <f>Линии[[#This Row],[_авто утечка]]</f>
        <v/>
      </c>
      <c r="I150" t="str">
        <f>Линии[[#This Row],[_авто управление]]</f>
        <v/>
      </c>
      <c r="J150" t="str">
        <f>Линии[[#This Row],[_авто аппараты]]</f>
        <v/>
      </c>
      <c r="K150">
        <v>2.5</v>
      </c>
      <c r="L150">
        <v>31</v>
      </c>
      <c r="M150" t="str">
        <f>Линии[[#This Row],[_авто фаза]]</f>
        <v>L2</v>
      </c>
      <c r="N150" t="str">
        <f>Линии[[#This Row],[_авто клемма]]</f>
        <v>XT20</v>
      </c>
      <c r="O150" t="str">
        <f t="shared" si="246"/>
        <v/>
      </c>
      <c r="P150" s="6" cm="1">
        <f t="array" ref="P150">IF(B150="","",IF(BC150&lt;&gt;"",IFERROR(_xlfn.XLOOKUP(BC150,Щиты[Щит],Щиты[Iр, А]),""),IF(BK150=1,IFERROR(_xlfn.XLOOKUP(A150,Щиты[Щит],Щиты[Iр, А]),""),IFERROR(_xlfn.IFS(BR150=1,BN150/((Uн_лин/SQRT(3))*BY150),BR150=3,BN150/(SQRT(3)*Uн_лин*BY150)),""))))</f>
        <v>1.46141786888624</v>
      </c>
      <c r="Q150" s="7">
        <f>IF(B150="","",IFERROR(IF(VLOOKUP(AX150,Потребители_обозначение,4,FALSE)=1,VLOOKUP(AX150,Потребители_обозначение,3,FALSE)*(D150*2-1)+DS150+VLOOKUP(AZ150,Этаж_обозначение,3,FALSE)+VLOOKUP(AZ150,Этаж_обозначение,4,FALSE),VLOOKUP(AX150,Потребители_обозначение,3,FALSE)*(D150*2-1)+DS150),DS150))</f>
        <v>35</v>
      </c>
      <c r="R150" s="6">
        <f t="shared" si="247"/>
        <v>1.47</v>
      </c>
      <c r="S150" t="str">
        <f t="shared" si="248"/>
        <v>ВВГнг(А)-LS (3х2,5)</v>
      </c>
      <c r="T150" t="str">
        <f>IF(BH150="","",IF(BI150="вводной узел","узел ","")&amp;"л."&amp;(INT((BH150-1)/Столбцов_на_лист)+1)&amp;" / "&amp;(MOD(BH150-1,Столбцов_на_лист)+1))</f>
        <v>л.3 / 7</v>
      </c>
      <c r="V150">
        <v>1</v>
      </c>
      <c r="W150">
        <v>230</v>
      </c>
      <c r="X150" t="s">
        <v>600</v>
      </c>
      <c r="Y150">
        <v>0.5</v>
      </c>
      <c r="AC150" t="s">
        <v>815</v>
      </c>
      <c r="AE150" t="s">
        <v>582</v>
      </c>
      <c r="AI150">
        <v>41</v>
      </c>
      <c r="AJ150" t="s">
        <v>11</v>
      </c>
      <c r="AK150">
        <v>3</v>
      </c>
      <c r="AM150">
        <v>4</v>
      </c>
      <c r="AN150">
        <v>31</v>
      </c>
      <c r="AP150">
        <v>1</v>
      </c>
      <c r="AW150" cm="1">
        <f t="array" ref="AW150">ROW()-ROW(Линии[#Headers])</f>
        <v>148</v>
      </c>
      <c r="AX150" s="6" t="str">
        <f t="shared" si="249"/>
        <v>П</v>
      </c>
      <c r="AY150" t="str">
        <f t="shared" si="250"/>
        <v>5</v>
      </c>
      <c r="AZ150" t="str">
        <f t="shared" si="251"/>
        <v>5</v>
      </c>
      <c r="BA150" t="str">
        <f t="shared" si="252"/>
        <v/>
      </c>
      <c r="BB150" t="str">
        <f t="shared" si="253"/>
        <v/>
      </c>
      <c r="BC150" t="str">
        <f>IF(U150&lt;&gt;"",U150,IF(AND(B150&lt;&gt;"",B150&lt;&gt;A150,ISNUMBER(_xlfn.XMATCH(B150,Щиты[Щит]))),B150,""))</f>
        <v/>
      </c>
      <c r="BD150" t="str" cm="1">
        <f t="array" ref="BD150">IF(B150="","",IF(BC150&lt;&gt;"","Щит "&amp;BC150,_xlfn.LET(_xlpm.nm,IFERROR(_xlfn.XLOOKUP(AX150,Коды_код,Коды_имя)&amp;"",""),_xlpm.md,IFERROR(N(_xlfn.XLOOKUP(AX150,Коды_код,Коды_режим)),1),_xlpm.ex,IF(Имя_режим="по экспликации",IFERROR(_xlfn.XLOOKUP(AZ150&amp;"|"&amp;BB150,Экспликация[Этаж]&amp;"|"&amp;Экспликация[Помещение],Экспликация[Название])&amp;"",""),""),_xlpm.rm,IF(BB150="","",IF(_xlpm.ex&lt;&gt;"",". "&amp;_xlpm.ex&amp;IF(Имя_пом="нет"," ("&amp;BB150&amp;")"," (пом. "&amp;BB150&amp;")"),IF(Имя_пом="нет"," ",", пом. ")&amp;BB150)),IF(_xlpm.nm="","",IF(_xlpm.md=2,_xlpm.nm&amp;" шлейф "&amp;AZ150,_xlpm.nm&amp;_xlpm.rm)))))</f>
        <v>Приточная установка шлейф 5</v>
      </c>
      <c r="BE150" t="str">
        <f t="shared" si="254"/>
        <v>Приточная установка Технический этаж Пом. №001Т</v>
      </c>
      <c r="BF150">
        <f>IFERROR(_xlfn.XMATCH(A150,Щиты[Щит]),0)</f>
        <v>7</v>
      </c>
      <c r="BG150">
        <f>_xlfn.LET(_xlpm.k,IFERROR(_xlfn.XLOOKUP(A150,Щиты[Щит],Щиты[Листов под вводной узел]),""),IF(_xlpm.k="",1,N(_xlpm.k))*Столбцов_на_лист)</f>
        <v>17</v>
      </c>
      <c r="BH150">
        <f t="shared" si="255"/>
        <v>41</v>
      </c>
      <c r="BI150" t="str">
        <f t="shared" si="256"/>
        <v>линии</v>
      </c>
      <c r="BJ150" s="6">
        <f>IFERROR(N(_xlfn.XLOOKUP(AX150,Коды_код,Коды_квт)),0)</f>
        <v>0</v>
      </c>
      <c r="BK150">
        <f t="shared" si="257"/>
        <v>0</v>
      </c>
      <c r="BL150" t="str">
        <f>IF(B150="","",IF(BC150&lt;&gt;"",IFERROR(_xlfn.XLOOKUP(BC150,Щиты[Щит],Щиты[Руст, кВт]),0),IF(BK150=1,IFERROR(_xlfn.XLOOKUP(A150,Щиты[Щит],Щиты[Руст, кВт]),0),IF(BJ150&gt;0,ROUND(BJ150*MAX(1,N(D150)),3),""))))</f>
        <v/>
      </c>
      <c r="BM150">
        <f t="shared" si="258"/>
        <v>0.27</v>
      </c>
      <c r="BN150" s="6">
        <f>IF(B150="","",IF(BC150&lt;&gt;"",IFERROR(_xlfn.XLOOKUP(BC150,Щиты[Щит],Щиты[Руст, кВт]),0),N(BM150)))</f>
        <v>0.27</v>
      </c>
      <c r="BO150" t="str">
        <f>IF(B150="","",IFERROR(IF(VLOOKUP(AX150,Потребители_обозначение,8,FALSE)=0,"",VLOOKUP(AX150,Потребители_обозначение,8,FALSE)),""))</f>
        <v/>
      </c>
      <c r="BP150">
        <f t="shared" si="259"/>
        <v>230</v>
      </c>
      <c r="BQ150">
        <f>IF(B150="","",IF(BC150&lt;&gt;"",3,IFERROR(IF(N(VLOOKUP(AX150,Потребители_обозначение,9,FALSE))=0,1,VLOOKUP(AX150,Потребители_обозначение,9,FALSE)),1)))</f>
        <v>1</v>
      </c>
      <c r="BR150">
        <f t="shared" si="260"/>
        <v>1</v>
      </c>
      <c r="BS150" t="str">
        <f>IF(B150="","",_xlfn.LET(_xlpm.bc,IFERROR(IF(VLOOKUP(AX150,Потребители_обозначение,6,FALSE)=0,"",VLOOKUP(AX150,Потребители_обозначение,6,FALSE)&amp;""),""),IF(AND(FK150="да",OR(_xlpm.bc="",_xlpm.bc="мс")),Марка_пож,IF(AND(_xlpm.bc="",BC150&lt;&gt;""),"мс",_xlpm.bc))))</f>
        <v/>
      </c>
      <c r="BT150" t="str">
        <f t="shared" si="261"/>
        <v>мс</v>
      </c>
      <c r="BU150">
        <f>IF(B150="","",_xlfn.LET(_xlpm.cc,IFERROR(N(VLOOKUP(AX150,Потребители_обозначение,7,FALSE)),0),IF(_xlpm.cc&gt;0,_xlpm.cc,IF(BT150="","",IF(N(BR150)=3,5,3)))))</f>
        <v>3</v>
      </c>
      <c r="BV150">
        <f t="shared" si="262"/>
        <v>3</v>
      </c>
      <c r="BW150">
        <f>IFERROR(N(VLOOKUP(AX150,Потребители_обозначение,10,FALSE)),0)</f>
        <v>0</v>
      </c>
      <c r="BX150">
        <f>IFERROR(VLOOKUP(AX150,Потребители_обозначение,5,FALSE),0)</f>
        <v>1</v>
      </c>
      <c r="BY150" s="6" cm="1">
        <f t="array" ref="BY150">IF(B150="","",IF(BC150&lt;&gt;"",IFERROR(_xlfn.XLOOKUP(BC150,Щиты[Щит],Щиты[cos φ]),0.95),IF(BK150=1,IFERROR(_xlfn.XLOOKUP(A150,Щиты[Щит],Щиты[cos φ]),0.95),IF(ISNUMBER(Z150),Z150,IFERROR(IF(BX150=2,_xlfn.IFS(BR150=3,VLOOKUP(BN150,Справочная_двигатели,8,FALSE),BR150=1,VLOOKUP(BN150,Справочная_двигатели,10,TRUE)),IF(AND(Методика="нормы 2026",EQ150="Сил"),0.8,0.95)),0.95)))))</f>
        <v>0.8</v>
      </c>
      <c r="BZ150">
        <f t="shared" si="263"/>
        <v>0</v>
      </c>
      <c r="CA150">
        <f t="shared" si="264"/>
        <v>1</v>
      </c>
      <c r="CB150">
        <f t="shared" si="265"/>
        <v>0</v>
      </c>
      <c r="CC150">
        <f t="shared" si="266"/>
        <v>0</v>
      </c>
      <c r="CD150">
        <f t="shared" si="267"/>
        <v>0</v>
      </c>
      <c r="CE150">
        <f t="shared" si="268"/>
        <v>0</v>
      </c>
      <c r="CF150">
        <f t="shared" si="269"/>
        <v>0</v>
      </c>
      <c r="CG150">
        <f>IF(AX150="",0,_xlfn.LET(_xlpm.v,IFERROR(VLOOKUP(B150,УГО_спр,3,FALSE),IFERROR(VLOOKUP(AX150,УГО_спр,3,FALSE),IFERROR(VLOOKUP(LEFT(AX150,2),УГО_спр,3,FALSE),""))),IF(_xlpm.v="да",30,IF(ISNUMBER(_xlpm.v),_xlpm.v,0))))</f>
        <v>0</v>
      </c>
      <c r="CH150" t="str">
        <f t="shared" si="270"/>
        <v/>
      </c>
      <c r="CI150" t="str">
        <f>_xlfn.LET(_xlpm.k,IFERROR(_xlfn.XLOOKUP(AX150,Коды_код,Коды_утечка)&amp;"",""),IF(_xlpm.k="","дифавтомат",_xlpm.k))</f>
        <v>дифавтомат</v>
      </c>
      <c r="CJ150">
        <f t="shared" si="271"/>
        <v>0</v>
      </c>
      <c r="CK150">
        <f t="shared" si="272"/>
        <v>0</v>
      </c>
      <c r="CL150">
        <f>IF(B150="",0,IFERROR(--VLOOKUP(B150,УГО_спр,4,FALSE),IFERROR(--VLOOKUP(AX150,УГО_спр,4,FALSE),IFERROR(--VLOOKUP(LEFT(AX150,2),УГО_спр,4,FALSE),0))))</f>
        <v>0</v>
      </c>
      <c r="CM150" t="str">
        <f>IF(B150="","",IFERROR(_xlfn.XLOOKUP(AX150,Коды_код,Коды_апп)&amp;"",""))</f>
        <v/>
      </c>
      <c r="CN150" t="str">
        <f t="shared" si="273"/>
        <v/>
      </c>
      <c r="CO150" t="str" cm="1">
        <f t="array" ref="CO150">IF(TRIM(CN150&amp;"")="","",IFERROR(TRIM(INDEX(_xlfn.TEXTSPLIT(CN150&amp;";;;",";"),1)),""))</f>
        <v/>
      </c>
      <c r="CP150" t="str" cm="1">
        <f t="array" ref="CP150">IF(TRIM(CN150&amp;"")="","",IFERROR(TRIM(INDEX(_xlfn.TEXTSPLIT(CN150&amp;";;;",";"),2)),""))</f>
        <v/>
      </c>
      <c r="CQ150" t="str" cm="1">
        <f t="array" ref="CQ150">IF(TRIM(CN150&amp;"")="","",IFERROR(TRIM(INDEX(_xlfn.TEXTSPLIT(CN150&amp;";;;",";"),3)),""))</f>
        <v/>
      </c>
      <c r="CR150">
        <f t="shared" si="274"/>
        <v>0</v>
      </c>
      <c r="CS150" t="str">
        <f>IF(B150="","",_xlfn.LET(_xlpm.t,LOWER(AV150&amp;""),IF(ISNUMBER(SEARCH("dim",_xlpm.t)),"DIM",IF(ISNUMBER(SEARCH("dali",_xlpm.t)),"DALI",IF(OR(ISNUMBER(SEARCH("relay",_xlpm.t)),ISNUMBER(SEARCH("реле",_xlpm.t))),"Relay",IF(ISNUMBER(SEARCH("кнопк",_xlpm.t)),"",IFERROR(_xlfn.XLOOKUP(AX150,Коды_код,Коды_упр)&amp;"","")))))))</f>
        <v/>
      </c>
      <c r="CT150" t="str">
        <f t="shared" si="275"/>
        <v/>
      </c>
      <c r="CU150">
        <f>IF(B150="","",_xlfn.LET(_xlpm.ig,N(P150)+IF(AF150="вручную",0,N(CB150)),_xlpm.n0,IFERROR(VLOOKUP(_xlpm.ig,Автомат_номиналы,2,TRUE),0),_xlpm.mn,MAX(CL150,IF(AF150="вручную",0,N(CE150))),MAX(_xlpm.n0,_xlpm.mn,IF(CR150=1,Мин_автомат_БП,0))))</f>
        <v>6</v>
      </c>
      <c r="CV150">
        <f t="shared" si="276"/>
        <v>1</v>
      </c>
      <c r="CW150" t="str">
        <f t="shared" si="277"/>
        <v>1P</v>
      </c>
      <c r="CX150" t="str">
        <f>_xlfn.LET(_xlpm.cc,UPPER(TRIM(IFERROR(_xlfn.XLOOKUP(AX150,Коды_код,Коды_хар)&amp;"",""))),IF(OR(_xlpm.cc="B",_xlpm.cc="В"),"B",IF(_xlpm.cc="D","D","С")))</f>
        <v>С</v>
      </c>
      <c r="CY150" t="str">
        <f t="shared" si="278"/>
        <v>1P С6А</v>
      </c>
      <c r="CZ150" t="str">
        <f t="shared" si="279"/>
        <v>1P С6А</v>
      </c>
      <c r="DA150" t="str">
        <f t="shared" si="280"/>
        <v>1P С6А</v>
      </c>
      <c r="DB150" cm="1">
        <f t="array" ref="DB150">IF(DA150="","",_xlfn.LET(_xlpm.t,SUBSTITUTE(SUBSTITUTE(SUBSTITUTE(UPPER(DA150),"С","C"),"А","A"),"В","B"),_xlpm.tk,_xlfn.TEXTSPLIT(_xlpm.t,"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50" t="str">
        <f t="shared" si="281"/>
        <v>ok</v>
      </c>
      <c r="DD150">
        <f t="shared" si="282"/>
        <v>6</v>
      </c>
      <c r="DE150" t="str">
        <f t="shared" si="283"/>
        <v>1P С6А</v>
      </c>
      <c r="DF150">
        <f t="shared" si="284"/>
        <v>0</v>
      </c>
      <c r="DG150">
        <f t="shared" si="285"/>
        <v>0</v>
      </c>
      <c r="DH150">
        <f t="shared" si="286"/>
        <v>0</v>
      </c>
      <c r="DI150">
        <f t="shared" si="287"/>
        <v>1.46141786888624</v>
      </c>
      <c r="DJ150">
        <f t="shared" si="288"/>
        <v>1</v>
      </c>
      <c r="DK150">
        <f>IF(ISNUMBER(AL150),AL150,К_прокл)</f>
        <v>1</v>
      </c>
      <c r="DL150">
        <f t="shared" si="289"/>
        <v>2</v>
      </c>
      <c r="DM150">
        <f>IFERROR(N(VLOOKUP(BT150,Кабель_обозначение,3,FALSE)),1)</f>
        <v>1</v>
      </c>
      <c r="DN150">
        <f>IFERROR(N(_xlfn.XLOOKUP(A150,Щиты[Щит],Щиты[ΔU до шин, %])),0)</f>
        <v>1.1399999999999999</v>
      </c>
      <c r="DO150" t="str">
        <f>IFERROR(_xlfn.XLOOKUP(A150,Щиты[Щит],Щиты[Zпетли на шинах, Ом]),"")</f>
        <v/>
      </c>
      <c r="DP150">
        <f>IFERROR(N(_xlfn.XLOOKUP(A150,Щиты[Щит],Щиты[ΔU до шин (подбор), %])),0)</f>
        <v>1.82</v>
      </c>
      <c r="DQ150" t="str">
        <f>IFERROR(_xlfn.XLOOKUP(A150,Щиты[Щит],Щиты[Zпетли на шинах (подбор), Ом]),"")</f>
        <v/>
      </c>
      <c r="DR150" t="str">
        <f t="shared" si="290"/>
        <v/>
      </c>
      <c r="DS150">
        <f t="shared" si="291"/>
        <v>31</v>
      </c>
      <c r="DT150">
        <f t="shared" si="292"/>
        <v>2</v>
      </c>
      <c r="DU150">
        <f t="shared" si="293"/>
        <v>0.6</v>
      </c>
      <c r="DV150" s="6">
        <f>IF(B150="","",IF(IFERROR(VLOOKUP(AX150,УГО_спр,2,FALSE),"")="Светильник",3,4)+IF(Методика="нормы 2026",MIN(0.5,MAX(0,N(Q150)-100)*0.005),0))</f>
        <v>4</v>
      </c>
      <c r="DW150" cm="1">
        <f t="array" ref="DW150">IF(OR(B150="",BT150="",DM150&lt;&gt;1),"",_xlfn.LET(_xlpm.sz,Iдоп_S,_xlpm.t_,CHOOSE(DL150,Iдоп_1ж,Iдоп_2ж,Iдоп_3ж)*DJ150*DK150,_xlpm.inn,N(DD150),_xlpm.smin,MAX(1.5,BW150),_xlpm.L_,N(Q150)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150)*(_xlpm.rho*_xlpm.L_/_xlpm.sz*N(BY150)+_xlpm.xx*_xlpm.L_*N(DU150)/1000)*N(P150)/((Uн_лин/SQRT(3))*1000)*100,999),_xlpm.kz,IF(OR(DG150=1,NOT(ISNUMBER(DQ150)),_xlpm.L_=0,_xlpm.inn=0),1,IFERROR(--(c_min*(Uн_лин*1000/SQRT(3))/(DQ150+2*ρкз_Cu*_xlpm.L_/_xlpm.sz)&gt;=GY150*_xlpm.inn),0)),_xlpm.ok,IFERROR((_xlpm.sz&gt;=_xlpm.smin)*(_xlpm.t_&gt;=_xlpm.inn)*IF(_xlpm.L_&gt;0,(_xlpm.du_+DP150&lt;=DV150+0.00001),1)*_xlpm.kz,0),_xlpm.r_,_xlfn._xlws.FILTER(_xlpm.sz,_xlpm.ok,"не подобрано"),INDEX(_xlpm.r_,1)))</f>
        <v>1.5</v>
      </c>
      <c r="DX150">
        <f t="shared" si="294"/>
        <v>2.5</v>
      </c>
      <c r="DY150" cm="1">
        <f t="array" ref="DY150">IF(OR(B150="",BT150="",DM150&lt;&gt;1),"",_xlfn.LET(_xlpm.sz,Iдоп_S,_xlpm.t_,CHOOSE(DL150,Iдоп_1ж,Iдоп_2ж,Iдоп_3ж)*DJ150*DK150,_xlpm.ok,IFERROR((_xlpm.sz&gt;=MAX(1.5,BW150))*(_xlpm.t_&gt;=N(DD150)),0),_xlpm.r_,_xlfn._xlws.FILTER(_xlpm.sz,_xlpm.ok,""),INDEX(_xlpm.r_,1)))</f>
        <v>1.5</v>
      </c>
      <c r="DZ150" s="6" cm="1">
        <f t="array" ref="DZ150">IFERROR(ROUNDUP(N(DT150)*(_xlfn.XLOOKUP(DY150,INDEX(Кабель_сопротивление,0,1),INDEX(Кабель_сопротивление,0,3))*N(Q150)/DY150*N(BY150)+_xlfn.XLOOKUP(DY150,INDEX(Кабель_сопротивление,0,1),INDEX(Кабель_сопротивление,0,2))*N(Q150)*N(DU150)/1000)*N(P150)/((Uн_лин/SQRT(3))*1000)*100,2),"")</f>
        <v>0.54</v>
      </c>
      <c r="EA150">
        <f>IFERROR(2*ρкз_Cu*N(Q150)/DY150,"")</f>
        <v>1.2273333333333334</v>
      </c>
      <c r="EB150">
        <f>IFERROR(VLOOKUP(DX150,Кабель_сопротивление,3,FALSE),"")</f>
        <v>2.2499999999999999E-2</v>
      </c>
      <c r="EC150">
        <f>IFERROR(VLOOKUP(DX150,Кабель_сопротивление,2,FALSE),"")</f>
        <v>0.1</v>
      </c>
      <c r="ED150">
        <f t="shared" si="295"/>
        <v>31</v>
      </c>
      <c r="EE150">
        <f t="shared" si="296"/>
        <v>0</v>
      </c>
      <c r="EF150">
        <f t="shared" si="297"/>
        <v>0.74269256096798719</v>
      </c>
      <c r="EG150" s="6">
        <f>IFERROR(ROUNDUP(EF150/((Uн_лин/SQRT(3))*1000)*100,2),"")</f>
        <v>0.33</v>
      </c>
      <c r="EH150" t="str">
        <f>IFERROR(VLOOKUP(BT150,Кабель_обозначение,2,FALSE),"")</f>
        <v>ВВГнг(А)-LS</v>
      </c>
      <c r="EI150" t="str">
        <f t="shared" si="298"/>
        <v>ВВГнг(А)-LS (3х2,5)</v>
      </c>
      <c r="EJ150" t="str">
        <f t="shared" si="299"/>
        <v>ВВГнг(А)-LS (3х2,5)
L=35-0,33%</v>
      </c>
      <c r="EK150">
        <f>IFERROR(2*ρкз_Cu*Q150/DX150,"")</f>
        <v>0.73639999999999994</v>
      </c>
      <c r="EL150">
        <f t="shared" si="300"/>
        <v>0.24500000000000002</v>
      </c>
      <c r="EM150" s="6" t="str">
        <f>IFERROR(IF(OR(B150="",NOT(ISNUMBER(DX150)),N(Q150)=0),"",_xlfn.XLOOKUP(A150,Щиты[Щит],Щиты[Zпетли на шинах, Ом])+EK150),"")</f>
        <v/>
      </c>
      <c r="EN150" s="6" t="str">
        <f>IF(ISNUMBER(EM150),c_min*(Uн_лин*1000/SQRT(3))/EM150,"")</f>
        <v/>
      </c>
      <c r="EO150" s="6" t="str">
        <f>IFERROR(IF(OR(B150="",NOT(ISNUMBER(DX150))),"",1.05*(Uн_лин*1000/SQRT(3))/(_xlfn.XLOOKUP(A150,Щиты[Щит],Щиты[Zmax на шинах, Ом])+EL150)/1000),"")</f>
        <v/>
      </c>
      <c r="EP150" s="6" t="str">
        <f>IF(B150="","",IF(ISNUMBER(Y150),"Сил",IF(IFERROR(_xlfn.XLOOKUP(AX150,Коды_код,Коды_группа)&amp;"","")="","Быт",_xlfn.XLOOKUP(AX150,Коды_код,Коды_группа)&amp;"")))</f>
        <v>Сил</v>
      </c>
      <c r="EQ150" s="6" t="str">
        <f t="shared" si="301"/>
        <v>Сил</v>
      </c>
      <c r="ER150" s="6">
        <f>IF(EQ150="Щит","щит",IF(EQ150="","",IF(EQ150="Быт",IFERROR(_xlfn.XLOOKUP(A150,Щиты[Щит],Щиты[Кс быт]),1),IF(EQ150="Сил",IF(ISNUMBER(Y150),Y150,IF(Методика="нормы 2026",IFERROR(_xlfn.XLOOKUP(A150,Щиты[Щит],Щиты[Кс силовых (табл. 7.5)]),1),1)),IF(OR(EQ150="Пост",EQ150="Отоп"),1,IF(EQ150="ВНГ",0.7,0))))))</f>
        <v>0.5</v>
      </c>
      <c r="ES150">
        <f t="shared" si="302"/>
        <v>1</v>
      </c>
      <c r="ET150">
        <f t="shared" si="303"/>
        <v>0.27</v>
      </c>
      <c r="EU150">
        <f t="shared" si="304"/>
        <v>0</v>
      </c>
      <c r="EV150">
        <f t="shared" si="305"/>
        <v>0.13500000000000001</v>
      </c>
      <c r="EW150">
        <f t="shared" si="306"/>
        <v>0</v>
      </c>
      <c r="EX150">
        <f t="shared" si="307"/>
        <v>0</v>
      </c>
      <c r="EY150">
        <f t="shared" si="308"/>
        <v>0</v>
      </c>
      <c r="EZ150">
        <f t="shared" si="309"/>
        <v>0.27</v>
      </c>
      <c r="FA150">
        <f t="shared" si="310"/>
        <v>0.21600000000000003</v>
      </c>
      <c r="FB150">
        <f t="shared" si="311"/>
        <v>0.27</v>
      </c>
      <c r="FC150" t="str">
        <f t="shared" si="312"/>
        <v/>
      </c>
      <c r="FD150" t="str">
        <f>IF(B150="","",IF(CA150=0,IF(AW150=1,"",FF149),IF(OR(N(CV150)&gt;=3,N(BR150)&gt;=3),"L1,L2,L3",IFERROR(_xlfn.TEXTBEFORE(_xlfn.TEXTAFTER(_xlfn.XLOOKUP(A150,Щиты[Щит],Щиты[_фазы авто]),";"&amp;AW150&amp;":"),";"),"L1"))))</f>
        <v>L2</v>
      </c>
      <c r="FE150" t="str">
        <f t="shared" si="313"/>
        <v>L2</v>
      </c>
      <c r="FF150" t="str">
        <f t="shared" si="314"/>
        <v>L2</v>
      </c>
      <c r="FG150" cm="1">
        <f t="array" ref="FG150">IFERROR(IF(BX150=2,_xlfn.IFS(BR150=3,VLOOKUP(BN150,Справочная_двигатели,3,FALSE),BR150=1,VLOOKUP(BN150,Справочная_двигатели,5,TRUE)),0),0)</f>
        <v>0</v>
      </c>
      <c r="FH150">
        <f>IFERROR(IF(BX150=3,VLOOKUP(BN150,Справочная_ЛЭД,2,TRUE),0),0)</f>
        <v>0</v>
      </c>
      <c r="FI150" s="6">
        <f t="shared" si="315"/>
        <v>0</v>
      </c>
      <c r="FJ150" t="str" cm="1">
        <f t="array" ref="FJ150">IF(B150="","",IFERROR(INDEX({"I особая","I","II","III"},MATCH(TRIM(AC150&amp;""),{"I особая","I","II","III"},0)),"III"))</f>
        <v>II</v>
      </c>
      <c r="FK150" t="str">
        <f>IF(B150="","",IF(TRIM(AD150&amp;"")&lt;&gt;"",IF(LOWER(TRIM(AD150&amp;""))="да","да","нет"),IF(IFERROR(_xlfn.XLOOKUP(AX150,Коды_код,Коды_пожарная),"")="да","да","нет")))</f>
        <v>нет</v>
      </c>
      <c r="FL150" t="str">
        <f t="shared" si="316"/>
        <v/>
      </c>
      <c r="FM150" t="str">
        <f t="shared" si="317"/>
        <v>основная</v>
      </c>
      <c r="FN150">
        <f t="shared" si="318"/>
        <v>1</v>
      </c>
      <c r="FO150" t="str" cm="1">
        <f t="array" ref="FO150">IF(B150="","",_xlfn.LET(_xlpm.t,IFERROR(_xlfn.XLOOKUP(1,(Шины[Шина]=FM150)*(((Шины[Щит]=A150)+(Шины[Щит]=""))&gt;0),Шины[Тип]),"")&amp;"",IF(_xlpm.t&lt;&gt;"",_xlpm.t,IF(ISNUMBER(SEARCH("ИБП",FM150)),"ИБП",IF(ISNUMBER(SEARCH("ДГУ",FM150)),"ДГУ","Ввод "&amp;FN150)))))</f>
        <v>Ввод 1</v>
      </c>
      <c r="FP150" t="str">
        <f t="shared" si="319"/>
        <v>Ввод 1</v>
      </c>
      <c r="FQ150" t="str">
        <f>IF(B150="","",IF(OR(FO150="ИБП",FO150="ДГУ"),"I особая",IF(FO150="Одиночная","III",_xlfn.XLOOKUP(A150,Щиты[Щит],Щиты[Категория шины «Ввод»],"III"))))</f>
        <v>II</v>
      </c>
      <c r="FR150">
        <f>IF(B150="",0,IFERROR(MATCH(FJ150,{"III","II","I","I особая"},0),1))</f>
        <v>2</v>
      </c>
      <c r="FS150">
        <f t="shared" si="320"/>
        <v>2</v>
      </c>
      <c r="FT150" t="str">
        <f>IF(B150="","",IF(FR150&gt;IFERROR(MATCH(FQ150,{"III","II","I","I особая"},0),1),"НЕ ОБЕСПЕЧЕНА","ОК"))</f>
        <v>ОК</v>
      </c>
      <c r="FU150" t="str">
        <f>IF(A150="","",_xlfn.XLOOKUP(A150,Щиты[Щит],Щиты[Путь],""))</f>
        <v>|ГРЩ-ЖД|ЩОВ-2|</v>
      </c>
      <c r="FV150" t="str">
        <f>IF(B150="","",IF(AE150&lt;&gt;"",AE150,IF(IFERROR(_xlfn.XLOOKUP(AX150,Коды_код,Коды_вид)&amp;"","")="","Прочее",_xlfn.XLOOKUP(AX150,Коды_код,Коды_вид)&amp;"")))</f>
        <v>Вентиляция</v>
      </c>
      <c r="FW150">
        <f>IF(BH150="","",INT((BH150-1)/Столбцов_на_лист)+1)</f>
        <v>3</v>
      </c>
      <c r="FX150" t="str">
        <f t="shared" si="321"/>
        <v>ВВГнг(А)-LS (3х2,5) L=35-0,33%</v>
      </c>
      <c r="FY150">
        <f t="shared" si="322"/>
        <v>0.27</v>
      </c>
      <c r="FZ150">
        <f t="shared" si="323"/>
        <v>1.47</v>
      </c>
      <c r="GA150">
        <f t="shared" si="324"/>
        <v>1</v>
      </c>
      <c r="GB150">
        <f t="shared" si="325"/>
        <v>0</v>
      </c>
      <c r="GC150">
        <f t="shared" si="326"/>
        <v>1</v>
      </c>
      <c r="GD150">
        <f>IF(BH150="","",IF(AND(CA150=1,GC150=1),COUNTIFS(A$3:A150,A150,CA$3:CA150,1,GC$3:GC150,1),IF(OR(OR(AW150=1,A150&lt;&gt;A149),AF150="вручную",GC150=0),"",IF(AW150=1,"",GE149))))</f>
        <v>20</v>
      </c>
      <c r="GE150">
        <f t="shared" si="327"/>
        <v>20</v>
      </c>
      <c r="GF150">
        <f>IF(B150="","",IFERROR(LOOKUP(INDEX(CHOOSE(DL150,Iдоп_1ж,Iдоп_2ж,Iдоп_3ж),MATCH(DX150,Iдоп_S,0))*DJ150*DK150,{6,10,16,20,25,32,40,50,63,80,100,125,160,200,250,315,400,500,630}),""))</f>
        <v>25</v>
      </c>
      <c r="GG150" t="str">
        <f t="shared" si="328"/>
        <v>QF20</v>
      </c>
      <c r="GH150" t="str">
        <f t="shared" si="329"/>
        <v>QF20</v>
      </c>
      <c r="GI150" t="str">
        <f t="shared" si="330"/>
        <v/>
      </c>
      <c r="GJ150">
        <f t="shared" si="331"/>
        <v>0</v>
      </c>
      <c r="GK150" t="str">
        <f>IF(OR(AG150="",AG150="-"),"",IFERROR(VLOOKUP(AG150,Модули_спр,2,FALSE),"R"))</f>
        <v/>
      </c>
      <c r="GL150" t="str">
        <f>IF(GK150="","",GK150&amp;"."&amp;COUNTIFS(A$3:A150,A150,GK$3:GK150,GK150))</f>
        <v/>
      </c>
      <c r="GM150" t="str">
        <f t="shared" si="332"/>
        <v/>
      </c>
      <c r="GN150" t="str">
        <f t="shared" si="333"/>
        <v/>
      </c>
      <c r="GO150" t="str">
        <f t="shared" si="334"/>
        <v/>
      </c>
      <c r="GP150" t="str">
        <f t="shared" si="335"/>
        <v/>
      </c>
      <c r="GQ150">
        <f t="shared" si="336"/>
        <v>1</v>
      </c>
      <c r="GR150" t="str">
        <f>IF(GQ150=1,"XT"&amp;COUNTIFS(A$3:A150,A150,GQ$3:GQ150,1),"")</f>
        <v>XT20</v>
      </c>
      <c r="GS150" t="str">
        <f t="shared" si="337"/>
        <v>XT20</v>
      </c>
      <c r="GT150" t="str">
        <f t="shared" si="338"/>
        <v>QF20</v>
      </c>
      <c r="GU150" t="str">
        <f t="shared" si="339"/>
        <v/>
      </c>
      <c r="GV150" t="str">
        <f t="shared" si="340"/>
        <v>ok</v>
      </c>
      <c r="GW150" t="str">
        <f>IF(OR(GO150="",GM150=""),"",IF(GO150&gt;IFERROR(VLOOKUP(GN150,Модули_спр,3,FALSE),99),"ЛИШНИЙ КАНАЛ",IF(AND(AH150&lt;&gt;"=",COUNTIFS(Линии[_модуль гр.],GM150,Линии[Канал (итог)],GO150,Линии[Канал],"&lt;&gt;=",Линии[Щит],A150)&gt;1),"ДУБЛЬ КАНАЛА","")))</f>
        <v/>
      </c>
      <c r="GX150" s="6" t="str">
        <f t="shared" si="341"/>
        <v/>
      </c>
      <c r="GY150">
        <f t="shared" si="342"/>
        <v>10</v>
      </c>
      <c r="GZ150" t="str">
        <f t="shared" si="343"/>
        <v/>
      </c>
      <c r="HA150" t="str">
        <f>IF(AND(B150="",GT150=""),"",_xlfn.TEXTJOIN("; ",TRUE,IF(AND(B150&lt;&gt;"",FE150=""),"нет фазы",""),IF(AND(B150&lt;&gt;"",N(FY150)=0,EQ150&lt;&gt;"Нет"),"нет мощности",""),IF(AND(GS150&lt;&gt;"",COUNTIFS(Линии[Щит],A150,Линии[Клемма (итог)],GS150)&gt;1),"дубль клеммы "&amp;GS150,""),IF(AND(GV150&lt;&gt;"",GV150&lt;&gt;"ok"),GV150,""),IF(GW150&lt;&gt;"",GW150,""),IF(AND(N(BV150)&gt;=4,N(BR150)=1),BV150&amp;" жил на 1 фазе",""),IF(AND(AX150="R",CA150=1,OR(N(CK150)=0,N(CK150)&gt;30)),"розетка без дифзащиты до 30 мА",""),IFERROR(IF(AND(ISNUMBER(R150),R150&gt;DV150),"потери "&amp;FIXED(R150,1)&amp;" % &gt; "&amp;DV150&amp;" %",""),""),IFERROR(IF(LEFT(GZ150,4)="мало","Iкз мало — отключение &gt; 0,4 с",""),""),IF(AND(B150&lt;&gt;"",BH150=""),"не на схеме",""),IF(AND(CA150=0,B150&lt;&gt;"",FE150&lt;&gt;"",IF(AW150=1,"",FF149)&lt;&gt;"",FE150&lt;&gt;IF(AW150=1,"",FF149)),"фаза не как у автомата группы ("&amp;IF(AW150=1,"",FF149)&amp;")","")))</f>
        <v/>
      </c>
      <c r="HB150" s="6" t="str">
        <f>IF(OR(CA150=0,DA150=""),"",_xlfn.LET(_xlpm.t,IFERROR(_xlfn.XLOOKUP(DA150,Каталог!$U$4:$U$500,Каталог!$G$4:$G$500),""),_xlpm.k,SEARCH("кА",_xlpm.t),IFERROR(--TRIM(RIGHT(SUBSTITUTE(MID(_xlpm.t,MAX(1,_xlpm.k-4),_xlpm.k-MAX(1,_xlpm.k-4))," ",REPT(" ",9)),5)),"")))</f>
        <v/>
      </c>
      <c r="HC150" t="str">
        <f>IF(OR(HB150="",CA150=0),"",IF(_xlfn.XLOOKUP(A150,Щиты[Щит],Щиты[Iкз max на шинах, кА],"")="","",IF(HB150&lt;_xlfn.XLOOKUP(A150,Щиты[Щит],Щиты[Iкз max на шинах, кА]),"Icu "&amp;HB150&amp;" кА &lt; Iкз max","ok")))</f>
        <v/>
      </c>
      <c r="HD150" t="str">
        <f t="shared" si="344"/>
        <v/>
      </c>
      <c r="HE150" t="str">
        <f t="shared" si="345"/>
        <v>QF20|XT20</v>
      </c>
      <c r="HF150" t="str">
        <f t="shared" si="346"/>
        <v>QF20|XT20|кабель ВВГнг(А)-LS (3х2,5) → Приточная установка Технический этаж Пом. №001Т</v>
      </c>
      <c r="HG150" t="str" cm="1">
        <f t="array" ref="HG150">IF(HF150="","",_xlfn.LET(_xlpm.nd,_xlfn.TEXTSPLIT(HF150,"|"),IF(COLUMNS(_xlpm.nd)&gt;1,A150&amp;"¦"&amp;INDEX(_xlpm.nd,1)&amp;"¦"&amp;INDEX(_xlpm.nd,2),"")))</f>
        <v>ЩОВ-2¦QF20¦XT20</v>
      </c>
      <c r="HH150" t="str">
        <f t="shared" si="347"/>
        <v>П.5¦Приточная установка Технический этаж Пом. №001Т</v>
      </c>
      <c r="HI150" t="str" cm="1">
        <f t="array" ref="HI150">IF(HF150="","",_xlfn.LET(_xlpm.nd,_xlfn.TEXTSPLIT(HF150,"|"),IF(COLUMNS(_xlpm.nd)&gt;2,A150&amp;"¦"&amp;INDEX(_xlpm.nd,2)&amp;"¦"&amp;INDEX(_xlpm.nd,3),"")))</f>
        <v>ЩОВ-2¦XT20¦кабель ВВГнг(А)-LS (3х2,5) → Приточная установка Технический этаж Пом. №001Т</v>
      </c>
      <c r="HJ150" t="str">
        <f t="shared" si="348"/>
        <v>П.5¦Приточная установка Технический этаж Пом. №001Т</v>
      </c>
      <c r="HK150" t="str" cm="1">
        <f t="array" ref="HK150">IF(HF150="","",_xlfn.LET(_xlpm.nd,_xlfn.TEXTSPLIT(HF150,"|"),IF(COLUMNS(_xlpm.nd)&gt;3,A150&amp;"¦"&amp;INDEX(_xlpm.nd,3)&amp;"¦"&amp;INDEX(_xlpm.nd,4),"")))</f>
        <v/>
      </c>
      <c r="HL150" t="str">
        <f t="shared" si="349"/>
        <v/>
      </c>
      <c r="HM150" t="str" cm="1">
        <f t="array" ref="HM150">IF(HF150="","",_xlfn.LET(_xlpm.nd,_xlfn.TEXTSPLIT(HF150,"|"),IF(COLUMNS(_xlpm.nd)&gt;4,A150&amp;"¦"&amp;INDEX(_xlpm.nd,4)&amp;"¦"&amp;INDEX(_xlpm.nd,5),"")))</f>
        <v/>
      </c>
      <c r="HN150" t="str">
        <f t="shared" si="350"/>
        <v/>
      </c>
      <c r="HO150" t="str" cm="1">
        <f t="array" ref="HO150">IF(HF150="","",_xlfn.LET(_xlpm.nd,_xlfn.TEXTSPLIT(HF150,"|"),IF(COLUMNS(_xlpm.nd)&gt;5,A150&amp;"¦"&amp;INDEX(_xlpm.nd,5)&amp;"¦"&amp;INDEX(_xlpm.nd,6),"")))</f>
        <v/>
      </c>
      <c r="HP150" t="str">
        <f t="shared" si="351"/>
        <v/>
      </c>
      <c r="HQ150" t="str" cm="1">
        <f t="array" ref="HQ150">IF(HF150="","",_xlfn.LET(_xlpm.nd,_xlfn.TEXTSPLIT(HF150,"|"),IF(COLUMNS(_xlpm.nd)&gt;6,A150&amp;"¦"&amp;INDEX(_xlpm.nd,6)&amp;"¦"&amp;INDEX(_xlpm.nd,7),"")))</f>
        <v/>
      </c>
      <c r="HR150" t="str">
        <f t="shared" si="352"/>
        <v/>
      </c>
      <c r="HS150" t="str">
        <f t="shared" si="353"/>
        <v/>
      </c>
      <c r="HT150" t="str">
        <f t="shared" si="354"/>
        <v>QF20 → XT20</v>
      </c>
      <c r="HU150">
        <f t="shared" si="355"/>
        <v>0</v>
      </c>
      <c r="HV150">
        <f t="shared" si="356"/>
        <v>0</v>
      </c>
      <c r="HW150" t="str">
        <f t="shared" si="357"/>
        <v/>
      </c>
      <c r="HX150" t="str">
        <f t="shared" si="358"/>
        <v/>
      </c>
      <c r="HY150" t="str">
        <f t="shared" si="359"/>
        <v/>
      </c>
      <c r="HZ150" t="str">
        <f t="shared" si="360"/>
        <v/>
      </c>
      <c r="IA150" t="str">
        <f>IF(B150="","",IFERROR(VLOOKUP(B150,УГО_спр,2,FALSE),IFERROR(VLOOKUP(AX150,УГО_спр,2,FALSE),IFERROR(VLOOKUP(LEFT(AX150,2),УГО_спр,2,FALSE),""))))</f>
        <v>Привод (двигатель)</v>
      </c>
      <c r="IB150" t="str">
        <f>IF(B150="","",IF(OR(IA150="",IA150=0),"BOX",IFERROR(IF(VLOOKUP(IA150,УГО_блоки,3,FALSE)&amp;""&lt;&gt;"",VLOOKUP(IA150,УГО_блоки,3,FALSE),VLOOKUP(IA150,УГО_блоки,2,FALSE)),IA150)))</f>
        <v>MOTOR</v>
      </c>
      <c r="IC150">
        <f t="shared" si="361"/>
        <v>1</v>
      </c>
      <c r="ID150" t="str">
        <f>IF(DA150="","",IF(COUNTIF(DA$3:DA150,DA150)=1,MAX(ID$2:ID149)+1,""))</f>
        <v/>
      </c>
      <c r="IE150" t="str">
        <f>IF(CO150="","",IF(COUNTIF(CO$3:CO150,CO150)+COUNTIF(CP$2:CP149,CO150)+COUNTIF(CQ$2:CQ149,CO150)=1,MAX(IE$2:IG149)+1,""))</f>
        <v/>
      </c>
      <c r="IF150" t="str">
        <f>IF(CP150="","",IF(COUNTIF(CO$3:CO150,CP150)+COUNTIF(CP$3:CP150,CP150)+COUNTIF(CQ$2:CQ149,CP150)=1,MAX(IE$2:IG149,IE150)+1,""))</f>
        <v/>
      </c>
      <c r="IG150" t="str">
        <f>IF(CQ150="","",IF(COUNTIF(CO$3:CO150,CQ150)+COUNTIF(CP$3:CP150,CQ150)+COUNTIF(CQ$3:CQ150,CQ150)=1,MAX(IE$2:IG149,IE150,IF150)+1,""))</f>
        <v/>
      </c>
      <c r="IH150" t="str">
        <f t="shared" si="362"/>
        <v>3х2,5</v>
      </c>
      <c r="II150" t="str">
        <f>IF(IH150="","",IF(COUNTIF(IH$3:IH150,IH150)=1,MAX(II$2:II149)+1,""))</f>
        <v/>
      </c>
      <c r="IJ150" t="str">
        <f>IF(GL150="","",COUNTIF(GL$3:GL150,"?*"))</f>
        <v/>
      </c>
      <c r="IK150" t="str">
        <f>IF(OR(GL150="",GN150=""),"",IF(COUNTIFS(GL$3:GL150,"?*",GN$3:GN150,GN150)=1,MAX(IK$2:IK149)+1,""))</f>
        <v/>
      </c>
      <c r="IL150">
        <f t="shared" si="363"/>
        <v>0</v>
      </c>
      <c r="IM150">
        <f>IF(B150="","",COUNTIF(B$3:B150,"?*"))</f>
        <v>148</v>
      </c>
      <c r="IN150">
        <f>IF(GQ150&lt;&gt;1,0,_xlfn.LET(_xlpm.k,MAX(IFERROR(--VLOOKUP(B150,УГО_спр,5,FALSE),0),IFERROR(--VLOOKUP(AX150,УГО_спр,5,FALSE),0),IFERROR(--VLOOKUP(LEFT(AX150,2),УГО_спр,5,FALSE),0)),IF(_xlpm.k&gt;0,_xlpm.k,IF(IFERROR(--LEFT(SUBSTITUTE(IH150,"x","х"),FIND("х",SUBSTITUTE(IH150,"x","х"))-1),3)&gt;3,Каталог!$S$9,1))))</f>
        <v>1</v>
      </c>
      <c r="IO150">
        <f t="shared" si="364"/>
        <v>0</v>
      </c>
      <c r="IP150" t="str">
        <f t="shared" si="365"/>
        <v>авто</v>
      </c>
      <c r="IQ150" t="str">
        <f t="shared" si="366"/>
        <v/>
      </c>
      <c r="IR150">
        <f t="shared" si="367"/>
        <v>0</v>
      </c>
      <c r="IS150">
        <f t="shared" si="368"/>
        <v>1</v>
      </c>
    </row>
    <row r="151" spans="1:253" x14ac:dyDescent="0.3">
      <c r="A151" t="s">
        <v>753</v>
      </c>
      <c r="B151" t="s">
        <v>1419</v>
      </c>
      <c r="C151" t="s">
        <v>1650</v>
      </c>
      <c r="D151">
        <v>1</v>
      </c>
      <c r="E151">
        <v>3.8</v>
      </c>
      <c r="G151" t="str">
        <f>Линии[[#This Row],[_авто автомат]]</f>
        <v>1P С25А</v>
      </c>
      <c r="H151" t="str">
        <f>Линии[[#This Row],[_авто утечка]]</f>
        <v/>
      </c>
      <c r="I151" t="str">
        <f>Линии[[#This Row],[_авто управление]]</f>
        <v/>
      </c>
      <c r="J151" t="str">
        <f>Линии[[#This Row],[_авто аппараты]]</f>
        <v/>
      </c>
      <c r="K151">
        <v>4</v>
      </c>
      <c r="L151">
        <v>30</v>
      </c>
      <c r="M151" t="str">
        <f>Линии[[#This Row],[_авто фаза]]</f>
        <v>L3</v>
      </c>
      <c r="N151" t="str">
        <f>Линии[[#This Row],[_авто клемма]]</f>
        <v>XT21</v>
      </c>
      <c r="O151" t="str">
        <f t="shared" si="246"/>
        <v/>
      </c>
      <c r="P151" s="6" cm="1">
        <f t="array" ref="P151">IF(B151="","",IF(BC151&lt;&gt;"",IFERROR(_xlfn.XLOOKUP(BC151,Щиты[Щит],Щиты[Iр, А]),""),IF(BK151=1,IFERROR(_xlfn.XLOOKUP(A151,Щиты[Щит],Щиты[Iр, А]),""),IFERROR(_xlfn.IFS(BR151=1,BN151/((Uн_лин/SQRT(3))*BY151),BR151=3,BN151/(SQRT(3)*Uн_лин*BY151)),""))))</f>
        <v>20.568103339880413</v>
      </c>
      <c r="Q151" s="7">
        <f>IF(B151="","",IFERROR(IF(VLOOKUP(AX151,Потребители_обозначение,4,FALSE)=1,VLOOKUP(AX151,Потребители_обозначение,3,FALSE)*(D151*2-1)+DS151+VLOOKUP(AZ151,Этаж_обозначение,3,FALSE)+VLOOKUP(AZ151,Этаж_обозначение,4,FALSE),VLOOKUP(AX151,Потребители_обозначение,3,FALSE)*(D151*2-1)+DS151),DS151))</f>
        <v>34</v>
      </c>
      <c r="R151" s="6">
        <f t="shared" si="247"/>
        <v>3.8999999999999995</v>
      </c>
      <c r="S151" t="str">
        <f t="shared" si="248"/>
        <v>ВВГнг(А)-LS (3х4)</v>
      </c>
      <c r="T151" t="str">
        <f>IF(BH151="","",IF(BI151="вводной узел","узел ","")&amp;"л."&amp;(INT((BH151-1)/Столбцов_на_лист)+1)&amp;" / "&amp;(MOD(BH151-1,Столбцов_на_лист)+1))</f>
        <v>л.3 / 8</v>
      </c>
      <c r="V151">
        <v>1</v>
      </c>
      <c r="W151">
        <v>230</v>
      </c>
      <c r="X151" t="s">
        <v>600</v>
      </c>
      <c r="Y151">
        <v>0.5</v>
      </c>
      <c r="AC151" t="s">
        <v>815</v>
      </c>
      <c r="AE151" t="s">
        <v>582</v>
      </c>
      <c r="AI151">
        <v>42</v>
      </c>
      <c r="AJ151" t="s">
        <v>11</v>
      </c>
      <c r="AK151">
        <v>3</v>
      </c>
      <c r="AM151">
        <v>4</v>
      </c>
      <c r="AN151">
        <v>30</v>
      </c>
      <c r="AP151">
        <v>1</v>
      </c>
      <c r="AW151" cm="1">
        <f t="array" ref="AW151">ROW()-ROW(Линии[#Headers])</f>
        <v>149</v>
      </c>
      <c r="AX151" s="6" t="str">
        <f t="shared" si="249"/>
        <v>ПВ</v>
      </c>
      <c r="AY151" t="str">
        <f t="shared" si="250"/>
        <v>5</v>
      </c>
      <c r="AZ151" t="str">
        <f t="shared" si="251"/>
        <v>5</v>
      </c>
      <c r="BA151" t="str">
        <f t="shared" si="252"/>
        <v/>
      </c>
      <c r="BB151" t="str">
        <f t="shared" si="253"/>
        <v/>
      </c>
      <c r="BC151" t="str">
        <f>IF(U151&lt;&gt;"",U151,IF(AND(B151&lt;&gt;"",B151&lt;&gt;A151,ISNUMBER(_xlfn.XMATCH(B151,Щиты[Щит]))),B151,""))</f>
        <v/>
      </c>
      <c r="BD151" t="str" cm="1">
        <f t="array" ref="BD151">IF(B151="","",IF(BC151&lt;&gt;"","Щит "&amp;BC151,_xlfn.LET(_xlpm.nm,IFERROR(_xlfn.XLOOKUP(AX151,Коды_код,Коды_имя)&amp;"",""),_xlpm.md,IFERROR(N(_xlfn.XLOOKUP(AX151,Коды_код,Коды_режим)),1),_xlpm.ex,IF(Имя_режим="по экспликации",IFERROR(_xlfn.XLOOKUP(AZ151&amp;"|"&amp;BB151,Экспликация[Этаж]&amp;"|"&amp;Экспликация[Помещение],Экспликация[Название])&amp;"",""),""),_xlpm.rm,IF(BB151="","",IF(_xlpm.ex&lt;&gt;"",". "&amp;_xlpm.ex&amp;IF(Имя_пом="нет"," ("&amp;BB151&amp;")"," (пом. "&amp;BB151&amp;")"),IF(Имя_пом="нет"," ",", пом. ")&amp;BB151)),IF(_xlpm.nm="","",IF(_xlpm.md=2,_xlpm.nm&amp;" шлейф "&amp;AZ151,_xlpm.nm&amp;_xlpm.rm)))))</f>
        <v>Приточно-вытяжная установка шлейф 5</v>
      </c>
      <c r="BE151" t="str">
        <f t="shared" si="254"/>
        <v>Приточно-вытяжная установка Технический этаж Пом. №001Т</v>
      </c>
      <c r="BF151">
        <f>IFERROR(_xlfn.XMATCH(A151,Щиты[Щит]),0)</f>
        <v>7</v>
      </c>
      <c r="BG151">
        <f>_xlfn.LET(_xlpm.k,IFERROR(_xlfn.XLOOKUP(A151,Щиты[Щит],Щиты[Листов под вводной узел]),""),IF(_xlpm.k="",1,N(_xlpm.k))*Столбцов_на_лист)</f>
        <v>17</v>
      </c>
      <c r="BH151">
        <f t="shared" si="255"/>
        <v>42</v>
      </c>
      <c r="BI151" t="str">
        <f t="shared" si="256"/>
        <v>линии</v>
      </c>
      <c r="BJ151" s="6">
        <f>IFERROR(N(_xlfn.XLOOKUP(AX151,Коды_код,Коды_квт)),0)</f>
        <v>0</v>
      </c>
      <c r="BK151">
        <f t="shared" si="257"/>
        <v>0</v>
      </c>
      <c r="BL151" t="str">
        <f>IF(B151="","",IF(BC151&lt;&gt;"",IFERROR(_xlfn.XLOOKUP(BC151,Щиты[Щит],Щиты[Руст, кВт]),0),IF(BK151=1,IFERROR(_xlfn.XLOOKUP(A151,Щиты[Щит],Щиты[Руст, кВт]),0),IF(BJ151&gt;0,ROUND(BJ151*MAX(1,N(D151)),3),""))))</f>
        <v/>
      </c>
      <c r="BM151">
        <f t="shared" si="258"/>
        <v>3.8</v>
      </c>
      <c r="BN151" s="6">
        <f>IF(B151="","",IF(BC151&lt;&gt;"",IFERROR(_xlfn.XLOOKUP(BC151,Щиты[Щит],Щиты[Руст, кВт]),0),N(BM151)))</f>
        <v>3.8</v>
      </c>
      <c r="BO151" t="str">
        <f>IF(B151="","",IFERROR(IF(VLOOKUP(AX151,Потребители_обозначение,8,FALSE)=0,"",VLOOKUP(AX151,Потребители_обозначение,8,FALSE)),""))</f>
        <v/>
      </c>
      <c r="BP151">
        <f t="shared" si="259"/>
        <v>230</v>
      </c>
      <c r="BQ151">
        <f>IF(B151="","",IF(BC151&lt;&gt;"",3,IFERROR(IF(N(VLOOKUP(AX151,Потребители_обозначение,9,FALSE))=0,1,VLOOKUP(AX151,Потребители_обозначение,9,FALSE)),1)))</f>
        <v>1</v>
      </c>
      <c r="BR151">
        <f t="shared" si="260"/>
        <v>1</v>
      </c>
      <c r="BS151" t="str">
        <f>IF(B151="","",_xlfn.LET(_xlpm.bc,IFERROR(IF(VLOOKUP(AX151,Потребители_обозначение,6,FALSE)=0,"",VLOOKUP(AX151,Потребители_обозначение,6,FALSE)&amp;""),""),IF(AND(FK151="да",OR(_xlpm.bc="",_xlpm.bc="мс")),Марка_пож,IF(AND(_xlpm.bc="",BC151&lt;&gt;""),"мс",_xlpm.bc))))</f>
        <v/>
      </c>
      <c r="BT151" t="str">
        <f t="shared" si="261"/>
        <v>мс</v>
      </c>
      <c r="BU151">
        <f>IF(B151="","",_xlfn.LET(_xlpm.cc,IFERROR(N(VLOOKUP(AX151,Потребители_обозначение,7,FALSE)),0),IF(_xlpm.cc&gt;0,_xlpm.cc,IF(BT151="","",IF(N(BR151)=3,5,3)))))</f>
        <v>3</v>
      </c>
      <c r="BV151">
        <f t="shared" si="262"/>
        <v>3</v>
      </c>
      <c r="BW151">
        <f>IFERROR(N(VLOOKUP(AX151,Потребители_обозначение,10,FALSE)),0)</f>
        <v>0</v>
      </c>
      <c r="BX151">
        <f>IFERROR(VLOOKUP(AX151,Потребители_обозначение,5,FALSE),0)</f>
        <v>1</v>
      </c>
      <c r="BY151" s="6" cm="1">
        <f t="array" ref="BY151">IF(B151="","",IF(BC151&lt;&gt;"",IFERROR(_xlfn.XLOOKUP(BC151,Щиты[Щит],Щиты[cos φ]),0.95),IF(BK151=1,IFERROR(_xlfn.XLOOKUP(A151,Щиты[Щит],Щиты[cos φ]),0.95),IF(ISNUMBER(Z151),Z151,IFERROR(IF(BX151=2,_xlfn.IFS(BR151=3,VLOOKUP(BN151,Справочная_двигатели,8,FALSE),BR151=1,VLOOKUP(BN151,Справочная_двигатели,10,TRUE)),IF(AND(Методика="нормы 2026",EQ151="Сил"),0.8,0.95)),0.95)))))</f>
        <v>0.8</v>
      </c>
      <c r="BZ151">
        <f t="shared" si="263"/>
        <v>0</v>
      </c>
      <c r="CA151">
        <f t="shared" si="264"/>
        <v>1</v>
      </c>
      <c r="CB151">
        <f t="shared" si="265"/>
        <v>0</v>
      </c>
      <c r="CC151">
        <f t="shared" si="266"/>
        <v>0</v>
      </c>
      <c r="CD151">
        <f t="shared" si="267"/>
        <v>0</v>
      </c>
      <c r="CE151">
        <f t="shared" si="268"/>
        <v>0</v>
      </c>
      <c r="CF151">
        <f t="shared" si="269"/>
        <v>0</v>
      </c>
      <c r="CG151">
        <f>IF(AX151="",0,_xlfn.LET(_xlpm.v,IFERROR(VLOOKUP(B151,УГО_спр,3,FALSE),IFERROR(VLOOKUP(AX151,УГО_спр,3,FALSE),IFERROR(VLOOKUP(LEFT(AX151,2),УГО_спр,3,FALSE),""))),IF(_xlpm.v="да",30,IF(ISNUMBER(_xlpm.v),_xlpm.v,0))))</f>
        <v>0</v>
      </c>
      <c r="CH151" t="str">
        <f t="shared" si="270"/>
        <v/>
      </c>
      <c r="CI151" t="str">
        <f>_xlfn.LET(_xlpm.k,IFERROR(_xlfn.XLOOKUP(AX151,Коды_код,Коды_утечка)&amp;"",""),IF(_xlpm.k="","дифавтомат",_xlpm.k))</f>
        <v>дифавтомат</v>
      </c>
      <c r="CJ151">
        <f t="shared" si="271"/>
        <v>0</v>
      </c>
      <c r="CK151">
        <f t="shared" si="272"/>
        <v>0</v>
      </c>
      <c r="CL151">
        <f>IF(B151="",0,IFERROR(--VLOOKUP(B151,УГО_спр,4,FALSE),IFERROR(--VLOOKUP(AX151,УГО_спр,4,FALSE),IFERROR(--VLOOKUP(LEFT(AX151,2),УГО_спр,4,FALSE),0))))</f>
        <v>0</v>
      </c>
      <c r="CM151" t="str">
        <f>IF(B151="","",IFERROR(_xlfn.XLOOKUP(AX151,Коды_код,Коды_апп)&amp;"",""))</f>
        <v/>
      </c>
      <c r="CN151" t="str">
        <f t="shared" si="273"/>
        <v/>
      </c>
      <c r="CO151" t="str" cm="1">
        <f t="array" ref="CO151">IF(TRIM(CN151&amp;"")="","",IFERROR(TRIM(INDEX(_xlfn.TEXTSPLIT(CN151&amp;";;;",";"),1)),""))</f>
        <v/>
      </c>
      <c r="CP151" t="str" cm="1">
        <f t="array" ref="CP151">IF(TRIM(CN151&amp;"")="","",IFERROR(TRIM(INDEX(_xlfn.TEXTSPLIT(CN151&amp;";;;",";"),2)),""))</f>
        <v/>
      </c>
      <c r="CQ151" t="str" cm="1">
        <f t="array" ref="CQ151">IF(TRIM(CN151&amp;"")="","",IFERROR(TRIM(INDEX(_xlfn.TEXTSPLIT(CN151&amp;";;;",";"),3)),""))</f>
        <v/>
      </c>
      <c r="CR151">
        <f t="shared" si="274"/>
        <v>0</v>
      </c>
      <c r="CS151" t="str">
        <f>IF(B151="","",_xlfn.LET(_xlpm.t,LOWER(AV151&amp;""),IF(ISNUMBER(SEARCH("dim",_xlpm.t)),"DIM",IF(ISNUMBER(SEARCH("dali",_xlpm.t)),"DALI",IF(OR(ISNUMBER(SEARCH("relay",_xlpm.t)),ISNUMBER(SEARCH("реле",_xlpm.t))),"Relay",IF(ISNUMBER(SEARCH("кнопк",_xlpm.t)),"",IFERROR(_xlfn.XLOOKUP(AX151,Коды_код,Коды_упр)&amp;"","")))))))</f>
        <v/>
      </c>
      <c r="CT151" t="str">
        <f t="shared" si="275"/>
        <v/>
      </c>
      <c r="CU151">
        <f>IF(B151="","",_xlfn.LET(_xlpm.ig,N(P151)+IF(AF151="вручную",0,N(CB151)),_xlpm.n0,IFERROR(VLOOKUP(_xlpm.ig,Автомат_номиналы,2,TRUE),0),_xlpm.mn,MAX(CL151,IF(AF151="вручную",0,N(CE151))),MAX(_xlpm.n0,_xlpm.mn,IF(CR151=1,Мин_автомат_БП,0))))</f>
        <v>25</v>
      </c>
      <c r="CV151">
        <f t="shared" si="276"/>
        <v>1</v>
      </c>
      <c r="CW151" t="str">
        <f t="shared" si="277"/>
        <v>1P</v>
      </c>
      <c r="CX151" t="str">
        <f>_xlfn.LET(_xlpm.cc,UPPER(TRIM(IFERROR(_xlfn.XLOOKUP(AX151,Коды_код,Коды_хар)&amp;"",""))),IF(OR(_xlpm.cc="B",_xlpm.cc="В"),"B",IF(_xlpm.cc="D","D","С")))</f>
        <v>С</v>
      </c>
      <c r="CY151" t="str">
        <f t="shared" si="278"/>
        <v>1P С25А</v>
      </c>
      <c r="CZ151" t="str">
        <f t="shared" si="279"/>
        <v>1P С25А</v>
      </c>
      <c r="DA151" t="str">
        <f t="shared" si="280"/>
        <v>1P С25А</v>
      </c>
      <c r="DB151" cm="1">
        <f t="array" ref="DB151">IF(DA151="","",_xlfn.LET(_xlpm.t,SUBSTITUTE(SUBSTITUTE(SUBSTITUTE(UPPER(DA151),"С","C"),"А","A"),"В","B"),_xlpm.tk,_xlfn.TEXTSPLIT(_xlpm.t,"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151" t="str">
        <f t="shared" si="281"/>
        <v>ok</v>
      </c>
      <c r="DD151">
        <f t="shared" si="282"/>
        <v>25</v>
      </c>
      <c r="DE151" t="str">
        <f t="shared" si="283"/>
        <v>1P С25А</v>
      </c>
      <c r="DF151">
        <f t="shared" si="284"/>
        <v>0</v>
      </c>
      <c r="DG151">
        <f t="shared" si="285"/>
        <v>0</v>
      </c>
      <c r="DH151">
        <f t="shared" si="286"/>
        <v>0</v>
      </c>
      <c r="DI151">
        <f t="shared" si="287"/>
        <v>20.568103339880413</v>
      </c>
      <c r="DJ151">
        <f t="shared" si="288"/>
        <v>1</v>
      </c>
      <c r="DK151">
        <f>IF(ISNUMBER(AL151),AL151,К_прокл)</f>
        <v>1</v>
      </c>
      <c r="DL151">
        <f t="shared" si="289"/>
        <v>2</v>
      </c>
      <c r="DM151">
        <f>IFERROR(N(VLOOKUP(BT151,Кабель_обозначение,3,FALSE)),1)</f>
        <v>1</v>
      </c>
      <c r="DN151">
        <f>IFERROR(N(_xlfn.XLOOKUP(A151,Щиты[Щит],Щиты[ΔU до шин, %])),0)</f>
        <v>1.1399999999999999</v>
      </c>
      <c r="DO151" t="str">
        <f>IFERROR(_xlfn.XLOOKUP(A151,Щиты[Щит],Щиты[Zпетли на шинах, Ом]),"")</f>
        <v/>
      </c>
      <c r="DP151">
        <f>IFERROR(N(_xlfn.XLOOKUP(A151,Щиты[Щит],Щиты[ΔU до шин (подбор), %])),0)</f>
        <v>1.82</v>
      </c>
      <c r="DQ151" t="str">
        <f>IFERROR(_xlfn.XLOOKUP(A151,Щиты[Щит],Щиты[Zпетли на шинах (подбор), Ом]),"")</f>
        <v/>
      </c>
      <c r="DR151" t="str">
        <f t="shared" si="290"/>
        <v/>
      </c>
      <c r="DS151">
        <f t="shared" si="291"/>
        <v>30</v>
      </c>
      <c r="DT151">
        <f t="shared" si="292"/>
        <v>2</v>
      </c>
      <c r="DU151">
        <f t="shared" si="293"/>
        <v>0.6</v>
      </c>
      <c r="DV151" s="6">
        <f>IF(B151="","",IF(IFERROR(VLOOKUP(AX151,УГО_спр,2,FALSE),"")="Светильник",3,4)+IF(Методика="нормы 2026",MIN(0.5,MAX(0,N(Q151)-100)*0.005),0))</f>
        <v>4</v>
      </c>
      <c r="DW151" cm="1">
        <f t="array" ref="DW151">IF(OR(B151="",BT151="",DM151&lt;&gt;1),"",_xlfn.LET(_xlpm.sz,Iдоп_S,_xlpm.t_,CHOOSE(DL151,Iдоп_1ж,Iдоп_2ж,Iдоп_3ж)*DJ151*DK151,_xlpm.inn,N(DD151),_xlpm.smin,MAX(1.5,BW151),_xlpm.L_,N(Q151)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151)*(_xlpm.rho*_xlpm.L_/_xlpm.sz*N(BY151)+_xlpm.xx*_xlpm.L_*N(DU151)/1000)*N(P151)/((Uн_лин/SQRT(3))*1000)*100,999),_xlpm.kz,IF(OR(DG151=1,NOT(ISNUMBER(DQ151)),_xlpm.L_=0,_xlpm.inn=0),1,IFERROR(--(c_min*(Uн_лин*1000/SQRT(3))/(DQ151+2*ρкз_Cu*_xlpm.L_/_xlpm.sz)&gt;=GY151*_xlpm.inn),0)),_xlpm.ok,IFERROR((_xlpm.sz&gt;=_xlpm.smin)*(_xlpm.t_&gt;=_xlpm.inn)*IF(_xlpm.L_&gt;0,(_xlpm.du_+DP151&lt;=DV151+0.00001),1)*_xlpm.kz,0),_xlpm.r_,_xlfn._xlws.FILTER(_xlpm.sz,_xlpm.ok,"не подобрано"),INDEX(_xlpm.r_,1)))</f>
        <v>6</v>
      </c>
      <c r="DX151">
        <f t="shared" si="294"/>
        <v>4</v>
      </c>
      <c r="DY151" cm="1">
        <f t="array" ref="DY151">IF(OR(B151="",BT151="",DM151&lt;&gt;1),"",_xlfn.LET(_xlpm.sz,Iдоп_S,_xlpm.t_,CHOOSE(DL151,Iдоп_1ж,Iдоп_2ж,Iдоп_3ж)*DJ151*DK151,_xlpm.ok,IFERROR((_xlpm.sz&gt;=MAX(1.5,BW151))*(_xlpm.t_&gt;=N(DD151)),0),_xlpm.r_,_xlfn._xlws.FILTER(_xlpm.sz,_xlpm.ok,""),INDEX(_xlpm.r_,1)))</f>
        <v>2.5</v>
      </c>
      <c r="DZ151" s="6" cm="1">
        <f t="array" ref="DZ151">IFERROR(ROUNDUP(N(DT151)*(_xlfn.XLOOKUP(DY151,INDEX(Кабель_сопротивление,0,1),INDEX(Кабель_сопротивление,0,3))*N(Q151)/DY151*N(BY151)+_xlfn.XLOOKUP(DY151,INDEX(Кабель_сопротивление,0,1),INDEX(Кабель_сопротивление,0,2))*N(Q151)*N(DU151)/1000)*N(P151)/((Uн_лин/SQRT(3))*1000)*100,2),"")</f>
        <v>4.3999999999999995</v>
      </c>
      <c r="EA151">
        <f>IFERROR(2*ρкз_Cu*N(Q151)/DY151,"")</f>
        <v>0.71536</v>
      </c>
      <c r="EB151">
        <f>IFERROR(VLOOKUP(DX151,Кабель_сопротивление,3,FALSE),"")</f>
        <v>2.2499999999999999E-2</v>
      </c>
      <c r="EC151">
        <f>IFERROR(VLOOKUP(DX151,Кабель_сопротивление,2,FALSE),"")</f>
        <v>9.5000000000000001E-2</v>
      </c>
      <c r="ED151">
        <f t="shared" si="295"/>
        <v>30</v>
      </c>
      <c r="EE151">
        <f t="shared" si="296"/>
        <v>0</v>
      </c>
      <c r="EF151">
        <f t="shared" si="297"/>
        <v>6.3735615905487837</v>
      </c>
      <c r="EG151" s="6">
        <f>IFERROR(ROUNDUP(EF151/((Uн_лин/SQRT(3))*1000)*100,2),"")</f>
        <v>2.76</v>
      </c>
      <c r="EH151" t="str">
        <f>IFERROR(VLOOKUP(BT151,Кабель_обозначение,2,FALSE),"")</f>
        <v>ВВГнг(А)-LS</v>
      </c>
      <c r="EI151" t="str">
        <f t="shared" si="298"/>
        <v>ВВГнг(А)-LS (3х4)</v>
      </c>
      <c r="EJ151" t="str">
        <f t="shared" si="299"/>
        <v>ВВГнг(А)-LS (3х4)
L=34-2,76%</v>
      </c>
      <c r="EK151">
        <f>IFERROR(2*ρкз_Cu*Q151/DX151,"")</f>
        <v>0.4471</v>
      </c>
      <c r="EL151">
        <f t="shared" si="300"/>
        <v>0.14875000000000002</v>
      </c>
      <c r="EM151" s="6" t="str">
        <f>IFERROR(IF(OR(B151="",NOT(ISNUMBER(DX151)),N(Q151)=0),"",_xlfn.XLOOKUP(A151,Щиты[Щит],Щиты[Zпетли на шинах, Ом])+EK151),"")</f>
        <v/>
      </c>
      <c r="EN151" s="6" t="str">
        <f>IF(ISNUMBER(EM151),c_min*(Uн_лин*1000/SQRT(3))/EM151,"")</f>
        <v/>
      </c>
      <c r="EO151" s="6" t="str">
        <f>IFERROR(IF(OR(B151="",NOT(ISNUMBER(DX151))),"",1.05*(Uн_лин*1000/SQRT(3))/(_xlfn.XLOOKUP(A151,Щиты[Щит],Щиты[Zmax на шинах, Ом])+EL151)/1000),"")</f>
        <v/>
      </c>
      <c r="EP151" s="6" t="str">
        <f>IF(B151="","",IF(ISNUMBER(Y151),"Сил",IF(IFERROR(_xlfn.XLOOKUP(AX151,Коды_код,Коды_группа)&amp;"","")="","Быт",_xlfn.XLOOKUP(AX151,Коды_код,Коды_группа)&amp;"")))</f>
        <v>Сил</v>
      </c>
      <c r="EQ151" s="6" t="str">
        <f t="shared" si="301"/>
        <v>Сил</v>
      </c>
      <c r="ER151" s="6">
        <f>IF(EQ151="Щит","щит",IF(EQ151="","",IF(EQ151="Быт",IFERROR(_xlfn.XLOOKUP(A151,Щиты[Щит],Щиты[Кс быт]),1),IF(EQ151="Сил",IF(ISNUMBER(Y151),Y151,IF(Методика="нормы 2026",IFERROR(_xlfn.XLOOKUP(A151,Щиты[Щит],Щиты[Кс силовых (табл. 7.5)]),1),1)),IF(OR(EQ151="Пост",EQ151="Отоп"),1,IF(EQ151="ВНГ",0.7,0))))))</f>
        <v>0.5</v>
      </c>
      <c r="ES151">
        <f t="shared" si="302"/>
        <v>1</v>
      </c>
      <c r="ET151">
        <f t="shared" si="303"/>
        <v>3.8</v>
      </c>
      <c r="EU151">
        <f t="shared" si="304"/>
        <v>0</v>
      </c>
      <c r="EV151">
        <f t="shared" si="305"/>
        <v>1.9</v>
      </c>
      <c r="EW151">
        <f t="shared" si="306"/>
        <v>0</v>
      </c>
      <c r="EX151">
        <f t="shared" si="307"/>
        <v>0</v>
      </c>
      <c r="EY151">
        <f t="shared" si="308"/>
        <v>0</v>
      </c>
      <c r="EZ151">
        <f t="shared" si="309"/>
        <v>3.8</v>
      </c>
      <c r="FA151">
        <f t="shared" si="310"/>
        <v>3.04</v>
      </c>
      <c r="FB151">
        <f t="shared" si="311"/>
        <v>3.8</v>
      </c>
      <c r="FC151" t="str">
        <f t="shared" si="312"/>
        <v/>
      </c>
      <c r="FD151" t="str">
        <f>IF(B151="","",IF(CA151=0,IF(AW151=1,"",FF150),IF(OR(N(CV151)&gt;=3,N(BR151)&gt;=3),"L1,L2,L3",IFERROR(_xlfn.TEXTBEFORE(_xlfn.TEXTAFTER(_xlfn.XLOOKUP(A151,Щиты[Щит],Щиты[_фазы авто]),";"&amp;AW151&amp;":"),";"),"L1"))))</f>
        <v>L3</v>
      </c>
      <c r="FE151" t="str">
        <f t="shared" si="313"/>
        <v>L3</v>
      </c>
      <c r="FF151" t="str">
        <f t="shared" si="314"/>
        <v>L3</v>
      </c>
      <c r="FG151" cm="1">
        <f t="array" ref="FG151">IFERROR(IF(BX151=2,_xlfn.IFS(BR151=3,VLOOKUP(BN151,Справочная_двигатели,3,FALSE),BR151=1,VLOOKUP(BN151,Справочная_двигатели,5,TRUE)),0),0)</f>
        <v>0</v>
      </c>
      <c r="FH151">
        <f>IFERROR(IF(BX151=3,VLOOKUP(BN151,Справочная_ЛЭД,2,TRUE),0),0)</f>
        <v>0</v>
      </c>
      <c r="FI151" s="6">
        <f t="shared" si="315"/>
        <v>0</v>
      </c>
      <c r="FJ151" t="str" cm="1">
        <f t="array" ref="FJ151">IF(B151="","",IFERROR(INDEX({"I особая","I","II","III"},MATCH(TRIM(AC151&amp;""),{"I особая","I","II","III"},0)),"III"))</f>
        <v>II</v>
      </c>
      <c r="FK151" t="str">
        <f>IF(B151="","",IF(TRIM(AD151&amp;"")&lt;&gt;"",IF(LOWER(TRIM(AD151&amp;""))="да","да","нет"),IF(IFERROR(_xlfn.XLOOKUP(AX151,Коды_код,Коды_пожарная),"")="да","да","нет")))</f>
        <v>нет</v>
      </c>
      <c r="FL151" t="str">
        <f t="shared" si="316"/>
        <v/>
      </c>
      <c r="FM151" t="str">
        <f t="shared" si="317"/>
        <v>основная</v>
      </c>
      <c r="FN151">
        <f t="shared" si="318"/>
        <v>1</v>
      </c>
      <c r="FO151" t="str" cm="1">
        <f t="array" ref="FO151">IF(B151="","",_xlfn.LET(_xlpm.t,IFERROR(_xlfn.XLOOKUP(1,(Шины[Шина]=FM151)*(((Шины[Щит]=A151)+(Шины[Щит]=""))&gt;0),Шины[Тип]),"")&amp;"",IF(_xlpm.t&lt;&gt;"",_xlpm.t,IF(ISNUMBER(SEARCH("ИБП",FM151)),"ИБП",IF(ISNUMBER(SEARCH("ДГУ",FM151)),"ДГУ","Ввод "&amp;FN151)))))</f>
        <v>Ввод 1</v>
      </c>
      <c r="FP151" t="str">
        <f t="shared" si="319"/>
        <v>Ввод 1</v>
      </c>
      <c r="FQ151" t="str">
        <f>IF(B151="","",IF(OR(FO151="ИБП",FO151="ДГУ"),"I особая",IF(FO151="Одиночная","III",_xlfn.XLOOKUP(A151,Щиты[Щит],Щиты[Категория шины «Ввод»],"III"))))</f>
        <v>II</v>
      </c>
      <c r="FR151">
        <f>IF(B151="",0,IFERROR(MATCH(FJ151,{"III","II","I","I особая"},0),1))</f>
        <v>2</v>
      </c>
      <c r="FS151">
        <f t="shared" si="320"/>
        <v>2</v>
      </c>
      <c r="FT151" t="str">
        <f>IF(B151="","",IF(FR151&gt;IFERROR(MATCH(FQ151,{"III","II","I","I особая"},0),1),"НЕ ОБЕСПЕЧЕНА","ОК"))</f>
        <v>ОК</v>
      </c>
      <c r="FU151" t="str">
        <f>IF(A151="","",_xlfn.XLOOKUP(A151,Щиты[Щит],Щиты[Путь],""))</f>
        <v>|ГРЩ-ЖД|ЩОВ-2|</v>
      </c>
      <c r="FV151" t="str">
        <f>IF(B151="","",IF(AE151&lt;&gt;"",AE151,IF(IFERROR(_xlfn.XLOOKUP(AX151,Коды_код,Коды_вид)&amp;"","")="","Прочее",_xlfn.XLOOKUP(AX151,Коды_код,Коды_вид)&amp;"")))</f>
        <v>Вентиляция</v>
      </c>
      <c r="FW151">
        <f>IF(BH151="","",INT((BH151-1)/Столбцов_на_лист)+1)</f>
        <v>3</v>
      </c>
      <c r="FX151" t="str">
        <f t="shared" si="321"/>
        <v>ВВГнг(А)-LS (3х4) L=34-2,76%</v>
      </c>
      <c r="FY151">
        <f t="shared" si="322"/>
        <v>3.8</v>
      </c>
      <c r="FZ151">
        <f t="shared" si="323"/>
        <v>20.57</v>
      </c>
      <c r="GA151">
        <f t="shared" si="324"/>
        <v>1</v>
      </c>
      <c r="GB151">
        <f t="shared" si="325"/>
        <v>0</v>
      </c>
      <c r="GC151">
        <f t="shared" si="326"/>
        <v>1</v>
      </c>
      <c r="GD151">
        <f>IF(BH151="","",IF(AND(CA151=1,GC151=1),COUNTIFS(A$3:A151,A151,CA$3:CA151,1,GC$3:GC151,1),IF(OR(OR(AW151=1,A151&lt;&gt;A150),AF151="вручную",GC151=0),"",IF(AW151=1,"",GE150))))</f>
        <v>21</v>
      </c>
      <c r="GE151">
        <f t="shared" si="327"/>
        <v>21</v>
      </c>
      <c r="GF151">
        <f>IF(B151="","",IFERROR(LOOKUP(INDEX(CHOOSE(DL151,Iдоп_1ж,Iдоп_2ж,Iдоп_3ж),MATCH(DX151,Iдоп_S,0))*DJ151*DK151,{6,10,16,20,25,32,40,50,63,80,100,125,160,200,250,315,400,500,630}),""))</f>
        <v>32</v>
      </c>
      <c r="GG151" t="str">
        <f t="shared" si="328"/>
        <v>QF21</v>
      </c>
      <c r="GH151" t="str">
        <f t="shared" si="329"/>
        <v>QF21</v>
      </c>
      <c r="GI151" t="str">
        <f t="shared" si="330"/>
        <v/>
      </c>
      <c r="GJ151">
        <f t="shared" si="331"/>
        <v>0</v>
      </c>
      <c r="GK151" t="str">
        <f>IF(OR(AG151="",AG151="-"),"",IFERROR(VLOOKUP(AG151,Модули_спр,2,FALSE),"R"))</f>
        <v/>
      </c>
      <c r="GL151" t="str">
        <f>IF(GK151="","",GK151&amp;"."&amp;COUNTIFS(A$3:A151,A151,GK$3:GK151,GK151))</f>
        <v/>
      </c>
      <c r="GM151" t="str">
        <f t="shared" si="332"/>
        <v/>
      </c>
      <c r="GN151" t="str">
        <f t="shared" si="333"/>
        <v/>
      </c>
      <c r="GO151" t="str">
        <f t="shared" si="334"/>
        <v/>
      </c>
      <c r="GP151" t="str">
        <f t="shared" si="335"/>
        <v/>
      </c>
      <c r="GQ151">
        <f t="shared" si="336"/>
        <v>1</v>
      </c>
      <c r="GR151" t="str">
        <f>IF(GQ151=1,"XT"&amp;COUNTIFS(A$3:A151,A151,GQ$3:GQ151,1),"")</f>
        <v>XT21</v>
      </c>
      <c r="GS151" t="str">
        <f t="shared" si="337"/>
        <v>XT21</v>
      </c>
      <c r="GT151" t="str">
        <f t="shared" si="338"/>
        <v>QF21</v>
      </c>
      <c r="GU151" t="str">
        <f t="shared" si="339"/>
        <v/>
      </c>
      <c r="GV151" t="str">
        <f t="shared" si="340"/>
        <v>ok</v>
      </c>
      <c r="GW151" t="str">
        <f>IF(OR(GO151="",GM151=""),"",IF(GO151&gt;IFERROR(VLOOKUP(GN151,Модули_спр,3,FALSE),99),"ЛИШНИЙ КАНАЛ",IF(AND(AH151&lt;&gt;"=",COUNTIFS(Линии[_модуль гр.],GM151,Линии[Канал (итог)],GO151,Линии[Канал],"&lt;&gt;=",Линии[Щит],A151)&gt;1),"ДУБЛЬ КАНАЛА","")))</f>
        <v/>
      </c>
      <c r="GX151" s="6" t="str">
        <f t="shared" si="341"/>
        <v/>
      </c>
      <c r="GY151">
        <f t="shared" si="342"/>
        <v>10</v>
      </c>
      <c r="GZ151" t="str">
        <f t="shared" si="343"/>
        <v/>
      </c>
      <c r="HA151" t="str">
        <f>IF(AND(B151="",GT151=""),"",_xlfn.TEXTJOIN("; ",TRUE,IF(AND(B151&lt;&gt;"",FE151=""),"нет фазы",""),IF(AND(B151&lt;&gt;"",N(FY151)=0,EQ151&lt;&gt;"Нет"),"нет мощности",""),IF(AND(GS151&lt;&gt;"",COUNTIFS(Линии[Щит],A151,Линии[Клемма (итог)],GS151)&gt;1),"дубль клеммы "&amp;GS151,""),IF(AND(GV151&lt;&gt;"",GV151&lt;&gt;"ok"),GV151,""),IF(GW151&lt;&gt;"",GW151,""),IF(AND(N(BV151)&gt;=4,N(BR151)=1),BV151&amp;" жил на 1 фазе",""),IF(AND(AX151="R",CA151=1,OR(N(CK151)=0,N(CK151)&gt;30)),"розетка без дифзащиты до 30 мА",""),IFERROR(IF(AND(ISNUMBER(R151),R151&gt;DV151),"потери "&amp;FIXED(R151,1)&amp;" % &gt; "&amp;DV151&amp;" %",""),""),IFERROR(IF(LEFT(GZ151,4)="мало","Iкз мало — отключение &gt; 0,4 с",""),""),IF(AND(B151&lt;&gt;"",BH151=""),"не на схеме",""),IF(AND(CA151=0,B151&lt;&gt;"",FE151&lt;&gt;"",IF(AW151=1,"",FF150)&lt;&gt;"",FE151&lt;&gt;IF(AW151=1,"",FF150)),"фаза не как у автомата группы ("&amp;IF(AW151=1,"",FF150)&amp;")","")))</f>
        <v/>
      </c>
      <c r="HB151" s="6" t="str">
        <f>IF(OR(CA151=0,DA151=""),"",_xlfn.LET(_xlpm.t,IFERROR(_xlfn.XLOOKUP(DA151,Каталог!$U$4:$U$500,Каталог!$G$4:$G$500),""),_xlpm.k,SEARCH("кА",_xlpm.t),IFERROR(--TRIM(RIGHT(SUBSTITUTE(MID(_xlpm.t,MAX(1,_xlpm.k-4),_xlpm.k-MAX(1,_xlpm.k-4))," ",REPT(" ",9)),5)),"")))</f>
        <v/>
      </c>
      <c r="HC151" t="str">
        <f>IF(OR(HB151="",CA151=0),"",IF(_xlfn.XLOOKUP(A151,Щиты[Щит],Щиты[Iкз max на шинах, кА],"")="","",IF(HB151&lt;_xlfn.XLOOKUP(A151,Щиты[Щит],Щиты[Iкз max на шинах, кА]),"Icu "&amp;HB151&amp;" кА &lt; Iкз max","ok")))</f>
        <v/>
      </c>
      <c r="HD151" t="str">
        <f t="shared" si="344"/>
        <v/>
      </c>
      <c r="HE151" t="str">
        <f t="shared" si="345"/>
        <v>QF21|XT21</v>
      </c>
      <c r="HF151" t="str">
        <f t="shared" si="346"/>
        <v>QF21|XT21|кабель ВВГнг(А)-LS (3х4) → Приточно-вытяжная установка Технический этаж Пом. №001Т</v>
      </c>
      <c r="HG151" t="str" cm="1">
        <f t="array" ref="HG151">IF(HF151="","",_xlfn.LET(_xlpm.nd,_xlfn.TEXTSPLIT(HF151,"|"),IF(COLUMNS(_xlpm.nd)&gt;1,A151&amp;"¦"&amp;INDEX(_xlpm.nd,1)&amp;"¦"&amp;INDEX(_xlpm.nd,2),"")))</f>
        <v>ЩОВ-2¦QF21¦XT21</v>
      </c>
      <c r="HH151" t="str">
        <f t="shared" si="347"/>
        <v>ПВ.5¦Приточно-вытяжная установка Технический этаж Пом. №001Т</v>
      </c>
      <c r="HI151" t="str" cm="1">
        <f t="array" ref="HI151">IF(HF151="","",_xlfn.LET(_xlpm.nd,_xlfn.TEXTSPLIT(HF151,"|"),IF(COLUMNS(_xlpm.nd)&gt;2,A151&amp;"¦"&amp;INDEX(_xlpm.nd,2)&amp;"¦"&amp;INDEX(_xlpm.nd,3),"")))</f>
        <v>ЩОВ-2¦XT21¦кабель ВВГнг(А)-LS (3х4) → Приточно-вытяжная установка Технический этаж Пом. №001Т</v>
      </c>
      <c r="HJ151" t="str">
        <f t="shared" si="348"/>
        <v>ПВ.5¦Приточно-вытяжная установка Технический этаж Пом. №001Т</v>
      </c>
      <c r="HK151" t="str" cm="1">
        <f t="array" ref="HK151">IF(HF151="","",_xlfn.LET(_xlpm.nd,_xlfn.TEXTSPLIT(HF151,"|"),IF(COLUMNS(_xlpm.nd)&gt;3,A151&amp;"¦"&amp;INDEX(_xlpm.nd,3)&amp;"¦"&amp;INDEX(_xlpm.nd,4),"")))</f>
        <v/>
      </c>
      <c r="HL151" t="str">
        <f t="shared" si="349"/>
        <v/>
      </c>
      <c r="HM151" t="str" cm="1">
        <f t="array" ref="HM151">IF(HF151="","",_xlfn.LET(_xlpm.nd,_xlfn.TEXTSPLIT(HF151,"|"),IF(COLUMNS(_xlpm.nd)&gt;4,A151&amp;"¦"&amp;INDEX(_xlpm.nd,4)&amp;"¦"&amp;INDEX(_xlpm.nd,5),"")))</f>
        <v/>
      </c>
      <c r="HN151" t="str">
        <f t="shared" si="350"/>
        <v/>
      </c>
      <c r="HO151" t="str" cm="1">
        <f t="array" ref="HO151">IF(HF151="","",_xlfn.LET(_xlpm.nd,_xlfn.TEXTSPLIT(HF151,"|"),IF(COLUMNS(_xlpm.nd)&gt;5,A151&amp;"¦"&amp;INDEX(_xlpm.nd,5)&amp;"¦"&amp;INDEX(_xlpm.nd,6),"")))</f>
        <v/>
      </c>
      <c r="HP151" t="str">
        <f t="shared" si="351"/>
        <v/>
      </c>
      <c r="HQ151" t="str" cm="1">
        <f t="array" ref="HQ151">IF(HF151="","",_xlfn.LET(_xlpm.nd,_xlfn.TEXTSPLIT(HF151,"|"),IF(COLUMNS(_xlpm.nd)&gt;6,A151&amp;"¦"&amp;INDEX(_xlpm.nd,6)&amp;"¦"&amp;INDEX(_xlpm.nd,7),"")))</f>
        <v/>
      </c>
      <c r="HR151" t="str">
        <f t="shared" si="352"/>
        <v/>
      </c>
      <c r="HS151" t="str">
        <f t="shared" si="353"/>
        <v/>
      </c>
      <c r="HT151" t="str">
        <f t="shared" si="354"/>
        <v>QF21 → XT21</v>
      </c>
      <c r="HU151">
        <f t="shared" si="355"/>
        <v>0</v>
      </c>
      <c r="HV151">
        <f t="shared" si="356"/>
        <v>0</v>
      </c>
      <c r="HW151" t="str">
        <f t="shared" si="357"/>
        <v/>
      </c>
      <c r="HX151" t="str">
        <f t="shared" si="358"/>
        <v/>
      </c>
      <c r="HY151" t="str">
        <f t="shared" si="359"/>
        <v/>
      </c>
      <c r="HZ151" t="str">
        <f t="shared" si="360"/>
        <v/>
      </c>
      <c r="IA151" t="str">
        <f>IF(B151="","",IFERROR(VLOOKUP(B151,УГО_спр,2,FALSE),IFERROR(VLOOKUP(AX151,УГО_спр,2,FALSE),IFERROR(VLOOKUP(LEFT(AX151,2),УГО_спр,2,FALSE),""))))</f>
        <v>Привод (двигатель)</v>
      </c>
      <c r="IB151" t="str">
        <f>IF(B151="","",IF(OR(IA151="",IA151=0),"BOX",IFERROR(IF(VLOOKUP(IA151,УГО_блоки,3,FALSE)&amp;""&lt;&gt;"",VLOOKUP(IA151,УГО_блоки,3,FALSE),VLOOKUP(IA151,УГО_блоки,2,FALSE)),IA151)))</f>
        <v>MOTOR</v>
      </c>
      <c r="IC151">
        <f t="shared" si="361"/>
        <v>1</v>
      </c>
      <c r="ID151" t="str">
        <f>IF(DA151="","",IF(COUNTIF(DA$3:DA151,DA151)=1,MAX(ID$2:ID150)+1,""))</f>
        <v/>
      </c>
      <c r="IE151" t="str">
        <f>IF(CO151="","",IF(COUNTIF(CO$3:CO151,CO151)+COUNTIF(CP$2:CP150,CO151)+COUNTIF(CQ$2:CQ150,CO151)=1,MAX(IE$2:IG150)+1,""))</f>
        <v/>
      </c>
      <c r="IF151" t="str">
        <f>IF(CP151="","",IF(COUNTIF(CO$3:CO151,CP151)+COUNTIF(CP$3:CP151,CP151)+COUNTIF(CQ$2:CQ150,CP151)=1,MAX(IE$2:IG150,IE151)+1,""))</f>
        <v/>
      </c>
      <c r="IG151" t="str">
        <f>IF(CQ151="","",IF(COUNTIF(CO$3:CO151,CQ151)+COUNTIF(CP$3:CP151,CQ151)+COUNTIF(CQ$3:CQ151,CQ151)=1,MAX(IE$2:IG150,IE151,IF151)+1,""))</f>
        <v/>
      </c>
      <c r="IH151" t="str">
        <f t="shared" si="362"/>
        <v>3х4</v>
      </c>
      <c r="II151" t="str">
        <f>IF(IH151="","",IF(COUNTIF(IH$3:IH151,IH151)=1,MAX(II$2:II150)+1,""))</f>
        <v/>
      </c>
      <c r="IJ151" t="str">
        <f>IF(GL151="","",COUNTIF(GL$3:GL151,"?*"))</f>
        <v/>
      </c>
      <c r="IK151" t="str">
        <f>IF(OR(GL151="",GN151=""),"",IF(COUNTIFS(GL$3:GL151,"?*",GN$3:GN151,GN151)=1,MAX(IK$2:IK150)+1,""))</f>
        <v/>
      </c>
      <c r="IL151">
        <f t="shared" si="363"/>
        <v>0</v>
      </c>
      <c r="IM151">
        <f>IF(B151="","",COUNTIF(B$3:B151,"?*"))</f>
        <v>149</v>
      </c>
      <c r="IN151">
        <f>IF(GQ151&lt;&gt;1,0,_xlfn.LET(_xlpm.k,MAX(IFERROR(--VLOOKUP(B151,УГО_спр,5,FALSE),0),IFERROR(--VLOOKUP(AX151,УГО_спр,5,FALSE),0),IFERROR(--VLOOKUP(LEFT(AX151,2),УГО_спр,5,FALSE),0)),IF(_xlpm.k&gt;0,_xlpm.k,IF(IFERROR(--LEFT(SUBSTITUTE(IH151,"x","х"),FIND("х",SUBSTITUTE(IH151,"x","х"))-1),3)&gt;3,Каталог!$S$9,1))))</f>
        <v>1</v>
      </c>
      <c r="IO151">
        <f t="shared" si="364"/>
        <v>0</v>
      </c>
      <c r="IP151" t="str">
        <f t="shared" si="365"/>
        <v>авто</v>
      </c>
      <c r="IQ151" t="str">
        <f t="shared" si="366"/>
        <v/>
      </c>
      <c r="IR151">
        <f t="shared" si="367"/>
        <v>0</v>
      </c>
      <c r="IS151">
        <f t="shared" si="368"/>
        <v>1</v>
      </c>
    </row>
    <row r="152" spans="1:253" x14ac:dyDescent="0.3">
      <c r="A152" t="s">
        <v>753</v>
      </c>
      <c r="B152" t="s">
        <v>1420</v>
      </c>
      <c r="C152" t="s">
        <v>1650</v>
      </c>
      <c r="D152">
        <v>1</v>
      </c>
      <c r="E152">
        <v>1.3</v>
      </c>
      <c r="G152" t="str">
        <f>Линии[[#This Row],[_авто автомат]]</f>
        <v>1P С10А</v>
      </c>
      <c r="H152" t="str">
        <f>Линии[[#This Row],[_авто утечка]]</f>
        <v/>
      </c>
      <c r="I152" t="str">
        <f>Линии[[#This Row],[_авто управление]]</f>
        <v/>
      </c>
      <c r="J152" t="str">
        <f>Линии[[#This Row],[_авто аппараты]]</f>
        <v/>
      </c>
      <c r="K152">
        <v>2.5</v>
      </c>
      <c r="L152">
        <v>26</v>
      </c>
      <c r="M152" t="str">
        <f>Линии[[#This Row],[_авто фаза]]</f>
        <v>L1</v>
      </c>
      <c r="N152" t="s">
        <v>486</v>
      </c>
      <c r="O152" t="str">
        <f t="shared" si="246"/>
        <v/>
      </c>
      <c r="P152" s="6" cm="1">
        <f t="array" ref="P152">IF(B152="","",IF(BC152&lt;&gt;"",IFERROR(_xlfn.XLOOKUP(BC152,Щиты[Щит],Щиты[Iр, А]),""),IF(BK152=1,IFERROR(_xlfn.XLOOKUP(A152,Щиты[Щит],Щиты[Iр, А]),""),IFERROR(_xlfn.IFS(BR152=1,BN152/((Uн_лин/SQRT(3))*BY152),BR152=3,BN152/(SQRT(3)*Uн_лин*BY152)),""))))</f>
        <v>7.036456405748563</v>
      </c>
      <c r="Q152" s="7">
        <f>IF(B152="","",IFERROR(IF(VLOOKUP(AX152,Потребители_обозначение,4,FALSE)=1,VLOOKUP(AX152,Потребители_обозначение,3,FALSE)*(D152*2-1)+DS152+VLOOKUP(AZ152,Этаж_обозначение,3,FALSE)+VLOOKUP(AZ152,Этаж_обозначение,4,FALSE),VLOOKUP(AX152,Потребители_обозначение,3,FALSE)*(D152*2-1)+DS152),DS152))</f>
        <v>30</v>
      </c>
      <c r="R152" s="6">
        <f t="shared" si="247"/>
        <v>2.4699999999999998</v>
      </c>
      <c r="S152" t="str">
        <f t="shared" si="248"/>
        <v>ВВГнг(А)-LS (3х2,5)</v>
      </c>
      <c r="T152" t="str">
        <f>IF(BH152="","",IF(BI152="вводной узел","узел ","")&amp;"л."&amp;(INT((BH152-1)/Столбцов_на_лист)+1)&amp;" / "&amp;(MOD(BH152-1,Столбцов_на_лист)+1))</f>
        <v>л.3 / 9</v>
      </c>
      <c r="V152">
        <v>1</v>
      </c>
      <c r="W152">
        <v>230</v>
      </c>
      <c r="X152" t="s">
        <v>600</v>
      </c>
      <c r="Y152">
        <v>0.5</v>
      </c>
      <c r="AC152" t="s">
        <v>815</v>
      </c>
      <c r="AE152" t="s">
        <v>582</v>
      </c>
      <c r="AI152">
        <v>43</v>
      </c>
      <c r="AJ152" t="s">
        <v>11</v>
      </c>
      <c r="AK152">
        <v>3</v>
      </c>
      <c r="AM152">
        <v>6</v>
      </c>
      <c r="AN152">
        <v>24</v>
      </c>
      <c r="AP152">
        <v>1</v>
      </c>
      <c r="AW152" cm="1">
        <f t="array" ref="AW152">ROW()-ROW(Линии[#Headers])</f>
        <v>150</v>
      </c>
      <c r="AX152" s="6" t="str">
        <f t="shared" si="249"/>
        <v>ПВ</v>
      </c>
      <c r="AY152" t="str">
        <f t="shared" si="250"/>
        <v>7</v>
      </c>
      <c r="AZ152" t="str">
        <f t="shared" si="251"/>
        <v>7</v>
      </c>
      <c r="BA152" t="str">
        <f t="shared" si="252"/>
        <v/>
      </c>
      <c r="BB152" t="str">
        <f t="shared" si="253"/>
        <v/>
      </c>
      <c r="BC152" t="str">
        <f>IF(U152&lt;&gt;"",U152,IF(AND(B152&lt;&gt;"",B152&lt;&gt;A152,ISNUMBER(_xlfn.XMATCH(B152,Щиты[Щит]))),B152,""))</f>
        <v/>
      </c>
      <c r="BD152" t="str" cm="1">
        <f t="array" ref="BD152">IF(B152="","",IF(BC152&lt;&gt;"","Щит "&amp;BC152,_xlfn.LET(_xlpm.nm,IFERROR(_xlfn.XLOOKUP(AX152,Коды_код,Коды_имя)&amp;"",""),_xlpm.md,IFERROR(N(_xlfn.XLOOKUP(AX152,Коды_код,Коды_режим)),1),_xlpm.ex,IF(Имя_режим="по экспликации",IFERROR(_xlfn.XLOOKUP(AZ152&amp;"|"&amp;BB152,Экспликация[Этаж]&amp;"|"&amp;Экспликация[Помещение],Экспликация[Название])&amp;"",""),""),_xlpm.rm,IF(BB152="","",IF(_xlpm.ex&lt;&gt;"",". "&amp;_xlpm.ex&amp;IF(Имя_пом="нет"," ("&amp;BB152&amp;")"," (пом. "&amp;BB152&amp;")"),IF(Имя_пом="нет"," ",", пом. ")&amp;BB152)),IF(_xlpm.nm="","",IF(_xlpm.md=2,_xlpm.nm&amp;" шлейф "&amp;AZ152,_xlpm.nm&amp;_xlpm.rm)))))</f>
        <v>Приточно-вытяжная установка шлейф 7</v>
      </c>
      <c r="BE152" t="str">
        <f t="shared" si="254"/>
        <v>Приточно-вытяжная установка Технический этаж Пом. №001Т</v>
      </c>
      <c r="BF152">
        <f>IFERROR(_xlfn.XMATCH(A152,Щиты[Щит]),0)</f>
        <v>7</v>
      </c>
      <c r="BG152">
        <f>_xlfn.LET(_xlpm.k,IFERROR(_xlfn.XLOOKUP(A152,Щиты[Щит],Щиты[Листов под вводной узел]),""),IF(_xlpm.k="",1,N(_xlpm.k))*Столбцов_на_лист)</f>
        <v>17</v>
      </c>
      <c r="BH152">
        <f t="shared" si="255"/>
        <v>43</v>
      </c>
      <c r="BI152" t="str">
        <f t="shared" si="256"/>
        <v>линии</v>
      </c>
      <c r="BJ152" s="6">
        <f>IFERROR(N(_xlfn.XLOOKUP(AX152,Коды_код,Коды_квт)),0)</f>
        <v>0</v>
      </c>
      <c r="BK152">
        <f t="shared" si="257"/>
        <v>0</v>
      </c>
      <c r="BL152" t="str">
        <f>IF(B152="","",IF(BC152&lt;&gt;"",IFERROR(_xlfn.XLOOKUP(BC152,Щиты[Щит],Щиты[Руст, кВт]),0),IF(BK152=1,IFERROR(_xlfn.XLOOKUP(A152,Щиты[Щит],Щиты[Руст, кВт]),0),IF(BJ152&gt;0,ROUND(BJ152*MAX(1,N(D152)),3),""))))</f>
        <v/>
      </c>
      <c r="BM152">
        <f t="shared" si="258"/>
        <v>1.3</v>
      </c>
      <c r="BN152" s="6">
        <f>IF(B152="","",IF(BC152&lt;&gt;"",IFERROR(_xlfn.XLOOKUP(BC152,Щиты[Щит],Щиты[Руст, кВт]),0),N(BM152)))</f>
        <v>1.3</v>
      </c>
      <c r="BO152" t="str">
        <f>IF(B152="","",IFERROR(IF(VLOOKUP(AX152,Потребители_обозначение,8,FALSE)=0,"",VLOOKUP(AX152,Потребители_обозначение,8,FALSE)),""))</f>
        <v/>
      </c>
      <c r="BP152">
        <f t="shared" si="259"/>
        <v>230</v>
      </c>
      <c r="BQ152">
        <f>IF(B152="","",IF(BC152&lt;&gt;"",3,IFERROR(IF(N(VLOOKUP(AX152,Потребители_обозначение,9,FALSE))=0,1,VLOOKUP(AX152,Потребители_обозначение,9,FALSE)),1)))</f>
        <v>1</v>
      </c>
      <c r="BR152">
        <f t="shared" si="260"/>
        <v>1</v>
      </c>
      <c r="BS152" t="str">
        <f>IF(B152="","",_xlfn.LET(_xlpm.bc,IFERROR(IF(VLOOKUP(AX152,Потребители_обозначение,6,FALSE)=0,"",VLOOKUP(AX152,Потребители_обозначение,6,FALSE)&amp;""),""),IF(AND(FK152="да",OR(_xlpm.bc="",_xlpm.bc="мс")),Марка_пож,IF(AND(_xlpm.bc="",BC152&lt;&gt;""),"мс",_xlpm.bc))))</f>
        <v/>
      </c>
      <c r="BT152" t="str">
        <f t="shared" si="261"/>
        <v>мс</v>
      </c>
      <c r="BU152">
        <f>IF(B152="","",_xlfn.LET(_xlpm.cc,IFERROR(N(VLOOKUP(AX152,Потребители_обозначение,7,FALSE)),0),IF(_xlpm.cc&gt;0,_xlpm.cc,IF(BT152="","",IF(N(BR152)=3,5,3)))))</f>
        <v>3</v>
      </c>
      <c r="BV152">
        <f t="shared" si="262"/>
        <v>3</v>
      </c>
      <c r="BW152">
        <f>IFERROR(N(VLOOKUP(AX152,Потребители_обозначение,10,FALSE)),0)</f>
        <v>0</v>
      </c>
      <c r="BX152">
        <f>IFERROR(VLOOKUP(AX152,Потребители_обозначение,5,FALSE),0)</f>
        <v>1</v>
      </c>
      <c r="BY152" s="6" cm="1">
        <f t="array" ref="BY152">IF(B152="","",IF(BC152&lt;&gt;"",IFERROR(_xlfn.XLOOKUP(BC152,Щиты[Щит],Щиты[cos φ]),0.95),IF(BK152=1,IFERROR(_xlfn.XLOOKUP(A152,Щиты[Щит],Щиты[cos φ]),0.95),IF(ISNUMBER(Z152),Z152,IFERROR(IF(BX152=2,_xlfn.IFS(BR152=3,VLOOKUP(BN152,Справочная_двигатели,8,FALSE),BR152=1,VLOOKUP(BN152,Справочная_двигатели,10,TRUE)),IF(AND(Методика="нормы 2026",EQ152="Сил"),0.8,0.95)),0.95)))))</f>
        <v>0.8</v>
      </c>
      <c r="BZ152">
        <f t="shared" si="263"/>
        <v>0</v>
      </c>
      <c r="CA152">
        <f t="shared" si="264"/>
        <v>1</v>
      </c>
      <c r="CB152">
        <f t="shared" si="265"/>
        <v>0</v>
      </c>
      <c r="CC152">
        <f t="shared" si="266"/>
        <v>0</v>
      </c>
      <c r="CD152">
        <f t="shared" si="267"/>
        <v>0</v>
      </c>
      <c r="CE152">
        <f t="shared" si="268"/>
        <v>0</v>
      </c>
      <c r="CF152">
        <f t="shared" si="269"/>
        <v>0</v>
      </c>
      <c r="CG152">
        <f>IF(AX152="",0,_xlfn.LET(_xlpm.v,IFERROR(VLOOKUP(B152,УГО_спр,3,FALSE),IFERROR(VLOOKUP(AX152,УГО_спр,3,FALSE),IFERROR(VLOOKUP(LEFT(AX152,2),УГО_спр,3,FALSE),""))),IF(_xlpm.v="да",30,IF(ISNUMBER(_xlpm.v),_xlpm.v,0))))</f>
        <v>0</v>
      </c>
      <c r="CH152" t="str">
        <f t="shared" si="270"/>
        <v/>
      </c>
      <c r="CI152" t="str">
        <f>_xlfn.LET(_xlpm.k,IFERROR(_xlfn.XLOOKUP(AX152,Коды_код,Коды_утечка)&amp;"",""),IF(_xlpm.k="","дифавтомат",_xlpm.k))</f>
        <v>дифавтомат</v>
      </c>
      <c r="CJ152">
        <f t="shared" si="271"/>
        <v>0</v>
      </c>
      <c r="CK152">
        <f t="shared" si="272"/>
        <v>0</v>
      </c>
      <c r="CL152">
        <f>IF(B152="",0,IFERROR(--VLOOKUP(B152,УГО_спр,4,FALSE),IFERROR(--VLOOKUP(AX152,УГО_спр,4,FALSE),IFERROR(--VLOOKUP(LEFT(AX152,2),УГО_спр,4,FALSE),0))))</f>
        <v>0</v>
      </c>
      <c r="CM152" t="str">
        <f>IF(B152="","",IFERROR(_xlfn.XLOOKUP(AX152,Коды_код,Коды_апп)&amp;"",""))</f>
        <v/>
      </c>
      <c r="CN152" t="str">
        <f t="shared" si="273"/>
        <v/>
      </c>
      <c r="CO152" t="str" cm="1">
        <f t="array" ref="CO152">IF(TRIM(CN152&amp;"")="","",IFERROR(TRIM(INDEX(_xlfn.TEXTSPLIT(CN152&amp;";;;",";"),1)),""))</f>
        <v/>
      </c>
      <c r="CP152" t="str" cm="1">
        <f t="array" ref="CP152">IF(TRIM(CN152&amp;"")="","",IFERROR(TRIM(INDEX(_xlfn.TEXTSPLIT(CN152&amp;";;;",";"),2)),""))</f>
        <v/>
      </c>
      <c r="CQ152" t="str" cm="1">
        <f t="array" ref="CQ152">IF(TRIM(CN152&amp;"")="","",IFERROR(TRIM(INDEX(_xlfn.TEXTSPLIT(CN152&amp;";;;",";"),3)),""))</f>
        <v/>
      </c>
      <c r="CR152">
        <f t="shared" si="274"/>
        <v>0</v>
      </c>
      <c r="CS152" t="str">
        <f>IF(B152="","",_xlfn.LET(_xlpm.t,LOWER(AV152&amp;""),IF(ISNUMBER(SEARCH("dim",_xlpm.t)),"DIM",IF(ISNUMBER(SEARCH("dali",_xlpm.t)),"DALI",IF(OR(ISNUMBER(SEARCH("relay",_xlpm.t)),ISNUMBER(SEARCH("реле",_xlpm.t))),"Relay",IF(ISNUMBER(SEARCH("кнопк",_xlpm.t)),"",IFERROR(_xlfn.XLOOKUP(AX152,Коды_код,Коды_упр)&amp;"","")))))))</f>
        <v/>
      </c>
      <c r="CT152" t="str">
        <f t="shared" si="275"/>
        <v/>
      </c>
      <c r="CU152">
        <f>IF(B152="","",_xlfn.LET(_xlpm.ig,N(P152)+IF(AF152="вручную",0,N(CB152)),_xlpm.n0,IFERROR(VLOOKUP(_xlpm.ig,Автомат_номиналы,2,TRUE),0),_xlpm.mn,MAX(CL152,IF(AF152="вручную",0,N(CE152))),MAX(_xlpm.n0,_xlpm.mn,IF(CR152=1,Мин_автомат_БП,0))))</f>
        <v>10</v>
      </c>
      <c r="CV152">
        <f t="shared" si="276"/>
        <v>1</v>
      </c>
      <c r="CW152" t="str">
        <f t="shared" si="277"/>
        <v>1P</v>
      </c>
      <c r="CX152" t="str">
        <f>_xlfn.LET(_xlpm.cc,UPPER(TRIM(IFERROR(_xlfn.XLOOKUP(AX152,Коды_код,Коды_хар)&amp;"",""))),IF(OR(_xlpm.cc="B",_xlpm.cc="В"),"B",IF(_xlpm.cc="D","D","С")))</f>
        <v>С</v>
      </c>
      <c r="CY152" t="str">
        <f t="shared" si="278"/>
        <v>1P С10А</v>
      </c>
      <c r="CZ152" t="str">
        <f t="shared" si="279"/>
        <v>1P С10А</v>
      </c>
      <c r="DA152" t="str">
        <f t="shared" si="280"/>
        <v>1P С10А</v>
      </c>
      <c r="DB152" cm="1">
        <f t="array" ref="DB152">IF(DA152="","",_xlfn.LET(_xlpm.t,SUBSTITUTE(SUBSTITUTE(SUBSTITUTE(UPPER(DA152),"С","C"),"А","A"),"В","B"),_xlpm.tk,_xlfn.TEXTSPLIT(_xlpm.t,"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52" t="str">
        <f t="shared" si="281"/>
        <v>ok</v>
      </c>
      <c r="DD152">
        <f t="shared" si="282"/>
        <v>10</v>
      </c>
      <c r="DE152" t="str">
        <f t="shared" si="283"/>
        <v>1P С10А</v>
      </c>
      <c r="DF152">
        <f t="shared" si="284"/>
        <v>0</v>
      </c>
      <c r="DG152">
        <f t="shared" si="285"/>
        <v>0</v>
      </c>
      <c r="DH152">
        <f t="shared" si="286"/>
        <v>0</v>
      </c>
      <c r="DI152">
        <f t="shared" si="287"/>
        <v>7.036456405748563</v>
      </c>
      <c r="DJ152">
        <f t="shared" si="288"/>
        <v>1</v>
      </c>
      <c r="DK152">
        <f>IF(ISNUMBER(AL152),AL152,К_прокл)</f>
        <v>1</v>
      </c>
      <c r="DL152">
        <f t="shared" si="289"/>
        <v>2</v>
      </c>
      <c r="DM152">
        <f>IFERROR(N(VLOOKUP(BT152,Кабель_обозначение,3,FALSE)),1)</f>
        <v>1</v>
      </c>
      <c r="DN152">
        <f>IFERROR(N(_xlfn.XLOOKUP(A152,Щиты[Щит],Щиты[ΔU до шин, %])),0)</f>
        <v>1.1399999999999999</v>
      </c>
      <c r="DO152" t="str">
        <f>IFERROR(_xlfn.XLOOKUP(A152,Щиты[Щит],Щиты[Zпетли на шинах, Ом]),"")</f>
        <v/>
      </c>
      <c r="DP152">
        <f>IFERROR(N(_xlfn.XLOOKUP(A152,Щиты[Щит],Щиты[ΔU до шин (подбор), %])),0)</f>
        <v>1.82</v>
      </c>
      <c r="DQ152" t="str">
        <f>IFERROR(_xlfn.XLOOKUP(A152,Щиты[Щит],Щиты[Zпетли на шинах (подбор), Ом]),"")</f>
        <v/>
      </c>
      <c r="DR152" t="str">
        <f t="shared" si="290"/>
        <v/>
      </c>
      <c r="DS152">
        <f t="shared" si="291"/>
        <v>26</v>
      </c>
      <c r="DT152">
        <f t="shared" si="292"/>
        <v>2</v>
      </c>
      <c r="DU152">
        <f t="shared" si="293"/>
        <v>0.6</v>
      </c>
      <c r="DV152" s="6">
        <f>IF(B152="","",IF(IFERROR(VLOOKUP(AX152,УГО_спр,2,FALSE),"")="Светильник",3,4)+IF(Методика="нормы 2026",MIN(0.5,MAX(0,N(Q152)-100)*0.005),0))</f>
        <v>4</v>
      </c>
      <c r="DW152" cm="1">
        <f t="array" ref="DW152">IF(OR(B152="",BT152="",DM152&lt;&gt;1),"",_xlfn.LET(_xlpm.sz,Iдоп_S,_xlpm.t_,CHOOSE(DL152,Iдоп_1ж,Iдоп_2ж,Iдоп_3ж)*DJ152*DK152,_xlpm.inn,N(DD152),_xlpm.smin,MAX(1.5,BW152),_xlpm.L_,N(Q152)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152)*(_xlpm.rho*_xlpm.L_/_xlpm.sz*N(BY152)+_xlpm.xx*_xlpm.L_*N(DU152)/1000)*N(P152)/((Uн_лин/SQRT(3))*1000)*100,999),_xlpm.kz,IF(OR(DG152=1,NOT(ISNUMBER(DQ152)),_xlpm.L_=0,_xlpm.inn=0),1,IFERROR(--(c_min*(Uн_лин*1000/SQRT(3))/(DQ152+2*ρкз_Cu*_xlpm.L_/_xlpm.sz)&gt;=GY152*_xlpm.inn),0)),_xlpm.ok,IFERROR((_xlpm.sz&gt;=_xlpm.smin)*(_xlpm.t_&gt;=_xlpm.inn)*IF(_xlpm.L_&gt;0,(_xlpm.du_+DP152&lt;=DV152+0.00001),1)*_xlpm.kz,0),_xlpm.r_,_xlfn._xlws.FILTER(_xlpm.sz,_xlpm.ok,"не подобрано"),INDEX(_xlpm.r_,1)))</f>
        <v>2.5</v>
      </c>
      <c r="DX152">
        <f t="shared" si="294"/>
        <v>2.5</v>
      </c>
      <c r="DY152" cm="1">
        <f t="array" ref="DY152">IF(OR(B152="",BT152="",DM152&lt;&gt;1),"",_xlfn.LET(_xlpm.sz,Iдоп_S,_xlpm.t_,CHOOSE(DL152,Iдоп_1ж,Iдоп_2ж,Iдоп_3ж)*DJ152*DK152,_xlpm.ok,IFERROR((_xlpm.sz&gt;=MAX(1.5,BW152))*(_xlpm.t_&gt;=N(DD152)),0),_xlpm.r_,_xlfn._xlws.FILTER(_xlpm.sz,_xlpm.ok,""),INDEX(_xlpm.r_,1)))</f>
        <v>1.5</v>
      </c>
      <c r="DZ152" s="6" cm="1">
        <f t="array" ref="DZ152">IFERROR(ROUNDUP(N(DT152)*(_xlfn.XLOOKUP(DY152,INDEX(Кабель_сопротивление,0,1),INDEX(Кабель_сопротивление,0,3))*N(Q152)/DY152*N(BY152)+_xlfn.XLOOKUP(DY152,INDEX(Кабель_сопротивление,0,1),INDEX(Кабель_сопротивление,0,2))*N(Q152)*N(DU152)/1000)*N(P152)/((Uн_лин/SQRT(3))*1000)*100,2),"")</f>
        <v>2.21</v>
      </c>
      <c r="EA152">
        <f>IFERROR(2*ρкз_Cu*N(Q152)/DY152,"")</f>
        <v>1.052</v>
      </c>
      <c r="EB152">
        <f>IFERROR(VLOOKUP(DX152,Кабель_сопротивление,3,FALSE),"")</f>
        <v>2.2499999999999999E-2</v>
      </c>
      <c r="EC152">
        <f>IFERROR(VLOOKUP(DX152,Кабель_сопротивление,2,FALSE),"")</f>
        <v>0.1</v>
      </c>
      <c r="ED152">
        <f t="shared" si="295"/>
        <v>24</v>
      </c>
      <c r="EE152">
        <f t="shared" si="296"/>
        <v>0</v>
      </c>
      <c r="EF152">
        <f t="shared" si="297"/>
        <v>3.0650804103440734</v>
      </c>
      <c r="EG152" s="6">
        <f>IFERROR(ROUNDUP(EF152/((Uн_лин/SQRT(3))*1000)*100,2),"")</f>
        <v>1.33</v>
      </c>
      <c r="EH152" t="str">
        <f>IFERROR(VLOOKUP(BT152,Кабель_обозначение,2,FALSE),"")</f>
        <v>ВВГнг(А)-LS</v>
      </c>
      <c r="EI152" t="str">
        <f t="shared" si="298"/>
        <v>ВВГнг(А)-LS (3х2,5)</v>
      </c>
      <c r="EJ152" t="str">
        <f t="shared" si="299"/>
        <v>ВВГнг(А)-LS (3х2,5)
L=30-1,33%</v>
      </c>
      <c r="EK152">
        <f>IFERROR(2*ρкз_Cu*Q152/DX152,"")</f>
        <v>0.63119999999999998</v>
      </c>
      <c r="EL152">
        <f t="shared" si="300"/>
        <v>0.21000000000000002</v>
      </c>
      <c r="EM152" s="6" t="str">
        <f>IFERROR(IF(OR(B152="",NOT(ISNUMBER(DX152)),N(Q152)=0),"",_xlfn.XLOOKUP(A152,Щиты[Щит],Щиты[Zпетли на шинах, Ом])+EK152),"")</f>
        <v/>
      </c>
      <c r="EN152" s="6" t="str">
        <f>IF(ISNUMBER(EM152),c_min*(Uн_лин*1000/SQRT(3))/EM152,"")</f>
        <v/>
      </c>
      <c r="EO152" s="6" t="str">
        <f>IFERROR(IF(OR(B152="",NOT(ISNUMBER(DX152))),"",1.05*(Uн_лин*1000/SQRT(3))/(_xlfn.XLOOKUP(A152,Щиты[Щит],Щиты[Zmax на шинах, Ом])+EL152)/1000),"")</f>
        <v/>
      </c>
      <c r="EP152" s="6" t="str">
        <f>IF(B152="","",IF(ISNUMBER(Y152),"Сил",IF(IFERROR(_xlfn.XLOOKUP(AX152,Коды_код,Коды_группа)&amp;"","")="","Быт",_xlfn.XLOOKUP(AX152,Коды_код,Коды_группа)&amp;"")))</f>
        <v>Сил</v>
      </c>
      <c r="EQ152" s="6" t="str">
        <f t="shared" si="301"/>
        <v>Сил</v>
      </c>
      <c r="ER152" s="6">
        <f>IF(EQ152="Щит","щит",IF(EQ152="","",IF(EQ152="Быт",IFERROR(_xlfn.XLOOKUP(A152,Щиты[Щит],Щиты[Кс быт]),1),IF(EQ152="Сил",IF(ISNUMBER(Y152),Y152,IF(Методика="нормы 2026",IFERROR(_xlfn.XLOOKUP(A152,Щиты[Щит],Щиты[Кс силовых (табл. 7.5)]),1),1)),IF(OR(EQ152="Пост",EQ152="Отоп"),1,IF(EQ152="ВНГ",0.7,0))))))</f>
        <v>0.5</v>
      </c>
      <c r="ES152">
        <f t="shared" si="302"/>
        <v>1</v>
      </c>
      <c r="ET152">
        <f t="shared" si="303"/>
        <v>1.3</v>
      </c>
      <c r="EU152">
        <f t="shared" si="304"/>
        <v>0</v>
      </c>
      <c r="EV152">
        <f t="shared" si="305"/>
        <v>0.65</v>
      </c>
      <c r="EW152">
        <f t="shared" si="306"/>
        <v>0</v>
      </c>
      <c r="EX152">
        <f t="shared" si="307"/>
        <v>0</v>
      </c>
      <c r="EY152">
        <f t="shared" si="308"/>
        <v>0</v>
      </c>
      <c r="EZ152">
        <f t="shared" si="309"/>
        <v>1.3</v>
      </c>
      <c r="FA152">
        <f t="shared" si="310"/>
        <v>1.04</v>
      </c>
      <c r="FB152">
        <f t="shared" si="311"/>
        <v>1.3</v>
      </c>
      <c r="FC152" t="str">
        <f t="shared" si="312"/>
        <v/>
      </c>
      <c r="FD152" t="str">
        <f>IF(B152="","",IF(CA152=0,IF(AW152=1,"",FF151),IF(OR(N(CV152)&gt;=3,N(BR152)&gt;=3),"L1,L2,L3",IFERROR(_xlfn.TEXTBEFORE(_xlfn.TEXTAFTER(_xlfn.XLOOKUP(A152,Щиты[Щит],Щиты[_фазы авто]),";"&amp;AW152&amp;":"),";"),"L1"))))</f>
        <v>L1</v>
      </c>
      <c r="FE152" t="str">
        <f t="shared" si="313"/>
        <v>L1</v>
      </c>
      <c r="FF152" t="str">
        <f t="shared" si="314"/>
        <v>L1</v>
      </c>
      <c r="FG152" cm="1">
        <f t="array" ref="FG152">IFERROR(IF(BX152=2,_xlfn.IFS(BR152=3,VLOOKUP(BN152,Справочная_двигатели,3,FALSE),BR152=1,VLOOKUP(BN152,Справочная_двигатели,5,TRUE)),0),0)</f>
        <v>0</v>
      </c>
      <c r="FH152">
        <f>IFERROR(IF(BX152=3,VLOOKUP(BN152,Справочная_ЛЭД,2,TRUE),0),0)</f>
        <v>0</v>
      </c>
      <c r="FI152" s="6">
        <f t="shared" si="315"/>
        <v>0</v>
      </c>
      <c r="FJ152" t="str" cm="1">
        <f t="array" ref="FJ152">IF(B152="","",IFERROR(INDEX({"I особая","I","II","III"},MATCH(TRIM(AC152&amp;""),{"I особая","I","II","III"},0)),"III"))</f>
        <v>II</v>
      </c>
      <c r="FK152" t="str">
        <f>IF(B152="","",IF(TRIM(AD152&amp;"")&lt;&gt;"",IF(LOWER(TRIM(AD152&amp;""))="да","да","нет"),IF(IFERROR(_xlfn.XLOOKUP(AX152,Коды_код,Коды_пожарная),"")="да","да","нет")))</f>
        <v>нет</v>
      </c>
      <c r="FL152" t="str">
        <f t="shared" si="316"/>
        <v/>
      </c>
      <c r="FM152" t="str">
        <f t="shared" si="317"/>
        <v>основная</v>
      </c>
      <c r="FN152">
        <f t="shared" si="318"/>
        <v>1</v>
      </c>
      <c r="FO152" t="str" cm="1">
        <f t="array" ref="FO152">IF(B152="","",_xlfn.LET(_xlpm.t,IFERROR(_xlfn.XLOOKUP(1,(Шины[Шина]=FM152)*(((Шины[Щит]=A152)+(Шины[Щит]=""))&gt;0),Шины[Тип]),"")&amp;"",IF(_xlpm.t&lt;&gt;"",_xlpm.t,IF(ISNUMBER(SEARCH("ИБП",FM152)),"ИБП",IF(ISNUMBER(SEARCH("ДГУ",FM152)),"ДГУ","Ввод "&amp;FN152)))))</f>
        <v>Ввод 1</v>
      </c>
      <c r="FP152" t="str">
        <f t="shared" si="319"/>
        <v>Ввод 1</v>
      </c>
      <c r="FQ152" t="str">
        <f>IF(B152="","",IF(OR(FO152="ИБП",FO152="ДГУ"),"I особая",IF(FO152="Одиночная","III",_xlfn.XLOOKUP(A152,Щиты[Щит],Щиты[Категория шины «Ввод»],"III"))))</f>
        <v>II</v>
      </c>
      <c r="FR152">
        <f>IF(B152="",0,IFERROR(MATCH(FJ152,{"III","II","I","I особая"},0),1))</f>
        <v>2</v>
      </c>
      <c r="FS152">
        <f t="shared" si="320"/>
        <v>2</v>
      </c>
      <c r="FT152" t="str">
        <f>IF(B152="","",IF(FR152&gt;IFERROR(MATCH(FQ152,{"III","II","I","I особая"},0),1),"НЕ ОБЕСПЕЧЕНА","ОК"))</f>
        <v>ОК</v>
      </c>
      <c r="FU152" t="str">
        <f>IF(A152="","",_xlfn.XLOOKUP(A152,Щиты[Щит],Щиты[Путь],""))</f>
        <v>|ГРЩ-ЖД|ЩОВ-2|</v>
      </c>
      <c r="FV152" t="str">
        <f>IF(B152="","",IF(AE152&lt;&gt;"",AE152,IF(IFERROR(_xlfn.XLOOKUP(AX152,Коды_код,Коды_вид)&amp;"","")="","Прочее",_xlfn.XLOOKUP(AX152,Коды_код,Коды_вид)&amp;"")))</f>
        <v>Вентиляция</v>
      </c>
      <c r="FW152">
        <f>IF(BH152="","",INT((BH152-1)/Столбцов_на_лист)+1)</f>
        <v>3</v>
      </c>
      <c r="FX152" t="str">
        <f t="shared" si="321"/>
        <v>ВВГнг(А)-LS (3х2,5) L=30-1,33%</v>
      </c>
      <c r="FY152">
        <f t="shared" si="322"/>
        <v>1.3</v>
      </c>
      <c r="FZ152">
        <f t="shared" si="323"/>
        <v>7.04</v>
      </c>
      <c r="GA152">
        <f t="shared" si="324"/>
        <v>1</v>
      </c>
      <c r="GB152">
        <f t="shared" si="325"/>
        <v>0</v>
      </c>
      <c r="GC152">
        <f t="shared" si="326"/>
        <v>1</v>
      </c>
      <c r="GD152">
        <f>IF(BH152="","",IF(AND(CA152=1,GC152=1),COUNTIFS(A$3:A152,A152,CA$3:CA152,1,GC$3:GC152,1),IF(OR(OR(AW152=1,A152&lt;&gt;A151),AF152="вручную",GC152=0),"",IF(AW152=1,"",GE151))))</f>
        <v>22</v>
      </c>
      <c r="GE152">
        <f t="shared" si="327"/>
        <v>22</v>
      </c>
      <c r="GF152">
        <f>IF(B152="","",IFERROR(LOOKUP(INDEX(CHOOSE(DL152,Iдоп_1ж,Iдоп_2ж,Iдоп_3ж),MATCH(DX152,Iдоп_S,0))*DJ152*DK152,{6,10,16,20,25,32,40,50,63,80,100,125,160,200,250,315,400,500,630}),""))</f>
        <v>25</v>
      </c>
      <c r="GG152" t="str">
        <f t="shared" si="328"/>
        <v>QF22</v>
      </c>
      <c r="GH152" t="str">
        <f t="shared" si="329"/>
        <v>QF22</v>
      </c>
      <c r="GI152" t="str">
        <f t="shared" si="330"/>
        <v/>
      </c>
      <c r="GJ152">
        <f t="shared" si="331"/>
        <v>0</v>
      </c>
      <c r="GK152" t="str">
        <f>IF(OR(AG152="",AG152="-"),"",IFERROR(VLOOKUP(AG152,Модули_спр,2,FALSE),"R"))</f>
        <v/>
      </c>
      <c r="GL152" t="str">
        <f>IF(GK152="","",GK152&amp;"."&amp;COUNTIFS(A$3:A152,A152,GK$3:GK152,GK152))</f>
        <v/>
      </c>
      <c r="GM152" t="str">
        <f t="shared" si="332"/>
        <v/>
      </c>
      <c r="GN152" t="str">
        <f t="shared" si="333"/>
        <v/>
      </c>
      <c r="GO152" t="str">
        <f t="shared" si="334"/>
        <v/>
      </c>
      <c r="GP152" t="str">
        <f t="shared" si="335"/>
        <v/>
      </c>
      <c r="GQ152">
        <f t="shared" si="336"/>
        <v>1</v>
      </c>
      <c r="GR152" t="str">
        <f>IF(GQ152=1,"XT"&amp;COUNTIFS(A$3:A152,A152,GQ$3:GQ152,1),"")</f>
        <v>XT22</v>
      </c>
      <c r="GS152" t="str">
        <f t="shared" si="337"/>
        <v/>
      </c>
      <c r="GT152" t="str">
        <f t="shared" si="338"/>
        <v>QF22</v>
      </c>
      <c r="GU152" t="str">
        <f t="shared" si="339"/>
        <v/>
      </c>
      <c r="GV152" t="str">
        <f t="shared" si="340"/>
        <v>ok</v>
      </c>
      <c r="GW152" t="str">
        <f>IF(OR(GO152="",GM152=""),"",IF(GO152&gt;IFERROR(VLOOKUP(GN152,Модули_спр,3,FALSE),99),"ЛИШНИЙ КАНАЛ",IF(AND(AH152&lt;&gt;"=",COUNTIFS(Линии[_модуль гр.],GM152,Линии[Канал (итог)],GO152,Линии[Канал],"&lt;&gt;=",Линии[Щит],A152)&gt;1),"ДУБЛЬ КАНАЛА","")))</f>
        <v/>
      </c>
      <c r="GX152" s="6" t="str">
        <f t="shared" si="341"/>
        <v/>
      </c>
      <c r="GY152">
        <f t="shared" si="342"/>
        <v>10</v>
      </c>
      <c r="GZ152" t="str">
        <f t="shared" si="343"/>
        <v/>
      </c>
      <c r="HA152" t="str">
        <f>IF(AND(B152="",GT152=""),"",_xlfn.TEXTJOIN("; ",TRUE,IF(AND(B152&lt;&gt;"",FE152=""),"нет фазы",""),IF(AND(B152&lt;&gt;"",N(FY152)=0,EQ152&lt;&gt;"Нет"),"нет мощности",""),IF(AND(GS152&lt;&gt;"",COUNTIFS(Линии[Щит],A152,Линии[Клемма (итог)],GS152)&gt;1),"дубль клеммы "&amp;GS152,""),IF(AND(GV152&lt;&gt;"",GV152&lt;&gt;"ok"),GV152,""),IF(GW152&lt;&gt;"",GW152,""),IF(AND(N(BV152)&gt;=4,N(BR152)=1),BV152&amp;" жил на 1 фазе",""),IF(AND(AX152="R",CA152=1,OR(N(CK152)=0,N(CK152)&gt;30)),"розетка без дифзащиты до 30 мА",""),IFERROR(IF(AND(ISNUMBER(R152),R152&gt;DV152),"потери "&amp;FIXED(R152,1)&amp;" % &gt; "&amp;DV152&amp;" %",""),""),IFERROR(IF(LEFT(GZ152,4)="мало","Iкз мало — отключение &gt; 0,4 с",""),""),IF(AND(B152&lt;&gt;"",BH152=""),"не на схеме",""),IF(AND(CA152=0,B152&lt;&gt;"",FE152&lt;&gt;"",IF(AW152=1,"",FF151)&lt;&gt;"",FE152&lt;&gt;IF(AW152=1,"",FF151)),"фаза не как у автомата группы ("&amp;IF(AW152=1,"",FF151)&amp;")","")))</f>
        <v/>
      </c>
      <c r="HB152" s="6">
        <f>IF(OR(CA152=0,DA152=""),"",_xlfn.LET(_xlpm.t,IFERROR(_xlfn.XLOOKUP(DA152,Каталог!$U$4:$U$500,Каталог!$G$4:$G$500),""),_xlpm.k,SEARCH("кА",_xlpm.t),IFERROR(--TRIM(RIGHT(SUBSTITUTE(MID(_xlpm.t,MAX(1,_xlpm.k-4),_xlpm.k-MAX(1,_xlpm.k-4))," ",REPT(" ",9)),5)),"")))</f>
        <v>6</v>
      </c>
      <c r="HC152" t="str">
        <f>IF(OR(HB152="",CA152=0),"",IF(_xlfn.XLOOKUP(A152,Щиты[Щит],Щиты[Iкз max на шинах, кА],"")="","",IF(HB152&lt;_xlfn.XLOOKUP(A152,Щиты[Щит],Щиты[Iкз max на шинах, кА]),"Icu "&amp;HB152&amp;" кА &lt; Iкз max","ok")))</f>
        <v/>
      </c>
      <c r="HD152" t="str">
        <f t="shared" si="344"/>
        <v/>
      </c>
      <c r="HE152" t="str">
        <f t="shared" si="345"/>
        <v>QF22</v>
      </c>
      <c r="HF152" t="str">
        <f t="shared" si="346"/>
        <v>QF22|кабель ВВГнг(А)-LS (3х2,5) → Приточно-вытяжная установка Технический этаж Пом. №001Т</v>
      </c>
      <c r="HG152" t="str" cm="1">
        <f t="array" ref="HG152">IF(HF152="","",_xlfn.LET(_xlpm.nd,_xlfn.TEXTSPLIT(HF152,"|"),IF(COLUMNS(_xlpm.nd)&gt;1,A152&amp;"¦"&amp;INDEX(_xlpm.nd,1)&amp;"¦"&amp;INDEX(_xlpm.nd,2),"")))</f>
        <v>ЩОВ-2¦QF22¦кабель ВВГнг(А)-LS (3х2,5) → Приточно-вытяжная установка Технический этаж Пом. №001Т</v>
      </c>
      <c r="HH152" t="str">
        <f t="shared" si="347"/>
        <v>ПВ.7¦Приточно-вытяжная установка Технический этаж Пом. №001Т</v>
      </c>
      <c r="HI152" t="str" cm="1">
        <f t="array" ref="HI152">IF(HF152="","",_xlfn.LET(_xlpm.nd,_xlfn.TEXTSPLIT(HF152,"|"),IF(COLUMNS(_xlpm.nd)&gt;2,A152&amp;"¦"&amp;INDEX(_xlpm.nd,2)&amp;"¦"&amp;INDEX(_xlpm.nd,3),"")))</f>
        <v/>
      </c>
      <c r="HJ152" t="str">
        <f t="shared" si="348"/>
        <v/>
      </c>
      <c r="HK152" t="str" cm="1">
        <f t="array" ref="HK152">IF(HF152="","",_xlfn.LET(_xlpm.nd,_xlfn.TEXTSPLIT(HF152,"|"),IF(COLUMNS(_xlpm.nd)&gt;3,A152&amp;"¦"&amp;INDEX(_xlpm.nd,3)&amp;"¦"&amp;INDEX(_xlpm.nd,4),"")))</f>
        <v/>
      </c>
      <c r="HL152" t="str">
        <f t="shared" si="349"/>
        <v/>
      </c>
      <c r="HM152" t="str" cm="1">
        <f t="array" ref="HM152">IF(HF152="","",_xlfn.LET(_xlpm.nd,_xlfn.TEXTSPLIT(HF152,"|"),IF(COLUMNS(_xlpm.nd)&gt;4,A152&amp;"¦"&amp;INDEX(_xlpm.nd,4)&amp;"¦"&amp;INDEX(_xlpm.nd,5),"")))</f>
        <v/>
      </c>
      <c r="HN152" t="str">
        <f t="shared" si="350"/>
        <v/>
      </c>
      <c r="HO152" t="str" cm="1">
        <f t="array" ref="HO152">IF(HF152="","",_xlfn.LET(_xlpm.nd,_xlfn.TEXTSPLIT(HF152,"|"),IF(COLUMNS(_xlpm.nd)&gt;5,A152&amp;"¦"&amp;INDEX(_xlpm.nd,5)&amp;"¦"&amp;INDEX(_xlpm.nd,6),"")))</f>
        <v/>
      </c>
      <c r="HP152" t="str">
        <f t="shared" si="351"/>
        <v/>
      </c>
      <c r="HQ152" t="str" cm="1">
        <f t="array" ref="HQ152">IF(HF152="","",_xlfn.LET(_xlpm.nd,_xlfn.TEXTSPLIT(HF152,"|"),IF(COLUMNS(_xlpm.nd)&gt;6,A152&amp;"¦"&amp;INDEX(_xlpm.nd,6)&amp;"¦"&amp;INDEX(_xlpm.nd,7),"")))</f>
        <v/>
      </c>
      <c r="HR152" t="str">
        <f t="shared" si="352"/>
        <v/>
      </c>
      <c r="HS152" t="str">
        <f t="shared" si="353"/>
        <v/>
      </c>
      <c r="HT152" t="str">
        <f t="shared" si="354"/>
        <v>QF22</v>
      </c>
      <c r="HU152">
        <f t="shared" si="355"/>
        <v>0</v>
      </c>
      <c r="HV152">
        <f t="shared" si="356"/>
        <v>0</v>
      </c>
      <c r="HW152" t="str">
        <f t="shared" si="357"/>
        <v/>
      </c>
      <c r="HX152" t="str">
        <f t="shared" si="358"/>
        <v/>
      </c>
      <c r="HY152" t="str">
        <f t="shared" si="359"/>
        <v/>
      </c>
      <c r="HZ152" t="str">
        <f t="shared" si="360"/>
        <v/>
      </c>
      <c r="IA152" t="str">
        <f>IF(B152="","",IFERROR(VLOOKUP(B152,УГО_спр,2,FALSE),IFERROR(VLOOKUP(AX152,УГО_спр,2,FALSE),IFERROR(VLOOKUP(LEFT(AX152,2),УГО_спр,2,FALSE),""))))</f>
        <v>Привод (двигатель)</v>
      </c>
      <c r="IB152" t="str">
        <f>IF(B152="","",IF(OR(IA152="",IA152=0),"BOX",IFERROR(IF(VLOOKUP(IA152,УГО_блоки,3,FALSE)&amp;""&lt;&gt;"",VLOOKUP(IA152,УГО_блоки,3,FALSE),VLOOKUP(IA152,УГО_блоки,2,FALSE)),IA152)))</f>
        <v>MOTOR</v>
      </c>
      <c r="IC152">
        <f t="shared" si="361"/>
        <v>1</v>
      </c>
      <c r="ID152" t="str">
        <f>IF(DA152="","",IF(COUNTIF(DA$3:DA152,DA152)=1,MAX(ID$2:ID151)+1,""))</f>
        <v/>
      </c>
      <c r="IE152" t="str">
        <f>IF(CO152="","",IF(COUNTIF(CO$3:CO152,CO152)+COUNTIF(CP$2:CP151,CO152)+COUNTIF(CQ$2:CQ151,CO152)=1,MAX(IE$2:IG151)+1,""))</f>
        <v/>
      </c>
      <c r="IF152" t="str">
        <f>IF(CP152="","",IF(COUNTIF(CO$3:CO152,CP152)+COUNTIF(CP$3:CP152,CP152)+COUNTIF(CQ$2:CQ151,CP152)=1,MAX(IE$2:IG151,IE152)+1,""))</f>
        <v/>
      </c>
      <c r="IG152" t="str">
        <f>IF(CQ152="","",IF(COUNTIF(CO$3:CO152,CQ152)+COUNTIF(CP$3:CP152,CQ152)+COUNTIF(CQ$3:CQ152,CQ152)=1,MAX(IE$2:IG151,IE152,IF152)+1,""))</f>
        <v/>
      </c>
      <c r="IH152" t="str">
        <f t="shared" si="362"/>
        <v>3х2,5</v>
      </c>
      <c r="II152" t="str">
        <f>IF(IH152="","",IF(COUNTIF(IH$3:IH152,IH152)=1,MAX(II$2:II151)+1,""))</f>
        <v/>
      </c>
      <c r="IJ152" t="str">
        <f>IF(GL152="","",COUNTIF(GL$3:GL152,"?*"))</f>
        <v/>
      </c>
      <c r="IK152" t="str">
        <f>IF(OR(GL152="",GN152=""),"",IF(COUNTIFS(GL$3:GL152,"?*",GN$3:GN152,GN152)=1,MAX(IK$2:IK151)+1,""))</f>
        <v/>
      </c>
      <c r="IL152">
        <f t="shared" si="363"/>
        <v>0</v>
      </c>
      <c r="IM152">
        <f>IF(B152="","",COUNTIF(B$3:B152,"?*"))</f>
        <v>150</v>
      </c>
      <c r="IN152">
        <f>IF(GQ152&lt;&gt;1,0,_xlfn.LET(_xlpm.k,MAX(IFERROR(--VLOOKUP(B152,УГО_спр,5,FALSE),0),IFERROR(--VLOOKUP(AX152,УГО_спр,5,FALSE),0),IFERROR(--VLOOKUP(LEFT(AX152,2),УГО_спр,5,FALSE),0)),IF(_xlpm.k&gt;0,_xlpm.k,IF(IFERROR(--LEFT(SUBSTITUTE(IH152,"x","х"),FIND("х",SUBSTITUTE(IH152,"x","х"))-1),3)&gt;3,Каталог!$S$9,1))))</f>
        <v>1</v>
      </c>
      <c r="IO152">
        <f t="shared" si="364"/>
        <v>0</v>
      </c>
      <c r="IP152" t="str">
        <f t="shared" si="365"/>
        <v>авто</v>
      </c>
      <c r="IQ152" t="str">
        <f t="shared" si="366"/>
        <v/>
      </c>
      <c r="IR152">
        <f t="shared" si="367"/>
        <v>0</v>
      </c>
      <c r="IS152">
        <f t="shared" si="368"/>
        <v>1</v>
      </c>
    </row>
    <row r="153" spans="1:253" x14ac:dyDescent="0.3">
      <c r="A153" t="s">
        <v>753</v>
      </c>
      <c r="B153" t="s">
        <v>1421</v>
      </c>
      <c r="C153" t="s">
        <v>1650</v>
      </c>
      <c r="D153">
        <v>1</v>
      </c>
      <c r="E153">
        <v>1.8</v>
      </c>
      <c r="G153" t="str">
        <f>Линии[[#This Row],[_авто автомат]]</f>
        <v>1P С16А</v>
      </c>
      <c r="H153" t="str">
        <f>Линии[[#This Row],[_авто утечка]]</f>
        <v/>
      </c>
      <c r="I153" t="str">
        <f>Линии[[#This Row],[_авто управление]]</f>
        <v/>
      </c>
      <c r="J153" t="str">
        <f>Линии[[#This Row],[_авто аппараты]]</f>
        <v/>
      </c>
      <c r="K153">
        <v>2.5</v>
      </c>
      <c r="L153">
        <v>11</v>
      </c>
      <c r="M153" t="str">
        <f>Линии[[#This Row],[_авто фаза]]</f>
        <v>L2</v>
      </c>
      <c r="N153" t="s">
        <v>486</v>
      </c>
      <c r="O153" t="str">
        <f t="shared" si="246"/>
        <v/>
      </c>
      <c r="P153" s="6" cm="1">
        <f t="array" ref="P153">IF(B153="","",IF(BC153&lt;&gt;"",IFERROR(_xlfn.XLOOKUP(BC153,Щиты[Щит],Щиты[Iр, А]),""),IF(BK153=1,IFERROR(_xlfn.XLOOKUP(A153,Щиты[Щит],Щиты[Iр, А]),""),IFERROR(_xlfn.IFS(BR153=1,BN153/((Uн_лин/SQRT(3))*BY153),BR153=3,BN153/(SQRT(3)*Uн_лин*BY153)),""))))</f>
        <v>9.7427857925749333</v>
      </c>
      <c r="Q153" s="7">
        <f>IF(B153="","",IFERROR(IF(VLOOKUP(AX153,Потребители_обозначение,4,FALSE)=1,VLOOKUP(AX153,Потребители_обозначение,3,FALSE)*(D153*2-1)+DS153+VLOOKUP(AZ153,Этаж_обозначение,3,FALSE)+VLOOKUP(AZ153,Этаж_обозначение,4,FALSE),VLOOKUP(AX153,Потребители_обозначение,3,FALSE)*(D153*2-1)+DS153),DS153))</f>
        <v>15</v>
      </c>
      <c r="R153" s="6">
        <f t="shared" si="247"/>
        <v>2.06</v>
      </c>
      <c r="S153" t="str">
        <f t="shared" si="248"/>
        <v>ВВГнг(А)-LS (3х2,5)</v>
      </c>
      <c r="T153" t="str">
        <f>IF(BH153="","",IF(BI153="вводной узел","узел ","")&amp;"л."&amp;(INT((BH153-1)/Столбцов_на_лист)+1)&amp;" / "&amp;(MOD(BH153-1,Столбцов_на_лист)+1))</f>
        <v>л.3 / 10</v>
      </c>
      <c r="V153">
        <v>1</v>
      </c>
      <c r="W153">
        <v>230</v>
      </c>
      <c r="X153" t="s">
        <v>600</v>
      </c>
      <c r="Y153">
        <v>0.5</v>
      </c>
      <c r="AC153" t="s">
        <v>815</v>
      </c>
      <c r="AE153" t="s">
        <v>582</v>
      </c>
      <c r="AI153">
        <v>44</v>
      </c>
      <c r="AJ153" t="s">
        <v>11</v>
      </c>
      <c r="AK153">
        <v>3</v>
      </c>
      <c r="AM153">
        <v>5</v>
      </c>
      <c r="AN153">
        <v>10</v>
      </c>
      <c r="AP153">
        <v>1</v>
      </c>
      <c r="AW153" cm="1">
        <f t="array" ref="AW153">ROW()-ROW(Линии[#Headers])</f>
        <v>151</v>
      </c>
      <c r="AX153" s="6" t="str">
        <f t="shared" si="249"/>
        <v>ПВ</v>
      </c>
      <c r="AY153" t="str">
        <f t="shared" si="250"/>
        <v>8</v>
      </c>
      <c r="AZ153" t="str">
        <f t="shared" si="251"/>
        <v>8</v>
      </c>
      <c r="BA153" t="str">
        <f t="shared" si="252"/>
        <v/>
      </c>
      <c r="BB153" t="str">
        <f t="shared" si="253"/>
        <v/>
      </c>
      <c r="BC153" t="str">
        <f>IF(U153&lt;&gt;"",U153,IF(AND(B153&lt;&gt;"",B153&lt;&gt;A153,ISNUMBER(_xlfn.XMATCH(B153,Щиты[Щит]))),B153,""))</f>
        <v/>
      </c>
      <c r="BD153" t="str" cm="1">
        <f t="array" ref="BD153">IF(B153="","",IF(BC153&lt;&gt;"","Щит "&amp;BC153,_xlfn.LET(_xlpm.nm,IFERROR(_xlfn.XLOOKUP(AX153,Коды_код,Коды_имя)&amp;"",""),_xlpm.md,IFERROR(N(_xlfn.XLOOKUP(AX153,Коды_код,Коды_режим)),1),_xlpm.ex,IF(Имя_режим="по экспликации",IFERROR(_xlfn.XLOOKUP(AZ153&amp;"|"&amp;BB153,Экспликация[Этаж]&amp;"|"&amp;Экспликация[Помещение],Экспликация[Название])&amp;"",""),""),_xlpm.rm,IF(BB153="","",IF(_xlpm.ex&lt;&gt;"",". "&amp;_xlpm.ex&amp;IF(Имя_пом="нет"," ("&amp;BB153&amp;")"," (пом. "&amp;BB153&amp;")"),IF(Имя_пом="нет"," ",", пом. ")&amp;BB153)),IF(_xlpm.nm="","",IF(_xlpm.md=2,_xlpm.nm&amp;" шлейф "&amp;AZ153,_xlpm.nm&amp;_xlpm.rm)))))</f>
        <v>Приточно-вытяжная установка шлейф 8</v>
      </c>
      <c r="BE153" t="str">
        <f t="shared" si="254"/>
        <v>Приточно-вытяжная установка Технический этаж Пом. №001Т</v>
      </c>
      <c r="BF153">
        <f>IFERROR(_xlfn.XMATCH(A153,Щиты[Щит]),0)</f>
        <v>7</v>
      </c>
      <c r="BG153">
        <f>_xlfn.LET(_xlpm.k,IFERROR(_xlfn.XLOOKUP(A153,Щиты[Щит],Щиты[Листов под вводной узел]),""),IF(_xlpm.k="",1,N(_xlpm.k))*Столбцов_на_лист)</f>
        <v>17</v>
      </c>
      <c r="BH153">
        <f t="shared" si="255"/>
        <v>44</v>
      </c>
      <c r="BI153" t="str">
        <f t="shared" si="256"/>
        <v>линии</v>
      </c>
      <c r="BJ153" s="6">
        <f>IFERROR(N(_xlfn.XLOOKUP(AX153,Коды_код,Коды_квт)),0)</f>
        <v>0</v>
      </c>
      <c r="BK153">
        <f t="shared" si="257"/>
        <v>0</v>
      </c>
      <c r="BL153" t="str">
        <f>IF(B153="","",IF(BC153&lt;&gt;"",IFERROR(_xlfn.XLOOKUP(BC153,Щиты[Щит],Щиты[Руст, кВт]),0),IF(BK153=1,IFERROR(_xlfn.XLOOKUP(A153,Щиты[Щит],Щиты[Руст, кВт]),0),IF(BJ153&gt;0,ROUND(BJ153*MAX(1,N(D153)),3),""))))</f>
        <v/>
      </c>
      <c r="BM153">
        <f t="shared" si="258"/>
        <v>1.8</v>
      </c>
      <c r="BN153" s="6">
        <f>IF(B153="","",IF(BC153&lt;&gt;"",IFERROR(_xlfn.XLOOKUP(BC153,Щиты[Щит],Щиты[Руст, кВт]),0),N(BM153)))</f>
        <v>1.8</v>
      </c>
      <c r="BO153" t="str">
        <f>IF(B153="","",IFERROR(IF(VLOOKUP(AX153,Потребители_обозначение,8,FALSE)=0,"",VLOOKUP(AX153,Потребители_обозначение,8,FALSE)),""))</f>
        <v/>
      </c>
      <c r="BP153">
        <f t="shared" si="259"/>
        <v>230</v>
      </c>
      <c r="BQ153">
        <f>IF(B153="","",IF(BC153&lt;&gt;"",3,IFERROR(IF(N(VLOOKUP(AX153,Потребители_обозначение,9,FALSE))=0,1,VLOOKUP(AX153,Потребители_обозначение,9,FALSE)),1)))</f>
        <v>1</v>
      </c>
      <c r="BR153">
        <f t="shared" si="260"/>
        <v>1</v>
      </c>
      <c r="BS153" t="str">
        <f>IF(B153="","",_xlfn.LET(_xlpm.bc,IFERROR(IF(VLOOKUP(AX153,Потребители_обозначение,6,FALSE)=0,"",VLOOKUP(AX153,Потребители_обозначение,6,FALSE)&amp;""),""),IF(AND(FK153="да",OR(_xlpm.bc="",_xlpm.bc="мс")),Марка_пож,IF(AND(_xlpm.bc="",BC153&lt;&gt;""),"мс",_xlpm.bc))))</f>
        <v/>
      </c>
      <c r="BT153" t="str">
        <f t="shared" si="261"/>
        <v>мс</v>
      </c>
      <c r="BU153">
        <f>IF(B153="","",_xlfn.LET(_xlpm.cc,IFERROR(N(VLOOKUP(AX153,Потребители_обозначение,7,FALSE)),0),IF(_xlpm.cc&gt;0,_xlpm.cc,IF(BT153="","",IF(N(BR153)=3,5,3)))))</f>
        <v>3</v>
      </c>
      <c r="BV153">
        <f t="shared" si="262"/>
        <v>3</v>
      </c>
      <c r="BW153">
        <f>IFERROR(N(VLOOKUP(AX153,Потребители_обозначение,10,FALSE)),0)</f>
        <v>0</v>
      </c>
      <c r="BX153">
        <f>IFERROR(VLOOKUP(AX153,Потребители_обозначение,5,FALSE),0)</f>
        <v>1</v>
      </c>
      <c r="BY153" s="6" cm="1">
        <f t="array" ref="BY153">IF(B153="","",IF(BC153&lt;&gt;"",IFERROR(_xlfn.XLOOKUP(BC153,Щиты[Щит],Щиты[cos φ]),0.95),IF(BK153=1,IFERROR(_xlfn.XLOOKUP(A153,Щиты[Щит],Щиты[cos φ]),0.95),IF(ISNUMBER(Z153),Z153,IFERROR(IF(BX153=2,_xlfn.IFS(BR153=3,VLOOKUP(BN153,Справочная_двигатели,8,FALSE),BR153=1,VLOOKUP(BN153,Справочная_двигатели,10,TRUE)),IF(AND(Методика="нормы 2026",EQ153="Сил"),0.8,0.95)),0.95)))))</f>
        <v>0.8</v>
      </c>
      <c r="BZ153">
        <f t="shared" si="263"/>
        <v>0</v>
      </c>
      <c r="CA153">
        <f t="shared" si="264"/>
        <v>1</v>
      </c>
      <c r="CB153">
        <f t="shared" si="265"/>
        <v>0</v>
      </c>
      <c r="CC153">
        <f t="shared" si="266"/>
        <v>0</v>
      </c>
      <c r="CD153">
        <f t="shared" si="267"/>
        <v>0</v>
      </c>
      <c r="CE153">
        <f t="shared" si="268"/>
        <v>0</v>
      </c>
      <c r="CF153">
        <f t="shared" si="269"/>
        <v>0</v>
      </c>
      <c r="CG153">
        <f>IF(AX153="",0,_xlfn.LET(_xlpm.v,IFERROR(VLOOKUP(B153,УГО_спр,3,FALSE),IFERROR(VLOOKUP(AX153,УГО_спр,3,FALSE),IFERROR(VLOOKUP(LEFT(AX153,2),УГО_спр,3,FALSE),""))),IF(_xlpm.v="да",30,IF(ISNUMBER(_xlpm.v),_xlpm.v,0))))</f>
        <v>0</v>
      </c>
      <c r="CH153" t="str">
        <f t="shared" si="270"/>
        <v/>
      </c>
      <c r="CI153" t="str">
        <f>_xlfn.LET(_xlpm.k,IFERROR(_xlfn.XLOOKUP(AX153,Коды_код,Коды_утечка)&amp;"",""),IF(_xlpm.k="","дифавтомат",_xlpm.k))</f>
        <v>дифавтомат</v>
      </c>
      <c r="CJ153">
        <f t="shared" si="271"/>
        <v>0</v>
      </c>
      <c r="CK153">
        <f t="shared" si="272"/>
        <v>0</v>
      </c>
      <c r="CL153">
        <f>IF(B153="",0,IFERROR(--VLOOKUP(B153,УГО_спр,4,FALSE),IFERROR(--VLOOKUP(AX153,УГО_спр,4,FALSE),IFERROR(--VLOOKUP(LEFT(AX153,2),УГО_спр,4,FALSE),0))))</f>
        <v>0</v>
      </c>
      <c r="CM153" t="str">
        <f>IF(B153="","",IFERROR(_xlfn.XLOOKUP(AX153,Коды_код,Коды_апп)&amp;"",""))</f>
        <v/>
      </c>
      <c r="CN153" t="str">
        <f t="shared" si="273"/>
        <v/>
      </c>
      <c r="CO153" t="str" cm="1">
        <f t="array" ref="CO153">IF(TRIM(CN153&amp;"")="","",IFERROR(TRIM(INDEX(_xlfn.TEXTSPLIT(CN153&amp;";;;",";"),1)),""))</f>
        <v/>
      </c>
      <c r="CP153" t="str" cm="1">
        <f t="array" ref="CP153">IF(TRIM(CN153&amp;"")="","",IFERROR(TRIM(INDEX(_xlfn.TEXTSPLIT(CN153&amp;";;;",";"),2)),""))</f>
        <v/>
      </c>
      <c r="CQ153" t="str" cm="1">
        <f t="array" ref="CQ153">IF(TRIM(CN153&amp;"")="","",IFERROR(TRIM(INDEX(_xlfn.TEXTSPLIT(CN153&amp;";;;",";"),3)),""))</f>
        <v/>
      </c>
      <c r="CR153">
        <f t="shared" si="274"/>
        <v>0</v>
      </c>
      <c r="CS153" t="str">
        <f>IF(B153="","",_xlfn.LET(_xlpm.t,LOWER(AV153&amp;""),IF(ISNUMBER(SEARCH("dim",_xlpm.t)),"DIM",IF(ISNUMBER(SEARCH("dali",_xlpm.t)),"DALI",IF(OR(ISNUMBER(SEARCH("relay",_xlpm.t)),ISNUMBER(SEARCH("реле",_xlpm.t))),"Relay",IF(ISNUMBER(SEARCH("кнопк",_xlpm.t)),"",IFERROR(_xlfn.XLOOKUP(AX153,Коды_код,Коды_упр)&amp;"","")))))))</f>
        <v/>
      </c>
      <c r="CT153" t="str">
        <f t="shared" si="275"/>
        <v/>
      </c>
      <c r="CU153">
        <f>IF(B153="","",_xlfn.LET(_xlpm.ig,N(P153)+IF(AF153="вручную",0,N(CB153)),_xlpm.n0,IFERROR(VLOOKUP(_xlpm.ig,Автомат_номиналы,2,TRUE),0),_xlpm.mn,MAX(CL153,IF(AF153="вручную",0,N(CE153))),MAX(_xlpm.n0,_xlpm.mn,IF(CR153=1,Мин_автомат_БП,0))))</f>
        <v>16</v>
      </c>
      <c r="CV153">
        <f t="shared" si="276"/>
        <v>1</v>
      </c>
      <c r="CW153" t="str">
        <f t="shared" si="277"/>
        <v>1P</v>
      </c>
      <c r="CX153" t="str">
        <f>_xlfn.LET(_xlpm.cc,UPPER(TRIM(IFERROR(_xlfn.XLOOKUP(AX153,Коды_код,Коды_хар)&amp;"",""))),IF(OR(_xlpm.cc="B",_xlpm.cc="В"),"B",IF(_xlpm.cc="D","D","С")))</f>
        <v>С</v>
      </c>
      <c r="CY153" t="str">
        <f t="shared" si="278"/>
        <v>1P С16А</v>
      </c>
      <c r="CZ153" t="str">
        <f t="shared" si="279"/>
        <v>1P С16А</v>
      </c>
      <c r="DA153" t="str">
        <f t="shared" si="280"/>
        <v>1P С16А</v>
      </c>
      <c r="DB153" cm="1">
        <f t="array" ref="DB153">IF(DA153="","",_xlfn.LET(_xlpm.t,SUBSTITUTE(SUBSTITUTE(SUBSTITUTE(UPPER(DA153),"С","C"),"А","A"),"В","B"),_xlpm.tk,_xlfn.TEXTSPLIT(_xlpm.t,"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3" t="str">
        <f t="shared" si="281"/>
        <v>ok</v>
      </c>
      <c r="DD153">
        <f t="shared" si="282"/>
        <v>16</v>
      </c>
      <c r="DE153" t="str">
        <f t="shared" si="283"/>
        <v>1P С16А</v>
      </c>
      <c r="DF153">
        <f t="shared" si="284"/>
        <v>0</v>
      </c>
      <c r="DG153">
        <f t="shared" si="285"/>
        <v>0</v>
      </c>
      <c r="DH153">
        <f t="shared" si="286"/>
        <v>0</v>
      </c>
      <c r="DI153">
        <f t="shared" si="287"/>
        <v>9.7427857925749333</v>
      </c>
      <c r="DJ153">
        <f t="shared" si="288"/>
        <v>1</v>
      </c>
      <c r="DK153">
        <f>IF(ISNUMBER(AL153),AL153,К_прокл)</f>
        <v>1</v>
      </c>
      <c r="DL153">
        <f t="shared" si="289"/>
        <v>2</v>
      </c>
      <c r="DM153">
        <f>IFERROR(N(VLOOKUP(BT153,Кабель_обозначение,3,FALSE)),1)</f>
        <v>1</v>
      </c>
      <c r="DN153">
        <f>IFERROR(N(_xlfn.XLOOKUP(A153,Щиты[Щит],Щиты[ΔU до шин, %])),0)</f>
        <v>1.1399999999999999</v>
      </c>
      <c r="DO153" t="str">
        <f>IFERROR(_xlfn.XLOOKUP(A153,Щиты[Щит],Щиты[Zпетли на шинах, Ом]),"")</f>
        <v/>
      </c>
      <c r="DP153">
        <f>IFERROR(N(_xlfn.XLOOKUP(A153,Щиты[Щит],Щиты[ΔU до шин (подбор), %])),0)</f>
        <v>1.82</v>
      </c>
      <c r="DQ153" t="str">
        <f>IFERROR(_xlfn.XLOOKUP(A153,Щиты[Щит],Щиты[Zпетли на шинах (подбор), Ом]),"")</f>
        <v/>
      </c>
      <c r="DR153" t="str">
        <f t="shared" si="290"/>
        <v/>
      </c>
      <c r="DS153">
        <f t="shared" si="291"/>
        <v>11</v>
      </c>
      <c r="DT153">
        <f t="shared" si="292"/>
        <v>2</v>
      </c>
      <c r="DU153">
        <f t="shared" si="293"/>
        <v>0.6</v>
      </c>
      <c r="DV153" s="6">
        <f>IF(B153="","",IF(IFERROR(VLOOKUP(AX153,УГО_спр,2,FALSE),"")="Светильник",3,4)+IF(Методика="нормы 2026",MIN(0.5,MAX(0,N(Q153)-100)*0.005),0))</f>
        <v>4</v>
      </c>
      <c r="DW153" cm="1">
        <f t="array" ref="DW153">IF(OR(B153="",BT153="",DM153&lt;&gt;1),"",_xlfn.LET(_xlpm.sz,Iдоп_S,_xlpm.t_,CHOOSE(DL153,Iдоп_1ж,Iдоп_2ж,Iдоп_3ж)*DJ153*DK153,_xlpm.inn,N(DD153),_xlpm.smin,MAX(1.5,BW153),_xlpm.L_,N(Q153)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153)*(_xlpm.rho*_xlpm.L_/_xlpm.sz*N(BY153)+_xlpm.xx*_xlpm.L_*N(DU153)/1000)*N(P153)/((Uн_лин/SQRT(3))*1000)*100,999),_xlpm.kz,IF(OR(DG153=1,NOT(ISNUMBER(DQ153)),_xlpm.L_=0,_xlpm.inn=0),1,IFERROR(--(c_min*(Uн_лин*1000/SQRT(3))/(DQ153+2*ρкз_Cu*_xlpm.L_/_xlpm.sz)&gt;=GY153*_xlpm.inn),0)),_xlpm.ok,IFERROR((_xlpm.sz&gt;=_xlpm.smin)*(_xlpm.t_&gt;=_xlpm.inn)*IF(_xlpm.L_&gt;0,(_xlpm.du_+DP153&lt;=DV153+0.00001),1)*_xlpm.kz,0),_xlpm.r_,_xlfn._xlws.FILTER(_xlpm.sz,_xlpm.ok,"не подобрано"),INDEX(_xlpm.r_,1)))</f>
        <v>1.5</v>
      </c>
      <c r="DX153">
        <f t="shared" si="294"/>
        <v>2.5</v>
      </c>
      <c r="DY153" cm="1">
        <f t="array" ref="DY153">IF(OR(B153="",BT153="",DM153&lt;&gt;1),"",_xlfn.LET(_xlpm.sz,Iдоп_S,_xlpm.t_,CHOOSE(DL153,Iдоп_1ж,Iдоп_2ж,Iдоп_3ж)*DJ153*DK153,_xlpm.ok,IFERROR((_xlpm.sz&gt;=MAX(1.5,BW153))*(_xlpm.t_&gt;=N(DD153)),0),_xlpm.r_,_xlfn._xlws.FILTER(_xlpm.sz,_xlpm.ok,""),INDEX(_xlpm.r_,1)))</f>
        <v>1.5</v>
      </c>
      <c r="DZ153" s="6" cm="1">
        <f t="array" ref="DZ153">IFERROR(ROUNDUP(N(DT153)*(_xlfn.XLOOKUP(DY153,INDEX(Кабель_сопротивление,0,1),INDEX(Кабель_сопротивление,0,3))*N(Q153)/DY153*N(BY153)+_xlfn.XLOOKUP(DY153,INDEX(Кабель_сопротивление,0,1),INDEX(Кабель_сопротивление,0,2))*N(Q153)*N(DU153)/1000)*N(P153)/((Uн_лин/SQRT(3))*1000)*100,2),"")</f>
        <v>1.53</v>
      </c>
      <c r="EA153">
        <f>IFERROR(2*ρкз_Cu*N(Q153)/DY153,"")</f>
        <v>0.52600000000000002</v>
      </c>
      <c r="EB153">
        <f>IFERROR(VLOOKUP(DX153,Кабель_сопротивление,3,FALSE),"")</f>
        <v>2.2499999999999999E-2</v>
      </c>
      <c r="EC153">
        <f>IFERROR(VLOOKUP(DX153,Кабель_сопротивление,2,FALSE),"")</f>
        <v>0.1</v>
      </c>
      <c r="ED153">
        <f t="shared" si="295"/>
        <v>10</v>
      </c>
      <c r="EE153">
        <f t="shared" si="296"/>
        <v>0</v>
      </c>
      <c r="EF153">
        <f t="shared" si="297"/>
        <v>2.1219787456228203</v>
      </c>
      <c r="EG153" s="6">
        <f>IFERROR(ROUNDUP(EF153/((Uн_лин/SQRT(3))*1000)*100,2),"")</f>
        <v>0.92</v>
      </c>
      <c r="EH153" t="str">
        <f>IFERROR(VLOOKUP(BT153,Кабель_обозначение,2,FALSE),"")</f>
        <v>ВВГнг(А)-LS</v>
      </c>
      <c r="EI153" t="str">
        <f t="shared" si="298"/>
        <v>ВВГнг(А)-LS (3х2,5)</v>
      </c>
      <c r="EJ153" t="str">
        <f t="shared" si="299"/>
        <v>ВВГнг(А)-LS (3х2,5)
L=15-0,92%</v>
      </c>
      <c r="EK153">
        <f>IFERROR(2*ρкз_Cu*Q153/DX153,"")</f>
        <v>0.31559999999999999</v>
      </c>
      <c r="EL153">
        <f t="shared" si="300"/>
        <v>0.10500000000000001</v>
      </c>
      <c r="EM153" s="6" t="str">
        <f>IFERROR(IF(OR(B153="",NOT(ISNUMBER(DX153)),N(Q153)=0),"",_xlfn.XLOOKUP(A153,Щиты[Щит],Щиты[Zпетли на шинах, Ом])+EK153),"")</f>
        <v/>
      </c>
      <c r="EN153" s="6" t="str">
        <f>IF(ISNUMBER(EM153),c_min*(Uн_лин*1000/SQRT(3))/EM153,"")</f>
        <v/>
      </c>
      <c r="EO153" s="6" t="str">
        <f>IFERROR(IF(OR(B153="",NOT(ISNUMBER(DX153))),"",1.05*(Uн_лин*1000/SQRT(3))/(_xlfn.XLOOKUP(A153,Щиты[Щит],Щиты[Zmax на шинах, Ом])+EL153)/1000),"")</f>
        <v/>
      </c>
      <c r="EP153" s="6" t="str">
        <f>IF(B153="","",IF(ISNUMBER(Y153),"Сил",IF(IFERROR(_xlfn.XLOOKUP(AX153,Коды_код,Коды_группа)&amp;"","")="","Быт",_xlfn.XLOOKUP(AX153,Коды_код,Коды_группа)&amp;"")))</f>
        <v>Сил</v>
      </c>
      <c r="EQ153" s="6" t="str">
        <f t="shared" si="301"/>
        <v>Сил</v>
      </c>
      <c r="ER153" s="6">
        <f>IF(EQ153="Щит","щит",IF(EQ153="","",IF(EQ153="Быт",IFERROR(_xlfn.XLOOKUP(A153,Щиты[Щит],Щиты[Кс быт]),1),IF(EQ153="Сил",IF(ISNUMBER(Y153),Y153,IF(Методика="нормы 2026",IFERROR(_xlfn.XLOOKUP(A153,Щиты[Щит],Щиты[Кс силовых (табл. 7.5)]),1),1)),IF(OR(EQ153="Пост",EQ153="Отоп"),1,IF(EQ153="ВНГ",0.7,0))))))</f>
        <v>0.5</v>
      </c>
      <c r="ES153">
        <f t="shared" si="302"/>
        <v>1</v>
      </c>
      <c r="ET153">
        <f t="shared" si="303"/>
        <v>1.8</v>
      </c>
      <c r="EU153">
        <f t="shared" si="304"/>
        <v>0</v>
      </c>
      <c r="EV153">
        <f t="shared" si="305"/>
        <v>0.9</v>
      </c>
      <c r="EW153">
        <f t="shared" si="306"/>
        <v>0</v>
      </c>
      <c r="EX153">
        <f t="shared" si="307"/>
        <v>0</v>
      </c>
      <c r="EY153">
        <f t="shared" si="308"/>
        <v>0</v>
      </c>
      <c r="EZ153">
        <f t="shared" si="309"/>
        <v>1.8</v>
      </c>
      <c r="FA153">
        <f t="shared" si="310"/>
        <v>1.4400000000000002</v>
      </c>
      <c r="FB153">
        <f t="shared" si="311"/>
        <v>1.8</v>
      </c>
      <c r="FC153" t="str">
        <f t="shared" si="312"/>
        <v/>
      </c>
      <c r="FD153" t="str">
        <f>IF(B153="","",IF(CA153=0,IF(AW153=1,"",FF152),IF(OR(N(CV153)&gt;=3,N(BR153)&gt;=3),"L1,L2,L3",IFERROR(_xlfn.TEXTBEFORE(_xlfn.TEXTAFTER(_xlfn.XLOOKUP(A153,Щиты[Щит],Щиты[_фазы авто]),";"&amp;AW153&amp;":"),";"),"L1"))))</f>
        <v>L2</v>
      </c>
      <c r="FE153" t="str">
        <f t="shared" si="313"/>
        <v>L2</v>
      </c>
      <c r="FF153" t="str">
        <f t="shared" si="314"/>
        <v>L2</v>
      </c>
      <c r="FG153" cm="1">
        <f t="array" ref="FG153">IFERROR(IF(BX153=2,_xlfn.IFS(BR153=3,VLOOKUP(BN153,Справочная_двигатели,3,FALSE),BR153=1,VLOOKUP(BN153,Справочная_двигатели,5,TRUE)),0),0)</f>
        <v>0</v>
      </c>
      <c r="FH153">
        <f>IFERROR(IF(BX153=3,VLOOKUP(BN153,Справочная_ЛЭД,2,TRUE),0),0)</f>
        <v>0</v>
      </c>
      <c r="FI153" s="6">
        <f t="shared" si="315"/>
        <v>0</v>
      </c>
      <c r="FJ153" t="str" cm="1">
        <f t="array" ref="FJ153">IF(B153="","",IFERROR(INDEX({"I особая","I","II","III"},MATCH(TRIM(AC153&amp;""),{"I особая","I","II","III"},0)),"III"))</f>
        <v>II</v>
      </c>
      <c r="FK153" t="str">
        <f>IF(B153="","",IF(TRIM(AD153&amp;"")&lt;&gt;"",IF(LOWER(TRIM(AD153&amp;""))="да","да","нет"),IF(IFERROR(_xlfn.XLOOKUP(AX153,Коды_код,Коды_пожарная),"")="да","да","нет")))</f>
        <v>нет</v>
      </c>
      <c r="FL153" t="str">
        <f t="shared" si="316"/>
        <v/>
      </c>
      <c r="FM153" t="str">
        <f t="shared" si="317"/>
        <v>основная</v>
      </c>
      <c r="FN153">
        <f t="shared" si="318"/>
        <v>1</v>
      </c>
      <c r="FO153" t="str" cm="1">
        <f t="array" ref="FO153">IF(B153="","",_xlfn.LET(_xlpm.t,IFERROR(_xlfn.XLOOKUP(1,(Шины[Шина]=FM153)*(((Шины[Щит]=A153)+(Шины[Щит]=""))&gt;0),Шины[Тип]),"")&amp;"",IF(_xlpm.t&lt;&gt;"",_xlpm.t,IF(ISNUMBER(SEARCH("ИБП",FM153)),"ИБП",IF(ISNUMBER(SEARCH("ДГУ",FM153)),"ДГУ","Ввод "&amp;FN153)))))</f>
        <v>Ввод 1</v>
      </c>
      <c r="FP153" t="str">
        <f t="shared" si="319"/>
        <v>Ввод 1</v>
      </c>
      <c r="FQ153" t="str">
        <f>IF(B153="","",IF(OR(FO153="ИБП",FO153="ДГУ"),"I особая",IF(FO153="Одиночная","III",_xlfn.XLOOKUP(A153,Щиты[Щит],Щиты[Категория шины «Ввод»],"III"))))</f>
        <v>II</v>
      </c>
      <c r="FR153">
        <f>IF(B153="",0,IFERROR(MATCH(FJ153,{"III","II","I","I особая"},0),1))</f>
        <v>2</v>
      </c>
      <c r="FS153">
        <f t="shared" si="320"/>
        <v>2</v>
      </c>
      <c r="FT153" t="str">
        <f>IF(B153="","",IF(FR153&gt;IFERROR(MATCH(FQ153,{"III","II","I","I особая"},0),1),"НЕ ОБЕСПЕЧЕНА","ОК"))</f>
        <v>ОК</v>
      </c>
      <c r="FU153" t="str">
        <f>IF(A153="","",_xlfn.XLOOKUP(A153,Щиты[Щит],Щиты[Путь],""))</f>
        <v>|ГРЩ-ЖД|ЩОВ-2|</v>
      </c>
      <c r="FV153" t="str">
        <f>IF(B153="","",IF(AE153&lt;&gt;"",AE153,IF(IFERROR(_xlfn.XLOOKUP(AX153,Коды_код,Коды_вид)&amp;"","")="","Прочее",_xlfn.XLOOKUP(AX153,Коды_код,Коды_вид)&amp;"")))</f>
        <v>Вентиляция</v>
      </c>
      <c r="FW153">
        <f>IF(BH153="","",INT((BH153-1)/Столбцов_на_лист)+1)</f>
        <v>3</v>
      </c>
      <c r="FX153" t="str">
        <f t="shared" si="321"/>
        <v>ВВГнг(А)-LS (3х2,5) L=15-0,92%</v>
      </c>
      <c r="FY153">
        <f t="shared" si="322"/>
        <v>1.8</v>
      </c>
      <c r="FZ153">
        <f t="shared" si="323"/>
        <v>9.75</v>
      </c>
      <c r="GA153">
        <f t="shared" si="324"/>
        <v>1</v>
      </c>
      <c r="GB153">
        <f t="shared" si="325"/>
        <v>0</v>
      </c>
      <c r="GC153">
        <f t="shared" si="326"/>
        <v>1</v>
      </c>
      <c r="GD153">
        <f>IF(BH153="","",IF(AND(CA153=1,GC153=1),COUNTIFS(A$3:A153,A153,CA$3:CA153,1,GC$3:GC153,1),IF(OR(OR(AW153=1,A153&lt;&gt;A152),AF153="вручную",GC153=0),"",IF(AW153=1,"",GE152))))</f>
        <v>23</v>
      </c>
      <c r="GE153">
        <f t="shared" si="327"/>
        <v>23</v>
      </c>
      <c r="GF153">
        <f>IF(B153="","",IFERROR(LOOKUP(INDEX(CHOOSE(DL153,Iдоп_1ж,Iдоп_2ж,Iдоп_3ж),MATCH(DX153,Iдоп_S,0))*DJ153*DK153,{6,10,16,20,25,32,40,50,63,80,100,125,160,200,250,315,400,500,630}),""))</f>
        <v>25</v>
      </c>
      <c r="GG153" t="str">
        <f t="shared" si="328"/>
        <v>QF23</v>
      </c>
      <c r="GH153" t="str">
        <f t="shared" si="329"/>
        <v>QF23</v>
      </c>
      <c r="GI153" t="str">
        <f t="shared" si="330"/>
        <v/>
      </c>
      <c r="GJ153">
        <f t="shared" si="331"/>
        <v>0</v>
      </c>
      <c r="GK153" t="str">
        <f>IF(OR(AG153="",AG153="-"),"",IFERROR(VLOOKUP(AG153,Модули_спр,2,FALSE),"R"))</f>
        <v/>
      </c>
      <c r="GL153" t="str">
        <f>IF(GK153="","",GK153&amp;"."&amp;COUNTIFS(A$3:A153,A153,GK$3:GK153,GK153))</f>
        <v/>
      </c>
      <c r="GM153" t="str">
        <f t="shared" si="332"/>
        <v/>
      </c>
      <c r="GN153" t="str">
        <f t="shared" si="333"/>
        <v/>
      </c>
      <c r="GO153" t="str">
        <f t="shared" si="334"/>
        <v/>
      </c>
      <c r="GP153" t="str">
        <f t="shared" si="335"/>
        <v/>
      </c>
      <c r="GQ153">
        <f t="shared" si="336"/>
        <v>1</v>
      </c>
      <c r="GR153" t="str">
        <f>IF(GQ153=1,"XT"&amp;COUNTIFS(A$3:A153,A153,GQ$3:GQ153,1),"")</f>
        <v>XT23</v>
      </c>
      <c r="GS153" t="str">
        <f t="shared" si="337"/>
        <v/>
      </c>
      <c r="GT153" t="str">
        <f t="shared" si="338"/>
        <v>QF23</v>
      </c>
      <c r="GU153" t="str">
        <f t="shared" si="339"/>
        <v/>
      </c>
      <c r="GV153" t="str">
        <f t="shared" si="340"/>
        <v>ok</v>
      </c>
      <c r="GW153" t="str">
        <f>IF(OR(GO153="",GM153=""),"",IF(GO153&gt;IFERROR(VLOOKUP(GN153,Модули_спр,3,FALSE),99),"ЛИШНИЙ КАНАЛ",IF(AND(AH153&lt;&gt;"=",COUNTIFS(Линии[_модуль гр.],GM153,Линии[Канал (итог)],GO153,Линии[Канал],"&lt;&gt;=",Линии[Щит],A153)&gt;1),"ДУБЛЬ КАНАЛА","")))</f>
        <v/>
      </c>
      <c r="GX153" s="6" t="str">
        <f t="shared" si="341"/>
        <v/>
      </c>
      <c r="GY153">
        <f t="shared" si="342"/>
        <v>10</v>
      </c>
      <c r="GZ153" t="str">
        <f t="shared" si="343"/>
        <v/>
      </c>
      <c r="HA153" t="str">
        <f>IF(AND(B153="",GT153=""),"",_xlfn.TEXTJOIN("; ",TRUE,IF(AND(B153&lt;&gt;"",FE153=""),"нет фазы",""),IF(AND(B153&lt;&gt;"",N(FY153)=0,EQ153&lt;&gt;"Нет"),"нет мощности",""),IF(AND(GS153&lt;&gt;"",COUNTIFS(Линии[Щит],A153,Линии[Клемма (итог)],GS153)&gt;1),"дубль клеммы "&amp;GS153,""),IF(AND(GV153&lt;&gt;"",GV153&lt;&gt;"ok"),GV153,""),IF(GW153&lt;&gt;"",GW153,""),IF(AND(N(BV153)&gt;=4,N(BR153)=1),BV153&amp;" жил на 1 фазе",""),IF(AND(AX153="R",CA153=1,OR(N(CK153)=0,N(CK153)&gt;30)),"розетка без дифзащиты до 30 мА",""),IFERROR(IF(AND(ISNUMBER(R153),R153&gt;DV153),"потери "&amp;FIXED(R153,1)&amp;" % &gt; "&amp;DV153&amp;" %",""),""),IFERROR(IF(LEFT(GZ153,4)="мало","Iкз мало — отключение &gt; 0,4 с",""),""),IF(AND(B153&lt;&gt;"",BH153=""),"не на схеме",""),IF(AND(CA153=0,B153&lt;&gt;"",FE153&lt;&gt;"",IF(AW153=1,"",FF152)&lt;&gt;"",FE153&lt;&gt;IF(AW153=1,"",FF152)),"фаза не как у автомата группы ("&amp;IF(AW153=1,"",FF152)&amp;")","")))</f>
        <v/>
      </c>
      <c r="HB153" s="6">
        <f>IF(OR(CA153=0,DA153=""),"",_xlfn.LET(_xlpm.t,IFERROR(_xlfn.XLOOKUP(DA153,Каталог!$U$4:$U$500,Каталог!$G$4:$G$500),""),_xlpm.k,SEARCH("кА",_xlpm.t),IFERROR(--TRIM(RIGHT(SUBSTITUTE(MID(_xlpm.t,MAX(1,_xlpm.k-4),_xlpm.k-MAX(1,_xlpm.k-4))," ",REPT(" ",9)),5)),"")))</f>
        <v>6</v>
      </c>
      <c r="HC153" t="str">
        <f>IF(OR(HB153="",CA153=0),"",IF(_xlfn.XLOOKUP(A153,Щиты[Щит],Щиты[Iкз max на шинах, кА],"")="","",IF(HB153&lt;_xlfn.XLOOKUP(A153,Щиты[Щит],Щиты[Iкз max на шинах, кА]),"Icu "&amp;HB153&amp;" кА &lt; Iкз max","ok")))</f>
        <v/>
      </c>
      <c r="HD153" t="str">
        <f t="shared" si="344"/>
        <v/>
      </c>
      <c r="HE153" t="str">
        <f t="shared" si="345"/>
        <v>QF23</v>
      </c>
      <c r="HF153" t="str">
        <f t="shared" si="346"/>
        <v>QF23|кабель ВВГнг(А)-LS (3х2,5) → Приточно-вытяжная установка Технический этаж Пом. №001Т</v>
      </c>
      <c r="HG153" t="str" cm="1">
        <f t="array" ref="HG153">IF(HF153="","",_xlfn.LET(_xlpm.nd,_xlfn.TEXTSPLIT(HF153,"|"),IF(COLUMNS(_xlpm.nd)&gt;1,A153&amp;"¦"&amp;INDEX(_xlpm.nd,1)&amp;"¦"&amp;INDEX(_xlpm.nd,2),"")))</f>
        <v>ЩОВ-2¦QF23¦кабель ВВГнг(А)-LS (3х2,5) → Приточно-вытяжная установка Технический этаж Пом. №001Т</v>
      </c>
      <c r="HH153" t="str">
        <f t="shared" si="347"/>
        <v>ПВ.8¦Приточно-вытяжная установка Технический этаж Пом. №001Т</v>
      </c>
      <c r="HI153" t="str" cm="1">
        <f t="array" ref="HI153">IF(HF153="","",_xlfn.LET(_xlpm.nd,_xlfn.TEXTSPLIT(HF153,"|"),IF(COLUMNS(_xlpm.nd)&gt;2,A153&amp;"¦"&amp;INDEX(_xlpm.nd,2)&amp;"¦"&amp;INDEX(_xlpm.nd,3),"")))</f>
        <v/>
      </c>
      <c r="HJ153" t="str">
        <f t="shared" si="348"/>
        <v/>
      </c>
      <c r="HK153" t="str" cm="1">
        <f t="array" ref="HK153">IF(HF153="","",_xlfn.LET(_xlpm.nd,_xlfn.TEXTSPLIT(HF153,"|"),IF(COLUMNS(_xlpm.nd)&gt;3,A153&amp;"¦"&amp;INDEX(_xlpm.nd,3)&amp;"¦"&amp;INDEX(_xlpm.nd,4),"")))</f>
        <v/>
      </c>
      <c r="HL153" t="str">
        <f t="shared" si="349"/>
        <v/>
      </c>
      <c r="HM153" t="str" cm="1">
        <f t="array" ref="HM153">IF(HF153="","",_xlfn.LET(_xlpm.nd,_xlfn.TEXTSPLIT(HF153,"|"),IF(COLUMNS(_xlpm.nd)&gt;4,A153&amp;"¦"&amp;INDEX(_xlpm.nd,4)&amp;"¦"&amp;INDEX(_xlpm.nd,5),"")))</f>
        <v/>
      </c>
      <c r="HN153" t="str">
        <f t="shared" si="350"/>
        <v/>
      </c>
      <c r="HO153" t="str" cm="1">
        <f t="array" ref="HO153">IF(HF153="","",_xlfn.LET(_xlpm.nd,_xlfn.TEXTSPLIT(HF153,"|"),IF(COLUMNS(_xlpm.nd)&gt;5,A153&amp;"¦"&amp;INDEX(_xlpm.nd,5)&amp;"¦"&amp;INDEX(_xlpm.nd,6),"")))</f>
        <v/>
      </c>
      <c r="HP153" t="str">
        <f t="shared" si="351"/>
        <v/>
      </c>
      <c r="HQ153" t="str" cm="1">
        <f t="array" ref="HQ153">IF(HF153="","",_xlfn.LET(_xlpm.nd,_xlfn.TEXTSPLIT(HF153,"|"),IF(COLUMNS(_xlpm.nd)&gt;6,A153&amp;"¦"&amp;INDEX(_xlpm.nd,6)&amp;"¦"&amp;INDEX(_xlpm.nd,7),"")))</f>
        <v/>
      </c>
      <c r="HR153" t="str">
        <f t="shared" si="352"/>
        <v/>
      </c>
      <c r="HS153" t="str">
        <f t="shared" si="353"/>
        <v/>
      </c>
      <c r="HT153" t="str">
        <f t="shared" si="354"/>
        <v>QF23</v>
      </c>
      <c r="HU153">
        <f t="shared" si="355"/>
        <v>0</v>
      </c>
      <c r="HV153">
        <f t="shared" si="356"/>
        <v>0</v>
      </c>
      <c r="HW153" t="str">
        <f t="shared" si="357"/>
        <v/>
      </c>
      <c r="HX153" t="str">
        <f t="shared" si="358"/>
        <v/>
      </c>
      <c r="HY153" t="str">
        <f t="shared" si="359"/>
        <v/>
      </c>
      <c r="HZ153" t="str">
        <f t="shared" si="360"/>
        <v/>
      </c>
      <c r="IA153" t="str">
        <f>IF(B153="","",IFERROR(VLOOKUP(B153,УГО_спр,2,FALSE),IFERROR(VLOOKUP(AX153,УГО_спр,2,FALSE),IFERROR(VLOOKUP(LEFT(AX153,2),УГО_спр,2,FALSE),""))))</f>
        <v>Привод (двигатель)</v>
      </c>
      <c r="IB153" t="str">
        <f>IF(B153="","",IF(OR(IA153="",IA153=0),"BOX",IFERROR(IF(VLOOKUP(IA153,УГО_блоки,3,FALSE)&amp;""&lt;&gt;"",VLOOKUP(IA153,УГО_блоки,3,FALSE),VLOOKUP(IA153,УГО_блоки,2,FALSE)),IA153)))</f>
        <v>MOTOR</v>
      </c>
      <c r="IC153">
        <f t="shared" si="361"/>
        <v>1</v>
      </c>
      <c r="ID153" t="str">
        <f>IF(DA153="","",IF(COUNTIF(DA$3:DA153,DA153)=1,MAX(ID$2:ID152)+1,""))</f>
        <v/>
      </c>
      <c r="IE153" t="str">
        <f>IF(CO153="","",IF(COUNTIF(CO$3:CO153,CO153)+COUNTIF(CP$2:CP152,CO153)+COUNTIF(CQ$2:CQ152,CO153)=1,MAX(IE$2:IG152)+1,""))</f>
        <v/>
      </c>
      <c r="IF153" t="str">
        <f>IF(CP153="","",IF(COUNTIF(CO$3:CO153,CP153)+COUNTIF(CP$3:CP153,CP153)+COUNTIF(CQ$2:CQ152,CP153)=1,MAX(IE$2:IG152,IE153)+1,""))</f>
        <v/>
      </c>
      <c r="IG153" t="str">
        <f>IF(CQ153="","",IF(COUNTIF(CO$3:CO153,CQ153)+COUNTIF(CP$3:CP153,CQ153)+COUNTIF(CQ$3:CQ153,CQ153)=1,MAX(IE$2:IG152,IE153,IF153)+1,""))</f>
        <v/>
      </c>
      <c r="IH153" t="str">
        <f t="shared" si="362"/>
        <v>3х2,5</v>
      </c>
      <c r="II153" t="str">
        <f>IF(IH153="","",IF(COUNTIF(IH$3:IH153,IH153)=1,MAX(II$2:II152)+1,""))</f>
        <v/>
      </c>
      <c r="IJ153" t="str">
        <f>IF(GL153="","",COUNTIF(GL$3:GL153,"?*"))</f>
        <v/>
      </c>
      <c r="IK153" t="str">
        <f>IF(OR(GL153="",GN153=""),"",IF(COUNTIFS(GL$3:GL153,"?*",GN$3:GN153,GN153)=1,MAX(IK$2:IK152)+1,""))</f>
        <v/>
      </c>
      <c r="IL153">
        <f t="shared" si="363"/>
        <v>0</v>
      </c>
      <c r="IM153">
        <f>IF(B153="","",COUNTIF(B$3:B153,"?*"))</f>
        <v>151</v>
      </c>
      <c r="IN153">
        <f>IF(GQ153&lt;&gt;1,0,_xlfn.LET(_xlpm.k,MAX(IFERROR(--VLOOKUP(B153,УГО_спр,5,FALSE),0),IFERROR(--VLOOKUP(AX153,УГО_спр,5,FALSE),0),IFERROR(--VLOOKUP(LEFT(AX153,2),УГО_спр,5,FALSE),0)),IF(_xlpm.k&gt;0,_xlpm.k,IF(IFERROR(--LEFT(SUBSTITUTE(IH153,"x","х"),FIND("х",SUBSTITUTE(IH153,"x","х"))-1),3)&gt;3,Каталог!$S$9,1))))</f>
        <v>1</v>
      </c>
      <c r="IO153">
        <f t="shared" si="364"/>
        <v>0</v>
      </c>
      <c r="IP153" t="str">
        <f t="shared" si="365"/>
        <v>авто</v>
      </c>
      <c r="IQ153" t="str">
        <f t="shared" si="366"/>
        <v/>
      </c>
      <c r="IR153">
        <f t="shared" si="367"/>
        <v>0</v>
      </c>
      <c r="IS153">
        <f t="shared" si="368"/>
        <v>1</v>
      </c>
    </row>
    <row r="154" spans="1:253" x14ac:dyDescent="0.3">
      <c r="A154" t="s">
        <v>755</v>
      </c>
      <c r="B154" t="s">
        <v>743</v>
      </c>
      <c r="C154" t="s">
        <v>55</v>
      </c>
      <c r="D154">
        <v>1</v>
      </c>
      <c r="E154" t="s">
        <v>16</v>
      </c>
      <c r="G154">
        <v>20</v>
      </c>
      <c r="H154" t="str">
        <f>Линии[[#This Row],[_авто утечка]]</f>
        <v/>
      </c>
      <c r="I154" t="str">
        <f>Линии[[#This Row],[_авто управление]]</f>
        <v/>
      </c>
      <c r="J154" t="str">
        <f>Линии[[#This Row],[_авто аппараты]]</f>
        <v/>
      </c>
      <c r="K154">
        <v>4</v>
      </c>
      <c r="L154" t="str">
        <f>Линии[[#This Row],[_авто длина по плану]]</f>
        <v/>
      </c>
      <c r="M154" t="str">
        <f>Линии[[#This Row],[_авто фаза]]</f>
        <v>L1,L2,L3</v>
      </c>
      <c r="N154" t="str">
        <f>Линии[[#This Row],[_авто клемма]]</f>
        <v/>
      </c>
      <c r="O154" t="str">
        <f t="shared" si="246"/>
        <v/>
      </c>
      <c r="P154" s="6" cm="1">
        <f t="array" ref="P154">IF(B154="","",IF(BC154&lt;&gt;"",IFERROR(_xlfn.XLOOKUP(BC154,Щиты[Щит],Щиты[Iр, А]),""),IF(BK154=1,IFERROR(_xlfn.XLOOKUP(A154,Щиты[Щит],Щиты[Iр, А]),""),IFERROR(_xlfn.IFS(BR154=1,BN154/((Uн_лин/SQRT(3))*BY154),BR154=3,BN154/(SQRT(3)*Uн_лин*BY154)),""))))</f>
        <v>16.378863980838116</v>
      </c>
      <c r="Q154" s="7" t="str">
        <f>IF(B154="","",IFERROR(IF(VLOOKUP(AX154,Потребители_обозначение,4,FALSE)=1,VLOOKUP(AX154,Потребители_обозначение,3,FALSE)*(D154*2-1)+DS154+VLOOKUP(AZ154,Этаж_обозначение,3,FALSE)+VLOOKUP(AZ154,Этаж_обозначение,4,FALSE),VLOOKUP(AX154,Потребители_обозначение,3,FALSE)*(D154*2-1)+DS154),DS154))</f>
        <v/>
      </c>
      <c r="R154" s="6" t="str">
        <f t="shared" si="247"/>
        <v/>
      </c>
      <c r="S154" t="str">
        <f t="shared" si="248"/>
        <v>ВВГнг(А)-LS (5х4)</v>
      </c>
      <c r="T154" t="str">
        <f>IF(BH154="","",IF(BI154="вводной узел","узел ","")&amp;"л."&amp;(INT((BH154-1)/Столбцов_на_лист)+1)&amp;" / "&amp;(MOD(BH154-1,Столбцов_на_лист)+1))</f>
        <v>узел л.1 / 2</v>
      </c>
      <c r="V154">
        <v>3</v>
      </c>
      <c r="W154">
        <v>400</v>
      </c>
      <c r="X154" t="s">
        <v>549</v>
      </c>
      <c r="AF154" t="s">
        <v>1303</v>
      </c>
      <c r="AI154">
        <v>2</v>
      </c>
      <c r="AJ154" t="s">
        <v>11</v>
      </c>
      <c r="AK154">
        <v>5</v>
      </c>
      <c r="AW154" cm="1">
        <f t="array" ref="AW154">ROW()-ROW(Линии[#Headers])</f>
        <v>152</v>
      </c>
      <c r="AX154" s="6" t="str">
        <f t="shared" si="249"/>
        <v>Ввод</v>
      </c>
      <c r="AY154" t="str">
        <f t="shared" si="250"/>
        <v>1</v>
      </c>
      <c r="AZ154" t="str">
        <f t="shared" si="251"/>
        <v>1</v>
      </c>
      <c r="BA154" t="str">
        <f t="shared" si="252"/>
        <v/>
      </c>
      <c r="BB154" t="str">
        <f t="shared" si="253"/>
        <v/>
      </c>
      <c r="BC154" t="str">
        <f>IF(U154&lt;&gt;"",U154,IF(AND(B154&lt;&gt;"",B154&lt;&gt;A154,ISNUMBER(_xlfn.XMATCH(B154,Щиты[Щит]))),B154,""))</f>
        <v/>
      </c>
      <c r="BD154" t="str" cm="1">
        <f t="array" ref="BD154">IF(B154="","",IF(BC154&lt;&gt;"","Щит "&amp;BC154,_xlfn.LET(_xlpm.nm,IFERROR(_xlfn.XLOOKUP(AX154,Коды_код,Коды_имя)&amp;"",""),_xlpm.md,IFERROR(N(_xlfn.XLOOKUP(AX154,Коды_код,Коды_режим)),1),_xlpm.ex,IF(Имя_режим="по экспликации",IFERROR(_xlfn.XLOOKUP(AZ154&amp;"|"&amp;BB154,Экспликация[Этаж]&amp;"|"&amp;Экспликация[Помещение],Экспликация[Название])&amp;"",""),""),_xlpm.rm,IF(BB154="","",IF(_xlpm.ex&lt;&gt;"",". "&amp;_xlpm.ex&amp;IF(Имя_пом="нет"," ("&amp;BB154&amp;")"," (пом. "&amp;BB154&amp;")"),IF(Имя_пом="нет"," ",", пом. ")&amp;BB154)),IF(_xlpm.nm="","",IF(_xlpm.md=2,_xlpm.nm&amp;" шлейф "&amp;AZ154,_xlpm.nm&amp;_xlpm.rm)))))</f>
        <v>Вводной кабель шлейф 1</v>
      </c>
      <c r="BE154" t="str">
        <f t="shared" si="254"/>
        <v>Ввод</v>
      </c>
      <c r="BF154">
        <f>IFERROR(_xlfn.XMATCH(A154,Щиты[Щит]),0)</f>
        <v>8</v>
      </c>
      <c r="BG154">
        <f>_xlfn.LET(_xlpm.k,IFERROR(_xlfn.XLOOKUP(A154,Щиты[Щит],Щиты[Листов под вводной узел]),""),IF(_xlpm.k="",1,N(_xlpm.k))*Столбцов_на_лист)</f>
        <v>17</v>
      </c>
      <c r="BH154">
        <f t="shared" si="255"/>
        <v>2</v>
      </c>
      <c r="BI154" t="str">
        <f t="shared" si="256"/>
        <v>вводной узел</v>
      </c>
      <c r="BJ154" s="6">
        <f>IFERROR(N(_xlfn.XLOOKUP(AX154,Коды_код,Коды_квт)),0)</f>
        <v>0</v>
      </c>
      <c r="BK154">
        <f t="shared" si="257"/>
        <v>1</v>
      </c>
      <c r="BL154">
        <f>IF(B154="","",IF(BC154&lt;&gt;"",IFERROR(_xlfn.XLOOKUP(BC154,Щиты[Щит],Щиты[Руст, кВт]),0),IF(BK154=1,IFERROR(_xlfn.XLOOKUP(A154,Щиты[Щит],Щиты[Руст, кВт]),0),IF(BJ154&gt;0,ROUND(BJ154*MAX(1,N(D154)),3),""))))</f>
        <v>11.860000000000001</v>
      </c>
      <c r="BM154" t="str">
        <f t="shared" si="258"/>
        <v>кВт</v>
      </c>
      <c r="BN154" s="6">
        <f>IF(B154="","",IF(BC154&lt;&gt;"",IFERROR(_xlfn.XLOOKUP(BC154,Щиты[Щит],Щиты[Руст, кВт]),0),N(BM154)))</f>
        <v>0</v>
      </c>
      <c r="BO154" t="str">
        <f>IF(B154="","",IFERROR(IF(VLOOKUP(AX154,Потребители_обозначение,8,FALSE)=0,"",VLOOKUP(AX154,Потребители_обозначение,8,FALSE)),""))</f>
        <v/>
      </c>
      <c r="BP154">
        <f t="shared" si="259"/>
        <v>400</v>
      </c>
      <c r="BQ154">
        <f>IF(B154="","",IF(BC154&lt;&gt;"",3,IFERROR(IF(N(VLOOKUP(AX154,Потребители_обозначение,9,FALSE))=0,1,VLOOKUP(AX154,Потребители_обозначение,9,FALSE)),1)))</f>
        <v>1</v>
      </c>
      <c r="BR154">
        <f t="shared" si="260"/>
        <v>3</v>
      </c>
      <c r="BS154" t="str">
        <f>IF(B154="","",_xlfn.LET(_xlpm.bc,IFERROR(IF(VLOOKUP(AX154,Потребители_обозначение,6,FALSE)=0,"",VLOOKUP(AX154,Потребители_обозначение,6,FALSE)&amp;""),""),IF(AND(FK154="да",OR(_xlpm.bc="",_xlpm.bc="мс")),Марка_пож,IF(AND(_xlpm.bc="",BC154&lt;&gt;""),"мс",_xlpm.bc))))</f>
        <v/>
      </c>
      <c r="BT154" t="str">
        <f t="shared" si="261"/>
        <v>мс</v>
      </c>
      <c r="BU154">
        <f>IF(B154="","",_xlfn.LET(_xlpm.cc,IFERROR(N(VLOOKUP(AX154,Потребители_обозначение,7,FALSE)),0),IF(_xlpm.cc&gt;0,_xlpm.cc,IF(BT154="","",IF(N(BR154)=3,5,3)))))</f>
        <v>5</v>
      </c>
      <c r="BV154">
        <f t="shared" si="262"/>
        <v>5</v>
      </c>
      <c r="BW154">
        <f>IFERROR(N(VLOOKUP(AX154,Потребители_обозначение,10,FALSE)),0)</f>
        <v>0</v>
      </c>
      <c r="BX154">
        <f>IFERROR(VLOOKUP(AX154,Потребители_обозначение,5,FALSE),0)</f>
        <v>1</v>
      </c>
      <c r="BY154" s="6" cm="1">
        <f t="array" ref="BY154">IF(B154="","",IF(BC154&lt;&gt;"",IFERROR(_xlfn.XLOOKUP(BC154,Щиты[Щит],Щиты[cos φ]),0.95),IF(BK154=1,IFERROR(_xlfn.XLOOKUP(A154,Щиты[Щит],Щиты[cos φ]),0.95),IF(ISNUMBER(Z154),Z154,IFERROR(IF(BX154=2,_xlfn.IFS(BR154=3,VLOOKUP(BN154,Справочная_двигатели,8,FALSE),BR154=1,VLOOKUP(BN154,Справочная_двигатели,10,TRUE)),IF(AND(Методика="нормы 2026",EQ154="Сил"),0.8,0.95)),0.95)))))</f>
        <v>0.94999999999999984</v>
      </c>
      <c r="BZ154">
        <f t="shared" si="263"/>
        <v>0</v>
      </c>
      <c r="CA154">
        <f t="shared" si="264"/>
        <v>1</v>
      </c>
      <c r="CB154">
        <f t="shared" si="265"/>
        <v>0</v>
      </c>
      <c r="CC154">
        <f t="shared" si="266"/>
        <v>0</v>
      </c>
      <c r="CD154">
        <f t="shared" si="267"/>
        <v>0</v>
      </c>
      <c r="CE154">
        <f t="shared" si="268"/>
        <v>0</v>
      </c>
      <c r="CF154">
        <f t="shared" si="269"/>
        <v>0</v>
      </c>
      <c r="CG154">
        <f>IF(AX154="",0,_xlfn.LET(_xlpm.v,IFERROR(VLOOKUP(B154,УГО_спр,3,FALSE),IFERROR(VLOOKUP(AX154,УГО_спр,3,FALSE),IFERROR(VLOOKUP(LEFT(AX154,2),УГО_спр,3,FALSE),""))),IF(_xlpm.v="да",30,IF(ISNUMBER(_xlpm.v),_xlpm.v,0))))</f>
        <v>0</v>
      </c>
      <c r="CH154" t="str">
        <f t="shared" si="270"/>
        <v/>
      </c>
      <c r="CI154" t="str">
        <f>_xlfn.LET(_xlpm.k,IFERROR(_xlfn.XLOOKUP(AX154,Коды_код,Коды_утечка)&amp;"",""),IF(_xlpm.k="","дифавтомат",_xlpm.k))</f>
        <v>дифавтомат</v>
      </c>
      <c r="CJ154">
        <f t="shared" si="271"/>
        <v>0</v>
      </c>
      <c r="CK154">
        <f t="shared" si="272"/>
        <v>0</v>
      </c>
      <c r="CL154">
        <f>IF(B154="",0,IFERROR(--VLOOKUP(B154,УГО_спр,4,FALSE),IFERROR(--VLOOKUP(AX154,УГО_спр,4,FALSE),IFERROR(--VLOOKUP(LEFT(AX154,2),УГО_спр,4,FALSE),0))))</f>
        <v>0</v>
      </c>
      <c r="CM154" t="str">
        <f>IF(B154="","",IFERROR(_xlfn.XLOOKUP(AX154,Коды_код,Коды_апп)&amp;"",""))</f>
        <v/>
      </c>
      <c r="CN154" t="str">
        <f t="shared" si="273"/>
        <v/>
      </c>
      <c r="CO154" t="str" cm="1">
        <f t="array" ref="CO154">IF(TRIM(CN154&amp;"")="","",IFERROR(TRIM(INDEX(_xlfn.TEXTSPLIT(CN154&amp;";;;",";"),1)),""))</f>
        <v/>
      </c>
      <c r="CP154" t="str" cm="1">
        <f t="array" ref="CP154">IF(TRIM(CN154&amp;"")="","",IFERROR(TRIM(INDEX(_xlfn.TEXTSPLIT(CN154&amp;";;;",";"),2)),""))</f>
        <v/>
      </c>
      <c r="CQ154" t="str" cm="1">
        <f t="array" ref="CQ154">IF(TRIM(CN154&amp;"")="","",IFERROR(TRIM(INDEX(_xlfn.TEXTSPLIT(CN154&amp;";;;",";"),3)),""))</f>
        <v/>
      </c>
      <c r="CR154">
        <f t="shared" si="274"/>
        <v>0</v>
      </c>
      <c r="CS154" t="str">
        <f>IF(B154="","",_xlfn.LET(_xlpm.t,LOWER(AV154&amp;""),IF(ISNUMBER(SEARCH("dim",_xlpm.t)),"DIM",IF(ISNUMBER(SEARCH("dali",_xlpm.t)),"DALI",IF(OR(ISNUMBER(SEARCH("relay",_xlpm.t)),ISNUMBER(SEARCH("реле",_xlpm.t))),"Relay",IF(ISNUMBER(SEARCH("кнопк",_xlpm.t)),"",IFERROR(_xlfn.XLOOKUP(AX154,Коды_код,Коды_упр)&amp;"","")))))))</f>
        <v/>
      </c>
      <c r="CT154" t="str">
        <f t="shared" si="275"/>
        <v/>
      </c>
      <c r="CU154">
        <f>IF(B154="","",_xlfn.LET(_xlpm.ig,N(P154)+IF(AF154="вручную",0,N(CB154)),_xlpm.n0,IFERROR(VLOOKUP(_xlpm.ig,Автомат_номиналы,2,TRUE),0),_xlpm.mn,MAX(CL154,IF(AF154="вручную",0,N(CE154))),MAX(_xlpm.n0,_xlpm.mn,IF(CR154=1,Мин_автомат_БП,0))))</f>
        <v>20</v>
      </c>
      <c r="CV154">
        <f t="shared" si="276"/>
        <v>3</v>
      </c>
      <c r="CW154" t="str">
        <f t="shared" si="277"/>
        <v>3P</v>
      </c>
      <c r="CX154" t="str">
        <f>_xlfn.LET(_xlpm.cc,UPPER(TRIM(IFERROR(_xlfn.XLOOKUP(AX154,Коды_код,Коды_хар)&amp;"",""))),IF(OR(_xlpm.cc="B",_xlpm.cc="В"),"B",IF(_xlpm.cc="D","D","С")))</f>
        <v>С</v>
      </c>
      <c r="CY154" t="str">
        <f t="shared" si="278"/>
        <v>3P С20А</v>
      </c>
      <c r="CZ154">
        <f t="shared" si="279"/>
        <v>20</v>
      </c>
      <c r="DA154" t="str">
        <f t="shared" si="280"/>
        <v>3P С20А</v>
      </c>
      <c r="DB154" cm="1">
        <f t="array" ref="DB154">IF(DA154="","",_xlfn.LET(_xlpm.t,SUBSTITUTE(SUBSTITUTE(SUBSTITUTE(UPPER(DA154),"С","C"),"А","A"),"В","B"),_xlpm.tk,_xlfn.TEXTSPLIT(_xlpm.t,"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54" t="str">
        <f t="shared" si="281"/>
        <v>узел</v>
      </c>
      <c r="DD154">
        <f t="shared" si="282"/>
        <v>20</v>
      </c>
      <c r="DE154" t="str">
        <f t="shared" si="283"/>
        <v>3P С20А</v>
      </c>
      <c r="DF154">
        <f t="shared" si="284"/>
        <v>0</v>
      </c>
      <c r="DG154">
        <f t="shared" si="285"/>
        <v>0</v>
      </c>
      <c r="DH154">
        <f t="shared" si="286"/>
        <v>0</v>
      </c>
      <c r="DI154">
        <f t="shared" si="287"/>
        <v>16.378863980838116</v>
      </c>
      <c r="DJ154">
        <f t="shared" si="288"/>
        <v>0.92</v>
      </c>
      <c r="DK154">
        <f>IF(ISNUMBER(AL154),AL154,К_прокл)</f>
        <v>1</v>
      </c>
      <c r="DL154">
        <f t="shared" si="289"/>
        <v>3</v>
      </c>
      <c r="DM154">
        <f>IFERROR(N(VLOOKUP(BT154,Кабель_обозначение,3,FALSE)),1)</f>
        <v>1</v>
      </c>
      <c r="DN154">
        <f>IFERROR(N(_xlfn.XLOOKUP(A154,Щиты[Щит],Щиты[ΔU до шин, %])),0)</f>
        <v>1.57</v>
      </c>
      <c r="DO154" t="str">
        <f>IFERROR(_xlfn.XLOOKUP(A154,Щиты[Щит],Щиты[Zпетли на шинах, Ом]),"")</f>
        <v/>
      </c>
      <c r="DP154">
        <f>IFERROR(N(_xlfn.XLOOKUP(A154,Щиты[Щит],Щиты[ΔU до шин (подбор), %])),0)</f>
        <v>2.5</v>
      </c>
      <c r="DQ154" t="str">
        <f>IFERROR(_xlfn.XLOOKUP(A154,Щиты[Щит],Щиты[Zпетли на шинах (подбор), Ом]),"")</f>
        <v/>
      </c>
      <c r="DR154" t="str">
        <f t="shared" si="290"/>
        <v/>
      </c>
      <c r="DS154" t="str">
        <f t="shared" si="291"/>
        <v/>
      </c>
      <c r="DT154">
        <f t="shared" si="292"/>
        <v>1</v>
      </c>
      <c r="DU154">
        <f t="shared" si="293"/>
        <v>0.31</v>
      </c>
      <c r="DV154" s="6">
        <f>IF(B154="","",IF(IFERROR(VLOOKUP(AX154,УГО_спр,2,FALSE),"")="Светильник",3,4)+IF(Методика="нормы 2026",MIN(0.5,MAX(0,N(Q154)-100)*0.005),0))</f>
        <v>4</v>
      </c>
      <c r="DW154" cm="1">
        <f t="array" ref="DW154">IF(OR(B154="",BT154="",DM154&lt;&gt;1),"",_xlfn.LET(_xlpm.sz,Iдоп_S,_xlpm.t_,CHOOSE(DL154,Iдоп_1ж,Iдоп_2ж,Iдоп_3ж)*DJ154*DK154,_xlpm.inn,N(DD154),_xlpm.smin,MAX(1.5,BW154),_xlpm.L_,N(Q154)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154)*(_xlpm.rho*_xlpm.L_/_xlpm.sz*N(BY154)+_xlpm.xx*_xlpm.L_*N(DU154)/1000)*N(P154)/((Uн_лин/SQRT(3))*1000)*100,999),_xlpm.kz,IF(OR(DG154=1,NOT(ISNUMBER(DQ154)),_xlpm.L_=0,_xlpm.inn=0),1,IFERROR(--(c_min*(Uн_лин*1000/SQRT(3))/(DQ154+2*ρкз_Cu*_xlpm.L_/_xlpm.sz)&gt;=GY154*_xlpm.inn),0)),_xlpm.ok,IFERROR((_xlpm.sz&gt;=_xlpm.smin)*(_xlpm.t_&gt;=_xlpm.inn)*IF(_xlpm.L_&gt;0,(_xlpm.du_+DP154&lt;=DV154+0.00001),1)*_xlpm.kz,0),_xlpm.r_,_xlfn._xlws.FILTER(_xlpm.sz,_xlpm.ok,"не подобрано"),INDEX(_xlpm.r_,1)))</f>
        <v>2.5</v>
      </c>
      <c r="DX154">
        <f t="shared" si="294"/>
        <v>4</v>
      </c>
      <c r="DY154" cm="1">
        <f t="array" ref="DY154">IF(OR(B154="",BT154="",DM154&lt;&gt;1),"",_xlfn.LET(_xlpm.sz,Iдоп_S,_xlpm.t_,CHOOSE(DL154,Iдоп_1ж,Iдоп_2ж,Iдоп_3ж)*DJ154*DK154,_xlpm.ok,IFERROR((_xlpm.sz&gt;=MAX(1.5,BW154))*(_xlpm.t_&gt;=N(DD154)),0),_xlpm.r_,_xlfn._xlws.FILTER(_xlpm.sz,_xlpm.ok,""),INDEX(_xlpm.r_,1)))</f>
        <v>2.5</v>
      </c>
      <c r="DZ154" s="6" cm="1">
        <f t="array" ref="DZ154">IFERROR(ROUNDUP(N(DT154)*(_xlfn.XLOOKUP(DY154,INDEX(Кабель_сопротивление,0,1),INDEX(Кабель_сопротивление,0,3))*N(Q154)/DY154*N(BY154)+_xlfn.XLOOKUP(DY154,INDEX(Кабель_сопротивление,0,1),INDEX(Кабель_сопротивление,0,2))*N(Q154)*N(DU154)/1000)*N(P154)/((Uн_лин/SQRT(3))*1000)*100,2),"")</f>
        <v>0</v>
      </c>
      <c r="EA154">
        <f>IFERROR(2*ρкз_Cu*N(Q154)/DY154,"")</f>
        <v>0</v>
      </c>
      <c r="EB154">
        <f>IFERROR(VLOOKUP(DX154,Кабель_сопротивление,3,FALSE),"")</f>
        <v>2.2499999999999999E-2</v>
      </c>
      <c r="EC154">
        <f>IFERROR(VLOOKUP(DX154,Кабель_сопротивление,2,FALSE),"")</f>
        <v>9.5000000000000001E-2</v>
      </c>
      <c r="ED154" t="str">
        <f t="shared" si="295"/>
        <v/>
      </c>
      <c r="EE154" t="str">
        <f t="shared" si="296"/>
        <v/>
      </c>
      <c r="EF154" t="str">
        <f t="shared" si="297"/>
        <v/>
      </c>
      <c r="EG154" s="6" t="str">
        <f>IFERROR(ROUNDUP(EF154/((Uн_лин/SQRT(3))*1000)*100,2),"")</f>
        <v/>
      </c>
      <c r="EH154" t="str">
        <f>IFERROR(VLOOKUP(BT154,Кабель_обозначение,2,FALSE),"")</f>
        <v>ВВГнг(А)-LS</v>
      </c>
      <c r="EI154" t="str">
        <f t="shared" si="298"/>
        <v>ВВГнг(А)-LS (5х4)</v>
      </c>
      <c r="EJ154" t="str">
        <f t="shared" si="299"/>
        <v/>
      </c>
      <c r="EK154" t="str">
        <f>IFERROR(2*ρкз_Cu*Q154/DX154,"")</f>
        <v/>
      </c>
      <c r="EL154">
        <f t="shared" si="300"/>
        <v>0</v>
      </c>
      <c r="EM154" s="6" t="str">
        <f>IFERROR(IF(OR(B154="",NOT(ISNUMBER(DX154)),N(Q154)=0),"",_xlfn.XLOOKUP(A154,Щиты[Щит],Щиты[Zпетли на шинах, Ом])+EK154),"")</f>
        <v/>
      </c>
      <c r="EN154" s="6" t="str">
        <f>IF(ISNUMBER(EM154),c_min*(Uн_лин*1000/SQRT(3))/EM154,"")</f>
        <v/>
      </c>
      <c r="EO154" s="6" t="str">
        <f>IFERROR(IF(OR(B154="",NOT(ISNUMBER(DX154))),"",1.05*(Uн_лин*1000/SQRT(3))/(_xlfn.XLOOKUP(A154,Щиты[Щит],Щиты[Zmax на шинах, Ом])+EL154)/1000),"")</f>
        <v/>
      </c>
      <c r="EP154" s="6" t="str">
        <f>IF(B154="","",IF(ISNUMBER(Y154),"Сил",IF(IFERROR(_xlfn.XLOOKUP(AX154,Коды_код,Коды_группа)&amp;"","")="","Быт",_xlfn.XLOOKUP(AX154,Коды_код,Коды_группа)&amp;"")))</f>
        <v>Быт</v>
      </c>
      <c r="EQ154" s="6" t="str">
        <f t="shared" si="301"/>
        <v>Нет</v>
      </c>
      <c r="ER154" s="6">
        <f>IF(EQ154="Щит","щит",IF(EQ154="","",IF(EQ154="Быт",IFERROR(_xlfn.XLOOKUP(A154,Щиты[Щит],Щиты[Кс быт]),1),IF(EQ154="Сил",IF(ISNUMBER(Y154),Y154,IF(Методика="нормы 2026",IFERROR(_xlfn.XLOOKUP(A154,Щиты[Щит],Щиты[Кс силовых (табл. 7.5)]),1),1)),IF(OR(EQ154="Пост",EQ154="Отоп"),1,IF(EQ154="ВНГ",0.7,0))))))</f>
        <v>0</v>
      </c>
      <c r="ES154">
        <f t="shared" si="302"/>
        <v>1</v>
      </c>
      <c r="ET154">
        <f t="shared" si="303"/>
        <v>0</v>
      </c>
      <c r="EU154">
        <f t="shared" si="304"/>
        <v>0</v>
      </c>
      <c r="EV154">
        <f t="shared" si="305"/>
        <v>0</v>
      </c>
      <c r="EW154">
        <f t="shared" si="306"/>
        <v>0</v>
      </c>
      <c r="EX154">
        <f t="shared" si="307"/>
        <v>0</v>
      </c>
      <c r="EY154">
        <f t="shared" si="308"/>
        <v>0</v>
      </c>
      <c r="EZ154">
        <f t="shared" si="309"/>
        <v>0</v>
      </c>
      <c r="FA154">
        <f t="shared" si="310"/>
        <v>0</v>
      </c>
      <c r="FB154">
        <f t="shared" si="311"/>
        <v>0</v>
      </c>
      <c r="FC154" t="str">
        <f t="shared" si="312"/>
        <v/>
      </c>
      <c r="FD154" t="str">
        <f>IF(B154="","",IF(CA154=0,IF(AW154=1,"",FF153),IF(OR(N(CV154)&gt;=3,N(BR154)&gt;=3),"L1,L2,L3",IFERROR(_xlfn.TEXTBEFORE(_xlfn.TEXTAFTER(_xlfn.XLOOKUP(A154,Щиты[Щит],Щиты[_фазы авто]),";"&amp;AW154&amp;":"),";"),"L1"))))</f>
        <v>L1,L2,L3</v>
      </c>
      <c r="FE154" t="str">
        <f t="shared" si="313"/>
        <v>L1,L2,L3</v>
      </c>
      <c r="FF154" t="str">
        <f t="shared" si="314"/>
        <v>L1,L2,L3</v>
      </c>
      <c r="FG154" cm="1">
        <f t="array" ref="FG154">IFERROR(IF(BX154=2,_xlfn.IFS(BR154=3,VLOOKUP(BN154,Справочная_двигатели,3,FALSE),BR154=1,VLOOKUP(BN154,Справочная_двигатели,5,TRUE)),0),0)</f>
        <v>0</v>
      </c>
      <c r="FH154">
        <f>IFERROR(IF(BX154=3,VLOOKUP(BN154,Справочная_ЛЭД,2,TRUE),0),0)</f>
        <v>0</v>
      </c>
      <c r="FI154" s="6">
        <f t="shared" si="315"/>
        <v>0</v>
      </c>
      <c r="FJ154" t="str" cm="1">
        <f t="array" ref="FJ154">IF(B154="","",IFERROR(INDEX({"I особая","I","II","III"},MATCH(TRIM(AC154&amp;""),{"I особая","I","II","III"},0)),"III"))</f>
        <v>III</v>
      </c>
      <c r="FK154" t="str">
        <f>IF(B154="","",IF(TRIM(AD154&amp;"")&lt;&gt;"",IF(LOWER(TRIM(AD154&amp;""))="да","да","нет"),IF(IFERROR(_xlfn.XLOOKUP(AX154,Коды_код,Коды_пожарная),"")="да","да","нет")))</f>
        <v>нет</v>
      </c>
      <c r="FL154" t="str">
        <f t="shared" si="316"/>
        <v/>
      </c>
      <c r="FM154" t="str">
        <f t="shared" si="317"/>
        <v>основная</v>
      </c>
      <c r="FN154">
        <f t="shared" si="318"/>
        <v>1</v>
      </c>
      <c r="FO154" t="str" cm="1">
        <f t="array" ref="FO154">IF(B154="","",_xlfn.LET(_xlpm.t,IFERROR(_xlfn.XLOOKUP(1,(Шины[Шина]=FM154)*(((Шины[Щит]=A154)+(Шины[Щит]=""))&gt;0),Шины[Тип]),"")&amp;"",IF(_xlpm.t&lt;&gt;"",_xlpm.t,IF(ISNUMBER(SEARCH("ИБП",FM154)),"ИБП",IF(ISNUMBER(SEARCH("ДГУ",FM154)),"ДГУ","Ввод "&amp;FN154)))))</f>
        <v>Ввод 1</v>
      </c>
      <c r="FP154" t="str">
        <f t="shared" si="319"/>
        <v>Ввод 1</v>
      </c>
      <c r="FQ154" t="str">
        <f>IF(B154="","",IF(OR(FO154="ИБП",FO154="ДГУ"),"I особая",IF(FO154="Одиночная","III",_xlfn.XLOOKUP(A154,Щиты[Щит],Щиты[Категория шины «Ввод»],"III"))))</f>
        <v>II</v>
      </c>
      <c r="FR154">
        <f>IF(B154="",0,IFERROR(MATCH(FJ154,{"III","II","I","I особая"},0),1))</f>
        <v>1</v>
      </c>
      <c r="FS154">
        <f t="shared" si="320"/>
        <v>1</v>
      </c>
      <c r="FT154" t="str">
        <f>IF(B154="","",IF(FR154&gt;IFERROR(MATCH(FQ154,{"III","II","I","I особая"},0),1),"НЕ ОБЕСПЕЧЕНА","ОК"))</f>
        <v>ОК</v>
      </c>
      <c r="FU154" t="str">
        <f>IF(A154="","",_xlfn.XLOOKUP(A154,Щиты[Щит],Щиты[Путь],""))</f>
        <v>|ГРЩ-ЖД|ЩР-001|</v>
      </c>
      <c r="FV154" t="str">
        <f>IF(B154="","",IF(AE154&lt;&gt;"",AE154,IF(IFERROR(_xlfn.XLOOKUP(AX154,Коды_код,Коды_вид)&amp;"","")="","Прочее",_xlfn.XLOOKUP(AX154,Коды_код,Коды_вид)&amp;"")))</f>
        <v>Прочее</v>
      </c>
      <c r="FW154">
        <f>IF(BH154="","",INT((BH154-1)/Столбцов_на_лист)+1)</f>
        <v>1</v>
      </c>
      <c r="FX154" t="str">
        <f t="shared" si="321"/>
        <v/>
      </c>
      <c r="FY154">
        <f t="shared" si="322"/>
        <v>0</v>
      </c>
      <c r="FZ154">
        <f t="shared" si="323"/>
        <v>16.380000000000003</v>
      </c>
      <c r="GA154">
        <f t="shared" si="324"/>
        <v>3</v>
      </c>
      <c r="GB154">
        <f t="shared" si="325"/>
        <v>0</v>
      </c>
      <c r="GC154">
        <f t="shared" si="326"/>
        <v>0</v>
      </c>
      <c r="GD154" t="str">
        <f>IF(BH154="","",IF(AND(CA154=1,GC154=1),COUNTIFS(A$3:A154,A154,CA$3:CA154,1,GC$3:GC154,1),IF(OR(OR(AW154=1,A154&lt;&gt;A153),AF154="вручную",GC154=0),"",IF(AW154=1,"",GE153))))</f>
        <v/>
      </c>
      <c r="GE154" t="str">
        <f t="shared" si="327"/>
        <v/>
      </c>
      <c r="GF154">
        <f>IF(B154="","",IFERROR(LOOKUP(INDEX(CHOOSE(DL154,Iдоп_1ж,Iдоп_2ж,Iдоп_3ж),MATCH(DX154,Iдоп_S,0))*DJ154*DK154,{6,10,16,20,25,32,40,50,63,80,100,125,160,200,250,315,400,500,630}),""))</f>
        <v>32</v>
      </c>
      <c r="GG154" t="str">
        <f t="shared" si="328"/>
        <v/>
      </c>
      <c r="GH154" t="str">
        <f t="shared" si="329"/>
        <v/>
      </c>
      <c r="GI154" t="str">
        <f t="shared" si="330"/>
        <v/>
      </c>
      <c r="GJ154">
        <f t="shared" si="331"/>
        <v>0</v>
      </c>
      <c r="GK154" t="str">
        <f>IF(OR(AG154="",AG154="-"),"",IFERROR(VLOOKUP(AG154,Модули_спр,2,FALSE),"R"))</f>
        <v/>
      </c>
      <c r="GL154" t="str">
        <f>IF(GK154="","",GK154&amp;"."&amp;COUNTIFS(A$3:A154,A154,GK$3:GK154,GK154))</f>
        <v/>
      </c>
      <c r="GM154" t="str">
        <f t="shared" si="332"/>
        <v/>
      </c>
      <c r="GN154" t="str">
        <f t="shared" si="333"/>
        <v/>
      </c>
      <c r="GO154" t="str">
        <f t="shared" si="334"/>
        <v/>
      </c>
      <c r="GP154" t="str">
        <f t="shared" si="335"/>
        <v/>
      </c>
      <c r="GQ154">
        <f t="shared" si="336"/>
        <v>0</v>
      </c>
      <c r="GR154" t="str">
        <f>IF(GQ154=1,"XT"&amp;COUNTIFS(A$3:A154,A154,GQ$3:GQ154,1),"")</f>
        <v/>
      </c>
      <c r="GS154" t="str">
        <f t="shared" si="337"/>
        <v/>
      </c>
      <c r="GT154" t="str">
        <f t="shared" si="338"/>
        <v/>
      </c>
      <c r="GU154" t="str">
        <f t="shared" si="339"/>
        <v/>
      </c>
      <c r="GV154" t="str">
        <f t="shared" si="340"/>
        <v>ok</v>
      </c>
      <c r="GW154" t="str">
        <f>IF(OR(GO154="",GM154=""),"",IF(GO154&gt;IFERROR(VLOOKUP(GN154,Модули_спр,3,FALSE),99),"ЛИШНИЙ КАНАЛ",IF(AND(AH154&lt;&gt;"=",COUNTIFS(Линии[_модуль гр.],GM154,Линии[Канал (итог)],GO154,Линии[Канал],"&lt;&gt;=",Линии[Щит],A154)&gt;1),"ДУБЛЬ КАНАЛА","")))</f>
        <v/>
      </c>
      <c r="GX154" s="6" t="str">
        <f t="shared" si="341"/>
        <v/>
      </c>
      <c r="GY154">
        <f t="shared" si="342"/>
        <v>10</v>
      </c>
      <c r="GZ154" t="str">
        <f t="shared" si="343"/>
        <v/>
      </c>
      <c r="HA154" t="str">
        <f>IF(AND(B154="",GT154=""),"",_xlfn.TEXTJOIN("; ",TRUE,IF(AND(B154&lt;&gt;"",FE154=""),"нет фазы",""),IF(AND(B154&lt;&gt;"",N(FY154)=0,EQ154&lt;&gt;"Нет"),"нет мощности",""),IF(AND(GS154&lt;&gt;"",COUNTIFS(Линии[Щит],A154,Линии[Клемма (итог)],GS154)&gt;1),"дубль клеммы "&amp;GS154,""),IF(AND(GV154&lt;&gt;"",GV154&lt;&gt;"ok"),GV154,""),IF(GW154&lt;&gt;"",GW154,""),IF(AND(N(BV154)&gt;=4,N(BR154)=1),BV154&amp;" жил на 1 фазе",""),IF(AND(AX154="R",CA154=1,OR(N(CK154)=0,N(CK154)&gt;30)),"розетка без дифзащиты до 30 мА",""),IFERROR(IF(AND(ISNUMBER(R154),R154&gt;DV154),"потери "&amp;FIXED(R154,1)&amp;" % &gt; "&amp;DV154&amp;" %",""),""),IFERROR(IF(LEFT(GZ154,4)="мало","Iкз мало — отключение &gt; 0,4 с",""),""),IF(AND(B154&lt;&gt;"",BH154=""),"не на схеме",""),IF(AND(CA154=0,B154&lt;&gt;"",FE154&lt;&gt;"",IF(AW154=1,"",FF153)&lt;&gt;"",FE154&lt;&gt;IF(AW154=1,"",FF153)),"фаза не как у автомата группы ("&amp;IF(AW154=1,"",FF153)&amp;")","")))</f>
        <v/>
      </c>
      <c r="HB154" s="6">
        <f>IF(OR(CA154=0,DA154=""),"",_xlfn.LET(_xlpm.t,IFERROR(_xlfn.XLOOKUP(DA154,Каталог!$U$4:$U$500,Каталог!$G$4:$G$500),""),_xlpm.k,SEARCH("кА",_xlpm.t),IFERROR(--TRIM(RIGHT(SUBSTITUTE(MID(_xlpm.t,MAX(1,_xlpm.k-4),_xlpm.k-MAX(1,_xlpm.k-4))," ",REPT(" ",9)),5)),"")))</f>
        <v>6</v>
      </c>
      <c r="HC154" t="str">
        <f>IF(OR(HB154="",CA154=0),"",IF(_xlfn.XLOOKUP(A154,Щиты[Щит],Щиты[Iкз max на шинах, кА],"")="","",IF(HB154&lt;_xlfn.XLOOKUP(A154,Щиты[Щит],Щиты[Iкз max на шинах, кА]),"Icu "&amp;HB154&amp;" кА &lt; Iкз max","ok")))</f>
        <v/>
      </c>
      <c r="HD154" t="str">
        <f t="shared" si="344"/>
        <v/>
      </c>
      <c r="HE154" t="str">
        <f t="shared" si="345"/>
        <v/>
      </c>
      <c r="HF154" t="str">
        <f t="shared" si="346"/>
        <v/>
      </c>
      <c r="HG154" t="str" cm="1">
        <f t="array" ref="HG154">IF(HF154="","",_xlfn.LET(_xlpm.nd,_xlfn.TEXTSPLIT(HF154,"|"),IF(COLUMNS(_xlpm.nd)&gt;1,A154&amp;"¦"&amp;INDEX(_xlpm.nd,1)&amp;"¦"&amp;INDEX(_xlpm.nd,2),"")))</f>
        <v/>
      </c>
      <c r="HH154" t="str">
        <f t="shared" si="347"/>
        <v/>
      </c>
      <c r="HI154" t="str" cm="1">
        <f t="array" ref="HI154">IF(HF154="","",_xlfn.LET(_xlpm.nd,_xlfn.TEXTSPLIT(HF154,"|"),IF(COLUMNS(_xlpm.nd)&gt;2,A154&amp;"¦"&amp;INDEX(_xlpm.nd,2)&amp;"¦"&amp;INDEX(_xlpm.nd,3),"")))</f>
        <v/>
      </c>
      <c r="HJ154" t="str">
        <f t="shared" si="348"/>
        <v/>
      </c>
      <c r="HK154" t="str" cm="1">
        <f t="array" ref="HK154">IF(HF154="","",_xlfn.LET(_xlpm.nd,_xlfn.TEXTSPLIT(HF154,"|"),IF(COLUMNS(_xlpm.nd)&gt;3,A154&amp;"¦"&amp;INDEX(_xlpm.nd,3)&amp;"¦"&amp;INDEX(_xlpm.nd,4),"")))</f>
        <v/>
      </c>
      <c r="HL154" t="str">
        <f t="shared" si="349"/>
        <v/>
      </c>
      <c r="HM154" t="str" cm="1">
        <f t="array" ref="HM154">IF(HF154="","",_xlfn.LET(_xlpm.nd,_xlfn.TEXTSPLIT(HF154,"|"),IF(COLUMNS(_xlpm.nd)&gt;4,A154&amp;"¦"&amp;INDEX(_xlpm.nd,4)&amp;"¦"&amp;INDEX(_xlpm.nd,5),"")))</f>
        <v/>
      </c>
      <c r="HN154" t="str">
        <f t="shared" si="350"/>
        <v/>
      </c>
      <c r="HO154" t="str" cm="1">
        <f t="array" ref="HO154">IF(HF154="","",_xlfn.LET(_xlpm.nd,_xlfn.TEXTSPLIT(HF154,"|"),IF(COLUMNS(_xlpm.nd)&gt;5,A154&amp;"¦"&amp;INDEX(_xlpm.nd,5)&amp;"¦"&amp;INDEX(_xlpm.nd,6),"")))</f>
        <v/>
      </c>
      <c r="HP154" t="str">
        <f t="shared" si="351"/>
        <v/>
      </c>
      <c r="HQ154" t="str" cm="1">
        <f t="array" ref="HQ154">IF(HF154="","",_xlfn.LET(_xlpm.nd,_xlfn.TEXTSPLIT(HF154,"|"),IF(COLUMNS(_xlpm.nd)&gt;6,A154&amp;"¦"&amp;INDEX(_xlpm.nd,6)&amp;"¦"&amp;INDEX(_xlpm.nd,7),"")))</f>
        <v/>
      </c>
      <c r="HR154" t="str">
        <f t="shared" si="352"/>
        <v/>
      </c>
      <c r="HS154" t="str">
        <f t="shared" si="353"/>
        <v/>
      </c>
      <c r="HT154" t="str">
        <f t="shared" si="354"/>
        <v/>
      </c>
      <c r="HU154">
        <f t="shared" si="355"/>
        <v>0</v>
      </c>
      <c r="HV154">
        <f t="shared" si="356"/>
        <v>0</v>
      </c>
      <c r="HW154" t="str">
        <f t="shared" si="357"/>
        <v/>
      </c>
      <c r="HX154" t="str">
        <f t="shared" si="358"/>
        <v/>
      </c>
      <c r="HY154" t="str">
        <f t="shared" si="359"/>
        <v/>
      </c>
      <c r="HZ154" t="str">
        <f t="shared" si="360"/>
        <v/>
      </c>
      <c r="IA154">
        <f>IF(B154="","",IFERROR(VLOOKUP(B154,УГО_спр,2,FALSE),IFERROR(VLOOKUP(AX154,УГО_спр,2,FALSE),IFERROR(VLOOKUP(LEFT(AX154,2),УГО_спр,2,FALSE),""))))</f>
        <v>0</v>
      </c>
      <c r="IB154" t="str">
        <f>IF(B154="","",IF(OR(IA154="",IA154=0),"BOX",IFERROR(IF(VLOOKUP(IA154,УГО_блоки,3,FALSE)&amp;""&lt;&gt;"",VLOOKUP(IA154,УГО_блоки,3,FALSE),VLOOKUP(IA154,УГО_блоки,2,FALSE)),IA154)))</f>
        <v>BOX</v>
      </c>
      <c r="IC154">
        <f t="shared" si="361"/>
        <v>1</v>
      </c>
      <c r="ID154" t="str">
        <f>IF(DA154="","",IF(COUNTIF(DA$3:DA154,DA154)=1,MAX(ID$2:ID153)+1,""))</f>
        <v/>
      </c>
      <c r="IE154" t="str">
        <f>IF(CO154="","",IF(COUNTIF(CO$3:CO154,CO154)+COUNTIF(CP$2:CP153,CO154)+COUNTIF(CQ$2:CQ153,CO154)=1,MAX(IE$2:IG153)+1,""))</f>
        <v/>
      </c>
      <c r="IF154" t="str">
        <f>IF(CP154="","",IF(COUNTIF(CO$3:CO154,CP154)+COUNTIF(CP$3:CP154,CP154)+COUNTIF(CQ$2:CQ153,CP154)=1,MAX(IE$2:IG153,IE154)+1,""))</f>
        <v/>
      </c>
      <c r="IG154" t="str">
        <f>IF(CQ154="","",IF(COUNTIF(CO$3:CO154,CQ154)+COUNTIF(CP$3:CP154,CQ154)+COUNTIF(CQ$3:CQ154,CQ154)=1,MAX(IE$2:IG153,IE154,IF154)+1,""))</f>
        <v/>
      </c>
      <c r="IH154" t="str">
        <f t="shared" si="362"/>
        <v/>
      </c>
      <c r="II154" t="str">
        <f>IF(IH154="","",IF(COUNTIF(IH$3:IH154,IH154)=1,MAX(II$2:II153)+1,""))</f>
        <v/>
      </c>
      <c r="IJ154" t="str">
        <f>IF(GL154="","",COUNTIF(GL$3:GL154,"?*"))</f>
        <v/>
      </c>
      <c r="IK154" t="str">
        <f>IF(OR(GL154="",GN154=""),"",IF(COUNTIFS(GL$3:GL154,"?*",GN$3:GN154,GN154)=1,MAX(IK$2:IK153)+1,""))</f>
        <v/>
      </c>
      <c r="IL154">
        <f t="shared" si="363"/>
        <v>0</v>
      </c>
      <c r="IM154">
        <f>IF(B154="","",COUNTIF(B$3:B154,"?*"))</f>
        <v>152</v>
      </c>
      <c r="IN154">
        <f>IF(GQ154&lt;&gt;1,0,_xlfn.LET(_xlpm.k,MAX(IFERROR(--VLOOKUP(B154,УГО_спр,5,FALSE),0),IFERROR(--VLOOKUP(AX154,УГО_спр,5,FALSE),0),IFERROR(--VLOOKUP(LEFT(AX154,2),УГО_спр,5,FALSE),0)),IF(_xlpm.k&gt;0,_xlpm.k,IF(IFERROR(--LEFT(SUBSTITUTE(IH154,"x","х"),FIND("х",SUBSTITUTE(IH154,"x","х"))-1),3)&gt;3,Каталог!$S$9,1))))</f>
        <v>0</v>
      </c>
      <c r="IO154">
        <f t="shared" si="364"/>
        <v>0</v>
      </c>
      <c r="IP154" t="str">
        <f t="shared" si="365"/>
        <v>авто</v>
      </c>
      <c r="IQ154" t="str">
        <f t="shared" si="366"/>
        <v/>
      </c>
      <c r="IR154">
        <f t="shared" si="367"/>
        <v>0</v>
      </c>
      <c r="IS154">
        <f t="shared" si="368"/>
        <v>1</v>
      </c>
    </row>
    <row r="155" spans="1:253" x14ac:dyDescent="0.3">
      <c r="A155" t="s">
        <v>755</v>
      </c>
      <c r="B155" t="s">
        <v>1422</v>
      </c>
      <c r="C155" t="str">
        <f>Линии[[#This Row],[_авто наименование]]</f>
        <v>Розеточная группа, пом. 001Б</v>
      </c>
      <c r="D155">
        <v>11</v>
      </c>
      <c r="E155">
        <v>0.65999999999999992</v>
      </c>
      <c r="G155">
        <v>16</v>
      </c>
      <c r="H155">
        <f>Линии[[#This Row],[_авто утечка]]</f>
        <v>30</v>
      </c>
      <c r="I155" t="str">
        <f>Линии[[#This Row],[_авто управление]]</f>
        <v/>
      </c>
      <c r="J155" t="str">
        <f>Линии[[#This Row],[_авто аппараты]]</f>
        <v/>
      </c>
      <c r="K155">
        <v>2.5</v>
      </c>
      <c r="L155">
        <v>63</v>
      </c>
      <c r="M155">
        <v>3</v>
      </c>
      <c r="N155" t="str">
        <f>Линии[[#This Row],[_авто клемма]]</f>
        <v>XT1</v>
      </c>
      <c r="O155" t="str">
        <f t="shared" si="246"/>
        <v>потери 4,4 % &gt; 4,13 %</v>
      </c>
      <c r="P155" s="6" cm="1">
        <f t="array" ref="P155">IF(B155="","",IF(BC155&lt;&gt;"",IFERROR(_xlfn.XLOOKUP(BC155,Щиты[Щит],Щиты[Iр, А]),""),IF(BK155=1,IFERROR(_xlfn.XLOOKUP(A155,Щиты[Щит],Щиты[Iр, А]),""),IFERROR(_xlfn.IFS(BR155=1,BN155/((Uн_лин/SQRT(3))*BY155),BR155=3,BN155/(SQRT(3)*Uн_лин*BY155)),""))))</f>
        <v>3.008298771040681</v>
      </c>
      <c r="Q155" s="7">
        <f>IF(B155="","",IFERROR(IF(VLOOKUP(AX155,Потребители_обозначение,4,FALSE)=1,VLOOKUP(AX155,Потребители_обозначение,3,FALSE)*(D155*2-1)+DS155+VLOOKUP(AZ155,Этаж_обозначение,3,FALSE)+VLOOKUP(AZ155,Этаж_обозначение,4,FALSE),VLOOKUP(AX155,Потребители_обозначение,3,FALSE)*(D155*2-1)+DS155),DS155))</f>
        <v>126</v>
      </c>
      <c r="R155" s="6">
        <f t="shared" si="247"/>
        <v>4.3899999999999997</v>
      </c>
      <c r="S155" t="str">
        <f t="shared" si="248"/>
        <v>ВВГнг(А)-LS (3х2,5)</v>
      </c>
      <c r="T155" t="str">
        <f>IF(BH155="","",IF(BI155="вводной узел","узел ","")&amp;"л."&amp;(INT((BH155-1)/Столбцов_на_лист)+1)&amp;" / "&amp;(MOD(BH155-1,Столбцов_на_лист)+1))</f>
        <v>л.2 / 1</v>
      </c>
      <c r="V155">
        <v>1</v>
      </c>
      <c r="W155">
        <v>230</v>
      </c>
      <c r="X155" t="s">
        <v>564</v>
      </c>
      <c r="AC155" t="s">
        <v>815</v>
      </c>
      <c r="AE155" t="s">
        <v>563</v>
      </c>
      <c r="AI155">
        <v>18</v>
      </c>
      <c r="AJ155" t="s">
        <v>11</v>
      </c>
      <c r="AK155">
        <v>3</v>
      </c>
      <c r="AM155">
        <v>0</v>
      </c>
      <c r="AN155">
        <v>0</v>
      </c>
      <c r="AO155">
        <v>126</v>
      </c>
      <c r="AW155" cm="1">
        <f t="array" ref="AW155">ROW()-ROW(Линии[#Headers])</f>
        <v>153</v>
      </c>
      <c r="AX155" s="6" t="str">
        <f t="shared" si="249"/>
        <v>R</v>
      </c>
      <c r="AY155" t="str">
        <f t="shared" si="250"/>
        <v>00.001Б.1</v>
      </c>
      <c r="AZ155" t="str">
        <f t="shared" si="251"/>
        <v>00</v>
      </c>
      <c r="BA155" t="str">
        <f t="shared" si="252"/>
        <v>001Б.1</v>
      </c>
      <c r="BB155" t="str">
        <f t="shared" si="253"/>
        <v>001Б</v>
      </c>
      <c r="BC155" t="str">
        <f>IF(U155&lt;&gt;"",U155,IF(AND(B155&lt;&gt;"",B155&lt;&gt;A155,ISNUMBER(_xlfn.XMATCH(B155,Щиты[Щит]))),B155,""))</f>
        <v/>
      </c>
      <c r="BD155" t="str" cm="1">
        <f t="array" ref="BD155">IF(B155="","",IF(BC155&lt;&gt;"","Щит "&amp;BC155,_xlfn.LET(_xlpm.nm,IFERROR(_xlfn.XLOOKUP(AX155,Коды_код,Коды_имя)&amp;"",""),_xlpm.md,IFERROR(N(_xlfn.XLOOKUP(AX155,Коды_код,Коды_режим)),1),_xlpm.ex,IF(Имя_режим="по экспликации",IFERROR(_xlfn.XLOOKUP(AZ155&amp;"|"&amp;BB155,Экспликация[Этаж]&amp;"|"&amp;Экспликация[Помещение],Экспликация[Название])&amp;"",""),""),_xlpm.rm,IF(BB155="","",IF(_xlpm.ex&lt;&gt;"",". "&amp;_xlpm.ex&amp;IF(Имя_пом="нет"," ("&amp;BB155&amp;")"," (пом. "&amp;BB155&amp;")"),IF(Имя_пом="нет"," ",", пом. ")&amp;BB155)),IF(_xlpm.nm="","",IF(_xlpm.md=2,_xlpm.nm&amp;" шлейф "&amp;AZ155,_xlpm.nm&amp;_xlpm.rm)))))</f>
        <v>Розеточная группа, пом. 001Б</v>
      </c>
      <c r="BE155" t="str">
        <f t="shared" si="254"/>
        <v>Розеточная группа, пом. 001Б</v>
      </c>
      <c r="BF155">
        <f>IFERROR(_xlfn.XMATCH(A155,Щиты[Щит]),0)</f>
        <v>8</v>
      </c>
      <c r="BG155">
        <f>_xlfn.LET(_xlpm.k,IFERROR(_xlfn.XLOOKUP(A155,Щиты[Щит],Щиты[Листов под вводной узел]),""),IF(_xlpm.k="",1,N(_xlpm.k))*Столбцов_на_лист)</f>
        <v>17</v>
      </c>
      <c r="BH155">
        <f t="shared" si="255"/>
        <v>18</v>
      </c>
      <c r="BI155" t="str">
        <f t="shared" si="256"/>
        <v>линии</v>
      </c>
      <c r="BJ155" s="6">
        <f>IFERROR(N(_xlfn.XLOOKUP(AX155,Коды_код,Коды_квт)),0)</f>
        <v>0</v>
      </c>
      <c r="BK155">
        <f t="shared" si="257"/>
        <v>0</v>
      </c>
      <c r="BL155" t="str">
        <f>IF(B155="","",IF(BC155&lt;&gt;"",IFERROR(_xlfn.XLOOKUP(BC155,Щиты[Щит],Щиты[Руст, кВт]),0),IF(BK155=1,IFERROR(_xlfn.XLOOKUP(A155,Щиты[Щит],Щиты[Руст, кВт]),0),IF(BJ155&gt;0,ROUND(BJ155*MAX(1,N(D155)),3),""))))</f>
        <v/>
      </c>
      <c r="BM155">
        <f t="shared" si="258"/>
        <v>0.65999999999999992</v>
      </c>
      <c r="BN155" s="6">
        <f>IF(B155="","",IF(BC155&lt;&gt;"",IFERROR(_xlfn.XLOOKUP(BC155,Щиты[Щит],Щиты[Руст, кВт]),0),N(BM155)))</f>
        <v>0.65999999999999992</v>
      </c>
      <c r="BO155" t="str">
        <f>IF(B155="","",IFERROR(IF(VLOOKUP(AX155,Потребители_обозначение,8,FALSE)=0,"",VLOOKUP(AX155,Потребители_обозначение,8,FALSE)),""))</f>
        <v/>
      </c>
      <c r="BP155">
        <f t="shared" si="259"/>
        <v>230</v>
      </c>
      <c r="BQ155">
        <f>IF(B155="","",IF(BC155&lt;&gt;"",3,IFERROR(IF(N(VLOOKUP(AX155,Потребители_обозначение,9,FALSE))=0,1,VLOOKUP(AX155,Потребители_обозначение,9,FALSE)),1)))</f>
        <v>1</v>
      </c>
      <c r="BR155">
        <f t="shared" si="260"/>
        <v>1</v>
      </c>
      <c r="BS155" t="str">
        <f>IF(B155="","",_xlfn.LET(_xlpm.bc,IFERROR(IF(VLOOKUP(AX155,Потребители_обозначение,6,FALSE)=0,"",VLOOKUP(AX155,Потребители_обозначение,6,FALSE)&amp;""),""),IF(AND(FK155="да",OR(_xlpm.bc="",_xlpm.bc="мс")),Марка_пож,IF(AND(_xlpm.bc="",BC155&lt;&gt;""),"мс",_xlpm.bc))))</f>
        <v/>
      </c>
      <c r="BT155" t="str">
        <f t="shared" si="261"/>
        <v>мс</v>
      </c>
      <c r="BU155">
        <f>IF(B155="","",_xlfn.LET(_xlpm.cc,IFERROR(N(VLOOKUP(AX155,Потребители_обозначение,7,FALSE)),0),IF(_xlpm.cc&gt;0,_xlpm.cc,IF(BT155="","",IF(N(BR155)=3,5,3)))))</f>
        <v>3</v>
      </c>
      <c r="BV155">
        <f t="shared" si="262"/>
        <v>3</v>
      </c>
      <c r="BW155">
        <f>IFERROR(N(VLOOKUP(AX155,Потребители_обозначение,10,FALSE)),0)</f>
        <v>0</v>
      </c>
      <c r="BX155">
        <f>IFERROR(VLOOKUP(AX155,Потребители_обозначение,5,FALSE),0)</f>
        <v>1</v>
      </c>
      <c r="BY155" s="6" cm="1">
        <f t="array" ref="BY155">IF(B155="","",IF(BC155&lt;&gt;"",IFERROR(_xlfn.XLOOKUP(BC155,Щиты[Щит],Щиты[cos φ]),0.95),IF(BK155=1,IFERROR(_xlfn.XLOOKUP(A155,Щиты[Щит],Щиты[cos φ]),0.95),IF(ISNUMBER(Z155),Z155,IFERROR(IF(BX155=2,_xlfn.IFS(BR155=3,VLOOKUP(BN155,Справочная_двигатели,8,FALSE),BR155=1,VLOOKUP(BN155,Справочная_двигатели,10,TRUE)),IF(AND(Методика="нормы 2026",EQ155="Сил"),0.8,0.95)),0.95)))))</f>
        <v>0.95</v>
      </c>
      <c r="BZ155">
        <f t="shared" si="263"/>
        <v>0</v>
      </c>
      <c r="CA155">
        <f t="shared" si="264"/>
        <v>1</v>
      </c>
      <c r="CB155">
        <f t="shared" si="265"/>
        <v>0</v>
      </c>
      <c r="CC155">
        <f t="shared" si="266"/>
        <v>0</v>
      </c>
      <c r="CD155">
        <f t="shared" si="267"/>
        <v>0</v>
      </c>
      <c r="CE155">
        <f t="shared" si="268"/>
        <v>0</v>
      </c>
      <c r="CF155">
        <f t="shared" si="269"/>
        <v>0</v>
      </c>
      <c r="CG155">
        <f>IF(AX155="",0,_xlfn.LET(_xlpm.v,IFERROR(VLOOKUP(B155,УГО_спр,3,FALSE),IFERROR(VLOOKUP(AX155,УГО_спр,3,FALSE),IFERROR(VLOOKUP(LEFT(AX155,2),УГО_спр,3,FALSE),""))),IF(_xlpm.v="да",30,IF(ISNUMBER(_xlpm.v),_xlpm.v,0))))</f>
        <v>30</v>
      </c>
      <c r="CH155">
        <f t="shared" si="270"/>
        <v>30</v>
      </c>
      <c r="CI155" t="str">
        <f>_xlfn.LET(_xlpm.k,IFERROR(_xlfn.XLOOKUP(AX155,Коды_код,Коды_утечка)&amp;"",""),IF(_xlpm.k="","дифавтомат",_xlpm.k))</f>
        <v>дифавтомат</v>
      </c>
      <c r="CJ155">
        <f t="shared" si="271"/>
        <v>30</v>
      </c>
      <c r="CK155">
        <f t="shared" si="272"/>
        <v>30</v>
      </c>
      <c r="CL155">
        <f>IF(B155="",0,IFERROR(--VLOOKUP(B155,УГО_спр,4,FALSE),IFERROR(--VLOOKUP(AX155,УГО_спр,4,FALSE),IFERROR(--VLOOKUP(LEFT(AX155,2),УГО_спр,4,FALSE),0))))</f>
        <v>16</v>
      </c>
      <c r="CM155" t="str">
        <f>IF(B155="","",IFERROR(_xlfn.XLOOKUP(AX155,Коды_код,Коды_апп)&amp;"",""))</f>
        <v/>
      </c>
      <c r="CN155" t="str">
        <f t="shared" si="273"/>
        <v/>
      </c>
      <c r="CO155" t="str" cm="1">
        <f t="array" ref="CO155">IF(TRIM(CN155&amp;"")="","",IFERROR(TRIM(INDEX(_xlfn.TEXTSPLIT(CN155&amp;";;;",";"),1)),""))</f>
        <v/>
      </c>
      <c r="CP155" t="str" cm="1">
        <f t="array" ref="CP155">IF(TRIM(CN155&amp;"")="","",IFERROR(TRIM(INDEX(_xlfn.TEXTSPLIT(CN155&amp;";;;",";"),2)),""))</f>
        <v/>
      </c>
      <c r="CQ155" t="str" cm="1">
        <f t="array" ref="CQ155">IF(TRIM(CN155&amp;"")="","",IFERROR(TRIM(INDEX(_xlfn.TEXTSPLIT(CN155&amp;";;;",";"),3)),""))</f>
        <v/>
      </c>
      <c r="CR155">
        <f t="shared" si="274"/>
        <v>0</v>
      </c>
      <c r="CS155" t="str">
        <f>IF(B155="","",_xlfn.LET(_xlpm.t,LOWER(AV155&amp;""),IF(ISNUMBER(SEARCH("dim",_xlpm.t)),"DIM",IF(ISNUMBER(SEARCH("dali",_xlpm.t)),"DALI",IF(OR(ISNUMBER(SEARCH("relay",_xlpm.t)),ISNUMBER(SEARCH("реле",_xlpm.t))),"Relay",IF(ISNUMBER(SEARCH("кнопк",_xlpm.t)),"",IFERROR(_xlfn.XLOOKUP(AX155,Коды_код,Коды_упр)&amp;"","")))))))</f>
        <v/>
      </c>
      <c r="CT155" t="str">
        <f t="shared" si="275"/>
        <v/>
      </c>
      <c r="CU155">
        <f>IF(B155="","",_xlfn.LET(_xlpm.ig,N(P155)+IF(AF155="вручную",0,N(CB155)),_xlpm.n0,IFERROR(VLOOKUP(_xlpm.ig,Автомат_номиналы,2,TRUE),0),_xlpm.mn,MAX(CL155,IF(AF155="вручную",0,N(CE155))),MAX(_xlpm.n0,_xlpm.mn,IF(CR155=1,Мин_автомат_БП,0))))</f>
        <v>16</v>
      </c>
      <c r="CV155">
        <f t="shared" si="276"/>
        <v>1</v>
      </c>
      <c r="CW155" t="str">
        <f t="shared" si="277"/>
        <v>2P</v>
      </c>
      <c r="CX155" t="str">
        <f>_xlfn.LET(_xlpm.cc,UPPER(TRIM(IFERROR(_xlfn.XLOOKUP(AX155,Коды_код,Коды_хар)&amp;"",""))),IF(OR(_xlpm.cc="B",_xlpm.cc="В"),"B",IF(_xlpm.cc="D","D","С")))</f>
        <v>С</v>
      </c>
      <c r="CY155" t="str">
        <f t="shared" si="278"/>
        <v>2P С16А 30мА</v>
      </c>
      <c r="CZ155">
        <f t="shared" si="279"/>
        <v>16</v>
      </c>
      <c r="DA155" t="str">
        <f t="shared" si="280"/>
        <v>2P С16А 30мА</v>
      </c>
      <c r="DB155" cm="1">
        <f t="array" ref="DB155">IF(DA155="","",_xlfn.LET(_xlpm.t,SUBSTITUTE(SUBSTITUTE(SUBSTITUTE(UPPER(DA155),"С","C"),"А","A"),"В","B"),_xlpm.tk,_xlfn.TEXTSPLIT(_xlpm.t,"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5" t="str">
        <f t="shared" si="281"/>
        <v>ok</v>
      </c>
      <c r="DD155">
        <f t="shared" si="282"/>
        <v>16</v>
      </c>
      <c r="DE155" t="str">
        <f t="shared" si="283"/>
        <v>2P С16А 30мА</v>
      </c>
      <c r="DF155">
        <f t="shared" si="284"/>
        <v>30</v>
      </c>
      <c r="DG155">
        <f t="shared" si="285"/>
        <v>1</v>
      </c>
      <c r="DH155">
        <f t="shared" si="286"/>
        <v>0</v>
      </c>
      <c r="DI155">
        <f t="shared" si="287"/>
        <v>3.008298771040681</v>
      </c>
      <c r="DJ155">
        <f t="shared" si="288"/>
        <v>1</v>
      </c>
      <c r="DK155">
        <f>IF(ISNUMBER(AL155),AL155,К_прокл)</f>
        <v>1</v>
      </c>
      <c r="DL155">
        <f t="shared" si="289"/>
        <v>2</v>
      </c>
      <c r="DM155">
        <f>IFERROR(N(VLOOKUP(BT155,Кабель_обозначение,3,FALSE)),1)</f>
        <v>1</v>
      </c>
      <c r="DN155">
        <f>IFERROR(N(_xlfn.XLOOKUP(A155,Щиты[Щит],Щиты[ΔU до шин, %])),0)</f>
        <v>1.57</v>
      </c>
      <c r="DO155" t="str">
        <f>IFERROR(_xlfn.XLOOKUP(A155,Щиты[Щит],Щиты[Zпетли на шинах, Ом]),"")</f>
        <v/>
      </c>
      <c r="DP155">
        <f>IFERROR(N(_xlfn.XLOOKUP(A155,Щиты[Щит],Щиты[ΔU до шин (подбор), %])),0)</f>
        <v>2.5</v>
      </c>
      <c r="DQ155" t="str">
        <f>IFERROR(_xlfn.XLOOKUP(A155,Щиты[Щит],Щиты[Zпетли на шинах (подбор), Ом]),"")</f>
        <v/>
      </c>
      <c r="DR155" t="str">
        <f t="shared" si="290"/>
        <v/>
      </c>
      <c r="DS155">
        <f t="shared" si="291"/>
        <v>63</v>
      </c>
      <c r="DT155">
        <f t="shared" si="292"/>
        <v>2</v>
      </c>
      <c r="DU155">
        <f t="shared" si="293"/>
        <v>0.31</v>
      </c>
      <c r="DV155" s="6">
        <f>IF(B155="","",IF(IFERROR(VLOOKUP(AX155,УГО_спр,2,FALSE),"")="Светильник",3,4)+IF(Методика="нормы 2026",MIN(0.5,MAX(0,N(Q155)-100)*0.005),0))</f>
        <v>4.13</v>
      </c>
      <c r="DW155" cm="1">
        <f t="array" ref="DW155">IF(OR(B155="",BT155="",DM155&lt;&gt;1),"",_xlfn.LET(_xlpm.sz,Iдоп_S,_xlpm.t_,CHOOSE(DL155,Iдоп_1ж,Iдоп_2ж,Iдоп_3ж)*DJ155*DK155,_xlpm.inn,N(DD155),_xlpm.smin,MAX(1.5,BW155),_xlpm.L_,N(Q155)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155)*(_xlpm.rho*_xlpm.L_/_xlpm.sz*N(BY155)+_xlpm.xx*_xlpm.L_*N(DU155)/1000)*N(P155)/((Uн_лин/SQRT(3))*1000)*100,999),_xlpm.kz,IF(OR(DG155=1,NOT(ISNUMBER(DQ155)),_xlpm.L_=0,_xlpm.inn=0),1,IFERROR(--(c_min*(Uн_лин*1000/SQRT(3))/(DQ155+2*ρкз_Cu*_xlpm.L_/_xlpm.sz)&gt;=GY155*_xlpm.inn),0)),_xlpm.ok,IFERROR((_xlpm.sz&gt;=_xlpm.smin)*(_xlpm.t_&gt;=_xlpm.inn)*IF(_xlpm.L_&gt;0,(_xlpm.du_+DP155&lt;=DV155+0.00001),1)*_xlpm.kz,0),_xlpm.r_,_xlfn._xlws.FILTER(_xlpm.sz,_xlpm.ok,"не подобрано"),INDEX(_xlpm.r_,1)))</f>
        <v>6</v>
      </c>
      <c r="DX155">
        <f t="shared" si="294"/>
        <v>2.5</v>
      </c>
      <c r="DY155" cm="1">
        <f t="array" ref="DY155">IF(OR(B155="",BT155="",DM155&lt;&gt;1),"",_xlfn.LET(_xlpm.sz,Iдоп_S,_xlpm.t_,CHOOSE(DL155,Iдоп_1ж,Iдоп_2ж,Iдоп_3ж)*DJ155*DK155,_xlpm.ok,IFERROR((_xlpm.sz&gt;=MAX(1.5,BW155))*(_xlpm.t_&gt;=N(DD155)),0),_xlpm.r_,_xlfn._xlws.FILTER(_xlpm.sz,_xlpm.ok,""),INDEX(_xlpm.r_,1)))</f>
        <v>1.5</v>
      </c>
      <c r="DZ155" s="6" cm="1">
        <f t="array" ref="DZ155">IFERROR(ROUNDUP(N(DT155)*(_xlfn.XLOOKUP(DY155,INDEX(Кабель_сопротивление,0,1),INDEX(Кабель_сопротивление,0,3))*N(Q155)/DY155*N(BY155)+_xlfn.XLOOKUP(DY155,INDEX(Кабель_сопротивление,0,1),INDEX(Кабель_сопротивление,0,2))*N(Q155)*N(DU155)/1000)*N(P155)/((Uн_лин/SQRT(3))*1000)*100,2),"")</f>
        <v>4.6899999999999995</v>
      </c>
      <c r="EA155">
        <f>IFERROR(2*ρкз_Cu*N(Q155)/DY155,"")</f>
        <v>4.4184000000000001</v>
      </c>
      <c r="EB155">
        <f>IFERROR(VLOOKUP(DX155,Кабель_сопротивление,3,FALSE),"")</f>
        <v>2.2499999999999999E-2</v>
      </c>
      <c r="EC155">
        <f>IFERROR(VLOOKUP(DX155,Кабель_сопротивление,2,FALSE),"")</f>
        <v>0.1</v>
      </c>
      <c r="ED155">
        <f t="shared" si="295"/>
        <v>0</v>
      </c>
      <c r="EE155">
        <f t="shared" si="296"/>
        <v>126</v>
      </c>
      <c r="EF155">
        <f t="shared" si="297"/>
        <v>6.5051813620836203</v>
      </c>
      <c r="EG155" s="6">
        <f>IFERROR(ROUNDUP(EF155/((Uн_лин/SQRT(3))*1000)*100,2),"")</f>
        <v>2.82</v>
      </c>
      <c r="EH155" t="str">
        <f>IFERROR(VLOOKUP(BT155,Кабель_обозначение,2,FALSE),"")</f>
        <v>ВВГнг(А)-LS</v>
      </c>
      <c r="EI155" t="str">
        <f t="shared" si="298"/>
        <v>ВВГнг(А)-LS (3х2,5)</v>
      </c>
      <c r="EJ155" t="str">
        <f t="shared" si="299"/>
        <v>ВВГнг(А)-LS (3х2,5)
L=126-2,82%</v>
      </c>
      <c r="EK155">
        <f>IFERROR(2*ρкз_Cu*Q155/DX155,"")</f>
        <v>2.6510400000000001</v>
      </c>
      <c r="EL155">
        <f t="shared" si="300"/>
        <v>0.88200000000000001</v>
      </c>
      <c r="EM155" s="6" t="str">
        <f>IFERROR(IF(OR(B155="",NOT(ISNUMBER(DX155)),N(Q155)=0),"",_xlfn.XLOOKUP(A155,Щиты[Щит],Щиты[Zпетли на шинах, Ом])+EK155),"")</f>
        <v/>
      </c>
      <c r="EN155" s="6" t="str">
        <f>IF(ISNUMBER(EM155),c_min*(Uн_лин*1000/SQRT(3))/EM155,"")</f>
        <v/>
      </c>
      <c r="EO155" s="6" t="str">
        <f>IFERROR(IF(OR(B155="",NOT(ISNUMBER(DX155))),"",1.05*(Uн_лин*1000/SQRT(3))/(_xlfn.XLOOKUP(A155,Щиты[Щит],Щиты[Zmax на шинах, Ом])+EL155)/1000),"")</f>
        <v/>
      </c>
      <c r="EP155" s="6" t="str">
        <f>IF(B155="","",IF(ISNUMBER(Y155),"Сил",IF(IFERROR(_xlfn.XLOOKUP(AX155,Коды_код,Коды_группа)&amp;"","")="","Быт",_xlfn.XLOOKUP(AX155,Коды_код,Коды_группа)&amp;"")))</f>
        <v>Быт</v>
      </c>
      <c r="EQ155" s="6" t="str">
        <f t="shared" si="301"/>
        <v>Быт</v>
      </c>
      <c r="ER155" s="6">
        <f>IF(EQ155="Щит","щит",IF(EQ155="","",IF(EQ155="Быт",IFERROR(_xlfn.XLOOKUP(A155,Щиты[Щит],Щиты[Кс быт]),1),IF(EQ155="Сил",IF(ISNUMBER(Y155),Y155,IF(Методика="нормы 2026",IFERROR(_xlfn.XLOOKUP(A155,Щиты[Щит],Щиты[Кс силовых (табл. 7.5)]),1),1)),IF(OR(EQ155="Пост",EQ155="Отоп"),1,IF(EQ155="ВНГ",0.7,0))))))</f>
        <v>0.8</v>
      </c>
      <c r="ES155">
        <f t="shared" si="302"/>
        <v>1</v>
      </c>
      <c r="ET155">
        <f t="shared" si="303"/>
        <v>0.65999999999999992</v>
      </c>
      <c r="EU155">
        <f t="shared" si="304"/>
        <v>0.65999999999999992</v>
      </c>
      <c r="EV155">
        <f t="shared" si="305"/>
        <v>0</v>
      </c>
      <c r="EW155">
        <f t="shared" si="306"/>
        <v>0</v>
      </c>
      <c r="EX155">
        <f t="shared" si="307"/>
        <v>0</v>
      </c>
      <c r="EY155">
        <f t="shared" si="308"/>
        <v>0</v>
      </c>
      <c r="EZ155">
        <f t="shared" si="309"/>
        <v>0.65999999999999992</v>
      </c>
      <c r="FA155">
        <f t="shared" si="310"/>
        <v>0.62699999999999989</v>
      </c>
      <c r="FB155">
        <f t="shared" si="311"/>
        <v>0.65999999999999992</v>
      </c>
      <c r="FC155" t="str">
        <f t="shared" si="312"/>
        <v>L3</v>
      </c>
      <c r="FD155" t="str">
        <f>IF(B155="","",IF(CA155=0,IF(AW155=1,"",FF154),IF(OR(N(CV155)&gt;=3,N(BR155)&gt;=3),"L1,L2,L3",IFERROR(_xlfn.TEXTBEFORE(_xlfn.TEXTAFTER(_xlfn.XLOOKUP(A155,Щиты[Щит],Щиты[_фазы авто]),";"&amp;AW155&amp;":"),";"),"L1"))))</f>
        <v>L1</v>
      </c>
      <c r="FE155" t="str">
        <f t="shared" si="313"/>
        <v>L3</v>
      </c>
      <c r="FF155" t="str">
        <f t="shared" si="314"/>
        <v>L3</v>
      </c>
      <c r="FG155" cm="1">
        <f t="array" ref="FG155">IFERROR(IF(BX155=2,_xlfn.IFS(BR155=3,VLOOKUP(BN155,Справочная_двигатели,3,FALSE),BR155=1,VLOOKUP(BN155,Справочная_двигатели,5,TRUE)),0),0)</f>
        <v>0</v>
      </c>
      <c r="FH155">
        <f>IFERROR(IF(BX155=3,VLOOKUP(BN155,Справочная_ЛЭД,2,TRUE),0),0)</f>
        <v>0</v>
      </c>
      <c r="FI155" s="6">
        <f t="shared" si="315"/>
        <v>0</v>
      </c>
      <c r="FJ155" t="str" cm="1">
        <f t="array" ref="FJ155">IF(B155="","",IFERROR(INDEX({"I особая","I","II","III"},MATCH(TRIM(AC155&amp;""),{"I особая","I","II","III"},0)),"III"))</f>
        <v>II</v>
      </c>
      <c r="FK155" t="str">
        <f>IF(B155="","",IF(TRIM(AD155&amp;"")&lt;&gt;"",IF(LOWER(TRIM(AD155&amp;""))="да","да","нет"),IF(IFERROR(_xlfn.XLOOKUP(AX155,Коды_код,Коды_пожарная),"")="да","да","нет")))</f>
        <v>нет</v>
      </c>
      <c r="FL155" t="str">
        <f t="shared" si="316"/>
        <v/>
      </c>
      <c r="FM155" t="str">
        <f t="shared" si="317"/>
        <v>основная</v>
      </c>
      <c r="FN155">
        <f t="shared" si="318"/>
        <v>1</v>
      </c>
      <c r="FO155" t="str" cm="1">
        <f t="array" ref="FO155">IF(B155="","",_xlfn.LET(_xlpm.t,IFERROR(_xlfn.XLOOKUP(1,(Шины[Шина]=FM155)*(((Шины[Щит]=A155)+(Шины[Щит]=""))&gt;0),Шины[Тип]),"")&amp;"",IF(_xlpm.t&lt;&gt;"",_xlpm.t,IF(ISNUMBER(SEARCH("ИБП",FM155)),"ИБП",IF(ISNUMBER(SEARCH("ДГУ",FM155)),"ДГУ","Ввод "&amp;FN155)))))</f>
        <v>Ввод 1</v>
      </c>
      <c r="FP155" t="str">
        <f t="shared" si="319"/>
        <v>Ввод 1</v>
      </c>
      <c r="FQ155" t="str">
        <f>IF(B155="","",IF(OR(FO155="ИБП",FO155="ДГУ"),"I особая",IF(FO155="Одиночная","III",_xlfn.XLOOKUP(A155,Щиты[Щит],Щиты[Категория шины «Ввод»],"III"))))</f>
        <v>II</v>
      </c>
      <c r="FR155">
        <f>IF(B155="",0,IFERROR(MATCH(FJ155,{"III","II","I","I особая"},0),1))</f>
        <v>2</v>
      </c>
      <c r="FS155">
        <f t="shared" si="320"/>
        <v>2</v>
      </c>
      <c r="FT155" t="str">
        <f>IF(B155="","",IF(FR155&gt;IFERROR(MATCH(FQ155,{"III","II","I","I особая"},0),1),"НЕ ОБЕСПЕЧЕНА","ОК"))</f>
        <v>ОК</v>
      </c>
      <c r="FU155" t="str">
        <f>IF(A155="","",_xlfn.XLOOKUP(A155,Щиты[Щит],Щиты[Путь],""))</f>
        <v>|ГРЩ-ЖД|ЩР-001|</v>
      </c>
      <c r="FV155" t="str">
        <f>IF(B155="","",IF(AE155&lt;&gt;"",AE155,IF(IFERROR(_xlfn.XLOOKUP(AX155,Коды_код,Коды_вид)&amp;"","")="","Прочее",_xlfn.XLOOKUP(AX155,Коды_код,Коды_вид)&amp;"")))</f>
        <v>Розеточная сеть и бытовые приборы</v>
      </c>
      <c r="FW155">
        <f>IF(BH155="","",INT((BH155-1)/Столбцов_на_лист)+1)</f>
        <v>2</v>
      </c>
      <c r="FX155" t="str">
        <f t="shared" si="321"/>
        <v>ВВГнг(А)-LS (3х2,5) L=126-2,82%</v>
      </c>
      <c r="FY155">
        <f t="shared" si="322"/>
        <v>0.65999999999999992</v>
      </c>
      <c r="FZ155">
        <f t="shared" si="323"/>
        <v>3.01</v>
      </c>
      <c r="GA155">
        <f t="shared" si="324"/>
        <v>1</v>
      </c>
      <c r="GB155">
        <f t="shared" si="325"/>
        <v>0</v>
      </c>
      <c r="GC155">
        <f t="shared" si="326"/>
        <v>1</v>
      </c>
      <c r="GD155">
        <f>IF(BH155="","",IF(AND(CA155=1,GC155=1),COUNTIFS(A$3:A155,A155,CA$3:CA155,1,GC$3:GC155,1),IF(OR(OR(AW155=1,A155&lt;&gt;A154),AF155="вручную",GC155=0),"",IF(AW155=1,"",GE154))))</f>
        <v>1</v>
      </c>
      <c r="GE155">
        <f t="shared" si="327"/>
        <v>1</v>
      </c>
      <c r="GF155">
        <f>IF(B155="","",IFERROR(LOOKUP(INDEX(CHOOSE(DL155,Iдоп_1ж,Iдоп_2ж,Iдоп_3ж),MATCH(DX155,Iдоп_S,0))*DJ155*DK155,{6,10,16,20,25,32,40,50,63,80,100,125,160,200,250,315,400,500,630}),""))</f>
        <v>25</v>
      </c>
      <c r="GG155" t="str">
        <f t="shared" si="328"/>
        <v>QFD1</v>
      </c>
      <c r="GH155" t="str">
        <f t="shared" si="329"/>
        <v>QFD1</v>
      </c>
      <c r="GI155" t="str">
        <f t="shared" si="330"/>
        <v/>
      </c>
      <c r="GJ155">
        <f t="shared" si="331"/>
        <v>0</v>
      </c>
      <c r="GK155" t="str">
        <f>IF(OR(AG155="",AG155="-"),"",IFERROR(VLOOKUP(AG155,Модули_спр,2,FALSE),"R"))</f>
        <v/>
      </c>
      <c r="GL155" t="str">
        <f>IF(GK155="","",GK155&amp;"."&amp;COUNTIFS(A$3:A155,A155,GK$3:GK155,GK155))</f>
        <v/>
      </c>
      <c r="GM155" t="str">
        <f t="shared" si="332"/>
        <v/>
      </c>
      <c r="GN155" t="str">
        <f t="shared" si="333"/>
        <v/>
      </c>
      <c r="GO155" t="str">
        <f t="shared" si="334"/>
        <v/>
      </c>
      <c r="GP155" t="str">
        <f t="shared" si="335"/>
        <v/>
      </c>
      <c r="GQ155">
        <f t="shared" si="336"/>
        <v>1</v>
      </c>
      <c r="GR155" t="str">
        <f>IF(GQ155=1,"XT"&amp;COUNTIFS(A$3:A155,A155,GQ$3:GQ155,1),"")</f>
        <v>XT1</v>
      </c>
      <c r="GS155" t="str">
        <f t="shared" si="337"/>
        <v>XT1</v>
      </c>
      <c r="GT155" t="str">
        <f t="shared" si="338"/>
        <v>QFD1</v>
      </c>
      <c r="GU155" t="str">
        <f t="shared" si="339"/>
        <v/>
      </c>
      <c r="GV155" t="str">
        <f t="shared" si="340"/>
        <v>ok</v>
      </c>
      <c r="GW155" t="str">
        <f>IF(OR(GO155="",GM155=""),"",IF(GO155&gt;IFERROR(VLOOKUP(GN155,Модули_спр,3,FALSE),99),"ЛИШНИЙ КАНАЛ",IF(AND(AH155&lt;&gt;"=",COUNTIFS(Линии[_модуль гр.],GM155,Линии[Канал (итог)],GO155,Линии[Канал],"&lt;&gt;=",Линии[Щит],A155)&gt;1),"ДУБЛЬ КАНАЛА","")))</f>
        <v/>
      </c>
      <c r="GX155" s="6" t="str">
        <f t="shared" si="341"/>
        <v/>
      </c>
      <c r="GY155">
        <f t="shared" si="342"/>
        <v>10</v>
      </c>
      <c r="GZ155" t="str">
        <f t="shared" si="343"/>
        <v/>
      </c>
      <c r="HA155" t="str">
        <f>IF(AND(B155="",GT155=""),"",_xlfn.TEXTJOIN("; ",TRUE,IF(AND(B155&lt;&gt;"",FE155=""),"нет фазы",""),IF(AND(B155&lt;&gt;"",N(FY155)=0,EQ155&lt;&gt;"Нет"),"нет мощности",""),IF(AND(GS155&lt;&gt;"",COUNTIFS(Линии[Щит],A155,Линии[Клемма (итог)],GS155)&gt;1),"дубль клеммы "&amp;GS155,""),IF(AND(GV155&lt;&gt;"",GV155&lt;&gt;"ok"),GV155,""),IF(GW155&lt;&gt;"",GW155,""),IF(AND(N(BV155)&gt;=4,N(BR155)=1),BV155&amp;" жил на 1 фазе",""),IF(AND(AX155="R",CA155=1,OR(N(CK155)=0,N(CK155)&gt;30)),"розетка без дифзащиты до 30 мА",""),IFERROR(IF(AND(ISNUMBER(R155),R155&gt;DV155),"потери "&amp;FIXED(R155,1)&amp;" % &gt; "&amp;DV155&amp;" %",""),""),IFERROR(IF(LEFT(GZ155,4)="мало","Iкз мало — отключение &gt; 0,4 с",""),""),IF(AND(B155&lt;&gt;"",BH155=""),"не на схеме",""),IF(AND(CA155=0,B155&lt;&gt;"",FE155&lt;&gt;"",IF(AW155=1,"",FF154)&lt;&gt;"",FE155&lt;&gt;IF(AW155=1,"",FF154)),"фаза не как у автомата группы ("&amp;IF(AW155=1,"",FF154)&amp;")","")))</f>
        <v>потери 4,4 % &gt; 4,13 %</v>
      </c>
      <c r="HB155" s="6">
        <f>IF(OR(CA155=0,DA155=""),"",_xlfn.LET(_xlpm.t,IFERROR(_xlfn.XLOOKUP(DA155,Каталог!$U$4:$U$500,Каталог!$G$4:$G$500),""),_xlpm.k,SEARCH("кА",_xlpm.t),IFERROR(--TRIM(RIGHT(SUBSTITUTE(MID(_xlpm.t,MAX(1,_xlpm.k-4),_xlpm.k-MAX(1,_xlpm.k-4))," ",REPT(" ",9)),5)),"")))</f>
        <v>6</v>
      </c>
      <c r="HC155" t="str">
        <f>IF(OR(HB155="",CA155=0),"",IF(_xlfn.XLOOKUP(A155,Щиты[Щит],Щиты[Iкз max на шинах, кА],"")="","",IF(HB155&lt;_xlfn.XLOOKUP(A155,Щиты[Щит],Щиты[Iкз max на шинах, кА]),"Icu "&amp;HB155&amp;" кА &lt; Iкз max","ok")))</f>
        <v/>
      </c>
      <c r="HD155" t="str">
        <f t="shared" si="344"/>
        <v/>
      </c>
      <c r="HE155" t="str">
        <f t="shared" si="345"/>
        <v>QFD1|XT1</v>
      </c>
      <c r="HF155" t="str">
        <f t="shared" si="346"/>
        <v>QFD1|XT1|кабель ВВГнг(А)-LS (3х2,5) → Розеточная группа, пом. 001Б</v>
      </c>
      <c r="HG155" t="str" cm="1">
        <f t="array" ref="HG155">IF(HF155="","",_xlfn.LET(_xlpm.nd,_xlfn.TEXTSPLIT(HF155,"|"),IF(COLUMNS(_xlpm.nd)&gt;1,A155&amp;"¦"&amp;INDEX(_xlpm.nd,1)&amp;"¦"&amp;INDEX(_xlpm.nd,2),"")))</f>
        <v>ЩР-001¦QFD1¦XT1</v>
      </c>
      <c r="HH155" t="str">
        <f t="shared" si="347"/>
        <v>R.00.001Б.1¦Розеточная группа, пом. 001Б</v>
      </c>
      <c r="HI155" t="str" cm="1">
        <f t="array" ref="HI155">IF(HF155="","",_xlfn.LET(_xlpm.nd,_xlfn.TEXTSPLIT(HF155,"|"),IF(COLUMNS(_xlpm.nd)&gt;2,A155&amp;"¦"&amp;INDEX(_xlpm.nd,2)&amp;"¦"&amp;INDEX(_xlpm.nd,3),"")))</f>
        <v>ЩР-001¦XT1¦кабель ВВГнг(А)-LS (3х2,5) → Розеточная группа, пом. 001Б</v>
      </c>
      <c r="HJ155" t="str">
        <f t="shared" si="348"/>
        <v>R.00.001Б.1¦Розеточная группа, пом. 001Б</v>
      </c>
      <c r="HK155" t="str" cm="1">
        <f t="array" ref="HK155">IF(HF155="","",_xlfn.LET(_xlpm.nd,_xlfn.TEXTSPLIT(HF155,"|"),IF(COLUMNS(_xlpm.nd)&gt;3,A155&amp;"¦"&amp;INDEX(_xlpm.nd,3)&amp;"¦"&amp;INDEX(_xlpm.nd,4),"")))</f>
        <v/>
      </c>
      <c r="HL155" t="str">
        <f t="shared" si="349"/>
        <v/>
      </c>
      <c r="HM155" t="str" cm="1">
        <f t="array" ref="HM155">IF(HF155="","",_xlfn.LET(_xlpm.nd,_xlfn.TEXTSPLIT(HF155,"|"),IF(COLUMNS(_xlpm.nd)&gt;4,A155&amp;"¦"&amp;INDEX(_xlpm.nd,4)&amp;"¦"&amp;INDEX(_xlpm.nd,5),"")))</f>
        <v/>
      </c>
      <c r="HN155" t="str">
        <f t="shared" si="350"/>
        <v/>
      </c>
      <c r="HO155" t="str" cm="1">
        <f t="array" ref="HO155">IF(HF155="","",_xlfn.LET(_xlpm.nd,_xlfn.TEXTSPLIT(HF155,"|"),IF(COLUMNS(_xlpm.nd)&gt;5,A155&amp;"¦"&amp;INDEX(_xlpm.nd,5)&amp;"¦"&amp;INDEX(_xlpm.nd,6),"")))</f>
        <v/>
      </c>
      <c r="HP155" t="str">
        <f t="shared" si="351"/>
        <v/>
      </c>
      <c r="HQ155" t="str" cm="1">
        <f t="array" ref="HQ155">IF(HF155="","",_xlfn.LET(_xlpm.nd,_xlfn.TEXTSPLIT(HF155,"|"),IF(COLUMNS(_xlpm.nd)&gt;6,A155&amp;"¦"&amp;INDEX(_xlpm.nd,6)&amp;"¦"&amp;INDEX(_xlpm.nd,7),"")))</f>
        <v/>
      </c>
      <c r="HR155" t="str">
        <f t="shared" si="352"/>
        <v/>
      </c>
      <c r="HS155" t="str">
        <f t="shared" si="353"/>
        <v/>
      </c>
      <c r="HT155" t="str">
        <f t="shared" si="354"/>
        <v>QFD1 → XT1</v>
      </c>
      <c r="HU155">
        <f t="shared" si="355"/>
        <v>0</v>
      </c>
      <c r="HV155">
        <f t="shared" si="356"/>
        <v>1</v>
      </c>
      <c r="HW155" t="str">
        <f t="shared" si="357"/>
        <v/>
      </c>
      <c r="HX155" t="str">
        <f t="shared" si="358"/>
        <v/>
      </c>
      <c r="HY155" t="str">
        <f t="shared" si="359"/>
        <v/>
      </c>
      <c r="HZ155" t="str">
        <f t="shared" si="360"/>
        <v/>
      </c>
      <c r="IA155" t="str">
        <f>IF(B155="","",IFERROR(VLOOKUP(B155,УГО_спр,2,FALSE),IFERROR(VLOOKUP(AX155,УГО_спр,2,FALSE),IFERROR(VLOOKUP(LEFT(AX155,2),УГО_спр,2,FALSE),""))))</f>
        <v>Розетка</v>
      </c>
      <c r="IB155" t="str">
        <f>IF(B155="","",IF(OR(IA155="",IA155=0),"BOX",IFERROR(IF(VLOOKUP(IA155,УГО_блоки,3,FALSE)&amp;""&lt;&gt;"",VLOOKUP(IA155,УГО_блоки,3,FALSE),VLOOKUP(IA155,УГО_блоки,2,FALSE)),IA155)))</f>
        <v>SOCKET</v>
      </c>
      <c r="IC155">
        <f t="shared" si="361"/>
        <v>1</v>
      </c>
      <c r="ID155">
        <f>IF(DA155="","",IF(COUNTIF(DA$3:DA155,DA155)=1,MAX(ID$2:ID154)+1,""))</f>
        <v>17</v>
      </c>
      <c r="IE155" t="str">
        <f>IF(CO155="","",IF(COUNTIF(CO$3:CO155,CO155)+COUNTIF(CP$2:CP154,CO155)+COUNTIF(CQ$2:CQ154,CO155)=1,MAX(IE$2:IG154)+1,""))</f>
        <v/>
      </c>
      <c r="IF155" t="str">
        <f>IF(CP155="","",IF(COUNTIF(CO$3:CO155,CP155)+COUNTIF(CP$3:CP155,CP155)+COUNTIF(CQ$2:CQ154,CP155)=1,MAX(IE$2:IG154,IE155)+1,""))</f>
        <v/>
      </c>
      <c r="IG155" t="str">
        <f>IF(CQ155="","",IF(COUNTIF(CO$3:CO155,CQ155)+COUNTIF(CP$3:CP155,CQ155)+COUNTIF(CQ$3:CQ155,CQ155)=1,MAX(IE$2:IG154,IE155,IF155)+1,""))</f>
        <v/>
      </c>
      <c r="IH155" t="str">
        <f t="shared" si="362"/>
        <v>3х2,5</v>
      </c>
      <c r="II155" t="str">
        <f>IF(IH155="","",IF(COUNTIF(IH$3:IH155,IH155)=1,MAX(II$2:II154)+1,""))</f>
        <v/>
      </c>
      <c r="IJ155" t="str">
        <f>IF(GL155="","",COUNTIF(GL$3:GL155,"?*"))</f>
        <v/>
      </c>
      <c r="IK155" t="str">
        <f>IF(OR(GL155="",GN155=""),"",IF(COUNTIFS(GL$3:GL155,"?*",GN$3:GN155,GN155)=1,MAX(IK$2:IK154)+1,""))</f>
        <v/>
      </c>
      <c r="IL155">
        <f t="shared" si="363"/>
        <v>1</v>
      </c>
      <c r="IM155">
        <f>IF(B155="","",COUNTIF(B$3:B155,"?*"))</f>
        <v>153</v>
      </c>
      <c r="IN155">
        <f>IF(GQ155&lt;&gt;1,0,_xlfn.LET(_xlpm.k,MAX(IFERROR(--VLOOKUP(B155,УГО_спр,5,FALSE),0),IFERROR(--VLOOKUP(AX155,УГО_спр,5,FALSE),0),IFERROR(--VLOOKUP(LEFT(AX155,2),УГО_спр,5,FALSE),0)),IF(_xlpm.k&gt;0,_xlpm.k,IF(IFERROR(--LEFT(SUBSTITUTE(IH155,"x","х"),FIND("х",SUBSTITUTE(IH155,"x","х"))-1),3)&gt;3,Каталог!$S$9,1))))</f>
        <v>1</v>
      </c>
      <c r="IO155">
        <f t="shared" si="364"/>
        <v>0</v>
      </c>
      <c r="IP155" t="str">
        <f t="shared" si="365"/>
        <v>авто</v>
      </c>
      <c r="IQ155">
        <f t="shared" si="366"/>
        <v>30</v>
      </c>
      <c r="IR155">
        <f t="shared" si="367"/>
        <v>1</v>
      </c>
      <c r="IS155">
        <f t="shared" si="368"/>
        <v>1</v>
      </c>
    </row>
    <row r="156" spans="1:253" x14ac:dyDescent="0.3">
      <c r="A156" t="s">
        <v>755</v>
      </c>
      <c r="B156" t="s">
        <v>1423</v>
      </c>
      <c r="C156" t="str">
        <f>Линии[[#This Row],[_авто наименование]]</f>
        <v>Розеточная группа, пом. 003Т</v>
      </c>
      <c r="D156">
        <v>3</v>
      </c>
      <c r="E156">
        <v>0.3</v>
      </c>
      <c r="G156">
        <v>16</v>
      </c>
      <c r="H156">
        <f>Линии[[#This Row],[_авто утечка]]</f>
        <v>30</v>
      </c>
      <c r="I156" t="str">
        <f>Линии[[#This Row],[_авто управление]]</f>
        <v/>
      </c>
      <c r="J156" t="str">
        <f>Линии[[#This Row],[_авто аппараты]]</f>
        <v/>
      </c>
      <c r="K156">
        <v>2.5</v>
      </c>
      <c r="L156">
        <v>24</v>
      </c>
      <c r="M156">
        <v>2</v>
      </c>
      <c r="N156" t="str">
        <f>Линии[[#This Row],[_авто клемма]]</f>
        <v>XT2</v>
      </c>
      <c r="O156" t="str">
        <f t="shared" si="246"/>
        <v/>
      </c>
      <c r="P156" s="6" cm="1">
        <f t="array" ref="P156">IF(B156="","",IF(BC156&lt;&gt;"",IFERROR(_xlfn.XLOOKUP(BC156,Щиты[Щит],Щиты[Iр, А]),""),IF(BK156=1,IFERROR(_xlfn.XLOOKUP(A156,Щиты[Щит],Щиты[Iр, А]),""),IFERROR(_xlfn.IFS(BR156=1,BN156/((Uн_лин/SQRT(3))*BY156),BR156=3,BN156/(SQRT(3)*Uн_лин*BY156)),""))))</f>
        <v>1.3674085322912188</v>
      </c>
      <c r="Q156" s="7">
        <f>IF(B156="","",IFERROR(IF(VLOOKUP(AX156,Потребители_обозначение,4,FALSE)=1,VLOOKUP(AX156,Потребители_обозначение,3,FALSE)*(D156*2-1)+DS156+VLOOKUP(AZ156,Этаж_обозначение,3,FALSE)+VLOOKUP(AZ156,Этаж_обозначение,4,FALSE),VLOOKUP(AX156,Потребители_обозначение,3,FALSE)*(D156*2-1)+DS156),DS156))</f>
        <v>39</v>
      </c>
      <c r="R156" s="6">
        <f t="shared" si="247"/>
        <v>1.9700000000000002</v>
      </c>
      <c r="S156" t="str">
        <f t="shared" si="248"/>
        <v>ВВГнг(А)-LS (3х2,5)</v>
      </c>
      <c r="T156" t="str">
        <f>IF(BH156="","",IF(BI156="вводной узел","узел ","")&amp;"л."&amp;(INT((BH156-1)/Столбцов_на_лист)+1)&amp;" / "&amp;(MOD(BH156-1,Столбцов_на_лист)+1))</f>
        <v>л.2 / 2</v>
      </c>
      <c r="V156">
        <v>1</v>
      </c>
      <c r="W156">
        <v>230</v>
      </c>
      <c r="X156" t="s">
        <v>564</v>
      </c>
      <c r="AC156" t="s">
        <v>815</v>
      </c>
      <c r="AE156" t="s">
        <v>563</v>
      </c>
      <c r="AI156">
        <v>19</v>
      </c>
      <c r="AJ156" t="s">
        <v>11</v>
      </c>
      <c r="AK156">
        <v>3</v>
      </c>
      <c r="AM156">
        <v>7</v>
      </c>
      <c r="AN156">
        <v>14</v>
      </c>
      <c r="AO156">
        <v>0</v>
      </c>
      <c r="AW156" cm="1">
        <f t="array" ref="AW156">ROW()-ROW(Линии[#Headers])</f>
        <v>154</v>
      </c>
      <c r="AX156" s="6" t="str">
        <f t="shared" si="249"/>
        <v>R</v>
      </c>
      <c r="AY156" t="str">
        <f t="shared" si="250"/>
        <v>00.003Т.1</v>
      </c>
      <c r="AZ156" t="str">
        <f t="shared" si="251"/>
        <v>00</v>
      </c>
      <c r="BA156" t="str">
        <f t="shared" si="252"/>
        <v>003Т.1</v>
      </c>
      <c r="BB156" t="str">
        <f t="shared" si="253"/>
        <v>003Т</v>
      </c>
      <c r="BC156" t="str">
        <f>IF(U156&lt;&gt;"",U156,IF(AND(B156&lt;&gt;"",B156&lt;&gt;A156,ISNUMBER(_xlfn.XMATCH(B156,Щиты[Щит]))),B156,""))</f>
        <v/>
      </c>
      <c r="BD156" t="str" cm="1">
        <f t="array" ref="BD156">IF(B156="","",IF(BC156&lt;&gt;"","Щит "&amp;BC156,_xlfn.LET(_xlpm.nm,IFERROR(_xlfn.XLOOKUP(AX156,Коды_код,Коды_имя)&amp;"",""),_xlpm.md,IFERROR(N(_xlfn.XLOOKUP(AX156,Коды_код,Коды_режим)),1),_xlpm.ex,IF(Имя_режим="по экспликации",IFERROR(_xlfn.XLOOKUP(AZ156&amp;"|"&amp;BB156,Экспликация[Этаж]&amp;"|"&amp;Экспликация[Помещение],Экспликация[Название])&amp;"",""),""),_xlpm.rm,IF(BB156="","",IF(_xlpm.ex&lt;&gt;"",". "&amp;_xlpm.ex&amp;IF(Имя_пом="нет"," ("&amp;BB156&amp;")"," (пом. "&amp;BB156&amp;")"),IF(Имя_пом="нет"," ",", пом. ")&amp;BB156)),IF(_xlpm.nm="","",IF(_xlpm.md=2,_xlpm.nm&amp;" шлейф "&amp;AZ156,_xlpm.nm&amp;_xlpm.rm)))))</f>
        <v>Розеточная группа, пом. 003Т</v>
      </c>
      <c r="BE156" t="str">
        <f t="shared" si="254"/>
        <v>Розеточная группа, пом. 003Т</v>
      </c>
      <c r="BF156">
        <f>IFERROR(_xlfn.XMATCH(A156,Щиты[Щит]),0)</f>
        <v>8</v>
      </c>
      <c r="BG156">
        <f>_xlfn.LET(_xlpm.k,IFERROR(_xlfn.XLOOKUP(A156,Щиты[Щит],Щиты[Листов под вводной узел]),""),IF(_xlpm.k="",1,N(_xlpm.k))*Столбцов_на_лист)</f>
        <v>17</v>
      </c>
      <c r="BH156">
        <f t="shared" si="255"/>
        <v>19</v>
      </c>
      <c r="BI156" t="str">
        <f t="shared" si="256"/>
        <v>линии</v>
      </c>
      <c r="BJ156" s="6">
        <f>IFERROR(N(_xlfn.XLOOKUP(AX156,Коды_код,Коды_квт)),0)</f>
        <v>0</v>
      </c>
      <c r="BK156">
        <f t="shared" si="257"/>
        <v>0</v>
      </c>
      <c r="BL156" t="str">
        <f>IF(B156="","",IF(BC156&lt;&gt;"",IFERROR(_xlfn.XLOOKUP(BC156,Щиты[Щит],Щиты[Руст, кВт]),0),IF(BK156=1,IFERROR(_xlfn.XLOOKUP(A156,Щиты[Щит],Щиты[Руст, кВт]),0),IF(BJ156&gt;0,ROUND(BJ156*MAX(1,N(D156)),3),""))))</f>
        <v/>
      </c>
      <c r="BM156">
        <f t="shared" si="258"/>
        <v>0.3</v>
      </c>
      <c r="BN156" s="6">
        <f>IF(B156="","",IF(BC156&lt;&gt;"",IFERROR(_xlfn.XLOOKUP(BC156,Щиты[Щит],Щиты[Руст, кВт]),0),N(BM156)))</f>
        <v>0.3</v>
      </c>
      <c r="BO156" t="str">
        <f>IF(B156="","",IFERROR(IF(VLOOKUP(AX156,Потребители_обозначение,8,FALSE)=0,"",VLOOKUP(AX156,Потребители_обозначение,8,FALSE)),""))</f>
        <v/>
      </c>
      <c r="BP156">
        <f t="shared" si="259"/>
        <v>230</v>
      </c>
      <c r="BQ156">
        <f>IF(B156="","",IF(BC156&lt;&gt;"",3,IFERROR(IF(N(VLOOKUP(AX156,Потребители_обозначение,9,FALSE))=0,1,VLOOKUP(AX156,Потребители_обозначение,9,FALSE)),1)))</f>
        <v>1</v>
      </c>
      <c r="BR156">
        <f t="shared" si="260"/>
        <v>1</v>
      </c>
      <c r="BS156" t="str">
        <f>IF(B156="","",_xlfn.LET(_xlpm.bc,IFERROR(IF(VLOOKUP(AX156,Потребители_обозначение,6,FALSE)=0,"",VLOOKUP(AX156,Потребители_обозначение,6,FALSE)&amp;""),""),IF(AND(FK156="да",OR(_xlpm.bc="",_xlpm.bc="мс")),Марка_пож,IF(AND(_xlpm.bc="",BC156&lt;&gt;""),"мс",_xlpm.bc))))</f>
        <v/>
      </c>
      <c r="BT156" t="str">
        <f t="shared" si="261"/>
        <v>мс</v>
      </c>
      <c r="BU156">
        <f>IF(B156="","",_xlfn.LET(_xlpm.cc,IFERROR(N(VLOOKUP(AX156,Потребители_обозначение,7,FALSE)),0),IF(_xlpm.cc&gt;0,_xlpm.cc,IF(BT156="","",IF(N(BR156)=3,5,3)))))</f>
        <v>3</v>
      </c>
      <c r="BV156">
        <f t="shared" si="262"/>
        <v>3</v>
      </c>
      <c r="BW156">
        <f>IFERROR(N(VLOOKUP(AX156,Потребители_обозначение,10,FALSE)),0)</f>
        <v>0</v>
      </c>
      <c r="BX156">
        <f>IFERROR(VLOOKUP(AX156,Потребители_обозначение,5,FALSE),0)</f>
        <v>1</v>
      </c>
      <c r="BY156" s="6" cm="1">
        <f t="array" ref="BY156">IF(B156="","",IF(BC156&lt;&gt;"",IFERROR(_xlfn.XLOOKUP(BC156,Щиты[Щит],Щиты[cos φ]),0.95),IF(BK156=1,IFERROR(_xlfn.XLOOKUP(A156,Щиты[Щит],Щиты[cos φ]),0.95),IF(ISNUMBER(Z156),Z156,IFERROR(IF(BX156=2,_xlfn.IFS(BR156=3,VLOOKUP(BN156,Справочная_двигатели,8,FALSE),BR156=1,VLOOKUP(BN156,Справочная_двигатели,10,TRUE)),IF(AND(Методика="нормы 2026",EQ156="Сил"),0.8,0.95)),0.95)))))</f>
        <v>0.95</v>
      </c>
      <c r="BZ156">
        <f t="shared" si="263"/>
        <v>0</v>
      </c>
      <c r="CA156">
        <f t="shared" si="264"/>
        <v>1</v>
      </c>
      <c r="CB156">
        <f t="shared" si="265"/>
        <v>0</v>
      </c>
      <c r="CC156">
        <f t="shared" si="266"/>
        <v>0</v>
      </c>
      <c r="CD156">
        <f t="shared" si="267"/>
        <v>0</v>
      </c>
      <c r="CE156">
        <f t="shared" si="268"/>
        <v>0</v>
      </c>
      <c r="CF156">
        <f t="shared" si="269"/>
        <v>0</v>
      </c>
      <c r="CG156">
        <f>IF(AX156="",0,_xlfn.LET(_xlpm.v,IFERROR(VLOOKUP(B156,УГО_спр,3,FALSE),IFERROR(VLOOKUP(AX156,УГО_спр,3,FALSE),IFERROR(VLOOKUP(LEFT(AX156,2),УГО_спр,3,FALSE),""))),IF(_xlpm.v="да",30,IF(ISNUMBER(_xlpm.v),_xlpm.v,0))))</f>
        <v>30</v>
      </c>
      <c r="CH156">
        <f t="shared" si="270"/>
        <v>30</v>
      </c>
      <c r="CI156" t="str">
        <f>_xlfn.LET(_xlpm.k,IFERROR(_xlfn.XLOOKUP(AX156,Коды_код,Коды_утечка)&amp;"",""),IF(_xlpm.k="","дифавтомат",_xlpm.k))</f>
        <v>дифавтомат</v>
      </c>
      <c r="CJ156">
        <f t="shared" si="271"/>
        <v>30</v>
      </c>
      <c r="CK156">
        <f t="shared" si="272"/>
        <v>30</v>
      </c>
      <c r="CL156">
        <f>IF(B156="",0,IFERROR(--VLOOKUP(B156,УГО_спр,4,FALSE),IFERROR(--VLOOKUP(AX156,УГО_спр,4,FALSE),IFERROR(--VLOOKUP(LEFT(AX156,2),УГО_спр,4,FALSE),0))))</f>
        <v>16</v>
      </c>
      <c r="CM156" t="str">
        <f>IF(B156="","",IFERROR(_xlfn.XLOOKUP(AX156,Коды_код,Коды_апп)&amp;"",""))</f>
        <v/>
      </c>
      <c r="CN156" t="str">
        <f t="shared" si="273"/>
        <v/>
      </c>
      <c r="CO156" t="str" cm="1">
        <f t="array" ref="CO156">IF(TRIM(CN156&amp;"")="","",IFERROR(TRIM(INDEX(_xlfn.TEXTSPLIT(CN156&amp;";;;",";"),1)),""))</f>
        <v/>
      </c>
      <c r="CP156" t="str" cm="1">
        <f t="array" ref="CP156">IF(TRIM(CN156&amp;"")="","",IFERROR(TRIM(INDEX(_xlfn.TEXTSPLIT(CN156&amp;";;;",";"),2)),""))</f>
        <v/>
      </c>
      <c r="CQ156" t="str" cm="1">
        <f t="array" ref="CQ156">IF(TRIM(CN156&amp;"")="","",IFERROR(TRIM(INDEX(_xlfn.TEXTSPLIT(CN156&amp;";;;",";"),3)),""))</f>
        <v/>
      </c>
      <c r="CR156">
        <f t="shared" si="274"/>
        <v>0</v>
      </c>
      <c r="CS156" t="str">
        <f>IF(B156="","",_xlfn.LET(_xlpm.t,LOWER(AV156&amp;""),IF(ISNUMBER(SEARCH("dim",_xlpm.t)),"DIM",IF(ISNUMBER(SEARCH("dali",_xlpm.t)),"DALI",IF(OR(ISNUMBER(SEARCH("relay",_xlpm.t)),ISNUMBER(SEARCH("реле",_xlpm.t))),"Relay",IF(ISNUMBER(SEARCH("кнопк",_xlpm.t)),"",IFERROR(_xlfn.XLOOKUP(AX156,Коды_код,Коды_упр)&amp;"","")))))))</f>
        <v/>
      </c>
      <c r="CT156" t="str">
        <f t="shared" si="275"/>
        <v/>
      </c>
      <c r="CU156">
        <f>IF(B156="","",_xlfn.LET(_xlpm.ig,N(P156)+IF(AF156="вручную",0,N(CB156)),_xlpm.n0,IFERROR(VLOOKUP(_xlpm.ig,Автомат_номиналы,2,TRUE),0),_xlpm.mn,MAX(CL156,IF(AF156="вручную",0,N(CE156))),MAX(_xlpm.n0,_xlpm.mn,IF(CR156=1,Мин_автомат_БП,0))))</f>
        <v>16</v>
      </c>
      <c r="CV156">
        <f t="shared" si="276"/>
        <v>1</v>
      </c>
      <c r="CW156" t="str">
        <f t="shared" si="277"/>
        <v>2P</v>
      </c>
      <c r="CX156" t="str">
        <f>_xlfn.LET(_xlpm.cc,UPPER(TRIM(IFERROR(_xlfn.XLOOKUP(AX156,Коды_код,Коды_хар)&amp;"",""))),IF(OR(_xlpm.cc="B",_xlpm.cc="В"),"B",IF(_xlpm.cc="D","D","С")))</f>
        <v>С</v>
      </c>
      <c r="CY156" t="str">
        <f t="shared" si="278"/>
        <v>2P С16А 30мА</v>
      </c>
      <c r="CZ156">
        <f t="shared" si="279"/>
        <v>16</v>
      </c>
      <c r="DA156" t="str">
        <f t="shared" si="280"/>
        <v>2P С16А 30мА</v>
      </c>
      <c r="DB156" cm="1">
        <f t="array" ref="DB156">IF(DA156="","",_xlfn.LET(_xlpm.t,SUBSTITUTE(SUBSTITUTE(SUBSTITUTE(UPPER(DA156),"С","C"),"А","A"),"В","B"),_xlpm.tk,_xlfn.TEXTSPLIT(_xlpm.t,"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6" t="str">
        <f t="shared" si="281"/>
        <v>ok</v>
      </c>
      <c r="DD156">
        <f t="shared" si="282"/>
        <v>16</v>
      </c>
      <c r="DE156" t="str">
        <f t="shared" si="283"/>
        <v>2P С16А 30мА</v>
      </c>
      <c r="DF156">
        <f t="shared" si="284"/>
        <v>30</v>
      </c>
      <c r="DG156">
        <f t="shared" si="285"/>
        <v>1</v>
      </c>
      <c r="DH156">
        <f t="shared" si="286"/>
        <v>0</v>
      </c>
      <c r="DI156">
        <f t="shared" si="287"/>
        <v>1.3674085322912188</v>
      </c>
      <c r="DJ156">
        <f t="shared" si="288"/>
        <v>1</v>
      </c>
      <c r="DK156">
        <f>IF(ISNUMBER(AL156),AL156,К_прокл)</f>
        <v>1</v>
      </c>
      <c r="DL156">
        <f t="shared" si="289"/>
        <v>2</v>
      </c>
      <c r="DM156">
        <f>IFERROR(N(VLOOKUP(BT156,Кабель_обозначение,3,FALSE)),1)</f>
        <v>1</v>
      </c>
      <c r="DN156">
        <f>IFERROR(N(_xlfn.XLOOKUP(A156,Щиты[Щит],Щиты[ΔU до шин, %])),0)</f>
        <v>1.57</v>
      </c>
      <c r="DO156" t="str">
        <f>IFERROR(_xlfn.XLOOKUP(A156,Щиты[Щит],Щиты[Zпетли на шинах, Ом]),"")</f>
        <v/>
      </c>
      <c r="DP156">
        <f>IFERROR(N(_xlfn.XLOOKUP(A156,Щиты[Щит],Щиты[ΔU до шин (подбор), %])),0)</f>
        <v>2.5</v>
      </c>
      <c r="DQ156" t="str">
        <f>IFERROR(_xlfn.XLOOKUP(A156,Щиты[Щит],Щиты[Zпетли на шинах (подбор), Ом]),"")</f>
        <v/>
      </c>
      <c r="DR156" t="str">
        <f t="shared" si="290"/>
        <v/>
      </c>
      <c r="DS156">
        <f t="shared" si="291"/>
        <v>24</v>
      </c>
      <c r="DT156">
        <f t="shared" si="292"/>
        <v>2</v>
      </c>
      <c r="DU156">
        <f t="shared" si="293"/>
        <v>0.31</v>
      </c>
      <c r="DV156" s="6">
        <f>IF(B156="","",IF(IFERROR(VLOOKUP(AX156,УГО_спр,2,FALSE),"")="Светильник",3,4)+IF(Методика="нормы 2026",MIN(0.5,MAX(0,N(Q156)-100)*0.005),0))</f>
        <v>4</v>
      </c>
      <c r="DW156" cm="1">
        <f t="array" ref="DW156">IF(OR(B156="",BT156="",DM156&lt;&gt;1),"",_xlfn.LET(_xlpm.sz,Iдоп_S,_xlpm.t_,CHOOSE(DL156,Iдоп_1ж,Iдоп_2ж,Iдоп_3ж)*DJ156*DK156,_xlpm.inn,N(DD156),_xlpm.smin,MAX(1.5,BW156),_xlpm.L_,N(Q156)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156)*(_xlpm.rho*_xlpm.L_/_xlpm.sz*N(BY156)+_xlpm.xx*_xlpm.L_*N(DU156)/1000)*N(P156)/((Uн_лин/SQRT(3))*1000)*100,999),_xlpm.kz,IF(OR(DG156=1,NOT(ISNUMBER(DQ156)),_xlpm.L_=0,_xlpm.inn=0),1,IFERROR(--(c_min*(Uн_лин*1000/SQRT(3))/(DQ156+2*ρкз_Cu*_xlpm.L_/_xlpm.sz)&gt;=GY156*_xlpm.inn),0)),_xlpm.ok,IFERROR((_xlpm.sz&gt;=_xlpm.smin)*(_xlpm.t_&gt;=_xlpm.inn)*IF(_xlpm.L_&gt;0,(_xlpm.du_+DP156&lt;=DV156+0.00001),1)*_xlpm.kz,0),_xlpm.r_,_xlfn._xlws.FILTER(_xlpm.sz,_xlpm.ok,"не подобрано"),INDEX(_xlpm.r_,1)))</f>
        <v>1.5</v>
      </c>
      <c r="DX156">
        <f t="shared" si="294"/>
        <v>2.5</v>
      </c>
      <c r="DY156" cm="1">
        <f t="array" ref="DY156">IF(OR(B156="",BT156="",DM156&lt;&gt;1),"",_xlfn.LET(_xlpm.sz,Iдоп_S,_xlpm.t_,CHOOSE(DL156,Iдоп_1ж,Iдоп_2ж,Iдоп_3ж)*DJ156*DK156,_xlpm.ok,IFERROR((_xlpm.sz&gt;=MAX(1.5,BW156))*(_xlpm.t_&gt;=N(DD156)),0),_xlpm.r_,_xlfn._xlws.FILTER(_xlpm.sz,_xlpm.ok,""),INDEX(_xlpm.r_,1)))</f>
        <v>1.5</v>
      </c>
      <c r="DZ156" s="6" cm="1">
        <f t="array" ref="DZ156">IFERROR(ROUNDUP(N(DT156)*(_xlfn.XLOOKUP(DY156,INDEX(Кабель_сопротивление,0,1),INDEX(Кабель_сопротивление,0,3))*N(Q156)/DY156*N(BY156)+_xlfn.XLOOKUP(DY156,INDEX(Кабель_сопротивление,0,1),INDEX(Кабель_сопротивление,0,2))*N(Q156)*N(DU156)/1000)*N(P156)/((Uн_лин/SQRT(3))*1000)*100,2),"")</f>
        <v>0.66</v>
      </c>
      <c r="EA156">
        <f>IFERROR(2*ρкз_Cu*N(Q156)/DY156,"")</f>
        <v>1.3676000000000001</v>
      </c>
      <c r="EB156">
        <f>IFERROR(VLOOKUP(DX156,Кабель_сопротивление,3,FALSE),"")</f>
        <v>2.2499999999999999E-2</v>
      </c>
      <c r="EC156">
        <f>IFERROR(VLOOKUP(DX156,Кабель_сопротивление,2,FALSE),"")</f>
        <v>0.1</v>
      </c>
      <c r="ED156">
        <f t="shared" si="295"/>
        <v>14</v>
      </c>
      <c r="EE156">
        <f t="shared" si="296"/>
        <v>0</v>
      </c>
      <c r="EF156">
        <f t="shared" si="297"/>
        <v>0.91523114401609396</v>
      </c>
      <c r="EG156" s="6">
        <f>IFERROR(ROUNDUP(EF156/((Uн_лин/SQRT(3))*1000)*100,2),"")</f>
        <v>0.4</v>
      </c>
      <c r="EH156" t="str">
        <f>IFERROR(VLOOKUP(BT156,Кабель_обозначение,2,FALSE),"")</f>
        <v>ВВГнг(А)-LS</v>
      </c>
      <c r="EI156" t="str">
        <f t="shared" si="298"/>
        <v>ВВГнг(А)-LS (3х2,5)</v>
      </c>
      <c r="EJ156" t="str">
        <f t="shared" si="299"/>
        <v>ВВГнг(А)-LS (3х2,5)
L=39-0,4%</v>
      </c>
      <c r="EK156">
        <f>IFERROR(2*ρкз_Cu*Q156/DX156,"")</f>
        <v>0.82056000000000007</v>
      </c>
      <c r="EL156">
        <f t="shared" si="300"/>
        <v>0.27300000000000002</v>
      </c>
      <c r="EM156" s="6" t="str">
        <f>IFERROR(IF(OR(B156="",NOT(ISNUMBER(DX156)),N(Q156)=0),"",_xlfn.XLOOKUP(A156,Щиты[Щит],Щиты[Zпетли на шинах, Ом])+EK156),"")</f>
        <v/>
      </c>
      <c r="EN156" s="6" t="str">
        <f>IF(ISNUMBER(EM156),c_min*(Uн_лин*1000/SQRT(3))/EM156,"")</f>
        <v/>
      </c>
      <c r="EO156" s="6" t="str">
        <f>IFERROR(IF(OR(B156="",NOT(ISNUMBER(DX156))),"",1.05*(Uн_лин*1000/SQRT(3))/(_xlfn.XLOOKUP(A156,Щиты[Щит],Щиты[Zmax на шинах, Ом])+EL156)/1000),"")</f>
        <v/>
      </c>
      <c r="EP156" s="6" t="str">
        <f>IF(B156="","",IF(ISNUMBER(Y156),"Сил",IF(IFERROR(_xlfn.XLOOKUP(AX156,Коды_код,Коды_группа)&amp;"","")="","Быт",_xlfn.XLOOKUP(AX156,Коды_код,Коды_группа)&amp;"")))</f>
        <v>Быт</v>
      </c>
      <c r="EQ156" s="6" t="str">
        <f t="shared" si="301"/>
        <v>Быт</v>
      </c>
      <c r="ER156" s="6">
        <f>IF(EQ156="Щит","щит",IF(EQ156="","",IF(EQ156="Быт",IFERROR(_xlfn.XLOOKUP(A156,Щиты[Щит],Щиты[Кс быт]),1),IF(EQ156="Сил",IF(ISNUMBER(Y156),Y156,IF(Методика="нормы 2026",IFERROR(_xlfn.XLOOKUP(A156,Щиты[Щит],Щиты[Кс силовых (табл. 7.5)]),1),1)),IF(OR(EQ156="Пост",EQ156="Отоп"),1,IF(EQ156="ВНГ",0.7,0))))))</f>
        <v>0.8</v>
      </c>
      <c r="ES156">
        <f t="shared" si="302"/>
        <v>1</v>
      </c>
      <c r="ET156">
        <f t="shared" si="303"/>
        <v>0.3</v>
      </c>
      <c r="EU156">
        <f t="shared" si="304"/>
        <v>0.3</v>
      </c>
      <c r="EV156">
        <f t="shared" si="305"/>
        <v>0</v>
      </c>
      <c r="EW156">
        <f t="shared" si="306"/>
        <v>0</v>
      </c>
      <c r="EX156">
        <f t="shared" si="307"/>
        <v>0</v>
      </c>
      <c r="EY156">
        <f t="shared" si="308"/>
        <v>0</v>
      </c>
      <c r="EZ156">
        <f t="shared" si="309"/>
        <v>0.3</v>
      </c>
      <c r="FA156">
        <f t="shared" si="310"/>
        <v>0.28499999999999998</v>
      </c>
      <c r="FB156">
        <f t="shared" si="311"/>
        <v>0.3</v>
      </c>
      <c r="FC156" t="str">
        <f t="shared" si="312"/>
        <v>L2</v>
      </c>
      <c r="FD156" t="str">
        <f>IF(B156="","",IF(CA156=0,IF(AW156=1,"",FF155),IF(OR(N(CV156)&gt;=3,N(BR156)&gt;=3),"L1,L2,L3",IFERROR(_xlfn.TEXTBEFORE(_xlfn.TEXTAFTER(_xlfn.XLOOKUP(A156,Щиты[Щит],Щиты[_фазы авто]),";"&amp;AW156&amp;":"),";"),"L1"))))</f>
        <v>L1</v>
      </c>
      <c r="FE156" t="str">
        <f t="shared" si="313"/>
        <v>L2</v>
      </c>
      <c r="FF156" t="str">
        <f t="shared" si="314"/>
        <v>L2</v>
      </c>
      <c r="FG156" cm="1">
        <f t="array" ref="FG156">IFERROR(IF(BX156=2,_xlfn.IFS(BR156=3,VLOOKUP(BN156,Справочная_двигатели,3,FALSE),BR156=1,VLOOKUP(BN156,Справочная_двигатели,5,TRUE)),0),0)</f>
        <v>0</v>
      </c>
      <c r="FH156">
        <f>IFERROR(IF(BX156=3,VLOOKUP(BN156,Справочная_ЛЭД,2,TRUE),0),0)</f>
        <v>0</v>
      </c>
      <c r="FI156" s="6">
        <f t="shared" si="315"/>
        <v>0</v>
      </c>
      <c r="FJ156" t="str" cm="1">
        <f t="array" ref="FJ156">IF(B156="","",IFERROR(INDEX({"I особая","I","II","III"},MATCH(TRIM(AC156&amp;""),{"I особая","I","II","III"},0)),"III"))</f>
        <v>II</v>
      </c>
      <c r="FK156" t="str">
        <f>IF(B156="","",IF(TRIM(AD156&amp;"")&lt;&gt;"",IF(LOWER(TRIM(AD156&amp;""))="да","да","нет"),IF(IFERROR(_xlfn.XLOOKUP(AX156,Коды_код,Коды_пожарная),"")="да","да","нет")))</f>
        <v>нет</v>
      </c>
      <c r="FL156" t="str">
        <f t="shared" si="316"/>
        <v/>
      </c>
      <c r="FM156" t="str">
        <f t="shared" si="317"/>
        <v>основная</v>
      </c>
      <c r="FN156">
        <f t="shared" si="318"/>
        <v>1</v>
      </c>
      <c r="FO156" t="str" cm="1">
        <f t="array" ref="FO156">IF(B156="","",_xlfn.LET(_xlpm.t,IFERROR(_xlfn.XLOOKUP(1,(Шины[Шина]=FM156)*(((Шины[Щит]=A156)+(Шины[Щит]=""))&gt;0),Шины[Тип]),"")&amp;"",IF(_xlpm.t&lt;&gt;"",_xlpm.t,IF(ISNUMBER(SEARCH("ИБП",FM156)),"ИБП",IF(ISNUMBER(SEARCH("ДГУ",FM156)),"ДГУ","Ввод "&amp;FN156)))))</f>
        <v>Ввод 1</v>
      </c>
      <c r="FP156" t="str">
        <f t="shared" si="319"/>
        <v>Ввод 1</v>
      </c>
      <c r="FQ156" t="str">
        <f>IF(B156="","",IF(OR(FO156="ИБП",FO156="ДГУ"),"I особая",IF(FO156="Одиночная","III",_xlfn.XLOOKUP(A156,Щиты[Щит],Щиты[Категория шины «Ввод»],"III"))))</f>
        <v>II</v>
      </c>
      <c r="FR156">
        <f>IF(B156="",0,IFERROR(MATCH(FJ156,{"III","II","I","I особая"},0),1))</f>
        <v>2</v>
      </c>
      <c r="FS156">
        <f t="shared" si="320"/>
        <v>2</v>
      </c>
      <c r="FT156" t="str">
        <f>IF(B156="","",IF(FR156&gt;IFERROR(MATCH(FQ156,{"III","II","I","I особая"},0),1),"НЕ ОБЕСПЕЧЕНА","ОК"))</f>
        <v>ОК</v>
      </c>
      <c r="FU156" t="str">
        <f>IF(A156="","",_xlfn.XLOOKUP(A156,Щиты[Щит],Щиты[Путь],""))</f>
        <v>|ГРЩ-ЖД|ЩР-001|</v>
      </c>
      <c r="FV156" t="str">
        <f>IF(B156="","",IF(AE156&lt;&gt;"",AE156,IF(IFERROR(_xlfn.XLOOKUP(AX156,Коды_код,Коды_вид)&amp;"","")="","Прочее",_xlfn.XLOOKUP(AX156,Коды_код,Коды_вид)&amp;"")))</f>
        <v>Розеточная сеть и бытовые приборы</v>
      </c>
      <c r="FW156">
        <f>IF(BH156="","",INT((BH156-1)/Столбцов_на_лист)+1)</f>
        <v>2</v>
      </c>
      <c r="FX156" t="str">
        <f t="shared" si="321"/>
        <v>ВВГнг(А)-LS (3х2,5) L=39-0,4%</v>
      </c>
      <c r="FY156">
        <f t="shared" si="322"/>
        <v>0.3</v>
      </c>
      <c r="FZ156">
        <f t="shared" si="323"/>
        <v>1.37</v>
      </c>
      <c r="GA156">
        <f t="shared" si="324"/>
        <v>1</v>
      </c>
      <c r="GB156">
        <f t="shared" si="325"/>
        <v>0</v>
      </c>
      <c r="GC156">
        <f t="shared" si="326"/>
        <v>1</v>
      </c>
      <c r="GD156">
        <f>IF(BH156="","",IF(AND(CA156=1,GC156=1),COUNTIFS(A$3:A156,A156,CA$3:CA156,1,GC$3:GC156,1),IF(OR(OR(AW156=1,A156&lt;&gt;A155),AF156="вручную",GC156=0),"",IF(AW156=1,"",GE155))))</f>
        <v>2</v>
      </c>
      <c r="GE156">
        <f t="shared" si="327"/>
        <v>2</v>
      </c>
      <c r="GF156">
        <f>IF(B156="","",IFERROR(LOOKUP(INDEX(CHOOSE(DL156,Iдоп_1ж,Iдоп_2ж,Iдоп_3ж),MATCH(DX156,Iдоп_S,0))*DJ156*DK156,{6,10,16,20,25,32,40,50,63,80,100,125,160,200,250,315,400,500,630}),""))</f>
        <v>25</v>
      </c>
      <c r="GG156" t="str">
        <f t="shared" si="328"/>
        <v>QFD2</v>
      </c>
      <c r="GH156" t="str">
        <f t="shared" si="329"/>
        <v>QFD2</v>
      </c>
      <c r="GI156" t="str">
        <f t="shared" si="330"/>
        <v/>
      </c>
      <c r="GJ156">
        <f t="shared" si="331"/>
        <v>0</v>
      </c>
      <c r="GK156" t="str">
        <f>IF(OR(AG156="",AG156="-"),"",IFERROR(VLOOKUP(AG156,Модули_спр,2,FALSE),"R"))</f>
        <v/>
      </c>
      <c r="GL156" t="str">
        <f>IF(GK156="","",GK156&amp;"."&amp;COUNTIFS(A$3:A156,A156,GK$3:GK156,GK156))</f>
        <v/>
      </c>
      <c r="GM156" t="str">
        <f t="shared" si="332"/>
        <v/>
      </c>
      <c r="GN156" t="str">
        <f t="shared" si="333"/>
        <v/>
      </c>
      <c r="GO156" t="str">
        <f t="shared" si="334"/>
        <v/>
      </c>
      <c r="GP156" t="str">
        <f t="shared" si="335"/>
        <v/>
      </c>
      <c r="GQ156">
        <f t="shared" si="336"/>
        <v>1</v>
      </c>
      <c r="GR156" t="str">
        <f>IF(GQ156=1,"XT"&amp;COUNTIFS(A$3:A156,A156,GQ$3:GQ156,1),"")</f>
        <v>XT2</v>
      </c>
      <c r="GS156" t="str">
        <f t="shared" si="337"/>
        <v>XT2</v>
      </c>
      <c r="GT156" t="str">
        <f t="shared" si="338"/>
        <v>QFD2</v>
      </c>
      <c r="GU156" t="str">
        <f t="shared" si="339"/>
        <v/>
      </c>
      <c r="GV156" t="str">
        <f t="shared" si="340"/>
        <v>ok</v>
      </c>
      <c r="GW156" t="str">
        <f>IF(OR(GO156="",GM156=""),"",IF(GO156&gt;IFERROR(VLOOKUP(GN156,Модули_спр,3,FALSE),99),"ЛИШНИЙ КАНАЛ",IF(AND(AH156&lt;&gt;"=",COUNTIFS(Линии[_модуль гр.],GM156,Линии[Канал (итог)],GO156,Линии[Канал],"&lt;&gt;=",Линии[Щит],A156)&gt;1),"ДУБЛЬ КАНАЛА","")))</f>
        <v/>
      </c>
      <c r="GX156" s="6" t="str">
        <f t="shared" si="341"/>
        <v/>
      </c>
      <c r="GY156">
        <f t="shared" si="342"/>
        <v>10</v>
      </c>
      <c r="GZ156" t="str">
        <f t="shared" si="343"/>
        <v/>
      </c>
      <c r="HA156" t="str">
        <f>IF(AND(B156="",GT156=""),"",_xlfn.TEXTJOIN("; ",TRUE,IF(AND(B156&lt;&gt;"",FE156=""),"нет фазы",""),IF(AND(B156&lt;&gt;"",N(FY156)=0,EQ156&lt;&gt;"Нет"),"нет мощности",""),IF(AND(GS156&lt;&gt;"",COUNTIFS(Линии[Щит],A156,Линии[Клемма (итог)],GS156)&gt;1),"дубль клеммы "&amp;GS156,""),IF(AND(GV156&lt;&gt;"",GV156&lt;&gt;"ok"),GV156,""),IF(GW156&lt;&gt;"",GW156,""),IF(AND(N(BV156)&gt;=4,N(BR156)=1),BV156&amp;" жил на 1 фазе",""),IF(AND(AX156="R",CA156=1,OR(N(CK156)=0,N(CK156)&gt;30)),"розетка без дифзащиты до 30 мА",""),IFERROR(IF(AND(ISNUMBER(R156),R156&gt;DV156),"потери "&amp;FIXED(R156,1)&amp;" % &gt; "&amp;DV156&amp;" %",""),""),IFERROR(IF(LEFT(GZ156,4)="мало","Iкз мало — отключение &gt; 0,4 с",""),""),IF(AND(B156&lt;&gt;"",BH156=""),"не на схеме",""),IF(AND(CA156=0,B156&lt;&gt;"",FE156&lt;&gt;"",IF(AW156=1,"",FF155)&lt;&gt;"",FE156&lt;&gt;IF(AW156=1,"",FF155)),"фаза не как у автомата группы ("&amp;IF(AW156=1,"",FF155)&amp;")","")))</f>
        <v/>
      </c>
      <c r="HB156" s="6">
        <f>IF(OR(CA156=0,DA156=""),"",_xlfn.LET(_xlpm.t,IFERROR(_xlfn.XLOOKUP(DA156,Каталог!$U$4:$U$500,Каталог!$G$4:$G$500),""),_xlpm.k,SEARCH("кА",_xlpm.t),IFERROR(--TRIM(RIGHT(SUBSTITUTE(MID(_xlpm.t,MAX(1,_xlpm.k-4),_xlpm.k-MAX(1,_xlpm.k-4))," ",REPT(" ",9)),5)),"")))</f>
        <v>6</v>
      </c>
      <c r="HC156" t="str">
        <f>IF(OR(HB156="",CA156=0),"",IF(_xlfn.XLOOKUP(A156,Щиты[Щит],Щиты[Iкз max на шинах, кА],"")="","",IF(HB156&lt;_xlfn.XLOOKUP(A156,Щиты[Щит],Щиты[Iкз max на шинах, кА]),"Icu "&amp;HB156&amp;" кА &lt; Iкз max","ok")))</f>
        <v/>
      </c>
      <c r="HD156" t="str">
        <f t="shared" si="344"/>
        <v/>
      </c>
      <c r="HE156" t="str">
        <f t="shared" si="345"/>
        <v>QFD2|XT2</v>
      </c>
      <c r="HF156" t="str">
        <f t="shared" si="346"/>
        <v>QFD2|XT2|кабель ВВГнг(А)-LS (3х2,5) → Розеточная группа, пом. 003Т</v>
      </c>
      <c r="HG156" t="str" cm="1">
        <f t="array" ref="HG156">IF(HF156="","",_xlfn.LET(_xlpm.nd,_xlfn.TEXTSPLIT(HF156,"|"),IF(COLUMNS(_xlpm.nd)&gt;1,A156&amp;"¦"&amp;INDEX(_xlpm.nd,1)&amp;"¦"&amp;INDEX(_xlpm.nd,2),"")))</f>
        <v>ЩР-001¦QFD2¦XT2</v>
      </c>
      <c r="HH156" t="str">
        <f t="shared" si="347"/>
        <v>R.00.003Т.1¦Розеточная группа, пом. 003Т</v>
      </c>
      <c r="HI156" t="str" cm="1">
        <f t="array" ref="HI156">IF(HF156="","",_xlfn.LET(_xlpm.nd,_xlfn.TEXTSPLIT(HF156,"|"),IF(COLUMNS(_xlpm.nd)&gt;2,A156&amp;"¦"&amp;INDEX(_xlpm.nd,2)&amp;"¦"&amp;INDEX(_xlpm.nd,3),"")))</f>
        <v>ЩР-001¦XT2¦кабель ВВГнг(А)-LS (3х2,5) → Розеточная группа, пом. 003Т</v>
      </c>
      <c r="HJ156" t="str">
        <f t="shared" si="348"/>
        <v>R.00.003Т.1¦Розеточная группа, пом. 003Т</v>
      </c>
      <c r="HK156" t="str" cm="1">
        <f t="array" ref="HK156">IF(HF156="","",_xlfn.LET(_xlpm.nd,_xlfn.TEXTSPLIT(HF156,"|"),IF(COLUMNS(_xlpm.nd)&gt;3,A156&amp;"¦"&amp;INDEX(_xlpm.nd,3)&amp;"¦"&amp;INDEX(_xlpm.nd,4),"")))</f>
        <v/>
      </c>
      <c r="HL156" t="str">
        <f t="shared" si="349"/>
        <v/>
      </c>
      <c r="HM156" t="str" cm="1">
        <f t="array" ref="HM156">IF(HF156="","",_xlfn.LET(_xlpm.nd,_xlfn.TEXTSPLIT(HF156,"|"),IF(COLUMNS(_xlpm.nd)&gt;4,A156&amp;"¦"&amp;INDEX(_xlpm.nd,4)&amp;"¦"&amp;INDEX(_xlpm.nd,5),"")))</f>
        <v/>
      </c>
      <c r="HN156" t="str">
        <f t="shared" si="350"/>
        <v/>
      </c>
      <c r="HO156" t="str" cm="1">
        <f t="array" ref="HO156">IF(HF156="","",_xlfn.LET(_xlpm.nd,_xlfn.TEXTSPLIT(HF156,"|"),IF(COLUMNS(_xlpm.nd)&gt;5,A156&amp;"¦"&amp;INDEX(_xlpm.nd,5)&amp;"¦"&amp;INDEX(_xlpm.nd,6),"")))</f>
        <v/>
      </c>
      <c r="HP156" t="str">
        <f t="shared" si="351"/>
        <v/>
      </c>
      <c r="HQ156" t="str" cm="1">
        <f t="array" ref="HQ156">IF(HF156="","",_xlfn.LET(_xlpm.nd,_xlfn.TEXTSPLIT(HF156,"|"),IF(COLUMNS(_xlpm.nd)&gt;6,A156&amp;"¦"&amp;INDEX(_xlpm.nd,6)&amp;"¦"&amp;INDEX(_xlpm.nd,7),"")))</f>
        <v/>
      </c>
      <c r="HR156" t="str">
        <f t="shared" si="352"/>
        <v/>
      </c>
      <c r="HS156" t="str">
        <f t="shared" si="353"/>
        <v/>
      </c>
      <c r="HT156" t="str">
        <f t="shared" si="354"/>
        <v>QFD2 → XT2</v>
      </c>
      <c r="HU156">
        <f t="shared" si="355"/>
        <v>0</v>
      </c>
      <c r="HV156">
        <f t="shared" si="356"/>
        <v>1</v>
      </c>
      <c r="HW156" t="str">
        <f t="shared" si="357"/>
        <v/>
      </c>
      <c r="HX156" t="str">
        <f t="shared" si="358"/>
        <v/>
      </c>
      <c r="HY156" t="str">
        <f t="shared" si="359"/>
        <v/>
      </c>
      <c r="HZ156" t="str">
        <f t="shared" si="360"/>
        <v/>
      </c>
      <c r="IA156" t="str">
        <f>IF(B156="","",IFERROR(VLOOKUP(B156,УГО_спр,2,FALSE),IFERROR(VLOOKUP(AX156,УГО_спр,2,FALSE),IFERROR(VLOOKUP(LEFT(AX156,2),УГО_спр,2,FALSE),""))))</f>
        <v>Розетка</v>
      </c>
      <c r="IB156" t="str">
        <f>IF(B156="","",IF(OR(IA156="",IA156=0),"BOX",IFERROR(IF(VLOOKUP(IA156,УГО_блоки,3,FALSE)&amp;""&lt;&gt;"",VLOOKUP(IA156,УГО_блоки,3,FALSE),VLOOKUP(IA156,УГО_блоки,2,FALSE)),IA156)))</f>
        <v>SOCKET</v>
      </c>
      <c r="IC156">
        <f t="shared" si="361"/>
        <v>1</v>
      </c>
      <c r="ID156" t="str">
        <f>IF(DA156="","",IF(COUNTIF(DA$3:DA156,DA156)=1,MAX(ID$2:ID155)+1,""))</f>
        <v/>
      </c>
      <c r="IE156" t="str">
        <f>IF(CO156="","",IF(COUNTIF(CO$3:CO156,CO156)+COUNTIF(CP$2:CP155,CO156)+COUNTIF(CQ$2:CQ155,CO156)=1,MAX(IE$2:IG155)+1,""))</f>
        <v/>
      </c>
      <c r="IF156" t="str">
        <f>IF(CP156="","",IF(COUNTIF(CO$3:CO156,CP156)+COUNTIF(CP$3:CP156,CP156)+COUNTIF(CQ$2:CQ155,CP156)=1,MAX(IE$2:IG155,IE156)+1,""))</f>
        <v/>
      </c>
      <c r="IG156" t="str">
        <f>IF(CQ156="","",IF(COUNTIF(CO$3:CO156,CQ156)+COUNTIF(CP$3:CP156,CQ156)+COUNTIF(CQ$3:CQ156,CQ156)=1,MAX(IE$2:IG155,IE156,IF156)+1,""))</f>
        <v/>
      </c>
      <c r="IH156" t="str">
        <f t="shared" si="362"/>
        <v>3х2,5</v>
      </c>
      <c r="II156" t="str">
        <f>IF(IH156="","",IF(COUNTIF(IH$3:IH156,IH156)=1,MAX(II$2:II155)+1,""))</f>
        <v/>
      </c>
      <c r="IJ156" t="str">
        <f>IF(GL156="","",COUNTIF(GL$3:GL156,"?*"))</f>
        <v/>
      </c>
      <c r="IK156" t="str">
        <f>IF(OR(GL156="",GN156=""),"",IF(COUNTIFS(GL$3:GL156,"?*",GN$3:GN156,GN156)=1,MAX(IK$2:IK155)+1,""))</f>
        <v/>
      </c>
      <c r="IL156">
        <f t="shared" si="363"/>
        <v>0</v>
      </c>
      <c r="IM156">
        <f>IF(B156="","",COUNTIF(B$3:B156,"?*"))</f>
        <v>154</v>
      </c>
      <c r="IN156">
        <f>IF(GQ156&lt;&gt;1,0,_xlfn.LET(_xlpm.k,MAX(IFERROR(--VLOOKUP(B156,УГО_спр,5,FALSE),0),IFERROR(--VLOOKUP(AX156,УГО_спр,5,FALSE),0),IFERROR(--VLOOKUP(LEFT(AX156,2),УГО_спр,5,FALSE),0)),IF(_xlpm.k&gt;0,_xlpm.k,IF(IFERROR(--LEFT(SUBSTITUTE(IH156,"x","х"),FIND("х",SUBSTITUTE(IH156,"x","х"))-1),3)&gt;3,Каталог!$S$9,1))))</f>
        <v>1</v>
      </c>
      <c r="IO156">
        <f t="shared" si="364"/>
        <v>0</v>
      </c>
      <c r="IP156" t="str">
        <f t="shared" si="365"/>
        <v>авто</v>
      </c>
      <c r="IQ156">
        <f t="shared" si="366"/>
        <v>30</v>
      </c>
      <c r="IR156">
        <f t="shared" si="367"/>
        <v>1</v>
      </c>
      <c r="IS156">
        <f t="shared" si="368"/>
        <v>1</v>
      </c>
    </row>
    <row r="157" spans="1:253" x14ac:dyDescent="0.3">
      <c r="A157" t="s">
        <v>755</v>
      </c>
      <c r="B157" t="s">
        <v>1424</v>
      </c>
      <c r="C157" t="str">
        <f>Линии[[#This Row],[_авто наименование]]</f>
        <v>Розеточная группа, пом. 004Т</v>
      </c>
      <c r="D157">
        <v>1</v>
      </c>
      <c r="E157">
        <v>0.06</v>
      </c>
      <c r="G157">
        <v>16</v>
      </c>
      <c r="H157">
        <f>Линии[[#This Row],[_авто утечка]]</f>
        <v>30</v>
      </c>
      <c r="I157" t="str">
        <f>Линии[[#This Row],[_авто управление]]</f>
        <v/>
      </c>
      <c r="J157" t="str">
        <f>Линии[[#This Row],[_авто аппараты]]</f>
        <v/>
      </c>
      <c r="K157">
        <v>2.5</v>
      </c>
      <c r="L157">
        <v>5</v>
      </c>
      <c r="M157">
        <v>2</v>
      </c>
      <c r="N157" t="str">
        <f>Линии[[#This Row],[_авто клемма]]</f>
        <v>XT3</v>
      </c>
      <c r="O157" t="str">
        <f t="shared" si="246"/>
        <v/>
      </c>
      <c r="P157" s="6" cm="1">
        <f t="array" ref="P157">IF(B157="","",IF(BC157&lt;&gt;"",IFERROR(_xlfn.XLOOKUP(BC157,Щиты[Щит],Щиты[Iр, А]),""),IF(BK157=1,IFERROR(_xlfn.XLOOKUP(A157,Щиты[Щит],Щиты[Iр, А]),""),IFERROR(_xlfn.IFS(BR157=1,BN157/((Uн_лин/SQRT(3))*BY157),BR157=3,BN157/(SQRT(3)*Uн_лин*BY157)),""))))</f>
        <v>0.27348170645824377</v>
      </c>
      <c r="Q157" s="7">
        <f>IF(B157="","",IFERROR(IF(VLOOKUP(AX157,Потребители_обозначение,4,FALSE)=1,VLOOKUP(AX157,Потребители_обозначение,3,FALSE)*(D157*2-1)+DS157+VLOOKUP(AZ157,Этаж_обозначение,3,FALSE)+VLOOKUP(AZ157,Этаж_обозначение,4,FALSE),VLOOKUP(AX157,Потребители_обозначение,3,FALSE)*(D157*2-1)+DS157),DS157))</f>
        <v>8</v>
      </c>
      <c r="R157" s="6">
        <f t="shared" si="247"/>
        <v>1.59</v>
      </c>
      <c r="S157" t="str">
        <f t="shared" si="248"/>
        <v>ВВГнг(А)-LS (3х2,5)</v>
      </c>
      <c r="T157" t="str">
        <f>IF(BH157="","",IF(BI157="вводной узел","узел ","")&amp;"л."&amp;(INT((BH157-1)/Столбцов_на_лист)+1)&amp;" / "&amp;(MOD(BH157-1,Столбцов_на_лист)+1))</f>
        <v>л.2 / 3</v>
      </c>
      <c r="V157">
        <v>1</v>
      </c>
      <c r="W157">
        <v>230</v>
      </c>
      <c r="X157" t="s">
        <v>564</v>
      </c>
      <c r="AC157" t="s">
        <v>815</v>
      </c>
      <c r="AE157" t="s">
        <v>563</v>
      </c>
      <c r="AI157">
        <v>20</v>
      </c>
      <c r="AJ157" t="s">
        <v>11</v>
      </c>
      <c r="AK157">
        <v>3</v>
      </c>
      <c r="AM157">
        <v>0</v>
      </c>
      <c r="AN157">
        <v>0</v>
      </c>
      <c r="AO157">
        <v>5</v>
      </c>
      <c r="AW157" cm="1">
        <f t="array" ref="AW157">ROW()-ROW(Линии[#Headers])</f>
        <v>155</v>
      </c>
      <c r="AX157" s="6" t="str">
        <f t="shared" si="249"/>
        <v>R</v>
      </c>
      <c r="AY157" t="str">
        <f t="shared" si="250"/>
        <v>00.004Т.1</v>
      </c>
      <c r="AZ157" t="str">
        <f t="shared" si="251"/>
        <v>00</v>
      </c>
      <c r="BA157" t="str">
        <f t="shared" si="252"/>
        <v>004Т.1</v>
      </c>
      <c r="BB157" t="str">
        <f t="shared" si="253"/>
        <v>004Т</v>
      </c>
      <c r="BC157" t="str">
        <f>IF(U157&lt;&gt;"",U157,IF(AND(B157&lt;&gt;"",B157&lt;&gt;A157,ISNUMBER(_xlfn.XMATCH(B157,Щиты[Щит]))),B157,""))</f>
        <v/>
      </c>
      <c r="BD157" t="str" cm="1">
        <f t="array" ref="BD157">IF(B157="","",IF(BC157&lt;&gt;"","Щит "&amp;BC157,_xlfn.LET(_xlpm.nm,IFERROR(_xlfn.XLOOKUP(AX157,Коды_код,Коды_имя)&amp;"",""),_xlpm.md,IFERROR(N(_xlfn.XLOOKUP(AX157,Коды_код,Коды_режим)),1),_xlpm.ex,IF(Имя_режим="по экспликации",IFERROR(_xlfn.XLOOKUP(AZ157&amp;"|"&amp;BB157,Экспликация[Этаж]&amp;"|"&amp;Экспликация[Помещение],Экспликация[Название])&amp;"",""),""),_xlpm.rm,IF(BB157="","",IF(_xlpm.ex&lt;&gt;"",". "&amp;_xlpm.ex&amp;IF(Имя_пом="нет"," ("&amp;BB157&amp;")"," (пом. "&amp;BB157&amp;")"),IF(Имя_пом="нет"," ",", пом. ")&amp;BB157)),IF(_xlpm.nm="","",IF(_xlpm.md=2,_xlpm.nm&amp;" шлейф "&amp;AZ157,_xlpm.nm&amp;_xlpm.rm)))))</f>
        <v>Розеточная группа, пом. 004Т</v>
      </c>
      <c r="BE157" t="str">
        <f t="shared" si="254"/>
        <v>Розеточная группа, пом. 004Т</v>
      </c>
      <c r="BF157">
        <f>IFERROR(_xlfn.XMATCH(A157,Щиты[Щит]),0)</f>
        <v>8</v>
      </c>
      <c r="BG157">
        <f>_xlfn.LET(_xlpm.k,IFERROR(_xlfn.XLOOKUP(A157,Щиты[Щит],Щиты[Листов под вводной узел]),""),IF(_xlpm.k="",1,N(_xlpm.k))*Столбцов_на_лист)</f>
        <v>17</v>
      </c>
      <c r="BH157">
        <f t="shared" si="255"/>
        <v>20</v>
      </c>
      <c r="BI157" t="str">
        <f t="shared" si="256"/>
        <v>линии</v>
      </c>
      <c r="BJ157" s="6">
        <f>IFERROR(N(_xlfn.XLOOKUP(AX157,Коды_код,Коды_квт)),0)</f>
        <v>0</v>
      </c>
      <c r="BK157">
        <f t="shared" si="257"/>
        <v>0</v>
      </c>
      <c r="BL157" t="str">
        <f>IF(B157="","",IF(BC157&lt;&gt;"",IFERROR(_xlfn.XLOOKUP(BC157,Щиты[Щит],Щиты[Руст, кВт]),0),IF(BK157=1,IFERROR(_xlfn.XLOOKUP(A157,Щиты[Щит],Щиты[Руст, кВт]),0),IF(BJ157&gt;0,ROUND(BJ157*MAX(1,N(D157)),3),""))))</f>
        <v/>
      </c>
      <c r="BM157">
        <f t="shared" si="258"/>
        <v>0.06</v>
      </c>
      <c r="BN157" s="6">
        <f>IF(B157="","",IF(BC157&lt;&gt;"",IFERROR(_xlfn.XLOOKUP(BC157,Щиты[Щит],Щиты[Руст, кВт]),0),N(BM157)))</f>
        <v>0.06</v>
      </c>
      <c r="BO157" t="str">
        <f>IF(B157="","",IFERROR(IF(VLOOKUP(AX157,Потребители_обозначение,8,FALSE)=0,"",VLOOKUP(AX157,Потребители_обозначение,8,FALSE)),""))</f>
        <v/>
      </c>
      <c r="BP157">
        <f t="shared" si="259"/>
        <v>230</v>
      </c>
      <c r="BQ157">
        <f>IF(B157="","",IF(BC157&lt;&gt;"",3,IFERROR(IF(N(VLOOKUP(AX157,Потребители_обозначение,9,FALSE))=0,1,VLOOKUP(AX157,Потребители_обозначение,9,FALSE)),1)))</f>
        <v>1</v>
      </c>
      <c r="BR157">
        <f t="shared" si="260"/>
        <v>1</v>
      </c>
      <c r="BS157" t="str">
        <f>IF(B157="","",_xlfn.LET(_xlpm.bc,IFERROR(IF(VLOOKUP(AX157,Потребители_обозначение,6,FALSE)=0,"",VLOOKUP(AX157,Потребители_обозначение,6,FALSE)&amp;""),""),IF(AND(FK157="да",OR(_xlpm.bc="",_xlpm.bc="мс")),Марка_пож,IF(AND(_xlpm.bc="",BC157&lt;&gt;""),"мс",_xlpm.bc))))</f>
        <v/>
      </c>
      <c r="BT157" t="str">
        <f t="shared" si="261"/>
        <v>мс</v>
      </c>
      <c r="BU157">
        <f>IF(B157="","",_xlfn.LET(_xlpm.cc,IFERROR(N(VLOOKUP(AX157,Потребители_обозначение,7,FALSE)),0),IF(_xlpm.cc&gt;0,_xlpm.cc,IF(BT157="","",IF(N(BR157)=3,5,3)))))</f>
        <v>3</v>
      </c>
      <c r="BV157">
        <f t="shared" si="262"/>
        <v>3</v>
      </c>
      <c r="BW157">
        <f>IFERROR(N(VLOOKUP(AX157,Потребители_обозначение,10,FALSE)),0)</f>
        <v>0</v>
      </c>
      <c r="BX157">
        <f>IFERROR(VLOOKUP(AX157,Потребители_обозначение,5,FALSE),0)</f>
        <v>1</v>
      </c>
      <c r="BY157" s="6" cm="1">
        <f t="array" ref="BY157">IF(B157="","",IF(BC157&lt;&gt;"",IFERROR(_xlfn.XLOOKUP(BC157,Щиты[Щит],Щиты[cos φ]),0.95),IF(BK157=1,IFERROR(_xlfn.XLOOKUP(A157,Щиты[Щит],Щиты[cos φ]),0.95),IF(ISNUMBER(Z157),Z157,IFERROR(IF(BX157=2,_xlfn.IFS(BR157=3,VLOOKUP(BN157,Справочная_двигатели,8,FALSE),BR157=1,VLOOKUP(BN157,Справочная_двигатели,10,TRUE)),IF(AND(Методика="нормы 2026",EQ157="Сил"),0.8,0.95)),0.95)))))</f>
        <v>0.95</v>
      </c>
      <c r="BZ157">
        <f t="shared" si="263"/>
        <v>0</v>
      </c>
      <c r="CA157">
        <f t="shared" si="264"/>
        <v>1</v>
      </c>
      <c r="CB157">
        <f t="shared" si="265"/>
        <v>0</v>
      </c>
      <c r="CC157">
        <f t="shared" si="266"/>
        <v>0</v>
      </c>
      <c r="CD157">
        <f t="shared" si="267"/>
        <v>0</v>
      </c>
      <c r="CE157">
        <f t="shared" si="268"/>
        <v>0</v>
      </c>
      <c r="CF157">
        <f t="shared" si="269"/>
        <v>0</v>
      </c>
      <c r="CG157">
        <f>IF(AX157="",0,_xlfn.LET(_xlpm.v,IFERROR(VLOOKUP(B157,УГО_спр,3,FALSE),IFERROR(VLOOKUP(AX157,УГО_спр,3,FALSE),IFERROR(VLOOKUP(LEFT(AX157,2),УГО_спр,3,FALSE),""))),IF(_xlpm.v="да",30,IF(ISNUMBER(_xlpm.v),_xlpm.v,0))))</f>
        <v>30</v>
      </c>
      <c r="CH157">
        <f t="shared" si="270"/>
        <v>30</v>
      </c>
      <c r="CI157" t="str">
        <f>_xlfn.LET(_xlpm.k,IFERROR(_xlfn.XLOOKUP(AX157,Коды_код,Коды_утечка)&amp;"",""),IF(_xlpm.k="","дифавтомат",_xlpm.k))</f>
        <v>дифавтомат</v>
      </c>
      <c r="CJ157">
        <f t="shared" si="271"/>
        <v>30</v>
      </c>
      <c r="CK157">
        <f t="shared" si="272"/>
        <v>30</v>
      </c>
      <c r="CL157">
        <f>IF(B157="",0,IFERROR(--VLOOKUP(B157,УГО_спр,4,FALSE),IFERROR(--VLOOKUP(AX157,УГО_спр,4,FALSE),IFERROR(--VLOOKUP(LEFT(AX157,2),УГО_спр,4,FALSE),0))))</f>
        <v>16</v>
      </c>
      <c r="CM157" t="str">
        <f>IF(B157="","",IFERROR(_xlfn.XLOOKUP(AX157,Коды_код,Коды_апп)&amp;"",""))</f>
        <v/>
      </c>
      <c r="CN157" t="str">
        <f t="shared" si="273"/>
        <v/>
      </c>
      <c r="CO157" t="str" cm="1">
        <f t="array" ref="CO157">IF(TRIM(CN157&amp;"")="","",IFERROR(TRIM(INDEX(_xlfn.TEXTSPLIT(CN157&amp;";;;",";"),1)),""))</f>
        <v/>
      </c>
      <c r="CP157" t="str" cm="1">
        <f t="array" ref="CP157">IF(TRIM(CN157&amp;"")="","",IFERROR(TRIM(INDEX(_xlfn.TEXTSPLIT(CN157&amp;";;;",";"),2)),""))</f>
        <v/>
      </c>
      <c r="CQ157" t="str" cm="1">
        <f t="array" ref="CQ157">IF(TRIM(CN157&amp;"")="","",IFERROR(TRIM(INDEX(_xlfn.TEXTSPLIT(CN157&amp;";;;",";"),3)),""))</f>
        <v/>
      </c>
      <c r="CR157">
        <f t="shared" si="274"/>
        <v>0</v>
      </c>
      <c r="CS157" t="str">
        <f>IF(B157="","",_xlfn.LET(_xlpm.t,LOWER(AV157&amp;""),IF(ISNUMBER(SEARCH("dim",_xlpm.t)),"DIM",IF(ISNUMBER(SEARCH("dali",_xlpm.t)),"DALI",IF(OR(ISNUMBER(SEARCH("relay",_xlpm.t)),ISNUMBER(SEARCH("реле",_xlpm.t))),"Relay",IF(ISNUMBER(SEARCH("кнопк",_xlpm.t)),"",IFERROR(_xlfn.XLOOKUP(AX157,Коды_код,Коды_упр)&amp;"","")))))))</f>
        <v/>
      </c>
      <c r="CT157" t="str">
        <f t="shared" si="275"/>
        <v/>
      </c>
      <c r="CU157">
        <f>IF(B157="","",_xlfn.LET(_xlpm.ig,N(P157)+IF(AF157="вручную",0,N(CB157)),_xlpm.n0,IFERROR(VLOOKUP(_xlpm.ig,Автомат_номиналы,2,TRUE),0),_xlpm.mn,MAX(CL157,IF(AF157="вручную",0,N(CE157))),MAX(_xlpm.n0,_xlpm.mn,IF(CR157=1,Мин_автомат_БП,0))))</f>
        <v>16</v>
      </c>
      <c r="CV157">
        <f t="shared" si="276"/>
        <v>1</v>
      </c>
      <c r="CW157" t="str">
        <f t="shared" si="277"/>
        <v>2P</v>
      </c>
      <c r="CX157" t="str">
        <f>_xlfn.LET(_xlpm.cc,UPPER(TRIM(IFERROR(_xlfn.XLOOKUP(AX157,Коды_код,Коды_хар)&amp;"",""))),IF(OR(_xlpm.cc="B",_xlpm.cc="В"),"B",IF(_xlpm.cc="D","D","С")))</f>
        <v>С</v>
      </c>
      <c r="CY157" t="str">
        <f t="shared" si="278"/>
        <v>2P С16А 30мА</v>
      </c>
      <c r="CZ157">
        <f t="shared" si="279"/>
        <v>16</v>
      </c>
      <c r="DA157" t="str">
        <f t="shared" si="280"/>
        <v>2P С16А 30мА</v>
      </c>
      <c r="DB157" cm="1">
        <f t="array" ref="DB157">IF(DA157="","",_xlfn.LET(_xlpm.t,SUBSTITUTE(SUBSTITUTE(SUBSTITUTE(UPPER(DA157),"С","C"),"А","A"),"В","B"),_xlpm.tk,_xlfn.TEXTSPLIT(_xlpm.t,"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7" t="str">
        <f t="shared" si="281"/>
        <v>ok</v>
      </c>
      <c r="DD157">
        <f t="shared" si="282"/>
        <v>16</v>
      </c>
      <c r="DE157" t="str">
        <f t="shared" si="283"/>
        <v>2P С16А 30мА</v>
      </c>
      <c r="DF157">
        <f t="shared" si="284"/>
        <v>30</v>
      </c>
      <c r="DG157">
        <f t="shared" si="285"/>
        <v>1</v>
      </c>
      <c r="DH157">
        <f t="shared" si="286"/>
        <v>0</v>
      </c>
      <c r="DI157">
        <f t="shared" si="287"/>
        <v>0.27348170645824377</v>
      </c>
      <c r="DJ157">
        <f t="shared" si="288"/>
        <v>1</v>
      </c>
      <c r="DK157">
        <f>IF(ISNUMBER(AL157),AL157,К_прокл)</f>
        <v>1</v>
      </c>
      <c r="DL157">
        <f t="shared" si="289"/>
        <v>2</v>
      </c>
      <c r="DM157">
        <f>IFERROR(N(VLOOKUP(BT157,Кабель_обозначение,3,FALSE)),1)</f>
        <v>1</v>
      </c>
      <c r="DN157">
        <f>IFERROR(N(_xlfn.XLOOKUP(A157,Щиты[Щит],Щиты[ΔU до шин, %])),0)</f>
        <v>1.57</v>
      </c>
      <c r="DO157" t="str">
        <f>IFERROR(_xlfn.XLOOKUP(A157,Щиты[Щит],Щиты[Zпетли на шинах, Ом]),"")</f>
        <v/>
      </c>
      <c r="DP157">
        <f>IFERROR(N(_xlfn.XLOOKUP(A157,Щиты[Щит],Щиты[ΔU до шин (подбор), %])),0)</f>
        <v>2.5</v>
      </c>
      <c r="DQ157" t="str">
        <f>IFERROR(_xlfn.XLOOKUP(A157,Щиты[Щит],Щиты[Zпетли на шинах (подбор), Ом]),"")</f>
        <v/>
      </c>
      <c r="DR157" t="str">
        <f t="shared" si="290"/>
        <v/>
      </c>
      <c r="DS157">
        <f t="shared" si="291"/>
        <v>5</v>
      </c>
      <c r="DT157">
        <f t="shared" si="292"/>
        <v>2</v>
      </c>
      <c r="DU157">
        <f t="shared" si="293"/>
        <v>0.31</v>
      </c>
      <c r="DV157" s="6">
        <f>IF(B157="","",IF(IFERROR(VLOOKUP(AX157,УГО_спр,2,FALSE),"")="Светильник",3,4)+IF(Методика="нормы 2026",MIN(0.5,MAX(0,N(Q157)-100)*0.005),0))</f>
        <v>4</v>
      </c>
      <c r="DW157" cm="1">
        <f t="array" ref="DW157">IF(OR(B157="",BT157="",DM157&lt;&gt;1),"",_xlfn.LET(_xlpm.sz,Iдоп_S,_xlpm.t_,CHOOSE(DL157,Iдоп_1ж,Iдоп_2ж,Iдоп_3ж)*DJ157*DK157,_xlpm.inn,N(DD157),_xlpm.smin,MAX(1.5,BW157),_xlpm.L_,N(Q157)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157)*(_xlpm.rho*_xlpm.L_/_xlpm.sz*N(BY157)+_xlpm.xx*_xlpm.L_*N(DU157)/1000)*N(P157)/((Uн_лин/SQRT(3))*1000)*100,999),_xlpm.kz,IF(OR(DG157=1,NOT(ISNUMBER(DQ157)),_xlpm.L_=0,_xlpm.inn=0),1,IFERROR(--(c_min*(Uн_лин*1000/SQRT(3))/(DQ157+2*ρкз_Cu*_xlpm.L_/_xlpm.sz)&gt;=GY157*_xlpm.inn),0)),_xlpm.ok,IFERROR((_xlpm.sz&gt;=_xlpm.smin)*(_xlpm.t_&gt;=_xlpm.inn)*IF(_xlpm.L_&gt;0,(_xlpm.du_+DP157&lt;=DV157+0.00001),1)*_xlpm.kz,0),_xlpm.r_,_xlfn._xlws.FILTER(_xlpm.sz,_xlpm.ok,"не подобрано"),INDEX(_xlpm.r_,1)))</f>
        <v>1.5</v>
      </c>
      <c r="DX157">
        <f t="shared" si="294"/>
        <v>2.5</v>
      </c>
      <c r="DY157" cm="1">
        <f t="array" ref="DY157">IF(OR(B157="",BT157="",DM157&lt;&gt;1),"",_xlfn.LET(_xlpm.sz,Iдоп_S,_xlpm.t_,CHOOSE(DL157,Iдоп_1ж,Iдоп_2ж,Iдоп_3ж)*DJ157*DK157,_xlpm.ok,IFERROR((_xlpm.sz&gt;=MAX(1.5,BW157))*(_xlpm.t_&gt;=N(DD157)),0),_xlpm.r_,_xlfn._xlws.FILTER(_xlpm.sz,_xlpm.ok,""),INDEX(_xlpm.r_,1)))</f>
        <v>1.5</v>
      </c>
      <c r="DZ157" s="6" cm="1">
        <f t="array" ref="DZ157">IFERROR(ROUNDUP(N(DT157)*(_xlfn.XLOOKUP(DY157,INDEX(Кабель_сопротивление,0,1),INDEX(Кабель_сопротивление,0,3))*N(Q157)/DY157*N(BY157)+_xlfn.XLOOKUP(DY157,INDEX(Кабель_сопротивление,0,1),INDEX(Кабель_сопротивление,0,2))*N(Q157)*N(DU157)/1000)*N(P157)/((Uн_лин/SQRT(3))*1000)*100,2),"")</f>
        <v>0.03</v>
      </c>
      <c r="EA157">
        <f>IFERROR(2*ρкз_Cu*N(Q157)/DY157,"")</f>
        <v>0.28053333333333336</v>
      </c>
      <c r="EB157">
        <f>IFERROR(VLOOKUP(DX157,Кабель_сопротивление,3,FALSE),"")</f>
        <v>2.2499999999999999E-2</v>
      </c>
      <c r="EC157">
        <f>IFERROR(VLOOKUP(DX157,Кабель_сопротивление,2,FALSE),"")</f>
        <v>0.1</v>
      </c>
      <c r="ED157">
        <f t="shared" si="295"/>
        <v>0</v>
      </c>
      <c r="EE157">
        <f t="shared" si="296"/>
        <v>5</v>
      </c>
      <c r="EF157">
        <f t="shared" si="297"/>
        <v>3.7547944369891027E-2</v>
      </c>
      <c r="EG157" s="6">
        <f>IFERROR(ROUNDUP(EF157/((Uн_лин/SQRT(3))*1000)*100,2),"")</f>
        <v>0.02</v>
      </c>
      <c r="EH157" t="str">
        <f>IFERROR(VLOOKUP(BT157,Кабель_обозначение,2,FALSE),"")</f>
        <v>ВВГнг(А)-LS</v>
      </c>
      <c r="EI157" t="str">
        <f t="shared" si="298"/>
        <v>ВВГнг(А)-LS (3х2,5)</v>
      </c>
      <c r="EJ157" t="str">
        <f t="shared" si="299"/>
        <v>ВВГнг(А)-LS (3х2,5)
L=8-0,02%</v>
      </c>
      <c r="EK157">
        <f>IFERROR(2*ρкз_Cu*Q157/DX157,"")</f>
        <v>0.16832</v>
      </c>
      <c r="EL157">
        <f t="shared" si="300"/>
        <v>5.6000000000000008E-2</v>
      </c>
      <c r="EM157" s="6" t="str">
        <f>IFERROR(IF(OR(B157="",NOT(ISNUMBER(DX157)),N(Q157)=0),"",_xlfn.XLOOKUP(A157,Щиты[Щит],Щиты[Zпетли на шинах, Ом])+EK157),"")</f>
        <v/>
      </c>
      <c r="EN157" s="6" t="str">
        <f>IF(ISNUMBER(EM157),c_min*(Uн_лин*1000/SQRT(3))/EM157,"")</f>
        <v/>
      </c>
      <c r="EO157" s="6" t="str">
        <f>IFERROR(IF(OR(B157="",NOT(ISNUMBER(DX157))),"",1.05*(Uн_лин*1000/SQRT(3))/(_xlfn.XLOOKUP(A157,Щиты[Щит],Щиты[Zmax на шинах, Ом])+EL157)/1000),"")</f>
        <v/>
      </c>
      <c r="EP157" s="6" t="str">
        <f>IF(B157="","",IF(ISNUMBER(Y157),"Сил",IF(IFERROR(_xlfn.XLOOKUP(AX157,Коды_код,Коды_группа)&amp;"","")="","Быт",_xlfn.XLOOKUP(AX157,Коды_код,Коды_группа)&amp;"")))</f>
        <v>Быт</v>
      </c>
      <c r="EQ157" s="6" t="str">
        <f t="shared" si="301"/>
        <v>Быт</v>
      </c>
      <c r="ER157" s="6">
        <f>IF(EQ157="Щит","щит",IF(EQ157="","",IF(EQ157="Быт",IFERROR(_xlfn.XLOOKUP(A157,Щиты[Щит],Щиты[Кс быт]),1),IF(EQ157="Сил",IF(ISNUMBER(Y157),Y157,IF(Методика="нормы 2026",IFERROR(_xlfn.XLOOKUP(A157,Щиты[Щит],Щиты[Кс силовых (табл. 7.5)]),1),1)),IF(OR(EQ157="Пост",EQ157="Отоп"),1,IF(EQ157="ВНГ",0.7,0))))))</f>
        <v>0.8</v>
      </c>
      <c r="ES157">
        <f t="shared" si="302"/>
        <v>1</v>
      </c>
      <c r="ET157">
        <f t="shared" si="303"/>
        <v>0.06</v>
      </c>
      <c r="EU157">
        <f t="shared" si="304"/>
        <v>0.06</v>
      </c>
      <c r="EV157">
        <f t="shared" si="305"/>
        <v>0</v>
      </c>
      <c r="EW157">
        <f t="shared" si="306"/>
        <v>0</v>
      </c>
      <c r="EX157">
        <f t="shared" si="307"/>
        <v>0</v>
      </c>
      <c r="EY157">
        <f t="shared" si="308"/>
        <v>0</v>
      </c>
      <c r="EZ157">
        <f t="shared" si="309"/>
        <v>0.06</v>
      </c>
      <c r="FA157">
        <f t="shared" si="310"/>
        <v>5.6999999999999995E-2</v>
      </c>
      <c r="FB157">
        <f t="shared" si="311"/>
        <v>0.06</v>
      </c>
      <c r="FC157" t="str">
        <f t="shared" si="312"/>
        <v>L2</v>
      </c>
      <c r="FD157" t="str">
        <f>IF(B157="","",IF(CA157=0,IF(AW157=1,"",FF156),IF(OR(N(CV157)&gt;=3,N(BR157)&gt;=3),"L1,L2,L3",IFERROR(_xlfn.TEXTBEFORE(_xlfn.TEXTAFTER(_xlfn.XLOOKUP(A157,Щиты[Щит],Щиты[_фазы авто]),";"&amp;AW157&amp;":"),";"),"L1"))))</f>
        <v>L1</v>
      </c>
      <c r="FE157" t="str">
        <f t="shared" si="313"/>
        <v>L2</v>
      </c>
      <c r="FF157" t="str">
        <f t="shared" si="314"/>
        <v>L2</v>
      </c>
      <c r="FG157" cm="1">
        <f t="array" ref="FG157">IFERROR(IF(BX157=2,_xlfn.IFS(BR157=3,VLOOKUP(BN157,Справочная_двигатели,3,FALSE),BR157=1,VLOOKUP(BN157,Справочная_двигатели,5,TRUE)),0),0)</f>
        <v>0</v>
      </c>
      <c r="FH157">
        <f>IFERROR(IF(BX157=3,VLOOKUP(BN157,Справочная_ЛЭД,2,TRUE),0),0)</f>
        <v>0</v>
      </c>
      <c r="FI157" s="6">
        <f t="shared" si="315"/>
        <v>0</v>
      </c>
      <c r="FJ157" t="str" cm="1">
        <f t="array" ref="FJ157">IF(B157="","",IFERROR(INDEX({"I особая","I","II","III"},MATCH(TRIM(AC157&amp;""),{"I особая","I","II","III"},0)),"III"))</f>
        <v>II</v>
      </c>
      <c r="FK157" t="str">
        <f>IF(B157="","",IF(TRIM(AD157&amp;"")&lt;&gt;"",IF(LOWER(TRIM(AD157&amp;""))="да","да","нет"),IF(IFERROR(_xlfn.XLOOKUP(AX157,Коды_код,Коды_пожарная),"")="да","да","нет")))</f>
        <v>нет</v>
      </c>
      <c r="FL157" t="str">
        <f t="shared" si="316"/>
        <v/>
      </c>
      <c r="FM157" t="str">
        <f t="shared" si="317"/>
        <v>основная</v>
      </c>
      <c r="FN157">
        <f t="shared" si="318"/>
        <v>1</v>
      </c>
      <c r="FO157" t="str" cm="1">
        <f t="array" ref="FO157">IF(B157="","",_xlfn.LET(_xlpm.t,IFERROR(_xlfn.XLOOKUP(1,(Шины[Шина]=FM157)*(((Шины[Щит]=A157)+(Шины[Щит]=""))&gt;0),Шины[Тип]),"")&amp;"",IF(_xlpm.t&lt;&gt;"",_xlpm.t,IF(ISNUMBER(SEARCH("ИБП",FM157)),"ИБП",IF(ISNUMBER(SEARCH("ДГУ",FM157)),"ДГУ","Ввод "&amp;FN157)))))</f>
        <v>Ввод 1</v>
      </c>
      <c r="FP157" t="str">
        <f t="shared" si="319"/>
        <v>Ввод 1</v>
      </c>
      <c r="FQ157" t="str">
        <f>IF(B157="","",IF(OR(FO157="ИБП",FO157="ДГУ"),"I особая",IF(FO157="Одиночная","III",_xlfn.XLOOKUP(A157,Щиты[Щит],Щиты[Категория шины «Ввод»],"III"))))</f>
        <v>II</v>
      </c>
      <c r="FR157">
        <f>IF(B157="",0,IFERROR(MATCH(FJ157,{"III","II","I","I особая"},0),1))</f>
        <v>2</v>
      </c>
      <c r="FS157">
        <f t="shared" si="320"/>
        <v>2</v>
      </c>
      <c r="FT157" t="str">
        <f>IF(B157="","",IF(FR157&gt;IFERROR(MATCH(FQ157,{"III","II","I","I особая"},0),1),"НЕ ОБЕСПЕЧЕНА","ОК"))</f>
        <v>ОК</v>
      </c>
      <c r="FU157" t="str">
        <f>IF(A157="","",_xlfn.XLOOKUP(A157,Щиты[Щит],Щиты[Путь],""))</f>
        <v>|ГРЩ-ЖД|ЩР-001|</v>
      </c>
      <c r="FV157" t="str">
        <f>IF(B157="","",IF(AE157&lt;&gt;"",AE157,IF(IFERROR(_xlfn.XLOOKUP(AX157,Коды_код,Коды_вид)&amp;"","")="","Прочее",_xlfn.XLOOKUP(AX157,Коды_код,Коды_вид)&amp;"")))</f>
        <v>Розеточная сеть и бытовые приборы</v>
      </c>
      <c r="FW157">
        <f>IF(BH157="","",INT((BH157-1)/Столбцов_на_лист)+1)</f>
        <v>2</v>
      </c>
      <c r="FX157" t="str">
        <f t="shared" si="321"/>
        <v>ВВГнг(А)-LS (3х2,5) L=8-0,02%</v>
      </c>
      <c r="FY157">
        <f t="shared" si="322"/>
        <v>0.06</v>
      </c>
      <c r="FZ157">
        <f t="shared" si="323"/>
        <v>0.28000000000000003</v>
      </c>
      <c r="GA157">
        <f t="shared" si="324"/>
        <v>1</v>
      </c>
      <c r="GB157">
        <f t="shared" si="325"/>
        <v>0</v>
      </c>
      <c r="GC157">
        <f t="shared" si="326"/>
        <v>1</v>
      </c>
      <c r="GD157">
        <f>IF(BH157="","",IF(AND(CA157=1,GC157=1),COUNTIFS(A$3:A157,A157,CA$3:CA157,1,GC$3:GC157,1),IF(OR(OR(AW157=1,A157&lt;&gt;A156),AF157="вручную",GC157=0),"",IF(AW157=1,"",GE156))))</f>
        <v>3</v>
      </c>
      <c r="GE157">
        <f t="shared" si="327"/>
        <v>3</v>
      </c>
      <c r="GF157">
        <f>IF(B157="","",IFERROR(LOOKUP(INDEX(CHOOSE(DL157,Iдоп_1ж,Iдоп_2ж,Iдоп_3ж),MATCH(DX157,Iдоп_S,0))*DJ157*DK157,{6,10,16,20,25,32,40,50,63,80,100,125,160,200,250,315,400,500,630}),""))</f>
        <v>25</v>
      </c>
      <c r="GG157" t="str">
        <f t="shared" si="328"/>
        <v>QFD3</v>
      </c>
      <c r="GH157" t="str">
        <f t="shared" si="329"/>
        <v>QFD3</v>
      </c>
      <c r="GI157" t="str">
        <f t="shared" si="330"/>
        <v/>
      </c>
      <c r="GJ157">
        <f t="shared" si="331"/>
        <v>0</v>
      </c>
      <c r="GK157" t="str">
        <f>IF(OR(AG157="",AG157="-"),"",IFERROR(VLOOKUP(AG157,Модули_спр,2,FALSE),"R"))</f>
        <v/>
      </c>
      <c r="GL157" t="str">
        <f>IF(GK157="","",GK157&amp;"."&amp;COUNTIFS(A$3:A157,A157,GK$3:GK157,GK157))</f>
        <v/>
      </c>
      <c r="GM157" t="str">
        <f t="shared" si="332"/>
        <v/>
      </c>
      <c r="GN157" t="str">
        <f t="shared" si="333"/>
        <v/>
      </c>
      <c r="GO157" t="str">
        <f t="shared" si="334"/>
        <v/>
      </c>
      <c r="GP157" t="str">
        <f t="shared" si="335"/>
        <v/>
      </c>
      <c r="GQ157">
        <f t="shared" si="336"/>
        <v>1</v>
      </c>
      <c r="GR157" t="str">
        <f>IF(GQ157=1,"XT"&amp;COUNTIFS(A$3:A157,A157,GQ$3:GQ157,1),"")</f>
        <v>XT3</v>
      </c>
      <c r="GS157" t="str">
        <f t="shared" si="337"/>
        <v>XT3</v>
      </c>
      <c r="GT157" t="str">
        <f t="shared" si="338"/>
        <v>QFD3</v>
      </c>
      <c r="GU157" t="str">
        <f t="shared" si="339"/>
        <v/>
      </c>
      <c r="GV157" t="str">
        <f t="shared" si="340"/>
        <v>ok</v>
      </c>
      <c r="GW157" t="str">
        <f>IF(OR(GO157="",GM157=""),"",IF(GO157&gt;IFERROR(VLOOKUP(GN157,Модули_спр,3,FALSE),99),"ЛИШНИЙ КАНАЛ",IF(AND(AH157&lt;&gt;"=",COUNTIFS(Линии[_модуль гр.],GM157,Линии[Канал (итог)],GO157,Линии[Канал],"&lt;&gt;=",Линии[Щит],A157)&gt;1),"ДУБЛЬ КАНАЛА","")))</f>
        <v/>
      </c>
      <c r="GX157" s="6" t="str">
        <f t="shared" si="341"/>
        <v/>
      </c>
      <c r="GY157">
        <f t="shared" si="342"/>
        <v>10</v>
      </c>
      <c r="GZ157" t="str">
        <f t="shared" si="343"/>
        <v/>
      </c>
      <c r="HA157" t="str">
        <f>IF(AND(B157="",GT157=""),"",_xlfn.TEXTJOIN("; ",TRUE,IF(AND(B157&lt;&gt;"",FE157=""),"нет фазы",""),IF(AND(B157&lt;&gt;"",N(FY157)=0,EQ157&lt;&gt;"Нет"),"нет мощности",""),IF(AND(GS157&lt;&gt;"",COUNTIFS(Линии[Щит],A157,Линии[Клемма (итог)],GS157)&gt;1),"дубль клеммы "&amp;GS157,""),IF(AND(GV157&lt;&gt;"",GV157&lt;&gt;"ok"),GV157,""),IF(GW157&lt;&gt;"",GW157,""),IF(AND(N(BV157)&gt;=4,N(BR157)=1),BV157&amp;" жил на 1 фазе",""),IF(AND(AX157="R",CA157=1,OR(N(CK157)=0,N(CK157)&gt;30)),"розетка без дифзащиты до 30 мА",""),IFERROR(IF(AND(ISNUMBER(R157),R157&gt;DV157),"потери "&amp;FIXED(R157,1)&amp;" % &gt; "&amp;DV157&amp;" %",""),""),IFERROR(IF(LEFT(GZ157,4)="мало","Iкз мало — отключение &gt; 0,4 с",""),""),IF(AND(B157&lt;&gt;"",BH157=""),"не на схеме",""),IF(AND(CA157=0,B157&lt;&gt;"",FE157&lt;&gt;"",IF(AW157=1,"",FF156)&lt;&gt;"",FE157&lt;&gt;IF(AW157=1,"",FF156)),"фаза не как у автомата группы ("&amp;IF(AW157=1,"",FF156)&amp;")","")))</f>
        <v/>
      </c>
      <c r="HB157" s="6">
        <f>IF(OR(CA157=0,DA157=""),"",_xlfn.LET(_xlpm.t,IFERROR(_xlfn.XLOOKUP(DA157,Каталог!$U$4:$U$500,Каталог!$G$4:$G$500),""),_xlpm.k,SEARCH("кА",_xlpm.t),IFERROR(--TRIM(RIGHT(SUBSTITUTE(MID(_xlpm.t,MAX(1,_xlpm.k-4),_xlpm.k-MAX(1,_xlpm.k-4))," ",REPT(" ",9)),5)),"")))</f>
        <v>6</v>
      </c>
      <c r="HC157" t="str">
        <f>IF(OR(HB157="",CA157=0),"",IF(_xlfn.XLOOKUP(A157,Щиты[Щит],Щиты[Iкз max на шинах, кА],"")="","",IF(HB157&lt;_xlfn.XLOOKUP(A157,Щиты[Щит],Щиты[Iкз max на шинах, кА]),"Icu "&amp;HB157&amp;" кА &lt; Iкз max","ok")))</f>
        <v/>
      </c>
      <c r="HD157" t="str">
        <f t="shared" si="344"/>
        <v/>
      </c>
      <c r="HE157" t="str">
        <f t="shared" si="345"/>
        <v>QFD3|XT3</v>
      </c>
      <c r="HF157" t="str">
        <f t="shared" si="346"/>
        <v>QFD3|XT3|кабель ВВГнг(А)-LS (3х2,5) → Розеточная группа, пом. 004Т</v>
      </c>
      <c r="HG157" t="str" cm="1">
        <f t="array" ref="HG157">IF(HF157="","",_xlfn.LET(_xlpm.nd,_xlfn.TEXTSPLIT(HF157,"|"),IF(COLUMNS(_xlpm.nd)&gt;1,A157&amp;"¦"&amp;INDEX(_xlpm.nd,1)&amp;"¦"&amp;INDEX(_xlpm.nd,2),"")))</f>
        <v>ЩР-001¦QFD3¦XT3</v>
      </c>
      <c r="HH157" t="str">
        <f t="shared" si="347"/>
        <v>R.00.004Т.1¦Розеточная группа, пом. 004Т</v>
      </c>
      <c r="HI157" t="str" cm="1">
        <f t="array" ref="HI157">IF(HF157="","",_xlfn.LET(_xlpm.nd,_xlfn.TEXTSPLIT(HF157,"|"),IF(COLUMNS(_xlpm.nd)&gt;2,A157&amp;"¦"&amp;INDEX(_xlpm.nd,2)&amp;"¦"&amp;INDEX(_xlpm.nd,3),"")))</f>
        <v>ЩР-001¦XT3¦кабель ВВГнг(А)-LS (3х2,5) → Розеточная группа, пом. 004Т</v>
      </c>
      <c r="HJ157" t="str">
        <f t="shared" si="348"/>
        <v>R.00.004Т.1¦Розеточная группа, пом. 004Т</v>
      </c>
      <c r="HK157" t="str" cm="1">
        <f t="array" ref="HK157">IF(HF157="","",_xlfn.LET(_xlpm.nd,_xlfn.TEXTSPLIT(HF157,"|"),IF(COLUMNS(_xlpm.nd)&gt;3,A157&amp;"¦"&amp;INDEX(_xlpm.nd,3)&amp;"¦"&amp;INDEX(_xlpm.nd,4),"")))</f>
        <v/>
      </c>
      <c r="HL157" t="str">
        <f t="shared" si="349"/>
        <v/>
      </c>
      <c r="HM157" t="str" cm="1">
        <f t="array" ref="HM157">IF(HF157="","",_xlfn.LET(_xlpm.nd,_xlfn.TEXTSPLIT(HF157,"|"),IF(COLUMNS(_xlpm.nd)&gt;4,A157&amp;"¦"&amp;INDEX(_xlpm.nd,4)&amp;"¦"&amp;INDEX(_xlpm.nd,5),"")))</f>
        <v/>
      </c>
      <c r="HN157" t="str">
        <f t="shared" si="350"/>
        <v/>
      </c>
      <c r="HO157" t="str" cm="1">
        <f t="array" ref="HO157">IF(HF157="","",_xlfn.LET(_xlpm.nd,_xlfn.TEXTSPLIT(HF157,"|"),IF(COLUMNS(_xlpm.nd)&gt;5,A157&amp;"¦"&amp;INDEX(_xlpm.nd,5)&amp;"¦"&amp;INDEX(_xlpm.nd,6),"")))</f>
        <v/>
      </c>
      <c r="HP157" t="str">
        <f t="shared" si="351"/>
        <v/>
      </c>
      <c r="HQ157" t="str" cm="1">
        <f t="array" ref="HQ157">IF(HF157="","",_xlfn.LET(_xlpm.nd,_xlfn.TEXTSPLIT(HF157,"|"),IF(COLUMNS(_xlpm.nd)&gt;6,A157&amp;"¦"&amp;INDEX(_xlpm.nd,6)&amp;"¦"&amp;INDEX(_xlpm.nd,7),"")))</f>
        <v/>
      </c>
      <c r="HR157" t="str">
        <f t="shared" si="352"/>
        <v/>
      </c>
      <c r="HS157" t="str">
        <f t="shared" si="353"/>
        <v/>
      </c>
      <c r="HT157" t="str">
        <f t="shared" si="354"/>
        <v>QFD3 → XT3</v>
      </c>
      <c r="HU157">
        <f t="shared" si="355"/>
        <v>0</v>
      </c>
      <c r="HV157">
        <f t="shared" si="356"/>
        <v>1</v>
      </c>
      <c r="HW157" t="str">
        <f t="shared" si="357"/>
        <v/>
      </c>
      <c r="HX157" t="str">
        <f t="shared" si="358"/>
        <v/>
      </c>
      <c r="HY157" t="str">
        <f t="shared" si="359"/>
        <v/>
      </c>
      <c r="HZ157" t="str">
        <f t="shared" si="360"/>
        <v/>
      </c>
      <c r="IA157" t="str">
        <f>IF(B157="","",IFERROR(VLOOKUP(B157,УГО_спр,2,FALSE),IFERROR(VLOOKUP(AX157,УГО_спр,2,FALSE),IFERROR(VLOOKUP(LEFT(AX157,2),УГО_спр,2,FALSE),""))))</f>
        <v>Розетка</v>
      </c>
      <c r="IB157" t="str">
        <f>IF(B157="","",IF(OR(IA157="",IA157=0),"BOX",IFERROR(IF(VLOOKUP(IA157,УГО_блоки,3,FALSE)&amp;""&lt;&gt;"",VLOOKUP(IA157,УГО_блоки,3,FALSE),VLOOKUP(IA157,УГО_блоки,2,FALSE)),IA157)))</f>
        <v>SOCKET</v>
      </c>
      <c r="IC157">
        <f t="shared" si="361"/>
        <v>1</v>
      </c>
      <c r="ID157" t="str">
        <f>IF(DA157="","",IF(COUNTIF(DA$3:DA157,DA157)=1,MAX(ID$2:ID156)+1,""))</f>
        <v/>
      </c>
      <c r="IE157" t="str">
        <f>IF(CO157="","",IF(COUNTIF(CO$3:CO157,CO157)+COUNTIF(CP$2:CP156,CO157)+COUNTIF(CQ$2:CQ156,CO157)=1,MAX(IE$2:IG156)+1,""))</f>
        <v/>
      </c>
      <c r="IF157" t="str">
        <f>IF(CP157="","",IF(COUNTIF(CO$3:CO157,CP157)+COUNTIF(CP$3:CP157,CP157)+COUNTIF(CQ$2:CQ156,CP157)=1,MAX(IE$2:IG156,IE157)+1,""))</f>
        <v/>
      </c>
      <c r="IG157" t="str">
        <f>IF(CQ157="","",IF(COUNTIF(CO$3:CO157,CQ157)+COUNTIF(CP$3:CP157,CQ157)+COUNTIF(CQ$3:CQ157,CQ157)=1,MAX(IE$2:IG156,IE157,IF157)+1,""))</f>
        <v/>
      </c>
      <c r="IH157" t="str">
        <f t="shared" si="362"/>
        <v>3х2,5</v>
      </c>
      <c r="II157" t="str">
        <f>IF(IH157="","",IF(COUNTIF(IH$3:IH157,IH157)=1,MAX(II$2:II156)+1,""))</f>
        <v/>
      </c>
      <c r="IJ157" t="str">
        <f>IF(GL157="","",COUNTIF(GL$3:GL157,"?*"))</f>
        <v/>
      </c>
      <c r="IK157" t="str">
        <f>IF(OR(GL157="",GN157=""),"",IF(COUNTIFS(GL$3:GL157,"?*",GN$3:GN157,GN157)=1,MAX(IK$2:IK156)+1,""))</f>
        <v/>
      </c>
      <c r="IL157">
        <f t="shared" si="363"/>
        <v>0</v>
      </c>
      <c r="IM157">
        <f>IF(B157="","",COUNTIF(B$3:B157,"?*"))</f>
        <v>155</v>
      </c>
      <c r="IN157">
        <f>IF(GQ157&lt;&gt;1,0,_xlfn.LET(_xlpm.k,MAX(IFERROR(--VLOOKUP(B157,УГО_спр,5,FALSE),0),IFERROR(--VLOOKUP(AX157,УГО_спр,5,FALSE),0),IFERROR(--VLOOKUP(LEFT(AX157,2),УГО_спр,5,FALSE),0)),IF(_xlpm.k&gt;0,_xlpm.k,IF(IFERROR(--LEFT(SUBSTITUTE(IH157,"x","х"),FIND("х",SUBSTITUTE(IH157,"x","х"))-1),3)&gt;3,Каталог!$S$9,1))))</f>
        <v>1</v>
      </c>
      <c r="IO157">
        <f t="shared" si="364"/>
        <v>0</v>
      </c>
      <c r="IP157" t="str">
        <f t="shared" si="365"/>
        <v>авто</v>
      </c>
      <c r="IQ157">
        <f t="shared" si="366"/>
        <v>30</v>
      </c>
      <c r="IR157">
        <f t="shared" si="367"/>
        <v>1</v>
      </c>
      <c r="IS157">
        <f t="shared" si="368"/>
        <v>1</v>
      </c>
    </row>
    <row r="158" spans="1:253" x14ac:dyDescent="0.3">
      <c r="A158" t="s">
        <v>755</v>
      </c>
      <c r="B158" t="s">
        <v>1425</v>
      </c>
      <c r="C158" t="str">
        <f>Линии[[#This Row],[_авто наименование]]</f>
        <v>Розеточная группа, пом. 001Тб</v>
      </c>
      <c r="D158">
        <v>1</v>
      </c>
      <c r="E158">
        <v>0.06</v>
      </c>
      <c r="G158">
        <v>16</v>
      </c>
      <c r="H158">
        <f>Линии[[#This Row],[_авто утечка]]</f>
        <v>30</v>
      </c>
      <c r="I158" t="str">
        <f>Линии[[#This Row],[_авто управление]]</f>
        <v/>
      </c>
      <c r="J158" t="str">
        <f>Линии[[#This Row],[_авто аппараты]]</f>
        <v/>
      </c>
      <c r="K158">
        <v>2.5</v>
      </c>
      <c r="L158">
        <v>24</v>
      </c>
      <c r="M158">
        <v>2</v>
      </c>
      <c r="N158" t="str">
        <f>Линии[[#This Row],[_авто клемма]]</f>
        <v>XT4</v>
      </c>
      <c r="O158" t="str">
        <f t="shared" si="246"/>
        <v/>
      </c>
      <c r="P158" s="6" cm="1">
        <f t="array" ref="P158">IF(B158="","",IF(BC158&lt;&gt;"",IFERROR(_xlfn.XLOOKUP(BC158,Щиты[Щит],Щиты[Iр, А]),""),IF(BK158=1,IFERROR(_xlfn.XLOOKUP(A158,Щиты[Щит],Щиты[Iр, А]),""),IFERROR(_xlfn.IFS(BR158=1,BN158/((Uн_лин/SQRT(3))*BY158),BR158=3,BN158/(SQRT(3)*Uн_лин*BY158)),""))))</f>
        <v>0.27348170645824377</v>
      </c>
      <c r="Q158" s="7">
        <f>IF(B158="","",IFERROR(IF(VLOOKUP(AX158,Потребители_обозначение,4,FALSE)=1,VLOOKUP(AX158,Потребители_обозначение,3,FALSE)*(D158*2-1)+DS158+VLOOKUP(AZ158,Этаж_обозначение,3,FALSE)+VLOOKUP(AZ158,Этаж_обозначение,4,FALSE),VLOOKUP(AX158,Потребители_обозначение,3,FALSE)*(D158*2-1)+DS158),DS158))</f>
        <v>27</v>
      </c>
      <c r="R158" s="6">
        <f t="shared" si="247"/>
        <v>1.6300000000000001</v>
      </c>
      <c r="S158" t="str">
        <f t="shared" si="248"/>
        <v>ВВГнг(А)-LS (3х2,5)</v>
      </c>
      <c r="T158" t="str">
        <f>IF(BH158="","",IF(BI158="вводной узел","узел ","")&amp;"л."&amp;(INT((BH158-1)/Столбцов_на_лист)+1)&amp;" / "&amp;(MOD(BH158-1,Столбцов_на_лист)+1))</f>
        <v>л.2 / 4</v>
      </c>
      <c r="V158">
        <v>1</v>
      </c>
      <c r="W158">
        <v>230</v>
      </c>
      <c r="X158" t="s">
        <v>564</v>
      </c>
      <c r="AC158" t="s">
        <v>815</v>
      </c>
      <c r="AE158" t="s">
        <v>563</v>
      </c>
      <c r="AI158">
        <v>21</v>
      </c>
      <c r="AJ158" t="s">
        <v>11</v>
      </c>
      <c r="AK158">
        <v>3</v>
      </c>
      <c r="AM158">
        <v>0</v>
      </c>
      <c r="AN158">
        <v>0</v>
      </c>
      <c r="AO158">
        <v>27</v>
      </c>
      <c r="AW158" cm="1">
        <f t="array" ref="AW158">ROW()-ROW(Линии[#Headers])</f>
        <v>156</v>
      </c>
      <c r="AX158" s="6" t="str">
        <f t="shared" si="249"/>
        <v>R</v>
      </c>
      <c r="AY158" t="str">
        <f t="shared" si="250"/>
        <v>00.001Тб.1</v>
      </c>
      <c r="AZ158" t="str">
        <f t="shared" si="251"/>
        <v>00</v>
      </c>
      <c r="BA158" t="str">
        <f t="shared" si="252"/>
        <v>001Тб.1</v>
      </c>
      <c r="BB158" t="str">
        <f t="shared" si="253"/>
        <v>001Тб</v>
      </c>
      <c r="BC158" t="str">
        <f>IF(U158&lt;&gt;"",U158,IF(AND(B158&lt;&gt;"",B158&lt;&gt;A158,ISNUMBER(_xlfn.XMATCH(B158,Щиты[Щит]))),B158,""))</f>
        <v/>
      </c>
      <c r="BD158" t="str" cm="1">
        <f t="array" ref="BD158">IF(B158="","",IF(BC158&lt;&gt;"","Щит "&amp;BC158,_xlfn.LET(_xlpm.nm,IFERROR(_xlfn.XLOOKUP(AX158,Коды_код,Коды_имя)&amp;"",""),_xlpm.md,IFERROR(N(_xlfn.XLOOKUP(AX158,Коды_код,Коды_режим)),1),_xlpm.ex,IF(Имя_режим="по экспликации",IFERROR(_xlfn.XLOOKUP(AZ158&amp;"|"&amp;BB158,Экспликация[Этаж]&amp;"|"&amp;Экспликация[Помещение],Экспликация[Название])&amp;"",""),""),_xlpm.rm,IF(BB158="","",IF(_xlpm.ex&lt;&gt;"",". "&amp;_xlpm.ex&amp;IF(Имя_пом="нет"," ("&amp;BB158&amp;")"," (пом. "&amp;BB158&amp;")"),IF(Имя_пом="нет"," ",", пом. ")&amp;BB158)),IF(_xlpm.nm="","",IF(_xlpm.md=2,_xlpm.nm&amp;" шлейф "&amp;AZ158,_xlpm.nm&amp;_xlpm.rm)))))</f>
        <v>Розеточная группа, пом. 001Тб</v>
      </c>
      <c r="BE158" t="str">
        <f t="shared" si="254"/>
        <v>Розеточная группа, пом. 001Тб</v>
      </c>
      <c r="BF158">
        <f>IFERROR(_xlfn.XMATCH(A158,Щиты[Щит]),0)</f>
        <v>8</v>
      </c>
      <c r="BG158">
        <f>_xlfn.LET(_xlpm.k,IFERROR(_xlfn.XLOOKUP(A158,Щиты[Щит],Щиты[Листов под вводной узел]),""),IF(_xlpm.k="",1,N(_xlpm.k))*Столбцов_на_лист)</f>
        <v>17</v>
      </c>
      <c r="BH158">
        <f t="shared" si="255"/>
        <v>21</v>
      </c>
      <c r="BI158" t="str">
        <f t="shared" si="256"/>
        <v>линии</v>
      </c>
      <c r="BJ158" s="6">
        <f>IFERROR(N(_xlfn.XLOOKUP(AX158,Коды_код,Коды_квт)),0)</f>
        <v>0</v>
      </c>
      <c r="BK158">
        <f t="shared" si="257"/>
        <v>0</v>
      </c>
      <c r="BL158" t="str">
        <f>IF(B158="","",IF(BC158&lt;&gt;"",IFERROR(_xlfn.XLOOKUP(BC158,Щиты[Щит],Щиты[Руст, кВт]),0),IF(BK158=1,IFERROR(_xlfn.XLOOKUP(A158,Щиты[Щит],Щиты[Руст, кВт]),0),IF(BJ158&gt;0,ROUND(BJ158*MAX(1,N(D158)),3),""))))</f>
        <v/>
      </c>
      <c r="BM158">
        <f t="shared" si="258"/>
        <v>0.06</v>
      </c>
      <c r="BN158" s="6">
        <f>IF(B158="","",IF(BC158&lt;&gt;"",IFERROR(_xlfn.XLOOKUP(BC158,Щиты[Щит],Щиты[Руст, кВт]),0),N(BM158)))</f>
        <v>0.06</v>
      </c>
      <c r="BO158" t="str">
        <f>IF(B158="","",IFERROR(IF(VLOOKUP(AX158,Потребители_обозначение,8,FALSE)=0,"",VLOOKUP(AX158,Потребители_обозначение,8,FALSE)),""))</f>
        <v/>
      </c>
      <c r="BP158">
        <f t="shared" si="259"/>
        <v>230</v>
      </c>
      <c r="BQ158">
        <f>IF(B158="","",IF(BC158&lt;&gt;"",3,IFERROR(IF(N(VLOOKUP(AX158,Потребители_обозначение,9,FALSE))=0,1,VLOOKUP(AX158,Потребители_обозначение,9,FALSE)),1)))</f>
        <v>1</v>
      </c>
      <c r="BR158">
        <f t="shared" si="260"/>
        <v>1</v>
      </c>
      <c r="BS158" t="str">
        <f>IF(B158="","",_xlfn.LET(_xlpm.bc,IFERROR(IF(VLOOKUP(AX158,Потребители_обозначение,6,FALSE)=0,"",VLOOKUP(AX158,Потребители_обозначение,6,FALSE)&amp;""),""),IF(AND(FK158="да",OR(_xlpm.bc="",_xlpm.bc="мс")),Марка_пож,IF(AND(_xlpm.bc="",BC158&lt;&gt;""),"мс",_xlpm.bc))))</f>
        <v/>
      </c>
      <c r="BT158" t="str">
        <f t="shared" si="261"/>
        <v>мс</v>
      </c>
      <c r="BU158">
        <f>IF(B158="","",_xlfn.LET(_xlpm.cc,IFERROR(N(VLOOKUP(AX158,Потребители_обозначение,7,FALSE)),0),IF(_xlpm.cc&gt;0,_xlpm.cc,IF(BT158="","",IF(N(BR158)=3,5,3)))))</f>
        <v>3</v>
      </c>
      <c r="BV158">
        <f t="shared" si="262"/>
        <v>3</v>
      </c>
      <c r="BW158">
        <f>IFERROR(N(VLOOKUP(AX158,Потребители_обозначение,10,FALSE)),0)</f>
        <v>0</v>
      </c>
      <c r="BX158">
        <f>IFERROR(VLOOKUP(AX158,Потребители_обозначение,5,FALSE),0)</f>
        <v>1</v>
      </c>
      <c r="BY158" s="6" cm="1">
        <f t="array" ref="BY158">IF(B158="","",IF(BC158&lt;&gt;"",IFERROR(_xlfn.XLOOKUP(BC158,Щиты[Щит],Щиты[cos φ]),0.95),IF(BK158=1,IFERROR(_xlfn.XLOOKUP(A158,Щиты[Щит],Щиты[cos φ]),0.95),IF(ISNUMBER(Z158),Z158,IFERROR(IF(BX158=2,_xlfn.IFS(BR158=3,VLOOKUP(BN158,Справочная_двигатели,8,FALSE),BR158=1,VLOOKUP(BN158,Справочная_двигатели,10,TRUE)),IF(AND(Методика="нормы 2026",EQ158="Сил"),0.8,0.95)),0.95)))))</f>
        <v>0.95</v>
      </c>
      <c r="BZ158">
        <f t="shared" si="263"/>
        <v>0</v>
      </c>
      <c r="CA158">
        <f t="shared" si="264"/>
        <v>1</v>
      </c>
      <c r="CB158">
        <f t="shared" si="265"/>
        <v>0</v>
      </c>
      <c r="CC158">
        <f t="shared" si="266"/>
        <v>0</v>
      </c>
      <c r="CD158">
        <f t="shared" si="267"/>
        <v>0</v>
      </c>
      <c r="CE158">
        <f t="shared" si="268"/>
        <v>0</v>
      </c>
      <c r="CF158">
        <f t="shared" si="269"/>
        <v>0</v>
      </c>
      <c r="CG158">
        <f>IF(AX158="",0,_xlfn.LET(_xlpm.v,IFERROR(VLOOKUP(B158,УГО_спр,3,FALSE),IFERROR(VLOOKUP(AX158,УГО_спр,3,FALSE),IFERROR(VLOOKUP(LEFT(AX158,2),УГО_спр,3,FALSE),""))),IF(_xlpm.v="да",30,IF(ISNUMBER(_xlpm.v),_xlpm.v,0))))</f>
        <v>30</v>
      </c>
      <c r="CH158">
        <f t="shared" si="270"/>
        <v>30</v>
      </c>
      <c r="CI158" t="str">
        <f>_xlfn.LET(_xlpm.k,IFERROR(_xlfn.XLOOKUP(AX158,Коды_код,Коды_утечка)&amp;"",""),IF(_xlpm.k="","дифавтомат",_xlpm.k))</f>
        <v>дифавтомат</v>
      </c>
      <c r="CJ158">
        <f t="shared" si="271"/>
        <v>30</v>
      </c>
      <c r="CK158">
        <f t="shared" si="272"/>
        <v>30</v>
      </c>
      <c r="CL158">
        <f>IF(B158="",0,IFERROR(--VLOOKUP(B158,УГО_спр,4,FALSE),IFERROR(--VLOOKUP(AX158,УГО_спр,4,FALSE),IFERROR(--VLOOKUP(LEFT(AX158,2),УГО_спр,4,FALSE),0))))</f>
        <v>16</v>
      </c>
      <c r="CM158" t="str">
        <f>IF(B158="","",IFERROR(_xlfn.XLOOKUP(AX158,Коды_код,Коды_апп)&amp;"",""))</f>
        <v/>
      </c>
      <c r="CN158" t="str">
        <f t="shared" si="273"/>
        <v/>
      </c>
      <c r="CO158" t="str" cm="1">
        <f t="array" ref="CO158">IF(TRIM(CN158&amp;"")="","",IFERROR(TRIM(INDEX(_xlfn.TEXTSPLIT(CN158&amp;";;;",";"),1)),""))</f>
        <v/>
      </c>
      <c r="CP158" t="str" cm="1">
        <f t="array" ref="CP158">IF(TRIM(CN158&amp;"")="","",IFERROR(TRIM(INDEX(_xlfn.TEXTSPLIT(CN158&amp;";;;",";"),2)),""))</f>
        <v/>
      </c>
      <c r="CQ158" t="str" cm="1">
        <f t="array" ref="CQ158">IF(TRIM(CN158&amp;"")="","",IFERROR(TRIM(INDEX(_xlfn.TEXTSPLIT(CN158&amp;";;;",";"),3)),""))</f>
        <v/>
      </c>
      <c r="CR158">
        <f t="shared" si="274"/>
        <v>0</v>
      </c>
      <c r="CS158" t="str">
        <f>IF(B158="","",_xlfn.LET(_xlpm.t,LOWER(AV158&amp;""),IF(ISNUMBER(SEARCH("dim",_xlpm.t)),"DIM",IF(ISNUMBER(SEARCH("dali",_xlpm.t)),"DALI",IF(OR(ISNUMBER(SEARCH("relay",_xlpm.t)),ISNUMBER(SEARCH("реле",_xlpm.t))),"Relay",IF(ISNUMBER(SEARCH("кнопк",_xlpm.t)),"",IFERROR(_xlfn.XLOOKUP(AX158,Коды_код,Коды_упр)&amp;"","")))))))</f>
        <v/>
      </c>
      <c r="CT158" t="str">
        <f t="shared" si="275"/>
        <v/>
      </c>
      <c r="CU158">
        <f>IF(B158="","",_xlfn.LET(_xlpm.ig,N(P158)+IF(AF158="вручную",0,N(CB158)),_xlpm.n0,IFERROR(VLOOKUP(_xlpm.ig,Автомат_номиналы,2,TRUE),0),_xlpm.mn,MAX(CL158,IF(AF158="вручную",0,N(CE158))),MAX(_xlpm.n0,_xlpm.mn,IF(CR158=1,Мин_автомат_БП,0))))</f>
        <v>16</v>
      </c>
      <c r="CV158">
        <f t="shared" si="276"/>
        <v>1</v>
      </c>
      <c r="CW158" t="str">
        <f t="shared" si="277"/>
        <v>2P</v>
      </c>
      <c r="CX158" t="str">
        <f>_xlfn.LET(_xlpm.cc,UPPER(TRIM(IFERROR(_xlfn.XLOOKUP(AX158,Коды_код,Коды_хар)&amp;"",""))),IF(OR(_xlpm.cc="B",_xlpm.cc="В"),"B",IF(_xlpm.cc="D","D","С")))</f>
        <v>С</v>
      </c>
      <c r="CY158" t="str">
        <f t="shared" si="278"/>
        <v>2P С16А 30мА</v>
      </c>
      <c r="CZ158">
        <f t="shared" si="279"/>
        <v>16</v>
      </c>
      <c r="DA158" t="str">
        <f t="shared" si="280"/>
        <v>2P С16А 30мА</v>
      </c>
      <c r="DB158" cm="1">
        <f t="array" ref="DB158">IF(DA158="","",_xlfn.LET(_xlpm.t,SUBSTITUTE(SUBSTITUTE(SUBSTITUTE(UPPER(DA158),"С","C"),"А","A"),"В","B"),_xlpm.tk,_xlfn.TEXTSPLIT(_xlpm.t,"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8" t="str">
        <f t="shared" si="281"/>
        <v>ok</v>
      </c>
      <c r="DD158">
        <f t="shared" si="282"/>
        <v>16</v>
      </c>
      <c r="DE158" t="str">
        <f t="shared" si="283"/>
        <v>2P С16А 30мА</v>
      </c>
      <c r="DF158">
        <f t="shared" si="284"/>
        <v>30</v>
      </c>
      <c r="DG158">
        <f t="shared" si="285"/>
        <v>1</v>
      </c>
      <c r="DH158">
        <f t="shared" si="286"/>
        <v>0</v>
      </c>
      <c r="DI158">
        <f t="shared" si="287"/>
        <v>0.27348170645824377</v>
      </c>
      <c r="DJ158">
        <f t="shared" si="288"/>
        <v>1</v>
      </c>
      <c r="DK158">
        <f>IF(ISNUMBER(AL158),AL158,К_прокл)</f>
        <v>1</v>
      </c>
      <c r="DL158">
        <f t="shared" si="289"/>
        <v>2</v>
      </c>
      <c r="DM158">
        <f>IFERROR(N(VLOOKUP(BT158,Кабель_обозначение,3,FALSE)),1)</f>
        <v>1</v>
      </c>
      <c r="DN158">
        <f>IFERROR(N(_xlfn.XLOOKUP(A158,Щиты[Щит],Щиты[ΔU до шин, %])),0)</f>
        <v>1.57</v>
      </c>
      <c r="DO158" t="str">
        <f>IFERROR(_xlfn.XLOOKUP(A158,Щиты[Щит],Щиты[Zпетли на шинах, Ом]),"")</f>
        <v/>
      </c>
      <c r="DP158">
        <f>IFERROR(N(_xlfn.XLOOKUP(A158,Щиты[Щит],Щиты[ΔU до шин (подбор), %])),0)</f>
        <v>2.5</v>
      </c>
      <c r="DQ158" t="str">
        <f>IFERROR(_xlfn.XLOOKUP(A158,Щиты[Щит],Щиты[Zпетли на шинах (подбор), Ом]),"")</f>
        <v/>
      </c>
      <c r="DR158" t="str">
        <f t="shared" si="290"/>
        <v/>
      </c>
      <c r="DS158">
        <f t="shared" si="291"/>
        <v>24</v>
      </c>
      <c r="DT158">
        <f t="shared" si="292"/>
        <v>2</v>
      </c>
      <c r="DU158">
        <f t="shared" si="293"/>
        <v>0.31</v>
      </c>
      <c r="DV158" s="6">
        <f>IF(B158="","",IF(IFERROR(VLOOKUP(AX158,УГО_спр,2,FALSE),"")="Светильник",3,4)+IF(Методика="нормы 2026",MIN(0.5,MAX(0,N(Q158)-100)*0.005),0))</f>
        <v>4</v>
      </c>
      <c r="DW158" cm="1">
        <f t="array" ref="DW158">IF(OR(B158="",BT158="",DM158&lt;&gt;1),"",_xlfn.LET(_xlpm.sz,Iдоп_S,_xlpm.t_,CHOOSE(DL158,Iдоп_1ж,Iдоп_2ж,Iдоп_3ж)*DJ158*DK158,_xlpm.inn,N(DD158),_xlpm.smin,MAX(1.5,BW158),_xlpm.L_,N(Q158)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158)*(_xlpm.rho*_xlpm.L_/_xlpm.sz*N(BY158)+_xlpm.xx*_xlpm.L_*N(DU158)/1000)*N(P158)/((Uн_лин/SQRT(3))*1000)*100,999),_xlpm.kz,IF(OR(DG158=1,NOT(ISNUMBER(DQ158)),_xlpm.L_=0,_xlpm.inn=0),1,IFERROR(--(c_min*(Uн_лин*1000/SQRT(3))/(DQ158+2*ρкз_Cu*_xlpm.L_/_xlpm.sz)&gt;=GY158*_xlpm.inn),0)),_xlpm.ok,IFERROR((_xlpm.sz&gt;=_xlpm.smin)*(_xlpm.t_&gt;=_xlpm.inn)*IF(_xlpm.L_&gt;0,(_xlpm.du_+DP158&lt;=DV158+0.00001),1)*_xlpm.kz,0),_xlpm.r_,_xlfn._xlws.FILTER(_xlpm.sz,_xlpm.ok,"не подобрано"),INDEX(_xlpm.r_,1)))</f>
        <v>1.5</v>
      </c>
      <c r="DX158">
        <f t="shared" si="294"/>
        <v>2.5</v>
      </c>
      <c r="DY158" cm="1">
        <f t="array" ref="DY158">IF(OR(B158="",BT158="",DM158&lt;&gt;1),"",_xlfn.LET(_xlpm.sz,Iдоп_S,_xlpm.t_,CHOOSE(DL158,Iдоп_1ж,Iдоп_2ж,Iдоп_3ж)*DJ158*DK158,_xlpm.ok,IFERROR((_xlpm.sz&gt;=MAX(1.5,BW158))*(_xlpm.t_&gt;=N(DD158)),0),_xlpm.r_,_xlfn._xlws.FILTER(_xlpm.sz,_xlpm.ok,""),INDEX(_xlpm.r_,1)))</f>
        <v>1.5</v>
      </c>
      <c r="DZ158" s="6" cm="1">
        <f t="array" ref="DZ158">IFERROR(ROUNDUP(N(DT158)*(_xlfn.XLOOKUP(DY158,INDEX(Кабель_сопротивление,0,1),INDEX(Кабель_сопротивление,0,3))*N(Q158)/DY158*N(BY158)+_xlfn.XLOOKUP(DY158,INDEX(Кабель_сопротивление,0,1),INDEX(Кабель_сопротивление,0,2))*N(Q158)*N(DU158)/1000)*N(P158)/((Uн_лин/SQRT(3))*1000)*100,2),"")</f>
        <v>9.9999999999999992E-2</v>
      </c>
      <c r="EA158">
        <f>IFERROR(2*ρкз_Cu*N(Q158)/DY158,"")</f>
        <v>0.94680000000000009</v>
      </c>
      <c r="EB158">
        <f>IFERROR(VLOOKUP(DX158,Кабель_сопротивление,3,FALSE),"")</f>
        <v>2.2499999999999999E-2</v>
      </c>
      <c r="EC158">
        <f>IFERROR(VLOOKUP(DX158,Кабель_сопротивление,2,FALSE),"")</f>
        <v>0.1</v>
      </c>
      <c r="ED158">
        <f t="shared" si="295"/>
        <v>0</v>
      </c>
      <c r="EE158">
        <f t="shared" si="296"/>
        <v>27</v>
      </c>
      <c r="EF158">
        <f t="shared" si="297"/>
        <v>0.12672431224838221</v>
      </c>
      <c r="EG158" s="6">
        <f>IFERROR(ROUNDUP(EF158/((Uн_лин/SQRT(3))*1000)*100,2),"")</f>
        <v>6.0000000000000005E-2</v>
      </c>
      <c r="EH158" t="str">
        <f>IFERROR(VLOOKUP(BT158,Кабель_обозначение,2,FALSE),"")</f>
        <v>ВВГнг(А)-LS</v>
      </c>
      <c r="EI158" t="str">
        <f t="shared" si="298"/>
        <v>ВВГнг(А)-LS (3х2,5)</v>
      </c>
      <c r="EJ158" t="str">
        <f t="shared" si="299"/>
        <v>ВВГнг(А)-LS (3х2,5)
L=27-0,06%</v>
      </c>
      <c r="EK158">
        <f>IFERROR(2*ρкз_Cu*Q158/DX158,"")</f>
        <v>0.56808000000000003</v>
      </c>
      <c r="EL158">
        <f t="shared" si="300"/>
        <v>0.189</v>
      </c>
      <c r="EM158" s="6" t="str">
        <f>IFERROR(IF(OR(B158="",NOT(ISNUMBER(DX158)),N(Q158)=0),"",_xlfn.XLOOKUP(A158,Щиты[Щит],Щиты[Zпетли на шинах, Ом])+EK158),"")</f>
        <v/>
      </c>
      <c r="EN158" s="6" t="str">
        <f>IF(ISNUMBER(EM158),c_min*(Uн_лин*1000/SQRT(3))/EM158,"")</f>
        <v/>
      </c>
      <c r="EO158" s="6" t="str">
        <f>IFERROR(IF(OR(B158="",NOT(ISNUMBER(DX158))),"",1.05*(Uн_лин*1000/SQRT(3))/(_xlfn.XLOOKUP(A158,Щиты[Щит],Щиты[Zmax на шинах, Ом])+EL158)/1000),"")</f>
        <v/>
      </c>
      <c r="EP158" s="6" t="str">
        <f>IF(B158="","",IF(ISNUMBER(Y158),"Сил",IF(IFERROR(_xlfn.XLOOKUP(AX158,Коды_код,Коды_группа)&amp;"","")="","Быт",_xlfn.XLOOKUP(AX158,Коды_код,Коды_группа)&amp;"")))</f>
        <v>Быт</v>
      </c>
      <c r="EQ158" s="6" t="str">
        <f t="shared" si="301"/>
        <v>Быт</v>
      </c>
      <c r="ER158" s="6">
        <f>IF(EQ158="Щит","щит",IF(EQ158="","",IF(EQ158="Быт",IFERROR(_xlfn.XLOOKUP(A158,Щиты[Щит],Щиты[Кс быт]),1),IF(EQ158="Сил",IF(ISNUMBER(Y158),Y158,IF(Методика="нормы 2026",IFERROR(_xlfn.XLOOKUP(A158,Щиты[Щит],Щиты[Кс силовых (табл. 7.5)]),1),1)),IF(OR(EQ158="Пост",EQ158="Отоп"),1,IF(EQ158="ВНГ",0.7,0))))))</f>
        <v>0.8</v>
      </c>
      <c r="ES158">
        <f t="shared" si="302"/>
        <v>1</v>
      </c>
      <c r="ET158">
        <f t="shared" si="303"/>
        <v>0.06</v>
      </c>
      <c r="EU158">
        <f t="shared" si="304"/>
        <v>0.06</v>
      </c>
      <c r="EV158">
        <f t="shared" si="305"/>
        <v>0</v>
      </c>
      <c r="EW158">
        <f t="shared" si="306"/>
        <v>0</v>
      </c>
      <c r="EX158">
        <f t="shared" si="307"/>
        <v>0</v>
      </c>
      <c r="EY158">
        <f t="shared" si="308"/>
        <v>0</v>
      </c>
      <c r="EZ158">
        <f t="shared" si="309"/>
        <v>0.06</v>
      </c>
      <c r="FA158">
        <f t="shared" si="310"/>
        <v>5.6999999999999995E-2</v>
      </c>
      <c r="FB158">
        <f t="shared" si="311"/>
        <v>0.06</v>
      </c>
      <c r="FC158" t="str">
        <f t="shared" si="312"/>
        <v>L2</v>
      </c>
      <c r="FD158" t="str">
        <f>IF(B158="","",IF(CA158=0,IF(AW158=1,"",FF157),IF(OR(N(CV158)&gt;=3,N(BR158)&gt;=3),"L1,L2,L3",IFERROR(_xlfn.TEXTBEFORE(_xlfn.TEXTAFTER(_xlfn.XLOOKUP(A158,Щиты[Щит],Щиты[_фазы авто]),";"&amp;AW158&amp;":"),";"),"L1"))))</f>
        <v>L1</v>
      </c>
      <c r="FE158" t="str">
        <f t="shared" si="313"/>
        <v>L2</v>
      </c>
      <c r="FF158" t="str">
        <f t="shared" si="314"/>
        <v>L2</v>
      </c>
      <c r="FG158" cm="1">
        <f t="array" ref="FG158">IFERROR(IF(BX158=2,_xlfn.IFS(BR158=3,VLOOKUP(BN158,Справочная_двигатели,3,FALSE),BR158=1,VLOOKUP(BN158,Справочная_двигатели,5,TRUE)),0),0)</f>
        <v>0</v>
      </c>
      <c r="FH158">
        <f>IFERROR(IF(BX158=3,VLOOKUP(BN158,Справочная_ЛЭД,2,TRUE),0),0)</f>
        <v>0</v>
      </c>
      <c r="FI158" s="6">
        <f t="shared" si="315"/>
        <v>0</v>
      </c>
      <c r="FJ158" t="str" cm="1">
        <f t="array" ref="FJ158">IF(B158="","",IFERROR(INDEX({"I особая","I","II","III"},MATCH(TRIM(AC158&amp;""),{"I особая","I","II","III"},0)),"III"))</f>
        <v>II</v>
      </c>
      <c r="FK158" t="str">
        <f>IF(B158="","",IF(TRIM(AD158&amp;"")&lt;&gt;"",IF(LOWER(TRIM(AD158&amp;""))="да","да","нет"),IF(IFERROR(_xlfn.XLOOKUP(AX158,Коды_код,Коды_пожарная),"")="да","да","нет")))</f>
        <v>нет</v>
      </c>
      <c r="FL158" t="str">
        <f t="shared" si="316"/>
        <v/>
      </c>
      <c r="FM158" t="str">
        <f t="shared" si="317"/>
        <v>основная</v>
      </c>
      <c r="FN158">
        <f t="shared" si="318"/>
        <v>1</v>
      </c>
      <c r="FO158" t="str" cm="1">
        <f t="array" ref="FO158">IF(B158="","",_xlfn.LET(_xlpm.t,IFERROR(_xlfn.XLOOKUP(1,(Шины[Шина]=FM158)*(((Шины[Щит]=A158)+(Шины[Щит]=""))&gt;0),Шины[Тип]),"")&amp;"",IF(_xlpm.t&lt;&gt;"",_xlpm.t,IF(ISNUMBER(SEARCH("ИБП",FM158)),"ИБП",IF(ISNUMBER(SEARCH("ДГУ",FM158)),"ДГУ","Ввод "&amp;FN158)))))</f>
        <v>Ввод 1</v>
      </c>
      <c r="FP158" t="str">
        <f t="shared" si="319"/>
        <v>Ввод 1</v>
      </c>
      <c r="FQ158" t="str">
        <f>IF(B158="","",IF(OR(FO158="ИБП",FO158="ДГУ"),"I особая",IF(FO158="Одиночная","III",_xlfn.XLOOKUP(A158,Щиты[Щит],Щиты[Категория шины «Ввод»],"III"))))</f>
        <v>II</v>
      </c>
      <c r="FR158">
        <f>IF(B158="",0,IFERROR(MATCH(FJ158,{"III","II","I","I особая"},0),1))</f>
        <v>2</v>
      </c>
      <c r="FS158">
        <f t="shared" si="320"/>
        <v>2</v>
      </c>
      <c r="FT158" t="str">
        <f>IF(B158="","",IF(FR158&gt;IFERROR(MATCH(FQ158,{"III","II","I","I особая"},0),1),"НЕ ОБЕСПЕЧЕНА","ОК"))</f>
        <v>ОК</v>
      </c>
      <c r="FU158" t="str">
        <f>IF(A158="","",_xlfn.XLOOKUP(A158,Щиты[Щит],Щиты[Путь],""))</f>
        <v>|ГРЩ-ЖД|ЩР-001|</v>
      </c>
      <c r="FV158" t="str">
        <f>IF(B158="","",IF(AE158&lt;&gt;"",AE158,IF(IFERROR(_xlfn.XLOOKUP(AX158,Коды_код,Коды_вид)&amp;"","")="","Прочее",_xlfn.XLOOKUP(AX158,Коды_код,Коды_вид)&amp;"")))</f>
        <v>Розеточная сеть и бытовые приборы</v>
      </c>
      <c r="FW158">
        <f>IF(BH158="","",INT((BH158-1)/Столбцов_на_лист)+1)</f>
        <v>2</v>
      </c>
      <c r="FX158" t="str">
        <f t="shared" si="321"/>
        <v>ВВГнг(А)-LS (3х2,5) L=27-0,06%</v>
      </c>
      <c r="FY158">
        <f t="shared" si="322"/>
        <v>0.06</v>
      </c>
      <c r="FZ158">
        <f t="shared" si="323"/>
        <v>0.28000000000000003</v>
      </c>
      <c r="GA158">
        <f t="shared" si="324"/>
        <v>1</v>
      </c>
      <c r="GB158">
        <f t="shared" si="325"/>
        <v>0</v>
      </c>
      <c r="GC158">
        <f t="shared" si="326"/>
        <v>1</v>
      </c>
      <c r="GD158">
        <f>IF(BH158="","",IF(AND(CA158=1,GC158=1),COUNTIFS(A$3:A158,A158,CA$3:CA158,1,GC$3:GC158,1),IF(OR(OR(AW158=1,A158&lt;&gt;A157),AF158="вручную",GC158=0),"",IF(AW158=1,"",GE157))))</f>
        <v>4</v>
      </c>
      <c r="GE158">
        <f t="shared" si="327"/>
        <v>4</v>
      </c>
      <c r="GF158">
        <f>IF(B158="","",IFERROR(LOOKUP(INDEX(CHOOSE(DL158,Iдоп_1ж,Iдоп_2ж,Iдоп_3ж),MATCH(DX158,Iдоп_S,0))*DJ158*DK158,{6,10,16,20,25,32,40,50,63,80,100,125,160,200,250,315,400,500,630}),""))</f>
        <v>25</v>
      </c>
      <c r="GG158" t="str">
        <f t="shared" si="328"/>
        <v>QFD4</v>
      </c>
      <c r="GH158" t="str">
        <f t="shared" si="329"/>
        <v>QFD4</v>
      </c>
      <c r="GI158" t="str">
        <f t="shared" si="330"/>
        <v/>
      </c>
      <c r="GJ158">
        <f t="shared" si="331"/>
        <v>0</v>
      </c>
      <c r="GK158" t="str">
        <f>IF(OR(AG158="",AG158="-"),"",IFERROR(VLOOKUP(AG158,Модули_спр,2,FALSE),"R"))</f>
        <v/>
      </c>
      <c r="GL158" t="str">
        <f>IF(GK158="","",GK158&amp;"."&amp;COUNTIFS(A$3:A158,A158,GK$3:GK158,GK158))</f>
        <v/>
      </c>
      <c r="GM158" t="str">
        <f t="shared" si="332"/>
        <v/>
      </c>
      <c r="GN158" t="str">
        <f t="shared" si="333"/>
        <v/>
      </c>
      <c r="GO158" t="str">
        <f t="shared" si="334"/>
        <v/>
      </c>
      <c r="GP158" t="str">
        <f t="shared" si="335"/>
        <v/>
      </c>
      <c r="GQ158">
        <f t="shared" si="336"/>
        <v>1</v>
      </c>
      <c r="GR158" t="str">
        <f>IF(GQ158=1,"XT"&amp;COUNTIFS(A$3:A158,A158,GQ$3:GQ158,1),"")</f>
        <v>XT4</v>
      </c>
      <c r="GS158" t="str">
        <f t="shared" si="337"/>
        <v>XT4</v>
      </c>
      <c r="GT158" t="str">
        <f t="shared" si="338"/>
        <v>QFD4</v>
      </c>
      <c r="GU158" t="str">
        <f t="shared" si="339"/>
        <v/>
      </c>
      <c r="GV158" t="str">
        <f t="shared" si="340"/>
        <v>ok</v>
      </c>
      <c r="GW158" t="str">
        <f>IF(OR(GO158="",GM158=""),"",IF(GO158&gt;IFERROR(VLOOKUP(GN158,Модули_спр,3,FALSE),99),"ЛИШНИЙ КАНАЛ",IF(AND(AH158&lt;&gt;"=",COUNTIFS(Линии[_модуль гр.],GM158,Линии[Канал (итог)],GO158,Линии[Канал],"&lt;&gt;=",Линии[Щит],A158)&gt;1),"ДУБЛЬ КАНАЛА","")))</f>
        <v/>
      </c>
      <c r="GX158" s="6" t="str">
        <f t="shared" si="341"/>
        <v/>
      </c>
      <c r="GY158">
        <f t="shared" si="342"/>
        <v>10</v>
      </c>
      <c r="GZ158" t="str">
        <f t="shared" si="343"/>
        <v/>
      </c>
      <c r="HA158" t="str">
        <f>IF(AND(B158="",GT158=""),"",_xlfn.TEXTJOIN("; ",TRUE,IF(AND(B158&lt;&gt;"",FE158=""),"нет фазы",""),IF(AND(B158&lt;&gt;"",N(FY158)=0,EQ158&lt;&gt;"Нет"),"нет мощности",""),IF(AND(GS158&lt;&gt;"",COUNTIFS(Линии[Щит],A158,Линии[Клемма (итог)],GS158)&gt;1),"дубль клеммы "&amp;GS158,""),IF(AND(GV158&lt;&gt;"",GV158&lt;&gt;"ok"),GV158,""),IF(GW158&lt;&gt;"",GW158,""),IF(AND(N(BV158)&gt;=4,N(BR158)=1),BV158&amp;" жил на 1 фазе",""),IF(AND(AX158="R",CA158=1,OR(N(CK158)=0,N(CK158)&gt;30)),"розетка без дифзащиты до 30 мА",""),IFERROR(IF(AND(ISNUMBER(R158),R158&gt;DV158),"потери "&amp;FIXED(R158,1)&amp;" % &gt; "&amp;DV158&amp;" %",""),""),IFERROR(IF(LEFT(GZ158,4)="мало","Iкз мало — отключение &gt; 0,4 с",""),""),IF(AND(B158&lt;&gt;"",BH158=""),"не на схеме",""),IF(AND(CA158=0,B158&lt;&gt;"",FE158&lt;&gt;"",IF(AW158=1,"",FF157)&lt;&gt;"",FE158&lt;&gt;IF(AW158=1,"",FF157)),"фаза не как у автомата группы ("&amp;IF(AW158=1,"",FF157)&amp;")","")))</f>
        <v/>
      </c>
      <c r="HB158" s="6">
        <f>IF(OR(CA158=0,DA158=""),"",_xlfn.LET(_xlpm.t,IFERROR(_xlfn.XLOOKUP(DA158,Каталог!$U$4:$U$500,Каталог!$G$4:$G$500),""),_xlpm.k,SEARCH("кА",_xlpm.t),IFERROR(--TRIM(RIGHT(SUBSTITUTE(MID(_xlpm.t,MAX(1,_xlpm.k-4),_xlpm.k-MAX(1,_xlpm.k-4))," ",REPT(" ",9)),5)),"")))</f>
        <v>6</v>
      </c>
      <c r="HC158" t="str">
        <f>IF(OR(HB158="",CA158=0),"",IF(_xlfn.XLOOKUP(A158,Щиты[Щит],Щиты[Iкз max на шинах, кА],"")="","",IF(HB158&lt;_xlfn.XLOOKUP(A158,Щиты[Щит],Щиты[Iкз max на шинах, кА]),"Icu "&amp;HB158&amp;" кА &lt; Iкз max","ok")))</f>
        <v/>
      </c>
      <c r="HD158" t="str">
        <f t="shared" si="344"/>
        <v/>
      </c>
      <c r="HE158" t="str">
        <f t="shared" si="345"/>
        <v>QFD4|XT4</v>
      </c>
      <c r="HF158" t="str">
        <f t="shared" si="346"/>
        <v>QFD4|XT4|кабель ВВГнг(А)-LS (3х2,5) → Розеточная группа, пом. 001Тб</v>
      </c>
      <c r="HG158" t="str" cm="1">
        <f t="array" ref="HG158">IF(HF158="","",_xlfn.LET(_xlpm.nd,_xlfn.TEXTSPLIT(HF158,"|"),IF(COLUMNS(_xlpm.nd)&gt;1,A158&amp;"¦"&amp;INDEX(_xlpm.nd,1)&amp;"¦"&amp;INDEX(_xlpm.nd,2),"")))</f>
        <v>ЩР-001¦QFD4¦XT4</v>
      </c>
      <c r="HH158" t="str">
        <f t="shared" si="347"/>
        <v>R.00.001Тб.1¦Розеточная группа, пом. 001Тб</v>
      </c>
      <c r="HI158" t="str" cm="1">
        <f t="array" ref="HI158">IF(HF158="","",_xlfn.LET(_xlpm.nd,_xlfn.TEXTSPLIT(HF158,"|"),IF(COLUMNS(_xlpm.nd)&gt;2,A158&amp;"¦"&amp;INDEX(_xlpm.nd,2)&amp;"¦"&amp;INDEX(_xlpm.nd,3),"")))</f>
        <v>ЩР-001¦XT4¦кабель ВВГнг(А)-LS (3х2,5) → Розеточная группа, пом. 001Тб</v>
      </c>
      <c r="HJ158" t="str">
        <f t="shared" si="348"/>
        <v>R.00.001Тб.1¦Розеточная группа, пом. 001Тб</v>
      </c>
      <c r="HK158" t="str" cm="1">
        <f t="array" ref="HK158">IF(HF158="","",_xlfn.LET(_xlpm.nd,_xlfn.TEXTSPLIT(HF158,"|"),IF(COLUMNS(_xlpm.nd)&gt;3,A158&amp;"¦"&amp;INDEX(_xlpm.nd,3)&amp;"¦"&amp;INDEX(_xlpm.nd,4),"")))</f>
        <v/>
      </c>
      <c r="HL158" t="str">
        <f t="shared" si="349"/>
        <v/>
      </c>
      <c r="HM158" t="str" cm="1">
        <f t="array" ref="HM158">IF(HF158="","",_xlfn.LET(_xlpm.nd,_xlfn.TEXTSPLIT(HF158,"|"),IF(COLUMNS(_xlpm.nd)&gt;4,A158&amp;"¦"&amp;INDEX(_xlpm.nd,4)&amp;"¦"&amp;INDEX(_xlpm.nd,5),"")))</f>
        <v/>
      </c>
      <c r="HN158" t="str">
        <f t="shared" si="350"/>
        <v/>
      </c>
      <c r="HO158" t="str" cm="1">
        <f t="array" ref="HO158">IF(HF158="","",_xlfn.LET(_xlpm.nd,_xlfn.TEXTSPLIT(HF158,"|"),IF(COLUMNS(_xlpm.nd)&gt;5,A158&amp;"¦"&amp;INDEX(_xlpm.nd,5)&amp;"¦"&amp;INDEX(_xlpm.nd,6),"")))</f>
        <v/>
      </c>
      <c r="HP158" t="str">
        <f t="shared" si="351"/>
        <v/>
      </c>
      <c r="HQ158" t="str" cm="1">
        <f t="array" ref="HQ158">IF(HF158="","",_xlfn.LET(_xlpm.nd,_xlfn.TEXTSPLIT(HF158,"|"),IF(COLUMNS(_xlpm.nd)&gt;6,A158&amp;"¦"&amp;INDEX(_xlpm.nd,6)&amp;"¦"&amp;INDEX(_xlpm.nd,7),"")))</f>
        <v/>
      </c>
      <c r="HR158" t="str">
        <f t="shared" si="352"/>
        <v/>
      </c>
      <c r="HS158" t="str">
        <f t="shared" si="353"/>
        <v/>
      </c>
      <c r="HT158" t="str">
        <f t="shared" si="354"/>
        <v>QFD4 → XT4</v>
      </c>
      <c r="HU158">
        <f t="shared" si="355"/>
        <v>0</v>
      </c>
      <c r="HV158">
        <f t="shared" si="356"/>
        <v>1</v>
      </c>
      <c r="HW158" t="str">
        <f t="shared" si="357"/>
        <v/>
      </c>
      <c r="HX158" t="str">
        <f t="shared" si="358"/>
        <v/>
      </c>
      <c r="HY158" t="str">
        <f t="shared" si="359"/>
        <v/>
      </c>
      <c r="HZ158" t="str">
        <f t="shared" si="360"/>
        <v/>
      </c>
      <c r="IA158" t="str">
        <f>IF(B158="","",IFERROR(VLOOKUP(B158,УГО_спр,2,FALSE),IFERROR(VLOOKUP(AX158,УГО_спр,2,FALSE),IFERROR(VLOOKUP(LEFT(AX158,2),УГО_спр,2,FALSE),""))))</f>
        <v>Розетка</v>
      </c>
      <c r="IB158" t="str">
        <f>IF(B158="","",IF(OR(IA158="",IA158=0),"BOX",IFERROR(IF(VLOOKUP(IA158,УГО_блоки,3,FALSE)&amp;""&lt;&gt;"",VLOOKUP(IA158,УГО_блоки,3,FALSE),VLOOKUP(IA158,УГО_блоки,2,FALSE)),IA158)))</f>
        <v>SOCKET</v>
      </c>
      <c r="IC158">
        <f t="shared" si="361"/>
        <v>1</v>
      </c>
      <c r="ID158" t="str">
        <f>IF(DA158="","",IF(COUNTIF(DA$3:DA158,DA158)=1,MAX(ID$2:ID157)+1,""))</f>
        <v/>
      </c>
      <c r="IE158" t="str">
        <f>IF(CO158="","",IF(COUNTIF(CO$3:CO158,CO158)+COUNTIF(CP$2:CP157,CO158)+COUNTIF(CQ$2:CQ157,CO158)=1,MAX(IE$2:IG157)+1,""))</f>
        <v/>
      </c>
      <c r="IF158" t="str">
        <f>IF(CP158="","",IF(COUNTIF(CO$3:CO158,CP158)+COUNTIF(CP$3:CP158,CP158)+COUNTIF(CQ$2:CQ157,CP158)=1,MAX(IE$2:IG157,IE158)+1,""))</f>
        <v/>
      </c>
      <c r="IG158" t="str">
        <f>IF(CQ158="","",IF(COUNTIF(CO$3:CO158,CQ158)+COUNTIF(CP$3:CP158,CQ158)+COUNTIF(CQ$3:CQ158,CQ158)=1,MAX(IE$2:IG157,IE158,IF158)+1,""))</f>
        <v/>
      </c>
      <c r="IH158" t="str">
        <f t="shared" si="362"/>
        <v>3х2,5</v>
      </c>
      <c r="II158" t="str">
        <f>IF(IH158="","",IF(COUNTIF(IH$3:IH158,IH158)=1,MAX(II$2:II157)+1,""))</f>
        <v/>
      </c>
      <c r="IJ158" t="str">
        <f>IF(GL158="","",COUNTIF(GL$3:GL158,"?*"))</f>
        <v/>
      </c>
      <c r="IK158" t="str">
        <f>IF(OR(GL158="",GN158=""),"",IF(COUNTIFS(GL$3:GL158,"?*",GN$3:GN158,GN158)=1,MAX(IK$2:IK157)+1,""))</f>
        <v/>
      </c>
      <c r="IL158">
        <f t="shared" si="363"/>
        <v>0</v>
      </c>
      <c r="IM158">
        <f>IF(B158="","",COUNTIF(B$3:B158,"?*"))</f>
        <v>156</v>
      </c>
      <c r="IN158">
        <f>IF(GQ158&lt;&gt;1,0,_xlfn.LET(_xlpm.k,MAX(IFERROR(--VLOOKUP(B158,УГО_спр,5,FALSE),0),IFERROR(--VLOOKUP(AX158,УГО_спр,5,FALSE),0),IFERROR(--VLOOKUP(LEFT(AX158,2),УГО_спр,5,FALSE),0)),IF(_xlpm.k&gt;0,_xlpm.k,IF(IFERROR(--LEFT(SUBSTITUTE(IH158,"x","х"),FIND("х",SUBSTITUTE(IH158,"x","х"))-1),3)&gt;3,Каталог!$S$9,1))))</f>
        <v>1</v>
      </c>
      <c r="IO158">
        <f t="shared" si="364"/>
        <v>0</v>
      </c>
      <c r="IP158" t="str">
        <f t="shared" si="365"/>
        <v>авто</v>
      </c>
      <c r="IQ158">
        <f t="shared" si="366"/>
        <v>30</v>
      </c>
      <c r="IR158">
        <f t="shared" si="367"/>
        <v>1</v>
      </c>
      <c r="IS158">
        <f t="shared" si="368"/>
        <v>1</v>
      </c>
    </row>
    <row r="159" spans="1:253" x14ac:dyDescent="0.3">
      <c r="A159" t="s">
        <v>755</v>
      </c>
      <c r="B159" t="s">
        <v>1426</v>
      </c>
      <c r="C159" t="str">
        <f>Линии[[#This Row],[_авто наименование]]</f>
        <v>Розеточная группа, пом. 001Б</v>
      </c>
      <c r="D159">
        <v>3</v>
      </c>
      <c r="E159">
        <v>0.42</v>
      </c>
      <c r="G159">
        <v>16</v>
      </c>
      <c r="H159">
        <f>Линии[[#This Row],[_авто утечка]]</f>
        <v>30</v>
      </c>
      <c r="I159" t="str">
        <f>Линии[[#This Row],[_авто управление]]</f>
        <v/>
      </c>
      <c r="J159" t="str">
        <f>Линии[[#This Row],[_авто аппараты]]</f>
        <v/>
      </c>
      <c r="K159">
        <v>2.5</v>
      </c>
      <c r="L159">
        <v>48</v>
      </c>
      <c r="M159">
        <v>2</v>
      </c>
      <c r="N159" t="str">
        <f>Линии[[#This Row],[_авто клемма]]</f>
        <v>XT5</v>
      </c>
      <c r="O159" t="str">
        <f t="shared" si="246"/>
        <v/>
      </c>
      <c r="P159" s="6" cm="1">
        <f t="array" ref="P159">IF(B159="","",IF(BC159&lt;&gt;"",IFERROR(_xlfn.XLOOKUP(BC159,Щиты[Щит],Щиты[Iр, А]),""),IF(BK159=1,IFERROR(_xlfn.XLOOKUP(A159,Щиты[Щит],Щиты[Iр, А]),""),IFERROR(_xlfn.IFS(BR159=1,BN159/((Uн_лин/SQRT(3))*BY159),BR159=3,BN159/(SQRT(3)*Uн_лин*BY159)),""))))</f>
        <v>1.9143719452077064</v>
      </c>
      <c r="Q159" s="7">
        <f>IF(B159="","",IFERROR(IF(VLOOKUP(AX159,Потребители_обозначение,4,FALSE)=1,VLOOKUP(AX159,Потребители_обозначение,3,FALSE)*(D159*2-1)+DS159+VLOOKUP(AZ159,Этаж_обозначение,3,FALSE)+VLOOKUP(AZ159,Этаж_обозначение,4,FALSE),VLOOKUP(AX159,Потребители_обозначение,3,FALSE)*(D159*2-1)+DS159),DS159))</f>
        <v>63</v>
      </c>
      <c r="R159" s="6">
        <f t="shared" si="247"/>
        <v>2.4700000000000002</v>
      </c>
      <c r="S159" t="str">
        <f t="shared" si="248"/>
        <v>ВВГнг(А)-LS (3х2,5)</v>
      </c>
      <c r="T159" t="str">
        <f>IF(BH159="","",IF(BI159="вводной узел","узел ","")&amp;"л."&amp;(INT((BH159-1)/Столбцов_на_лист)+1)&amp;" / "&amp;(MOD(BH159-1,Столбцов_на_лист)+1))</f>
        <v>л.2 / 5</v>
      </c>
      <c r="V159">
        <v>1</v>
      </c>
      <c r="W159">
        <v>230</v>
      </c>
      <c r="X159" t="s">
        <v>564</v>
      </c>
      <c r="AC159" t="s">
        <v>815</v>
      </c>
      <c r="AE159" t="s">
        <v>563</v>
      </c>
      <c r="AI159">
        <v>22</v>
      </c>
      <c r="AJ159" t="s">
        <v>11</v>
      </c>
      <c r="AK159">
        <v>3</v>
      </c>
      <c r="AM159">
        <v>0</v>
      </c>
      <c r="AN159">
        <v>0</v>
      </c>
      <c r="AO159">
        <v>48</v>
      </c>
      <c r="AW159" cm="1">
        <f t="array" ref="AW159">ROW()-ROW(Линии[#Headers])</f>
        <v>157</v>
      </c>
      <c r="AX159" s="6" t="str">
        <f t="shared" si="249"/>
        <v>R</v>
      </c>
      <c r="AY159" t="str">
        <f t="shared" si="250"/>
        <v>00.001Б.2</v>
      </c>
      <c r="AZ159" t="str">
        <f t="shared" si="251"/>
        <v>00</v>
      </c>
      <c r="BA159" t="str">
        <f t="shared" si="252"/>
        <v>001Б.2</v>
      </c>
      <c r="BB159" t="str">
        <f t="shared" si="253"/>
        <v>001Б</v>
      </c>
      <c r="BC159" t="str">
        <f>IF(U159&lt;&gt;"",U159,IF(AND(B159&lt;&gt;"",B159&lt;&gt;A159,ISNUMBER(_xlfn.XMATCH(B159,Щиты[Щит]))),B159,""))</f>
        <v/>
      </c>
      <c r="BD159" t="str" cm="1">
        <f t="array" ref="BD159">IF(B159="","",IF(BC159&lt;&gt;"","Щит "&amp;BC159,_xlfn.LET(_xlpm.nm,IFERROR(_xlfn.XLOOKUP(AX159,Коды_код,Коды_имя)&amp;"",""),_xlpm.md,IFERROR(N(_xlfn.XLOOKUP(AX159,Коды_код,Коды_режим)),1),_xlpm.ex,IF(Имя_режим="по экспликации",IFERROR(_xlfn.XLOOKUP(AZ159&amp;"|"&amp;BB159,Экспликация[Этаж]&amp;"|"&amp;Экспликация[Помещение],Экспликация[Название])&amp;"",""),""),_xlpm.rm,IF(BB159="","",IF(_xlpm.ex&lt;&gt;"",". "&amp;_xlpm.ex&amp;IF(Имя_пом="нет"," ("&amp;BB159&amp;")"," (пом. "&amp;BB159&amp;")"),IF(Имя_пом="нет"," ",", пом. ")&amp;BB159)),IF(_xlpm.nm="","",IF(_xlpm.md=2,_xlpm.nm&amp;" шлейф "&amp;AZ159,_xlpm.nm&amp;_xlpm.rm)))))</f>
        <v>Розеточная группа, пом. 001Б</v>
      </c>
      <c r="BE159" t="str">
        <f t="shared" si="254"/>
        <v>Розеточная группа, пом. 001Б</v>
      </c>
      <c r="BF159">
        <f>IFERROR(_xlfn.XMATCH(A159,Щиты[Щит]),0)</f>
        <v>8</v>
      </c>
      <c r="BG159">
        <f>_xlfn.LET(_xlpm.k,IFERROR(_xlfn.XLOOKUP(A159,Щиты[Щит],Щиты[Листов под вводной узел]),""),IF(_xlpm.k="",1,N(_xlpm.k))*Столбцов_на_лист)</f>
        <v>17</v>
      </c>
      <c r="BH159">
        <f t="shared" si="255"/>
        <v>22</v>
      </c>
      <c r="BI159" t="str">
        <f t="shared" si="256"/>
        <v>линии</v>
      </c>
      <c r="BJ159" s="6">
        <f>IFERROR(N(_xlfn.XLOOKUP(AX159,Коды_код,Коды_квт)),0)</f>
        <v>0</v>
      </c>
      <c r="BK159">
        <f t="shared" si="257"/>
        <v>0</v>
      </c>
      <c r="BL159" t="str">
        <f>IF(B159="","",IF(BC159&lt;&gt;"",IFERROR(_xlfn.XLOOKUP(BC159,Щиты[Щит],Щиты[Руст, кВт]),0),IF(BK159=1,IFERROR(_xlfn.XLOOKUP(A159,Щиты[Щит],Щиты[Руст, кВт]),0),IF(BJ159&gt;0,ROUND(BJ159*MAX(1,N(D159)),3),""))))</f>
        <v/>
      </c>
      <c r="BM159">
        <f t="shared" si="258"/>
        <v>0.42</v>
      </c>
      <c r="BN159" s="6">
        <f>IF(B159="","",IF(BC159&lt;&gt;"",IFERROR(_xlfn.XLOOKUP(BC159,Щиты[Щит],Щиты[Руст, кВт]),0),N(BM159)))</f>
        <v>0.42</v>
      </c>
      <c r="BO159" t="str">
        <f>IF(B159="","",IFERROR(IF(VLOOKUP(AX159,Потребители_обозначение,8,FALSE)=0,"",VLOOKUP(AX159,Потребители_обозначение,8,FALSE)),""))</f>
        <v/>
      </c>
      <c r="BP159">
        <f t="shared" si="259"/>
        <v>230</v>
      </c>
      <c r="BQ159">
        <f>IF(B159="","",IF(BC159&lt;&gt;"",3,IFERROR(IF(N(VLOOKUP(AX159,Потребители_обозначение,9,FALSE))=0,1,VLOOKUP(AX159,Потребители_обозначение,9,FALSE)),1)))</f>
        <v>1</v>
      </c>
      <c r="BR159">
        <f t="shared" si="260"/>
        <v>1</v>
      </c>
      <c r="BS159" t="str">
        <f>IF(B159="","",_xlfn.LET(_xlpm.bc,IFERROR(IF(VLOOKUP(AX159,Потребители_обозначение,6,FALSE)=0,"",VLOOKUP(AX159,Потребители_обозначение,6,FALSE)&amp;""),""),IF(AND(FK159="да",OR(_xlpm.bc="",_xlpm.bc="мс")),Марка_пож,IF(AND(_xlpm.bc="",BC159&lt;&gt;""),"мс",_xlpm.bc))))</f>
        <v/>
      </c>
      <c r="BT159" t="str">
        <f t="shared" si="261"/>
        <v>мс</v>
      </c>
      <c r="BU159">
        <f>IF(B159="","",_xlfn.LET(_xlpm.cc,IFERROR(N(VLOOKUP(AX159,Потребители_обозначение,7,FALSE)),0),IF(_xlpm.cc&gt;0,_xlpm.cc,IF(BT159="","",IF(N(BR159)=3,5,3)))))</f>
        <v>3</v>
      </c>
      <c r="BV159">
        <f t="shared" si="262"/>
        <v>3</v>
      </c>
      <c r="BW159">
        <f>IFERROR(N(VLOOKUP(AX159,Потребители_обозначение,10,FALSE)),0)</f>
        <v>0</v>
      </c>
      <c r="BX159">
        <f>IFERROR(VLOOKUP(AX159,Потребители_обозначение,5,FALSE),0)</f>
        <v>1</v>
      </c>
      <c r="BY159" s="6" cm="1">
        <f t="array" ref="BY159">IF(B159="","",IF(BC159&lt;&gt;"",IFERROR(_xlfn.XLOOKUP(BC159,Щиты[Щит],Щиты[cos φ]),0.95),IF(BK159=1,IFERROR(_xlfn.XLOOKUP(A159,Щиты[Щит],Щиты[cos φ]),0.95),IF(ISNUMBER(Z159),Z159,IFERROR(IF(BX159=2,_xlfn.IFS(BR159=3,VLOOKUP(BN159,Справочная_двигатели,8,FALSE),BR159=1,VLOOKUP(BN159,Справочная_двигатели,10,TRUE)),IF(AND(Методика="нормы 2026",EQ159="Сил"),0.8,0.95)),0.95)))))</f>
        <v>0.95</v>
      </c>
      <c r="BZ159">
        <f t="shared" si="263"/>
        <v>0</v>
      </c>
      <c r="CA159">
        <f t="shared" si="264"/>
        <v>1</v>
      </c>
      <c r="CB159">
        <f t="shared" si="265"/>
        <v>0</v>
      </c>
      <c r="CC159">
        <f t="shared" si="266"/>
        <v>0</v>
      </c>
      <c r="CD159">
        <f t="shared" si="267"/>
        <v>0</v>
      </c>
      <c r="CE159">
        <f t="shared" si="268"/>
        <v>0</v>
      </c>
      <c r="CF159">
        <f t="shared" si="269"/>
        <v>0</v>
      </c>
      <c r="CG159">
        <f>IF(AX159="",0,_xlfn.LET(_xlpm.v,IFERROR(VLOOKUP(B159,УГО_спр,3,FALSE),IFERROR(VLOOKUP(AX159,УГО_спр,3,FALSE),IFERROR(VLOOKUP(LEFT(AX159,2),УГО_спр,3,FALSE),""))),IF(_xlpm.v="да",30,IF(ISNUMBER(_xlpm.v),_xlpm.v,0))))</f>
        <v>30</v>
      </c>
      <c r="CH159">
        <f t="shared" si="270"/>
        <v>30</v>
      </c>
      <c r="CI159" t="str">
        <f>_xlfn.LET(_xlpm.k,IFERROR(_xlfn.XLOOKUP(AX159,Коды_код,Коды_утечка)&amp;"",""),IF(_xlpm.k="","дифавтомат",_xlpm.k))</f>
        <v>дифавтомат</v>
      </c>
      <c r="CJ159">
        <f t="shared" si="271"/>
        <v>30</v>
      </c>
      <c r="CK159">
        <f t="shared" si="272"/>
        <v>30</v>
      </c>
      <c r="CL159">
        <f>IF(B159="",0,IFERROR(--VLOOKUP(B159,УГО_спр,4,FALSE),IFERROR(--VLOOKUP(AX159,УГО_спр,4,FALSE),IFERROR(--VLOOKUP(LEFT(AX159,2),УГО_спр,4,FALSE),0))))</f>
        <v>16</v>
      </c>
      <c r="CM159" t="str">
        <f>IF(B159="","",IFERROR(_xlfn.XLOOKUP(AX159,Коды_код,Коды_апп)&amp;"",""))</f>
        <v/>
      </c>
      <c r="CN159" t="str">
        <f t="shared" si="273"/>
        <v/>
      </c>
      <c r="CO159" t="str" cm="1">
        <f t="array" ref="CO159">IF(TRIM(CN159&amp;"")="","",IFERROR(TRIM(INDEX(_xlfn.TEXTSPLIT(CN159&amp;";;;",";"),1)),""))</f>
        <v/>
      </c>
      <c r="CP159" t="str" cm="1">
        <f t="array" ref="CP159">IF(TRIM(CN159&amp;"")="","",IFERROR(TRIM(INDEX(_xlfn.TEXTSPLIT(CN159&amp;";;;",";"),2)),""))</f>
        <v/>
      </c>
      <c r="CQ159" t="str" cm="1">
        <f t="array" ref="CQ159">IF(TRIM(CN159&amp;"")="","",IFERROR(TRIM(INDEX(_xlfn.TEXTSPLIT(CN159&amp;";;;",";"),3)),""))</f>
        <v/>
      </c>
      <c r="CR159">
        <f t="shared" si="274"/>
        <v>0</v>
      </c>
      <c r="CS159" t="str">
        <f>IF(B159="","",_xlfn.LET(_xlpm.t,LOWER(AV159&amp;""),IF(ISNUMBER(SEARCH("dim",_xlpm.t)),"DIM",IF(ISNUMBER(SEARCH("dali",_xlpm.t)),"DALI",IF(OR(ISNUMBER(SEARCH("relay",_xlpm.t)),ISNUMBER(SEARCH("реле",_xlpm.t))),"Relay",IF(ISNUMBER(SEARCH("кнопк",_xlpm.t)),"",IFERROR(_xlfn.XLOOKUP(AX159,Коды_код,Коды_упр)&amp;"","")))))))</f>
        <v/>
      </c>
      <c r="CT159" t="str">
        <f t="shared" si="275"/>
        <v/>
      </c>
      <c r="CU159">
        <f>IF(B159="","",_xlfn.LET(_xlpm.ig,N(P159)+IF(AF159="вручную",0,N(CB159)),_xlpm.n0,IFERROR(VLOOKUP(_xlpm.ig,Автомат_номиналы,2,TRUE),0),_xlpm.mn,MAX(CL159,IF(AF159="вручную",0,N(CE159))),MAX(_xlpm.n0,_xlpm.mn,IF(CR159=1,Мин_автомат_БП,0))))</f>
        <v>16</v>
      </c>
      <c r="CV159">
        <f t="shared" si="276"/>
        <v>1</v>
      </c>
      <c r="CW159" t="str">
        <f t="shared" si="277"/>
        <v>2P</v>
      </c>
      <c r="CX159" t="str">
        <f>_xlfn.LET(_xlpm.cc,UPPER(TRIM(IFERROR(_xlfn.XLOOKUP(AX159,Коды_код,Коды_хар)&amp;"",""))),IF(OR(_xlpm.cc="B",_xlpm.cc="В"),"B",IF(_xlpm.cc="D","D","С")))</f>
        <v>С</v>
      </c>
      <c r="CY159" t="str">
        <f t="shared" si="278"/>
        <v>2P С16А 30мА</v>
      </c>
      <c r="CZ159">
        <f t="shared" si="279"/>
        <v>16</v>
      </c>
      <c r="DA159" t="str">
        <f t="shared" si="280"/>
        <v>2P С16А 30мА</v>
      </c>
      <c r="DB159" cm="1">
        <f t="array" ref="DB159">IF(DA159="","",_xlfn.LET(_xlpm.t,SUBSTITUTE(SUBSTITUTE(SUBSTITUTE(UPPER(DA159),"С","C"),"А","A"),"В","B"),_xlpm.tk,_xlfn.TEXTSPLIT(_xlpm.t,"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9" t="str">
        <f t="shared" si="281"/>
        <v>ok</v>
      </c>
      <c r="DD159">
        <f t="shared" si="282"/>
        <v>16</v>
      </c>
      <c r="DE159" t="str">
        <f t="shared" si="283"/>
        <v>2P С16А 30мА</v>
      </c>
      <c r="DF159">
        <f t="shared" si="284"/>
        <v>30</v>
      </c>
      <c r="DG159">
        <f t="shared" si="285"/>
        <v>1</v>
      </c>
      <c r="DH159">
        <f t="shared" si="286"/>
        <v>0</v>
      </c>
      <c r="DI159">
        <f t="shared" si="287"/>
        <v>1.9143719452077064</v>
      </c>
      <c r="DJ159">
        <f t="shared" si="288"/>
        <v>1</v>
      </c>
      <c r="DK159">
        <f>IF(ISNUMBER(AL159),AL159,К_прокл)</f>
        <v>1</v>
      </c>
      <c r="DL159">
        <f t="shared" si="289"/>
        <v>2</v>
      </c>
      <c r="DM159">
        <f>IFERROR(N(VLOOKUP(BT159,Кабель_обозначение,3,FALSE)),1)</f>
        <v>1</v>
      </c>
      <c r="DN159">
        <f>IFERROR(N(_xlfn.XLOOKUP(A159,Щиты[Щит],Щиты[ΔU до шин, %])),0)</f>
        <v>1.57</v>
      </c>
      <c r="DO159" t="str">
        <f>IFERROR(_xlfn.XLOOKUP(A159,Щиты[Щит],Щиты[Zпетли на шинах, Ом]),"")</f>
        <v/>
      </c>
      <c r="DP159">
        <f>IFERROR(N(_xlfn.XLOOKUP(A159,Щиты[Щит],Щиты[ΔU до шин (подбор), %])),0)</f>
        <v>2.5</v>
      </c>
      <c r="DQ159" t="str">
        <f>IFERROR(_xlfn.XLOOKUP(A159,Щиты[Щит],Щиты[Zпетли на шинах (подбор), Ом]),"")</f>
        <v/>
      </c>
      <c r="DR159" t="str">
        <f t="shared" si="290"/>
        <v/>
      </c>
      <c r="DS159">
        <f t="shared" si="291"/>
        <v>48</v>
      </c>
      <c r="DT159">
        <f t="shared" si="292"/>
        <v>2</v>
      </c>
      <c r="DU159">
        <f t="shared" si="293"/>
        <v>0.31</v>
      </c>
      <c r="DV159" s="6">
        <f>IF(B159="","",IF(IFERROR(VLOOKUP(AX159,УГО_спр,2,FALSE),"")="Светильник",3,4)+IF(Методика="нормы 2026",MIN(0.5,MAX(0,N(Q159)-100)*0.005),0))</f>
        <v>4</v>
      </c>
      <c r="DW159" cm="1">
        <f t="array" ref="DW159">IF(OR(B159="",BT159="",DM159&lt;&gt;1),"",_xlfn.LET(_xlpm.sz,Iдоп_S,_xlpm.t_,CHOOSE(DL159,Iдоп_1ж,Iдоп_2ж,Iдоп_3ж)*DJ159*DK159,_xlpm.inn,N(DD159),_xlpm.smin,MAX(1.5,BW159),_xlpm.L_,N(Q159)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159)*(_xlpm.rho*_xlpm.L_/_xlpm.sz*N(BY159)+_xlpm.xx*_xlpm.L_*N(DU159)/1000)*N(P159)/((Uн_лин/SQRT(3))*1000)*100,999),_xlpm.kz,IF(OR(DG159=1,NOT(ISNUMBER(DQ159)),_xlpm.L_=0,_xlpm.inn=0),1,IFERROR(--(c_min*(Uн_лин*1000/SQRT(3))/(DQ159+2*ρкз_Cu*_xlpm.L_/_xlpm.sz)&gt;=GY159*_xlpm.inn),0)),_xlpm.ok,IFERROR((_xlpm.sz&gt;=_xlpm.smin)*(_xlpm.t_&gt;=_xlpm.inn)*IF(_xlpm.L_&gt;0,(_xlpm.du_+DP159&lt;=DV159+0.00001),1)*_xlpm.kz,0),_xlpm.r_,_xlfn._xlws.FILTER(_xlpm.sz,_xlpm.ok,"не подобрано"),INDEX(_xlpm.r_,1)))</f>
        <v>1.5</v>
      </c>
      <c r="DX159">
        <f t="shared" si="294"/>
        <v>2.5</v>
      </c>
      <c r="DY159" cm="1">
        <f t="array" ref="DY159">IF(OR(B159="",BT159="",DM159&lt;&gt;1),"",_xlfn.LET(_xlpm.sz,Iдоп_S,_xlpm.t_,CHOOSE(DL159,Iдоп_1ж,Iдоп_2ж,Iдоп_3ж)*DJ159*DK159,_xlpm.ok,IFERROR((_xlpm.sz&gt;=MAX(1.5,BW159))*(_xlpm.t_&gt;=N(DD159)),0),_xlpm.r_,_xlfn._xlws.FILTER(_xlpm.sz,_xlpm.ok,""),INDEX(_xlpm.r_,1)))</f>
        <v>1.5</v>
      </c>
      <c r="DZ159" s="6" cm="1">
        <f t="array" ref="DZ159">IFERROR(ROUNDUP(N(DT159)*(_xlfn.XLOOKUP(DY159,INDEX(Кабель_сопротивление,0,1),INDEX(Кабель_сопротивление,0,3))*N(Q159)/DY159*N(BY159)+_xlfn.XLOOKUP(DY159,INDEX(Кабель_сопротивление,0,1),INDEX(Кабель_сопротивление,0,2))*N(Q159)*N(DU159)/1000)*N(P159)/((Uн_лин/SQRT(3))*1000)*100,2),"")</f>
        <v>1.5</v>
      </c>
      <c r="EA159">
        <f>IFERROR(2*ρкз_Cu*N(Q159)/DY159,"")</f>
        <v>2.2092000000000001</v>
      </c>
      <c r="EB159">
        <f>IFERROR(VLOOKUP(DX159,Кабель_сопротивление,3,FALSE),"")</f>
        <v>2.2499999999999999E-2</v>
      </c>
      <c r="EC159">
        <f>IFERROR(VLOOKUP(DX159,Кабель_сопротивление,2,FALSE),"")</f>
        <v>0.1</v>
      </c>
      <c r="ED159">
        <f t="shared" si="295"/>
        <v>0</v>
      </c>
      <c r="EE159">
        <f t="shared" si="296"/>
        <v>48</v>
      </c>
      <c r="EF159">
        <f t="shared" si="297"/>
        <v>2.0698304333902433</v>
      </c>
      <c r="EG159" s="6">
        <f>IFERROR(ROUNDUP(EF159/((Uн_лин/SQRT(3))*1000)*100,2),"")</f>
        <v>0.9</v>
      </c>
      <c r="EH159" t="str">
        <f>IFERROR(VLOOKUP(BT159,Кабель_обозначение,2,FALSE),"")</f>
        <v>ВВГнг(А)-LS</v>
      </c>
      <c r="EI159" t="str">
        <f t="shared" si="298"/>
        <v>ВВГнг(А)-LS (3х2,5)</v>
      </c>
      <c r="EJ159" t="str">
        <f t="shared" si="299"/>
        <v>ВВГнг(А)-LS (3х2,5)
L=63-0,9%</v>
      </c>
      <c r="EK159">
        <f>IFERROR(2*ρкз_Cu*Q159/DX159,"")</f>
        <v>1.32552</v>
      </c>
      <c r="EL159">
        <f t="shared" si="300"/>
        <v>0.441</v>
      </c>
      <c r="EM159" s="6" t="str">
        <f>IFERROR(IF(OR(B159="",NOT(ISNUMBER(DX159)),N(Q159)=0),"",_xlfn.XLOOKUP(A159,Щиты[Щит],Щиты[Zпетли на шинах, Ом])+EK159),"")</f>
        <v/>
      </c>
      <c r="EN159" s="6" t="str">
        <f>IF(ISNUMBER(EM159),c_min*(Uн_лин*1000/SQRT(3))/EM159,"")</f>
        <v/>
      </c>
      <c r="EO159" s="6" t="str">
        <f>IFERROR(IF(OR(B159="",NOT(ISNUMBER(DX159))),"",1.05*(Uн_лин*1000/SQRT(3))/(_xlfn.XLOOKUP(A159,Щиты[Щит],Щиты[Zmax на шинах, Ом])+EL159)/1000),"")</f>
        <v/>
      </c>
      <c r="EP159" s="6" t="str">
        <f>IF(B159="","",IF(ISNUMBER(Y159),"Сил",IF(IFERROR(_xlfn.XLOOKUP(AX159,Коды_код,Коды_группа)&amp;"","")="","Быт",_xlfn.XLOOKUP(AX159,Коды_код,Коды_группа)&amp;"")))</f>
        <v>Быт</v>
      </c>
      <c r="EQ159" s="6" t="str">
        <f t="shared" si="301"/>
        <v>Быт</v>
      </c>
      <c r="ER159" s="6">
        <f>IF(EQ159="Щит","щит",IF(EQ159="","",IF(EQ159="Быт",IFERROR(_xlfn.XLOOKUP(A159,Щиты[Щит],Щиты[Кс быт]),1),IF(EQ159="Сил",IF(ISNUMBER(Y159),Y159,IF(Методика="нормы 2026",IFERROR(_xlfn.XLOOKUP(A159,Щиты[Щит],Щиты[Кс силовых (табл. 7.5)]),1),1)),IF(OR(EQ159="Пост",EQ159="Отоп"),1,IF(EQ159="ВНГ",0.7,0))))))</f>
        <v>0.8</v>
      </c>
      <c r="ES159">
        <f t="shared" si="302"/>
        <v>1</v>
      </c>
      <c r="ET159">
        <f t="shared" si="303"/>
        <v>0.42</v>
      </c>
      <c r="EU159">
        <f t="shared" si="304"/>
        <v>0.42</v>
      </c>
      <c r="EV159">
        <f t="shared" si="305"/>
        <v>0</v>
      </c>
      <c r="EW159">
        <f t="shared" si="306"/>
        <v>0</v>
      </c>
      <c r="EX159">
        <f t="shared" si="307"/>
        <v>0</v>
      </c>
      <c r="EY159">
        <f t="shared" si="308"/>
        <v>0</v>
      </c>
      <c r="EZ159">
        <f t="shared" si="309"/>
        <v>0.42</v>
      </c>
      <c r="FA159">
        <f t="shared" si="310"/>
        <v>0.39899999999999997</v>
      </c>
      <c r="FB159">
        <f t="shared" si="311"/>
        <v>0.42</v>
      </c>
      <c r="FC159" t="str">
        <f t="shared" si="312"/>
        <v>L2</v>
      </c>
      <c r="FD159" t="str">
        <f>IF(B159="","",IF(CA159=0,IF(AW159=1,"",FF158),IF(OR(N(CV159)&gt;=3,N(BR159)&gt;=3),"L1,L2,L3",IFERROR(_xlfn.TEXTBEFORE(_xlfn.TEXTAFTER(_xlfn.XLOOKUP(A159,Щиты[Щит],Щиты[_фазы авто]),";"&amp;AW159&amp;":"),";"),"L1"))))</f>
        <v>L1</v>
      </c>
      <c r="FE159" t="str">
        <f t="shared" si="313"/>
        <v>L2</v>
      </c>
      <c r="FF159" t="str">
        <f t="shared" si="314"/>
        <v>L2</v>
      </c>
      <c r="FG159" cm="1">
        <f t="array" ref="FG159">IFERROR(IF(BX159=2,_xlfn.IFS(BR159=3,VLOOKUP(BN159,Справочная_двигатели,3,FALSE),BR159=1,VLOOKUP(BN159,Справочная_двигатели,5,TRUE)),0),0)</f>
        <v>0</v>
      </c>
      <c r="FH159">
        <f>IFERROR(IF(BX159=3,VLOOKUP(BN159,Справочная_ЛЭД,2,TRUE),0),0)</f>
        <v>0</v>
      </c>
      <c r="FI159" s="6">
        <f t="shared" si="315"/>
        <v>0</v>
      </c>
      <c r="FJ159" t="str" cm="1">
        <f t="array" ref="FJ159">IF(B159="","",IFERROR(INDEX({"I особая","I","II","III"},MATCH(TRIM(AC159&amp;""),{"I особая","I","II","III"},0)),"III"))</f>
        <v>II</v>
      </c>
      <c r="FK159" t="str">
        <f>IF(B159="","",IF(TRIM(AD159&amp;"")&lt;&gt;"",IF(LOWER(TRIM(AD159&amp;""))="да","да","нет"),IF(IFERROR(_xlfn.XLOOKUP(AX159,Коды_код,Коды_пожарная),"")="да","да","нет")))</f>
        <v>нет</v>
      </c>
      <c r="FL159" t="str">
        <f t="shared" si="316"/>
        <v/>
      </c>
      <c r="FM159" t="str">
        <f t="shared" si="317"/>
        <v>основная</v>
      </c>
      <c r="FN159">
        <f t="shared" si="318"/>
        <v>1</v>
      </c>
      <c r="FO159" t="str" cm="1">
        <f t="array" ref="FO159">IF(B159="","",_xlfn.LET(_xlpm.t,IFERROR(_xlfn.XLOOKUP(1,(Шины[Шина]=FM159)*(((Шины[Щит]=A159)+(Шины[Щит]=""))&gt;0),Шины[Тип]),"")&amp;"",IF(_xlpm.t&lt;&gt;"",_xlpm.t,IF(ISNUMBER(SEARCH("ИБП",FM159)),"ИБП",IF(ISNUMBER(SEARCH("ДГУ",FM159)),"ДГУ","Ввод "&amp;FN159)))))</f>
        <v>Ввод 1</v>
      </c>
      <c r="FP159" t="str">
        <f t="shared" si="319"/>
        <v>Ввод 1</v>
      </c>
      <c r="FQ159" t="str">
        <f>IF(B159="","",IF(OR(FO159="ИБП",FO159="ДГУ"),"I особая",IF(FO159="Одиночная","III",_xlfn.XLOOKUP(A159,Щиты[Щит],Щиты[Категория шины «Ввод»],"III"))))</f>
        <v>II</v>
      </c>
      <c r="FR159">
        <f>IF(B159="",0,IFERROR(MATCH(FJ159,{"III","II","I","I особая"},0),1))</f>
        <v>2</v>
      </c>
      <c r="FS159">
        <f t="shared" si="320"/>
        <v>2</v>
      </c>
      <c r="FT159" t="str">
        <f>IF(B159="","",IF(FR159&gt;IFERROR(MATCH(FQ159,{"III","II","I","I особая"},0),1),"НЕ ОБЕСПЕЧЕНА","ОК"))</f>
        <v>ОК</v>
      </c>
      <c r="FU159" t="str">
        <f>IF(A159="","",_xlfn.XLOOKUP(A159,Щиты[Щит],Щиты[Путь],""))</f>
        <v>|ГРЩ-ЖД|ЩР-001|</v>
      </c>
      <c r="FV159" t="str">
        <f>IF(B159="","",IF(AE159&lt;&gt;"",AE159,IF(IFERROR(_xlfn.XLOOKUP(AX159,Коды_код,Коды_вид)&amp;"","")="","Прочее",_xlfn.XLOOKUP(AX159,Коды_код,Коды_вид)&amp;"")))</f>
        <v>Розеточная сеть и бытовые приборы</v>
      </c>
      <c r="FW159">
        <f>IF(BH159="","",INT((BH159-1)/Столбцов_на_лист)+1)</f>
        <v>2</v>
      </c>
      <c r="FX159" t="str">
        <f t="shared" si="321"/>
        <v>ВВГнг(А)-LS (3х2,5) L=63-0,9%</v>
      </c>
      <c r="FY159">
        <f t="shared" si="322"/>
        <v>0.42</v>
      </c>
      <c r="FZ159">
        <f t="shared" si="323"/>
        <v>1.92</v>
      </c>
      <c r="GA159">
        <f t="shared" si="324"/>
        <v>1</v>
      </c>
      <c r="GB159">
        <f t="shared" si="325"/>
        <v>0</v>
      </c>
      <c r="GC159">
        <f t="shared" si="326"/>
        <v>1</v>
      </c>
      <c r="GD159">
        <f>IF(BH159="","",IF(AND(CA159=1,GC159=1),COUNTIFS(A$3:A159,A159,CA$3:CA159,1,GC$3:GC159,1),IF(OR(OR(AW159=1,A159&lt;&gt;A158),AF159="вручную",GC159=0),"",IF(AW159=1,"",GE158))))</f>
        <v>5</v>
      </c>
      <c r="GE159">
        <f t="shared" si="327"/>
        <v>5</v>
      </c>
      <c r="GF159">
        <f>IF(B159="","",IFERROR(LOOKUP(INDEX(CHOOSE(DL159,Iдоп_1ж,Iдоп_2ж,Iдоп_3ж),MATCH(DX159,Iдоп_S,0))*DJ159*DK159,{6,10,16,20,25,32,40,50,63,80,100,125,160,200,250,315,400,500,630}),""))</f>
        <v>25</v>
      </c>
      <c r="GG159" t="str">
        <f t="shared" si="328"/>
        <v>QFD5</v>
      </c>
      <c r="GH159" t="str">
        <f t="shared" si="329"/>
        <v>QFD5</v>
      </c>
      <c r="GI159" t="str">
        <f t="shared" si="330"/>
        <v/>
      </c>
      <c r="GJ159">
        <f t="shared" si="331"/>
        <v>0</v>
      </c>
      <c r="GK159" t="str">
        <f>IF(OR(AG159="",AG159="-"),"",IFERROR(VLOOKUP(AG159,Модули_спр,2,FALSE),"R"))</f>
        <v/>
      </c>
      <c r="GL159" t="str">
        <f>IF(GK159="","",GK159&amp;"."&amp;COUNTIFS(A$3:A159,A159,GK$3:GK159,GK159))</f>
        <v/>
      </c>
      <c r="GM159" t="str">
        <f t="shared" si="332"/>
        <v/>
      </c>
      <c r="GN159" t="str">
        <f t="shared" si="333"/>
        <v/>
      </c>
      <c r="GO159" t="str">
        <f t="shared" si="334"/>
        <v/>
      </c>
      <c r="GP159" t="str">
        <f t="shared" si="335"/>
        <v/>
      </c>
      <c r="GQ159">
        <f t="shared" si="336"/>
        <v>1</v>
      </c>
      <c r="GR159" t="str">
        <f>IF(GQ159=1,"XT"&amp;COUNTIFS(A$3:A159,A159,GQ$3:GQ159,1),"")</f>
        <v>XT5</v>
      </c>
      <c r="GS159" t="str">
        <f t="shared" si="337"/>
        <v>XT5</v>
      </c>
      <c r="GT159" t="str">
        <f t="shared" si="338"/>
        <v>QFD5</v>
      </c>
      <c r="GU159" t="str">
        <f t="shared" si="339"/>
        <v/>
      </c>
      <c r="GV159" t="str">
        <f t="shared" si="340"/>
        <v>ok</v>
      </c>
      <c r="GW159" t="str">
        <f>IF(OR(GO159="",GM159=""),"",IF(GO159&gt;IFERROR(VLOOKUP(GN159,Модули_спр,3,FALSE),99),"ЛИШНИЙ КАНАЛ",IF(AND(AH159&lt;&gt;"=",COUNTIFS(Линии[_модуль гр.],GM159,Линии[Канал (итог)],GO159,Линии[Канал],"&lt;&gt;=",Линии[Щит],A159)&gt;1),"ДУБЛЬ КАНАЛА","")))</f>
        <v/>
      </c>
      <c r="GX159" s="6" t="str">
        <f t="shared" si="341"/>
        <v/>
      </c>
      <c r="GY159">
        <f t="shared" si="342"/>
        <v>10</v>
      </c>
      <c r="GZ159" t="str">
        <f t="shared" si="343"/>
        <v/>
      </c>
      <c r="HA159" t="str">
        <f>IF(AND(B159="",GT159=""),"",_xlfn.TEXTJOIN("; ",TRUE,IF(AND(B159&lt;&gt;"",FE159=""),"нет фазы",""),IF(AND(B159&lt;&gt;"",N(FY159)=0,EQ159&lt;&gt;"Нет"),"нет мощности",""),IF(AND(GS159&lt;&gt;"",COUNTIFS(Линии[Щит],A159,Линии[Клемма (итог)],GS159)&gt;1),"дубль клеммы "&amp;GS159,""),IF(AND(GV159&lt;&gt;"",GV159&lt;&gt;"ok"),GV159,""),IF(GW159&lt;&gt;"",GW159,""),IF(AND(N(BV159)&gt;=4,N(BR159)=1),BV159&amp;" жил на 1 фазе",""),IF(AND(AX159="R",CA159=1,OR(N(CK159)=0,N(CK159)&gt;30)),"розетка без дифзащиты до 30 мА",""),IFERROR(IF(AND(ISNUMBER(R159),R159&gt;DV159),"потери "&amp;FIXED(R159,1)&amp;" % &gt; "&amp;DV159&amp;" %",""),""),IFERROR(IF(LEFT(GZ159,4)="мало","Iкз мало — отключение &gt; 0,4 с",""),""),IF(AND(B159&lt;&gt;"",BH159=""),"не на схеме",""),IF(AND(CA159=0,B159&lt;&gt;"",FE159&lt;&gt;"",IF(AW159=1,"",FF158)&lt;&gt;"",FE159&lt;&gt;IF(AW159=1,"",FF158)),"фаза не как у автомата группы ("&amp;IF(AW159=1,"",FF158)&amp;")","")))</f>
        <v/>
      </c>
      <c r="HB159" s="6">
        <f>IF(OR(CA159=0,DA159=""),"",_xlfn.LET(_xlpm.t,IFERROR(_xlfn.XLOOKUP(DA159,Каталог!$U$4:$U$500,Каталог!$G$4:$G$500),""),_xlpm.k,SEARCH("кА",_xlpm.t),IFERROR(--TRIM(RIGHT(SUBSTITUTE(MID(_xlpm.t,MAX(1,_xlpm.k-4),_xlpm.k-MAX(1,_xlpm.k-4))," ",REPT(" ",9)),5)),"")))</f>
        <v>6</v>
      </c>
      <c r="HC159" t="str">
        <f>IF(OR(HB159="",CA159=0),"",IF(_xlfn.XLOOKUP(A159,Щиты[Щит],Щиты[Iкз max на шинах, кА],"")="","",IF(HB159&lt;_xlfn.XLOOKUP(A159,Щиты[Щит],Щиты[Iкз max на шинах, кА]),"Icu "&amp;HB159&amp;" кА &lt; Iкз max","ok")))</f>
        <v/>
      </c>
      <c r="HD159" t="str">
        <f t="shared" si="344"/>
        <v/>
      </c>
      <c r="HE159" t="str">
        <f t="shared" si="345"/>
        <v>QFD5|XT5</v>
      </c>
      <c r="HF159" t="str">
        <f t="shared" si="346"/>
        <v>QFD5|XT5|кабель ВВГнг(А)-LS (3х2,5) → Розеточная группа, пом. 001Б</v>
      </c>
      <c r="HG159" t="str" cm="1">
        <f t="array" ref="HG159">IF(HF159="","",_xlfn.LET(_xlpm.nd,_xlfn.TEXTSPLIT(HF159,"|"),IF(COLUMNS(_xlpm.nd)&gt;1,A159&amp;"¦"&amp;INDEX(_xlpm.nd,1)&amp;"¦"&amp;INDEX(_xlpm.nd,2),"")))</f>
        <v>ЩР-001¦QFD5¦XT5</v>
      </c>
      <c r="HH159" t="str">
        <f t="shared" si="347"/>
        <v>R.00.001Б.2¦Розеточная группа, пом. 001Б</v>
      </c>
      <c r="HI159" t="str" cm="1">
        <f t="array" ref="HI159">IF(HF159="","",_xlfn.LET(_xlpm.nd,_xlfn.TEXTSPLIT(HF159,"|"),IF(COLUMNS(_xlpm.nd)&gt;2,A159&amp;"¦"&amp;INDEX(_xlpm.nd,2)&amp;"¦"&amp;INDEX(_xlpm.nd,3),"")))</f>
        <v>ЩР-001¦XT5¦кабель ВВГнг(А)-LS (3х2,5) → Розеточная группа, пом. 001Б</v>
      </c>
      <c r="HJ159" t="str">
        <f t="shared" si="348"/>
        <v>R.00.001Б.2¦Розеточная группа, пом. 001Б</v>
      </c>
      <c r="HK159" t="str" cm="1">
        <f t="array" ref="HK159">IF(HF159="","",_xlfn.LET(_xlpm.nd,_xlfn.TEXTSPLIT(HF159,"|"),IF(COLUMNS(_xlpm.nd)&gt;3,A159&amp;"¦"&amp;INDEX(_xlpm.nd,3)&amp;"¦"&amp;INDEX(_xlpm.nd,4),"")))</f>
        <v/>
      </c>
      <c r="HL159" t="str">
        <f t="shared" si="349"/>
        <v/>
      </c>
      <c r="HM159" t="str" cm="1">
        <f t="array" ref="HM159">IF(HF159="","",_xlfn.LET(_xlpm.nd,_xlfn.TEXTSPLIT(HF159,"|"),IF(COLUMNS(_xlpm.nd)&gt;4,A159&amp;"¦"&amp;INDEX(_xlpm.nd,4)&amp;"¦"&amp;INDEX(_xlpm.nd,5),"")))</f>
        <v/>
      </c>
      <c r="HN159" t="str">
        <f t="shared" si="350"/>
        <v/>
      </c>
      <c r="HO159" t="str" cm="1">
        <f t="array" ref="HO159">IF(HF159="","",_xlfn.LET(_xlpm.nd,_xlfn.TEXTSPLIT(HF159,"|"),IF(COLUMNS(_xlpm.nd)&gt;5,A159&amp;"¦"&amp;INDEX(_xlpm.nd,5)&amp;"¦"&amp;INDEX(_xlpm.nd,6),"")))</f>
        <v/>
      </c>
      <c r="HP159" t="str">
        <f t="shared" si="351"/>
        <v/>
      </c>
      <c r="HQ159" t="str" cm="1">
        <f t="array" ref="HQ159">IF(HF159="","",_xlfn.LET(_xlpm.nd,_xlfn.TEXTSPLIT(HF159,"|"),IF(COLUMNS(_xlpm.nd)&gt;6,A159&amp;"¦"&amp;INDEX(_xlpm.nd,6)&amp;"¦"&amp;INDEX(_xlpm.nd,7),"")))</f>
        <v/>
      </c>
      <c r="HR159" t="str">
        <f t="shared" si="352"/>
        <v/>
      </c>
      <c r="HS159" t="str">
        <f t="shared" si="353"/>
        <v/>
      </c>
      <c r="HT159" t="str">
        <f t="shared" si="354"/>
        <v>QFD5 → XT5</v>
      </c>
      <c r="HU159">
        <f t="shared" si="355"/>
        <v>0</v>
      </c>
      <c r="HV159">
        <f t="shared" si="356"/>
        <v>1</v>
      </c>
      <c r="HW159" t="str">
        <f t="shared" si="357"/>
        <v/>
      </c>
      <c r="HX159" t="str">
        <f t="shared" si="358"/>
        <v/>
      </c>
      <c r="HY159" t="str">
        <f t="shared" si="359"/>
        <v/>
      </c>
      <c r="HZ159" t="str">
        <f t="shared" si="360"/>
        <v/>
      </c>
      <c r="IA159" t="str">
        <f>IF(B159="","",IFERROR(VLOOKUP(B159,УГО_спр,2,FALSE),IFERROR(VLOOKUP(AX159,УГО_спр,2,FALSE),IFERROR(VLOOKUP(LEFT(AX159,2),УГО_спр,2,FALSE),""))))</f>
        <v>Розетка</v>
      </c>
      <c r="IB159" t="str">
        <f>IF(B159="","",IF(OR(IA159="",IA159=0),"BOX",IFERROR(IF(VLOOKUP(IA159,УГО_блоки,3,FALSE)&amp;""&lt;&gt;"",VLOOKUP(IA159,УГО_блоки,3,FALSE),VLOOKUP(IA159,УГО_блоки,2,FALSE)),IA159)))</f>
        <v>SOCKET</v>
      </c>
      <c r="IC159">
        <f t="shared" si="361"/>
        <v>1</v>
      </c>
      <c r="ID159" t="str">
        <f>IF(DA159="","",IF(COUNTIF(DA$3:DA159,DA159)=1,MAX(ID$2:ID158)+1,""))</f>
        <v/>
      </c>
      <c r="IE159" t="str">
        <f>IF(CO159="","",IF(COUNTIF(CO$3:CO159,CO159)+COUNTIF(CP$2:CP158,CO159)+COUNTIF(CQ$2:CQ158,CO159)=1,MAX(IE$2:IG158)+1,""))</f>
        <v/>
      </c>
      <c r="IF159" t="str">
        <f>IF(CP159="","",IF(COUNTIF(CO$3:CO159,CP159)+COUNTIF(CP$3:CP159,CP159)+COUNTIF(CQ$2:CQ158,CP159)=1,MAX(IE$2:IG158,IE159)+1,""))</f>
        <v/>
      </c>
      <c r="IG159" t="str">
        <f>IF(CQ159="","",IF(COUNTIF(CO$3:CO159,CQ159)+COUNTIF(CP$3:CP159,CQ159)+COUNTIF(CQ$3:CQ159,CQ159)=1,MAX(IE$2:IG158,IE159,IF159)+1,""))</f>
        <v/>
      </c>
      <c r="IH159" t="str">
        <f t="shared" si="362"/>
        <v>3х2,5</v>
      </c>
      <c r="II159" t="str">
        <f>IF(IH159="","",IF(COUNTIF(IH$3:IH159,IH159)=1,MAX(II$2:II158)+1,""))</f>
        <v/>
      </c>
      <c r="IJ159" t="str">
        <f>IF(GL159="","",COUNTIF(GL$3:GL159,"?*"))</f>
        <v/>
      </c>
      <c r="IK159" t="str">
        <f>IF(OR(GL159="",GN159=""),"",IF(COUNTIFS(GL$3:GL159,"?*",GN$3:GN159,GN159)=1,MAX(IK$2:IK158)+1,""))</f>
        <v/>
      </c>
      <c r="IL159">
        <f t="shared" si="363"/>
        <v>0</v>
      </c>
      <c r="IM159">
        <f>IF(B159="","",COUNTIF(B$3:B159,"?*"))</f>
        <v>157</v>
      </c>
      <c r="IN159">
        <f>IF(GQ159&lt;&gt;1,0,_xlfn.LET(_xlpm.k,MAX(IFERROR(--VLOOKUP(B159,УГО_спр,5,FALSE),0),IFERROR(--VLOOKUP(AX159,УГО_спр,5,FALSE),0),IFERROR(--VLOOKUP(LEFT(AX159,2),УГО_спр,5,FALSE),0)),IF(_xlpm.k&gt;0,_xlpm.k,IF(IFERROR(--LEFT(SUBSTITUTE(IH159,"x","х"),FIND("х",SUBSTITUTE(IH159,"x","х"))-1),3)&gt;3,Каталог!$S$9,1))))</f>
        <v>1</v>
      </c>
      <c r="IO159">
        <f t="shared" si="364"/>
        <v>0</v>
      </c>
      <c r="IP159" t="str">
        <f t="shared" si="365"/>
        <v>авто</v>
      </c>
      <c r="IQ159">
        <f t="shared" si="366"/>
        <v>30</v>
      </c>
      <c r="IR159">
        <f t="shared" si="367"/>
        <v>1</v>
      </c>
      <c r="IS159">
        <f t="shared" si="368"/>
        <v>1</v>
      </c>
    </row>
    <row r="160" spans="1:253" x14ac:dyDescent="0.3">
      <c r="A160" t="s">
        <v>755</v>
      </c>
      <c r="B160" t="s">
        <v>1427</v>
      </c>
      <c r="C160" t="str">
        <f>Линии[[#This Row],[_авто наименование]]</f>
        <v>Розеточная группа, пом. 005Т</v>
      </c>
      <c r="D160">
        <v>5</v>
      </c>
      <c r="E160">
        <v>0.3</v>
      </c>
      <c r="G160">
        <v>16</v>
      </c>
      <c r="H160">
        <f>Линии[[#This Row],[_авто утечка]]</f>
        <v>30</v>
      </c>
      <c r="I160" t="str">
        <f>Линии[[#This Row],[_авто управление]]</f>
        <v/>
      </c>
      <c r="J160" t="str">
        <f>Линии[[#This Row],[_авто аппараты]]</f>
        <v/>
      </c>
      <c r="K160">
        <v>2.5</v>
      </c>
      <c r="L160">
        <v>35</v>
      </c>
      <c r="M160">
        <v>1</v>
      </c>
      <c r="N160" t="str">
        <f>Линии[[#This Row],[_авто клемма]]</f>
        <v>XT6</v>
      </c>
      <c r="O160" t="str">
        <f t="shared" si="246"/>
        <v/>
      </c>
      <c r="P160" s="6" cm="1">
        <f t="array" ref="P160">IF(B160="","",IF(BC160&lt;&gt;"",IFERROR(_xlfn.XLOOKUP(BC160,Щиты[Щит],Щиты[Iр, А]),""),IF(BK160=1,IFERROR(_xlfn.XLOOKUP(A160,Щиты[Щит],Щиты[Iр, А]),""),IFERROR(_xlfn.IFS(BR160=1,BN160/((Uн_лин/SQRT(3))*BY160),BR160=3,BN160/(SQRT(3)*Uн_лин*BY160)),""))))</f>
        <v>1.3674085322912188</v>
      </c>
      <c r="Q160" s="7">
        <f>IF(B160="","",IFERROR(IF(VLOOKUP(AX160,Потребители_обозначение,4,FALSE)=1,VLOOKUP(AX160,Потребители_обозначение,3,FALSE)*(D160*2-1)+DS160+VLOOKUP(AZ160,Этаж_обозначение,3,FALSE)+VLOOKUP(AZ160,Этаж_обозначение,4,FALSE),VLOOKUP(AX160,Потребители_обозначение,3,FALSE)*(D160*2-1)+DS160),DS160))</f>
        <v>62</v>
      </c>
      <c r="R160" s="6">
        <f t="shared" si="247"/>
        <v>2.21</v>
      </c>
      <c r="S160" t="str">
        <f t="shared" si="248"/>
        <v>ВВГнг(А)-LS (3х2,5)</v>
      </c>
      <c r="T160" t="str">
        <f>IF(BH160="","",IF(BI160="вводной узел","узел ","")&amp;"л."&amp;(INT((BH160-1)/Столбцов_на_лист)+1)&amp;" / "&amp;(MOD(BH160-1,Столбцов_на_лист)+1))</f>
        <v>л.2 / 6</v>
      </c>
      <c r="V160">
        <v>1</v>
      </c>
      <c r="W160">
        <v>230</v>
      </c>
      <c r="X160" t="s">
        <v>564</v>
      </c>
      <c r="AC160" t="s">
        <v>815</v>
      </c>
      <c r="AE160" t="s">
        <v>563</v>
      </c>
      <c r="AI160">
        <v>23</v>
      </c>
      <c r="AJ160" t="s">
        <v>11</v>
      </c>
      <c r="AK160">
        <v>3</v>
      </c>
      <c r="AM160">
        <v>16</v>
      </c>
      <c r="AN160">
        <v>31</v>
      </c>
      <c r="AO160">
        <v>15</v>
      </c>
      <c r="AW160" cm="1">
        <f t="array" ref="AW160">ROW()-ROW(Линии[#Headers])</f>
        <v>158</v>
      </c>
      <c r="AX160" s="6" t="str">
        <f t="shared" si="249"/>
        <v>R</v>
      </c>
      <c r="AY160" t="str">
        <f t="shared" si="250"/>
        <v>00.005Т.1</v>
      </c>
      <c r="AZ160" t="str">
        <f t="shared" si="251"/>
        <v>00</v>
      </c>
      <c r="BA160" t="str">
        <f t="shared" si="252"/>
        <v>005Т.1</v>
      </c>
      <c r="BB160" t="str">
        <f t="shared" si="253"/>
        <v>005Т</v>
      </c>
      <c r="BC160" t="str">
        <f>IF(U160&lt;&gt;"",U160,IF(AND(B160&lt;&gt;"",B160&lt;&gt;A160,ISNUMBER(_xlfn.XMATCH(B160,Щиты[Щит]))),B160,""))</f>
        <v/>
      </c>
      <c r="BD160" t="str" cm="1">
        <f t="array" ref="BD160">IF(B160="","",IF(BC160&lt;&gt;"","Щит "&amp;BC160,_xlfn.LET(_xlpm.nm,IFERROR(_xlfn.XLOOKUP(AX160,Коды_код,Коды_имя)&amp;"",""),_xlpm.md,IFERROR(N(_xlfn.XLOOKUP(AX160,Коды_код,Коды_режим)),1),_xlpm.ex,IF(Имя_режим="по экспликации",IFERROR(_xlfn.XLOOKUP(AZ160&amp;"|"&amp;BB160,Экспликация[Этаж]&amp;"|"&amp;Экспликация[Помещение],Экспликация[Название])&amp;"",""),""),_xlpm.rm,IF(BB160="","",IF(_xlpm.ex&lt;&gt;"",". "&amp;_xlpm.ex&amp;IF(Имя_пом="нет"," ("&amp;BB160&amp;")"," (пом. "&amp;BB160&amp;")"),IF(Имя_пом="нет"," ",", пом. ")&amp;BB160)),IF(_xlpm.nm="","",IF(_xlpm.md=2,_xlpm.nm&amp;" шлейф "&amp;AZ160,_xlpm.nm&amp;_xlpm.rm)))))</f>
        <v>Розеточная группа, пом. 005Т</v>
      </c>
      <c r="BE160" t="str">
        <f t="shared" si="254"/>
        <v>Розеточная группа, пом. 005Т</v>
      </c>
      <c r="BF160">
        <f>IFERROR(_xlfn.XMATCH(A160,Щиты[Щит]),0)</f>
        <v>8</v>
      </c>
      <c r="BG160">
        <f>_xlfn.LET(_xlpm.k,IFERROR(_xlfn.XLOOKUP(A160,Щиты[Щит],Щиты[Листов под вводной узел]),""),IF(_xlpm.k="",1,N(_xlpm.k))*Столбцов_на_лист)</f>
        <v>17</v>
      </c>
      <c r="BH160">
        <f t="shared" si="255"/>
        <v>23</v>
      </c>
      <c r="BI160" t="str">
        <f t="shared" si="256"/>
        <v>линии</v>
      </c>
      <c r="BJ160" s="6">
        <f>IFERROR(N(_xlfn.XLOOKUP(AX160,Коды_код,Коды_квт)),0)</f>
        <v>0</v>
      </c>
      <c r="BK160">
        <f t="shared" si="257"/>
        <v>0</v>
      </c>
      <c r="BL160" t="str">
        <f>IF(B160="","",IF(BC160&lt;&gt;"",IFERROR(_xlfn.XLOOKUP(BC160,Щиты[Щит],Щиты[Руст, кВт]),0),IF(BK160=1,IFERROR(_xlfn.XLOOKUP(A160,Щиты[Щит],Щиты[Руст, кВт]),0),IF(BJ160&gt;0,ROUND(BJ160*MAX(1,N(D160)),3),""))))</f>
        <v/>
      </c>
      <c r="BM160">
        <f t="shared" si="258"/>
        <v>0.3</v>
      </c>
      <c r="BN160" s="6">
        <f>IF(B160="","",IF(BC160&lt;&gt;"",IFERROR(_xlfn.XLOOKUP(BC160,Щиты[Щит],Щиты[Руст, кВт]),0),N(BM160)))</f>
        <v>0.3</v>
      </c>
      <c r="BO160" t="str">
        <f>IF(B160="","",IFERROR(IF(VLOOKUP(AX160,Потребители_обозначение,8,FALSE)=0,"",VLOOKUP(AX160,Потребители_обозначение,8,FALSE)),""))</f>
        <v/>
      </c>
      <c r="BP160">
        <f t="shared" si="259"/>
        <v>230</v>
      </c>
      <c r="BQ160">
        <f>IF(B160="","",IF(BC160&lt;&gt;"",3,IFERROR(IF(N(VLOOKUP(AX160,Потребители_обозначение,9,FALSE))=0,1,VLOOKUP(AX160,Потребители_обозначение,9,FALSE)),1)))</f>
        <v>1</v>
      </c>
      <c r="BR160">
        <f t="shared" si="260"/>
        <v>1</v>
      </c>
      <c r="BS160" t="str">
        <f>IF(B160="","",_xlfn.LET(_xlpm.bc,IFERROR(IF(VLOOKUP(AX160,Потребители_обозначение,6,FALSE)=0,"",VLOOKUP(AX160,Потребители_обозначение,6,FALSE)&amp;""),""),IF(AND(FK160="да",OR(_xlpm.bc="",_xlpm.bc="мс")),Марка_пож,IF(AND(_xlpm.bc="",BC160&lt;&gt;""),"мс",_xlpm.bc))))</f>
        <v/>
      </c>
      <c r="BT160" t="str">
        <f t="shared" si="261"/>
        <v>мс</v>
      </c>
      <c r="BU160">
        <f>IF(B160="","",_xlfn.LET(_xlpm.cc,IFERROR(N(VLOOKUP(AX160,Потребители_обозначение,7,FALSE)),0),IF(_xlpm.cc&gt;0,_xlpm.cc,IF(BT160="","",IF(N(BR160)=3,5,3)))))</f>
        <v>3</v>
      </c>
      <c r="BV160">
        <f t="shared" si="262"/>
        <v>3</v>
      </c>
      <c r="BW160">
        <f>IFERROR(N(VLOOKUP(AX160,Потребители_обозначение,10,FALSE)),0)</f>
        <v>0</v>
      </c>
      <c r="BX160">
        <f>IFERROR(VLOOKUP(AX160,Потребители_обозначение,5,FALSE),0)</f>
        <v>1</v>
      </c>
      <c r="BY160" s="6" cm="1">
        <f t="array" ref="BY160">IF(B160="","",IF(BC160&lt;&gt;"",IFERROR(_xlfn.XLOOKUP(BC160,Щиты[Щит],Щиты[cos φ]),0.95),IF(BK160=1,IFERROR(_xlfn.XLOOKUP(A160,Щиты[Щит],Щиты[cos φ]),0.95),IF(ISNUMBER(Z160),Z160,IFERROR(IF(BX160=2,_xlfn.IFS(BR160=3,VLOOKUP(BN160,Справочная_двигатели,8,FALSE),BR160=1,VLOOKUP(BN160,Справочная_двигатели,10,TRUE)),IF(AND(Методика="нормы 2026",EQ160="Сил"),0.8,0.95)),0.95)))))</f>
        <v>0.95</v>
      </c>
      <c r="BZ160">
        <f t="shared" si="263"/>
        <v>0</v>
      </c>
      <c r="CA160">
        <f t="shared" si="264"/>
        <v>1</v>
      </c>
      <c r="CB160">
        <f t="shared" si="265"/>
        <v>0</v>
      </c>
      <c r="CC160">
        <f t="shared" si="266"/>
        <v>0</v>
      </c>
      <c r="CD160">
        <f t="shared" si="267"/>
        <v>0</v>
      </c>
      <c r="CE160">
        <f t="shared" si="268"/>
        <v>0</v>
      </c>
      <c r="CF160">
        <f t="shared" si="269"/>
        <v>0</v>
      </c>
      <c r="CG160">
        <f>IF(AX160="",0,_xlfn.LET(_xlpm.v,IFERROR(VLOOKUP(B160,УГО_спр,3,FALSE),IFERROR(VLOOKUP(AX160,УГО_спр,3,FALSE),IFERROR(VLOOKUP(LEFT(AX160,2),УГО_спр,3,FALSE),""))),IF(_xlpm.v="да",30,IF(ISNUMBER(_xlpm.v),_xlpm.v,0))))</f>
        <v>30</v>
      </c>
      <c r="CH160">
        <f t="shared" si="270"/>
        <v>30</v>
      </c>
      <c r="CI160" t="str">
        <f>_xlfn.LET(_xlpm.k,IFERROR(_xlfn.XLOOKUP(AX160,Коды_код,Коды_утечка)&amp;"",""),IF(_xlpm.k="","дифавтомат",_xlpm.k))</f>
        <v>дифавтомат</v>
      </c>
      <c r="CJ160">
        <f t="shared" si="271"/>
        <v>30</v>
      </c>
      <c r="CK160">
        <f t="shared" si="272"/>
        <v>30</v>
      </c>
      <c r="CL160">
        <f>IF(B160="",0,IFERROR(--VLOOKUP(B160,УГО_спр,4,FALSE),IFERROR(--VLOOKUP(AX160,УГО_спр,4,FALSE),IFERROR(--VLOOKUP(LEFT(AX160,2),УГО_спр,4,FALSE),0))))</f>
        <v>16</v>
      </c>
      <c r="CM160" t="str">
        <f>IF(B160="","",IFERROR(_xlfn.XLOOKUP(AX160,Коды_код,Коды_апп)&amp;"",""))</f>
        <v/>
      </c>
      <c r="CN160" t="str">
        <f t="shared" si="273"/>
        <v/>
      </c>
      <c r="CO160" t="str" cm="1">
        <f t="array" ref="CO160">IF(TRIM(CN160&amp;"")="","",IFERROR(TRIM(INDEX(_xlfn.TEXTSPLIT(CN160&amp;";;;",";"),1)),""))</f>
        <v/>
      </c>
      <c r="CP160" t="str" cm="1">
        <f t="array" ref="CP160">IF(TRIM(CN160&amp;"")="","",IFERROR(TRIM(INDEX(_xlfn.TEXTSPLIT(CN160&amp;";;;",";"),2)),""))</f>
        <v/>
      </c>
      <c r="CQ160" t="str" cm="1">
        <f t="array" ref="CQ160">IF(TRIM(CN160&amp;"")="","",IFERROR(TRIM(INDEX(_xlfn.TEXTSPLIT(CN160&amp;";;;",";"),3)),""))</f>
        <v/>
      </c>
      <c r="CR160">
        <f t="shared" si="274"/>
        <v>0</v>
      </c>
      <c r="CS160" t="str">
        <f>IF(B160="","",_xlfn.LET(_xlpm.t,LOWER(AV160&amp;""),IF(ISNUMBER(SEARCH("dim",_xlpm.t)),"DIM",IF(ISNUMBER(SEARCH("dali",_xlpm.t)),"DALI",IF(OR(ISNUMBER(SEARCH("relay",_xlpm.t)),ISNUMBER(SEARCH("реле",_xlpm.t))),"Relay",IF(ISNUMBER(SEARCH("кнопк",_xlpm.t)),"",IFERROR(_xlfn.XLOOKUP(AX160,Коды_код,Коды_упр)&amp;"","")))))))</f>
        <v/>
      </c>
      <c r="CT160" t="str">
        <f t="shared" si="275"/>
        <v/>
      </c>
      <c r="CU160">
        <f>IF(B160="","",_xlfn.LET(_xlpm.ig,N(P160)+IF(AF160="вручную",0,N(CB160)),_xlpm.n0,IFERROR(VLOOKUP(_xlpm.ig,Автомат_номиналы,2,TRUE),0),_xlpm.mn,MAX(CL160,IF(AF160="вручную",0,N(CE160))),MAX(_xlpm.n0,_xlpm.mn,IF(CR160=1,Мин_автомат_БП,0))))</f>
        <v>16</v>
      </c>
      <c r="CV160">
        <f t="shared" si="276"/>
        <v>1</v>
      </c>
      <c r="CW160" t="str">
        <f t="shared" si="277"/>
        <v>2P</v>
      </c>
      <c r="CX160" t="str">
        <f>_xlfn.LET(_xlpm.cc,UPPER(TRIM(IFERROR(_xlfn.XLOOKUP(AX160,Коды_код,Коды_хар)&amp;"",""))),IF(OR(_xlpm.cc="B",_xlpm.cc="В"),"B",IF(_xlpm.cc="D","D","С")))</f>
        <v>С</v>
      </c>
      <c r="CY160" t="str">
        <f t="shared" si="278"/>
        <v>2P С16А 30мА</v>
      </c>
      <c r="CZ160">
        <f t="shared" si="279"/>
        <v>16</v>
      </c>
      <c r="DA160" t="str">
        <f t="shared" si="280"/>
        <v>2P С16А 30мА</v>
      </c>
      <c r="DB160" cm="1">
        <f t="array" ref="DB160">IF(DA160="","",_xlfn.LET(_xlpm.t,SUBSTITUTE(SUBSTITUTE(SUBSTITUTE(UPPER(DA160),"С","C"),"А","A"),"В","B"),_xlpm.tk,_xlfn.TEXTSPLIT(_xlpm.t,"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0" t="str">
        <f t="shared" si="281"/>
        <v>ok</v>
      </c>
      <c r="DD160">
        <f t="shared" si="282"/>
        <v>16</v>
      </c>
      <c r="DE160" t="str">
        <f t="shared" si="283"/>
        <v>2P С16А 30мА</v>
      </c>
      <c r="DF160">
        <f t="shared" si="284"/>
        <v>30</v>
      </c>
      <c r="DG160">
        <f t="shared" si="285"/>
        <v>1</v>
      </c>
      <c r="DH160">
        <f t="shared" si="286"/>
        <v>0</v>
      </c>
      <c r="DI160">
        <f t="shared" si="287"/>
        <v>1.3674085322912188</v>
      </c>
      <c r="DJ160">
        <f t="shared" si="288"/>
        <v>1</v>
      </c>
      <c r="DK160">
        <f>IF(ISNUMBER(AL160),AL160,К_прокл)</f>
        <v>1</v>
      </c>
      <c r="DL160">
        <f t="shared" si="289"/>
        <v>2</v>
      </c>
      <c r="DM160">
        <f>IFERROR(N(VLOOKUP(BT160,Кабель_обозначение,3,FALSE)),1)</f>
        <v>1</v>
      </c>
      <c r="DN160">
        <f>IFERROR(N(_xlfn.XLOOKUP(A160,Щиты[Щит],Щиты[ΔU до шин, %])),0)</f>
        <v>1.57</v>
      </c>
      <c r="DO160" t="str">
        <f>IFERROR(_xlfn.XLOOKUP(A160,Щиты[Щит],Щиты[Zпетли на шинах, Ом]),"")</f>
        <v/>
      </c>
      <c r="DP160">
        <f>IFERROR(N(_xlfn.XLOOKUP(A160,Щиты[Щит],Щиты[ΔU до шин (подбор), %])),0)</f>
        <v>2.5</v>
      </c>
      <c r="DQ160" t="str">
        <f>IFERROR(_xlfn.XLOOKUP(A160,Щиты[Щит],Щиты[Zпетли на шинах (подбор), Ом]),"")</f>
        <v/>
      </c>
      <c r="DR160" t="str">
        <f t="shared" si="290"/>
        <v/>
      </c>
      <c r="DS160">
        <f t="shared" si="291"/>
        <v>35</v>
      </c>
      <c r="DT160">
        <f t="shared" si="292"/>
        <v>2</v>
      </c>
      <c r="DU160">
        <f t="shared" si="293"/>
        <v>0.31</v>
      </c>
      <c r="DV160" s="6">
        <f>IF(B160="","",IF(IFERROR(VLOOKUP(AX160,УГО_спр,2,FALSE),"")="Светильник",3,4)+IF(Методика="нормы 2026",MIN(0.5,MAX(0,N(Q160)-100)*0.005),0))</f>
        <v>4</v>
      </c>
      <c r="DW160" cm="1">
        <f t="array" ref="DW160">IF(OR(B160="",BT160="",DM160&lt;&gt;1),"",_xlfn.LET(_xlpm.sz,Iдоп_S,_xlpm.t_,CHOOSE(DL160,Iдоп_1ж,Iдоп_2ж,Iдоп_3ж)*DJ160*DK160,_xlpm.inn,N(DD160),_xlpm.smin,MAX(1.5,BW160),_xlpm.L_,N(Q160)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160)*(_xlpm.rho*_xlpm.L_/_xlpm.sz*N(BY160)+_xlpm.xx*_xlpm.L_*N(DU160)/1000)*N(P160)/((Uн_лин/SQRT(3))*1000)*100,999),_xlpm.kz,IF(OR(DG160=1,NOT(ISNUMBER(DQ160)),_xlpm.L_=0,_xlpm.inn=0),1,IFERROR(--(c_min*(Uн_лин*1000/SQRT(3))/(DQ160+2*ρкз_Cu*_xlpm.L_/_xlpm.sz)&gt;=GY160*_xlpm.inn),0)),_xlpm.ok,IFERROR((_xlpm.sz&gt;=_xlpm.smin)*(_xlpm.t_&gt;=_xlpm.inn)*IF(_xlpm.L_&gt;0,(_xlpm.du_+DP160&lt;=DV160+0.00001),1)*_xlpm.kz,0),_xlpm.r_,_xlfn._xlws.FILTER(_xlpm.sz,_xlpm.ok,"не подобрано"),INDEX(_xlpm.r_,1)))</f>
        <v>1.5</v>
      </c>
      <c r="DX160">
        <f t="shared" si="294"/>
        <v>2.5</v>
      </c>
      <c r="DY160" cm="1">
        <f t="array" ref="DY160">IF(OR(B160="",BT160="",DM160&lt;&gt;1),"",_xlfn.LET(_xlpm.sz,Iдоп_S,_xlpm.t_,CHOOSE(DL160,Iдоп_1ж,Iдоп_2ж,Iдоп_3ж)*DJ160*DK160,_xlpm.ok,IFERROR((_xlpm.sz&gt;=MAX(1.5,BW160))*(_xlpm.t_&gt;=N(DD160)),0),_xlpm.r_,_xlfn._xlws.FILTER(_xlpm.sz,_xlpm.ok,""),INDEX(_xlpm.r_,1)))</f>
        <v>1.5</v>
      </c>
      <c r="DZ160" s="6" cm="1">
        <f t="array" ref="DZ160">IFERROR(ROUNDUP(N(DT160)*(_xlfn.XLOOKUP(DY160,INDEX(Кабель_сопротивление,0,1),INDEX(Кабель_сопротивление,0,3))*N(Q160)/DY160*N(BY160)+_xlfn.XLOOKUP(DY160,INDEX(Кабель_сопротивление,0,1),INDEX(Кабель_сопротивление,0,2))*N(Q160)*N(DU160)/1000)*N(P160)/((Uн_лин/SQRT(3))*1000)*100,2),"")</f>
        <v>1.05</v>
      </c>
      <c r="EA160">
        <f>IFERROR(2*ρкз_Cu*N(Q160)/DY160,"")</f>
        <v>2.1741333333333333</v>
      </c>
      <c r="EB160">
        <f>IFERROR(VLOOKUP(DX160,Кабель_сопротивление,3,FALSE),"")</f>
        <v>2.2499999999999999E-2</v>
      </c>
      <c r="EC160">
        <f>IFERROR(VLOOKUP(DX160,Кабель_сопротивление,2,FALSE),"")</f>
        <v>0.1</v>
      </c>
      <c r="ED160">
        <f t="shared" si="295"/>
        <v>31</v>
      </c>
      <c r="EE160">
        <f t="shared" si="296"/>
        <v>15</v>
      </c>
      <c r="EF160">
        <f t="shared" si="297"/>
        <v>1.4549828443332777</v>
      </c>
      <c r="EG160" s="6">
        <f>IFERROR(ROUNDUP(EF160/((Uн_лин/SQRT(3))*1000)*100,2),"")</f>
        <v>0.64</v>
      </c>
      <c r="EH160" t="str">
        <f>IFERROR(VLOOKUP(BT160,Кабель_обозначение,2,FALSE),"")</f>
        <v>ВВГнг(А)-LS</v>
      </c>
      <c r="EI160" t="str">
        <f t="shared" si="298"/>
        <v>ВВГнг(А)-LS (3х2,5)</v>
      </c>
      <c r="EJ160" t="str">
        <f t="shared" si="299"/>
        <v>ВВГнг(А)-LS (3х2,5)
L=62-0,64%</v>
      </c>
      <c r="EK160">
        <f>IFERROR(2*ρкз_Cu*Q160/DX160,"")</f>
        <v>1.3044800000000001</v>
      </c>
      <c r="EL160">
        <f t="shared" si="300"/>
        <v>0.43400000000000005</v>
      </c>
      <c r="EM160" s="6" t="str">
        <f>IFERROR(IF(OR(B160="",NOT(ISNUMBER(DX160)),N(Q160)=0),"",_xlfn.XLOOKUP(A160,Щиты[Щит],Щиты[Zпетли на шинах, Ом])+EK160),"")</f>
        <v/>
      </c>
      <c r="EN160" s="6" t="str">
        <f>IF(ISNUMBER(EM160),c_min*(Uн_лин*1000/SQRT(3))/EM160,"")</f>
        <v/>
      </c>
      <c r="EO160" s="6" t="str">
        <f>IFERROR(IF(OR(B160="",NOT(ISNUMBER(DX160))),"",1.05*(Uн_лин*1000/SQRT(3))/(_xlfn.XLOOKUP(A160,Щиты[Щит],Щиты[Zmax на шинах, Ом])+EL160)/1000),"")</f>
        <v/>
      </c>
      <c r="EP160" s="6" t="str">
        <f>IF(B160="","",IF(ISNUMBER(Y160),"Сил",IF(IFERROR(_xlfn.XLOOKUP(AX160,Коды_код,Коды_группа)&amp;"","")="","Быт",_xlfn.XLOOKUP(AX160,Коды_код,Коды_группа)&amp;"")))</f>
        <v>Быт</v>
      </c>
      <c r="EQ160" s="6" t="str">
        <f t="shared" si="301"/>
        <v>Быт</v>
      </c>
      <c r="ER160" s="6">
        <f>IF(EQ160="Щит","щит",IF(EQ160="","",IF(EQ160="Быт",IFERROR(_xlfn.XLOOKUP(A160,Щиты[Щит],Щиты[Кс быт]),1),IF(EQ160="Сил",IF(ISNUMBER(Y160),Y160,IF(Методика="нормы 2026",IFERROR(_xlfn.XLOOKUP(A160,Щиты[Щит],Щиты[Кс силовых (табл. 7.5)]),1),1)),IF(OR(EQ160="Пост",EQ160="Отоп"),1,IF(EQ160="ВНГ",0.7,0))))))</f>
        <v>0.8</v>
      </c>
      <c r="ES160">
        <f t="shared" si="302"/>
        <v>1</v>
      </c>
      <c r="ET160">
        <f t="shared" si="303"/>
        <v>0.3</v>
      </c>
      <c r="EU160">
        <f t="shared" si="304"/>
        <v>0.3</v>
      </c>
      <c r="EV160">
        <f t="shared" si="305"/>
        <v>0</v>
      </c>
      <c r="EW160">
        <f t="shared" si="306"/>
        <v>0</v>
      </c>
      <c r="EX160">
        <f t="shared" si="307"/>
        <v>0</v>
      </c>
      <c r="EY160">
        <f t="shared" si="308"/>
        <v>0</v>
      </c>
      <c r="EZ160">
        <f t="shared" si="309"/>
        <v>0.3</v>
      </c>
      <c r="FA160">
        <f t="shared" si="310"/>
        <v>0.28499999999999998</v>
      </c>
      <c r="FB160">
        <f t="shared" si="311"/>
        <v>0.3</v>
      </c>
      <c r="FC160" t="str">
        <f t="shared" si="312"/>
        <v>L1</v>
      </c>
      <c r="FD160" t="str">
        <f>IF(B160="","",IF(CA160=0,IF(AW160=1,"",FF159),IF(OR(N(CV160)&gt;=3,N(BR160)&gt;=3),"L1,L2,L3",IFERROR(_xlfn.TEXTBEFORE(_xlfn.TEXTAFTER(_xlfn.XLOOKUP(A160,Щиты[Щит],Щиты[_фазы авто]),";"&amp;AW160&amp;":"),";"),"L1"))))</f>
        <v>L1</v>
      </c>
      <c r="FE160" t="str">
        <f t="shared" si="313"/>
        <v>L1</v>
      </c>
      <c r="FF160" t="str">
        <f t="shared" si="314"/>
        <v>L1</v>
      </c>
      <c r="FG160" cm="1">
        <f t="array" ref="FG160">IFERROR(IF(BX160=2,_xlfn.IFS(BR160=3,VLOOKUP(BN160,Справочная_двигатели,3,FALSE),BR160=1,VLOOKUP(BN160,Справочная_двигатели,5,TRUE)),0),0)</f>
        <v>0</v>
      </c>
      <c r="FH160">
        <f>IFERROR(IF(BX160=3,VLOOKUP(BN160,Справочная_ЛЭД,2,TRUE),0),0)</f>
        <v>0</v>
      </c>
      <c r="FI160" s="6">
        <f t="shared" si="315"/>
        <v>0</v>
      </c>
      <c r="FJ160" t="str" cm="1">
        <f t="array" ref="FJ160">IF(B160="","",IFERROR(INDEX({"I особая","I","II","III"},MATCH(TRIM(AC160&amp;""),{"I особая","I","II","III"},0)),"III"))</f>
        <v>II</v>
      </c>
      <c r="FK160" t="str">
        <f>IF(B160="","",IF(TRIM(AD160&amp;"")&lt;&gt;"",IF(LOWER(TRIM(AD160&amp;""))="да","да","нет"),IF(IFERROR(_xlfn.XLOOKUP(AX160,Коды_код,Коды_пожарная),"")="да","да","нет")))</f>
        <v>нет</v>
      </c>
      <c r="FL160" t="str">
        <f t="shared" si="316"/>
        <v/>
      </c>
      <c r="FM160" t="str">
        <f t="shared" si="317"/>
        <v>основная</v>
      </c>
      <c r="FN160">
        <f t="shared" si="318"/>
        <v>1</v>
      </c>
      <c r="FO160" t="str" cm="1">
        <f t="array" ref="FO160">IF(B160="","",_xlfn.LET(_xlpm.t,IFERROR(_xlfn.XLOOKUP(1,(Шины[Шина]=FM160)*(((Шины[Щит]=A160)+(Шины[Щит]=""))&gt;0),Шины[Тип]),"")&amp;"",IF(_xlpm.t&lt;&gt;"",_xlpm.t,IF(ISNUMBER(SEARCH("ИБП",FM160)),"ИБП",IF(ISNUMBER(SEARCH("ДГУ",FM160)),"ДГУ","Ввод "&amp;FN160)))))</f>
        <v>Ввод 1</v>
      </c>
      <c r="FP160" t="str">
        <f t="shared" si="319"/>
        <v>Ввод 1</v>
      </c>
      <c r="FQ160" t="str">
        <f>IF(B160="","",IF(OR(FO160="ИБП",FO160="ДГУ"),"I особая",IF(FO160="Одиночная","III",_xlfn.XLOOKUP(A160,Щиты[Щит],Щиты[Категория шины «Ввод»],"III"))))</f>
        <v>II</v>
      </c>
      <c r="FR160">
        <f>IF(B160="",0,IFERROR(MATCH(FJ160,{"III","II","I","I особая"},0),1))</f>
        <v>2</v>
      </c>
      <c r="FS160">
        <f t="shared" si="320"/>
        <v>2</v>
      </c>
      <c r="FT160" t="str">
        <f>IF(B160="","",IF(FR160&gt;IFERROR(MATCH(FQ160,{"III","II","I","I особая"},0),1),"НЕ ОБЕСПЕЧЕНА","ОК"))</f>
        <v>ОК</v>
      </c>
      <c r="FU160" t="str">
        <f>IF(A160="","",_xlfn.XLOOKUP(A160,Щиты[Щит],Щиты[Путь],""))</f>
        <v>|ГРЩ-ЖД|ЩР-001|</v>
      </c>
      <c r="FV160" t="str">
        <f>IF(B160="","",IF(AE160&lt;&gt;"",AE160,IF(IFERROR(_xlfn.XLOOKUP(AX160,Коды_код,Коды_вид)&amp;"","")="","Прочее",_xlfn.XLOOKUP(AX160,Коды_код,Коды_вид)&amp;"")))</f>
        <v>Розеточная сеть и бытовые приборы</v>
      </c>
      <c r="FW160">
        <f>IF(BH160="","",INT((BH160-1)/Столбцов_на_лист)+1)</f>
        <v>2</v>
      </c>
      <c r="FX160" t="str">
        <f t="shared" si="321"/>
        <v>ВВГнг(А)-LS (3х2,5) L=62-0,64%</v>
      </c>
      <c r="FY160">
        <f t="shared" si="322"/>
        <v>0.3</v>
      </c>
      <c r="FZ160">
        <f t="shared" si="323"/>
        <v>1.37</v>
      </c>
      <c r="GA160">
        <f t="shared" si="324"/>
        <v>1</v>
      </c>
      <c r="GB160">
        <f t="shared" si="325"/>
        <v>0</v>
      </c>
      <c r="GC160">
        <f t="shared" si="326"/>
        <v>1</v>
      </c>
      <c r="GD160">
        <f>IF(BH160="","",IF(AND(CA160=1,GC160=1),COUNTIFS(A$3:A160,A160,CA$3:CA160,1,GC$3:GC160,1),IF(OR(OR(AW160=1,A160&lt;&gt;A159),AF160="вручную",GC160=0),"",IF(AW160=1,"",GE159))))</f>
        <v>6</v>
      </c>
      <c r="GE160">
        <f t="shared" si="327"/>
        <v>6</v>
      </c>
      <c r="GF160">
        <f>IF(B160="","",IFERROR(LOOKUP(INDEX(CHOOSE(DL160,Iдоп_1ж,Iдоп_2ж,Iдоп_3ж),MATCH(DX160,Iдоп_S,0))*DJ160*DK160,{6,10,16,20,25,32,40,50,63,80,100,125,160,200,250,315,400,500,630}),""))</f>
        <v>25</v>
      </c>
      <c r="GG160" t="str">
        <f t="shared" si="328"/>
        <v>QFD6</v>
      </c>
      <c r="GH160" t="str">
        <f t="shared" si="329"/>
        <v>QFD6</v>
      </c>
      <c r="GI160" t="str">
        <f t="shared" si="330"/>
        <v/>
      </c>
      <c r="GJ160">
        <f t="shared" si="331"/>
        <v>0</v>
      </c>
      <c r="GK160" t="str">
        <f>IF(OR(AG160="",AG160="-"),"",IFERROR(VLOOKUP(AG160,Модули_спр,2,FALSE),"R"))</f>
        <v/>
      </c>
      <c r="GL160" t="str">
        <f>IF(GK160="","",GK160&amp;"."&amp;COUNTIFS(A$3:A160,A160,GK$3:GK160,GK160))</f>
        <v/>
      </c>
      <c r="GM160" t="str">
        <f t="shared" si="332"/>
        <v/>
      </c>
      <c r="GN160" t="str">
        <f t="shared" si="333"/>
        <v/>
      </c>
      <c r="GO160" t="str">
        <f t="shared" si="334"/>
        <v/>
      </c>
      <c r="GP160" t="str">
        <f t="shared" si="335"/>
        <v/>
      </c>
      <c r="GQ160">
        <f t="shared" si="336"/>
        <v>1</v>
      </c>
      <c r="GR160" t="str">
        <f>IF(GQ160=1,"XT"&amp;COUNTIFS(A$3:A160,A160,GQ$3:GQ160,1),"")</f>
        <v>XT6</v>
      </c>
      <c r="GS160" t="str">
        <f t="shared" si="337"/>
        <v>XT6</v>
      </c>
      <c r="GT160" t="str">
        <f t="shared" si="338"/>
        <v>QFD6</v>
      </c>
      <c r="GU160" t="str">
        <f t="shared" si="339"/>
        <v/>
      </c>
      <c r="GV160" t="str">
        <f t="shared" si="340"/>
        <v>ok</v>
      </c>
      <c r="GW160" t="str">
        <f>IF(OR(GO160="",GM160=""),"",IF(GO160&gt;IFERROR(VLOOKUP(GN160,Модули_спр,3,FALSE),99),"ЛИШНИЙ КАНАЛ",IF(AND(AH160&lt;&gt;"=",COUNTIFS(Линии[_модуль гр.],GM160,Линии[Канал (итог)],GO160,Линии[Канал],"&lt;&gt;=",Линии[Щит],A160)&gt;1),"ДУБЛЬ КАНАЛА","")))</f>
        <v/>
      </c>
      <c r="GX160" s="6" t="str">
        <f t="shared" si="341"/>
        <v/>
      </c>
      <c r="GY160">
        <f t="shared" si="342"/>
        <v>10</v>
      </c>
      <c r="GZ160" t="str">
        <f t="shared" si="343"/>
        <v/>
      </c>
      <c r="HA160" t="str">
        <f>IF(AND(B160="",GT160=""),"",_xlfn.TEXTJOIN("; ",TRUE,IF(AND(B160&lt;&gt;"",FE160=""),"нет фазы",""),IF(AND(B160&lt;&gt;"",N(FY160)=0,EQ160&lt;&gt;"Нет"),"нет мощности",""),IF(AND(GS160&lt;&gt;"",COUNTIFS(Линии[Щит],A160,Линии[Клемма (итог)],GS160)&gt;1),"дубль клеммы "&amp;GS160,""),IF(AND(GV160&lt;&gt;"",GV160&lt;&gt;"ok"),GV160,""),IF(GW160&lt;&gt;"",GW160,""),IF(AND(N(BV160)&gt;=4,N(BR160)=1),BV160&amp;" жил на 1 фазе",""),IF(AND(AX160="R",CA160=1,OR(N(CK160)=0,N(CK160)&gt;30)),"розетка без дифзащиты до 30 мА",""),IFERROR(IF(AND(ISNUMBER(R160),R160&gt;DV160),"потери "&amp;FIXED(R160,1)&amp;" % &gt; "&amp;DV160&amp;" %",""),""),IFERROR(IF(LEFT(GZ160,4)="мало","Iкз мало — отключение &gt; 0,4 с",""),""),IF(AND(B160&lt;&gt;"",BH160=""),"не на схеме",""),IF(AND(CA160=0,B160&lt;&gt;"",FE160&lt;&gt;"",IF(AW160=1,"",FF159)&lt;&gt;"",FE160&lt;&gt;IF(AW160=1,"",FF159)),"фаза не как у автомата группы ("&amp;IF(AW160=1,"",FF159)&amp;")","")))</f>
        <v/>
      </c>
      <c r="HB160" s="6">
        <f>IF(OR(CA160=0,DA160=""),"",_xlfn.LET(_xlpm.t,IFERROR(_xlfn.XLOOKUP(DA160,Каталог!$U$4:$U$500,Каталог!$G$4:$G$500),""),_xlpm.k,SEARCH("кА",_xlpm.t),IFERROR(--TRIM(RIGHT(SUBSTITUTE(MID(_xlpm.t,MAX(1,_xlpm.k-4),_xlpm.k-MAX(1,_xlpm.k-4))," ",REPT(" ",9)),5)),"")))</f>
        <v>6</v>
      </c>
      <c r="HC160" t="str">
        <f>IF(OR(HB160="",CA160=0),"",IF(_xlfn.XLOOKUP(A160,Щиты[Щит],Щиты[Iкз max на шинах, кА],"")="","",IF(HB160&lt;_xlfn.XLOOKUP(A160,Щиты[Щит],Щиты[Iкз max на шинах, кА]),"Icu "&amp;HB160&amp;" кА &lt; Iкз max","ok")))</f>
        <v/>
      </c>
      <c r="HD160" t="str">
        <f t="shared" si="344"/>
        <v/>
      </c>
      <c r="HE160" t="str">
        <f t="shared" si="345"/>
        <v>QFD6|XT6</v>
      </c>
      <c r="HF160" t="str">
        <f t="shared" si="346"/>
        <v>QFD6|XT6|кабель ВВГнг(А)-LS (3х2,5) → Розеточная группа, пом. 005Т</v>
      </c>
      <c r="HG160" t="str" cm="1">
        <f t="array" ref="HG160">IF(HF160="","",_xlfn.LET(_xlpm.nd,_xlfn.TEXTSPLIT(HF160,"|"),IF(COLUMNS(_xlpm.nd)&gt;1,A160&amp;"¦"&amp;INDEX(_xlpm.nd,1)&amp;"¦"&amp;INDEX(_xlpm.nd,2),"")))</f>
        <v>ЩР-001¦QFD6¦XT6</v>
      </c>
      <c r="HH160" t="str">
        <f t="shared" si="347"/>
        <v>R.00.005Т.1¦Розеточная группа, пом. 005Т</v>
      </c>
      <c r="HI160" t="str" cm="1">
        <f t="array" ref="HI160">IF(HF160="","",_xlfn.LET(_xlpm.nd,_xlfn.TEXTSPLIT(HF160,"|"),IF(COLUMNS(_xlpm.nd)&gt;2,A160&amp;"¦"&amp;INDEX(_xlpm.nd,2)&amp;"¦"&amp;INDEX(_xlpm.nd,3),"")))</f>
        <v>ЩР-001¦XT6¦кабель ВВГнг(А)-LS (3х2,5) → Розеточная группа, пом. 005Т</v>
      </c>
      <c r="HJ160" t="str">
        <f t="shared" si="348"/>
        <v>R.00.005Т.1¦Розеточная группа, пом. 005Т</v>
      </c>
      <c r="HK160" t="str" cm="1">
        <f t="array" ref="HK160">IF(HF160="","",_xlfn.LET(_xlpm.nd,_xlfn.TEXTSPLIT(HF160,"|"),IF(COLUMNS(_xlpm.nd)&gt;3,A160&amp;"¦"&amp;INDEX(_xlpm.nd,3)&amp;"¦"&amp;INDEX(_xlpm.nd,4),"")))</f>
        <v/>
      </c>
      <c r="HL160" t="str">
        <f t="shared" si="349"/>
        <v/>
      </c>
      <c r="HM160" t="str" cm="1">
        <f t="array" ref="HM160">IF(HF160="","",_xlfn.LET(_xlpm.nd,_xlfn.TEXTSPLIT(HF160,"|"),IF(COLUMNS(_xlpm.nd)&gt;4,A160&amp;"¦"&amp;INDEX(_xlpm.nd,4)&amp;"¦"&amp;INDEX(_xlpm.nd,5),"")))</f>
        <v/>
      </c>
      <c r="HN160" t="str">
        <f t="shared" si="350"/>
        <v/>
      </c>
      <c r="HO160" t="str" cm="1">
        <f t="array" ref="HO160">IF(HF160="","",_xlfn.LET(_xlpm.nd,_xlfn.TEXTSPLIT(HF160,"|"),IF(COLUMNS(_xlpm.nd)&gt;5,A160&amp;"¦"&amp;INDEX(_xlpm.nd,5)&amp;"¦"&amp;INDEX(_xlpm.nd,6),"")))</f>
        <v/>
      </c>
      <c r="HP160" t="str">
        <f t="shared" si="351"/>
        <v/>
      </c>
      <c r="HQ160" t="str" cm="1">
        <f t="array" ref="HQ160">IF(HF160="","",_xlfn.LET(_xlpm.nd,_xlfn.TEXTSPLIT(HF160,"|"),IF(COLUMNS(_xlpm.nd)&gt;6,A160&amp;"¦"&amp;INDEX(_xlpm.nd,6)&amp;"¦"&amp;INDEX(_xlpm.nd,7),"")))</f>
        <v/>
      </c>
      <c r="HR160" t="str">
        <f t="shared" si="352"/>
        <v/>
      </c>
      <c r="HS160" t="str">
        <f t="shared" si="353"/>
        <v/>
      </c>
      <c r="HT160" t="str">
        <f t="shared" si="354"/>
        <v>QFD6 → XT6</v>
      </c>
      <c r="HU160">
        <f t="shared" si="355"/>
        <v>0</v>
      </c>
      <c r="HV160">
        <f t="shared" si="356"/>
        <v>1</v>
      </c>
      <c r="HW160" t="str">
        <f t="shared" si="357"/>
        <v/>
      </c>
      <c r="HX160" t="str">
        <f t="shared" si="358"/>
        <v/>
      </c>
      <c r="HY160" t="str">
        <f t="shared" si="359"/>
        <v/>
      </c>
      <c r="HZ160" t="str">
        <f t="shared" si="360"/>
        <v/>
      </c>
      <c r="IA160" t="str">
        <f>IF(B160="","",IFERROR(VLOOKUP(B160,УГО_спр,2,FALSE),IFERROR(VLOOKUP(AX160,УГО_спр,2,FALSE),IFERROR(VLOOKUP(LEFT(AX160,2),УГО_спр,2,FALSE),""))))</f>
        <v>Розетка</v>
      </c>
      <c r="IB160" t="str">
        <f>IF(B160="","",IF(OR(IA160="",IA160=0),"BOX",IFERROR(IF(VLOOKUP(IA160,УГО_блоки,3,FALSE)&amp;""&lt;&gt;"",VLOOKUP(IA160,УГО_блоки,3,FALSE),VLOOKUP(IA160,УГО_блоки,2,FALSE)),IA160)))</f>
        <v>SOCKET</v>
      </c>
      <c r="IC160">
        <f t="shared" si="361"/>
        <v>1</v>
      </c>
      <c r="ID160" t="str">
        <f>IF(DA160="","",IF(COUNTIF(DA$3:DA160,DA160)=1,MAX(ID$2:ID159)+1,""))</f>
        <v/>
      </c>
      <c r="IE160" t="str">
        <f>IF(CO160="","",IF(COUNTIF(CO$3:CO160,CO160)+COUNTIF(CP$2:CP159,CO160)+COUNTIF(CQ$2:CQ159,CO160)=1,MAX(IE$2:IG159)+1,""))</f>
        <v/>
      </c>
      <c r="IF160" t="str">
        <f>IF(CP160="","",IF(COUNTIF(CO$3:CO160,CP160)+COUNTIF(CP$3:CP160,CP160)+COUNTIF(CQ$2:CQ159,CP160)=1,MAX(IE$2:IG159,IE160)+1,""))</f>
        <v/>
      </c>
      <c r="IG160" t="str">
        <f>IF(CQ160="","",IF(COUNTIF(CO$3:CO160,CQ160)+COUNTIF(CP$3:CP160,CQ160)+COUNTIF(CQ$3:CQ160,CQ160)=1,MAX(IE$2:IG159,IE160,IF160)+1,""))</f>
        <v/>
      </c>
      <c r="IH160" t="str">
        <f t="shared" si="362"/>
        <v>3х2,5</v>
      </c>
      <c r="II160" t="str">
        <f>IF(IH160="","",IF(COUNTIF(IH$3:IH160,IH160)=1,MAX(II$2:II159)+1,""))</f>
        <v/>
      </c>
      <c r="IJ160" t="str">
        <f>IF(GL160="","",COUNTIF(GL$3:GL160,"?*"))</f>
        <v/>
      </c>
      <c r="IK160" t="str">
        <f>IF(OR(GL160="",GN160=""),"",IF(COUNTIFS(GL$3:GL160,"?*",GN$3:GN160,GN160)=1,MAX(IK$2:IK159)+1,""))</f>
        <v/>
      </c>
      <c r="IL160">
        <f t="shared" si="363"/>
        <v>0</v>
      </c>
      <c r="IM160">
        <f>IF(B160="","",COUNTIF(B$3:B160,"?*"))</f>
        <v>158</v>
      </c>
      <c r="IN160">
        <f>IF(GQ160&lt;&gt;1,0,_xlfn.LET(_xlpm.k,MAX(IFERROR(--VLOOKUP(B160,УГО_спр,5,FALSE),0),IFERROR(--VLOOKUP(AX160,УГО_спр,5,FALSE),0),IFERROR(--VLOOKUP(LEFT(AX160,2),УГО_спр,5,FALSE),0)),IF(_xlpm.k&gt;0,_xlpm.k,IF(IFERROR(--LEFT(SUBSTITUTE(IH160,"x","х"),FIND("х",SUBSTITUTE(IH160,"x","х"))-1),3)&gt;3,Каталог!$S$9,1))))</f>
        <v>1</v>
      </c>
      <c r="IO160">
        <f t="shared" si="364"/>
        <v>0</v>
      </c>
      <c r="IP160" t="str">
        <f t="shared" si="365"/>
        <v>авто</v>
      </c>
      <c r="IQ160">
        <f t="shared" si="366"/>
        <v>30</v>
      </c>
      <c r="IR160">
        <f t="shared" si="367"/>
        <v>1</v>
      </c>
      <c r="IS160">
        <f t="shared" si="368"/>
        <v>1</v>
      </c>
    </row>
    <row r="161" spans="1:253" x14ac:dyDescent="0.3">
      <c r="A161" t="s">
        <v>755</v>
      </c>
      <c r="B161" t="s">
        <v>1428</v>
      </c>
      <c r="C161" t="str">
        <f>Линии[[#This Row],[_авто наименование]]</f>
        <v>Розеточная группа, пом. 002Т</v>
      </c>
      <c r="D161">
        <v>2</v>
      </c>
      <c r="E161">
        <v>0.18</v>
      </c>
      <c r="G161">
        <v>16</v>
      </c>
      <c r="H161">
        <f>Линии[[#This Row],[_авто утечка]]</f>
        <v>30</v>
      </c>
      <c r="I161" t="str">
        <f>Линии[[#This Row],[_авто управление]]</f>
        <v/>
      </c>
      <c r="J161" t="str">
        <f>Линии[[#This Row],[_авто аппараты]]</f>
        <v/>
      </c>
      <c r="K161">
        <v>2.5</v>
      </c>
      <c r="L161">
        <v>22</v>
      </c>
      <c r="M161">
        <v>1</v>
      </c>
      <c r="N161" t="str">
        <f>Линии[[#This Row],[_авто клемма]]</f>
        <v>XT7</v>
      </c>
      <c r="O161" t="str">
        <f t="shared" si="246"/>
        <v/>
      </c>
      <c r="P161" s="6" cm="1">
        <f t="array" ref="P161">IF(B161="","",IF(BC161&lt;&gt;"",IFERROR(_xlfn.XLOOKUP(BC161,Щиты[Щит],Щиты[Iр, А]),""),IF(BK161=1,IFERROR(_xlfn.XLOOKUP(A161,Щиты[Щит],Щиты[Iр, А]),""),IFERROR(_xlfn.IFS(BR161=1,BN161/((Uн_лин/SQRT(3))*BY161),BR161=3,BN161/(SQRT(3)*Uн_лин*BY161)),""))))</f>
        <v>0.8204451193747313</v>
      </c>
      <c r="Q161" s="7">
        <f>IF(B161="","",IFERROR(IF(VLOOKUP(AX161,Потребители_обозначение,4,FALSE)=1,VLOOKUP(AX161,Потребители_обозначение,3,FALSE)*(D161*2-1)+DS161+VLOOKUP(AZ161,Этаж_обозначение,3,FALSE)+VLOOKUP(AZ161,Этаж_обозначение,4,FALSE),VLOOKUP(AX161,Потребители_обозначение,3,FALSE)*(D161*2-1)+DS161),DS161))</f>
        <v>31</v>
      </c>
      <c r="R161" s="6">
        <f t="shared" si="247"/>
        <v>1.76</v>
      </c>
      <c r="S161" t="str">
        <f t="shared" si="248"/>
        <v>ВВГнг(А)-LS (3х2,5)</v>
      </c>
      <c r="T161" t="str">
        <f>IF(BH161="","",IF(BI161="вводной узел","узел ","")&amp;"л."&amp;(INT((BH161-1)/Столбцов_на_лист)+1)&amp;" / "&amp;(MOD(BH161-1,Столбцов_на_лист)+1))</f>
        <v>л.2 / 7</v>
      </c>
      <c r="V161">
        <v>1</v>
      </c>
      <c r="W161">
        <v>230</v>
      </c>
      <c r="X161" t="s">
        <v>564</v>
      </c>
      <c r="AC161" t="s">
        <v>815</v>
      </c>
      <c r="AE161" t="s">
        <v>563</v>
      </c>
      <c r="AI161">
        <v>24</v>
      </c>
      <c r="AJ161" t="s">
        <v>11</v>
      </c>
      <c r="AK161">
        <v>3</v>
      </c>
      <c r="AM161">
        <v>14</v>
      </c>
      <c r="AN161">
        <v>17</v>
      </c>
      <c r="AO161">
        <v>0</v>
      </c>
      <c r="AW161" cm="1">
        <f t="array" ref="AW161">ROW()-ROW(Линии[#Headers])</f>
        <v>159</v>
      </c>
      <c r="AX161" s="6" t="str">
        <f t="shared" si="249"/>
        <v>R</v>
      </c>
      <c r="AY161" t="str">
        <f t="shared" si="250"/>
        <v>00.002Т.1</v>
      </c>
      <c r="AZ161" t="str">
        <f t="shared" si="251"/>
        <v>00</v>
      </c>
      <c r="BA161" t="str">
        <f t="shared" si="252"/>
        <v>002Т.1</v>
      </c>
      <c r="BB161" t="str">
        <f t="shared" si="253"/>
        <v>002Т</v>
      </c>
      <c r="BC161" t="str">
        <f>IF(U161&lt;&gt;"",U161,IF(AND(B161&lt;&gt;"",B161&lt;&gt;A161,ISNUMBER(_xlfn.XMATCH(B161,Щиты[Щит]))),B161,""))</f>
        <v/>
      </c>
      <c r="BD161" t="str" cm="1">
        <f t="array" ref="BD161">IF(B161="","",IF(BC161&lt;&gt;"","Щит "&amp;BC161,_xlfn.LET(_xlpm.nm,IFERROR(_xlfn.XLOOKUP(AX161,Коды_код,Коды_имя)&amp;"",""),_xlpm.md,IFERROR(N(_xlfn.XLOOKUP(AX161,Коды_код,Коды_режим)),1),_xlpm.ex,IF(Имя_режим="по экспликации",IFERROR(_xlfn.XLOOKUP(AZ161&amp;"|"&amp;BB161,Экспликация[Этаж]&amp;"|"&amp;Экспликация[Помещение],Экспликация[Название])&amp;"",""),""),_xlpm.rm,IF(BB161="","",IF(_xlpm.ex&lt;&gt;"",". "&amp;_xlpm.ex&amp;IF(Имя_пом="нет"," ("&amp;BB161&amp;")"," (пом. "&amp;BB161&amp;")"),IF(Имя_пом="нет"," ",", пом. ")&amp;BB161)),IF(_xlpm.nm="","",IF(_xlpm.md=2,_xlpm.nm&amp;" шлейф "&amp;AZ161,_xlpm.nm&amp;_xlpm.rm)))))</f>
        <v>Розеточная группа, пом. 002Т</v>
      </c>
      <c r="BE161" t="str">
        <f t="shared" si="254"/>
        <v>Розеточная группа, пом. 002Т</v>
      </c>
      <c r="BF161">
        <f>IFERROR(_xlfn.XMATCH(A161,Щиты[Щит]),0)</f>
        <v>8</v>
      </c>
      <c r="BG161">
        <f>_xlfn.LET(_xlpm.k,IFERROR(_xlfn.XLOOKUP(A161,Щиты[Щит],Щиты[Листов под вводной узел]),""),IF(_xlpm.k="",1,N(_xlpm.k))*Столбцов_на_лист)</f>
        <v>17</v>
      </c>
      <c r="BH161">
        <f t="shared" si="255"/>
        <v>24</v>
      </c>
      <c r="BI161" t="str">
        <f t="shared" si="256"/>
        <v>линии</v>
      </c>
      <c r="BJ161" s="6">
        <f>IFERROR(N(_xlfn.XLOOKUP(AX161,Коды_код,Коды_квт)),0)</f>
        <v>0</v>
      </c>
      <c r="BK161">
        <f t="shared" si="257"/>
        <v>0</v>
      </c>
      <c r="BL161" t="str">
        <f>IF(B161="","",IF(BC161&lt;&gt;"",IFERROR(_xlfn.XLOOKUP(BC161,Щиты[Щит],Щиты[Руст, кВт]),0),IF(BK161=1,IFERROR(_xlfn.XLOOKUP(A161,Щиты[Щит],Щиты[Руст, кВт]),0),IF(BJ161&gt;0,ROUND(BJ161*MAX(1,N(D161)),3),""))))</f>
        <v/>
      </c>
      <c r="BM161">
        <f t="shared" si="258"/>
        <v>0.18</v>
      </c>
      <c r="BN161" s="6">
        <f>IF(B161="","",IF(BC161&lt;&gt;"",IFERROR(_xlfn.XLOOKUP(BC161,Щиты[Щит],Щиты[Руст, кВт]),0),N(BM161)))</f>
        <v>0.18</v>
      </c>
      <c r="BO161" t="str">
        <f>IF(B161="","",IFERROR(IF(VLOOKUP(AX161,Потребители_обозначение,8,FALSE)=0,"",VLOOKUP(AX161,Потребители_обозначение,8,FALSE)),""))</f>
        <v/>
      </c>
      <c r="BP161">
        <f t="shared" si="259"/>
        <v>230</v>
      </c>
      <c r="BQ161">
        <f>IF(B161="","",IF(BC161&lt;&gt;"",3,IFERROR(IF(N(VLOOKUP(AX161,Потребители_обозначение,9,FALSE))=0,1,VLOOKUP(AX161,Потребители_обозначение,9,FALSE)),1)))</f>
        <v>1</v>
      </c>
      <c r="BR161">
        <f t="shared" si="260"/>
        <v>1</v>
      </c>
      <c r="BS161" t="str">
        <f>IF(B161="","",_xlfn.LET(_xlpm.bc,IFERROR(IF(VLOOKUP(AX161,Потребители_обозначение,6,FALSE)=0,"",VLOOKUP(AX161,Потребители_обозначение,6,FALSE)&amp;""),""),IF(AND(FK161="да",OR(_xlpm.bc="",_xlpm.bc="мс")),Марка_пож,IF(AND(_xlpm.bc="",BC161&lt;&gt;""),"мс",_xlpm.bc))))</f>
        <v/>
      </c>
      <c r="BT161" t="str">
        <f t="shared" si="261"/>
        <v>мс</v>
      </c>
      <c r="BU161">
        <f>IF(B161="","",_xlfn.LET(_xlpm.cc,IFERROR(N(VLOOKUP(AX161,Потребители_обозначение,7,FALSE)),0),IF(_xlpm.cc&gt;0,_xlpm.cc,IF(BT161="","",IF(N(BR161)=3,5,3)))))</f>
        <v>3</v>
      </c>
      <c r="BV161">
        <f t="shared" si="262"/>
        <v>3</v>
      </c>
      <c r="BW161">
        <f>IFERROR(N(VLOOKUP(AX161,Потребители_обозначение,10,FALSE)),0)</f>
        <v>0</v>
      </c>
      <c r="BX161">
        <f>IFERROR(VLOOKUP(AX161,Потребители_обозначение,5,FALSE),0)</f>
        <v>1</v>
      </c>
      <c r="BY161" s="6" cm="1">
        <f t="array" ref="BY161">IF(B161="","",IF(BC161&lt;&gt;"",IFERROR(_xlfn.XLOOKUP(BC161,Щиты[Щит],Щиты[cos φ]),0.95),IF(BK161=1,IFERROR(_xlfn.XLOOKUP(A161,Щиты[Щит],Щиты[cos φ]),0.95),IF(ISNUMBER(Z161),Z161,IFERROR(IF(BX161=2,_xlfn.IFS(BR161=3,VLOOKUP(BN161,Справочная_двигатели,8,FALSE),BR161=1,VLOOKUP(BN161,Справочная_двигатели,10,TRUE)),IF(AND(Методика="нормы 2026",EQ161="Сил"),0.8,0.95)),0.95)))))</f>
        <v>0.95</v>
      </c>
      <c r="BZ161">
        <f t="shared" si="263"/>
        <v>0</v>
      </c>
      <c r="CA161">
        <f t="shared" si="264"/>
        <v>1</v>
      </c>
      <c r="CB161">
        <f t="shared" si="265"/>
        <v>0</v>
      </c>
      <c r="CC161">
        <f t="shared" si="266"/>
        <v>0</v>
      </c>
      <c r="CD161">
        <f t="shared" si="267"/>
        <v>0</v>
      </c>
      <c r="CE161">
        <f t="shared" si="268"/>
        <v>0</v>
      </c>
      <c r="CF161">
        <f t="shared" si="269"/>
        <v>0</v>
      </c>
      <c r="CG161">
        <f>IF(AX161="",0,_xlfn.LET(_xlpm.v,IFERROR(VLOOKUP(B161,УГО_спр,3,FALSE),IFERROR(VLOOKUP(AX161,УГО_спр,3,FALSE),IFERROR(VLOOKUP(LEFT(AX161,2),УГО_спр,3,FALSE),""))),IF(_xlpm.v="да",30,IF(ISNUMBER(_xlpm.v),_xlpm.v,0))))</f>
        <v>30</v>
      </c>
      <c r="CH161">
        <f t="shared" si="270"/>
        <v>30</v>
      </c>
      <c r="CI161" t="str">
        <f>_xlfn.LET(_xlpm.k,IFERROR(_xlfn.XLOOKUP(AX161,Коды_код,Коды_утечка)&amp;"",""),IF(_xlpm.k="","дифавтомат",_xlpm.k))</f>
        <v>дифавтомат</v>
      </c>
      <c r="CJ161">
        <f t="shared" si="271"/>
        <v>30</v>
      </c>
      <c r="CK161">
        <f t="shared" si="272"/>
        <v>30</v>
      </c>
      <c r="CL161">
        <f>IF(B161="",0,IFERROR(--VLOOKUP(B161,УГО_спр,4,FALSE),IFERROR(--VLOOKUP(AX161,УГО_спр,4,FALSE),IFERROR(--VLOOKUP(LEFT(AX161,2),УГО_спр,4,FALSE),0))))</f>
        <v>16</v>
      </c>
      <c r="CM161" t="str">
        <f>IF(B161="","",IFERROR(_xlfn.XLOOKUP(AX161,Коды_код,Коды_апп)&amp;"",""))</f>
        <v/>
      </c>
      <c r="CN161" t="str">
        <f t="shared" si="273"/>
        <v/>
      </c>
      <c r="CO161" t="str" cm="1">
        <f t="array" ref="CO161">IF(TRIM(CN161&amp;"")="","",IFERROR(TRIM(INDEX(_xlfn.TEXTSPLIT(CN161&amp;";;;",";"),1)),""))</f>
        <v/>
      </c>
      <c r="CP161" t="str" cm="1">
        <f t="array" ref="CP161">IF(TRIM(CN161&amp;"")="","",IFERROR(TRIM(INDEX(_xlfn.TEXTSPLIT(CN161&amp;";;;",";"),2)),""))</f>
        <v/>
      </c>
      <c r="CQ161" t="str" cm="1">
        <f t="array" ref="CQ161">IF(TRIM(CN161&amp;"")="","",IFERROR(TRIM(INDEX(_xlfn.TEXTSPLIT(CN161&amp;";;;",";"),3)),""))</f>
        <v/>
      </c>
      <c r="CR161">
        <f t="shared" si="274"/>
        <v>0</v>
      </c>
      <c r="CS161" t="str">
        <f>IF(B161="","",_xlfn.LET(_xlpm.t,LOWER(AV161&amp;""),IF(ISNUMBER(SEARCH("dim",_xlpm.t)),"DIM",IF(ISNUMBER(SEARCH("dali",_xlpm.t)),"DALI",IF(OR(ISNUMBER(SEARCH("relay",_xlpm.t)),ISNUMBER(SEARCH("реле",_xlpm.t))),"Relay",IF(ISNUMBER(SEARCH("кнопк",_xlpm.t)),"",IFERROR(_xlfn.XLOOKUP(AX161,Коды_код,Коды_упр)&amp;"","")))))))</f>
        <v/>
      </c>
      <c r="CT161" t="str">
        <f t="shared" si="275"/>
        <v/>
      </c>
      <c r="CU161">
        <f>IF(B161="","",_xlfn.LET(_xlpm.ig,N(P161)+IF(AF161="вручную",0,N(CB161)),_xlpm.n0,IFERROR(VLOOKUP(_xlpm.ig,Автомат_номиналы,2,TRUE),0),_xlpm.mn,MAX(CL161,IF(AF161="вручную",0,N(CE161))),MAX(_xlpm.n0,_xlpm.mn,IF(CR161=1,Мин_автомат_БП,0))))</f>
        <v>16</v>
      </c>
      <c r="CV161">
        <f t="shared" si="276"/>
        <v>1</v>
      </c>
      <c r="CW161" t="str">
        <f t="shared" si="277"/>
        <v>2P</v>
      </c>
      <c r="CX161" t="str">
        <f>_xlfn.LET(_xlpm.cc,UPPER(TRIM(IFERROR(_xlfn.XLOOKUP(AX161,Коды_код,Коды_хар)&amp;"",""))),IF(OR(_xlpm.cc="B",_xlpm.cc="В"),"B",IF(_xlpm.cc="D","D","С")))</f>
        <v>С</v>
      </c>
      <c r="CY161" t="str">
        <f t="shared" si="278"/>
        <v>2P С16А 30мА</v>
      </c>
      <c r="CZ161">
        <f t="shared" si="279"/>
        <v>16</v>
      </c>
      <c r="DA161" t="str">
        <f t="shared" si="280"/>
        <v>2P С16А 30мА</v>
      </c>
      <c r="DB161" cm="1">
        <f t="array" ref="DB161">IF(DA161="","",_xlfn.LET(_xlpm.t,SUBSTITUTE(SUBSTITUTE(SUBSTITUTE(UPPER(DA161),"С","C"),"А","A"),"В","B"),_xlpm.tk,_xlfn.TEXTSPLIT(_xlpm.t,"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1" t="str">
        <f t="shared" si="281"/>
        <v>ok</v>
      </c>
      <c r="DD161">
        <f t="shared" si="282"/>
        <v>16</v>
      </c>
      <c r="DE161" t="str">
        <f t="shared" si="283"/>
        <v>2P С16А 30мА</v>
      </c>
      <c r="DF161">
        <f t="shared" si="284"/>
        <v>30</v>
      </c>
      <c r="DG161">
        <f t="shared" si="285"/>
        <v>1</v>
      </c>
      <c r="DH161">
        <f t="shared" si="286"/>
        <v>0</v>
      </c>
      <c r="DI161">
        <f t="shared" si="287"/>
        <v>0.8204451193747313</v>
      </c>
      <c r="DJ161">
        <f t="shared" si="288"/>
        <v>1</v>
      </c>
      <c r="DK161">
        <f>IF(ISNUMBER(AL161),AL161,К_прокл)</f>
        <v>1</v>
      </c>
      <c r="DL161">
        <f t="shared" si="289"/>
        <v>2</v>
      </c>
      <c r="DM161">
        <f>IFERROR(N(VLOOKUP(BT161,Кабель_обозначение,3,FALSE)),1)</f>
        <v>1</v>
      </c>
      <c r="DN161">
        <f>IFERROR(N(_xlfn.XLOOKUP(A161,Щиты[Щит],Щиты[ΔU до шин, %])),0)</f>
        <v>1.57</v>
      </c>
      <c r="DO161" t="str">
        <f>IFERROR(_xlfn.XLOOKUP(A161,Щиты[Щит],Щиты[Zпетли на шинах, Ом]),"")</f>
        <v/>
      </c>
      <c r="DP161">
        <f>IFERROR(N(_xlfn.XLOOKUP(A161,Щиты[Щит],Щиты[ΔU до шин (подбор), %])),0)</f>
        <v>2.5</v>
      </c>
      <c r="DQ161" t="str">
        <f>IFERROR(_xlfn.XLOOKUP(A161,Щиты[Щит],Щиты[Zпетли на шинах (подбор), Ом]),"")</f>
        <v/>
      </c>
      <c r="DR161" t="str">
        <f t="shared" si="290"/>
        <v/>
      </c>
      <c r="DS161">
        <f t="shared" si="291"/>
        <v>22</v>
      </c>
      <c r="DT161">
        <f t="shared" si="292"/>
        <v>2</v>
      </c>
      <c r="DU161">
        <f t="shared" si="293"/>
        <v>0.31</v>
      </c>
      <c r="DV161" s="6">
        <f>IF(B161="","",IF(IFERROR(VLOOKUP(AX161,УГО_спр,2,FALSE),"")="Светильник",3,4)+IF(Методика="нормы 2026",MIN(0.5,MAX(0,N(Q161)-100)*0.005),0))</f>
        <v>4</v>
      </c>
      <c r="DW161" cm="1">
        <f t="array" ref="DW161">IF(OR(B161="",BT161="",DM161&lt;&gt;1),"",_xlfn.LET(_xlpm.sz,Iдоп_S,_xlpm.t_,CHOOSE(DL161,Iдоп_1ж,Iдоп_2ж,Iдоп_3ж)*DJ161*DK161,_xlpm.inn,N(DD161),_xlpm.smin,MAX(1.5,BW161),_xlpm.L_,N(Q161)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161)*(_xlpm.rho*_xlpm.L_/_xlpm.sz*N(BY161)+_xlpm.xx*_xlpm.L_*N(DU161)/1000)*N(P161)/((Uн_лин/SQRT(3))*1000)*100,999),_xlpm.kz,IF(OR(DG161=1,NOT(ISNUMBER(DQ161)),_xlpm.L_=0,_xlpm.inn=0),1,IFERROR(--(c_min*(Uн_лин*1000/SQRT(3))/(DQ161+2*ρкз_Cu*_xlpm.L_/_xlpm.sz)&gt;=GY161*_xlpm.inn),0)),_xlpm.ok,IFERROR((_xlpm.sz&gt;=_xlpm.smin)*(_xlpm.t_&gt;=_xlpm.inn)*IF(_xlpm.L_&gt;0,(_xlpm.du_+DP161&lt;=DV161+0.00001),1)*_xlpm.kz,0),_xlpm.r_,_xlfn._xlws.FILTER(_xlpm.sz,_xlpm.ok,"не подобрано"),INDEX(_xlpm.r_,1)))</f>
        <v>1.5</v>
      </c>
      <c r="DX161">
        <f t="shared" si="294"/>
        <v>2.5</v>
      </c>
      <c r="DY161" cm="1">
        <f t="array" ref="DY161">IF(OR(B161="",BT161="",DM161&lt;&gt;1),"",_xlfn.LET(_xlpm.sz,Iдоп_S,_xlpm.t_,CHOOSE(DL161,Iдоп_1ж,Iдоп_2ж,Iдоп_3ж)*DJ161*DK161,_xlpm.ok,IFERROR((_xlpm.sz&gt;=MAX(1.5,BW161))*(_xlpm.t_&gt;=N(DD161)),0),_xlpm.r_,_xlfn._xlws.FILTER(_xlpm.sz,_xlpm.ok,""),INDEX(_xlpm.r_,1)))</f>
        <v>1.5</v>
      </c>
      <c r="DZ161" s="6" cm="1">
        <f t="array" ref="DZ161">IFERROR(ROUNDUP(N(DT161)*(_xlfn.XLOOKUP(DY161,INDEX(Кабель_сопротивление,0,1),INDEX(Кабель_сопротивление,0,3))*N(Q161)/DY161*N(BY161)+_xlfn.XLOOKUP(DY161,INDEX(Кабель_сопротивление,0,1),INDEX(Кабель_сопротивление,0,2))*N(Q161)*N(DU161)/1000)*N(P161)/((Uн_лин/SQRT(3))*1000)*100,2),"")</f>
        <v>0.32</v>
      </c>
      <c r="EA161">
        <f>IFERROR(2*ρкз_Cu*N(Q161)/DY161,"")</f>
        <v>1.0870666666666666</v>
      </c>
      <c r="EB161">
        <f>IFERROR(VLOOKUP(DX161,Кабель_сопротивление,3,FALSE),"")</f>
        <v>2.2499999999999999E-2</v>
      </c>
      <c r="EC161">
        <f>IFERROR(VLOOKUP(DX161,Кабель_сопротивление,2,FALSE),"")</f>
        <v>0.1</v>
      </c>
      <c r="ED161">
        <f t="shared" si="295"/>
        <v>17</v>
      </c>
      <c r="EE161">
        <f t="shared" si="296"/>
        <v>0</v>
      </c>
      <c r="EF161">
        <f t="shared" si="297"/>
        <v>0.43649485329998328</v>
      </c>
      <c r="EG161" s="6">
        <f>IFERROR(ROUNDUP(EF161/((Uн_лин/SQRT(3))*1000)*100,2),"")</f>
        <v>0.19</v>
      </c>
      <c r="EH161" t="str">
        <f>IFERROR(VLOOKUP(BT161,Кабель_обозначение,2,FALSE),"")</f>
        <v>ВВГнг(А)-LS</v>
      </c>
      <c r="EI161" t="str">
        <f t="shared" si="298"/>
        <v>ВВГнг(А)-LS (3х2,5)</v>
      </c>
      <c r="EJ161" t="str">
        <f t="shared" si="299"/>
        <v>ВВГнг(А)-LS (3х2,5)
L=31-0,19%</v>
      </c>
      <c r="EK161">
        <f>IFERROR(2*ρкз_Cu*Q161/DX161,"")</f>
        <v>0.65224000000000004</v>
      </c>
      <c r="EL161">
        <f t="shared" si="300"/>
        <v>0.21700000000000003</v>
      </c>
      <c r="EM161" s="6" t="str">
        <f>IFERROR(IF(OR(B161="",NOT(ISNUMBER(DX161)),N(Q161)=0),"",_xlfn.XLOOKUP(A161,Щиты[Щит],Щиты[Zпетли на шинах, Ом])+EK161),"")</f>
        <v/>
      </c>
      <c r="EN161" s="6" t="str">
        <f>IF(ISNUMBER(EM161),c_min*(Uн_лин*1000/SQRT(3))/EM161,"")</f>
        <v/>
      </c>
      <c r="EO161" s="6" t="str">
        <f>IFERROR(IF(OR(B161="",NOT(ISNUMBER(DX161))),"",1.05*(Uн_лин*1000/SQRT(3))/(_xlfn.XLOOKUP(A161,Щиты[Щит],Щиты[Zmax на шинах, Ом])+EL161)/1000),"")</f>
        <v/>
      </c>
      <c r="EP161" s="6" t="str">
        <f>IF(B161="","",IF(ISNUMBER(Y161),"Сил",IF(IFERROR(_xlfn.XLOOKUP(AX161,Коды_код,Коды_группа)&amp;"","")="","Быт",_xlfn.XLOOKUP(AX161,Коды_код,Коды_группа)&amp;"")))</f>
        <v>Быт</v>
      </c>
      <c r="EQ161" s="6" t="str">
        <f t="shared" si="301"/>
        <v>Быт</v>
      </c>
      <c r="ER161" s="6">
        <f>IF(EQ161="Щит","щит",IF(EQ161="","",IF(EQ161="Быт",IFERROR(_xlfn.XLOOKUP(A161,Щиты[Щит],Щиты[Кс быт]),1),IF(EQ161="Сил",IF(ISNUMBER(Y161),Y161,IF(Методика="нормы 2026",IFERROR(_xlfn.XLOOKUP(A161,Щиты[Щит],Щиты[Кс силовых (табл. 7.5)]),1),1)),IF(OR(EQ161="Пост",EQ161="Отоп"),1,IF(EQ161="ВНГ",0.7,0))))))</f>
        <v>0.8</v>
      </c>
      <c r="ES161">
        <f t="shared" si="302"/>
        <v>1</v>
      </c>
      <c r="ET161">
        <f t="shared" si="303"/>
        <v>0.18</v>
      </c>
      <c r="EU161">
        <f t="shared" si="304"/>
        <v>0.18</v>
      </c>
      <c r="EV161">
        <f t="shared" si="305"/>
        <v>0</v>
      </c>
      <c r="EW161">
        <f t="shared" si="306"/>
        <v>0</v>
      </c>
      <c r="EX161">
        <f t="shared" si="307"/>
        <v>0</v>
      </c>
      <c r="EY161">
        <f t="shared" si="308"/>
        <v>0</v>
      </c>
      <c r="EZ161">
        <f t="shared" si="309"/>
        <v>0.18</v>
      </c>
      <c r="FA161">
        <f t="shared" si="310"/>
        <v>0.17099999999999999</v>
      </c>
      <c r="FB161">
        <f t="shared" si="311"/>
        <v>0.18</v>
      </c>
      <c r="FC161" t="str">
        <f t="shared" si="312"/>
        <v>L1</v>
      </c>
      <c r="FD161" t="str">
        <f>IF(B161="","",IF(CA161=0,IF(AW161=1,"",FF160),IF(OR(N(CV161)&gt;=3,N(BR161)&gt;=3),"L1,L2,L3",IFERROR(_xlfn.TEXTBEFORE(_xlfn.TEXTAFTER(_xlfn.XLOOKUP(A161,Щиты[Щит],Щиты[_фазы авто]),";"&amp;AW161&amp;":"),";"),"L1"))))</f>
        <v>L1</v>
      </c>
      <c r="FE161" t="str">
        <f t="shared" si="313"/>
        <v>L1</v>
      </c>
      <c r="FF161" t="str">
        <f t="shared" si="314"/>
        <v>L1</v>
      </c>
      <c r="FG161" cm="1">
        <f t="array" ref="FG161">IFERROR(IF(BX161=2,_xlfn.IFS(BR161=3,VLOOKUP(BN161,Справочная_двигатели,3,FALSE),BR161=1,VLOOKUP(BN161,Справочная_двигатели,5,TRUE)),0),0)</f>
        <v>0</v>
      </c>
      <c r="FH161">
        <f>IFERROR(IF(BX161=3,VLOOKUP(BN161,Справочная_ЛЭД,2,TRUE),0),0)</f>
        <v>0</v>
      </c>
      <c r="FI161" s="6">
        <f t="shared" si="315"/>
        <v>0</v>
      </c>
      <c r="FJ161" t="str" cm="1">
        <f t="array" ref="FJ161">IF(B161="","",IFERROR(INDEX({"I особая","I","II","III"},MATCH(TRIM(AC161&amp;""),{"I особая","I","II","III"},0)),"III"))</f>
        <v>II</v>
      </c>
      <c r="FK161" t="str">
        <f>IF(B161="","",IF(TRIM(AD161&amp;"")&lt;&gt;"",IF(LOWER(TRIM(AD161&amp;""))="да","да","нет"),IF(IFERROR(_xlfn.XLOOKUP(AX161,Коды_код,Коды_пожарная),"")="да","да","нет")))</f>
        <v>нет</v>
      </c>
      <c r="FL161" t="str">
        <f t="shared" si="316"/>
        <v/>
      </c>
      <c r="FM161" t="str">
        <f t="shared" si="317"/>
        <v>основная</v>
      </c>
      <c r="FN161">
        <f t="shared" si="318"/>
        <v>1</v>
      </c>
      <c r="FO161" t="str" cm="1">
        <f t="array" ref="FO161">IF(B161="","",_xlfn.LET(_xlpm.t,IFERROR(_xlfn.XLOOKUP(1,(Шины[Шина]=FM161)*(((Шины[Щит]=A161)+(Шины[Щит]=""))&gt;0),Шины[Тип]),"")&amp;"",IF(_xlpm.t&lt;&gt;"",_xlpm.t,IF(ISNUMBER(SEARCH("ИБП",FM161)),"ИБП",IF(ISNUMBER(SEARCH("ДГУ",FM161)),"ДГУ","Ввод "&amp;FN161)))))</f>
        <v>Ввод 1</v>
      </c>
      <c r="FP161" t="str">
        <f t="shared" si="319"/>
        <v>Ввод 1</v>
      </c>
      <c r="FQ161" t="str">
        <f>IF(B161="","",IF(OR(FO161="ИБП",FO161="ДГУ"),"I особая",IF(FO161="Одиночная","III",_xlfn.XLOOKUP(A161,Щиты[Щит],Щиты[Категория шины «Ввод»],"III"))))</f>
        <v>II</v>
      </c>
      <c r="FR161">
        <f>IF(B161="",0,IFERROR(MATCH(FJ161,{"III","II","I","I особая"},0),1))</f>
        <v>2</v>
      </c>
      <c r="FS161">
        <f t="shared" si="320"/>
        <v>2</v>
      </c>
      <c r="FT161" t="str">
        <f>IF(B161="","",IF(FR161&gt;IFERROR(MATCH(FQ161,{"III","II","I","I особая"},0),1),"НЕ ОБЕСПЕЧЕНА","ОК"))</f>
        <v>ОК</v>
      </c>
      <c r="FU161" t="str">
        <f>IF(A161="","",_xlfn.XLOOKUP(A161,Щиты[Щит],Щиты[Путь],""))</f>
        <v>|ГРЩ-ЖД|ЩР-001|</v>
      </c>
      <c r="FV161" t="str">
        <f>IF(B161="","",IF(AE161&lt;&gt;"",AE161,IF(IFERROR(_xlfn.XLOOKUP(AX161,Коды_код,Коды_вид)&amp;"","")="","Прочее",_xlfn.XLOOKUP(AX161,Коды_код,Коды_вид)&amp;"")))</f>
        <v>Розеточная сеть и бытовые приборы</v>
      </c>
      <c r="FW161">
        <f>IF(BH161="","",INT((BH161-1)/Столбцов_на_лист)+1)</f>
        <v>2</v>
      </c>
      <c r="FX161" t="str">
        <f t="shared" si="321"/>
        <v>ВВГнг(А)-LS (3х2,5) L=31-0,19%</v>
      </c>
      <c r="FY161">
        <f t="shared" si="322"/>
        <v>0.18</v>
      </c>
      <c r="FZ161">
        <f t="shared" si="323"/>
        <v>0.83</v>
      </c>
      <c r="GA161">
        <f t="shared" si="324"/>
        <v>1</v>
      </c>
      <c r="GB161">
        <f t="shared" si="325"/>
        <v>0</v>
      </c>
      <c r="GC161">
        <f t="shared" si="326"/>
        <v>1</v>
      </c>
      <c r="GD161">
        <f>IF(BH161="","",IF(AND(CA161=1,GC161=1),COUNTIFS(A$3:A161,A161,CA$3:CA161,1,GC$3:GC161,1),IF(OR(OR(AW161=1,A161&lt;&gt;A160),AF161="вручную",GC161=0),"",IF(AW161=1,"",GE160))))</f>
        <v>7</v>
      </c>
      <c r="GE161">
        <f t="shared" si="327"/>
        <v>7</v>
      </c>
      <c r="GF161">
        <f>IF(B161="","",IFERROR(LOOKUP(INDEX(CHOOSE(DL161,Iдоп_1ж,Iдоп_2ж,Iдоп_3ж),MATCH(DX161,Iдоп_S,0))*DJ161*DK161,{6,10,16,20,25,32,40,50,63,80,100,125,160,200,250,315,400,500,630}),""))</f>
        <v>25</v>
      </c>
      <c r="GG161" t="str">
        <f t="shared" si="328"/>
        <v>QFD7</v>
      </c>
      <c r="GH161" t="str">
        <f t="shared" si="329"/>
        <v>QFD7</v>
      </c>
      <c r="GI161" t="str">
        <f t="shared" si="330"/>
        <v/>
      </c>
      <c r="GJ161">
        <f t="shared" si="331"/>
        <v>0</v>
      </c>
      <c r="GK161" t="str">
        <f>IF(OR(AG161="",AG161="-"),"",IFERROR(VLOOKUP(AG161,Модули_спр,2,FALSE),"R"))</f>
        <v/>
      </c>
      <c r="GL161" t="str">
        <f>IF(GK161="","",GK161&amp;"."&amp;COUNTIFS(A$3:A161,A161,GK$3:GK161,GK161))</f>
        <v/>
      </c>
      <c r="GM161" t="str">
        <f t="shared" si="332"/>
        <v/>
      </c>
      <c r="GN161" t="str">
        <f t="shared" si="333"/>
        <v/>
      </c>
      <c r="GO161" t="str">
        <f t="shared" si="334"/>
        <v/>
      </c>
      <c r="GP161" t="str">
        <f t="shared" si="335"/>
        <v/>
      </c>
      <c r="GQ161">
        <f t="shared" si="336"/>
        <v>1</v>
      </c>
      <c r="GR161" t="str">
        <f>IF(GQ161=1,"XT"&amp;COUNTIFS(A$3:A161,A161,GQ$3:GQ161,1),"")</f>
        <v>XT7</v>
      </c>
      <c r="GS161" t="str">
        <f t="shared" si="337"/>
        <v>XT7</v>
      </c>
      <c r="GT161" t="str">
        <f t="shared" si="338"/>
        <v>QFD7</v>
      </c>
      <c r="GU161" t="str">
        <f t="shared" si="339"/>
        <v/>
      </c>
      <c r="GV161" t="str">
        <f t="shared" si="340"/>
        <v>ok</v>
      </c>
      <c r="GW161" t="str">
        <f>IF(OR(GO161="",GM161=""),"",IF(GO161&gt;IFERROR(VLOOKUP(GN161,Модули_спр,3,FALSE),99),"ЛИШНИЙ КАНАЛ",IF(AND(AH161&lt;&gt;"=",COUNTIFS(Линии[_модуль гр.],GM161,Линии[Канал (итог)],GO161,Линии[Канал],"&lt;&gt;=",Линии[Щит],A161)&gt;1),"ДУБЛЬ КАНАЛА","")))</f>
        <v/>
      </c>
      <c r="GX161" s="6" t="str">
        <f t="shared" si="341"/>
        <v/>
      </c>
      <c r="GY161">
        <f t="shared" si="342"/>
        <v>10</v>
      </c>
      <c r="GZ161" t="str">
        <f t="shared" si="343"/>
        <v/>
      </c>
      <c r="HA161" t="str">
        <f>IF(AND(B161="",GT161=""),"",_xlfn.TEXTJOIN("; ",TRUE,IF(AND(B161&lt;&gt;"",FE161=""),"нет фазы",""),IF(AND(B161&lt;&gt;"",N(FY161)=0,EQ161&lt;&gt;"Нет"),"нет мощности",""),IF(AND(GS161&lt;&gt;"",COUNTIFS(Линии[Щит],A161,Линии[Клемма (итог)],GS161)&gt;1),"дубль клеммы "&amp;GS161,""),IF(AND(GV161&lt;&gt;"",GV161&lt;&gt;"ok"),GV161,""),IF(GW161&lt;&gt;"",GW161,""),IF(AND(N(BV161)&gt;=4,N(BR161)=1),BV161&amp;" жил на 1 фазе",""),IF(AND(AX161="R",CA161=1,OR(N(CK161)=0,N(CK161)&gt;30)),"розетка без дифзащиты до 30 мА",""),IFERROR(IF(AND(ISNUMBER(R161),R161&gt;DV161),"потери "&amp;FIXED(R161,1)&amp;" % &gt; "&amp;DV161&amp;" %",""),""),IFERROR(IF(LEFT(GZ161,4)="мало","Iкз мало — отключение &gt; 0,4 с",""),""),IF(AND(B161&lt;&gt;"",BH161=""),"не на схеме",""),IF(AND(CA161=0,B161&lt;&gt;"",FE161&lt;&gt;"",IF(AW161=1,"",FF160)&lt;&gt;"",FE161&lt;&gt;IF(AW161=1,"",FF160)),"фаза не как у автомата группы ("&amp;IF(AW161=1,"",FF160)&amp;")","")))</f>
        <v/>
      </c>
      <c r="HB161" s="6">
        <f>IF(OR(CA161=0,DA161=""),"",_xlfn.LET(_xlpm.t,IFERROR(_xlfn.XLOOKUP(DA161,Каталог!$U$4:$U$500,Каталог!$G$4:$G$500),""),_xlpm.k,SEARCH("кА",_xlpm.t),IFERROR(--TRIM(RIGHT(SUBSTITUTE(MID(_xlpm.t,MAX(1,_xlpm.k-4),_xlpm.k-MAX(1,_xlpm.k-4))," ",REPT(" ",9)),5)),"")))</f>
        <v>6</v>
      </c>
      <c r="HC161" t="str">
        <f>IF(OR(HB161="",CA161=0),"",IF(_xlfn.XLOOKUP(A161,Щиты[Щит],Щиты[Iкз max на шинах, кА],"")="","",IF(HB161&lt;_xlfn.XLOOKUP(A161,Щиты[Щит],Щиты[Iкз max на шинах, кА]),"Icu "&amp;HB161&amp;" кА &lt; Iкз max","ok")))</f>
        <v/>
      </c>
      <c r="HD161" t="str">
        <f t="shared" si="344"/>
        <v/>
      </c>
      <c r="HE161" t="str">
        <f t="shared" si="345"/>
        <v>QFD7|XT7</v>
      </c>
      <c r="HF161" t="str">
        <f t="shared" si="346"/>
        <v>QFD7|XT7|кабель ВВГнг(А)-LS (3х2,5) → Розеточная группа, пом. 002Т</v>
      </c>
      <c r="HG161" t="str" cm="1">
        <f t="array" ref="HG161">IF(HF161="","",_xlfn.LET(_xlpm.nd,_xlfn.TEXTSPLIT(HF161,"|"),IF(COLUMNS(_xlpm.nd)&gt;1,A161&amp;"¦"&amp;INDEX(_xlpm.nd,1)&amp;"¦"&amp;INDEX(_xlpm.nd,2),"")))</f>
        <v>ЩР-001¦QFD7¦XT7</v>
      </c>
      <c r="HH161" t="str">
        <f t="shared" si="347"/>
        <v>R.00.002Т.1¦Розеточная группа, пом. 002Т</v>
      </c>
      <c r="HI161" t="str" cm="1">
        <f t="array" ref="HI161">IF(HF161="","",_xlfn.LET(_xlpm.nd,_xlfn.TEXTSPLIT(HF161,"|"),IF(COLUMNS(_xlpm.nd)&gt;2,A161&amp;"¦"&amp;INDEX(_xlpm.nd,2)&amp;"¦"&amp;INDEX(_xlpm.nd,3),"")))</f>
        <v>ЩР-001¦XT7¦кабель ВВГнг(А)-LS (3х2,5) → Розеточная группа, пом. 002Т</v>
      </c>
      <c r="HJ161" t="str">
        <f t="shared" si="348"/>
        <v>R.00.002Т.1¦Розеточная группа, пом. 002Т</v>
      </c>
      <c r="HK161" t="str" cm="1">
        <f t="array" ref="HK161">IF(HF161="","",_xlfn.LET(_xlpm.nd,_xlfn.TEXTSPLIT(HF161,"|"),IF(COLUMNS(_xlpm.nd)&gt;3,A161&amp;"¦"&amp;INDEX(_xlpm.nd,3)&amp;"¦"&amp;INDEX(_xlpm.nd,4),"")))</f>
        <v/>
      </c>
      <c r="HL161" t="str">
        <f t="shared" si="349"/>
        <v/>
      </c>
      <c r="HM161" t="str" cm="1">
        <f t="array" ref="HM161">IF(HF161="","",_xlfn.LET(_xlpm.nd,_xlfn.TEXTSPLIT(HF161,"|"),IF(COLUMNS(_xlpm.nd)&gt;4,A161&amp;"¦"&amp;INDEX(_xlpm.nd,4)&amp;"¦"&amp;INDEX(_xlpm.nd,5),"")))</f>
        <v/>
      </c>
      <c r="HN161" t="str">
        <f t="shared" si="350"/>
        <v/>
      </c>
      <c r="HO161" t="str" cm="1">
        <f t="array" ref="HO161">IF(HF161="","",_xlfn.LET(_xlpm.nd,_xlfn.TEXTSPLIT(HF161,"|"),IF(COLUMNS(_xlpm.nd)&gt;5,A161&amp;"¦"&amp;INDEX(_xlpm.nd,5)&amp;"¦"&amp;INDEX(_xlpm.nd,6),"")))</f>
        <v/>
      </c>
      <c r="HP161" t="str">
        <f t="shared" si="351"/>
        <v/>
      </c>
      <c r="HQ161" t="str" cm="1">
        <f t="array" ref="HQ161">IF(HF161="","",_xlfn.LET(_xlpm.nd,_xlfn.TEXTSPLIT(HF161,"|"),IF(COLUMNS(_xlpm.nd)&gt;6,A161&amp;"¦"&amp;INDEX(_xlpm.nd,6)&amp;"¦"&amp;INDEX(_xlpm.nd,7),"")))</f>
        <v/>
      </c>
      <c r="HR161" t="str">
        <f t="shared" si="352"/>
        <v/>
      </c>
      <c r="HS161" t="str">
        <f t="shared" si="353"/>
        <v/>
      </c>
      <c r="HT161" t="str">
        <f t="shared" si="354"/>
        <v>QFD7 → XT7</v>
      </c>
      <c r="HU161">
        <f t="shared" si="355"/>
        <v>0</v>
      </c>
      <c r="HV161">
        <f t="shared" si="356"/>
        <v>1</v>
      </c>
      <c r="HW161" t="str">
        <f t="shared" si="357"/>
        <v/>
      </c>
      <c r="HX161" t="str">
        <f t="shared" si="358"/>
        <v/>
      </c>
      <c r="HY161" t="str">
        <f t="shared" si="359"/>
        <v/>
      </c>
      <c r="HZ161" t="str">
        <f t="shared" si="360"/>
        <v/>
      </c>
      <c r="IA161" t="str">
        <f>IF(B161="","",IFERROR(VLOOKUP(B161,УГО_спр,2,FALSE),IFERROR(VLOOKUP(AX161,УГО_спр,2,FALSE),IFERROR(VLOOKUP(LEFT(AX161,2),УГО_спр,2,FALSE),""))))</f>
        <v>Розетка</v>
      </c>
      <c r="IB161" t="str">
        <f>IF(B161="","",IF(OR(IA161="",IA161=0),"BOX",IFERROR(IF(VLOOKUP(IA161,УГО_блоки,3,FALSE)&amp;""&lt;&gt;"",VLOOKUP(IA161,УГО_блоки,3,FALSE),VLOOKUP(IA161,УГО_блоки,2,FALSE)),IA161)))</f>
        <v>SOCKET</v>
      </c>
      <c r="IC161">
        <f t="shared" si="361"/>
        <v>1</v>
      </c>
      <c r="ID161" t="str">
        <f>IF(DA161="","",IF(COUNTIF(DA$3:DA161,DA161)=1,MAX(ID$2:ID160)+1,""))</f>
        <v/>
      </c>
      <c r="IE161" t="str">
        <f>IF(CO161="","",IF(COUNTIF(CO$3:CO161,CO161)+COUNTIF(CP$2:CP160,CO161)+COUNTIF(CQ$2:CQ160,CO161)=1,MAX(IE$2:IG160)+1,""))</f>
        <v/>
      </c>
      <c r="IF161" t="str">
        <f>IF(CP161="","",IF(COUNTIF(CO$3:CO161,CP161)+COUNTIF(CP$3:CP161,CP161)+COUNTIF(CQ$2:CQ160,CP161)=1,MAX(IE$2:IG160,IE161)+1,""))</f>
        <v/>
      </c>
      <c r="IG161" t="str">
        <f>IF(CQ161="","",IF(COUNTIF(CO$3:CO161,CQ161)+COUNTIF(CP$3:CP161,CQ161)+COUNTIF(CQ$3:CQ161,CQ161)=1,MAX(IE$2:IG160,IE161,IF161)+1,""))</f>
        <v/>
      </c>
      <c r="IH161" t="str">
        <f t="shared" si="362"/>
        <v>3х2,5</v>
      </c>
      <c r="II161" t="str">
        <f>IF(IH161="","",IF(COUNTIF(IH$3:IH161,IH161)=1,MAX(II$2:II160)+1,""))</f>
        <v/>
      </c>
      <c r="IJ161" t="str">
        <f>IF(GL161="","",COUNTIF(GL$3:GL161,"?*"))</f>
        <v/>
      </c>
      <c r="IK161" t="str">
        <f>IF(OR(GL161="",GN161=""),"",IF(COUNTIFS(GL$3:GL161,"?*",GN$3:GN161,GN161)=1,MAX(IK$2:IK160)+1,""))</f>
        <v/>
      </c>
      <c r="IL161">
        <f t="shared" si="363"/>
        <v>0</v>
      </c>
      <c r="IM161">
        <f>IF(B161="","",COUNTIF(B$3:B161,"?*"))</f>
        <v>159</v>
      </c>
      <c r="IN161">
        <f>IF(GQ161&lt;&gt;1,0,_xlfn.LET(_xlpm.k,MAX(IFERROR(--VLOOKUP(B161,УГО_спр,5,FALSE),0),IFERROR(--VLOOKUP(AX161,УГО_спр,5,FALSE),0),IFERROR(--VLOOKUP(LEFT(AX161,2),УГО_спр,5,FALSE),0)),IF(_xlpm.k&gt;0,_xlpm.k,IF(IFERROR(--LEFT(SUBSTITUTE(IH161,"x","х"),FIND("х",SUBSTITUTE(IH161,"x","х"))-1),3)&gt;3,Каталог!$S$9,1))))</f>
        <v>1</v>
      </c>
      <c r="IO161">
        <f t="shared" si="364"/>
        <v>0</v>
      </c>
      <c r="IP161" t="str">
        <f t="shared" si="365"/>
        <v>авто</v>
      </c>
      <c r="IQ161">
        <f t="shared" si="366"/>
        <v>30</v>
      </c>
      <c r="IR161">
        <f t="shared" si="367"/>
        <v>1</v>
      </c>
      <c r="IS161">
        <f t="shared" si="368"/>
        <v>1</v>
      </c>
    </row>
    <row r="162" spans="1:253" x14ac:dyDescent="0.3">
      <c r="A162" t="s">
        <v>755</v>
      </c>
      <c r="B162" t="s">
        <v>1429</v>
      </c>
      <c r="C162" t="str">
        <f>Линии[[#This Row],[_авто наименование]]</f>
        <v>Розеточная группа, пом. 001А</v>
      </c>
      <c r="D162">
        <v>6</v>
      </c>
      <c r="E162">
        <v>0.36</v>
      </c>
      <c r="G162">
        <v>16</v>
      </c>
      <c r="H162">
        <f>Линии[[#This Row],[_авто утечка]]</f>
        <v>30</v>
      </c>
      <c r="I162" t="str">
        <f>Линии[[#This Row],[_авто управление]]</f>
        <v/>
      </c>
      <c r="J162" t="str">
        <f>Линии[[#This Row],[_авто аппараты]]</f>
        <v/>
      </c>
      <c r="K162">
        <v>2.5</v>
      </c>
      <c r="L162">
        <v>62</v>
      </c>
      <c r="M162">
        <v>1</v>
      </c>
      <c r="N162" t="str">
        <f>Линии[[#This Row],[_авто клемма]]</f>
        <v>XT8</v>
      </c>
      <c r="O162" t="str">
        <f t="shared" si="246"/>
        <v/>
      </c>
      <c r="P162" s="6" cm="1">
        <f t="array" ref="P162">IF(B162="","",IF(BC162&lt;&gt;"",IFERROR(_xlfn.XLOOKUP(BC162,Щиты[Щит],Щиты[Iр, А]),""),IF(BK162=1,IFERROR(_xlfn.XLOOKUP(A162,Щиты[Щит],Щиты[Iр, А]),""),IFERROR(_xlfn.IFS(BR162=1,BN162/((Uн_лин/SQRT(3))*BY162),BR162=3,BN162/(SQRT(3)*Uн_лин*BY162)),""))))</f>
        <v>1.6408902387494626</v>
      </c>
      <c r="Q162" s="7">
        <f>IF(B162="","",IFERROR(IF(VLOOKUP(AX162,Потребители_обозначение,4,FALSE)=1,VLOOKUP(AX162,Потребители_обозначение,3,FALSE)*(D162*2-1)+DS162+VLOOKUP(AZ162,Этаж_обозначение,3,FALSE)+VLOOKUP(AZ162,Этаж_обозначение,4,FALSE),VLOOKUP(AX162,Потребители_обозначение,3,FALSE)*(D162*2-1)+DS162),DS162))</f>
        <v>95</v>
      </c>
      <c r="R162" s="6">
        <f t="shared" si="247"/>
        <v>2.73</v>
      </c>
      <c r="S162" t="str">
        <f t="shared" si="248"/>
        <v>ВВГнг(А)-LS (3х2,5)</v>
      </c>
      <c r="T162" t="str">
        <f>IF(BH162="","",IF(BI162="вводной узел","узел ","")&amp;"л."&amp;(INT((BH162-1)/Столбцов_на_лист)+1)&amp;" / "&amp;(MOD(BH162-1,Столбцов_на_лист)+1))</f>
        <v>л.2 / 8</v>
      </c>
      <c r="V162">
        <v>1</v>
      </c>
      <c r="W162">
        <v>230</v>
      </c>
      <c r="X162" t="s">
        <v>564</v>
      </c>
      <c r="AC162" t="s">
        <v>815</v>
      </c>
      <c r="AE162" t="s">
        <v>563</v>
      </c>
      <c r="AI162">
        <v>25</v>
      </c>
      <c r="AJ162" t="s">
        <v>11</v>
      </c>
      <c r="AK162">
        <v>3</v>
      </c>
      <c r="AM162">
        <v>46</v>
      </c>
      <c r="AN162">
        <v>49</v>
      </c>
      <c r="AO162">
        <v>0</v>
      </c>
      <c r="AW162" cm="1">
        <f t="array" ref="AW162">ROW()-ROW(Линии[#Headers])</f>
        <v>160</v>
      </c>
      <c r="AX162" s="6" t="str">
        <f t="shared" si="249"/>
        <v>R</v>
      </c>
      <c r="AY162" t="str">
        <f t="shared" si="250"/>
        <v>00.001А.1</v>
      </c>
      <c r="AZ162" t="str">
        <f t="shared" si="251"/>
        <v>00</v>
      </c>
      <c r="BA162" t="str">
        <f t="shared" si="252"/>
        <v>001А.1</v>
      </c>
      <c r="BB162" t="str">
        <f t="shared" si="253"/>
        <v>001А</v>
      </c>
      <c r="BC162" t="str">
        <f>IF(U162&lt;&gt;"",U162,IF(AND(B162&lt;&gt;"",B162&lt;&gt;A162,ISNUMBER(_xlfn.XMATCH(B162,Щиты[Щит]))),B162,""))</f>
        <v/>
      </c>
      <c r="BD162" t="str" cm="1">
        <f t="array" ref="BD162">IF(B162="","",IF(BC162&lt;&gt;"","Щит "&amp;BC162,_xlfn.LET(_xlpm.nm,IFERROR(_xlfn.XLOOKUP(AX162,Коды_код,Коды_имя)&amp;"",""),_xlpm.md,IFERROR(N(_xlfn.XLOOKUP(AX162,Коды_код,Коды_режим)),1),_xlpm.ex,IF(Имя_режим="по экспликации",IFERROR(_xlfn.XLOOKUP(AZ162&amp;"|"&amp;BB162,Экспликация[Этаж]&amp;"|"&amp;Экспликация[Помещение],Экспликация[Название])&amp;"",""),""),_xlpm.rm,IF(BB162="","",IF(_xlpm.ex&lt;&gt;"",". "&amp;_xlpm.ex&amp;IF(Имя_пом="нет"," ("&amp;BB162&amp;")"," (пом. "&amp;BB162&amp;")"),IF(Имя_пом="нет"," ",", пом. ")&amp;BB162)),IF(_xlpm.nm="","",IF(_xlpm.md=2,_xlpm.nm&amp;" шлейф "&amp;AZ162,_xlpm.nm&amp;_xlpm.rm)))))</f>
        <v>Розеточная группа, пом. 001А</v>
      </c>
      <c r="BE162" t="str">
        <f t="shared" si="254"/>
        <v>Розеточная группа, пом. 001А</v>
      </c>
      <c r="BF162">
        <f>IFERROR(_xlfn.XMATCH(A162,Щиты[Щит]),0)</f>
        <v>8</v>
      </c>
      <c r="BG162">
        <f>_xlfn.LET(_xlpm.k,IFERROR(_xlfn.XLOOKUP(A162,Щиты[Щит],Щиты[Листов под вводной узел]),""),IF(_xlpm.k="",1,N(_xlpm.k))*Столбцов_на_лист)</f>
        <v>17</v>
      </c>
      <c r="BH162">
        <f t="shared" si="255"/>
        <v>25</v>
      </c>
      <c r="BI162" t="str">
        <f t="shared" si="256"/>
        <v>линии</v>
      </c>
      <c r="BJ162" s="6">
        <f>IFERROR(N(_xlfn.XLOOKUP(AX162,Коды_код,Коды_квт)),0)</f>
        <v>0</v>
      </c>
      <c r="BK162">
        <f t="shared" si="257"/>
        <v>0</v>
      </c>
      <c r="BL162" t="str">
        <f>IF(B162="","",IF(BC162&lt;&gt;"",IFERROR(_xlfn.XLOOKUP(BC162,Щиты[Щит],Щиты[Руст, кВт]),0),IF(BK162=1,IFERROR(_xlfn.XLOOKUP(A162,Щиты[Щит],Щиты[Руст, кВт]),0),IF(BJ162&gt;0,ROUND(BJ162*MAX(1,N(D162)),3),""))))</f>
        <v/>
      </c>
      <c r="BM162">
        <f t="shared" si="258"/>
        <v>0.36</v>
      </c>
      <c r="BN162" s="6">
        <f>IF(B162="","",IF(BC162&lt;&gt;"",IFERROR(_xlfn.XLOOKUP(BC162,Щиты[Щит],Щиты[Руст, кВт]),0),N(BM162)))</f>
        <v>0.36</v>
      </c>
      <c r="BO162" t="str">
        <f>IF(B162="","",IFERROR(IF(VLOOKUP(AX162,Потребители_обозначение,8,FALSE)=0,"",VLOOKUP(AX162,Потребители_обозначение,8,FALSE)),""))</f>
        <v/>
      </c>
      <c r="BP162">
        <f t="shared" si="259"/>
        <v>230</v>
      </c>
      <c r="BQ162">
        <f>IF(B162="","",IF(BC162&lt;&gt;"",3,IFERROR(IF(N(VLOOKUP(AX162,Потребители_обозначение,9,FALSE))=0,1,VLOOKUP(AX162,Потребители_обозначение,9,FALSE)),1)))</f>
        <v>1</v>
      </c>
      <c r="BR162">
        <f t="shared" si="260"/>
        <v>1</v>
      </c>
      <c r="BS162" t="str">
        <f>IF(B162="","",_xlfn.LET(_xlpm.bc,IFERROR(IF(VLOOKUP(AX162,Потребители_обозначение,6,FALSE)=0,"",VLOOKUP(AX162,Потребители_обозначение,6,FALSE)&amp;""),""),IF(AND(FK162="да",OR(_xlpm.bc="",_xlpm.bc="мс")),Марка_пож,IF(AND(_xlpm.bc="",BC162&lt;&gt;""),"мс",_xlpm.bc))))</f>
        <v/>
      </c>
      <c r="BT162" t="str">
        <f t="shared" si="261"/>
        <v>мс</v>
      </c>
      <c r="BU162">
        <f>IF(B162="","",_xlfn.LET(_xlpm.cc,IFERROR(N(VLOOKUP(AX162,Потребители_обозначение,7,FALSE)),0),IF(_xlpm.cc&gt;0,_xlpm.cc,IF(BT162="","",IF(N(BR162)=3,5,3)))))</f>
        <v>3</v>
      </c>
      <c r="BV162">
        <f t="shared" si="262"/>
        <v>3</v>
      </c>
      <c r="BW162">
        <f>IFERROR(N(VLOOKUP(AX162,Потребители_обозначение,10,FALSE)),0)</f>
        <v>0</v>
      </c>
      <c r="BX162">
        <f>IFERROR(VLOOKUP(AX162,Потребители_обозначение,5,FALSE),0)</f>
        <v>1</v>
      </c>
      <c r="BY162" s="6" cm="1">
        <f t="array" ref="BY162">IF(B162="","",IF(BC162&lt;&gt;"",IFERROR(_xlfn.XLOOKUP(BC162,Щиты[Щит],Щиты[cos φ]),0.95),IF(BK162=1,IFERROR(_xlfn.XLOOKUP(A162,Щиты[Щит],Щиты[cos φ]),0.95),IF(ISNUMBER(Z162),Z162,IFERROR(IF(BX162=2,_xlfn.IFS(BR162=3,VLOOKUP(BN162,Справочная_двигатели,8,FALSE),BR162=1,VLOOKUP(BN162,Справочная_двигатели,10,TRUE)),IF(AND(Методика="нормы 2026",EQ162="Сил"),0.8,0.95)),0.95)))))</f>
        <v>0.95</v>
      </c>
      <c r="BZ162">
        <f t="shared" si="263"/>
        <v>0</v>
      </c>
      <c r="CA162">
        <f t="shared" si="264"/>
        <v>1</v>
      </c>
      <c r="CB162">
        <f t="shared" si="265"/>
        <v>0</v>
      </c>
      <c r="CC162">
        <f t="shared" si="266"/>
        <v>0</v>
      </c>
      <c r="CD162">
        <f t="shared" si="267"/>
        <v>0</v>
      </c>
      <c r="CE162">
        <f t="shared" si="268"/>
        <v>0</v>
      </c>
      <c r="CF162">
        <f t="shared" si="269"/>
        <v>0</v>
      </c>
      <c r="CG162">
        <f>IF(AX162="",0,_xlfn.LET(_xlpm.v,IFERROR(VLOOKUP(B162,УГО_спр,3,FALSE),IFERROR(VLOOKUP(AX162,УГО_спр,3,FALSE),IFERROR(VLOOKUP(LEFT(AX162,2),УГО_спр,3,FALSE),""))),IF(_xlpm.v="да",30,IF(ISNUMBER(_xlpm.v),_xlpm.v,0))))</f>
        <v>30</v>
      </c>
      <c r="CH162">
        <f t="shared" si="270"/>
        <v>30</v>
      </c>
      <c r="CI162" t="str">
        <f>_xlfn.LET(_xlpm.k,IFERROR(_xlfn.XLOOKUP(AX162,Коды_код,Коды_утечка)&amp;"",""),IF(_xlpm.k="","дифавтомат",_xlpm.k))</f>
        <v>дифавтомат</v>
      </c>
      <c r="CJ162">
        <f t="shared" si="271"/>
        <v>30</v>
      </c>
      <c r="CK162">
        <f t="shared" si="272"/>
        <v>30</v>
      </c>
      <c r="CL162">
        <f>IF(B162="",0,IFERROR(--VLOOKUP(B162,УГО_спр,4,FALSE),IFERROR(--VLOOKUP(AX162,УГО_спр,4,FALSE),IFERROR(--VLOOKUP(LEFT(AX162,2),УГО_спр,4,FALSE),0))))</f>
        <v>16</v>
      </c>
      <c r="CM162" t="str">
        <f>IF(B162="","",IFERROR(_xlfn.XLOOKUP(AX162,Коды_код,Коды_апп)&amp;"",""))</f>
        <v/>
      </c>
      <c r="CN162" t="str">
        <f t="shared" si="273"/>
        <v/>
      </c>
      <c r="CO162" t="str" cm="1">
        <f t="array" ref="CO162">IF(TRIM(CN162&amp;"")="","",IFERROR(TRIM(INDEX(_xlfn.TEXTSPLIT(CN162&amp;";;;",";"),1)),""))</f>
        <v/>
      </c>
      <c r="CP162" t="str" cm="1">
        <f t="array" ref="CP162">IF(TRIM(CN162&amp;"")="","",IFERROR(TRIM(INDEX(_xlfn.TEXTSPLIT(CN162&amp;";;;",";"),2)),""))</f>
        <v/>
      </c>
      <c r="CQ162" t="str" cm="1">
        <f t="array" ref="CQ162">IF(TRIM(CN162&amp;"")="","",IFERROR(TRIM(INDEX(_xlfn.TEXTSPLIT(CN162&amp;";;;",";"),3)),""))</f>
        <v/>
      </c>
      <c r="CR162">
        <f t="shared" si="274"/>
        <v>0</v>
      </c>
      <c r="CS162" t="str">
        <f>IF(B162="","",_xlfn.LET(_xlpm.t,LOWER(AV162&amp;""),IF(ISNUMBER(SEARCH("dim",_xlpm.t)),"DIM",IF(ISNUMBER(SEARCH("dali",_xlpm.t)),"DALI",IF(OR(ISNUMBER(SEARCH("relay",_xlpm.t)),ISNUMBER(SEARCH("реле",_xlpm.t))),"Relay",IF(ISNUMBER(SEARCH("кнопк",_xlpm.t)),"",IFERROR(_xlfn.XLOOKUP(AX162,Коды_код,Коды_упр)&amp;"","")))))))</f>
        <v/>
      </c>
      <c r="CT162" t="str">
        <f t="shared" si="275"/>
        <v/>
      </c>
      <c r="CU162">
        <f>IF(B162="","",_xlfn.LET(_xlpm.ig,N(P162)+IF(AF162="вручную",0,N(CB162)),_xlpm.n0,IFERROR(VLOOKUP(_xlpm.ig,Автомат_номиналы,2,TRUE),0),_xlpm.mn,MAX(CL162,IF(AF162="вручную",0,N(CE162))),MAX(_xlpm.n0,_xlpm.mn,IF(CR162=1,Мин_автомат_БП,0))))</f>
        <v>16</v>
      </c>
      <c r="CV162">
        <f t="shared" si="276"/>
        <v>1</v>
      </c>
      <c r="CW162" t="str">
        <f t="shared" si="277"/>
        <v>2P</v>
      </c>
      <c r="CX162" t="str">
        <f>_xlfn.LET(_xlpm.cc,UPPER(TRIM(IFERROR(_xlfn.XLOOKUP(AX162,Коды_код,Коды_хар)&amp;"",""))),IF(OR(_xlpm.cc="B",_xlpm.cc="В"),"B",IF(_xlpm.cc="D","D","С")))</f>
        <v>С</v>
      </c>
      <c r="CY162" t="str">
        <f t="shared" si="278"/>
        <v>2P С16А 30мА</v>
      </c>
      <c r="CZ162">
        <f t="shared" si="279"/>
        <v>16</v>
      </c>
      <c r="DA162" t="str">
        <f t="shared" si="280"/>
        <v>2P С16А 30мА</v>
      </c>
      <c r="DB162" cm="1">
        <f t="array" ref="DB162">IF(DA162="","",_xlfn.LET(_xlpm.t,SUBSTITUTE(SUBSTITUTE(SUBSTITUTE(UPPER(DA162),"С","C"),"А","A"),"В","B"),_xlpm.tk,_xlfn.TEXTSPLIT(_xlpm.t,"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2" t="str">
        <f t="shared" si="281"/>
        <v>ok</v>
      </c>
      <c r="DD162">
        <f t="shared" si="282"/>
        <v>16</v>
      </c>
      <c r="DE162" t="str">
        <f t="shared" si="283"/>
        <v>2P С16А 30мА</v>
      </c>
      <c r="DF162">
        <f t="shared" si="284"/>
        <v>30</v>
      </c>
      <c r="DG162">
        <f t="shared" si="285"/>
        <v>1</v>
      </c>
      <c r="DH162">
        <f t="shared" si="286"/>
        <v>0</v>
      </c>
      <c r="DI162">
        <f t="shared" si="287"/>
        <v>1.6408902387494626</v>
      </c>
      <c r="DJ162">
        <f t="shared" si="288"/>
        <v>1</v>
      </c>
      <c r="DK162">
        <f>IF(ISNUMBER(AL162),AL162,К_прокл)</f>
        <v>1</v>
      </c>
      <c r="DL162">
        <f t="shared" si="289"/>
        <v>2</v>
      </c>
      <c r="DM162">
        <f>IFERROR(N(VLOOKUP(BT162,Кабель_обозначение,3,FALSE)),1)</f>
        <v>1</v>
      </c>
      <c r="DN162">
        <f>IFERROR(N(_xlfn.XLOOKUP(A162,Щиты[Щит],Щиты[ΔU до шин, %])),0)</f>
        <v>1.57</v>
      </c>
      <c r="DO162" t="str">
        <f>IFERROR(_xlfn.XLOOKUP(A162,Щиты[Щит],Щиты[Zпетли на шинах, Ом]),"")</f>
        <v/>
      </c>
      <c r="DP162">
        <f>IFERROR(N(_xlfn.XLOOKUP(A162,Щиты[Щит],Щиты[ΔU до шин (подбор), %])),0)</f>
        <v>2.5</v>
      </c>
      <c r="DQ162" t="str">
        <f>IFERROR(_xlfn.XLOOKUP(A162,Щиты[Щит],Щиты[Zпетли на шинах (подбор), Ом]),"")</f>
        <v/>
      </c>
      <c r="DR162" t="str">
        <f t="shared" si="290"/>
        <v/>
      </c>
      <c r="DS162">
        <f t="shared" si="291"/>
        <v>62</v>
      </c>
      <c r="DT162">
        <f t="shared" si="292"/>
        <v>2</v>
      </c>
      <c r="DU162">
        <f t="shared" si="293"/>
        <v>0.31</v>
      </c>
      <c r="DV162" s="6">
        <f>IF(B162="","",IF(IFERROR(VLOOKUP(AX162,УГО_спр,2,FALSE),"")="Светильник",3,4)+IF(Методика="нормы 2026",MIN(0.5,MAX(0,N(Q162)-100)*0.005),0))</f>
        <v>4</v>
      </c>
      <c r="DW162" cm="1">
        <f t="array" ref="DW162">IF(OR(B162="",BT162="",DM162&lt;&gt;1),"",_xlfn.LET(_xlpm.sz,Iдоп_S,_xlpm.t_,CHOOSE(DL162,Iдоп_1ж,Iдоп_2ж,Iдоп_3ж)*DJ162*DK162,_xlpm.inn,N(DD162),_xlpm.smin,MAX(1.5,BW162),_xlpm.L_,N(Q162)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162)*(_xlpm.rho*_xlpm.L_/_xlpm.sz*N(BY162)+_xlpm.xx*_xlpm.L_*N(DU162)/1000)*N(P162)/((Uн_лин/SQRT(3))*1000)*100,999),_xlpm.kz,IF(OR(DG162=1,NOT(ISNUMBER(DQ162)),_xlpm.L_=0,_xlpm.inn=0),1,IFERROR(--(c_min*(Uн_лин*1000/SQRT(3))/(DQ162+2*ρкз_Cu*_xlpm.L_/_xlpm.sz)&gt;=GY162*_xlpm.inn),0)),_xlpm.ok,IFERROR((_xlpm.sz&gt;=_xlpm.smin)*(_xlpm.t_&gt;=_xlpm.inn)*IF(_xlpm.L_&gt;0,(_xlpm.du_+DP162&lt;=DV162+0.00001),1)*_xlpm.kz,0),_xlpm.r_,_xlfn._xlws.FILTER(_xlpm.sz,_xlpm.ok,"не подобрано"),INDEX(_xlpm.r_,1)))</f>
        <v>2.5</v>
      </c>
      <c r="DX162">
        <f t="shared" si="294"/>
        <v>2.5</v>
      </c>
      <c r="DY162" cm="1">
        <f t="array" ref="DY162">IF(OR(B162="",BT162="",DM162&lt;&gt;1),"",_xlfn.LET(_xlpm.sz,Iдоп_S,_xlpm.t_,CHOOSE(DL162,Iдоп_1ж,Iдоп_2ж,Iдоп_3ж)*DJ162*DK162,_xlpm.ok,IFERROR((_xlpm.sz&gt;=MAX(1.5,BW162))*(_xlpm.t_&gt;=N(DD162)),0),_xlpm.r_,_xlfn._xlws.FILTER(_xlpm.sz,_xlpm.ok,""),INDEX(_xlpm.r_,1)))</f>
        <v>1.5</v>
      </c>
      <c r="DZ162" s="6" cm="1">
        <f t="array" ref="DZ162">IFERROR(ROUNDUP(N(DT162)*(_xlfn.XLOOKUP(DY162,INDEX(Кабель_сопротивление,0,1),INDEX(Кабель_сопротивление,0,3))*N(Q162)/DY162*N(BY162)+_xlfn.XLOOKUP(DY162,INDEX(Кабель_сопротивление,0,1),INDEX(Кабель_сопротивление,0,2))*N(Q162)*N(DU162)/1000)*N(P162)/((Uн_лин/SQRT(3))*1000)*100,2),"")</f>
        <v>1.93</v>
      </c>
      <c r="EA162">
        <f>IFERROR(2*ρкз_Cu*N(Q162)/DY162,"")</f>
        <v>3.3313333333333333</v>
      </c>
      <c r="EB162">
        <f>IFERROR(VLOOKUP(DX162,Кабель_сопротивление,3,FALSE),"")</f>
        <v>2.2499999999999999E-2</v>
      </c>
      <c r="EC162">
        <f>IFERROR(VLOOKUP(DX162,Кабель_сопротивление,2,FALSE),"")</f>
        <v>0.1</v>
      </c>
      <c r="ED162">
        <f t="shared" si="295"/>
        <v>49</v>
      </c>
      <c r="EE162">
        <f t="shared" si="296"/>
        <v>0</v>
      </c>
      <c r="EF162">
        <f t="shared" si="297"/>
        <v>2.6752910363547358</v>
      </c>
      <c r="EG162" s="6">
        <f>IFERROR(ROUNDUP(EF162/((Uн_лин/SQRT(3))*1000)*100,2),"")</f>
        <v>1.1599999999999999</v>
      </c>
      <c r="EH162" t="str">
        <f>IFERROR(VLOOKUP(BT162,Кабель_обозначение,2,FALSE),"")</f>
        <v>ВВГнг(А)-LS</v>
      </c>
      <c r="EI162" t="str">
        <f t="shared" si="298"/>
        <v>ВВГнг(А)-LS (3х2,5)</v>
      </c>
      <c r="EJ162" t="str">
        <f t="shared" si="299"/>
        <v>ВВГнг(А)-LS (3х2,5)
L=95-1,16%</v>
      </c>
      <c r="EK162">
        <f>IFERROR(2*ρкз_Cu*Q162/DX162,"")</f>
        <v>1.9987999999999999</v>
      </c>
      <c r="EL162">
        <f t="shared" si="300"/>
        <v>0.66500000000000004</v>
      </c>
      <c r="EM162" s="6" t="str">
        <f>IFERROR(IF(OR(B162="",NOT(ISNUMBER(DX162)),N(Q162)=0),"",_xlfn.XLOOKUP(A162,Щиты[Щит],Щиты[Zпетли на шинах, Ом])+EK162),"")</f>
        <v/>
      </c>
      <c r="EN162" s="6" t="str">
        <f>IF(ISNUMBER(EM162),c_min*(Uн_лин*1000/SQRT(3))/EM162,"")</f>
        <v/>
      </c>
      <c r="EO162" s="6" t="str">
        <f>IFERROR(IF(OR(B162="",NOT(ISNUMBER(DX162))),"",1.05*(Uн_лин*1000/SQRT(3))/(_xlfn.XLOOKUP(A162,Щиты[Щит],Щиты[Zmax на шинах, Ом])+EL162)/1000),"")</f>
        <v/>
      </c>
      <c r="EP162" s="6" t="str">
        <f>IF(B162="","",IF(ISNUMBER(Y162),"Сил",IF(IFERROR(_xlfn.XLOOKUP(AX162,Коды_код,Коды_группа)&amp;"","")="","Быт",_xlfn.XLOOKUP(AX162,Коды_код,Коды_группа)&amp;"")))</f>
        <v>Быт</v>
      </c>
      <c r="EQ162" s="6" t="str">
        <f t="shared" si="301"/>
        <v>Быт</v>
      </c>
      <c r="ER162" s="6">
        <f>IF(EQ162="Щит","щит",IF(EQ162="","",IF(EQ162="Быт",IFERROR(_xlfn.XLOOKUP(A162,Щиты[Щит],Щиты[Кс быт]),1),IF(EQ162="Сил",IF(ISNUMBER(Y162),Y162,IF(Методика="нормы 2026",IFERROR(_xlfn.XLOOKUP(A162,Щиты[Щит],Щиты[Кс силовых (табл. 7.5)]),1),1)),IF(OR(EQ162="Пост",EQ162="Отоп"),1,IF(EQ162="ВНГ",0.7,0))))))</f>
        <v>0.8</v>
      </c>
      <c r="ES162">
        <f t="shared" si="302"/>
        <v>1</v>
      </c>
      <c r="ET162">
        <f t="shared" si="303"/>
        <v>0.36</v>
      </c>
      <c r="EU162">
        <f t="shared" si="304"/>
        <v>0.36</v>
      </c>
      <c r="EV162">
        <f t="shared" si="305"/>
        <v>0</v>
      </c>
      <c r="EW162">
        <f t="shared" si="306"/>
        <v>0</v>
      </c>
      <c r="EX162">
        <f t="shared" si="307"/>
        <v>0</v>
      </c>
      <c r="EY162">
        <f t="shared" si="308"/>
        <v>0</v>
      </c>
      <c r="EZ162">
        <f t="shared" si="309"/>
        <v>0.36</v>
      </c>
      <c r="FA162">
        <f t="shared" si="310"/>
        <v>0.34199999999999997</v>
      </c>
      <c r="FB162">
        <f t="shared" si="311"/>
        <v>0.36</v>
      </c>
      <c r="FC162" t="str">
        <f t="shared" si="312"/>
        <v>L1</v>
      </c>
      <c r="FD162" t="str">
        <f>IF(B162="","",IF(CA162=0,IF(AW162=1,"",FF161),IF(OR(N(CV162)&gt;=3,N(BR162)&gt;=3),"L1,L2,L3",IFERROR(_xlfn.TEXTBEFORE(_xlfn.TEXTAFTER(_xlfn.XLOOKUP(A162,Щиты[Щит],Щиты[_фазы авто]),";"&amp;AW162&amp;":"),";"),"L1"))))</f>
        <v>L1</v>
      </c>
      <c r="FE162" t="str">
        <f t="shared" si="313"/>
        <v>L1</v>
      </c>
      <c r="FF162" t="str">
        <f t="shared" si="314"/>
        <v>L1</v>
      </c>
      <c r="FG162" cm="1">
        <f t="array" ref="FG162">IFERROR(IF(BX162=2,_xlfn.IFS(BR162=3,VLOOKUP(BN162,Справочная_двигатели,3,FALSE),BR162=1,VLOOKUP(BN162,Справочная_двигатели,5,TRUE)),0),0)</f>
        <v>0</v>
      </c>
      <c r="FH162">
        <f>IFERROR(IF(BX162=3,VLOOKUP(BN162,Справочная_ЛЭД,2,TRUE),0),0)</f>
        <v>0</v>
      </c>
      <c r="FI162" s="6">
        <f t="shared" si="315"/>
        <v>0</v>
      </c>
      <c r="FJ162" t="str" cm="1">
        <f t="array" ref="FJ162">IF(B162="","",IFERROR(INDEX({"I особая","I","II","III"},MATCH(TRIM(AC162&amp;""),{"I особая","I","II","III"},0)),"III"))</f>
        <v>II</v>
      </c>
      <c r="FK162" t="str">
        <f>IF(B162="","",IF(TRIM(AD162&amp;"")&lt;&gt;"",IF(LOWER(TRIM(AD162&amp;""))="да","да","нет"),IF(IFERROR(_xlfn.XLOOKUP(AX162,Коды_код,Коды_пожарная),"")="да","да","нет")))</f>
        <v>нет</v>
      </c>
      <c r="FL162" t="str">
        <f t="shared" si="316"/>
        <v/>
      </c>
      <c r="FM162" t="str">
        <f t="shared" si="317"/>
        <v>основная</v>
      </c>
      <c r="FN162">
        <f t="shared" si="318"/>
        <v>1</v>
      </c>
      <c r="FO162" t="str" cm="1">
        <f t="array" ref="FO162">IF(B162="","",_xlfn.LET(_xlpm.t,IFERROR(_xlfn.XLOOKUP(1,(Шины[Шина]=FM162)*(((Шины[Щит]=A162)+(Шины[Щит]=""))&gt;0),Шины[Тип]),"")&amp;"",IF(_xlpm.t&lt;&gt;"",_xlpm.t,IF(ISNUMBER(SEARCH("ИБП",FM162)),"ИБП",IF(ISNUMBER(SEARCH("ДГУ",FM162)),"ДГУ","Ввод "&amp;FN162)))))</f>
        <v>Ввод 1</v>
      </c>
      <c r="FP162" t="str">
        <f t="shared" si="319"/>
        <v>Ввод 1</v>
      </c>
      <c r="FQ162" t="str">
        <f>IF(B162="","",IF(OR(FO162="ИБП",FO162="ДГУ"),"I особая",IF(FO162="Одиночная","III",_xlfn.XLOOKUP(A162,Щиты[Щит],Щиты[Категория шины «Ввод»],"III"))))</f>
        <v>II</v>
      </c>
      <c r="FR162">
        <f>IF(B162="",0,IFERROR(MATCH(FJ162,{"III","II","I","I особая"},0),1))</f>
        <v>2</v>
      </c>
      <c r="FS162">
        <f t="shared" si="320"/>
        <v>2</v>
      </c>
      <c r="FT162" t="str">
        <f>IF(B162="","",IF(FR162&gt;IFERROR(MATCH(FQ162,{"III","II","I","I особая"},0),1),"НЕ ОБЕСПЕЧЕНА","ОК"))</f>
        <v>ОК</v>
      </c>
      <c r="FU162" t="str">
        <f>IF(A162="","",_xlfn.XLOOKUP(A162,Щиты[Щит],Щиты[Путь],""))</f>
        <v>|ГРЩ-ЖД|ЩР-001|</v>
      </c>
      <c r="FV162" t="str">
        <f>IF(B162="","",IF(AE162&lt;&gt;"",AE162,IF(IFERROR(_xlfn.XLOOKUP(AX162,Коды_код,Коды_вид)&amp;"","")="","Прочее",_xlfn.XLOOKUP(AX162,Коды_код,Коды_вид)&amp;"")))</f>
        <v>Розеточная сеть и бытовые приборы</v>
      </c>
      <c r="FW162">
        <f>IF(BH162="","",INT((BH162-1)/Столбцов_на_лист)+1)</f>
        <v>2</v>
      </c>
      <c r="FX162" t="str">
        <f t="shared" si="321"/>
        <v>ВВГнг(А)-LS (3х2,5) L=95-1,16%</v>
      </c>
      <c r="FY162">
        <f t="shared" si="322"/>
        <v>0.36</v>
      </c>
      <c r="FZ162">
        <f t="shared" si="323"/>
        <v>1.65</v>
      </c>
      <c r="GA162">
        <f t="shared" si="324"/>
        <v>1</v>
      </c>
      <c r="GB162">
        <f t="shared" si="325"/>
        <v>0</v>
      </c>
      <c r="GC162">
        <f t="shared" si="326"/>
        <v>1</v>
      </c>
      <c r="GD162">
        <f>IF(BH162="","",IF(AND(CA162=1,GC162=1),COUNTIFS(A$3:A162,A162,CA$3:CA162,1,GC$3:GC162,1),IF(OR(OR(AW162=1,A162&lt;&gt;A161),AF162="вручную",GC162=0),"",IF(AW162=1,"",GE161))))</f>
        <v>8</v>
      </c>
      <c r="GE162">
        <f t="shared" si="327"/>
        <v>8</v>
      </c>
      <c r="GF162">
        <f>IF(B162="","",IFERROR(LOOKUP(INDEX(CHOOSE(DL162,Iдоп_1ж,Iдоп_2ж,Iдоп_3ж),MATCH(DX162,Iдоп_S,0))*DJ162*DK162,{6,10,16,20,25,32,40,50,63,80,100,125,160,200,250,315,400,500,630}),""))</f>
        <v>25</v>
      </c>
      <c r="GG162" t="str">
        <f t="shared" si="328"/>
        <v>QFD8</v>
      </c>
      <c r="GH162" t="str">
        <f t="shared" si="329"/>
        <v>QFD8</v>
      </c>
      <c r="GI162" t="str">
        <f t="shared" si="330"/>
        <v/>
      </c>
      <c r="GJ162">
        <f t="shared" si="331"/>
        <v>0</v>
      </c>
      <c r="GK162" t="str">
        <f>IF(OR(AG162="",AG162="-"),"",IFERROR(VLOOKUP(AG162,Модули_спр,2,FALSE),"R"))</f>
        <v/>
      </c>
      <c r="GL162" t="str">
        <f>IF(GK162="","",GK162&amp;"."&amp;COUNTIFS(A$3:A162,A162,GK$3:GK162,GK162))</f>
        <v/>
      </c>
      <c r="GM162" t="str">
        <f t="shared" si="332"/>
        <v/>
      </c>
      <c r="GN162" t="str">
        <f t="shared" si="333"/>
        <v/>
      </c>
      <c r="GO162" t="str">
        <f t="shared" si="334"/>
        <v/>
      </c>
      <c r="GP162" t="str">
        <f t="shared" si="335"/>
        <v/>
      </c>
      <c r="GQ162">
        <f t="shared" si="336"/>
        <v>1</v>
      </c>
      <c r="GR162" t="str">
        <f>IF(GQ162=1,"XT"&amp;COUNTIFS(A$3:A162,A162,GQ$3:GQ162,1),"")</f>
        <v>XT8</v>
      </c>
      <c r="GS162" t="str">
        <f t="shared" si="337"/>
        <v>XT8</v>
      </c>
      <c r="GT162" t="str">
        <f t="shared" si="338"/>
        <v>QFD8</v>
      </c>
      <c r="GU162" t="str">
        <f t="shared" si="339"/>
        <v/>
      </c>
      <c r="GV162" t="str">
        <f t="shared" si="340"/>
        <v>ok</v>
      </c>
      <c r="GW162" t="str">
        <f>IF(OR(GO162="",GM162=""),"",IF(GO162&gt;IFERROR(VLOOKUP(GN162,Модули_спр,3,FALSE),99),"ЛИШНИЙ КАНАЛ",IF(AND(AH162&lt;&gt;"=",COUNTIFS(Линии[_модуль гр.],GM162,Линии[Канал (итог)],GO162,Линии[Канал],"&lt;&gt;=",Линии[Щит],A162)&gt;1),"ДУБЛЬ КАНАЛА","")))</f>
        <v/>
      </c>
      <c r="GX162" s="6" t="str">
        <f t="shared" si="341"/>
        <v/>
      </c>
      <c r="GY162">
        <f t="shared" si="342"/>
        <v>10</v>
      </c>
      <c r="GZ162" t="str">
        <f t="shared" si="343"/>
        <v/>
      </c>
      <c r="HA162" t="str">
        <f>IF(AND(B162="",GT162=""),"",_xlfn.TEXTJOIN("; ",TRUE,IF(AND(B162&lt;&gt;"",FE162=""),"нет фазы",""),IF(AND(B162&lt;&gt;"",N(FY162)=0,EQ162&lt;&gt;"Нет"),"нет мощности",""),IF(AND(GS162&lt;&gt;"",COUNTIFS(Линии[Щит],A162,Линии[Клемма (итог)],GS162)&gt;1),"дубль клеммы "&amp;GS162,""),IF(AND(GV162&lt;&gt;"",GV162&lt;&gt;"ok"),GV162,""),IF(GW162&lt;&gt;"",GW162,""),IF(AND(N(BV162)&gt;=4,N(BR162)=1),BV162&amp;" жил на 1 фазе",""),IF(AND(AX162="R",CA162=1,OR(N(CK162)=0,N(CK162)&gt;30)),"розетка без дифзащиты до 30 мА",""),IFERROR(IF(AND(ISNUMBER(R162),R162&gt;DV162),"потери "&amp;FIXED(R162,1)&amp;" % &gt; "&amp;DV162&amp;" %",""),""),IFERROR(IF(LEFT(GZ162,4)="мало","Iкз мало — отключение &gt; 0,4 с",""),""),IF(AND(B162&lt;&gt;"",BH162=""),"не на схеме",""),IF(AND(CA162=0,B162&lt;&gt;"",FE162&lt;&gt;"",IF(AW162=1,"",FF161)&lt;&gt;"",FE162&lt;&gt;IF(AW162=1,"",FF161)),"фаза не как у автомата группы ("&amp;IF(AW162=1,"",FF161)&amp;")","")))</f>
        <v/>
      </c>
      <c r="HB162" s="6">
        <f>IF(OR(CA162=0,DA162=""),"",_xlfn.LET(_xlpm.t,IFERROR(_xlfn.XLOOKUP(DA162,Каталог!$U$4:$U$500,Каталог!$G$4:$G$500),""),_xlpm.k,SEARCH("кА",_xlpm.t),IFERROR(--TRIM(RIGHT(SUBSTITUTE(MID(_xlpm.t,MAX(1,_xlpm.k-4),_xlpm.k-MAX(1,_xlpm.k-4))," ",REPT(" ",9)),5)),"")))</f>
        <v>6</v>
      </c>
      <c r="HC162" t="str">
        <f>IF(OR(HB162="",CA162=0),"",IF(_xlfn.XLOOKUP(A162,Щиты[Щит],Щиты[Iкз max на шинах, кА],"")="","",IF(HB162&lt;_xlfn.XLOOKUP(A162,Щиты[Щит],Щиты[Iкз max на шинах, кА]),"Icu "&amp;HB162&amp;" кА &lt; Iкз max","ok")))</f>
        <v/>
      </c>
      <c r="HD162" t="str">
        <f t="shared" si="344"/>
        <v/>
      </c>
      <c r="HE162" t="str">
        <f t="shared" si="345"/>
        <v>QFD8|XT8</v>
      </c>
      <c r="HF162" t="str">
        <f t="shared" si="346"/>
        <v>QFD8|XT8|кабель ВВГнг(А)-LS (3х2,5) → Розеточная группа, пом. 001А</v>
      </c>
      <c r="HG162" t="str" cm="1">
        <f t="array" ref="HG162">IF(HF162="","",_xlfn.LET(_xlpm.nd,_xlfn.TEXTSPLIT(HF162,"|"),IF(COLUMNS(_xlpm.nd)&gt;1,A162&amp;"¦"&amp;INDEX(_xlpm.nd,1)&amp;"¦"&amp;INDEX(_xlpm.nd,2),"")))</f>
        <v>ЩР-001¦QFD8¦XT8</v>
      </c>
      <c r="HH162" t="str">
        <f t="shared" si="347"/>
        <v>R.00.001А.1¦Розеточная группа, пом. 001А</v>
      </c>
      <c r="HI162" t="str" cm="1">
        <f t="array" ref="HI162">IF(HF162="","",_xlfn.LET(_xlpm.nd,_xlfn.TEXTSPLIT(HF162,"|"),IF(COLUMNS(_xlpm.nd)&gt;2,A162&amp;"¦"&amp;INDEX(_xlpm.nd,2)&amp;"¦"&amp;INDEX(_xlpm.nd,3),"")))</f>
        <v>ЩР-001¦XT8¦кабель ВВГнг(А)-LS (3х2,5) → Розеточная группа, пом. 001А</v>
      </c>
      <c r="HJ162" t="str">
        <f t="shared" si="348"/>
        <v>R.00.001А.1¦Розеточная группа, пом. 001А</v>
      </c>
      <c r="HK162" t="str" cm="1">
        <f t="array" ref="HK162">IF(HF162="","",_xlfn.LET(_xlpm.nd,_xlfn.TEXTSPLIT(HF162,"|"),IF(COLUMNS(_xlpm.nd)&gt;3,A162&amp;"¦"&amp;INDEX(_xlpm.nd,3)&amp;"¦"&amp;INDEX(_xlpm.nd,4),"")))</f>
        <v/>
      </c>
      <c r="HL162" t="str">
        <f t="shared" si="349"/>
        <v/>
      </c>
      <c r="HM162" t="str" cm="1">
        <f t="array" ref="HM162">IF(HF162="","",_xlfn.LET(_xlpm.nd,_xlfn.TEXTSPLIT(HF162,"|"),IF(COLUMNS(_xlpm.nd)&gt;4,A162&amp;"¦"&amp;INDEX(_xlpm.nd,4)&amp;"¦"&amp;INDEX(_xlpm.nd,5),"")))</f>
        <v/>
      </c>
      <c r="HN162" t="str">
        <f t="shared" si="350"/>
        <v/>
      </c>
      <c r="HO162" t="str" cm="1">
        <f t="array" ref="HO162">IF(HF162="","",_xlfn.LET(_xlpm.nd,_xlfn.TEXTSPLIT(HF162,"|"),IF(COLUMNS(_xlpm.nd)&gt;5,A162&amp;"¦"&amp;INDEX(_xlpm.nd,5)&amp;"¦"&amp;INDEX(_xlpm.nd,6),"")))</f>
        <v/>
      </c>
      <c r="HP162" t="str">
        <f t="shared" si="351"/>
        <v/>
      </c>
      <c r="HQ162" t="str" cm="1">
        <f t="array" ref="HQ162">IF(HF162="","",_xlfn.LET(_xlpm.nd,_xlfn.TEXTSPLIT(HF162,"|"),IF(COLUMNS(_xlpm.nd)&gt;6,A162&amp;"¦"&amp;INDEX(_xlpm.nd,6)&amp;"¦"&amp;INDEX(_xlpm.nd,7),"")))</f>
        <v/>
      </c>
      <c r="HR162" t="str">
        <f t="shared" si="352"/>
        <v/>
      </c>
      <c r="HS162" t="str">
        <f t="shared" si="353"/>
        <v/>
      </c>
      <c r="HT162" t="str">
        <f t="shared" si="354"/>
        <v>QFD8 → XT8</v>
      </c>
      <c r="HU162">
        <f t="shared" si="355"/>
        <v>0</v>
      </c>
      <c r="HV162">
        <f t="shared" si="356"/>
        <v>1</v>
      </c>
      <c r="HW162" t="str">
        <f t="shared" si="357"/>
        <v/>
      </c>
      <c r="HX162" t="str">
        <f t="shared" si="358"/>
        <v/>
      </c>
      <c r="HY162" t="str">
        <f t="shared" si="359"/>
        <v/>
      </c>
      <c r="HZ162" t="str">
        <f t="shared" si="360"/>
        <v/>
      </c>
      <c r="IA162" t="str">
        <f>IF(B162="","",IFERROR(VLOOKUP(B162,УГО_спр,2,FALSE),IFERROR(VLOOKUP(AX162,УГО_спр,2,FALSE),IFERROR(VLOOKUP(LEFT(AX162,2),УГО_спр,2,FALSE),""))))</f>
        <v>Розетка</v>
      </c>
      <c r="IB162" t="str">
        <f>IF(B162="","",IF(OR(IA162="",IA162=0),"BOX",IFERROR(IF(VLOOKUP(IA162,УГО_блоки,3,FALSE)&amp;""&lt;&gt;"",VLOOKUP(IA162,УГО_блоки,3,FALSE),VLOOKUP(IA162,УГО_блоки,2,FALSE)),IA162)))</f>
        <v>SOCKET</v>
      </c>
      <c r="IC162">
        <f t="shared" si="361"/>
        <v>1</v>
      </c>
      <c r="ID162" t="str">
        <f>IF(DA162="","",IF(COUNTIF(DA$3:DA162,DA162)=1,MAX(ID$2:ID161)+1,""))</f>
        <v/>
      </c>
      <c r="IE162" t="str">
        <f>IF(CO162="","",IF(COUNTIF(CO$3:CO162,CO162)+COUNTIF(CP$2:CP161,CO162)+COUNTIF(CQ$2:CQ161,CO162)=1,MAX(IE$2:IG161)+1,""))</f>
        <v/>
      </c>
      <c r="IF162" t="str">
        <f>IF(CP162="","",IF(COUNTIF(CO$3:CO162,CP162)+COUNTIF(CP$3:CP162,CP162)+COUNTIF(CQ$2:CQ161,CP162)=1,MAX(IE$2:IG161,IE162)+1,""))</f>
        <v/>
      </c>
      <c r="IG162" t="str">
        <f>IF(CQ162="","",IF(COUNTIF(CO$3:CO162,CQ162)+COUNTIF(CP$3:CP162,CQ162)+COUNTIF(CQ$3:CQ162,CQ162)=1,MAX(IE$2:IG161,IE162,IF162)+1,""))</f>
        <v/>
      </c>
      <c r="IH162" t="str">
        <f t="shared" si="362"/>
        <v>3х2,5</v>
      </c>
      <c r="II162" t="str">
        <f>IF(IH162="","",IF(COUNTIF(IH$3:IH162,IH162)=1,MAX(II$2:II161)+1,""))</f>
        <v/>
      </c>
      <c r="IJ162" t="str">
        <f>IF(GL162="","",COUNTIF(GL$3:GL162,"?*"))</f>
        <v/>
      </c>
      <c r="IK162" t="str">
        <f>IF(OR(GL162="",GN162=""),"",IF(COUNTIFS(GL$3:GL162,"?*",GN$3:GN162,GN162)=1,MAX(IK$2:IK161)+1,""))</f>
        <v/>
      </c>
      <c r="IL162">
        <f t="shared" si="363"/>
        <v>0</v>
      </c>
      <c r="IM162">
        <f>IF(B162="","",COUNTIF(B$3:B162,"?*"))</f>
        <v>160</v>
      </c>
      <c r="IN162">
        <f>IF(GQ162&lt;&gt;1,0,_xlfn.LET(_xlpm.k,MAX(IFERROR(--VLOOKUP(B162,УГО_спр,5,FALSE),0),IFERROR(--VLOOKUP(AX162,УГО_спр,5,FALSE),0),IFERROR(--VLOOKUP(LEFT(AX162,2),УГО_спр,5,FALSE),0)),IF(_xlpm.k&gt;0,_xlpm.k,IF(IFERROR(--LEFT(SUBSTITUTE(IH162,"x","х"),FIND("х",SUBSTITUTE(IH162,"x","х"))-1),3)&gt;3,Каталог!$S$9,1))))</f>
        <v>1</v>
      </c>
      <c r="IO162">
        <f t="shared" si="364"/>
        <v>0</v>
      </c>
      <c r="IP162" t="str">
        <f t="shared" si="365"/>
        <v>авто</v>
      </c>
      <c r="IQ162">
        <f t="shared" si="366"/>
        <v>30</v>
      </c>
      <c r="IR162">
        <f t="shared" si="367"/>
        <v>1</v>
      </c>
      <c r="IS162">
        <f t="shared" si="368"/>
        <v>1</v>
      </c>
    </row>
    <row r="163" spans="1:253" x14ac:dyDescent="0.3">
      <c r="A163" t="s">
        <v>755</v>
      </c>
      <c r="B163" t="s">
        <v>1430</v>
      </c>
      <c r="C163" t="str">
        <f>Линии[[#This Row],[_авто наименование]]</f>
        <v>Розеточная группа, пом. 005А</v>
      </c>
      <c r="D163">
        <v>2</v>
      </c>
      <c r="E163">
        <v>0.18</v>
      </c>
      <c r="G163">
        <v>16</v>
      </c>
      <c r="H163">
        <f>Линии[[#This Row],[_авто утечка]]</f>
        <v>30</v>
      </c>
      <c r="I163" t="str">
        <f>Линии[[#This Row],[_авто управление]]</f>
        <v/>
      </c>
      <c r="J163" t="str">
        <f>Линии[[#This Row],[_авто аппараты]]</f>
        <v/>
      </c>
      <c r="K163">
        <v>2.5</v>
      </c>
      <c r="L163">
        <v>39</v>
      </c>
      <c r="M163">
        <v>3</v>
      </c>
      <c r="N163" t="str">
        <f>Линии[[#This Row],[_авто клемма]]</f>
        <v>XT9</v>
      </c>
      <c r="O163" t="str">
        <f t="shared" si="246"/>
        <v/>
      </c>
      <c r="P163" s="6" cm="1">
        <f t="array" ref="P163">IF(B163="","",IF(BC163&lt;&gt;"",IFERROR(_xlfn.XLOOKUP(BC163,Щиты[Щит],Щиты[Iр, А]),""),IF(BK163=1,IFERROR(_xlfn.XLOOKUP(A163,Щиты[Щит],Щиты[Iр, А]),""),IFERROR(_xlfn.IFS(BR163=1,BN163/((Uн_лин/SQRT(3))*BY163),BR163=3,BN163/(SQRT(3)*Uн_лин*BY163)),""))))</f>
        <v>0.8204451193747313</v>
      </c>
      <c r="Q163" s="7">
        <f>IF(B163="","",IFERROR(IF(VLOOKUP(AX163,Потребители_обозначение,4,FALSE)=1,VLOOKUP(AX163,Потребители_обозначение,3,FALSE)*(D163*2-1)+DS163+VLOOKUP(AZ163,Этаж_обозначение,3,FALSE)+VLOOKUP(AZ163,Этаж_обозначение,4,FALSE),VLOOKUP(AX163,Потребители_обозначение,3,FALSE)*(D163*2-1)+DS163),DS163))</f>
        <v>48</v>
      </c>
      <c r="R163" s="6">
        <f t="shared" si="247"/>
        <v>1.87</v>
      </c>
      <c r="S163" t="str">
        <f t="shared" si="248"/>
        <v>ВВГнг(А)-LS (3х2,5)</v>
      </c>
      <c r="T163" t="str">
        <f>IF(BH163="","",IF(BI163="вводной узел","узел ","")&amp;"л."&amp;(INT((BH163-1)/Столбцов_на_лист)+1)&amp;" / "&amp;(MOD(BH163-1,Столбцов_на_лист)+1))</f>
        <v>л.2 / 9</v>
      </c>
      <c r="V163">
        <v>1</v>
      </c>
      <c r="W163">
        <v>230</v>
      </c>
      <c r="X163" t="s">
        <v>564</v>
      </c>
      <c r="AC163" t="s">
        <v>815</v>
      </c>
      <c r="AE163" t="s">
        <v>563</v>
      </c>
      <c r="AI163">
        <v>26</v>
      </c>
      <c r="AJ163" t="s">
        <v>11</v>
      </c>
      <c r="AK163">
        <v>3</v>
      </c>
      <c r="AM163">
        <v>35</v>
      </c>
      <c r="AN163">
        <v>13</v>
      </c>
      <c r="AO163">
        <v>0</v>
      </c>
      <c r="AW163" cm="1">
        <f t="array" ref="AW163">ROW()-ROW(Линии[#Headers])</f>
        <v>161</v>
      </c>
      <c r="AX163" s="6" t="str">
        <f t="shared" si="249"/>
        <v>R</v>
      </c>
      <c r="AY163" t="str">
        <f t="shared" si="250"/>
        <v>00.005А.1</v>
      </c>
      <c r="AZ163" t="str">
        <f t="shared" si="251"/>
        <v>00</v>
      </c>
      <c r="BA163" t="str">
        <f t="shared" si="252"/>
        <v>005А.1</v>
      </c>
      <c r="BB163" t="str">
        <f t="shared" si="253"/>
        <v>005А</v>
      </c>
      <c r="BC163" t="str">
        <f>IF(U163&lt;&gt;"",U163,IF(AND(B163&lt;&gt;"",B163&lt;&gt;A163,ISNUMBER(_xlfn.XMATCH(B163,Щиты[Щит]))),B163,""))</f>
        <v/>
      </c>
      <c r="BD163" t="str" cm="1">
        <f t="array" ref="BD163">IF(B163="","",IF(BC163&lt;&gt;"","Щит "&amp;BC163,_xlfn.LET(_xlpm.nm,IFERROR(_xlfn.XLOOKUP(AX163,Коды_код,Коды_имя)&amp;"",""),_xlpm.md,IFERROR(N(_xlfn.XLOOKUP(AX163,Коды_код,Коды_режим)),1),_xlpm.ex,IF(Имя_режим="по экспликации",IFERROR(_xlfn.XLOOKUP(AZ163&amp;"|"&amp;BB163,Экспликация[Этаж]&amp;"|"&amp;Экспликация[Помещение],Экспликация[Название])&amp;"",""),""),_xlpm.rm,IF(BB163="","",IF(_xlpm.ex&lt;&gt;"",". "&amp;_xlpm.ex&amp;IF(Имя_пом="нет"," ("&amp;BB163&amp;")"," (пом. "&amp;BB163&amp;")"),IF(Имя_пом="нет"," ",", пом. ")&amp;BB163)),IF(_xlpm.nm="","",IF(_xlpm.md=2,_xlpm.nm&amp;" шлейф "&amp;AZ163,_xlpm.nm&amp;_xlpm.rm)))))</f>
        <v>Розеточная группа, пом. 005А</v>
      </c>
      <c r="BE163" t="str">
        <f t="shared" si="254"/>
        <v>Розеточная группа, пом. 005А</v>
      </c>
      <c r="BF163">
        <f>IFERROR(_xlfn.XMATCH(A163,Щиты[Щит]),0)</f>
        <v>8</v>
      </c>
      <c r="BG163">
        <f>_xlfn.LET(_xlpm.k,IFERROR(_xlfn.XLOOKUP(A163,Щиты[Щит],Щиты[Листов под вводной узел]),""),IF(_xlpm.k="",1,N(_xlpm.k))*Столбцов_на_лист)</f>
        <v>17</v>
      </c>
      <c r="BH163">
        <f t="shared" si="255"/>
        <v>26</v>
      </c>
      <c r="BI163" t="str">
        <f t="shared" si="256"/>
        <v>линии</v>
      </c>
      <c r="BJ163" s="6">
        <f>IFERROR(N(_xlfn.XLOOKUP(AX163,Коды_код,Коды_квт)),0)</f>
        <v>0</v>
      </c>
      <c r="BK163">
        <f t="shared" si="257"/>
        <v>0</v>
      </c>
      <c r="BL163" t="str">
        <f>IF(B163="","",IF(BC163&lt;&gt;"",IFERROR(_xlfn.XLOOKUP(BC163,Щиты[Щит],Щиты[Руст, кВт]),0),IF(BK163=1,IFERROR(_xlfn.XLOOKUP(A163,Щиты[Щит],Щиты[Руст, кВт]),0),IF(BJ163&gt;0,ROUND(BJ163*MAX(1,N(D163)),3),""))))</f>
        <v/>
      </c>
      <c r="BM163">
        <f t="shared" si="258"/>
        <v>0.18</v>
      </c>
      <c r="BN163" s="6">
        <f>IF(B163="","",IF(BC163&lt;&gt;"",IFERROR(_xlfn.XLOOKUP(BC163,Щиты[Щит],Щиты[Руст, кВт]),0),N(BM163)))</f>
        <v>0.18</v>
      </c>
      <c r="BO163" t="str">
        <f>IF(B163="","",IFERROR(IF(VLOOKUP(AX163,Потребители_обозначение,8,FALSE)=0,"",VLOOKUP(AX163,Потребители_обозначение,8,FALSE)),""))</f>
        <v/>
      </c>
      <c r="BP163">
        <f t="shared" si="259"/>
        <v>230</v>
      </c>
      <c r="BQ163">
        <f>IF(B163="","",IF(BC163&lt;&gt;"",3,IFERROR(IF(N(VLOOKUP(AX163,Потребители_обозначение,9,FALSE))=0,1,VLOOKUP(AX163,Потребители_обозначение,9,FALSE)),1)))</f>
        <v>1</v>
      </c>
      <c r="BR163">
        <f t="shared" si="260"/>
        <v>1</v>
      </c>
      <c r="BS163" t="str">
        <f>IF(B163="","",_xlfn.LET(_xlpm.bc,IFERROR(IF(VLOOKUP(AX163,Потребители_обозначение,6,FALSE)=0,"",VLOOKUP(AX163,Потребители_обозначение,6,FALSE)&amp;""),""),IF(AND(FK163="да",OR(_xlpm.bc="",_xlpm.bc="мс")),Марка_пож,IF(AND(_xlpm.bc="",BC163&lt;&gt;""),"мс",_xlpm.bc))))</f>
        <v/>
      </c>
      <c r="BT163" t="str">
        <f t="shared" si="261"/>
        <v>мс</v>
      </c>
      <c r="BU163">
        <f>IF(B163="","",_xlfn.LET(_xlpm.cc,IFERROR(N(VLOOKUP(AX163,Потребители_обозначение,7,FALSE)),0),IF(_xlpm.cc&gt;0,_xlpm.cc,IF(BT163="","",IF(N(BR163)=3,5,3)))))</f>
        <v>3</v>
      </c>
      <c r="BV163">
        <f t="shared" si="262"/>
        <v>3</v>
      </c>
      <c r="BW163">
        <f>IFERROR(N(VLOOKUP(AX163,Потребители_обозначение,10,FALSE)),0)</f>
        <v>0</v>
      </c>
      <c r="BX163">
        <f>IFERROR(VLOOKUP(AX163,Потребители_обозначение,5,FALSE),0)</f>
        <v>1</v>
      </c>
      <c r="BY163" s="6" cm="1">
        <f t="array" ref="BY163">IF(B163="","",IF(BC163&lt;&gt;"",IFERROR(_xlfn.XLOOKUP(BC163,Щиты[Щит],Щиты[cos φ]),0.95),IF(BK163=1,IFERROR(_xlfn.XLOOKUP(A163,Щиты[Щит],Щиты[cos φ]),0.95),IF(ISNUMBER(Z163),Z163,IFERROR(IF(BX163=2,_xlfn.IFS(BR163=3,VLOOKUP(BN163,Справочная_двигатели,8,FALSE),BR163=1,VLOOKUP(BN163,Справочная_двигатели,10,TRUE)),IF(AND(Методика="нормы 2026",EQ163="Сил"),0.8,0.95)),0.95)))))</f>
        <v>0.95</v>
      </c>
      <c r="BZ163">
        <f t="shared" si="263"/>
        <v>0</v>
      </c>
      <c r="CA163">
        <f t="shared" si="264"/>
        <v>1</v>
      </c>
      <c r="CB163">
        <f t="shared" si="265"/>
        <v>0</v>
      </c>
      <c r="CC163">
        <f t="shared" si="266"/>
        <v>0</v>
      </c>
      <c r="CD163">
        <f t="shared" si="267"/>
        <v>0</v>
      </c>
      <c r="CE163">
        <f t="shared" si="268"/>
        <v>0</v>
      </c>
      <c r="CF163">
        <f t="shared" si="269"/>
        <v>0</v>
      </c>
      <c r="CG163">
        <f>IF(AX163="",0,_xlfn.LET(_xlpm.v,IFERROR(VLOOKUP(B163,УГО_спр,3,FALSE),IFERROR(VLOOKUP(AX163,УГО_спр,3,FALSE),IFERROR(VLOOKUP(LEFT(AX163,2),УГО_спр,3,FALSE),""))),IF(_xlpm.v="да",30,IF(ISNUMBER(_xlpm.v),_xlpm.v,0))))</f>
        <v>30</v>
      </c>
      <c r="CH163">
        <f t="shared" si="270"/>
        <v>30</v>
      </c>
      <c r="CI163" t="str">
        <f>_xlfn.LET(_xlpm.k,IFERROR(_xlfn.XLOOKUP(AX163,Коды_код,Коды_утечка)&amp;"",""),IF(_xlpm.k="","дифавтомат",_xlpm.k))</f>
        <v>дифавтомат</v>
      </c>
      <c r="CJ163">
        <f t="shared" si="271"/>
        <v>30</v>
      </c>
      <c r="CK163">
        <f t="shared" si="272"/>
        <v>30</v>
      </c>
      <c r="CL163">
        <f>IF(B163="",0,IFERROR(--VLOOKUP(B163,УГО_спр,4,FALSE),IFERROR(--VLOOKUP(AX163,УГО_спр,4,FALSE),IFERROR(--VLOOKUP(LEFT(AX163,2),УГО_спр,4,FALSE),0))))</f>
        <v>16</v>
      </c>
      <c r="CM163" t="str">
        <f>IF(B163="","",IFERROR(_xlfn.XLOOKUP(AX163,Коды_код,Коды_апп)&amp;"",""))</f>
        <v/>
      </c>
      <c r="CN163" t="str">
        <f t="shared" si="273"/>
        <v/>
      </c>
      <c r="CO163" t="str" cm="1">
        <f t="array" ref="CO163">IF(TRIM(CN163&amp;"")="","",IFERROR(TRIM(INDEX(_xlfn.TEXTSPLIT(CN163&amp;";;;",";"),1)),""))</f>
        <v/>
      </c>
      <c r="CP163" t="str" cm="1">
        <f t="array" ref="CP163">IF(TRIM(CN163&amp;"")="","",IFERROR(TRIM(INDEX(_xlfn.TEXTSPLIT(CN163&amp;";;;",";"),2)),""))</f>
        <v/>
      </c>
      <c r="CQ163" t="str" cm="1">
        <f t="array" ref="CQ163">IF(TRIM(CN163&amp;"")="","",IFERROR(TRIM(INDEX(_xlfn.TEXTSPLIT(CN163&amp;";;;",";"),3)),""))</f>
        <v/>
      </c>
      <c r="CR163">
        <f t="shared" si="274"/>
        <v>0</v>
      </c>
      <c r="CS163" t="str">
        <f>IF(B163="","",_xlfn.LET(_xlpm.t,LOWER(AV163&amp;""),IF(ISNUMBER(SEARCH("dim",_xlpm.t)),"DIM",IF(ISNUMBER(SEARCH("dali",_xlpm.t)),"DALI",IF(OR(ISNUMBER(SEARCH("relay",_xlpm.t)),ISNUMBER(SEARCH("реле",_xlpm.t))),"Relay",IF(ISNUMBER(SEARCH("кнопк",_xlpm.t)),"",IFERROR(_xlfn.XLOOKUP(AX163,Коды_код,Коды_упр)&amp;"","")))))))</f>
        <v/>
      </c>
      <c r="CT163" t="str">
        <f t="shared" si="275"/>
        <v/>
      </c>
      <c r="CU163">
        <f>IF(B163="","",_xlfn.LET(_xlpm.ig,N(P163)+IF(AF163="вручную",0,N(CB163)),_xlpm.n0,IFERROR(VLOOKUP(_xlpm.ig,Автомат_номиналы,2,TRUE),0),_xlpm.mn,MAX(CL163,IF(AF163="вручную",0,N(CE163))),MAX(_xlpm.n0,_xlpm.mn,IF(CR163=1,Мин_автомат_БП,0))))</f>
        <v>16</v>
      </c>
      <c r="CV163">
        <f t="shared" si="276"/>
        <v>1</v>
      </c>
      <c r="CW163" t="str">
        <f t="shared" si="277"/>
        <v>2P</v>
      </c>
      <c r="CX163" t="str">
        <f>_xlfn.LET(_xlpm.cc,UPPER(TRIM(IFERROR(_xlfn.XLOOKUP(AX163,Коды_код,Коды_хар)&amp;"",""))),IF(OR(_xlpm.cc="B",_xlpm.cc="В"),"B",IF(_xlpm.cc="D","D","С")))</f>
        <v>С</v>
      </c>
      <c r="CY163" t="str">
        <f t="shared" si="278"/>
        <v>2P С16А 30мА</v>
      </c>
      <c r="CZ163">
        <f t="shared" si="279"/>
        <v>16</v>
      </c>
      <c r="DA163" t="str">
        <f t="shared" si="280"/>
        <v>2P С16А 30мА</v>
      </c>
      <c r="DB163" cm="1">
        <f t="array" ref="DB163">IF(DA163="","",_xlfn.LET(_xlpm.t,SUBSTITUTE(SUBSTITUTE(SUBSTITUTE(UPPER(DA163),"С","C"),"А","A"),"В","B"),_xlpm.tk,_xlfn.TEXTSPLIT(_xlpm.t,"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3" t="str">
        <f t="shared" si="281"/>
        <v>ok</v>
      </c>
      <c r="DD163">
        <f t="shared" si="282"/>
        <v>16</v>
      </c>
      <c r="DE163" t="str">
        <f t="shared" si="283"/>
        <v>2P С16А 30мА</v>
      </c>
      <c r="DF163">
        <f t="shared" si="284"/>
        <v>30</v>
      </c>
      <c r="DG163">
        <f t="shared" si="285"/>
        <v>1</v>
      </c>
      <c r="DH163">
        <f t="shared" si="286"/>
        <v>0</v>
      </c>
      <c r="DI163">
        <f t="shared" si="287"/>
        <v>0.8204451193747313</v>
      </c>
      <c r="DJ163">
        <f t="shared" si="288"/>
        <v>1</v>
      </c>
      <c r="DK163">
        <f>IF(ISNUMBER(AL163),AL163,К_прокл)</f>
        <v>1</v>
      </c>
      <c r="DL163">
        <f t="shared" si="289"/>
        <v>2</v>
      </c>
      <c r="DM163">
        <f>IFERROR(N(VLOOKUP(BT163,Кабель_обозначение,3,FALSE)),1)</f>
        <v>1</v>
      </c>
      <c r="DN163">
        <f>IFERROR(N(_xlfn.XLOOKUP(A163,Щиты[Щит],Щиты[ΔU до шин, %])),0)</f>
        <v>1.57</v>
      </c>
      <c r="DO163" t="str">
        <f>IFERROR(_xlfn.XLOOKUP(A163,Щиты[Щит],Щиты[Zпетли на шинах, Ом]),"")</f>
        <v/>
      </c>
      <c r="DP163">
        <f>IFERROR(N(_xlfn.XLOOKUP(A163,Щиты[Щит],Щиты[ΔU до шин (подбор), %])),0)</f>
        <v>2.5</v>
      </c>
      <c r="DQ163" t="str">
        <f>IFERROR(_xlfn.XLOOKUP(A163,Щиты[Щит],Щиты[Zпетли на шинах (подбор), Ом]),"")</f>
        <v/>
      </c>
      <c r="DR163" t="str">
        <f t="shared" si="290"/>
        <v/>
      </c>
      <c r="DS163">
        <f t="shared" si="291"/>
        <v>39</v>
      </c>
      <c r="DT163">
        <f t="shared" si="292"/>
        <v>2</v>
      </c>
      <c r="DU163">
        <f t="shared" si="293"/>
        <v>0.31</v>
      </c>
      <c r="DV163" s="6">
        <f>IF(B163="","",IF(IFERROR(VLOOKUP(AX163,УГО_спр,2,FALSE),"")="Светильник",3,4)+IF(Методика="нормы 2026",MIN(0.5,MAX(0,N(Q163)-100)*0.005),0))</f>
        <v>4</v>
      </c>
      <c r="DW163" cm="1">
        <f t="array" ref="DW163">IF(OR(B163="",BT163="",DM163&lt;&gt;1),"",_xlfn.LET(_xlpm.sz,Iдоп_S,_xlpm.t_,CHOOSE(DL163,Iдоп_1ж,Iдоп_2ж,Iдоп_3ж)*DJ163*DK163,_xlpm.inn,N(DD163),_xlpm.smin,MAX(1.5,BW163),_xlpm.L_,N(Q163)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163)*(_xlpm.rho*_xlpm.L_/_xlpm.sz*N(BY163)+_xlpm.xx*_xlpm.L_*N(DU163)/1000)*N(P163)/((Uн_лин/SQRT(3))*1000)*100,999),_xlpm.kz,IF(OR(DG163=1,NOT(ISNUMBER(DQ163)),_xlpm.L_=0,_xlpm.inn=0),1,IFERROR(--(c_min*(Uн_лин*1000/SQRT(3))/(DQ163+2*ρкз_Cu*_xlpm.L_/_xlpm.sz)&gt;=GY163*_xlpm.inn),0)),_xlpm.ok,IFERROR((_xlpm.sz&gt;=_xlpm.smin)*(_xlpm.t_&gt;=_xlpm.inn)*IF(_xlpm.L_&gt;0,(_xlpm.du_+DP163&lt;=DV163+0.00001),1)*_xlpm.kz,0),_xlpm.r_,_xlfn._xlws.FILTER(_xlpm.sz,_xlpm.ok,"не подобрано"),INDEX(_xlpm.r_,1)))</f>
        <v>1.5</v>
      </c>
      <c r="DX163">
        <f t="shared" si="294"/>
        <v>2.5</v>
      </c>
      <c r="DY163" cm="1">
        <f t="array" ref="DY163">IF(OR(B163="",BT163="",DM163&lt;&gt;1),"",_xlfn.LET(_xlpm.sz,Iдоп_S,_xlpm.t_,CHOOSE(DL163,Iдоп_1ж,Iдоп_2ж,Iдоп_3ж)*DJ163*DK163,_xlpm.ok,IFERROR((_xlpm.sz&gt;=MAX(1.5,BW163))*(_xlpm.t_&gt;=N(DD163)),0),_xlpm.r_,_xlfn._xlws.FILTER(_xlpm.sz,_xlpm.ok,""),INDEX(_xlpm.r_,1)))</f>
        <v>1.5</v>
      </c>
      <c r="DZ163" s="6" cm="1">
        <f t="array" ref="DZ163">IFERROR(ROUNDUP(N(DT163)*(_xlfn.XLOOKUP(DY163,INDEX(Кабель_сопротивление,0,1),INDEX(Кабель_сопротивление,0,3))*N(Q163)/DY163*N(BY163)+_xlfn.XLOOKUP(DY163,INDEX(Кабель_сопротивление,0,1),INDEX(Кабель_сопротивление,0,2))*N(Q163)*N(DU163)/1000)*N(P163)/((Uн_лин/SQRT(3))*1000)*100,2),"")</f>
        <v>0.49</v>
      </c>
      <c r="EA163">
        <f>IFERROR(2*ρкз_Cu*N(Q163)/DY163,"")</f>
        <v>1.6832</v>
      </c>
      <c r="EB163">
        <f>IFERROR(VLOOKUP(DX163,Кабель_сопротивление,3,FALSE),"")</f>
        <v>2.2499999999999999E-2</v>
      </c>
      <c r="EC163">
        <f>IFERROR(VLOOKUP(DX163,Кабель_сопротивление,2,FALSE),"")</f>
        <v>0.1</v>
      </c>
      <c r="ED163">
        <f t="shared" si="295"/>
        <v>13</v>
      </c>
      <c r="EE163">
        <f t="shared" si="296"/>
        <v>0</v>
      </c>
      <c r="EF163">
        <f t="shared" si="297"/>
        <v>0.67586299865803867</v>
      </c>
      <c r="EG163" s="6">
        <f>IFERROR(ROUNDUP(EF163/((Uн_лин/SQRT(3))*1000)*100,2),"")</f>
        <v>0.3</v>
      </c>
      <c r="EH163" t="str">
        <f>IFERROR(VLOOKUP(BT163,Кабель_обозначение,2,FALSE),"")</f>
        <v>ВВГнг(А)-LS</v>
      </c>
      <c r="EI163" t="str">
        <f t="shared" si="298"/>
        <v>ВВГнг(А)-LS (3х2,5)</v>
      </c>
      <c r="EJ163" t="str">
        <f t="shared" si="299"/>
        <v>ВВГнг(А)-LS (3х2,5)
L=48-0,3%</v>
      </c>
      <c r="EK163">
        <f>IFERROR(2*ρкз_Cu*Q163/DX163,"")</f>
        <v>1.0099199999999999</v>
      </c>
      <c r="EL163">
        <f t="shared" si="300"/>
        <v>0.33600000000000002</v>
      </c>
      <c r="EM163" s="6" t="str">
        <f>IFERROR(IF(OR(B163="",NOT(ISNUMBER(DX163)),N(Q163)=0),"",_xlfn.XLOOKUP(A163,Щиты[Щит],Щиты[Zпетли на шинах, Ом])+EK163),"")</f>
        <v/>
      </c>
      <c r="EN163" s="6" t="str">
        <f>IF(ISNUMBER(EM163),c_min*(Uн_лин*1000/SQRT(3))/EM163,"")</f>
        <v/>
      </c>
      <c r="EO163" s="6" t="str">
        <f>IFERROR(IF(OR(B163="",NOT(ISNUMBER(DX163))),"",1.05*(Uн_лин*1000/SQRT(3))/(_xlfn.XLOOKUP(A163,Щиты[Щит],Щиты[Zmax на шинах, Ом])+EL163)/1000),"")</f>
        <v/>
      </c>
      <c r="EP163" s="6" t="str">
        <f>IF(B163="","",IF(ISNUMBER(Y163),"Сил",IF(IFERROR(_xlfn.XLOOKUP(AX163,Коды_код,Коды_группа)&amp;"","")="","Быт",_xlfn.XLOOKUP(AX163,Коды_код,Коды_группа)&amp;"")))</f>
        <v>Быт</v>
      </c>
      <c r="EQ163" s="6" t="str">
        <f t="shared" si="301"/>
        <v>Быт</v>
      </c>
      <c r="ER163" s="6">
        <f>IF(EQ163="Щит","щит",IF(EQ163="","",IF(EQ163="Быт",IFERROR(_xlfn.XLOOKUP(A163,Щиты[Щит],Щиты[Кс быт]),1),IF(EQ163="Сил",IF(ISNUMBER(Y163),Y163,IF(Методика="нормы 2026",IFERROR(_xlfn.XLOOKUP(A163,Щиты[Щит],Щиты[Кс силовых (табл. 7.5)]),1),1)),IF(OR(EQ163="Пост",EQ163="Отоп"),1,IF(EQ163="ВНГ",0.7,0))))))</f>
        <v>0.8</v>
      </c>
      <c r="ES163">
        <f t="shared" si="302"/>
        <v>1</v>
      </c>
      <c r="ET163">
        <f t="shared" si="303"/>
        <v>0.18</v>
      </c>
      <c r="EU163">
        <f t="shared" si="304"/>
        <v>0.18</v>
      </c>
      <c r="EV163">
        <f t="shared" si="305"/>
        <v>0</v>
      </c>
      <c r="EW163">
        <f t="shared" si="306"/>
        <v>0</v>
      </c>
      <c r="EX163">
        <f t="shared" si="307"/>
        <v>0</v>
      </c>
      <c r="EY163">
        <f t="shared" si="308"/>
        <v>0</v>
      </c>
      <c r="EZ163">
        <f t="shared" si="309"/>
        <v>0.18</v>
      </c>
      <c r="FA163">
        <f t="shared" si="310"/>
        <v>0.17099999999999999</v>
      </c>
      <c r="FB163">
        <f t="shared" si="311"/>
        <v>0.18</v>
      </c>
      <c r="FC163" t="str">
        <f t="shared" si="312"/>
        <v>L3</v>
      </c>
      <c r="FD163" t="str">
        <f>IF(B163="","",IF(CA163=0,IF(AW163=1,"",FF162),IF(OR(N(CV163)&gt;=3,N(BR163)&gt;=3),"L1,L2,L3",IFERROR(_xlfn.TEXTBEFORE(_xlfn.TEXTAFTER(_xlfn.XLOOKUP(A163,Щиты[Щит],Щиты[_фазы авто]),";"&amp;AW163&amp;":"),";"),"L1"))))</f>
        <v>L1</v>
      </c>
      <c r="FE163" t="str">
        <f t="shared" si="313"/>
        <v>L3</v>
      </c>
      <c r="FF163" t="str">
        <f t="shared" si="314"/>
        <v>L3</v>
      </c>
      <c r="FG163" cm="1">
        <f t="array" ref="FG163">IFERROR(IF(BX163=2,_xlfn.IFS(BR163=3,VLOOKUP(BN163,Справочная_двигатели,3,FALSE),BR163=1,VLOOKUP(BN163,Справочная_двигатели,5,TRUE)),0),0)</f>
        <v>0</v>
      </c>
      <c r="FH163">
        <f>IFERROR(IF(BX163=3,VLOOKUP(BN163,Справочная_ЛЭД,2,TRUE),0),0)</f>
        <v>0</v>
      </c>
      <c r="FI163" s="6">
        <f t="shared" si="315"/>
        <v>0</v>
      </c>
      <c r="FJ163" t="str" cm="1">
        <f t="array" ref="FJ163">IF(B163="","",IFERROR(INDEX({"I особая","I","II","III"},MATCH(TRIM(AC163&amp;""),{"I особая","I","II","III"},0)),"III"))</f>
        <v>II</v>
      </c>
      <c r="FK163" t="str">
        <f>IF(B163="","",IF(TRIM(AD163&amp;"")&lt;&gt;"",IF(LOWER(TRIM(AD163&amp;""))="да","да","нет"),IF(IFERROR(_xlfn.XLOOKUP(AX163,Коды_код,Коды_пожарная),"")="да","да","нет")))</f>
        <v>нет</v>
      </c>
      <c r="FL163" t="str">
        <f t="shared" si="316"/>
        <v/>
      </c>
      <c r="FM163" t="str">
        <f t="shared" si="317"/>
        <v>основная</v>
      </c>
      <c r="FN163">
        <f t="shared" si="318"/>
        <v>1</v>
      </c>
      <c r="FO163" t="str" cm="1">
        <f t="array" ref="FO163">IF(B163="","",_xlfn.LET(_xlpm.t,IFERROR(_xlfn.XLOOKUP(1,(Шины[Шина]=FM163)*(((Шины[Щит]=A163)+(Шины[Щит]=""))&gt;0),Шины[Тип]),"")&amp;"",IF(_xlpm.t&lt;&gt;"",_xlpm.t,IF(ISNUMBER(SEARCH("ИБП",FM163)),"ИБП",IF(ISNUMBER(SEARCH("ДГУ",FM163)),"ДГУ","Ввод "&amp;FN163)))))</f>
        <v>Ввод 1</v>
      </c>
      <c r="FP163" t="str">
        <f t="shared" si="319"/>
        <v>Ввод 1</v>
      </c>
      <c r="FQ163" t="str">
        <f>IF(B163="","",IF(OR(FO163="ИБП",FO163="ДГУ"),"I особая",IF(FO163="Одиночная","III",_xlfn.XLOOKUP(A163,Щиты[Щит],Щиты[Категория шины «Ввод»],"III"))))</f>
        <v>II</v>
      </c>
      <c r="FR163">
        <f>IF(B163="",0,IFERROR(MATCH(FJ163,{"III","II","I","I особая"},0),1))</f>
        <v>2</v>
      </c>
      <c r="FS163">
        <f t="shared" si="320"/>
        <v>2</v>
      </c>
      <c r="FT163" t="str">
        <f>IF(B163="","",IF(FR163&gt;IFERROR(MATCH(FQ163,{"III","II","I","I особая"},0),1),"НЕ ОБЕСПЕЧЕНА","ОК"))</f>
        <v>ОК</v>
      </c>
      <c r="FU163" t="str">
        <f>IF(A163="","",_xlfn.XLOOKUP(A163,Щиты[Щит],Щиты[Путь],""))</f>
        <v>|ГРЩ-ЖД|ЩР-001|</v>
      </c>
      <c r="FV163" t="str">
        <f>IF(B163="","",IF(AE163&lt;&gt;"",AE163,IF(IFERROR(_xlfn.XLOOKUP(AX163,Коды_код,Коды_вид)&amp;"","")="","Прочее",_xlfn.XLOOKUP(AX163,Коды_код,Коды_вид)&amp;"")))</f>
        <v>Розеточная сеть и бытовые приборы</v>
      </c>
      <c r="FW163">
        <f>IF(BH163="","",INT((BH163-1)/Столбцов_на_лист)+1)</f>
        <v>2</v>
      </c>
      <c r="FX163" t="str">
        <f t="shared" si="321"/>
        <v>ВВГнг(А)-LS (3х2,5) L=48-0,3%</v>
      </c>
      <c r="FY163">
        <f t="shared" si="322"/>
        <v>0.18</v>
      </c>
      <c r="FZ163">
        <f t="shared" si="323"/>
        <v>0.83</v>
      </c>
      <c r="GA163">
        <f t="shared" si="324"/>
        <v>1</v>
      </c>
      <c r="GB163">
        <f t="shared" si="325"/>
        <v>0</v>
      </c>
      <c r="GC163">
        <f t="shared" si="326"/>
        <v>1</v>
      </c>
      <c r="GD163">
        <f>IF(BH163="","",IF(AND(CA163=1,GC163=1),COUNTIFS(A$3:A163,A163,CA$3:CA163,1,GC$3:GC163,1),IF(OR(OR(AW163=1,A163&lt;&gt;A162),AF163="вручную",GC163=0),"",IF(AW163=1,"",GE162))))</f>
        <v>9</v>
      </c>
      <c r="GE163">
        <f t="shared" si="327"/>
        <v>9</v>
      </c>
      <c r="GF163">
        <f>IF(B163="","",IFERROR(LOOKUP(INDEX(CHOOSE(DL163,Iдоп_1ж,Iдоп_2ж,Iдоп_3ж),MATCH(DX163,Iдоп_S,0))*DJ163*DK163,{6,10,16,20,25,32,40,50,63,80,100,125,160,200,250,315,400,500,630}),""))</f>
        <v>25</v>
      </c>
      <c r="GG163" t="str">
        <f t="shared" si="328"/>
        <v>QFD9</v>
      </c>
      <c r="GH163" t="str">
        <f t="shared" si="329"/>
        <v>QFD9</v>
      </c>
      <c r="GI163" t="str">
        <f t="shared" si="330"/>
        <v/>
      </c>
      <c r="GJ163">
        <f t="shared" si="331"/>
        <v>0</v>
      </c>
      <c r="GK163" t="str">
        <f>IF(OR(AG163="",AG163="-"),"",IFERROR(VLOOKUP(AG163,Модули_спр,2,FALSE),"R"))</f>
        <v/>
      </c>
      <c r="GL163" t="str">
        <f>IF(GK163="","",GK163&amp;"."&amp;COUNTIFS(A$3:A163,A163,GK$3:GK163,GK163))</f>
        <v/>
      </c>
      <c r="GM163" t="str">
        <f t="shared" si="332"/>
        <v/>
      </c>
      <c r="GN163" t="str">
        <f t="shared" si="333"/>
        <v/>
      </c>
      <c r="GO163" t="str">
        <f t="shared" si="334"/>
        <v/>
      </c>
      <c r="GP163" t="str">
        <f t="shared" si="335"/>
        <v/>
      </c>
      <c r="GQ163">
        <f t="shared" si="336"/>
        <v>1</v>
      </c>
      <c r="GR163" t="str">
        <f>IF(GQ163=1,"XT"&amp;COUNTIFS(A$3:A163,A163,GQ$3:GQ163,1),"")</f>
        <v>XT9</v>
      </c>
      <c r="GS163" t="str">
        <f t="shared" si="337"/>
        <v>XT9</v>
      </c>
      <c r="GT163" t="str">
        <f t="shared" si="338"/>
        <v>QFD9</v>
      </c>
      <c r="GU163" t="str">
        <f t="shared" si="339"/>
        <v/>
      </c>
      <c r="GV163" t="str">
        <f t="shared" si="340"/>
        <v>ok</v>
      </c>
      <c r="GW163" t="str">
        <f>IF(OR(GO163="",GM163=""),"",IF(GO163&gt;IFERROR(VLOOKUP(GN163,Модули_спр,3,FALSE),99),"ЛИШНИЙ КАНАЛ",IF(AND(AH163&lt;&gt;"=",COUNTIFS(Линии[_модуль гр.],GM163,Линии[Канал (итог)],GO163,Линии[Канал],"&lt;&gt;=",Линии[Щит],A163)&gt;1),"ДУБЛЬ КАНАЛА","")))</f>
        <v/>
      </c>
      <c r="GX163" s="6" t="str">
        <f t="shared" si="341"/>
        <v/>
      </c>
      <c r="GY163">
        <f t="shared" si="342"/>
        <v>10</v>
      </c>
      <c r="GZ163" t="str">
        <f t="shared" si="343"/>
        <v/>
      </c>
      <c r="HA163" t="str">
        <f>IF(AND(B163="",GT163=""),"",_xlfn.TEXTJOIN("; ",TRUE,IF(AND(B163&lt;&gt;"",FE163=""),"нет фазы",""),IF(AND(B163&lt;&gt;"",N(FY163)=0,EQ163&lt;&gt;"Нет"),"нет мощности",""),IF(AND(GS163&lt;&gt;"",COUNTIFS(Линии[Щит],A163,Линии[Клемма (итог)],GS163)&gt;1),"дубль клеммы "&amp;GS163,""),IF(AND(GV163&lt;&gt;"",GV163&lt;&gt;"ok"),GV163,""),IF(GW163&lt;&gt;"",GW163,""),IF(AND(N(BV163)&gt;=4,N(BR163)=1),BV163&amp;" жил на 1 фазе",""),IF(AND(AX163="R",CA163=1,OR(N(CK163)=0,N(CK163)&gt;30)),"розетка без дифзащиты до 30 мА",""),IFERROR(IF(AND(ISNUMBER(R163),R163&gt;DV163),"потери "&amp;FIXED(R163,1)&amp;" % &gt; "&amp;DV163&amp;" %",""),""),IFERROR(IF(LEFT(GZ163,4)="мало","Iкз мало — отключение &gt; 0,4 с",""),""),IF(AND(B163&lt;&gt;"",BH163=""),"не на схеме",""),IF(AND(CA163=0,B163&lt;&gt;"",FE163&lt;&gt;"",IF(AW163=1,"",FF162)&lt;&gt;"",FE163&lt;&gt;IF(AW163=1,"",FF162)),"фаза не как у автомата группы ("&amp;IF(AW163=1,"",FF162)&amp;")","")))</f>
        <v/>
      </c>
      <c r="HB163" s="6">
        <f>IF(OR(CA163=0,DA163=""),"",_xlfn.LET(_xlpm.t,IFERROR(_xlfn.XLOOKUP(DA163,Каталог!$U$4:$U$500,Каталог!$G$4:$G$500),""),_xlpm.k,SEARCH("кА",_xlpm.t),IFERROR(--TRIM(RIGHT(SUBSTITUTE(MID(_xlpm.t,MAX(1,_xlpm.k-4),_xlpm.k-MAX(1,_xlpm.k-4))," ",REPT(" ",9)),5)),"")))</f>
        <v>6</v>
      </c>
      <c r="HC163" t="str">
        <f>IF(OR(HB163="",CA163=0),"",IF(_xlfn.XLOOKUP(A163,Щиты[Щит],Щиты[Iкз max на шинах, кА],"")="","",IF(HB163&lt;_xlfn.XLOOKUP(A163,Щиты[Щит],Щиты[Iкз max на шинах, кА]),"Icu "&amp;HB163&amp;" кА &lt; Iкз max","ok")))</f>
        <v/>
      </c>
      <c r="HD163" t="str">
        <f t="shared" si="344"/>
        <v/>
      </c>
      <c r="HE163" t="str">
        <f t="shared" si="345"/>
        <v>QFD9|XT9</v>
      </c>
      <c r="HF163" t="str">
        <f t="shared" si="346"/>
        <v>QFD9|XT9|кабель ВВГнг(А)-LS (3х2,5) → Розеточная группа, пом. 005А</v>
      </c>
      <c r="HG163" t="str" cm="1">
        <f t="array" ref="HG163">IF(HF163="","",_xlfn.LET(_xlpm.nd,_xlfn.TEXTSPLIT(HF163,"|"),IF(COLUMNS(_xlpm.nd)&gt;1,A163&amp;"¦"&amp;INDEX(_xlpm.nd,1)&amp;"¦"&amp;INDEX(_xlpm.nd,2),"")))</f>
        <v>ЩР-001¦QFD9¦XT9</v>
      </c>
      <c r="HH163" t="str">
        <f t="shared" si="347"/>
        <v>R.00.005А.1¦Розеточная группа, пом. 005А</v>
      </c>
      <c r="HI163" t="str" cm="1">
        <f t="array" ref="HI163">IF(HF163="","",_xlfn.LET(_xlpm.nd,_xlfn.TEXTSPLIT(HF163,"|"),IF(COLUMNS(_xlpm.nd)&gt;2,A163&amp;"¦"&amp;INDEX(_xlpm.nd,2)&amp;"¦"&amp;INDEX(_xlpm.nd,3),"")))</f>
        <v>ЩР-001¦XT9¦кабель ВВГнг(А)-LS (3х2,5) → Розеточная группа, пом. 005А</v>
      </c>
      <c r="HJ163" t="str">
        <f t="shared" si="348"/>
        <v>R.00.005А.1¦Розеточная группа, пом. 005А</v>
      </c>
      <c r="HK163" t="str" cm="1">
        <f t="array" ref="HK163">IF(HF163="","",_xlfn.LET(_xlpm.nd,_xlfn.TEXTSPLIT(HF163,"|"),IF(COLUMNS(_xlpm.nd)&gt;3,A163&amp;"¦"&amp;INDEX(_xlpm.nd,3)&amp;"¦"&amp;INDEX(_xlpm.nd,4),"")))</f>
        <v/>
      </c>
      <c r="HL163" t="str">
        <f t="shared" si="349"/>
        <v/>
      </c>
      <c r="HM163" t="str" cm="1">
        <f t="array" ref="HM163">IF(HF163="","",_xlfn.LET(_xlpm.nd,_xlfn.TEXTSPLIT(HF163,"|"),IF(COLUMNS(_xlpm.nd)&gt;4,A163&amp;"¦"&amp;INDEX(_xlpm.nd,4)&amp;"¦"&amp;INDEX(_xlpm.nd,5),"")))</f>
        <v/>
      </c>
      <c r="HN163" t="str">
        <f t="shared" si="350"/>
        <v/>
      </c>
      <c r="HO163" t="str" cm="1">
        <f t="array" ref="HO163">IF(HF163="","",_xlfn.LET(_xlpm.nd,_xlfn.TEXTSPLIT(HF163,"|"),IF(COLUMNS(_xlpm.nd)&gt;5,A163&amp;"¦"&amp;INDEX(_xlpm.nd,5)&amp;"¦"&amp;INDEX(_xlpm.nd,6),"")))</f>
        <v/>
      </c>
      <c r="HP163" t="str">
        <f t="shared" si="351"/>
        <v/>
      </c>
      <c r="HQ163" t="str" cm="1">
        <f t="array" ref="HQ163">IF(HF163="","",_xlfn.LET(_xlpm.nd,_xlfn.TEXTSPLIT(HF163,"|"),IF(COLUMNS(_xlpm.nd)&gt;6,A163&amp;"¦"&amp;INDEX(_xlpm.nd,6)&amp;"¦"&amp;INDEX(_xlpm.nd,7),"")))</f>
        <v/>
      </c>
      <c r="HR163" t="str">
        <f t="shared" si="352"/>
        <v/>
      </c>
      <c r="HS163" t="str">
        <f t="shared" si="353"/>
        <v/>
      </c>
      <c r="HT163" t="str">
        <f t="shared" si="354"/>
        <v>QFD9 → XT9</v>
      </c>
      <c r="HU163">
        <f t="shared" si="355"/>
        <v>0</v>
      </c>
      <c r="HV163">
        <f t="shared" si="356"/>
        <v>1</v>
      </c>
      <c r="HW163" t="str">
        <f t="shared" si="357"/>
        <v/>
      </c>
      <c r="HX163" t="str">
        <f t="shared" si="358"/>
        <v/>
      </c>
      <c r="HY163" t="str">
        <f t="shared" si="359"/>
        <v/>
      </c>
      <c r="HZ163" t="str">
        <f t="shared" si="360"/>
        <v/>
      </c>
      <c r="IA163" t="str">
        <f>IF(B163="","",IFERROR(VLOOKUP(B163,УГО_спр,2,FALSE),IFERROR(VLOOKUP(AX163,УГО_спр,2,FALSE),IFERROR(VLOOKUP(LEFT(AX163,2),УГО_спр,2,FALSE),""))))</f>
        <v>Розетка</v>
      </c>
      <c r="IB163" t="str">
        <f>IF(B163="","",IF(OR(IA163="",IA163=0),"BOX",IFERROR(IF(VLOOKUP(IA163,УГО_блоки,3,FALSE)&amp;""&lt;&gt;"",VLOOKUP(IA163,УГО_блоки,3,FALSE),VLOOKUP(IA163,УГО_блоки,2,FALSE)),IA163)))</f>
        <v>SOCKET</v>
      </c>
      <c r="IC163">
        <f t="shared" si="361"/>
        <v>1</v>
      </c>
      <c r="ID163" t="str">
        <f>IF(DA163="","",IF(COUNTIF(DA$3:DA163,DA163)=1,MAX(ID$2:ID162)+1,""))</f>
        <v/>
      </c>
      <c r="IE163" t="str">
        <f>IF(CO163="","",IF(COUNTIF(CO$3:CO163,CO163)+COUNTIF(CP$2:CP162,CO163)+COUNTIF(CQ$2:CQ162,CO163)=1,MAX(IE$2:IG162)+1,""))</f>
        <v/>
      </c>
      <c r="IF163" t="str">
        <f>IF(CP163="","",IF(COUNTIF(CO$3:CO163,CP163)+COUNTIF(CP$3:CP163,CP163)+COUNTIF(CQ$2:CQ162,CP163)=1,MAX(IE$2:IG162,IE163)+1,""))</f>
        <v/>
      </c>
      <c r="IG163" t="str">
        <f>IF(CQ163="","",IF(COUNTIF(CO$3:CO163,CQ163)+COUNTIF(CP$3:CP163,CQ163)+COUNTIF(CQ$3:CQ163,CQ163)=1,MAX(IE$2:IG162,IE163,IF163)+1,""))</f>
        <v/>
      </c>
      <c r="IH163" t="str">
        <f t="shared" si="362"/>
        <v>3х2,5</v>
      </c>
      <c r="II163" t="str">
        <f>IF(IH163="","",IF(COUNTIF(IH$3:IH163,IH163)=1,MAX(II$2:II162)+1,""))</f>
        <v/>
      </c>
      <c r="IJ163" t="str">
        <f>IF(GL163="","",COUNTIF(GL$3:GL163,"?*"))</f>
        <v/>
      </c>
      <c r="IK163" t="str">
        <f>IF(OR(GL163="",GN163=""),"",IF(COUNTIFS(GL$3:GL163,"?*",GN$3:GN163,GN163)=1,MAX(IK$2:IK162)+1,""))</f>
        <v/>
      </c>
      <c r="IL163">
        <f t="shared" si="363"/>
        <v>0</v>
      </c>
      <c r="IM163">
        <f>IF(B163="","",COUNTIF(B$3:B163,"?*"))</f>
        <v>161</v>
      </c>
      <c r="IN163">
        <f>IF(GQ163&lt;&gt;1,0,_xlfn.LET(_xlpm.k,MAX(IFERROR(--VLOOKUP(B163,УГО_спр,5,FALSE),0),IFERROR(--VLOOKUP(AX163,УГО_спр,5,FALSE),0),IFERROR(--VLOOKUP(LEFT(AX163,2),УГО_спр,5,FALSE),0)),IF(_xlpm.k&gt;0,_xlpm.k,IF(IFERROR(--LEFT(SUBSTITUTE(IH163,"x","х"),FIND("х",SUBSTITUTE(IH163,"x","х"))-1),3)&gt;3,Каталог!$S$9,1))))</f>
        <v>1</v>
      </c>
      <c r="IO163">
        <f t="shared" si="364"/>
        <v>0</v>
      </c>
      <c r="IP163" t="str">
        <f t="shared" si="365"/>
        <v>авто</v>
      </c>
      <c r="IQ163">
        <f t="shared" si="366"/>
        <v>30</v>
      </c>
      <c r="IR163">
        <f t="shared" si="367"/>
        <v>1</v>
      </c>
      <c r="IS163">
        <f t="shared" si="368"/>
        <v>1</v>
      </c>
    </row>
    <row r="164" spans="1:253" x14ac:dyDescent="0.3">
      <c r="A164" t="s">
        <v>755</v>
      </c>
      <c r="B164" t="s">
        <v>1431</v>
      </c>
      <c r="C164" t="str">
        <f>Линии[[#This Row],[_авто наименование]]</f>
        <v>Розеточная группа, пом. 004А</v>
      </c>
      <c r="D164">
        <v>4</v>
      </c>
      <c r="E164">
        <v>0.36</v>
      </c>
      <c r="G164">
        <v>16</v>
      </c>
      <c r="H164">
        <f>Линии[[#This Row],[_авто утечка]]</f>
        <v>30</v>
      </c>
      <c r="I164" t="str">
        <f>Линии[[#This Row],[_авто управление]]</f>
        <v/>
      </c>
      <c r="J164" t="str">
        <f>Линии[[#This Row],[_авто аппараты]]</f>
        <v/>
      </c>
      <c r="K164">
        <v>2.5</v>
      </c>
      <c r="L164">
        <v>62</v>
      </c>
      <c r="M164">
        <v>3</v>
      </c>
      <c r="N164" t="s">
        <v>486</v>
      </c>
      <c r="O164" t="str">
        <f t="shared" si="246"/>
        <v/>
      </c>
      <c r="P164" s="6" cm="1">
        <f t="array" ref="P164">IF(B164="","",IF(BC164&lt;&gt;"",IFERROR(_xlfn.XLOOKUP(BC164,Щиты[Щит],Щиты[Iр, А]),""),IF(BK164=1,IFERROR(_xlfn.XLOOKUP(A164,Щиты[Щит],Щиты[Iр, А]),""),IFERROR(_xlfn.IFS(BR164=1,BN164/((Uн_лин/SQRT(3))*BY164),BR164=3,BN164/(SQRT(3)*Uн_лин*BY164)),""))))</f>
        <v>1.6408902387494626</v>
      </c>
      <c r="Q164" s="7">
        <f>IF(B164="","",IFERROR(IF(VLOOKUP(AX164,Потребители_обозначение,4,FALSE)=1,VLOOKUP(AX164,Потребители_обозначение,3,FALSE)*(D164*2-1)+DS164+VLOOKUP(AZ164,Этаж_обозначение,3,FALSE)+VLOOKUP(AZ164,Этаж_обозначение,4,FALSE),VLOOKUP(AX164,Потребители_обозначение,3,FALSE)*(D164*2-1)+DS164),DS164))</f>
        <v>83</v>
      </c>
      <c r="R164" s="6">
        <f t="shared" si="247"/>
        <v>2.59</v>
      </c>
      <c r="S164" t="str">
        <f t="shared" si="248"/>
        <v>ВВГнг(А)-LS (3х2,5)</v>
      </c>
      <c r="T164" t="str">
        <f>IF(BH164="","",IF(BI164="вводной узел","узел ","")&amp;"л."&amp;(INT((BH164-1)/Столбцов_на_лист)+1)&amp;" / "&amp;(MOD(BH164-1,Столбцов_на_лист)+1))</f>
        <v>л.2 / 12</v>
      </c>
      <c r="V164">
        <v>1</v>
      </c>
      <c r="W164">
        <v>230</v>
      </c>
      <c r="X164" t="s">
        <v>564</v>
      </c>
      <c r="AC164" t="s">
        <v>815</v>
      </c>
      <c r="AE164" t="s">
        <v>563</v>
      </c>
      <c r="AI164">
        <v>29</v>
      </c>
      <c r="AJ164" t="s">
        <v>11</v>
      </c>
      <c r="AK164">
        <v>3</v>
      </c>
      <c r="AM164">
        <v>35</v>
      </c>
      <c r="AN164">
        <v>48</v>
      </c>
      <c r="AO164">
        <v>0</v>
      </c>
      <c r="AW164" cm="1">
        <f t="array" ref="AW164">ROW()-ROW(Линии[#Headers])</f>
        <v>162</v>
      </c>
      <c r="AX164" s="6" t="str">
        <f t="shared" si="249"/>
        <v>R</v>
      </c>
      <c r="AY164" t="str">
        <f t="shared" si="250"/>
        <v>00.004А.1</v>
      </c>
      <c r="AZ164" t="str">
        <f t="shared" si="251"/>
        <v>00</v>
      </c>
      <c r="BA164" t="str">
        <f t="shared" si="252"/>
        <v>004А.1</v>
      </c>
      <c r="BB164" t="str">
        <f t="shared" si="253"/>
        <v>004А</v>
      </c>
      <c r="BC164" t="str">
        <f>IF(U164&lt;&gt;"",U164,IF(AND(B164&lt;&gt;"",B164&lt;&gt;A164,ISNUMBER(_xlfn.XMATCH(B164,Щиты[Щит]))),B164,""))</f>
        <v/>
      </c>
      <c r="BD164" t="str" cm="1">
        <f t="array" ref="BD164">IF(B164="","",IF(BC164&lt;&gt;"","Щит "&amp;BC164,_xlfn.LET(_xlpm.nm,IFERROR(_xlfn.XLOOKUP(AX164,Коды_код,Коды_имя)&amp;"",""),_xlpm.md,IFERROR(N(_xlfn.XLOOKUP(AX164,Коды_код,Коды_режим)),1),_xlpm.ex,IF(Имя_режим="по экспликации",IFERROR(_xlfn.XLOOKUP(AZ164&amp;"|"&amp;BB164,Экспликация[Этаж]&amp;"|"&amp;Экспликация[Помещение],Экспликация[Название])&amp;"",""),""),_xlpm.rm,IF(BB164="","",IF(_xlpm.ex&lt;&gt;"",". "&amp;_xlpm.ex&amp;IF(Имя_пом="нет"," ("&amp;BB164&amp;")"," (пом. "&amp;BB164&amp;")"),IF(Имя_пом="нет"," ",", пом. ")&amp;BB164)),IF(_xlpm.nm="","",IF(_xlpm.md=2,_xlpm.nm&amp;" шлейф "&amp;AZ164,_xlpm.nm&amp;_xlpm.rm)))))</f>
        <v>Розеточная группа, пом. 004А</v>
      </c>
      <c r="BE164" t="str">
        <f t="shared" si="254"/>
        <v>Розеточная группа, пом. 004А</v>
      </c>
      <c r="BF164">
        <f>IFERROR(_xlfn.XMATCH(A164,Щиты[Щит]),0)</f>
        <v>8</v>
      </c>
      <c r="BG164">
        <f>_xlfn.LET(_xlpm.k,IFERROR(_xlfn.XLOOKUP(A164,Щиты[Щит],Щиты[Листов под вводной узел]),""),IF(_xlpm.k="",1,N(_xlpm.k))*Столбцов_на_лист)</f>
        <v>17</v>
      </c>
      <c r="BH164">
        <f t="shared" si="255"/>
        <v>29</v>
      </c>
      <c r="BI164" t="str">
        <f t="shared" si="256"/>
        <v>линии</v>
      </c>
      <c r="BJ164" s="6">
        <f>IFERROR(N(_xlfn.XLOOKUP(AX164,Коды_код,Коды_квт)),0)</f>
        <v>0</v>
      </c>
      <c r="BK164">
        <f t="shared" si="257"/>
        <v>0</v>
      </c>
      <c r="BL164" t="str">
        <f>IF(B164="","",IF(BC164&lt;&gt;"",IFERROR(_xlfn.XLOOKUP(BC164,Щиты[Щит],Щиты[Руст, кВт]),0),IF(BK164=1,IFERROR(_xlfn.XLOOKUP(A164,Щиты[Щит],Щиты[Руст, кВт]),0),IF(BJ164&gt;0,ROUND(BJ164*MAX(1,N(D164)),3),""))))</f>
        <v/>
      </c>
      <c r="BM164">
        <f t="shared" si="258"/>
        <v>0.36</v>
      </c>
      <c r="BN164" s="6">
        <f>IF(B164="","",IF(BC164&lt;&gt;"",IFERROR(_xlfn.XLOOKUP(BC164,Щиты[Щит],Щиты[Руст, кВт]),0),N(BM164)))</f>
        <v>0.36</v>
      </c>
      <c r="BO164" t="str">
        <f>IF(B164="","",IFERROR(IF(VLOOKUP(AX164,Потребители_обозначение,8,FALSE)=0,"",VLOOKUP(AX164,Потребители_обозначение,8,FALSE)),""))</f>
        <v/>
      </c>
      <c r="BP164">
        <f t="shared" si="259"/>
        <v>230</v>
      </c>
      <c r="BQ164">
        <f>IF(B164="","",IF(BC164&lt;&gt;"",3,IFERROR(IF(N(VLOOKUP(AX164,Потребители_обозначение,9,FALSE))=0,1,VLOOKUP(AX164,Потребители_обозначение,9,FALSE)),1)))</f>
        <v>1</v>
      </c>
      <c r="BR164">
        <f t="shared" si="260"/>
        <v>1</v>
      </c>
      <c r="BS164" t="str">
        <f>IF(B164="","",_xlfn.LET(_xlpm.bc,IFERROR(IF(VLOOKUP(AX164,Потребители_обозначение,6,FALSE)=0,"",VLOOKUP(AX164,Потребители_обозначение,6,FALSE)&amp;""),""),IF(AND(FK164="да",OR(_xlpm.bc="",_xlpm.bc="мс")),Марка_пож,IF(AND(_xlpm.bc="",BC164&lt;&gt;""),"мс",_xlpm.bc))))</f>
        <v/>
      </c>
      <c r="BT164" t="str">
        <f t="shared" si="261"/>
        <v>мс</v>
      </c>
      <c r="BU164">
        <f>IF(B164="","",_xlfn.LET(_xlpm.cc,IFERROR(N(VLOOKUP(AX164,Потребители_обозначение,7,FALSE)),0),IF(_xlpm.cc&gt;0,_xlpm.cc,IF(BT164="","",IF(N(BR164)=3,5,3)))))</f>
        <v>3</v>
      </c>
      <c r="BV164">
        <f t="shared" si="262"/>
        <v>3</v>
      </c>
      <c r="BW164">
        <f>IFERROR(N(VLOOKUP(AX164,Потребители_обозначение,10,FALSE)),0)</f>
        <v>0</v>
      </c>
      <c r="BX164">
        <f>IFERROR(VLOOKUP(AX164,Потребители_обозначение,5,FALSE),0)</f>
        <v>1</v>
      </c>
      <c r="BY164" s="6" cm="1">
        <f t="array" ref="BY164">IF(B164="","",IF(BC164&lt;&gt;"",IFERROR(_xlfn.XLOOKUP(BC164,Щиты[Щит],Щиты[cos φ]),0.95),IF(BK164=1,IFERROR(_xlfn.XLOOKUP(A164,Щиты[Щит],Щиты[cos φ]),0.95),IF(ISNUMBER(Z164),Z164,IFERROR(IF(BX164=2,_xlfn.IFS(BR164=3,VLOOKUP(BN164,Справочная_двигатели,8,FALSE),BR164=1,VLOOKUP(BN164,Справочная_двигатели,10,TRUE)),IF(AND(Методика="нормы 2026",EQ164="Сил"),0.8,0.95)),0.95)))))</f>
        <v>0.95</v>
      </c>
      <c r="BZ164">
        <f t="shared" si="263"/>
        <v>0</v>
      </c>
      <c r="CA164">
        <f t="shared" si="264"/>
        <v>1</v>
      </c>
      <c r="CB164">
        <f t="shared" si="265"/>
        <v>0</v>
      </c>
      <c r="CC164">
        <f t="shared" si="266"/>
        <v>0</v>
      </c>
      <c r="CD164">
        <f t="shared" si="267"/>
        <v>0</v>
      </c>
      <c r="CE164">
        <f t="shared" si="268"/>
        <v>0</v>
      </c>
      <c r="CF164">
        <f t="shared" si="269"/>
        <v>0</v>
      </c>
      <c r="CG164">
        <f>IF(AX164="",0,_xlfn.LET(_xlpm.v,IFERROR(VLOOKUP(B164,УГО_спр,3,FALSE),IFERROR(VLOOKUP(AX164,УГО_спр,3,FALSE),IFERROR(VLOOKUP(LEFT(AX164,2),УГО_спр,3,FALSE),""))),IF(_xlpm.v="да",30,IF(ISNUMBER(_xlpm.v),_xlpm.v,0))))</f>
        <v>30</v>
      </c>
      <c r="CH164">
        <f t="shared" si="270"/>
        <v>30</v>
      </c>
      <c r="CI164" t="str">
        <f>_xlfn.LET(_xlpm.k,IFERROR(_xlfn.XLOOKUP(AX164,Коды_код,Коды_утечка)&amp;"",""),IF(_xlpm.k="","дифавтомат",_xlpm.k))</f>
        <v>дифавтомат</v>
      </c>
      <c r="CJ164">
        <f t="shared" si="271"/>
        <v>30</v>
      </c>
      <c r="CK164">
        <f t="shared" si="272"/>
        <v>30</v>
      </c>
      <c r="CL164">
        <f>IF(B164="",0,IFERROR(--VLOOKUP(B164,УГО_спр,4,FALSE),IFERROR(--VLOOKUP(AX164,УГО_спр,4,FALSE),IFERROR(--VLOOKUP(LEFT(AX164,2),УГО_спр,4,FALSE),0))))</f>
        <v>16</v>
      </c>
      <c r="CM164" t="str">
        <f>IF(B164="","",IFERROR(_xlfn.XLOOKUP(AX164,Коды_код,Коды_апп)&amp;"",""))</f>
        <v/>
      </c>
      <c r="CN164" t="str">
        <f t="shared" si="273"/>
        <v/>
      </c>
      <c r="CO164" t="str" cm="1">
        <f t="array" ref="CO164">IF(TRIM(CN164&amp;"")="","",IFERROR(TRIM(INDEX(_xlfn.TEXTSPLIT(CN164&amp;";;;",";"),1)),""))</f>
        <v/>
      </c>
      <c r="CP164" t="str" cm="1">
        <f t="array" ref="CP164">IF(TRIM(CN164&amp;"")="","",IFERROR(TRIM(INDEX(_xlfn.TEXTSPLIT(CN164&amp;";;;",";"),2)),""))</f>
        <v/>
      </c>
      <c r="CQ164" t="str" cm="1">
        <f t="array" ref="CQ164">IF(TRIM(CN164&amp;"")="","",IFERROR(TRIM(INDEX(_xlfn.TEXTSPLIT(CN164&amp;";;;",";"),3)),""))</f>
        <v/>
      </c>
      <c r="CR164">
        <f t="shared" si="274"/>
        <v>0</v>
      </c>
      <c r="CS164" t="str">
        <f>IF(B164="","",_xlfn.LET(_xlpm.t,LOWER(AV164&amp;""),IF(ISNUMBER(SEARCH("dim",_xlpm.t)),"DIM",IF(ISNUMBER(SEARCH("dali",_xlpm.t)),"DALI",IF(OR(ISNUMBER(SEARCH("relay",_xlpm.t)),ISNUMBER(SEARCH("реле",_xlpm.t))),"Relay",IF(ISNUMBER(SEARCH("кнопк",_xlpm.t)),"",IFERROR(_xlfn.XLOOKUP(AX164,Коды_код,Коды_упр)&amp;"","")))))))</f>
        <v/>
      </c>
      <c r="CT164" t="str">
        <f t="shared" si="275"/>
        <v/>
      </c>
      <c r="CU164">
        <f>IF(B164="","",_xlfn.LET(_xlpm.ig,N(P164)+IF(AF164="вручную",0,N(CB164)),_xlpm.n0,IFERROR(VLOOKUP(_xlpm.ig,Автомат_номиналы,2,TRUE),0),_xlpm.mn,MAX(CL164,IF(AF164="вручную",0,N(CE164))),MAX(_xlpm.n0,_xlpm.mn,IF(CR164=1,Мин_автомат_БП,0))))</f>
        <v>16</v>
      </c>
      <c r="CV164">
        <f t="shared" si="276"/>
        <v>1</v>
      </c>
      <c r="CW164" t="str">
        <f t="shared" si="277"/>
        <v>2P</v>
      </c>
      <c r="CX164" t="str">
        <f>_xlfn.LET(_xlpm.cc,UPPER(TRIM(IFERROR(_xlfn.XLOOKUP(AX164,Коды_код,Коды_хар)&amp;"",""))),IF(OR(_xlpm.cc="B",_xlpm.cc="В"),"B",IF(_xlpm.cc="D","D","С")))</f>
        <v>С</v>
      </c>
      <c r="CY164" t="str">
        <f t="shared" si="278"/>
        <v>2P С16А 30мА</v>
      </c>
      <c r="CZ164">
        <f t="shared" si="279"/>
        <v>16</v>
      </c>
      <c r="DA164" t="str">
        <f t="shared" si="280"/>
        <v>2P С16А 30мА</v>
      </c>
      <c r="DB164" cm="1">
        <f t="array" ref="DB164">IF(DA164="","",_xlfn.LET(_xlpm.t,SUBSTITUTE(SUBSTITUTE(SUBSTITUTE(UPPER(DA164),"С","C"),"А","A"),"В","B"),_xlpm.tk,_xlfn.TEXTSPLIT(_xlpm.t,"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4" t="str">
        <f t="shared" si="281"/>
        <v>ok</v>
      </c>
      <c r="DD164">
        <f t="shared" si="282"/>
        <v>16</v>
      </c>
      <c r="DE164" t="str">
        <f t="shared" si="283"/>
        <v>2P С16А 30мА</v>
      </c>
      <c r="DF164">
        <f t="shared" si="284"/>
        <v>30</v>
      </c>
      <c r="DG164">
        <f t="shared" si="285"/>
        <v>1</v>
      </c>
      <c r="DH164">
        <f t="shared" si="286"/>
        <v>0</v>
      </c>
      <c r="DI164">
        <f t="shared" si="287"/>
        <v>1.6408902387494626</v>
      </c>
      <c r="DJ164">
        <f t="shared" si="288"/>
        <v>1</v>
      </c>
      <c r="DK164">
        <f>IF(ISNUMBER(AL164),AL164,К_прокл)</f>
        <v>1</v>
      </c>
      <c r="DL164">
        <f t="shared" si="289"/>
        <v>2</v>
      </c>
      <c r="DM164">
        <f>IFERROR(N(VLOOKUP(BT164,Кабель_обозначение,3,FALSE)),1)</f>
        <v>1</v>
      </c>
      <c r="DN164">
        <f>IFERROR(N(_xlfn.XLOOKUP(A164,Щиты[Щит],Щиты[ΔU до шин, %])),0)</f>
        <v>1.57</v>
      </c>
      <c r="DO164" t="str">
        <f>IFERROR(_xlfn.XLOOKUP(A164,Щиты[Щит],Щиты[Zпетли на шинах, Ом]),"")</f>
        <v/>
      </c>
      <c r="DP164">
        <f>IFERROR(N(_xlfn.XLOOKUP(A164,Щиты[Щит],Щиты[ΔU до шин (подбор), %])),0)</f>
        <v>2.5</v>
      </c>
      <c r="DQ164" t="str">
        <f>IFERROR(_xlfn.XLOOKUP(A164,Щиты[Щит],Щиты[Zпетли на шинах (подбор), Ом]),"")</f>
        <v/>
      </c>
      <c r="DR164" t="str">
        <f t="shared" si="290"/>
        <v/>
      </c>
      <c r="DS164">
        <f t="shared" si="291"/>
        <v>62</v>
      </c>
      <c r="DT164">
        <f t="shared" si="292"/>
        <v>2</v>
      </c>
      <c r="DU164">
        <f t="shared" si="293"/>
        <v>0.31</v>
      </c>
      <c r="DV164" s="6">
        <f>IF(B164="","",IF(IFERROR(VLOOKUP(AX164,УГО_спр,2,FALSE),"")="Светильник",3,4)+IF(Методика="нормы 2026",MIN(0.5,MAX(0,N(Q164)-100)*0.005),0))</f>
        <v>4</v>
      </c>
      <c r="DW164" cm="1">
        <f t="array" ref="DW164">IF(OR(B164="",BT164="",DM164&lt;&gt;1),"",_xlfn.LET(_xlpm.sz,Iдоп_S,_xlpm.t_,CHOOSE(DL164,Iдоп_1ж,Iдоп_2ж,Iдоп_3ж)*DJ164*DK164,_xlpm.inn,N(DD164),_xlpm.smin,MAX(1.5,BW164),_xlpm.L_,N(Q164)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164)*(_xlpm.rho*_xlpm.L_/_xlpm.sz*N(BY164)+_xlpm.xx*_xlpm.L_*N(DU164)/1000)*N(P164)/((Uн_лин/SQRT(3))*1000)*100,999),_xlpm.kz,IF(OR(DG164=1,NOT(ISNUMBER(DQ164)),_xlpm.L_=0,_xlpm.inn=0),1,IFERROR(--(c_min*(Uн_лин*1000/SQRT(3))/(DQ164+2*ρкз_Cu*_xlpm.L_/_xlpm.sz)&gt;=GY164*_xlpm.inn),0)),_xlpm.ok,IFERROR((_xlpm.sz&gt;=_xlpm.smin)*(_xlpm.t_&gt;=_xlpm.inn)*IF(_xlpm.L_&gt;0,(_xlpm.du_+DP164&lt;=DV164+0.00001),1)*_xlpm.kz,0),_xlpm.r_,_xlfn._xlws.FILTER(_xlpm.sz,_xlpm.ok,"не подобрано"),INDEX(_xlpm.r_,1)))</f>
        <v>2.5</v>
      </c>
      <c r="DX164">
        <f t="shared" si="294"/>
        <v>2.5</v>
      </c>
      <c r="DY164" cm="1">
        <f t="array" ref="DY164">IF(OR(B164="",BT164="",DM164&lt;&gt;1),"",_xlfn.LET(_xlpm.sz,Iдоп_S,_xlpm.t_,CHOOSE(DL164,Iдоп_1ж,Iдоп_2ж,Iдоп_3ж)*DJ164*DK164,_xlpm.ok,IFERROR((_xlpm.sz&gt;=MAX(1.5,BW164))*(_xlpm.t_&gt;=N(DD164)),0),_xlpm.r_,_xlfn._xlws.FILTER(_xlpm.sz,_xlpm.ok,""),INDEX(_xlpm.r_,1)))</f>
        <v>1.5</v>
      </c>
      <c r="DZ164" s="6" cm="1">
        <f t="array" ref="DZ164">IFERROR(ROUNDUP(N(DT164)*(_xlfn.XLOOKUP(DY164,INDEX(Кабель_сопротивление,0,1),INDEX(Кабель_сопротивление,0,3))*N(Q164)/DY164*N(BY164)+_xlfn.XLOOKUP(DY164,INDEX(Кабель_сопротивление,0,1),INDEX(Кабель_сопротивление,0,2))*N(Q164)*N(DU164)/1000)*N(P164)/((Uн_лин/SQRT(3))*1000)*100,2),"")</f>
        <v>1.69</v>
      </c>
      <c r="EA164">
        <f>IFERROR(2*ρкз_Cu*N(Q164)/DY164,"")</f>
        <v>2.9105333333333334</v>
      </c>
      <c r="EB164">
        <f>IFERROR(VLOOKUP(DX164,Кабель_сопротивление,3,FALSE),"")</f>
        <v>2.2499999999999999E-2</v>
      </c>
      <c r="EC164">
        <f>IFERROR(VLOOKUP(DX164,Кабель_сопротивление,2,FALSE),"")</f>
        <v>0.1</v>
      </c>
      <c r="ED164">
        <f t="shared" si="295"/>
        <v>48</v>
      </c>
      <c r="EE164">
        <f t="shared" si="296"/>
        <v>0</v>
      </c>
      <c r="EF164">
        <f t="shared" si="297"/>
        <v>2.337359537025717</v>
      </c>
      <c r="EG164" s="6">
        <f>IFERROR(ROUNDUP(EF164/((Uн_лин/SQRT(3))*1000)*100,2),"")</f>
        <v>1.02</v>
      </c>
      <c r="EH164" t="str">
        <f>IFERROR(VLOOKUP(BT164,Кабель_обозначение,2,FALSE),"")</f>
        <v>ВВГнг(А)-LS</v>
      </c>
      <c r="EI164" t="str">
        <f t="shared" si="298"/>
        <v>ВВГнг(А)-LS (3х2,5)</v>
      </c>
      <c r="EJ164" t="str">
        <f t="shared" si="299"/>
        <v>ВВГнг(А)-LS (3х2,5)
L=83-1,02%</v>
      </c>
      <c r="EK164">
        <f>IFERROR(2*ρкз_Cu*Q164/DX164,"")</f>
        <v>1.7463200000000001</v>
      </c>
      <c r="EL164">
        <f t="shared" si="300"/>
        <v>0.58100000000000007</v>
      </c>
      <c r="EM164" s="6" t="str">
        <f>IFERROR(IF(OR(B164="",NOT(ISNUMBER(DX164)),N(Q164)=0),"",_xlfn.XLOOKUP(A164,Щиты[Щит],Щиты[Zпетли на шинах, Ом])+EK164),"")</f>
        <v/>
      </c>
      <c r="EN164" s="6" t="str">
        <f>IF(ISNUMBER(EM164),c_min*(Uн_лин*1000/SQRT(3))/EM164,"")</f>
        <v/>
      </c>
      <c r="EO164" s="6" t="str">
        <f>IFERROR(IF(OR(B164="",NOT(ISNUMBER(DX164))),"",1.05*(Uн_лин*1000/SQRT(3))/(_xlfn.XLOOKUP(A164,Щиты[Щит],Щиты[Zmax на шинах, Ом])+EL164)/1000),"")</f>
        <v/>
      </c>
      <c r="EP164" s="6" t="str">
        <f>IF(B164="","",IF(ISNUMBER(Y164),"Сил",IF(IFERROR(_xlfn.XLOOKUP(AX164,Коды_код,Коды_группа)&amp;"","")="","Быт",_xlfn.XLOOKUP(AX164,Коды_код,Коды_группа)&amp;"")))</f>
        <v>Быт</v>
      </c>
      <c r="EQ164" s="6" t="str">
        <f t="shared" si="301"/>
        <v>Быт</v>
      </c>
      <c r="ER164" s="6">
        <f>IF(EQ164="Щит","щит",IF(EQ164="","",IF(EQ164="Быт",IFERROR(_xlfn.XLOOKUP(A164,Щиты[Щит],Щиты[Кс быт]),1),IF(EQ164="Сил",IF(ISNUMBER(Y164),Y164,IF(Методика="нормы 2026",IFERROR(_xlfn.XLOOKUP(A164,Щиты[Щит],Щиты[Кс силовых (табл. 7.5)]),1),1)),IF(OR(EQ164="Пост",EQ164="Отоп"),1,IF(EQ164="ВНГ",0.7,0))))))</f>
        <v>0.8</v>
      </c>
      <c r="ES164">
        <f t="shared" si="302"/>
        <v>1</v>
      </c>
      <c r="ET164">
        <f t="shared" si="303"/>
        <v>0.36</v>
      </c>
      <c r="EU164">
        <f t="shared" si="304"/>
        <v>0.36</v>
      </c>
      <c r="EV164">
        <f t="shared" si="305"/>
        <v>0</v>
      </c>
      <c r="EW164">
        <f t="shared" si="306"/>
        <v>0</v>
      </c>
      <c r="EX164">
        <f t="shared" si="307"/>
        <v>0</v>
      </c>
      <c r="EY164">
        <f t="shared" si="308"/>
        <v>0</v>
      </c>
      <c r="EZ164">
        <f t="shared" si="309"/>
        <v>0.36</v>
      </c>
      <c r="FA164">
        <f t="shared" si="310"/>
        <v>0.34199999999999997</v>
      </c>
      <c r="FB164">
        <f t="shared" si="311"/>
        <v>0.36</v>
      </c>
      <c r="FC164" t="str">
        <f t="shared" si="312"/>
        <v>L3</v>
      </c>
      <c r="FD164" t="str">
        <f>IF(B164="","",IF(CA164=0,IF(AW164=1,"",FF163),IF(OR(N(CV164)&gt;=3,N(BR164)&gt;=3),"L1,L2,L3",IFERROR(_xlfn.TEXTBEFORE(_xlfn.TEXTAFTER(_xlfn.XLOOKUP(A164,Щиты[Щит],Щиты[_фазы авто]),";"&amp;AW164&amp;":"),";"),"L1"))))</f>
        <v>L1</v>
      </c>
      <c r="FE164" t="str">
        <f t="shared" si="313"/>
        <v>L3</v>
      </c>
      <c r="FF164" t="str">
        <f t="shared" si="314"/>
        <v>L3</v>
      </c>
      <c r="FG164" cm="1">
        <f t="array" ref="FG164">IFERROR(IF(BX164=2,_xlfn.IFS(BR164=3,VLOOKUP(BN164,Справочная_двигатели,3,FALSE),BR164=1,VLOOKUP(BN164,Справочная_двигатели,5,TRUE)),0),0)</f>
        <v>0</v>
      </c>
      <c r="FH164">
        <f>IFERROR(IF(BX164=3,VLOOKUP(BN164,Справочная_ЛЭД,2,TRUE),0),0)</f>
        <v>0</v>
      </c>
      <c r="FI164" s="6">
        <f t="shared" si="315"/>
        <v>0</v>
      </c>
      <c r="FJ164" t="str" cm="1">
        <f t="array" ref="FJ164">IF(B164="","",IFERROR(INDEX({"I особая","I","II","III"},MATCH(TRIM(AC164&amp;""),{"I особая","I","II","III"},0)),"III"))</f>
        <v>II</v>
      </c>
      <c r="FK164" t="str">
        <f>IF(B164="","",IF(TRIM(AD164&amp;"")&lt;&gt;"",IF(LOWER(TRIM(AD164&amp;""))="да","да","нет"),IF(IFERROR(_xlfn.XLOOKUP(AX164,Коды_код,Коды_пожарная),"")="да","да","нет")))</f>
        <v>нет</v>
      </c>
      <c r="FL164" t="str">
        <f t="shared" si="316"/>
        <v/>
      </c>
      <c r="FM164" t="str">
        <f t="shared" si="317"/>
        <v>основная</v>
      </c>
      <c r="FN164">
        <f t="shared" si="318"/>
        <v>1</v>
      </c>
      <c r="FO164" t="str" cm="1">
        <f t="array" ref="FO164">IF(B164="","",_xlfn.LET(_xlpm.t,IFERROR(_xlfn.XLOOKUP(1,(Шины[Шина]=FM164)*(((Шины[Щит]=A164)+(Шины[Щит]=""))&gt;0),Шины[Тип]),"")&amp;"",IF(_xlpm.t&lt;&gt;"",_xlpm.t,IF(ISNUMBER(SEARCH("ИБП",FM164)),"ИБП",IF(ISNUMBER(SEARCH("ДГУ",FM164)),"ДГУ","Ввод "&amp;FN164)))))</f>
        <v>Ввод 1</v>
      </c>
      <c r="FP164" t="str">
        <f t="shared" si="319"/>
        <v>Ввод 1</v>
      </c>
      <c r="FQ164" t="str">
        <f>IF(B164="","",IF(OR(FO164="ИБП",FO164="ДГУ"),"I особая",IF(FO164="Одиночная","III",_xlfn.XLOOKUP(A164,Щиты[Щит],Щиты[Категория шины «Ввод»],"III"))))</f>
        <v>II</v>
      </c>
      <c r="FR164">
        <f>IF(B164="",0,IFERROR(MATCH(FJ164,{"III","II","I","I особая"},0),1))</f>
        <v>2</v>
      </c>
      <c r="FS164">
        <f t="shared" si="320"/>
        <v>2</v>
      </c>
      <c r="FT164" t="str">
        <f>IF(B164="","",IF(FR164&gt;IFERROR(MATCH(FQ164,{"III","II","I","I особая"},0),1),"НЕ ОБЕСПЕЧЕНА","ОК"))</f>
        <v>ОК</v>
      </c>
      <c r="FU164" t="str">
        <f>IF(A164="","",_xlfn.XLOOKUP(A164,Щиты[Щит],Щиты[Путь],""))</f>
        <v>|ГРЩ-ЖД|ЩР-001|</v>
      </c>
      <c r="FV164" t="str">
        <f>IF(B164="","",IF(AE164&lt;&gt;"",AE164,IF(IFERROR(_xlfn.XLOOKUP(AX164,Коды_код,Коды_вид)&amp;"","")="","Прочее",_xlfn.XLOOKUP(AX164,Коды_код,Коды_вид)&amp;"")))</f>
        <v>Розеточная сеть и бытовые приборы</v>
      </c>
      <c r="FW164">
        <f>IF(BH164="","",INT((BH164-1)/Столбцов_на_лист)+1)</f>
        <v>2</v>
      </c>
      <c r="FX164" t="str">
        <f t="shared" si="321"/>
        <v>ВВГнг(А)-LS (3х2,5) L=83-1,02%</v>
      </c>
      <c r="FY164">
        <f t="shared" si="322"/>
        <v>0.36</v>
      </c>
      <c r="FZ164">
        <f t="shared" si="323"/>
        <v>1.65</v>
      </c>
      <c r="GA164">
        <f t="shared" si="324"/>
        <v>1</v>
      </c>
      <c r="GB164">
        <f t="shared" si="325"/>
        <v>0</v>
      </c>
      <c r="GC164">
        <f t="shared" si="326"/>
        <v>1</v>
      </c>
      <c r="GD164">
        <f>IF(BH164="","",IF(AND(CA164=1,GC164=1),COUNTIFS(A$3:A164,A164,CA$3:CA164,1,GC$3:GC164,1),IF(OR(OR(AW164=1,A164&lt;&gt;A163),AF164="вручную",GC164=0),"",IF(AW164=1,"",GE163))))</f>
        <v>10</v>
      </c>
      <c r="GE164">
        <f t="shared" si="327"/>
        <v>10</v>
      </c>
      <c r="GF164">
        <f>IF(B164="","",IFERROR(LOOKUP(INDEX(CHOOSE(DL164,Iдоп_1ж,Iдоп_2ж,Iдоп_3ж),MATCH(DX164,Iдоп_S,0))*DJ164*DK164,{6,10,16,20,25,32,40,50,63,80,100,125,160,200,250,315,400,500,630}),""))</f>
        <v>25</v>
      </c>
      <c r="GG164" t="str">
        <f t="shared" si="328"/>
        <v>QFD10</v>
      </c>
      <c r="GH164" t="str">
        <f t="shared" si="329"/>
        <v>QFD10</v>
      </c>
      <c r="GI164" t="str">
        <f t="shared" si="330"/>
        <v/>
      </c>
      <c r="GJ164">
        <f t="shared" si="331"/>
        <v>0</v>
      </c>
      <c r="GK164" t="str">
        <f>IF(OR(AG164="",AG164="-"),"",IFERROR(VLOOKUP(AG164,Модули_спр,2,FALSE),"R"))</f>
        <v/>
      </c>
      <c r="GL164" t="str">
        <f>IF(GK164="","",GK164&amp;"."&amp;COUNTIFS(A$3:A164,A164,GK$3:GK164,GK164))</f>
        <v/>
      </c>
      <c r="GM164" t="str">
        <f t="shared" si="332"/>
        <v/>
      </c>
      <c r="GN164" t="str">
        <f t="shared" si="333"/>
        <v/>
      </c>
      <c r="GO164" t="str">
        <f t="shared" si="334"/>
        <v/>
      </c>
      <c r="GP164" t="str">
        <f t="shared" si="335"/>
        <v/>
      </c>
      <c r="GQ164">
        <f t="shared" si="336"/>
        <v>1</v>
      </c>
      <c r="GR164" t="str">
        <f>IF(GQ164=1,"XT"&amp;COUNTIFS(A$3:A164,A164,GQ$3:GQ164,1),"")</f>
        <v>XT10</v>
      </c>
      <c r="GS164" t="str">
        <f t="shared" si="337"/>
        <v/>
      </c>
      <c r="GT164" t="str">
        <f t="shared" si="338"/>
        <v>QFD10</v>
      </c>
      <c r="GU164" t="str">
        <f t="shared" si="339"/>
        <v/>
      </c>
      <c r="GV164" t="str">
        <f t="shared" si="340"/>
        <v>ok</v>
      </c>
      <c r="GW164" t="str">
        <f>IF(OR(GO164="",GM164=""),"",IF(GO164&gt;IFERROR(VLOOKUP(GN164,Модули_спр,3,FALSE),99),"ЛИШНИЙ КАНАЛ",IF(AND(AH164&lt;&gt;"=",COUNTIFS(Линии[_модуль гр.],GM164,Линии[Канал (итог)],GO164,Линии[Канал],"&lt;&gt;=",Линии[Щит],A164)&gt;1),"ДУБЛЬ КАНАЛА","")))</f>
        <v/>
      </c>
      <c r="GX164" s="6" t="str">
        <f t="shared" si="341"/>
        <v/>
      </c>
      <c r="GY164">
        <f t="shared" si="342"/>
        <v>10</v>
      </c>
      <c r="GZ164" t="str">
        <f t="shared" si="343"/>
        <v/>
      </c>
      <c r="HA164" t="str">
        <f>IF(AND(B164="",GT164=""),"",_xlfn.TEXTJOIN("; ",TRUE,IF(AND(B164&lt;&gt;"",FE164=""),"нет фазы",""),IF(AND(B164&lt;&gt;"",N(FY164)=0,EQ164&lt;&gt;"Нет"),"нет мощности",""),IF(AND(GS164&lt;&gt;"",COUNTIFS(Линии[Щит],A164,Линии[Клемма (итог)],GS164)&gt;1),"дубль клеммы "&amp;GS164,""),IF(AND(GV164&lt;&gt;"",GV164&lt;&gt;"ok"),GV164,""),IF(GW164&lt;&gt;"",GW164,""),IF(AND(N(BV164)&gt;=4,N(BR164)=1),BV164&amp;" жил на 1 фазе",""),IF(AND(AX164="R",CA164=1,OR(N(CK164)=0,N(CK164)&gt;30)),"розетка без дифзащиты до 30 мА",""),IFERROR(IF(AND(ISNUMBER(R164),R164&gt;DV164),"потери "&amp;FIXED(R164,1)&amp;" % &gt; "&amp;DV164&amp;" %",""),""),IFERROR(IF(LEFT(GZ164,4)="мало","Iкз мало — отключение &gt; 0,4 с",""),""),IF(AND(B164&lt;&gt;"",BH164=""),"не на схеме",""),IF(AND(CA164=0,B164&lt;&gt;"",FE164&lt;&gt;"",IF(AW164=1,"",FF163)&lt;&gt;"",FE164&lt;&gt;IF(AW164=1,"",FF163)),"фаза не как у автомата группы ("&amp;IF(AW164=1,"",FF163)&amp;")","")))</f>
        <v/>
      </c>
      <c r="HB164" s="6">
        <f>IF(OR(CA164=0,DA164=""),"",_xlfn.LET(_xlpm.t,IFERROR(_xlfn.XLOOKUP(DA164,Каталог!$U$4:$U$500,Каталог!$G$4:$G$500),""),_xlpm.k,SEARCH("кА",_xlpm.t),IFERROR(--TRIM(RIGHT(SUBSTITUTE(MID(_xlpm.t,MAX(1,_xlpm.k-4),_xlpm.k-MAX(1,_xlpm.k-4))," ",REPT(" ",9)),5)),"")))</f>
        <v>6</v>
      </c>
      <c r="HC164" t="str">
        <f>IF(OR(HB164="",CA164=0),"",IF(_xlfn.XLOOKUP(A164,Щиты[Щит],Щиты[Iкз max на шинах, кА],"")="","",IF(HB164&lt;_xlfn.XLOOKUP(A164,Щиты[Щит],Щиты[Iкз max на шинах, кА]),"Icu "&amp;HB164&amp;" кА &lt; Iкз max","ok")))</f>
        <v/>
      </c>
      <c r="HD164" t="str">
        <f t="shared" si="344"/>
        <v/>
      </c>
      <c r="HE164" t="str">
        <f t="shared" si="345"/>
        <v>QFD10</v>
      </c>
      <c r="HF164" t="str">
        <f t="shared" si="346"/>
        <v>QFD10|кабель ВВГнг(А)-LS (3х2,5) → Розеточная группа, пом. 004А</v>
      </c>
      <c r="HG164" t="str" cm="1">
        <f t="array" ref="HG164">IF(HF164="","",_xlfn.LET(_xlpm.nd,_xlfn.TEXTSPLIT(HF164,"|"),IF(COLUMNS(_xlpm.nd)&gt;1,A164&amp;"¦"&amp;INDEX(_xlpm.nd,1)&amp;"¦"&amp;INDEX(_xlpm.nd,2),"")))</f>
        <v>ЩР-001¦QFD10¦кабель ВВГнг(А)-LS (3х2,5) → Розеточная группа, пом. 004А</v>
      </c>
      <c r="HH164" t="str">
        <f t="shared" si="347"/>
        <v>R.00.004А.1¦Розеточная группа, пом. 004А</v>
      </c>
      <c r="HI164" t="str" cm="1">
        <f t="array" ref="HI164">IF(HF164="","",_xlfn.LET(_xlpm.nd,_xlfn.TEXTSPLIT(HF164,"|"),IF(COLUMNS(_xlpm.nd)&gt;2,A164&amp;"¦"&amp;INDEX(_xlpm.nd,2)&amp;"¦"&amp;INDEX(_xlpm.nd,3),"")))</f>
        <v/>
      </c>
      <c r="HJ164" t="str">
        <f t="shared" si="348"/>
        <v/>
      </c>
      <c r="HK164" t="str" cm="1">
        <f t="array" ref="HK164">IF(HF164="","",_xlfn.LET(_xlpm.nd,_xlfn.TEXTSPLIT(HF164,"|"),IF(COLUMNS(_xlpm.nd)&gt;3,A164&amp;"¦"&amp;INDEX(_xlpm.nd,3)&amp;"¦"&amp;INDEX(_xlpm.nd,4),"")))</f>
        <v/>
      </c>
      <c r="HL164" t="str">
        <f t="shared" si="349"/>
        <v/>
      </c>
      <c r="HM164" t="str" cm="1">
        <f t="array" ref="HM164">IF(HF164="","",_xlfn.LET(_xlpm.nd,_xlfn.TEXTSPLIT(HF164,"|"),IF(COLUMNS(_xlpm.nd)&gt;4,A164&amp;"¦"&amp;INDEX(_xlpm.nd,4)&amp;"¦"&amp;INDEX(_xlpm.nd,5),"")))</f>
        <v/>
      </c>
      <c r="HN164" t="str">
        <f t="shared" si="350"/>
        <v/>
      </c>
      <c r="HO164" t="str" cm="1">
        <f t="array" ref="HO164">IF(HF164="","",_xlfn.LET(_xlpm.nd,_xlfn.TEXTSPLIT(HF164,"|"),IF(COLUMNS(_xlpm.nd)&gt;5,A164&amp;"¦"&amp;INDEX(_xlpm.nd,5)&amp;"¦"&amp;INDEX(_xlpm.nd,6),"")))</f>
        <v/>
      </c>
      <c r="HP164" t="str">
        <f t="shared" si="351"/>
        <v/>
      </c>
      <c r="HQ164" t="str" cm="1">
        <f t="array" ref="HQ164">IF(HF164="","",_xlfn.LET(_xlpm.nd,_xlfn.TEXTSPLIT(HF164,"|"),IF(COLUMNS(_xlpm.nd)&gt;6,A164&amp;"¦"&amp;INDEX(_xlpm.nd,6)&amp;"¦"&amp;INDEX(_xlpm.nd,7),"")))</f>
        <v/>
      </c>
      <c r="HR164" t="str">
        <f t="shared" si="352"/>
        <v/>
      </c>
      <c r="HS164" t="str">
        <f t="shared" si="353"/>
        <v/>
      </c>
      <c r="HT164" t="str">
        <f t="shared" si="354"/>
        <v>QFD10</v>
      </c>
      <c r="HU164">
        <f t="shared" si="355"/>
        <v>0</v>
      </c>
      <c r="HV164">
        <f t="shared" si="356"/>
        <v>1</v>
      </c>
      <c r="HW164" t="str">
        <f t="shared" si="357"/>
        <v/>
      </c>
      <c r="HX164" t="str">
        <f t="shared" si="358"/>
        <v/>
      </c>
      <c r="HY164" t="str">
        <f t="shared" si="359"/>
        <v/>
      </c>
      <c r="HZ164" t="str">
        <f t="shared" si="360"/>
        <v/>
      </c>
      <c r="IA164" t="str">
        <f>IF(B164="","",IFERROR(VLOOKUP(B164,УГО_спр,2,FALSE),IFERROR(VLOOKUP(AX164,УГО_спр,2,FALSE),IFERROR(VLOOKUP(LEFT(AX164,2),УГО_спр,2,FALSE),""))))</f>
        <v>Розетка</v>
      </c>
      <c r="IB164" t="str">
        <f>IF(B164="","",IF(OR(IA164="",IA164=0),"BOX",IFERROR(IF(VLOOKUP(IA164,УГО_блоки,3,FALSE)&amp;""&lt;&gt;"",VLOOKUP(IA164,УГО_блоки,3,FALSE),VLOOKUP(IA164,УГО_блоки,2,FALSE)),IA164)))</f>
        <v>SOCKET</v>
      </c>
      <c r="IC164">
        <f t="shared" si="361"/>
        <v>1</v>
      </c>
      <c r="ID164" t="str">
        <f>IF(DA164="","",IF(COUNTIF(DA$3:DA164,DA164)=1,MAX(ID$2:ID163)+1,""))</f>
        <v/>
      </c>
      <c r="IE164" t="str">
        <f>IF(CO164="","",IF(COUNTIF(CO$3:CO164,CO164)+COUNTIF(CP$2:CP163,CO164)+COUNTIF(CQ$2:CQ163,CO164)=1,MAX(IE$2:IG163)+1,""))</f>
        <v/>
      </c>
      <c r="IF164" t="str">
        <f>IF(CP164="","",IF(COUNTIF(CO$3:CO164,CP164)+COUNTIF(CP$3:CP164,CP164)+COUNTIF(CQ$2:CQ163,CP164)=1,MAX(IE$2:IG163,IE164)+1,""))</f>
        <v/>
      </c>
      <c r="IG164" t="str">
        <f>IF(CQ164="","",IF(COUNTIF(CO$3:CO164,CQ164)+COUNTIF(CP$3:CP164,CQ164)+COUNTIF(CQ$3:CQ164,CQ164)=1,MAX(IE$2:IG163,IE164,IF164)+1,""))</f>
        <v/>
      </c>
      <c r="IH164" t="str">
        <f t="shared" si="362"/>
        <v>3х2,5</v>
      </c>
      <c r="II164" t="str">
        <f>IF(IH164="","",IF(COUNTIF(IH$3:IH164,IH164)=1,MAX(II$2:II163)+1,""))</f>
        <v/>
      </c>
      <c r="IJ164" t="str">
        <f>IF(GL164="","",COUNTIF(GL$3:GL164,"?*"))</f>
        <v/>
      </c>
      <c r="IK164" t="str">
        <f>IF(OR(GL164="",GN164=""),"",IF(COUNTIFS(GL$3:GL164,"?*",GN$3:GN164,GN164)=1,MAX(IK$2:IK163)+1,""))</f>
        <v/>
      </c>
      <c r="IL164">
        <f t="shared" si="363"/>
        <v>0</v>
      </c>
      <c r="IM164">
        <f>IF(B164="","",COUNTIF(B$3:B164,"?*"))</f>
        <v>162</v>
      </c>
      <c r="IN164">
        <f>IF(GQ164&lt;&gt;1,0,_xlfn.LET(_xlpm.k,MAX(IFERROR(--VLOOKUP(B164,УГО_спр,5,FALSE),0),IFERROR(--VLOOKUP(AX164,УГО_спр,5,FALSE),0),IFERROR(--VLOOKUP(LEFT(AX164,2),УГО_спр,5,FALSE),0)),IF(_xlpm.k&gt;0,_xlpm.k,IF(IFERROR(--LEFT(SUBSTITUTE(IH164,"x","х"),FIND("х",SUBSTITUTE(IH164,"x","х"))-1),3)&gt;3,Каталог!$S$9,1))))</f>
        <v>1</v>
      </c>
      <c r="IO164">
        <f t="shared" si="364"/>
        <v>0</v>
      </c>
      <c r="IP164" t="str">
        <f t="shared" si="365"/>
        <v>авто</v>
      </c>
      <c r="IQ164">
        <f t="shared" si="366"/>
        <v>30</v>
      </c>
      <c r="IR164">
        <f t="shared" si="367"/>
        <v>1</v>
      </c>
      <c r="IS164">
        <f t="shared" si="368"/>
        <v>1</v>
      </c>
    </row>
    <row r="165" spans="1:253" x14ac:dyDescent="0.3">
      <c r="A165" t="s">
        <v>755</v>
      </c>
      <c r="B165" t="s">
        <v>1432</v>
      </c>
      <c r="C165" t="str">
        <f>Линии[[#This Row],[_авто наименование]]</f>
        <v>Розеточная группа, пом. 001А</v>
      </c>
      <c r="D165">
        <v>1</v>
      </c>
      <c r="E165">
        <v>0.12</v>
      </c>
      <c r="G165">
        <v>16</v>
      </c>
      <c r="H165">
        <f>Линии[[#This Row],[_авто утечка]]</f>
        <v>30</v>
      </c>
      <c r="I165" t="str">
        <f>Линии[[#This Row],[_авто управление]]</f>
        <v/>
      </c>
      <c r="J165" t="str">
        <f>Линии[[#This Row],[_авто аппараты]]</f>
        <v/>
      </c>
      <c r="K165">
        <v>2.5</v>
      </c>
      <c r="L165">
        <v>35</v>
      </c>
      <c r="M165">
        <v>1</v>
      </c>
      <c r="N165" t="str">
        <f>Линии[[#This Row],[_авто клемма]]</f>
        <v>XT11</v>
      </c>
      <c r="O165" t="str">
        <f t="shared" si="246"/>
        <v/>
      </c>
      <c r="P165" s="6" cm="1">
        <f t="array" ref="P165">IF(B165="","",IF(BC165&lt;&gt;"",IFERROR(_xlfn.XLOOKUP(BC165,Щиты[Щит],Щиты[Iр, А]),""),IF(BK165=1,IFERROR(_xlfn.XLOOKUP(A165,Щиты[Щит],Щиты[Iр, А]),""),IFERROR(_xlfn.IFS(BR165=1,BN165/((Uн_лин/SQRT(3))*BY165),BR165=3,BN165/(SQRT(3)*Uн_лин*BY165)),""))))</f>
        <v>0.54696341291648753</v>
      </c>
      <c r="Q165" s="7">
        <f>IF(B165="","",IFERROR(IF(VLOOKUP(AX165,Потребители_обозначение,4,FALSE)=1,VLOOKUP(AX165,Потребители_обозначение,3,FALSE)*(D165*2-1)+DS165+VLOOKUP(AZ165,Этаж_обозначение,3,FALSE)+VLOOKUP(AZ165,Этаж_обозначение,4,FALSE),VLOOKUP(AX165,Потребители_обозначение,3,FALSE)*(D165*2-1)+DS165),DS165))</f>
        <v>38</v>
      </c>
      <c r="R165" s="6">
        <f t="shared" si="247"/>
        <v>1.73</v>
      </c>
      <c r="S165" t="str">
        <f t="shared" si="248"/>
        <v>ВВГнг(А)-LS (3х2,5)</v>
      </c>
      <c r="T165" t="str">
        <f>IF(BH165="","",IF(BI165="вводной узел","узел ","")&amp;"л."&amp;(INT((BH165-1)/Столбцов_на_лист)+1)&amp;" / "&amp;(MOD(BH165-1,Столбцов_на_лист)+1))</f>
        <v>л.2 / 13</v>
      </c>
      <c r="V165">
        <v>1</v>
      </c>
      <c r="W165">
        <v>230</v>
      </c>
      <c r="X165" t="s">
        <v>564</v>
      </c>
      <c r="AC165" t="s">
        <v>815</v>
      </c>
      <c r="AE165" t="s">
        <v>563</v>
      </c>
      <c r="AI165">
        <v>30</v>
      </c>
      <c r="AJ165" t="s">
        <v>11</v>
      </c>
      <c r="AK165">
        <v>3</v>
      </c>
      <c r="AM165">
        <v>29</v>
      </c>
      <c r="AN165">
        <v>9</v>
      </c>
      <c r="AW165" cm="1">
        <f t="array" ref="AW165">ROW()-ROW(Линии[#Headers])</f>
        <v>163</v>
      </c>
      <c r="AX165" s="6" t="str">
        <f t="shared" si="249"/>
        <v>R</v>
      </c>
      <c r="AY165" t="str">
        <f t="shared" si="250"/>
        <v>00.001А.2</v>
      </c>
      <c r="AZ165" t="str">
        <f t="shared" si="251"/>
        <v>00</v>
      </c>
      <c r="BA165" t="str">
        <f t="shared" si="252"/>
        <v>001А.2</v>
      </c>
      <c r="BB165" t="str">
        <f t="shared" si="253"/>
        <v>001А</v>
      </c>
      <c r="BC165" t="str">
        <f>IF(U165&lt;&gt;"",U165,IF(AND(B165&lt;&gt;"",B165&lt;&gt;A165,ISNUMBER(_xlfn.XMATCH(B165,Щиты[Щит]))),B165,""))</f>
        <v/>
      </c>
      <c r="BD165" t="str" cm="1">
        <f t="array" ref="BD165">IF(B165="","",IF(BC165&lt;&gt;"","Щит "&amp;BC165,_xlfn.LET(_xlpm.nm,IFERROR(_xlfn.XLOOKUP(AX165,Коды_код,Коды_имя)&amp;"",""),_xlpm.md,IFERROR(N(_xlfn.XLOOKUP(AX165,Коды_код,Коды_режим)),1),_xlpm.ex,IF(Имя_режим="по экспликации",IFERROR(_xlfn.XLOOKUP(AZ165&amp;"|"&amp;BB165,Экспликация[Этаж]&amp;"|"&amp;Экспликация[Помещение],Экспликация[Название])&amp;"",""),""),_xlpm.rm,IF(BB165="","",IF(_xlpm.ex&lt;&gt;"",". "&amp;_xlpm.ex&amp;IF(Имя_пом="нет"," ("&amp;BB165&amp;")"," (пом. "&amp;BB165&amp;")"),IF(Имя_пом="нет"," ",", пом. ")&amp;BB165)),IF(_xlpm.nm="","",IF(_xlpm.md=2,_xlpm.nm&amp;" шлейф "&amp;AZ165,_xlpm.nm&amp;_xlpm.rm)))))</f>
        <v>Розеточная группа, пом. 001А</v>
      </c>
      <c r="BE165" t="str">
        <f t="shared" si="254"/>
        <v>Розеточная группа, пом. 001А</v>
      </c>
      <c r="BF165">
        <f>IFERROR(_xlfn.XMATCH(A165,Щиты[Щит]),0)</f>
        <v>8</v>
      </c>
      <c r="BG165">
        <f>_xlfn.LET(_xlpm.k,IFERROR(_xlfn.XLOOKUP(A165,Щиты[Щит],Щиты[Листов под вводной узел]),""),IF(_xlpm.k="",1,N(_xlpm.k))*Столбцов_на_лист)</f>
        <v>17</v>
      </c>
      <c r="BH165">
        <f t="shared" si="255"/>
        <v>30</v>
      </c>
      <c r="BI165" t="str">
        <f t="shared" si="256"/>
        <v>линии</v>
      </c>
      <c r="BJ165" s="6">
        <f>IFERROR(N(_xlfn.XLOOKUP(AX165,Коды_код,Коды_квт)),0)</f>
        <v>0</v>
      </c>
      <c r="BK165">
        <f t="shared" si="257"/>
        <v>0</v>
      </c>
      <c r="BL165" t="str">
        <f>IF(B165="","",IF(BC165&lt;&gt;"",IFERROR(_xlfn.XLOOKUP(BC165,Щиты[Щит],Щиты[Руст, кВт]),0),IF(BK165=1,IFERROR(_xlfn.XLOOKUP(A165,Щиты[Щит],Щиты[Руст, кВт]),0),IF(BJ165&gt;0,ROUND(BJ165*MAX(1,N(D165)),3),""))))</f>
        <v/>
      </c>
      <c r="BM165">
        <f t="shared" si="258"/>
        <v>0.12</v>
      </c>
      <c r="BN165" s="6">
        <f>IF(B165="","",IF(BC165&lt;&gt;"",IFERROR(_xlfn.XLOOKUP(BC165,Щиты[Щит],Щиты[Руст, кВт]),0),N(BM165)))</f>
        <v>0.12</v>
      </c>
      <c r="BO165" t="str">
        <f>IF(B165="","",IFERROR(IF(VLOOKUP(AX165,Потребители_обозначение,8,FALSE)=0,"",VLOOKUP(AX165,Потребители_обозначение,8,FALSE)),""))</f>
        <v/>
      </c>
      <c r="BP165">
        <f t="shared" si="259"/>
        <v>230</v>
      </c>
      <c r="BQ165">
        <f>IF(B165="","",IF(BC165&lt;&gt;"",3,IFERROR(IF(N(VLOOKUP(AX165,Потребители_обозначение,9,FALSE))=0,1,VLOOKUP(AX165,Потребители_обозначение,9,FALSE)),1)))</f>
        <v>1</v>
      </c>
      <c r="BR165">
        <f t="shared" si="260"/>
        <v>1</v>
      </c>
      <c r="BS165" t="str">
        <f>IF(B165="","",_xlfn.LET(_xlpm.bc,IFERROR(IF(VLOOKUP(AX165,Потребители_обозначение,6,FALSE)=0,"",VLOOKUP(AX165,Потребители_обозначение,6,FALSE)&amp;""),""),IF(AND(FK165="да",OR(_xlpm.bc="",_xlpm.bc="мс")),Марка_пож,IF(AND(_xlpm.bc="",BC165&lt;&gt;""),"мс",_xlpm.bc))))</f>
        <v/>
      </c>
      <c r="BT165" t="str">
        <f t="shared" si="261"/>
        <v>мс</v>
      </c>
      <c r="BU165">
        <f>IF(B165="","",_xlfn.LET(_xlpm.cc,IFERROR(N(VLOOKUP(AX165,Потребители_обозначение,7,FALSE)),0),IF(_xlpm.cc&gt;0,_xlpm.cc,IF(BT165="","",IF(N(BR165)=3,5,3)))))</f>
        <v>3</v>
      </c>
      <c r="BV165">
        <f t="shared" si="262"/>
        <v>3</v>
      </c>
      <c r="BW165">
        <f>IFERROR(N(VLOOKUP(AX165,Потребители_обозначение,10,FALSE)),0)</f>
        <v>0</v>
      </c>
      <c r="BX165">
        <f>IFERROR(VLOOKUP(AX165,Потребители_обозначение,5,FALSE),0)</f>
        <v>1</v>
      </c>
      <c r="BY165" s="6" cm="1">
        <f t="array" ref="BY165">IF(B165="","",IF(BC165&lt;&gt;"",IFERROR(_xlfn.XLOOKUP(BC165,Щиты[Щит],Щиты[cos φ]),0.95),IF(BK165=1,IFERROR(_xlfn.XLOOKUP(A165,Щиты[Щит],Щиты[cos φ]),0.95),IF(ISNUMBER(Z165),Z165,IFERROR(IF(BX165=2,_xlfn.IFS(BR165=3,VLOOKUP(BN165,Справочная_двигатели,8,FALSE),BR165=1,VLOOKUP(BN165,Справочная_двигатели,10,TRUE)),IF(AND(Методика="нормы 2026",EQ165="Сил"),0.8,0.95)),0.95)))))</f>
        <v>0.95</v>
      </c>
      <c r="BZ165">
        <f t="shared" si="263"/>
        <v>0</v>
      </c>
      <c r="CA165">
        <f t="shared" si="264"/>
        <v>1</v>
      </c>
      <c r="CB165">
        <f t="shared" si="265"/>
        <v>0</v>
      </c>
      <c r="CC165">
        <f t="shared" si="266"/>
        <v>0</v>
      </c>
      <c r="CD165">
        <f t="shared" si="267"/>
        <v>0</v>
      </c>
      <c r="CE165">
        <f t="shared" si="268"/>
        <v>0</v>
      </c>
      <c r="CF165">
        <f t="shared" si="269"/>
        <v>0</v>
      </c>
      <c r="CG165">
        <f>IF(AX165="",0,_xlfn.LET(_xlpm.v,IFERROR(VLOOKUP(B165,УГО_спр,3,FALSE),IFERROR(VLOOKUP(AX165,УГО_спр,3,FALSE),IFERROR(VLOOKUP(LEFT(AX165,2),УГО_спр,3,FALSE),""))),IF(_xlpm.v="да",30,IF(ISNUMBER(_xlpm.v),_xlpm.v,0))))</f>
        <v>30</v>
      </c>
      <c r="CH165">
        <f t="shared" si="270"/>
        <v>30</v>
      </c>
      <c r="CI165" t="str">
        <f>_xlfn.LET(_xlpm.k,IFERROR(_xlfn.XLOOKUP(AX165,Коды_код,Коды_утечка)&amp;"",""),IF(_xlpm.k="","дифавтомат",_xlpm.k))</f>
        <v>дифавтомат</v>
      </c>
      <c r="CJ165">
        <f t="shared" si="271"/>
        <v>30</v>
      </c>
      <c r="CK165">
        <f t="shared" si="272"/>
        <v>30</v>
      </c>
      <c r="CL165">
        <f>IF(B165="",0,IFERROR(--VLOOKUP(B165,УГО_спр,4,FALSE),IFERROR(--VLOOKUP(AX165,УГО_спр,4,FALSE),IFERROR(--VLOOKUP(LEFT(AX165,2),УГО_спр,4,FALSE),0))))</f>
        <v>16</v>
      </c>
      <c r="CM165" t="str">
        <f>IF(B165="","",IFERROR(_xlfn.XLOOKUP(AX165,Коды_код,Коды_апп)&amp;"",""))</f>
        <v/>
      </c>
      <c r="CN165" t="str">
        <f t="shared" si="273"/>
        <v/>
      </c>
      <c r="CO165" t="str" cm="1">
        <f t="array" ref="CO165">IF(TRIM(CN165&amp;"")="","",IFERROR(TRIM(INDEX(_xlfn.TEXTSPLIT(CN165&amp;";;;",";"),1)),""))</f>
        <v/>
      </c>
      <c r="CP165" t="str" cm="1">
        <f t="array" ref="CP165">IF(TRIM(CN165&amp;"")="","",IFERROR(TRIM(INDEX(_xlfn.TEXTSPLIT(CN165&amp;";;;",";"),2)),""))</f>
        <v/>
      </c>
      <c r="CQ165" t="str" cm="1">
        <f t="array" ref="CQ165">IF(TRIM(CN165&amp;"")="","",IFERROR(TRIM(INDEX(_xlfn.TEXTSPLIT(CN165&amp;";;;",";"),3)),""))</f>
        <v/>
      </c>
      <c r="CR165">
        <f t="shared" si="274"/>
        <v>0</v>
      </c>
      <c r="CS165" t="str">
        <f>IF(B165="","",_xlfn.LET(_xlpm.t,LOWER(AV165&amp;""),IF(ISNUMBER(SEARCH("dim",_xlpm.t)),"DIM",IF(ISNUMBER(SEARCH("dali",_xlpm.t)),"DALI",IF(OR(ISNUMBER(SEARCH("relay",_xlpm.t)),ISNUMBER(SEARCH("реле",_xlpm.t))),"Relay",IF(ISNUMBER(SEARCH("кнопк",_xlpm.t)),"",IFERROR(_xlfn.XLOOKUP(AX165,Коды_код,Коды_упр)&amp;"","")))))))</f>
        <v/>
      </c>
      <c r="CT165" t="str">
        <f t="shared" si="275"/>
        <v/>
      </c>
      <c r="CU165">
        <f>IF(B165="","",_xlfn.LET(_xlpm.ig,N(P165)+IF(AF165="вручную",0,N(CB165)),_xlpm.n0,IFERROR(VLOOKUP(_xlpm.ig,Автомат_номиналы,2,TRUE),0),_xlpm.mn,MAX(CL165,IF(AF165="вручную",0,N(CE165))),MAX(_xlpm.n0,_xlpm.mn,IF(CR165=1,Мин_автомат_БП,0))))</f>
        <v>16</v>
      </c>
      <c r="CV165">
        <f t="shared" si="276"/>
        <v>1</v>
      </c>
      <c r="CW165" t="str">
        <f t="shared" si="277"/>
        <v>2P</v>
      </c>
      <c r="CX165" t="str">
        <f>_xlfn.LET(_xlpm.cc,UPPER(TRIM(IFERROR(_xlfn.XLOOKUP(AX165,Коды_код,Коды_хар)&amp;"",""))),IF(OR(_xlpm.cc="B",_xlpm.cc="В"),"B",IF(_xlpm.cc="D","D","С")))</f>
        <v>С</v>
      </c>
      <c r="CY165" t="str">
        <f t="shared" si="278"/>
        <v>2P С16А 30мА</v>
      </c>
      <c r="CZ165">
        <f t="shared" si="279"/>
        <v>16</v>
      </c>
      <c r="DA165" t="str">
        <f t="shared" si="280"/>
        <v>2P С16А 30мА</v>
      </c>
      <c r="DB165" cm="1">
        <f t="array" ref="DB165">IF(DA165="","",_xlfn.LET(_xlpm.t,SUBSTITUTE(SUBSTITUTE(SUBSTITUTE(UPPER(DA165),"С","C"),"А","A"),"В","B"),_xlpm.tk,_xlfn.TEXTSPLIT(_xlpm.t,"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5" t="str">
        <f t="shared" si="281"/>
        <v>ok</v>
      </c>
      <c r="DD165">
        <f t="shared" si="282"/>
        <v>16</v>
      </c>
      <c r="DE165" t="str">
        <f t="shared" si="283"/>
        <v>2P С16А 30мА</v>
      </c>
      <c r="DF165">
        <f t="shared" si="284"/>
        <v>30</v>
      </c>
      <c r="DG165">
        <f t="shared" si="285"/>
        <v>1</v>
      </c>
      <c r="DH165">
        <f t="shared" si="286"/>
        <v>0</v>
      </c>
      <c r="DI165">
        <f t="shared" si="287"/>
        <v>0.54696341291648753</v>
      </c>
      <c r="DJ165">
        <f t="shared" si="288"/>
        <v>1</v>
      </c>
      <c r="DK165">
        <f>IF(ISNUMBER(AL165),AL165,К_прокл)</f>
        <v>1</v>
      </c>
      <c r="DL165">
        <f t="shared" si="289"/>
        <v>2</v>
      </c>
      <c r="DM165">
        <f>IFERROR(N(VLOOKUP(BT165,Кабель_обозначение,3,FALSE)),1)</f>
        <v>1</v>
      </c>
      <c r="DN165">
        <f>IFERROR(N(_xlfn.XLOOKUP(A165,Щиты[Щит],Щиты[ΔU до шин, %])),0)</f>
        <v>1.57</v>
      </c>
      <c r="DO165" t="str">
        <f>IFERROR(_xlfn.XLOOKUP(A165,Щиты[Щит],Щиты[Zпетли на шинах, Ом]),"")</f>
        <v/>
      </c>
      <c r="DP165">
        <f>IFERROR(N(_xlfn.XLOOKUP(A165,Щиты[Щит],Щиты[ΔU до шин (подбор), %])),0)</f>
        <v>2.5</v>
      </c>
      <c r="DQ165" t="str">
        <f>IFERROR(_xlfn.XLOOKUP(A165,Щиты[Щит],Щиты[Zпетли на шинах (подбор), Ом]),"")</f>
        <v/>
      </c>
      <c r="DR165" t="str">
        <f t="shared" si="290"/>
        <v/>
      </c>
      <c r="DS165">
        <f t="shared" si="291"/>
        <v>35</v>
      </c>
      <c r="DT165">
        <f t="shared" si="292"/>
        <v>2</v>
      </c>
      <c r="DU165">
        <f t="shared" si="293"/>
        <v>0.31</v>
      </c>
      <c r="DV165" s="6">
        <f>IF(B165="","",IF(IFERROR(VLOOKUP(AX165,УГО_спр,2,FALSE),"")="Светильник",3,4)+IF(Методика="нормы 2026",MIN(0.5,MAX(0,N(Q165)-100)*0.005),0))</f>
        <v>4</v>
      </c>
      <c r="DW165" cm="1">
        <f t="array" ref="DW165">IF(OR(B165="",BT165="",DM165&lt;&gt;1),"",_xlfn.LET(_xlpm.sz,Iдоп_S,_xlpm.t_,CHOOSE(DL165,Iдоп_1ж,Iдоп_2ж,Iдоп_3ж)*DJ165*DK165,_xlpm.inn,N(DD165),_xlpm.smin,MAX(1.5,BW165),_xlpm.L_,N(Q165)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165)*(_xlpm.rho*_xlpm.L_/_xlpm.sz*N(BY165)+_xlpm.xx*_xlpm.L_*N(DU165)/1000)*N(P165)/((Uн_лин/SQRT(3))*1000)*100,999),_xlpm.kz,IF(OR(DG165=1,NOT(ISNUMBER(DQ165)),_xlpm.L_=0,_xlpm.inn=0),1,IFERROR(--(c_min*(Uн_лин*1000/SQRT(3))/(DQ165+2*ρкз_Cu*_xlpm.L_/_xlpm.sz)&gt;=GY165*_xlpm.inn),0)),_xlpm.ok,IFERROR((_xlpm.sz&gt;=_xlpm.smin)*(_xlpm.t_&gt;=_xlpm.inn)*IF(_xlpm.L_&gt;0,(_xlpm.du_+DP165&lt;=DV165+0.00001),1)*_xlpm.kz,0),_xlpm.r_,_xlfn._xlws.FILTER(_xlpm.sz,_xlpm.ok,"не подобрано"),INDEX(_xlpm.r_,1)))</f>
        <v>1.5</v>
      </c>
      <c r="DX165">
        <f t="shared" si="294"/>
        <v>2.5</v>
      </c>
      <c r="DY165" cm="1">
        <f t="array" ref="DY165">IF(OR(B165="",BT165="",DM165&lt;&gt;1),"",_xlfn.LET(_xlpm.sz,Iдоп_S,_xlpm.t_,CHOOSE(DL165,Iдоп_1ж,Iдоп_2ж,Iдоп_3ж)*DJ165*DK165,_xlpm.ok,IFERROR((_xlpm.sz&gt;=MAX(1.5,BW165))*(_xlpm.t_&gt;=N(DD165)),0),_xlpm.r_,_xlfn._xlws.FILTER(_xlpm.sz,_xlpm.ok,""),INDEX(_xlpm.r_,1)))</f>
        <v>1.5</v>
      </c>
      <c r="DZ165" s="6" cm="1">
        <f t="array" ref="DZ165">IFERROR(ROUNDUP(N(DT165)*(_xlfn.XLOOKUP(DY165,INDEX(Кабель_сопротивление,0,1),INDEX(Кабель_сопротивление,0,3))*N(Q165)/DY165*N(BY165)+_xlfn.XLOOKUP(DY165,INDEX(Кабель_сопротивление,0,1),INDEX(Кабель_сопротивление,0,2))*N(Q165)*N(DU165)/1000)*N(P165)/((Uн_лин/SQRT(3))*1000)*100,2),"")</f>
        <v>0.26</v>
      </c>
      <c r="EA165">
        <f>IFERROR(2*ρкз_Cu*N(Q165)/DY165,"")</f>
        <v>1.3325333333333333</v>
      </c>
      <c r="EB165">
        <f>IFERROR(VLOOKUP(DX165,Кабель_сопротивление,3,FALSE),"")</f>
        <v>2.2499999999999999E-2</v>
      </c>
      <c r="EC165">
        <f>IFERROR(VLOOKUP(DX165,Кабель_сопротивление,2,FALSE),"")</f>
        <v>0.1</v>
      </c>
      <c r="ED165">
        <f t="shared" si="295"/>
        <v>9</v>
      </c>
      <c r="EE165" t="str">
        <f t="shared" si="296"/>
        <v/>
      </c>
      <c r="EF165">
        <f t="shared" si="297"/>
        <v>0.35670547151396481</v>
      </c>
      <c r="EG165" s="6">
        <f>IFERROR(ROUNDUP(EF165/((Uн_лин/SQRT(3))*1000)*100,2),"")</f>
        <v>0.16</v>
      </c>
      <c r="EH165" t="str">
        <f>IFERROR(VLOOKUP(BT165,Кабель_обозначение,2,FALSE),"")</f>
        <v>ВВГнг(А)-LS</v>
      </c>
      <c r="EI165" t="str">
        <f t="shared" si="298"/>
        <v>ВВГнг(А)-LS (3х2,5)</v>
      </c>
      <c r="EJ165" t="str">
        <f t="shared" si="299"/>
        <v>ВВГнг(А)-LS (3х2,5)
L=38-0,16%</v>
      </c>
      <c r="EK165">
        <f>IFERROR(2*ρкз_Cu*Q165/DX165,"")</f>
        <v>0.79952000000000001</v>
      </c>
      <c r="EL165">
        <f t="shared" si="300"/>
        <v>0.26600000000000001</v>
      </c>
      <c r="EM165" s="6" t="str">
        <f>IFERROR(IF(OR(B165="",NOT(ISNUMBER(DX165)),N(Q165)=0),"",_xlfn.XLOOKUP(A165,Щиты[Щит],Щиты[Zпетли на шинах, Ом])+EK165),"")</f>
        <v/>
      </c>
      <c r="EN165" s="6" t="str">
        <f>IF(ISNUMBER(EM165),c_min*(Uн_лин*1000/SQRT(3))/EM165,"")</f>
        <v/>
      </c>
      <c r="EO165" s="6" t="str">
        <f>IFERROR(IF(OR(B165="",NOT(ISNUMBER(DX165))),"",1.05*(Uн_лин*1000/SQRT(3))/(_xlfn.XLOOKUP(A165,Щиты[Щит],Щиты[Zmax на шинах, Ом])+EL165)/1000),"")</f>
        <v/>
      </c>
      <c r="EP165" s="6" t="str">
        <f>IF(B165="","",IF(ISNUMBER(Y165),"Сил",IF(IFERROR(_xlfn.XLOOKUP(AX165,Коды_код,Коды_группа)&amp;"","")="","Быт",_xlfn.XLOOKUP(AX165,Коды_код,Коды_группа)&amp;"")))</f>
        <v>Быт</v>
      </c>
      <c r="EQ165" s="6" t="str">
        <f t="shared" si="301"/>
        <v>Быт</v>
      </c>
      <c r="ER165" s="6">
        <f>IF(EQ165="Щит","щит",IF(EQ165="","",IF(EQ165="Быт",IFERROR(_xlfn.XLOOKUP(A165,Щиты[Щит],Щиты[Кс быт]),1),IF(EQ165="Сил",IF(ISNUMBER(Y165),Y165,IF(Методика="нормы 2026",IFERROR(_xlfn.XLOOKUP(A165,Щиты[Щит],Щиты[Кс силовых (табл. 7.5)]),1),1)),IF(OR(EQ165="Пост",EQ165="Отоп"),1,IF(EQ165="ВНГ",0.7,0))))))</f>
        <v>0.8</v>
      </c>
      <c r="ES165">
        <f t="shared" si="302"/>
        <v>1</v>
      </c>
      <c r="ET165">
        <f t="shared" si="303"/>
        <v>0.12</v>
      </c>
      <c r="EU165">
        <f t="shared" si="304"/>
        <v>0.12</v>
      </c>
      <c r="EV165">
        <f t="shared" si="305"/>
        <v>0</v>
      </c>
      <c r="EW165">
        <f t="shared" si="306"/>
        <v>0</v>
      </c>
      <c r="EX165">
        <f t="shared" si="307"/>
        <v>0</v>
      </c>
      <c r="EY165">
        <f t="shared" si="308"/>
        <v>0</v>
      </c>
      <c r="EZ165">
        <f t="shared" si="309"/>
        <v>0.12</v>
      </c>
      <c r="FA165">
        <f t="shared" si="310"/>
        <v>0.11399999999999999</v>
      </c>
      <c r="FB165">
        <f t="shared" si="311"/>
        <v>0.12</v>
      </c>
      <c r="FC165" t="str">
        <f t="shared" si="312"/>
        <v>L1</v>
      </c>
      <c r="FD165" t="str">
        <f>IF(B165="","",IF(CA165=0,IF(AW165=1,"",FF164),IF(OR(N(CV165)&gt;=3,N(BR165)&gt;=3),"L1,L2,L3",IFERROR(_xlfn.TEXTBEFORE(_xlfn.TEXTAFTER(_xlfn.XLOOKUP(A165,Щиты[Щит],Щиты[_фазы авто]),";"&amp;AW165&amp;":"),";"),"L1"))))</f>
        <v>L1</v>
      </c>
      <c r="FE165" t="str">
        <f t="shared" si="313"/>
        <v>L1</v>
      </c>
      <c r="FF165" t="str">
        <f t="shared" si="314"/>
        <v>L1</v>
      </c>
      <c r="FG165" cm="1">
        <f t="array" ref="FG165">IFERROR(IF(BX165=2,_xlfn.IFS(BR165=3,VLOOKUP(BN165,Справочная_двигатели,3,FALSE),BR165=1,VLOOKUP(BN165,Справочная_двигатели,5,TRUE)),0),0)</f>
        <v>0</v>
      </c>
      <c r="FH165">
        <f>IFERROR(IF(BX165=3,VLOOKUP(BN165,Справочная_ЛЭД,2,TRUE),0),0)</f>
        <v>0</v>
      </c>
      <c r="FI165" s="6">
        <f t="shared" si="315"/>
        <v>0</v>
      </c>
      <c r="FJ165" t="str" cm="1">
        <f t="array" ref="FJ165">IF(B165="","",IFERROR(INDEX({"I особая","I","II","III"},MATCH(TRIM(AC165&amp;""),{"I особая","I","II","III"},0)),"III"))</f>
        <v>II</v>
      </c>
      <c r="FK165" t="str">
        <f>IF(B165="","",IF(TRIM(AD165&amp;"")&lt;&gt;"",IF(LOWER(TRIM(AD165&amp;""))="да","да","нет"),IF(IFERROR(_xlfn.XLOOKUP(AX165,Коды_код,Коды_пожарная),"")="да","да","нет")))</f>
        <v>нет</v>
      </c>
      <c r="FL165" t="str">
        <f t="shared" si="316"/>
        <v/>
      </c>
      <c r="FM165" t="str">
        <f t="shared" si="317"/>
        <v>основная</v>
      </c>
      <c r="FN165">
        <f t="shared" si="318"/>
        <v>1</v>
      </c>
      <c r="FO165" t="str" cm="1">
        <f t="array" ref="FO165">IF(B165="","",_xlfn.LET(_xlpm.t,IFERROR(_xlfn.XLOOKUP(1,(Шины[Шина]=FM165)*(((Шины[Щит]=A165)+(Шины[Щит]=""))&gt;0),Шины[Тип]),"")&amp;"",IF(_xlpm.t&lt;&gt;"",_xlpm.t,IF(ISNUMBER(SEARCH("ИБП",FM165)),"ИБП",IF(ISNUMBER(SEARCH("ДГУ",FM165)),"ДГУ","Ввод "&amp;FN165)))))</f>
        <v>Ввод 1</v>
      </c>
      <c r="FP165" t="str">
        <f t="shared" si="319"/>
        <v>Ввод 1</v>
      </c>
      <c r="FQ165" t="str">
        <f>IF(B165="","",IF(OR(FO165="ИБП",FO165="ДГУ"),"I особая",IF(FO165="Одиночная","III",_xlfn.XLOOKUP(A165,Щиты[Щит],Щиты[Категория шины «Ввод»],"III"))))</f>
        <v>II</v>
      </c>
      <c r="FR165">
        <f>IF(B165="",0,IFERROR(MATCH(FJ165,{"III","II","I","I особая"},0),1))</f>
        <v>2</v>
      </c>
      <c r="FS165">
        <f t="shared" si="320"/>
        <v>2</v>
      </c>
      <c r="FT165" t="str">
        <f>IF(B165="","",IF(FR165&gt;IFERROR(MATCH(FQ165,{"III","II","I","I особая"},0),1),"НЕ ОБЕСПЕЧЕНА","ОК"))</f>
        <v>ОК</v>
      </c>
      <c r="FU165" t="str">
        <f>IF(A165="","",_xlfn.XLOOKUP(A165,Щиты[Щит],Щиты[Путь],""))</f>
        <v>|ГРЩ-ЖД|ЩР-001|</v>
      </c>
      <c r="FV165" t="str">
        <f>IF(B165="","",IF(AE165&lt;&gt;"",AE165,IF(IFERROR(_xlfn.XLOOKUP(AX165,Коды_код,Коды_вид)&amp;"","")="","Прочее",_xlfn.XLOOKUP(AX165,Коды_код,Коды_вид)&amp;"")))</f>
        <v>Розеточная сеть и бытовые приборы</v>
      </c>
      <c r="FW165">
        <f>IF(BH165="","",INT((BH165-1)/Столбцов_на_лист)+1)</f>
        <v>2</v>
      </c>
      <c r="FX165" t="str">
        <f t="shared" si="321"/>
        <v>ВВГнг(А)-LS (3х2,5) L=38-0,16%</v>
      </c>
      <c r="FY165">
        <f t="shared" si="322"/>
        <v>0.12</v>
      </c>
      <c r="FZ165">
        <f t="shared" si="323"/>
        <v>0.55000000000000004</v>
      </c>
      <c r="GA165">
        <f t="shared" si="324"/>
        <v>1</v>
      </c>
      <c r="GB165">
        <f t="shared" si="325"/>
        <v>0</v>
      </c>
      <c r="GC165">
        <f t="shared" si="326"/>
        <v>1</v>
      </c>
      <c r="GD165">
        <f>IF(BH165="","",IF(AND(CA165=1,GC165=1),COUNTIFS(A$3:A165,A165,CA$3:CA165,1,GC$3:GC165,1),IF(OR(OR(AW165=1,A165&lt;&gt;A164),AF165="вручную",GC165=0),"",IF(AW165=1,"",GE164))))</f>
        <v>11</v>
      </c>
      <c r="GE165">
        <f t="shared" si="327"/>
        <v>11</v>
      </c>
      <c r="GF165">
        <f>IF(B165="","",IFERROR(LOOKUP(INDEX(CHOOSE(DL165,Iдоп_1ж,Iдоп_2ж,Iдоп_3ж),MATCH(DX165,Iдоп_S,0))*DJ165*DK165,{6,10,16,20,25,32,40,50,63,80,100,125,160,200,250,315,400,500,630}),""))</f>
        <v>25</v>
      </c>
      <c r="GG165" t="str">
        <f t="shared" si="328"/>
        <v>QFD11</v>
      </c>
      <c r="GH165" t="str">
        <f t="shared" si="329"/>
        <v>QFD11</v>
      </c>
      <c r="GI165" t="str">
        <f t="shared" si="330"/>
        <v/>
      </c>
      <c r="GJ165">
        <f t="shared" si="331"/>
        <v>0</v>
      </c>
      <c r="GK165" t="str">
        <f>IF(OR(AG165="",AG165="-"),"",IFERROR(VLOOKUP(AG165,Модули_спр,2,FALSE),"R"))</f>
        <v/>
      </c>
      <c r="GL165" t="str">
        <f>IF(GK165="","",GK165&amp;"."&amp;COUNTIFS(A$3:A165,A165,GK$3:GK165,GK165))</f>
        <v/>
      </c>
      <c r="GM165" t="str">
        <f t="shared" si="332"/>
        <v/>
      </c>
      <c r="GN165" t="str">
        <f t="shared" si="333"/>
        <v/>
      </c>
      <c r="GO165" t="str">
        <f t="shared" si="334"/>
        <v/>
      </c>
      <c r="GP165" t="str">
        <f t="shared" si="335"/>
        <v/>
      </c>
      <c r="GQ165">
        <f t="shared" si="336"/>
        <v>1</v>
      </c>
      <c r="GR165" t="str">
        <f>IF(GQ165=1,"XT"&amp;COUNTIFS(A$3:A165,A165,GQ$3:GQ165,1),"")</f>
        <v>XT11</v>
      </c>
      <c r="GS165" t="str">
        <f t="shared" si="337"/>
        <v>XT11</v>
      </c>
      <c r="GT165" t="str">
        <f t="shared" si="338"/>
        <v>QFD11</v>
      </c>
      <c r="GU165" t="str">
        <f t="shared" si="339"/>
        <v/>
      </c>
      <c r="GV165" t="str">
        <f t="shared" si="340"/>
        <v>ok</v>
      </c>
      <c r="GW165" t="str">
        <f>IF(OR(GO165="",GM165=""),"",IF(GO165&gt;IFERROR(VLOOKUP(GN165,Модули_спр,3,FALSE),99),"ЛИШНИЙ КАНАЛ",IF(AND(AH165&lt;&gt;"=",COUNTIFS(Линии[_модуль гр.],GM165,Линии[Канал (итог)],GO165,Линии[Канал],"&lt;&gt;=",Линии[Щит],A165)&gt;1),"ДУБЛЬ КАНАЛА","")))</f>
        <v/>
      </c>
      <c r="GX165" s="6" t="str">
        <f t="shared" si="341"/>
        <v/>
      </c>
      <c r="GY165">
        <f t="shared" si="342"/>
        <v>10</v>
      </c>
      <c r="GZ165" t="str">
        <f t="shared" si="343"/>
        <v/>
      </c>
      <c r="HA165" t="str">
        <f>IF(AND(B165="",GT165=""),"",_xlfn.TEXTJOIN("; ",TRUE,IF(AND(B165&lt;&gt;"",FE165=""),"нет фазы",""),IF(AND(B165&lt;&gt;"",N(FY165)=0,EQ165&lt;&gt;"Нет"),"нет мощности",""),IF(AND(GS165&lt;&gt;"",COUNTIFS(Линии[Щит],A165,Линии[Клемма (итог)],GS165)&gt;1),"дубль клеммы "&amp;GS165,""),IF(AND(GV165&lt;&gt;"",GV165&lt;&gt;"ok"),GV165,""),IF(GW165&lt;&gt;"",GW165,""),IF(AND(N(BV165)&gt;=4,N(BR165)=1),BV165&amp;" жил на 1 фазе",""),IF(AND(AX165="R",CA165=1,OR(N(CK165)=0,N(CK165)&gt;30)),"розетка без дифзащиты до 30 мА",""),IFERROR(IF(AND(ISNUMBER(R165),R165&gt;DV165),"потери "&amp;FIXED(R165,1)&amp;" % &gt; "&amp;DV165&amp;" %",""),""),IFERROR(IF(LEFT(GZ165,4)="мало","Iкз мало — отключение &gt; 0,4 с",""),""),IF(AND(B165&lt;&gt;"",BH165=""),"не на схеме",""),IF(AND(CA165=0,B165&lt;&gt;"",FE165&lt;&gt;"",IF(AW165=1,"",FF164)&lt;&gt;"",FE165&lt;&gt;IF(AW165=1,"",FF164)),"фаза не как у автомата группы ("&amp;IF(AW165=1,"",FF164)&amp;")","")))</f>
        <v/>
      </c>
      <c r="HB165" s="6">
        <f>IF(OR(CA165=0,DA165=""),"",_xlfn.LET(_xlpm.t,IFERROR(_xlfn.XLOOKUP(DA165,Каталог!$U$4:$U$500,Каталог!$G$4:$G$500),""),_xlpm.k,SEARCH("кА",_xlpm.t),IFERROR(--TRIM(RIGHT(SUBSTITUTE(MID(_xlpm.t,MAX(1,_xlpm.k-4),_xlpm.k-MAX(1,_xlpm.k-4))," ",REPT(" ",9)),5)),"")))</f>
        <v>6</v>
      </c>
      <c r="HC165" t="str">
        <f>IF(OR(HB165="",CA165=0),"",IF(_xlfn.XLOOKUP(A165,Щиты[Щит],Щиты[Iкз max на шинах, кА],"")="","",IF(HB165&lt;_xlfn.XLOOKUP(A165,Щиты[Щит],Щиты[Iкз max на шинах, кА]),"Icu "&amp;HB165&amp;" кА &lt; Iкз max","ok")))</f>
        <v/>
      </c>
      <c r="HD165" t="str">
        <f t="shared" si="344"/>
        <v/>
      </c>
      <c r="HE165" t="str">
        <f t="shared" si="345"/>
        <v>QFD11|XT11</v>
      </c>
      <c r="HF165" t="str">
        <f t="shared" si="346"/>
        <v>QFD11|XT11|кабель ВВГнг(А)-LS (3х2,5) → Розеточная группа, пом. 001А</v>
      </c>
      <c r="HG165" t="str" cm="1">
        <f t="array" ref="HG165">IF(HF165="","",_xlfn.LET(_xlpm.nd,_xlfn.TEXTSPLIT(HF165,"|"),IF(COLUMNS(_xlpm.nd)&gt;1,A165&amp;"¦"&amp;INDEX(_xlpm.nd,1)&amp;"¦"&amp;INDEX(_xlpm.nd,2),"")))</f>
        <v>ЩР-001¦QFD11¦XT11</v>
      </c>
      <c r="HH165" t="str">
        <f t="shared" si="347"/>
        <v>R.00.001А.2¦Розеточная группа, пом. 001А</v>
      </c>
      <c r="HI165" t="str" cm="1">
        <f t="array" ref="HI165">IF(HF165="","",_xlfn.LET(_xlpm.nd,_xlfn.TEXTSPLIT(HF165,"|"),IF(COLUMNS(_xlpm.nd)&gt;2,A165&amp;"¦"&amp;INDEX(_xlpm.nd,2)&amp;"¦"&amp;INDEX(_xlpm.nd,3),"")))</f>
        <v>ЩР-001¦XT11¦кабель ВВГнг(А)-LS (3х2,5) → Розеточная группа, пом. 001А</v>
      </c>
      <c r="HJ165" t="str">
        <f t="shared" si="348"/>
        <v>R.00.001А.2¦Розеточная группа, пом. 001А</v>
      </c>
      <c r="HK165" t="str" cm="1">
        <f t="array" ref="HK165">IF(HF165="","",_xlfn.LET(_xlpm.nd,_xlfn.TEXTSPLIT(HF165,"|"),IF(COLUMNS(_xlpm.nd)&gt;3,A165&amp;"¦"&amp;INDEX(_xlpm.nd,3)&amp;"¦"&amp;INDEX(_xlpm.nd,4),"")))</f>
        <v/>
      </c>
      <c r="HL165" t="str">
        <f t="shared" si="349"/>
        <v/>
      </c>
      <c r="HM165" t="str" cm="1">
        <f t="array" ref="HM165">IF(HF165="","",_xlfn.LET(_xlpm.nd,_xlfn.TEXTSPLIT(HF165,"|"),IF(COLUMNS(_xlpm.nd)&gt;4,A165&amp;"¦"&amp;INDEX(_xlpm.nd,4)&amp;"¦"&amp;INDEX(_xlpm.nd,5),"")))</f>
        <v/>
      </c>
      <c r="HN165" t="str">
        <f t="shared" si="350"/>
        <v/>
      </c>
      <c r="HO165" t="str" cm="1">
        <f t="array" ref="HO165">IF(HF165="","",_xlfn.LET(_xlpm.nd,_xlfn.TEXTSPLIT(HF165,"|"),IF(COLUMNS(_xlpm.nd)&gt;5,A165&amp;"¦"&amp;INDEX(_xlpm.nd,5)&amp;"¦"&amp;INDEX(_xlpm.nd,6),"")))</f>
        <v/>
      </c>
      <c r="HP165" t="str">
        <f t="shared" si="351"/>
        <v/>
      </c>
      <c r="HQ165" t="str" cm="1">
        <f t="array" ref="HQ165">IF(HF165="","",_xlfn.LET(_xlpm.nd,_xlfn.TEXTSPLIT(HF165,"|"),IF(COLUMNS(_xlpm.nd)&gt;6,A165&amp;"¦"&amp;INDEX(_xlpm.nd,6)&amp;"¦"&amp;INDEX(_xlpm.nd,7),"")))</f>
        <v/>
      </c>
      <c r="HR165" t="str">
        <f t="shared" si="352"/>
        <v/>
      </c>
      <c r="HS165" t="str">
        <f t="shared" si="353"/>
        <v/>
      </c>
      <c r="HT165" t="str">
        <f t="shared" si="354"/>
        <v>QFD11 → XT11</v>
      </c>
      <c r="HU165">
        <f t="shared" si="355"/>
        <v>0</v>
      </c>
      <c r="HV165">
        <f t="shared" si="356"/>
        <v>1</v>
      </c>
      <c r="HW165" t="str">
        <f t="shared" si="357"/>
        <v/>
      </c>
      <c r="HX165" t="str">
        <f t="shared" si="358"/>
        <v/>
      </c>
      <c r="HY165" t="str">
        <f t="shared" si="359"/>
        <v/>
      </c>
      <c r="HZ165" t="str">
        <f t="shared" si="360"/>
        <v/>
      </c>
      <c r="IA165" t="str">
        <f>IF(B165="","",IFERROR(VLOOKUP(B165,УГО_спр,2,FALSE),IFERROR(VLOOKUP(AX165,УГО_спр,2,FALSE),IFERROR(VLOOKUP(LEFT(AX165,2),УГО_спр,2,FALSE),""))))</f>
        <v>Розетка</v>
      </c>
      <c r="IB165" t="str">
        <f>IF(B165="","",IF(OR(IA165="",IA165=0),"BOX",IFERROR(IF(VLOOKUP(IA165,УГО_блоки,3,FALSE)&amp;""&lt;&gt;"",VLOOKUP(IA165,УГО_блоки,3,FALSE),VLOOKUP(IA165,УГО_блоки,2,FALSE)),IA165)))</f>
        <v>SOCKET</v>
      </c>
      <c r="IC165">
        <f t="shared" si="361"/>
        <v>1</v>
      </c>
      <c r="ID165" t="str">
        <f>IF(DA165="","",IF(COUNTIF(DA$3:DA165,DA165)=1,MAX(ID$2:ID164)+1,""))</f>
        <v/>
      </c>
      <c r="IE165" t="str">
        <f>IF(CO165="","",IF(COUNTIF(CO$3:CO165,CO165)+COUNTIF(CP$2:CP164,CO165)+COUNTIF(CQ$2:CQ164,CO165)=1,MAX(IE$2:IG164)+1,""))</f>
        <v/>
      </c>
      <c r="IF165" t="str">
        <f>IF(CP165="","",IF(COUNTIF(CO$3:CO165,CP165)+COUNTIF(CP$3:CP165,CP165)+COUNTIF(CQ$2:CQ164,CP165)=1,MAX(IE$2:IG164,IE165)+1,""))</f>
        <v/>
      </c>
      <c r="IG165" t="str">
        <f>IF(CQ165="","",IF(COUNTIF(CO$3:CO165,CQ165)+COUNTIF(CP$3:CP165,CQ165)+COUNTIF(CQ$3:CQ165,CQ165)=1,MAX(IE$2:IG164,IE165,IF165)+1,""))</f>
        <v/>
      </c>
      <c r="IH165" t="str">
        <f t="shared" si="362"/>
        <v>3х2,5</v>
      </c>
      <c r="II165" t="str">
        <f>IF(IH165="","",IF(COUNTIF(IH$3:IH165,IH165)=1,MAX(II$2:II164)+1,""))</f>
        <v/>
      </c>
      <c r="IJ165" t="str">
        <f>IF(GL165="","",COUNTIF(GL$3:GL165,"?*"))</f>
        <v/>
      </c>
      <c r="IK165" t="str">
        <f>IF(OR(GL165="",GN165=""),"",IF(COUNTIFS(GL$3:GL165,"?*",GN$3:GN165,GN165)=1,MAX(IK$2:IK164)+1,""))</f>
        <v/>
      </c>
      <c r="IL165">
        <f t="shared" si="363"/>
        <v>0</v>
      </c>
      <c r="IM165">
        <f>IF(B165="","",COUNTIF(B$3:B165,"?*"))</f>
        <v>163</v>
      </c>
      <c r="IN165">
        <f>IF(GQ165&lt;&gt;1,0,_xlfn.LET(_xlpm.k,MAX(IFERROR(--VLOOKUP(B165,УГО_спр,5,FALSE),0),IFERROR(--VLOOKUP(AX165,УГО_спр,5,FALSE),0),IFERROR(--VLOOKUP(LEFT(AX165,2),УГО_спр,5,FALSE),0)),IF(_xlpm.k&gt;0,_xlpm.k,IF(IFERROR(--LEFT(SUBSTITUTE(IH165,"x","х"),FIND("х",SUBSTITUTE(IH165,"x","х"))-1),3)&gt;3,Каталог!$S$9,1))))</f>
        <v>1</v>
      </c>
      <c r="IO165">
        <f t="shared" si="364"/>
        <v>0</v>
      </c>
      <c r="IP165" t="str">
        <f t="shared" si="365"/>
        <v>авто</v>
      </c>
      <c r="IQ165">
        <f t="shared" si="366"/>
        <v>30</v>
      </c>
      <c r="IR165">
        <f t="shared" si="367"/>
        <v>1</v>
      </c>
      <c r="IS165">
        <f t="shared" si="368"/>
        <v>1</v>
      </c>
    </row>
    <row r="166" spans="1:253" x14ac:dyDescent="0.3">
      <c r="A166" t="s">
        <v>755</v>
      </c>
      <c r="B166" t="s">
        <v>1433</v>
      </c>
      <c r="C166" t="str">
        <f>Линии[[#This Row],[_авто наименование]]</f>
        <v>Розеточная группа, пом. 002</v>
      </c>
      <c r="D166">
        <v>2</v>
      </c>
      <c r="E166">
        <v>0.12</v>
      </c>
      <c r="G166">
        <v>16</v>
      </c>
      <c r="H166">
        <f>Линии[[#This Row],[_авто утечка]]</f>
        <v>30</v>
      </c>
      <c r="I166" t="str">
        <f>Линии[[#This Row],[_авто управление]]</f>
        <v/>
      </c>
      <c r="J166" t="str">
        <f>Линии[[#This Row],[_авто аппараты]]</f>
        <v/>
      </c>
      <c r="K166">
        <v>2.5</v>
      </c>
      <c r="L166">
        <v>44</v>
      </c>
      <c r="M166">
        <v>2</v>
      </c>
      <c r="N166" t="s">
        <v>486</v>
      </c>
      <c r="O166" t="str">
        <f t="shared" si="246"/>
        <v/>
      </c>
      <c r="P166" s="6" cm="1">
        <f t="array" ref="P166">IF(B166="","",IF(BC166&lt;&gt;"",IFERROR(_xlfn.XLOOKUP(BC166,Щиты[Щит],Щиты[Iр, А]),""),IF(BK166=1,IFERROR(_xlfn.XLOOKUP(A166,Щиты[Щит],Щиты[Iр, А]),""),IFERROR(_xlfn.IFS(BR166=1,BN166/((Uн_лин/SQRT(3))*BY166),BR166=3,BN166/(SQRT(3)*Uн_лин*BY166)),""))))</f>
        <v>0.54696341291648753</v>
      </c>
      <c r="Q166" s="7">
        <f>IF(B166="","",IFERROR(IF(VLOOKUP(AX166,Потребители_обозначение,4,FALSE)=1,VLOOKUP(AX166,Потребители_обозначение,3,FALSE)*(D166*2-1)+DS166+VLOOKUP(AZ166,Этаж_обозначение,3,FALSE)+VLOOKUP(AZ166,Этаж_обозначение,4,FALSE),VLOOKUP(AX166,Потребители_обозначение,3,FALSE)*(D166*2-1)+DS166),DS166))</f>
        <v>53</v>
      </c>
      <c r="R166" s="6">
        <f t="shared" si="247"/>
        <v>1.79</v>
      </c>
      <c r="S166" t="str">
        <f t="shared" si="248"/>
        <v>ВВГнг(А)-LS (3х2,5)</v>
      </c>
      <c r="T166" t="str">
        <f>IF(BH166="","",IF(BI166="вводной узел","узел ","")&amp;"л."&amp;(INT((BH166-1)/Столбцов_на_лист)+1)&amp;" / "&amp;(MOD(BH166-1,Столбцов_на_лист)+1))</f>
        <v>л.2 / 14</v>
      </c>
      <c r="V166">
        <v>1</v>
      </c>
      <c r="W166">
        <v>230</v>
      </c>
      <c r="X166" t="s">
        <v>564</v>
      </c>
      <c r="AC166" t="s">
        <v>815</v>
      </c>
      <c r="AE166" t="s">
        <v>563</v>
      </c>
      <c r="AI166">
        <v>31</v>
      </c>
      <c r="AJ166" t="s">
        <v>11</v>
      </c>
      <c r="AK166">
        <v>3</v>
      </c>
      <c r="AM166">
        <v>29</v>
      </c>
      <c r="AN166">
        <v>24</v>
      </c>
      <c r="AO166">
        <v>0</v>
      </c>
      <c r="AW166" cm="1">
        <f t="array" ref="AW166">ROW()-ROW(Линии[#Headers])</f>
        <v>164</v>
      </c>
      <c r="AX166" s="6" t="str">
        <f t="shared" si="249"/>
        <v>R</v>
      </c>
      <c r="AY166" t="str">
        <f t="shared" si="250"/>
        <v>00.002.1А.1</v>
      </c>
      <c r="AZ166" t="str">
        <f t="shared" si="251"/>
        <v>00</v>
      </c>
      <c r="BA166" t="str">
        <f t="shared" si="252"/>
        <v>002.1А.1</v>
      </c>
      <c r="BB166" t="str">
        <f t="shared" si="253"/>
        <v>002</v>
      </c>
      <c r="BC166" t="str">
        <f>IF(U166&lt;&gt;"",U166,IF(AND(B166&lt;&gt;"",B166&lt;&gt;A166,ISNUMBER(_xlfn.XMATCH(B166,Щиты[Щит]))),B166,""))</f>
        <v/>
      </c>
      <c r="BD166" t="str" cm="1">
        <f t="array" ref="BD166">IF(B166="","",IF(BC166&lt;&gt;"","Щит "&amp;BC166,_xlfn.LET(_xlpm.nm,IFERROR(_xlfn.XLOOKUP(AX166,Коды_код,Коды_имя)&amp;"",""),_xlpm.md,IFERROR(N(_xlfn.XLOOKUP(AX166,Коды_код,Коды_режим)),1),_xlpm.ex,IF(Имя_режим="по экспликации",IFERROR(_xlfn.XLOOKUP(AZ166&amp;"|"&amp;BB166,Экспликация[Этаж]&amp;"|"&amp;Экспликация[Помещение],Экспликация[Название])&amp;"",""),""),_xlpm.rm,IF(BB166="","",IF(_xlpm.ex&lt;&gt;"",". "&amp;_xlpm.ex&amp;IF(Имя_пом="нет"," ("&amp;BB166&amp;")"," (пом. "&amp;BB166&amp;")"),IF(Имя_пом="нет"," ",", пом. ")&amp;BB166)),IF(_xlpm.nm="","",IF(_xlpm.md=2,_xlpm.nm&amp;" шлейф "&amp;AZ166,_xlpm.nm&amp;_xlpm.rm)))))</f>
        <v>Розеточная группа, пом. 002</v>
      </c>
      <c r="BE166" t="str">
        <f t="shared" si="254"/>
        <v>Розеточная группа, пом. 002</v>
      </c>
      <c r="BF166">
        <f>IFERROR(_xlfn.XMATCH(A166,Щиты[Щит]),0)</f>
        <v>8</v>
      </c>
      <c r="BG166">
        <f>_xlfn.LET(_xlpm.k,IFERROR(_xlfn.XLOOKUP(A166,Щиты[Щит],Щиты[Листов под вводной узел]),""),IF(_xlpm.k="",1,N(_xlpm.k))*Столбцов_на_лист)</f>
        <v>17</v>
      </c>
      <c r="BH166">
        <f t="shared" si="255"/>
        <v>31</v>
      </c>
      <c r="BI166" t="str">
        <f t="shared" si="256"/>
        <v>линии</v>
      </c>
      <c r="BJ166" s="6">
        <f>IFERROR(N(_xlfn.XLOOKUP(AX166,Коды_код,Коды_квт)),0)</f>
        <v>0</v>
      </c>
      <c r="BK166">
        <f t="shared" si="257"/>
        <v>0</v>
      </c>
      <c r="BL166" t="str">
        <f>IF(B166="","",IF(BC166&lt;&gt;"",IFERROR(_xlfn.XLOOKUP(BC166,Щиты[Щит],Щиты[Руст, кВт]),0),IF(BK166=1,IFERROR(_xlfn.XLOOKUP(A166,Щиты[Щит],Щиты[Руст, кВт]),0),IF(BJ166&gt;0,ROUND(BJ166*MAX(1,N(D166)),3),""))))</f>
        <v/>
      </c>
      <c r="BM166">
        <f t="shared" si="258"/>
        <v>0.12</v>
      </c>
      <c r="BN166" s="6">
        <f>IF(B166="","",IF(BC166&lt;&gt;"",IFERROR(_xlfn.XLOOKUP(BC166,Щиты[Щит],Щиты[Руст, кВт]),0),N(BM166)))</f>
        <v>0.12</v>
      </c>
      <c r="BO166" t="str">
        <f>IF(B166="","",IFERROR(IF(VLOOKUP(AX166,Потребители_обозначение,8,FALSE)=0,"",VLOOKUP(AX166,Потребители_обозначение,8,FALSE)),""))</f>
        <v/>
      </c>
      <c r="BP166">
        <f t="shared" si="259"/>
        <v>230</v>
      </c>
      <c r="BQ166">
        <f>IF(B166="","",IF(BC166&lt;&gt;"",3,IFERROR(IF(N(VLOOKUP(AX166,Потребители_обозначение,9,FALSE))=0,1,VLOOKUP(AX166,Потребители_обозначение,9,FALSE)),1)))</f>
        <v>1</v>
      </c>
      <c r="BR166">
        <f t="shared" si="260"/>
        <v>1</v>
      </c>
      <c r="BS166" t="str">
        <f>IF(B166="","",_xlfn.LET(_xlpm.bc,IFERROR(IF(VLOOKUP(AX166,Потребители_обозначение,6,FALSE)=0,"",VLOOKUP(AX166,Потребители_обозначение,6,FALSE)&amp;""),""),IF(AND(FK166="да",OR(_xlpm.bc="",_xlpm.bc="мс")),Марка_пож,IF(AND(_xlpm.bc="",BC166&lt;&gt;""),"мс",_xlpm.bc))))</f>
        <v/>
      </c>
      <c r="BT166" t="str">
        <f t="shared" si="261"/>
        <v>мс</v>
      </c>
      <c r="BU166">
        <f>IF(B166="","",_xlfn.LET(_xlpm.cc,IFERROR(N(VLOOKUP(AX166,Потребители_обозначение,7,FALSE)),0),IF(_xlpm.cc&gt;0,_xlpm.cc,IF(BT166="","",IF(N(BR166)=3,5,3)))))</f>
        <v>3</v>
      </c>
      <c r="BV166">
        <f t="shared" si="262"/>
        <v>3</v>
      </c>
      <c r="BW166">
        <f>IFERROR(N(VLOOKUP(AX166,Потребители_обозначение,10,FALSE)),0)</f>
        <v>0</v>
      </c>
      <c r="BX166">
        <f>IFERROR(VLOOKUP(AX166,Потребители_обозначение,5,FALSE),0)</f>
        <v>1</v>
      </c>
      <c r="BY166" s="6" cm="1">
        <f t="array" ref="BY166">IF(B166="","",IF(BC166&lt;&gt;"",IFERROR(_xlfn.XLOOKUP(BC166,Щиты[Щит],Щиты[cos φ]),0.95),IF(BK166=1,IFERROR(_xlfn.XLOOKUP(A166,Щиты[Щит],Щиты[cos φ]),0.95),IF(ISNUMBER(Z166),Z166,IFERROR(IF(BX166=2,_xlfn.IFS(BR166=3,VLOOKUP(BN166,Справочная_двигатели,8,FALSE),BR166=1,VLOOKUP(BN166,Справочная_двигатели,10,TRUE)),IF(AND(Методика="нормы 2026",EQ166="Сил"),0.8,0.95)),0.95)))))</f>
        <v>0.95</v>
      </c>
      <c r="BZ166">
        <f t="shared" si="263"/>
        <v>0</v>
      </c>
      <c r="CA166">
        <f t="shared" si="264"/>
        <v>1</v>
      </c>
      <c r="CB166">
        <f t="shared" si="265"/>
        <v>0</v>
      </c>
      <c r="CC166">
        <f t="shared" si="266"/>
        <v>0</v>
      </c>
      <c r="CD166">
        <f t="shared" si="267"/>
        <v>0</v>
      </c>
      <c r="CE166">
        <f t="shared" si="268"/>
        <v>0</v>
      </c>
      <c r="CF166">
        <f t="shared" si="269"/>
        <v>0</v>
      </c>
      <c r="CG166">
        <f>IF(AX166="",0,_xlfn.LET(_xlpm.v,IFERROR(VLOOKUP(B166,УГО_спр,3,FALSE),IFERROR(VLOOKUP(AX166,УГО_спр,3,FALSE),IFERROR(VLOOKUP(LEFT(AX166,2),УГО_спр,3,FALSE),""))),IF(_xlpm.v="да",30,IF(ISNUMBER(_xlpm.v),_xlpm.v,0))))</f>
        <v>30</v>
      </c>
      <c r="CH166">
        <f t="shared" si="270"/>
        <v>30</v>
      </c>
      <c r="CI166" t="str">
        <f>_xlfn.LET(_xlpm.k,IFERROR(_xlfn.XLOOKUP(AX166,Коды_код,Коды_утечка)&amp;"",""),IF(_xlpm.k="","дифавтомат",_xlpm.k))</f>
        <v>дифавтомат</v>
      </c>
      <c r="CJ166">
        <f t="shared" si="271"/>
        <v>30</v>
      </c>
      <c r="CK166">
        <f t="shared" si="272"/>
        <v>30</v>
      </c>
      <c r="CL166">
        <f>IF(B166="",0,IFERROR(--VLOOKUP(B166,УГО_спр,4,FALSE),IFERROR(--VLOOKUP(AX166,УГО_спр,4,FALSE),IFERROR(--VLOOKUP(LEFT(AX166,2),УГО_спр,4,FALSE),0))))</f>
        <v>16</v>
      </c>
      <c r="CM166" t="str">
        <f>IF(B166="","",IFERROR(_xlfn.XLOOKUP(AX166,Коды_код,Коды_апп)&amp;"",""))</f>
        <v/>
      </c>
      <c r="CN166" t="str">
        <f t="shared" si="273"/>
        <v/>
      </c>
      <c r="CO166" t="str" cm="1">
        <f t="array" ref="CO166">IF(TRIM(CN166&amp;"")="","",IFERROR(TRIM(INDEX(_xlfn.TEXTSPLIT(CN166&amp;";;;",";"),1)),""))</f>
        <v/>
      </c>
      <c r="CP166" t="str" cm="1">
        <f t="array" ref="CP166">IF(TRIM(CN166&amp;"")="","",IFERROR(TRIM(INDEX(_xlfn.TEXTSPLIT(CN166&amp;";;;",";"),2)),""))</f>
        <v/>
      </c>
      <c r="CQ166" t="str" cm="1">
        <f t="array" ref="CQ166">IF(TRIM(CN166&amp;"")="","",IFERROR(TRIM(INDEX(_xlfn.TEXTSPLIT(CN166&amp;";;;",";"),3)),""))</f>
        <v/>
      </c>
      <c r="CR166">
        <f t="shared" si="274"/>
        <v>0</v>
      </c>
      <c r="CS166" t="str">
        <f>IF(B166="","",_xlfn.LET(_xlpm.t,LOWER(AV166&amp;""),IF(ISNUMBER(SEARCH("dim",_xlpm.t)),"DIM",IF(ISNUMBER(SEARCH("dali",_xlpm.t)),"DALI",IF(OR(ISNUMBER(SEARCH("relay",_xlpm.t)),ISNUMBER(SEARCH("реле",_xlpm.t))),"Relay",IF(ISNUMBER(SEARCH("кнопк",_xlpm.t)),"",IFERROR(_xlfn.XLOOKUP(AX166,Коды_код,Коды_упр)&amp;"","")))))))</f>
        <v/>
      </c>
      <c r="CT166" t="str">
        <f t="shared" si="275"/>
        <v/>
      </c>
      <c r="CU166">
        <f>IF(B166="","",_xlfn.LET(_xlpm.ig,N(P166)+IF(AF166="вручную",0,N(CB166)),_xlpm.n0,IFERROR(VLOOKUP(_xlpm.ig,Автомат_номиналы,2,TRUE),0),_xlpm.mn,MAX(CL166,IF(AF166="вручную",0,N(CE166))),MAX(_xlpm.n0,_xlpm.mn,IF(CR166=1,Мин_автомат_БП,0))))</f>
        <v>16</v>
      </c>
      <c r="CV166">
        <f t="shared" si="276"/>
        <v>1</v>
      </c>
      <c r="CW166" t="str">
        <f t="shared" si="277"/>
        <v>2P</v>
      </c>
      <c r="CX166" t="str">
        <f>_xlfn.LET(_xlpm.cc,UPPER(TRIM(IFERROR(_xlfn.XLOOKUP(AX166,Коды_код,Коды_хар)&amp;"",""))),IF(OR(_xlpm.cc="B",_xlpm.cc="В"),"B",IF(_xlpm.cc="D","D","С")))</f>
        <v>С</v>
      </c>
      <c r="CY166" t="str">
        <f t="shared" si="278"/>
        <v>2P С16А 30мА</v>
      </c>
      <c r="CZ166">
        <f t="shared" si="279"/>
        <v>16</v>
      </c>
      <c r="DA166" t="str">
        <f t="shared" si="280"/>
        <v>2P С16А 30мА</v>
      </c>
      <c r="DB166" cm="1">
        <f t="array" ref="DB166">IF(DA166="","",_xlfn.LET(_xlpm.t,SUBSTITUTE(SUBSTITUTE(SUBSTITUTE(UPPER(DA166),"С","C"),"А","A"),"В","B"),_xlpm.tk,_xlfn.TEXTSPLIT(_xlpm.t,"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6" t="str">
        <f t="shared" si="281"/>
        <v>ok</v>
      </c>
      <c r="DD166">
        <f t="shared" si="282"/>
        <v>16</v>
      </c>
      <c r="DE166" t="str">
        <f t="shared" si="283"/>
        <v>2P С16А 30мА</v>
      </c>
      <c r="DF166">
        <f t="shared" si="284"/>
        <v>30</v>
      </c>
      <c r="DG166">
        <f t="shared" si="285"/>
        <v>1</v>
      </c>
      <c r="DH166">
        <f t="shared" si="286"/>
        <v>0</v>
      </c>
      <c r="DI166">
        <f t="shared" si="287"/>
        <v>0.54696341291648753</v>
      </c>
      <c r="DJ166">
        <f t="shared" si="288"/>
        <v>1</v>
      </c>
      <c r="DK166">
        <f>IF(ISNUMBER(AL166),AL166,К_прокл)</f>
        <v>1</v>
      </c>
      <c r="DL166">
        <f t="shared" si="289"/>
        <v>2</v>
      </c>
      <c r="DM166">
        <f>IFERROR(N(VLOOKUP(BT166,Кабель_обозначение,3,FALSE)),1)</f>
        <v>1</v>
      </c>
      <c r="DN166">
        <f>IFERROR(N(_xlfn.XLOOKUP(A166,Щиты[Щит],Щиты[ΔU до шин, %])),0)</f>
        <v>1.57</v>
      </c>
      <c r="DO166" t="str">
        <f>IFERROR(_xlfn.XLOOKUP(A166,Щиты[Щит],Щиты[Zпетли на шинах, Ом]),"")</f>
        <v/>
      </c>
      <c r="DP166">
        <f>IFERROR(N(_xlfn.XLOOKUP(A166,Щиты[Щит],Щиты[ΔU до шин (подбор), %])),0)</f>
        <v>2.5</v>
      </c>
      <c r="DQ166" t="str">
        <f>IFERROR(_xlfn.XLOOKUP(A166,Щиты[Щит],Щиты[Zпетли на шинах (подбор), Ом]),"")</f>
        <v/>
      </c>
      <c r="DR166" t="str">
        <f t="shared" si="290"/>
        <v/>
      </c>
      <c r="DS166">
        <f t="shared" si="291"/>
        <v>44</v>
      </c>
      <c r="DT166">
        <f t="shared" si="292"/>
        <v>2</v>
      </c>
      <c r="DU166">
        <f t="shared" si="293"/>
        <v>0.31</v>
      </c>
      <c r="DV166" s="6">
        <f>IF(B166="","",IF(IFERROR(VLOOKUP(AX166,УГО_спр,2,FALSE),"")="Светильник",3,4)+IF(Методика="нормы 2026",MIN(0.5,MAX(0,N(Q166)-100)*0.005),0))</f>
        <v>4</v>
      </c>
      <c r="DW166" cm="1">
        <f t="array" ref="DW166">IF(OR(B166="",BT166="",DM166&lt;&gt;1),"",_xlfn.LET(_xlpm.sz,Iдоп_S,_xlpm.t_,CHOOSE(DL166,Iдоп_1ж,Iдоп_2ж,Iдоп_3ж)*DJ166*DK166,_xlpm.inn,N(DD166),_xlpm.smin,MAX(1.5,BW166),_xlpm.L_,N(Q166)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166)*(_xlpm.rho*_xlpm.L_/_xlpm.sz*N(BY166)+_xlpm.xx*_xlpm.L_*N(DU166)/1000)*N(P166)/((Uн_лин/SQRT(3))*1000)*100,999),_xlpm.kz,IF(OR(DG166=1,NOT(ISNUMBER(DQ166)),_xlpm.L_=0,_xlpm.inn=0),1,IFERROR(--(c_min*(Uн_лин*1000/SQRT(3))/(DQ166+2*ρкз_Cu*_xlpm.L_/_xlpm.sz)&gt;=GY166*_xlpm.inn),0)),_xlpm.ok,IFERROR((_xlpm.sz&gt;=_xlpm.smin)*(_xlpm.t_&gt;=_xlpm.inn)*IF(_xlpm.L_&gt;0,(_xlpm.du_+DP166&lt;=DV166+0.00001),1)*_xlpm.kz,0),_xlpm.r_,_xlfn._xlws.FILTER(_xlpm.sz,_xlpm.ok,"не подобрано"),INDEX(_xlpm.r_,1)))</f>
        <v>1.5</v>
      </c>
      <c r="DX166">
        <f t="shared" si="294"/>
        <v>2.5</v>
      </c>
      <c r="DY166" cm="1">
        <f t="array" ref="DY166">IF(OR(B166="",BT166="",DM166&lt;&gt;1),"",_xlfn.LET(_xlpm.sz,Iдоп_S,_xlpm.t_,CHOOSE(DL166,Iдоп_1ж,Iдоп_2ж,Iдоп_3ж)*DJ166*DK166,_xlpm.ok,IFERROR((_xlpm.sz&gt;=MAX(1.5,BW166))*(_xlpm.t_&gt;=N(DD166)),0),_xlpm.r_,_xlfn._xlws.FILTER(_xlpm.sz,_xlpm.ok,""),INDEX(_xlpm.r_,1)))</f>
        <v>1.5</v>
      </c>
      <c r="DZ166" s="6" cm="1">
        <f t="array" ref="DZ166">IFERROR(ROUNDUP(N(DT166)*(_xlfn.XLOOKUP(DY166,INDEX(Кабель_сопротивление,0,1),INDEX(Кабель_сопротивление,0,3))*N(Q166)/DY166*N(BY166)+_xlfn.XLOOKUP(DY166,INDEX(Кабель_сопротивление,0,1),INDEX(Кабель_сопротивление,0,2))*N(Q166)*N(DU166)/1000)*N(P166)/((Uн_лин/SQRT(3))*1000)*100,2),"")</f>
        <v>0.36</v>
      </c>
      <c r="EA166">
        <f>IFERROR(2*ρкз_Cu*N(Q166)/DY166,"")</f>
        <v>1.8585333333333331</v>
      </c>
      <c r="EB166">
        <f>IFERROR(VLOOKUP(DX166,Кабель_сопротивление,3,FALSE),"")</f>
        <v>2.2499999999999999E-2</v>
      </c>
      <c r="EC166">
        <f>IFERROR(VLOOKUP(DX166,Кабель_сопротивление,2,FALSE),"")</f>
        <v>0.1</v>
      </c>
      <c r="ED166">
        <f t="shared" si="295"/>
        <v>24</v>
      </c>
      <c r="EE166">
        <f t="shared" si="296"/>
        <v>0</v>
      </c>
      <c r="EF166">
        <f t="shared" si="297"/>
        <v>0.49751026290105616</v>
      </c>
      <c r="EG166" s="6">
        <f>IFERROR(ROUNDUP(EF166/((Uн_лин/SQRT(3))*1000)*100,2),"")</f>
        <v>0.22</v>
      </c>
      <c r="EH166" t="str">
        <f>IFERROR(VLOOKUP(BT166,Кабель_обозначение,2,FALSE),"")</f>
        <v>ВВГнг(А)-LS</v>
      </c>
      <c r="EI166" t="str">
        <f t="shared" si="298"/>
        <v>ВВГнг(А)-LS (3х2,5)</v>
      </c>
      <c r="EJ166" t="str">
        <f t="shared" si="299"/>
        <v>ВВГнг(А)-LS (3х2,5)
L=53-0,22%</v>
      </c>
      <c r="EK166">
        <f>IFERROR(2*ρкз_Cu*Q166/DX166,"")</f>
        <v>1.1151199999999999</v>
      </c>
      <c r="EL166">
        <f t="shared" si="300"/>
        <v>0.37100000000000005</v>
      </c>
      <c r="EM166" s="6" t="str">
        <f>IFERROR(IF(OR(B166="",NOT(ISNUMBER(DX166)),N(Q166)=0),"",_xlfn.XLOOKUP(A166,Щиты[Щит],Щиты[Zпетли на шинах, Ом])+EK166),"")</f>
        <v/>
      </c>
      <c r="EN166" s="6" t="str">
        <f>IF(ISNUMBER(EM166),c_min*(Uн_лин*1000/SQRT(3))/EM166,"")</f>
        <v/>
      </c>
      <c r="EO166" s="6" t="str">
        <f>IFERROR(IF(OR(B166="",NOT(ISNUMBER(DX166))),"",1.05*(Uн_лин*1000/SQRT(3))/(_xlfn.XLOOKUP(A166,Щиты[Щит],Щиты[Zmax на шинах, Ом])+EL166)/1000),"")</f>
        <v/>
      </c>
      <c r="EP166" s="6" t="str">
        <f>IF(B166="","",IF(ISNUMBER(Y166),"Сил",IF(IFERROR(_xlfn.XLOOKUP(AX166,Коды_код,Коды_группа)&amp;"","")="","Быт",_xlfn.XLOOKUP(AX166,Коды_код,Коды_группа)&amp;"")))</f>
        <v>Быт</v>
      </c>
      <c r="EQ166" s="6" t="str">
        <f t="shared" si="301"/>
        <v>Быт</v>
      </c>
      <c r="ER166" s="6">
        <f>IF(EQ166="Щит","щит",IF(EQ166="","",IF(EQ166="Быт",IFERROR(_xlfn.XLOOKUP(A166,Щиты[Щит],Щиты[Кс быт]),1),IF(EQ166="Сил",IF(ISNUMBER(Y166),Y166,IF(Методика="нормы 2026",IFERROR(_xlfn.XLOOKUP(A166,Щиты[Щит],Щиты[Кс силовых (табл. 7.5)]),1),1)),IF(OR(EQ166="Пост",EQ166="Отоп"),1,IF(EQ166="ВНГ",0.7,0))))))</f>
        <v>0.8</v>
      </c>
      <c r="ES166">
        <f t="shared" si="302"/>
        <v>1</v>
      </c>
      <c r="ET166">
        <f t="shared" si="303"/>
        <v>0.12</v>
      </c>
      <c r="EU166">
        <f t="shared" si="304"/>
        <v>0.12</v>
      </c>
      <c r="EV166">
        <f t="shared" si="305"/>
        <v>0</v>
      </c>
      <c r="EW166">
        <f t="shared" si="306"/>
        <v>0</v>
      </c>
      <c r="EX166">
        <f t="shared" si="307"/>
        <v>0</v>
      </c>
      <c r="EY166">
        <f t="shared" si="308"/>
        <v>0</v>
      </c>
      <c r="EZ166">
        <f t="shared" si="309"/>
        <v>0.12</v>
      </c>
      <c r="FA166">
        <f t="shared" si="310"/>
        <v>0.11399999999999999</v>
      </c>
      <c r="FB166">
        <f t="shared" si="311"/>
        <v>0.12</v>
      </c>
      <c r="FC166" t="str">
        <f t="shared" si="312"/>
        <v>L2</v>
      </c>
      <c r="FD166" t="str">
        <f>IF(B166="","",IF(CA166=0,IF(AW166=1,"",FF165),IF(OR(N(CV166)&gt;=3,N(BR166)&gt;=3),"L1,L2,L3",IFERROR(_xlfn.TEXTBEFORE(_xlfn.TEXTAFTER(_xlfn.XLOOKUP(A166,Щиты[Щит],Щиты[_фазы авто]),";"&amp;AW166&amp;":"),";"),"L1"))))</f>
        <v>L1</v>
      </c>
      <c r="FE166" t="str">
        <f t="shared" si="313"/>
        <v>L2</v>
      </c>
      <c r="FF166" t="str">
        <f t="shared" si="314"/>
        <v>L2</v>
      </c>
      <c r="FG166" cm="1">
        <f t="array" ref="FG166">IFERROR(IF(BX166=2,_xlfn.IFS(BR166=3,VLOOKUP(BN166,Справочная_двигатели,3,FALSE),BR166=1,VLOOKUP(BN166,Справочная_двигатели,5,TRUE)),0),0)</f>
        <v>0</v>
      </c>
      <c r="FH166">
        <f>IFERROR(IF(BX166=3,VLOOKUP(BN166,Справочная_ЛЭД,2,TRUE),0),0)</f>
        <v>0</v>
      </c>
      <c r="FI166" s="6">
        <f t="shared" si="315"/>
        <v>0</v>
      </c>
      <c r="FJ166" t="str" cm="1">
        <f t="array" ref="FJ166">IF(B166="","",IFERROR(INDEX({"I особая","I","II","III"},MATCH(TRIM(AC166&amp;""),{"I особая","I","II","III"},0)),"III"))</f>
        <v>II</v>
      </c>
      <c r="FK166" t="str">
        <f>IF(B166="","",IF(TRIM(AD166&amp;"")&lt;&gt;"",IF(LOWER(TRIM(AD166&amp;""))="да","да","нет"),IF(IFERROR(_xlfn.XLOOKUP(AX166,Коды_код,Коды_пожарная),"")="да","да","нет")))</f>
        <v>нет</v>
      </c>
      <c r="FL166" t="str">
        <f t="shared" si="316"/>
        <v/>
      </c>
      <c r="FM166" t="str">
        <f t="shared" si="317"/>
        <v>основная</v>
      </c>
      <c r="FN166">
        <f t="shared" si="318"/>
        <v>1</v>
      </c>
      <c r="FO166" t="str" cm="1">
        <f t="array" ref="FO166">IF(B166="","",_xlfn.LET(_xlpm.t,IFERROR(_xlfn.XLOOKUP(1,(Шины[Шина]=FM166)*(((Шины[Щит]=A166)+(Шины[Щит]=""))&gt;0),Шины[Тип]),"")&amp;"",IF(_xlpm.t&lt;&gt;"",_xlpm.t,IF(ISNUMBER(SEARCH("ИБП",FM166)),"ИБП",IF(ISNUMBER(SEARCH("ДГУ",FM166)),"ДГУ","Ввод "&amp;FN166)))))</f>
        <v>Ввод 1</v>
      </c>
      <c r="FP166" t="str">
        <f t="shared" si="319"/>
        <v>Ввод 1</v>
      </c>
      <c r="FQ166" t="str">
        <f>IF(B166="","",IF(OR(FO166="ИБП",FO166="ДГУ"),"I особая",IF(FO166="Одиночная","III",_xlfn.XLOOKUP(A166,Щиты[Щит],Щиты[Категория шины «Ввод»],"III"))))</f>
        <v>II</v>
      </c>
      <c r="FR166">
        <f>IF(B166="",0,IFERROR(MATCH(FJ166,{"III","II","I","I особая"},0),1))</f>
        <v>2</v>
      </c>
      <c r="FS166">
        <f t="shared" si="320"/>
        <v>2</v>
      </c>
      <c r="FT166" t="str">
        <f>IF(B166="","",IF(FR166&gt;IFERROR(MATCH(FQ166,{"III","II","I","I особая"},0),1),"НЕ ОБЕСПЕЧЕНА","ОК"))</f>
        <v>ОК</v>
      </c>
      <c r="FU166" t="str">
        <f>IF(A166="","",_xlfn.XLOOKUP(A166,Щиты[Щит],Щиты[Путь],""))</f>
        <v>|ГРЩ-ЖД|ЩР-001|</v>
      </c>
      <c r="FV166" t="str">
        <f>IF(B166="","",IF(AE166&lt;&gt;"",AE166,IF(IFERROR(_xlfn.XLOOKUP(AX166,Коды_код,Коды_вид)&amp;"","")="","Прочее",_xlfn.XLOOKUP(AX166,Коды_код,Коды_вид)&amp;"")))</f>
        <v>Розеточная сеть и бытовые приборы</v>
      </c>
      <c r="FW166">
        <f>IF(BH166="","",INT((BH166-1)/Столбцов_на_лист)+1)</f>
        <v>2</v>
      </c>
      <c r="FX166" t="str">
        <f t="shared" si="321"/>
        <v>ВВГнг(А)-LS (3х2,5) L=53-0,22%</v>
      </c>
      <c r="FY166">
        <f t="shared" si="322"/>
        <v>0.12</v>
      </c>
      <c r="FZ166">
        <f t="shared" si="323"/>
        <v>0.55000000000000004</v>
      </c>
      <c r="GA166">
        <f t="shared" si="324"/>
        <v>1</v>
      </c>
      <c r="GB166">
        <f t="shared" si="325"/>
        <v>0</v>
      </c>
      <c r="GC166">
        <f t="shared" si="326"/>
        <v>1</v>
      </c>
      <c r="GD166">
        <f>IF(BH166="","",IF(AND(CA166=1,GC166=1),COUNTIFS(A$3:A166,A166,CA$3:CA166,1,GC$3:GC166,1),IF(OR(OR(AW166=1,A166&lt;&gt;A165),AF166="вручную",GC166=0),"",IF(AW166=1,"",GE165))))</f>
        <v>12</v>
      </c>
      <c r="GE166">
        <f t="shared" si="327"/>
        <v>12</v>
      </c>
      <c r="GF166">
        <f>IF(B166="","",IFERROR(LOOKUP(INDEX(CHOOSE(DL166,Iдоп_1ж,Iдоп_2ж,Iдоп_3ж),MATCH(DX166,Iдоп_S,0))*DJ166*DK166,{6,10,16,20,25,32,40,50,63,80,100,125,160,200,250,315,400,500,630}),""))</f>
        <v>25</v>
      </c>
      <c r="GG166" t="str">
        <f t="shared" si="328"/>
        <v>QFD12</v>
      </c>
      <c r="GH166" t="str">
        <f t="shared" si="329"/>
        <v>QFD12</v>
      </c>
      <c r="GI166" t="str">
        <f t="shared" si="330"/>
        <v/>
      </c>
      <c r="GJ166">
        <f t="shared" si="331"/>
        <v>0</v>
      </c>
      <c r="GK166" t="str">
        <f>IF(OR(AG166="",AG166="-"),"",IFERROR(VLOOKUP(AG166,Модули_спр,2,FALSE),"R"))</f>
        <v/>
      </c>
      <c r="GL166" t="str">
        <f>IF(GK166="","",GK166&amp;"."&amp;COUNTIFS(A$3:A166,A166,GK$3:GK166,GK166))</f>
        <v/>
      </c>
      <c r="GM166" t="str">
        <f t="shared" si="332"/>
        <v/>
      </c>
      <c r="GN166" t="str">
        <f t="shared" si="333"/>
        <v/>
      </c>
      <c r="GO166" t="str">
        <f t="shared" si="334"/>
        <v/>
      </c>
      <c r="GP166" t="str">
        <f t="shared" si="335"/>
        <v/>
      </c>
      <c r="GQ166">
        <f t="shared" si="336"/>
        <v>1</v>
      </c>
      <c r="GR166" t="str">
        <f>IF(GQ166=1,"XT"&amp;COUNTIFS(A$3:A166,A166,GQ$3:GQ166,1),"")</f>
        <v>XT12</v>
      </c>
      <c r="GS166" t="str">
        <f t="shared" si="337"/>
        <v/>
      </c>
      <c r="GT166" t="str">
        <f t="shared" si="338"/>
        <v>QFD12</v>
      </c>
      <c r="GU166" t="str">
        <f t="shared" si="339"/>
        <v/>
      </c>
      <c r="GV166" t="str">
        <f t="shared" si="340"/>
        <v>ok</v>
      </c>
      <c r="GW166" t="str">
        <f>IF(OR(GO166="",GM166=""),"",IF(GO166&gt;IFERROR(VLOOKUP(GN166,Модули_спр,3,FALSE),99),"ЛИШНИЙ КАНАЛ",IF(AND(AH166&lt;&gt;"=",COUNTIFS(Линии[_модуль гр.],GM166,Линии[Канал (итог)],GO166,Линии[Канал],"&lt;&gt;=",Линии[Щит],A166)&gt;1),"ДУБЛЬ КАНАЛА","")))</f>
        <v/>
      </c>
      <c r="GX166" s="6" t="str">
        <f t="shared" si="341"/>
        <v/>
      </c>
      <c r="GY166">
        <f t="shared" si="342"/>
        <v>10</v>
      </c>
      <c r="GZ166" t="str">
        <f t="shared" si="343"/>
        <v/>
      </c>
      <c r="HA166" t="str">
        <f>IF(AND(B166="",GT166=""),"",_xlfn.TEXTJOIN("; ",TRUE,IF(AND(B166&lt;&gt;"",FE166=""),"нет фазы",""),IF(AND(B166&lt;&gt;"",N(FY166)=0,EQ166&lt;&gt;"Нет"),"нет мощности",""),IF(AND(GS166&lt;&gt;"",COUNTIFS(Линии[Щит],A166,Линии[Клемма (итог)],GS166)&gt;1),"дубль клеммы "&amp;GS166,""),IF(AND(GV166&lt;&gt;"",GV166&lt;&gt;"ok"),GV166,""),IF(GW166&lt;&gt;"",GW166,""),IF(AND(N(BV166)&gt;=4,N(BR166)=1),BV166&amp;" жил на 1 фазе",""),IF(AND(AX166="R",CA166=1,OR(N(CK166)=0,N(CK166)&gt;30)),"розетка без дифзащиты до 30 мА",""),IFERROR(IF(AND(ISNUMBER(R166),R166&gt;DV166),"потери "&amp;FIXED(R166,1)&amp;" % &gt; "&amp;DV166&amp;" %",""),""),IFERROR(IF(LEFT(GZ166,4)="мало","Iкз мало — отключение &gt; 0,4 с",""),""),IF(AND(B166&lt;&gt;"",BH166=""),"не на схеме",""),IF(AND(CA166=0,B166&lt;&gt;"",FE166&lt;&gt;"",IF(AW166=1,"",FF165)&lt;&gt;"",FE166&lt;&gt;IF(AW166=1,"",FF165)),"фаза не как у автомата группы ("&amp;IF(AW166=1,"",FF165)&amp;")","")))</f>
        <v/>
      </c>
      <c r="HB166" s="6">
        <f>IF(OR(CA166=0,DA166=""),"",_xlfn.LET(_xlpm.t,IFERROR(_xlfn.XLOOKUP(DA166,Каталог!$U$4:$U$500,Каталог!$G$4:$G$500),""),_xlpm.k,SEARCH("кА",_xlpm.t),IFERROR(--TRIM(RIGHT(SUBSTITUTE(MID(_xlpm.t,MAX(1,_xlpm.k-4),_xlpm.k-MAX(1,_xlpm.k-4))," ",REPT(" ",9)),5)),"")))</f>
        <v>6</v>
      </c>
      <c r="HC166" t="str">
        <f>IF(OR(HB166="",CA166=0),"",IF(_xlfn.XLOOKUP(A166,Щиты[Щит],Щиты[Iкз max на шинах, кА],"")="","",IF(HB166&lt;_xlfn.XLOOKUP(A166,Щиты[Щит],Щиты[Iкз max на шинах, кА]),"Icu "&amp;HB166&amp;" кА &lt; Iкз max","ok")))</f>
        <v/>
      </c>
      <c r="HD166" t="str">
        <f t="shared" si="344"/>
        <v/>
      </c>
      <c r="HE166" t="str">
        <f t="shared" si="345"/>
        <v>QFD12</v>
      </c>
      <c r="HF166" t="str">
        <f t="shared" si="346"/>
        <v>QFD12|кабель ВВГнг(А)-LS (3х2,5) → Розеточная группа, пом. 002</v>
      </c>
      <c r="HG166" t="str" cm="1">
        <f t="array" ref="HG166">IF(HF166="","",_xlfn.LET(_xlpm.nd,_xlfn.TEXTSPLIT(HF166,"|"),IF(COLUMNS(_xlpm.nd)&gt;1,A166&amp;"¦"&amp;INDEX(_xlpm.nd,1)&amp;"¦"&amp;INDEX(_xlpm.nd,2),"")))</f>
        <v>ЩР-001¦QFD12¦кабель ВВГнг(А)-LS (3х2,5) → Розеточная группа, пом. 002</v>
      </c>
      <c r="HH166" t="str">
        <f t="shared" si="347"/>
        <v>R.00.002.1А.1¦Розеточная группа, пом. 002</v>
      </c>
      <c r="HI166" t="str" cm="1">
        <f t="array" ref="HI166">IF(HF166="","",_xlfn.LET(_xlpm.nd,_xlfn.TEXTSPLIT(HF166,"|"),IF(COLUMNS(_xlpm.nd)&gt;2,A166&amp;"¦"&amp;INDEX(_xlpm.nd,2)&amp;"¦"&amp;INDEX(_xlpm.nd,3),"")))</f>
        <v/>
      </c>
      <c r="HJ166" t="str">
        <f t="shared" si="348"/>
        <v/>
      </c>
      <c r="HK166" t="str" cm="1">
        <f t="array" ref="HK166">IF(HF166="","",_xlfn.LET(_xlpm.nd,_xlfn.TEXTSPLIT(HF166,"|"),IF(COLUMNS(_xlpm.nd)&gt;3,A166&amp;"¦"&amp;INDEX(_xlpm.nd,3)&amp;"¦"&amp;INDEX(_xlpm.nd,4),"")))</f>
        <v/>
      </c>
      <c r="HL166" t="str">
        <f t="shared" si="349"/>
        <v/>
      </c>
      <c r="HM166" t="str" cm="1">
        <f t="array" ref="HM166">IF(HF166="","",_xlfn.LET(_xlpm.nd,_xlfn.TEXTSPLIT(HF166,"|"),IF(COLUMNS(_xlpm.nd)&gt;4,A166&amp;"¦"&amp;INDEX(_xlpm.nd,4)&amp;"¦"&amp;INDEX(_xlpm.nd,5),"")))</f>
        <v/>
      </c>
      <c r="HN166" t="str">
        <f t="shared" si="350"/>
        <v/>
      </c>
      <c r="HO166" t="str" cm="1">
        <f t="array" ref="HO166">IF(HF166="","",_xlfn.LET(_xlpm.nd,_xlfn.TEXTSPLIT(HF166,"|"),IF(COLUMNS(_xlpm.nd)&gt;5,A166&amp;"¦"&amp;INDEX(_xlpm.nd,5)&amp;"¦"&amp;INDEX(_xlpm.nd,6),"")))</f>
        <v/>
      </c>
      <c r="HP166" t="str">
        <f t="shared" si="351"/>
        <v/>
      </c>
      <c r="HQ166" t="str" cm="1">
        <f t="array" ref="HQ166">IF(HF166="","",_xlfn.LET(_xlpm.nd,_xlfn.TEXTSPLIT(HF166,"|"),IF(COLUMNS(_xlpm.nd)&gt;6,A166&amp;"¦"&amp;INDEX(_xlpm.nd,6)&amp;"¦"&amp;INDEX(_xlpm.nd,7),"")))</f>
        <v/>
      </c>
      <c r="HR166" t="str">
        <f t="shared" si="352"/>
        <v/>
      </c>
      <c r="HS166" t="str">
        <f t="shared" si="353"/>
        <v/>
      </c>
      <c r="HT166" t="str">
        <f t="shared" si="354"/>
        <v>QFD12</v>
      </c>
      <c r="HU166">
        <f t="shared" si="355"/>
        <v>0</v>
      </c>
      <c r="HV166">
        <f t="shared" si="356"/>
        <v>1</v>
      </c>
      <c r="HW166" t="str">
        <f t="shared" si="357"/>
        <v/>
      </c>
      <c r="HX166" t="str">
        <f t="shared" si="358"/>
        <v/>
      </c>
      <c r="HY166" t="str">
        <f t="shared" si="359"/>
        <v/>
      </c>
      <c r="HZ166" t="str">
        <f t="shared" si="360"/>
        <v/>
      </c>
      <c r="IA166" t="str">
        <f>IF(B166="","",IFERROR(VLOOKUP(B166,УГО_спр,2,FALSE),IFERROR(VLOOKUP(AX166,УГО_спр,2,FALSE),IFERROR(VLOOKUP(LEFT(AX166,2),УГО_спр,2,FALSE),""))))</f>
        <v>Розетка</v>
      </c>
      <c r="IB166" t="str">
        <f>IF(B166="","",IF(OR(IA166="",IA166=0),"BOX",IFERROR(IF(VLOOKUP(IA166,УГО_блоки,3,FALSE)&amp;""&lt;&gt;"",VLOOKUP(IA166,УГО_блоки,3,FALSE),VLOOKUP(IA166,УГО_блоки,2,FALSE)),IA166)))</f>
        <v>SOCKET</v>
      </c>
      <c r="IC166">
        <f t="shared" si="361"/>
        <v>1</v>
      </c>
      <c r="ID166" t="str">
        <f>IF(DA166="","",IF(COUNTIF(DA$3:DA166,DA166)=1,MAX(ID$2:ID165)+1,""))</f>
        <v/>
      </c>
      <c r="IE166" t="str">
        <f>IF(CO166="","",IF(COUNTIF(CO$3:CO166,CO166)+COUNTIF(CP$2:CP165,CO166)+COUNTIF(CQ$2:CQ165,CO166)=1,MAX(IE$2:IG165)+1,""))</f>
        <v/>
      </c>
      <c r="IF166" t="str">
        <f>IF(CP166="","",IF(COUNTIF(CO$3:CO166,CP166)+COUNTIF(CP$3:CP166,CP166)+COUNTIF(CQ$2:CQ165,CP166)=1,MAX(IE$2:IG165,IE166)+1,""))</f>
        <v/>
      </c>
      <c r="IG166" t="str">
        <f>IF(CQ166="","",IF(COUNTIF(CO$3:CO166,CQ166)+COUNTIF(CP$3:CP166,CQ166)+COUNTIF(CQ$3:CQ166,CQ166)=1,MAX(IE$2:IG165,IE166,IF166)+1,""))</f>
        <v/>
      </c>
      <c r="IH166" t="str">
        <f t="shared" si="362"/>
        <v>3х2,5</v>
      </c>
      <c r="II166" t="str">
        <f>IF(IH166="","",IF(COUNTIF(IH$3:IH166,IH166)=1,MAX(II$2:II165)+1,""))</f>
        <v/>
      </c>
      <c r="IJ166" t="str">
        <f>IF(GL166="","",COUNTIF(GL$3:GL166,"?*"))</f>
        <v/>
      </c>
      <c r="IK166" t="str">
        <f>IF(OR(GL166="",GN166=""),"",IF(COUNTIFS(GL$3:GL166,"?*",GN$3:GN166,GN166)=1,MAX(IK$2:IK165)+1,""))</f>
        <v/>
      </c>
      <c r="IL166">
        <f t="shared" si="363"/>
        <v>0</v>
      </c>
      <c r="IM166">
        <f>IF(B166="","",COUNTIF(B$3:B166,"?*"))</f>
        <v>164</v>
      </c>
      <c r="IN166">
        <f>IF(GQ166&lt;&gt;1,0,_xlfn.LET(_xlpm.k,MAX(IFERROR(--VLOOKUP(B166,УГО_спр,5,FALSE),0),IFERROR(--VLOOKUP(AX166,УГО_спр,5,FALSE),0),IFERROR(--VLOOKUP(LEFT(AX166,2),УГО_спр,5,FALSE),0)),IF(_xlpm.k&gt;0,_xlpm.k,IF(IFERROR(--LEFT(SUBSTITUTE(IH166,"x","х"),FIND("х",SUBSTITUTE(IH166,"x","х"))-1),3)&gt;3,Каталог!$S$9,1))))</f>
        <v>1</v>
      </c>
      <c r="IO166">
        <f t="shared" si="364"/>
        <v>0</v>
      </c>
      <c r="IP166" t="str">
        <f t="shared" si="365"/>
        <v>авто</v>
      </c>
      <c r="IQ166">
        <f t="shared" si="366"/>
        <v>30</v>
      </c>
      <c r="IR166">
        <f t="shared" si="367"/>
        <v>1</v>
      </c>
      <c r="IS166">
        <f t="shared" si="368"/>
        <v>1</v>
      </c>
    </row>
    <row r="167" spans="1:253" x14ac:dyDescent="0.3">
      <c r="A167" t="s">
        <v>755</v>
      </c>
      <c r="B167" t="s">
        <v>1434</v>
      </c>
      <c r="C167" t="str">
        <f>Линии[[#This Row],[_авто наименование]]</f>
        <v>Розеточная группа, пом. 006T</v>
      </c>
      <c r="D167">
        <v>2</v>
      </c>
      <c r="E167">
        <v>0.12</v>
      </c>
      <c r="G167">
        <v>16</v>
      </c>
      <c r="H167">
        <f>Линии[[#This Row],[_авто утечка]]</f>
        <v>30</v>
      </c>
      <c r="I167" t="str">
        <f>Линии[[#This Row],[_авто управление]]</f>
        <v/>
      </c>
      <c r="J167" t="str">
        <f>Линии[[#This Row],[_авто аппараты]]</f>
        <v/>
      </c>
      <c r="K167">
        <v>2.5</v>
      </c>
      <c r="L167">
        <v>60</v>
      </c>
      <c r="M167">
        <v>3</v>
      </c>
      <c r="N167" t="s">
        <v>486</v>
      </c>
      <c r="O167" t="str">
        <f t="shared" si="246"/>
        <v/>
      </c>
      <c r="P167" s="6" cm="1">
        <f t="array" ref="P167">IF(B167="","",IF(BC167&lt;&gt;"",IFERROR(_xlfn.XLOOKUP(BC167,Щиты[Щит],Щиты[Iр, А]),""),IF(BK167=1,IFERROR(_xlfn.XLOOKUP(A167,Щиты[Щит],Щиты[Iр, А]),""),IFERROR(_xlfn.IFS(BR167=1,BN167/((Uн_лин/SQRT(3))*BY167),BR167=3,BN167/(SQRT(3)*Uн_лин*BY167)),""))))</f>
        <v>0.54696341291648753</v>
      </c>
      <c r="Q167" s="7">
        <f>IF(B167="","",IFERROR(IF(VLOOKUP(AX167,Потребители_обозначение,4,FALSE)=1,VLOOKUP(AX167,Потребители_обозначение,3,FALSE)*(D167*2-1)+DS167+VLOOKUP(AZ167,Этаж_обозначение,3,FALSE)+VLOOKUP(AZ167,Этаж_обозначение,4,FALSE),VLOOKUP(AX167,Потребители_обозначение,3,FALSE)*(D167*2-1)+DS167),DS167))</f>
        <v>69</v>
      </c>
      <c r="R167" s="6">
        <f t="shared" si="247"/>
        <v>1.86</v>
      </c>
      <c r="S167" t="str">
        <f t="shared" si="248"/>
        <v>ВВГнг(А)-LS (3х2,5)</v>
      </c>
      <c r="T167" t="str">
        <f>IF(BH167="","",IF(BI167="вводной узел","узел ","")&amp;"л."&amp;(INT((BH167-1)/Столбцов_на_лист)+1)&amp;" / "&amp;(MOD(BH167-1,Столбцов_на_лист)+1))</f>
        <v>л.2 / 15</v>
      </c>
      <c r="V167">
        <v>1</v>
      </c>
      <c r="W167">
        <v>230</v>
      </c>
      <c r="X167" t="s">
        <v>564</v>
      </c>
      <c r="AC167" t="s">
        <v>815</v>
      </c>
      <c r="AE167" t="s">
        <v>563</v>
      </c>
      <c r="AI167">
        <v>32</v>
      </c>
      <c r="AJ167" t="s">
        <v>11</v>
      </c>
      <c r="AK167">
        <v>3</v>
      </c>
      <c r="AM167">
        <v>33</v>
      </c>
      <c r="AN167">
        <v>36</v>
      </c>
      <c r="AO167">
        <v>18</v>
      </c>
      <c r="AW167" cm="1">
        <f t="array" ref="AW167">ROW()-ROW(Линии[#Headers])</f>
        <v>165</v>
      </c>
      <c r="AX167" s="6" t="str">
        <f t="shared" si="249"/>
        <v>R</v>
      </c>
      <c r="AY167" t="str">
        <f t="shared" si="250"/>
        <v>00.006T.1</v>
      </c>
      <c r="AZ167" t="str">
        <f t="shared" si="251"/>
        <v>00</v>
      </c>
      <c r="BA167" t="str">
        <f t="shared" si="252"/>
        <v>006T.1</v>
      </c>
      <c r="BB167" t="str">
        <f t="shared" si="253"/>
        <v>006T</v>
      </c>
      <c r="BC167" t="str">
        <f>IF(U167&lt;&gt;"",U167,IF(AND(B167&lt;&gt;"",B167&lt;&gt;A167,ISNUMBER(_xlfn.XMATCH(B167,Щиты[Щит]))),B167,""))</f>
        <v/>
      </c>
      <c r="BD167" t="str" cm="1">
        <f t="array" ref="BD167">IF(B167="","",IF(BC167&lt;&gt;"","Щит "&amp;BC167,_xlfn.LET(_xlpm.nm,IFERROR(_xlfn.XLOOKUP(AX167,Коды_код,Коды_имя)&amp;"",""),_xlpm.md,IFERROR(N(_xlfn.XLOOKUP(AX167,Коды_код,Коды_режим)),1),_xlpm.ex,IF(Имя_режим="по экспликации",IFERROR(_xlfn.XLOOKUP(AZ167&amp;"|"&amp;BB167,Экспликация[Этаж]&amp;"|"&amp;Экспликация[Помещение],Экспликация[Название])&amp;"",""),""),_xlpm.rm,IF(BB167="","",IF(_xlpm.ex&lt;&gt;"",". "&amp;_xlpm.ex&amp;IF(Имя_пом="нет"," ("&amp;BB167&amp;")"," (пом. "&amp;BB167&amp;")"),IF(Имя_пом="нет"," ",", пом. ")&amp;BB167)),IF(_xlpm.nm="","",IF(_xlpm.md=2,_xlpm.nm&amp;" шлейф "&amp;AZ167,_xlpm.nm&amp;_xlpm.rm)))))</f>
        <v>Розеточная группа, пом. 006T</v>
      </c>
      <c r="BE167" t="str">
        <f t="shared" si="254"/>
        <v>Розеточная группа, пом. 006T</v>
      </c>
      <c r="BF167">
        <f>IFERROR(_xlfn.XMATCH(A167,Щиты[Щит]),0)</f>
        <v>8</v>
      </c>
      <c r="BG167">
        <f>_xlfn.LET(_xlpm.k,IFERROR(_xlfn.XLOOKUP(A167,Щиты[Щит],Щиты[Листов под вводной узел]),""),IF(_xlpm.k="",1,N(_xlpm.k))*Столбцов_на_лист)</f>
        <v>17</v>
      </c>
      <c r="BH167">
        <f t="shared" si="255"/>
        <v>32</v>
      </c>
      <c r="BI167" t="str">
        <f t="shared" si="256"/>
        <v>линии</v>
      </c>
      <c r="BJ167" s="6">
        <f>IFERROR(N(_xlfn.XLOOKUP(AX167,Коды_код,Коды_квт)),0)</f>
        <v>0</v>
      </c>
      <c r="BK167">
        <f t="shared" si="257"/>
        <v>0</v>
      </c>
      <c r="BL167" t="str">
        <f>IF(B167="","",IF(BC167&lt;&gt;"",IFERROR(_xlfn.XLOOKUP(BC167,Щиты[Щит],Щиты[Руст, кВт]),0),IF(BK167=1,IFERROR(_xlfn.XLOOKUP(A167,Щиты[Щит],Щиты[Руст, кВт]),0),IF(BJ167&gt;0,ROUND(BJ167*MAX(1,N(D167)),3),""))))</f>
        <v/>
      </c>
      <c r="BM167">
        <f t="shared" si="258"/>
        <v>0.12</v>
      </c>
      <c r="BN167" s="6">
        <f>IF(B167="","",IF(BC167&lt;&gt;"",IFERROR(_xlfn.XLOOKUP(BC167,Щиты[Щит],Щиты[Руст, кВт]),0),N(BM167)))</f>
        <v>0.12</v>
      </c>
      <c r="BO167" t="str">
        <f>IF(B167="","",IFERROR(IF(VLOOKUP(AX167,Потребители_обозначение,8,FALSE)=0,"",VLOOKUP(AX167,Потребители_обозначение,8,FALSE)),""))</f>
        <v/>
      </c>
      <c r="BP167">
        <f t="shared" si="259"/>
        <v>230</v>
      </c>
      <c r="BQ167">
        <f>IF(B167="","",IF(BC167&lt;&gt;"",3,IFERROR(IF(N(VLOOKUP(AX167,Потребители_обозначение,9,FALSE))=0,1,VLOOKUP(AX167,Потребители_обозначение,9,FALSE)),1)))</f>
        <v>1</v>
      </c>
      <c r="BR167">
        <f t="shared" si="260"/>
        <v>1</v>
      </c>
      <c r="BS167" t="str">
        <f>IF(B167="","",_xlfn.LET(_xlpm.bc,IFERROR(IF(VLOOKUP(AX167,Потребители_обозначение,6,FALSE)=0,"",VLOOKUP(AX167,Потребители_обозначение,6,FALSE)&amp;""),""),IF(AND(FK167="да",OR(_xlpm.bc="",_xlpm.bc="мс")),Марка_пож,IF(AND(_xlpm.bc="",BC167&lt;&gt;""),"мс",_xlpm.bc))))</f>
        <v/>
      </c>
      <c r="BT167" t="str">
        <f t="shared" si="261"/>
        <v>мс</v>
      </c>
      <c r="BU167">
        <f>IF(B167="","",_xlfn.LET(_xlpm.cc,IFERROR(N(VLOOKUP(AX167,Потребители_обозначение,7,FALSE)),0),IF(_xlpm.cc&gt;0,_xlpm.cc,IF(BT167="","",IF(N(BR167)=3,5,3)))))</f>
        <v>3</v>
      </c>
      <c r="BV167">
        <f t="shared" si="262"/>
        <v>3</v>
      </c>
      <c r="BW167">
        <f>IFERROR(N(VLOOKUP(AX167,Потребители_обозначение,10,FALSE)),0)</f>
        <v>0</v>
      </c>
      <c r="BX167">
        <f>IFERROR(VLOOKUP(AX167,Потребители_обозначение,5,FALSE),0)</f>
        <v>1</v>
      </c>
      <c r="BY167" s="6" cm="1">
        <f t="array" ref="BY167">IF(B167="","",IF(BC167&lt;&gt;"",IFERROR(_xlfn.XLOOKUP(BC167,Щиты[Щит],Щиты[cos φ]),0.95),IF(BK167=1,IFERROR(_xlfn.XLOOKUP(A167,Щиты[Щит],Щиты[cos φ]),0.95),IF(ISNUMBER(Z167),Z167,IFERROR(IF(BX167=2,_xlfn.IFS(BR167=3,VLOOKUP(BN167,Справочная_двигатели,8,FALSE),BR167=1,VLOOKUP(BN167,Справочная_двигатели,10,TRUE)),IF(AND(Методика="нормы 2026",EQ167="Сил"),0.8,0.95)),0.95)))))</f>
        <v>0.95</v>
      </c>
      <c r="BZ167">
        <f t="shared" si="263"/>
        <v>0</v>
      </c>
      <c r="CA167">
        <f t="shared" si="264"/>
        <v>1</v>
      </c>
      <c r="CB167">
        <f t="shared" si="265"/>
        <v>0</v>
      </c>
      <c r="CC167">
        <f t="shared" si="266"/>
        <v>0</v>
      </c>
      <c r="CD167">
        <f t="shared" si="267"/>
        <v>0</v>
      </c>
      <c r="CE167">
        <f t="shared" si="268"/>
        <v>0</v>
      </c>
      <c r="CF167">
        <f t="shared" si="269"/>
        <v>0</v>
      </c>
      <c r="CG167">
        <f>IF(AX167="",0,_xlfn.LET(_xlpm.v,IFERROR(VLOOKUP(B167,УГО_спр,3,FALSE),IFERROR(VLOOKUP(AX167,УГО_спр,3,FALSE),IFERROR(VLOOKUP(LEFT(AX167,2),УГО_спр,3,FALSE),""))),IF(_xlpm.v="да",30,IF(ISNUMBER(_xlpm.v),_xlpm.v,0))))</f>
        <v>30</v>
      </c>
      <c r="CH167">
        <f t="shared" si="270"/>
        <v>30</v>
      </c>
      <c r="CI167" t="str">
        <f>_xlfn.LET(_xlpm.k,IFERROR(_xlfn.XLOOKUP(AX167,Коды_код,Коды_утечка)&amp;"",""),IF(_xlpm.k="","дифавтомат",_xlpm.k))</f>
        <v>дифавтомат</v>
      </c>
      <c r="CJ167">
        <f t="shared" si="271"/>
        <v>30</v>
      </c>
      <c r="CK167">
        <f t="shared" si="272"/>
        <v>30</v>
      </c>
      <c r="CL167">
        <f>IF(B167="",0,IFERROR(--VLOOKUP(B167,УГО_спр,4,FALSE),IFERROR(--VLOOKUP(AX167,УГО_спр,4,FALSE),IFERROR(--VLOOKUP(LEFT(AX167,2),УГО_спр,4,FALSE),0))))</f>
        <v>16</v>
      </c>
      <c r="CM167" t="str">
        <f>IF(B167="","",IFERROR(_xlfn.XLOOKUP(AX167,Коды_код,Коды_апп)&amp;"",""))</f>
        <v/>
      </c>
      <c r="CN167" t="str">
        <f t="shared" si="273"/>
        <v/>
      </c>
      <c r="CO167" t="str" cm="1">
        <f t="array" ref="CO167">IF(TRIM(CN167&amp;"")="","",IFERROR(TRIM(INDEX(_xlfn.TEXTSPLIT(CN167&amp;";;;",";"),1)),""))</f>
        <v/>
      </c>
      <c r="CP167" t="str" cm="1">
        <f t="array" ref="CP167">IF(TRIM(CN167&amp;"")="","",IFERROR(TRIM(INDEX(_xlfn.TEXTSPLIT(CN167&amp;";;;",";"),2)),""))</f>
        <v/>
      </c>
      <c r="CQ167" t="str" cm="1">
        <f t="array" ref="CQ167">IF(TRIM(CN167&amp;"")="","",IFERROR(TRIM(INDEX(_xlfn.TEXTSPLIT(CN167&amp;";;;",";"),3)),""))</f>
        <v/>
      </c>
      <c r="CR167">
        <f t="shared" si="274"/>
        <v>0</v>
      </c>
      <c r="CS167" t="str">
        <f>IF(B167="","",_xlfn.LET(_xlpm.t,LOWER(AV167&amp;""),IF(ISNUMBER(SEARCH("dim",_xlpm.t)),"DIM",IF(ISNUMBER(SEARCH("dali",_xlpm.t)),"DALI",IF(OR(ISNUMBER(SEARCH("relay",_xlpm.t)),ISNUMBER(SEARCH("реле",_xlpm.t))),"Relay",IF(ISNUMBER(SEARCH("кнопк",_xlpm.t)),"",IFERROR(_xlfn.XLOOKUP(AX167,Коды_код,Коды_упр)&amp;"","")))))))</f>
        <v/>
      </c>
      <c r="CT167" t="str">
        <f t="shared" si="275"/>
        <v/>
      </c>
      <c r="CU167">
        <f>IF(B167="","",_xlfn.LET(_xlpm.ig,N(P167)+IF(AF167="вручную",0,N(CB167)),_xlpm.n0,IFERROR(VLOOKUP(_xlpm.ig,Автомат_номиналы,2,TRUE),0),_xlpm.mn,MAX(CL167,IF(AF167="вручную",0,N(CE167))),MAX(_xlpm.n0,_xlpm.mn,IF(CR167=1,Мин_автомат_БП,0))))</f>
        <v>16</v>
      </c>
      <c r="CV167">
        <f t="shared" si="276"/>
        <v>1</v>
      </c>
      <c r="CW167" t="str">
        <f t="shared" si="277"/>
        <v>2P</v>
      </c>
      <c r="CX167" t="str">
        <f>_xlfn.LET(_xlpm.cc,UPPER(TRIM(IFERROR(_xlfn.XLOOKUP(AX167,Коды_код,Коды_хар)&amp;"",""))),IF(OR(_xlpm.cc="B",_xlpm.cc="В"),"B",IF(_xlpm.cc="D","D","С")))</f>
        <v>С</v>
      </c>
      <c r="CY167" t="str">
        <f t="shared" si="278"/>
        <v>2P С16А 30мА</v>
      </c>
      <c r="CZ167">
        <f t="shared" si="279"/>
        <v>16</v>
      </c>
      <c r="DA167" t="str">
        <f t="shared" si="280"/>
        <v>2P С16А 30мА</v>
      </c>
      <c r="DB167" cm="1">
        <f t="array" ref="DB167">IF(DA167="","",_xlfn.LET(_xlpm.t,SUBSTITUTE(SUBSTITUTE(SUBSTITUTE(UPPER(DA167),"С","C"),"А","A"),"В","B"),_xlpm.tk,_xlfn.TEXTSPLIT(_xlpm.t,"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7" t="str">
        <f t="shared" si="281"/>
        <v>ok</v>
      </c>
      <c r="DD167">
        <f t="shared" si="282"/>
        <v>16</v>
      </c>
      <c r="DE167" t="str">
        <f t="shared" si="283"/>
        <v>2P С16А 30мА</v>
      </c>
      <c r="DF167">
        <f t="shared" si="284"/>
        <v>30</v>
      </c>
      <c r="DG167">
        <f t="shared" si="285"/>
        <v>1</v>
      </c>
      <c r="DH167">
        <f t="shared" si="286"/>
        <v>0</v>
      </c>
      <c r="DI167">
        <f t="shared" si="287"/>
        <v>0.54696341291648753</v>
      </c>
      <c r="DJ167">
        <f t="shared" si="288"/>
        <v>1</v>
      </c>
      <c r="DK167">
        <f>IF(ISNUMBER(AL167),AL167,К_прокл)</f>
        <v>1</v>
      </c>
      <c r="DL167">
        <f t="shared" si="289"/>
        <v>2</v>
      </c>
      <c r="DM167">
        <f>IFERROR(N(VLOOKUP(BT167,Кабель_обозначение,3,FALSE)),1)</f>
        <v>1</v>
      </c>
      <c r="DN167">
        <f>IFERROR(N(_xlfn.XLOOKUP(A167,Щиты[Щит],Щиты[ΔU до шин, %])),0)</f>
        <v>1.57</v>
      </c>
      <c r="DO167" t="str">
        <f>IFERROR(_xlfn.XLOOKUP(A167,Щиты[Щит],Щиты[Zпетли на шинах, Ом]),"")</f>
        <v/>
      </c>
      <c r="DP167">
        <f>IFERROR(N(_xlfn.XLOOKUP(A167,Щиты[Щит],Щиты[ΔU до шин (подбор), %])),0)</f>
        <v>2.5</v>
      </c>
      <c r="DQ167" t="str">
        <f>IFERROR(_xlfn.XLOOKUP(A167,Щиты[Щит],Щиты[Zпетли на шинах (подбор), Ом]),"")</f>
        <v/>
      </c>
      <c r="DR167" t="str">
        <f t="shared" si="290"/>
        <v/>
      </c>
      <c r="DS167">
        <f t="shared" si="291"/>
        <v>60</v>
      </c>
      <c r="DT167">
        <f t="shared" si="292"/>
        <v>2</v>
      </c>
      <c r="DU167">
        <f t="shared" si="293"/>
        <v>0.31</v>
      </c>
      <c r="DV167" s="6">
        <f>IF(B167="","",IF(IFERROR(VLOOKUP(AX167,УГО_спр,2,FALSE),"")="Светильник",3,4)+IF(Методика="нормы 2026",MIN(0.5,MAX(0,N(Q167)-100)*0.005),0))</f>
        <v>4</v>
      </c>
      <c r="DW167" cm="1">
        <f t="array" ref="DW167">IF(OR(B167="",BT167="",DM167&lt;&gt;1),"",_xlfn.LET(_xlpm.sz,Iдоп_S,_xlpm.t_,CHOOSE(DL167,Iдоп_1ж,Iдоп_2ж,Iдоп_3ж)*DJ167*DK167,_xlpm.inn,N(DD167),_xlpm.smin,MAX(1.5,BW167),_xlpm.L_,N(Q167)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167)*(_xlpm.rho*_xlpm.L_/_xlpm.sz*N(BY167)+_xlpm.xx*_xlpm.L_*N(DU167)/1000)*N(P167)/((Uн_лин/SQRT(3))*1000)*100,999),_xlpm.kz,IF(OR(DG167=1,NOT(ISNUMBER(DQ167)),_xlpm.L_=0,_xlpm.inn=0),1,IFERROR(--(c_min*(Uн_лин*1000/SQRT(3))/(DQ167+2*ρкз_Cu*_xlpm.L_/_xlpm.sz)&gt;=GY167*_xlpm.inn),0)),_xlpm.ok,IFERROR((_xlpm.sz&gt;=_xlpm.smin)*(_xlpm.t_&gt;=_xlpm.inn)*IF(_xlpm.L_&gt;0,(_xlpm.du_+DP167&lt;=DV167+0.00001),1)*_xlpm.kz,0),_xlpm.r_,_xlfn._xlws.FILTER(_xlpm.sz,_xlpm.ok,"не подобрано"),INDEX(_xlpm.r_,1)))</f>
        <v>1.5</v>
      </c>
      <c r="DX167">
        <f t="shared" si="294"/>
        <v>2.5</v>
      </c>
      <c r="DY167" cm="1">
        <f t="array" ref="DY167">IF(OR(B167="",BT167="",DM167&lt;&gt;1),"",_xlfn.LET(_xlpm.sz,Iдоп_S,_xlpm.t_,CHOOSE(DL167,Iдоп_1ж,Iдоп_2ж,Iдоп_3ж)*DJ167*DK167,_xlpm.ok,IFERROR((_xlpm.sz&gt;=MAX(1.5,BW167))*(_xlpm.t_&gt;=N(DD167)),0),_xlpm.r_,_xlfn._xlws.FILTER(_xlpm.sz,_xlpm.ok,""),INDEX(_xlpm.r_,1)))</f>
        <v>1.5</v>
      </c>
      <c r="DZ167" s="6" cm="1">
        <f t="array" ref="DZ167">IFERROR(ROUNDUP(N(DT167)*(_xlfn.XLOOKUP(DY167,INDEX(Кабель_сопротивление,0,1),INDEX(Кабель_сопротивление,0,3))*N(Q167)/DY167*N(BY167)+_xlfn.XLOOKUP(DY167,INDEX(Кабель_сопротивление,0,1),INDEX(Кабель_сопротивление,0,2))*N(Q167)*N(DU167)/1000)*N(P167)/((Uн_лин/SQRT(3))*1000)*100,2),"")</f>
        <v>0.47000000000000003</v>
      </c>
      <c r="EA167">
        <f>IFERROR(2*ρкз_Cu*N(Q167)/DY167,"")</f>
        <v>2.4196</v>
      </c>
      <c r="EB167">
        <f>IFERROR(VLOOKUP(DX167,Кабель_сопротивление,3,FALSE),"")</f>
        <v>2.2499999999999999E-2</v>
      </c>
      <c r="EC167">
        <f>IFERROR(VLOOKUP(DX167,Кабель_сопротивление,2,FALSE),"")</f>
        <v>0.1</v>
      </c>
      <c r="ED167">
        <f t="shared" si="295"/>
        <v>36</v>
      </c>
      <c r="EE167">
        <f t="shared" si="296"/>
        <v>18</v>
      </c>
      <c r="EF167">
        <f t="shared" si="297"/>
        <v>0.6477020403806204</v>
      </c>
      <c r="EG167" s="6">
        <f>IFERROR(ROUNDUP(EF167/((Uн_лин/SQRT(3))*1000)*100,2),"")</f>
        <v>0.29000000000000004</v>
      </c>
      <c r="EH167" t="str">
        <f>IFERROR(VLOOKUP(BT167,Кабель_обозначение,2,FALSE),"")</f>
        <v>ВВГнг(А)-LS</v>
      </c>
      <c r="EI167" t="str">
        <f t="shared" si="298"/>
        <v>ВВГнг(А)-LS (3х2,5)</v>
      </c>
      <c r="EJ167" t="str">
        <f t="shared" si="299"/>
        <v>ВВГнг(А)-LS (3х2,5)
L=69-0,29%</v>
      </c>
      <c r="EK167">
        <f>IFERROR(2*ρкз_Cu*Q167/DX167,"")</f>
        <v>1.4517599999999999</v>
      </c>
      <c r="EL167">
        <f t="shared" si="300"/>
        <v>0.48299999999999998</v>
      </c>
      <c r="EM167" s="6" t="str">
        <f>IFERROR(IF(OR(B167="",NOT(ISNUMBER(DX167)),N(Q167)=0),"",_xlfn.XLOOKUP(A167,Щиты[Щит],Щиты[Zпетли на шинах, Ом])+EK167),"")</f>
        <v/>
      </c>
      <c r="EN167" s="6" t="str">
        <f>IF(ISNUMBER(EM167),c_min*(Uн_лин*1000/SQRT(3))/EM167,"")</f>
        <v/>
      </c>
      <c r="EO167" s="6" t="str">
        <f>IFERROR(IF(OR(B167="",NOT(ISNUMBER(DX167))),"",1.05*(Uн_лин*1000/SQRT(3))/(_xlfn.XLOOKUP(A167,Щиты[Щит],Щиты[Zmax на шинах, Ом])+EL167)/1000),"")</f>
        <v/>
      </c>
      <c r="EP167" s="6" t="str">
        <f>IF(B167="","",IF(ISNUMBER(Y167),"Сил",IF(IFERROR(_xlfn.XLOOKUP(AX167,Коды_код,Коды_группа)&amp;"","")="","Быт",_xlfn.XLOOKUP(AX167,Коды_код,Коды_группа)&amp;"")))</f>
        <v>Быт</v>
      </c>
      <c r="EQ167" s="6" t="str">
        <f t="shared" si="301"/>
        <v>Быт</v>
      </c>
      <c r="ER167" s="6">
        <f>IF(EQ167="Щит","щит",IF(EQ167="","",IF(EQ167="Быт",IFERROR(_xlfn.XLOOKUP(A167,Щиты[Щит],Щиты[Кс быт]),1),IF(EQ167="Сил",IF(ISNUMBER(Y167),Y167,IF(Методика="нормы 2026",IFERROR(_xlfn.XLOOKUP(A167,Щиты[Щит],Щиты[Кс силовых (табл. 7.5)]),1),1)),IF(OR(EQ167="Пост",EQ167="Отоп"),1,IF(EQ167="ВНГ",0.7,0))))))</f>
        <v>0.8</v>
      </c>
      <c r="ES167">
        <f t="shared" si="302"/>
        <v>1</v>
      </c>
      <c r="ET167">
        <f t="shared" si="303"/>
        <v>0.12</v>
      </c>
      <c r="EU167">
        <f t="shared" si="304"/>
        <v>0.12</v>
      </c>
      <c r="EV167">
        <f t="shared" si="305"/>
        <v>0</v>
      </c>
      <c r="EW167">
        <f t="shared" si="306"/>
        <v>0</v>
      </c>
      <c r="EX167">
        <f t="shared" si="307"/>
        <v>0</v>
      </c>
      <c r="EY167">
        <f t="shared" si="308"/>
        <v>0</v>
      </c>
      <c r="EZ167">
        <f t="shared" si="309"/>
        <v>0.12</v>
      </c>
      <c r="FA167">
        <f t="shared" si="310"/>
        <v>0.11399999999999999</v>
      </c>
      <c r="FB167">
        <f t="shared" si="311"/>
        <v>0.12</v>
      </c>
      <c r="FC167" t="str">
        <f t="shared" si="312"/>
        <v>L3</v>
      </c>
      <c r="FD167" t="str">
        <f>IF(B167="","",IF(CA167=0,IF(AW167=1,"",FF166),IF(OR(N(CV167)&gt;=3,N(BR167)&gt;=3),"L1,L2,L3",IFERROR(_xlfn.TEXTBEFORE(_xlfn.TEXTAFTER(_xlfn.XLOOKUP(A167,Щиты[Щит],Щиты[_фазы авто]),";"&amp;AW167&amp;":"),";"),"L1"))))</f>
        <v>L1</v>
      </c>
      <c r="FE167" t="str">
        <f t="shared" si="313"/>
        <v>L3</v>
      </c>
      <c r="FF167" t="str">
        <f t="shared" si="314"/>
        <v>L3</v>
      </c>
      <c r="FG167" cm="1">
        <f t="array" ref="FG167">IFERROR(IF(BX167=2,_xlfn.IFS(BR167=3,VLOOKUP(BN167,Справочная_двигатели,3,FALSE),BR167=1,VLOOKUP(BN167,Справочная_двигатели,5,TRUE)),0),0)</f>
        <v>0</v>
      </c>
      <c r="FH167">
        <f>IFERROR(IF(BX167=3,VLOOKUP(BN167,Справочная_ЛЭД,2,TRUE),0),0)</f>
        <v>0</v>
      </c>
      <c r="FI167" s="6">
        <f t="shared" si="315"/>
        <v>0</v>
      </c>
      <c r="FJ167" t="str" cm="1">
        <f t="array" ref="FJ167">IF(B167="","",IFERROR(INDEX({"I особая","I","II","III"},MATCH(TRIM(AC167&amp;""),{"I особая","I","II","III"},0)),"III"))</f>
        <v>II</v>
      </c>
      <c r="FK167" t="str">
        <f>IF(B167="","",IF(TRIM(AD167&amp;"")&lt;&gt;"",IF(LOWER(TRIM(AD167&amp;""))="да","да","нет"),IF(IFERROR(_xlfn.XLOOKUP(AX167,Коды_код,Коды_пожарная),"")="да","да","нет")))</f>
        <v>нет</v>
      </c>
      <c r="FL167" t="str">
        <f t="shared" si="316"/>
        <v/>
      </c>
      <c r="FM167" t="str">
        <f t="shared" si="317"/>
        <v>основная</v>
      </c>
      <c r="FN167">
        <f t="shared" si="318"/>
        <v>1</v>
      </c>
      <c r="FO167" t="str" cm="1">
        <f t="array" ref="FO167">IF(B167="","",_xlfn.LET(_xlpm.t,IFERROR(_xlfn.XLOOKUP(1,(Шины[Шина]=FM167)*(((Шины[Щит]=A167)+(Шины[Щит]=""))&gt;0),Шины[Тип]),"")&amp;"",IF(_xlpm.t&lt;&gt;"",_xlpm.t,IF(ISNUMBER(SEARCH("ИБП",FM167)),"ИБП",IF(ISNUMBER(SEARCH("ДГУ",FM167)),"ДГУ","Ввод "&amp;FN167)))))</f>
        <v>Ввод 1</v>
      </c>
      <c r="FP167" t="str">
        <f t="shared" si="319"/>
        <v>Ввод 1</v>
      </c>
      <c r="FQ167" t="str">
        <f>IF(B167="","",IF(OR(FO167="ИБП",FO167="ДГУ"),"I особая",IF(FO167="Одиночная","III",_xlfn.XLOOKUP(A167,Щиты[Щит],Щиты[Категория шины «Ввод»],"III"))))</f>
        <v>II</v>
      </c>
      <c r="FR167">
        <f>IF(B167="",0,IFERROR(MATCH(FJ167,{"III","II","I","I особая"},0),1))</f>
        <v>2</v>
      </c>
      <c r="FS167">
        <f t="shared" si="320"/>
        <v>2</v>
      </c>
      <c r="FT167" t="str">
        <f>IF(B167="","",IF(FR167&gt;IFERROR(MATCH(FQ167,{"III","II","I","I особая"},0),1),"НЕ ОБЕСПЕЧЕНА","ОК"))</f>
        <v>ОК</v>
      </c>
      <c r="FU167" t="str">
        <f>IF(A167="","",_xlfn.XLOOKUP(A167,Щиты[Щит],Щиты[Путь],""))</f>
        <v>|ГРЩ-ЖД|ЩР-001|</v>
      </c>
      <c r="FV167" t="str">
        <f>IF(B167="","",IF(AE167&lt;&gt;"",AE167,IF(IFERROR(_xlfn.XLOOKUP(AX167,Коды_код,Коды_вид)&amp;"","")="","Прочее",_xlfn.XLOOKUP(AX167,Коды_код,Коды_вид)&amp;"")))</f>
        <v>Розеточная сеть и бытовые приборы</v>
      </c>
      <c r="FW167">
        <f>IF(BH167="","",INT((BH167-1)/Столбцов_на_лист)+1)</f>
        <v>2</v>
      </c>
      <c r="FX167" t="str">
        <f t="shared" si="321"/>
        <v>ВВГнг(А)-LS (3х2,5) L=69-0,29%</v>
      </c>
      <c r="FY167">
        <f t="shared" si="322"/>
        <v>0.12</v>
      </c>
      <c r="FZ167">
        <f t="shared" si="323"/>
        <v>0.55000000000000004</v>
      </c>
      <c r="GA167">
        <f t="shared" si="324"/>
        <v>1</v>
      </c>
      <c r="GB167">
        <f t="shared" si="325"/>
        <v>0</v>
      </c>
      <c r="GC167">
        <f t="shared" si="326"/>
        <v>1</v>
      </c>
      <c r="GD167">
        <f>IF(BH167="","",IF(AND(CA167=1,GC167=1),COUNTIFS(A$3:A167,A167,CA$3:CA167,1,GC$3:GC167,1),IF(OR(OR(AW167=1,A167&lt;&gt;A166),AF167="вручную",GC167=0),"",IF(AW167=1,"",GE166))))</f>
        <v>13</v>
      </c>
      <c r="GE167">
        <f t="shared" si="327"/>
        <v>13</v>
      </c>
      <c r="GF167">
        <f>IF(B167="","",IFERROR(LOOKUP(INDEX(CHOOSE(DL167,Iдоп_1ж,Iдоп_2ж,Iдоп_3ж),MATCH(DX167,Iдоп_S,0))*DJ167*DK167,{6,10,16,20,25,32,40,50,63,80,100,125,160,200,250,315,400,500,630}),""))</f>
        <v>25</v>
      </c>
      <c r="GG167" t="str">
        <f t="shared" si="328"/>
        <v>QFD13</v>
      </c>
      <c r="GH167" t="str">
        <f t="shared" si="329"/>
        <v>QFD13</v>
      </c>
      <c r="GI167" t="str">
        <f t="shared" si="330"/>
        <v/>
      </c>
      <c r="GJ167">
        <f t="shared" si="331"/>
        <v>0</v>
      </c>
      <c r="GK167" t="str">
        <f>IF(OR(AG167="",AG167="-"),"",IFERROR(VLOOKUP(AG167,Модули_спр,2,FALSE),"R"))</f>
        <v/>
      </c>
      <c r="GL167" t="str">
        <f>IF(GK167="","",GK167&amp;"."&amp;COUNTIFS(A$3:A167,A167,GK$3:GK167,GK167))</f>
        <v/>
      </c>
      <c r="GM167" t="str">
        <f t="shared" si="332"/>
        <v/>
      </c>
      <c r="GN167" t="str">
        <f t="shared" si="333"/>
        <v/>
      </c>
      <c r="GO167" t="str">
        <f t="shared" si="334"/>
        <v/>
      </c>
      <c r="GP167" t="str">
        <f t="shared" si="335"/>
        <v/>
      </c>
      <c r="GQ167">
        <f t="shared" si="336"/>
        <v>1</v>
      </c>
      <c r="GR167" t="str">
        <f>IF(GQ167=1,"XT"&amp;COUNTIFS(A$3:A167,A167,GQ$3:GQ167,1),"")</f>
        <v>XT13</v>
      </c>
      <c r="GS167" t="str">
        <f t="shared" si="337"/>
        <v/>
      </c>
      <c r="GT167" t="str">
        <f t="shared" si="338"/>
        <v>QFD13</v>
      </c>
      <c r="GU167" t="str">
        <f t="shared" si="339"/>
        <v/>
      </c>
      <c r="GV167" t="str">
        <f t="shared" si="340"/>
        <v>ok</v>
      </c>
      <c r="GW167" t="str">
        <f>IF(OR(GO167="",GM167=""),"",IF(GO167&gt;IFERROR(VLOOKUP(GN167,Модули_спр,3,FALSE),99),"ЛИШНИЙ КАНАЛ",IF(AND(AH167&lt;&gt;"=",COUNTIFS(Линии[_модуль гр.],GM167,Линии[Канал (итог)],GO167,Линии[Канал],"&lt;&gt;=",Линии[Щит],A167)&gt;1),"ДУБЛЬ КАНАЛА","")))</f>
        <v/>
      </c>
      <c r="GX167" s="6" t="str">
        <f t="shared" si="341"/>
        <v/>
      </c>
      <c r="GY167">
        <f t="shared" si="342"/>
        <v>10</v>
      </c>
      <c r="GZ167" t="str">
        <f t="shared" si="343"/>
        <v/>
      </c>
      <c r="HA167" t="str">
        <f>IF(AND(B167="",GT167=""),"",_xlfn.TEXTJOIN("; ",TRUE,IF(AND(B167&lt;&gt;"",FE167=""),"нет фазы",""),IF(AND(B167&lt;&gt;"",N(FY167)=0,EQ167&lt;&gt;"Нет"),"нет мощности",""),IF(AND(GS167&lt;&gt;"",COUNTIFS(Линии[Щит],A167,Линии[Клемма (итог)],GS167)&gt;1),"дубль клеммы "&amp;GS167,""),IF(AND(GV167&lt;&gt;"",GV167&lt;&gt;"ok"),GV167,""),IF(GW167&lt;&gt;"",GW167,""),IF(AND(N(BV167)&gt;=4,N(BR167)=1),BV167&amp;" жил на 1 фазе",""),IF(AND(AX167="R",CA167=1,OR(N(CK167)=0,N(CK167)&gt;30)),"розетка без дифзащиты до 30 мА",""),IFERROR(IF(AND(ISNUMBER(R167),R167&gt;DV167),"потери "&amp;FIXED(R167,1)&amp;" % &gt; "&amp;DV167&amp;" %",""),""),IFERROR(IF(LEFT(GZ167,4)="мало","Iкз мало — отключение &gt; 0,4 с",""),""),IF(AND(B167&lt;&gt;"",BH167=""),"не на схеме",""),IF(AND(CA167=0,B167&lt;&gt;"",FE167&lt;&gt;"",IF(AW167=1,"",FF166)&lt;&gt;"",FE167&lt;&gt;IF(AW167=1,"",FF166)),"фаза не как у автомата группы ("&amp;IF(AW167=1,"",FF166)&amp;")","")))</f>
        <v/>
      </c>
      <c r="HB167" s="6">
        <f>IF(OR(CA167=0,DA167=""),"",_xlfn.LET(_xlpm.t,IFERROR(_xlfn.XLOOKUP(DA167,Каталог!$U$4:$U$500,Каталог!$G$4:$G$500),""),_xlpm.k,SEARCH("кА",_xlpm.t),IFERROR(--TRIM(RIGHT(SUBSTITUTE(MID(_xlpm.t,MAX(1,_xlpm.k-4),_xlpm.k-MAX(1,_xlpm.k-4))," ",REPT(" ",9)),5)),"")))</f>
        <v>6</v>
      </c>
      <c r="HC167" t="str">
        <f>IF(OR(HB167="",CA167=0),"",IF(_xlfn.XLOOKUP(A167,Щиты[Щит],Щиты[Iкз max на шинах, кА],"")="","",IF(HB167&lt;_xlfn.XLOOKUP(A167,Щиты[Щит],Щиты[Iкз max на шинах, кА]),"Icu "&amp;HB167&amp;" кА &lt; Iкз max","ok")))</f>
        <v/>
      </c>
      <c r="HD167" t="str">
        <f t="shared" si="344"/>
        <v/>
      </c>
      <c r="HE167" t="str">
        <f t="shared" si="345"/>
        <v>QFD13</v>
      </c>
      <c r="HF167" t="str">
        <f t="shared" si="346"/>
        <v>QFD13|кабель ВВГнг(А)-LS (3х2,5) → Розеточная группа, пом. 006T</v>
      </c>
      <c r="HG167" t="str" cm="1">
        <f t="array" ref="HG167">IF(HF167="","",_xlfn.LET(_xlpm.nd,_xlfn.TEXTSPLIT(HF167,"|"),IF(COLUMNS(_xlpm.nd)&gt;1,A167&amp;"¦"&amp;INDEX(_xlpm.nd,1)&amp;"¦"&amp;INDEX(_xlpm.nd,2),"")))</f>
        <v>ЩР-001¦QFD13¦кабель ВВГнг(А)-LS (3х2,5) → Розеточная группа, пом. 006T</v>
      </c>
      <c r="HH167" t="str">
        <f t="shared" si="347"/>
        <v>R.00.006T.1¦Розеточная группа, пом. 006T</v>
      </c>
      <c r="HI167" t="str" cm="1">
        <f t="array" ref="HI167">IF(HF167="","",_xlfn.LET(_xlpm.nd,_xlfn.TEXTSPLIT(HF167,"|"),IF(COLUMNS(_xlpm.nd)&gt;2,A167&amp;"¦"&amp;INDEX(_xlpm.nd,2)&amp;"¦"&amp;INDEX(_xlpm.nd,3),"")))</f>
        <v/>
      </c>
      <c r="HJ167" t="str">
        <f t="shared" si="348"/>
        <v/>
      </c>
      <c r="HK167" t="str" cm="1">
        <f t="array" ref="HK167">IF(HF167="","",_xlfn.LET(_xlpm.nd,_xlfn.TEXTSPLIT(HF167,"|"),IF(COLUMNS(_xlpm.nd)&gt;3,A167&amp;"¦"&amp;INDEX(_xlpm.nd,3)&amp;"¦"&amp;INDEX(_xlpm.nd,4),"")))</f>
        <v/>
      </c>
      <c r="HL167" t="str">
        <f t="shared" si="349"/>
        <v/>
      </c>
      <c r="HM167" t="str" cm="1">
        <f t="array" ref="HM167">IF(HF167="","",_xlfn.LET(_xlpm.nd,_xlfn.TEXTSPLIT(HF167,"|"),IF(COLUMNS(_xlpm.nd)&gt;4,A167&amp;"¦"&amp;INDEX(_xlpm.nd,4)&amp;"¦"&amp;INDEX(_xlpm.nd,5),"")))</f>
        <v/>
      </c>
      <c r="HN167" t="str">
        <f t="shared" si="350"/>
        <v/>
      </c>
      <c r="HO167" t="str" cm="1">
        <f t="array" ref="HO167">IF(HF167="","",_xlfn.LET(_xlpm.nd,_xlfn.TEXTSPLIT(HF167,"|"),IF(COLUMNS(_xlpm.nd)&gt;5,A167&amp;"¦"&amp;INDEX(_xlpm.nd,5)&amp;"¦"&amp;INDEX(_xlpm.nd,6),"")))</f>
        <v/>
      </c>
      <c r="HP167" t="str">
        <f t="shared" si="351"/>
        <v/>
      </c>
      <c r="HQ167" t="str" cm="1">
        <f t="array" ref="HQ167">IF(HF167="","",_xlfn.LET(_xlpm.nd,_xlfn.TEXTSPLIT(HF167,"|"),IF(COLUMNS(_xlpm.nd)&gt;6,A167&amp;"¦"&amp;INDEX(_xlpm.nd,6)&amp;"¦"&amp;INDEX(_xlpm.nd,7),"")))</f>
        <v/>
      </c>
      <c r="HR167" t="str">
        <f t="shared" si="352"/>
        <v/>
      </c>
      <c r="HS167" t="str">
        <f t="shared" si="353"/>
        <v/>
      </c>
      <c r="HT167" t="str">
        <f t="shared" si="354"/>
        <v>QFD13</v>
      </c>
      <c r="HU167">
        <f t="shared" si="355"/>
        <v>0</v>
      </c>
      <c r="HV167">
        <f t="shared" si="356"/>
        <v>1</v>
      </c>
      <c r="HW167" t="str">
        <f t="shared" si="357"/>
        <v/>
      </c>
      <c r="HX167" t="str">
        <f t="shared" si="358"/>
        <v/>
      </c>
      <c r="HY167" t="str">
        <f t="shared" si="359"/>
        <v/>
      </c>
      <c r="HZ167" t="str">
        <f t="shared" si="360"/>
        <v/>
      </c>
      <c r="IA167" t="str">
        <f>IF(B167="","",IFERROR(VLOOKUP(B167,УГО_спр,2,FALSE),IFERROR(VLOOKUP(AX167,УГО_спр,2,FALSE),IFERROR(VLOOKUP(LEFT(AX167,2),УГО_спр,2,FALSE),""))))</f>
        <v>Розетка</v>
      </c>
      <c r="IB167" t="str">
        <f>IF(B167="","",IF(OR(IA167="",IA167=0),"BOX",IFERROR(IF(VLOOKUP(IA167,УГО_блоки,3,FALSE)&amp;""&lt;&gt;"",VLOOKUP(IA167,УГО_блоки,3,FALSE),VLOOKUP(IA167,УГО_блоки,2,FALSE)),IA167)))</f>
        <v>SOCKET</v>
      </c>
      <c r="IC167">
        <f t="shared" si="361"/>
        <v>1</v>
      </c>
      <c r="ID167" t="str">
        <f>IF(DA167="","",IF(COUNTIF(DA$3:DA167,DA167)=1,MAX(ID$2:ID166)+1,""))</f>
        <v/>
      </c>
      <c r="IE167" t="str">
        <f>IF(CO167="","",IF(COUNTIF(CO$3:CO167,CO167)+COUNTIF(CP$2:CP166,CO167)+COUNTIF(CQ$2:CQ166,CO167)=1,MAX(IE$2:IG166)+1,""))</f>
        <v/>
      </c>
      <c r="IF167" t="str">
        <f>IF(CP167="","",IF(COUNTIF(CO$3:CO167,CP167)+COUNTIF(CP$3:CP167,CP167)+COUNTIF(CQ$2:CQ166,CP167)=1,MAX(IE$2:IG166,IE167)+1,""))</f>
        <v/>
      </c>
      <c r="IG167" t="str">
        <f>IF(CQ167="","",IF(COUNTIF(CO$3:CO167,CQ167)+COUNTIF(CP$3:CP167,CQ167)+COUNTIF(CQ$3:CQ167,CQ167)=1,MAX(IE$2:IG166,IE167,IF167)+1,""))</f>
        <v/>
      </c>
      <c r="IH167" t="str">
        <f t="shared" si="362"/>
        <v>3х2,5</v>
      </c>
      <c r="II167" t="str">
        <f>IF(IH167="","",IF(COUNTIF(IH$3:IH167,IH167)=1,MAX(II$2:II166)+1,""))</f>
        <v/>
      </c>
      <c r="IJ167" t="str">
        <f>IF(GL167="","",COUNTIF(GL$3:GL167,"?*"))</f>
        <v/>
      </c>
      <c r="IK167" t="str">
        <f>IF(OR(GL167="",GN167=""),"",IF(COUNTIFS(GL$3:GL167,"?*",GN$3:GN167,GN167)=1,MAX(IK$2:IK166)+1,""))</f>
        <v/>
      </c>
      <c r="IL167">
        <f t="shared" si="363"/>
        <v>0</v>
      </c>
      <c r="IM167">
        <f>IF(B167="","",COUNTIF(B$3:B167,"?*"))</f>
        <v>165</v>
      </c>
      <c r="IN167">
        <f>IF(GQ167&lt;&gt;1,0,_xlfn.LET(_xlpm.k,MAX(IFERROR(--VLOOKUP(B167,УГО_спр,5,FALSE),0),IFERROR(--VLOOKUP(AX167,УГО_спр,5,FALSE),0),IFERROR(--VLOOKUP(LEFT(AX167,2),УГО_спр,5,FALSE),0)),IF(_xlpm.k&gt;0,_xlpm.k,IF(IFERROR(--LEFT(SUBSTITUTE(IH167,"x","х"),FIND("х",SUBSTITUTE(IH167,"x","х"))-1),3)&gt;3,Каталог!$S$9,1))))</f>
        <v>1</v>
      </c>
      <c r="IO167">
        <f t="shared" si="364"/>
        <v>0</v>
      </c>
      <c r="IP167" t="str">
        <f t="shared" si="365"/>
        <v>авто</v>
      </c>
      <c r="IQ167">
        <f t="shared" si="366"/>
        <v>30</v>
      </c>
      <c r="IR167">
        <f t="shared" si="367"/>
        <v>1</v>
      </c>
      <c r="IS167">
        <f t="shared" si="368"/>
        <v>1</v>
      </c>
    </row>
    <row r="168" spans="1:253" x14ac:dyDescent="0.3">
      <c r="A168" t="s">
        <v>755</v>
      </c>
      <c r="B168" t="s">
        <v>1435</v>
      </c>
      <c r="C168" t="str">
        <f>Линии[[#This Row],[_авто наименование]]</f>
        <v>Розеточная группа, пом. 007Т</v>
      </c>
      <c r="D168">
        <v>1</v>
      </c>
      <c r="E168">
        <v>0.06</v>
      </c>
      <c r="G168">
        <v>16</v>
      </c>
      <c r="H168">
        <f>Линии[[#This Row],[_авто утечка]]</f>
        <v>30</v>
      </c>
      <c r="I168" t="str">
        <f>Линии[[#This Row],[_авто управление]]</f>
        <v/>
      </c>
      <c r="J168" t="str">
        <f>Линии[[#This Row],[_авто аппараты]]</f>
        <v/>
      </c>
      <c r="K168">
        <v>2.5</v>
      </c>
      <c r="L168">
        <v>23</v>
      </c>
      <c r="M168">
        <v>3</v>
      </c>
      <c r="N168" t="s">
        <v>486</v>
      </c>
      <c r="O168" t="str">
        <f t="shared" si="246"/>
        <v/>
      </c>
      <c r="P168" s="6" cm="1">
        <f t="array" ref="P168">IF(B168="","",IF(BC168&lt;&gt;"",IFERROR(_xlfn.XLOOKUP(BC168,Щиты[Щит],Щиты[Iр, А]),""),IF(BK168=1,IFERROR(_xlfn.XLOOKUP(A168,Щиты[Щит],Щиты[Iр, А]),""),IFERROR(_xlfn.IFS(BR168=1,BN168/((Uн_лин/SQRT(3))*BY168),BR168=3,BN168/(SQRT(3)*Uн_лин*BY168)),""))))</f>
        <v>0.27348170645824377</v>
      </c>
      <c r="Q168" s="7">
        <f>IF(B168="","",IFERROR(IF(VLOOKUP(AX168,Потребители_обозначение,4,FALSE)=1,VLOOKUP(AX168,Потребители_обозначение,3,FALSE)*(D168*2-1)+DS168+VLOOKUP(AZ168,Этаж_обозначение,3,FALSE)+VLOOKUP(AZ168,Этаж_обозначение,4,FALSE),VLOOKUP(AX168,Потребители_обозначение,3,FALSE)*(D168*2-1)+DS168),DS168))</f>
        <v>26</v>
      </c>
      <c r="R168" s="6">
        <f t="shared" si="247"/>
        <v>1.6300000000000001</v>
      </c>
      <c r="S168" t="str">
        <f t="shared" si="248"/>
        <v>ВВГнг(А)-LS (3х2,5)</v>
      </c>
      <c r="T168" t="str">
        <f>IF(BH168="","",IF(BI168="вводной узел","узел ","")&amp;"л."&amp;(INT((BH168-1)/Столбцов_на_лист)+1)&amp;" / "&amp;(MOD(BH168-1,Столбцов_на_лист)+1))</f>
        <v>л.2 / 16</v>
      </c>
      <c r="V168">
        <v>1</v>
      </c>
      <c r="W168">
        <v>230</v>
      </c>
      <c r="X168" t="s">
        <v>564</v>
      </c>
      <c r="AC168" t="s">
        <v>815</v>
      </c>
      <c r="AE168" t="s">
        <v>563</v>
      </c>
      <c r="AI168">
        <v>33</v>
      </c>
      <c r="AJ168" t="s">
        <v>11</v>
      </c>
      <c r="AK168">
        <v>3</v>
      </c>
      <c r="AM168">
        <v>15</v>
      </c>
      <c r="AN168">
        <v>11</v>
      </c>
      <c r="AO168">
        <v>0</v>
      </c>
      <c r="AW168" cm="1">
        <f t="array" ref="AW168">ROW()-ROW(Линии[#Headers])</f>
        <v>166</v>
      </c>
      <c r="AX168" s="6" t="str">
        <f t="shared" si="249"/>
        <v>R</v>
      </c>
      <c r="AY168" t="str">
        <f t="shared" si="250"/>
        <v>00.007Т.1</v>
      </c>
      <c r="AZ168" t="str">
        <f t="shared" si="251"/>
        <v>00</v>
      </c>
      <c r="BA168" t="str">
        <f t="shared" si="252"/>
        <v>007Т.1</v>
      </c>
      <c r="BB168" t="str">
        <f t="shared" si="253"/>
        <v>007Т</v>
      </c>
      <c r="BC168" t="str">
        <f>IF(U168&lt;&gt;"",U168,IF(AND(B168&lt;&gt;"",B168&lt;&gt;A168,ISNUMBER(_xlfn.XMATCH(B168,Щиты[Щит]))),B168,""))</f>
        <v/>
      </c>
      <c r="BD168" t="str" cm="1">
        <f t="array" ref="BD168">IF(B168="","",IF(BC168&lt;&gt;"","Щит "&amp;BC168,_xlfn.LET(_xlpm.nm,IFERROR(_xlfn.XLOOKUP(AX168,Коды_код,Коды_имя)&amp;"",""),_xlpm.md,IFERROR(N(_xlfn.XLOOKUP(AX168,Коды_код,Коды_режим)),1),_xlpm.ex,IF(Имя_режим="по экспликации",IFERROR(_xlfn.XLOOKUP(AZ168&amp;"|"&amp;BB168,Экспликация[Этаж]&amp;"|"&amp;Экспликация[Помещение],Экспликация[Название])&amp;"",""),""),_xlpm.rm,IF(BB168="","",IF(_xlpm.ex&lt;&gt;"",". "&amp;_xlpm.ex&amp;IF(Имя_пом="нет"," ("&amp;BB168&amp;")"," (пом. "&amp;BB168&amp;")"),IF(Имя_пом="нет"," ",", пом. ")&amp;BB168)),IF(_xlpm.nm="","",IF(_xlpm.md=2,_xlpm.nm&amp;" шлейф "&amp;AZ168,_xlpm.nm&amp;_xlpm.rm)))))</f>
        <v>Розеточная группа, пом. 007Т</v>
      </c>
      <c r="BE168" t="str">
        <f t="shared" si="254"/>
        <v>Розеточная группа, пом. 007Т</v>
      </c>
      <c r="BF168">
        <f>IFERROR(_xlfn.XMATCH(A168,Щиты[Щит]),0)</f>
        <v>8</v>
      </c>
      <c r="BG168">
        <f>_xlfn.LET(_xlpm.k,IFERROR(_xlfn.XLOOKUP(A168,Щиты[Щит],Щиты[Листов под вводной узел]),""),IF(_xlpm.k="",1,N(_xlpm.k))*Столбцов_на_лист)</f>
        <v>17</v>
      </c>
      <c r="BH168">
        <f t="shared" si="255"/>
        <v>33</v>
      </c>
      <c r="BI168" t="str">
        <f t="shared" si="256"/>
        <v>линии</v>
      </c>
      <c r="BJ168" s="6">
        <f>IFERROR(N(_xlfn.XLOOKUP(AX168,Коды_код,Коды_квт)),0)</f>
        <v>0</v>
      </c>
      <c r="BK168">
        <f t="shared" si="257"/>
        <v>0</v>
      </c>
      <c r="BL168" t="str">
        <f>IF(B168="","",IF(BC168&lt;&gt;"",IFERROR(_xlfn.XLOOKUP(BC168,Щиты[Щит],Щиты[Руст, кВт]),0),IF(BK168=1,IFERROR(_xlfn.XLOOKUP(A168,Щиты[Щит],Щиты[Руст, кВт]),0),IF(BJ168&gt;0,ROUND(BJ168*MAX(1,N(D168)),3),""))))</f>
        <v/>
      </c>
      <c r="BM168">
        <f t="shared" si="258"/>
        <v>0.06</v>
      </c>
      <c r="BN168" s="6">
        <f>IF(B168="","",IF(BC168&lt;&gt;"",IFERROR(_xlfn.XLOOKUP(BC168,Щиты[Щит],Щиты[Руст, кВт]),0),N(BM168)))</f>
        <v>0.06</v>
      </c>
      <c r="BO168" t="str">
        <f>IF(B168="","",IFERROR(IF(VLOOKUP(AX168,Потребители_обозначение,8,FALSE)=0,"",VLOOKUP(AX168,Потребители_обозначение,8,FALSE)),""))</f>
        <v/>
      </c>
      <c r="BP168">
        <f t="shared" si="259"/>
        <v>230</v>
      </c>
      <c r="BQ168">
        <f>IF(B168="","",IF(BC168&lt;&gt;"",3,IFERROR(IF(N(VLOOKUP(AX168,Потребители_обозначение,9,FALSE))=0,1,VLOOKUP(AX168,Потребители_обозначение,9,FALSE)),1)))</f>
        <v>1</v>
      </c>
      <c r="BR168">
        <f t="shared" si="260"/>
        <v>1</v>
      </c>
      <c r="BS168" t="str">
        <f>IF(B168="","",_xlfn.LET(_xlpm.bc,IFERROR(IF(VLOOKUP(AX168,Потребители_обозначение,6,FALSE)=0,"",VLOOKUP(AX168,Потребители_обозначение,6,FALSE)&amp;""),""),IF(AND(FK168="да",OR(_xlpm.bc="",_xlpm.bc="мс")),Марка_пож,IF(AND(_xlpm.bc="",BC168&lt;&gt;""),"мс",_xlpm.bc))))</f>
        <v/>
      </c>
      <c r="BT168" t="str">
        <f t="shared" si="261"/>
        <v>мс</v>
      </c>
      <c r="BU168">
        <f>IF(B168="","",_xlfn.LET(_xlpm.cc,IFERROR(N(VLOOKUP(AX168,Потребители_обозначение,7,FALSE)),0),IF(_xlpm.cc&gt;0,_xlpm.cc,IF(BT168="","",IF(N(BR168)=3,5,3)))))</f>
        <v>3</v>
      </c>
      <c r="BV168">
        <f t="shared" si="262"/>
        <v>3</v>
      </c>
      <c r="BW168">
        <f>IFERROR(N(VLOOKUP(AX168,Потребители_обозначение,10,FALSE)),0)</f>
        <v>0</v>
      </c>
      <c r="BX168">
        <f>IFERROR(VLOOKUP(AX168,Потребители_обозначение,5,FALSE),0)</f>
        <v>1</v>
      </c>
      <c r="BY168" s="6" cm="1">
        <f t="array" ref="BY168">IF(B168="","",IF(BC168&lt;&gt;"",IFERROR(_xlfn.XLOOKUP(BC168,Щиты[Щит],Щиты[cos φ]),0.95),IF(BK168=1,IFERROR(_xlfn.XLOOKUP(A168,Щиты[Щит],Щиты[cos φ]),0.95),IF(ISNUMBER(Z168),Z168,IFERROR(IF(BX168=2,_xlfn.IFS(BR168=3,VLOOKUP(BN168,Справочная_двигатели,8,FALSE),BR168=1,VLOOKUP(BN168,Справочная_двигатели,10,TRUE)),IF(AND(Методика="нормы 2026",EQ168="Сил"),0.8,0.95)),0.95)))))</f>
        <v>0.95</v>
      </c>
      <c r="BZ168">
        <f t="shared" si="263"/>
        <v>0</v>
      </c>
      <c r="CA168">
        <f t="shared" si="264"/>
        <v>1</v>
      </c>
      <c r="CB168">
        <f t="shared" si="265"/>
        <v>0</v>
      </c>
      <c r="CC168">
        <f t="shared" si="266"/>
        <v>0</v>
      </c>
      <c r="CD168">
        <f t="shared" si="267"/>
        <v>0</v>
      </c>
      <c r="CE168">
        <f t="shared" si="268"/>
        <v>0</v>
      </c>
      <c r="CF168">
        <f t="shared" si="269"/>
        <v>0</v>
      </c>
      <c r="CG168">
        <f>IF(AX168="",0,_xlfn.LET(_xlpm.v,IFERROR(VLOOKUP(B168,УГО_спр,3,FALSE),IFERROR(VLOOKUP(AX168,УГО_спр,3,FALSE),IFERROR(VLOOKUP(LEFT(AX168,2),УГО_спр,3,FALSE),""))),IF(_xlpm.v="да",30,IF(ISNUMBER(_xlpm.v),_xlpm.v,0))))</f>
        <v>30</v>
      </c>
      <c r="CH168">
        <f t="shared" si="270"/>
        <v>30</v>
      </c>
      <c r="CI168" t="str">
        <f>_xlfn.LET(_xlpm.k,IFERROR(_xlfn.XLOOKUP(AX168,Коды_код,Коды_утечка)&amp;"",""),IF(_xlpm.k="","дифавтомат",_xlpm.k))</f>
        <v>дифавтомат</v>
      </c>
      <c r="CJ168">
        <f t="shared" si="271"/>
        <v>30</v>
      </c>
      <c r="CK168">
        <f t="shared" si="272"/>
        <v>30</v>
      </c>
      <c r="CL168">
        <f>IF(B168="",0,IFERROR(--VLOOKUP(B168,УГО_спр,4,FALSE),IFERROR(--VLOOKUP(AX168,УГО_спр,4,FALSE),IFERROR(--VLOOKUP(LEFT(AX168,2),УГО_спр,4,FALSE),0))))</f>
        <v>16</v>
      </c>
      <c r="CM168" t="str">
        <f>IF(B168="","",IFERROR(_xlfn.XLOOKUP(AX168,Коды_код,Коды_апп)&amp;"",""))</f>
        <v/>
      </c>
      <c r="CN168" t="str">
        <f t="shared" si="273"/>
        <v/>
      </c>
      <c r="CO168" t="str" cm="1">
        <f t="array" ref="CO168">IF(TRIM(CN168&amp;"")="","",IFERROR(TRIM(INDEX(_xlfn.TEXTSPLIT(CN168&amp;";;;",";"),1)),""))</f>
        <v/>
      </c>
      <c r="CP168" t="str" cm="1">
        <f t="array" ref="CP168">IF(TRIM(CN168&amp;"")="","",IFERROR(TRIM(INDEX(_xlfn.TEXTSPLIT(CN168&amp;";;;",";"),2)),""))</f>
        <v/>
      </c>
      <c r="CQ168" t="str" cm="1">
        <f t="array" ref="CQ168">IF(TRIM(CN168&amp;"")="","",IFERROR(TRIM(INDEX(_xlfn.TEXTSPLIT(CN168&amp;";;;",";"),3)),""))</f>
        <v/>
      </c>
      <c r="CR168">
        <f t="shared" si="274"/>
        <v>0</v>
      </c>
      <c r="CS168" t="str">
        <f>IF(B168="","",_xlfn.LET(_xlpm.t,LOWER(AV168&amp;""),IF(ISNUMBER(SEARCH("dim",_xlpm.t)),"DIM",IF(ISNUMBER(SEARCH("dali",_xlpm.t)),"DALI",IF(OR(ISNUMBER(SEARCH("relay",_xlpm.t)),ISNUMBER(SEARCH("реле",_xlpm.t))),"Relay",IF(ISNUMBER(SEARCH("кнопк",_xlpm.t)),"",IFERROR(_xlfn.XLOOKUP(AX168,Коды_код,Коды_упр)&amp;"","")))))))</f>
        <v/>
      </c>
      <c r="CT168" t="str">
        <f t="shared" si="275"/>
        <v/>
      </c>
      <c r="CU168">
        <f>IF(B168="","",_xlfn.LET(_xlpm.ig,N(P168)+IF(AF168="вручную",0,N(CB168)),_xlpm.n0,IFERROR(VLOOKUP(_xlpm.ig,Автомат_номиналы,2,TRUE),0),_xlpm.mn,MAX(CL168,IF(AF168="вручную",0,N(CE168))),MAX(_xlpm.n0,_xlpm.mn,IF(CR168=1,Мин_автомат_БП,0))))</f>
        <v>16</v>
      </c>
      <c r="CV168">
        <f t="shared" si="276"/>
        <v>1</v>
      </c>
      <c r="CW168" t="str">
        <f t="shared" si="277"/>
        <v>2P</v>
      </c>
      <c r="CX168" t="str">
        <f>_xlfn.LET(_xlpm.cc,UPPER(TRIM(IFERROR(_xlfn.XLOOKUP(AX168,Коды_код,Коды_хар)&amp;"",""))),IF(OR(_xlpm.cc="B",_xlpm.cc="В"),"B",IF(_xlpm.cc="D","D","С")))</f>
        <v>С</v>
      </c>
      <c r="CY168" t="str">
        <f t="shared" si="278"/>
        <v>2P С16А 30мА</v>
      </c>
      <c r="CZ168">
        <f t="shared" si="279"/>
        <v>16</v>
      </c>
      <c r="DA168" t="str">
        <f t="shared" si="280"/>
        <v>2P С16А 30мА</v>
      </c>
      <c r="DB168" cm="1">
        <f t="array" ref="DB168">IF(DA168="","",_xlfn.LET(_xlpm.t,SUBSTITUTE(SUBSTITUTE(SUBSTITUTE(UPPER(DA168),"С","C"),"А","A"),"В","B"),_xlpm.tk,_xlfn.TEXTSPLIT(_xlpm.t,"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8" t="str">
        <f t="shared" si="281"/>
        <v>ok</v>
      </c>
      <c r="DD168">
        <f t="shared" si="282"/>
        <v>16</v>
      </c>
      <c r="DE168" t="str">
        <f t="shared" si="283"/>
        <v>2P С16А 30мА</v>
      </c>
      <c r="DF168">
        <f t="shared" si="284"/>
        <v>30</v>
      </c>
      <c r="DG168">
        <f t="shared" si="285"/>
        <v>1</v>
      </c>
      <c r="DH168">
        <f t="shared" si="286"/>
        <v>0</v>
      </c>
      <c r="DI168">
        <f t="shared" si="287"/>
        <v>0.27348170645824377</v>
      </c>
      <c r="DJ168">
        <f t="shared" si="288"/>
        <v>1</v>
      </c>
      <c r="DK168">
        <f>IF(ISNUMBER(AL168),AL168,К_прокл)</f>
        <v>1</v>
      </c>
      <c r="DL168">
        <f t="shared" si="289"/>
        <v>2</v>
      </c>
      <c r="DM168">
        <f>IFERROR(N(VLOOKUP(BT168,Кабель_обозначение,3,FALSE)),1)</f>
        <v>1</v>
      </c>
      <c r="DN168">
        <f>IFERROR(N(_xlfn.XLOOKUP(A168,Щиты[Щит],Щиты[ΔU до шин, %])),0)</f>
        <v>1.57</v>
      </c>
      <c r="DO168" t="str">
        <f>IFERROR(_xlfn.XLOOKUP(A168,Щиты[Щит],Щиты[Zпетли на шинах, Ом]),"")</f>
        <v/>
      </c>
      <c r="DP168">
        <f>IFERROR(N(_xlfn.XLOOKUP(A168,Щиты[Щит],Щиты[ΔU до шин (подбор), %])),0)</f>
        <v>2.5</v>
      </c>
      <c r="DQ168" t="str">
        <f>IFERROR(_xlfn.XLOOKUP(A168,Щиты[Щит],Щиты[Zпетли на шинах (подбор), Ом]),"")</f>
        <v/>
      </c>
      <c r="DR168" t="str">
        <f t="shared" si="290"/>
        <v/>
      </c>
      <c r="DS168">
        <f t="shared" si="291"/>
        <v>23</v>
      </c>
      <c r="DT168">
        <f t="shared" si="292"/>
        <v>2</v>
      </c>
      <c r="DU168">
        <f t="shared" si="293"/>
        <v>0.31</v>
      </c>
      <c r="DV168" s="6">
        <f>IF(B168="","",IF(IFERROR(VLOOKUP(AX168,УГО_спр,2,FALSE),"")="Светильник",3,4)+IF(Методика="нормы 2026",MIN(0.5,MAX(0,N(Q168)-100)*0.005),0))</f>
        <v>4</v>
      </c>
      <c r="DW168" cm="1">
        <f t="array" ref="DW168">IF(OR(B168="",BT168="",DM168&lt;&gt;1),"",_xlfn.LET(_xlpm.sz,Iдоп_S,_xlpm.t_,CHOOSE(DL168,Iдоп_1ж,Iдоп_2ж,Iдоп_3ж)*DJ168*DK168,_xlpm.inn,N(DD168),_xlpm.smin,MAX(1.5,BW168),_xlpm.L_,N(Q168)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168)*(_xlpm.rho*_xlpm.L_/_xlpm.sz*N(BY168)+_xlpm.xx*_xlpm.L_*N(DU168)/1000)*N(P168)/((Uн_лин/SQRT(3))*1000)*100,999),_xlpm.kz,IF(OR(DG168=1,NOT(ISNUMBER(DQ168)),_xlpm.L_=0,_xlpm.inn=0),1,IFERROR(--(c_min*(Uн_лин*1000/SQRT(3))/(DQ168+2*ρкз_Cu*_xlpm.L_/_xlpm.sz)&gt;=GY168*_xlpm.inn),0)),_xlpm.ok,IFERROR((_xlpm.sz&gt;=_xlpm.smin)*(_xlpm.t_&gt;=_xlpm.inn)*IF(_xlpm.L_&gt;0,(_xlpm.du_+DP168&lt;=DV168+0.00001),1)*_xlpm.kz,0),_xlpm.r_,_xlfn._xlws.FILTER(_xlpm.sz,_xlpm.ok,"не подобрано"),INDEX(_xlpm.r_,1)))</f>
        <v>1.5</v>
      </c>
      <c r="DX168">
        <f t="shared" si="294"/>
        <v>2.5</v>
      </c>
      <c r="DY168" cm="1">
        <f t="array" ref="DY168">IF(OR(B168="",BT168="",DM168&lt;&gt;1),"",_xlfn.LET(_xlpm.sz,Iдоп_S,_xlpm.t_,CHOOSE(DL168,Iдоп_1ж,Iдоп_2ж,Iдоп_3ж)*DJ168*DK168,_xlpm.ok,IFERROR((_xlpm.sz&gt;=MAX(1.5,BW168))*(_xlpm.t_&gt;=N(DD168)),0),_xlpm.r_,_xlfn._xlws.FILTER(_xlpm.sz,_xlpm.ok,""),INDEX(_xlpm.r_,1)))</f>
        <v>1.5</v>
      </c>
      <c r="DZ168" s="6" cm="1">
        <f t="array" ref="DZ168">IFERROR(ROUNDUP(N(DT168)*(_xlfn.XLOOKUP(DY168,INDEX(Кабель_сопротивление,0,1),INDEX(Кабель_сопротивление,0,3))*N(Q168)/DY168*N(BY168)+_xlfn.XLOOKUP(DY168,INDEX(Кабель_сопротивление,0,1),INDEX(Кабель_сопротивление,0,2))*N(Q168)*N(DU168)/1000)*N(P168)/((Uн_лин/SQRT(3))*1000)*100,2),"")</f>
        <v>0.09</v>
      </c>
      <c r="EA168">
        <f>IFERROR(2*ρкз_Cu*N(Q168)/DY168,"")</f>
        <v>0.91173333333333328</v>
      </c>
      <c r="EB168">
        <f>IFERROR(VLOOKUP(DX168,Кабель_сопротивление,3,FALSE),"")</f>
        <v>2.2499999999999999E-2</v>
      </c>
      <c r="EC168">
        <f>IFERROR(VLOOKUP(DX168,Кабель_сопротивление,2,FALSE),"")</f>
        <v>0.1</v>
      </c>
      <c r="ED168">
        <f t="shared" si="295"/>
        <v>11</v>
      </c>
      <c r="EE168">
        <f t="shared" si="296"/>
        <v>0</v>
      </c>
      <c r="EF168">
        <f t="shared" si="297"/>
        <v>0.12203081920214585</v>
      </c>
      <c r="EG168" s="6">
        <f>IFERROR(ROUNDUP(EF168/((Uн_лин/SQRT(3))*1000)*100,2),"")</f>
        <v>6.0000000000000005E-2</v>
      </c>
      <c r="EH168" t="str">
        <f>IFERROR(VLOOKUP(BT168,Кабель_обозначение,2,FALSE),"")</f>
        <v>ВВГнг(А)-LS</v>
      </c>
      <c r="EI168" t="str">
        <f t="shared" si="298"/>
        <v>ВВГнг(А)-LS (3х2,5)</v>
      </c>
      <c r="EJ168" t="str">
        <f t="shared" si="299"/>
        <v>ВВГнг(А)-LS (3х2,5)
L=26-0,06%</v>
      </c>
      <c r="EK168">
        <f>IFERROR(2*ρкз_Cu*Q168/DX168,"")</f>
        <v>0.54703999999999997</v>
      </c>
      <c r="EL168">
        <f t="shared" si="300"/>
        <v>0.18200000000000002</v>
      </c>
      <c r="EM168" s="6" t="str">
        <f>IFERROR(IF(OR(B168="",NOT(ISNUMBER(DX168)),N(Q168)=0),"",_xlfn.XLOOKUP(A168,Щиты[Щит],Щиты[Zпетли на шинах, Ом])+EK168),"")</f>
        <v/>
      </c>
      <c r="EN168" s="6" t="str">
        <f>IF(ISNUMBER(EM168),c_min*(Uн_лин*1000/SQRT(3))/EM168,"")</f>
        <v/>
      </c>
      <c r="EO168" s="6" t="str">
        <f>IFERROR(IF(OR(B168="",NOT(ISNUMBER(DX168))),"",1.05*(Uн_лин*1000/SQRT(3))/(_xlfn.XLOOKUP(A168,Щиты[Щит],Щиты[Zmax на шинах, Ом])+EL168)/1000),"")</f>
        <v/>
      </c>
      <c r="EP168" s="6" t="str">
        <f>IF(B168="","",IF(ISNUMBER(Y168),"Сил",IF(IFERROR(_xlfn.XLOOKUP(AX168,Коды_код,Коды_группа)&amp;"","")="","Быт",_xlfn.XLOOKUP(AX168,Коды_код,Коды_группа)&amp;"")))</f>
        <v>Быт</v>
      </c>
      <c r="EQ168" s="6" t="str">
        <f t="shared" si="301"/>
        <v>Быт</v>
      </c>
      <c r="ER168" s="6">
        <f>IF(EQ168="Щит","щит",IF(EQ168="","",IF(EQ168="Быт",IFERROR(_xlfn.XLOOKUP(A168,Щиты[Щит],Щиты[Кс быт]),1),IF(EQ168="Сил",IF(ISNUMBER(Y168),Y168,IF(Методика="нормы 2026",IFERROR(_xlfn.XLOOKUP(A168,Щиты[Щит],Щиты[Кс силовых (табл. 7.5)]),1),1)),IF(OR(EQ168="Пост",EQ168="Отоп"),1,IF(EQ168="ВНГ",0.7,0))))))</f>
        <v>0.8</v>
      </c>
      <c r="ES168">
        <f t="shared" si="302"/>
        <v>1</v>
      </c>
      <c r="ET168">
        <f t="shared" si="303"/>
        <v>0.06</v>
      </c>
      <c r="EU168">
        <f t="shared" si="304"/>
        <v>0.06</v>
      </c>
      <c r="EV168">
        <f t="shared" si="305"/>
        <v>0</v>
      </c>
      <c r="EW168">
        <f t="shared" si="306"/>
        <v>0</v>
      </c>
      <c r="EX168">
        <f t="shared" si="307"/>
        <v>0</v>
      </c>
      <c r="EY168">
        <f t="shared" si="308"/>
        <v>0</v>
      </c>
      <c r="EZ168">
        <f t="shared" si="309"/>
        <v>0.06</v>
      </c>
      <c r="FA168">
        <f t="shared" si="310"/>
        <v>5.6999999999999995E-2</v>
      </c>
      <c r="FB168">
        <f t="shared" si="311"/>
        <v>0.06</v>
      </c>
      <c r="FC168" t="str">
        <f t="shared" si="312"/>
        <v>L3</v>
      </c>
      <c r="FD168" t="str">
        <f>IF(B168="","",IF(CA168=0,IF(AW168=1,"",FF167),IF(OR(N(CV168)&gt;=3,N(BR168)&gt;=3),"L1,L2,L3",IFERROR(_xlfn.TEXTBEFORE(_xlfn.TEXTAFTER(_xlfn.XLOOKUP(A168,Щиты[Щит],Щиты[_фазы авто]),";"&amp;AW168&amp;":"),";"),"L1"))))</f>
        <v>L1</v>
      </c>
      <c r="FE168" t="str">
        <f t="shared" si="313"/>
        <v>L3</v>
      </c>
      <c r="FF168" t="str">
        <f t="shared" si="314"/>
        <v>L3</v>
      </c>
      <c r="FG168" cm="1">
        <f t="array" ref="FG168">IFERROR(IF(BX168=2,_xlfn.IFS(BR168=3,VLOOKUP(BN168,Справочная_двигатели,3,FALSE),BR168=1,VLOOKUP(BN168,Справочная_двигатели,5,TRUE)),0),0)</f>
        <v>0</v>
      </c>
      <c r="FH168">
        <f>IFERROR(IF(BX168=3,VLOOKUP(BN168,Справочная_ЛЭД,2,TRUE),0),0)</f>
        <v>0</v>
      </c>
      <c r="FI168" s="6">
        <f t="shared" si="315"/>
        <v>0</v>
      </c>
      <c r="FJ168" t="str" cm="1">
        <f t="array" ref="FJ168">IF(B168="","",IFERROR(INDEX({"I особая","I","II","III"},MATCH(TRIM(AC168&amp;""),{"I особая","I","II","III"},0)),"III"))</f>
        <v>II</v>
      </c>
      <c r="FK168" t="str">
        <f>IF(B168="","",IF(TRIM(AD168&amp;"")&lt;&gt;"",IF(LOWER(TRIM(AD168&amp;""))="да","да","нет"),IF(IFERROR(_xlfn.XLOOKUP(AX168,Коды_код,Коды_пожарная),"")="да","да","нет")))</f>
        <v>нет</v>
      </c>
      <c r="FL168" t="str">
        <f t="shared" si="316"/>
        <v/>
      </c>
      <c r="FM168" t="str">
        <f t="shared" si="317"/>
        <v>основная</v>
      </c>
      <c r="FN168">
        <f t="shared" si="318"/>
        <v>1</v>
      </c>
      <c r="FO168" t="str" cm="1">
        <f t="array" ref="FO168">IF(B168="","",_xlfn.LET(_xlpm.t,IFERROR(_xlfn.XLOOKUP(1,(Шины[Шина]=FM168)*(((Шины[Щит]=A168)+(Шины[Щит]=""))&gt;0),Шины[Тип]),"")&amp;"",IF(_xlpm.t&lt;&gt;"",_xlpm.t,IF(ISNUMBER(SEARCH("ИБП",FM168)),"ИБП",IF(ISNUMBER(SEARCH("ДГУ",FM168)),"ДГУ","Ввод "&amp;FN168)))))</f>
        <v>Ввод 1</v>
      </c>
      <c r="FP168" t="str">
        <f t="shared" si="319"/>
        <v>Ввод 1</v>
      </c>
      <c r="FQ168" t="str">
        <f>IF(B168="","",IF(OR(FO168="ИБП",FO168="ДГУ"),"I особая",IF(FO168="Одиночная","III",_xlfn.XLOOKUP(A168,Щиты[Щит],Щиты[Категория шины «Ввод»],"III"))))</f>
        <v>II</v>
      </c>
      <c r="FR168">
        <f>IF(B168="",0,IFERROR(MATCH(FJ168,{"III","II","I","I особая"},0),1))</f>
        <v>2</v>
      </c>
      <c r="FS168">
        <f t="shared" si="320"/>
        <v>2</v>
      </c>
      <c r="FT168" t="str">
        <f>IF(B168="","",IF(FR168&gt;IFERROR(MATCH(FQ168,{"III","II","I","I особая"},0),1),"НЕ ОБЕСПЕЧЕНА","ОК"))</f>
        <v>ОК</v>
      </c>
      <c r="FU168" t="str">
        <f>IF(A168="","",_xlfn.XLOOKUP(A168,Щиты[Щит],Щиты[Путь],""))</f>
        <v>|ГРЩ-ЖД|ЩР-001|</v>
      </c>
      <c r="FV168" t="str">
        <f>IF(B168="","",IF(AE168&lt;&gt;"",AE168,IF(IFERROR(_xlfn.XLOOKUP(AX168,Коды_код,Коды_вид)&amp;"","")="","Прочее",_xlfn.XLOOKUP(AX168,Коды_код,Коды_вид)&amp;"")))</f>
        <v>Розеточная сеть и бытовые приборы</v>
      </c>
      <c r="FW168">
        <f>IF(BH168="","",INT((BH168-1)/Столбцов_на_лист)+1)</f>
        <v>2</v>
      </c>
      <c r="FX168" t="str">
        <f t="shared" si="321"/>
        <v>ВВГнг(А)-LS (3х2,5) L=26-0,06%</v>
      </c>
      <c r="FY168">
        <f t="shared" si="322"/>
        <v>0.06</v>
      </c>
      <c r="FZ168">
        <f t="shared" si="323"/>
        <v>0.28000000000000003</v>
      </c>
      <c r="GA168">
        <f t="shared" si="324"/>
        <v>1</v>
      </c>
      <c r="GB168">
        <f t="shared" si="325"/>
        <v>0</v>
      </c>
      <c r="GC168">
        <f t="shared" si="326"/>
        <v>1</v>
      </c>
      <c r="GD168">
        <f>IF(BH168="","",IF(AND(CA168=1,GC168=1),COUNTIFS(A$3:A168,A168,CA$3:CA168,1,GC$3:GC168,1),IF(OR(OR(AW168=1,A168&lt;&gt;A167),AF168="вручную",GC168=0),"",IF(AW168=1,"",GE167))))</f>
        <v>14</v>
      </c>
      <c r="GE168">
        <f t="shared" si="327"/>
        <v>14</v>
      </c>
      <c r="GF168">
        <f>IF(B168="","",IFERROR(LOOKUP(INDEX(CHOOSE(DL168,Iдоп_1ж,Iдоп_2ж,Iдоп_3ж),MATCH(DX168,Iдоп_S,0))*DJ168*DK168,{6,10,16,20,25,32,40,50,63,80,100,125,160,200,250,315,400,500,630}),""))</f>
        <v>25</v>
      </c>
      <c r="GG168" t="str">
        <f t="shared" si="328"/>
        <v>QFD14</v>
      </c>
      <c r="GH168" t="str">
        <f t="shared" si="329"/>
        <v>QFD14</v>
      </c>
      <c r="GI168" t="str">
        <f t="shared" si="330"/>
        <v/>
      </c>
      <c r="GJ168">
        <f t="shared" si="331"/>
        <v>0</v>
      </c>
      <c r="GK168" t="str">
        <f>IF(OR(AG168="",AG168="-"),"",IFERROR(VLOOKUP(AG168,Модули_спр,2,FALSE),"R"))</f>
        <v/>
      </c>
      <c r="GL168" t="str">
        <f>IF(GK168="","",GK168&amp;"."&amp;COUNTIFS(A$3:A168,A168,GK$3:GK168,GK168))</f>
        <v/>
      </c>
      <c r="GM168" t="str">
        <f t="shared" si="332"/>
        <v/>
      </c>
      <c r="GN168" t="str">
        <f t="shared" si="333"/>
        <v/>
      </c>
      <c r="GO168" t="str">
        <f t="shared" si="334"/>
        <v/>
      </c>
      <c r="GP168" t="str">
        <f t="shared" si="335"/>
        <v/>
      </c>
      <c r="GQ168">
        <f t="shared" si="336"/>
        <v>1</v>
      </c>
      <c r="GR168" t="str">
        <f>IF(GQ168=1,"XT"&amp;COUNTIFS(A$3:A168,A168,GQ$3:GQ168,1),"")</f>
        <v>XT14</v>
      </c>
      <c r="GS168" t="str">
        <f t="shared" si="337"/>
        <v/>
      </c>
      <c r="GT168" t="str">
        <f t="shared" si="338"/>
        <v>QFD14</v>
      </c>
      <c r="GU168" t="str">
        <f t="shared" si="339"/>
        <v/>
      </c>
      <c r="GV168" t="str">
        <f t="shared" si="340"/>
        <v>ok</v>
      </c>
      <c r="GW168" t="str">
        <f>IF(OR(GO168="",GM168=""),"",IF(GO168&gt;IFERROR(VLOOKUP(GN168,Модули_спр,3,FALSE),99),"ЛИШНИЙ КАНАЛ",IF(AND(AH168&lt;&gt;"=",COUNTIFS(Линии[_модуль гр.],GM168,Линии[Канал (итог)],GO168,Линии[Канал],"&lt;&gt;=",Линии[Щит],A168)&gt;1),"ДУБЛЬ КАНАЛА","")))</f>
        <v/>
      </c>
      <c r="GX168" s="6" t="str">
        <f t="shared" si="341"/>
        <v/>
      </c>
      <c r="GY168">
        <f t="shared" si="342"/>
        <v>10</v>
      </c>
      <c r="GZ168" t="str">
        <f t="shared" si="343"/>
        <v/>
      </c>
      <c r="HA168" t="str">
        <f>IF(AND(B168="",GT168=""),"",_xlfn.TEXTJOIN("; ",TRUE,IF(AND(B168&lt;&gt;"",FE168=""),"нет фазы",""),IF(AND(B168&lt;&gt;"",N(FY168)=0,EQ168&lt;&gt;"Нет"),"нет мощности",""),IF(AND(GS168&lt;&gt;"",COUNTIFS(Линии[Щит],A168,Линии[Клемма (итог)],GS168)&gt;1),"дубль клеммы "&amp;GS168,""),IF(AND(GV168&lt;&gt;"",GV168&lt;&gt;"ok"),GV168,""),IF(GW168&lt;&gt;"",GW168,""),IF(AND(N(BV168)&gt;=4,N(BR168)=1),BV168&amp;" жил на 1 фазе",""),IF(AND(AX168="R",CA168=1,OR(N(CK168)=0,N(CK168)&gt;30)),"розетка без дифзащиты до 30 мА",""),IFERROR(IF(AND(ISNUMBER(R168),R168&gt;DV168),"потери "&amp;FIXED(R168,1)&amp;" % &gt; "&amp;DV168&amp;" %",""),""),IFERROR(IF(LEFT(GZ168,4)="мало","Iкз мало — отключение &gt; 0,4 с",""),""),IF(AND(B168&lt;&gt;"",BH168=""),"не на схеме",""),IF(AND(CA168=0,B168&lt;&gt;"",FE168&lt;&gt;"",IF(AW168=1,"",FF167)&lt;&gt;"",FE168&lt;&gt;IF(AW168=1,"",FF167)),"фаза не как у автомата группы ("&amp;IF(AW168=1,"",FF167)&amp;")","")))</f>
        <v/>
      </c>
      <c r="HB168" s="6">
        <f>IF(OR(CA168=0,DA168=""),"",_xlfn.LET(_xlpm.t,IFERROR(_xlfn.XLOOKUP(DA168,Каталог!$U$4:$U$500,Каталог!$G$4:$G$500),""),_xlpm.k,SEARCH("кА",_xlpm.t),IFERROR(--TRIM(RIGHT(SUBSTITUTE(MID(_xlpm.t,MAX(1,_xlpm.k-4),_xlpm.k-MAX(1,_xlpm.k-4))," ",REPT(" ",9)),5)),"")))</f>
        <v>6</v>
      </c>
      <c r="HC168" t="str">
        <f>IF(OR(HB168="",CA168=0),"",IF(_xlfn.XLOOKUP(A168,Щиты[Щит],Щиты[Iкз max на шинах, кА],"")="","",IF(HB168&lt;_xlfn.XLOOKUP(A168,Щиты[Щит],Щиты[Iкз max на шинах, кА]),"Icu "&amp;HB168&amp;" кА &lt; Iкз max","ok")))</f>
        <v/>
      </c>
      <c r="HD168" t="str">
        <f t="shared" si="344"/>
        <v/>
      </c>
      <c r="HE168" t="str">
        <f t="shared" si="345"/>
        <v>QFD14</v>
      </c>
      <c r="HF168" t="str">
        <f t="shared" si="346"/>
        <v>QFD14|кабель ВВГнг(А)-LS (3х2,5) → Розеточная группа, пом. 007Т</v>
      </c>
      <c r="HG168" t="str" cm="1">
        <f t="array" ref="HG168">IF(HF168="","",_xlfn.LET(_xlpm.nd,_xlfn.TEXTSPLIT(HF168,"|"),IF(COLUMNS(_xlpm.nd)&gt;1,A168&amp;"¦"&amp;INDEX(_xlpm.nd,1)&amp;"¦"&amp;INDEX(_xlpm.nd,2),"")))</f>
        <v>ЩР-001¦QFD14¦кабель ВВГнг(А)-LS (3х2,5) → Розеточная группа, пом. 007Т</v>
      </c>
      <c r="HH168" t="str">
        <f t="shared" si="347"/>
        <v>R.00.007Т.1¦Розеточная группа, пом. 007Т</v>
      </c>
      <c r="HI168" t="str" cm="1">
        <f t="array" ref="HI168">IF(HF168="","",_xlfn.LET(_xlpm.nd,_xlfn.TEXTSPLIT(HF168,"|"),IF(COLUMNS(_xlpm.nd)&gt;2,A168&amp;"¦"&amp;INDEX(_xlpm.nd,2)&amp;"¦"&amp;INDEX(_xlpm.nd,3),"")))</f>
        <v/>
      </c>
      <c r="HJ168" t="str">
        <f t="shared" si="348"/>
        <v/>
      </c>
      <c r="HK168" t="str" cm="1">
        <f t="array" ref="HK168">IF(HF168="","",_xlfn.LET(_xlpm.nd,_xlfn.TEXTSPLIT(HF168,"|"),IF(COLUMNS(_xlpm.nd)&gt;3,A168&amp;"¦"&amp;INDEX(_xlpm.nd,3)&amp;"¦"&amp;INDEX(_xlpm.nd,4),"")))</f>
        <v/>
      </c>
      <c r="HL168" t="str">
        <f t="shared" si="349"/>
        <v/>
      </c>
      <c r="HM168" t="str" cm="1">
        <f t="array" ref="HM168">IF(HF168="","",_xlfn.LET(_xlpm.nd,_xlfn.TEXTSPLIT(HF168,"|"),IF(COLUMNS(_xlpm.nd)&gt;4,A168&amp;"¦"&amp;INDEX(_xlpm.nd,4)&amp;"¦"&amp;INDEX(_xlpm.nd,5),"")))</f>
        <v/>
      </c>
      <c r="HN168" t="str">
        <f t="shared" si="350"/>
        <v/>
      </c>
      <c r="HO168" t="str" cm="1">
        <f t="array" ref="HO168">IF(HF168="","",_xlfn.LET(_xlpm.nd,_xlfn.TEXTSPLIT(HF168,"|"),IF(COLUMNS(_xlpm.nd)&gt;5,A168&amp;"¦"&amp;INDEX(_xlpm.nd,5)&amp;"¦"&amp;INDEX(_xlpm.nd,6),"")))</f>
        <v/>
      </c>
      <c r="HP168" t="str">
        <f t="shared" si="351"/>
        <v/>
      </c>
      <c r="HQ168" t="str" cm="1">
        <f t="array" ref="HQ168">IF(HF168="","",_xlfn.LET(_xlpm.nd,_xlfn.TEXTSPLIT(HF168,"|"),IF(COLUMNS(_xlpm.nd)&gt;6,A168&amp;"¦"&amp;INDEX(_xlpm.nd,6)&amp;"¦"&amp;INDEX(_xlpm.nd,7),"")))</f>
        <v/>
      </c>
      <c r="HR168" t="str">
        <f t="shared" si="352"/>
        <v/>
      </c>
      <c r="HS168" t="str">
        <f t="shared" si="353"/>
        <v/>
      </c>
      <c r="HT168" t="str">
        <f t="shared" si="354"/>
        <v>QFD14</v>
      </c>
      <c r="HU168">
        <f t="shared" si="355"/>
        <v>0</v>
      </c>
      <c r="HV168">
        <f t="shared" si="356"/>
        <v>1</v>
      </c>
      <c r="HW168" t="str">
        <f t="shared" si="357"/>
        <v/>
      </c>
      <c r="HX168" t="str">
        <f t="shared" si="358"/>
        <v/>
      </c>
      <c r="HY168" t="str">
        <f t="shared" si="359"/>
        <v/>
      </c>
      <c r="HZ168" t="str">
        <f t="shared" si="360"/>
        <v/>
      </c>
      <c r="IA168" t="str">
        <f>IF(B168="","",IFERROR(VLOOKUP(B168,УГО_спр,2,FALSE),IFERROR(VLOOKUP(AX168,УГО_спр,2,FALSE),IFERROR(VLOOKUP(LEFT(AX168,2),УГО_спр,2,FALSE),""))))</f>
        <v>Розетка</v>
      </c>
      <c r="IB168" t="str">
        <f>IF(B168="","",IF(OR(IA168="",IA168=0),"BOX",IFERROR(IF(VLOOKUP(IA168,УГО_блоки,3,FALSE)&amp;""&lt;&gt;"",VLOOKUP(IA168,УГО_блоки,3,FALSE),VLOOKUP(IA168,УГО_блоки,2,FALSE)),IA168)))</f>
        <v>SOCKET</v>
      </c>
      <c r="IC168">
        <f t="shared" si="361"/>
        <v>1</v>
      </c>
      <c r="ID168" t="str">
        <f>IF(DA168="","",IF(COUNTIF(DA$3:DA168,DA168)=1,MAX(ID$2:ID167)+1,""))</f>
        <v/>
      </c>
      <c r="IE168" t="str">
        <f>IF(CO168="","",IF(COUNTIF(CO$3:CO168,CO168)+COUNTIF(CP$2:CP167,CO168)+COUNTIF(CQ$2:CQ167,CO168)=1,MAX(IE$2:IG167)+1,""))</f>
        <v/>
      </c>
      <c r="IF168" t="str">
        <f>IF(CP168="","",IF(COUNTIF(CO$3:CO168,CP168)+COUNTIF(CP$3:CP168,CP168)+COUNTIF(CQ$2:CQ167,CP168)=1,MAX(IE$2:IG167,IE168)+1,""))</f>
        <v/>
      </c>
      <c r="IG168" t="str">
        <f>IF(CQ168="","",IF(COUNTIF(CO$3:CO168,CQ168)+COUNTIF(CP$3:CP168,CQ168)+COUNTIF(CQ$3:CQ168,CQ168)=1,MAX(IE$2:IG167,IE168,IF168)+1,""))</f>
        <v/>
      </c>
      <c r="IH168" t="str">
        <f t="shared" si="362"/>
        <v>3х2,5</v>
      </c>
      <c r="II168" t="str">
        <f>IF(IH168="","",IF(COUNTIF(IH$3:IH168,IH168)=1,MAX(II$2:II167)+1,""))</f>
        <v/>
      </c>
      <c r="IJ168" t="str">
        <f>IF(GL168="","",COUNTIF(GL$3:GL168,"?*"))</f>
        <v/>
      </c>
      <c r="IK168" t="str">
        <f>IF(OR(GL168="",GN168=""),"",IF(COUNTIFS(GL$3:GL168,"?*",GN$3:GN168,GN168)=1,MAX(IK$2:IK167)+1,""))</f>
        <v/>
      </c>
      <c r="IL168">
        <f t="shared" si="363"/>
        <v>0</v>
      </c>
      <c r="IM168">
        <f>IF(B168="","",COUNTIF(B$3:B168,"?*"))</f>
        <v>166</v>
      </c>
      <c r="IN168">
        <f>IF(GQ168&lt;&gt;1,0,_xlfn.LET(_xlpm.k,MAX(IFERROR(--VLOOKUP(B168,УГО_спр,5,FALSE),0),IFERROR(--VLOOKUP(AX168,УГО_спр,5,FALSE),0),IFERROR(--VLOOKUP(LEFT(AX168,2),УГО_спр,5,FALSE),0)),IF(_xlpm.k&gt;0,_xlpm.k,IF(IFERROR(--LEFT(SUBSTITUTE(IH168,"x","х"),FIND("х",SUBSTITUTE(IH168,"x","х"))-1),3)&gt;3,Каталог!$S$9,1))))</f>
        <v>1</v>
      </c>
      <c r="IO168">
        <f t="shared" si="364"/>
        <v>0</v>
      </c>
      <c r="IP168" t="str">
        <f t="shared" si="365"/>
        <v>авто</v>
      </c>
      <c r="IQ168">
        <f t="shared" si="366"/>
        <v>30</v>
      </c>
      <c r="IR168">
        <f t="shared" si="367"/>
        <v>1</v>
      </c>
      <c r="IS168">
        <f t="shared" si="368"/>
        <v>1</v>
      </c>
    </row>
    <row r="169" spans="1:253" x14ac:dyDescent="0.3">
      <c r="A169" t="s">
        <v>755</v>
      </c>
      <c r="B169" t="s">
        <v>1436</v>
      </c>
      <c r="C169" t="str">
        <f>Линии[[#This Row],[_авто наименование]]</f>
        <v>Розеточная группа, пом. 008T</v>
      </c>
      <c r="D169">
        <v>2</v>
      </c>
      <c r="E169">
        <v>0.12</v>
      </c>
      <c r="G169">
        <v>16</v>
      </c>
      <c r="H169">
        <f>Линии[[#This Row],[_авто утечка]]</f>
        <v>30</v>
      </c>
      <c r="I169" t="str">
        <f>Линии[[#This Row],[_авто управление]]</f>
        <v/>
      </c>
      <c r="J169" t="str">
        <f>Линии[[#This Row],[_авто аппараты]]</f>
        <v/>
      </c>
      <c r="K169">
        <v>2.5</v>
      </c>
      <c r="L169">
        <v>26</v>
      </c>
      <c r="M169">
        <v>1</v>
      </c>
      <c r="N169" t="s">
        <v>486</v>
      </c>
      <c r="O169" t="str">
        <f t="shared" si="246"/>
        <v/>
      </c>
      <c r="P169" s="6" cm="1">
        <f t="array" ref="P169">IF(B169="","",IF(BC169&lt;&gt;"",IFERROR(_xlfn.XLOOKUP(BC169,Щиты[Щит],Щиты[Iр, А]),""),IF(BK169=1,IFERROR(_xlfn.XLOOKUP(A169,Щиты[Щит],Щиты[Iр, А]),""),IFERROR(_xlfn.IFS(BR169=1,BN169/((Uн_лин/SQRT(3))*BY169),BR169=3,BN169/(SQRT(3)*Uн_лин*BY169)),""))))</f>
        <v>0.54696341291648753</v>
      </c>
      <c r="Q169" s="7">
        <f>IF(B169="","",IFERROR(IF(VLOOKUP(AX169,Потребители_обозначение,4,FALSE)=1,VLOOKUP(AX169,Потребители_обозначение,3,FALSE)*(D169*2-1)+DS169+VLOOKUP(AZ169,Этаж_обозначение,3,FALSE)+VLOOKUP(AZ169,Этаж_обозначение,4,FALSE),VLOOKUP(AX169,Потребители_обозначение,3,FALSE)*(D169*2-1)+DS169),DS169))</f>
        <v>35</v>
      </c>
      <c r="R169" s="6">
        <f t="shared" si="247"/>
        <v>1.7200000000000002</v>
      </c>
      <c r="S169" t="str">
        <f t="shared" si="248"/>
        <v>ВВГнг(А)-LS (3х2,5)</v>
      </c>
      <c r="T169" t="str">
        <f>IF(BH169="","",IF(BI169="вводной узел","узел ","")&amp;"л."&amp;(INT((BH169-1)/Столбцов_на_лист)+1)&amp;" / "&amp;(MOD(BH169-1,Столбцов_на_лист)+1))</f>
        <v>л.2 / 17</v>
      </c>
      <c r="V169">
        <v>1</v>
      </c>
      <c r="W169">
        <v>230</v>
      </c>
      <c r="X169" t="s">
        <v>564</v>
      </c>
      <c r="AC169" t="s">
        <v>815</v>
      </c>
      <c r="AE169" t="s">
        <v>563</v>
      </c>
      <c r="AI169">
        <v>34</v>
      </c>
      <c r="AJ169" t="s">
        <v>11</v>
      </c>
      <c r="AK169">
        <v>3</v>
      </c>
      <c r="AM169">
        <v>0</v>
      </c>
      <c r="AN169">
        <v>0</v>
      </c>
      <c r="AO169">
        <v>35</v>
      </c>
      <c r="AW169" cm="1">
        <f t="array" ref="AW169">ROW()-ROW(Линии[#Headers])</f>
        <v>167</v>
      </c>
      <c r="AX169" s="6" t="str">
        <f t="shared" si="249"/>
        <v>R</v>
      </c>
      <c r="AY169" t="str">
        <f t="shared" si="250"/>
        <v>00.008T.1</v>
      </c>
      <c r="AZ169" t="str">
        <f t="shared" si="251"/>
        <v>00</v>
      </c>
      <c r="BA169" t="str">
        <f t="shared" si="252"/>
        <v>008T.1</v>
      </c>
      <c r="BB169" t="str">
        <f t="shared" si="253"/>
        <v>008T</v>
      </c>
      <c r="BC169" t="str">
        <f>IF(U169&lt;&gt;"",U169,IF(AND(B169&lt;&gt;"",B169&lt;&gt;A169,ISNUMBER(_xlfn.XMATCH(B169,Щиты[Щит]))),B169,""))</f>
        <v/>
      </c>
      <c r="BD169" t="str" cm="1">
        <f t="array" ref="BD169">IF(B169="","",IF(BC169&lt;&gt;"","Щит "&amp;BC169,_xlfn.LET(_xlpm.nm,IFERROR(_xlfn.XLOOKUP(AX169,Коды_код,Коды_имя)&amp;"",""),_xlpm.md,IFERROR(N(_xlfn.XLOOKUP(AX169,Коды_код,Коды_режим)),1),_xlpm.ex,IF(Имя_режим="по экспликации",IFERROR(_xlfn.XLOOKUP(AZ169&amp;"|"&amp;BB169,Экспликация[Этаж]&amp;"|"&amp;Экспликация[Помещение],Экспликация[Название])&amp;"",""),""),_xlpm.rm,IF(BB169="","",IF(_xlpm.ex&lt;&gt;"",". "&amp;_xlpm.ex&amp;IF(Имя_пом="нет"," ("&amp;BB169&amp;")"," (пом. "&amp;BB169&amp;")"),IF(Имя_пом="нет"," ",", пом. ")&amp;BB169)),IF(_xlpm.nm="","",IF(_xlpm.md=2,_xlpm.nm&amp;" шлейф "&amp;AZ169,_xlpm.nm&amp;_xlpm.rm)))))</f>
        <v>Розеточная группа, пом. 008T</v>
      </c>
      <c r="BE169" t="str">
        <f t="shared" si="254"/>
        <v>Розеточная группа, пом. 008T</v>
      </c>
      <c r="BF169">
        <f>IFERROR(_xlfn.XMATCH(A169,Щиты[Щит]),0)</f>
        <v>8</v>
      </c>
      <c r="BG169">
        <f>_xlfn.LET(_xlpm.k,IFERROR(_xlfn.XLOOKUP(A169,Щиты[Щит],Щиты[Листов под вводной узел]),""),IF(_xlpm.k="",1,N(_xlpm.k))*Столбцов_на_лист)</f>
        <v>17</v>
      </c>
      <c r="BH169">
        <f t="shared" si="255"/>
        <v>34</v>
      </c>
      <c r="BI169" t="str">
        <f t="shared" si="256"/>
        <v>линии</v>
      </c>
      <c r="BJ169" s="6">
        <f>IFERROR(N(_xlfn.XLOOKUP(AX169,Коды_код,Коды_квт)),0)</f>
        <v>0</v>
      </c>
      <c r="BK169">
        <f t="shared" si="257"/>
        <v>0</v>
      </c>
      <c r="BL169" t="str">
        <f>IF(B169="","",IF(BC169&lt;&gt;"",IFERROR(_xlfn.XLOOKUP(BC169,Щиты[Щит],Щиты[Руст, кВт]),0),IF(BK169=1,IFERROR(_xlfn.XLOOKUP(A169,Щиты[Щит],Щиты[Руст, кВт]),0),IF(BJ169&gt;0,ROUND(BJ169*MAX(1,N(D169)),3),""))))</f>
        <v/>
      </c>
      <c r="BM169">
        <f t="shared" si="258"/>
        <v>0.12</v>
      </c>
      <c r="BN169" s="6">
        <f>IF(B169="","",IF(BC169&lt;&gt;"",IFERROR(_xlfn.XLOOKUP(BC169,Щиты[Щит],Щиты[Руст, кВт]),0),N(BM169)))</f>
        <v>0.12</v>
      </c>
      <c r="BO169" t="str">
        <f>IF(B169="","",IFERROR(IF(VLOOKUP(AX169,Потребители_обозначение,8,FALSE)=0,"",VLOOKUP(AX169,Потребители_обозначение,8,FALSE)),""))</f>
        <v/>
      </c>
      <c r="BP169">
        <f t="shared" si="259"/>
        <v>230</v>
      </c>
      <c r="BQ169">
        <f>IF(B169="","",IF(BC169&lt;&gt;"",3,IFERROR(IF(N(VLOOKUP(AX169,Потребители_обозначение,9,FALSE))=0,1,VLOOKUP(AX169,Потребители_обозначение,9,FALSE)),1)))</f>
        <v>1</v>
      </c>
      <c r="BR169">
        <f t="shared" si="260"/>
        <v>1</v>
      </c>
      <c r="BS169" t="str">
        <f>IF(B169="","",_xlfn.LET(_xlpm.bc,IFERROR(IF(VLOOKUP(AX169,Потребители_обозначение,6,FALSE)=0,"",VLOOKUP(AX169,Потребители_обозначение,6,FALSE)&amp;""),""),IF(AND(FK169="да",OR(_xlpm.bc="",_xlpm.bc="мс")),Марка_пож,IF(AND(_xlpm.bc="",BC169&lt;&gt;""),"мс",_xlpm.bc))))</f>
        <v/>
      </c>
      <c r="BT169" t="str">
        <f t="shared" si="261"/>
        <v>мс</v>
      </c>
      <c r="BU169">
        <f>IF(B169="","",_xlfn.LET(_xlpm.cc,IFERROR(N(VLOOKUP(AX169,Потребители_обозначение,7,FALSE)),0),IF(_xlpm.cc&gt;0,_xlpm.cc,IF(BT169="","",IF(N(BR169)=3,5,3)))))</f>
        <v>3</v>
      </c>
      <c r="BV169">
        <f t="shared" si="262"/>
        <v>3</v>
      </c>
      <c r="BW169">
        <f>IFERROR(N(VLOOKUP(AX169,Потребители_обозначение,10,FALSE)),0)</f>
        <v>0</v>
      </c>
      <c r="BX169">
        <f>IFERROR(VLOOKUP(AX169,Потребители_обозначение,5,FALSE),0)</f>
        <v>1</v>
      </c>
      <c r="BY169" s="6" cm="1">
        <f t="array" ref="BY169">IF(B169="","",IF(BC169&lt;&gt;"",IFERROR(_xlfn.XLOOKUP(BC169,Щиты[Щит],Щиты[cos φ]),0.95),IF(BK169=1,IFERROR(_xlfn.XLOOKUP(A169,Щиты[Щит],Щиты[cos φ]),0.95),IF(ISNUMBER(Z169),Z169,IFERROR(IF(BX169=2,_xlfn.IFS(BR169=3,VLOOKUP(BN169,Справочная_двигатели,8,FALSE),BR169=1,VLOOKUP(BN169,Справочная_двигатели,10,TRUE)),IF(AND(Методика="нормы 2026",EQ169="Сил"),0.8,0.95)),0.95)))))</f>
        <v>0.95</v>
      </c>
      <c r="BZ169">
        <f t="shared" si="263"/>
        <v>0</v>
      </c>
      <c r="CA169">
        <f t="shared" si="264"/>
        <v>1</v>
      </c>
      <c r="CB169">
        <f t="shared" si="265"/>
        <v>0</v>
      </c>
      <c r="CC169">
        <f t="shared" si="266"/>
        <v>0</v>
      </c>
      <c r="CD169">
        <f t="shared" si="267"/>
        <v>0</v>
      </c>
      <c r="CE169">
        <f t="shared" si="268"/>
        <v>0</v>
      </c>
      <c r="CF169">
        <f t="shared" si="269"/>
        <v>0</v>
      </c>
      <c r="CG169">
        <f>IF(AX169="",0,_xlfn.LET(_xlpm.v,IFERROR(VLOOKUP(B169,УГО_спр,3,FALSE),IFERROR(VLOOKUP(AX169,УГО_спр,3,FALSE),IFERROR(VLOOKUP(LEFT(AX169,2),УГО_спр,3,FALSE),""))),IF(_xlpm.v="да",30,IF(ISNUMBER(_xlpm.v),_xlpm.v,0))))</f>
        <v>30</v>
      </c>
      <c r="CH169">
        <f t="shared" si="270"/>
        <v>30</v>
      </c>
      <c r="CI169" t="str">
        <f>_xlfn.LET(_xlpm.k,IFERROR(_xlfn.XLOOKUP(AX169,Коды_код,Коды_утечка)&amp;"",""),IF(_xlpm.k="","дифавтомат",_xlpm.k))</f>
        <v>дифавтомат</v>
      </c>
      <c r="CJ169">
        <f t="shared" si="271"/>
        <v>30</v>
      </c>
      <c r="CK169">
        <f t="shared" si="272"/>
        <v>30</v>
      </c>
      <c r="CL169">
        <f>IF(B169="",0,IFERROR(--VLOOKUP(B169,УГО_спр,4,FALSE),IFERROR(--VLOOKUP(AX169,УГО_спр,4,FALSE),IFERROR(--VLOOKUP(LEFT(AX169,2),УГО_спр,4,FALSE),0))))</f>
        <v>16</v>
      </c>
      <c r="CM169" t="str">
        <f>IF(B169="","",IFERROR(_xlfn.XLOOKUP(AX169,Коды_код,Коды_апп)&amp;"",""))</f>
        <v/>
      </c>
      <c r="CN169" t="str">
        <f t="shared" si="273"/>
        <v/>
      </c>
      <c r="CO169" t="str" cm="1">
        <f t="array" ref="CO169">IF(TRIM(CN169&amp;"")="","",IFERROR(TRIM(INDEX(_xlfn.TEXTSPLIT(CN169&amp;";;;",";"),1)),""))</f>
        <v/>
      </c>
      <c r="CP169" t="str" cm="1">
        <f t="array" ref="CP169">IF(TRIM(CN169&amp;"")="","",IFERROR(TRIM(INDEX(_xlfn.TEXTSPLIT(CN169&amp;";;;",";"),2)),""))</f>
        <v/>
      </c>
      <c r="CQ169" t="str" cm="1">
        <f t="array" ref="CQ169">IF(TRIM(CN169&amp;"")="","",IFERROR(TRIM(INDEX(_xlfn.TEXTSPLIT(CN169&amp;";;;",";"),3)),""))</f>
        <v/>
      </c>
      <c r="CR169">
        <f t="shared" si="274"/>
        <v>0</v>
      </c>
      <c r="CS169" t="str">
        <f>IF(B169="","",_xlfn.LET(_xlpm.t,LOWER(AV169&amp;""),IF(ISNUMBER(SEARCH("dim",_xlpm.t)),"DIM",IF(ISNUMBER(SEARCH("dali",_xlpm.t)),"DALI",IF(OR(ISNUMBER(SEARCH("relay",_xlpm.t)),ISNUMBER(SEARCH("реле",_xlpm.t))),"Relay",IF(ISNUMBER(SEARCH("кнопк",_xlpm.t)),"",IFERROR(_xlfn.XLOOKUP(AX169,Коды_код,Коды_упр)&amp;"","")))))))</f>
        <v/>
      </c>
      <c r="CT169" t="str">
        <f t="shared" si="275"/>
        <v/>
      </c>
      <c r="CU169">
        <f>IF(B169="","",_xlfn.LET(_xlpm.ig,N(P169)+IF(AF169="вручную",0,N(CB169)),_xlpm.n0,IFERROR(VLOOKUP(_xlpm.ig,Автомат_номиналы,2,TRUE),0),_xlpm.mn,MAX(CL169,IF(AF169="вручную",0,N(CE169))),MAX(_xlpm.n0,_xlpm.mn,IF(CR169=1,Мин_автомат_БП,0))))</f>
        <v>16</v>
      </c>
      <c r="CV169">
        <f t="shared" si="276"/>
        <v>1</v>
      </c>
      <c r="CW169" t="str">
        <f t="shared" si="277"/>
        <v>2P</v>
      </c>
      <c r="CX169" t="str">
        <f>_xlfn.LET(_xlpm.cc,UPPER(TRIM(IFERROR(_xlfn.XLOOKUP(AX169,Коды_код,Коды_хар)&amp;"",""))),IF(OR(_xlpm.cc="B",_xlpm.cc="В"),"B",IF(_xlpm.cc="D","D","С")))</f>
        <v>С</v>
      </c>
      <c r="CY169" t="str">
        <f t="shared" si="278"/>
        <v>2P С16А 30мА</v>
      </c>
      <c r="CZ169">
        <f t="shared" si="279"/>
        <v>16</v>
      </c>
      <c r="DA169" t="str">
        <f t="shared" si="280"/>
        <v>2P С16А 30мА</v>
      </c>
      <c r="DB169" cm="1">
        <f t="array" ref="DB169">IF(DA169="","",_xlfn.LET(_xlpm.t,SUBSTITUTE(SUBSTITUTE(SUBSTITUTE(UPPER(DA169),"С","C"),"А","A"),"В","B"),_xlpm.tk,_xlfn.TEXTSPLIT(_xlpm.t,"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9" t="str">
        <f t="shared" si="281"/>
        <v>ok</v>
      </c>
      <c r="DD169">
        <f t="shared" si="282"/>
        <v>16</v>
      </c>
      <c r="DE169" t="str">
        <f t="shared" si="283"/>
        <v>2P С16А 30мА</v>
      </c>
      <c r="DF169">
        <f t="shared" si="284"/>
        <v>30</v>
      </c>
      <c r="DG169">
        <f t="shared" si="285"/>
        <v>1</v>
      </c>
      <c r="DH169">
        <f t="shared" si="286"/>
        <v>0</v>
      </c>
      <c r="DI169">
        <f t="shared" si="287"/>
        <v>0.54696341291648753</v>
      </c>
      <c r="DJ169">
        <f t="shared" si="288"/>
        <v>1</v>
      </c>
      <c r="DK169">
        <f>IF(ISNUMBER(AL169),AL169,К_прокл)</f>
        <v>1</v>
      </c>
      <c r="DL169">
        <f t="shared" si="289"/>
        <v>2</v>
      </c>
      <c r="DM169">
        <f>IFERROR(N(VLOOKUP(BT169,Кабель_обозначение,3,FALSE)),1)</f>
        <v>1</v>
      </c>
      <c r="DN169">
        <f>IFERROR(N(_xlfn.XLOOKUP(A169,Щиты[Щит],Щиты[ΔU до шин, %])),0)</f>
        <v>1.57</v>
      </c>
      <c r="DO169" t="str">
        <f>IFERROR(_xlfn.XLOOKUP(A169,Щиты[Щит],Щиты[Zпетли на шинах, Ом]),"")</f>
        <v/>
      </c>
      <c r="DP169">
        <f>IFERROR(N(_xlfn.XLOOKUP(A169,Щиты[Щит],Щиты[ΔU до шин (подбор), %])),0)</f>
        <v>2.5</v>
      </c>
      <c r="DQ169" t="str">
        <f>IFERROR(_xlfn.XLOOKUP(A169,Щиты[Щит],Щиты[Zпетли на шинах (подбор), Ом]),"")</f>
        <v/>
      </c>
      <c r="DR169" t="str">
        <f t="shared" si="290"/>
        <v/>
      </c>
      <c r="DS169">
        <f t="shared" si="291"/>
        <v>26</v>
      </c>
      <c r="DT169">
        <f t="shared" si="292"/>
        <v>2</v>
      </c>
      <c r="DU169">
        <f t="shared" si="293"/>
        <v>0.31</v>
      </c>
      <c r="DV169" s="6">
        <f>IF(B169="","",IF(IFERROR(VLOOKUP(AX169,УГО_спр,2,FALSE),"")="Светильник",3,4)+IF(Методика="нормы 2026",MIN(0.5,MAX(0,N(Q169)-100)*0.005),0))</f>
        <v>4</v>
      </c>
      <c r="DW169" cm="1">
        <f t="array" ref="DW169">IF(OR(B169="",BT169="",DM169&lt;&gt;1),"",_xlfn.LET(_xlpm.sz,Iдоп_S,_xlpm.t_,CHOOSE(DL169,Iдоп_1ж,Iдоп_2ж,Iдоп_3ж)*DJ169*DK169,_xlpm.inn,N(DD169),_xlpm.smin,MAX(1.5,BW169),_xlpm.L_,N(Q169)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169)*(_xlpm.rho*_xlpm.L_/_xlpm.sz*N(BY169)+_xlpm.xx*_xlpm.L_*N(DU169)/1000)*N(P169)/((Uн_лин/SQRT(3))*1000)*100,999),_xlpm.kz,IF(OR(DG169=1,NOT(ISNUMBER(DQ169)),_xlpm.L_=0,_xlpm.inn=0),1,IFERROR(--(c_min*(Uн_лин*1000/SQRT(3))/(DQ169+2*ρкз_Cu*_xlpm.L_/_xlpm.sz)&gt;=GY169*_xlpm.inn),0)),_xlpm.ok,IFERROR((_xlpm.sz&gt;=_xlpm.smin)*(_xlpm.t_&gt;=_xlpm.inn)*IF(_xlpm.L_&gt;0,(_xlpm.du_+DP169&lt;=DV169+0.00001),1)*_xlpm.kz,0),_xlpm.r_,_xlfn._xlws.FILTER(_xlpm.sz,_xlpm.ok,"не подобрано"),INDEX(_xlpm.r_,1)))</f>
        <v>1.5</v>
      </c>
      <c r="DX169">
        <f t="shared" si="294"/>
        <v>2.5</v>
      </c>
      <c r="DY169" cm="1">
        <f t="array" ref="DY169">IF(OR(B169="",BT169="",DM169&lt;&gt;1),"",_xlfn.LET(_xlpm.sz,Iдоп_S,_xlpm.t_,CHOOSE(DL169,Iдоп_1ж,Iдоп_2ж,Iдоп_3ж)*DJ169*DK169,_xlpm.ok,IFERROR((_xlpm.sz&gt;=MAX(1.5,BW169))*(_xlpm.t_&gt;=N(DD169)),0),_xlpm.r_,_xlfn._xlws.FILTER(_xlpm.sz,_xlpm.ok,""),INDEX(_xlpm.r_,1)))</f>
        <v>1.5</v>
      </c>
      <c r="DZ169" s="6" cm="1">
        <f t="array" ref="DZ169">IFERROR(ROUNDUP(N(DT169)*(_xlfn.XLOOKUP(DY169,INDEX(Кабель_сопротивление,0,1),INDEX(Кабель_сопротивление,0,3))*N(Q169)/DY169*N(BY169)+_xlfn.XLOOKUP(DY169,INDEX(Кабель_сопротивление,0,1),INDEX(Кабель_сопротивление,0,2))*N(Q169)*N(DU169)/1000)*N(P169)/((Uн_лин/SQRT(3))*1000)*100,2),"")</f>
        <v>0.24000000000000002</v>
      </c>
      <c r="EA169">
        <f>IFERROR(2*ρкз_Cu*N(Q169)/DY169,"")</f>
        <v>1.2273333333333334</v>
      </c>
      <c r="EB169">
        <f>IFERROR(VLOOKUP(DX169,Кабель_сопротивление,3,FALSE),"")</f>
        <v>2.2499999999999999E-2</v>
      </c>
      <c r="EC169">
        <f>IFERROR(VLOOKUP(DX169,Кабель_сопротивление,2,FALSE),"")</f>
        <v>0.1</v>
      </c>
      <c r="ED169">
        <f t="shared" si="295"/>
        <v>0</v>
      </c>
      <c r="EE169">
        <f t="shared" si="296"/>
        <v>35</v>
      </c>
      <c r="EF169">
        <f t="shared" si="297"/>
        <v>0.32854451323654654</v>
      </c>
      <c r="EG169" s="6">
        <f>IFERROR(ROUNDUP(EF169/((Uн_лин/SQRT(3))*1000)*100,2),"")</f>
        <v>0.15000000000000002</v>
      </c>
      <c r="EH169" t="str">
        <f>IFERROR(VLOOKUP(BT169,Кабель_обозначение,2,FALSE),"")</f>
        <v>ВВГнг(А)-LS</v>
      </c>
      <c r="EI169" t="str">
        <f t="shared" si="298"/>
        <v>ВВГнг(А)-LS (3х2,5)</v>
      </c>
      <c r="EJ169" t="str">
        <f t="shared" si="299"/>
        <v>ВВГнг(А)-LS (3х2,5)
L=35-0,15%</v>
      </c>
      <c r="EK169">
        <f>IFERROR(2*ρкз_Cu*Q169/DX169,"")</f>
        <v>0.73639999999999994</v>
      </c>
      <c r="EL169">
        <f t="shared" si="300"/>
        <v>0.24500000000000002</v>
      </c>
      <c r="EM169" s="6" t="str">
        <f>IFERROR(IF(OR(B169="",NOT(ISNUMBER(DX169)),N(Q169)=0),"",_xlfn.XLOOKUP(A169,Щиты[Щит],Щиты[Zпетли на шинах, Ом])+EK169),"")</f>
        <v/>
      </c>
      <c r="EN169" s="6" t="str">
        <f>IF(ISNUMBER(EM169),c_min*(Uн_лин*1000/SQRT(3))/EM169,"")</f>
        <v/>
      </c>
      <c r="EO169" s="6" t="str">
        <f>IFERROR(IF(OR(B169="",NOT(ISNUMBER(DX169))),"",1.05*(Uн_лин*1000/SQRT(3))/(_xlfn.XLOOKUP(A169,Щиты[Щит],Щиты[Zmax на шинах, Ом])+EL169)/1000),"")</f>
        <v/>
      </c>
      <c r="EP169" s="6" t="str">
        <f>IF(B169="","",IF(ISNUMBER(Y169),"Сил",IF(IFERROR(_xlfn.XLOOKUP(AX169,Коды_код,Коды_группа)&amp;"","")="","Быт",_xlfn.XLOOKUP(AX169,Коды_код,Коды_группа)&amp;"")))</f>
        <v>Быт</v>
      </c>
      <c r="EQ169" s="6" t="str">
        <f t="shared" si="301"/>
        <v>Быт</v>
      </c>
      <c r="ER169" s="6">
        <f>IF(EQ169="Щит","щит",IF(EQ169="","",IF(EQ169="Быт",IFERROR(_xlfn.XLOOKUP(A169,Щиты[Щит],Щиты[Кс быт]),1),IF(EQ169="Сил",IF(ISNUMBER(Y169),Y169,IF(Методика="нормы 2026",IFERROR(_xlfn.XLOOKUP(A169,Щиты[Щит],Щиты[Кс силовых (табл. 7.5)]),1),1)),IF(OR(EQ169="Пост",EQ169="Отоп"),1,IF(EQ169="ВНГ",0.7,0))))))</f>
        <v>0.8</v>
      </c>
      <c r="ES169">
        <f t="shared" si="302"/>
        <v>1</v>
      </c>
      <c r="ET169">
        <f t="shared" si="303"/>
        <v>0.12</v>
      </c>
      <c r="EU169">
        <f t="shared" si="304"/>
        <v>0.12</v>
      </c>
      <c r="EV169">
        <f t="shared" si="305"/>
        <v>0</v>
      </c>
      <c r="EW169">
        <f t="shared" si="306"/>
        <v>0</v>
      </c>
      <c r="EX169">
        <f t="shared" si="307"/>
        <v>0</v>
      </c>
      <c r="EY169">
        <f t="shared" si="308"/>
        <v>0</v>
      </c>
      <c r="EZ169">
        <f t="shared" si="309"/>
        <v>0.12</v>
      </c>
      <c r="FA169">
        <f t="shared" si="310"/>
        <v>0.11399999999999999</v>
      </c>
      <c r="FB169">
        <f t="shared" si="311"/>
        <v>0.12</v>
      </c>
      <c r="FC169" t="str">
        <f t="shared" si="312"/>
        <v>L1</v>
      </c>
      <c r="FD169" t="str">
        <f>IF(B169="","",IF(CA169=0,IF(AW169=1,"",FF168),IF(OR(N(CV169)&gt;=3,N(BR169)&gt;=3),"L1,L2,L3",IFERROR(_xlfn.TEXTBEFORE(_xlfn.TEXTAFTER(_xlfn.XLOOKUP(A169,Щиты[Щит],Щиты[_фазы авто]),";"&amp;AW169&amp;":"),";"),"L1"))))</f>
        <v>L1</v>
      </c>
      <c r="FE169" t="str">
        <f t="shared" si="313"/>
        <v>L1</v>
      </c>
      <c r="FF169" t="str">
        <f t="shared" si="314"/>
        <v>L1</v>
      </c>
      <c r="FG169" cm="1">
        <f t="array" ref="FG169">IFERROR(IF(BX169=2,_xlfn.IFS(BR169=3,VLOOKUP(BN169,Справочная_двигатели,3,FALSE),BR169=1,VLOOKUP(BN169,Справочная_двигатели,5,TRUE)),0),0)</f>
        <v>0</v>
      </c>
      <c r="FH169">
        <f>IFERROR(IF(BX169=3,VLOOKUP(BN169,Справочная_ЛЭД,2,TRUE),0),0)</f>
        <v>0</v>
      </c>
      <c r="FI169" s="6">
        <f t="shared" si="315"/>
        <v>0</v>
      </c>
      <c r="FJ169" t="str" cm="1">
        <f t="array" ref="FJ169">IF(B169="","",IFERROR(INDEX({"I особая","I","II","III"},MATCH(TRIM(AC169&amp;""),{"I особая","I","II","III"},0)),"III"))</f>
        <v>II</v>
      </c>
      <c r="FK169" t="str">
        <f>IF(B169="","",IF(TRIM(AD169&amp;"")&lt;&gt;"",IF(LOWER(TRIM(AD169&amp;""))="да","да","нет"),IF(IFERROR(_xlfn.XLOOKUP(AX169,Коды_код,Коды_пожарная),"")="да","да","нет")))</f>
        <v>нет</v>
      </c>
      <c r="FL169" t="str">
        <f t="shared" si="316"/>
        <v/>
      </c>
      <c r="FM169" t="str">
        <f t="shared" si="317"/>
        <v>основная</v>
      </c>
      <c r="FN169">
        <f t="shared" si="318"/>
        <v>1</v>
      </c>
      <c r="FO169" t="str" cm="1">
        <f t="array" ref="FO169">IF(B169="","",_xlfn.LET(_xlpm.t,IFERROR(_xlfn.XLOOKUP(1,(Шины[Шина]=FM169)*(((Шины[Щит]=A169)+(Шины[Щит]=""))&gt;0),Шины[Тип]),"")&amp;"",IF(_xlpm.t&lt;&gt;"",_xlpm.t,IF(ISNUMBER(SEARCH("ИБП",FM169)),"ИБП",IF(ISNUMBER(SEARCH("ДГУ",FM169)),"ДГУ","Ввод "&amp;FN169)))))</f>
        <v>Ввод 1</v>
      </c>
      <c r="FP169" t="str">
        <f t="shared" si="319"/>
        <v>Ввод 1</v>
      </c>
      <c r="FQ169" t="str">
        <f>IF(B169="","",IF(OR(FO169="ИБП",FO169="ДГУ"),"I особая",IF(FO169="Одиночная","III",_xlfn.XLOOKUP(A169,Щиты[Щит],Щиты[Категория шины «Ввод»],"III"))))</f>
        <v>II</v>
      </c>
      <c r="FR169">
        <f>IF(B169="",0,IFERROR(MATCH(FJ169,{"III","II","I","I особая"},0),1))</f>
        <v>2</v>
      </c>
      <c r="FS169">
        <f t="shared" si="320"/>
        <v>2</v>
      </c>
      <c r="FT169" t="str">
        <f>IF(B169="","",IF(FR169&gt;IFERROR(MATCH(FQ169,{"III","II","I","I особая"},0),1),"НЕ ОБЕСПЕЧЕНА","ОК"))</f>
        <v>ОК</v>
      </c>
      <c r="FU169" t="str">
        <f>IF(A169="","",_xlfn.XLOOKUP(A169,Щиты[Щит],Щиты[Путь],""))</f>
        <v>|ГРЩ-ЖД|ЩР-001|</v>
      </c>
      <c r="FV169" t="str">
        <f>IF(B169="","",IF(AE169&lt;&gt;"",AE169,IF(IFERROR(_xlfn.XLOOKUP(AX169,Коды_код,Коды_вид)&amp;"","")="","Прочее",_xlfn.XLOOKUP(AX169,Коды_код,Коды_вид)&amp;"")))</f>
        <v>Розеточная сеть и бытовые приборы</v>
      </c>
      <c r="FW169">
        <f>IF(BH169="","",INT((BH169-1)/Столбцов_на_лист)+1)</f>
        <v>2</v>
      </c>
      <c r="FX169" t="str">
        <f t="shared" si="321"/>
        <v>ВВГнг(А)-LS (3х2,5) L=35-0,15%</v>
      </c>
      <c r="FY169">
        <f t="shared" si="322"/>
        <v>0.12</v>
      </c>
      <c r="FZ169">
        <f t="shared" si="323"/>
        <v>0.55000000000000004</v>
      </c>
      <c r="GA169">
        <f t="shared" si="324"/>
        <v>1</v>
      </c>
      <c r="GB169">
        <f t="shared" si="325"/>
        <v>0</v>
      </c>
      <c r="GC169">
        <f t="shared" si="326"/>
        <v>1</v>
      </c>
      <c r="GD169">
        <f>IF(BH169="","",IF(AND(CA169=1,GC169=1),COUNTIFS(A$3:A169,A169,CA$3:CA169,1,GC$3:GC169,1),IF(OR(OR(AW169=1,A169&lt;&gt;A168),AF169="вручную",GC169=0),"",IF(AW169=1,"",GE168))))</f>
        <v>15</v>
      </c>
      <c r="GE169">
        <f t="shared" si="327"/>
        <v>15</v>
      </c>
      <c r="GF169">
        <f>IF(B169="","",IFERROR(LOOKUP(INDEX(CHOOSE(DL169,Iдоп_1ж,Iдоп_2ж,Iдоп_3ж),MATCH(DX169,Iдоп_S,0))*DJ169*DK169,{6,10,16,20,25,32,40,50,63,80,100,125,160,200,250,315,400,500,630}),""))</f>
        <v>25</v>
      </c>
      <c r="GG169" t="str">
        <f t="shared" si="328"/>
        <v>QFD15</v>
      </c>
      <c r="GH169" t="str">
        <f t="shared" si="329"/>
        <v>QFD15</v>
      </c>
      <c r="GI169" t="str">
        <f t="shared" si="330"/>
        <v/>
      </c>
      <c r="GJ169">
        <f t="shared" si="331"/>
        <v>0</v>
      </c>
      <c r="GK169" t="str">
        <f>IF(OR(AG169="",AG169="-"),"",IFERROR(VLOOKUP(AG169,Модули_спр,2,FALSE),"R"))</f>
        <v/>
      </c>
      <c r="GL169" t="str">
        <f>IF(GK169="","",GK169&amp;"."&amp;COUNTIFS(A$3:A169,A169,GK$3:GK169,GK169))</f>
        <v/>
      </c>
      <c r="GM169" t="str">
        <f t="shared" si="332"/>
        <v/>
      </c>
      <c r="GN169" t="str">
        <f t="shared" si="333"/>
        <v/>
      </c>
      <c r="GO169" t="str">
        <f t="shared" si="334"/>
        <v/>
      </c>
      <c r="GP169" t="str">
        <f t="shared" si="335"/>
        <v/>
      </c>
      <c r="GQ169">
        <f t="shared" si="336"/>
        <v>1</v>
      </c>
      <c r="GR169" t="str">
        <f>IF(GQ169=1,"XT"&amp;COUNTIFS(A$3:A169,A169,GQ$3:GQ169,1),"")</f>
        <v>XT15</v>
      </c>
      <c r="GS169" t="str">
        <f t="shared" si="337"/>
        <v/>
      </c>
      <c r="GT169" t="str">
        <f t="shared" si="338"/>
        <v>QFD15</v>
      </c>
      <c r="GU169" t="str">
        <f t="shared" si="339"/>
        <v/>
      </c>
      <c r="GV169" t="str">
        <f t="shared" si="340"/>
        <v>ok</v>
      </c>
      <c r="GW169" t="str">
        <f>IF(OR(GO169="",GM169=""),"",IF(GO169&gt;IFERROR(VLOOKUP(GN169,Модули_спр,3,FALSE),99),"ЛИШНИЙ КАНАЛ",IF(AND(AH169&lt;&gt;"=",COUNTIFS(Линии[_модуль гр.],GM169,Линии[Канал (итог)],GO169,Линии[Канал],"&lt;&gt;=",Линии[Щит],A169)&gt;1),"ДУБЛЬ КАНАЛА","")))</f>
        <v/>
      </c>
      <c r="GX169" s="6" t="str">
        <f t="shared" si="341"/>
        <v/>
      </c>
      <c r="GY169">
        <f t="shared" si="342"/>
        <v>10</v>
      </c>
      <c r="GZ169" t="str">
        <f t="shared" si="343"/>
        <v/>
      </c>
      <c r="HA169" t="str">
        <f>IF(AND(B169="",GT169=""),"",_xlfn.TEXTJOIN("; ",TRUE,IF(AND(B169&lt;&gt;"",FE169=""),"нет фазы",""),IF(AND(B169&lt;&gt;"",N(FY169)=0,EQ169&lt;&gt;"Нет"),"нет мощности",""),IF(AND(GS169&lt;&gt;"",COUNTIFS(Линии[Щит],A169,Линии[Клемма (итог)],GS169)&gt;1),"дубль клеммы "&amp;GS169,""),IF(AND(GV169&lt;&gt;"",GV169&lt;&gt;"ok"),GV169,""),IF(GW169&lt;&gt;"",GW169,""),IF(AND(N(BV169)&gt;=4,N(BR169)=1),BV169&amp;" жил на 1 фазе",""),IF(AND(AX169="R",CA169=1,OR(N(CK169)=0,N(CK169)&gt;30)),"розетка без дифзащиты до 30 мА",""),IFERROR(IF(AND(ISNUMBER(R169),R169&gt;DV169),"потери "&amp;FIXED(R169,1)&amp;" % &gt; "&amp;DV169&amp;" %",""),""),IFERROR(IF(LEFT(GZ169,4)="мало","Iкз мало — отключение &gt; 0,4 с",""),""),IF(AND(B169&lt;&gt;"",BH169=""),"не на схеме",""),IF(AND(CA169=0,B169&lt;&gt;"",FE169&lt;&gt;"",IF(AW169=1,"",FF168)&lt;&gt;"",FE169&lt;&gt;IF(AW169=1,"",FF168)),"фаза не как у автомата группы ("&amp;IF(AW169=1,"",FF168)&amp;")","")))</f>
        <v/>
      </c>
      <c r="HB169" s="6">
        <f>IF(OR(CA169=0,DA169=""),"",_xlfn.LET(_xlpm.t,IFERROR(_xlfn.XLOOKUP(DA169,Каталог!$U$4:$U$500,Каталог!$G$4:$G$500),""),_xlpm.k,SEARCH("кА",_xlpm.t),IFERROR(--TRIM(RIGHT(SUBSTITUTE(MID(_xlpm.t,MAX(1,_xlpm.k-4),_xlpm.k-MAX(1,_xlpm.k-4))," ",REPT(" ",9)),5)),"")))</f>
        <v>6</v>
      </c>
      <c r="HC169" t="str">
        <f>IF(OR(HB169="",CA169=0),"",IF(_xlfn.XLOOKUP(A169,Щиты[Щит],Щиты[Iкз max на шинах, кА],"")="","",IF(HB169&lt;_xlfn.XLOOKUP(A169,Щиты[Щит],Щиты[Iкз max на шинах, кА]),"Icu "&amp;HB169&amp;" кА &lt; Iкз max","ok")))</f>
        <v/>
      </c>
      <c r="HD169" t="str">
        <f t="shared" si="344"/>
        <v/>
      </c>
      <c r="HE169" t="str">
        <f t="shared" si="345"/>
        <v>QFD15</v>
      </c>
      <c r="HF169" t="str">
        <f t="shared" si="346"/>
        <v>QFD15|кабель ВВГнг(А)-LS (3х2,5) → Розеточная группа, пом. 008T</v>
      </c>
      <c r="HG169" t="str" cm="1">
        <f t="array" ref="HG169">IF(HF169="","",_xlfn.LET(_xlpm.nd,_xlfn.TEXTSPLIT(HF169,"|"),IF(COLUMNS(_xlpm.nd)&gt;1,A169&amp;"¦"&amp;INDEX(_xlpm.nd,1)&amp;"¦"&amp;INDEX(_xlpm.nd,2),"")))</f>
        <v>ЩР-001¦QFD15¦кабель ВВГнг(А)-LS (3х2,5) → Розеточная группа, пом. 008T</v>
      </c>
      <c r="HH169" t="str">
        <f t="shared" si="347"/>
        <v>R.00.008T.1¦Розеточная группа, пом. 008T</v>
      </c>
      <c r="HI169" t="str" cm="1">
        <f t="array" ref="HI169">IF(HF169="","",_xlfn.LET(_xlpm.nd,_xlfn.TEXTSPLIT(HF169,"|"),IF(COLUMNS(_xlpm.nd)&gt;2,A169&amp;"¦"&amp;INDEX(_xlpm.nd,2)&amp;"¦"&amp;INDEX(_xlpm.nd,3),"")))</f>
        <v/>
      </c>
      <c r="HJ169" t="str">
        <f t="shared" si="348"/>
        <v/>
      </c>
      <c r="HK169" t="str" cm="1">
        <f t="array" ref="HK169">IF(HF169="","",_xlfn.LET(_xlpm.nd,_xlfn.TEXTSPLIT(HF169,"|"),IF(COLUMNS(_xlpm.nd)&gt;3,A169&amp;"¦"&amp;INDEX(_xlpm.nd,3)&amp;"¦"&amp;INDEX(_xlpm.nd,4),"")))</f>
        <v/>
      </c>
      <c r="HL169" t="str">
        <f t="shared" si="349"/>
        <v/>
      </c>
      <c r="HM169" t="str" cm="1">
        <f t="array" ref="HM169">IF(HF169="","",_xlfn.LET(_xlpm.nd,_xlfn.TEXTSPLIT(HF169,"|"),IF(COLUMNS(_xlpm.nd)&gt;4,A169&amp;"¦"&amp;INDEX(_xlpm.nd,4)&amp;"¦"&amp;INDEX(_xlpm.nd,5),"")))</f>
        <v/>
      </c>
      <c r="HN169" t="str">
        <f t="shared" si="350"/>
        <v/>
      </c>
      <c r="HO169" t="str" cm="1">
        <f t="array" ref="HO169">IF(HF169="","",_xlfn.LET(_xlpm.nd,_xlfn.TEXTSPLIT(HF169,"|"),IF(COLUMNS(_xlpm.nd)&gt;5,A169&amp;"¦"&amp;INDEX(_xlpm.nd,5)&amp;"¦"&amp;INDEX(_xlpm.nd,6),"")))</f>
        <v/>
      </c>
      <c r="HP169" t="str">
        <f t="shared" si="351"/>
        <v/>
      </c>
      <c r="HQ169" t="str" cm="1">
        <f t="array" ref="HQ169">IF(HF169="","",_xlfn.LET(_xlpm.nd,_xlfn.TEXTSPLIT(HF169,"|"),IF(COLUMNS(_xlpm.nd)&gt;6,A169&amp;"¦"&amp;INDEX(_xlpm.nd,6)&amp;"¦"&amp;INDEX(_xlpm.nd,7),"")))</f>
        <v/>
      </c>
      <c r="HR169" t="str">
        <f t="shared" si="352"/>
        <v/>
      </c>
      <c r="HS169" t="str">
        <f t="shared" si="353"/>
        <v/>
      </c>
      <c r="HT169" t="str">
        <f t="shared" si="354"/>
        <v>QFD15</v>
      </c>
      <c r="HU169">
        <f t="shared" si="355"/>
        <v>0</v>
      </c>
      <c r="HV169">
        <f t="shared" si="356"/>
        <v>1</v>
      </c>
      <c r="HW169" t="str">
        <f t="shared" si="357"/>
        <v/>
      </c>
      <c r="HX169" t="str">
        <f t="shared" si="358"/>
        <v/>
      </c>
      <c r="HY169" t="str">
        <f t="shared" si="359"/>
        <v/>
      </c>
      <c r="HZ169" t="str">
        <f t="shared" si="360"/>
        <v/>
      </c>
      <c r="IA169" t="str">
        <f>IF(B169="","",IFERROR(VLOOKUP(B169,УГО_спр,2,FALSE),IFERROR(VLOOKUP(AX169,УГО_спр,2,FALSE),IFERROR(VLOOKUP(LEFT(AX169,2),УГО_спр,2,FALSE),""))))</f>
        <v>Розетка</v>
      </c>
      <c r="IB169" t="str">
        <f>IF(B169="","",IF(OR(IA169="",IA169=0),"BOX",IFERROR(IF(VLOOKUP(IA169,УГО_блоки,3,FALSE)&amp;""&lt;&gt;"",VLOOKUP(IA169,УГО_блоки,3,FALSE),VLOOKUP(IA169,УГО_блоки,2,FALSE)),IA169)))</f>
        <v>SOCKET</v>
      </c>
      <c r="IC169">
        <f t="shared" si="361"/>
        <v>1</v>
      </c>
      <c r="ID169" t="str">
        <f>IF(DA169="","",IF(COUNTIF(DA$3:DA169,DA169)=1,MAX(ID$2:ID168)+1,""))</f>
        <v/>
      </c>
      <c r="IE169" t="str">
        <f>IF(CO169="","",IF(COUNTIF(CO$3:CO169,CO169)+COUNTIF(CP$2:CP168,CO169)+COUNTIF(CQ$2:CQ168,CO169)=1,MAX(IE$2:IG168)+1,""))</f>
        <v/>
      </c>
      <c r="IF169" t="str">
        <f>IF(CP169="","",IF(COUNTIF(CO$3:CO169,CP169)+COUNTIF(CP$3:CP169,CP169)+COUNTIF(CQ$2:CQ168,CP169)=1,MAX(IE$2:IG168,IE169)+1,""))</f>
        <v/>
      </c>
      <c r="IG169" t="str">
        <f>IF(CQ169="","",IF(COUNTIF(CO$3:CO169,CQ169)+COUNTIF(CP$3:CP169,CQ169)+COUNTIF(CQ$3:CQ169,CQ169)=1,MAX(IE$2:IG168,IE169,IF169)+1,""))</f>
        <v/>
      </c>
      <c r="IH169" t="str">
        <f t="shared" si="362"/>
        <v>3х2,5</v>
      </c>
      <c r="II169" t="str">
        <f>IF(IH169="","",IF(COUNTIF(IH$3:IH169,IH169)=1,MAX(II$2:II168)+1,""))</f>
        <v/>
      </c>
      <c r="IJ169" t="str">
        <f>IF(GL169="","",COUNTIF(GL$3:GL169,"?*"))</f>
        <v/>
      </c>
      <c r="IK169" t="str">
        <f>IF(OR(GL169="",GN169=""),"",IF(COUNTIFS(GL$3:GL169,"?*",GN$3:GN169,GN169)=1,MAX(IK$2:IK168)+1,""))</f>
        <v/>
      </c>
      <c r="IL169">
        <f t="shared" si="363"/>
        <v>0</v>
      </c>
      <c r="IM169">
        <f>IF(B169="","",COUNTIF(B$3:B169,"?*"))</f>
        <v>167</v>
      </c>
      <c r="IN169">
        <f>IF(GQ169&lt;&gt;1,0,_xlfn.LET(_xlpm.k,MAX(IFERROR(--VLOOKUP(B169,УГО_спр,5,FALSE),0),IFERROR(--VLOOKUP(AX169,УГО_спр,5,FALSE),0),IFERROR(--VLOOKUP(LEFT(AX169,2),УГО_спр,5,FALSE),0)),IF(_xlpm.k&gt;0,_xlpm.k,IF(IFERROR(--LEFT(SUBSTITUTE(IH169,"x","х"),FIND("х",SUBSTITUTE(IH169,"x","х"))-1),3)&gt;3,Каталог!$S$9,1))))</f>
        <v>1</v>
      </c>
      <c r="IO169">
        <f t="shared" si="364"/>
        <v>0</v>
      </c>
      <c r="IP169" t="str">
        <f t="shared" si="365"/>
        <v>авто</v>
      </c>
      <c r="IQ169">
        <f t="shared" si="366"/>
        <v>30</v>
      </c>
      <c r="IR169">
        <f t="shared" si="367"/>
        <v>1</v>
      </c>
      <c r="IS169">
        <f t="shared" si="368"/>
        <v>1</v>
      </c>
    </row>
    <row r="170" spans="1:253" x14ac:dyDescent="0.3">
      <c r="A170" t="s">
        <v>755</v>
      </c>
      <c r="B170" t="s">
        <v>1437</v>
      </c>
      <c r="C170" t="str">
        <f>Линии[[#This Row],[_авто наименование]]</f>
        <v>Розеточная группа, пом. 002Tб</v>
      </c>
      <c r="D170">
        <v>1</v>
      </c>
      <c r="E170">
        <v>0.06</v>
      </c>
      <c r="G170">
        <v>16</v>
      </c>
      <c r="H170">
        <f>Линии[[#This Row],[_авто утечка]]</f>
        <v>30</v>
      </c>
      <c r="I170" t="str">
        <f>Линии[[#This Row],[_авто управление]]</f>
        <v/>
      </c>
      <c r="J170" t="str">
        <f>Линии[[#This Row],[_авто аппараты]]</f>
        <v/>
      </c>
      <c r="K170">
        <v>2.5</v>
      </c>
      <c r="L170">
        <v>28</v>
      </c>
      <c r="M170">
        <v>1</v>
      </c>
      <c r="N170" t="s">
        <v>486</v>
      </c>
      <c r="O170" t="str">
        <f t="shared" si="246"/>
        <v/>
      </c>
      <c r="P170" s="6" cm="1">
        <f t="array" ref="P170">IF(B170="","",IF(BC170&lt;&gt;"",IFERROR(_xlfn.XLOOKUP(BC170,Щиты[Щит],Щиты[Iр, А]),""),IF(BK170=1,IFERROR(_xlfn.XLOOKUP(A170,Щиты[Щит],Щиты[Iр, А]),""),IFERROR(_xlfn.IFS(BR170=1,BN170/((Uн_лин/SQRT(3))*BY170),BR170=3,BN170/(SQRT(3)*Uн_лин*BY170)),""))))</f>
        <v>0.27348170645824377</v>
      </c>
      <c r="Q170" s="7">
        <f>IF(B170="","",IFERROR(IF(VLOOKUP(AX170,Потребители_обозначение,4,FALSE)=1,VLOOKUP(AX170,Потребители_обозначение,3,FALSE)*(D170*2-1)+DS170+VLOOKUP(AZ170,Этаж_обозначение,3,FALSE)+VLOOKUP(AZ170,Этаж_обозначение,4,FALSE),VLOOKUP(AX170,Потребители_обозначение,3,FALSE)*(D170*2-1)+DS170),DS170))</f>
        <v>31</v>
      </c>
      <c r="R170" s="6">
        <f t="shared" si="247"/>
        <v>1.6400000000000001</v>
      </c>
      <c r="S170" t="str">
        <f t="shared" si="248"/>
        <v>ВВГнг(А)-LS (3х2,5)</v>
      </c>
      <c r="T170" t="str">
        <f>IF(BH170="","",IF(BI170="вводной узел","узел ","")&amp;"л."&amp;(INT((BH170-1)/Столбцов_на_лист)+1)&amp;" / "&amp;(MOD(BH170-1,Столбцов_на_лист)+1))</f>
        <v>л.3 / 1</v>
      </c>
      <c r="V170">
        <v>1</v>
      </c>
      <c r="W170">
        <v>230</v>
      </c>
      <c r="X170" t="s">
        <v>564</v>
      </c>
      <c r="AC170" t="s">
        <v>815</v>
      </c>
      <c r="AE170" t="s">
        <v>563</v>
      </c>
      <c r="AI170">
        <v>35</v>
      </c>
      <c r="AJ170" t="s">
        <v>11</v>
      </c>
      <c r="AK170">
        <v>3</v>
      </c>
      <c r="AM170">
        <v>0</v>
      </c>
      <c r="AN170">
        <v>0</v>
      </c>
      <c r="AO170">
        <v>28</v>
      </c>
      <c r="AW170" cm="1">
        <f t="array" ref="AW170">ROW()-ROW(Линии[#Headers])</f>
        <v>168</v>
      </c>
      <c r="AX170" s="6" t="str">
        <f t="shared" si="249"/>
        <v>R</v>
      </c>
      <c r="AY170" t="str">
        <f t="shared" si="250"/>
        <v>00.002Tб.1</v>
      </c>
      <c r="AZ170" t="str">
        <f t="shared" si="251"/>
        <v>00</v>
      </c>
      <c r="BA170" t="str">
        <f t="shared" si="252"/>
        <v>002Tб.1</v>
      </c>
      <c r="BB170" t="str">
        <f t="shared" si="253"/>
        <v>002Tб</v>
      </c>
      <c r="BC170" t="str">
        <f>IF(U170&lt;&gt;"",U170,IF(AND(B170&lt;&gt;"",B170&lt;&gt;A170,ISNUMBER(_xlfn.XMATCH(B170,Щиты[Щит]))),B170,""))</f>
        <v/>
      </c>
      <c r="BD170" t="str" cm="1">
        <f t="array" ref="BD170">IF(B170="","",IF(BC170&lt;&gt;"","Щит "&amp;BC170,_xlfn.LET(_xlpm.nm,IFERROR(_xlfn.XLOOKUP(AX170,Коды_код,Коды_имя)&amp;"",""),_xlpm.md,IFERROR(N(_xlfn.XLOOKUP(AX170,Коды_код,Коды_режим)),1),_xlpm.ex,IF(Имя_режим="по экспликации",IFERROR(_xlfn.XLOOKUP(AZ170&amp;"|"&amp;BB170,Экспликация[Этаж]&amp;"|"&amp;Экспликация[Помещение],Экспликация[Название])&amp;"",""),""),_xlpm.rm,IF(BB170="","",IF(_xlpm.ex&lt;&gt;"",". "&amp;_xlpm.ex&amp;IF(Имя_пом="нет"," ("&amp;BB170&amp;")"," (пом. "&amp;BB170&amp;")"),IF(Имя_пом="нет"," ",", пом. ")&amp;BB170)),IF(_xlpm.nm="","",IF(_xlpm.md=2,_xlpm.nm&amp;" шлейф "&amp;AZ170,_xlpm.nm&amp;_xlpm.rm)))))</f>
        <v>Розеточная группа, пом. 002Tб</v>
      </c>
      <c r="BE170" t="str">
        <f t="shared" si="254"/>
        <v>Розеточная группа, пом. 002Tб</v>
      </c>
      <c r="BF170">
        <f>IFERROR(_xlfn.XMATCH(A170,Щиты[Щит]),0)</f>
        <v>8</v>
      </c>
      <c r="BG170">
        <f>_xlfn.LET(_xlpm.k,IFERROR(_xlfn.XLOOKUP(A170,Щиты[Щит],Щиты[Листов под вводной узел]),""),IF(_xlpm.k="",1,N(_xlpm.k))*Столбцов_на_лист)</f>
        <v>17</v>
      </c>
      <c r="BH170">
        <f t="shared" si="255"/>
        <v>35</v>
      </c>
      <c r="BI170" t="str">
        <f t="shared" si="256"/>
        <v>линии</v>
      </c>
      <c r="BJ170" s="6">
        <f>IFERROR(N(_xlfn.XLOOKUP(AX170,Коды_код,Коды_квт)),0)</f>
        <v>0</v>
      </c>
      <c r="BK170">
        <f t="shared" si="257"/>
        <v>0</v>
      </c>
      <c r="BL170" t="str">
        <f>IF(B170="","",IF(BC170&lt;&gt;"",IFERROR(_xlfn.XLOOKUP(BC170,Щиты[Щит],Щиты[Руст, кВт]),0),IF(BK170=1,IFERROR(_xlfn.XLOOKUP(A170,Щиты[Щит],Щиты[Руст, кВт]),0),IF(BJ170&gt;0,ROUND(BJ170*MAX(1,N(D170)),3),""))))</f>
        <v/>
      </c>
      <c r="BM170">
        <f t="shared" si="258"/>
        <v>0.06</v>
      </c>
      <c r="BN170" s="6">
        <f>IF(B170="","",IF(BC170&lt;&gt;"",IFERROR(_xlfn.XLOOKUP(BC170,Щиты[Щит],Щиты[Руст, кВт]),0),N(BM170)))</f>
        <v>0.06</v>
      </c>
      <c r="BO170" t="str">
        <f>IF(B170="","",IFERROR(IF(VLOOKUP(AX170,Потребители_обозначение,8,FALSE)=0,"",VLOOKUP(AX170,Потребители_обозначение,8,FALSE)),""))</f>
        <v/>
      </c>
      <c r="BP170">
        <f t="shared" si="259"/>
        <v>230</v>
      </c>
      <c r="BQ170">
        <f>IF(B170="","",IF(BC170&lt;&gt;"",3,IFERROR(IF(N(VLOOKUP(AX170,Потребители_обозначение,9,FALSE))=0,1,VLOOKUP(AX170,Потребители_обозначение,9,FALSE)),1)))</f>
        <v>1</v>
      </c>
      <c r="BR170">
        <f t="shared" si="260"/>
        <v>1</v>
      </c>
      <c r="BS170" t="str">
        <f>IF(B170="","",_xlfn.LET(_xlpm.bc,IFERROR(IF(VLOOKUP(AX170,Потребители_обозначение,6,FALSE)=0,"",VLOOKUP(AX170,Потребители_обозначение,6,FALSE)&amp;""),""),IF(AND(FK170="да",OR(_xlpm.bc="",_xlpm.bc="мс")),Марка_пож,IF(AND(_xlpm.bc="",BC170&lt;&gt;""),"мс",_xlpm.bc))))</f>
        <v/>
      </c>
      <c r="BT170" t="str">
        <f t="shared" si="261"/>
        <v>мс</v>
      </c>
      <c r="BU170">
        <f>IF(B170="","",_xlfn.LET(_xlpm.cc,IFERROR(N(VLOOKUP(AX170,Потребители_обозначение,7,FALSE)),0),IF(_xlpm.cc&gt;0,_xlpm.cc,IF(BT170="","",IF(N(BR170)=3,5,3)))))</f>
        <v>3</v>
      </c>
      <c r="BV170">
        <f t="shared" si="262"/>
        <v>3</v>
      </c>
      <c r="BW170">
        <f>IFERROR(N(VLOOKUP(AX170,Потребители_обозначение,10,FALSE)),0)</f>
        <v>0</v>
      </c>
      <c r="BX170">
        <f>IFERROR(VLOOKUP(AX170,Потребители_обозначение,5,FALSE),0)</f>
        <v>1</v>
      </c>
      <c r="BY170" s="6" cm="1">
        <f t="array" ref="BY170">IF(B170="","",IF(BC170&lt;&gt;"",IFERROR(_xlfn.XLOOKUP(BC170,Щиты[Щит],Щиты[cos φ]),0.95),IF(BK170=1,IFERROR(_xlfn.XLOOKUP(A170,Щиты[Щит],Щиты[cos φ]),0.95),IF(ISNUMBER(Z170),Z170,IFERROR(IF(BX170=2,_xlfn.IFS(BR170=3,VLOOKUP(BN170,Справочная_двигатели,8,FALSE),BR170=1,VLOOKUP(BN170,Справочная_двигатели,10,TRUE)),IF(AND(Методика="нормы 2026",EQ170="Сил"),0.8,0.95)),0.95)))))</f>
        <v>0.95</v>
      </c>
      <c r="BZ170">
        <f t="shared" si="263"/>
        <v>0</v>
      </c>
      <c r="CA170">
        <f t="shared" si="264"/>
        <v>1</v>
      </c>
      <c r="CB170">
        <f t="shared" si="265"/>
        <v>0</v>
      </c>
      <c r="CC170">
        <f t="shared" si="266"/>
        <v>0</v>
      </c>
      <c r="CD170">
        <f t="shared" si="267"/>
        <v>0</v>
      </c>
      <c r="CE170">
        <f t="shared" si="268"/>
        <v>0</v>
      </c>
      <c r="CF170">
        <f t="shared" si="269"/>
        <v>0</v>
      </c>
      <c r="CG170">
        <f>IF(AX170="",0,_xlfn.LET(_xlpm.v,IFERROR(VLOOKUP(B170,УГО_спр,3,FALSE),IFERROR(VLOOKUP(AX170,УГО_спр,3,FALSE),IFERROR(VLOOKUP(LEFT(AX170,2),УГО_спр,3,FALSE),""))),IF(_xlpm.v="да",30,IF(ISNUMBER(_xlpm.v),_xlpm.v,0))))</f>
        <v>30</v>
      </c>
      <c r="CH170">
        <f t="shared" si="270"/>
        <v>30</v>
      </c>
      <c r="CI170" t="str">
        <f>_xlfn.LET(_xlpm.k,IFERROR(_xlfn.XLOOKUP(AX170,Коды_код,Коды_утечка)&amp;"",""),IF(_xlpm.k="","дифавтомат",_xlpm.k))</f>
        <v>дифавтомат</v>
      </c>
      <c r="CJ170">
        <f t="shared" si="271"/>
        <v>30</v>
      </c>
      <c r="CK170">
        <f t="shared" si="272"/>
        <v>30</v>
      </c>
      <c r="CL170">
        <f>IF(B170="",0,IFERROR(--VLOOKUP(B170,УГО_спр,4,FALSE),IFERROR(--VLOOKUP(AX170,УГО_спр,4,FALSE),IFERROR(--VLOOKUP(LEFT(AX170,2),УГО_спр,4,FALSE),0))))</f>
        <v>16</v>
      </c>
      <c r="CM170" t="str">
        <f>IF(B170="","",IFERROR(_xlfn.XLOOKUP(AX170,Коды_код,Коды_апп)&amp;"",""))</f>
        <v/>
      </c>
      <c r="CN170" t="str">
        <f t="shared" si="273"/>
        <v/>
      </c>
      <c r="CO170" t="str" cm="1">
        <f t="array" ref="CO170">IF(TRIM(CN170&amp;"")="","",IFERROR(TRIM(INDEX(_xlfn.TEXTSPLIT(CN170&amp;";;;",";"),1)),""))</f>
        <v/>
      </c>
      <c r="CP170" t="str" cm="1">
        <f t="array" ref="CP170">IF(TRIM(CN170&amp;"")="","",IFERROR(TRIM(INDEX(_xlfn.TEXTSPLIT(CN170&amp;";;;",";"),2)),""))</f>
        <v/>
      </c>
      <c r="CQ170" t="str" cm="1">
        <f t="array" ref="CQ170">IF(TRIM(CN170&amp;"")="","",IFERROR(TRIM(INDEX(_xlfn.TEXTSPLIT(CN170&amp;";;;",";"),3)),""))</f>
        <v/>
      </c>
      <c r="CR170">
        <f t="shared" si="274"/>
        <v>0</v>
      </c>
      <c r="CS170" t="str">
        <f>IF(B170="","",_xlfn.LET(_xlpm.t,LOWER(AV170&amp;""),IF(ISNUMBER(SEARCH("dim",_xlpm.t)),"DIM",IF(ISNUMBER(SEARCH("dali",_xlpm.t)),"DALI",IF(OR(ISNUMBER(SEARCH("relay",_xlpm.t)),ISNUMBER(SEARCH("реле",_xlpm.t))),"Relay",IF(ISNUMBER(SEARCH("кнопк",_xlpm.t)),"",IFERROR(_xlfn.XLOOKUP(AX170,Коды_код,Коды_упр)&amp;"","")))))))</f>
        <v/>
      </c>
      <c r="CT170" t="str">
        <f t="shared" si="275"/>
        <v/>
      </c>
      <c r="CU170">
        <f>IF(B170="","",_xlfn.LET(_xlpm.ig,N(P170)+IF(AF170="вручную",0,N(CB170)),_xlpm.n0,IFERROR(VLOOKUP(_xlpm.ig,Автомат_номиналы,2,TRUE),0),_xlpm.mn,MAX(CL170,IF(AF170="вручную",0,N(CE170))),MAX(_xlpm.n0,_xlpm.mn,IF(CR170=1,Мин_автомат_БП,0))))</f>
        <v>16</v>
      </c>
      <c r="CV170">
        <f t="shared" si="276"/>
        <v>1</v>
      </c>
      <c r="CW170" t="str">
        <f t="shared" si="277"/>
        <v>2P</v>
      </c>
      <c r="CX170" t="str">
        <f>_xlfn.LET(_xlpm.cc,UPPER(TRIM(IFERROR(_xlfn.XLOOKUP(AX170,Коды_код,Коды_хар)&amp;"",""))),IF(OR(_xlpm.cc="B",_xlpm.cc="В"),"B",IF(_xlpm.cc="D","D","С")))</f>
        <v>С</v>
      </c>
      <c r="CY170" t="str">
        <f t="shared" si="278"/>
        <v>2P С16А 30мА</v>
      </c>
      <c r="CZ170">
        <f t="shared" si="279"/>
        <v>16</v>
      </c>
      <c r="DA170" t="str">
        <f t="shared" si="280"/>
        <v>2P С16А 30мА</v>
      </c>
      <c r="DB170" cm="1">
        <f t="array" ref="DB170">IF(DA170="","",_xlfn.LET(_xlpm.t,SUBSTITUTE(SUBSTITUTE(SUBSTITUTE(UPPER(DA170),"С","C"),"А","A"),"В","B"),_xlpm.tk,_xlfn.TEXTSPLIT(_xlpm.t,"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0" t="str">
        <f t="shared" si="281"/>
        <v>ok</v>
      </c>
      <c r="DD170">
        <f t="shared" si="282"/>
        <v>16</v>
      </c>
      <c r="DE170" t="str">
        <f t="shared" si="283"/>
        <v>2P С16А 30мА</v>
      </c>
      <c r="DF170">
        <f t="shared" si="284"/>
        <v>30</v>
      </c>
      <c r="DG170">
        <f t="shared" si="285"/>
        <v>1</v>
      </c>
      <c r="DH170">
        <f t="shared" si="286"/>
        <v>0</v>
      </c>
      <c r="DI170">
        <f t="shared" si="287"/>
        <v>0.27348170645824377</v>
      </c>
      <c r="DJ170">
        <f t="shared" si="288"/>
        <v>1</v>
      </c>
      <c r="DK170">
        <f>IF(ISNUMBER(AL170),AL170,К_прокл)</f>
        <v>1</v>
      </c>
      <c r="DL170">
        <f t="shared" si="289"/>
        <v>2</v>
      </c>
      <c r="DM170">
        <f>IFERROR(N(VLOOKUP(BT170,Кабель_обозначение,3,FALSE)),1)</f>
        <v>1</v>
      </c>
      <c r="DN170">
        <f>IFERROR(N(_xlfn.XLOOKUP(A170,Щиты[Щит],Щиты[ΔU до шин, %])),0)</f>
        <v>1.57</v>
      </c>
      <c r="DO170" t="str">
        <f>IFERROR(_xlfn.XLOOKUP(A170,Щиты[Щит],Щиты[Zпетли на шинах, Ом]),"")</f>
        <v/>
      </c>
      <c r="DP170">
        <f>IFERROR(N(_xlfn.XLOOKUP(A170,Щиты[Щит],Щиты[ΔU до шин (подбор), %])),0)</f>
        <v>2.5</v>
      </c>
      <c r="DQ170" t="str">
        <f>IFERROR(_xlfn.XLOOKUP(A170,Щиты[Щит],Щиты[Zпетли на шинах (подбор), Ом]),"")</f>
        <v/>
      </c>
      <c r="DR170" t="str">
        <f t="shared" si="290"/>
        <v/>
      </c>
      <c r="DS170">
        <f t="shared" si="291"/>
        <v>28</v>
      </c>
      <c r="DT170">
        <f t="shared" si="292"/>
        <v>2</v>
      </c>
      <c r="DU170">
        <f t="shared" si="293"/>
        <v>0.31</v>
      </c>
      <c r="DV170" s="6">
        <f>IF(B170="","",IF(IFERROR(VLOOKUP(AX170,УГО_спр,2,FALSE),"")="Светильник",3,4)+IF(Методика="нормы 2026",MIN(0.5,MAX(0,N(Q170)-100)*0.005),0))</f>
        <v>4</v>
      </c>
      <c r="DW170" cm="1">
        <f t="array" ref="DW170">IF(OR(B170="",BT170="",DM170&lt;&gt;1),"",_xlfn.LET(_xlpm.sz,Iдоп_S,_xlpm.t_,CHOOSE(DL170,Iдоп_1ж,Iдоп_2ж,Iдоп_3ж)*DJ170*DK170,_xlpm.inn,N(DD170),_xlpm.smin,MAX(1.5,BW170),_xlpm.L_,N(Q170)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170)*(_xlpm.rho*_xlpm.L_/_xlpm.sz*N(BY170)+_xlpm.xx*_xlpm.L_*N(DU170)/1000)*N(P170)/((Uн_лин/SQRT(3))*1000)*100,999),_xlpm.kz,IF(OR(DG170=1,NOT(ISNUMBER(DQ170)),_xlpm.L_=0,_xlpm.inn=0),1,IFERROR(--(c_min*(Uн_лин*1000/SQRT(3))/(DQ170+2*ρкз_Cu*_xlpm.L_/_xlpm.sz)&gt;=GY170*_xlpm.inn),0)),_xlpm.ok,IFERROR((_xlpm.sz&gt;=_xlpm.smin)*(_xlpm.t_&gt;=_xlpm.inn)*IF(_xlpm.L_&gt;0,(_xlpm.du_+DP170&lt;=DV170+0.00001),1)*_xlpm.kz,0),_xlpm.r_,_xlfn._xlws.FILTER(_xlpm.sz,_xlpm.ok,"не подобрано"),INDEX(_xlpm.r_,1)))</f>
        <v>1.5</v>
      </c>
      <c r="DX170">
        <f t="shared" si="294"/>
        <v>2.5</v>
      </c>
      <c r="DY170" cm="1">
        <f t="array" ref="DY170">IF(OR(B170="",BT170="",DM170&lt;&gt;1),"",_xlfn.LET(_xlpm.sz,Iдоп_S,_xlpm.t_,CHOOSE(DL170,Iдоп_1ж,Iдоп_2ж,Iдоп_3ж)*DJ170*DK170,_xlpm.ok,IFERROR((_xlpm.sz&gt;=MAX(1.5,BW170))*(_xlpm.t_&gt;=N(DD170)),0),_xlpm.r_,_xlfn._xlws.FILTER(_xlpm.sz,_xlpm.ok,""),INDEX(_xlpm.r_,1)))</f>
        <v>1.5</v>
      </c>
      <c r="DZ170" s="6" cm="1">
        <f t="array" ref="DZ170">IFERROR(ROUNDUP(N(DT170)*(_xlfn.XLOOKUP(DY170,INDEX(Кабель_сопротивление,0,1),INDEX(Кабель_сопротивление,0,3))*N(Q170)/DY170*N(BY170)+_xlfn.XLOOKUP(DY170,INDEX(Кабель_сопротивление,0,1),INDEX(Кабель_сопротивление,0,2))*N(Q170)*N(DU170)/1000)*N(P170)/((Uн_лин/SQRT(3))*1000)*100,2),"")</f>
        <v>0.11</v>
      </c>
      <c r="EA170">
        <f>IFERROR(2*ρкз_Cu*N(Q170)/DY170,"")</f>
        <v>1.0870666666666666</v>
      </c>
      <c r="EB170">
        <f>IFERROR(VLOOKUP(DX170,Кабель_сопротивление,3,FALSE),"")</f>
        <v>2.2499999999999999E-2</v>
      </c>
      <c r="EC170">
        <f>IFERROR(VLOOKUP(DX170,Кабель_сопротивление,2,FALSE),"")</f>
        <v>0.1</v>
      </c>
      <c r="ED170">
        <f t="shared" si="295"/>
        <v>0</v>
      </c>
      <c r="EE170">
        <f t="shared" si="296"/>
        <v>28</v>
      </c>
      <c r="EF170">
        <f t="shared" si="297"/>
        <v>0.14549828443332777</v>
      </c>
      <c r="EG170" s="6">
        <f>IFERROR(ROUNDUP(EF170/((Uн_лин/SQRT(3))*1000)*100,2),"")</f>
        <v>6.9999999999999993E-2</v>
      </c>
      <c r="EH170" t="str">
        <f>IFERROR(VLOOKUP(BT170,Кабель_обозначение,2,FALSE),"")</f>
        <v>ВВГнг(А)-LS</v>
      </c>
      <c r="EI170" t="str">
        <f t="shared" si="298"/>
        <v>ВВГнг(А)-LS (3х2,5)</v>
      </c>
      <c r="EJ170" t="str">
        <f t="shared" si="299"/>
        <v>ВВГнг(А)-LS (3х2,5)
L=31-0,07%</v>
      </c>
      <c r="EK170">
        <f>IFERROR(2*ρкз_Cu*Q170/DX170,"")</f>
        <v>0.65224000000000004</v>
      </c>
      <c r="EL170">
        <f t="shared" si="300"/>
        <v>0.21700000000000003</v>
      </c>
      <c r="EM170" s="6" t="str">
        <f>IFERROR(IF(OR(B170="",NOT(ISNUMBER(DX170)),N(Q170)=0),"",_xlfn.XLOOKUP(A170,Щиты[Щит],Щиты[Zпетли на шинах, Ом])+EK170),"")</f>
        <v/>
      </c>
      <c r="EN170" s="6" t="str">
        <f>IF(ISNUMBER(EM170),c_min*(Uн_лин*1000/SQRT(3))/EM170,"")</f>
        <v/>
      </c>
      <c r="EO170" s="6" t="str">
        <f>IFERROR(IF(OR(B170="",NOT(ISNUMBER(DX170))),"",1.05*(Uн_лин*1000/SQRT(3))/(_xlfn.XLOOKUP(A170,Щиты[Щит],Щиты[Zmax на шинах, Ом])+EL170)/1000),"")</f>
        <v/>
      </c>
      <c r="EP170" s="6" t="str">
        <f>IF(B170="","",IF(ISNUMBER(Y170),"Сил",IF(IFERROR(_xlfn.XLOOKUP(AX170,Коды_код,Коды_группа)&amp;"","")="","Быт",_xlfn.XLOOKUP(AX170,Коды_код,Коды_группа)&amp;"")))</f>
        <v>Быт</v>
      </c>
      <c r="EQ170" s="6" t="str">
        <f t="shared" si="301"/>
        <v>Быт</v>
      </c>
      <c r="ER170" s="6">
        <f>IF(EQ170="Щит","щит",IF(EQ170="","",IF(EQ170="Быт",IFERROR(_xlfn.XLOOKUP(A170,Щиты[Щит],Щиты[Кс быт]),1),IF(EQ170="Сил",IF(ISNUMBER(Y170),Y170,IF(Методика="нормы 2026",IFERROR(_xlfn.XLOOKUP(A170,Щиты[Щит],Щиты[Кс силовых (табл. 7.5)]),1),1)),IF(OR(EQ170="Пост",EQ170="Отоп"),1,IF(EQ170="ВНГ",0.7,0))))))</f>
        <v>0.8</v>
      </c>
      <c r="ES170">
        <f t="shared" si="302"/>
        <v>1</v>
      </c>
      <c r="ET170">
        <f t="shared" si="303"/>
        <v>0.06</v>
      </c>
      <c r="EU170">
        <f t="shared" si="304"/>
        <v>0.06</v>
      </c>
      <c r="EV170">
        <f t="shared" si="305"/>
        <v>0</v>
      </c>
      <c r="EW170">
        <f t="shared" si="306"/>
        <v>0</v>
      </c>
      <c r="EX170">
        <f t="shared" si="307"/>
        <v>0</v>
      </c>
      <c r="EY170">
        <f t="shared" si="308"/>
        <v>0</v>
      </c>
      <c r="EZ170">
        <f t="shared" si="309"/>
        <v>0.06</v>
      </c>
      <c r="FA170">
        <f t="shared" si="310"/>
        <v>5.6999999999999995E-2</v>
      </c>
      <c r="FB170">
        <f t="shared" si="311"/>
        <v>0.06</v>
      </c>
      <c r="FC170" t="str">
        <f t="shared" si="312"/>
        <v>L1</v>
      </c>
      <c r="FD170" t="str">
        <f>IF(B170="","",IF(CA170=0,IF(AW170=1,"",FF169),IF(OR(N(CV170)&gt;=3,N(BR170)&gt;=3),"L1,L2,L3",IFERROR(_xlfn.TEXTBEFORE(_xlfn.TEXTAFTER(_xlfn.XLOOKUP(A170,Щиты[Щит],Щиты[_фазы авто]),";"&amp;AW170&amp;":"),";"),"L1"))))</f>
        <v>L1</v>
      </c>
      <c r="FE170" t="str">
        <f t="shared" si="313"/>
        <v>L1</v>
      </c>
      <c r="FF170" t="str">
        <f t="shared" si="314"/>
        <v>L1</v>
      </c>
      <c r="FG170" cm="1">
        <f t="array" ref="FG170">IFERROR(IF(BX170=2,_xlfn.IFS(BR170=3,VLOOKUP(BN170,Справочная_двигатели,3,FALSE),BR170=1,VLOOKUP(BN170,Справочная_двигатели,5,TRUE)),0),0)</f>
        <v>0</v>
      </c>
      <c r="FH170">
        <f>IFERROR(IF(BX170=3,VLOOKUP(BN170,Справочная_ЛЭД,2,TRUE),0),0)</f>
        <v>0</v>
      </c>
      <c r="FI170" s="6">
        <f t="shared" si="315"/>
        <v>0</v>
      </c>
      <c r="FJ170" t="str" cm="1">
        <f t="array" ref="FJ170">IF(B170="","",IFERROR(INDEX({"I особая","I","II","III"},MATCH(TRIM(AC170&amp;""),{"I особая","I","II","III"},0)),"III"))</f>
        <v>II</v>
      </c>
      <c r="FK170" t="str">
        <f>IF(B170="","",IF(TRIM(AD170&amp;"")&lt;&gt;"",IF(LOWER(TRIM(AD170&amp;""))="да","да","нет"),IF(IFERROR(_xlfn.XLOOKUP(AX170,Коды_код,Коды_пожарная),"")="да","да","нет")))</f>
        <v>нет</v>
      </c>
      <c r="FL170" t="str">
        <f t="shared" si="316"/>
        <v/>
      </c>
      <c r="FM170" t="str">
        <f t="shared" si="317"/>
        <v>основная</v>
      </c>
      <c r="FN170">
        <f t="shared" si="318"/>
        <v>1</v>
      </c>
      <c r="FO170" t="str" cm="1">
        <f t="array" ref="FO170">IF(B170="","",_xlfn.LET(_xlpm.t,IFERROR(_xlfn.XLOOKUP(1,(Шины[Шина]=FM170)*(((Шины[Щит]=A170)+(Шины[Щит]=""))&gt;0),Шины[Тип]),"")&amp;"",IF(_xlpm.t&lt;&gt;"",_xlpm.t,IF(ISNUMBER(SEARCH("ИБП",FM170)),"ИБП",IF(ISNUMBER(SEARCH("ДГУ",FM170)),"ДГУ","Ввод "&amp;FN170)))))</f>
        <v>Ввод 1</v>
      </c>
      <c r="FP170" t="str">
        <f t="shared" si="319"/>
        <v>Ввод 1</v>
      </c>
      <c r="FQ170" t="str">
        <f>IF(B170="","",IF(OR(FO170="ИБП",FO170="ДГУ"),"I особая",IF(FO170="Одиночная","III",_xlfn.XLOOKUP(A170,Щиты[Щит],Щиты[Категория шины «Ввод»],"III"))))</f>
        <v>II</v>
      </c>
      <c r="FR170">
        <f>IF(B170="",0,IFERROR(MATCH(FJ170,{"III","II","I","I особая"},0),1))</f>
        <v>2</v>
      </c>
      <c r="FS170">
        <f t="shared" si="320"/>
        <v>2</v>
      </c>
      <c r="FT170" t="str">
        <f>IF(B170="","",IF(FR170&gt;IFERROR(MATCH(FQ170,{"III","II","I","I особая"},0),1),"НЕ ОБЕСПЕЧЕНА","ОК"))</f>
        <v>ОК</v>
      </c>
      <c r="FU170" t="str">
        <f>IF(A170="","",_xlfn.XLOOKUP(A170,Щиты[Щит],Щиты[Путь],""))</f>
        <v>|ГРЩ-ЖД|ЩР-001|</v>
      </c>
      <c r="FV170" t="str">
        <f>IF(B170="","",IF(AE170&lt;&gt;"",AE170,IF(IFERROR(_xlfn.XLOOKUP(AX170,Коды_код,Коды_вид)&amp;"","")="","Прочее",_xlfn.XLOOKUP(AX170,Коды_код,Коды_вид)&amp;"")))</f>
        <v>Розеточная сеть и бытовые приборы</v>
      </c>
      <c r="FW170">
        <f>IF(BH170="","",INT((BH170-1)/Столбцов_на_лист)+1)</f>
        <v>3</v>
      </c>
      <c r="FX170" t="str">
        <f t="shared" si="321"/>
        <v>ВВГнг(А)-LS (3х2,5) L=31-0,07%</v>
      </c>
      <c r="FY170">
        <f t="shared" si="322"/>
        <v>0.06</v>
      </c>
      <c r="FZ170">
        <f t="shared" si="323"/>
        <v>0.28000000000000003</v>
      </c>
      <c r="GA170">
        <f t="shared" si="324"/>
        <v>1</v>
      </c>
      <c r="GB170">
        <f t="shared" si="325"/>
        <v>0</v>
      </c>
      <c r="GC170">
        <f t="shared" si="326"/>
        <v>1</v>
      </c>
      <c r="GD170">
        <f>IF(BH170="","",IF(AND(CA170=1,GC170=1),COUNTIFS(A$3:A170,A170,CA$3:CA170,1,GC$3:GC170,1),IF(OR(OR(AW170=1,A170&lt;&gt;A169),AF170="вручную",GC170=0),"",IF(AW170=1,"",GE169))))</f>
        <v>16</v>
      </c>
      <c r="GE170">
        <f t="shared" si="327"/>
        <v>16</v>
      </c>
      <c r="GF170">
        <f>IF(B170="","",IFERROR(LOOKUP(INDEX(CHOOSE(DL170,Iдоп_1ж,Iдоп_2ж,Iдоп_3ж),MATCH(DX170,Iдоп_S,0))*DJ170*DK170,{6,10,16,20,25,32,40,50,63,80,100,125,160,200,250,315,400,500,630}),""))</f>
        <v>25</v>
      </c>
      <c r="GG170" t="str">
        <f t="shared" si="328"/>
        <v>QFD16</v>
      </c>
      <c r="GH170" t="str">
        <f t="shared" si="329"/>
        <v>QFD16</v>
      </c>
      <c r="GI170" t="str">
        <f t="shared" si="330"/>
        <v/>
      </c>
      <c r="GJ170">
        <f t="shared" si="331"/>
        <v>0</v>
      </c>
      <c r="GK170" t="str">
        <f>IF(OR(AG170="",AG170="-"),"",IFERROR(VLOOKUP(AG170,Модули_спр,2,FALSE),"R"))</f>
        <v/>
      </c>
      <c r="GL170" t="str">
        <f>IF(GK170="","",GK170&amp;"."&amp;COUNTIFS(A$3:A170,A170,GK$3:GK170,GK170))</f>
        <v/>
      </c>
      <c r="GM170" t="str">
        <f t="shared" si="332"/>
        <v/>
      </c>
      <c r="GN170" t="str">
        <f t="shared" si="333"/>
        <v/>
      </c>
      <c r="GO170" t="str">
        <f t="shared" si="334"/>
        <v/>
      </c>
      <c r="GP170" t="str">
        <f t="shared" si="335"/>
        <v/>
      </c>
      <c r="GQ170">
        <f t="shared" si="336"/>
        <v>1</v>
      </c>
      <c r="GR170" t="str">
        <f>IF(GQ170=1,"XT"&amp;COUNTIFS(A$3:A170,A170,GQ$3:GQ170,1),"")</f>
        <v>XT16</v>
      </c>
      <c r="GS170" t="str">
        <f t="shared" si="337"/>
        <v/>
      </c>
      <c r="GT170" t="str">
        <f t="shared" si="338"/>
        <v>QFD16</v>
      </c>
      <c r="GU170" t="str">
        <f t="shared" si="339"/>
        <v/>
      </c>
      <c r="GV170" t="str">
        <f t="shared" si="340"/>
        <v>ok</v>
      </c>
      <c r="GW170" t="str">
        <f>IF(OR(GO170="",GM170=""),"",IF(GO170&gt;IFERROR(VLOOKUP(GN170,Модули_спр,3,FALSE),99),"ЛИШНИЙ КАНАЛ",IF(AND(AH170&lt;&gt;"=",COUNTIFS(Линии[_модуль гр.],GM170,Линии[Канал (итог)],GO170,Линии[Канал],"&lt;&gt;=",Линии[Щит],A170)&gt;1),"ДУБЛЬ КАНАЛА","")))</f>
        <v/>
      </c>
      <c r="GX170" s="6" t="str">
        <f t="shared" si="341"/>
        <v/>
      </c>
      <c r="GY170">
        <f t="shared" si="342"/>
        <v>10</v>
      </c>
      <c r="GZ170" t="str">
        <f t="shared" si="343"/>
        <v/>
      </c>
      <c r="HA170" t="str">
        <f>IF(AND(B170="",GT170=""),"",_xlfn.TEXTJOIN("; ",TRUE,IF(AND(B170&lt;&gt;"",FE170=""),"нет фазы",""),IF(AND(B170&lt;&gt;"",N(FY170)=0,EQ170&lt;&gt;"Нет"),"нет мощности",""),IF(AND(GS170&lt;&gt;"",COUNTIFS(Линии[Щит],A170,Линии[Клемма (итог)],GS170)&gt;1),"дубль клеммы "&amp;GS170,""),IF(AND(GV170&lt;&gt;"",GV170&lt;&gt;"ok"),GV170,""),IF(GW170&lt;&gt;"",GW170,""),IF(AND(N(BV170)&gt;=4,N(BR170)=1),BV170&amp;" жил на 1 фазе",""),IF(AND(AX170="R",CA170=1,OR(N(CK170)=0,N(CK170)&gt;30)),"розетка без дифзащиты до 30 мА",""),IFERROR(IF(AND(ISNUMBER(R170),R170&gt;DV170),"потери "&amp;FIXED(R170,1)&amp;" % &gt; "&amp;DV170&amp;" %",""),""),IFERROR(IF(LEFT(GZ170,4)="мало","Iкз мало — отключение &gt; 0,4 с",""),""),IF(AND(B170&lt;&gt;"",BH170=""),"не на схеме",""),IF(AND(CA170=0,B170&lt;&gt;"",FE170&lt;&gt;"",IF(AW170=1,"",FF169)&lt;&gt;"",FE170&lt;&gt;IF(AW170=1,"",FF169)),"фаза не как у автомата группы ("&amp;IF(AW170=1,"",FF169)&amp;")","")))</f>
        <v/>
      </c>
      <c r="HB170" s="6">
        <f>IF(OR(CA170=0,DA170=""),"",_xlfn.LET(_xlpm.t,IFERROR(_xlfn.XLOOKUP(DA170,Каталог!$U$4:$U$500,Каталог!$G$4:$G$500),""),_xlpm.k,SEARCH("кА",_xlpm.t),IFERROR(--TRIM(RIGHT(SUBSTITUTE(MID(_xlpm.t,MAX(1,_xlpm.k-4),_xlpm.k-MAX(1,_xlpm.k-4))," ",REPT(" ",9)),5)),"")))</f>
        <v>6</v>
      </c>
      <c r="HC170" t="str">
        <f>IF(OR(HB170="",CA170=0),"",IF(_xlfn.XLOOKUP(A170,Щиты[Щит],Щиты[Iкз max на шинах, кА],"")="","",IF(HB170&lt;_xlfn.XLOOKUP(A170,Щиты[Щит],Щиты[Iкз max на шинах, кА]),"Icu "&amp;HB170&amp;" кА &lt; Iкз max","ok")))</f>
        <v/>
      </c>
      <c r="HD170" t="str">
        <f t="shared" si="344"/>
        <v/>
      </c>
      <c r="HE170" t="str">
        <f t="shared" si="345"/>
        <v>QFD16</v>
      </c>
      <c r="HF170" t="str">
        <f t="shared" si="346"/>
        <v>QFD16|кабель ВВГнг(А)-LS (3х2,5) → Розеточная группа, пом. 002Tб</v>
      </c>
      <c r="HG170" t="str" cm="1">
        <f t="array" ref="HG170">IF(HF170="","",_xlfn.LET(_xlpm.nd,_xlfn.TEXTSPLIT(HF170,"|"),IF(COLUMNS(_xlpm.nd)&gt;1,A170&amp;"¦"&amp;INDEX(_xlpm.nd,1)&amp;"¦"&amp;INDEX(_xlpm.nd,2),"")))</f>
        <v>ЩР-001¦QFD16¦кабель ВВГнг(А)-LS (3х2,5) → Розеточная группа, пом. 002Tб</v>
      </c>
      <c r="HH170" t="str">
        <f t="shared" si="347"/>
        <v>R.00.002Tб.1¦Розеточная группа, пом. 002Tб</v>
      </c>
      <c r="HI170" t="str" cm="1">
        <f t="array" ref="HI170">IF(HF170="","",_xlfn.LET(_xlpm.nd,_xlfn.TEXTSPLIT(HF170,"|"),IF(COLUMNS(_xlpm.nd)&gt;2,A170&amp;"¦"&amp;INDEX(_xlpm.nd,2)&amp;"¦"&amp;INDEX(_xlpm.nd,3),"")))</f>
        <v/>
      </c>
      <c r="HJ170" t="str">
        <f t="shared" si="348"/>
        <v/>
      </c>
      <c r="HK170" t="str" cm="1">
        <f t="array" ref="HK170">IF(HF170="","",_xlfn.LET(_xlpm.nd,_xlfn.TEXTSPLIT(HF170,"|"),IF(COLUMNS(_xlpm.nd)&gt;3,A170&amp;"¦"&amp;INDEX(_xlpm.nd,3)&amp;"¦"&amp;INDEX(_xlpm.nd,4),"")))</f>
        <v/>
      </c>
      <c r="HL170" t="str">
        <f t="shared" si="349"/>
        <v/>
      </c>
      <c r="HM170" t="str" cm="1">
        <f t="array" ref="HM170">IF(HF170="","",_xlfn.LET(_xlpm.nd,_xlfn.TEXTSPLIT(HF170,"|"),IF(COLUMNS(_xlpm.nd)&gt;4,A170&amp;"¦"&amp;INDEX(_xlpm.nd,4)&amp;"¦"&amp;INDEX(_xlpm.nd,5),"")))</f>
        <v/>
      </c>
      <c r="HN170" t="str">
        <f t="shared" si="350"/>
        <v/>
      </c>
      <c r="HO170" t="str" cm="1">
        <f t="array" ref="HO170">IF(HF170="","",_xlfn.LET(_xlpm.nd,_xlfn.TEXTSPLIT(HF170,"|"),IF(COLUMNS(_xlpm.nd)&gt;5,A170&amp;"¦"&amp;INDEX(_xlpm.nd,5)&amp;"¦"&amp;INDEX(_xlpm.nd,6),"")))</f>
        <v/>
      </c>
      <c r="HP170" t="str">
        <f t="shared" si="351"/>
        <v/>
      </c>
      <c r="HQ170" t="str" cm="1">
        <f t="array" ref="HQ170">IF(HF170="","",_xlfn.LET(_xlpm.nd,_xlfn.TEXTSPLIT(HF170,"|"),IF(COLUMNS(_xlpm.nd)&gt;6,A170&amp;"¦"&amp;INDEX(_xlpm.nd,6)&amp;"¦"&amp;INDEX(_xlpm.nd,7),"")))</f>
        <v/>
      </c>
      <c r="HR170" t="str">
        <f t="shared" si="352"/>
        <v/>
      </c>
      <c r="HS170" t="str">
        <f t="shared" si="353"/>
        <v/>
      </c>
      <c r="HT170" t="str">
        <f t="shared" si="354"/>
        <v>QFD16</v>
      </c>
      <c r="HU170">
        <f t="shared" si="355"/>
        <v>0</v>
      </c>
      <c r="HV170">
        <f t="shared" si="356"/>
        <v>1</v>
      </c>
      <c r="HW170" t="str">
        <f t="shared" si="357"/>
        <v/>
      </c>
      <c r="HX170" t="str">
        <f t="shared" si="358"/>
        <v/>
      </c>
      <c r="HY170" t="str">
        <f t="shared" si="359"/>
        <v/>
      </c>
      <c r="HZ170" t="str">
        <f t="shared" si="360"/>
        <v/>
      </c>
      <c r="IA170" t="str">
        <f>IF(B170="","",IFERROR(VLOOKUP(B170,УГО_спр,2,FALSE),IFERROR(VLOOKUP(AX170,УГО_спр,2,FALSE),IFERROR(VLOOKUP(LEFT(AX170,2),УГО_спр,2,FALSE),""))))</f>
        <v>Розетка</v>
      </c>
      <c r="IB170" t="str">
        <f>IF(B170="","",IF(OR(IA170="",IA170=0),"BOX",IFERROR(IF(VLOOKUP(IA170,УГО_блоки,3,FALSE)&amp;""&lt;&gt;"",VLOOKUP(IA170,УГО_блоки,3,FALSE),VLOOKUP(IA170,УГО_блоки,2,FALSE)),IA170)))</f>
        <v>SOCKET</v>
      </c>
      <c r="IC170">
        <f t="shared" si="361"/>
        <v>1</v>
      </c>
      <c r="ID170" t="str">
        <f>IF(DA170="","",IF(COUNTIF(DA$3:DA170,DA170)=1,MAX(ID$2:ID169)+1,""))</f>
        <v/>
      </c>
      <c r="IE170" t="str">
        <f>IF(CO170="","",IF(COUNTIF(CO$3:CO170,CO170)+COUNTIF(CP$2:CP169,CO170)+COUNTIF(CQ$2:CQ169,CO170)=1,MAX(IE$2:IG169)+1,""))</f>
        <v/>
      </c>
      <c r="IF170" t="str">
        <f>IF(CP170="","",IF(COUNTIF(CO$3:CO170,CP170)+COUNTIF(CP$3:CP170,CP170)+COUNTIF(CQ$2:CQ169,CP170)=1,MAX(IE$2:IG169,IE170)+1,""))</f>
        <v/>
      </c>
      <c r="IG170" t="str">
        <f>IF(CQ170="","",IF(COUNTIF(CO$3:CO170,CQ170)+COUNTIF(CP$3:CP170,CQ170)+COUNTIF(CQ$3:CQ170,CQ170)=1,MAX(IE$2:IG169,IE170,IF170)+1,""))</f>
        <v/>
      </c>
      <c r="IH170" t="str">
        <f t="shared" si="362"/>
        <v>3х2,5</v>
      </c>
      <c r="II170" t="str">
        <f>IF(IH170="","",IF(COUNTIF(IH$3:IH170,IH170)=1,MAX(II$2:II169)+1,""))</f>
        <v/>
      </c>
      <c r="IJ170" t="str">
        <f>IF(GL170="","",COUNTIF(GL$3:GL170,"?*"))</f>
        <v/>
      </c>
      <c r="IK170" t="str">
        <f>IF(OR(GL170="",GN170=""),"",IF(COUNTIFS(GL$3:GL170,"?*",GN$3:GN170,GN170)=1,MAX(IK$2:IK169)+1,""))</f>
        <v/>
      </c>
      <c r="IL170">
        <f t="shared" si="363"/>
        <v>0</v>
      </c>
      <c r="IM170">
        <f>IF(B170="","",COUNTIF(B$3:B170,"?*"))</f>
        <v>168</v>
      </c>
      <c r="IN170">
        <f>IF(GQ170&lt;&gt;1,0,_xlfn.LET(_xlpm.k,MAX(IFERROR(--VLOOKUP(B170,УГО_спр,5,FALSE),0),IFERROR(--VLOOKUP(AX170,УГО_спр,5,FALSE),0),IFERROR(--VLOOKUP(LEFT(AX170,2),УГО_спр,5,FALSE),0)),IF(_xlpm.k&gt;0,_xlpm.k,IF(IFERROR(--LEFT(SUBSTITUTE(IH170,"x","х"),FIND("х",SUBSTITUTE(IH170,"x","х"))-1),3)&gt;3,Каталог!$S$9,1))))</f>
        <v>1</v>
      </c>
      <c r="IO170">
        <f t="shared" si="364"/>
        <v>0</v>
      </c>
      <c r="IP170" t="str">
        <f t="shared" si="365"/>
        <v>авто</v>
      </c>
      <c r="IQ170">
        <f t="shared" si="366"/>
        <v>30</v>
      </c>
      <c r="IR170">
        <f t="shared" si="367"/>
        <v>1</v>
      </c>
      <c r="IS170">
        <f t="shared" si="368"/>
        <v>1</v>
      </c>
    </row>
    <row r="171" spans="1:253" x14ac:dyDescent="0.3">
      <c r="A171" t="s">
        <v>755</v>
      </c>
      <c r="B171" t="s">
        <v>1438</v>
      </c>
      <c r="C171" t="str">
        <f>Линии[[#This Row],[_авто наименование]]</f>
        <v>Розеточная группа, пом. 007Б</v>
      </c>
      <c r="D171">
        <v>4</v>
      </c>
      <c r="E171">
        <v>0.54</v>
      </c>
      <c r="G171">
        <v>16</v>
      </c>
      <c r="H171">
        <f>Линии[[#This Row],[_авто утечка]]</f>
        <v>30</v>
      </c>
      <c r="I171" t="str">
        <f>Линии[[#This Row],[_авто управление]]</f>
        <v/>
      </c>
      <c r="J171" t="str">
        <f>Линии[[#This Row],[_авто аппараты]]</f>
        <v/>
      </c>
      <c r="K171">
        <v>2.5</v>
      </c>
      <c r="L171">
        <v>62</v>
      </c>
      <c r="M171">
        <v>3</v>
      </c>
      <c r="N171" t="s">
        <v>486</v>
      </c>
      <c r="O171" t="str">
        <f t="shared" si="246"/>
        <v/>
      </c>
      <c r="P171" s="6" cm="1">
        <f t="array" ref="P171">IF(B171="","",IF(BC171&lt;&gt;"",IFERROR(_xlfn.XLOOKUP(BC171,Щиты[Щит],Щиты[Iр, А]),""),IF(BK171=1,IFERROR(_xlfn.XLOOKUP(A171,Щиты[Щит],Щиты[Iр, А]),""),IFERROR(_xlfn.IFS(BR171=1,BN171/((Uн_лин/SQRT(3))*BY171),BR171=3,BN171/(SQRT(3)*Uн_лин*BY171)),""))))</f>
        <v>2.4613353581241939</v>
      </c>
      <c r="Q171" s="7">
        <f>IF(B171="","",IFERROR(IF(VLOOKUP(AX171,Потребители_обозначение,4,FALSE)=1,VLOOKUP(AX171,Потребители_обозначение,3,FALSE)*(D171*2-1)+DS171+VLOOKUP(AZ171,Этаж_обозначение,3,FALSE)+VLOOKUP(AZ171,Этаж_обозначение,4,FALSE),VLOOKUP(AX171,Потребители_обозначение,3,FALSE)*(D171*2-1)+DS171),DS171))</f>
        <v>83</v>
      </c>
      <c r="R171" s="6">
        <f t="shared" si="247"/>
        <v>3.09</v>
      </c>
      <c r="S171" t="str">
        <f t="shared" si="248"/>
        <v>ВВГнг(А)-LS (3х2,5)</v>
      </c>
      <c r="T171" t="str">
        <f>IF(BH171="","",IF(BI171="вводной узел","узел ","")&amp;"л."&amp;(INT((BH171-1)/Столбцов_на_лист)+1)&amp;" / "&amp;(MOD(BH171-1,Столбцов_на_лист)+1))</f>
        <v>л.3 / 2</v>
      </c>
      <c r="V171">
        <v>1</v>
      </c>
      <c r="W171">
        <v>230</v>
      </c>
      <c r="X171" t="s">
        <v>564</v>
      </c>
      <c r="AC171" t="s">
        <v>815</v>
      </c>
      <c r="AE171" t="s">
        <v>563</v>
      </c>
      <c r="AI171">
        <v>36</v>
      </c>
      <c r="AJ171" t="s">
        <v>11</v>
      </c>
      <c r="AK171">
        <v>3</v>
      </c>
      <c r="AM171">
        <v>32</v>
      </c>
      <c r="AN171">
        <v>21</v>
      </c>
      <c r="AO171">
        <v>30</v>
      </c>
      <c r="AW171" cm="1">
        <f t="array" ref="AW171">ROW()-ROW(Линии[#Headers])</f>
        <v>169</v>
      </c>
      <c r="AX171" s="6" t="str">
        <f t="shared" si="249"/>
        <v>R</v>
      </c>
      <c r="AY171" t="str">
        <f t="shared" si="250"/>
        <v>00.007Б.1</v>
      </c>
      <c r="AZ171" t="str">
        <f t="shared" si="251"/>
        <v>00</v>
      </c>
      <c r="BA171" t="str">
        <f t="shared" si="252"/>
        <v>007Б.1</v>
      </c>
      <c r="BB171" t="str">
        <f t="shared" si="253"/>
        <v>007Б</v>
      </c>
      <c r="BC171" t="str">
        <f>IF(U171&lt;&gt;"",U171,IF(AND(B171&lt;&gt;"",B171&lt;&gt;A171,ISNUMBER(_xlfn.XMATCH(B171,Щиты[Щит]))),B171,""))</f>
        <v/>
      </c>
      <c r="BD171" t="str" cm="1">
        <f t="array" ref="BD171">IF(B171="","",IF(BC171&lt;&gt;"","Щит "&amp;BC171,_xlfn.LET(_xlpm.nm,IFERROR(_xlfn.XLOOKUP(AX171,Коды_код,Коды_имя)&amp;"",""),_xlpm.md,IFERROR(N(_xlfn.XLOOKUP(AX171,Коды_код,Коды_режим)),1),_xlpm.ex,IF(Имя_режим="по экспликации",IFERROR(_xlfn.XLOOKUP(AZ171&amp;"|"&amp;BB171,Экспликация[Этаж]&amp;"|"&amp;Экспликация[Помещение],Экспликация[Название])&amp;"",""),""),_xlpm.rm,IF(BB171="","",IF(_xlpm.ex&lt;&gt;"",". "&amp;_xlpm.ex&amp;IF(Имя_пом="нет"," ("&amp;BB171&amp;")"," (пом. "&amp;BB171&amp;")"),IF(Имя_пом="нет"," ",", пом. ")&amp;BB171)),IF(_xlpm.nm="","",IF(_xlpm.md=2,_xlpm.nm&amp;" шлейф "&amp;AZ171,_xlpm.nm&amp;_xlpm.rm)))))</f>
        <v>Розеточная группа, пом. 007Б</v>
      </c>
      <c r="BE171" t="str">
        <f t="shared" si="254"/>
        <v>Розеточная группа, пом. 007Б</v>
      </c>
      <c r="BF171">
        <f>IFERROR(_xlfn.XMATCH(A171,Щиты[Щит]),0)</f>
        <v>8</v>
      </c>
      <c r="BG171">
        <f>_xlfn.LET(_xlpm.k,IFERROR(_xlfn.XLOOKUP(A171,Щиты[Щит],Щиты[Листов под вводной узел]),""),IF(_xlpm.k="",1,N(_xlpm.k))*Столбцов_на_лист)</f>
        <v>17</v>
      </c>
      <c r="BH171">
        <f t="shared" si="255"/>
        <v>36</v>
      </c>
      <c r="BI171" t="str">
        <f t="shared" si="256"/>
        <v>линии</v>
      </c>
      <c r="BJ171" s="6">
        <f>IFERROR(N(_xlfn.XLOOKUP(AX171,Коды_код,Коды_квт)),0)</f>
        <v>0</v>
      </c>
      <c r="BK171">
        <f t="shared" si="257"/>
        <v>0</v>
      </c>
      <c r="BL171" t="str">
        <f>IF(B171="","",IF(BC171&lt;&gt;"",IFERROR(_xlfn.XLOOKUP(BC171,Щиты[Щит],Щиты[Руст, кВт]),0),IF(BK171=1,IFERROR(_xlfn.XLOOKUP(A171,Щиты[Щит],Щиты[Руст, кВт]),0),IF(BJ171&gt;0,ROUND(BJ171*MAX(1,N(D171)),3),""))))</f>
        <v/>
      </c>
      <c r="BM171">
        <f t="shared" si="258"/>
        <v>0.54</v>
      </c>
      <c r="BN171" s="6">
        <f>IF(B171="","",IF(BC171&lt;&gt;"",IFERROR(_xlfn.XLOOKUP(BC171,Щиты[Щит],Щиты[Руст, кВт]),0),N(BM171)))</f>
        <v>0.54</v>
      </c>
      <c r="BO171" t="str">
        <f>IF(B171="","",IFERROR(IF(VLOOKUP(AX171,Потребители_обозначение,8,FALSE)=0,"",VLOOKUP(AX171,Потребители_обозначение,8,FALSE)),""))</f>
        <v/>
      </c>
      <c r="BP171">
        <f t="shared" si="259"/>
        <v>230</v>
      </c>
      <c r="BQ171">
        <f>IF(B171="","",IF(BC171&lt;&gt;"",3,IFERROR(IF(N(VLOOKUP(AX171,Потребители_обозначение,9,FALSE))=0,1,VLOOKUP(AX171,Потребители_обозначение,9,FALSE)),1)))</f>
        <v>1</v>
      </c>
      <c r="BR171">
        <f t="shared" si="260"/>
        <v>1</v>
      </c>
      <c r="BS171" t="str">
        <f>IF(B171="","",_xlfn.LET(_xlpm.bc,IFERROR(IF(VLOOKUP(AX171,Потребители_обозначение,6,FALSE)=0,"",VLOOKUP(AX171,Потребители_обозначение,6,FALSE)&amp;""),""),IF(AND(FK171="да",OR(_xlpm.bc="",_xlpm.bc="мс")),Марка_пож,IF(AND(_xlpm.bc="",BC171&lt;&gt;""),"мс",_xlpm.bc))))</f>
        <v/>
      </c>
      <c r="BT171" t="str">
        <f t="shared" si="261"/>
        <v>мс</v>
      </c>
      <c r="BU171">
        <f>IF(B171="","",_xlfn.LET(_xlpm.cc,IFERROR(N(VLOOKUP(AX171,Потребители_обозначение,7,FALSE)),0),IF(_xlpm.cc&gt;0,_xlpm.cc,IF(BT171="","",IF(N(BR171)=3,5,3)))))</f>
        <v>3</v>
      </c>
      <c r="BV171">
        <f t="shared" si="262"/>
        <v>3</v>
      </c>
      <c r="BW171">
        <f>IFERROR(N(VLOOKUP(AX171,Потребители_обозначение,10,FALSE)),0)</f>
        <v>0</v>
      </c>
      <c r="BX171">
        <f>IFERROR(VLOOKUP(AX171,Потребители_обозначение,5,FALSE),0)</f>
        <v>1</v>
      </c>
      <c r="BY171" s="6" cm="1">
        <f t="array" ref="BY171">IF(B171="","",IF(BC171&lt;&gt;"",IFERROR(_xlfn.XLOOKUP(BC171,Щиты[Щит],Щиты[cos φ]),0.95),IF(BK171=1,IFERROR(_xlfn.XLOOKUP(A171,Щиты[Щит],Щиты[cos φ]),0.95),IF(ISNUMBER(Z171),Z171,IFERROR(IF(BX171=2,_xlfn.IFS(BR171=3,VLOOKUP(BN171,Справочная_двигатели,8,FALSE),BR171=1,VLOOKUP(BN171,Справочная_двигатели,10,TRUE)),IF(AND(Методика="нормы 2026",EQ171="Сил"),0.8,0.95)),0.95)))))</f>
        <v>0.95</v>
      </c>
      <c r="BZ171">
        <f t="shared" si="263"/>
        <v>0</v>
      </c>
      <c r="CA171">
        <f t="shared" si="264"/>
        <v>1</v>
      </c>
      <c r="CB171">
        <f t="shared" si="265"/>
        <v>0</v>
      </c>
      <c r="CC171">
        <f t="shared" si="266"/>
        <v>0</v>
      </c>
      <c r="CD171">
        <f t="shared" si="267"/>
        <v>0</v>
      </c>
      <c r="CE171">
        <f t="shared" si="268"/>
        <v>0</v>
      </c>
      <c r="CF171">
        <f t="shared" si="269"/>
        <v>0</v>
      </c>
      <c r="CG171">
        <f>IF(AX171="",0,_xlfn.LET(_xlpm.v,IFERROR(VLOOKUP(B171,УГО_спр,3,FALSE),IFERROR(VLOOKUP(AX171,УГО_спр,3,FALSE),IFERROR(VLOOKUP(LEFT(AX171,2),УГО_спр,3,FALSE),""))),IF(_xlpm.v="да",30,IF(ISNUMBER(_xlpm.v),_xlpm.v,0))))</f>
        <v>30</v>
      </c>
      <c r="CH171">
        <f t="shared" si="270"/>
        <v>30</v>
      </c>
      <c r="CI171" t="str">
        <f>_xlfn.LET(_xlpm.k,IFERROR(_xlfn.XLOOKUP(AX171,Коды_код,Коды_утечка)&amp;"",""),IF(_xlpm.k="","дифавтомат",_xlpm.k))</f>
        <v>дифавтомат</v>
      </c>
      <c r="CJ171">
        <f t="shared" si="271"/>
        <v>30</v>
      </c>
      <c r="CK171">
        <f t="shared" si="272"/>
        <v>30</v>
      </c>
      <c r="CL171">
        <f>IF(B171="",0,IFERROR(--VLOOKUP(B171,УГО_спр,4,FALSE),IFERROR(--VLOOKUP(AX171,УГО_спр,4,FALSE),IFERROR(--VLOOKUP(LEFT(AX171,2),УГО_спр,4,FALSE),0))))</f>
        <v>16</v>
      </c>
      <c r="CM171" t="str">
        <f>IF(B171="","",IFERROR(_xlfn.XLOOKUP(AX171,Коды_код,Коды_апп)&amp;"",""))</f>
        <v/>
      </c>
      <c r="CN171" t="str">
        <f t="shared" si="273"/>
        <v/>
      </c>
      <c r="CO171" t="str" cm="1">
        <f t="array" ref="CO171">IF(TRIM(CN171&amp;"")="","",IFERROR(TRIM(INDEX(_xlfn.TEXTSPLIT(CN171&amp;";;;",";"),1)),""))</f>
        <v/>
      </c>
      <c r="CP171" t="str" cm="1">
        <f t="array" ref="CP171">IF(TRIM(CN171&amp;"")="","",IFERROR(TRIM(INDEX(_xlfn.TEXTSPLIT(CN171&amp;";;;",";"),2)),""))</f>
        <v/>
      </c>
      <c r="CQ171" t="str" cm="1">
        <f t="array" ref="CQ171">IF(TRIM(CN171&amp;"")="","",IFERROR(TRIM(INDEX(_xlfn.TEXTSPLIT(CN171&amp;";;;",";"),3)),""))</f>
        <v/>
      </c>
      <c r="CR171">
        <f t="shared" si="274"/>
        <v>0</v>
      </c>
      <c r="CS171" t="str">
        <f>IF(B171="","",_xlfn.LET(_xlpm.t,LOWER(AV171&amp;""),IF(ISNUMBER(SEARCH("dim",_xlpm.t)),"DIM",IF(ISNUMBER(SEARCH("dali",_xlpm.t)),"DALI",IF(OR(ISNUMBER(SEARCH("relay",_xlpm.t)),ISNUMBER(SEARCH("реле",_xlpm.t))),"Relay",IF(ISNUMBER(SEARCH("кнопк",_xlpm.t)),"",IFERROR(_xlfn.XLOOKUP(AX171,Коды_код,Коды_упр)&amp;"","")))))))</f>
        <v/>
      </c>
      <c r="CT171" t="str">
        <f t="shared" si="275"/>
        <v/>
      </c>
      <c r="CU171">
        <f>IF(B171="","",_xlfn.LET(_xlpm.ig,N(P171)+IF(AF171="вручную",0,N(CB171)),_xlpm.n0,IFERROR(VLOOKUP(_xlpm.ig,Автомат_номиналы,2,TRUE),0),_xlpm.mn,MAX(CL171,IF(AF171="вручную",0,N(CE171))),MAX(_xlpm.n0,_xlpm.mn,IF(CR171=1,Мин_автомат_БП,0))))</f>
        <v>16</v>
      </c>
      <c r="CV171">
        <f t="shared" si="276"/>
        <v>1</v>
      </c>
      <c r="CW171" t="str">
        <f t="shared" si="277"/>
        <v>2P</v>
      </c>
      <c r="CX171" t="str">
        <f>_xlfn.LET(_xlpm.cc,UPPER(TRIM(IFERROR(_xlfn.XLOOKUP(AX171,Коды_код,Коды_хар)&amp;"",""))),IF(OR(_xlpm.cc="B",_xlpm.cc="В"),"B",IF(_xlpm.cc="D","D","С")))</f>
        <v>С</v>
      </c>
      <c r="CY171" t="str">
        <f t="shared" si="278"/>
        <v>2P С16А 30мА</v>
      </c>
      <c r="CZ171">
        <f t="shared" si="279"/>
        <v>16</v>
      </c>
      <c r="DA171" t="str">
        <f t="shared" si="280"/>
        <v>2P С16А 30мА</v>
      </c>
      <c r="DB171" cm="1">
        <f t="array" ref="DB171">IF(DA171="","",_xlfn.LET(_xlpm.t,SUBSTITUTE(SUBSTITUTE(SUBSTITUTE(UPPER(DA171),"С","C"),"А","A"),"В","B"),_xlpm.tk,_xlfn.TEXTSPLIT(_xlpm.t,"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1" t="str">
        <f t="shared" si="281"/>
        <v>ok</v>
      </c>
      <c r="DD171">
        <f t="shared" si="282"/>
        <v>16</v>
      </c>
      <c r="DE171" t="str">
        <f t="shared" si="283"/>
        <v>2P С16А 30мА</v>
      </c>
      <c r="DF171">
        <f t="shared" si="284"/>
        <v>30</v>
      </c>
      <c r="DG171">
        <f t="shared" si="285"/>
        <v>1</v>
      </c>
      <c r="DH171">
        <f t="shared" si="286"/>
        <v>0</v>
      </c>
      <c r="DI171">
        <f t="shared" si="287"/>
        <v>2.4613353581241939</v>
      </c>
      <c r="DJ171">
        <f t="shared" si="288"/>
        <v>1</v>
      </c>
      <c r="DK171">
        <f>IF(ISNUMBER(AL171),AL171,К_прокл)</f>
        <v>1</v>
      </c>
      <c r="DL171">
        <f t="shared" si="289"/>
        <v>2</v>
      </c>
      <c r="DM171">
        <f>IFERROR(N(VLOOKUP(BT171,Кабель_обозначение,3,FALSE)),1)</f>
        <v>1</v>
      </c>
      <c r="DN171">
        <f>IFERROR(N(_xlfn.XLOOKUP(A171,Щиты[Щит],Щиты[ΔU до шин, %])),0)</f>
        <v>1.57</v>
      </c>
      <c r="DO171" t="str">
        <f>IFERROR(_xlfn.XLOOKUP(A171,Щиты[Щит],Щиты[Zпетли на шинах, Ом]),"")</f>
        <v/>
      </c>
      <c r="DP171">
        <f>IFERROR(N(_xlfn.XLOOKUP(A171,Щиты[Щит],Щиты[ΔU до шин (подбор), %])),0)</f>
        <v>2.5</v>
      </c>
      <c r="DQ171" t="str">
        <f>IFERROR(_xlfn.XLOOKUP(A171,Щиты[Щит],Щиты[Zпетли на шинах (подбор), Ом]),"")</f>
        <v/>
      </c>
      <c r="DR171" t="str">
        <f t="shared" si="290"/>
        <v/>
      </c>
      <c r="DS171">
        <f t="shared" si="291"/>
        <v>62</v>
      </c>
      <c r="DT171">
        <f t="shared" si="292"/>
        <v>2</v>
      </c>
      <c r="DU171">
        <f t="shared" si="293"/>
        <v>0.31</v>
      </c>
      <c r="DV171" s="6">
        <f>IF(B171="","",IF(IFERROR(VLOOKUP(AX171,УГО_спр,2,FALSE),"")="Светильник",3,4)+IF(Методика="нормы 2026",MIN(0.5,MAX(0,N(Q171)-100)*0.005),0))</f>
        <v>4</v>
      </c>
      <c r="DW171" cm="1">
        <f t="array" ref="DW171">IF(OR(B171="",BT171="",DM171&lt;&gt;1),"",_xlfn.LET(_xlpm.sz,Iдоп_S,_xlpm.t_,CHOOSE(DL171,Iдоп_1ж,Iдоп_2ж,Iдоп_3ж)*DJ171*DK171,_xlpm.inn,N(DD171),_xlpm.smin,MAX(1.5,BW171),_xlpm.L_,N(Q171)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171)*(_xlpm.rho*_xlpm.L_/_xlpm.sz*N(BY171)+_xlpm.xx*_xlpm.L_*N(DU171)/1000)*N(P171)/((Uн_лин/SQRT(3))*1000)*100,999),_xlpm.kz,IF(OR(DG171=1,NOT(ISNUMBER(DQ171)),_xlpm.L_=0,_xlpm.inn=0),1,IFERROR(--(c_min*(Uн_лин*1000/SQRT(3))/(DQ171+2*ρкз_Cu*_xlpm.L_/_xlpm.sz)&gt;=GY171*_xlpm.inn),0)),_xlpm.ok,IFERROR((_xlpm.sz&gt;=_xlpm.smin)*(_xlpm.t_&gt;=_xlpm.inn)*IF(_xlpm.L_&gt;0,(_xlpm.du_+DP171&lt;=DV171+0.00001),1)*_xlpm.kz,0),_xlpm.r_,_xlfn._xlws.FILTER(_xlpm.sz,_xlpm.ok,"не подобрано"),INDEX(_xlpm.r_,1)))</f>
        <v>4</v>
      </c>
      <c r="DX171">
        <f t="shared" si="294"/>
        <v>2.5</v>
      </c>
      <c r="DY171" cm="1">
        <f t="array" ref="DY171">IF(OR(B171="",BT171="",DM171&lt;&gt;1),"",_xlfn.LET(_xlpm.sz,Iдоп_S,_xlpm.t_,CHOOSE(DL171,Iдоп_1ж,Iдоп_2ж,Iдоп_3ж)*DJ171*DK171,_xlpm.ok,IFERROR((_xlpm.sz&gt;=MAX(1.5,BW171))*(_xlpm.t_&gt;=N(DD171)),0),_xlpm.r_,_xlfn._xlws.FILTER(_xlpm.sz,_xlpm.ok,""),INDEX(_xlpm.r_,1)))</f>
        <v>1.5</v>
      </c>
      <c r="DZ171" s="6" cm="1">
        <f t="array" ref="DZ171">IFERROR(ROUNDUP(N(DT171)*(_xlfn.XLOOKUP(DY171,INDEX(Кабель_сопротивление,0,1),INDEX(Кабель_сопротивление,0,3))*N(Q171)/DY171*N(BY171)+_xlfn.XLOOKUP(DY171,INDEX(Кабель_сопротивление,0,1),INDEX(Кабель_сопротивление,0,2))*N(Q171)*N(DU171)/1000)*N(P171)/((Uн_лин/SQRT(3))*1000)*100,2),"")</f>
        <v>2.5299999999999998</v>
      </c>
      <c r="EA171">
        <f>IFERROR(2*ρкз_Cu*N(Q171)/DY171,"")</f>
        <v>2.9105333333333334</v>
      </c>
      <c r="EB171">
        <f>IFERROR(VLOOKUP(DX171,Кабель_сопротивление,3,FALSE),"")</f>
        <v>2.2499999999999999E-2</v>
      </c>
      <c r="EC171">
        <f>IFERROR(VLOOKUP(DX171,Кабель_сопротивление,2,FALSE),"")</f>
        <v>0.1</v>
      </c>
      <c r="ED171">
        <f t="shared" si="295"/>
        <v>21</v>
      </c>
      <c r="EE171">
        <f t="shared" si="296"/>
        <v>30</v>
      </c>
      <c r="EF171">
        <f t="shared" si="297"/>
        <v>3.5060393055385757</v>
      </c>
      <c r="EG171" s="6">
        <f>IFERROR(ROUNDUP(EF171/((Uн_лин/SQRT(3))*1000)*100,2),"")</f>
        <v>1.52</v>
      </c>
      <c r="EH171" t="str">
        <f>IFERROR(VLOOKUP(BT171,Кабель_обозначение,2,FALSE),"")</f>
        <v>ВВГнг(А)-LS</v>
      </c>
      <c r="EI171" t="str">
        <f t="shared" si="298"/>
        <v>ВВГнг(А)-LS (3х2,5)</v>
      </c>
      <c r="EJ171" t="str">
        <f t="shared" si="299"/>
        <v>ВВГнг(А)-LS (3х2,5)
L=83-1,52%</v>
      </c>
      <c r="EK171">
        <f>IFERROR(2*ρкз_Cu*Q171/DX171,"")</f>
        <v>1.7463200000000001</v>
      </c>
      <c r="EL171">
        <f t="shared" si="300"/>
        <v>0.58100000000000007</v>
      </c>
      <c r="EM171" s="6" t="str">
        <f>IFERROR(IF(OR(B171="",NOT(ISNUMBER(DX171)),N(Q171)=0),"",_xlfn.XLOOKUP(A171,Щиты[Щит],Щиты[Zпетли на шинах, Ом])+EK171),"")</f>
        <v/>
      </c>
      <c r="EN171" s="6" t="str">
        <f>IF(ISNUMBER(EM171),c_min*(Uн_лин*1000/SQRT(3))/EM171,"")</f>
        <v/>
      </c>
      <c r="EO171" s="6" t="str">
        <f>IFERROR(IF(OR(B171="",NOT(ISNUMBER(DX171))),"",1.05*(Uн_лин*1000/SQRT(3))/(_xlfn.XLOOKUP(A171,Щиты[Щит],Щиты[Zmax на шинах, Ом])+EL171)/1000),"")</f>
        <v/>
      </c>
      <c r="EP171" s="6" t="str">
        <f>IF(B171="","",IF(ISNUMBER(Y171),"Сил",IF(IFERROR(_xlfn.XLOOKUP(AX171,Коды_код,Коды_группа)&amp;"","")="","Быт",_xlfn.XLOOKUP(AX171,Коды_код,Коды_группа)&amp;"")))</f>
        <v>Быт</v>
      </c>
      <c r="EQ171" s="6" t="str">
        <f t="shared" si="301"/>
        <v>Быт</v>
      </c>
      <c r="ER171" s="6">
        <f>IF(EQ171="Щит","щит",IF(EQ171="","",IF(EQ171="Быт",IFERROR(_xlfn.XLOOKUP(A171,Щиты[Щит],Щиты[Кс быт]),1),IF(EQ171="Сил",IF(ISNUMBER(Y171),Y171,IF(Методика="нормы 2026",IFERROR(_xlfn.XLOOKUP(A171,Щиты[Щит],Щиты[Кс силовых (табл. 7.5)]),1),1)),IF(OR(EQ171="Пост",EQ171="Отоп"),1,IF(EQ171="ВНГ",0.7,0))))))</f>
        <v>0.8</v>
      </c>
      <c r="ES171">
        <f t="shared" si="302"/>
        <v>1</v>
      </c>
      <c r="ET171">
        <f t="shared" si="303"/>
        <v>0.54</v>
      </c>
      <c r="EU171">
        <f t="shared" si="304"/>
        <v>0.54</v>
      </c>
      <c r="EV171">
        <f t="shared" si="305"/>
        <v>0</v>
      </c>
      <c r="EW171">
        <f t="shared" si="306"/>
        <v>0</v>
      </c>
      <c r="EX171">
        <f t="shared" si="307"/>
        <v>0</v>
      </c>
      <c r="EY171">
        <f t="shared" si="308"/>
        <v>0</v>
      </c>
      <c r="EZ171">
        <f t="shared" si="309"/>
        <v>0.54</v>
      </c>
      <c r="FA171">
        <f t="shared" si="310"/>
        <v>0.51300000000000001</v>
      </c>
      <c r="FB171">
        <f t="shared" si="311"/>
        <v>0.54</v>
      </c>
      <c r="FC171" t="str">
        <f t="shared" si="312"/>
        <v>L3</v>
      </c>
      <c r="FD171" t="str">
        <f>IF(B171="","",IF(CA171=0,IF(AW171=1,"",FF170),IF(OR(N(CV171)&gt;=3,N(BR171)&gt;=3),"L1,L2,L3",IFERROR(_xlfn.TEXTBEFORE(_xlfn.TEXTAFTER(_xlfn.XLOOKUP(A171,Щиты[Щит],Щиты[_фазы авто]),";"&amp;AW171&amp;":"),";"),"L1"))))</f>
        <v>L1</v>
      </c>
      <c r="FE171" t="str">
        <f t="shared" si="313"/>
        <v>L3</v>
      </c>
      <c r="FF171" t="str">
        <f t="shared" si="314"/>
        <v>L3</v>
      </c>
      <c r="FG171" cm="1">
        <f t="array" ref="FG171">IFERROR(IF(BX171=2,_xlfn.IFS(BR171=3,VLOOKUP(BN171,Справочная_двигатели,3,FALSE),BR171=1,VLOOKUP(BN171,Справочная_двигатели,5,TRUE)),0),0)</f>
        <v>0</v>
      </c>
      <c r="FH171">
        <f>IFERROR(IF(BX171=3,VLOOKUP(BN171,Справочная_ЛЭД,2,TRUE),0),0)</f>
        <v>0</v>
      </c>
      <c r="FI171" s="6">
        <f t="shared" si="315"/>
        <v>0</v>
      </c>
      <c r="FJ171" t="str" cm="1">
        <f t="array" ref="FJ171">IF(B171="","",IFERROR(INDEX({"I особая","I","II","III"},MATCH(TRIM(AC171&amp;""),{"I особая","I","II","III"},0)),"III"))</f>
        <v>II</v>
      </c>
      <c r="FK171" t="str">
        <f>IF(B171="","",IF(TRIM(AD171&amp;"")&lt;&gt;"",IF(LOWER(TRIM(AD171&amp;""))="да","да","нет"),IF(IFERROR(_xlfn.XLOOKUP(AX171,Коды_код,Коды_пожарная),"")="да","да","нет")))</f>
        <v>нет</v>
      </c>
      <c r="FL171" t="str">
        <f t="shared" si="316"/>
        <v/>
      </c>
      <c r="FM171" t="str">
        <f t="shared" si="317"/>
        <v>основная</v>
      </c>
      <c r="FN171">
        <f t="shared" si="318"/>
        <v>1</v>
      </c>
      <c r="FO171" t="str" cm="1">
        <f t="array" ref="FO171">IF(B171="","",_xlfn.LET(_xlpm.t,IFERROR(_xlfn.XLOOKUP(1,(Шины[Шина]=FM171)*(((Шины[Щит]=A171)+(Шины[Щит]=""))&gt;0),Шины[Тип]),"")&amp;"",IF(_xlpm.t&lt;&gt;"",_xlpm.t,IF(ISNUMBER(SEARCH("ИБП",FM171)),"ИБП",IF(ISNUMBER(SEARCH("ДГУ",FM171)),"ДГУ","Ввод "&amp;FN171)))))</f>
        <v>Ввод 1</v>
      </c>
      <c r="FP171" t="str">
        <f t="shared" si="319"/>
        <v>Ввод 1</v>
      </c>
      <c r="FQ171" t="str">
        <f>IF(B171="","",IF(OR(FO171="ИБП",FO171="ДГУ"),"I особая",IF(FO171="Одиночная","III",_xlfn.XLOOKUP(A171,Щиты[Щит],Щиты[Категория шины «Ввод»],"III"))))</f>
        <v>II</v>
      </c>
      <c r="FR171">
        <f>IF(B171="",0,IFERROR(MATCH(FJ171,{"III","II","I","I особая"},0),1))</f>
        <v>2</v>
      </c>
      <c r="FS171">
        <f t="shared" si="320"/>
        <v>2</v>
      </c>
      <c r="FT171" t="str">
        <f>IF(B171="","",IF(FR171&gt;IFERROR(MATCH(FQ171,{"III","II","I","I особая"},0),1),"НЕ ОБЕСПЕЧЕНА","ОК"))</f>
        <v>ОК</v>
      </c>
      <c r="FU171" t="str">
        <f>IF(A171="","",_xlfn.XLOOKUP(A171,Щиты[Щит],Щиты[Путь],""))</f>
        <v>|ГРЩ-ЖД|ЩР-001|</v>
      </c>
      <c r="FV171" t="str">
        <f>IF(B171="","",IF(AE171&lt;&gt;"",AE171,IF(IFERROR(_xlfn.XLOOKUP(AX171,Коды_код,Коды_вид)&amp;"","")="","Прочее",_xlfn.XLOOKUP(AX171,Коды_код,Коды_вид)&amp;"")))</f>
        <v>Розеточная сеть и бытовые приборы</v>
      </c>
      <c r="FW171">
        <f>IF(BH171="","",INT((BH171-1)/Столбцов_на_лист)+1)</f>
        <v>3</v>
      </c>
      <c r="FX171" t="str">
        <f t="shared" si="321"/>
        <v>ВВГнг(А)-LS (3х2,5) L=83-1,52%</v>
      </c>
      <c r="FY171">
        <f t="shared" si="322"/>
        <v>0.54</v>
      </c>
      <c r="FZ171">
        <f t="shared" si="323"/>
        <v>2.4699999999999998</v>
      </c>
      <c r="GA171">
        <f t="shared" si="324"/>
        <v>1</v>
      </c>
      <c r="GB171">
        <f t="shared" si="325"/>
        <v>0</v>
      </c>
      <c r="GC171">
        <f t="shared" si="326"/>
        <v>1</v>
      </c>
      <c r="GD171">
        <f>IF(BH171="","",IF(AND(CA171=1,GC171=1),COUNTIFS(A$3:A171,A171,CA$3:CA171,1,GC$3:GC171,1),IF(OR(OR(AW171=1,A171&lt;&gt;A170),AF171="вручную",GC171=0),"",IF(AW171=1,"",GE170))))</f>
        <v>17</v>
      </c>
      <c r="GE171">
        <f t="shared" si="327"/>
        <v>17</v>
      </c>
      <c r="GF171">
        <f>IF(B171="","",IFERROR(LOOKUP(INDEX(CHOOSE(DL171,Iдоп_1ж,Iдоп_2ж,Iдоп_3ж),MATCH(DX171,Iдоп_S,0))*DJ171*DK171,{6,10,16,20,25,32,40,50,63,80,100,125,160,200,250,315,400,500,630}),""))</f>
        <v>25</v>
      </c>
      <c r="GG171" t="str">
        <f t="shared" si="328"/>
        <v>QFD17</v>
      </c>
      <c r="GH171" t="str">
        <f t="shared" si="329"/>
        <v>QFD17</v>
      </c>
      <c r="GI171" t="str">
        <f t="shared" si="330"/>
        <v/>
      </c>
      <c r="GJ171">
        <f t="shared" si="331"/>
        <v>0</v>
      </c>
      <c r="GK171" t="str">
        <f>IF(OR(AG171="",AG171="-"),"",IFERROR(VLOOKUP(AG171,Модули_спр,2,FALSE),"R"))</f>
        <v/>
      </c>
      <c r="GL171" t="str">
        <f>IF(GK171="","",GK171&amp;"."&amp;COUNTIFS(A$3:A171,A171,GK$3:GK171,GK171))</f>
        <v/>
      </c>
      <c r="GM171" t="str">
        <f t="shared" si="332"/>
        <v/>
      </c>
      <c r="GN171" t="str">
        <f t="shared" si="333"/>
        <v/>
      </c>
      <c r="GO171" t="str">
        <f t="shared" si="334"/>
        <v/>
      </c>
      <c r="GP171" t="str">
        <f t="shared" si="335"/>
        <v/>
      </c>
      <c r="GQ171">
        <f t="shared" si="336"/>
        <v>1</v>
      </c>
      <c r="GR171" t="str">
        <f>IF(GQ171=1,"XT"&amp;COUNTIFS(A$3:A171,A171,GQ$3:GQ171,1),"")</f>
        <v>XT17</v>
      </c>
      <c r="GS171" t="str">
        <f t="shared" si="337"/>
        <v/>
      </c>
      <c r="GT171" t="str">
        <f t="shared" si="338"/>
        <v>QFD17</v>
      </c>
      <c r="GU171" t="str">
        <f t="shared" si="339"/>
        <v/>
      </c>
      <c r="GV171" t="str">
        <f t="shared" si="340"/>
        <v>ok</v>
      </c>
      <c r="GW171" t="str">
        <f>IF(OR(GO171="",GM171=""),"",IF(GO171&gt;IFERROR(VLOOKUP(GN171,Модули_спр,3,FALSE),99),"ЛИШНИЙ КАНАЛ",IF(AND(AH171&lt;&gt;"=",COUNTIFS(Линии[_модуль гр.],GM171,Линии[Канал (итог)],GO171,Линии[Канал],"&lt;&gt;=",Линии[Щит],A171)&gt;1),"ДУБЛЬ КАНАЛА","")))</f>
        <v/>
      </c>
      <c r="GX171" s="6" t="str">
        <f t="shared" si="341"/>
        <v/>
      </c>
      <c r="GY171">
        <f t="shared" si="342"/>
        <v>10</v>
      </c>
      <c r="GZ171" t="str">
        <f t="shared" si="343"/>
        <v/>
      </c>
      <c r="HA171" t="str">
        <f>IF(AND(B171="",GT171=""),"",_xlfn.TEXTJOIN("; ",TRUE,IF(AND(B171&lt;&gt;"",FE171=""),"нет фазы",""),IF(AND(B171&lt;&gt;"",N(FY171)=0,EQ171&lt;&gt;"Нет"),"нет мощности",""),IF(AND(GS171&lt;&gt;"",COUNTIFS(Линии[Щит],A171,Линии[Клемма (итог)],GS171)&gt;1),"дубль клеммы "&amp;GS171,""),IF(AND(GV171&lt;&gt;"",GV171&lt;&gt;"ok"),GV171,""),IF(GW171&lt;&gt;"",GW171,""),IF(AND(N(BV171)&gt;=4,N(BR171)=1),BV171&amp;" жил на 1 фазе",""),IF(AND(AX171="R",CA171=1,OR(N(CK171)=0,N(CK171)&gt;30)),"розетка без дифзащиты до 30 мА",""),IFERROR(IF(AND(ISNUMBER(R171),R171&gt;DV171),"потери "&amp;FIXED(R171,1)&amp;" % &gt; "&amp;DV171&amp;" %",""),""),IFERROR(IF(LEFT(GZ171,4)="мало","Iкз мало — отключение &gt; 0,4 с",""),""),IF(AND(B171&lt;&gt;"",BH171=""),"не на схеме",""),IF(AND(CA171=0,B171&lt;&gt;"",FE171&lt;&gt;"",IF(AW171=1,"",FF170)&lt;&gt;"",FE171&lt;&gt;IF(AW171=1,"",FF170)),"фаза не как у автомата группы ("&amp;IF(AW171=1,"",FF170)&amp;")","")))</f>
        <v/>
      </c>
      <c r="HB171" s="6">
        <f>IF(OR(CA171=0,DA171=""),"",_xlfn.LET(_xlpm.t,IFERROR(_xlfn.XLOOKUP(DA171,Каталог!$U$4:$U$500,Каталог!$G$4:$G$500),""),_xlpm.k,SEARCH("кА",_xlpm.t),IFERROR(--TRIM(RIGHT(SUBSTITUTE(MID(_xlpm.t,MAX(1,_xlpm.k-4),_xlpm.k-MAX(1,_xlpm.k-4))," ",REPT(" ",9)),5)),"")))</f>
        <v>6</v>
      </c>
      <c r="HC171" t="str">
        <f>IF(OR(HB171="",CA171=0),"",IF(_xlfn.XLOOKUP(A171,Щиты[Щит],Щиты[Iкз max на шинах, кА],"")="","",IF(HB171&lt;_xlfn.XLOOKUP(A171,Щиты[Щит],Щиты[Iкз max на шинах, кА]),"Icu "&amp;HB171&amp;" кА &lt; Iкз max","ok")))</f>
        <v/>
      </c>
      <c r="HD171" t="str">
        <f t="shared" si="344"/>
        <v/>
      </c>
      <c r="HE171" t="str">
        <f t="shared" si="345"/>
        <v>QFD17</v>
      </c>
      <c r="HF171" t="str">
        <f t="shared" si="346"/>
        <v>QFD17|кабель ВВГнг(А)-LS (3х2,5) → Розеточная группа, пом. 007Б</v>
      </c>
      <c r="HG171" t="str" cm="1">
        <f t="array" ref="HG171">IF(HF171="","",_xlfn.LET(_xlpm.nd,_xlfn.TEXTSPLIT(HF171,"|"),IF(COLUMNS(_xlpm.nd)&gt;1,A171&amp;"¦"&amp;INDEX(_xlpm.nd,1)&amp;"¦"&amp;INDEX(_xlpm.nd,2),"")))</f>
        <v>ЩР-001¦QFD17¦кабель ВВГнг(А)-LS (3х2,5) → Розеточная группа, пом. 007Б</v>
      </c>
      <c r="HH171" t="str">
        <f t="shared" si="347"/>
        <v>R.00.007Б.1¦Розеточная группа, пом. 007Б</v>
      </c>
      <c r="HI171" t="str" cm="1">
        <f t="array" ref="HI171">IF(HF171="","",_xlfn.LET(_xlpm.nd,_xlfn.TEXTSPLIT(HF171,"|"),IF(COLUMNS(_xlpm.nd)&gt;2,A171&amp;"¦"&amp;INDEX(_xlpm.nd,2)&amp;"¦"&amp;INDEX(_xlpm.nd,3),"")))</f>
        <v/>
      </c>
      <c r="HJ171" t="str">
        <f t="shared" si="348"/>
        <v/>
      </c>
      <c r="HK171" t="str" cm="1">
        <f t="array" ref="HK171">IF(HF171="","",_xlfn.LET(_xlpm.nd,_xlfn.TEXTSPLIT(HF171,"|"),IF(COLUMNS(_xlpm.nd)&gt;3,A171&amp;"¦"&amp;INDEX(_xlpm.nd,3)&amp;"¦"&amp;INDEX(_xlpm.nd,4),"")))</f>
        <v/>
      </c>
      <c r="HL171" t="str">
        <f t="shared" si="349"/>
        <v/>
      </c>
      <c r="HM171" t="str" cm="1">
        <f t="array" ref="HM171">IF(HF171="","",_xlfn.LET(_xlpm.nd,_xlfn.TEXTSPLIT(HF171,"|"),IF(COLUMNS(_xlpm.nd)&gt;4,A171&amp;"¦"&amp;INDEX(_xlpm.nd,4)&amp;"¦"&amp;INDEX(_xlpm.nd,5),"")))</f>
        <v/>
      </c>
      <c r="HN171" t="str">
        <f t="shared" si="350"/>
        <v/>
      </c>
      <c r="HO171" t="str" cm="1">
        <f t="array" ref="HO171">IF(HF171="","",_xlfn.LET(_xlpm.nd,_xlfn.TEXTSPLIT(HF171,"|"),IF(COLUMNS(_xlpm.nd)&gt;5,A171&amp;"¦"&amp;INDEX(_xlpm.nd,5)&amp;"¦"&amp;INDEX(_xlpm.nd,6),"")))</f>
        <v/>
      </c>
      <c r="HP171" t="str">
        <f t="shared" si="351"/>
        <v/>
      </c>
      <c r="HQ171" t="str" cm="1">
        <f t="array" ref="HQ171">IF(HF171="","",_xlfn.LET(_xlpm.nd,_xlfn.TEXTSPLIT(HF171,"|"),IF(COLUMNS(_xlpm.nd)&gt;6,A171&amp;"¦"&amp;INDEX(_xlpm.nd,6)&amp;"¦"&amp;INDEX(_xlpm.nd,7),"")))</f>
        <v/>
      </c>
      <c r="HR171" t="str">
        <f t="shared" si="352"/>
        <v/>
      </c>
      <c r="HS171" t="str">
        <f t="shared" si="353"/>
        <v/>
      </c>
      <c r="HT171" t="str">
        <f t="shared" si="354"/>
        <v>QFD17</v>
      </c>
      <c r="HU171">
        <f t="shared" si="355"/>
        <v>0</v>
      </c>
      <c r="HV171">
        <f t="shared" si="356"/>
        <v>1</v>
      </c>
      <c r="HW171" t="str">
        <f t="shared" si="357"/>
        <v/>
      </c>
      <c r="HX171" t="str">
        <f t="shared" si="358"/>
        <v/>
      </c>
      <c r="HY171" t="str">
        <f t="shared" si="359"/>
        <v/>
      </c>
      <c r="HZ171" t="str">
        <f t="shared" si="360"/>
        <v/>
      </c>
      <c r="IA171" t="str">
        <f>IF(B171="","",IFERROR(VLOOKUP(B171,УГО_спр,2,FALSE),IFERROR(VLOOKUP(AX171,УГО_спр,2,FALSE),IFERROR(VLOOKUP(LEFT(AX171,2),УГО_спр,2,FALSE),""))))</f>
        <v>Розетка</v>
      </c>
      <c r="IB171" t="str">
        <f>IF(B171="","",IF(OR(IA171="",IA171=0),"BOX",IFERROR(IF(VLOOKUP(IA171,УГО_блоки,3,FALSE)&amp;""&lt;&gt;"",VLOOKUP(IA171,УГО_блоки,3,FALSE),VLOOKUP(IA171,УГО_блоки,2,FALSE)),IA171)))</f>
        <v>SOCKET</v>
      </c>
      <c r="IC171">
        <f t="shared" si="361"/>
        <v>1</v>
      </c>
      <c r="ID171" t="str">
        <f>IF(DA171="","",IF(COUNTIF(DA$3:DA171,DA171)=1,MAX(ID$2:ID170)+1,""))</f>
        <v/>
      </c>
      <c r="IE171" t="str">
        <f>IF(CO171="","",IF(COUNTIF(CO$3:CO171,CO171)+COUNTIF(CP$2:CP170,CO171)+COUNTIF(CQ$2:CQ170,CO171)=1,MAX(IE$2:IG170)+1,""))</f>
        <v/>
      </c>
      <c r="IF171" t="str">
        <f>IF(CP171="","",IF(COUNTIF(CO$3:CO171,CP171)+COUNTIF(CP$3:CP171,CP171)+COUNTIF(CQ$2:CQ170,CP171)=1,MAX(IE$2:IG170,IE171)+1,""))</f>
        <v/>
      </c>
      <c r="IG171" t="str">
        <f>IF(CQ171="","",IF(COUNTIF(CO$3:CO171,CQ171)+COUNTIF(CP$3:CP171,CQ171)+COUNTIF(CQ$3:CQ171,CQ171)=1,MAX(IE$2:IG170,IE171,IF171)+1,""))</f>
        <v/>
      </c>
      <c r="IH171" t="str">
        <f t="shared" si="362"/>
        <v>3х2,5</v>
      </c>
      <c r="II171" t="str">
        <f>IF(IH171="","",IF(COUNTIF(IH$3:IH171,IH171)=1,MAX(II$2:II170)+1,""))</f>
        <v/>
      </c>
      <c r="IJ171" t="str">
        <f>IF(GL171="","",COUNTIF(GL$3:GL171,"?*"))</f>
        <v/>
      </c>
      <c r="IK171" t="str">
        <f>IF(OR(GL171="",GN171=""),"",IF(COUNTIFS(GL$3:GL171,"?*",GN$3:GN171,GN171)=1,MAX(IK$2:IK170)+1,""))</f>
        <v/>
      </c>
      <c r="IL171">
        <f t="shared" si="363"/>
        <v>0</v>
      </c>
      <c r="IM171">
        <f>IF(B171="","",COUNTIF(B$3:B171,"?*"))</f>
        <v>169</v>
      </c>
      <c r="IN171">
        <f>IF(GQ171&lt;&gt;1,0,_xlfn.LET(_xlpm.k,MAX(IFERROR(--VLOOKUP(B171,УГО_спр,5,FALSE),0),IFERROR(--VLOOKUP(AX171,УГО_спр,5,FALSE),0),IFERROR(--VLOOKUP(LEFT(AX171,2),УГО_спр,5,FALSE),0)),IF(_xlpm.k&gt;0,_xlpm.k,IF(IFERROR(--LEFT(SUBSTITUTE(IH171,"x","х"),FIND("х",SUBSTITUTE(IH171,"x","х"))-1),3)&gt;3,Каталог!$S$9,1))))</f>
        <v>1</v>
      </c>
      <c r="IO171">
        <f t="shared" si="364"/>
        <v>0</v>
      </c>
      <c r="IP171" t="str">
        <f t="shared" si="365"/>
        <v>авто</v>
      </c>
      <c r="IQ171">
        <f t="shared" si="366"/>
        <v>30</v>
      </c>
      <c r="IR171">
        <f t="shared" si="367"/>
        <v>1</v>
      </c>
      <c r="IS171">
        <f t="shared" si="368"/>
        <v>1</v>
      </c>
    </row>
    <row r="172" spans="1:253" x14ac:dyDescent="0.3">
      <c r="A172" t="s">
        <v>755</v>
      </c>
      <c r="B172" t="s">
        <v>1439</v>
      </c>
      <c r="C172" t="str">
        <f>Линии[[#This Row],[_авто наименование]]</f>
        <v>Розеточная группа, пом. 004Б</v>
      </c>
      <c r="D172">
        <v>4</v>
      </c>
      <c r="E172">
        <v>0.54</v>
      </c>
      <c r="G172">
        <v>16</v>
      </c>
      <c r="H172">
        <f>Линии[[#This Row],[_авто утечка]]</f>
        <v>30</v>
      </c>
      <c r="I172" t="str">
        <f>Линии[[#This Row],[_авто управление]]</f>
        <v/>
      </c>
      <c r="J172" t="str">
        <f>Линии[[#This Row],[_авто аппараты]]</f>
        <v/>
      </c>
      <c r="K172">
        <v>2.5</v>
      </c>
      <c r="L172">
        <v>55</v>
      </c>
      <c r="M172">
        <v>2</v>
      </c>
      <c r="N172" t="s">
        <v>486</v>
      </c>
      <c r="O172" t="str">
        <f t="shared" si="246"/>
        <v/>
      </c>
      <c r="P172" s="6" cm="1">
        <f t="array" ref="P172">IF(B172="","",IF(BC172&lt;&gt;"",IFERROR(_xlfn.XLOOKUP(BC172,Щиты[Щит],Щиты[Iр, А]),""),IF(BK172=1,IFERROR(_xlfn.XLOOKUP(A172,Щиты[Щит],Щиты[Iр, А]),""),IFERROR(_xlfn.IFS(BR172=1,BN172/((Uн_лин/SQRT(3))*BY172),BR172=3,BN172/(SQRT(3)*Uн_лин*BY172)),""))))</f>
        <v>2.4613353581241939</v>
      </c>
      <c r="Q172" s="7">
        <f>IF(B172="","",IFERROR(IF(VLOOKUP(AX172,Потребители_обозначение,4,FALSE)=1,VLOOKUP(AX172,Потребители_обозначение,3,FALSE)*(D172*2-1)+DS172+VLOOKUP(AZ172,Этаж_обозначение,3,FALSE)+VLOOKUP(AZ172,Этаж_обозначение,4,FALSE),VLOOKUP(AX172,Потребители_обозначение,3,FALSE)*(D172*2-1)+DS172),DS172))</f>
        <v>76</v>
      </c>
      <c r="R172" s="6">
        <f t="shared" si="247"/>
        <v>2.9699999999999998</v>
      </c>
      <c r="S172" t="str">
        <f t="shared" si="248"/>
        <v>ВВГнг(А)-LS (3х2,5)</v>
      </c>
      <c r="T172" t="str">
        <f>IF(BH172="","",IF(BI172="вводной узел","узел ","")&amp;"л."&amp;(INT((BH172-1)/Столбцов_на_лист)+1)&amp;" / "&amp;(MOD(BH172-1,Столбцов_на_лист)+1))</f>
        <v>л.3 / 3</v>
      </c>
      <c r="V172">
        <v>1</v>
      </c>
      <c r="W172">
        <v>230</v>
      </c>
      <c r="X172" t="s">
        <v>564</v>
      </c>
      <c r="AC172" t="s">
        <v>815</v>
      </c>
      <c r="AE172" t="s">
        <v>563</v>
      </c>
      <c r="AI172">
        <v>37</v>
      </c>
      <c r="AJ172" t="s">
        <v>11</v>
      </c>
      <c r="AK172">
        <v>3</v>
      </c>
      <c r="AM172">
        <v>32</v>
      </c>
      <c r="AN172">
        <v>0</v>
      </c>
      <c r="AO172">
        <v>21</v>
      </c>
      <c r="AW172" cm="1">
        <f t="array" ref="AW172">ROW()-ROW(Линии[#Headers])</f>
        <v>170</v>
      </c>
      <c r="AX172" s="6" t="str">
        <f t="shared" si="249"/>
        <v>R</v>
      </c>
      <c r="AY172" t="str">
        <f t="shared" si="250"/>
        <v>00.004Б.1</v>
      </c>
      <c r="AZ172" t="str">
        <f t="shared" si="251"/>
        <v>00</v>
      </c>
      <c r="BA172" t="str">
        <f t="shared" si="252"/>
        <v>004Б.1</v>
      </c>
      <c r="BB172" t="str">
        <f t="shared" si="253"/>
        <v>004Б</v>
      </c>
      <c r="BC172" t="str">
        <f>IF(U172&lt;&gt;"",U172,IF(AND(B172&lt;&gt;"",B172&lt;&gt;A172,ISNUMBER(_xlfn.XMATCH(B172,Щиты[Щит]))),B172,""))</f>
        <v/>
      </c>
      <c r="BD172" t="str" cm="1">
        <f t="array" ref="BD172">IF(B172="","",IF(BC172&lt;&gt;"","Щит "&amp;BC172,_xlfn.LET(_xlpm.nm,IFERROR(_xlfn.XLOOKUP(AX172,Коды_код,Коды_имя)&amp;"",""),_xlpm.md,IFERROR(N(_xlfn.XLOOKUP(AX172,Коды_код,Коды_режим)),1),_xlpm.ex,IF(Имя_режим="по экспликации",IFERROR(_xlfn.XLOOKUP(AZ172&amp;"|"&amp;BB172,Экспликация[Этаж]&amp;"|"&amp;Экспликация[Помещение],Экспликация[Название])&amp;"",""),""),_xlpm.rm,IF(BB172="","",IF(_xlpm.ex&lt;&gt;"",". "&amp;_xlpm.ex&amp;IF(Имя_пом="нет"," ("&amp;BB172&amp;")"," (пом. "&amp;BB172&amp;")"),IF(Имя_пом="нет"," ",", пом. ")&amp;BB172)),IF(_xlpm.nm="","",IF(_xlpm.md=2,_xlpm.nm&amp;" шлейф "&amp;AZ172,_xlpm.nm&amp;_xlpm.rm)))))</f>
        <v>Розеточная группа, пом. 004Б</v>
      </c>
      <c r="BE172" t="str">
        <f t="shared" si="254"/>
        <v>Розеточная группа, пом. 004Б</v>
      </c>
      <c r="BF172">
        <f>IFERROR(_xlfn.XMATCH(A172,Щиты[Щит]),0)</f>
        <v>8</v>
      </c>
      <c r="BG172">
        <f>_xlfn.LET(_xlpm.k,IFERROR(_xlfn.XLOOKUP(A172,Щиты[Щит],Щиты[Листов под вводной узел]),""),IF(_xlpm.k="",1,N(_xlpm.k))*Столбцов_на_лист)</f>
        <v>17</v>
      </c>
      <c r="BH172">
        <f t="shared" si="255"/>
        <v>37</v>
      </c>
      <c r="BI172" t="str">
        <f t="shared" si="256"/>
        <v>линии</v>
      </c>
      <c r="BJ172" s="6">
        <f>IFERROR(N(_xlfn.XLOOKUP(AX172,Коды_код,Коды_квт)),0)</f>
        <v>0</v>
      </c>
      <c r="BK172">
        <f t="shared" si="257"/>
        <v>0</v>
      </c>
      <c r="BL172" t="str">
        <f>IF(B172="","",IF(BC172&lt;&gt;"",IFERROR(_xlfn.XLOOKUP(BC172,Щиты[Щит],Щиты[Руст, кВт]),0),IF(BK172=1,IFERROR(_xlfn.XLOOKUP(A172,Щиты[Щит],Щиты[Руст, кВт]),0),IF(BJ172&gt;0,ROUND(BJ172*MAX(1,N(D172)),3),""))))</f>
        <v/>
      </c>
      <c r="BM172">
        <f t="shared" si="258"/>
        <v>0.54</v>
      </c>
      <c r="BN172" s="6">
        <f>IF(B172="","",IF(BC172&lt;&gt;"",IFERROR(_xlfn.XLOOKUP(BC172,Щиты[Щит],Щиты[Руст, кВт]),0),N(BM172)))</f>
        <v>0.54</v>
      </c>
      <c r="BO172" t="str">
        <f>IF(B172="","",IFERROR(IF(VLOOKUP(AX172,Потребители_обозначение,8,FALSE)=0,"",VLOOKUP(AX172,Потребители_обозначение,8,FALSE)),""))</f>
        <v/>
      </c>
      <c r="BP172">
        <f t="shared" si="259"/>
        <v>230</v>
      </c>
      <c r="BQ172">
        <f>IF(B172="","",IF(BC172&lt;&gt;"",3,IFERROR(IF(N(VLOOKUP(AX172,Потребители_обозначение,9,FALSE))=0,1,VLOOKUP(AX172,Потребители_обозначение,9,FALSE)),1)))</f>
        <v>1</v>
      </c>
      <c r="BR172">
        <f t="shared" si="260"/>
        <v>1</v>
      </c>
      <c r="BS172" t="str">
        <f>IF(B172="","",_xlfn.LET(_xlpm.bc,IFERROR(IF(VLOOKUP(AX172,Потребители_обозначение,6,FALSE)=0,"",VLOOKUP(AX172,Потребители_обозначение,6,FALSE)&amp;""),""),IF(AND(FK172="да",OR(_xlpm.bc="",_xlpm.bc="мс")),Марка_пож,IF(AND(_xlpm.bc="",BC172&lt;&gt;""),"мс",_xlpm.bc))))</f>
        <v/>
      </c>
      <c r="BT172" t="str">
        <f t="shared" si="261"/>
        <v>мс</v>
      </c>
      <c r="BU172">
        <f>IF(B172="","",_xlfn.LET(_xlpm.cc,IFERROR(N(VLOOKUP(AX172,Потребители_обозначение,7,FALSE)),0),IF(_xlpm.cc&gt;0,_xlpm.cc,IF(BT172="","",IF(N(BR172)=3,5,3)))))</f>
        <v>3</v>
      </c>
      <c r="BV172">
        <f t="shared" si="262"/>
        <v>3</v>
      </c>
      <c r="BW172">
        <f>IFERROR(N(VLOOKUP(AX172,Потребители_обозначение,10,FALSE)),0)</f>
        <v>0</v>
      </c>
      <c r="BX172">
        <f>IFERROR(VLOOKUP(AX172,Потребители_обозначение,5,FALSE),0)</f>
        <v>1</v>
      </c>
      <c r="BY172" s="6" cm="1">
        <f t="array" ref="BY172">IF(B172="","",IF(BC172&lt;&gt;"",IFERROR(_xlfn.XLOOKUP(BC172,Щиты[Щит],Щиты[cos φ]),0.95),IF(BK172=1,IFERROR(_xlfn.XLOOKUP(A172,Щиты[Щит],Щиты[cos φ]),0.95),IF(ISNUMBER(Z172),Z172,IFERROR(IF(BX172=2,_xlfn.IFS(BR172=3,VLOOKUP(BN172,Справочная_двигатели,8,FALSE),BR172=1,VLOOKUP(BN172,Справочная_двигатели,10,TRUE)),IF(AND(Методика="нормы 2026",EQ172="Сил"),0.8,0.95)),0.95)))))</f>
        <v>0.95</v>
      </c>
      <c r="BZ172">
        <f t="shared" si="263"/>
        <v>0</v>
      </c>
      <c r="CA172">
        <f t="shared" si="264"/>
        <v>1</v>
      </c>
      <c r="CB172">
        <f t="shared" si="265"/>
        <v>0</v>
      </c>
      <c r="CC172">
        <f t="shared" si="266"/>
        <v>0</v>
      </c>
      <c r="CD172">
        <f t="shared" si="267"/>
        <v>0</v>
      </c>
      <c r="CE172">
        <f t="shared" si="268"/>
        <v>0</v>
      </c>
      <c r="CF172">
        <f t="shared" si="269"/>
        <v>0</v>
      </c>
      <c r="CG172">
        <f>IF(AX172="",0,_xlfn.LET(_xlpm.v,IFERROR(VLOOKUP(B172,УГО_спр,3,FALSE),IFERROR(VLOOKUP(AX172,УГО_спр,3,FALSE),IFERROR(VLOOKUP(LEFT(AX172,2),УГО_спр,3,FALSE),""))),IF(_xlpm.v="да",30,IF(ISNUMBER(_xlpm.v),_xlpm.v,0))))</f>
        <v>30</v>
      </c>
      <c r="CH172">
        <f t="shared" si="270"/>
        <v>30</v>
      </c>
      <c r="CI172" t="str">
        <f>_xlfn.LET(_xlpm.k,IFERROR(_xlfn.XLOOKUP(AX172,Коды_код,Коды_утечка)&amp;"",""),IF(_xlpm.k="","дифавтомат",_xlpm.k))</f>
        <v>дифавтомат</v>
      </c>
      <c r="CJ172">
        <f t="shared" si="271"/>
        <v>30</v>
      </c>
      <c r="CK172">
        <f t="shared" si="272"/>
        <v>30</v>
      </c>
      <c r="CL172">
        <f>IF(B172="",0,IFERROR(--VLOOKUP(B172,УГО_спр,4,FALSE),IFERROR(--VLOOKUP(AX172,УГО_спр,4,FALSE),IFERROR(--VLOOKUP(LEFT(AX172,2),УГО_спр,4,FALSE),0))))</f>
        <v>16</v>
      </c>
      <c r="CM172" t="str">
        <f>IF(B172="","",IFERROR(_xlfn.XLOOKUP(AX172,Коды_код,Коды_апп)&amp;"",""))</f>
        <v/>
      </c>
      <c r="CN172" t="str">
        <f t="shared" si="273"/>
        <v/>
      </c>
      <c r="CO172" t="str" cm="1">
        <f t="array" ref="CO172">IF(TRIM(CN172&amp;"")="","",IFERROR(TRIM(INDEX(_xlfn.TEXTSPLIT(CN172&amp;";;;",";"),1)),""))</f>
        <v/>
      </c>
      <c r="CP172" t="str" cm="1">
        <f t="array" ref="CP172">IF(TRIM(CN172&amp;"")="","",IFERROR(TRIM(INDEX(_xlfn.TEXTSPLIT(CN172&amp;";;;",";"),2)),""))</f>
        <v/>
      </c>
      <c r="CQ172" t="str" cm="1">
        <f t="array" ref="CQ172">IF(TRIM(CN172&amp;"")="","",IFERROR(TRIM(INDEX(_xlfn.TEXTSPLIT(CN172&amp;";;;",";"),3)),""))</f>
        <v/>
      </c>
      <c r="CR172">
        <f t="shared" si="274"/>
        <v>0</v>
      </c>
      <c r="CS172" t="str">
        <f>IF(B172="","",_xlfn.LET(_xlpm.t,LOWER(AV172&amp;""),IF(ISNUMBER(SEARCH("dim",_xlpm.t)),"DIM",IF(ISNUMBER(SEARCH("dali",_xlpm.t)),"DALI",IF(OR(ISNUMBER(SEARCH("relay",_xlpm.t)),ISNUMBER(SEARCH("реле",_xlpm.t))),"Relay",IF(ISNUMBER(SEARCH("кнопк",_xlpm.t)),"",IFERROR(_xlfn.XLOOKUP(AX172,Коды_код,Коды_упр)&amp;"","")))))))</f>
        <v/>
      </c>
      <c r="CT172" t="str">
        <f t="shared" si="275"/>
        <v/>
      </c>
      <c r="CU172">
        <f>IF(B172="","",_xlfn.LET(_xlpm.ig,N(P172)+IF(AF172="вручную",0,N(CB172)),_xlpm.n0,IFERROR(VLOOKUP(_xlpm.ig,Автомат_номиналы,2,TRUE),0),_xlpm.mn,MAX(CL172,IF(AF172="вручную",0,N(CE172))),MAX(_xlpm.n0,_xlpm.mn,IF(CR172=1,Мин_автомат_БП,0))))</f>
        <v>16</v>
      </c>
      <c r="CV172">
        <f t="shared" si="276"/>
        <v>1</v>
      </c>
      <c r="CW172" t="str">
        <f t="shared" si="277"/>
        <v>2P</v>
      </c>
      <c r="CX172" t="str">
        <f>_xlfn.LET(_xlpm.cc,UPPER(TRIM(IFERROR(_xlfn.XLOOKUP(AX172,Коды_код,Коды_хар)&amp;"",""))),IF(OR(_xlpm.cc="B",_xlpm.cc="В"),"B",IF(_xlpm.cc="D","D","С")))</f>
        <v>С</v>
      </c>
      <c r="CY172" t="str">
        <f t="shared" si="278"/>
        <v>2P С16А 30мА</v>
      </c>
      <c r="CZ172">
        <f t="shared" si="279"/>
        <v>16</v>
      </c>
      <c r="DA172" t="str">
        <f t="shared" si="280"/>
        <v>2P С16А 30мА</v>
      </c>
      <c r="DB172" cm="1">
        <f t="array" ref="DB172">IF(DA172="","",_xlfn.LET(_xlpm.t,SUBSTITUTE(SUBSTITUTE(SUBSTITUTE(UPPER(DA172),"С","C"),"А","A"),"В","B"),_xlpm.tk,_xlfn.TEXTSPLIT(_xlpm.t,"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2" t="str">
        <f t="shared" si="281"/>
        <v>ok</v>
      </c>
      <c r="DD172">
        <f t="shared" si="282"/>
        <v>16</v>
      </c>
      <c r="DE172" t="str">
        <f t="shared" si="283"/>
        <v>2P С16А 30мА</v>
      </c>
      <c r="DF172">
        <f t="shared" si="284"/>
        <v>30</v>
      </c>
      <c r="DG172">
        <f t="shared" si="285"/>
        <v>1</v>
      </c>
      <c r="DH172">
        <f t="shared" si="286"/>
        <v>0</v>
      </c>
      <c r="DI172">
        <f t="shared" si="287"/>
        <v>2.4613353581241939</v>
      </c>
      <c r="DJ172">
        <f t="shared" si="288"/>
        <v>1</v>
      </c>
      <c r="DK172">
        <f>IF(ISNUMBER(AL172),AL172,К_прокл)</f>
        <v>1</v>
      </c>
      <c r="DL172">
        <f t="shared" si="289"/>
        <v>2</v>
      </c>
      <c r="DM172">
        <f>IFERROR(N(VLOOKUP(BT172,Кабель_обозначение,3,FALSE)),1)</f>
        <v>1</v>
      </c>
      <c r="DN172">
        <f>IFERROR(N(_xlfn.XLOOKUP(A172,Щиты[Щит],Щиты[ΔU до шин, %])),0)</f>
        <v>1.57</v>
      </c>
      <c r="DO172" t="str">
        <f>IFERROR(_xlfn.XLOOKUP(A172,Щиты[Щит],Щиты[Zпетли на шинах, Ом]),"")</f>
        <v/>
      </c>
      <c r="DP172">
        <f>IFERROR(N(_xlfn.XLOOKUP(A172,Щиты[Щит],Щиты[ΔU до шин (подбор), %])),0)</f>
        <v>2.5</v>
      </c>
      <c r="DQ172" t="str">
        <f>IFERROR(_xlfn.XLOOKUP(A172,Щиты[Щит],Щиты[Zпетли на шинах (подбор), Ом]),"")</f>
        <v/>
      </c>
      <c r="DR172" t="str">
        <f t="shared" si="290"/>
        <v/>
      </c>
      <c r="DS172">
        <f t="shared" si="291"/>
        <v>55</v>
      </c>
      <c r="DT172">
        <f t="shared" si="292"/>
        <v>2</v>
      </c>
      <c r="DU172">
        <f t="shared" si="293"/>
        <v>0.31</v>
      </c>
      <c r="DV172" s="6">
        <f>IF(B172="","",IF(IFERROR(VLOOKUP(AX172,УГО_спр,2,FALSE),"")="Светильник",3,4)+IF(Методика="нормы 2026",MIN(0.5,MAX(0,N(Q172)-100)*0.005),0))</f>
        <v>4</v>
      </c>
      <c r="DW172" cm="1">
        <f t="array" ref="DW172">IF(OR(B172="",BT172="",DM172&lt;&gt;1),"",_xlfn.LET(_xlpm.sz,Iдоп_S,_xlpm.t_,CHOOSE(DL172,Iдоп_1ж,Iдоп_2ж,Iдоп_3ж)*DJ172*DK172,_xlpm.inn,N(DD172),_xlpm.smin,MAX(1.5,BW172),_xlpm.L_,N(Q172)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172)*(_xlpm.rho*_xlpm.L_/_xlpm.sz*N(BY172)+_xlpm.xx*_xlpm.L_*N(DU172)/1000)*N(P172)/((Uн_лин/SQRT(3))*1000)*100,999),_xlpm.kz,IF(OR(DG172=1,NOT(ISNUMBER(DQ172)),_xlpm.L_=0,_xlpm.inn=0),1,IFERROR(--(c_min*(Uн_лин*1000/SQRT(3))/(DQ172+2*ρкз_Cu*_xlpm.L_/_xlpm.sz)&gt;=GY172*_xlpm.inn),0)),_xlpm.ok,IFERROR((_xlpm.sz&gt;=_xlpm.smin)*(_xlpm.t_&gt;=_xlpm.inn)*IF(_xlpm.L_&gt;0,(_xlpm.du_+DP172&lt;=DV172+0.00001),1)*_xlpm.kz,0),_xlpm.r_,_xlfn._xlws.FILTER(_xlpm.sz,_xlpm.ok,"не подобрано"),INDEX(_xlpm.r_,1)))</f>
        <v>2.5</v>
      </c>
      <c r="DX172">
        <f t="shared" si="294"/>
        <v>2.5</v>
      </c>
      <c r="DY172" cm="1">
        <f t="array" ref="DY172">IF(OR(B172="",BT172="",DM172&lt;&gt;1),"",_xlfn.LET(_xlpm.sz,Iдоп_S,_xlpm.t_,CHOOSE(DL172,Iдоп_1ж,Iдоп_2ж,Iдоп_3ж)*DJ172*DK172,_xlpm.ok,IFERROR((_xlpm.sz&gt;=MAX(1.5,BW172))*(_xlpm.t_&gt;=N(DD172)),0),_xlpm.r_,_xlfn._xlws.FILTER(_xlpm.sz,_xlpm.ok,""),INDEX(_xlpm.r_,1)))</f>
        <v>1.5</v>
      </c>
      <c r="DZ172" s="6" cm="1">
        <f t="array" ref="DZ172">IFERROR(ROUNDUP(N(DT172)*(_xlfn.XLOOKUP(DY172,INDEX(Кабель_сопротивление,0,1),INDEX(Кабель_сопротивление,0,3))*N(Q172)/DY172*N(BY172)+_xlfn.XLOOKUP(DY172,INDEX(Кабель_сопротивление,0,1),INDEX(Кабель_сопротивление,0,2))*N(Q172)*N(DU172)/1000)*N(P172)/((Uн_лин/SQRT(3))*1000)*100,2),"")</f>
        <v>2.3199999999999998</v>
      </c>
      <c r="EA172">
        <f>IFERROR(2*ρкз_Cu*N(Q172)/DY172,"")</f>
        <v>2.6650666666666667</v>
      </c>
      <c r="EB172">
        <f>IFERROR(VLOOKUP(DX172,Кабель_сопротивление,3,FALSE),"")</f>
        <v>2.2499999999999999E-2</v>
      </c>
      <c r="EC172">
        <f>IFERROR(VLOOKUP(DX172,Кабель_сопротивление,2,FALSE),"")</f>
        <v>0.1</v>
      </c>
      <c r="ED172">
        <f t="shared" si="295"/>
        <v>0</v>
      </c>
      <c r="EE172">
        <f t="shared" si="296"/>
        <v>21</v>
      </c>
      <c r="EF172">
        <f t="shared" si="297"/>
        <v>3.2103492436256835</v>
      </c>
      <c r="EG172" s="6">
        <f>IFERROR(ROUNDUP(EF172/((Uн_лин/SQRT(3))*1000)*100,2),"")</f>
        <v>1.4</v>
      </c>
      <c r="EH172" t="str">
        <f>IFERROR(VLOOKUP(BT172,Кабель_обозначение,2,FALSE),"")</f>
        <v>ВВГнг(А)-LS</v>
      </c>
      <c r="EI172" t="str">
        <f t="shared" si="298"/>
        <v>ВВГнг(А)-LS (3х2,5)</v>
      </c>
      <c r="EJ172" t="str">
        <f t="shared" si="299"/>
        <v>ВВГнг(А)-LS (3х2,5)
L=76-1,4%</v>
      </c>
      <c r="EK172">
        <f>IFERROR(2*ρкз_Cu*Q172/DX172,"")</f>
        <v>1.59904</v>
      </c>
      <c r="EL172">
        <f t="shared" si="300"/>
        <v>0.53200000000000003</v>
      </c>
      <c r="EM172" s="6" t="str">
        <f>IFERROR(IF(OR(B172="",NOT(ISNUMBER(DX172)),N(Q172)=0),"",_xlfn.XLOOKUP(A172,Щиты[Щит],Щиты[Zпетли на шинах, Ом])+EK172),"")</f>
        <v/>
      </c>
      <c r="EN172" s="6" t="str">
        <f>IF(ISNUMBER(EM172),c_min*(Uн_лин*1000/SQRT(3))/EM172,"")</f>
        <v/>
      </c>
      <c r="EO172" s="6" t="str">
        <f>IFERROR(IF(OR(B172="",NOT(ISNUMBER(DX172))),"",1.05*(Uн_лин*1000/SQRT(3))/(_xlfn.XLOOKUP(A172,Щиты[Щит],Щиты[Zmax на шинах, Ом])+EL172)/1000),"")</f>
        <v/>
      </c>
      <c r="EP172" s="6" t="str">
        <f>IF(B172="","",IF(ISNUMBER(Y172),"Сил",IF(IFERROR(_xlfn.XLOOKUP(AX172,Коды_код,Коды_группа)&amp;"","")="","Быт",_xlfn.XLOOKUP(AX172,Коды_код,Коды_группа)&amp;"")))</f>
        <v>Быт</v>
      </c>
      <c r="EQ172" s="6" t="str">
        <f t="shared" si="301"/>
        <v>Быт</v>
      </c>
      <c r="ER172" s="6">
        <f>IF(EQ172="Щит","щит",IF(EQ172="","",IF(EQ172="Быт",IFERROR(_xlfn.XLOOKUP(A172,Щиты[Щит],Щиты[Кс быт]),1),IF(EQ172="Сил",IF(ISNUMBER(Y172),Y172,IF(Методика="нормы 2026",IFERROR(_xlfn.XLOOKUP(A172,Щиты[Щит],Щиты[Кс силовых (табл. 7.5)]),1),1)),IF(OR(EQ172="Пост",EQ172="Отоп"),1,IF(EQ172="ВНГ",0.7,0))))))</f>
        <v>0.8</v>
      </c>
      <c r="ES172">
        <f t="shared" si="302"/>
        <v>1</v>
      </c>
      <c r="ET172">
        <f t="shared" si="303"/>
        <v>0.54</v>
      </c>
      <c r="EU172">
        <f t="shared" si="304"/>
        <v>0.54</v>
      </c>
      <c r="EV172">
        <f t="shared" si="305"/>
        <v>0</v>
      </c>
      <c r="EW172">
        <f t="shared" si="306"/>
        <v>0</v>
      </c>
      <c r="EX172">
        <f t="shared" si="307"/>
        <v>0</v>
      </c>
      <c r="EY172">
        <f t="shared" si="308"/>
        <v>0</v>
      </c>
      <c r="EZ172">
        <f t="shared" si="309"/>
        <v>0.54</v>
      </c>
      <c r="FA172">
        <f t="shared" si="310"/>
        <v>0.51300000000000001</v>
      </c>
      <c r="FB172">
        <f t="shared" si="311"/>
        <v>0.54</v>
      </c>
      <c r="FC172" t="str">
        <f t="shared" si="312"/>
        <v>L2</v>
      </c>
      <c r="FD172" t="str">
        <f>IF(B172="","",IF(CA172=0,IF(AW172=1,"",FF171),IF(OR(N(CV172)&gt;=3,N(BR172)&gt;=3),"L1,L2,L3",IFERROR(_xlfn.TEXTBEFORE(_xlfn.TEXTAFTER(_xlfn.XLOOKUP(A172,Щиты[Щит],Щиты[_фазы авто]),";"&amp;AW172&amp;":"),";"),"L1"))))</f>
        <v>L1</v>
      </c>
      <c r="FE172" t="str">
        <f t="shared" si="313"/>
        <v>L2</v>
      </c>
      <c r="FF172" t="str">
        <f t="shared" si="314"/>
        <v>L2</v>
      </c>
      <c r="FG172" cm="1">
        <f t="array" ref="FG172">IFERROR(IF(BX172=2,_xlfn.IFS(BR172=3,VLOOKUP(BN172,Справочная_двигатели,3,FALSE),BR172=1,VLOOKUP(BN172,Справочная_двигатели,5,TRUE)),0),0)</f>
        <v>0</v>
      </c>
      <c r="FH172">
        <f>IFERROR(IF(BX172=3,VLOOKUP(BN172,Справочная_ЛЭД,2,TRUE),0),0)</f>
        <v>0</v>
      </c>
      <c r="FI172" s="6">
        <f t="shared" si="315"/>
        <v>0</v>
      </c>
      <c r="FJ172" t="str" cm="1">
        <f t="array" ref="FJ172">IF(B172="","",IFERROR(INDEX({"I особая","I","II","III"},MATCH(TRIM(AC172&amp;""),{"I особая","I","II","III"},0)),"III"))</f>
        <v>II</v>
      </c>
      <c r="FK172" t="str">
        <f>IF(B172="","",IF(TRIM(AD172&amp;"")&lt;&gt;"",IF(LOWER(TRIM(AD172&amp;""))="да","да","нет"),IF(IFERROR(_xlfn.XLOOKUP(AX172,Коды_код,Коды_пожарная),"")="да","да","нет")))</f>
        <v>нет</v>
      </c>
      <c r="FL172" t="str">
        <f t="shared" si="316"/>
        <v/>
      </c>
      <c r="FM172" t="str">
        <f t="shared" si="317"/>
        <v>основная</v>
      </c>
      <c r="FN172">
        <f t="shared" si="318"/>
        <v>1</v>
      </c>
      <c r="FO172" t="str" cm="1">
        <f t="array" ref="FO172">IF(B172="","",_xlfn.LET(_xlpm.t,IFERROR(_xlfn.XLOOKUP(1,(Шины[Шина]=FM172)*(((Шины[Щит]=A172)+(Шины[Щит]=""))&gt;0),Шины[Тип]),"")&amp;"",IF(_xlpm.t&lt;&gt;"",_xlpm.t,IF(ISNUMBER(SEARCH("ИБП",FM172)),"ИБП",IF(ISNUMBER(SEARCH("ДГУ",FM172)),"ДГУ","Ввод "&amp;FN172)))))</f>
        <v>Ввод 1</v>
      </c>
      <c r="FP172" t="str">
        <f t="shared" si="319"/>
        <v>Ввод 1</v>
      </c>
      <c r="FQ172" t="str">
        <f>IF(B172="","",IF(OR(FO172="ИБП",FO172="ДГУ"),"I особая",IF(FO172="Одиночная","III",_xlfn.XLOOKUP(A172,Щиты[Щит],Щиты[Категория шины «Ввод»],"III"))))</f>
        <v>II</v>
      </c>
      <c r="FR172">
        <f>IF(B172="",0,IFERROR(MATCH(FJ172,{"III","II","I","I особая"},0),1))</f>
        <v>2</v>
      </c>
      <c r="FS172">
        <f t="shared" si="320"/>
        <v>2</v>
      </c>
      <c r="FT172" t="str">
        <f>IF(B172="","",IF(FR172&gt;IFERROR(MATCH(FQ172,{"III","II","I","I особая"},0),1),"НЕ ОБЕСПЕЧЕНА","ОК"))</f>
        <v>ОК</v>
      </c>
      <c r="FU172" t="str">
        <f>IF(A172="","",_xlfn.XLOOKUP(A172,Щиты[Щит],Щиты[Путь],""))</f>
        <v>|ГРЩ-ЖД|ЩР-001|</v>
      </c>
      <c r="FV172" t="str">
        <f>IF(B172="","",IF(AE172&lt;&gt;"",AE172,IF(IFERROR(_xlfn.XLOOKUP(AX172,Коды_код,Коды_вид)&amp;"","")="","Прочее",_xlfn.XLOOKUP(AX172,Коды_код,Коды_вид)&amp;"")))</f>
        <v>Розеточная сеть и бытовые приборы</v>
      </c>
      <c r="FW172">
        <f>IF(BH172="","",INT((BH172-1)/Столбцов_на_лист)+1)</f>
        <v>3</v>
      </c>
      <c r="FX172" t="str">
        <f t="shared" si="321"/>
        <v>ВВГнг(А)-LS (3х2,5) L=76-1,4%</v>
      </c>
      <c r="FY172">
        <f t="shared" si="322"/>
        <v>0.54</v>
      </c>
      <c r="FZ172">
        <f t="shared" si="323"/>
        <v>2.4699999999999998</v>
      </c>
      <c r="GA172">
        <f t="shared" si="324"/>
        <v>1</v>
      </c>
      <c r="GB172">
        <f t="shared" si="325"/>
        <v>0</v>
      </c>
      <c r="GC172">
        <f t="shared" si="326"/>
        <v>1</v>
      </c>
      <c r="GD172">
        <f>IF(BH172="","",IF(AND(CA172=1,GC172=1),COUNTIFS(A$3:A172,A172,CA$3:CA172,1,GC$3:GC172,1),IF(OR(OR(AW172=1,A172&lt;&gt;A171),AF172="вручную",GC172=0),"",IF(AW172=1,"",GE171))))</f>
        <v>18</v>
      </c>
      <c r="GE172">
        <f t="shared" si="327"/>
        <v>18</v>
      </c>
      <c r="GF172">
        <f>IF(B172="","",IFERROR(LOOKUP(INDEX(CHOOSE(DL172,Iдоп_1ж,Iдоп_2ж,Iдоп_3ж),MATCH(DX172,Iдоп_S,0))*DJ172*DK172,{6,10,16,20,25,32,40,50,63,80,100,125,160,200,250,315,400,500,630}),""))</f>
        <v>25</v>
      </c>
      <c r="GG172" t="str">
        <f t="shared" si="328"/>
        <v>QFD18</v>
      </c>
      <c r="GH172" t="str">
        <f t="shared" si="329"/>
        <v>QFD18</v>
      </c>
      <c r="GI172" t="str">
        <f t="shared" si="330"/>
        <v/>
      </c>
      <c r="GJ172">
        <f t="shared" si="331"/>
        <v>0</v>
      </c>
      <c r="GK172" t="str">
        <f>IF(OR(AG172="",AG172="-"),"",IFERROR(VLOOKUP(AG172,Модули_спр,2,FALSE),"R"))</f>
        <v/>
      </c>
      <c r="GL172" t="str">
        <f>IF(GK172="","",GK172&amp;"."&amp;COUNTIFS(A$3:A172,A172,GK$3:GK172,GK172))</f>
        <v/>
      </c>
      <c r="GM172" t="str">
        <f t="shared" si="332"/>
        <v/>
      </c>
      <c r="GN172" t="str">
        <f t="shared" si="333"/>
        <v/>
      </c>
      <c r="GO172" t="str">
        <f t="shared" si="334"/>
        <v/>
      </c>
      <c r="GP172" t="str">
        <f t="shared" si="335"/>
        <v/>
      </c>
      <c r="GQ172">
        <f t="shared" si="336"/>
        <v>1</v>
      </c>
      <c r="GR172" t="str">
        <f>IF(GQ172=1,"XT"&amp;COUNTIFS(A$3:A172,A172,GQ$3:GQ172,1),"")</f>
        <v>XT18</v>
      </c>
      <c r="GS172" t="str">
        <f t="shared" si="337"/>
        <v/>
      </c>
      <c r="GT172" t="str">
        <f t="shared" si="338"/>
        <v>QFD18</v>
      </c>
      <c r="GU172" t="str">
        <f t="shared" si="339"/>
        <v/>
      </c>
      <c r="GV172" t="str">
        <f t="shared" si="340"/>
        <v>ok</v>
      </c>
      <c r="GW172" t="str">
        <f>IF(OR(GO172="",GM172=""),"",IF(GO172&gt;IFERROR(VLOOKUP(GN172,Модули_спр,3,FALSE),99),"ЛИШНИЙ КАНАЛ",IF(AND(AH172&lt;&gt;"=",COUNTIFS(Линии[_модуль гр.],GM172,Линии[Канал (итог)],GO172,Линии[Канал],"&lt;&gt;=",Линии[Щит],A172)&gt;1),"ДУБЛЬ КАНАЛА","")))</f>
        <v/>
      </c>
      <c r="GX172" s="6" t="str">
        <f t="shared" si="341"/>
        <v/>
      </c>
      <c r="GY172">
        <f t="shared" si="342"/>
        <v>10</v>
      </c>
      <c r="GZ172" t="str">
        <f t="shared" si="343"/>
        <v/>
      </c>
      <c r="HA172" t="str">
        <f>IF(AND(B172="",GT172=""),"",_xlfn.TEXTJOIN("; ",TRUE,IF(AND(B172&lt;&gt;"",FE172=""),"нет фазы",""),IF(AND(B172&lt;&gt;"",N(FY172)=0,EQ172&lt;&gt;"Нет"),"нет мощности",""),IF(AND(GS172&lt;&gt;"",COUNTIFS(Линии[Щит],A172,Линии[Клемма (итог)],GS172)&gt;1),"дубль клеммы "&amp;GS172,""),IF(AND(GV172&lt;&gt;"",GV172&lt;&gt;"ok"),GV172,""),IF(GW172&lt;&gt;"",GW172,""),IF(AND(N(BV172)&gt;=4,N(BR172)=1),BV172&amp;" жил на 1 фазе",""),IF(AND(AX172="R",CA172=1,OR(N(CK172)=0,N(CK172)&gt;30)),"розетка без дифзащиты до 30 мА",""),IFERROR(IF(AND(ISNUMBER(R172),R172&gt;DV172),"потери "&amp;FIXED(R172,1)&amp;" % &gt; "&amp;DV172&amp;" %",""),""),IFERROR(IF(LEFT(GZ172,4)="мало","Iкз мало — отключение &gt; 0,4 с",""),""),IF(AND(B172&lt;&gt;"",BH172=""),"не на схеме",""),IF(AND(CA172=0,B172&lt;&gt;"",FE172&lt;&gt;"",IF(AW172=1,"",FF171)&lt;&gt;"",FE172&lt;&gt;IF(AW172=1,"",FF171)),"фаза не как у автомата группы ("&amp;IF(AW172=1,"",FF171)&amp;")","")))</f>
        <v/>
      </c>
      <c r="HB172" s="6">
        <f>IF(OR(CA172=0,DA172=""),"",_xlfn.LET(_xlpm.t,IFERROR(_xlfn.XLOOKUP(DA172,Каталог!$U$4:$U$500,Каталог!$G$4:$G$500),""),_xlpm.k,SEARCH("кА",_xlpm.t),IFERROR(--TRIM(RIGHT(SUBSTITUTE(MID(_xlpm.t,MAX(1,_xlpm.k-4),_xlpm.k-MAX(1,_xlpm.k-4))," ",REPT(" ",9)),5)),"")))</f>
        <v>6</v>
      </c>
      <c r="HC172" t="str">
        <f>IF(OR(HB172="",CA172=0),"",IF(_xlfn.XLOOKUP(A172,Щиты[Щит],Щиты[Iкз max на шинах, кА],"")="","",IF(HB172&lt;_xlfn.XLOOKUP(A172,Щиты[Щит],Щиты[Iкз max на шинах, кА]),"Icu "&amp;HB172&amp;" кА &lt; Iкз max","ok")))</f>
        <v/>
      </c>
      <c r="HD172" t="str">
        <f t="shared" si="344"/>
        <v/>
      </c>
      <c r="HE172" t="str">
        <f t="shared" si="345"/>
        <v>QFD18</v>
      </c>
      <c r="HF172" t="str">
        <f t="shared" si="346"/>
        <v>QFD18|кабель ВВГнг(А)-LS (3х2,5) → Розеточная группа, пом. 004Б</v>
      </c>
      <c r="HG172" t="str" cm="1">
        <f t="array" ref="HG172">IF(HF172="","",_xlfn.LET(_xlpm.nd,_xlfn.TEXTSPLIT(HF172,"|"),IF(COLUMNS(_xlpm.nd)&gt;1,A172&amp;"¦"&amp;INDEX(_xlpm.nd,1)&amp;"¦"&amp;INDEX(_xlpm.nd,2),"")))</f>
        <v>ЩР-001¦QFD18¦кабель ВВГнг(А)-LS (3х2,5) → Розеточная группа, пом. 004Б</v>
      </c>
      <c r="HH172" t="str">
        <f t="shared" si="347"/>
        <v>R.00.004Б.1¦Розеточная группа, пом. 004Б</v>
      </c>
      <c r="HI172" t="str" cm="1">
        <f t="array" ref="HI172">IF(HF172="","",_xlfn.LET(_xlpm.nd,_xlfn.TEXTSPLIT(HF172,"|"),IF(COLUMNS(_xlpm.nd)&gt;2,A172&amp;"¦"&amp;INDEX(_xlpm.nd,2)&amp;"¦"&amp;INDEX(_xlpm.nd,3),"")))</f>
        <v/>
      </c>
      <c r="HJ172" t="str">
        <f t="shared" si="348"/>
        <v/>
      </c>
      <c r="HK172" t="str" cm="1">
        <f t="array" ref="HK172">IF(HF172="","",_xlfn.LET(_xlpm.nd,_xlfn.TEXTSPLIT(HF172,"|"),IF(COLUMNS(_xlpm.nd)&gt;3,A172&amp;"¦"&amp;INDEX(_xlpm.nd,3)&amp;"¦"&amp;INDEX(_xlpm.nd,4),"")))</f>
        <v/>
      </c>
      <c r="HL172" t="str">
        <f t="shared" si="349"/>
        <v/>
      </c>
      <c r="HM172" t="str" cm="1">
        <f t="array" ref="HM172">IF(HF172="","",_xlfn.LET(_xlpm.nd,_xlfn.TEXTSPLIT(HF172,"|"),IF(COLUMNS(_xlpm.nd)&gt;4,A172&amp;"¦"&amp;INDEX(_xlpm.nd,4)&amp;"¦"&amp;INDEX(_xlpm.nd,5),"")))</f>
        <v/>
      </c>
      <c r="HN172" t="str">
        <f t="shared" si="350"/>
        <v/>
      </c>
      <c r="HO172" t="str" cm="1">
        <f t="array" ref="HO172">IF(HF172="","",_xlfn.LET(_xlpm.nd,_xlfn.TEXTSPLIT(HF172,"|"),IF(COLUMNS(_xlpm.nd)&gt;5,A172&amp;"¦"&amp;INDEX(_xlpm.nd,5)&amp;"¦"&amp;INDEX(_xlpm.nd,6),"")))</f>
        <v/>
      </c>
      <c r="HP172" t="str">
        <f t="shared" si="351"/>
        <v/>
      </c>
      <c r="HQ172" t="str" cm="1">
        <f t="array" ref="HQ172">IF(HF172="","",_xlfn.LET(_xlpm.nd,_xlfn.TEXTSPLIT(HF172,"|"),IF(COLUMNS(_xlpm.nd)&gt;6,A172&amp;"¦"&amp;INDEX(_xlpm.nd,6)&amp;"¦"&amp;INDEX(_xlpm.nd,7),"")))</f>
        <v/>
      </c>
      <c r="HR172" t="str">
        <f t="shared" si="352"/>
        <v/>
      </c>
      <c r="HS172" t="str">
        <f t="shared" si="353"/>
        <v/>
      </c>
      <c r="HT172" t="str">
        <f t="shared" si="354"/>
        <v>QFD18</v>
      </c>
      <c r="HU172">
        <f t="shared" si="355"/>
        <v>0</v>
      </c>
      <c r="HV172">
        <f t="shared" si="356"/>
        <v>1</v>
      </c>
      <c r="HW172" t="str">
        <f t="shared" si="357"/>
        <v/>
      </c>
      <c r="HX172" t="str">
        <f t="shared" si="358"/>
        <v/>
      </c>
      <c r="HY172" t="str">
        <f t="shared" si="359"/>
        <v/>
      </c>
      <c r="HZ172" t="str">
        <f t="shared" si="360"/>
        <v/>
      </c>
      <c r="IA172" t="str">
        <f>IF(B172="","",IFERROR(VLOOKUP(B172,УГО_спр,2,FALSE),IFERROR(VLOOKUP(AX172,УГО_спр,2,FALSE),IFERROR(VLOOKUP(LEFT(AX172,2),УГО_спр,2,FALSE),""))))</f>
        <v>Розетка</v>
      </c>
      <c r="IB172" t="str">
        <f>IF(B172="","",IF(OR(IA172="",IA172=0),"BOX",IFERROR(IF(VLOOKUP(IA172,УГО_блоки,3,FALSE)&amp;""&lt;&gt;"",VLOOKUP(IA172,УГО_блоки,3,FALSE),VLOOKUP(IA172,УГО_блоки,2,FALSE)),IA172)))</f>
        <v>SOCKET</v>
      </c>
      <c r="IC172">
        <f t="shared" si="361"/>
        <v>1</v>
      </c>
      <c r="ID172" t="str">
        <f>IF(DA172="","",IF(COUNTIF(DA$3:DA172,DA172)=1,MAX(ID$2:ID171)+1,""))</f>
        <v/>
      </c>
      <c r="IE172" t="str">
        <f>IF(CO172="","",IF(COUNTIF(CO$3:CO172,CO172)+COUNTIF(CP$2:CP171,CO172)+COUNTIF(CQ$2:CQ171,CO172)=1,MAX(IE$2:IG171)+1,""))</f>
        <v/>
      </c>
      <c r="IF172" t="str">
        <f>IF(CP172="","",IF(COUNTIF(CO$3:CO172,CP172)+COUNTIF(CP$3:CP172,CP172)+COUNTIF(CQ$2:CQ171,CP172)=1,MAX(IE$2:IG171,IE172)+1,""))</f>
        <v/>
      </c>
      <c r="IG172" t="str">
        <f>IF(CQ172="","",IF(COUNTIF(CO$3:CO172,CQ172)+COUNTIF(CP$3:CP172,CQ172)+COUNTIF(CQ$3:CQ172,CQ172)=1,MAX(IE$2:IG171,IE172,IF172)+1,""))</f>
        <v/>
      </c>
      <c r="IH172" t="str">
        <f t="shared" si="362"/>
        <v>3х2,5</v>
      </c>
      <c r="II172" t="str">
        <f>IF(IH172="","",IF(COUNTIF(IH$3:IH172,IH172)=1,MAX(II$2:II171)+1,""))</f>
        <v/>
      </c>
      <c r="IJ172" t="str">
        <f>IF(GL172="","",COUNTIF(GL$3:GL172,"?*"))</f>
        <v/>
      </c>
      <c r="IK172" t="str">
        <f>IF(OR(GL172="",GN172=""),"",IF(COUNTIFS(GL$3:GL172,"?*",GN$3:GN172,GN172)=1,MAX(IK$2:IK171)+1,""))</f>
        <v/>
      </c>
      <c r="IL172">
        <f t="shared" si="363"/>
        <v>0</v>
      </c>
      <c r="IM172">
        <f>IF(B172="","",COUNTIF(B$3:B172,"?*"))</f>
        <v>170</v>
      </c>
      <c r="IN172">
        <f>IF(GQ172&lt;&gt;1,0,_xlfn.LET(_xlpm.k,MAX(IFERROR(--VLOOKUP(B172,УГО_спр,5,FALSE),0),IFERROR(--VLOOKUP(AX172,УГО_спр,5,FALSE),0),IFERROR(--VLOOKUP(LEFT(AX172,2),УГО_спр,5,FALSE),0)),IF(_xlpm.k&gt;0,_xlpm.k,IF(IFERROR(--LEFT(SUBSTITUTE(IH172,"x","х"),FIND("х",SUBSTITUTE(IH172,"x","х"))-1),3)&gt;3,Каталог!$S$9,1))))</f>
        <v>1</v>
      </c>
      <c r="IO172">
        <f t="shared" si="364"/>
        <v>0</v>
      </c>
      <c r="IP172" t="str">
        <f t="shared" si="365"/>
        <v>авто</v>
      </c>
      <c r="IQ172">
        <f t="shared" si="366"/>
        <v>30</v>
      </c>
      <c r="IR172">
        <f t="shared" si="367"/>
        <v>1</v>
      </c>
      <c r="IS172">
        <f t="shared" si="368"/>
        <v>1</v>
      </c>
    </row>
    <row r="173" spans="1:253" x14ac:dyDescent="0.3">
      <c r="A173" t="s">
        <v>755</v>
      </c>
      <c r="B173" t="s">
        <v>1440</v>
      </c>
      <c r="C173" t="str">
        <f>Линии[[#This Row],[_авто наименование]]</f>
        <v>Розеточная группа, пом. 005Б</v>
      </c>
      <c r="D173">
        <v>4</v>
      </c>
      <c r="E173">
        <v>0.48</v>
      </c>
      <c r="G173">
        <v>16</v>
      </c>
      <c r="H173">
        <f>Линии[[#This Row],[_авто утечка]]</f>
        <v>30</v>
      </c>
      <c r="I173" t="str">
        <f>Линии[[#This Row],[_авто управление]]</f>
        <v/>
      </c>
      <c r="J173" t="str">
        <f>Линии[[#This Row],[_авто аппараты]]</f>
        <v/>
      </c>
      <c r="K173">
        <v>2.5</v>
      </c>
      <c r="L173">
        <v>50</v>
      </c>
      <c r="M173">
        <v>3</v>
      </c>
      <c r="N173" t="s">
        <v>486</v>
      </c>
      <c r="O173" t="str">
        <f t="shared" si="246"/>
        <v/>
      </c>
      <c r="P173" s="6" cm="1">
        <f t="array" ref="P173">IF(B173="","",IF(BC173&lt;&gt;"",IFERROR(_xlfn.XLOOKUP(BC173,Щиты[Щит],Щиты[Iр, А]),""),IF(BK173=1,IFERROR(_xlfn.XLOOKUP(A173,Щиты[Щит],Щиты[Iр, А]),""),IFERROR(_xlfn.IFS(BR173=1,BN173/((Uн_лин/SQRT(3))*BY173),BR173=3,BN173/(SQRT(3)*Uн_лин*BY173)),""))))</f>
        <v>2.1878536516659501</v>
      </c>
      <c r="Q173" s="7">
        <f>IF(B173="","",IFERROR(IF(VLOOKUP(AX173,Потребители_обозначение,4,FALSE)=1,VLOOKUP(AX173,Потребители_обозначение,3,FALSE)*(D173*2-1)+DS173+VLOOKUP(AZ173,Этаж_обозначение,3,FALSE)+VLOOKUP(AZ173,Этаж_обозначение,4,FALSE),VLOOKUP(AX173,Потребители_обозначение,3,FALSE)*(D173*2-1)+DS173),DS173))</f>
        <v>71</v>
      </c>
      <c r="R173" s="6">
        <f t="shared" si="247"/>
        <v>2.73</v>
      </c>
      <c r="S173" t="str">
        <f t="shared" si="248"/>
        <v>ВВГнг(А)-LS (3х2,5)</v>
      </c>
      <c r="T173" t="str">
        <f>IF(BH173="","",IF(BI173="вводной узел","узел ","")&amp;"л."&amp;(INT((BH173-1)/Столбцов_на_лист)+1)&amp;" / "&amp;(MOD(BH173-1,Столбцов_на_лист)+1))</f>
        <v>л.3 / 4</v>
      </c>
      <c r="V173">
        <v>1</v>
      </c>
      <c r="W173">
        <v>230</v>
      </c>
      <c r="X173" t="s">
        <v>564</v>
      </c>
      <c r="AC173" t="s">
        <v>815</v>
      </c>
      <c r="AE173" t="s">
        <v>563</v>
      </c>
      <c r="AI173">
        <v>38</v>
      </c>
      <c r="AJ173" t="s">
        <v>11</v>
      </c>
      <c r="AK173">
        <v>3</v>
      </c>
      <c r="AM173">
        <v>26</v>
      </c>
      <c r="AN173">
        <v>0</v>
      </c>
      <c r="AO173">
        <v>14</v>
      </c>
      <c r="AW173" cm="1">
        <f t="array" ref="AW173">ROW()-ROW(Линии[#Headers])</f>
        <v>171</v>
      </c>
      <c r="AX173" s="6" t="str">
        <f t="shared" si="249"/>
        <v>R</v>
      </c>
      <c r="AY173" t="str">
        <f t="shared" si="250"/>
        <v>00.005Б.1</v>
      </c>
      <c r="AZ173" t="str">
        <f t="shared" si="251"/>
        <v>00</v>
      </c>
      <c r="BA173" t="str">
        <f t="shared" si="252"/>
        <v>005Б.1</v>
      </c>
      <c r="BB173" t="str">
        <f t="shared" si="253"/>
        <v>005Б</v>
      </c>
      <c r="BC173" t="str">
        <f>IF(U173&lt;&gt;"",U173,IF(AND(B173&lt;&gt;"",B173&lt;&gt;A173,ISNUMBER(_xlfn.XMATCH(B173,Щиты[Щит]))),B173,""))</f>
        <v/>
      </c>
      <c r="BD173" t="str" cm="1">
        <f t="array" ref="BD173">IF(B173="","",IF(BC173&lt;&gt;"","Щит "&amp;BC173,_xlfn.LET(_xlpm.nm,IFERROR(_xlfn.XLOOKUP(AX173,Коды_код,Коды_имя)&amp;"",""),_xlpm.md,IFERROR(N(_xlfn.XLOOKUP(AX173,Коды_код,Коды_режим)),1),_xlpm.ex,IF(Имя_режим="по экспликации",IFERROR(_xlfn.XLOOKUP(AZ173&amp;"|"&amp;BB173,Экспликация[Этаж]&amp;"|"&amp;Экспликация[Помещение],Экспликация[Название])&amp;"",""),""),_xlpm.rm,IF(BB173="","",IF(_xlpm.ex&lt;&gt;"",". "&amp;_xlpm.ex&amp;IF(Имя_пом="нет"," ("&amp;BB173&amp;")"," (пом. "&amp;BB173&amp;")"),IF(Имя_пом="нет"," ",", пом. ")&amp;BB173)),IF(_xlpm.nm="","",IF(_xlpm.md=2,_xlpm.nm&amp;" шлейф "&amp;AZ173,_xlpm.nm&amp;_xlpm.rm)))))</f>
        <v>Розеточная группа, пом. 005Б</v>
      </c>
      <c r="BE173" t="str">
        <f t="shared" si="254"/>
        <v>Розеточная группа, пом. 005Б</v>
      </c>
      <c r="BF173">
        <f>IFERROR(_xlfn.XMATCH(A173,Щиты[Щит]),0)</f>
        <v>8</v>
      </c>
      <c r="BG173">
        <f>_xlfn.LET(_xlpm.k,IFERROR(_xlfn.XLOOKUP(A173,Щиты[Щит],Щиты[Листов под вводной узел]),""),IF(_xlpm.k="",1,N(_xlpm.k))*Столбцов_на_лист)</f>
        <v>17</v>
      </c>
      <c r="BH173">
        <f t="shared" si="255"/>
        <v>38</v>
      </c>
      <c r="BI173" t="str">
        <f t="shared" si="256"/>
        <v>линии</v>
      </c>
      <c r="BJ173" s="6">
        <f>IFERROR(N(_xlfn.XLOOKUP(AX173,Коды_код,Коды_квт)),0)</f>
        <v>0</v>
      </c>
      <c r="BK173">
        <f t="shared" si="257"/>
        <v>0</v>
      </c>
      <c r="BL173" t="str">
        <f>IF(B173="","",IF(BC173&lt;&gt;"",IFERROR(_xlfn.XLOOKUP(BC173,Щиты[Щит],Щиты[Руст, кВт]),0),IF(BK173=1,IFERROR(_xlfn.XLOOKUP(A173,Щиты[Щит],Щиты[Руст, кВт]),0),IF(BJ173&gt;0,ROUND(BJ173*MAX(1,N(D173)),3),""))))</f>
        <v/>
      </c>
      <c r="BM173">
        <f t="shared" si="258"/>
        <v>0.48</v>
      </c>
      <c r="BN173" s="6">
        <f>IF(B173="","",IF(BC173&lt;&gt;"",IFERROR(_xlfn.XLOOKUP(BC173,Щиты[Щит],Щиты[Руст, кВт]),0),N(BM173)))</f>
        <v>0.48</v>
      </c>
      <c r="BO173" t="str">
        <f>IF(B173="","",IFERROR(IF(VLOOKUP(AX173,Потребители_обозначение,8,FALSE)=0,"",VLOOKUP(AX173,Потребители_обозначение,8,FALSE)),""))</f>
        <v/>
      </c>
      <c r="BP173">
        <f t="shared" si="259"/>
        <v>230</v>
      </c>
      <c r="BQ173">
        <f>IF(B173="","",IF(BC173&lt;&gt;"",3,IFERROR(IF(N(VLOOKUP(AX173,Потребители_обозначение,9,FALSE))=0,1,VLOOKUP(AX173,Потребители_обозначение,9,FALSE)),1)))</f>
        <v>1</v>
      </c>
      <c r="BR173">
        <f t="shared" si="260"/>
        <v>1</v>
      </c>
      <c r="BS173" t="str">
        <f>IF(B173="","",_xlfn.LET(_xlpm.bc,IFERROR(IF(VLOOKUP(AX173,Потребители_обозначение,6,FALSE)=0,"",VLOOKUP(AX173,Потребители_обозначение,6,FALSE)&amp;""),""),IF(AND(FK173="да",OR(_xlpm.bc="",_xlpm.bc="мс")),Марка_пож,IF(AND(_xlpm.bc="",BC173&lt;&gt;""),"мс",_xlpm.bc))))</f>
        <v/>
      </c>
      <c r="BT173" t="str">
        <f t="shared" si="261"/>
        <v>мс</v>
      </c>
      <c r="BU173">
        <f>IF(B173="","",_xlfn.LET(_xlpm.cc,IFERROR(N(VLOOKUP(AX173,Потребители_обозначение,7,FALSE)),0),IF(_xlpm.cc&gt;0,_xlpm.cc,IF(BT173="","",IF(N(BR173)=3,5,3)))))</f>
        <v>3</v>
      </c>
      <c r="BV173">
        <f t="shared" si="262"/>
        <v>3</v>
      </c>
      <c r="BW173">
        <f>IFERROR(N(VLOOKUP(AX173,Потребители_обозначение,10,FALSE)),0)</f>
        <v>0</v>
      </c>
      <c r="BX173">
        <f>IFERROR(VLOOKUP(AX173,Потребители_обозначение,5,FALSE),0)</f>
        <v>1</v>
      </c>
      <c r="BY173" s="6" cm="1">
        <f t="array" ref="BY173">IF(B173="","",IF(BC173&lt;&gt;"",IFERROR(_xlfn.XLOOKUP(BC173,Щиты[Щит],Щиты[cos φ]),0.95),IF(BK173=1,IFERROR(_xlfn.XLOOKUP(A173,Щиты[Щит],Щиты[cos φ]),0.95),IF(ISNUMBER(Z173),Z173,IFERROR(IF(BX173=2,_xlfn.IFS(BR173=3,VLOOKUP(BN173,Справочная_двигатели,8,FALSE),BR173=1,VLOOKUP(BN173,Справочная_двигатели,10,TRUE)),IF(AND(Методика="нормы 2026",EQ173="Сил"),0.8,0.95)),0.95)))))</f>
        <v>0.95</v>
      </c>
      <c r="BZ173">
        <f t="shared" si="263"/>
        <v>0</v>
      </c>
      <c r="CA173">
        <f t="shared" si="264"/>
        <v>1</v>
      </c>
      <c r="CB173">
        <f t="shared" si="265"/>
        <v>0</v>
      </c>
      <c r="CC173">
        <f t="shared" si="266"/>
        <v>0</v>
      </c>
      <c r="CD173">
        <f t="shared" si="267"/>
        <v>0</v>
      </c>
      <c r="CE173">
        <f t="shared" si="268"/>
        <v>0</v>
      </c>
      <c r="CF173">
        <f t="shared" si="269"/>
        <v>0</v>
      </c>
      <c r="CG173">
        <f>IF(AX173="",0,_xlfn.LET(_xlpm.v,IFERROR(VLOOKUP(B173,УГО_спр,3,FALSE),IFERROR(VLOOKUP(AX173,УГО_спр,3,FALSE),IFERROR(VLOOKUP(LEFT(AX173,2),УГО_спр,3,FALSE),""))),IF(_xlpm.v="да",30,IF(ISNUMBER(_xlpm.v),_xlpm.v,0))))</f>
        <v>30</v>
      </c>
      <c r="CH173">
        <f t="shared" si="270"/>
        <v>30</v>
      </c>
      <c r="CI173" t="str">
        <f>_xlfn.LET(_xlpm.k,IFERROR(_xlfn.XLOOKUP(AX173,Коды_код,Коды_утечка)&amp;"",""),IF(_xlpm.k="","дифавтомат",_xlpm.k))</f>
        <v>дифавтомат</v>
      </c>
      <c r="CJ173">
        <f t="shared" si="271"/>
        <v>30</v>
      </c>
      <c r="CK173">
        <f t="shared" si="272"/>
        <v>30</v>
      </c>
      <c r="CL173">
        <f>IF(B173="",0,IFERROR(--VLOOKUP(B173,УГО_спр,4,FALSE),IFERROR(--VLOOKUP(AX173,УГО_спр,4,FALSE),IFERROR(--VLOOKUP(LEFT(AX173,2),УГО_спр,4,FALSE),0))))</f>
        <v>16</v>
      </c>
      <c r="CM173" t="str">
        <f>IF(B173="","",IFERROR(_xlfn.XLOOKUP(AX173,Коды_код,Коды_апп)&amp;"",""))</f>
        <v/>
      </c>
      <c r="CN173" t="str">
        <f t="shared" si="273"/>
        <v/>
      </c>
      <c r="CO173" t="str" cm="1">
        <f t="array" ref="CO173">IF(TRIM(CN173&amp;"")="","",IFERROR(TRIM(INDEX(_xlfn.TEXTSPLIT(CN173&amp;";;;",";"),1)),""))</f>
        <v/>
      </c>
      <c r="CP173" t="str" cm="1">
        <f t="array" ref="CP173">IF(TRIM(CN173&amp;"")="","",IFERROR(TRIM(INDEX(_xlfn.TEXTSPLIT(CN173&amp;";;;",";"),2)),""))</f>
        <v/>
      </c>
      <c r="CQ173" t="str" cm="1">
        <f t="array" ref="CQ173">IF(TRIM(CN173&amp;"")="","",IFERROR(TRIM(INDEX(_xlfn.TEXTSPLIT(CN173&amp;";;;",";"),3)),""))</f>
        <v/>
      </c>
      <c r="CR173">
        <f t="shared" si="274"/>
        <v>0</v>
      </c>
      <c r="CS173" t="str">
        <f>IF(B173="","",_xlfn.LET(_xlpm.t,LOWER(AV173&amp;""),IF(ISNUMBER(SEARCH("dim",_xlpm.t)),"DIM",IF(ISNUMBER(SEARCH("dali",_xlpm.t)),"DALI",IF(OR(ISNUMBER(SEARCH("relay",_xlpm.t)),ISNUMBER(SEARCH("реле",_xlpm.t))),"Relay",IF(ISNUMBER(SEARCH("кнопк",_xlpm.t)),"",IFERROR(_xlfn.XLOOKUP(AX173,Коды_код,Коды_упр)&amp;"","")))))))</f>
        <v/>
      </c>
      <c r="CT173" t="str">
        <f t="shared" si="275"/>
        <v/>
      </c>
      <c r="CU173">
        <f>IF(B173="","",_xlfn.LET(_xlpm.ig,N(P173)+IF(AF173="вручную",0,N(CB173)),_xlpm.n0,IFERROR(VLOOKUP(_xlpm.ig,Автомат_номиналы,2,TRUE),0),_xlpm.mn,MAX(CL173,IF(AF173="вручную",0,N(CE173))),MAX(_xlpm.n0,_xlpm.mn,IF(CR173=1,Мин_автомат_БП,0))))</f>
        <v>16</v>
      </c>
      <c r="CV173">
        <f t="shared" si="276"/>
        <v>1</v>
      </c>
      <c r="CW173" t="str">
        <f t="shared" si="277"/>
        <v>2P</v>
      </c>
      <c r="CX173" t="str">
        <f>_xlfn.LET(_xlpm.cc,UPPER(TRIM(IFERROR(_xlfn.XLOOKUP(AX173,Коды_код,Коды_хар)&amp;"",""))),IF(OR(_xlpm.cc="B",_xlpm.cc="В"),"B",IF(_xlpm.cc="D","D","С")))</f>
        <v>С</v>
      </c>
      <c r="CY173" t="str">
        <f t="shared" si="278"/>
        <v>2P С16А 30мА</v>
      </c>
      <c r="CZ173">
        <f t="shared" si="279"/>
        <v>16</v>
      </c>
      <c r="DA173" t="str">
        <f t="shared" si="280"/>
        <v>2P С16А 30мА</v>
      </c>
      <c r="DB173" cm="1">
        <f t="array" ref="DB173">IF(DA173="","",_xlfn.LET(_xlpm.t,SUBSTITUTE(SUBSTITUTE(SUBSTITUTE(UPPER(DA173),"С","C"),"А","A"),"В","B"),_xlpm.tk,_xlfn.TEXTSPLIT(_xlpm.t,"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3" t="str">
        <f t="shared" si="281"/>
        <v>ok</v>
      </c>
      <c r="DD173">
        <f t="shared" si="282"/>
        <v>16</v>
      </c>
      <c r="DE173" t="str">
        <f t="shared" si="283"/>
        <v>2P С16А 30мА</v>
      </c>
      <c r="DF173">
        <f t="shared" si="284"/>
        <v>30</v>
      </c>
      <c r="DG173">
        <f t="shared" si="285"/>
        <v>1</v>
      </c>
      <c r="DH173">
        <f t="shared" si="286"/>
        <v>0</v>
      </c>
      <c r="DI173">
        <f t="shared" si="287"/>
        <v>2.1878536516659501</v>
      </c>
      <c r="DJ173">
        <f t="shared" si="288"/>
        <v>1</v>
      </c>
      <c r="DK173">
        <f>IF(ISNUMBER(AL173),AL173,К_прокл)</f>
        <v>1</v>
      </c>
      <c r="DL173">
        <f t="shared" si="289"/>
        <v>2</v>
      </c>
      <c r="DM173">
        <f>IFERROR(N(VLOOKUP(BT173,Кабель_обозначение,3,FALSE)),1)</f>
        <v>1</v>
      </c>
      <c r="DN173">
        <f>IFERROR(N(_xlfn.XLOOKUP(A173,Щиты[Щит],Щиты[ΔU до шин, %])),0)</f>
        <v>1.57</v>
      </c>
      <c r="DO173" t="str">
        <f>IFERROR(_xlfn.XLOOKUP(A173,Щиты[Щит],Щиты[Zпетли на шинах, Ом]),"")</f>
        <v/>
      </c>
      <c r="DP173">
        <f>IFERROR(N(_xlfn.XLOOKUP(A173,Щиты[Щит],Щиты[ΔU до шин (подбор), %])),0)</f>
        <v>2.5</v>
      </c>
      <c r="DQ173" t="str">
        <f>IFERROR(_xlfn.XLOOKUP(A173,Щиты[Щит],Щиты[Zпетли на шинах (подбор), Ом]),"")</f>
        <v/>
      </c>
      <c r="DR173" t="str">
        <f t="shared" si="290"/>
        <v/>
      </c>
      <c r="DS173">
        <f t="shared" si="291"/>
        <v>50</v>
      </c>
      <c r="DT173">
        <f t="shared" si="292"/>
        <v>2</v>
      </c>
      <c r="DU173">
        <f t="shared" si="293"/>
        <v>0.31</v>
      </c>
      <c r="DV173" s="6">
        <f>IF(B173="","",IF(IFERROR(VLOOKUP(AX173,УГО_спр,2,FALSE),"")="Светильник",3,4)+IF(Методика="нормы 2026",MIN(0.5,MAX(0,N(Q173)-100)*0.005),0))</f>
        <v>4</v>
      </c>
      <c r="DW173" cm="1">
        <f t="array" ref="DW173">IF(OR(B173="",BT173="",DM173&lt;&gt;1),"",_xlfn.LET(_xlpm.sz,Iдоп_S,_xlpm.t_,CHOOSE(DL173,Iдоп_1ж,Iдоп_2ж,Iдоп_3ж)*DJ173*DK173,_xlpm.inn,N(DD173),_xlpm.smin,MAX(1.5,BW173),_xlpm.L_,N(Q173)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173)*(_xlpm.rho*_xlpm.L_/_xlpm.sz*N(BY173)+_xlpm.xx*_xlpm.L_*N(DU173)/1000)*N(P173)/((Uн_лин/SQRT(3))*1000)*100,999),_xlpm.kz,IF(OR(DG173=1,NOT(ISNUMBER(DQ173)),_xlpm.L_=0,_xlpm.inn=0),1,IFERROR(--(c_min*(Uн_лин*1000/SQRT(3))/(DQ173+2*ρкз_Cu*_xlpm.L_/_xlpm.sz)&gt;=GY173*_xlpm.inn),0)),_xlpm.ok,IFERROR((_xlpm.sz&gt;=_xlpm.smin)*(_xlpm.t_&gt;=_xlpm.inn)*IF(_xlpm.L_&gt;0,(_xlpm.du_+DP173&lt;=DV173+0.00001),1)*_xlpm.kz,0),_xlpm.r_,_xlfn._xlws.FILTER(_xlpm.sz,_xlpm.ok,"не подобрано"),INDEX(_xlpm.r_,1)))</f>
        <v>2.5</v>
      </c>
      <c r="DX173">
        <f t="shared" si="294"/>
        <v>2.5</v>
      </c>
      <c r="DY173" cm="1">
        <f t="array" ref="DY173">IF(OR(B173="",BT173="",DM173&lt;&gt;1),"",_xlfn.LET(_xlpm.sz,Iдоп_S,_xlpm.t_,CHOOSE(DL173,Iдоп_1ж,Iдоп_2ж,Iдоп_3ж)*DJ173*DK173,_xlpm.ok,IFERROR((_xlpm.sz&gt;=MAX(1.5,BW173))*(_xlpm.t_&gt;=N(DD173)),0),_xlpm.r_,_xlfn._xlws.FILTER(_xlpm.sz,_xlpm.ok,""),INDEX(_xlpm.r_,1)))</f>
        <v>1.5</v>
      </c>
      <c r="DZ173" s="6" cm="1">
        <f t="array" ref="DZ173">IFERROR(ROUNDUP(N(DT173)*(_xlfn.XLOOKUP(DY173,INDEX(Кабель_сопротивление,0,1),INDEX(Кабель_сопротивление,0,3))*N(Q173)/DY173*N(BY173)+_xlfn.XLOOKUP(DY173,INDEX(Кабель_сопротивление,0,1),INDEX(Кабель_сопротивление,0,2))*N(Q173)*N(DU173)/1000)*N(P173)/((Uн_лин/SQRT(3))*1000)*100,2),"")</f>
        <v>1.93</v>
      </c>
      <c r="EA173">
        <f>IFERROR(2*ρкз_Cu*N(Q173)/DY173,"")</f>
        <v>2.4897333333333331</v>
      </c>
      <c r="EB173">
        <f>IFERROR(VLOOKUP(DX173,Кабель_сопротивление,3,FALSE),"")</f>
        <v>2.2499999999999999E-2</v>
      </c>
      <c r="EC173">
        <f>IFERROR(VLOOKUP(DX173,Кабель_сопротивление,2,FALSE),"")</f>
        <v>0.1</v>
      </c>
      <c r="ED173">
        <f t="shared" si="295"/>
        <v>0</v>
      </c>
      <c r="EE173">
        <f t="shared" si="296"/>
        <v>14</v>
      </c>
      <c r="EF173">
        <f t="shared" si="297"/>
        <v>2.6659040502622635</v>
      </c>
      <c r="EG173" s="6">
        <f>IFERROR(ROUNDUP(EF173/((Uн_лин/SQRT(3))*1000)*100,2),"")</f>
        <v>1.1599999999999999</v>
      </c>
      <c r="EH173" t="str">
        <f>IFERROR(VLOOKUP(BT173,Кабель_обозначение,2,FALSE),"")</f>
        <v>ВВГнг(А)-LS</v>
      </c>
      <c r="EI173" t="str">
        <f t="shared" si="298"/>
        <v>ВВГнг(А)-LS (3х2,5)</v>
      </c>
      <c r="EJ173" t="str">
        <f t="shared" si="299"/>
        <v>ВВГнг(А)-LS (3х2,5)
L=71-1,16%</v>
      </c>
      <c r="EK173">
        <f>IFERROR(2*ρкз_Cu*Q173/DX173,"")</f>
        <v>1.4938400000000001</v>
      </c>
      <c r="EL173">
        <f t="shared" si="300"/>
        <v>0.49700000000000005</v>
      </c>
      <c r="EM173" s="6" t="str">
        <f>IFERROR(IF(OR(B173="",NOT(ISNUMBER(DX173)),N(Q173)=0),"",_xlfn.XLOOKUP(A173,Щиты[Щит],Щиты[Zпетли на шинах, Ом])+EK173),"")</f>
        <v/>
      </c>
      <c r="EN173" s="6" t="str">
        <f>IF(ISNUMBER(EM173),c_min*(Uн_лин*1000/SQRT(3))/EM173,"")</f>
        <v/>
      </c>
      <c r="EO173" s="6" t="str">
        <f>IFERROR(IF(OR(B173="",NOT(ISNUMBER(DX173))),"",1.05*(Uн_лин*1000/SQRT(3))/(_xlfn.XLOOKUP(A173,Щиты[Щит],Щиты[Zmax на шинах, Ом])+EL173)/1000),"")</f>
        <v/>
      </c>
      <c r="EP173" s="6" t="str">
        <f>IF(B173="","",IF(ISNUMBER(Y173),"Сил",IF(IFERROR(_xlfn.XLOOKUP(AX173,Коды_код,Коды_группа)&amp;"","")="","Быт",_xlfn.XLOOKUP(AX173,Коды_код,Коды_группа)&amp;"")))</f>
        <v>Быт</v>
      </c>
      <c r="EQ173" s="6" t="str">
        <f t="shared" si="301"/>
        <v>Быт</v>
      </c>
      <c r="ER173" s="6">
        <f>IF(EQ173="Щит","щит",IF(EQ173="","",IF(EQ173="Быт",IFERROR(_xlfn.XLOOKUP(A173,Щиты[Щит],Щиты[Кс быт]),1),IF(EQ173="Сил",IF(ISNUMBER(Y173),Y173,IF(Методика="нормы 2026",IFERROR(_xlfn.XLOOKUP(A173,Щиты[Щит],Щиты[Кс силовых (табл. 7.5)]),1),1)),IF(OR(EQ173="Пост",EQ173="Отоп"),1,IF(EQ173="ВНГ",0.7,0))))))</f>
        <v>0.8</v>
      </c>
      <c r="ES173">
        <f t="shared" si="302"/>
        <v>1</v>
      </c>
      <c r="ET173">
        <f t="shared" si="303"/>
        <v>0.48</v>
      </c>
      <c r="EU173">
        <f t="shared" si="304"/>
        <v>0.48</v>
      </c>
      <c r="EV173">
        <f t="shared" si="305"/>
        <v>0</v>
      </c>
      <c r="EW173">
        <f t="shared" si="306"/>
        <v>0</v>
      </c>
      <c r="EX173">
        <f t="shared" si="307"/>
        <v>0</v>
      </c>
      <c r="EY173">
        <f t="shared" si="308"/>
        <v>0</v>
      </c>
      <c r="EZ173">
        <f t="shared" si="309"/>
        <v>0.48</v>
      </c>
      <c r="FA173">
        <f t="shared" si="310"/>
        <v>0.45599999999999996</v>
      </c>
      <c r="FB173">
        <f t="shared" si="311"/>
        <v>0.48</v>
      </c>
      <c r="FC173" t="str">
        <f t="shared" si="312"/>
        <v>L3</v>
      </c>
      <c r="FD173" t="str">
        <f>IF(B173="","",IF(CA173=0,IF(AW173=1,"",FF172),IF(OR(N(CV173)&gt;=3,N(BR173)&gt;=3),"L1,L2,L3",IFERROR(_xlfn.TEXTBEFORE(_xlfn.TEXTAFTER(_xlfn.XLOOKUP(A173,Щиты[Щит],Щиты[_фазы авто]),";"&amp;AW173&amp;":"),";"),"L1"))))</f>
        <v>L1</v>
      </c>
      <c r="FE173" t="str">
        <f t="shared" si="313"/>
        <v>L3</v>
      </c>
      <c r="FF173" t="str">
        <f t="shared" si="314"/>
        <v>L3</v>
      </c>
      <c r="FG173" cm="1">
        <f t="array" ref="FG173">IFERROR(IF(BX173=2,_xlfn.IFS(BR173=3,VLOOKUP(BN173,Справочная_двигатели,3,FALSE),BR173=1,VLOOKUP(BN173,Справочная_двигатели,5,TRUE)),0),0)</f>
        <v>0</v>
      </c>
      <c r="FH173">
        <f>IFERROR(IF(BX173=3,VLOOKUP(BN173,Справочная_ЛЭД,2,TRUE),0),0)</f>
        <v>0</v>
      </c>
      <c r="FI173" s="6">
        <f t="shared" si="315"/>
        <v>0</v>
      </c>
      <c r="FJ173" t="str" cm="1">
        <f t="array" ref="FJ173">IF(B173="","",IFERROR(INDEX({"I особая","I","II","III"},MATCH(TRIM(AC173&amp;""),{"I особая","I","II","III"},0)),"III"))</f>
        <v>II</v>
      </c>
      <c r="FK173" t="str">
        <f>IF(B173="","",IF(TRIM(AD173&amp;"")&lt;&gt;"",IF(LOWER(TRIM(AD173&amp;""))="да","да","нет"),IF(IFERROR(_xlfn.XLOOKUP(AX173,Коды_код,Коды_пожарная),"")="да","да","нет")))</f>
        <v>нет</v>
      </c>
      <c r="FL173" t="str">
        <f t="shared" si="316"/>
        <v/>
      </c>
      <c r="FM173" t="str">
        <f t="shared" si="317"/>
        <v>основная</v>
      </c>
      <c r="FN173">
        <f t="shared" si="318"/>
        <v>1</v>
      </c>
      <c r="FO173" t="str" cm="1">
        <f t="array" ref="FO173">IF(B173="","",_xlfn.LET(_xlpm.t,IFERROR(_xlfn.XLOOKUP(1,(Шины[Шина]=FM173)*(((Шины[Щит]=A173)+(Шины[Щит]=""))&gt;0),Шины[Тип]),"")&amp;"",IF(_xlpm.t&lt;&gt;"",_xlpm.t,IF(ISNUMBER(SEARCH("ИБП",FM173)),"ИБП",IF(ISNUMBER(SEARCH("ДГУ",FM173)),"ДГУ","Ввод "&amp;FN173)))))</f>
        <v>Ввод 1</v>
      </c>
      <c r="FP173" t="str">
        <f t="shared" si="319"/>
        <v>Ввод 1</v>
      </c>
      <c r="FQ173" t="str">
        <f>IF(B173="","",IF(OR(FO173="ИБП",FO173="ДГУ"),"I особая",IF(FO173="Одиночная","III",_xlfn.XLOOKUP(A173,Щиты[Щит],Щиты[Категория шины «Ввод»],"III"))))</f>
        <v>II</v>
      </c>
      <c r="FR173">
        <f>IF(B173="",0,IFERROR(MATCH(FJ173,{"III","II","I","I особая"},0),1))</f>
        <v>2</v>
      </c>
      <c r="FS173">
        <f t="shared" si="320"/>
        <v>2</v>
      </c>
      <c r="FT173" t="str">
        <f>IF(B173="","",IF(FR173&gt;IFERROR(MATCH(FQ173,{"III","II","I","I особая"},0),1),"НЕ ОБЕСПЕЧЕНА","ОК"))</f>
        <v>ОК</v>
      </c>
      <c r="FU173" t="str">
        <f>IF(A173="","",_xlfn.XLOOKUP(A173,Щиты[Щит],Щиты[Путь],""))</f>
        <v>|ГРЩ-ЖД|ЩР-001|</v>
      </c>
      <c r="FV173" t="str">
        <f>IF(B173="","",IF(AE173&lt;&gt;"",AE173,IF(IFERROR(_xlfn.XLOOKUP(AX173,Коды_код,Коды_вид)&amp;"","")="","Прочее",_xlfn.XLOOKUP(AX173,Коды_код,Коды_вид)&amp;"")))</f>
        <v>Розеточная сеть и бытовые приборы</v>
      </c>
      <c r="FW173">
        <f>IF(BH173="","",INT((BH173-1)/Столбцов_на_лист)+1)</f>
        <v>3</v>
      </c>
      <c r="FX173" t="str">
        <f t="shared" si="321"/>
        <v>ВВГнг(А)-LS (3х2,5) L=71-1,16%</v>
      </c>
      <c r="FY173">
        <f t="shared" si="322"/>
        <v>0.48</v>
      </c>
      <c r="FZ173">
        <f t="shared" si="323"/>
        <v>2.19</v>
      </c>
      <c r="GA173">
        <f t="shared" si="324"/>
        <v>1</v>
      </c>
      <c r="GB173">
        <f t="shared" si="325"/>
        <v>0</v>
      </c>
      <c r="GC173">
        <f t="shared" si="326"/>
        <v>1</v>
      </c>
      <c r="GD173">
        <f>IF(BH173="","",IF(AND(CA173=1,GC173=1),COUNTIFS(A$3:A173,A173,CA$3:CA173,1,GC$3:GC173,1),IF(OR(OR(AW173=1,A173&lt;&gt;A172),AF173="вручную",GC173=0),"",IF(AW173=1,"",GE172))))</f>
        <v>19</v>
      </c>
      <c r="GE173">
        <f t="shared" si="327"/>
        <v>19</v>
      </c>
      <c r="GF173">
        <f>IF(B173="","",IFERROR(LOOKUP(INDEX(CHOOSE(DL173,Iдоп_1ж,Iдоп_2ж,Iдоп_3ж),MATCH(DX173,Iдоп_S,0))*DJ173*DK173,{6,10,16,20,25,32,40,50,63,80,100,125,160,200,250,315,400,500,630}),""))</f>
        <v>25</v>
      </c>
      <c r="GG173" t="str">
        <f t="shared" si="328"/>
        <v>QFD19</v>
      </c>
      <c r="GH173" t="str">
        <f t="shared" si="329"/>
        <v>QFD19</v>
      </c>
      <c r="GI173" t="str">
        <f t="shared" si="330"/>
        <v/>
      </c>
      <c r="GJ173">
        <f t="shared" si="331"/>
        <v>0</v>
      </c>
      <c r="GK173" t="str">
        <f>IF(OR(AG173="",AG173="-"),"",IFERROR(VLOOKUP(AG173,Модули_спр,2,FALSE),"R"))</f>
        <v/>
      </c>
      <c r="GL173" t="str">
        <f>IF(GK173="","",GK173&amp;"."&amp;COUNTIFS(A$3:A173,A173,GK$3:GK173,GK173))</f>
        <v/>
      </c>
      <c r="GM173" t="str">
        <f t="shared" si="332"/>
        <v/>
      </c>
      <c r="GN173" t="str">
        <f t="shared" si="333"/>
        <v/>
      </c>
      <c r="GO173" t="str">
        <f t="shared" si="334"/>
        <v/>
      </c>
      <c r="GP173" t="str">
        <f t="shared" si="335"/>
        <v/>
      </c>
      <c r="GQ173">
        <f t="shared" si="336"/>
        <v>1</v>
      </c>
      <c r="GR173" t="str">
        <f>IF(GQ173=1,"XT"&amp;COUNTIFS(A$3:A173,A173,GQ$3:GQ173,1),"")</f>
        <v>XT19</v>
      </c>
      <c r="GS173" t="str">
        <f t="shared" si="337"/>
        <v/>
      </c>
      <c r="GT173" t="str">
        <f t="shared" si="338"/>
        <v>QFD19</v>
      </c>
      <c r="GU173" t="str">
        <f t="shared" si="339"/>
        <v/>
      </c>
      <c r="GV173" t="str">
        <f t="shared" si="340"/>
        <v>ok</v>
      </c>
      <c r="GW173" t="str">
        <f>IF(OR(GO173="",GM173=""),"",IF(GO173&gt;IFERROR(VLOOKUP(GN173,Модули_спр,3,FALSE),99),"ЛИШНИЙ КАНАЛ",IF(AND(AH173&lt;&gt;"=",COUNTIFS(Линии[_модуль гр.],GM173,Линии[Канал (итог)],GO173,Линии[Канал],"&lt;&gt;=",Линии[Щит],A173)&gt;1),"ДУБЛЬ КАНАЛА","")))</f>
        <v/>
      </c>
      <c r="GX173" s="6" t="str">
        <f t="shared" si="341"/>
        <v/>
      </c>
      <c r="GY173">
        <f t="shared" si="342"/>
        <v>10</v>
      </c>
      <c r="GZ173" t="str">
        <f t="shared" si="343"/>
        <v/>
      </c>
      <c r="HA173" t="str">
        <f>IF(AND(B173="",GT173=""),"",_xlfn.TEXTJOIN("; ",TRUE,IF(AND(B173&lt;&gt;"",FE173=""),"нет фазы",""),IF(AND(B173&lt;&gt;"",N(FY173)=0,EQ173&lt;&gt;"Нет"),"нет мощности",""),IF(AND(GS173&lt;&gt;"",COUNTIFS(Линии[Щит],A173,Линии[Клемма (итог)],GS173)&gt;1),"дубль клеммы "&amp;GS173,""),IF(AND(GV173&lt;&gt;"",GV173&lt;&gt;"ok"),GV173,""),IF(GW173&lt;&gt;"",GW173,""),IF(AND(N(BV173)&gt;=4,N(BR173)=1),BV173&amp;" жил на 1 фазе",""),IF(AND(AX173="R",CA173=1,OR(N(CK173)=0,N(CK173)&gt;30)),"розетка без дифзащиты до 30 мА",""),IFERROR(IF(AND(ISNUMBER(R173),R173&gt;DV173),"потери "&amp;FIXED(R173,1)&amp;" % &gt; "&amp;DV173&amp;" %",""),""),IFERROR(IF(LEFT(GZ173,4)="мало","Iкз мало — отключение &gt; 0,4 с",""),""),IF(AND(B173&lt;&gt;"",BH173=""),"не на схеме",""),IF(AND(CA173=0,B173&lt;&gt;"",FE173&lt;&gt;"",IF(AW173=1,"",FF172)&lt;&gt;"",FE173&lt;&gt;IF(AW173=1,"",FF172)),"фаза не как у автомата группы ("&amp;IF(AW173=1,"",FF172)&amp;")","")))</f>
        <v/>
      </c>
      <c r="HB173" s="6">
        <f>IF(OR(CA173=0,DA173=""),"",_xlfn.LET(_xlpm.t,IFERROR(_xlfn.XLOOKUP(DA173,Каталог!$U$4:$U$500,Каталог!$G$4:$G$500),""),_xlpm.k,SEARCH("кА",_xlpm.t),IFERROR(--TRIM(RIGHT(SUBSTITUTE(MID(_xlpm.t,MAX(1,_xlpm.k-4),_xlpm.k-MAX(1,_xlpm.k-4))," ",REPT(" ",9)),5)),"")))</f>
        <v>6</v>
      </c>
      <c r="HC173" t="str">
        <f>IF(OR(HB173="",CA173=0),"",IF(_xlfn.XLOOKUP(A173,Щиты[Щит],Щиты[Iкз max на шинах, кА],"")="","",IF(HB173&lt;_xlfn.XLOOKUP(A173,Щиты[Щит],Щиты[Iкз max на шинах, кА]),"Icu "&amp;HB173&amp;" кА &lt; Iкз max","ok")))</f>
        <v/>
      </c>
      <c r="HD173" t="str">
        <f t="shared" si="344"/>
        <v/>
      </c>
      <c r="HE173" t="str">
        <f t="shared" si="345"/>
        <v>QFD19</v>
      </c>
      <c r="HF173" t="str">
        <f t="shared" si="346"/>
        <v>QFD19|кабель ВВГнг(А)-LS (3х2,5) → Розеточная группа, пом. 005Б</v>
      </c>
      <c r="HG173" t="str" cm="1">
        <f t="array" ref="HG173">IF(HF173="","",_xlfn.LET(_xlpm.nd,_xlfn.TEXTSPLIT(HF173,"|"),IF(COLUMNS(_xlpm.nd)&gt;1,A173&amp;"¦"&amp;INDEX(_xlpm.nd,1)&amp;"¦"&amp;INDEX(_xlpm.nd,2),"")))</f>
        <v>ЩР-001¦QFD19¦кабель ВВГнг(А)-LS (3х2,5) → Розеточная группа, пом. 005Б</v>
      </c>
      <c r="HH173" t="str">
        <f t="shared" si="347"/>
        <v>R.00.005Б.1¦Розеточная группа, пом. 005Б</v>
      </c>
      <c r="HI173" t="str" cm="1">
        <f t="array" ref="HI173">IF(HF173="","",_xlfn.LET(_xlpm.nd,_xlfn.TEXTSPLIT(HF173,"|"),IF(COLUMNS(_xlpm.nd)&gt;2,A173&amp;"¦"&amp;INDEX(_xlpm.nd,2)&amp;"¦"&amp;INDEX(_xlpm.nd,3),"")))</f>
        <v/>
      </c>
      <c r="HJ173" t="str">
        <f t="shared" si="348"/>
        <v/>
      </c>
      <c r="HK173" t="str" cm="1">
        <f t="array" ref="HK173">IF(HF173="","",_xlfn.LET(_xlpm.nd,_xlfn.TEXTSPLIT(HF173,"|"),IF(COLUMNS(_xlpm.nd)&gt;3,A173&amp;"¦"&amp;INDEX(_xlpm.nd,3)&amp;"¦"&amp;INDEX(_xlpm.nd,4),"")))</f>
        <v/>
      </c>
      <c r="HL173" t="str">
        <f t="shared" si="349"/>
        <v/>
      </c>
      <c r="HM173" t="str" cm="1">
        <f t="array" ref="HM173">IF(HF173="","",_xlfn.LET(_xlpm.nd,_xlfn.TEXTSPLIT(HF173,"|"),IF(COLUMNS(_xlpm.nd)&gt;4,A173&amp;"¦"&amp;INDEX(_xlpm.nd,4)&amp;"¦"&amp;INDEX(_xlpm.nd,5),"")))</f>
        <v/>
      </c>
      <c r="HN173" t="str">
        <f t="shared" si="350"/>
        <v/>
      </c>
      <c r="HO173" t="str" cm="1">
        <f t="array" ref="HO173">IF(HF173="","",_xlfn.LET(_xlpm.nd,_xlfn.TEXTSPLIT(HF173,"|"),IF(COLUMNS(_xlpm.nd)&gt;5,A173&amp;"¦"&amp;INDEX(_xlpm.nd,5)&amp;"¦"&amp;INDEX(_xlpm.nd,6),"")))</f>
        <v/>
      </c>
      <c r="HP173" t="str">
        <f t="shared" si="351"/>
        <v/>
      </c>
      <c r="HQ173" t="str" cm="1">
        <f t="array" ref="HQ173">IF(HF173="","",_xlfn.LET(_xlpm.nd,_xlfn.TEXTSPLIT(HF173,"|"),IF(COLUMNS(_xlpm.nd)&gt;6,A173&amp;"¦"&amp;INDEX(_xlpm.nd,6)&amp;"¦"&amp;INDEX(_xlpm.nd,7),"")))</f>
        <v/>
      </c>
      <c r="HR173" t="str">
        <f t="shared" si="352"/>
        <v/>
      </c>
      <c r="HS173" t="str">
        <f t="shared" si="353"/>
        <v/>
      </c>
      <c r="HT173" t="str">
        <f t="shared" si="354"/>
        <v>QFD19</v>
      </c>
      <c r="HU173">
        <f t="shared" si="355"/>
        <v>0</v>
      </c>
      <c r="HV173">
        <f t="shared" si="356"/>
        <v>1</v>
      </c>
      <c r="HW173" t="str">
        <f t="shared" si="357"/>
        <v/>
      </c>
      <c r="HX173" t="str">
        <f t="shared" si="358"/>
        <v/>
      </c>
      <c r="HY173" t="str">
        <f t="shared" si="359"/>
        <v/>
      </c>
      <c r="HZ173" t="str">
        <f t="shared" si="360"/>
        <v/>
      </c>
      <c r="IA173" t="str">
        <f>IF(B173="","",IFERROR(VLOOKUP(B173,УГО_спр,2,FALSE),IFERROR(VLOOKUP(AX173,УГО_спр,2,FALSE),IFERROR(VLOOKUP(LEFT(AX173,2),УГО_спр,2,FALSE),""))))</f>
        <v>Розетка</v>
      </c>
      <c r="IB173" t="str">
        <f>IF(B173="","",IF(OR(IA173="",IA173=0),"BOX",IFERROR(IF(VLOOKUP(IA173,УГО_блоки,3,FALSE)&amp;""&lt;&gt;"",VLOOKUP(IA173,УГО_блоки,3,FALSE),VLOOKUP(IA173,УГО_блоки,2,FALSE)),IA173)))</f>
        <v>SOCKET</v>
      </c>
      <c r="IC173">
        <f t="shared" si="361"/>
        <v>1</v>
      </c>
      <c r="ID173" t="str">
        <f>IF(DA173="","",IF(COUNTIF(DA$3:DA173,DA173)=1,MAX(ID$2:ID172)+1,""))</f>
        <v/>
      </c>
      <c r="IE173" t="str">
        <f>IF(CO173="","",IF(COUNTIF(CO$3:CO173,CO173)+COUNTIF(CP$2:CP172,CO173)+COUNTIF(CQ$2:CQ172,CO173)=1,MAX(IE$2:IG172)+1,""))</f>
        <v/>
      </c>
      <c r="IF173" t="str">
        <f>IF(CP173="","",IF(COUNTIF(CO$3:CO173,CP173)+COUNTIF(CP$3:CP173,CP173)+COUNTIF(CQ$2:CQ172,CP173)=1,MAX(IE$2:IG172,IE173)+1,""))</f>
        <v/>
      </c>
      <c r="IG173" t="str">
        <f>IF(CQ173="","",IF(COUNTIF(CO$3:CO173,CQ173)+COUNTIF(CP$3:CP173,CQ173)+COUNTIF(CQ$3:CQ173,CQ173)=1,MAX(IE$2:IG172,IE173,IF173)+1,""))</f>
        <v/>
      </c>
      <c r="IH173" t="str">
        <f t="shared" si="362"/>
        <v>3х2,5</v>
      </c>
      <c r="II173" t="str">
        <f>IF(IH173="","",IF(COUNTIF(IH$3:IH173,IH173)=1,MAX(II$2:II172)+1,""))</f>
        <v/>
      </c>
      <c r="IJ173" t="str">
        <f>IF(GL173="","",COUNTIF(GL$3:GL173,"?*"))</f>
        <v/>
      </c>
      <c r="IK173" t="str">
        <f>IF(OR(GL173="",GN173=""),"",IF(COUNTIFS(GL$3:GL173,"?*",GN$3:GN173,GN173)=1,MAX(IK$2:IK172)+1,""))</f>
        <v/>
      </c>
      <c r="IL173">
        <f t="shared" si="363"/>
        <v>0</v>
      </c>
      <c r="IM173">
        <f>IF(B173="","",COUNTIF(B$3:B173,"?*"))</f>
        <v>171</v>
      </c>
      <c r="IN173">
        <f>IF(GQ173&lt;&gt;1,0,_xlfn.LET(_xlpm.k,MAX(IFERROR(--VLOOKUP(B173,УГО_спр,5,FALSE),0),IFERROR(--VLOOKUP(AX173,УГО_спр,5,FALSE),0),IFERROR(--VLOOKUP(LEFT(AX173,2),УГО_спр,5,FALSE),0)),IF(_xlpm.k&gt;0,_xlpm.k,IF(IFERROR(--LEFT(SUBSTITUTE(IH173,"x","х"),FIND("х",SUBSTITUTE(IH173,"x","х"))-1),3)&gt;3,Каталог!$S$9,1))))</f>
        <v>1</v>
      </c>
      <c r="IO173">
        <f t="shared" si="364"/>
        <v>0</v>
      </c>
      <c r="IP173" t="str">
        <f t="shared" si="365"/>
        <v>авто</v>
      </c>
      <c r="IQ173">
        <f t="shared" si="366"/>
        <v>30</v>
      </c>
      <c r="IR173">
        <f t="shared" si="367"/>
        <v>1</v>
      </c>
      <c r="IS173">
        <f t="shared" si="368"/>
        <v>1</v>
      </c>
    </row>
    <row r="174" spans="1:253" x14ac:dyDescent="0.3">
      <c r="A174" t="s">
        <v>755</v>
      </c>
      <c r="B174" t="s">
        <v>1441</v>
      </c>
      <c r="C174" t="str">
        <f>Линии[[#This Row],[_авто наименование]]</f>
        <v>Розеточная группа, пом. 009Б</v>
      </c>
      <c r="D174">
        <v>2</v>
      </c>
      <c r="E174">
        <v>0.12</v>
      </c>
      <c r="G174">
        <v>16</v>
      </c>
      <c r="H174">
        <f>Линии[[#This Row],[_авто утечка]]</f>
        <v>30</v>
      </c>
      <c r="I174" t="str">
        <f>Линии[[#This Row],[_авто управление]]</f>
        <v/>
      </c>
      <c r="J174" t="str">
        <f>Линии[[#This Row],[_авто аппараты]]</f>
        <v/>
      </c>
      <c r="K174">
        <v>2.5</v>
      </c>
      <c r="L174">
        <v>20</v>
      </c>
      <c r="M174">
        <v>2</v>
      </c>
      <c r="N174" t="s">
        <v>486</v>
      </c>
      <c r="O174" t="str">
        <f t="shared" si="246"/>
        <v/>
      </c>
      <c r="P174" s="6" cm="1">
        <f t="array" ref="P174">IF(B174="","",IF(BC174&lt;&gt;"",IFERROR(_xlfn.XLOOKUP(BC174,Щиты[Щит],Щиты[Iр, А]),""),IF(BK174=1,IFERROR(_xlfn.XLOOKUP(A174,Щиты[Щит],Щиты[Iр, А]),""),IFERROR(_xlfn.IFS(BR174=1,BN174/((Uн_лин/SQRT(3))*BY174),BR174=3,BN174/(SQRT(3)*Uн_лин*BY174)),""))))</f>
        <v>0.54696341291648753</v>
      </c>
      <c r="Q174" s="7">
        <f>IF(B174="","",IFERROR(IF(VLOOKUP(AX174,Потребители_обозначение,4,FALSE)=1,VLOOKUP(AX174,Потребители_обозначение,3,FALSE)*(D174*2-1)+DS174+VLOOKUP(AZ174,Этаж_обозначение,3,FALSE)+VLOOKUP(AZ174,Этаж_обозначение,4,FALSE),VLOOKUP(AX174,Потребители_обозначение,3,FALSE)*(D174*2-1)+DS174),DS174))</f>
        <v>29</v>
      </c>
      <c r="R174" s="6">
        <f t="shared" si="247"/>
        <v>1.69</v>
      </c>
      <c r="S174" t="str">
        <f t="shared" si="248"/>
        <v>ВВГнг(А)-LS (3х2,5)</v>
      </c>
      <c r="T174" t="str">
        <f>IF(BH174="","",IF(BI174="вводной узел","узел ","")&amp;"л."&amp;(INT((BH174-1)/Столбцов_на_лист)+1)&amp;" / "&amp;(MOD(BH174-1,Столбцов_на_лист)+1))</f>
        <v>л.3 / 5</v>
      </c>
      <c r="V174">
        <v>1</v>
      </c>
      <c r="W174">
        <v>230</v>
      </c>
      <c r="X174" t="s">
        <v>564</v>
      </c>
      <c r="AC174" t="s">
        <v>815</v>
      </c>
      <c r="AE174" t="s">
        <v>563</v>
      </c>
      <c r="AI174">
        <v>39</v>
      </c>
      <c r="AJ174" t="s">
        <v>11</v>
      </c>
      <c r="AK174">
        <v>3</v>
      </c>
      <c r="AM174">
        <v>11</v>
      </c>
      <c r="AN174">
        <v>14</v>
      </c>
      <c r="AO174">
        <v>4</v>
      </c>
      <c r="AW174" cm="1">
        <f t="array" ref="AW174">ROW()-ROW(Линии[#Headers])</f>
        <v>172</v>
      </c>
      <c r="AX174" s="6" t="str">
        <f t="shared" si="249"/>
        <v>R</v>
      </c>
      <c r="AY174" t="str">
        <f t="shared" si="250"/>
        <v>00.009Б.1</v>
      </c>
      <c r="AZ174" t="str">
        <f t="shared" si="251"/>
        <v>00</v>
      </c>
      <c r="BA174" t="str">
        <f t="shared" si="252"/>
        <v>009Б.1</v>
      </c>
      <c r="BB174" t="str">
        <f t="shared" si="253"/>
        <v>009Б</v>
      </c>
      <c r="BC174" t="str">
        <f>IF(U174&lt;&gt;"",U174,IF(AND(B174&lt;&gt;"",B174&lt;&gt;A174,ISNUMBER(_xlfn.XMATCH(B174,Щиты[Щит]))),B174,""))</f>
        <v/>
      </c>
      <c r="BD174" t="str" cm="1">
        <f t="array" ref="BD174">IF(B174="","",IF(BC174&lt;&gt;"","Щит "&amp;BC174,_xlfn.LET(_xlpm.nm,IFERROR(_xlfn.XLOOKUP(AX174,Коды_код,Коды_имя)&amp;"",""),_xlpm.md,IFERROR(N(_xlfn.XLOOKUP(AX174,Коды_код,Коды_режим)),1),_xlpm.ex,IF(Имя_режим="по экспликации",IFERROR(_xlfn.XLOOKUP(AZ174&amp;"|"&amp;BB174,Экспликация[Этаж]&amp;"|"&amp;Экспликация[Помещение],Экспликация[Название])&amp;"",""),""),_xlpm.rm,IF(BB174="","",IF(_xlpm.ex&lt;&gt;"",". "&amp;_xlpm.ex&amp;IF(Имя_пом="нет"," ("&amp;BB174&amp;")"," (пом. "&amp;BB174&amp;")"),IF(Имя_пом="нет"," ",", пом. ")&amp;BB174)),IF(_xlpm.nm="","",IF(_xlpm.md=2,_xlpm.nm&amp;" шлейф "&amp;AZ174,_xlpm.nm&amp;_xlpm.rm)))))</f>
        <v>Розеточная группа, пом. 009Б</v>
      </c>
      <c r="BE174" t="str">
        <f t="shared" si="254"/>
        <v>Розеточная группа, пом. 009Б</v>
      </c>
      <c r="BF174">
        <f>IFERROR(_xlfn.XMATCH(A174,Щиты[Щит]),0)</f>
        <v>8</v>
      </c>
      <c r="BG174">
        <f>_xlfn.LET(_xlpm.k,IFERROR(_xlfn.XLOOKUP(A174,Щиты[Щит],Щиты[Листов под вводной узел]),""),IF(_xlpm.k="",1,N(_xlpm.k))*Столбцов_на_лист)</f>
        <v>17</v>
      </c>
      <c r="BH174">
        <f t="shared" si="255"/>
        <v>39</v>
      </c>
      <c r="BI174" t="str">
        <f t="shared" si="256"/>
        <v>линии</v>
      </c>
      <c r="BJ174" s="6">
        <f>IFERROR(N(_xlfn.XLOOKUP(AX174,Коды_код,Коды_квт)),0)</f>
        <v>0</v>
      </c>
      <c r="BK174">
        <f t="shared" si="257"/>
        <v>0</v>
      </c>
      <c r="BL174" t="str">
        <f>IF(B174="","",IF(BC174&lt;&gt;"",IFERROR(_xlfn.XLOOKUP(BC174,Щиты[Щит],Щиты[Руст, кВт]),0),IF(BK174=1,IFERROR(_xlfn.XLOOKUP(A174,Щиты[Щит],Щиты[Руст, кВт]),0),IF(BJ174&gt;0,ROUND(BJ174*MAX(1,N(D174)),3),""))))</f>
        <v/>
      </c>
      <c r="BM174">
        <f t="shared" si="258"/>
        <v>0.12</v>
      </c>
      <c r="BN174" s="6">
        <f>IF(B174="","",IF(BC174&lt;&gt;"",IFERROR(_xlfn.XLOOKUP(BC174,Щиты[Щит],Щиты[Руст, кВт]),0),N(BM174)))</f>
        <v>0.12</v>
      </c>
      <c r="BO174" t="str">
        <f>IF(B174="","",IFERROR(IF(VLOOKUP(AX174,Потребители_обозначение,8,FALSE)=0,"",VLOOKUP(AX174,Потребители_обозначение,8,FALSE)),""))</f>
        <v/>
      </c>
      <c r="BP174">
        <f t="shared" si="259"/>
        <v>230</v>
      </c>
      <c r="BQ174">
        <f>IF(B174="","",IF(BC174&lt;&gt;"",3,IFERROR(IF(N(VLOOKUP(AX174,Потребители_обозначение,9,FALSE))=0,1,VLOOKUP(AX174,Потребители_обозначение,9,FALSE)),1)))</f>
        <v>1</v>
      </c>
      <c r="BR174">
        <f t="shared" si="260"/>
        <v>1</v>
      </c>
      <c r="BS174" t="str">
        <f>IF(B174="","",_xlfn.LET(_xlpm.bc,IFERROR(IF(VLOOKUP(AX174,Потребители_обозначение,6,FALSE)=0,"",VLOOKUP(AX174,Потребители_обозначение,6,FALSE)&amp;""),""),IF(AND(FK174="да",OR(_xlpm.bc="",_xlpm.bc="мс")),Марка_пож,IF(AND(_xlpm.bc="",BC174&lt;&gt;""),"мс",_xlpm.bc))))</f>
        <v/>
      </c>
      <c r="BT174" t="str">
        <f t="shared" si="261"/>
        <v>мс</v>
      </c>
      <c r="BU174">
        <f>IF(B174="","",_xlfn.LET(_xlpm.cc,IFERROR(N(VLOOKUP(AX174,Потребители_обозначение,7,FALSE)),0),IF(_xlpm.cc&gt;0,_xlpm.cc,IF(BT174="","",IF(N(BR174)=3,5,3)))))</f>
        <v>3</v>
      </c>
      <c r="BV174">
        <f t="shared" si="262"/>
        <v>3</v>
      </c>
      <c r="BW174">
        <f>IFERROR(N(VLOOKUP(AX174,Потребители_обозначение,10,FALSE)),0)</f>
        <v>0</v>
      </c>
      <c r="BX174">
        <f>IFERROR(VLOOKUP(AX174,Потребители_обозначение,5,FALSE),0)</f>
        <v>1</v>
      </c>
      <c r="BY174" s="6" cm="1">
        <f t="array" ref="BY174">IF(B174="","",IF(BC174&lt;&gt;"",IFERROR(_xlfn.XLOOKUP(BC174,Щиты[Щит],Щиты[cos φ]),0.95),IF(BK174=1,IFERROR(_xlfn.XLOOKUP(A174,Щиты[Щит],Щиты[cos φ]),0.95),IF(ISNUMBER(Z174),Z174,IFERROR(IF(BX174=2,_xlfn.IFS(BR174=3,VLOOKUP(BN174,Справочная_двигатели,8,FALSE),BR174=1,VLOOKUP(BN174,Справочная_двигатели,10,TRUE)),IF(AND(Методика="нормы 2026",EQ174="Сил"),0.8,0.95)),0.95)))))</f>
        <v>0.95</v>
      </c>
      <c r="BZ174">
        <f t="shared" si="263"/>
        <v>0</v>
      </c>
      <c r="CA174">
        <f t="shared" si="264"/>
        <v>1</v>
      </c>
      <c r="CB174">
        <f t="shared" si="265"/>
        <v>0</v>
      </c>
      <c r="CC174">
        <f t="shared" si="266"/>
        <v>0</v>
      </c>
      <c r="CD174">
        <f t="shared" si="267"/>
        <v>0</v>
      </c>
      <c r="CE174">
        <f t="shared" si="268"/>
        <v>0</v>
      </c>
      <c r="CF174">
        <f t="shared" si="269"/>
        <v>0</v>
      </c>
      <c r="CG174">
        <f>IF(AX174="",0,_xlfn.LET(_xlpm.v,IFERROR(VLOOKUP(B174,УГО_спр,3,FALSE),IFERROR(VLOOKUP(AX174,УГО_спр,3,FALSE),IFERROR(VLOOKUP(LEFT(AX174,2),УГО_спр,3,FALSE),""))),IF(_xlpm.v="да",30,IF(ISNUMBER(_xlpm.v),_xlpm.v,0))))</f>
        <v>30</v>
      </c>
      <c r="CH174">
        <f t="shared" si="270"/>
        <v>30</v>
      </c>
      <c r="CI174" t="str">
        <f>_xlfn.LET(_xlpm.k,IFERROR(_xlfn.XLOOKUP(AX174,Коды_код,Коды_утечка)&amp;"",""),IF(_xlpm.k="","дифавтомат",_xlpm.k))</f>
        <v>дифавтомат</v>
      </c>
      <c r="CJ174">
        <f t="shared" si="271"/>
        <v>30</v>
      </c>
      <c r="CK174">
        <f t="shared" si="272"/>
        <v>30</v>
      </c>
      <c r="CL174">
        <f>IF(B174="",0,IFERROR(--VLOOKUP(B174,УГО_спр,4,FALSE),IFERROR(--VLOOKUP(AX174,УГО_спр,4,FALSE),IFERROR(--VLOOKUP(LEFT(AX174,2),УГО_спр,4,FALSE),0))))</f>
        <v>16</v>
      </c>
      <c r="CM174" t="str">
        <f>IF(B174="","",IFERROR(_xlfn.XLOOKUP(AX174,Коды_код,Коды_апп)&amp;"",""))</f>
        <v/>
      </c>
      <c r="CN174" t="str">
        <f t="shared" si="273"/>
        <v/>
      </c>
      <c r="CO174" t="str" cm="1">
        <f t="array" ref="CO174">IF(TRIM(CN174&amp;"")="","",IFERROR(TRIM(INDEX(_xlfn.TEXTSPLIT(CN174&amp;";;;",";"),1)),""))</f>
        <v/>
      </c>
      <c r="CP174" t="str" cm="1">
        <f t="array" ref="CP174">IF(TRIM(CN174&amp;"")="","",IFERROR(TRIM(INDEX(_xlfn.TEXTSPLIT(CN174&amp;";;;",";"),2)),""))</f>
        <v/>
      </c>
      <c r="CQ174" t="str" cm="1">
        <f t="array" ref="CQ174">IF(TRIM(CN174&amp;"")="","",IFERROR(TRIM(INDEX(_xlfn.TEXTSPLIT(CN174&amp;";;;",";"),3)),""))</f>
        <v/>
      </c>
      <c r="CR174">
        <f t="shared" si="274"/>
        <v>0</v>
      </c>
      <c r="CS174" t="str">
        <f>IF(B174="","",_xlfn.LET(_xlpm.t,LOWER(AV174&amp;""),IF(ISNUMBER(SEARCH("dim",_xlpm.t)),"DIM",IF(ISNUMBER(SEARCH("dali",_xlpm.t)),"DALI",IF(OR(ISNUMBER(SEARCH("relay",_xlpm.t)),ISNUMBER(SEARCH("реле",_xlpm.t))),"Relay",IF(ISNUMBER(SEARCH("кнопк",_xlpm.t)),"",IFERROR(_xlfn.XLOOKUP(AX174,Коды_код,Коды_упр)&amp;"","")))))))</f>
        <v/>
      </c>
      <c r="CT174" t="str">
        <f t="shared" si="275"/>
        <v/>
      </c>
      <c r="CU174">
        <f>IF(B174="","",_xlfn.LET(_xlpm.ig,N(P174)+IF(AF174="вручную",0,N(CB174)),_xlpm.n0,IFERROR(VLOOKUP(_xlpm.ig,Автомат_номиналы,2,TRUE),0),_xlpm.mn,MAX(CL174,IF(AF174="вручную",0,N(CE174))),MAX(_xlpm.n0,_xlpm.mn,IF(CR174=1,Мин_автомат_БП,0))))</f>
        <v>16</v>
      </c>
      <c r="CV174">
        <f t="shared" si="276"/>
        <v>1</v>
      </c>
      <c r="CW174" t="str">
        <f t="shared" si="277"/>
        <v>2P</v>
      </c>
      <c r="CX174" t="str">
        <f>_xlfn.LET(_xlpm.cc,UPPER(TRIM(IFERROR(_xlfn.XLOOKUP(AX174,Коды_код,Коды_хар)&amp;"",""))),IF(OR(_xlpm.cc="B",_xlpm.cc="В"),"B",IF(_xlpm.cc="D","D","С")))</f>
        <v>С</v>
      </c>
      <c r="CY174" t="str">
        <f t="shared" si="278"/>
        <v>2P С16А 30мА</v>
      </c>
      <c r="CZ174">
        <f t="shared" si="279"/>
        <v>16</v>
      </c>
      <c r="DA174" t="str">
        <f t="shared" si="280"/>
        <v>2P С16А 30мА</v>
      </c>
      <c r="DB174" cm="1">
        <f t="array" ref="DB174">IF(DA174="","",_xlfn.LET(_xlpm.t,SUBSTITUTE(SUBSTITUTE(SUBSTITUTE(UPPER(DA174),"С","C"),"А","A"),"В","B"),_xlpm.tk,_xlfn.TEXTSPLIT(_xlpm.t,"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4" t="str">
        <f t="shared" si="281"/>
        <v>ok</v>
      </c>
      <c r="DD174">
        <f t="shared" si="282"/>
        <v>16</v>
      </c>
      <c r="DE174" t="str">
        <f t="shared" si="283"/>
        <v>2P С16А 30мА</v>
      </c>
      <c r="DF174">
        <f t="shared" si="284"/>
        <v>30</v>
      </c>
      <c r="DG174">
        <f t="shared" si="285"/>
        <v>1</v>
      </c>
      <c r="DH174">
        <f t="shared" si="286"/>
        <v>0</v>
      </c>
      <c r="DI174">
        <f t="shared" si="287"/>
        <v>0.54696341291648753</v>
      </c>
      <c r="DJ174">
        <f t="shared" si="288"/>
        <v>1</v>
      </c>
      <c r="DK174">
        <f>IF(ISNUMBER(AL174),AL174,К_прокл)</f>
        <v>1</v>
      </c>
      <c r="DL174">
        <f t="shared" si="289"/>
        <v>2</v>
      </c>
      <c r="DM174">
        <f>IFERROR(N(VLOOKUP(BT174,Кабель_обозначение,3,FALSE)),1)</f>
        <v>1</v>
      </c>
      <c r="DN174">
        <f>IFERROR(N(_xlfn.XLOOKUP(A174,Щиты[Щит],Щиты[ΔU до шин, %])),0)</f>
        <v>1.57</v>
      </c>
      <c r="DO174" t="str">
        <f>IFERROR(_xlfn.XLOOKUP(A174,Щиты[Щит],Щиты[Zпетли на шинах, Ом]),"")</f>
        <v/>
      </c>
      <c r="DP174">
        <f>IFERROR(N(_xlfn.XLOOKUP(A174,Щиты[Щит],Щиты[ΔU до шин (подбор), %])),0)</f>
        <v>2.5</v>
      </c>
      <c r="DQ174" t="str">
        <f>IFERROR(_xlfn.XLOOKUP(A174,Щиты[Щит],Щиты[Zпетли на шинах (подбор), Ом]),"")</f>
        <v/>
      </c>
      <c r="DR174" t="str">
        <f t="shared" si="290"/>
        <v/>
      </c>
      <c r="DS174">
        <f t="shared" si="291"/>
        <v>20</v>
      </c>
      <c r="DT174">
        <f t="shared" si="292"/>
        <v>2</v>
      </c>
      <c r="DU174">
        <f t="shared" si="293"/>
        <v>0.31</v>
      </c>
      <c r="DV174" s="6">
        <f>IF(B174="","",IF(IFERROR(VLOOKUP(AX174,УГО_спр,2,FALSE),"")="Светильник",3,4)+IF(Методика="нормы 2026",MIN(0.5,MAX(0,N(Q174)-100)*0.005),0))</f>
        <v>4</v>
      </c>
      <c r="DW174" cm="1">
        <f t="array" ref="DW174">IF(OR(B174="",BT174="",DM174&lt;&gt;1),"",_xlfn.LET(_xlpm.sz,Iдоп_S,_xlpm.t_,CHOOSE(DL174,Iдоп_1ж,Iдоп_2ж,Iдоп_3ж)*DJ174*DK174,_xlpm.inn,N(DD174),_xlpm.smin,MAX(1.5,BW174),_xlpm.L_,N(Q174)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174)*(_xlpm.rho*_xlpm.L_/_xlpm.sz*N(BY174)+_xlpm.xx*_xlpm.L_*N(DU174)/1000)*N(P174)/((Uн_лин/SQRT(3))*1000)*100,999),_xlpm.kz,IF(OR(DG174=1,NOT(ISNUMBER(DQ174)),_xlpm.L_=0,_xlpm.inn=0),1,IFERROR(--(c_min*(Uн_лин*1000/SQRT(3))/(DQ174+2*ρкз_Cu*_xlpm.L_/_xlpm.sz)&gt;=GY174*_xlpm.inn),0)),_xlpm.ok,IFERROR((_xlpm.sz&gt;=_xlpm.smin)*(_xlpm.t_&gt;=_xlpm.inn)*IF(_xlpm.L_&gt;0,(_xlpm.du_+DP174&lt;=DV174+0.00001),1)*_xlpm.kz,0),_xlpm.r_,_xlfn._xlws.FILTER(_xlpm.sz,_xlpm.ok,"не подобрано"),INDEX(_xlpm.r_,1)))</f>
        <v>1.5</v>
      </c>
      <c r="DX174">
        <f t="shared" si="294"/>
        <v>2.5</v>
      </c>
      <c r="DY174" cm="1">
        <f t="array" ref="DY174">IF(OR(B174="",BT174="",DM174&lt;&gt;1),"",_xlfn.LET(_xlpm.sz,Iдоп_S,_xlpm.t_,CHOOSE(DL174,Iдоп_1ж,Iдоп_2ж,Iдоп_3ж)*DJ174*DK174,_xlpm.ok,IFERROR((_xlpm.sz&gt;=MAX(1.5,BW174))*(_xlpm.t_&gt;=N(DD174)),0),_xlpm.r_,_xlfn._xlws.FILTER(_xlpm.sz,_xlpm.ok,""),INDEX(_xlpm.r_,1)))</f>
        <v>1.5</v>
      </c>
      <c r="DZ174" s="6" cm="1">
        <f t="array" ref="DZ174">IFERROR(ROUNDUP(N(DT174)*(_xlfn.XLOOKUP(DY174,INDEX(Кабель_сопротивление,0,1),INDEX(Кабель_сопротивление,0,3))*N(Q174)/DY174*N(BY174)+_xlfn.XLOOKUP(DY174,INDEX(Кабель_сопротивление,0,1),INDEX(Кабель_сопротивление,0,2))*N(Q174)*N(DU174)/1000)*N(P174)/((Uн_лин/SQRT(3))*1000)*100,2),"")</f>
        <v>0.2</v>
      </c>
      <c r="EA174">
        <f>IFERROR(2*ρкз_Cu*N(Q174)/DY174,"")</f>
        <v>1.0169333333333335</v>
      </c>
      <c r="EB174">
        <f>IFERROR(VLOOKUP(DX174,Кабель_сопротивление,3,FALSE),"")</f>
        <v>2.2499999999999999E-2</v>
      </c>
      <c r="EC174">
        <f>IFERROR(VLOOKUP(DX174,Кабель_сопротивление,2,FALSE),"")</f>
        <v>0.1</v>
      </c>
      <c r="ED174">
        <f t="shared" si="295"/>
        <v>14</v>
      </c>
      <c r="EE174">
        <f t="shared" si="296"/>
        <v>4</v>
      </c>
      <c r="EF174">
        <f t="shared" si="297"/>
        <v>0.27222259668171001</v>
      </c>
      <c r="EG174" s="6">
        <f>IFERROR(ROUNDUP(EF174/((Uн_лин/SQRT(3))*1000)*100,2),"")</f>
        <v>0.12</v>
      </c>
      <c r="EH174" t="str">
        <f>IFERROR(VLOOKUP(BT174,Кабель_обозначение,2,FALSE),"")</f>
        <v>ВВГнг(А)-LS</v>
      </c>
      <c r="EI174" t="str">
        <f t="shared" si="298"/>
        <v>ВВГнг(А)-LS (3х2,5)</v>
      </c>
      <c r="EJ174" t="str">
        <f t="shared" si="299"/>
        <v>ВВГнг(А)-LS (3х2,5)
L=29-0,12%</v>
      </c>
      <c r="EK174">
        <f>IFERROR(2*ρкз_Cu*Q174/DX174,"")</f>
        <v>0.61016000000000004</v>
      </c>
      <c r="EL174">
        <f t="shared" si="300"/>
        <v>0.20300000000000001</v>
      </c>
      <c r="EM174" s="6" t="str">
        <f>IFERROR(IF(OR(B174="",NOT(ISNUMBER(DX174)),N(Q174)=0),"",_xlfn.XLOOKUP(A174,Щиты[Щит],Щиты[Zпетли на шинах, Ом])+EK174),"")</f>
        <v/>
      </c>
      <c r="EN174" s="6" t="str">
        <f>IF(ISNUMBER(EM174),c_min*(Uн_лин*1000/SQRT(3))/EM174,"")</f>
        <v/>
      </c>
      <c r="EO174" s="6" t="str">
        <f>IFERROR(IF(OR(B174="",NOT(ISNUMBER(DX174))),"",1.05*(Uн_лин*1000/SQRT(3))/(_xlfn.XLOOKUP(A174,Щиты[Щит],Щиты[Zmax на шинах, Ом])+EL174)/1000),"")</f>
        <v/>
      </c>
      <c r="EP174" s="6" t="str">
        <f>IF(B174="","",IF(ISNUMBER(Y174),"Сил",IF(IFERROR(_xlfn.XLOOKUP(AX174,Коды_код,Коды_группа)&amp;"","")="","Быт",_xlfn.XLOOKUP(AX174,Коды_код,Коды_группа)&amp;"")))</f>
        <v>Быт</v>
      </c>
      <c r="EQ174" s="6" t="str">
        <f t="shared" si="301"/>
        <v>Быт</v>
      </c>
      <c r="ER174" s="6">
        <f>IF(EQ174="Щит","щит",IF(EQ174="","",IF(EQ174="Быт",IFERROR(_xlfn.XLOOKUP(A174,Щиты[Щит],Щиты[Кс быт]),1),IF(EQ174="Сил",IF(ISNUMBER(Y174),Y174,IF(Методика="нормы 2026",IFERROR(_xlfn.XLOOKUP(A174,Щиты[Щит],Щиты[Кс силовых (табл. 7.5)]),1),1)),IF(OR(EQ174="Пост",EQ174="Отоп"),1,IF(EQ174="ВНГ",0.7,0))))))</f>
        <v>0.8</v>
      </c>
      <c r="ES174">
        <f t="shared" si="302"/>
        <v>1</v>
      </c>
      <c r="ET174">
        <f t="shared" si="303"/>
        <v>0.12</v>
      </c>
      <c r="EU174">
        <f t="shared" si="304"/>
        <v>0.12</v>
      </c>
      <c r="EV174">
        <f t="shared" si="305"/>
        <v>0</v>
      </c>
      <c r="EW174">
        <f t="shared" si="306"/>
        <v>0</v>
      </c>
      <c r="EX174">
        <f t="shared" si="307"/>
        <v>0</v>
      </c>
      <c r="EY174">
        <f t="shared" si="308"/>
        <v>0</v>
      </c>
      <c r="EZ174">
        <f t="shared" si="309"/>
        <v>0.12</v>
      </c>
      <c r="FA174">
        <f t="shared" si="310"/>
        <v>0.11399999999999999</v>
      </c>
      <c r="FB174">
        <f t="shared" si="311"/>
        <v>0.12</v>
      </c>
      <c r="FC174" t="str">
        <f t="shared" si="312"/>
        <v>L2</v>
      </c>
      <c r="FD174" t="str">
        <f>IF(B174="","",IF(CA174=0,IF(AW174=1,"",FF173),IF(OR(N(CV174)&gt;=3,N(BR174)&gt;=3),"L1,L2,L3",IFERROR(_xlfn.TEXTBEFORE(_xlfn.TEXTAFTER(_xlfn.XLOOKUP(A174,Щиты[Щит],Щиты[_фазы авто]),";"&amp;AW174&amp;":"),";"),"L1"))))</f>
        <v>L1</v>
      </c>
      <c r="FE174" t="str">
        <f t="shared" si="313"/>
        <v>L2</v>
      </c>
      <c r="FF174" t="str">
        <f t="shared" si="314"/>
        <v>L2</v>
      </c>
      <c r="FG174" cm="1">
        <f t="array" ref="FG174">IFERROR(IF(BX174=2,_xlfn.IFS(BR174=3,VLOOKUP(BN174,Справочная_двигатели,3,FALSE),BR174=1,VLOOKUP(BN174,Справочная_двигатели,5,TRUE)),0),0)</f>
        <v>0</v>
      </c>
      <c r="FH174">
        <f>IFERROR(IF(BX174=3,VLOOKUP(BN174,Справочная_ЛЭД,2,TRUE),0),0)</f>
        <v>0</v>
      </c>
      <c r="FI174" s="6">
        <f t="shared" si="315"/>
        <v>0</v>
      </c>
      <c r="FJ174" t="str" cm="1">
        <f t="array" ref="FJ174">IF(B174="","",IFERROR(INDEX({"I особая","I","II","III"},MATCH(TRIM(AC174&amp;""),{"I особая","I","II","III"},0)),"III"))</f>
        <v>II</v>
      </c>
      <c r="FK174" t="str">
        <f>IF(B174="","",IF(TRIM(AD174&amp;"")&lt;&gt;"",IF(LOWER(TRIM(AD174&amp;""))="да","да","нет"),IF(IFERROR(_xlfn.XLOOKUP(AX174,Коды_код,Коды_пожарная),"")="да","да","нет")))</f>
        <v>нет</v>
      </c>
      <c r="FL174" t="str">
        <f t="shared" si="316"/>
        <v/>
      </c>
      <c r="FM174" t="str">
        <f t="shared" si="317"/>
        <v>основная</v>
      </c>
      <c r="FN174">
        <f t="shared" si="318"/>
        <v>1</v>
      </c>
      <c r="FO174" t="str" cm="1">
        <f t="array" ref="FO174">IF(B174="","",_xlfn.LET(_xlpm.t,IFERROR(_xlfn.XLOOKUP(1,(Шины[Шина]=FM174)*(((Шины[Щит]=A174)+(Шины[Щит]=""))&gt;0),Шины[Тип]),"")&amp;"",IF(_xlpm.t&lt;&gt;"",_xlpm.t,IF(ISNUMBER(SEARCH("ИБП",FM174)),"ИБП",IF(ISNUMBER(SEARCH("ДГУ",FM174)),"ДГУ","Ввод "&amp;FN174)))))</f>
        <v>Ввод 1</v>
      </c>
      <c r="FP174" t="str">
        <f t="shared" si="319"/>
        <v>Ввод 1</v>
      </c>
      <c r="FQ174" t="str">
        <f>IF(B174="","",IF(OR(FO174="ИБП",FO174="ДГУ"),"I особая",IF(FO174="Одиночная","III",_xlfn.XLOOKUP(A174,Щиты[Щит],Щиты[Категория шины «Ввод»],"III"))))</f>
        <v>II</v>
      </c>
      <c r="FR174">
        <f>IF(B174="",0,IFERROR(MATCH(FJ174,{"III","II","I","I особая"},0),1))</f>
        <v>2</v>
      </c>
      <c r="FS174">
        <f t="shared" si="320"/>
        <v>2</v>
      </c>
      <c r="FT174" t="str">
        <f>IF(B174="","",IF(FR174&gt;IFERROR(MATCH(FQ174,{"III","II","I","I особая"},0),1),"НЕ ОБЕСПЕЧЕНА","ОК"))</f>
        <v>ОК</v>
      </c>
      <c r="FU174" t="str">
        <f>IF(A174="","",_xlfn.XLOOKUP(A174,Щиты[Щит],Щиты[Путь],""))</f>
        <v>|ГРЩ-ЖД|ЩР-001|</v>
      </c>
      <c r="FV174" t="str">
        <f>IF(B174="","",IF(AE174&lt;&gt;"",AE174,IF(IFERROR(_xlfn.XLOOKUP(AX174,Коды_код,Коды_вид)&amp;"","")="","Прочее",_xlfn.XLOOKUP(AX174,Коды_код,Коды_вид)&amp;"")))</f>
        <v>Розеточная сеть и бытовые приборы</v>
      </c>
      <c r="FW174">
        <f>IF(BH174="","",INT((BH174-1)/Столбцов_на_лист)+1)</f>
        <v>3</v>
      </c>
      <c r="FX174" t="str">
        <f t="shared" si="321"/>
        <v>ВВГнг(А)-LS (3х2,5) L=29-0,12%</v>
      </c>
      <c r="FY174">
        <f t="shared" si="322"/>
        <v>0.12</v>
      </c>
      <c r="FZ174">
        <f t="shared" si="323"/>
        <v>0.55000000000000004</v>
      </c>
      <c r="GA174">
        <f t="shared" si="324"/>
        <v>1</v>
      </c>
      <c r="GB174">
        <f t="shared" si="325"/>
        <v>0</v>
      </c>
      <c r="GC174">
        <f t="shared" si="326"/>
        <v>1</v>
      </c>
      <c r="GD174">
        <f>IF(BH174="","",IF(AND(CA174=1,GC174=1),COUNTIFS(A$3:A174,A174,CA$3:CA174,1,GC$3:GC174,1),IF(OR(OR(AW174=1,A174&lt;&gt;A173),AF174="вручную",GC174=0),"",IF(AW174=1,"",GE173))))</f>
        <v>20</v>
      </c>
      <c r="GE174">
        <f t="shared" si="327"/>
        <v>20</v>
      </c>
      <c r="GF174">
        <f>IF(B174="","",IFERROR(LOOKUP(INDEX(CHOOSE(DL174,Iдоп_1ж,Iдоп_2ж,Iдоп_3ж),MATCH(DX174,Iдоп_S,0))*DJ174*DK174,{6,10,16,20,25,32,40,50,63,80,100,125,160,200,250,315,400,500,630}),""))</f>
        <v>25</v>
      </c>
      <c r="GG174" t="str">
        <f t="shared" si="328"/>
        <v>QFD20</v>
      </c>
      <c r="GH174" t="str">
        <f t="shared" si="329"/>
        <v>QFD20</v>
      </c>
      <c r="GI174" t="str">
        <f t="shared" si="330"/>
        <v/>
      </c>
      <c r="GJ174">
        <f t="shared" si="331"/>
        <v>0</v>
      </c>
      <c r="GK174" t="str">
        <f>IF(OR(AG174="",AG174="-"),"",IFERROR(VLOOKUP(AG174,Модули_спр,2,FALSE),"R"))</f>
        <v/>
      </c>
      <c r="GL174" t="str">
        <f>IF(GK174="","",GK174&amp;"."&amp;COUNTIFS(A$3:A174,A174,GK$3:GK174,GK174))</f>
        <v/>
      </c>
      <c r="GM174" t="str">
        <f t="shared" si="332"/>
        <v/>
      </c>
      <c r="GN174" t="str">
        <f t="shared" si="333"/>
        <v/>
      </c>
      <c r="GO174" t="str">
        <f t="shared" si="334"/>
        <v/>
      </c>
      <c r="GP174" t="str">
        <f t="shared" si="335"/>
        <v/>
      </c>
      <c r="GQ174">
        <f t="shared" si="336"/>
        <v>1</v>
      </c>
      <c r="GR174" t="str">
        <f>IF(GQ174=1,"XT"&amp;COUNTIFS(A$3:A174,A174,GQ$3:GQ174,1),"")</f>
        <v>XT20</v>
      </c>
      <c r="GS174" t="str">
        <f t="shared" si="337"/>
        <v/>
      </c>
      <c r="GT174" t="str">
        <f t="shared" si="338"/>
        <v>QFD20</v>
      </c>
      <c r="GU174" t="str">
        <f t="shared" si="339"/>
        <v/>
      </c>
      <c r="GV174" t="str">
        <f t="shared" si="340"/>
        <v>ok</v>
      </c>
      <c r="GW174" t="str">
        <f>IF(OR(GO174="",GM174=""),"",IF(GO174&gt;IFERROR(VLOOKUP(GN174,Модули_спр,3,FALSE),99),"ЛИШНИЙ КАНАЛ",IF(AND(AH174&lt;&gt;"=",COUNTIFS(Линии[_модуль гр.],GM174,Линии[Канал (итог)],GO174,Линии[Канал],"&lt;&gt;=",Линии[Щит],A174)&gt;1),"ДУБЛЬ КАНАЛА","")))</f>
        <v/>
      </c>
      <c r="GX174" s="6" t="str">
        <f t="shared" si="341"/>
        <v/>
      </c>
      <c r="GY174">
        <f t="shared" si="342"/>
        <v>10</v>
      </c>
      <c r="GZ174" t="str">
        <f t="shared" si="343"/>
        <v/>
      </c>
      <c r="HA174" t="str">
        <f>IF(AND(B174="",GT174=""),"",_xlfn.TEXTJOIN("; ",TRUE,IF(AND(B174&lt;&gt;"",FE174=""),"нет фазы",""),IF(AND(B174&lt;&gt;"",N(FY174)=0,EQ174&lt;&gt;"Нет"),"нет мощности",""),IF(AND(GS174&lt;&gt;"",COUNTIFS(Линии[Щит],A174,Линии[Клемма (итог)],GS174)&gt;1),"дубль клеммы "&amp;GS174,""),IF(AND(GV174&lt;&gt;"",GV174&lt;&gt;"ok"),GV174,""),IF(GW174&lt;&gt;"",GW174,""),IF(AND(N(BV174)&gt;=4,N(BR174)=1),BV174&amp;" жил на 1 фазе",""),IF(AND(AX174="R",CA174=1,OR(N(CK174)=0,N(CK174)&gt;30)),"розетка без дифзащиты до 30 мА",""),IFERROR(IF(AND(ISNUMBER(R174),R174&gt;DV174),"потери "&amp;FIXED(R174,1)&amp;" % &gt; "&amp;DV174&amp;" %",""),""),IFERROR(IF(LEFT(GZ174,4)="мало","Iкз мало — отключение &gt; 0,4 с",""),""),IF(AND(B174&lt;&gt;"",BH174=""),"не на схеме",""),IF(AND(CA174=0,B174&lt;&gt;"",FE174&lt;&gt;"",IF(AW174=1,"",FF173)&lt;&gt;"",FE174&lt;&gt;IF(AW174=1,"",FF173)),"фаза не как у автомата группы ("&amp;IF(AW174=1,"",FF173)&amp;")","")))</f>
        <v/>
      </c>
      <c r="HB174" s="6">
        <f>IF(OR(CA174=0,DA174=""),"",_xlfn.LET(_xlpm.t,IFERROR(_xlfn.XLOOKUP(DA174,Каталог!$U$4:$U$500,Каталог!$G$4:$G$500),""),_xlpm.k,SEARCH("кА",_xlpm.t),IFERROR(--TRIM(RIGHT(SUBSTITUTE(MID(_xlpm.t,MAX(1,_xlpm.k-4),_xlpm.k-MAX(1,_xlpm.k-4))," ",REPT(" ",9)),5)),"")))</f>
        <v>6</v>
      </c>
      <c r="HC174" t="str">
        <f>IF(OR(HB174="",CA174=0),"",IF(_xlfn.XLOOKUP(A174,Щиты[Щит],Щиты[Iкз max на шинах, кА],"")="","",IF(HB174&lt;_xlfn.XLOOKUP(A174,Щиты[Щит],Щиты[Iкз max на шинах, кА]),"Icu "&amp;HB174&amp;" кА &lt; Iкз max","ok")))</f>
        <v/>
      </c>
      <c r="HD174" t="str">
        <f t="shared" si="344"/>
        <v/>
      </c>
      <c r="HE174" t="str">
        <f t="shared" si="345"/>
        <v>QFD20</v>
      </c>
      <c r="HF174" t="str">
        <f t="shared" si="346"/>
        <v>QFD20|кабель ВВГнг(А)-LS (3х2,5) → Розеточная группа, пом. 009Б</v>
      </c>
      <c r="HG174" t="str" cm="1">
        <f t="array" ref="HG174">IF(HF174="","",_xlfn.LET(_xlpm.nd,_xlfn.TEXTSPLIT(HF174,"|"),IF(COLUMNS(_xlpm.nd)&gt;1,A174&amp;"¦"&amp;INDEX(_xlpm.nd,1)&amp;"¦"&amp;INDEX(_xlpm.nd,2),"")))</f>
        <v>ЩР-001¦QFD20¦кабель ВВГнг(А)-LS (3х2,5) → Розеточная группа, пом. 009Б</v>
      </c>
      <c r="HH174" t="str">
        <f t="shared" si="347"/>
        <v>R.00.009Б.1¦Розеточная группа, пом. 009Б</v>
      </c>
      <c r="HI174" t="str" cm="1">
        <f t="array" ref="HI174">IF(HF174="","",_xlfn.LET(_xlpm.nd,_xlfn.TEXTSPLIT(HF174,"|"),IF(COLUMNS(_xlpm.nd)&gt;2,A174&amp;"¦"&amp;INDEX(_xlpm.nd,2)&amp;"¦"&amp;INDEX(_xlpm.nd,3),"")))</f>
        <v/>
      </c>
      <c r="HJ174" t="str">
        <f t="shared" si="348"/>
        <v/>
      </c>
      <c r="HK174" t="str" cm="1">
        <f t="array" ref="HK174">IF(HF174="","",_xlfn.LET(_xlpm.nd,_xlfn.TEXTSPLIT(HF174,"|"),IF(COLUMNS(_xlpm.nd)&gt;3,A174&amp;"¦"&amp;INDEX(_xlpm.nd,3)&amp;"¦"&amp;INDEX(_xlpm.nd,4),"")))</f>
        <v/>
      </c>
      <c r="HL174" t="str">
        <f t="shared" si="349"/>
        <v/>
      </c>
      <c r="HM174" t="str" cm="1">
        <f t="array" ref="HM174">IF(HF174="","",_xlfn.LET(_xlpm.nd,_xlfn.TEXTSPLIT(HF174,"|"),IF(COLUMNS(_xlpm.nd)&gt;4,A174&amp;"¦"&amp;INDEX(_xlpm.nd,4)&amp;"¦"&amp;INDEX(_xlpm.nd,5),"")))</f>
        <v/>
      </c>
      <c r="HN174" t="str">
        <f t="shared" si="350"/>
        <v/>
      </c>
      <c r="HO174" t="str" cm="1">
        <f t="array" ref="HO174">IF(HF174="","",_xlfn.LET(_xlpm.nd,_xlfn.TEXTSPLIT(HF174,"|"),IF(COLUMNS(_xlpm.nd)&gt;5,A174&amp;"¦"&amp;INDEX(_xlpm.nd,5)&amp;"¦"&amp;INDEX(_xlpm.nd,6),"")))</f>
        <v/>
      </c>
      <c r="HP174" t="str">
        <f t="shared" si="351"/>
        <v/>
      </c>
      <c r="HQ174" t="str" cm="1">
        <f t="array" ref="HQ174">IF(HF174="","",_xlfn.LET(_xlpm.nd,_xlfn.TEXTSPLIT(HF174,"|"),IF(COLUMNS(_xlpm.nd)&gt;6,A174&amp;"¦"&amp;INDEX(_xlpm.nd,6)&amp;"¦"&amp;INDEX(_xlpm.nd,7),"")))</f>
        <v/>
      </c>
      <c r="HR174" t="str">
        <f t="shared" si="352"/>
        <v/>
      </c>
      <c r="HS174" t="str">
        <f t="shared" si="353"/>
        <v/>
      </c>
      <c r="HT174" t="str">
        <f t="shared" si="354"/>
        <v>QFD20</v>
      </c>
      <c r="HU174">
        <f t="shared" si="355"/>
        <v>0</v>
      </c>
      <c r="HV174">
        <f t="shared" si="356"/>
        <v>1</v>
      </c>
      <c r="HW174" t="str">
        <f t="shared" si="357"/>
        <v/>
      </c>
      <c r="HX174" t="str">
        <f t="shared" si="358"/>
        <v/>
      </c>
      <c r="HY174" t="str">
        <f t="shared" si="359"/>
        <v/>
      </c>
      <c r="HZ174" t="str">
        <f t="shared" si="360"/>
        <v/>
      </c>
      <c r="IA174" t="str">
        <f>IF(B174="","",IFERROR(VLOOKUP(B174,УГО_спр,2,FALSE),IFERROR(VLOOKUP(AX174,УГО_спр,2,FALSE),IFERROR(VLOOKUP(LEFT(AX174,2),УГО_спр,2,FALSE),""))))</f>
        <v>Розетка</v>
      </c>
      <c r="IB174" t="str">
        <f>IF(B174="","",IF(OR(IA174="",IA174=0),"BOX",IFERROR(IF(VLOOKUP(IA174,УГО_блоки,3,FALSE)&amp;""&lt;&gt;"",VLOOKUP(IA174,УГО_блоки,3,FALSE),VLOOKUP(IA174,УГО_блоки,2,FALSE)),IA174)))</f>
        <v>SOCKET</v>
      </c>
      <c r="IC174">
        <f t="shared" si="361"/>
        <v>1</v>
      </c>
      <c r="ID174" t="str">
        <f>IF(DA174="","",IF(COUNTIF(DA$3:DA174,DA174)=1,MAX(ID$2:ID173)+1,""))</f>
        <v/>
      </c>
      <c r="IE174" t="str">
        <f>IF(CO174="","",IF(COUNTIF(CO$3:CO174,CO174)+COUNTIF(CP$2:CP173,CO174)+COUNTIF(CQ$2:CQ173,CO174)=1,MAX(IE$2:IG173)+1,""))</f>
        <v/>
      </c>
      <c r="IF174" t="str">
        <f>IF(CP174="","",IF(COUNTIF(CO$3:CO174,CP174)+COUNTIF(CP$3:CP174,CP174)+COUNTIF(CQ$2:CQ173,CP174)=1,MAX(IE$2:IG173,IE174)+1,""))</f>
        <v/>
      </c>
      <c r="IG174" t="str">
        <f>IF(CQ174="","",IF(COUNTIF(CO$3:CO174,CQ174)+COUNTIF(CP$3:CP174,CQ174)+COUNTIF(CQ$3:CQ174,CQ174)=1,MAX(IE$2:IG173,IE174,IF174)+1,""))</f>
        <v/>
      </c>
      <c r="IH174" t="str">
        <f t="shared" si="362"/>
        <v>3х2,5</v>
      </c>
      <c r="II174" t="str">
        <f>IF(IH174="","",IF(COUNTIF(IH$3:IH174,IH174)=1,MAX(II$2:II173)+1,""))</f>
        <v/>
      </c>
      <c r="IJ174" t="str">
        <f>IF(GL174="","",COUNTIF(GL$3:GL174,"?*"))</f>
        <v/>
      </c>
      <c r="IK174" t="str">
        <f>IF(OR(GL174="",GN174=""),"",IF(COUNTIFS(GL$3:GL174,"?*",GN$3:GN174,GN174)=1,MAX(IK$2:IK173)+1,""))</f>
        <v/>
      </c>
      <c r="IL174">
        <f t="shared" si="363"/>
        <v>0</v>
      </c>
      <c r="IM174">
        <f>IF(B174="","",COUNTIF(B$3:B174,"?*"))</f>
        <v>172</v>
      </c>
      <c r="IN174">
        <f>IF(GQ174&lt;&gt;1,0,_xlfn.LET(_xlpm.k,MAX(IFERROR(--VLOOKUP(B174,УГО_спр,5,FALSE),0),IFERROR(--VLOOKUP(AX174,УГО_спр,5,FALSE),0),IFERROR(--VLOOKUP(LEFT(AX174,2),УГО_спр,5,FALSE),0)),IF(_xlpm.k&gt;0,_xlpm.k,IF(IFERROR(--LEFT(SUBSTITUTE(IH174,"x","х"),FIND("х",SUBSTITUTE(IH174,"x","х"))-1),3)&gt;3,Каталог!$S$9,1))))</f>
        <v>1</v>
      </c>
      <c r="IO174">
        <f t="shared" si="364"/>
        <v>0</v>
      </c>
      <c r="IP174" t="str">
        <f t="shared" si="365"/>
        <v>авто</v>
      </c>
      <c r="IQ174">
        <f t="shared" si="366"/>
        <v>30</v>
      </c>
      <c r="IR174">
        <f t="shared" si="367"/>
        <v>1</v>
      </c>
      <c r="IS174">
        <f t="shared" si="368"/>
        <v>1</v>
      </c>
    </row>
    <row r="175" spans="1:253" x14ac:dyDescent="0.3">
      <c r="A175" t="s">
        <v>755</v>
      </c>
      <c r="B175" t="s">
        <v>1442</v>
      </c>
      <c r="C175" t="str">
        <f>Линии[[#This Row],[_авто наименование]]</f>
        <v>Розеточная группа, пом. 006Б</v>
      </c>
      <c r="D175">
        <v>2</v>
      </c>
      <c r="E175">
        <v>0.12</v>
      </c>
      <c r="G175">
        <v>16</v>
      </c>
      <c r="H175">
        <f>Линии[[#This Row],[_авто утечка]]</f>
        <v>30</v>
      </c>
      <c r="I175" t="str">
        <f>Линии[[#This Row],[_авто управление]]</f>
        <v/>
      </c>
      <c r="J175" t="str">
        <f>Линии[[#This Row],[_авто аппараты]]</f>
        <v/>
      </c>
      <c r="K175">
        <v>2.5</v>
      </c>
      <c r="L175">
        <v>21</v>
      </c>
      <c r="M175">
        <v>3</v>
      </c>
      <c r="N175" t="s">
        <v>486</v>
      </c>
      <c r="O175" t="str">
        <f t="shared" si="246"/>
        <v/>
      </c>
      <c r="P175" s="6" cm="1">
        <f t="array" ref="P175">IF(B175="","",IF(BC175&lt;&gt;"",IFERROR(_xlfn.XLOOKUP(BC175,Щиты[Щит],Щиты[Iр, А]),""),IF(BK175=1,IFERROR(_xlfn.XLOOKUP(A175,Щиты[Щит],Щиты[Iр, А]),""),IFERROR(_xlfn.IFS(BR175=1,BN175/((Uн_лин/SQRT(3))*BY175),BR175=3,BN175/(SQRT(3)*Uн_лин*BY175)),""))))</f>
        <v>0.54696341291648753</v>
      </c>
      <c r="Q175" s="7">
        <f>IF(B175="","",IFERROR(IF(VLOOKUP(AX175,Потребители_обозначение,4,FALSE)=1,VLOOKUP(AX175,Потребители_обозначение,3,FALSE)*(D175*2-1)+DS175+VLOOKUP(AZ175,Этаж_обозначение,3,FALSE)+VLOOKUP(AZ175,Этаж_обозначение,4,FALSE),VLOOKUP(AX175,Потребители_обозначение,3,FALSE)*(D175*2-1)+DS175),DS175))</f>
        <v>30</v>
      </c>
      <c r="R175" s="6">
        <f t="shared" si="247"/>
        <v>1.7000000000000002</v>
      </c>
      <c r="S175" t="str">
        <f t="shared" si="248"/>
        <v>ВВГнг(А)-LS (3х2,5)</v>
      </c>
      <c r="T175" t="str">
        <f>IF(BH175="","",IF(BI175="вводной узел","узел ","")&amp;"л."&amp;(INT((BH175-1)/Столбцов_на_лист)+1)&amp;" / "&amp;(MOD(BH175-1,Столбцов_на_лист)+1))</f>
        <v>л.3 / 6</v>
      </c>
      <c r="V175">
        <v>1</v>
      </c>
      <c r="W175">
        <v>230</v>
      </c>
      <c r="X175" t="s">
        <v>564</v>
      </c>
      <c r="AC175" t="s">
        <v>815</v>
      </c>
      <c r="AE175" t="s">
        <v>563</v>
      </c>
      <c r="AI175">
        <v>40</v>
      </c>
      <c r="AJ175" t="s">
        <v>11</v>
      </c>
      <c r="AK175">
        <v>3</v>
      </c>
      <c r="AM175">
        <v>11</v>
      </c>
      <c r="AN175">
        <v>14</v>
      </c>
      <c r="AO175">
        <v>5</v>
      </c>
      <c r="AW175" cm="1">
        <f t="array" ref="AW175">ROW()-ROW(Линии[#Headers])</f>
        <v>173</v>
      </c>
      <c r="AX175" s="6" t="str">
        <f t="shared" si="249"/>
        <v>R</v>
      </c>
      <c r="AY175" t="str">
        <f t="shared" si="250"/>
        <v>00.006Б.1</v>
      </c>
      <c r="AZ175" t="str">
        <f t="shared" si="251"/>
        <v>00</v>
      </c>
      <c r="BA175" t="str">
        <f t="shared" si="252"/>
        <v>006Б.1</v>
      </c>
      <c r="BB175" t="str">
        <f t="shared" si="253"/>
        <v>006Б</v>
      </c>
      <c r="BC175" t="str">
        <f>IF(U175&lt;&gt;"",U175,IF(AND(B175&lt;&gt;"",B175&lt;&gt;A175,ISNUMBER(_xlfn.XMATCH(B175,Щиты[Щит]))),B175,""))</f>
        <v/>
      </c>
      <c r="BD175" t="str" cm="1">
        <f t="array" ref="BD175">IF(B175="","",IF(BC175&lt;&gt;"","Щит "&amp;BC175,_xlfn.LET(_xlpm.nm,IFERROR(_xlfn.XLOOKUP(AX175,Коды_код,Коды_имя)&amp;"",""),_xlpm.md,IFERROR(N(_xlfn.XLOOKUP(AX175,Коды_код,Коды_режим)),1),_xlpm.ex,IF(Имя_режим="по экспликации",IFERROR(_xlfn.XLOOKUP(AZ175&amp;"|"&amp;BB175,Экспликация[Этаж]&amp;"|"&amp;Экспликация[Помещение],Экспликация[Название])&amp;"",""),""),_xlpm.rm,IF(BB175="","",IF(_xlpm.ex&lt;&gt;"",". "&amp;_xlpm.ex&amp;IF(Имя_пом="нет"," ("&amp;BB175&amp;")"," (пом. "&amp;BB175&amp;")"),IF(Имя_пом="нет"," ",", пом. ")&amp;BB175)),IF(_xlpm.nm="","",IF(_xlpm.md=2,_xlpm.nm&amp;" шлейф "&amp;AZ175,_xlpm.nm&amp;_xlpm.rm)))))</f>
        <v>Розеточная группа, пом. 006Б</v>
      </c>
      <c r="BE175" t="str">
        <f t="shared" si="254"/>
        <v>Розеточная группа, пом. 006Б</v>
      </c>
      <c r="BF175">
        <f>IFERROR(_xlfn.XMATCH(A175,Щиты[Щит]),0)</f>
        <v>8</v>
      </c>
      <c r="BG175">
        <f>_xlfn.LET(_xlpm.k,IFERROR(_xlfn.XLOOKUP(A175,Щиты[Щит],Щиты[Листов под вводной узел]),""),IF(_xlpm.k="",1,N(_xlpm.k))*Столбцов_на_лист)</f>
        <v>17</v>
      </c>
      <c r="BH175">
        <f t="shared" si="255"/>
        <v>40</v>
      </c>
      <c r="BI175" t="str">
        <f t="shared" si="256"/>
        <v>линии</v>
      </c>
      <c r="BJ175" s="6">
        <f>IFERROR(N(_xlfn.XLOOKUP(AX175,Коды_код,Коды_квт)),0)</f>
        <v>0</v>
      </c>
      <c r="BK175">
        <f t="shared" si="257"/>
        <v>0</v>
      </c>
      <c r="BL175" t="str">
        <f>IF(B175="","",IF(BC175&lt;&gt;"",IFERROR(_xlfn.XLOOKUP(BC175,Щиты[Щит],Щиты[Руст, кВт]),0),IF(BK175=1,IFERROR(_xlfn.XLOOKUP(A175,Щиты[Щит],Щиты[Руст, кВт]),0),IF(BJ175&gt;0,ROUND(BJ175*MAX(1,N(D175)),3),""))))</f>
        <v/>
      </c>
      <c r="BM175">
        <f t="shared" si="258"/>
        <v>0.12</v>
      </c>
      <c r="BN175" s="6">
        <f>IF(B175="","",IF(BC175&lt;&gt;"",IFERROR(_xlfn.XLOOKUP(BC175,Щиты[Щит],Щиты[Руст, кВт]),0),N(BM175)))</f>
        <v>0.12</v>
      </c>
      <c r="BO175" t="str">
        <f>IF(B175="","",IFERROR(IF(VLOOKUP(AX175,Потребители_обозначение,8,FALSE)=0,"",VLOOKUP(AX175,Потребители_обозначение,8,FALSE)),""))</f>
        <v/>
      </c>
      <c r="BP175">
        <f t="shared" si="259"/>
        <v>230</v>
      </c>
      <c r="BQ175">
        <f>IF(B175="","",IF(BC175&lt;&gt;"",3,IFERROR(IF(N(VLOOKUP(AX175,Потребители_обозначение,9,FALSE))=0,1,VLOOKUP(AX175,Потребители_обозначение,9,FALSE)),1)))</f>
        <v>1</v>
      </c>
      <c r="BR175">
        <f t="shared" si="260"/>
        <v>1</v>
      </c>
      <c r="BS175" t="str">
        <f>IF(B175="","",_xlfn.LET(_xlpm.bc,IFERROR(IF(VLOOKUP(AX175,Потребители_обозначение,6,FALSE)=0,"",VLOOKUP(AX175,Потребители_обозначение,6,FALSE)&amp;""),""),IF(AND(FK175="да",OR(_xlpm.bc="",_xlpm.bc="мс")),Марка_пож,IF(AND(_xlpm.bc="",BC175&lt;&gt;""),"мс",_xlpm.bc))))</f>
        <v/>
      </c>
      <c r="BT175" t="str">
        <f t="shared" si="261"/>
        <v>мс</v>
      </c>
      <c r="BU175">
        <f>IF(B175="","",_xlfn.LET(_xlpm.cc,IFERROR(N(VLOOKUP(AX175,Потребители_обозначение,7,FALSE)),0),IF(_xlpm.cc&gt;0,_xlpm.cc,IF(BT175="","",IF(N(BR175)=3,5,3)))))</f>
        <v>3</v>
      </c>
      <c r="BV175">
        <f t="shared" si="262"/>
        <v>3</v>
      </c>
      <c r="BW175">
        <f>IFERROR(N(VLOOKUP(AX175,Потребители_обозначение,10,FALSE)),0)</f>
        <v>0</v>
      </c>
      <c r="BX175">
        <f>IFERROR(VLOOKUP(AX175,Потребители_обозначение,5,FALSE),0)</f>
        <v>1</v>
      </c>
      <c r="BY175" s="6" cm="1">
        <f t="array" ref="BY175">IF(B175="","",IF(BC175&lt;&gt;"",IFERROR(_xlfn.XLOOKUP(BC175,Щиты[Щит],Щиты[cos φ]),0.95),IF(BK175=1,IFERROR(_xlfn.XLOOKUP(A175,Щиты[Щит],Щиты[cos φ]),0.95),IF(ISNUMBER(Z175),Z175,IFERROR(IF(BX175=2,_xlfn.IFS(BR175=3,VLOOKUP(BN175,Справочная_двигатели,8,FALSE),BR175=1,VLOOKUP(BN175,Справочная_двигатели,10,TRUE)),IF(AND(Методика="нормы 2026",EQ175="Сил"),0.8,0.95)),0.95)))))</f>
        <v>0.95</v>
      </c>
      <c r="BZ175">
        <f t="shared" si="263"/>
        <v>0</v>
      </c>
      <c r="CA175">
        <f t="shared" si="264"/>
        <v>1</v>
      </c>
      <c r="CB175">
        <f t="shared" si="265"/>
        <v>0</v>
      </c>
      <c r="CC175">
        <f t="shared" si="266"/>
        <v>0</v>
      </c>
      <c r="CD175">
        <f t="shared" si="267"/>
        <v>0</v>
      </c>
      <c r="CE175">
        <f t="shared" si="268"/>
        <v>0</v>
      </c>
      <c r="CF175">
        <f t="shared" si="269"/>
        <v>0</v>
      </c>
      <c r="CG175">
        <f>IF(AX175="",0,_xlfn.LET(_xlpm.v,IFERROR(VLOOKUP(B175,УГО_спр,3,FALSE),IFERROR(VLOOKUP(AX175,УГО_спр,3,FALSE),IFERROR(VLOOKUP(LEFT(AX175,2),УГО_спр,3,FALSE),""))),IF(_xlpm.v="да",30,IF(ISNUMBER(_xlpm.v),_xlpm.v,0))))</f>
        <v>30</v>
      </c>
      <c r="CH175">
        <f t="shared" si="270"/>
        <v>30</v>
      </c>
      <c r="CI175" t="str">
        <f>_xlfn.LET(_xlpm.k,IFERROR(_xlfn.XLOOKUP(AX175,Коды_код,Коды_утечка)&amp;"",""),IF(_xlpm.k="","дифавтомат",_xlpm.k))</f>
        <v>дифавтомат</v>
      </c>
      <c r="CJ175">
        <f t="shared" si="271"/>
        <v>30</v>
      </c>
      <c r="CK175">
        <f t="shared" si="272"/>
        <v>30</v>
      </c>
      <c r="CL175">
        <f>IF(B175="",0,IFERROR(--VLOOKUP(B175,УГО_спр,4,FALSE),IFERROR(--VLOOKUP(AX175,УГО_спр,4,FALSE),IFERROR(--VLOOKUP(LEFT(AX175,2),УГО_спр,4,FALSE),0))))</f>
        <v>16</v>
      </c>
      <c r="CM175" t="str">
        <f>IF(B175="","",IFERROR(_xlfn.XLOOKUP(AX175,Коды_код,Коды_апп)&amp;"",""))</f>
        <v/>
      </c>
      <c r="CN175" t="str">
        <f t="shared" si="273"/>
        <v/>
      </c>
      <c r="CO175" t="str" cm="1">
        <f t="array" ref="CO175">IF(TRIM(CN175&amp;"")="","",IFERROR(TRIM(INDEX(_xlfn.TEXTSPLIT(CN175&amp;";;;",";"),1)),""))</f>
        <v/>
      </c>
      <c r="CP175" t="str" cm="1">
        <f t="array" ref="CP175">IF(TRIM(CN175&amp;"")="","",IFERROR(TRIM(INDEX(_xlfn.TEXTSPLIT(CN175&amp;";;;",";"),2)),""))</f>
        <v/>
      </c>
      <c r="CQ175" t="str" cm="1">
        <f t="array" ref="CQ175">IF(TRIM(CN175&amp;"")="","",IFERROR(TRIM(INDEX(_xlfn.TEXTSPLIT(CN175&amp;";;;",";"),3)),""))</f>
        <v/>
      </c>
      <c r="CR175">
        <f t="shared" si="274"/>
        <v>0</v>
      </c>
      <c r="CS175" t="str">
        <f>IF(B175="","",_xlfn.LET(_xlpm.t,LOWER(AV175&amp;""),IF(ISNUMBER(SEARCH("dim",_xlpm.t)),"DIM",IF(ISNUMBER(SEARCH("dali",_xlpm.t)),"DALI",IF(OR(ISNUMBER(SEARCH("relay",_xlpm.t)),ISNUMBER(SEARCH("реле",_xlpm.t))),"Relay",IF(ISNUMBER(SEARCH("кнопк",_xlpm.t)),"",IFERROR(_xlfn.XLOOKUP(AX175,Коды_код,Коды_упр)&amp;"","")))))))</f>
        <v/>
      </c>
      <c r="CT175" t="str">
        <f t="shared" si="275"/>
        <v/>
      </c>
      <c r="CU175">
        <f>IF(B175="","",_xlfn.LET(_xlpm.ig,N(P175)+IF(AF175="вручную",0,N(CB175)),_xlpm.n0,IFERROR(VLOOKUP(_xlpm.ig,Автомат_номиналы,2,TRUE),0),_xlpm.mn,MAX(CL175,IF(AF175="вручную",0,N(CE175))),MAX(_xlpm.n0,_xlpm.mn,IF(CR175=1,Мин_автомат_БП,0))))</f>
        <v>16</v>
      </c>
      <c r="CV175">
        <f t="shared" si="276"/>
        <v>1</v>
      </c>
      <c r="CW175" t="str">
        <f t="shared" si="277"/>
        <v>2P</v>
      </c>
      <c r="CX175" t="str">
        <f>_xlfn.LET(_xlpm.cc,UPPER(TRIM(IFERROR(_xlfn.XLOOKUP(AX175,Коды_код,Коды_хар)&amp;"",""))),IF(OR(_xlpm.cc="B",_xlpm.cc="В"),"B",IF(_xlpm.cc="D","D","С")))</f>
        <v>С</v>
      </c>
      <c r="CY175" t="str">
        <f t="shared" si="278"/>
        <v>2P С16А 30мА</v>
      </c>
      <c r="CZ175">
        <f t="shared" si="279"/>
        <v>16</v>
      </c>
      <c r="DA175" t="str">
        <f t="shared" si="280"/>
        <v>2P С16А 30мА</v>
      </c>
      <c r="DB175" cm="1">
        <f t="array" ref="DB175">IF(DA175="","",_xlfn.LET(_xlpm.t,SUBSTITUTE(SUBSTITUTE(SUBSTITUTE(UPPER(DA175),"С","C"),"А","A"),"В","B"),_xlpm.tk,_xlfn.TEXTSPLIT(_xlpm.t,"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5" t="str">
        <f t="shared" si="281"/>
        <v>ok</v>
      </c>
      <c r="DD175">
        <f t="shared" si="282"/>
        <v>16</v>
      </c>
      <c r="DE175" t="str">
        <f t="shared" si="283"/>
        <v>2P С16А 30мА</v>
      </c>
      <c r="DF175">
        <f t="shared" si="284"/>
        <v>30</v>
      </c>
      <c r="DG175">
        <f t="shared" si="285"/>
        <v>1</v>
      </c>
      <c r="DH175">
        <f t="shared" si="286"/>
        <v>0</v>
      </c>
      <c r="DI175">
        <f t="shared" si="287"/>
        <v>0.54696341291648753</v>
      </c>
      <c r="DJ175">
        <f t="shared" si="288"/>
        <v>1</v>
      </c>
      <c r="DK175">
        <f>IF(ISNUMBER(AL175),AL175,К_прокл)</f>
        <v>1</v>
      </c>
      <c r="DL175">
        <f t="shared" si="289"/>
        <v>2</v>
      </c>
      <c r="DM175">
        <f>IFERROR(N(VLOOKUP(BT175,Кабель_обозначение,3,FALSE)),1)</f>
        <v>1</v>
      </c>
      <c r="DN175">
        <f>IFERROR(N(_xlfn.XLOOKUP(A175,Щиты[Щит],Щиты[ΔU до шин, %])),0)</f>
        <v>1.57</v>
      </c>
      <c r="DO175" t="str">
        <f>IFERROR(_xlfn.XLOOKUP(A175,Щиты[Щит],Щиты[Zпетли на шинах, Ом]),"")</f>
        <v/>
      </c>
      <c r="DP175">
        <f>IFERROR(N(_xlfn.XLOOKUP(A175,Щиты[Щит],Щиты[ΔU до шин (подбор), %])),0)</f>
        <v>2.5</v>
      </c>
      <c r="DQ175" t="str">
        <f>IFERROR(_xlfn.XLOOKUP(A175,Щиты[Щит],Щиты[Zпетли на шинах (подбор), Ом]),"")</f>
        <v/>
      </c>
      <c r="DR175" t="str">
        <f t="shared" si="290"/>
        <v/>
      </c>
      <c r="DS175">
        <f t="shared" si="291"/>
        <v>21</v>
      </c>
      <c r="DT175">
        <f t="shared" si="292"/>
        <v>2</v>
      </c>
      <c r="DU175">
        <f t="shared" si="293"/>
        <v>0.31</v>
      </c>
      <c r="DV175" s="6">
        <f>IF(B175="","",IF(IFERROR(VLOOKUP(AX175,УГО_спр,2,FALSE),"")="Светильник",3,4)+IF(Методика="нормы 2026",MIN(0.5,MAX(0,N(Q175)-100)*0.005),0))</f>
        <v>4</v>
      </c>
      <c r="DW175" cm="1">
        <f t="array" ref="DW175">IF(OR(B175="",BT175="",DM175&lt;&gt;1),"",_xlfn.LET(_xlpm.sz,Iдоп_S,_xlpm.t_,CHOOSE(DL175,Iдоп_1ж,Iдоп_2ж,Iдоп_3ж)*DJ175*DK175,_xlpm.inn,N(DD175),_xlpm.smin,MAX(1.5,BW175),_xlpm.L_,N(Q175)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175)*(_xlpm.rho*_xlpm.L_/_xlpm.sz*N(BY175)+_xlpm.xx*_xlpm.L_*N(DU175)/1000)*N(P175)/((Uн_лин/SQRT(3))*1000)*100,999),_xlpm.kz,IF(OR(DG175=1,NOT(ISNUMBER(DQ175)),_xlpm.L_=0,_xlpm.inn=0),1,IFERROR(--(c_min*(Uн_лин*1000/SQRT(3))/(DQ175+2*ρкз_Cu*_xlpm.L_/_xlpm.sz)&gt;=GY175*_xlpm.inn),0)),_xlpm.ok,IFERROR((_xlpm.sz&gt;=_xlpm.smin)*(_xlpm.t_&gt;=_xlpm.inn)*IF(_xlpm.L_&gt;0,(_xlpm.du_+DP175&lt;=DV175+0.00001),1)*_xlpm.kz,0),_xlpm.r_,_xlfn._xlws.FILTER(_xlpm.sz,_xlpm.ok,"не подобрано"),INDEX(_xlpm.r_,1)))</f>
        <v>1.5</v>
      </c>
      <c r="DX175">
        <f t="shared" si="294"/>
        <v>2.5</v>
      </c>
      <c r="DY175" cm="1">
        <f t="array" ref="DY175">IF(OR(B175="",BT175="",DM175&lt;&gt;1),"",_xlfn.LET(_xlpm.sz,Iдоп_S,_xlpm.t_,CHOOSE(DL175,Iдоп_1ж,Iдоп_2ж,Iдоп_3ж)*DJ175*DK175,_xlpm.ok,IFERROR((_xlpm.sz&gt;=MAX(1.5,BW175))*(_xlpm.t_&gt;=N(DD175)),0),_xlpm.r_,_xlfn._xlws.FILTER(_xlpm.sz,_xlpm.ok,""),INDEX(_xlpm.r_,1)))</f>
        <v>1.5</v>
      </c>
      <c r="DZ175" s="6" cm="1">
        <f t="array" ref="DZ175">IFERROR(ROUNDUP(N(DT175)*(_xlfn.XLOOKUP(DY175,INDEX(Кабель_сопротивление,0,1),INDEX(Кабель_сопротивление,0,3))*N(Q175)/DY175*N(BY175)+_xlfn.XLOOKUP(DY175,INDEX(Кабель_сопротивление,0,1),INDEX(Кабель_сопротивление,0,2))*N(Q175)*N(DU175)/1000)*N(P175)/((Uн_лин/SQRT(3))*1000)*100,2),"")</f>
        <v>0.21000000000000002</v>
      </c>
      <c r="EA175">
        <f>IFERROR(2*ρкз_Cu*N(Q175)/DY175,"")</f>
        <v>1.052</v>
      </c>
      <c r="EB175">
        <f>IFERROR(VLOOKUP(DX175,Кабель_сопротивление,3,FALSE),"")</f>
        <v>2.2499999999999999E-2</v>
      </c>
      <c r="EC175">
        <f>IFERROR(VLOOKUP(DX175,Кабель_сопротивление,2,FALSE),"")</f>
        <v>0.1</v>
      </c>
      <c r="ED175">
        <f t="shared" si="295"/>
        <v>14</v>
      </c>
      <c r="EE175">
        <f t="shared" si="296"/>
        <v>5</v>
      </c>
      <c r="EF175">
        <f t="shared" si="297"/>
        <v>0.28160958277418269</v>
      </c>
      <c r="EG175" s="6">
        <f>IFERROR(ROUNDUP(EF175/((Uн_лин/SQRT(3))*1000)*100,2),"")</f>
        <v>0.13</v>
      </c>
      <c r="EH175" t="str">
        <f>IFERROR(VLOOKUP(BT175,Кабель_обозначение,2,FALSE),"")</f>
        <v>ВВГнг(А)-LS</v>
      </c>
      <c r="EI175" t="str">
        <f t="shared" si="298"/>
        <v>ВВГнг(А)-LS (3х2,5)</v>
      </c>
      <c r="EJ175" t="str">
        <f t="shared" si="299"/>
        <v>ВВГнг(А)-LS (3х2,5)
L=30-0,13%</v>
      </c>
      <c r="EK175">
        <f>IFERROR(2*ρкз_Cu*Q175/DX175,"")</f>
        <v>0.63119999999999998</v>
      </c>
      <c r="EL175">
        <f t="shared" si="300"/>
        <v>0.21000000000000002</v>
      </c>
      <c r="EM175" s="6" t="str">
        <f>IFERROR(IF(OR(B175="",NOT(ISNUMBER(DX175)),N(Q175)=0),"",_xlfn.XLOOKUP(A175,Щиты[Щит],Щиты[Zпетли на шинах, Ом])+EK175),"")</f>
        <v/>
      </c>
      <c r="EN175" s="6" t="str">
        <f>IF(ISNUMBER(EM175),c_min*(Uн_лин*1000/SQRT(3))/EM175,"")</f>
        <v/>
      </c>
      <c r="EO175" s="6" t="str">
        <f>IFERROR(IF(OR(B175="",NOT(ISNUMBER(DX175))),"",1.05*(Uн_лин*1000/SQRT(3))/(_xlfn.XLOOKUP(A175,Щиты[Щит],Щиты[Zmax на шинах, Ом])+EL175)/1000),"")</f>
        <v/>
      </c>
      <c r="EP175" s="6" t="str">
        <f>IF(B175="","",IF(ISNUMBER(Y175),"Сил",IF(IFERROR(_xlfn.XLOOKUP(AX175,Коды_код,Коды_группа)&amp;"","")="","Быт",_xlfn.XLOOKUP(AX175,Коды_код,Коды_группа)&amp;"")))</f>
        <v>Быт</v>
      </c>
      <c r="EQ175" s="6" t="str">
        <f t="shared" si="301"/>
        <v>Быт</v>
      </c>
      <c r="ER175" s="6">
        <f>IF(EQ175="Щит","щит",IF(EQ175="","",IF(EQ175="Быт",IFERROR(_xlfn.XLOOKUP(A175,Щиты[Щит],Щиты[Кс быт]),1),IF(EQ175="Сил",IF(ISNUMBER(Y175),Y175,IF(Методика="нормы 2026",IFERROR(_xlfn.XLOOKUP(A175,Щиты[Щит],Щиты[Кс силовых (табл. 7.5)]),1),1)),IF(OR(EQ175="Пост",EQ175="Отоп"),1,IF(EQ175="ВНГ",0.7,0))))))</f>
        <v>0.8</v>
      </c>
      <c r="ES175">
        <f t="shared" si="302"/>
        <v>1</v>
      </c>
      <c r="ET175">
        <f t="shared" si="303"/>
        <v>0.12</v>
      </c>
      <c r="EU175">
        <f t="shared" si="304"/>
        <v>0.12</v>
      </c>
      <c r="EV175">
        <f t="shared" si="305"/>
        <v>0</v>
      </c>
      <c r="EW175">
        <f t="shared" si="306"/>
        <v>0</v>
      </c>
      <c r="EX175">
        <f t="shared" si="307"/>
        <v>0</v>
      </c>
      <c r="EY175">
        <f t="shared" si="308"/>
        <v>0</v>
      </c>
      <c r="EZ175">
        <f t="shared" si="309"/>
        <v>0.12</v>
      </c>
      <c r="FA175">
        <f t="shared" si="310"/>
        <v>0.11399999999999999</v>
      </c>
      <c r="FB175">
        <f t="shared" si="311"/>
        <v>0.12</v>
      </c>
      <c r="FC175" t="str">
        <f t="shared" si="312"/>
        <v>L3</v>
      </c>
      <c r="FD175" t="str">
        <f>IF(B175="","",IF(CA175=0,IF(AW175=1,"",FF174),IF(OR(N(CV175)&gt;=3,N(BR175)&gt;=3),"L1,L2,L3",IFERROR(_xlfn.TEXTBEFORE(_xlfn.TEXTAFTER(_xlfn.XLOOKUP(A175,Щиты[Щит],Щиты[_фазы авто]),";"&amp;AW175&amp;":"),";"),"L1"))))</f>
        <v>L1</v>
      </c>
      <c r="FE175" t="str">
        <f t="shared" si="313"/>
        <v>L3</v>
      </c>
      <c r="FF175" t="str">
        <f t="shared" si="314"/>
        <v>L3</v>
      </c>
      <c r="FG175" cm="1">
        <f t="array" ref="FG175">IFERROR(IF(BX175=2,_xlfn.IFS(BR175=3,VLOOKUP(BN175,Справочная_двигатели,3,FALSE),BR175=1,VLOOKUP(BN175,Справочная_двигатели,5,TRUE)),0),0)</f>
        <v>0</v>
      </c>
      <c r="FH175">
        <f>IFERROR(IF(BX175=3,VLOOKUP(BN175,Справочная_ЛЭД,2,TRUE),0),0)</f>
        <v>0</v>
      </c>
      <c r="FI175" s="6">
        <f t="shared" si="315"/>
        <v>0</v>
      </c>
      <c r="FJ175" t="str" cm="1">
        <f t="array" ref="FJ175">IF(B175="","",IFERROR(INDEX({"I особая","I","II","III"},MATCH(TRIM(AC175&amp;""),{"I особая","I","II","III"},0)),"III"))</f>
        <v>II</v>
      </c>
      <c r="FK175" t="str">
        <f>IF(B175="","",IF(TRIM(AD175&amp;"")&lt;&gt;"",IF(LOWER(TRIM(AD175&amp;""))="да","да","нет"),IF(IFERROR(_xlfn.XLOOKUP(AX175,Коды_код,Коды_пожарная),"")="да","да","нет")))</f>
        <v>нет</v>
      </c>
      <c r="FL175" t="str">
        <f t="shared" si="316"/>
        <v/>
      </c>
      <c r="FM175" t="str">
        <f t="shared" si="317"/>
        <v>основная</v>
      </c>
      <c r="FN175">
        <f t="shared" si="318"/>
        <v>1</v>
      </c>
      <c r="FO175" t="str" cm="1">
        <f t="array" ref="FO175">IF(B175="","",_xlfn.LET(_xlpm.t,IFERROR(_xlfn.XLOOKUP(1,(Шины[Шина]=FM175)*(((Шины[Щит]=A175)+(Шины[Щит]=""))&gt;0),Шины[Тип]),"")&amp;"",IF(_xlpm.t&lt;&gt;"",_xlpm.t,IF(ISNUMBER(SEARCH("ИБП",FM175)),"ИБП",IF(ISNUMBER(SEARCH("ДГУ",FM175)),"ДГУ","Ввод "&amp;FN175)))))</f>
        <v>Ввод 1</v>
      </c>
      <c r="FP175" t="str">
        <f t="shared" si="319"/>
        <v>Ввод 1</v>
      </c>
      <c r="FQ175" t="str">
        <f>IF(B175="","",IF(OR(FO175="ИБП",FO175="ДГУ"),"I особая",IF(FO175="Одиночная","III",_xlfn.XLOOKUP(A175,Щиты[Щит],Щиты[Категория шины «Ввод»],"III"))))</f>
        <v>II</v>
      </c>
      <c r="FR175">
        <f>IF(B175="",0,IFERROR(MATCH(FJ175,{"III","II","I","I особая"},0),1))</f>
        <v>2</v>
      </c>
      <c r="FS175">
        <f t="shared" si="320"/>
        <v>2</v>
      </c>
      <c r="FT175" t="str">
        <f>IF(B175="","",IF(FR175&gt;IFERROR(MATCH(FQ175,{"III","II","I","I особая"},0),1),"НЕ ОБЕСПЕЧЕНА","ОК"))</f>
        <v>ОК</v>
      </c>
      <c r="FU175" t="str">
        <f>IF(A175="","",_xlfn.XLOOKUP(A175,Щиты[Щит],Щиты[Путь],""))</f>
        <v>|ГРЩ-ЖД|ЩР-001|</v>
      </c>
      <c r="FV175" t="str">
        <f>IF(B175="","",IF(AE175&lt;&gt;"",AE175,IF(IFERROR(_xlfn.XLOOKUP(AX175,Коды_код,Коды_вид)&amp;"","")="","Прочее",_xlfn.XLOOKUP(AX175,Коды_код,Коды_вид)&amp;"")))</f>
        <v>Розеточная сеть и бытовые приборы</v>
      </c>
      <c r="FW175">
        <f>IF(BH175="","",INT((BH175-1)/Столбцов_на_лист)+1)</f>
        <v>3</v>
      </c>
      <c r="FX175" t="str">
        <f t="shared" si="321"/>
        <v>ВВГнг(А)-LS (3х2,5) L=30-0,13%</v>
      </c>
      <c r="FY175">
        <f t="shared" si="322"/>
        <v>0.12</v>
      </c>
      <c r="FZ175">
        <f t="shared" si="323"/>
        <v>0.55000000000000004</v>
      </c>
      <c r="GA175">
        <f t="shared" si="324"/>
        <v>1</v>
      </c>
      <c r="GB175">
        <f t="shared" si="325"/>
        <v>0</v>
      </c>
      <c r="GC175">
        <f t="shared" si="326"/>
        <v>1</v>
      </c>
      <c r="GD175">
        <f>IF(BH175="","",IF(AND(CA175=1,GC175=1),COUNTIFS(A$3:A175,A175,CA$3:CA175,1,GC$3:GC175,1),IF(OR(OR(AW175=1,A175&lt;&gt;A174),AF175="вручную",GC175=0),"",IF(AW175=1,"",GE174))))</f>
        <v>21</v>
      </c>
      <c r="GE175">
        <f t="shared" si="327"/>
        <v>21</v>
      </c>
      <c r="GF175">
        <f>IF(B175="","",IFERROR(LOOKUP(INDEX(CHOOSE(DL175,Iдоп_1ж,Iдоп_2ж,Iдоп_3ж),MATCH(DX175,Iдоп_S,0))*DJ175*DK175,{6,10,16,20,25,32,40,50,63,80,100,125,160,200,250,315,400,500,630}),""))</f>
        <v>25</v>
      </c>
      <c r="GG175" t="str">
        <f t="shared" si="328"/>
        <v>QFD21</v>
      </c>
      <c r="GH175" t="str">
        <f t="shared" si="329"/>
        <v>QFD21</v>
      </c>
      <c r="GI175" t="str">
        <f t="shared" si="330"/>
        <v/>
      </c>
      <c r="GJ175">
        <f t="shared" si="331"/>
        <v>0</v>
      </c>
      <c r="GK175" t="str">
        <f>IF(OR(AG175="",AG175="-"),"",IFERROR(VLOOKUP(AG175,Модули_спр,2,FALSE),"R"))</f>
        <v/>
      </c>
      <c r="GL175" t="str">
        <f>IF(GK175="","",GK175&amp;"."&amp;COUNTIFS(A$3:A175,A175,GK$3:GK175,GK175))</f>
        <v/>
      </c>
      <c r="GM175" t="str">
        <f t="shared" si="332"/>
        <v/>
      </c>
      <c r="GN175" t="str">
        <f t="shared" si="333"/>
        <v/>
      </c>
      <c r="GO175" t="str">
        <f t="shared" si="334"/>
        <v/>
      </c>
      <c r="GP175" t="str">
        <f t="shared" si="335"/>
        <v/>
      </c>
      <c r="GQ175">
        <f t="shared" si="336"/>
        <v>1</v>
      </c>
      <c r="GR175" t="str">
        <f>IF(GQ175=1,"XT"&amp;COUNTIFS(A$3:A175,A175,GQ$3:GQ175,1),"")</f>
        <v>XT21</v>
      </c>
      <c r="GS175" t="str">
        <f t="shared" si="337"/>
        <v/>
      </c>
      <c r="GT175" t="str">
        <f t="shared" si="338"/>
        <v>QFD21</v>
      </c>
      <c r="GU175" t="str">
        <f t="shared" si="339"/>
        <v/>
      </c>
      <c r="GV175" t="str">
        <f t="shared" si="340"/>
        <v>ok</v>
      </c>
      <c r="GW175" t="str">
        <f>IF(OR(GO175="",GM175=""),"",IF(GO175&gt;IFERROR(VLOOKUP(GN175,Модули_спр,3,FALSE),99),"ЛИШНИЙ КАНАЛ",IF(AND(AH175&lt;&gt;"=",COUNTIFS(Линии[_модуль гр.],GM175,Линии[Канал (итог)],GO175,Линии[Канал],"&lt;&gt;=",Линии[Щит],A175)&gt;1),"ДУБЛЬ КАНАЛА","")))</f>
        <v/>
      </c>
      <c r="GX175" s="6" t="str">
        <f t="shared" si="341"/>
        <v/>
      </c>
      <c r="GY175">
        <f t="shared" si="342"/>
        <v>10</v>
      </c>
      <c r="GZ175" t="str">
        <f t="shared" si="343"/>
        <v/>
      </c>
      <c r="HA175" t="str">
        <f>IF(AND(B175="",GT175=""),"",_xlfn.TEXTJOIN("; ",TRUE,IF(AND(B175&lt;&gt;"",FE175=""),"нет фазы",""),IF(AND(B175&lt;&gt;"",N(FY175)=0,EQ175&lt;&gt;"Нет"),"нет мощности",""),IF(AND(GS175&lt;&gt;"",COUNTIFS(Линии[Щит],A175,Линии[Клемма (итог)],GS175)&gt;1),"дубль клеммы "&amp;GS175,""),IF(AND(GV175&lt;&gt;"",GV175&lt;&gt;"ok"),GV175,""),IF(GW175&lt;&gt;"",GW175,""),IF(AND(N(BV175)&gt;=4,N(BR175)=1),BV175&amp;" жил на 1 фазе",""),IF(AND(AX175="R",CA175=1,OR(N(CK175)=0,N(CK175)&gt;30)),"розетка без дифзащиты до 30 мА",""),IFERROR(IF(AND(ISNUMBER(R175),R175&gt;DV175),"потери "&amp;FIXED(R175,1)&amp;" % &gt; "&amp;DV175&amp;" %",""),""),IFERROR(IF(LEFT(GZ175,4)="мало","Iкз мало — отключение &gt; 0,4 с",""),""),IF(AND(B175&lt;&gt;"",BH175=""),"не на схеме",""),IF(AND(CA175=0,B175&lt;&gt;"",FE175&lt;&gt;"",IF(AW175=1,"",FF174)&lt;&gt;"",FE175&lt;&gt;IF(AW175=1,"",FF174)),"фаза не как у автомата группы ("&amp;IF(AW175=1,"",FF174)&amp;")","")))</f>
        <v/>
      </c>
      <c r="HB175" s="6">
        <f>IF(OR(CA175=0,DA175=""),"",_xlfn.LET(_xlpm.t,IFERROR(_xlfn.XLOOKUP(DA175,Каталог!$U$4:$U$500,Каталог!$G$4:$G$500),""),_xlpm.k,SEARCH("кА",_xlpm.t),IFERROR(--TRIM(RIGHT(SUBSTITUTE(MID(_xlpm.t,MAX(1,_xlpm.k-4),_xlpm.k-MAX(1,_xlpm.k-4))," ",REPT(" ",9)),5)),"")))</f>
        <v>6</v>
      </c>
      <c r="HC175" t="str">
        <f>IF(OR(HB175="",CA175=0),"",IF(_xlfn.XLOOKUP(A175,Щиты[Щит],Щиты[Iкз max на шинах, кА],"")="","",IF(HB175&lt;_xlfn.XLOOKUP(A175,Щиты[Щит],Щиты[Iкз max на шинах, кА]),"Icu "&amp;HB175&amp;" кА &lt; Iкз max","ok")))</f>
        <v/>
      </c>
      <c r="HD175" t="str">
        <f t="shared" si="344"/>
        <v/>
      </c>
      <c r="HE175" t="str">
        <f t="shared" si="345"/>
        <v>QFD21</v>
      </c>
      <c r="HF175" t="str">
        <f t="shared" si="346"/>
        <v>QFD21|кабель ВВГнг(А)-LS (3х2,5) → Розеточная группа, пом. 006Б</v>
      </c>
      <c r="HG175" t="str" cm="1">
        <f t="array" ref="HG175">IF(HF175="","",_xlfn.LET(_xlpm.nd,_xlfn.TEXTSPLIT(HF175,"|"),IF(COLUMNS(_xlpm.nd)&gt;1,A175&amp;"¦"&amp;INDEX(_xlpm.nd,1)&amp;"¦"&amp;INDEX(_xlpm.nd,2),"")))</f>
        <v>ЩР-001¦QFD21¦кабель ВВГнг(А)-LS (3х2,5) → Розеточная группа, пом. 006Б</v>
      </c>
      <c r="HH175" t="str">
        <f t="shared" si="347"/>
        <v>R.00.006Б.1¦Розеточная группа, пом. 006Б</v>
      </c>
      <c r="HI175" t="str" cm="1">
        <f t="array" ref="HI175">IF(HF175="","",_xlfn.LET(_xlpm.nd,_xlfn.TEXTSPLIT(HF175,"|"),IF(COLUMNS(_xlpm.nd)&gt;2,A175&amp;"¦"&amp;INDEX(_xlpm.nd,2)&amp;"¦"&amp;INDEX(_xlpm.nd,3),"")))</f>
        <v/>
      </c>
      <c r="HJ175" t="str">
        <f t="shared" si="348"/>
        <v/>
      </c>
      <c r="HK175" t="str" cm="1">
        <f t="array" ref="HK175">IF(HF175="","",_xlfn.LET(_xlpm.nd,_xlfn.TEXTSPLIT(HF175,"|"),IF(COLUMNS(_xlpm.nd)&gt;3,A175&amp;"¦"&amp;INDEX(_xlpm.nd,3)&amp;"¦"&amp;INDEX(_xlpm.nd,4),"")))</f>
        <v/>
      </c>
      <c r="HL175" t="str">
        <f t="shared" si="349"/>
        <v/>
      </c>
      <c r="HM175" t="str" cm="1">
        <f t="array" ref="HM175">IF(HF175="","",_xlfn.LET(_xlpm.nd,_xlfn.TEXTSPLIT(HF175,"|"),IF(COLUMNS(_xlpm.nd)&gt;4,A175&amp;"¦"&amp;INDEX(_xlpm.nd,4)&amp;"¦"&amp;INDEX(_xlpm.nd,5),"")))</f>
        <v/>
      </c>
      <c r="HN175" t="str">
        <f t="shared" si="350"/>
        <v/>
      </c>
      <c r="HO175" t="str" cm="1">
        <f t="array" ref="HO175">IF(HF175="","",_xlfn.LET(_xlpm.nd,_xlfn.TEXTSPLIT(HF175,"|"),IF(COLUMNS(_xlpm.nd)&gt;5,A175&amp;"¦"&amp;INDEX(_xlpm.nd,5)&amp;"¦"&amp;INDEX(_xlpm.nd,6),"")))</f>
        <v/>
      </c>
      <c r="HP175" t="str">
        <f t="shared" si="351"/>
        <v/>
      </c>
      <c r="HQ175" t="str" cm="1">
        <f t="array" ref="HQ175">IF(HF175="","",_xlfn.LET(_xlpm.nd,_xlfn.TEXTSPLIT(HF175,"|"),IF(COLUMNS(_xlpm.nd)&gt;6,A175&amp;"¦"&amp;INDEX(_xlpm.nd,6)&amp;"¦"&amp;INDEX(_xlpm.nd,7),"")))</f>
        <v/>
      </c>
      <c r="HR175" t="str">
        <f t="shared" si="352"/>
        <v/>
      </c>
      <c r="HS175" t="str">
        <f t="shared" si="353"/>
        <v/>
      </c>
      <c r="HT175" t="str">
        <f t="shared" si="354"/>
        <v>QFD21</v>
      </c>
      <c r="HU175">
        <f t="shared" si="355"/>
        <v>0</v>
      </c>
      <c r="HV175">
        <f t="shared" si="356"/>
        <v>1</v>
      </c>
      <c r="HW175" t="str">
        <f t="shared" si="357"/>
        <v/>
      </c>
      <c r="HX175" t="str">
        <f t="shared" si="358"/>
        <v/>
      </c>
      <c r="HY175" t="str">
        <f t="shared" si="359"/>
        <v/>
      </c>
      <c r="HZ175" t="str">
        <f t="shared" si="360"/>
        <v/>
      </c>
      <c r="IA175" t="str">
        <f>IF(B175="","",IFERROR(VLOOKUP(B175,УГО_спр,2,FALSE),IFERROR(VLOOKUP(AX175,УГО_спр,2,FALSE),IFERROR(VLOOKUP(LEFT(AX175,2),УГО_спр,2,FALSE),""))))</f>
        <v>Розетка</v>
      </c>
      <c r="IB175" t="str">
        <f>IF(B175="","",IF(OR(IA175="",IA175=0),"BOX",IFERROR(IF(VLOOKUP(IA175,УГО_блоки,3,FALSE)&amp;""&lt;&gt;"",VLOOKUP(IA175,УГО_блоки,3,FALSE),VLOOKUP(IA175,УГО_блоки,2,FALSE)),IA175)))</f>
        <v>SOCKET</v>
      </c>
      <c r="IC175">
        <f t="shared" si="361"/>
        <v>1</v>
      </c>
      <c r="ID175" t="str">
        <f>IF(DA175="","",IF(COUNTIF(DA$3:DA175,DA175)=1,MAX(ID$2:ID174)+1,""))</f>
        <v/>
      </c>
      <c r="IE175" t="str">
        <f>IF(CO175="","",IF(COUNTIF(CO$3:CO175,CO175)+COUNTIF(CP$2:CP174,CO175)+COUNTIF(CQ$2:CQ174,CO175)=1,MAX(IE$2:IG174)+1,""))</f>
        <v/>
      </c>
      <c r="IF175" t="str">
        <f>IF(CP175="","",IF(COUNTIF(CO$3:CO175,CP175)+COUNTIF(CP$3:CP175,CP175)+COUNTIF(CQ$2:CQ174,CP175)=1,MAX(IE$2:IG174,IE175)+1,""))</f>
        <v/>
      </c>
      <c r="IG175" t="str">
        <f>IF(CQ175="","",IF(COUNTIF(CO$3:CO175,CQ175)+COUNTIF(CP$3:CP175,CQ175)+COUNTIF(CQ$3:CQ175,CQ175)=1,MAX(IE$2:IG174,IE175,IF175)+1,""))</f>
        <v/>
      </c>
      <c r="IH175" t="str">
        <f t="shared" si="362"/>
        <v>3х2,5</v>
      </c>
      <c r="II175" t="str">
        <f>IF(IH175="","",IF(COUNTIF(IH$3:IH175,IH175)=1,MAX(II$2:II174)+1,""))</f>
        <v/>
      </c>
      <c r="IJ175" t="str">
        <f>IF(GL175="","",COUNTIF(GL$3:GL175,"?*"))</f>
        <v/>
      </c>
      <c r="IK175" t="str">
        <f>IF(OR(GL175="",GN175=""),"",IF(COUNTIFS(GL$3:GL175,"?*",GN$3:GN175,GN175)=1,MAX(IK$2:IK174)+1,""))</f>
        <v/>
      </c>
      <c r="IL175">
        <f t="shared" si="363"/>
        <v>0</v>
      </c>
      <c r="IM175">
        <f>IF(B175="","",COUNTIF(B$3:B175,"?*"))</f>
        <v>173</v>
      </c>
      <c r="IN175">
        <f>IF(GQ175&lt;&gt;1,0,_xlfn.LET(_xlpm.k,MAX(IFERROR(--VLOOKUP(B175,УГО_спр,5,FALSE),0),IFERROR(--VLOOKUP(AX175,УГО_спр,5,FALSE),0),IFERROR(--VLOOKUP(LEFT(AX175,2),УГО_спр,5,FALSE),0)),IF(_xlpm.k&gt;0,_xlpm.k,IF(IFERROR(--LEFT(SUBSTITUTE(IH175,"x","х"),FIND("х",SUBSTITUTE(IH175,"x","х"))-1),3)&gt;3,Каталог!$S$9,1))))</f>
        <v>1</v>
      </c>
      <c r="IO175">
        <f t="shared" si="364"/>
        <v>0</v>
      </c>
      <c r="IP175" t="str">
        <f t="shared" si="365"/>
        <v>авто</v>
      </c>
      <c r="IQ175">
        <f t="shared" si="366"/>
        <v>30</v>
      </c>
      <c r="IR175">
        <f t="shared" si="367"/>
        <v>1</v>
      </c>
      <c r="IS175">
        <f t="shared" si="368"/>
        <v>1</v>
      </c>
    </row>
    <row r="176" spans="1:253" x14ac:dyDescent="0.3">
      <c r="A176" t="s">
        <v>755</v>
      </c>
      <c r="B176" t="s">
        <v>1443</v>
      </c>
      <c r="C176" t="str">
        <f>Линии[[#This Row],[_авто наименование]]</f>
        <v>Розеточная группа, пом. 007А</v>
      </c>
      <c r="D176">
        <v>4</v>
      </c>
      <c r="E176">
        <v>0.3</v>
      </c>
      <c r="G176">
        <v>16</v>
      </c>
      <c r="H176">
        <f>Линии[[#This Row],[_авто утечка]]</f>
        <v>30</v>
      </c>
      <c r="I176" t="str">
        <f>Линии[[#This Row],[_авто управление]]</f>
        <v/>
      </c>
      <c r="J176" t="str">
        <f>Линии[[#This Row],[_авто аппараты]]</f>
        <v/>
      </c>
      <c r="K176">
        <v>2.5</v>
      </c>
      <c r="L176">
        <v>59</v>
      </c>
      <c r="M176">
        <v>3</v>
      </c>
      <c r="N176" t="s">
        <v>486</v>
      </c>
      <c r="O176" t="str">
        <f t="shared" si="246"/>
        <v/>
      </c>
      <c r="P176" s="6" cm="1">
        <f t="array" ref="P176">IF(B176="","",IF(BC176&lt;&gt;"",IFERROR(_xlfn.XLOOKUP(BC176,Щиты[Щит],Щиты[Iр, А]),""),IF(BK176=1,IFERROR(_xlfn.XLOOKUP(A176,Щиты[Щит],Щиты[Iр, А]),""),IFERROR(_xlfn.IFS(BR176=1,BN176/((Uн_лин/SQRT(3))*BY176),BR176=3,BN176/(SQRT(3)*Uн_лин*BY176)),""))))</f>
        <v>1.3674085322912188</v>
      </c>
      <c r="Q176" s="7">
        <f>IF(B176="","",IFERROR(IF(VLOOKUP(AX176,Потребители_обозначение,4,FALSE)=1,VLOOKUP(AX176,Потребители_обозначение,3,FALSE)*(D176*2-1)+DS176+VLOOKUP(AZ176,Этаж_обозначение,3,FALSE)+VLOOKUP(AZ176,Этаж_обозначение,4,FALSE),VLOOKUP(AX176,Потребители_обозначение,3,FALSE)*(D176*2-1)+DS176),DS176))</f>
        <v>80</v>
      </c>
      <c r="R176" s="6">
        <f t="shared" si="247"/>
        <v>2.39</v>
      </c>
      <c r="S176" t="str">
        <f t="shared" si="248"/>
        <v>ВВГнг(А)-LS (3х2,5)</v>
      </c>
      <c r="T176" t="str">
        <f>IF(BH176="","",IF(BI176="вводной узел","узел ","")&amp;"л."&amp;(INT((BH176-1)/Столбцов_на_лист)+1)&amp;" / "&amp;(MOD(BH176-1,Столбцов_на_лист)+1))</f>
        <v>л.3 / 7</v>
      </c>
      <c r="V176">
        <v>1</v>
      </c>
      <c r="W176">
        <v>230</v>
      </c>
      <c r="X176" t="s">
        <v>564</v>
      </c>
      <c r="AC176" t="s">
        <v>815</v>
      </c>
      <c r="AE176" t="s">
        <v>563</v>
      </c>
      <c r="AI176">
        <v>41</v>
      </c>
      <c r="AJ176" t="s">
        <v>11</v>
      </c>
      <c r="AK176">
        <v>3</v>
      </c>
      <c r="AM176">
        <v>41</v>
      </c>
      <c r="AN176">
        <v>23</v>
      </c>
      <c r="AO176">
        <v>16</v>
      </c>
      <c r="AW176" cm="1">
        <f t="array" ref="AW176">ROW()-ROW(Линии[#Headers])</f>
        <v>174</v>
      </c>
      <c r="AX176" s="6" t="str">
        <f t="shared" si="249"/>
        <v>R</v>
      </c>
      <c r="AY176" t="str">
        <f t="shared" si="250"/>
        <v>00.007А.1</v>
      </c>
      <c r="AZ176" t="str">
        <f t="shared" si="251"/>
        <v>00</v>
      </c>
      <c r="BA176" t="str">
        <f t="shared" si="252"/>
        <v>007А.1</v>
      </c>
      <c r="BB176" t="str">
        <f t="shared" si="253"/>
        <v>007А</v>
      </c>
      <c r="BC176" t="str">
        <f>IF(U176&lt;&gt;"",U176,IF(AND(B176&lt;&gt;"",B176&lt;&gt;A176,ISNUMBER(_xlfn.XMATCH(B176,Щиты[Щит]))),B176,""))</f>
        <v/>
      </c>
      <c r="BD176" t="str" cm="1">
        <f t="array" ref="BD176">IF(B176="","",IF(BC176&lt;&gt;"","Щит "&amp;BC176,_xlfn.LET(_xlpm.nm,IFERROR(_xlfn.XLOOKUP(AX176,Коды_код,Коды_имя)&amp;"",""),_xlpm.md,IFERROR(N(_xlfn.XLOOKUP(AX176,Коды_код,Коды_режим)),1),_xlpm.ex,IF(Имя_режим="по экспликации",IFERROR(_xlfn.XLOOKUP(AZ176&amp;"|"&amp;BB176,Экспликация[Этаж]&amp;"|"&amp;Экспликация[Помещение],Экспликация[Название])&amp;"",""),""),_xlpm.rm,IF(BB176="","",IF(_xlpm.ex&lt;&gt;"",". "&amp;_xlpm.ex&amp;IF(Имя_пом="нет"," ("&amp;BB176&amp;")"," (пом. "&amp;BB176&amp;")"),IF(Имя_пом="нет"," ",", пом. ")&amp;BB176)),IF(_xlpm.nm="","",IF(_xlpm.md=2,_xlpm.nm&amp;" шлейф "&amp;AZ176,_xlpm.nm&amp;_xlpm.rm)))))</f>
        <v>Розеточная группа, пом. 007А</v>
      </c>
      <c r="BE176" t="str">
        <f t="shared" si="254"/>
        <v>Розеточная группа, пом. 007А</v>
      </c>
      <c r="BF176">
        <f>IFERROR(_xlfn.XMATCH(A176,Щиты[Щит]),0)</f>
        <v>8</v>
      </c>
      <c r="BG176">
        <f>_xlfn.LET(_xlpm.k,IFERROR(_xlfn.XLOOKUP(A176,Щиты[Щит],Щиты[Листов под вводной узел]),""),IF(_xlpm.k="",1,N(_xlpm.k))*Столбцов_на_лист)</f>
        <v>17</v>
      </c>
      <c r="BH176">
        <f t="shared" si="255"/>
        <v>41</v>
      </c>
      <c r="BI176" t="str">
        <f t="shared" si="256"/>
        <v>линии</v>
      </c>
      <c r="BJ176" s="6">
        <f>IFERROR(N(_xlfn.XLOOKUP(AX176,Коды_код,Коды_квт)),0)</f>
        <v>0</v>
      </c>
      <c r="BK176">
        <f t="shared" si="257"/>
        <v>0</v>
      </c>
      <c r="BL176" t="str">
        <f>IF(B176="","",IF(BC176&lt;&gt;"",IFERROR(_xlfn.XLOOKUP(BC176,Щиты[Щит],Щиты[Руст, кВт]),0),IF(BK176=1,IFERROR(_xlfn.XLOOKUP(A176,Щиты[Щит],Щиты[Руст, кВт]),0),IF(BJ176&gt;0,ROUND(BJ176*MAX(1,N(D176)),3),""))))</f>
        <v/>
      </c>
      <c r="BM176">
        <f t="shared" si="258"/>
        <v>0.3</v>
      </c>
      <c r="BN176" s="6">
        <f>IF(B176="","",IF(BC176&lt;&gt;"",IFERROR(_xlfn.XLOOKUP(BC176,Щиты[Щит],Щиты[Руст, кВт]),0),N(BM176)))</f>
        <v>0.3</v>
      </c>
      <c r="BO176" t="str">
        <f>IF(B176="","",IFERROR(IF(VLOOKUP(AX176,Потребители_обозначение,8,FALSE)=0,"",VLOOKUP(AX176,Потребители_обозначение,8,FALSE)),""))</f>
        <v/>
      </c>
      <c r="BP176">
        <f t="shared" si="259"/>
        <v>230</v>
      </c>
      <c r="BQ176">
        <f>IF(B176="","",IF(BC176&lt;&gt;"",3,IFERROR(IF(N(VLOOKUP(AX176,Потребители_обозначение,9,FALSE))=0,1,VLOOKUP(AX176,Потребители_обозначение,9,FALSE)),1)))</f>
        <v>1</v>
      </c>
      <c r="BR176">
        <f t="shared" si="260"/>
        <v>1</v>
      </c>
      <c r="BS176" t="str">
        <f>IF(B176="","",_xlfn.LET(_xlpm.bc,IFERROR(IF(VLOOKUP(AX176,Потребители_обозначение,6,FALSE)=0,"",VLOOKUP(AX176,Потребители_обозначение,6,FALSE)&amp;""),""),IF(AND(FK176="да",OR(_xlpm.bc="",_xlpm.bc="мс")),Марка_пож,IF(AND(_xlpm.bc="",BC176&lt;&gt;""),"мс",_xlpm.bc))))</f>
        <v/>
      </c>
      <c r="BT176" t="str">
        <f t="shared" si="261"/>
        <v>мс</v>
      </c>
      <c r="BU176">
        <f>IF(B176="","",_xlfn.LET(_xlpm.cc,IFERROR(N(VLOOKUP(AX176,Потребители_обозначение,7,FALSE)),0),IF(_xlpm.cc&gt;0,_xlpm.cc,IF(BT176="","",IF(N(BR176)=3,5,3)))))</f>
        <v>3</v>
      </c>
      <c r="BV176">
        <f t="shared" si="262"/>
        <v>3</v>
      </c>
      <c r="BW176">
        <f>IFERROR(N(VLOOKUP(AX176,Потребители_обозначение,10,FALSE)),0)</f>
        <v>0</v>
      </c>
      <c r="BX176">
        <f>IFERROR(VLOOKUP(AX176,Потребители_обозначение,5,FALSE),0)</f>
        <v>1</v>
      </c>
      <c r="BY176" s="6" cm="1">
        <f t="array" ref="BY176">IF(B176="","",IF(BC176&lt;&gt;"",IFERROR(_xlfn.XLOOKUP(BC176,Щиты[Щит],Щиты[cos φ]),0.95),IF(BK176=1,IFERROR(_xlfn.XLOOKUP(A176,Щиты[Щит],Щиты[cos φ]),0.95),IF(ISNUMBER(Z176),Z176,IFERROR(IF(BX176=2,_xlfn.IFS(BR176=3,VLOOKUP(BN176,Справочная_двигатели,8,FALSE),BR176=1,VLOOKUP(BN176,Справочная_двигатели,10,TRUE)),IF(AND(Методика="нормы 2026",EQ176="Сил"),0.8,0.95)),0.95)))))</f>
        <v>0.95</v>
      </c>
      <c r="BZ176">
        <f t="shared" si="263"/>
        <v>0</v>
      </c>
      <c r="CA176">
        <f t="shared" si="264"/>
        <v>1</v>
      </c>
      <c r="CB176">
        <f t="shared" si="265"/>
        <v>0</v>
      </c>
      <c r="CC176">
        <f t="shared" si="266"/>
        <v>0</v>
      </c>
      <c r="CD176">
        <f t="shared" si="267"/>
        <v>0</v>
      </c>
      <c r="CE176">
        <f t="shared" si="268"/>
        <v>0</v>
      </c>
      <c r="CF176">
        <f t="shared" si="269"/>
        <v>0</v>
      </c>
      <c r="CG176">
        <f>IF(AX176="",0,_xlfn.LET(_xlpm.v,IFERROR(VLOOKUP(B176,УГО_спр,3,FALSE),IFERROR(VLOOKUP(AX176,УГО_спр,3,FALSE),IFERROR(VLOOKUP(LEFT(AX176,2),УГО_спр,3,FALSE),""))),IF(_xlpm.v="да",30,IF(ISNUMBER(_xlpm.v),_xlpm.v,0))))</f>
        <v>30</v>
      </c>
      <c r="CH176">
        <f t="shared" si="270"/>
        <v>30</v>
      </c>
      <c r="CI176" t="str">
        <f>_xlfn.LET(_xlpm.k,IFERROR(_xlfn.XLOOKUP(AX176,Коды_код,Коды_утечка)&amp;"",""),IF(_xlpm.k="","дифавтомат",_xlpm.k))</f>
        <v>дифавтомат</v>
      </c>
      <c r="CJ176">
        <f t="shared" si="271"/>
        <v>30</v>
      </c>
      <c r="CK176">
        <f t="shared" si="272"/>
        <v>30</v>
      </c>
      <c r="CL176">
        <f>IF(B176="",0,IFERROR(--VLOOKUP(B176,УГО_спр,4,FALSE),IFERROR(--VLOOKUP(AX176,УГО_спр,4,FALSE),IFERROR(--VLOOKUP(LEFT(AX176,2),УГО_спр,4,FALSE),0))))</f>
        <v>16</v>
      </c>
      <c r="CM176" t="str">
        <f>IF(B176="","",IFERROR(_xlfn.XLOOKUP(AX176,Коды_код,Коды_апп)&amp;"",""))</f>
        <v/>
      </c>
      <c r="CN176" t="str">
        <f t="shared" si="273"/>
        <v/>
      </c>
      <c r="CO176" t="str" cm="1">
        <f t="array" ref="CO176">IF(TRIM(CN176&amp;"")="","",IFERROR(TRIM(INDEX(_xlfn.TEXTSPLIT(CN176&amp;";;;",";"),1)),""))</f>
        <v/>
      </c>
      <c r="CP176" t="str" cm="1">
        <f t="array" ref="CP176">IF(TRIM(CN176&amp;"")="","",IFERROR(TRIM(INDEX(_xlfn.TEXTSPLIT(CN176&amp;";;;",";"),2)),""))</f>
        <v/>
      </c>
      <c r="CQ176" t="str" cm="1">
        <f t="array" ref="CQ176">IF(TRIM(CN176&amp;"")="","",IFERROR(TRIM(INDEX(_xlfn.TEXTSPLIT(CN176&amp;";;;",";"),3)),""))</f>
        <v/>
      </c>
      <c r="CR176">
        <f t="shared" si="274"/>
        <v>0</v>
      </c>
      <c r="CS176" t="str">
        <f>IF(B176="","",_xlfn.LET(_xlpm.t,LOWER(AV176&amp;""),IF(ISNUMBER(SEARCH("dim",_xlpm.t)),"DIM",IF(ISNUMBER(SEARCH("dali",_xlpm.t)),"DALI",IF(OR(ISNUMBER(SEARCH("relay",_xlpm.t)),ISNUMBER(SEARCH("реле",_xlpm.t))),"Relay",IF(ISNUMBER(SEARCH("кнопк",_xlpm.t)),"",IFERROR(_xlfn.XLOOKUP(AX176,Коды_код,Коды_упр)&amp;"","")))))))</f>
        <v/>
      </c>
      <c r="CT176" t="str">
        <f t="shared" si="275"/>
        <v/>
      </c>
      <c r="CU176">
        <f>IF(B176="","",_xlfn.LET(_xlpm.ig,N(P176)+IF(AF176="вручную",0,N(CB176)),_xlpm.n0,IFERROR(VLOOKUP(_xlpm.ig,Автомат_номиналы,2,TRUE),0),_xlpm.mn,MAX(CL176,IF(AF176="вручную",0,N(CE176))),MAX(_xlpm.n0,_xlpm.mn,IF(CR176=1,Мин_автомат_БП,0))))</f>
        <v>16</v>
      </c>
      <c r="CV176">
        <f t="shared" si="276"/>
        <v>1</v>
      </c>
      <c r="CW176" t="str">
        <f t="shared" si="277"/>
        <v>2P</v>
      </c>
      <c r="CX176" t="str">
        <f>_xlfn.LET(_xlpm.cc,UPPER(TRIM(IFERROR(_xlfn.XLOOKUP(AX176,Коды_код,Коды_хар)&amp;"",""))),IF(OR(_xlpm.cc="B",_xlpm.cc="В"),"B",IF(_xlpm.cc="D","D","С")))</f>
        <v>С</v>
      </c>
      <c r="CY176" t="str">
        <f t="shared" si="278"/>
        <v>2P С16А 30мА</v>
      </c>
      <c r="CZ176">
        <f t="shared" si="279"/>
        <v>16</v>
      </c>
      <c r="DA176" t="str">
        <f t="shared" si="280"/>
        <v>2P С16А 30мА</v>
      </c>
      <c r="DB176" cm="1">
        <f t="array" ref="DB176">IF(DA176="","",_xlfn.LET(_xlpm.t,SUBSTITUTE(SUBSTITUTE(SUBSTITUTE(UPPER(DA176),"С","C"),"А","A"),"В","B"),_xlpm.tk,_xlfn.TEXTSPLIT(_xlpm.t,"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6" t="str">
        <f t="shared" si="281"/>
        <v>ok</v>
      </c>
      <c r="DD176">
        <f t="shared" si="282"/>
        <v>16</v>
      </c>
      <c r="DE176" t="str">
        <f t="shared" si="283"/>
        <v>2P С16А 30мА</v>
      </c>
      <c r="DF176">
        <f t="shared" si="284"/>
        <v>30</v>
      </c>
      <c r="DG176">
        <f t="shared" si="285"/>
        <v>1</v>
      </c>
      <c r="DH176">
        <f t="shared" si="286"/>
        <v>0</v>
      </c>
      <c r="DI176">
        <f t="shared" si="287"/>
        <v>1.3674085322912188</v>
      </c>
      <c r="DJ176">
        <f t="shared" si="288"/>
        <v>1</v>
      </c>
      <c r="DK176">
        <f>IF(ISNUMBER(AL176),AL176,К_прокл)</f>
        <v>1</v>
      </c>
      <c r="DL176">
        <f t="shared" si="289"/>
        <v>2</v>
      </c>
      <c r="DM176">
        <f>IFERROR(N(VLOOKUP(BT176,Кабель_обозначение,3,FALSE)),1)</f>
        <v>1</v>
      </c>
      <c r="DN176">
        <f>IFERROR(N(_xlfn.XLOOKUP(A176,Щиты[Щит],Щиты[ΔU до шин, %])),0)</f>
        <v>1.57</v>
      </c>
      <c r="DO176" t="str">
        <f>IFERROR(_xlfn.XLOOKUP(A176,Щиты[Щит],Щиты[Zпетли на шинах, Ом]),"")</f>
        <v/>
      </c>
      <c r="DP176">
        <f>IFERROR(N(_xlfn.XLOOKUP(A176,Щиты[Щит],Щиты[ΔU до шин (подбор), %])),0)</f>
        <v>2.5</v>
      </c>
      <c r="DQ176" t="str">
        <f>IFERROR(_xlfn.XLOOKUP(A176,Щиты[Щит],Щиты[Zпетли на шинах (подбор), Ом]),"")</f>
        <v/>
      </c>
      <c r="DR176" t="str">
        <f t="shared" si="290"/>
        <v/>
      </c>
      <c r="DS176">
        <f t="shared" si="291"/>
        <v>59</v>
      </c>
      <c r="DT176">
        <f t="shared" si="292"/>
        <v>2</v>
      </c>
      <c r="DU176">
        <f t="shared" si="293"/>
        <v>0.31</v>
      </c>
      <c r="DV176" s="6">
        <f>IF(B176="","",IF(IFERROR(VLOOKUP(AX176,УГО_спр,2,FALSE),"")="Светильник",3,4)+IF(Методика="нормы 2026",MIN(0.5,MAX(0,N(Q176)-100)*0.005),0))</f>
        <v>4</v>
      </c>
      <c r="DW176" cm="1">
        <f t="array" ref="DW176">IF(OR(B176="",BT176="",DM176&lt;&gt;1),"",_xlfn.LET(_xlpm.sz,Iдоп_S,_xlpm.t_,CHOOSE(DL176,Iдоп_1ж,Iдоп_2ж,Iдоп_3ж)*DJ176*DK176,_xlpm.inn,N(DD176),_xlpm.smin,MAX(1.5,BW176),_xlpm.L_,N(Q176)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176)*(_xlpm.rho*_xlpm.L_/_xlpm.sz*N(BY176)+_xlpm.xx*_xlpm.L_*N(DU176)/1000)*N(P176)/((Uн_лин/SQRT(3))*1000)*100,999),_xlpm.kz,IF(OR(DG176=1,NOT(ISNUMBER(DQ176)),_xlpm.L_=0,_xlpm.inn=0),1,IFERROR(--(c_min*(Uн_лин*1000/SQRT(3))/(DQ176+2*ρкз_Cu*_xlpm.L_/_xlpm.sz)&gt;=GY176*_xlpm.inn),0)),_xlpm.ok,IFERROR((_xlpm.sz&gt;=_xlpm.smin)*(_xlpm.t_&gt;=_xlpm.inn)*IF(_xlpm.L_&gt;0,(_xlpm.du_+DP176&lt;=DV176+0.00001),1)*_xlpm.kz,0),_xlpm.r_,_xlfn._xlws.FILTER(_xlpm.sz,_xlpm.ok,"не подобрано"),INDEX(_xlpm.r_,1)))</f>
        <v>1.5</v>
      </c>
      <c r="DX176">
        <f t="shared" si="294"/>
        <v>2.5</v>
      </c>
      <c r="DY176" cm="1">
        <f t="array" ref="DY176">IF(OR(B176="",BT176="",DM176&lt;&gt;1),"",_xlfn.LET(_xlpm.sz,Iдоп_S,_xlpm.t_,CHOOSE(DL176,Iдоп_1ж,Iдоп_2ж,Iдоп_3ж)*DJ176*DK176,_xlpm.ok,IFERROR((_xlpm.sz&gt;=MAX(1.5,BW176))*(_xlpm.t_&gt;=N(DD176)),0),_xlpm.r_,_xlfn._xlws.FILTER(_xlpm.sz,_xlpm.ok,""),INDEX(_xlpm.r_,1)))</f>
        <v>1.5</v>
      </c>
      <c r="DZ176" s="6" cm="1">
        <f t="array" ref="DZ176">IFERROR(ROUNDUP(N(DT176)*(_xlfn.XLOOKUP(DY176,INDEX(Кабель_сопротивление,0,1),INDEX(Кабель_сопротивление,0,3))*N(Q176)/DY176*N(BY176)+_xlfn.XLOOKUP(DY176,INDEX(Кабель_сопротивление,0,1),INDEX(Кабель_сопротивление,0,2))*N(Q176)*N(DU176)/1000)*N(P176)/((Uн_лин/SQRT(3))*1000)*100,2),"")</f>
        <v>1.36</v>
      </c>
      <c r="EA176">
        <f>IFERROR(2*ρкз_Cu*N(Q176)/DY176,"")</f>
        <v>2.8053333333333335</v>
      </c>
      <c r="EB176">
        <f>IFERROR(VLOOKUP(DX176,Кабель_сопротивление,3,FALSE),"")</f>
        <v>2.2499999999999999E-2</v>
      </c>
      <c r="EC176">
        <f>IFERROR(VLOOKUP(DX176,Кабель_сопротивление,2,FALSE),"")</f>
        <v>0.1</v>
      </c>
      <c r="ED176">
        <f t="shared" si="295"/>
        <v>23</v>
      </c>
      <c r="EE176">
        <f t="shared" si="296"/>
        <v>16</v>
      </c>
      <c r="EF176">
        <f t="shared" si="297"/>
        <v>1.8773972184945518</v>
      </c>
      <c r="EG176" s="6">
        <f>IFERROR(ROUNDUP(EF176/((Uн_лин/SQRT(3))*1000)*100,2),"")</f>
        <v>0.82000000000000006</v>
      </c>
      <c r="EH176" t="str">
        <f>IFERROR(VLOOKUP(BT176,Кабель_обозначение,2,FALSE),"")</f>
        <v>ВВГнг(А)-LS</v>
      </c>
      <c r="EI176" t="str">
        <f t="shared" si="298"/>
        <v>ВВГнг(А)-LS (3х2,5)</v>
      </c>
      <c r="EJ176" t="str">
        <f t="shared" si="299"/>
        <v>ВВГнг(А)-LS (3х2,5)
L=80-0,82%</v>
      </c>
      <c r="EK176">
        <f>IFERROR(2*ρкз_Cu*Q176/DX176,"")</f>
        <v>1.6832</v>
      </c>
      <c r="EL176">
        <f t="shared" si="300"/>
        <v>0.56000000000000005</v>
      </c>
      <c r="EM176" s="6" t="str">
        <f>IFERROR(IF(OR(B176="",NOT(ISNUMBER(DX176)),N(Q176)=0),"",_xlfn.XLOOKUP(A176,Щиты[Щит],Щиты[Zпетли на шинах, Ом])+EK176),"")</f>
        <v/>
      </c>
      <c r="EN176" s="6" t="str">
        <f>IF(ISNUMBER(EM176),c_min*(Uн_лин*1000/SQRT(3))/EM176,"")</f>
        <v/>
      </c>
      <c r="EO176" s="6" t="str">
        <f>IFERROR(IF(OR(B176="",NOT(ISNUMBER(DX176))),"",1.05*(Uн_лин*1000/SQRT(3))/(_xlfn.XLOOKUP(A176,Щиты[Щит],Щиты[Zmax на шинах, Ом])+EL176)/1000),"")</f>
        <v/>
      </c>
      <c r="EP176" s="6" t="str">
        <f>IF(B176="","",IF(ISNUMBER(Y176),"Сил",IF(IFERROR(_xlfn.XLOOKUP(AX176,Коды_код,Коды_группа)&amp;"","")="","Быт",_xlfn.XLOOKUP(AX176,Коды_код,Коды_группа)&amp;"")))</f>
        <v>Быт</v>
      </c>
      <c r="EQ176" s="6" t="str">
        <f t="shared" si="301"/>
        <v>Быт</v>
      </c>
      <c r="ER176" s="6">
        <f>IF(EQ176="Щит","щит",IF(EQ176="","",IF(EQ176="Быт",IFERROR(_xlfn.XLOOKUP(A176,Щиты[Щит],Щиты[Кс быт]),1),IF(EQ176="Сил",IF(ISNUMBER(Y176),Y176,IF(Методика="нормы 2026",IFERROR(_xlfn.XLOOKUP(A176,Щиты[Щит],Щиты[Кс силовых (табл. 7.5)]),1),1)),IF(OR(EQ176="Пост",EQ176="Отоп"),1,IF(EQ176="ВНГ",0.7,0))))))</f>
        <v>0.8</v>
      </c>
      <c r="ES176">
        <f t="shared" si="302"/>
        <v>1</v>
      </c>
      <c r="ET176">
        <f t="shared" si="303"/>
        <v>0.3</v>
      </c>
      <c r="EU176">
        <f t="shared" si="304"/>
        <v>0.3</v>
      </c>
      <c r="EV176">
        <f t="shared" si="305"/>
        <v>0</v>
      </c>
      <c r="EW176">
        <f t="shared" si="306"/>
        <v>0</v>
      </c>
      <c r="EX176">
        <f t="shared" si="307"/>
        <v>0</v>
      </c>
      <c r="EY176">
        <f t="shared" si="308"/>
        <v>0</v>
      </c>
      <c r="EZ176">
        <f t="shared" si="309"/>
        <v>0.3</v>
      </c>
      <c r="FA176">
        <f t="shared" si="310"/>
        <v>0.28499999999999998</v>
      </c>
      <c r="FB176">
        <f t="shared" si="311"/>
        <v>0.3</v>
      </c>
      <c r="FC176" t="str">
        <f t="shared" si="312"/>
        <v>L3</v>
      </c>
      <c r="FD176" t="str">
        <f>IF(B176="","",IF(CA176=0,IF(AW176=1,"",FF175),IF(OR(N(CV176)&gt;=3,N(BR176)&gt;=3),"L1,L2,L3",IFERROR(_xlfn.TEXTBEFORE(_xlfn.TEXTAFTER(_xlfn.XLOOKUP(A176,Щиты[Щит],Щиты[_фазы авто]),";"&amp;AW176&amp;":"),";"),"L1"))))</f>
        <v>L1</v>
      </c>
      <c r="FE176" t="str">
        <f t="shared" si="313"/>
        <v>L3</v>
      </c>
      <c r="FF176" t="str">
        <f t="shared" si="314"/>
        <v>L3</v>
      </c>
      <c r="FG176" cm="1">
        <f t="array" ref="FG176">IFERROR(IF(BX176=2,_xlfn.IFS(BR176=3,VLOOKUP(BN176,Справочная_двигатели,3,FALSE),BR176=1,VLOOKUP(BN176,Справочная_двигатели,5,TRUE)),0),0)</f>
        <v>0</v>
      </c>
      <c r="FH176">
        <f>IFERROR(IF(BX176=3,VLOOKUP(BN176,Справочная_ЛЭД,2,TRUE),0),0)</f>
        <v>0</v>
      </c>
      <c r="FI176" s="6">
        <f t="shared" si="315"/>
        <v>0</v>
      </c>
      <c r="FJ176" t="str" cm="1">
        <f t="array" ref="FJ176">IF(B176="","",IFERROR(INDEX({"I особая","I","II","III"},MATCH(TRIM(AC176&amp;""),{"I особая","I","II","III"},0)),"III"))</f>
        <v>II</v>
      </c>
      <c r="FK176" t="str">
        <f>IF(B176="","",IF(TRIM(AD176&amp;"")&lt;&gt;"",IF(LOWER(TRIM(AD176&amp;""))="да","да","нет"),IF(IFERROR(_xlfn.XLOOKUP(AX176,Коды_код,Коды_пожарная),"")="да","да","нет")))</f>
        <v>нет</v>
      </c>
      <c r="FL176" t="str">
        <f t="shared" si="316"/>
        <v/>
      </c>
      <c r="FM176" t="str">
        <f t="shared" si="317"/>
        <v>основная</v>
      </c>
      <c r="FN176">
        <f t="shared" si="318"/>
        <v>1</v>
      </c>
      <c r="FO176" t="str" cm="1">
        <f t="array" ref="FO176">IF(B176="","",_xlfn.LET(_xlpm.t,IFERROR(_xlfn.XLOOKUP(1,(Шины[Шина]=FM176)*(((Шины[Щит]=A176)+(Шины[Щит]=""))&gt;0),Шины[Тип]),"")&amp;"",IF(_xlpm.t&lt;&gt;"",_xlpm.t,IF(ISNUMBER(SEARCH("ИБП",FM176)),"ИБП",IF(ISNUMBER(SEARCH("ДГУ",FM176)),"ДГУ","Ввод "&amp;FN176)))))</f>
        <v>Ввод 1</v>
      </c>
      <c r="FP176" t="str">
        <f t="shared" si="319"/>
        <v>Ввод 1</v>
      </c>
      <c r="FQ176" t="str">
        <f>IF(B176="","",IF(OR(FO176="ИБП",FO176="ДГУ"),"I особая",IF(FO176="Одиночная","III",_xlfn.XLOOKUP(A176,Щиты[Щит],Щиты[Категория шины «Ввод»],"III"))))</f>
        <v>II</v>
      </c>
      <c r="FR176">
        <f>IF(B176="",0,IFERROR(MATCH(FJ176,{"III","II","I","I особая"},0),1))</f>
        <v>2</v>
      </c>
      <c r="FS176">
        <f t="shared" si="320"/>
        <v>2</v>
      </c>
      <c r="FT176" t="str">
        <f>IF(B176="","",IF(FR176&gt;IFERROR(MATCH(FQ176,{"III","II","I","I особая"},0),1),"НЕ ОБЕСПЕЧЕНА","ОК"))</f>
        <v>ОК</v>
      </c>
      <c r="FU176" t="str">
        <f>IF(A176="","",_xlfn.XLOOKUP(A176,Щиты[Щит],Щиты[Путь],""))</f>
        <v>|ГРЩ-ЖД|ЩР-001|</v>
      </c>
      <c r="FV176" t="str">
        <f>IF(B176="","",IF(AE176&lt;&gt;"",AE176,IF(IFERROR(_xlfn.XLOOKUP(AX176,Коды_код,Коды_вид)&amp;"","")="","Прочее",_xlfn.XLOOKUP(AX176,Коды_код,Коды_вид)&amp;"")))</f>
        <v>Розеточная сеть и бытовые приборы</v>
      </c>
      <c r="FW176">
        <f>IF(BH176="","",INT((BH176-1)/Столбцов_на_лист)+1)</f>
        <v>3</v>
      </c>
      <c r="FX176" t="str">
        <f t="shared" si="321"/>
        <v>ВВГнг(А)-LS (3х2,5) L=80-0,82%</v>
      </c>
      <c r="FY176">
        <f t="shared" si="322"/>
        <v>0.3</v>
      </c>
      <c r="FZ176">
        <f t="shared" si="323"/>
        <v>1.37</v>
      </c>
      <c r="GA176">
        <f t="shared" si="324"/>
        <v>1</v>
      </c>
      <c r="GB176">
        <f t="shared" si="325"/>
        <v>0</v>
      </c>
      <c r="GC176">
        <f t="shared" si="326"/>
        <v>1</v>
      </c>
      <c r="GD176">
        <f>IF(BH176="","",IF(AND(CA176=1,GC176=1),COUNTIFS(A$3:A176,A176,CA$3:CA176,1,GC$3:GC176,1),IF(OR(OR(AW176=1,A176&lt;&gt;A175),AF176="вручную",GC176=0),"",IF(AW176=1,"",GE175))))</f>
        <v>22</v>
      </c>
      <c r="GE176">
        <f t="shared" si="327"/>
        <v>22</v>
      </c>
      <c r="GF176">
        <f>IF(B176="","",IFERROR(LOOKUP(INDEX(CHOOSE(DL176,Iдоп_1ж,Iдоп_2ж,Iдоп_3ж),MATCH(DX176,Iдоп_S,0))*DJ176*DK176,{6,10,16,20,25,32,40,50,63,80,100,125,160,200,250,315,400,500,630}),""))</f>
        <v>25</v>
      </c>
      <c r="GG176" t="str">
        <f t="shared" si="328"/>
        <v>QFD22</v>
      </c>
      <c r="GH176" t="str">
        <f t="shared" si="329"/>
        <v>QFD22</v>
      </c>
      <c r="GI176" t="str">
        <f t="shared" si="330"/>
        <v/>
      </c>
      <c r="GJ176">
        <f t="shared" si="331"/>
        <v>0</v>
      </c>
      <c r="GK176" t="str">
        <f>IF(OR(AG176="",AG176="-"),"",IFERROR(VLOOKUP(AG176,Модули_спр,2,FALSE),"R"))</f>
        <v/>
      </c>
      <c r="GL176" t="str">
        <f>IF(GK176="","",GK176&amp;"."&amp;COUNTIFS(A$3:A176,A176,GK$3:GK176,GK176))</f>
        <v/>
      </c>
      <c r="GM176" t="str">
        <f t="shared" si="332"/>
        <v/>
      </c>
      <c r="GN176" t="str">
        <f t="shared" si="333"/>
        <v/>
      </c>
      <c r="GO176" t="str">
        <f t="shared" si="334"/>
        <v/>
      </c>
      <c r="GP176" t="str">
        <f t="shared" si="335"/>
        <v/>
      </c>
      <c r="GQ176">
        <f t="shared" si="336"/>
        <v>1</v>
      </c>
      <c r="GR176" t="str">
        <f>IF(GQ176=1,"XT"&amp;COUNTIFS(A$3:A176,A176,GQ$3:GQ176,1),"")</f>
        <v>XT22</v>
      </c>
      <c r="GS176" t="str">
        <f t="shared" si="337"/>
        <v/>
      </c>
      <c r="GT176" t="str">
        <f t="shared" si="338"/>
        <v>QFD22</v>
      </c>
      <c r="GU176" t="str">
        <f t="shared" si="339"/>
        <v/>
      </c>
      <c r="GV176" t="str">
        <f t="shared" si="340"/>
        <v>ok</v>
      </c>
      <c r="GW176" t="str">
        <f>IF(OR(GO176="",GM176=""),"",IF(GO176&gt;IFERROR(VLOOKUP(GN176,Модули_спр,3,FALSE),99),"ЛИШНИЙ КАНАЛ",IF(AND(AH176&lt;&gt;"=",COUNTIFS(Линии[_модуль гр.],GM176,Линии[Канал (итог)],GO176,Линии[Канал],"&lt;&gt;=",Линии[Щит],A176)&gt;1),"ДУБЛЬ КАНАЛА","")))</f>
        <v/>
      </c>
      <c r="GX176" s="6" t="str">
        <f t="shared" si="341"/>
        <v/>
      </c>
      <c r="GY176">
        <f t="shared" si="342"/>
        <v>10</v>
      </c>
      <c r="GZ176" t="str">
        <f t="shared" si="343"/>
        <v/>
      </c>
      <c r="HA176" t="str">
        <f>IF(AND(B176="",GT176=""),"",_xlfn.TEXTJOIN("; ",TRUE,IF(AND(B176&lt;&gt;"",FE176=""),"нет фазы",""),IF(AND(B176&lt;&gt;"",N(FY176)=0,EQ176&lt;&gt;"Нет"),"нет мощности",""),IF(AND(GS176&lt;&gt;"",COUNTIFS(Линии[Щит],A176,Линии[Клемма (итог)],GS176)&gt;1),"дубль клеммы "&amp;GS176,""),IF(AND(GV176&lt;&gt;"",GV176&lt;&gt;"ok"),GV176,""),IF(GW176&lt;&gt;"",GW176,""),IF(AND(N(BV176)&gt;=4,N(BR176)=1),BV176&amp;" жил на 1 фазе",""),IF(AND(AX176="R",CA176=1,OR(N(CK176)=0,N(CK176)&gt;30)),"розетка без дифзащиты до 30 мА",""),IFERROR(IF(AND(ISNUMBER(R176),R176&gt;DV176),"потери "&amp;FIXED(R176,1)&amp;" % &gt; "&amp;DV176&amp;" %",""),""),IFERROR(IF(LEFT(GZ176,4)="мало","Iкз мало — отключение &gt; 0,4 с",""),""),IF(AND(B176&lt;&gt;"",BH176=""),"не на схеме",""),IF(AND(CA176=0,B176&lt;&gt;"",FE176&lt;&gt;"",IF(AW176=1,"",FF175)&lt;&gt;"",FE176&lt;&gt;IF(AW176=1,"",FF175)),"фаза не как у автомата группы ("&amp;IF(AW176=1,"",FF175)&amp;")","")))</f>
        <v/>
      </c>
      <c r="HB176" s="6">
        <f>IF(OR(CA176=0,DA176=""),"",_xlfn.LET(_xlpm.t,IFERROR(_xlfn.XLOOKUP(DA176,Каталог!$U$4:$U$500,Каталог!$G$4:$G$500),""),_xlpm.k,SEARCH("кА",_xlpm.t),IFERROR(--TRIM(RIGHT(SUBSTITUTE(MID(_xlpm.t,MAX(1,_xlpm.k-4),_xlpm.k-MAX(1,_xlpm.k-4))," ",REPT(" ",9)),5)),"")))</f>
        <v>6</v>
      </c>
      <c r="HC176" t="str">
        <f>IF(OR(HB176="",CA176=0),"",IF(_xlfn.XLOOKUP(A176,Щиты[Щит],Щиты[Iкз max на шинах, кА],"")="","",IF(HB176&lt;_xlfn.XLOOKUP(A176,Щиты[Щит],Щиты[Iкз max на шинах, кА]),"Icu "&amp;HB176&amp;" кА &lt; Iкз max","ok")))</f>
        <v/>
      </c>
      <c r="HD176" t="str">
        <f t="shared" si="344"/>
        <v/>
      </c>
      <c r="HE176" t="str">
        <f t="shared" si="345"/>
        <v>QFD22</v>
      </c>
      <c r="HF176" t="str">
        <f t="shared" si="346"/>
        <v>QFD22|кабель ВВГнг(А)-LS (3х2,5) → Розеточная группа, пом. 007А</v>
      </c>
      <c r="HG176" t="str" cm="1">
        <f t="array" ref="HG176">IF(HF176="","",_xlfn.LET(_xlpm.nd,_xlfn.TEXTSPLIT(HF176,"|"),IF(COLUMNS(_xlpm.nd)&gt;1,A176&amp;"¦"&amp;INDEX(_xlpm.nd,1)&amp;"¦"&amp;INDEX(_xlpm.nd,2),"")))</f>
        <v>ЩР-001¦QFD22¦кабель ВВГнг(А)-LS (3х2,5) → Розеточная группа, пом. 007А</v>
      </c>
      <c r="HH176" t="str">
        <f t="shared" si="347"/>
        <v>R.00.007А.1¦Розеточная группа, пом. 007А</v>
      </c>
      <c r="HI176" t="str" cm="1">
        <f t="array" ref="HI176">IF(HF176="","",_xlfn.LET(_xlpm.nd,_xlfn.TEXTSPLIT(HF176,"|"),IF(COLUMNS(_xlpm.nd)&gt;2,A176&amp;"¦"&amp;INDEX(_xlpm.nd,2)&amp;"¦"&amp;INDEX(_xlpm.nd,3),"")))</f>
        <v/>
      </c>
      <c r="HJ176" t="str">
        <f t="shared" si="348"/>
        <v/>
      </c>
      <c r="HK176" t="str" cm="1">
        <f t="array" ref="HK176">IF(HF176="","",_xlfn.LET(_xlpm.nd,_xlfn.TEXTSPLIT(HF176,"|"),IF(COLUMNS(_xlpm.nd)&gt;3,A176&amp;"¦"&amp;INDEX(_xlpm.nd,3)&amp;"¦"&amp;INDEX(_xlpm.nd,4),"")))</f>
        <v/>
      </c>
      <c r="HL176" t="str">
        <f t="shared" si="349"/>
        <v/>
      </c>
      <c r="HM176" t="str" cm="1">
        <f t="array" ref="HM176">IF(HF176="","",_xlfn.LET(_xlpm.nd,_xlfn.TEXTSPLIT(HF176,"|"),IF(COLUMNS(_xlpm.nd)&gt;4,A176&amp;"¦"&amp;INDEX(_xlpm.nd,4)&amp;"¦"&amp;INDEX(_xlpm.nd,5),"")))</f>
        <v/>
      </c>
      <c r="HN176" t="str">
        <f t="shared" si="350"/>
        <v/>
      </c>
      <c r="HO176" t="str" cm="1">
        <f t="array" ref="HO176">IF(HF176="","",_xlfn.LET(_xlpm.nd,_xlfn.TEXTSPLIT(HF176,"|"),IF(COLUMNS(_xlpm.nd)&gt;5,A176&amp;"¦"&amp;INDEX(_xlpm.nd,5)&amp;"¦"&amp;INDEX(_xlpm.nd,6),"")))</f>
        <v/>
      </c>
      <c r="HP176" t="str">
        <f t="shared" si="351"/>
        <v/>
      </c>
      <c r="HQ176" t="str" cm="1">
        <f t="array" ref="HQ176">IF(HF176="","",_xlfn.LET(_xlpm.nd,_xlfn.TEXTSPLIT(HF176,"|"),IF(COLUMNS(_xlpm.nd)&gt;6,A176&amp;"¦"&amp;INDEX(_xlpm.nd,6)&amp;"¦"&amp;INDEX(_xlpm.nd,7),"")))</f>
        <v/>
      </c>
      <c r="HR176" t="str">
        <f t="shared" si="352"/>
        <v/>
      </c>
      <c r="HS176" t="str">
        <f t="shared" si="353"/>
        <v/>
      </c>
      <c r="HT176" t="str">
        <f t="shared" si="354"/>
        <v>QFD22</v>
      </c>
      <c r="HU176">
        <f t="shared" si="355"/>
        <v>0</v>
      </c>
      <c r="HV176">
        <f t="shared" si="356"/>
        <v>1</v>
      </c>
      <c r="HW176" t="str">
        <f t="shared" si="357"/>
        <v/>
      </c>
      <c r="HX176" t="str">
        <f t="shared" si="358"/>
        <v/>
      </c>
      <c r="HY176" t="str">
        <f t="shared" si="359"/>
        <v/>
      </c>
      <c r="HZ176" t="str">
        <f t="shared" si="360"/>
        <v/>
      </c>
      <c r="IA176" t="str">
        <f>IF(B176="","",IFERROR(VLOOKUP(B176,УГО_спр,2,FALSE),IFERROR(VLOOKUP(AX176,УГО_спр,2,FALSE),IFERROR(VLOOKUP(LEFT(AX176,2),УГО_спр,2,FALSE),""))))</f>
        <v>Розетка</v>
      </c>
      <c r="IB176" t="str">
        <f>IF(B176="","",IF(OR(IA176="",IA176=0),"BOX",IFERROR(IF(VLOOKUP(IA176,УГО_блоки,3,FALSE)&amp;""&lt;&gt;"",VLOOKUP(IA176,УГО_блоки,3,FALSE),VLOOKUP(IA176,УГО_блоки,2,FALSE)),IA176)))</f>
        <v>SOCKET</v>
      </c>
      <c r="IC176">
        <f t="shared" si="361"/>
        <v>1</v>
      </c>
      <c r="ID176" t="str">
        <f>IF(DA176="","",IF(COUNTIF(DA$3:DA176,DA176)=1,MAX(ID$2:ID175)+1,""))</f>
        <v/>
      </c>
      <c r="IE176" t="str">
        <f>IF(CO176="","",IF(COUNTIF(CO$3:CO176,CO176)+COUNTIF(CP$2:CP175,CO176)+COUNTIF(CQ$2:CQ175,CO176)=1,MAX(IE$2:IG175)+1,""))</f>
        <v/>
      </c>
      <c r="IF176" t="str">
        <f>IF(CP176="","",IF(COUNTIF(CO$3:CO176,CP176)+COUNTIF(CP$3:CP176,CP176)+COUNTIF(CQ$2:CQ175,CP176)=1,MAX(IE$2:IG175,IE176)+1,""))</f>
        <v/>
      </c>
      <c r="IG176" t="str">
        <f>IF(CQ176="","",IF(COUNTIF(CO$3:CO176,CQ176)+COUNTIF(CP$3:CP176,CQ176)+COUNTIF(CQ$3:CQ176,CQ176)=1,MAX(IE$2:IG175,IE176,IF176)+1,""))</f>
        <v/>
      </c>
      <c r="IH176" t="str">
        <f t="shared" si="362"/>
        <v>3х2,5</v>
      </c>
      <c r="II176" t="str">
        <f>IF(IH176="","",IF(COUNTIF(IH$3:IH176,IH176)=1,MAX(II$2:II175)+1,""))</f>
        <v/>
      </c>
      <c r="IJ176" t="str">
        <f>IF(GL176="","",COUNTIF(GL$3:GL176,"?*"))</f>
        <v/>
      </c>
      <c r="IK176" t="str">
        <f>IF(OR(GL176="",GN176=""),"",IF(COUNTIFS(GL$3:GL176,"?*",GN$3:GN176,GN176)=1,MAX(IK$2:IK175)+1,""))</f>
        <v/>
      </c>
      <c r="IL176">
        <f t="shared" si="363"/>
        <v>0</v>
      </c>
      <c r="IM176">
        <f>IF(B176="","",COUNTIF(B$3:B176,"?*"))</f>
        <v>174</v>
      </c>
      <c r="IN176">
        <f>IF(GQ176&lt;&gt;1,0,_xlfn.LET(_xlpm.k,MAX(IFERROR(--VLOOKUP(B176,УГО_спр,5,FALSE),0),IFERROR(--VLOOKUP(AX176,УГО_спр,5,FALSE),0),IFERROR(--VLOOKUP(LEFT(AX176,2),УГО_спр,5,FALSE),0)),IF(_xlpm.k&gt;0,_xlpm.k,IF(IFERROR(--LEFT(SUBSTITUTE(IH176,"x","х"),FIND("х",SUBSTITUTE(IH176,"x","х"))-1),3)&gt;3,Каталог!$S$9,1))))</f>
        <v>1</v>
      </c>
      <c r="IO176">
        <f t="shared" si="364"/>
        <v>0</v>
      </c>
      <c r="IP176" t="str">
        <f t="shared" si="365"/>
        <v>авто</v>
      </c>
      <c r="IQ176">
        <f t="shared" si="366"/>
        <v>30</v>
      </c>
      <c r="IR176">
        <f t="shared" si="367"/>
        <v>1</v>
      </c>
      <c r="IS176">
        <f t="shared" si="368"/>
        <v>1</v>
      </c>
    </row>
    <row r="177" spans="1:253" x14ac:dyDescent="0.3">
      <c r="A177" t="s">
        <v>755</v>
      </c>
      <c r="B177" t="s">
        <v>1444</v>
      </c>
      <c r="C177" t="str">
        <f>Линии[[#This Row],[_авто наименование]]</f>
        <v>Розеточная группа, пом. 008А</v>
      </c>
      <c r="D177">
        <v>1</v>
      </c>
      <c r="E177">
        <v>0.12</v>
      </c>
      <c r="G177">
        <v>16</v>
      </c>
      <c r="H177">
        <f>Линии[[#This Row],[_авто утечка]]</f>
        <v>30</v>
      </c>
      <c r="I177" t="str">
        <f>Линии[[#This Row],[_авто управление]]</f>
        <v/>
      </c>
      <c r="J177" t="str">
        <f>Линии[[#This Row],[_авто аппараты]]</f>
        <v/>
      </c>
      <c r="K177">
        <v>2.5</v>
      </c>
      <c r="L177">
        <v>44</v>
      </c>
      <c r="M177">
        <v>1</v>
      </c>
      <c r="N177" t="s">
        <v>486</v>
      </c>
      <c r="O177" t="str">
        <f t="shared" si="246"/>
        <v/>
      </c>
      <c r="P177" s="6" cm="1">
        <f t="array" ref="P177">IF(B177="","",IF(BC177&lt;&gt;"",IFERROR(_xlfn.XLOOKUP(BC177,Щиты[Щит],Щиты[Iр, А]),""),IF(BK177=1,IFERROR(_xlfn.XLOOKUP(A177,Щиты[Щит],Щиты[Iр, А]),""),IFERROR(_xlfn.IFS(BR177=1,BN177/((Uн_лин/SQRT(3))*BY177),BR177=3,BN177/(SQRT(3)*Uн_лин*BY177)),""))))</f>
        <v>0.54696341291648753</v>
      </c>
      <c r="Q177" s="7">
        <f>IF(B177="","",IFERROR(IF(VLOOKUP(AX177,Потребители_обозначение,4,FALSE)=1,VLOOKUP(AX177,Потребители_обозначение,3,FALSE)*(D177*2-1)+DS177+VLOOKUP(AZ177,Этаж_обозначение,3,FALSE)+VLOOKUP(AZ177,Этаж_обозначение,4,FALSE),VLOOKUP(AX177,Потребители_обозначение,3,FALSE)*(D177*2-1)+DS177),DS177))</f>
        <v>47</v>
      </c>
      <c r="R177" s="6">
        <f t="shared" si="247"/>
        <v>1.77</v>
      </c>
      <c r="S177" t="str">
        <f t="shared" si="248"/>
        <v>ВВГнг(А)-LS (3х2,5)</v>
      </c>
      <c r="T177" t="str">
        <f>IF(BH177="","",IF(BI177="вводной узел","узел ","")&amp;"л."&amp;(INT((BH177-1)/Столбцов_на_лист)+1)&amp;" / "&amp;(MOD(BH177-1,Столбцов_на_лист)+1))</f>
        <v>л.3 / 8</v>
      </c>
      <c r="V177">
        <v>1</v>
      </c>
      <c r="W177">
        <v>230</v>
      </c>
      <c r="X177" t="s">
        <v>564</v>
      </c>
      <c r="AC177" t="s">
        <v>815</v>
      </c>
      <c r="AE177" t="s">
        <v>563</v>
      </c>
      <c r="AI177">
        <v>42</v>
      </c>
      <c r="AJ177" t="s">
        <v>11</v>
      </c>
      <c r="AK177">
        <v>3</v>
      </c>
      <c r="AM177">
        <v>41</v>
      </c>
      <c r="AN177">
        <v>6</v>
      </c>
      <c r="AO177">
        <v>0</v>
      </c>
      <c r="AW177" cm="1">
        <f t="array" ref="AW177">ROW()-ROW(Линии[#Headers])</f>
        <v>175</v>
      </c>
      <c r="AX177" s="6" t="str">
        <f t="shared" si="249"/>
        <v>R</v>
      </c>
      <c r="AY177" t="str">
        <f t="shared" si="250"/>
        <v>00.008А.1</v>
      </c>
      <c r="AZ177" t="str">
        <f t="shared" si="251"/>
        <v>00</v>
      </c>
      <c r="BA177" t="str">
        <f t="shared" si="252"/>
        <v>008А.1</v>
      </c>
      <c r="BB177" t="str">
        <f t="shared" si="253"/>
        <v>008А</v>
      </c>
      <c r="BC177" t="str">
        <f>IF(U177&lt;&gt;"",U177,IF(AND(B177&lt;&gt;"",B177&lt;&gt;A177,ISNUMBER(_xlfn.XMATCH(B177,Щиты[Щит]))),B177,""))</f>
        <v/>
      </c>
      <c r="BD177" t="str" cm="1">
        <f t="array" ref="BD177">IF(B177="","",IF(BC177&lt;&gt;"","Щит "&amp;BC177,_xlfn.LET(_xlpm.nm,IFERROR(_xlfn.XLOOKUP(AX177,Коды_код,Коды_имя)&amp;"",""),_xlpm.md,IFERROR(N(_xlfn.XLOOKUP(AX177,Коды_код,Коды_режим)),1),_xlpm.ex,IF(Имя_режим="по экспликации",IFERROR(_xlfn.XLOOKUP(AZ177&amp;"|"&amp;BB177,Экспликация[Этаж]&amp;"|"&amp;Экспликация[Помещение],Экспликация[Название])&amp;"",""),""),_xlpm.rm,IF(BB177="","",IF(_xlpm.ex&lt;&gt;"",". "&amp;_xlpm.ex&amp;IF(Имя_пом="нет"," ("&amp;BB177&amp;")"," (пом. "&amp;BB177&amp;")"),IF(Имя_пом="нет"," ",", пом. ")&amp;BB177)),IF(_xlpm.nm="","",IF(_xlpm.md=2,_xlpm.nm&amp;" шлейф "&amp;AZ177,_xlpm.nm&amp;_xlpm.rm)))))</f>
        <v>Розеточная группа, пом. 008А</v>
      </c>
      <c r="BE177" t="str">
        <f t="shared" si="254"/>
        <v>Розеточная группа, пом. 008А</v>
      </c>
      <c r="BF177">
        <f>IFERROR(_xlfn.XMATCH(A177,Щиты[Щит]),0)</f>
        <v>8</v>
      </c>
      <c r="BG177">
        <f>_xlfn.LET(_xlpm.k,IFERROR(_xlfn.XLOOKUP(A177,Щиты[Щит],Щиты[Листов под вводной узел]),""),IF(_xlpm.k="",1,N(_xlpm.k))*Столбцов_на_лист)</f>
        <v>17</v>
      </c>
      <c r="BH177">
        <f t="shared" si="255"/>
        <v>42</v>
      </c>
      <c r="BI177" t="str">
        <f t="shared" si="256"/>
        <v>линии</v>
      </c>
      <c r="BJ177" s="6">
        <f>IFERROR(N(_xlfn.XLOOKUP(AX177,Коды_код,Коды_квт)),0)</f>
        <v>0</v>
      </c>
      <c r="BK177">
        <f t="shared" si="257"/>
        <v>0</v>
      </c>
      <c r="BL177" t="str">
        <f>IF(B177="","",IF(BC177&lt;&gt;"",IFERROR(_xlfn.XLOOKUP(BC177,Щиты[Щит],Щиты[Руст, кВт]),0),IF(BK177=1,IFERROR(_xlfn.XLOOKUP(A177,Щиты[Щит],Щиты[Руст, кВт]),0),IF(BJ177&gt;0,ROUND(BJ177*MAX(1,N(D177)),3),""))))</f>
        <v/>
      </c>
      <c r="BM177">
        <f t="shared" si="258"/>
        <v>0.12</v>
      </c>
      <c r="BN177" s="6">
        <f>IF(B177="","",IF(BC177&lt;&gt;"",IFERROR(_xlfn.XLOOKUP(BC177,Щиты[Щит],Щиты[Руст, кВт]),0),N(BM177)))</f>
        <v>0.12</v>
      </c>
      <c r="BO177" t="str">
        <f>IF(B177="","",IFERROR(IF(VLOOKUP(AX177,Потребители_обозначение,8,FALSE)=0,"",VLOOKUP(AX177,Потребители_обозначение,8,FALSE)),""))</f>
        <v/>
      </c>
      <c r="BP177">
        <f t="shared" si="259"/>
        <v>230</v>
      </c>
      <c r="BQ177">
        <f>IF(B177="","",IF(BC177&lt;&gt;"",3,IFERROR(IF(N(VLOOKUP(AX177,Потребители_обозначение,9,FALSE))=0,1,VLOOKUP(AX177,Потребители_обозначение,9,FALSE)),1)))</f>
        <v>1</v>
      </c>
      <c r="BR177">
        <f t="shared" si="260"/>
        <v>1</v>
      </c>
      <c r="BS177" t="str">
        <f>IF(B177="","",_xlfn.LET(_xlpm.bc,IFERROR(IF(VLOOKUP(AX177,Потребители_обозначение,6,FALSE)=0,"",VLOOKUP(AX177,Потребители_обозначение,6,FALSE)&amp;""),""),IF(AND(FK177="да",OR(_xlpm.bc="",_xlpm.bc="мс")),Марка_пож,IF(AND(_xlpm.bc="",BC177&lt;&gt;""),"мс",_xlpm.bc))))</f>
        <v/>
      </c>
      <c r="BT177" t="str">
        <f t="shared" si="261"/>
        <v>мс</v>
      </c>
      <c r="BU177">
        <f>IF(B177="","",_xlfn.LET(_xlpm.cc,IFERROR(N(VLOOKUP(AX177,Потребители_обозначение,7,FALSE)),0),IF(_xlpm.cc&gt;0,_xlpm.cc,IF(BT177="","",IF(N(BR177)=3,5,3)))))</f>
        <v>3</v>
      </c>
      <c r="BV177">
        <f t="shared" si="262"/>
        <v>3</v>
      </c>
      <c r="BW177">
        <f>IFERROR(N(VLOOKUP(AX177,Потребители_обозначение,10,FALSE)),0)</f>
        <v>0</v>
      </c>
      <c r="BX177">
        <f>IFERROR(VLOOKUP(AX177,Потребители_обозначение,5,FALSE),0)</f>
        <v>1</v>
      </c>
      <c r="BY177" s="6" cm="1">
        <f t="array" ref="BY177">IF(B177="","",IF(BC177&lt;&gt;"",IFERROR(_xlfn.XLOOKUP(BC177,Щиты[Щит],Щиты[cos φ]),0.95),IF(BK177=1,IFERROR(_xlfn.XLOOKUP(A177,Щиты[Щит],Щиты[cos φ]),0.95),IF(ISNUMBER(Z177),Z177,IFERROR(IF(BX177=2,_xlfn.IFS(BR177=3,VLOOKUP(BN177,Справочная_двигатели,8,FALSE),BR177=1,VLOOKUP(BN177,Справочная_двигатели,10,TRUE)),IF(AND(Методика="нормы 2026",EQ177="Сил"),0.8,0.95)),0.95)))))</f>
        <v>0.95</v>
      </c>
      <c r="BZ177">
        <f t="shared" si="263"/>
        <v>0</v>
      </c>
      <c r="CA177">
        <f t="shared" si="264"/>
        <v>1</v>
      </c>
      <c r="CB177">
        <f t="shared" si="265"/>
        <v>0</v>
      </c>
      <c r="CC177">
        <f t="shared" si="266"/>
        <v>0</v>
      </c>
      <c r="CD177">
        <f t="shared" si="267"/>
        <v>0</v>
      </c>
      <c r="CE177">
        <f t="shared" si="268"/>
        <v>0</v>
      </c>
      <c r="CF177">
        <f t="shared" si="269"/>
        <v>0</v>
      </c>
      <c r="CG177">
        <f>IF(AX177="",0,_xlfn.LET(_xlpm.v,IFERROR(VLOOKUP(B177,УГО_спр,3,FALSE),IFERROR(VLOOKUP(AX177,УГО_спр,3,FALSE),IFERROR(VLOOKUP(LEFT(AX177,2),УГО_спр,3,FALSE),""))),IF(_xlpm.v="да",30,IF(ISNUMBER(_xlpm.v),_xlpm.v,0))))</f>
        <v>30</v>
      </c>
      <c r="CH177">
        <f t="shared" si="270"/>
        <v>30</v>
      </c>
      <c r="CI177" t="str">
        <f>_xlfn.LET(_xlpm.k,IFERROR(_xlfn.XLOOKUP(AX177,Коды_код,Коды_утечка)&amp;"",""),IF(_xlpm.k="","дифавтомат",_xlpm.k))</f>
        <v>дифавтомат</v>
      </c>
      <c r="CJ177">
        <f t="shared" si="271"/>
        <v>30</v>
      </c>
      <c r="CK177">
        <f t="shared" si="272"/>
        <v>30</v>
      </c>
      <c r="CL177">
        <f>IF(B177="",0,IFERROR(--VLOOKUP(B177,УГО_спр,4,FALSE),IFERROR(--VLOOKUP(AX177,УГО_спр,4,FALSE),IFERROR(--VLOOKUP(LEFT(AX177,2),УГО_спр,4,FALSE),0))))</f>
        <v>16</v>
      </c>
      <c r="CM177" t="str">
        <f>IF(B177="","",IFERROR(_xlfn.XLOOKUP(AX177,Коды_код,Коды_апп)&amp;"",""))</f>
        <v/>
      </c>
      <c r="CN177" t="str">
        <f t="shared" si="273"/>
        <v/>
      </c>
      <c r="CO177" t="str" cm="1">
        <f t="array" ref="CO177">IF(TRIM(CN177&amp;"")="","",IFERROR(TRIM(INDEX(_xlfn.TEXTSPLIT(CN177&amp;";;;",";"),1)),""))</f>
        <v/>
      </c>
      <c r="CP177" t="str" cm="1">
        <f t="array" ref="CP177">IF(TRIM(CN177&amp;"")="","",IFERROR(TRIM(INDEX(_xlfn.TEXTSPLIT(CN177&amp;";;;",";"),2)),""))</f>
        <v/>
      </c>
      <c r="CQ177" t="str" cm="1">
        <f t="array" ref="CQ177">IF(TRIM(CN177&amp;"")="","",IFERROR(TRIM(INDEX(_xlfn.TEXTSPLIT(CN177&amp;";;;",";"),3)),""))</f>
        <v/>
      </c>
      <c r="CR177">
        <f t="shared" si="274"/>
        <v>0</v>
      </c>
      <c r="CS177" t="str">
        <f>IF(B177="","",_xlfn.LET(_xlpm.t,LOWER(AV177&amp;""),IF(ISNUMBER(SEARCH("dim",_xlpm.t)),"DIM",IF(ISNUMBER(SEARCH("dali",_xlpm.t)),"DALI",IF(OR(ISNUMBER(SEARCH("relay",_xlpm.t)),ISNUMBER(SEARCH("реле",_xlpm.t))),"Relay",IF(ISNUMBER(SEARCH("кнопк",_xlpm.t)),"",IFERROR(_xlfn.XLOOKUP(AX177,Коды_код,Коды_упр)&amp;"","")))))))</f>
        <v/>
      </c>
      <c r="CT177" t="str">
        <f t="shared" si="275"/>
        <v/>
      </c>
      <c r="CU177">
        <f>IF(B177="","",_xlfn.LET(_xlpm.ig,N(P177)+IF(AF177="вручную",0,N(CB177)),_xlpm.n0,IFERROR(VLOOKUP(_xlpm.ig,Автомат_номиналы,2,TRUE),0),_xlpm.mn,MAX(CL177,IF(AF177="вручную",0,N(CE177))),MAX(_xlpm.n0,_xlpm.mn,IF(CR177=1,Мин_автомат_БП,0))))</f>
        <v>16</v>
      </c>
      <c r="CV177">
        <f t="shared" si="276"/>
        <v>1</v>
      </c>
      <c r="CW177" t="str">
        <f t="shared" si="277"/>
        <v>2P</v>
      </c>
      <c r="CX177" t="str">
        <f>_xlfn.LET(_xlpm.cc,UPPER(TRIM(IFERROR(_xlfn.XLOOKUP(AX177,Коды_код,Коды_хар)&amp;"",""))),IF(OR(_xlpm.cc="B",_xlpm.cc="В"),"B",IF(_xlpm.cc="D","D","С")))</f>
        <v>С</v>
      </c>
      <c r="CY177" t="str">
        <f t="shared" si="278"/>
        <v>2P С16А 30мА</v>
      </c>
      <c r="CZ177">
        <f t="shared" si="279"/>
        <v>16</v>
      </c>
      <c r="DA177" t="str">
        <f t="shared" si="280"/>
        <v>2P С16А 30мА</v>
      </c>
      <c r="DB177" cm="1">
        <f t="array" ref="DB177">IF(DA177="","",_xlfn.LET(_xlpm.t,SUBSTITUTE(SUBSTITUTE(SUBSTITUTE(UPPER(DA177),"С","C"),"А","A"),"В","B"),_xlpm.tk,_xlfn.TEXTSPLIT(_xlpm.t,"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7" t="str">
        <f t="shared" si="281"/>
        <v>ok</v>
      </c>
      <c r="DD177">
        <f t="shared" si="282"/>
        <v>16</v>
      </c>
      <c r="DE177" t="str">
        <f t="shared" si="283"/>
        <v>2P С16А 30мА</v>
      </c>
      <c r="DF177">
        <f t="shared" si="284"/>
        <v>30</v>
      </c>
      <c r="DG177">
        <f t="shared" si="285"/>
        <v>1</v>
      </c>
      <c r="DH177">
        <f t="shared" si="286"/>
        <v>0</v>
      </c>
      <c r="DI177">
        <f t="shared" si="287"/>
        <v>0.54696341291648753</v>
      </c>
      <c r="DJ177">
        <f t="shared" si="288"/>
        <v>1</v>
      </c>
      <c r="DK177">
        <f>IF(ISNUMBER(AL177),AL177,К_прокл)</f>
        <v>1</v>
      </c>
      <c r="DL177">
        <f t="shared" si="289"/>
        <v>2</v>
      </c>
      <c r="DM177">
        <f>IFERROR(N(VLOOKUP(BT177,Кабель_обозначение,3,FALSE)),1)</f>
        <v>1</v>
      </c>
      <c r="DN177">
        <f>IFERROR(N(_xlfn.XLOOKUP(A177,Щиты[Щит],Щиты[ΔU до шин, %])),0)</f>
        <v>1.57</v>
      </c>
      <c r="DO177" t="str">
        <f>IFERROR(_xlfn.XLOOKUP(A177,Щиты[Щит],Щиты[Zпетли на шинах, Ом]),"")</f>
        <v/>
      </c>
      <c r="DP177">
        <f>IFERROR(N(_xlfn.XLOOKUP(A177,Щиты[Щит],Щиты[ΔU до шин (подбор), %])),0)</f>
        <v>2.5</v>
      </c>
      <c r="DQ177" t="str">
        <f>IFERROR(_xlfn.XLOOKUP(A177,Щиты[Щит],Щиты[Zпетли на шинах (подбор), Ом]),"")</f>
        <v/>
      </c>
      <c r="DR177" t="str">
        <f t="shared" si="290"/>
        <v/>
      </c>
      <c r="DS177">
        <f t="shared" si="291"/>
        <v>44</v>
      </c>
      <c r="DT177">
        <f t="shared" si="292"/>
        <v>2</v>
      </c>
      <c r="DU177">
        <f t="shared" si="293"/>
        <v>0.31</v>
      </c>
      <c r="DV177" s="6">
        <f>IF(B177="","",IF(IFERROR(VLOOKUP(AX177,УГО_спр,2,FALSE),"")="Светильник",3,4)+IF(Методика="нормы 2026",MIN(0.5,MAX(0,N(Q177)-100)*0.005),0))</f>
        <v>4</v>
      </c>
      <c r="DW177" cm="1">
        <f t="array" ref="DW177">IF(OR(B177="",BT177="",DM177&lt;&gt;1),"",_xlfn.LET(_xlpm.sz,Iдоп_S,_xlpm.t_,CHOOSE(DL177,Iдоп_1ж,Iдоп_2ж,Iдоп_3ж)*DJ177*DK177,_xlpm.inn,N(DD177),_xlpm.smin,MAX(1.5,BW177),_xlpm.L_,N(Q177)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177)*(_xlpm.rho*_xlpm.L_/_xlpm.sz*N(BY177)+_xlpm.xx*_xlpm.L_*N(DU177)/1000)*N(P177)/((Uн_лин/SQRT(3))*1000)*100,999),_xlpm.kz,IF(OR(DG177=1,NOT(ISNUMBER(DQ177)),_xlpm.L_=0,_xlpm.inn=0),1,IFERROR(--(c_min*(Uн_лин*1000/SQRT(3))/(DQ177+2*ρкз_Cu*_xlpm.L_/_xlpm.sz)&gt;=GY177*_xlpm.inn),0)),_xlpm.ok,IFERROR((_xlpm.sz&gt;=_xlpm.smin)*(_xlpm.t_&gt;=_xlpm.inn)*IF(_xlpm.L_&gt;0,(_xlpm.du_+DP177&lt;=DV177+0.00001),1)*_xlpm.kz,0),_xlpm.r_,_xlfn._xlws.FILTER(_xlpm.sz,_xlpm.ok,"не подобрано"),INDEX(_xlpm.r_,1)))</f>
        <v>1.5</v>
      </c>
      <c r="DX177">
        <f t="shared" si="294"/>
        <v>2.5</v>
      </c>
      <c r="DY177" cm="1">
        <f t="array" ref="DY177">IF(OR(B177="",BT177="",DM177&lt;&gt;1),"",_xlfn.LET(_xlpm.sz,Iдоп_S,_xlpm.t_,CHOOSE(DL177,Iдоп_1ж,Iдоп_2ж,Iдоп_3ж)*DJ177*DK177,_xlpm.ok,IFERROR((_xlpm.sz&gt;=MAX(1.5,BW177))*(_xlpm.t_&gt;=N(DD177)),0),_xlpm.r_,_xlfn._xlws.FILTER(_xlpm.sz,_xlpm.ok,""),INDEX(_xlpm.r_,1)))</f>
        <v>1.5</v>
      </c>
      <c r="DZ177" s="6" cm="1">
        <f t="array" ref="DZ177">IFERROR(ROUNDUP(N(DT177)*(_xlfn.XLOOKUP(DY177,INDEX(Кабель_сопротивление,0,1),INDEX(Кабель_сопротивление,0,3))*N(Q177)/DY177*N(BY177)+_xlfn.XLOOKUP(DY177,INDEX(Кабель_сопротивление,0,1),INDEX(Кабель_сопротивление,0,2))*N(Q177)*N(DU177)/1000)*N(P177)/((Uн_лин/SQRT(3))*1000)*100,2),"")</f>
        <v>0.32</v>
      </c>
      <c r="EA177">
        <f>IFERROR(2*ρкз_Cu*N(Q177)/DY177,"")</f>
        <v>1.6481333333333332</v>
      </c>
      <c r="EB177">
        <f>IFERROR(VLOOKUP(DX177,Кабель_сопротивление,3,FALSE),"")</f>
        <v>2.2499999999999999E-2</v>
      </c>
      <c r="EC177">
        <f>IFERROR(VLOOKUP(DX177,Кабель_сопротивление,2,FALSE),"")</f>
        <v>0.1</v>
      </c>
      <c r="ED177">
        <f t="shared" si="295"/>
        <v>6</v>
      </c>
      <c r="EE177">
        <f t="shared" si="296"/>
        <v>0</v>
      </c>
      <c r="EF177">
        <f t="shared" si="297"/>
        <v>0.44118834634621956</v>
      </c>
      <c r="EG177" s="6">
        <f>IFERROR(ROUNDUP(EF177/((Uн_лин/SQRT(3))*1000)*100,2),"")</f>
        <v>0.2</v>
      </c>
      <c r="EH177" t="str">
        <f>IFERROR(VLOOKUP(BT177,Кабель_обозначение,2,FALSE),"")</f>
        <v>ВВГнг(А)-LS</v>
      </c>
      <c r="EI177" t="str">
        <f t="shared" si="298"/>
        <v>ВВГнг(А)-LS (3х2,5)</v>
      </c>
      <c r="EJ177" t="str">
        <f t="shared" si="299"/>
        <v>ВВГнг(А)-LS (3х2,5)
L=47-0,2%</v>
      </c>
      <c r="EK177">
        <f>IFERROR(2*ρкз_Cu*Q177/DX177,"")</f>
        <v>0.98887999999999998</v>
      </c>
      <c r="EL177">
        <f t="shared" si="300"/>
        <v>0.32900000000000007</v>
      </c>
      <c r="EM177" s="6" t="str">
        <f>IFERROR(IF(OR(B177="",NOT(ISNUMBER(DX177)),N(Q177)=0),"",_xlfn.XLOOKUP(A177,Щиты[Щит],Щиты[Zпетли на шинах, Ом])+EK177),"")</f>
        <v/>
      </c>
      <c r="EN177" s="6" t="str">
        <f>IF(ISNUMBER(EM177),c_min*(Uн_лин*1000/SQRT(3))/EM177,"")</f>
        <v/>
      </c>
      <c r="EO177" s="6" t="str">
        <f>IFERROR(IF(OR(B177="",NOT(ISNUMBER(DX177))),"",1.05*(Uн_лин*1000/SQRT(3))/(_xlfn.XLOOKUP(A177,Щиты[Щит],Щиты[Zmax на шинах, Ом])+EL177)/1000),"")</f>
        <v/>
      </c>
      <c r="EP177" s="6" t="str">
        <f>IF(B177="","",IF(ISNUMBER(Y177),"Сил",IF(IFERROR(_xlfn.XLOOKUP(AX177,Коды_код,Коды_группа)&amp;"","")="","Быт",_xlfn.XLOOKUP(AX177,Коды_код,Коды_группа)&amp;"")))</f>
        <v>Быт</v>
      </c>
      <c r="EQ177" s="6" t="str">
        <f t="shared" si="301"/>
        <v>Быт</v>
      </c>
      <c r="ER177" s="6">
        <f>IF(EQ177="Щит","щит",IF(EQ177="","",IF(EQ177="Быт",IFERROR(_xlfn.XLOOKUP(A177,Щиты[Щит],Щиты[Кс быт]),1),IF(EQ177="Сил",IF(ISNUMBER(Y177),Y177,IF(Методика="нормы 2026",IFERROR(_xlfn.XLOOKUP(A177,Щиты[Щит],Щиты[Кс силовых (табл. 7.5)]),1),1)),IF(OR(EQ177="Пост",EQ177="Отоп"),1,IF(EQ177="ВНГ",0.7,0))))))</f>
        <v>0.8</v>
      </c>
      <c r="ES177">
        <f t="shared" si="302"/>
        <v>1</v>
      </c>
      <c r="ET177">
        <f t="shared" si="303"/>
        <v>0.12</v>
      </c>
      <c r="EU177">
        <f t="shared" si="304"/>
        <v>0.12</v>
      </c>
      <c r="EV177">
        <f t="shared" si="305"/>
        <v>0</v>
      </c>
      <c r="EW177">
        <f t="shared" si="306"/>
        <v>0</v>
      </c>
      <c r="EX177">
        <f t="shared" si="307"/>
        <v>0</v>
      </c>
      <c r="EY177">
        <f t="shared" si="308"/>
        <v>0</v>
      </c>
      <c r="EZ177">
        <f t="shared" si="309"/>
        <v>0.12</v>
      </c>
      <c r="FA177">
        <f t="shared" si="310"/>
        <v>0.11399999999999999</v>
      </c>
      <c r="FB177">
        <f t="shared" si="311"/>
        <v>0.12</v>
      </c>
      <c r="FC177" t="str">
        <f t="shared" si="312"/>
        <v>L1</v>
      </c>
      <c r="FD177" t="str">
        <f>IF(B177="","",IF(CA177=0,IF(AW177=1,"",FF176),IF(OR(N(CV177)&gt;=3,N(BR177)&gt;=3),"L1,L2,L3",IFERROR(_xlfn.TEXTBEFORE(_xlfn.TEXTAFTER(_xlfn.XLOOKUP(A177,Щиты[Щит],Щиты[_фазы авто]),";"&amp;AW177&amp;":"),";"),"L1"))))</f>
        <v>L1</v>
      </c>
      <c r="FE177" t="str">
        <f t="shared" si="313"/>
        <v>L1</v>
      </c>
      <c r="FF177" t="str">
        <f t="shared" si="314"/>
        <v>L1</v>
      </c>
      <c r="FG177" cm="1">
        <f t="array" ref="FG177">IFERROR(IF(BX177=2,_xlfn.IFS(BR177=3,VLOOKUP(BN177,Справочная_двигатели,3,FALSE),BR177=1,VLOOKUP(BN177,Справочная_двигатели,5,TRUE)),0),0)</f>
        <v>0</v>
      </c>
      <c r="FH177">
        <f>IFERROR(IF(BX177=3,VLOOKUP(BN177,Справочная_ЛЭД,2,TRUE),0),0)</f>
        <v>0</v>
      </c>
      <c r="FI177" s="6">
        <f t="shared" si="315"/>
        <v>0</v>
      </c>
      <c r="FJ177" t="str" cm="1">
        <f t="array" ref="FJ177">IF(B177="","",IFERROR(INDEX({"I особая","I","II","III"},MATCH(TRIM(AC177&amp;""),{"I особая","I","II","III"},0)),"III"))</f>
        <v>II</v>
      </c>
      <c r="FK177" t="str">
        <f>IF(B177="","",IF(TRIM(AD177&amp;"")&lt;&gt;"",IF(LOWER(TRIM(AD177&amp;""))="да","да","нет"),IF(IFERROR(_xlfn.XLOOKUP(AX177,Коды_код,Коды_пожарная),"")="да","да","нет")))</f>
        <v>нет</v>
      </c>
      <c r="FL177" t="str">
        <f t="shared" si="316"/>
        <v/>
      </c>
      <c r="FM177" t="str">
        <f t="shared" si="317"/>
        <v>основная</v>
      </c>
      <c r="FN177">
        <f t="shared" si="318"/>
        <v>1</v>
      </c>
      <c r="FO177" t="str" cm="1">
        <f t="array" ref="FO177">IF(B177="","",_xlfn.LET(_xlpm.t,IFERROR(_xlfn.XLOOKUP(1,(Шины[Шина]=FM177)*(((Шины[Щит]=A177)+(Шины[Щит]=""))&gt;0),Шины[Тип]),"")&amp;"",IF(_xlpm.t&lt;&gt;"",_xlpm.t,IF(ISNUMBER(SEARCH("ИБП",FM177)),"ИБП",IF(ISNUMBER(SEARCH("ДГУ",FM177)),"ДГУ","Ввод "&amp;FN177)))))</f>
        <v>Ввод 1</v>
      </c>
      <c r="FP177" t="str">
        <f t="shared" si="319"/>
        <v>Ввод 1</v>
      </c>
      <c r="FQ177" t="str">
        <f>IF(B177="","",IF(OR(FO177="ИБП",FO177="ДГУ"),"I особая",IF(FO177="Одиночная","III",_xlfn.XLOOKUP(A177,Щиты[Щит],Щиты[Категория шины «Ввод»],"III"))))</f>
        <v>II</v>
      </c>
      <c r="FR177">
        <f>IF(B177="",0,IFERROR(MATCH(FJ177,{"III","II","I","I особая"},0),1))</f>
        <v>2</v>
      </c>
      <c r="FS177">
        <f t="shared" si="320"/>
        <v>2</v>
      </c>
      <c r="FT177" t="str">
        <f>IF(B177="","",IF(FR177&gt;IFERROR(MATCH(FQ177,{"III","II","I","I особая"},0),1),"НЕ ОБЕСПЕЧЕНА","ОК"))</f>
        <v>ОК</v>
      </c>
      <c r="FU177" t="str">
        <f>IF(A177="","",_xlfn.XLOOKUP(A177,Щиты[Щит],Щиты[Путь],""))</f>
        <v>|ГРЩ-ЖД|ЩР-001|</v>
      </c>
      <c r="FV177" t="str">
        <f>IF(B177="","",IF(AE177&lt;&gt;"",AE177,IF(IFERROR(_xlfn.XLOOKUP(AX177,Коды_код,Коды_вид)&amp;"","")="","Прочее",_xlfn.XLOOKUP(AX177,Коды_код,Коды_вид)&amp;"")))</f>
        <v>Розеточная сеть и бытовые приборы</v>
      </c>
      <c r="FW177">
        <f>IF(BH177="","",INT((BH177-1)/Столбцов_на_лист)+1)</f>
        <v>3</v>
      </c>
      <c r="FX177" t="str">
        <f t="shared" si="321"/>
        <v>ВВГнг(А)-LS (3х2,5) L=47-0,2%</v>
      </c>
      <c r="FY177">
        <f t="shared" si="322"/>
        <v>0.12</v>
      </c>
      <c r="FZ177">
        <f t="shared" si="323"/>
        <v>0.55000000000000004</v>
      </c>
      <c r="GA177">
        <f t="shared" si="324"/>
        <v>1</v>
      </c>
      <c r="GB177">
        <f t="shared" si="325"/>
        <v>0</v>
      </c>
      <c r="GC177">
        <f t="shared" si="326"/>
        <v>1</v>
      </c>
      <c r="GD177">
        <f>IF(BH177="","",IF(AND(CA177=1,GC177=1),COUNTIFS(A$3:A177,A177,CA$3:CA177,1,GC$3:GC177,1),IF(OR(OR(AW177=1,A177&lt;&gt;A176),AF177="вручную",GC177=0),"",IF(AW177=1,"",GE176))))</f>
        <v>23</v>
      </c>
      <c r="GE177">
        <f t="shared" si="327"/>
        <v>23</v>
      </c>
      <c r="GF177">
        <f>IF(B177="","",IFERROR(LOOKUP(INDEX(CHOOSE(DL177,Iдоп_1ж,Iдоп_2ж,Iдоп_3ж),MATCH(DX177,Iдоп_S,0))*DJ177*DK177,{6,10,16,20,25,32,40,50,63,80,100,125,160,200,250,315,400,500,630}),""))</f>
        <v>25</v>
      </c>
      <c r="GG177" t="str">
        <f t="shared" si="328"/>
        <v>QFD23</v>
      </c>
      <c r="GH177" t="str">
        <f t="shared" si="329"/>
        <v>QFD23</v>
      </c>
      <c r="GI177" t="str">
        <f t="shared" si="330"/>
        <v/>
      </c>
      <c r="GJ177">
        <f t="shared" si="331"/>
        <v>0</v>
      </c>
      <c r="GK177" t="str">
        <f>IF(OR(AG177="",AG177="-"),"",IFERROR(VLOOKUP(AG177,Модули_спр,2,FALSE),"R"))</f>
        <v/>
      </c>
      <c r="GL177" t="str">
        <f>IF(GK177="","",GK177&amp;"."&amp;COUNTIFS(A$3:A177,A177,GK$3:GK177,GK177))</f>
        <v/>
      </c>
      <c r="GM177" t="str">
        <f t="shared" si="332"/>
        <v/>
      </c>
      <c r="GN177" t="str">
        <f t="shared" si="333"/>
        <v/>
      </c>
      <c r="GO177" t="str">
        <f t="shared" si="334"/>
        <v/>
      </c>
      <c r="GP177" t="str">
        <f t="shared" si="335"/>
        <v/>
      </c>
      <c r="GQ177">
        <f t="shared" si="336"/>
        <v>1</v>
      </c>
      <c r="GR177" t="str">
        <f>IF(GQ177=1,"XT"&amp;COUNTIFS(A$3:A177,A177,GQ$3:GQ177,1),"")</f>
        <v>XT23</v>
      </c>
      <c r="GS177" t="str">
        <f t="shared" si="337"/>
        <v/>
      </c>
      <c r="GT177" t="str">
        <f t="shared" si="338"/>
        <v>QFD23</v>
      </c>
      <c r="GU177" t="str">
        <f t="shared" si="339"/>
        <v/>
      </c>
      <c r="GV177" t="str">
        <f t="shared" si="340"/>
        <v>ok</v>
      </c>
      <c r="GW177" t="str">
        <f>IF(OR(GO177="",GM177=""),"",IF(GO177&gt;IFERROR(VLOOKUP(GN177,Модули_спр,3,FALSE),99),"ЛИШНИЙ КАНАЛ",IF(AND(AH177&lt;&gt;"=",COUNTIFS(Линии[_модуль гр.],GM177,Линии[Канал (итог)],GO177,Линии[Канал],"&lt;&gt;=",Линии[Щит],A177)&gt;1),"ДУБЛЬ КАНАЛА","")))</f>
        <v/>
      </c>
      <c r="GX177" s="6" t="str">
        <f t="shared" si="341"/>
        <v/>
      </c>
      <c r="GY177">
        <f t="shared" si="342"/>
        <v>10</v>
      </c>
      <c r="GZ177" t="str">
        <f t="shared" si="343"/>
        <v/>
      </c>
      <c r="HA177" t="str">
        <f>IF(AND(B177="",GT177=""),"",_xlfn.TEXTJOIN("; ",TRUE,IF(AND(B177&lt;&gt;"",FE177=""),"нет фазы",""),IF(AND(B177&lt;&gt;"",N(FY177)=0,EQ177&lt;&gt;"Нет"),"нет мощности",""),IF(AND(GS177&lt;&gt;"",COUNTIFS(Линии[Щит],A177,Линии[Клемма (итог)],GS177)&gt;1),"дубль клеммы "&amp;GS177,""),IF(AND(GV177&lt;&gt;"",GV177&lt;&gt;"ok"),GV177,""),IF(GW177&lt;&gt;"",GW177,""),IF(AND(N(BV177)&gt;=4,N(BR177)=1),BV177&amp;" жил на 1 фазе",""),IF(AND(AX177="R",CA177=1,OR(N(CK177)=0,N(CK177)&gt;30)),"розетка без дифзащиты до 30 мА",""),IFERROR(IF(AND(ISNUMBER(R177),R177&gt;DV177),"потери "&amp;FIXED(R177,1)&amp;" % &gt; "&amp;DV177&amp;" %",""),""),IFERROR(IF(LEFT(GZ177,4)="мало","Iкз мало — отключение &gt; 0,4 с",""),""),IF(AND(B177&lt;&gt;"",BH177=""),"не на схеме",""),IF(AND(CA177=0,B177&lt;&gt;"",FE177&lt;&gt;"",IF(AW177=1,"",FF176)&lt;&gt;"",FE177&lt;&gt;IF(AW177=1,"",FF176)),"фаза не как у автомата группы ("&amp;IF(AW177=1,"",FF176)&amp;")","")))</f>
        <v/>
      </c>
      <c r="HB177" s="6">
        <f>IF(OR(CA177=0,DA177=""),"",_xlfn.LET(_xlpm.t,IFERROR(_xlfn.XLOOKUP(DA177,Каталог!$U$4:$U$500,Каталог!$G$4:$G$500),""),_xlpm.k,SEARCH("кА",_xlpm.t),IFERROR(--TRIM(RIGHT(SUBSTITUTE(MID(_xlpm.t,MAX(1,_xlpm.k-4),_xlpm.k-MAX(1,_xlpm.k-4))," ",REPT(" ",9)),5)),"")))</f>
        <v>6</v>
      </c>
      <c r="HC177" t="str">
        <f>IF(OR(HB177="",CA177=0),"",IF(_xlfn.XLOOKUP(A177,Щиты[Щит],Щиты[Iкз max на шинах, кА],"")="","",IF(HB177&lt;_xlfn.XLOOKUP(A177,Щиты[Щит],Щиты[Iкз max на шинах, кА]),"Icu "&amp;HB177&amp;" кА &lt; Iкз max","ok")))</f>
        <v/>
      </c>
      <c r="HD177" t="str">
        <f t="shared" si="344"/>
        <v/>
      </c>
      <c r="HE177" t="str">
        <f t="shared" si="345"/>
        <v>QFD23</v>
      </c>
      <c r="HF177" t="str">
        <f t="shared" si="346"/>
        <v>QFD23|кабель ВВГнг(А)-LS (3х2,5) → Розеточная группа, пом. 008А</v>
      </c>
      <c r="HG177" t="str" cm="1">
        <f t="array" ref="HG177">IF(HF177="","",_xlfn.LET(_xlpm.nd,_xlfn.TEXTSPLIT(HF177,"|"),IF(COLUMNS(_xlpm.nd)&gt;1,A177&amp;"¦"&amp;INDEX(_xlpm.nd,1)&amp;"¦"&amp;INDEX(_xlpm.nd,2),"")))</f>
        <v>ЩР-001¦QFD23¦кабель ВВГнг(А)-LS (3х2,5) → Розеточная группа, пом. 008А</v>
      </c>
      <c r="HH177" t="str">
        <f t="shared" si="347"/>
        <v>R.00.008А.1¦Розеточная группа, пом. 008А</v>
      </c>
      <c r="HI177" t="str" cm="1">
        <f t="array" ref="HI177">IF(HF177="","",_xlfn.LET(_xlpm.nd,_xlfn.TEXTSPLIT(HF177,"|"),IF(COLUMNS(_xlpm.nd)&gt;2,A177&amp;"¦"&amp;INDEX(_xlpm.nd,2)&amp;"¦"&amp;INDEX(_xlpm.nd,3),"")))</f>
        <v/>
      </c>
      <c r="HJ177" t="str">
        <f t="shared" si="348"/>
        <v/>
      </c>
      <c r="HK177" t="str" cm="1">
        <f t="array" ref="HK177">IF(HF177="","",_xlfn.LET(_xlpm.nd,_xlfn.TEXTSPLIT(HF177,"|"),IF(COLUMNS(_xlpm.nd)&gt;3,A177&amp;"¦"&amp;INDEX(_xlpm.nd,3)&amp;"¦"&amp;INDEX(_xlpm.nd,4),"")))</f>
        <v/>
      </c>
      <c r="HL177" t="str">
        <f t="shared" si="349"/>
        <v/>
      </c>
      <c r="HM177" t="str" cm="1">
        <f t="array" ref="HM177">IF(HF177="","",_xlfn.LET(_xlpm.nd,_xlfn.TEXTSPLIT(HF177,"|"),IF(COLUMNS(_xlpm.nd)&gt;4,A177&amp;"¦"&amp;INDEX(_xlpm.nd,4)&amp;"¦"&amp;INDEX(_xlpm.nd,5),"")))</f>
        <v/>
      </c>
      <c r="HN177" t="str">
        <f t="shared" si="350"/>
        <v/>
      </c>
      <c r="HO177" t="str" cm="1">
        <f t="array" ref="HO177">IF(HF177="","",_xlfn.LET(_xlpm.nd,_xlfn.TEXTSPLIT(HF177,"|"),IF(COLUMNS(_xlpm.nd)&gt;5,A177&amp;"¦"&amp;INDEX(_xlpm.nd,5)&amp;"¦"&amp;INDEX(_xlpm.nd,6),"")))</f>
        <v/>
      </c>
      <c r="HP177" t="str">
        <f t="shared" si="351"/>
        <v/>
      </c>
      <c r="HQ177" t="str" cm="1">
        <f t="array" ref="HQ177">IF(HF177="","",_xlfn.LET(_xlpm.nd,_xlfn.TEXTSPLIT(HF177,"|"),IF(COLUMNS(_xlpm.nd)&gt;6,A177&amp;"¦"&amp;INDEX(_xlpm.nd,6)&amp;"¦"&amp;INDEX(_xlpm.nd,7),"")))</f>
        <v/>
      </c>
      <c r="HR177" t="str">
        <f t="shared" si="352"/>
        <v/>
      </c>
      <c r="HS177" t="str">
        <f t="shared" si="353"/>
        <v/>
      </c>
      <c r="HT177" t="str">
        <f t="shared" si="354"/>
        <v>QFD23</v>
      </c>
      <c r="HU177">
        <f t="shared" si="355"/>
        <v>0</v>
      </c>
      <c r="HV177">
        <f t="shared" si="356"/>
        <v>1</v>
      </c>
      <c r="HW177" t="str">
        <f t="shared" si="357"/>
        <v/>
      </c>
      <c r="HX177" t="str">
        <f t="shared" si="358"/>
        <v/>
      </c>
      <c r="HY177" t="str">
        <f t="shared" si="359"/>
        <v/>
      </c>
      <c r="HZ177" t="str">
        <f t="shared" si="360"/>
        <v/>
      </c>
      <c r="IA177" t="str">
        <f>IF(B177="","",IFERROR(VLOOKUP(B177,УГО_спр,2,FALSE),IFERROR(VLOOKUP(AX177,УГО_спр,2,FALSE),IFERROR(VLOOKUP(LEFT(AX177,2),УГО_спр,2,FALSE),""))))</f>
        <v>Розетка</v>
      </c>
      <c r="IB177" t="str">
        <f>IF(B177="","",IF(OR(IA177="",IA177=0),"BOX",IFERROR(IF(VLOOKUP(IA177,УГО_блоки,3,FALSE)&amp;""&lt;&gt;"",VLOOKUP(IA177,УГО_блоки,3,FALSE),VLOOKUP(IA177,УГО_блоки,2,FALSE)),IA177)))</f>
        <v>SOCKET</v>
      </c>
      <c r="IC177">
        <f t="shared" si="361"/>
        <v>1</v>
      </c>
      <c r="ID177" t="str">
        <f>IF(DA177="","",IF(COUNTIF(DA$3:DA177,DA177)=1,MAX(ID$2:ID176)+1,""))</f>
        <v/>
      </c>
      <c r="IE177" t="str">
        <f>IF(CO177="","",IF(COUNTIF(CO$3:CO177,CO177)+COUNTIF(CP$2:CP176,CO177)+COUNTIF(CQ$2:CQ176,CO177)=1,MAX(IE$2:IG176)+1,""))</f>
        <v/>
      </c>
      <c r="IF177" t="str">
        <f>IF(CP177="","",IF(COUNTIF(CO$3:CO177,CP177)+COUNTIF(CP$3:CP177,CP177)+COUNTIF(CQ$2:CQ176,CP177)=1,MAX(IE$2:IG176,IE177)+1,""))</f>
        <v/>
      </c>
      <c r="IG177" t="str">
        <f>IF(CQ177="","",IF(COUNTIF(CO$3:CO177,CQ177)+COUNTIF(CP$3:CP177,CQ177)+COUNTIF(CQ$3:CQ177,CQ177)=1,MAX(IE$2:IG176,IE177,IF177)+1,""))</f>
        <v/>
      </c>
      <c r="IH177" t="str">
        <f t="shared" si="362"/>
        <v>3х2,5</v>
      </c>
      <c r="II177" t="str">
        <f>IF(IH177="","",IF(COUNTIF(IH$3:IH177,IH177)=1,MAX(II$2:II176)+1,""))</f>
        <v/>
      </c>
      <c r="IJ177" t="str">
        <f>IF(GL177="","",COUNTIF(GL$3:GL177,"?*"))</f>
        <v/>
      </c>
      <c r="IK177" t="str">
        <f>IF(OR(GL177="",GN177=""),"",IF(COUNTIFS(GL$3:GL177,"?*",GN$3:GN177,GN177)=1,MAX(IK$2:IK176)+1,""))</f>
        <v/>
      </c>
      <c r="IL177">
        <f t="shared" si="363"/>
        <v>0</v>
      </c>
      <c r="IM177">
        <f>IF(B177="","",COUNTIF(B$3:B177,"?*"))</f>
        <v>175</v>
      </c>
      <c r="IN177">
        <f>IF(GQ177&lt;&gt;1,0,_xlfn.LET(_xlpm.k,MAX(IFERROR(--VLOOKUP(B177,УГО_спр,5,FALSE),0),IFERROR(--VLOOKUP(AX177,УГО_спр,5,FALSE),0),IFERROR(--VLOOKUP(LEFT(AX177,2),УГО_спр,5,FALSE),0)),IF(_xlpm.k&gt;0,_xlpm.k,IF(IFERROR(--LEFT(SUBSTITUTE(IH177,"x","х"),FIND("х",SUBSTITUTE(IH177,"x","х"))-1),3)&gt;3,Каталог!$S$9,1))))</f>
        <v>1</v>
      </c>
      <c r="IO177">
        <f t="shared" si="364"/>
        <v>0</v>
      </c>
      <c r="IP177" t="str">
        <f t="shared" si="365"/>
        <v>авто</v>
      </c>
      <c r="IQ177">
        <f t="shared" si="366"/>
        <v>30</v>
      </c>
      <c r="IR177">
        <f t="shared" si="367"/>
        <v>1</v>
      </c>
      <c r="IS177">
        <f t="shared" si="368"/>
        <v>1</v>
      </c>
    </row>
    <row r="178" spans="1:253" x14ac:dyDescent="0.3">
      <c r="A178" t="s">
        <v>755</v>
      </c>
      <c r="B178" t="s">
        <v>1445</v>
      </c>
      <c r="C178" t="str">
        <f>Линии[[#This Row],[_авто наименование]]</f>
        <v>Розеточная группа, пом. 002Б</v>
      </c>
      <c r="D178">
        <v>1</v>
      </c>
      <c r="E178">
        <v>0.06</v>
      </c>
      <c r="G178">
        <v>16</v>
      </c>
      <c r="H178">
        <f>Линии[[#This Row],[_авто утечка]]</f>
        <v>30</v>
      </c>
      <c r="I178" t="str">
        <f>Линии[[#This Row],[_авто управление]]</f>
        <v/>
      </c>
      <c r="J178" t="str">
        <f>Линии[[#This Row],[_авто аппараты]]</f>
        <v/>
      </c>
      <c r="K178">
        <v>2.5</v>
      </c>
      <c r="L178">
        <v>28</v>
      </c>
      <c r="M178">
        <v>3</v>
      </c>
      <c r="N178" t="s">
        <v>486</v>
      </c>
      <c r="O178" t="str">
        <f t="shared" si="246"/>
        <v/>
      </c>
      <c r="P178" s="6" cm="1">
        <f t="array" ref="P178">IF(B178="","",IF(BC178&lt;&gt;"",IFERROR(_xlfn.XLOOKUP(BC178,Щиты[Щит],Щиты[Iр, А]),""),IF(BK178=1,IFERROR(_xlfn.XLOOKUP(A178,Щиты[Щит],Щиты[Iр, А]),""),IFERROR(_xlfn.IFS(BR178=1,BN178/((Uн_лин/SQRT(3))*BY178),BR178=3,BN178/(SQRT(3)*Uн_лин*BY178)),""))))</f>
        <v>0.27348170645824377</v>
      </c>
      <c r="Q178" s="7">
        <f>IF(B178="","",IFERROR(IF(VLOOKUP(AX178,Потребители_обозначение,4,FALSE)=1,VLOOKUP(AX178,Потребители_обозначение,3,FALSE)*(D178*2-1)+DS178+VLOOKUP(AZ178,Этаж_обозначение,3,FALSE)+VLOOKUP(AZ178,Этаж_обозначение,4,FALSE),VLOOKUP(AX178,Потребители_обозначение,3,FALSE)*(D178*2-1)+DS178),DS178))</f>
        <v>31</v>
      </c>
      <c r="R178" s="6">
        <f t="shared" si="247"/>
        <v>1.6400000000000001</v>
      </c>
      <c r="S178" t="str">
        <f t="shared" si="248"/>
        <v>ВВГнг(А)-LS (3х2,5)</v>
      </c>
      <c r="T178" t="str">
        <f>IF(BH178="","",IF(BI178="вводной узел","узел ","")&amp;"л."&amp;(INT((BH178-1)/Столбцов_на_лист)+1)&amp;" / "&amp;(MOD(BH178-1,Столбцов_на_лист)+1))</f>
        <v>л.3 / 9</v>
      </c>
      <c r="V178">
        <v>1</v>
      </c>
      <c r="W178">
        <v>230</v>
      </c>
      <c r="X178" t="s">
        <v>564</v>
      </c>
      <c r="AC178" t="s">
        <v>815</v>
      </c>
      <c r="AE178" t="s">
        <v>563</v>
      </c>
      <c r="AI178">
        <v>43</v>
      </c>
      <c r="AJ178" t="s">
        <v>11</v>
      </c>
      <c r="AK178">
        <v>3</v>
      </c>
      <c r="AM178">
        <v>24</v>
      </c>
      <c r="AN178">
        <v>7</v>
      </c>
      <c r="AO178">
        <v>0</v>
      </c>
      <c r="AW178" cm="1">
        <f t="array" ref="AW178">ROW()-ROW(Линии[#Headers])</f>
        <v>176</v>
      </c>
      <c r="AX178" s="6" t="str">
        <f t="shared" si="249"/>
        <v>R</v>
      </c>
      <c r="AY178" t="str">
        <f t="shared" si="250"/>
        <v>00.002Б.1</v>
      </c>
      <c r="AZ178" t="str">
        <f t="shared" si="251"/>
        <v>00</v>
      </c>
      <c r="BA178" t="str">
        <f t="shared" si="252"/>
        <v>002Б.1</v>
      </c>
      <c r="BB178" t="str">
        <f t="shared" si="253"/>
        <v>002Б</v>
      </c>
      <c r="BC178" t="str">
        <f>IF(U178&lt;&gt;"",U178,IF(AND(B178&lt;&gt;"",B178&lt;&gt;A178,ISNUMBER(_xlfn.XMATCH(B178,Щиты[Щит]))),B178,""))</f>
        <v/>
      </c>
      <c r="BD178" t="str" cm="1">
        <f t="array" ref="BD178">IF(B178="","",IF(BC178&lt;&gt;"","Щит "&amp;BC178,_xlfn.LET(_xlpm.nm,IFERROR(_xlfn.XLOOKUP(AX178,Коды_код,Коды_имя)&amp;"",""),_xlpm.md,IFERROR(N(_xlfn.XLOOKUP(AX178,Коды_код,Коды_режим)),1),_xlpm.ex,IF(Имя_режим="по экспликации",IFERROR(_xlfn.XLOOKUP(AZ178&amp;"|"&amp;BB178,Экспликация[Этаж]&amp;"|"&amp;Экспликация[Помещение],Экспликация[Название])&amp;"",""),""),_xlpm.rm,IF(BB178="","",IF(_xlpm.ex&lt;&gt;"",". "&amp;_xlpm.ex&amp;IF(Имя_пом="нет"," ("&amp;BB178&amp;")"," (пом. "&amp;BB178&amp;")"),IF(Имя_пом="нет"," ",", пом. ")&amp;BB178)),IF(_xlpm.nm="","",IF(_xlpm.md=2,_xlpm.nm&amp;" шлейф "&amp;AZ178,_xlpm.nm&amp;_xlpm.rm)))))</f>
        <v>Розеточная группа, пом. 002Б</v>
      </c>
      <c r="BE178" t="str">
        <f t="shared" si="254"/>
        <v>Розеточная группа, пом. 002Б</v>
      </c>
      <c r="BF178">
        <f>IFERROR(_xlfn.XMATCH(A178,Щиты[Щит]),0)</f>
        <v>8</v>
      </c>
      <c r="BG178">
        <f>_xlfn.LET(_xlpm.k,IFERROR(_xlfn.XLOOKUP(A178,Щиты[Щит],Щиты[Листов под вводной узел]),""),IF(_xlpm.k="",1,N(_xlpm.k))*Столбцов_на_лист)</f>
        <v>17</v>
      </c>
      <c r="BH178">
        <f t="shared" si="255"/>
        <v>43</v>
      </c>
      <c r="BI178" t="str">
        <f t="shared" si="256"/>
        <v>линии</v>
      </c>
      <c r="BJ178" s="6">
        <f>IFERROR(N(_xlfn.XLOOKUP(AX178,Коды_код,Коды_квт)),0)</f>
        <v>0</v>
      </c>
      <c r="BK178">
        <f t="shared" si="257"/>
        <v>0</v>
      </c>
      <c r="BL178" t="str">
        <f>IF(B178="","",IF(BC178&lt;&gt;"",IFERROR(_xlfn.XLOOKUP(BC178,Щиты[Щит],Щиты[Руст, кВт]),0),IF(BK178=1,IFERROR(_xlfn.XLOOKUP(A178,Щиты[Щит],Щиты[Руст, кВт]),0),IF(BJ178&gt;0,ROUND(BJ178*MAX(1,N(D178)),3),""))))</f>
        <v/>
      </c>
      <c r="BM178">
        <f t="shared" si="258"/>
        <v>0.06</v>
      </c>
      <c r="BN178" s="6">
        <f>IF(B178="","",IF(BC178&lt;&gt;"",IFERROR(_xlfn.XLOOKUP(BC178,Щиты[Щит],Щиты[Руст, кВт]),0),N(BM178)))</f>
        <v>0.06</v>
      </c>
      <c r="BO178" t="str">
        <f>IF(B178="","",IFERROR(IF(VLOOKUP(AX178,Потребители_обозначение,8,FALSE)=0,"",VLOOKUP(AX178,Потребители_обозначение,8,FALSE)),""))</f>
        <v/>
      </c>
      <c r="BP178">
        <f t="shared" si="259"/>
        <v>230</v>
      </c>
      <c r="BQ178">
        <f>IF(B178="","",IF(BC178&lt;&gt;"",3,IFERROR(IF(N(VLOOKUP(AX178,Потребители_обозначение,9,FALSE))=0,1,VLOOKUP(AX178,Потребители_обозначение,9,FALSE)),1)))</f>
        <v>1</v>
      </c>
      <c r="BR178">
        <f t="shared" si="260"/>
        <v>1</v>
      </c>
      <c r="BS178" t="str">
        <f>IF(B178="","",_xlfn.LET(_xlpm.bc,IFERROR(IF(VLOOKUP(AX178,Потребители_обозначение,6,FALSE)=0,"",VLOOKUP(AX178,Потребители_обозначение,6,FALSE)&amp;""),""),IF(AND(FK178="да",OR(_xlpm.bc="",_xlpm.bc="мс")),Марка_пож,IF(AND(_xlpm.bc="",BC178&lt;&gt;""),"мс",_xlpm.bc))))</f>
        <v/>
      </c>
      <c r="BT178" t="str">
        <f t="shared" si="261"/>
        <v>мс</v>
      </c>
      <c r="BU178">
        <f>IF(B178="","",_xlfn.LET(_xlpm.cc,IFERROR(N(VLOOKUP(AX178,Потребители_обозначение,7,FALSE)),0),IF(_xlpm.cc&gt;0,_xlpm.cc,IF(BT178="","",IF(N(BR178)=3,5,3)))))</f>
        <v>3</v>
      </c>
      <c r="BV178">
        <f t="shared" si="262"/>
        <v>3</v>
      </c>
      <c r="BW178">
        <f>IFERROR(N(VLOOKUP(AX178,Потребители_обозначение,10,FALSE)),0)</f>
        <v>0</v>
      </c>
      <c r="BX178">
        <f>IFERROR(VLOOKUP(AX178,Потребители_обозначение,5,FALSE),0)</f>
        <v>1</v>
      </c>
      <c r="BY178" s="6" cm="1">
        <f t="array" ref="BY178">IF(B178="","",IF(BC178&lt;&gt;"",IFERROR(_xlfn.XLOOKUP(BC178,Щиты[Щит],Щиты[cos φ]),0.95),IF(BK178=1,IFERROR(_xlfn.XLOOKUP(A178,Щиты[Щит],Щиты[cos φ]),0.95),IF(ISNUMBER(Z178),Z178,IFERROR(IF(BX178=2,_xlfn.IFS(BR178=3,VLOOKUP(BN178,Справочная_двигатели,8,FALSE),BR178=1,VLOOKUP(BN178,Справочная_двигатели,10,TRUE)),IF(AND(Методика="нормы 2026",EQ178="Сил"),0.8,0.95)),0.95)))))</f>
        <v>0.95</v>
      </c>
      <c r="BZ178">
        <f t="shared" si="263"/>
        <v>0</v>
      </c>
      <c r="CA178">
        <f t="shared" si="264"/>
        <v>1</v>
      </c>
      <c r="CB178">
        <f t="shared" si="265"/>
        <v>0</v>
      </c>
      <c r="CC178">
        <f t="shared" si="266"/>
        <v>0</v>
      </c>
      <c r="CD178">
        <f t="shared" si="267"/>
        <v>0</v>
      </c>
      <c r="CE178">
        <f t="shared" si="268"/>
        <v>0</v>
      </c>
      <c r="CF178">
        <f t="shared" si="269"/>
        <v>0</v>
      </c>
      <c r="CG178">
        <f>IF(AX178="",0,_xlfn.LET(_xlpm.v,IFERROR(VLOOKUP(B178,УГО_спр,3,FALSE),IFERROR(VLOOKUP(AX178,УГО_спр,3,FALSE),IFERROR(VLOOKUP(LEFT(AX178,2),УГО_спр,3,FALSE),""))),IF(_xlpm.v="да",30,IF(ISNUMBER(_xlpm.v),_xlpm.v,0))))</f>
        <v>30</v>
      </c>
      <c r="CH178">
        <f t="shared" si="270"/>
        <v>30</v>
      </c>
      <c r="CI178" t="str">
        <f>_xlfn.LET(_xlpm.k,IFERROR(_xlfn.XLOOKUP(AX178,Коды_код,Коды_утечка)&amp;"",""),IF(_xlpm.k="","дифавтомат",_xlpm.k))</f>
        <v>дифавтомат</v>
      </c>
      <c r="CJ178">
        <f t="shared" si="271"/>
        <v>30</v>
      </c>
      <c r="CK178">
        <f t="shared" si="272"/>
        <v>30</v>
      </c>
      <c r="CL178">
        <f>IF(B178="",0,IFERROR(--VLOOKUP(B178,УГО_спр,4,FALSE),IFERROR(--VLOOKUP(AX178,УГО_спр,4,FALSE),IFERROR(--VLOOKUP(LEFT(AX178,2),УГО_спр,4,FALSE),0))))</f>
        <v>16</v>
      </c>
      <c r="CM178" t="str">
        <f>IF(B178="","",IFERROR(_xlfn.XLOOKUP(AX178,Коды_код,Коды_апп)&amp;"",""))</f>
        <v/>
      </c>
      <c r="CN178" t="str">
        <f t="shared" si="273"/>
        <v/>
      </c>
      <c r="CO178" t="str" cm="1">
        <f t="array" ref="CO178">IF(TRIM(CN178&amp;"")="","",IFERROR(TRIM(INDEX(_xlfn.TEXTSPLIT(CN178&amp;";;;",";"),1)),""))</f>
        <v/>
      </c>
      <c r="CP178" t="str" cm="1">
        <f t="array" ref="CP178">IF(TRIM(CN178&amp;"")="","",IFERROR(TRIM(INDEX(_xlfn.TEXTSPLIT(CN178&amp;";;;",";"),2)),""))</f>
        <v/>
      </c>
      <c r="CQ178" t="str" cm="1">
        <f t="array" ref="CQ178">IF(TRIM(CN178&amp;"")="","",IFERROR(TRIM(INDEX(_xlfn.TEXTSPLIT(CN178&amp;";;;",";"),3)),""))</f>
        <v/>
      </c>
      <c r="CR178">
        <f t="shared" si="274"/>
        <v>0</v>
      </c>
      <c r="CS178" t="str">
        <f>IF(B178="","",_xlfn.LET(_xlpm.t,LOWER(AV178&amp;""),IF(ISNUMBER(SEARCH("dim",_xlpm.t)),"DIM",IF(ISNUMBER(SEARCH("dali",_xlpm.t)),"DALI",IF(OR(ISNUMBER(SEARCH("relay",_xlpm.t)),ISNUMBER(SEARCH("реле",_xlpm.t))),"Relay",IF(ISNUMBER(SEARCH("кнопк",_xlpm.t)),"",IFERROR(_xlfn.XLOOKUP(AX178,Коды_код,Коды_упр)&amp;"","")))))))</f>
        <v/>
      </c>
      <c r="CT178" t="str">
        <f t="shared" si="275"/>
        <v/>
      </c>
      <c r="CU178">
        <f>IF(B178="","",_xlfn.LET(_xlpm.ig,N(P178)+IF(AF178="вручную",0,N(CB178)),_xlpm.n0,IFERROR(VLOOKUP(_xlpm.ig,Автомат_номиналы,2,TRUE),0),_xlpm.mn,MAX(CL178,IF(AF178="вручную",0,N(CE178))),MAX(_xlpm.n0,_xlpm.mn,IF(CR178=1,Мин_автомат_БП,0))))</f>
        <v>16</v>
      </c>
      <c r="CV178">
        <f t="shared" si="276"/>
        <v>1</v>
      </c>
      <c r="CW178" t="str">
        <f t="shared" si="277"/>
        <v>2P</v>
      </c>
      <c r="CX178" t="str">
        <f>_xlfn.LET(_xlpm.cc,UPPER(TRIM(IFERROR(_xlfn.XLOOKUP(AX178,Коды_код,Коды_хар)&amp;"",""))),IF(OR(_xlpm.cc="B",_xlpm.cc="В"),"B",IF(_xlpm.cc="D","D","С")))</f>
        <v>С</v>
      </c>
      <c r="CY178" t="str">
        <f t="shared" si="278"/>
        <v>2P С16А 30мА</v>
      </c>
      <c r="CZ178">
        <f t="shared" si="279"/>
        <v>16</v>
      </c>
      <c r="DA178" t="str">
        <f t="shared" si="280"/>
        <v>2P С16А 30мА</v>
      </c>
      <c r="DB178" cm="1">
        <f t="array" ref="DB178">IF(DA178="","",_xlfn.LET(_xlpm.t,SUBSTITUTE(SUBSTITUTE(SUBSTITUTE(UPPER(DA178),"С","C"),"А","A"),"В","B"),_xlpm.tk,_xlfn.TEXTSPLIT(_xlpm.t,"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8" t="str">
        <f t="shared" si="281"/>
        <v>ok</v>
      </c>
      <c r="DD178">
        <f t="shared" si="282"/>
        <v>16</v>
      </c>
      <c r="DE178" t="str">
        <f t="shared" si="283"/>
        <v>2P С16А 30мА</v>
      </c>
      <c r="DF178">
        <f t="shared" si="284"/>
        <v>30</v>
      </c>
      <c r="DG178">
        <f t="shared" si="285"/>
        <v>1</v>
      </c>
      <c r="DH178">
        <f t="shared" si="286"/>
        <v>0</v>
      </c>
      <c r="DI178">
        <f t="shared" si="287"/>
        <v>0.27348170645824377</v>
      </c>
      <c r="DJ178">
        <f t="shared" si="288"/>
        <v>1</v>
      </c>
      <c r="DK178">
        <f>IF(ISNUMBER(AL178),AL178,К_прокл)</f>
        <v>1</v>
      </c>
      <c r="DL178">
        <f t="shared" si="289"/>
        <v>2</v>
      </c>
      <c r="DM178">
        <f>IFERROR(N(VLOOKUP(BT178,Кабель_обозначение,3,FALSE)),1)</f>
        <v>1</v>
      </c>
      <c r="DN178">
        <f>IFERROR(N(_xlfn.XLOOKUP(A178,Щиты[Щит],Щиты[ΔU до шин, %])),0)</f>
        <v>1.57</v>
      </c>
      <c r="DO178" t="str">
        <f>IFERROR(_xlfn.XLOOKUP(A178,Щиты[Щит],Щиты[Zпетли на шинах, Ом]),"")</f>
        <v/>
      </c>
      <c r="DP178">
        <f>IFERROR(N(_xlfn.XLOOKUP(A178,Щиты[Щит],Щиты[ΔU до шин (подбор), %])),0)</f>
        <v>2.5</v>
      </c>
      <c r="DQ178" t="str">
        <f>IFERROR(_xlfn.XLOOKUP(A178,Щиты[Щит],Щиты[Zпетли на шинах (подбор), Ом]),"")</f>
        <v/>
      </c>
      <c r="DR178" t="str">
        <f t="shared" si="290"/>
        <v/>
      </c>
      <c r="DS178">
        <f t="shared" si="291"/>
        <v>28</v>
      </c>
      <c r="DT178">
        <f t="shared" si="292"/>
        <v>2</v>
      </c>
      <c r="DU178">
        <f t="shared" si="293"/>
        <v>0.31</v>
      </c>
      <c r="DV178" s="6">
        <f>IF(B178="","",IF(IFERROR(VLOOKUP(AX178,УГО_спр,2,FALSE),"")="Светильник",3,4)+IF(Методика="нормы 2026",MIN(0.5,MAX(0,N(Q178)-100)*0.005),0))</f>
        <v>4</v>
      </c>
      <c r="DW178" cm="1">
        <f t="array" ref="DW178">IF(OR(B178="",BT178="",DM178&lt;&gt;1),"",_xlfn.LET(_xlpm.sz,Iдоп_S,_xlpm.t_,CHOOSE(DL178,Iдоп_1ж,Iдоп_2ж,Iдоп_3ж)*DJ178*DK178,_xlpm.inn,N(DD178),_xlpm.smin,MAX(1.5,BW178),_xlpm.L_,N(Q178)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178)*(_xlpm.rho*_xlpm.L_/_xlpm.sz*N(BY178)+_xlpm.xx*_xlpm.L_*N(DU178)/1000)*N(P178)/((Uн_лин/SQRT(3))*1000)*100,999),_xlpm.kz,IF(OR(DG178=1,NOT(ISNUMBER(DQ178)),_xlpm.L_=0,_xlpm.inn=0),1,IFERROR(--(c_min*(Uн_лин*1000/SQRT(3))/(DQ178+2*ρкз_Cu*_xlpm.L_/_xlpm.sz)&gt;=GY178*_xlpm.inn),0)),_xlpm.ok,IFERROR((_xlpm.sz&gt;=_xlpm.smin)*(_xlpm.t_&gt;=_xlpm.inn)*IF(_xlpm.L_&gt;0,(_xlpm.du_+DP178&lt;=DV178+0.00001),1)*_xlpm.kz,0),_xlpm.r_,_xlfn._xlws.FILTER(_xlpm.sz,_xlpm.ok,"не подобрано"),INDEX(_xlpm.r_,1)))</f>
        <v>1.5</v>
      </c>
      <c r="DX178">
        <f t="shared" si="294"/>
        <v>2.5</v>
      </c>
      <c r="DY178" cm="1">
        <f t="array" ref="DY178">IF(OR(B178="",BT178="",DM178&lt;&gt;1),"",_xlfn.LET(_xlpm.sz,Iдоп_S,_xlpm.t_,CHOOSE(DL178,Iдоп_1ж,Iдоп_2ж,Iдоп_3ж)*DJ178*DK178,_xlpm.ok,IFERROR((_xlpm.sz&gt;=MAX(1.5,BW178))*(_xlpm.t_&gt;=N(DD178)),0),_xlpm.r_,_xlfn._xlws.FILTER(_xlpm.sz,_xlpm.ok,""),INDEX(_xlpm.r_,1)))</f>
        <v>1.5</v>
      </c>
      <c r="DZ178" s="6" cm="1">
        <f t="array" ref="DZ178">IFERROR(ROUNDUP(N(DT178)*(_xlfn.XLOOKUP(DY178,INDEX(Кабель_сопротивление,0,1),INDEX(Кабель_сопротивление,0,3))*N(Q178)/DY178*N(BY178)+_xlfn.XLOOKUP(DY178,INDEX(Кабель_сопротивление,0,1),INDEX(Кабель_сопротивление,0,2))*N(Q178)*N(DU178)/1000)*N(P178)/((Uн_лин/SQRT(3))*1000)*100,2),"")</f>
        <v>0.11</v>
      </c>
      <c r="EA178">
        <f>IFERROR(2*ρкз_Cu*N(Q178)/DY178,"")</f>
        <v>1.0870666666666666</v>
      </c>
      <c r="EB178">
        <f>IFERROR(VLOOKUP(DX178,Кабель_сопротивление,3,FALSE),"")</f>
        <v>2.2499999999999999E-2</v>
      </c>
      <c r="EC178">
        <f>IFERROR(VLOOKUP(DX178,Кабель_сопротивление,2,FALSE),"")</f>
        <v>0.1</v>
      </c>
      <c r="ED178">
        <f t="shared" si="295"/>
        <v>7</v>
      </c>
      <c r="EE178">
        <f t="shared" si="296"/>
        <v>0</v>
      </c>
      <c r="EF178">
        <f t="shared" si="297"/>
        <v>0.14549828443332777</v>
      </c>
      <c r="EG178" s="6">
        <f>IFERROR(ROUNDUP(EF178/((Uн_лин/SQRT(3))*1000)*100,2),"")</f>
        <v>6.9999999999999993E-2</v>
      </c>
      <c r="EH178" t="str">
        <f>IFERROR(VLOOKUP(BT178,Кабель_обозначение,2,FALSE),"")</f>
        <v>ВВГнг(А)-LS</v>
      </c>
      <c r="EI178" t="str">
        <f t="shared" si="298"/>
        <v>ВВГнг(А)-LS (3х2,5)</v>
      </c>
      <c r="EJ178" t="str">
        <f t="shared" si="299"/>
        <v>ВВГнг(А)-LS (3х2,5)
L=31-0,07%</v>
      </c>
      <c r="EK178">
        <f>IFERROR(2*ρкз_Cu*Q178/DX178,"")</f>
        <v>0.65224000000000004</v>
      </c>
      <c r="EL178">
        <f t="shared" si="300"/>
        <v>0.21700000000000003</v>
      </c>
      <c r="EM178" s="6" t="str">
        <f>IFERROR(IF(OR(B178="",NOT(ISNUMBER(DX178)),N(Q178)=0),"",_xlfn.XLOOKUP(A178,Щиты[Щит],Щиты[Zпетли на шинах, Ом])+EK178),"")</f>
        <v/>
      </c>
      <c r="EN178" s="6" t="str">
        <f>IF(ISNUMBER(EM178),c_min*(Uн_лин*1000/SQRT(3))/EM178,"")</f>
        <v/>
      </c>
      <c r="EO178" s="6" t="str">
        <f>IFERROR(IF(OR(B178="",NOT(ISNUMBER(DX178))),"",1.05*(Uн_лин*1000/SQRT(3))/(_xlfn.XLOOKUP(A178,Щиты[Щит],Щиты[Zmax на шинах, Ом])+EL178)/1000),"")</f>
        <v/>
      </c>
      <c r="EP178" s="6" t="str">
        <f>IF(B178="","",IF(ISNUMBER(Y178),"Сил",IF(IFERROR(_xlfn.XLOOKUP(AX178,Коды_код,Коды_группа)&amp;"","")="","Быт",_xlfn.XLOOKUP(AX178,Коды_код,Коды_группа)&amp;"")))</f>
        <v>Быт</v>
      </c>
      <c r="EQ178" s="6" t="str">
        <f t="shared" si="301"/>
        <v>Быт</v>
      </c>
      <c r="ER178" s="6">
        <f>IF(EQ178="Щит","щит",IF(EQ178="","",IF(EQ178="Быт",IFERROR(_xlfn.XLOOKUP(A178,Щиты[Щит],Щиты[Кс быт]),1),IF(EQ178="Сил",IF(ISNUMBER(Y178),Y178,IF(Методика="нормы 2026",IFERROR(_xlfn.XLOOKUP(A178,Щиты[Щит],Щиты[Кс силовых (табл. 7.5)]),1),1)),IF(OR(EQ178="Пост",EQ178="Отоп"),1,IF(EQ178="ВНГ",0.7,0))))))</f>
        <v>0.8</v>
      </c>
      <c r="ES178">
        <f t="shared" si="302"/>
        <v>1</v>
      </c>
      <c r="ET178">
        <f t="shared" si="303"/>
        <v>0.06</v>
      </c>
      <c r="EU178">
        <f t="shared" si="304"/>
        <v>0.06</v>
      </c>
      <c r="EV178">
        <f t="shared" si="305"/>
        <v>0</v>
      </c>
      <c r="EW178">
        <f t="shared" si="306"/>
        <v>0</v>
      </c>
      <c r="EX178">
        <f t="shared" si="307"/>
        <v>0</v>
      </c>
      <c r="EY178">
        <f t="shared" si="308"/>
        <v>0</v>
      </c>
      <c r="EZ178">
        <f t="shared" si="309"/>
        <v>0.06</v>
      </c>
      <c r="FA178">
        <f t="shared" si="310"/>
        <v>5.6999999999999995E-2</v>
      </c>
      <c r="FB178">
        <f t="shared" si="311"/>
        <v>0.06</v>
      </c>
      <c r="FC178" t="str">
        <f t="shared" si="312"/>
        <v>L3</v>
      </c>
      <c r="FD178" t="str">
        <f>IF(B178="","",IF(CA178=0,IF(AW178=1,"",FF177),IF(OR(N(CV178)&gt;=3,N(BR178)&gt;=3),"L1,L2,L3",IFERROR(_xlfn.TEXTBEFORE(_xlfn.TEXTAFTER(_xlfn.XLOOKUP(A178,Щиты[Щит],Щиты[_фазы авто]),";"&amp;AW178&amp;":"),";"),"L1"))))</f>
        <v>L1</v>
      </c>
      <c r="FE178" t="str">
        <f t="shared" si="313"/>
        <v>L3</v>
      </c>
      <c r="FF178" t="str">
        <f t="shared" si="314"/>
        <v>L3</v>
      </c>
      <c r="FG178" cm="1">
        <f t="array" ref="FG178">IFERROR(IF(BX178=2,_xlfn.IFS(BR178=3,VLOOKUP(BN178,Справочная_двигатели,3,FALSE),BR178=1,VLOOKUP(BN178,Справочная_двигатели,5,TRUE)),0),0)</f>
        <v>0</v>
      </c>
      <c r="FH178">
        <f>IFERROR(IF(BX178=3,VLOOKUP(BN178,Справочная_ЛЭД,2,TRUE),0),0)</f>
        <v>0</v>
      </c>
      <c r="FI178" s="6">
        <f t="shared" si="315"/>
        <v>0</v>
      </c>
      <c r="FJ178" t="str" cm="1">
        <f t="array" ref="FJ178">IF(B178="","",IFERROR(INDEX({"I особая","I","II","III"},MATCH(TRIM(AC178&amp;""),{"I особая","I","II","III"},0)),"III"))</f>
        <v>II</v>
      </c>
      <c r="FK178" t="str">
        <f>IF(B178="","",IF(TRIM(AD178&amp;"")&lt;&gt;"",IF(LOWER(TRIM(AD178&amp;""))="да","да","нет"),IF(IFERROR(_xlfn.XLOOKUP(AX178,Коды_код,Коды_пожарная),"")="да","да","нет")))</f>
        <v>нет</v>
      </c>
      <c r="FL178" t="str">
        <f t="shared" si="316"/>
        <v/>
      </c>
      <c r="FM178" t="str">
        <f t="shared" si="317"/>
        <v>основная</v>
      </c>
      <c r="FN178">
        <f t="shared" si="318"/>
        <v>1</v>
      </c>
      <c r="FO178" t="str" cm="1">
        <f t="array" ref="FO178">IF(B178="","",_xlfn.LET(_xlpm.t,IFERROR(_xlfn.XLOOKUP(1,(Шины[Шина]=FM178)*(((Шины[Щит]=A178)+(Шины[Щит]=""))&gt;0),Шины[Тип]),"")&amp;"",IF(_xlpm.t&lt;&gt;"",_xlpm.t,IF(ISNUMBER(SEARCH("ИБП",FM178)),"ИБП",IF(ISNUMBER(SEARCH("ДГУ",FM178)),"ДГУ","Ввод "&amp;FN178)))))</f>
        <v>Ввод 1</v>
      </c>
      <c r="FP178" t="str">
        <f t="shared" si="319"/>
        <v>Ввод 1</v>
      </c>
      <c r="FQ178" t="str">
        <f>IF(B178="","",IF(OR(FO178="ИБП",FO178="ДГУ"),"I особая",IF(FO178="Одиночная","III",_xlfn.XLOOKUP(A178,Щиты[Щит],Щиты[Категория шины «Ввод»],"III"))))</f>
        <v>II</v>
      </c>
      <c r="FR178">
        <f>IF(B178="",0,IFERROR(MATCH(FJ178,{"III","II","I","I особая"},0),1))</f>
        <v>2</v>
      </c>
      <c r="FS178">
        <f t="shared" si="320"/>
        <v>2</v>
      </c>
      <c r="FT178" t="str">
        <f>IF(B178="","",IF(FR178&gt;IFERROR(MATCH(FQ178,{"III","II","I","I особая"},0),1),"НЕ ОБЕСПЕЧЕНА","ОК"))</f>
        <v>ОК</v>
      </c>
      <c r="FU178" t="str">
        <f>IF(A178="","",_xlfn.XLOOKUP(A178,Щиты[Щит],Щиты[Путь],""))</f>
        <v>|ГРЩ-ЖД|ЩР-001|</v>
      </c>
      <c r="FV178" t="str">
        <f>IF(B178="","",IF(AE178&lt;&gt;"",AE178,IF(IFERROR(_xlfn.XLOOKUP(AX178,Коды_код,Коды_вид)&amp;"","")="","Прочее",_xlfn.XLOOKUP(AX178,Коды_код,Коды_вид)&amp;"")))</f>
        <v>Розеточная сеть и бытовые приборы</v>
      </c>
      <c r="FW178">
        <f>IF(BH178="","",INT((BH178-1)/Столбцов_на_лист)+1)</f>
        <v>3</v>
      </c>
      <c r="FX178" t="str">
        <f t="shared" si="321"/>
        <v>ВВГнг(А)-LS (3х2,5) L=31-0,07%</v>
      </c>
      <c r="FY178">
        <f t="shared" si="322"/>
        <v>0.06</v>
      </c>
      <c r="FZ178">
        <f t="shared" si="323"/>
        <v>0.28000000000000003</v>
      </c>
      <c r="GA178">
        <f t="shared" si="324"/>
        <v>1</v>
      </c>
      <c r="GB178">
        <f t="shared" si="325"/>
        <v>0</v>
      </c>
      <c r="GC178">
        <f t="shared" si="326"/>
        <v>1</v>
      </c>
      <c r="GD178">
        <f>IF(BH178="","",IF(AND(CA178=1,GC178=1),COUNTIFS(A$3:A178,A178,CA$3:CA178,1,GC$3:GC178,1),IF(OR(OR(AW178=1,A178&lt;&gt;A177),AF178="вручную",GC178=0),"",IF(AW178=1,"",GE177))))</f>
        <v>24</v>
      </c>
      <c r="GE178">
        <f t="shared" si="327"/>
        <v>24</v>
      </c>
      <c r="GF178">
        <f>IF(B178="","",IFERROR(LOOKUP(INDEX(CHOOSE(DL178,Iдоп_1ж,Iдоп_2ж,Iдоп_3ж),MATCH(DX178,Iдоп_S,0))*DJ178*DK178,{6,10,16,20,25,32,40,50,63,80,100,125,160,200,250,315,400,500,630}),""))</f>
        <v>25</v>
      </c>
      <c r="GG178" t="str">
        <f t="shared" si="328"/>
        <v>QFD24</v>
      </c>
      <c r="GH178" t="str">
        <f t="shared" si="329"/>
        <v>QFD24</v>
      </c>
      <c r="GI178" t="str">
        <f t="shared" si="330"/>
        <v/>
      </c>
      <c r="GJ178">
        <f t="shared" si="331"/>
        <v>0</v>
      </c>
      <c r="GK178" t="str">
        <f>IF(OR(AG178="",AG178="-"),"",IFERROR(VLOOKUP(AG178,Модули_спр,2,FALSE),"R"))</f>
        <v/>
      </c>
      <c r="GL178" t="str">
        <f>IF(GK178="","",GK178&amp;"."&amp;COUNTIFS(A$3:A178,A178,GK$3:GK178,GK178))</f>
        <v/>
      </c>
      <c r="GM178" t="str">
        <f t="shared" si="332"/>
        <v/>
      </c>
      <c r="GN178" t="str">
        <f t="shared" si="333"/>
        <v/>
      </c>
      <c r="GO178" t="str">
        <f t="shared" si="334"/>
        <v/>
      </c>
      <c r="GP178" t="str">
        <f t="shared" si="335"/>
        <v/>
      </c>
      <c r="GQ178">
        <f t="shared" si="336"/>
        <v>1</v>
      </c>
      <c r="GR178" t="str">
        <f>IF(GQ178=1,"XT"&amp;COUNTIFS(A$3:A178,A178,GQ$3:GQ178,1),"")</f>
        <v>XT24</v>
      </c>
      <c r="GS178" t="str">
        <f t="shared" si="337"/>
        <v/>
      </c>
      <c r="GT178" t="str">
        <f t="shared" si="338"/>
        <v>QFD24</v>
      </c>
      <c r="GU178" t="str">
        <f t="shared" si="339"/>
        <v/>
      </c>
      <c r="GV178" t="str">
        <f t="shared" si="340"/>
        <v>ok</v>
      </c>
      <c r="GW178" t="str">
        <f>IF(OR(GO178="",GM178=""),"",IF(GO178&gt;IFERROR(VLOOKUP(GN178,Модули_спр,3,FALSE),99),"ЛИШНИЙ КАНАЛ",IF(AND(AH178&lt;&gt;"=",COUNTIFS(Линии[_модуль гр.],GM178,Линии[Канал (итог)],GO178,Линии[Канал],"&lt;&gt;=",Линии[Щит],A178)&gt;1),"ДУБЛЬ КАНАЛА","")))</f>
        <v/>
      </c>
      <c r="GX178" s="6" t="str">
        <f t="shared" si="341"/>
        <v/>
      </c>
      <c r="GY178">
        <f t="shared" si="342"/>
        <v>10</v>
      </c>
      <c r="GZ178" t="str">
        <f t="shared" si="343"/>
        <v/>
      </c>
      <c r="HA178" t="str">
        <f>IF(AND(B178="",GT178=""),"",_xlfn.TEXTJOIN("; ",TRUE,IF(AND(B178&lt;&gt;"",FE178=""),"нет фазы",""),IF(AND(B178&lt;&gt;"",N(FY178)=0,EQ178&lt;&gt;"Нет"),"нет мощности",""),IF(AND(GS178&lt;&gt;"",COUNTIFS(Линии[Щит],A178,Линии[Клемма (итог)],GS178)&gt;1),"дубль клеммы "&amp;GS178,""),IF(AND(GV178&lt;&gt;"",GV178&lt;&gt;"ok"),GV178,""),IF(GW178&lt;&gt;"",GW178,""),IF(AND(N(BV178)&gt;=4,N(BR178)=1),BV178&amp;" жил на 1 фазе",""),IF(AND(AX178="R",CA178=1,OR(N(CK178)=0,N(CK178)&gt;30)),"розетка без дифзащиты до 30 мА",""),IFERROR(IF(AND(ISNUMBER(R178),R178&gt;DV178),"потери "&amp;FIXED(R178,1)&amp;" % &gt; "&amp;DV178&amp;" %",""),""),IFERROR(IF(LEFT(GZ178,4)="мало","Iкз мало — отключение &gt; 0,4 с",""),""),IF(AND(B178&lt;&gt;"",BH178=""),"не на схеме",""),IF(AND(CA178=0,B178&lt;&gt;"",FE178&lt;&gt;"",IF(AW178=1,"",FF177)&lt;&gt;"",FE178&lt;&gt;IF(AW178=1,"",FF177)),"фаза не как у автомата группы ("&amp;IF(AW178=1,"",FF177)&amp;")","")))</f>
        <v/>
      </c>
      <c r="HB178" s="6">
        <f>IF(OR(CA178=0,DA178=""),"",_xlfn.LET(_xlpm.t,IFERROR(_xlfn.XLOOKUP(DA178,Каталог!$U$4:$U$500,Каталог!$G$4:$G$500),""),_xlpm.k,SEARCH("кА",_xlpm.t),IFERROR(--TRIM(RIGHT(SUBSTITUTE(MID(_xlpm.t,MAX(1,_xlpm.k-4),_xlpm.k-MAX(1,_xlpm.k-4))," ",REPT(" ",9)),5)),"")))</f>
        <v>6</v>
      </c>
      <c r="HC178" t="str">
        <f>IF(OR(HB178="",CA178=0),"",IF(_xlfn.XLOOKUP(A178,Щиты[Щит],Щиты[Iкз max на шинах, кА],"")="","",IF(HB178&lt;_xlfn.XLOOKUP(A178,Щиты[Щит],Щиты[Iкз max на шинах, кА]),"Icu "&amp;HB178&amp;" кА &lt; Iкз max","ok")))</f>
        <v/>
      </c>
      <c r="HD178" t="str">
        <f t="shared" si="344"/>
        <v/>
      </c>
      <c r="HE178" t="str">
        <f t="shared" si="345"/>
        <v>QFD24</v>
      </c>
      <c r="HF178" t="str">
        <f t="shared" si="346"/>
        <v>QFD24|кабель ВВГнг(А)-LS (3х2,5) → Розеточная группа, пом. 002Б</v>
      </c>
      <c r="HG178" t="str" cm="1">
        <f t="array" ref="HG178">IF(HF178="","",_xlfn.LET(_xlpm.nd,_xlfn.TEXTSPLIT(HF178,"|"),IF(COLUMNS(_xlpm.nd)&gt;1,A178&amp;"¦"&amp;INDEX(_xlpm.nd,1)&amp;"¦"&amp;INDEX(_xlpm.nd,2),"")))</f>
        <v>ЩР-001¦QFD24¦кабель ВВГнг(А)-LS (3х2,5) → Розеточная группа, пом. 002Б</v>
      </c>
      <c r="HH178" t="str">
        <f t="shared" si="347"/>
        <v>R.00.002Б.1¦Розеточная группа, пом. 002Б</v>
      </c>
      <c r="HI178" t="str" cm="1">
        <f t="array" ref="HI178">IF(HF178="","",_xlfn.LET(_xlpm.nd,_xlfn.TEXTSPLIT(HF178,"|"),IF(COLUMNS(_xlpm.nd)&gt;2,A178&amp;"¦"&amp;INDEX(_xlpm.nd,2)&amp;"¦"&amp;INDEX(_xlpm.nd,3),"")))</f>
        <v/>
      </c>
      <c r="HJ178" t="str">
        <f t="shared" si="348"/>
        <v/>
      </c>
      <c r="HK178" t="str" cm="1">
        <f t="array" ref="HK178">IF(HF178="","",_xlfn.LET(_xlpm.nd,_xlfn.TEXTSPLIT(HF178,"|"),IF(COLUMNS(_xlpm.nd)&gt;3,A178&amp;"¦"&amp;INDEX(_xlpm.nd,3)&amp;"¦"&amp;INDEX(_xlpm.nd,4),"")))</f>
        <v/>
      </c>
      <c r="HL178" t="str">
        <f t="shared" si="349"/>
        <v/>
      </c>
      <c r="HM178" t="str" cm="1">
        <f t="array" ref="HM178">IF(HF178="","",_xlfn.LET(_xlpm.nd,_xlfn.TEXTSPLIT(HF178,"|"),IF(COLUMNS(_xlpm.nd)&gt;4,A178&amp;"¦"&amp;INDEX(_xlpm.nd,4)&amp;"¦"&amp;INDEX(_xlpm.nd,5),"")))</f>
        <v/>
      </c>
      <c r="HN178" t="str">
        <f t="shared" si="350"/>
        <v/>
      </c>
      <c r="HO178" t="str" cm="1">
        <f t="array" ref="HO178">IF(HF178="","",_xlfn.LET(_xlpm.nd,_xlfn.TEXTSPLIT(HF178,"|"),IF(COLUMNS(_xlpm.nd)&gt;5,A178&amp;"¦"&amp;INDEX(_xlpm.nd,5)&amp;"¦"&amp;INDEX(_xlpm.nd,6),"")))</f>
        <v/>
      </c>
      <c r="HP178" t="str">
        <f t="shared" si="351"/>
        <v/>
      </c>
      <c r="HQ178" t="str" cm="1">
        <f t="array" ref="HQ178">IF(HF178="","",_xlfn.LET(_xlpm.nd,_xlfn.TEXTSPLIT(HF178,"|"),IF(COLUMNS(_xlpm.nd)&gt;6,A178&amp;"¦"&amp;INDEX(_xlpm.nd,6)&amp;"¦"&amp;INDEX(_xlpm.nd,7),"")))</f>
        <v/>
      </c>
      <c r="HR178" t="str">
        <f t="shared" si="352"/>
        <v/>
      </c>
      <c r="HS178" t="str">
        <f t="shared" si="353"/>
        <v/>
      </c>
      <c r="HT178" t="str">
        <f t="shared" si="354"/>
        <v>QFD24</v>
      </c>
      <c r="HU178">
        <f t="shared" si="355"/>
        <v>0</v>
      </c>
      <c r="HV178">
        <f t="shared" si="356"/>
        <v>1</v>
      </c>
      <c r="HW178" t="str">
        <f t="shared" si="357"/>
        <v/>
      </c>
      <c r="HX178" t="str">
        <f t="shared" si="358"/>
        <v/>
      </c>
      <c r="HY178" t="str">
        <f t="shared" si="359"/>
        <v/>
      </c>
      <c r="HZ178" t="str">
        <f t="shared" si="360"/>
        <v/>
      </c>
      <c r="IA178" t="str">
        <f>IF(B178="","",IFERROR(VLOOKUP(B178,УГО_спр,2,FALSE),IFERROR(VLOOKUP(AX178,УГО_спр,2,FALSE),IFERROR(VLOOKUP(LEFT(AX178,2),УГО_спр,2,FALSE),""))))</f>
        <v>Розетка</v>
      </c>
      <c r="IB178" t="str">
        <f>IF(B178="","",IF(OR(IA178="",IA178=0),"BOX",IFERROR(IF(VLOOKUP(IA178,УГО_блоки,3,FALSE)&amp;""&lt;&gt;"",VLOOKUP(IA178,УГО_блоки,3,FALSE),VLOOKUP(IA178,УГО_блоки,2,FALSE)),IA178)))</f>
        <v>SOCKET</v>
      </c>
      <c r="IC178">
        <f t="shared" si="361"/>
        <v>1</v>
      </c>
      <c r="ID178" t="str">
        <f>IF(DA178="","",IF(COUNTIF(DA$3:DA178,DA178)=1,MAX(ID$2:ID177)+1,""))</f>
        <v/>
      </c>
      <c r="IE178" t="str">
        <f>IF(CO178="","",IF(COUNTIF(CO$3:CO178,CO178)+COUNTIF(CP$2:CP177,CO178)+COUNTIF(CQ$2:CQ177,CO178)=1,MAX(IE$2:IG177)+1,""))</f>
        <v/>
      </c>
      <c r="IF178" t="str">
        <f>IF(CP178="","",IF(COUNTIF(CO$3:CO178,CP178)+COUNTIF(CP$3:CP178,CP178)+COUNTIF(CQ$2:CQ177,CP178)=1,MAX(IE$2:IG177,IE178)+1,""))</f>
        <v/>
      </c>
      <c r="IG178" t="str">
        <f>IF(CQ178="","",IF(COUNTIF(CO$3:CO178,CQ178)+COUNTIF(CP$3:CP178,CQ178)+COUNTIF(CQ$3:CQ178,CQ178)=1,MAX(IE$2:IG177,IE178,IF178)+1,""))</f>
        <v/>
      </c>
      <c r="IH178" t="str">
        <f t="shared" si="362"/>
        <v>3х2,5</v>
      </c>
      <c r="II178" t="str">
        <f>IF(IH178="","",IF(COUNTIF(IH$3:IH178,IH178)=1,MAX(II$2:II177)+1,""))</f>
        <v/>
      </c>
      <c r="IJ178" t="str">
        <f>IF(GL178="","",COUNTIF(GL$3:GL178,"?*"))</f>
        <v/>
      </c>
      <c r="IK178" t="str">
        <f>IF(OR(GL178="",GN178=""),"",IF(COUNTIFS(GL$3:GL178,"?*",GN$3:GN178,GN178)=1,MAX(IK$2:IK177)+1,""))</f>
        <v/>
      </c>
      <c r="IL178">
        <f t="shared" si="363"/>
        <v>0</v>
      </c>
      <c r="IM178">
        <f>IF(B178="","",COUNTIF(B$3:B178,"?*"))</f>
        <v>176</v>
      </c>
      <c r="IN178">
        <f>IF(GQ178&lt;&gt;1,0,_xlfn.LET(_xlpm.k,MAX(IFERROR(--VLOOKUP(B178,УГО_спр,5,FALSE),0),IFERROR(--VLOOKUP(AX178,УГО_спр,5,FALSE),0),IFERROR(--VLOOKUP(LEFT(AX178,2),УГО_спр,5,FALSE),0)),IF(_xlpm.k&gt;0,_xlpm.k,IF(IFERROR(--LEFT(SUBSTITUTE(IH178,"x","х"),FIND("х",SUBSTITUTE(IH178,"x","х"))-1),3)&gt;3,Каталог!$S$9,1))))</f>
        <v>1</v>
      </c>
      <c r="IO178">
        <f t="shared" si="364"/>
        <v>0</v>
      </c>
      <c r="IP178" t="str">
        <f t="shared" si="365"/>
        <v>авто</v>
      </c>
      <c r="IQ178">
        <f t="shared" si="366"/>
        <v>30</v>
      </c>
      <c r="IR178">
        <f t="shared" si="367"/>
        <v>1</v>
      </c>
      <c r="IS178">
        <f t="shared" si="368"/>
        <v>1</v>
      </c>
    </row>
    <row r="179" spans="1:253" x14ac:dyDescent="0.3">
      <c r="A179" t="s">
        <v>755</v>
      </c>
      <c r="B179" t="s">
        <v>1446</v>
      </c>
      <c r="C179" t="s">
        <v>1651</v>
      </c>
      <c r="D179">
        <v>1</v>
      </c>
      <c r="E179">
        <v>0.6</v>
      </c>
      <c r="G179">
        <v>16</v>
      </c>
      <c r="H179" t="str">
        <f>Линии[[#This Row],[_авто утечка]]</f>
        <v/>
      </c>
      <c r="I179" t="str">
        <f>Линии[[#This Row],[_авто управление]]</f>
        <v/>
      </c>
      <c r="J179" t="str">
        <f>Линии[[#This Row],[_авто аппараты]]</f>
        <v/>
      </c>
      <c r="K179">
        <v>2.5</v>
      </c>
      <c r="L179">
        <v>36</v>
      </c>
      <c r="M179">
        <v>3</v>
      </c>
      <c r="N179" t="str">
        <f>Линии[[#This Row],[_авто клемма]]</f>
        <v>XT25</v>
      </c>
      <c r="O179" t="str">
        <f t="shared" si="246"/>
        <v/>
      </c>
      <c r="P179" s="6" cm="1">
        <f t="array" ref="P179">IF(B179="","",IF(BC179&lt;&gt;"",IFERROR(_xlfn.XLOOKUP(BC179,Щиты[Щит],Щиты[Iр, А]),""),IF(BK179=1,IFERROR(_xlfn.XLOOKUP(A179,Щиты[Щит],Щиты[Iр, А]),""),IFERROR(_xlfn.IFS(BR179=1,BN179/((Uн_лин/SQRT(3))*BY179),BR179=3,BN179/(SQRT(3)*Uн_лин*BY179)),""))))</f>
        <v>2.7348170645824377</v>
      </c>
      <c r="Q179" s="7">
        <f>IF(B179="","",IFERROR(IF(VLOOKUP(AX179,Потребители_обозначение,4,FALSE)=1,VLOOKUP(AX179,Потребители_обозначение,3,FALSE)*(D179*2-1)+DS179+VLOOKUP(AZ179,Этаж_обозначение,3,FALSE)+VLOOKUP(AZ179,Этаж_обозначение,4,FALSE),VLOOKUP(AX179,Потребители_обозначение,3,FALSE)*(D179*2-1)+DS179),DS179))</f>
        <v>36</v>
      </c>
      <c r="R179" s="6">
        <f t="shared" si="247"/>
        <v>2.31</v>
      </c>
      <c r="S179" t="str">
        <f t="shared" si="248"/>
        <v>ВВГнг(А)-LS (3х2,5)</v>
      </c>
      <c r="T179" t="str">
        <f>IF(BH179="","",IF(BI179="вводной узел","узел ","")&amp;"л."&amp;(INT((BH179-1)/Столбцов_на_лист)+1)&amp;" / "&amp;(MOD(BH179-1,Столбцов_на_лист)+1))</f>
        <v>л.3 / 12</v>
      </c>
      <c r="V179">
        <v>1</v>
      </c>
      <c r="W179">
        <v>230</v>
      </c>
      <c r="X179" t="s">
        <v>575</v>
      </c>
      <c r="AC179" t="s">
        <v>815</v>
      </c>
      <c r="AE179" t="s">
        <v>574</v>
      </c>
      <c r="AI179">
        <v>46</v>
      </c>
      <c r="AJ179" t="s">
        <v>11</v>
      </c>
      <c r="AK179">
        <v>3</v>
      </c>
      <c r="AM179">
        <v>17</v>
      </c>
      <c r="AN179">
        <v>11</v>
      </c>
      <c r="AW179" cm="1">
        <f t="array" ref="AW179">ROW()-ROW(Линии[#Headers])</f>
        <v>177</v>
      </c>
      <c r="AX179" s="6" t="str">
        <f t="shared" si="249"/>
        <v>ШТК-0</v>
      </c>
      <c r="AY179" t="str">
        <f t="shared" si="250"/>
        <v/>
      </c>
      <c r="AZ179" t="str">
        <f t="shared" si="251"/>
        <v/>
      </c>
      <c r="BA179" t="str">
        <f t="shared" si="252"/>
        <v/>
      </c>
      <c r="BB179" t="str">
        <f t="shared" si="253"/>
        <v/>
      </c>
      <c r="BC179" t="str">
        <f>IF(U179&lt;&gt;"",U179,IF(AND(B179&lt;&gt;"",B179&lt;&gt;A179,ISNUMBER(_xlfn.XMATCH(B179,Щиты[Щит]))),B179,""))</f>
        <v/>
      </c>
      <c r="BD179" t="str" cm="1">
        <f t="array" ref="BD179">IF(B179="","",IF(BC179&lt;&gt;"","Щит "&amp;BC179,_xlfn.LET(_xlpm.nm,IFERROR(_xlfn.XLOOKUP(AX179,Коды_код,Коды_имя)&amp;"",""),_xlpm.md,IFERROR(N(_xlfn.XLOOKUP(AX179,Коды_код,Коды_режим)),1),_xlpm.ex,IF(Имя_режим="по экспликации",IFERROR(_xlfn.XLOOKUP(AZ179&amp;"|"&amp;BB179,Экспликация[Этаж]&amp;"|"&amp;Экспликация[Помещение],Экспликация[Название])&amp;"",""),""),_xlpm.rm,IF(BB179="","",IF(_xlpm.ex&lt;&gt;"",". "&amp;_xlpm.ex&amp;IF(Имя_пом="нет"," ("&amp;BB179&amp;")"," (пом. "&amp;BB179&amp;")"),IF(Имя_пом="нет"," ",", пом. ")&amp;BB179)),IF(_xlpm.nm="","",IF(_xlpm.md=2,_xlpm.nm&amp;" шлейф "&amp;AZ179,_xlpm.nm&amp;_xlpm.rm)))))</f>
        <v/>
      </c>
      <c r="BE179" t="str">
        <f t="shared" si="254"/>
        <v>Шкаф телекоммуникационный ШТК-0 Подвальный этаж Пом. №007Т</v>
      </c>
      <c r="BF179">
        <f>IFERROR(_xlfn.XMATCH(A179,Щиты[Щит]),0)</f>
        <v>8</v>
      </c>
      <c r="BG179">
        <f>_xlfn.LET(_xlpm.k,IFERROR(_xlfn.XLOOKUP(A179,Щиты[Щит],Щиты[Листов под вводной узел]),""),IF(_xlpm.k="",1,N(_xlpm.k))*Столбцов_на_лист)</f>
        <v>17</v>
      </c>
      <c r="BH179">
        <f t="shared" si="255"/>
        <v>46</v>
      </c>
      <c r="BI179" t="str">
        <f t="shared" si="256"/>
        <v>линии</v>
      </c>
      <c r="BJ179" s="6">
        <f>IFERROR(N(_xlfn.XLOOKUP(AX179,Коды_код,Коды_квт)),0)</f>
        <v>0</v>
      </c>
      <c r="BK179">
        <f t="shared" si="257"/>
        <v>0</v>
      </c>
      <c r="BL179" t="str">
        <f>IF(B179="","",IF(BC179&lt;&gt;"",IFERROR(_xlfn.XLOOKUP(BC179,Щиты[Щит],Щиты[Руст, кВт]),0),IF(BK179=1,IFERROR(_xlfn.XLOOKUP(A179,Щиты[Щит],Щиты[Руст, кВт]),0),IF(BJ179&gt;0,ROUND(BJ179*MAX(1,N(D179)),3),""))))</f>
        <v/>
      </c>
      <c r="BM179">
        <f t="shared" si="258"/>
        <v>0.6</v>
      </c>
      <c r="BN179" s="6">
        <f>IF(B179="","",IF(BC179&lt;&gt;"",IFERROR(_xlfn.XLOOKUP(BC179,Щиты[Щит],Щиты[Руст, кВт]),0),N(BM179)))</f>
        <v>0.6</v>
      </c>
      <c r="BO179" t="str">
        <f>IF(B179="","",IFERROR(IF(VLOOKUP(AX179,Потребители_обозначение,8,FALSE)=0,"",VLOOKUP(AX179,Потребители_обозначение,8,FALSE)),""))</f>
        <v/>
      </c>
      <c r="BP179">
        <f t="shared" si="259"/>
        <v>230</v>
      </c>
      <c r="BQ179">
        <f>IF(B179="","",IF(BC179&lt;&gt;"",3,IFERROR(IF(N(VLOOKUP(AX179,Потребители_обозначение,9,FALSE))=0,1,VLOOKUP(AX179,Потребители_обозначение,9,FALSE)),1)))</f>
        <v>1</v>
      </c>
      <c r="BR179">
        <f t="shared" si="260"/>
        <v>1</v>
      </c>
      <c r="BS179" t="str">
        <f>IF(B179="","",_xlfn.LET(_xlpm.bc,IFERROR(IF(VLOOKUP(AX179,Потребители_обозначение,6,FALSE)=0,"",VLOOKUP(AX179,Потребители_обозначение,6,FALSE)&amp;""),""),IF(AND(FK179="да",OR(_xlpm.bc="",_xlpm.bc="мс")),Марка_пож,IF(AND(_xlpm.bc="",BC179&lt;&gt;""),"мс",_xlpm.bc))))</f>
        <v/>
      </c>
      <c r="BT179" t="str">
        <f t="shared" si="261"/>
        <v>мс</v>
      </c>
      <c r="BU179">
        <f>IF(B179="","",_xlfn.LET(_xlpm.cc,IFERROR(N(VLOOKUP(AX179,Потребители_обозначение,7,FALSE)),0),IF(_xlpm.cc&gt;0,_xlpm.cc,IF(BT179="","",IF(N(BR179)=3,5,3)))))</f>
        <v>3</v>
      </c>
      <c r="BV179">
        <f t="shared" si="262"/>
        <v>3</v>
      </c>
      <c r="BW179">
        <f>IFERROR(N(VLOOKUP(AX179,Потребители_обозначение,10,FALSE)),0)</f>
        <v>0</v>
      </c>
      <c r="BX179">
        <f>IFERROR(VLOOKUP(AX179,Потребители_обозначение,5,FALSE),0)</f>
        <v>0</v>
      </c>
      <c r="BY179" s="6" cm="1">
        <f t="array" ref="BY179">IF(B179="","",IF(BC179&lt;&gt;"",IFERROR(_xlfn.XLOOKUP(BC179,Щиты[Щит],Щиты[cos φ]),0.95),IF(BK179=1,IFERROR(_xlfn.XLOOKUP(A179,Щиты[Щит],Щиты[cos φ]),0.95),IF(ISNUMBER(Z179),Z179,IFERROR(IF(BX179=2,_xlfn.IFS(BR179=3,VLOOKUP(BN179,Справочная_двигатели,8,FALSE),BR179=1,VLOOKUP(BN179,Справочная_двигатели,10,TRUE)),IF(AND(Методика="нормы 2026",EQ179="Сил"),0.8,0.95)),0.95)))))</f>
        <v>0.95</v>
      </c>
      <c r="BZ179">
        <f t="shared" si="263"/>
        <v>0</v>
      </c>
      <c r="CA179">
        <f t="shared" si="264"/>
        <v>1</v>
      </c>
      <c r="CB179">
        <f t="shared" si="265"/>
        <v>0</v>
      </c>
      <c r="CC179">
        <f t="shared" si="266"/>
        <v>0</v>
      </c>
      <c r="CD179">
        <f t="shared" si="267"/>
        <v>0</v>
      </c>
      <c r="CE179">
        <f t="shared" si="268"/>
        <v>0</v>
      </c>
      <c r="CF179">
        <f t="shared" si="269"/>
        <v>0</v>
      </c>
      <c r="CG179">
        <f>IF(AX179="",0,_xlfn.LET(_xlpm.v,IFERROR(VLOOKUP(B179,УГО_спр,3,FALSE),IFERROR(VLOOKUP(AX179,УГО_спр,3,FALSE),IFERROR(VLOOKUP(LEFT(AX179,2),УГО_спр,3,FALSE),""))),IF(_xlpm.v="да",30,IF(ISNUMBER(_xlpm.v),_xlpm.v,0))))</f>
        <v>0</v>
      </c>
      <c r="CH179" t="str">
        <f t="shared" si="270"/>
        <v/>
      </c>
      <c r="CI179" t="str">
        <f>_xlfn.LET(_xlpm.k,IFERROR(_xlfn.XLOOKUP(AX179,Коды_код,Коды_утечка)&amp;"",""),IF(_xlpm.k="","дифавтомат",_xlpm.k))</f>
        <v>дифавтомат</v>
      </c>
      <c r="CJ179">
        <f t="shared" si="271"/>
        <v>0</v>
      </c>
      <c r="CK179">
        <f t="shared" si="272"/>
        <v>0</v>
      </c>
      <c r="CL179">
        <f>IF(B179="",0,IFERROR(--VLOOKUP(B179,УГО_спр,4,FALSE),IFERROR(--VLOOKUP(AX179,УГО_спр,4,FALSE),IFERROR(--VLOOKUP(LEFT(AX179,2),УГО_спр,4,FALSE),0))))</f>
        <v>0</v>
      </c>
      <c r="CM179" t="str">
        <f>IF(B179="","",IFERROR(_xlfn.XLOOKUP(AX179,Коды_код,Коды_апп)&amp;"",""))</f>
        <v/>
      </c>
      <c r="CN179" t="str">
        <f t="shared" si="273"/>
        <v/>
      </c>
      <c r="CO179" t="str" cm="1">
        <f t="array" ref="CO179">IF(TRIM(CN179&amp;"")="","",IFERROR(TRIM(INDEX(_xlfn.TEXTSPLIT(CN179&amp;";;;",";"),1)),""))</f>
        <v/>
      </c>
      <c r="CP179" t="str" cm="1">
        <f t="array" ref="CP179">IF(TRIM(CN179&amp;"")="","",IFERROR(TRIM(INDEX(_xlfn.TEXTSPLIT(CN179&amp;";;;",";"),2)),""))</f>
        <v/>
      </c>
      <c r="CQ179" t="str" cm="1">
        <f t="array" ref="CQ179">IF(TRIM(CN179&amp;"")="","",IFERROR(TRIM(INDEX(_xlfn.TEXTSPLIT(CN179&amp;";;;",";"),3)),""))</f>
        <v/>
      </c>
      <c r="CR179">
        <f t="shared" si="274"/>
        <v>0</v>
      </c>
      <c r="CS179" t="str">
        <f>IF(B179="","",_xlfn.LET(_xlpm.t,LOWER(AV179&amp;""),IF(ISNUMBER(SEARCH("dim",_xlpm.t)),"DIM",IF(ISNUMBER(SEARCH("dali",_xlpm.t)),"DALI",IF(OR(ISNUMBER(SEARCH("relay",_xlpm.t)),ISNUMBER(SEARCH("реле",_xlpm.t))),"Relay",IF(ISNUMBER(SEARCH("кнопк",_xlpm.t)),"",IFERROR(_xlfn.XLOOKUP(AX179,Коды_код,Коды_упр)&amp;"","")))))))</f>
        <v/>
      </c>
      <c r="CT179" t="str">
        <f t="shared" si="275"/>
        <v/>
      </c>
      <c r="CU179">
        <f>IF(B179="","",_xlfn.LET(_xlpm.ig,N(P179)+IF(AF179="вручную",0,N(CB179)),_xlpm.n0,IFERROR(VLOOKUP(_xlpm.ig,Автомат_номиналы,2,TRUE),0),_xlpm.mn,MAX(CL179,IF(AF179="вручную",0,N(CE179))),MAX(_xlpm.n0,_xlpm.mn,IF(CR179=1,Мин_автомат_БП,0))))</f>
        <v>6</v>
      </c>
      <c r="CV179">
        <f t="shared" si="276"/>
        <v>1</v>
      </c>
      <c r="CW179" t="str">
        <f t="shared" si="277"/>
        <v>1P</v>
      </c>
      <c r="CX179" t="str">
        <f>_xlfn.LET(_xlpm.cc,UPPER(TRIM(IFERROR(_xlfn.XLOOKUP(AX179,Коды_код,Коды_хар)&amp;"",""))),IF(OR(_xlpm.cc="B",_xlpm.cc="В"),"B",IF(_xlpm.cc="D","D","С")))</f>
        <v>С</v>
      </c>
      <c r="CY179" t="str">
        <f t="shared" si="278"/>
        <v>1P С6А</v>
      </c>
      <c r="CZ179">
        <f t="shared" si="279"/>
        <v>16</v>
      </c>
      <c r="DA179" t="str">
        <f t="shared" si="280"/>
        <v>1P С16А</v>
      </c>
      <c r="DB179" cm="1">
        <f t="array" ref="DB179">IF(DA179="","",_xlfn.LET(_xlpm.t,SUBSTITUTE(SUBSTITUTE(SUBSTITUTE(UPPER(DA179),"С","C"),"А","A"),"В","B"),_xlpm.tk,_xlfn.TEXTSPLIT(_xlpm.t,"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9" t="str">
        <f t="shared" si="281"/>
        <v>ok</v>
      </c>
      <c r="DD179">
        <f t="shared" si="282"/>
        <v>16</v>
      </c>
      <c r="DE179" t="str">
        <f t="shared" si="283"/>
        <v>1P С16А</v>
      </c>
      <c r="DF179">
        <f t="shared" si="284"/>
        <v>0</v>
      </c>
      <c r="DG179">
        <f t="shared" si="285"/>
        <v>0</v>
      </c>
      <c r="DH179">
        <f t="shared" si="286"/>
        <v>0</v>
      </c>
      <c r="DI179">
        <f t="shared" si="287"/>
        <v>2.7348170645824377</v>
      </c>
      <c r="DJ179">
        <f t="shared" si="288"/>
        <v>1</v>
      </c>
      <c r="DK179">
        <f>IF(ISNUMBER(AL179),AL179,К_прокл)</f>
        <v>1</v>
      </c>
      <c r="DL179">
        <f t="shared" si="289"/>
        <v>2</v>
      </c>
      <c r="DM179">
        <f>IFERROR(N(VLOOKUP(BT179,Кабель_обозначение,3,FALSE)),1)</f>
        <v>1</v>
      </c>
      <c r="DN179">
        <f>IFERROR(N(_xlfn.XLOOKUP(A179,Щиты[Щит],Щиты[ΔU до шин, %])),0)</f>
        <v>1.57</v>
      </c>
      <c r="DO179" t="str">
        <f>IFERROR(_xlfn.XLOOKUP(A179,Щиты[Щит],Щиты[Zпетли на шинах, Ом]),"")</f>
        <v/>
      </c>
      <c r="DP179">
        <f>IFERROR(N(_xlfn.XLOOKUP(A179,Щиты[Щит],Щиты[ΔU до шин (подбор), %])),0)</f>
        <v>2.5</v>
      </c>
      <c r="DQ179" t="str">
        <f>IFERROR(_xlfn.XLOOKUP(A179,Щиты[Щит],Щиты[Zпетли на шинах (подбор), Ом]),"")</f>
        <v/>
      </c>
      <c r="DR179" t="str">
        <f t="shared" si="290"/>
        <v/>
      </c>
      <c r="DS179">
        <f t="shared" si="291"/>
        <v>36</v>
      </c>
      <c r="DT179">
        <f t="shared" si="292"/>
        <v>2</v>
      </c>
      <c r="DU179">
        <f t="shared" si="293"/>
        <v>0.31</v>
      </c>
      <c r="DV179" s="6">
        <f>IF(B179="","",IF(IFERROR(VLOOKUP(AX179,УГО_спр,2,FALSE),"")="Светильник",3,4)+IF(Методика="нормы 2026",MIN(0.5,MAX(0,N(Q179)-100)*0.005),0))</f>
        <v>4</v>
      </c>
      <c r="DW179" cm="1">
        <f t="array" ref="DW179">IF(OR(B179="",BT179="",DM179&lt;&gt;1),"",_xlfn.LET(_xlpm.sz,Iдоп_S,_xlpm.t_,CHOOSE(DL179,Iдоп_1ж,Iдоп_2ж,Iдоп_3ж)*DJ179*DK179,_xlpm.inn,N(DD179),_xlpm.smin,MAX(1.5,BW179),_xlpm.L_,N(Q179)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179)*(_xlpm.rho*_xlpm.L_/_xlpm.sz*N(BY179)+_xlpm.xx*_xlpm.L_*N(DU179)/1000)*N(P179)/((Uн_лин/SQRT(3))*1000)*100,999),_xlpm.kz,IF(OR(DG179=1,NOT(ISNUMBER(DQ179)),_xlpm.L_=0,_xlpm.inn=0),1,IFERROR(--(c_min*(Uн_лин*1000/SQRT(3))/(DQ179+2*ρкз_Cu*_xlpm.L_/_xlpm.sz)&gt;=GY179*_xlpm.inn),0)),_xlpm.ok,IFERROR((_xlpm.sz&gt;=_xlpm.smin)*(_xlpm.t_&gt;=_xlpm.inn)*IF(_xlpm.L_&gt;0,(_xlpm.du_+DP179&lt;=DV179+0.00001),1)*_xlpm.kz,0),_xlpm.r_,_xlfn._xlws.FILTER(_xlpm.sz,_xlpm.ok,"не подобрано"),INDEX(_xlpm.r_,1)))</f>
        <v>1.5</v>
      </c>
      <c r="DX179">
        <f t="shared" si="294"/>
        <v>2.5</v>
      </c>
      <c r="DY179" cm="1">
        <f t="array" ref="DY179">IF(OR(B179="",BT179="",DM179&lt;&gt;1),"",_xlfn.LET(_xlpm.sz,Iдоп_S,_xlpm.t_,CHOOSE(DL179,Iдоп_1ж,Iдоп_2ж,Iдоп_3ж)*DJ179*DK179,_xlpm.ok,IFERROR((_xlpm.sz&gt;=MAX(1.5,BW179))*(_xlpm.t_&gt;=N(DD179)),0),_xlpm.r_,_xlfn._xlws.FILTER(_xlpm.sz,_xlpm.ok,""),INDEX(_xlpm.r_,1)))</f>
        <v>1.5</v>
      </c>
      <c r="DZ179" s="6" cm="1">
        <f t="array" ref="DZ179">IFERROR(ROUNDUP(N(DT179)*(_xlfn.XLOOKUP(DY179,INDEX(Кабель_сопротивление,0,1),INDEX(Кабель_сопротивление,0,3))*N(Q179)/DY179*N(BY179)+_xlfn.XLOOKUP(DY179,INDEX(Кабель_сопротивление,0,1),INDEX(Кабель_сопротивление,0,2))*N(Q179)*N(DU179)/1000)*N(P179)/((Uн_лин/SQRT(3))*1000)*100,2),"")</f>
        <v>1.22</v>
      </c>
      <c r="EA179">
        <f>IFERROR(2*ρкз_Cu*N(Q179)/DY179,"")</f>
        <v>1.2624</v>
      </c>
      <c r="EB179">
        <f>IFERROR(VLOOKUP(DX179,Кабель_сопротивление,3,FALSE),"")</f>
        <v>2.2499999999999999E-2</v>
      </c>
      <c r="EC179">
        <f>IFERROR(VLOOKUP(DX179,Кабель_сопротивление,2,FALSE),"")</f>
        <v>0.1</v>
      </c>
      <c r="ED179">
        <f t="shared" si="295"/>
        <v>11</v>
      </c>
      <c r="EE179" t="str">
        <f t="shared" si="296"/>
        <v/>
      </c>
      <c r="EF179">
        <f t="shared" si="297"/>
        <v>1.6896574966450966</v>
      </c>
      <c r="EG179" s="6">
        <f>IFERROR(ROUNDUP(EF179/((Uн_лин/SQRT(3))*1000)*100,2),"")</f>
        <v>0.74</v>
      </c>
      <c r="EH179" t="str">
        <f>IFERROR(VLOOKUP(BT179,Кабель_обозначение,2,FALSE),"")</f>
        <v>ВВГнг(А)-LS</v>
      </c>
      <c r="EI179" t="str">
        <f t="shared" si="298"/>
        <v>ВВГнг(А)-LS (3х2,5)</v>
      </c>
      <c r="EJ179" t="str">
        <f t="shared" si="299"/>
        <v>ВВГнг(А)-LS (3х2,5)
L=36-0,74%</v>
      </c>
      <c r="EK179">
        <f>IFERROR(2*ρкз_Cu*Q179/DX179,"")</f>
        <v>0.75744</v>
      </c>
      <c r="EL179">
        <f t="shared" si="300"/>
        <v>0.25200000000000006</v>
      </c>
      <c r="EM179" s="6" t="str">
        <f>IFERROR(IF(OR(B179="",NOT(ISNUMBER(DX179)),N(Q179)=0),"",_xlfn.XLOOKUP(A179,Щиты[Щит],Щиты[Zпетли на шинах, Ом])+EK179),"")</f>
        <v/>
      </c>
      <c r="EN179" s="6" t="str">
        <f>IF(ISNUMBER(EM179),c_min*(Uн_лин*1000/SQRT(3))/EM179,"")</f>
        <v/>
      </c>
      <c r="EO179" s="6" t="str">
        <f>IFERROR(IF(OR(B179="",NOT(ISNUMBER(DX179))),"",1.05*(Uн_лин*1000/SQRT(3))/(_xlfn.XLOOKUP(A179,Щиты[Щит],Щиты[Zmax на шинах, Ом])+EL179)/1000),"")</f>
        <v/>
      </c>
      <c r="EP179" s="6" t="str">
        <f>IF(B179="","",IF(ISNUMBER(Y179),"Сил",IF(IFERROR(_xlfn.XLOOKUP(AX179,Коды_код,Коды_группа)&amp;"","")="","Быт",_xlfn.XLOOKUP(AX179,Коды_код,Коды_группа)&amp;"")))</f>
        <v>Быт</v>
      </c>
      <c r="EQ179" s="6" t="str">
        <f t="shared" si="301"/>
        <v>Пост</v>
      </c>
      <c r="ER179" s="6">
        <f>IF(EQ179="Щит","щит",IF(EQ179="","",IF(EQ179="Быт",IFERROR(_xlfn.XLOOKUP(A179,Щиты[Щит],Щиты[Кс быт]),1),IF(EQ179="Сил",IF(ISNUMBER(Y179),Y179,IF(Методика="нормы 2026",IFERROR(_xlfn.XLOOKUP(A179,Щиты[Щит],Щиты[Кс силовых (табл. 7.5)]),1),1)),IF(OR(EQ179="Пост",EQ179="Отоп"),1,IF(EQ179="ВНГ",0.7,0))))))</f>
        <v>1</v>
      </c>
      <c r="ES179">
        <f t="shared" si="302"/>
        <v>1</v>
      </c>
      <c r="ET179">
        <f t="shared" si="303"/>
        <v>0.6</v>
      </c>
      <c r="EU179">
        <f t="shared" si="304"/>
        <v>0</v>
      </c>
      <c r="EV179">
        <f t="shared" si="305"/>
        <v>0</v>
      </c>
      <c r="EW179">
        <f t="shared" si="306"/>
        <v>0.6</v>
      </c>
      <c r="EX179">
        <f t="shared" si="307"/>
        <v>0</v>
      </c>
      <c r="EY179">
        <f t="shared" si="308"/>
        <v>0</v>
      </c>
      <c r="EZ179">
        <f t="shared" si="309"/>
        <v>0.6</v>
      </c>
      <c r="FA179">
        <f t="shared" si="310"/>
        <v>0.56999999999999995</v>
      </c>
      <c r="FB179">
        <f t="shared" si="311"/>
        <v>0.6</v>
      </c>
      <c r="FC179" t="str">
        <f t="shared" si="312"/>
        <v>L3</v>
      </c>
      <c r="FD179" t="str">
        <f>IF(B179="","",IF(CA179=0,IF(AW179=1,"",FF178),IF(OR(N(CV179)&gt;=3,N(BR179)&gt;=3),"L1,L2,L3",IFERROR(_xlfn.TEXTBEFORE(_xlfn.TEXTAFTER(_xlfn.XLOOKUP(A179,Щиты[Щит],Щиты[_фазы авто]),";"&amp;AW179&amp;":"),";"),"L1"))))</f>
        <v>L1</v>
      </c>
      <c r="FE179" t="str">
        <f t="shared" si="313"/>
        <v>L3</v>
      </c>
      <c r="FF179" t="str">
        <f t="shared" si="314"/>
        <v>L3</v>
      </c>
      <c r="FG179" cm="1">
        <f t="array" ref="FG179">IFERROR(IF(BX179=2,_xlfn.IFS(BR179=3,VLOOKUP(BN179,Справочная_двигатели,3,FALSE),BR179=1,VLOOKUP(BN179,Справочная_двигатели,5,TRUE)),0),0)</f>
        <v>0</v>
      </c>
      <c r="FH179">
        <f>IFERROR(IF(BX179=3,VLOOKUP(BN179,Справочная_ЛЭД,2,TRUE),0),0)</f>
        <v>0</v>
      </c>
      <c r="FI179" s="6">
        <f t="shared" si="315"/>
        <v>0</v>
      </c>
      <c r="FJ179" t="str" cm="1">
        <f t="array" ref="FJ179">IF(B179="","",IFERROR(INDEX({"I особая","I","II","III"},MATCH(TRIM(AC179&amp;""),{"I особая","I","II","III"},0)),"III"))</f>
        <v>II</v>
      </c>
      <c r="FK179" t="str">
        <f>IF(B179="","",IF(TRIM(AD179&amp;"")&lt;&gt;"",IF(LOWER(TRIM(AD179&amp;""))="да","да","нет"),IF(IFERROR(_xlfn.XLOOKUP(AX179,Коды_код,Коды_пожарная),"")="да","да","нет")))</f>
        <v>нет</v>
      </c>
      <c r="FL179" t="str">
        <f t="shared" si="316"/>
        <v/>
      </c>
      <c r="FM179" t="str">
        <f t="shared" si="317"/>
        <v>основная</v>
      </c>
      <c r="FN179">
        <f t="shared" si="318"/>
        <v>1</v>
      </c>
      <c r="FO179" t="str" cm="1">
        <f t="array" ref="FO179">IF(B179="","",_xlfn.LET(_xlpm.t,IFERROR(_xlfn.XLOOKUP(1,(Шины[Шина]=FM179)*(((Шины[Щит]=A179)+(Шины[Щит]=""))&gt;0),Шины[Тип]),"")&amp;"",IF(_xlpm.t&lt;&gt;"",_xlpm.t,IF(ISNUMBER(SEARCH("ИБП",FM179)),"ИБП",IF(ISNUMBER(SEARCH("ДГУ",FM179)),"ДГУ","Ввод "&amp;FN179)))))</f>
        <v>Ввод 1</v>
      </c>
      <c r="FP179" t="str">
        <f t="shared" si="319"/>
        <v>Ввод 1</v>
      </c>
      <c r="FQ179" t="str">
        <f>IF(B179="","",IF(OR(FO179="ИБП",FO179="ДГУ"),"I особая",IF(FO179="Одиночная","III",_xlfn.XLOOKUP(A179,Щиты[Щит],Щиты[Категория шины «Ввод»],"III"))))</f>
        <v>II</v>
      </c>
      <c r="FR179">
        <f>IF(B179="",0,IFERROR(MATCH(FJ179,{"III","II","I","I особая"},0),1))</f>
        <v>2</v>
      </c>
      <c r="FS179">
        <f t="shared" si="320"/>
        <v>2</v>
      </c>
      <c r="FT179" t="str">
        <f>IF(B179="","",IF(FR179&gt;IFERROR(MATCH(FQ179,{"III","II","I","I особая"},0),1),"НЕ ОБЕСПЕЧЕНА","ОК"))</f>
        <v>ОК</v>
      </c>
      <c r="FU179" t="str">
        <f>IF(A179="","",_xlfn.XLOOKUP(A179,Щиты[Щит],Щиты[Путь],""))</f>
        <v>|ГРЩ-ЖД|ЩР-001|</v>
      </c>
      <c r="FV179" t="str">
        <f>IF(B179="","",IF(AE179&lt;&gt;"",AE179,IF(IFERROR(_xlfn.XLOOKUP(AX179,Коды_код,Коды_вид)&amp;"","")="","Прочее",_xlfn.XLOOKUP(AX179,Коды_код,Коды_вид)&amp;"")))</f>
        <v>Слаботочные системы, автоматизация, KNX</v>
      </c>
      <c r="FW179">
        <f>IF(BH179="","",INT((BH179-1)/Столбцов_на_лист)+1)</f>
        <v>3</v>
      </c>
      <c r="FX179" t="str">
        <f t="shared" si="321"/>
        <v>ВВГнг(А)-LS (3х2,5) L=36-0,74%</v>
      </c>
      <c r="FY179">
        <f t="shared" si="322"/>
        <v>0.6</v>
      </c>
      <c r="FZ179">
        <f t="shared" si="323"/>
        <v>2.7399999999999998</v>
      </c>
      <c r="GA179">
        <f t="shared" si="324"/>
        <v>1</v>
      </c>
      <c r="GB179">
        <f t="shared" si="325"/>
        <v>0</v>
      </c>
      <c r="GC179">
        <f t="shared" si="326"/>
        <v>1</v>
      </c>
      <c r="GD179">
        <f>IF(BH179="","",IF(AND(CA179=1,GC179=1),COUNTIFS(A$3:A179,A179,CA$3:CA179,1,GC$3:GC179,1),IF(OR(OR(AW179=1,A179&lt;&gt;A178),AF179="вручную",GC179=0),"",IF(AW179=1,"",GE178))))</f>
        <v>25</v>
      </c>
      <c r="GE179">
        <f t="shared" si="327"/>
        <v>25</v>
      </c>
      <c r="GF179">
        <f>IF(B179="","",IFERROR(LOOKUP(INDEX(CHOOSE(DL179,Iдоп_1ж,Iдоп_2ж,Iдоп_3ж),MATCH(DX179,Iдоп_S,0))*DJ179*DK179,{6,10,16,20,25,32,40,50,63,80,100,125,160,200,250,315,400,500,630}),""))</f>
        <v>25</v>
      </c>
      <c r="GG179" t="str">
        <f t="shared" si="328"/>
        <v>QF25</v>
      </c>
      <c r="GH179" t="str">
        <f t="shared" si="329"/>
        <v>QF25</v>
      </c>
      <c r="GI179" t="str">
        <f t="shared" si="330"/>
        <v/>
      </c>
      <c r="GJ179">
        <f t="shared" si="331"/>
        <v>0</v>
      </c>
      <c r="GK179" t="str">
        <f>IF(OR(AG179="",AG179="-"),"",IFERROR(VLOOKUP(AG179,Модули_спр,2,FALSE),"R"))</f>
        <v/>
      </c>
      <c r="GL179" t="str">
        <f>IF(GK179="","",GK179&amp;"."&amp;COUNTIFS(A$3:A179,A179,GK$3:GK179,GK179))</f>
        <v/>
      </c>
      <c r="GM179" t="str">
        <f t="shared" si="332"/>
        <v/>
      </c>
      <c r="GN179" t="str">
        <f t="shared" si="333"/>
        <v/>
      </c>
      <c r="GO179" t="str">
        <f t="shared" si="334"/>
        <v/>
      </c>
      <c r="GP179" t="str">
        <f t="shared" si="335"/>
        <v/>
      </c>
      <c r="GQ179">
        <f t="shared" si="336"/>
        <v>1</v>
      </c>
      <c r="GR179" t="str">
        <f>IF(GQ179=1,"XT"&amp;COUNTIFS(A$3:A179,A179,GQ$3:GQ179,1),"")</f>
        <v>XT25</v>
      </c>
      <c r="GS179" t="str">
        <f t="shared" si="337"/>
        <v>XT25</v>
      </c>
      <c r="GT179" t="str">
        <f t="shared" si="338"/>
        <v>QF25</v>
      </c>
      <c r="GU179" t="str">
        <f t="shared" si="339"/>
        <v/>
      </c>
      <c r="GV179" t="str">
        <f t="shared" si="340"/>
        <v>ok</v>
      </c>
      <c r="GW179" t="str">
        <f>IF(OR(GO179="",GM179=""),"",IF(GO179&gt;IFERROR(VLOOKUP(GN179,Модули_спр,3,FALSE),99),"ЛИШНИЙ КАНАЛ",IF(AND(AH179&lt;&gt;"=",COUNTIFS(Линии[_модуль гр.],GM179,Линии[Канал (итог)],GO179,Линии[Канал],"&lt;&gt;=",Линии[Щит],A179)&gt;1),"ДУБЛЬ КАНАЛА","")))</f>
        <v/>
      </c>
      <c r="GX179" s="6" t="str">
        <f t="shared" si="341"/>
        <v/>
      </c>
      <c r="GY179">
        <f t="shared" si="342"/>
        <v>10</v>
      </c>
      <c r="GZ179" t="str">
        <f t="shared" si="343"/>
        <v/>
      </c>
      <c r="HA179" t="str">
        <f>IF(AND(B179="",GT179=""),"",_xlfn.TEXTJOIN("; ",TRUE,IF(AND(B179&lt;&gt;"",FE179=""),"нет фазы",""),IF(AND(B179&lt;&gt;"",N(FY179)=0,EQ179&lt;&gt;"Нет"),"нет мощности",""),IF(AND(GS179&lt;&gt;"",COUNTIFS(Линии[Щит],A179,Линии[Клемма (итог)],GS179)&gt;1),"дубль клеммы "&amp;GS179,""),IF(AND(GV179&lt;&gt;"",GV179&lt;&gt;"ok"),GV179,""),IF(GW179&lt;&gt;"",GW179,""),IF(AND(N(BV179)&gt;=4,N(BR179)=1),BV179&amp;" жил на 1 фазе",""),IF(AND(AX179="R",CA179=1,OR(N(CK179)=0,N(CK179)&gt;30)),"розетка без дифзащиты до 30 мА",""),IFERROR(IF(AND(ISNUMBER(R179),R179&gt;DV179),"потери "&amp;FIXED(R179,1)&amp;" % &gt; "&amp;DV179&amp;" %",""),""),IFERROR(IF(LEFT(GZ179,4)="мало","Iкз мало — отключение &gt; 0,4 с",""),""),IF(AND(B179&lt;&gt;"",BH179=""),"не на схеме",""),IF(AND(CA179=0,B179&lt;&gt;"",FE179&lt;&gt;"",IF(AW179=1,"",FF178)&lt;&gt;"",FE179&lt;&gt;IF(AW179=1,"",FF178)),"фаза не как у автомата группы ("&amp;IF(AW179=1,"",FF178)&amp;")","")))</f>
        <v/>
      </c>
      <c r="HB179" s="6">
        <f>IF(OR(CA179=0,DA179=""),"",_xlfn.LET(_xlpm.t,IFERROR(_xlfn.XLOOKUP(DA179,Каталог!$U$4:$U$500,Каталог!$G$4:$G$500),""),_xlpm.k,SEARCH("кА",_xlpm.t),IFERROR(--TRIM(RIGHT(SUBSTITUTE(MID(_xlpm.t,MAX(1,_xlpm.k-4),_xlpm.k-MAX(1,_xlpm.k-4))," ",REPT(" ",9)),5)),"")))</f>
        <v>6</v>
      </c>
      <c r="HC179" t="str">
        <f>IF(OR(HB179="",CA179=0),"",IF(_xlfn.XLOOKUP(A179,Щиты[Щит],Щиты[Iкз max на шинах, кА],"")="","",IF(HB179&lt;_xlfn.XLOOKUP(A179,Щиты[Щит],Щиты[Iкз max на шинах, кА]),"Icu "&amp;HB179&amp;" кА &lt; Iкз max","ok")))</f>
        <v/>
      </c>
      <c r="HD179" t="str">
        <f t="shared" si="344"/>
        <v/>
      </c>
      <c r="HE179" t="str">
        <f t="shared" si="345"/>
        <v>QF25|XT25</v>
      </c>
      <c r="HF179" t="str">
        <f t="shared" si="346"/>
        <v>QF25|XT25|кабель ВВГнг(А)-LS (3х2,5) → Шкаф телекоммуникационный ШТК-0 Подвальный этаж Пом. №007Т</v>
      </c>
      <c r="HG179" t="str" cm="1">
        <f t="array" ref="HG179">IF(HF179="","",_xlfn.LET(_xlpm.nd,_xlfn.TEXTSPLIT(HF179,"|"),IF(COLUMNS(_xlpm.nd)&gt;1,A179&amp;"¦"&amp;INDEX(_xlpm.nd,1)&amp;"¦"&amp;INDEX(_xlpm.nd,2),"")))</f>
        <v>ЩР-001¦QF25¦XT25</v>
      </c>
      <c r="HH179" t="str">
        <f t="shared" si="347"/>
        <v>ШТК-0¦Шкаф телекоммуникационный ШТК-0 Подвальный этаж Пом. №007Т</v>
      </c>
      <c r="HI179" t="str" cm="1">
        <f t="array" ref="HI179">IF(HF179="","",_xlfn.LET(_xlpm.nd,_xlfn.TEXTSPLIT(HF179,"|"),IF(COLUMNS(_xlpm.nd)&gt;2,A179&amp;"¦"&amp;INDEX(_xlpm.nd,2)&amp;"¦"&amp;INDEX(_xlpm.nd,3),"")))</f>
        <v>ЩР-001¦XT25¦кабель ВВГнг(А)-LS (3х2,5) → Шкаф телекоммуникационный ШТК-0 Подвальный этаж Пом. №007Т</v>
      </c>
      <c r="HJ179" t="str">
        <f t="shared" si="348"/>
        <v>ШТК-0¦Шкаф телекоммуникационный ШТК-0 Подвальный этаж Пом. №007Т</v>
      </c>
      <c r="HK179" t="str" cm="1">
        <f t="array" ref="HK179">IF(HF179="","",_xlfn.LET(_xlpm.nd,_xlfn.TEXTSPLIT(HF179,"|"),IF(COLUMNS(_xlpm.nd)&gt;3,A179&amp;"¦"&amp;INDEX(_xlpm.nd,3)&amp;"¦"&amp;INDEX(_xlpm.nd,4),"")))</f>
        <v/>
      </c>
      <c r="HL179" t="str">
        <f t="shared" si="349"/>
        <v/>
      </c>
      <c r="HM179" t="str" cm="1">
        <f t="array" ref="HM179">IF(HF179="","",_xlfn.LET(_xlpm.nd,_xlfn.TEXTSPLIT(HF179,"|"),IF(COLUMNS(_xlpm.nd)&gt;4,A179&amp;"¦"&amp;INDEX(_xlpm.nd,4)&amp;"¦"&amp;INDEX(_xlpm.nd,5),"")))</f>
        <v/>
      </c>
      <c r="HN179" t="str">
        <f t="shared" si="350"/>
        <v/>
      </c>
      <c r="HO179" t="str" cm="1">
        <f t="array" ref="HO179">IF(HF179="","",_xlfn.LET(_xlpm.nd,_xlfn.TEXTSPLIT(HF179,"|"),IF(COLUMNS(_xlpm.nd)&gt;5,A179&amp;"¦"&amp;INDEX(_xlpm.nd,5)&amp;"¦"&amp;INDEX(_xlpm.nd,6),"")))</f>
        <v/>
      </c>
      <c r="HP179" t="str">
        <f t="shared" si="351"/>
        <v/>
      </c>
      <c r="HQ179" t="str" cm="1">
        <f t="array" ref="HQ179">IF(HF179="","",_xlfn.LET(_xlpm.nd,_xlfn.TEXTSPLIT(HF179,"|"),IF(COLUMNS(_xlpm.nd)&gt;6,A179&amp;"¦"&amp;INDEX(_xlpm.nd,6)&amp;"¦"&amp;INDEX(_xlpm.nd,7),"")))</f>
        <v/>
      </c>
      <c r="HR179" t="str">
        <f t="shared" si="352"/>
        <v/>
      </c>
      <c r="HS179" t="str">
        <f t="shared" si="353"/>
        <v/>
      </c>
      <c r="HT179" t="str">
        <f t="shared" si="354"/>
        <v>QF25 → XT25</v>
      </c>
      <c r="HU179">
        <f t="shared" si="355"/>
        <v>0</v>
      </c>
      <c r="HV179">
        <f t="shared" si="356"/>
        <v>0</v>
      </c>
      <c r="HW179" t="str">
        <f t="shared" si="357"/>
        <v/>
      </c>
      <c r="HX179" t="str">
        <f t="shared" si="358"/>
        <v/>
      </c>
      <c r="HY179" t="str">
        <f t="shared" si="359"/>
        <v/>
      </c>
      <c r="HZ179" t="str">
        <f t="shared" si="360"/>
        <v/>
      </c>
      <c r="IA179" t="str">
        <f>IF(B179="","",IFERROR(VLOOKUP(B179,УГО_спр,2,FALSE),IFERROR(VLOOKUP(AX179,УГО_спр,2,FALSE),IFERROR(VLOOKUP(LEFT(AX179,2),УГО_спр,2,FALSE),""))))</f>
        <v/>
      </c>
      <c r="IB179" t="str">
        <f>IF(B179="","",IF(OR(IA179="",IA179=0),"BOX",IFERROR(IF(VLOOKUP(IA179,УГО_блоки,3,FALSE)&amp;""&lt;&gt;"",VLOOKUP(IA179,УГО_блоки,3,FALSE),VLOOKUP(IA179,УГО_блоки,2,FALSE)),IA179)))</f>
        <v>BOX</v>
      </c>
      <c r="IC179">
        <f t="shared" si="361"/>
        <v>1</v>
      </c>
      <c r="ID179" t="str">
        <f>IF(DA179="","",IF(COUNTIF(DA$3:DA179,DA179)=1,MAX(ID$2:ID178)+1,""))</f>
        <v/>
      </c>
      <c r="IE179" t="str">
        <f>IF(CO179="","",IF(COUNTIF(CO$3:CO179,CO179)+COUNTIF(CP$2:CP178,CO179)+COUNTIF(CQ$2:CQ178,CO179)=1,MAX(IE$2:IG178)+1,""))</f>
        <v/>
      </c>
      <c r="IF179" t="str">
        <f>IF(CP179="","",IF(COUNTIF(CO$3:CO179,CP179)+COUNTIF(CP$3:CP179,CP179)+COUNTIF(CQ$2:CQ178,CP179)=1,MAX(IE$2:IG178,IE179)+1,""))</f>
        <v/>
      </c>
      <c r="IG179" t="str">
        <f>IF(CQ179="","",IF(COUNTIF(CO$3:CO179,CQ179)+COUNTIF(CP$3:CP179,CQ179)+COUNTIF(CQ$3:CQ179,CQ179)=1,MAX(IE$2:IG178,IE179,IF179)+1,""))</f>
        <v/>
      </c>
      <c r="IH179" t="str">
        <f t="shared" si="362"/>
        <v>3х2,5</v>
      </c>
      <c r="II179" t="str">
        <f>IF(IH179="","",IF(COUNTIF(IH$3:IH179,IH179)=1,MAX(II$2:II178)+1,""))</f>
        <v/>
      </c>
      <c r="IJ179" t="str">
        <f>IF(GL179="","",COUNTIF(GL$3:GL179,"?*"))</f>
        <v/>
      </c>
      <c r="IK179" t="str">
        <f>IF(OR(GL179="",GN179=""),"",IF(COUNTIFS(GL$3:GL179,"?*",GN$3:GN179,GN179)=1,MAX(IK$2:IK178)+1,""))</f>
        <v/>
      </c>
      <c r="IL179">
        <f t="shared" si="363"/>
        <v>0</v>
      </c>
      <c r="IM179">
        <f>IF(B179="","",COUNTIF(B$3:B179,"?*"))</f>
        <v>177</v>
      </c>
      <c r="IN179">
        <f>IF(GQ179&lt;&gt;1,0,_xlfn.LET(_xlpm.k,MAX(IFERROR(--VLOOKUP(B179,УГО_спр,5,FALSE),0),IFERROR(--VLOOKUP(AX179,УГО_спр,5,FALSE),0),IFERROR(--VLOOKUP(LEFT(AX179,2),УГО_спр,5,FALSE),0)),IF(_xlpm.k&gt;0,_xlpm.k,IF(IFERROR(--LEFT(SUBSTITUTE(IH179,"x","х"),FIND("х",SUBSTITUTE(IH179,"x","х"))-1),3)&gt;3,Каталог!$S$9,1))))</f>
        <v>1</v>
      </c>
      <c r="IO179">
        <f t="shared" si="364"/>
        <v>0</v>
      </c>
      <c r="IP179" t="str">
        <f t="shared" si="365"/>
        <v>авто</v>
      </c>
      <c r="IQ179" t="str">
        <f t="shared" si="366"/>
        <v/>
      </c>
      <c r="IR179">
        <f t="shared" si="367"/>
        <v>0</v>
      </c>
      <c r="IS179">
        <f t="shared" si="368"/>
        <v>1</v>
      </c>
    </row>
    <row r="180" spans="1:253" x14ac:dyDescent="0.3">
      <c r="A180" t="s">
        <v>755</v>
      </c>
      <c r="B180" t="s">
        <v>1447</v>
      </c>
      <c r="C180" t="s">
        <v>1652</v>
      </c>
      <c r="D180">
        <v>1</v>
      </c>
      <c r="E180">
        <v>2.7</v>
      </c>
      <c r="G180">
        <v>16</v>
      </c>
      <c r="H180" t="str">
        <f>Линии[[#This Row],[_авто утечка]]</f>
        <v/>
      </c>
      <c r="I180" t="str">
        <f>Линии[[#This Row],[_авто управление]]</f>
        <v/>
      </c>
      <c r="J180" t="str">
        <f>Линии[[#This Row],[_авто аппараты]]</f>
        <v/>
      </c>
      <c r="K180">
        <v>2.5</v>
      </c>
      <c r="L180">
        <v>35</v>
      </c>
      <c r="M180">
        <v>1</v>
      </c>
      <c r="N180" t="str">
        <f>Линии[[#This Row],[_авто клемма]]</f>
        <v>XT26</v>
      </c>
      <c r="O180" t="str">
        <f t="shared" si="246"/>
        <v>потери 5,1 % &gt; 4 %</v>
      </c>
      <c r="P180" s="6" cm="1">
        <f t="array" ref="P180">IF(B180="","",IF(BC180&lt;&gt;"",IFERROR(_xlfn.XLOOKUP(BC180,Щиты[Щит],Щиты[Iр, А]),""),IF(BK180=1,IFERROR(_xlfn.XLOOKUP(A180,Щиты[Щит],Щиты[Iр, А]),""),IFERROR(_xlfn.IFS(BR180=1,BN180/((Uн_лин/SQRT(3))*BY180),BR180=3,BN180/(SQRT(3)*Uн_лин*BY180)),""))))</f>
        <v>12.306676790620971</v>
      </c>
      <c r="Q180" s="7">
        <f>IF(B180="","",IFERROR(IF(VLOOKUP(AX180,Потребители_обозначение,4,FALSE)=1,VLOOKUP(AX180,Потребители_обозначение,3,FALSE)*(D180*2-1)+DS180+VLOOKUP(AZ180,Этаж_обозначение,3,FALSE)+VLOOKUP(AZ180,Этаж_обозначение,4,FALSE),VLOOKUP(AX180,Потребители_обозначение,3,FALSE)*(D180*2-1)+DS180),DS180))</f>
        <v>38</v>
      </c>
      <c r="R180" s="6">
        <f t="shared" si="247"/>
        <v>5.05</v>
      </c>
      <c r="S180" t="str">
        <f t="shared" si="248"/>
        <v>ВВГнг(А)-LS (3х2,5)</v>
      </c>
      <c r="T180" t="str">
        <f>IF(BH180="","",IF(BI180="вводной узел","узел ","")&amp;"л."&amp;(INT((BH180-1)/Столбцов_на_лист)+1)&amp;" / "&amp;(MOD(BH180-1,Столбцов_на_лист)+1))</f>
        <v>л.3 / 13</v>
      </c>
      <c r="V180">
        <v>1</v>
      </c>
      <c r="W180">
        <v>230</v>
      </c>
      <c r="X180" t="s">
        <v>575</v>
      </c>
      <c r="AC180" t="s">
        <v>815</v>
      </c>
      <c r="AE180" t="s">
        <v>574</v>
      </c>
      <c r="AI180">
        <v>47</v>
      </c>
      <c r="AJ180" t="s">
        <v>11</v>
      </c>
      <c r="AK180">
        <v>3</v>
      </c>
      <c r="AM180">
        <v>17</v>
      </c>
      <c r="AN180">
        <v>13</v>
      </c>
      <c r="AW180" cm="1">
        <f t="array" ref="AW180">ROW()-ROW(Линии[#Headers])</f>
        <v>178</v>
      </c>
      <c r="AX180" s="6" t="str">
        <f t="shared" si="249"/>
        <v>ШТК-ЛВС</v>
      </c>
      <c r="AY180" t="str">
        <f t="shared" si="250"/>
        <v>00</v>
      </c>
      <c r="AZ180" t="str">
        <f t="shared" si="251"/>
        <v>00</v>
      </c>
      <c r="BA180" t="str">
        <f t="shared" si="252"/>
        <v/>
      </c>
      <c r="BB180" t="str">
        <f t="shared" si="253"/>
        <v/>
      </c>
      <c r="BC180" t="str">
        <f>IF(U180&lt;&gt;"",U180,IF(AND(B180&lt;&gt;"",B180&lt;&gt;A180,ISNUMBER(_xlfn.XMATCH(B180,Щиты[Щит]))),B180,""))</f>
        <v/>
      </c>
      <c r="BD180" t="str" cm="1">
        <f t="array" ref="BD180">IF(B180="","",IF(BC180&lt;&gt;"","Щит "&amp;BC180,_xlfn.LET(_xlpm.nm,IFERROR(_xlfn.XLOOKUP(AX180,Коды_код,Коды_имя)&amp;"",""),_xlpm.md,IFERROR(N(_xlfn.XLOOKUP(AX180,Коды_код,Коды_режим)),1),_xlpm.ex,IF(Имя_режим="по экспликации",IFERROR(_xlfn.XLOOKUP(AZ180&amp;"|"&amp;BB180,Экспликация[Этаж]&amp;"|"&amp;Экспликация[Помещение],Экспликация[Название])&amp;"",""),""),_xlpm.rm,IF(BB180="","",IF(_xlpm.ex&lt;&gt;"",". "&amp;_xlpm.ex&amp;IF(Имя_пом="нет"," ("&amp;BB180&amp;")"," (пом. "&amp;BB180&amp;")"),IF(Имя_пом="нет"," ",", пом. ")&amp;BB180)),IF(_xlpm.nm="","",IF(_xlpm.md=2,_xlpm.nm&amp;" шлейф "&amp;AZ180,_xlpm.nm&amp;_xlpm.rm)))))</f>
        <v>Шкаф телекоммуникационный ЛВС шлейф 00</v>
      </c>
      <c r="BE180" t="str">
        <f t="shared" si="254"/>
        <v>Шкаф телекоммуникационный ШТК-ЛВС.00  Подвальный этаж Пом. №007Т</v>
      </c>
      <c r="BF180">
        <f>IFERROR(_xlfn.XMATCH(A180,Щиты[Щит]),0)</f>
        <v>8</v>
      </c>
      <c r="BG180">
        <f>_xlfn.LET(_xlpm.k,IFERROR(_xlfn.XLOOKUP(A180,Щиты[Щит],Щиты[Листов под вводной узел]),""),IF(_xlpm.k="",1,N(_xlpm.k))*Столбцов_на_лист)</f>
        <v>17</v>
      </c>
      <c r="BH180">
        <f t="shared" si="255"/>
        <v>47</v>
      </c>
      <c r="BI180" t="str">
        <f t="shared" si="256"/>
        <v>линии</v>
      </c>
      <c r="BJ180" s="6">
        <f>IFERROR(N(_xlfn.XLOOKUP(AX180,Коды_код,Коды_квт)),0)</f>
        <v>0</v>
      </c>
      <c r="BK180">
        <f t="shared" si="257"/>
        <v>0</v>
      </c>
      <c r="BL180" t="str">
        <f>IF(B180="","",IF(BC180&lt;&gt;"",IFERROR(_xlfn.XLOOKUP(BC180,Щиты[Щит],Щиты[Руст, кВт]),0),IF(BK180=1,IFERROR(_xlfn.XLOOKUP(A180,Щиты[Щит],Щиты[Руст, кВт]),0),IF(BJ180&gt;0,ROUND(BJ180*MAX(1,N(D180)),3),""))))</f>
        <v/>
      </c>
      <c r="BM180">
        <f t="shared" si="258"/>
        <v>2.7</v>
      </c>
      <c r="BN180" s="6">
        <f>IF(B180="","",IF(BC180&lt;&gt;"",IFERROR(_xlfn.XLOOKUP(BC180,Щиты[Щит],Щиты[Руст, кВт]),0),N(BM180)))</f>
        <v>2.7</v>
      </c>
      <c r="BO180" t="str">
        <f>IF(B180="","",IFERROR(IF(VLOOKUP(AX180,Потребители_обозначение,8,FALSE)=0,"",VLOOKUP(AX180,Потребители_обозначение,8,FALSE)),""))</f>
        <v/>
      </c>
      <c r="BP180">
        <f t="shared" si="259"/>
        <v>230</v>
      </c>
      <c r="BQ180">
        <f>IF(B180="","",IF(BC180&lt;&gt;"",3,IFERROR(IF(N(VLOOKUP(AX180,Потребители_обозначение,9,FALSE))=0,1,VLOOKUP(AX180,Потребители_обозначение,9,FALSE)),1)))</f>
        <v>1</v>
      </c>
      <c r="BR180">
        <f t="shared" si="260"/>
        <v>1</v>
      </c>
      <c r="BS180" t="str">
        <f>IF(B180="","",_xlfn.LET(_xlpm.bc,IFERROR(IF(VLOOKUP(AX180,Потребители_обозначение,6,FALSE)=0,"",VLOOKUP(AX180,Потребители_обозначение,6,FALSE)&amp;""),""),IF(AND(FK180="да",OR(_xlpm.bc="",_xlpm.bc="мс")),Марка_пож,IF(AND(_xlpm.bc="",BC180&lt;&gt;""),"мс",_xlpm.bc))))</f>
        <v/>
      </c>
      <c r="BT180" t="str">
        <f t="shared" si="261"/>
        <v>мс</v>
      </c>
      <c r="BU180">
        <f>IF(B180="","",_xlfn.LET(_xlpm.cc,IFERROR(N(VLOOKUP(AX180,Потребители_обозначение,7,FALSE)),0),IF(_xlpm.cc&gt;0,_xlpm.cc,IF(BT180="","",IF(N(BR180)=3,5,3)))))</f>
        <v>3</v>
      </c>
      <c r="BV180">
        <f t="shared" si="262"/>
        <v>3</v>
      </c>
      <c r="BW180">
        <f>IFERROR(N(VLOOKUP(AX180,Потребители_обозначение,10,FALSE)),0)</f>
        <v>0</v>
      </c>
      <c r="BX180">
        <f>IFERROR(VLOOKUP(AX180,Потребители_обозначение,5,FALSE),0)</f>
        <v>1</v>
      </c>
      <c r="BY180" s="6" cm="1">
        <f t="array" ref="BY180">IF(B180="","",IF(BC180&lt;&gt;"",IFERROR(_xlfn.XLOOKUP(BC180,Щиты[Щит],Щиты[cos φ]),0.95),IF(BK180=1,IFERROR(_xlfn.XLOOKUP(A180,Щиты[Щит],Щиты[cos φ]),0.95),IF(ISNUMBER(Z180),Z180,IFERROR(IF(BX180=2,_xlfn.IFS(BR180=3,VLOOKUP(BN180,Справочная_двигатели,8,FALSE),BR180=1,VLOOKUP(BN180,Справочная_двигатели,10,TRUE)),IF(AND(Методика="нормы 2026",EQ180="Сил"),0.8,0.95)),0.95)))))</f>
        <v>0.95</v>
      </c>
      <c r="BZ180">
        <f t="shared" si="263"/>
        <v>0</v>
      </c>
      <c r="CA180">
        <f t="shared" si="264"/>
        <v>1</v>
      </c>
      <c r="CB180">
        <f t="shared" si="265"/>
        <v>0</v>
      </c>
      <c r="CC180">
        <f t="shared" si="266"/>
        <v>0</v>
      </c>
      <c r="CD180">
        <f t="shared" si="267"/>
        <v>0</v>
      </c>
      <c r="CE180">
        <f t="shared" si="268"/>
        <v>0</v>
      </c>
      <c r="CF180">
        <f t="shared" si="269"/>
        <v>0</v>
      </c>
      <c r="CG180">
        <f>IF(AX180="",0,_xlfn.LET(_xlpm.v,IFERROR(VLOOKUP(B180,УГО_спр,3,FALSE),IFERROR(VLOOKUP(AX180,УГО_спр,3,FALSE),IFERROR(VLOOKUP(LEFT(AX180,2),УГО_спр,3,FALSE),""))),IF(_xlpm.v="да",30,IF(ISNUMBER(_xlpm.v),_xlpm.v,0))))</f>
        <v>0</v>
      </c>
      <c r="CH180" t="str">
        <f t="shared" si="270"/>
        <v/>
      </c>
      <c r="CI180" t="str">
        <f>_xlfn.LET(_xlpm.k,IFERROR(_xlfn.XLOOKUP(AX180,Коды_код,Коды_утечка)&amp;"",""),IF(_xlpm.k="","дифавтомат",_xlpm.k))</f>
        <v>дифавтомат</v>
      </c>
      <c r="CJ180">
        <f t="shared" si="271"/>
        <v>0</v>
      </c>
      <c r="CK180">
        <f t="shared" si="272"/>
        <v>0</v>
      </c>
      <c r="CL180">
        <f>IF(B180="",0,IFERROR(--VLOOKUP(B180,УГО_спр,4,FALSE),IFERROR(--VLOOKUP(AX180,УГО_спр,4,FALSE),IFERROR(--VLOOKUP(LEFT(AX180,2),УГО_спр,4,FALSE),0))))</f>
        <v>0</v>
      </c>
      <c r="CM180" t="str">
        <f>IF(B180="","",IFERROR(_xlfn.XLOOKUP(AX180,Коды_код,Коды_апп)&amp;"",""))</f>
        <v/>
      </c>
      <c r="CN180" t="str">
        <f t="shared" si="273"/>
        <v/>
      </c>
      <c r="CO180" t="str" cm="1">
        <f t="array" ref="CO180">IF(TRIM(CN180&amp;"")="","",IFERROR(TRIM(INDEX(_xlfn.TEXTSPLIT(CN180&amp;";;;",";"),1)),""))</f>
        <v/>
      </c>
      <c r="CP180" t="str" cm="1">
        <f t="array" ref="CP180">IF(TRIM(CN180&amp;"")="","",IFERROR(TRIM(INDEX(_xlfn.TEXTSPLIT(CN180&amp;";;;",";"),2)),""))</f>
        <v/>
      </c>
      <c r="CQ180" t="str" cm="1">
        <f t="array" ref="CQ180">IF(TRIM(CN180&amp;"")="","",IFERROR(TRIM(INDEX(_xlfn.TEXTSPLIT(CN180&amp;";;;",";"),3)),""))</f>
        <v/>
      </c>
      <c r="CR180">
        <f t="shared" si="274"/>
        <v>0</v>
      </c>
      <c r="CS180" t="str">
        <f>IF(B180="","",_xlfn.LET(_xlpm.t,LOWER(AV180&amp;""),IF(ISNUMBER(SEARCH("dim",_xlpm.t)),"DIM",IF(ISNUMBER(SEARCH("dali",_xlpm.t)),"DALI",IF(OR(ISNUMBER(SEARCH("relay",_xlpm.t)),ISNUMBER(SEARCH("реле",_xlpm.t))),"Relay",IF(ISNUMBER(SEARCH("кнопк",_xlpm.t)),"",IFERROR(_xlfn.XLOOKUP(AX180,Коды_код,Коды_упр)&amp;"","")))))))</f>
        <v/>
      </c>
      <c r="CT180" t="str">
        <f t="shared" si="275"/>
        <v/>
      </c>
      <c r="CU180">
        <f>IF(B180="","",_xlfn.LET(_xlpm.ig,N(P180)+IF(AF180="вручную",0,N(CB180)),_xlpm.n0,IFERROR(VLOOKUP(_xlpm.ig,Автомат_номиналы,2,TRUE),0),_xlpm.mn,MAX(CL180,IF(AF180="вручную",0,N(CE180))),MAX(_xlpm.n0,_xlpm.mn,IF(CR180=1,Мин_автомат_БП,0))))</f>
        <v>16</v>
      </c>
      <c r="CV180">
        <f t="shared" si="276"/>
        <v>1</v>
      </c>
      <c r="CW180" t="str">
        <f t="shared" si="277"/>
        <v>1P</v>
      </c>
      <c r="CX180" t="str">
        <f>_xlfn.LET(_xlpm.cc,UPPER(TRIM(IFERROR(_xlfn.XLOOKUP(AX180,Коды_код,Коды_хар)&amp;"",""))),IF(OR(_xlpm.cc="B",_xlpm.cc="В"),"B",IF(_xlpm.cc="D","D","С")))</f>
        <v>С</v>
      </c>
      <c r="CY180" t="str">
        <f t="shared" si="278"/>
        <v>1P С16А</v>
      </c>
      <c r="CZ180">
        <f t="shared" si="279"/>
        <v>16</v>
      </c>
      <c r="DA180" t="str">
        <f t="shared" si="280"/>
        <v>1P С16А</v>
      </c>
      <c r="DB180" cm="1">
        <f t="array" ref="DB180">IF(DA180="","",_xlfn.LET(_xlpm.t,SUBSTITUTE(SUBSTITUTE(SUBSTITUTE(UPPER(DA180),"С","C"),"А","A"),"В","B"),_xlpm.tk,_xlfn.TEXTSPLIT(_xlpm.t,"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0" t="str">
        <f t="shared" si="281"/>
        <v>ok</v>
      </c>
      <c r="DD180">
        <f t="shared" si="282"/>
        <v>16</v>
      </c>
      <c r="DE180" t="str">
        <f t="shared" si="283"/>
        <v>1P С16А</v>
      </c>
      <c r="DF180">
        <f t="shared" si="284"/>
        <v>0</v>
      </c>
      <c r="DG180">
        <f t="shared" si="285"/>
        <v>0</v>
      </c>
      <c r="DH180">
        <f t="shared" si="286"/>
        <v>0</v>
      </c>
      <c r="DI180">
        <f t="shared" si="287"/>
        <v>12.306676790620971</v>
      </c>
      <c r="DJ180">
        <f t="shared" si="288"/>
        <v>1</v>
      </c>
      <c r="DK180">
        <f>IF(ISNUMBER(AL180),AL180,К_прокл)</f>
        <v>1</v>
      </c>
      <c r="DL180">
        <f t="shared" si="289"/>
        <v>2</v>
      </c>
      <c r="DM180">
        <f>IFERROR(N(VLOOKUP(BT180,Кабель_обозначение,3,FALSE)),1)</f>
        <v>1</v>
      </c>
      <c r="DN180">
        <f>IFERROR(N(_xlfn.XLOOKUP(A180,Щиты[Щит],Щиты[ΔU до шин, %])),0)</f>
        <v>1.57</v>
      </c>
      <c r="DO180" t="str">
        <f>IFERROR(_xlfn.XLOOKUP(A180,Щиты[Щит],Щиты[Zпетли на шинах, Ом]),"")</f>
        <v/>
      </c>
      <c r="DP180">
        <f>IFERROR(N(_xlfn.XLOOKUP(A180,Щиты[Щит],Щиты[ΔU до шин (подбор), %])),0)</f>
        <v>2.5</v>
      </c>
      <c r="DQ180" t="str">
        <f>IFERROR(_xlfn.XLOOKUP(A180,Щиты[Щит],Щиты[Zпетли на шинах (подбор), Ом]),"")</f>
        <v/>
      </c>
      <c r="DR180" t="str">
        <f t="shared" si="290"/>
        <v/>
      </c>
      <c r="DS180">
        <f t="shared" si="291"/>
        <v>35</v>
      </c>
      <c r="DT180">
        <f t="shared" si="292"/>
        <v>2</v>
      </c>
      <c r="DU180">
        <f t="shared" si="293"/>
        <v>0.31</v>
      </c>
      <c r="DV180" s="6">
        <f>IF(B180="","",IF(IFERROR(VLOOKUP(AX180,УГО_спр,2,FALSE),"")="Светильник",3,4)+IF(Методика="нормы 2026",MIN(0.5,MAX(0,N(Q180)-100)*0.005),0))</f>
        <v>4</v>
      </c>
      <c r="DW180" cm="1">
        <f t="array" ref="DW180">IF(OR(B180="",BT180="",DM180&lt;&gt;1),"",_xlfn.LET(_xlpm.sz,Iдоп_S,_xlpm.t_,CHOOSE(DL180,Iдоп_1ж,Iдоп_2ж,Iдоп_3ж)*DJ180*DK180,_xlpm.inn,N(DD180),_xlpm.smin,MAX(1.5,BW180),_xlpm.L_,N(Q180)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180)*(_xlpm.rho*_xlpm.L_/_xlpm.sz*N(BY180)+_xlpm.xx*_xlpm.L_*N(DU180)/1000)*N(P180)/((Uн_лин/SQRT(3))*1000)*100,999),_xlpm.kz,IF(OR(DG180=1,NOT(ISNUMBER(DQ180)),_xlpm.L_=0,_xlpm.inn=0),1,IFERROR(--(c_min*(Uн_лин*1000/SQRT(3))/(DQ180+2*ρкз_Cu*_xlpm.L_/_xlpm.sz)&gt;=GY180*_xlpm.inn),0)),_xlpm.ok,IFERROR((_xlpm.sz&gt;=_xlpm.smin)*(_xlpm.t_&gt;=_xlpm.inn)*IF(_xlpm.L_&gt;0,(_xlpm.du_+DP180&lt;=DV180+0.00001),1)*_xlpm.kz,0),_xlpm.r_,_xlfn._xlws.FILTER(_xlpm.sz,_xlpm.ok,"не подобрано"),INDEX(_xlpm.r_,1)))</f>
        <v>6</v>
      </c>
      <c r="DX180">
        <f t="shared" si="294"/>
        <v>2.5</v>
      </c>
      <c r="DY180" cm="1">
        <f t="array" ref="DY180">IF(OR(B180="",BT180="",DM180&lt;&gt;1),"",_xlfn.LET(_xlpm.sz,Iдоп_S,_xlpm.t_,CHOOSE(DL180,Iдоп_1ж,Iдоп_2ж,Iдоп_3ж)*DJ180*DK180,_xlpm.ok,IFERROR((_xlpm.sz&gt;=MAX(1.5,BW180))*(_xlpm.t_&gt;=N(DD180)),0),_xlpm.r_,_xlfn._xlws.FILTER(_xlpm.sz,_xlpm.ok,""),INDEX(_xlpm.r_,1)))</f>
        <v>1.5</v>
      </c>
      <c r="DZ180" s="6" cm="1">
        <f t="array" ref="DZ180">IFERROR(ROUNDUP(N(DT180)*(_xlfn.XLOOKUP(DY180,INDEX(Кабель_сопротивление,0,1),INDEX(Кабель_сопротивление,0,3))*N(Q180)/DY180*N(BY180)+_xlfn.XLOOKUP(DY180,INDEX(Кабель_сопротивление,0,1),INDEX(Кабель_сопротивление,0,2))*N(Q180)*N(DU180)/1000)*N(P180)/((Uн_лин/SQRT(3))*1000)*100,2),"")</f>
        <v>5.79</v>
      </c>
      <c r="EA180">
        <f>IFERROR(2*ρкз_Cu*N(Q180)/DY180,"")</f>
        <v>1.3325333333333333</v>
      </c>
      <c r="EB180">
        <f>IFERROR(VLOOKUP(DX180,Кабель_сопротивление,3,FALSE),"")</f>
        <v>2.2499999999999999E-2</v>
      </c>
      <c r="EC180">
        <f>IFERROR(VLOOKUP(DX180,Кабель_сопротивление,2,FALSE),"")</f>
        <v>0.1</v>
      </c>
      <c r="ED180">
        <f t="shared" si="295"/>
        <v>13</v>
      </c>
      <c r="EE180" t="str">
        <f t="shared" si="296"/>
        <v/>
      </c>
      <c r="EF180">
        <f t="shared" si="297"/>
        <v>8.025873109064209</v>
      </c>
      <c r="EG180" s="6">
        <f>IFERROR(ROUNDUP(EF180/((Uн_лин/SQRT(3))*1000)*100,2),"")</f>
        <v>3.48</v>
      </c>
      <c r="EH180" t="str">
        <f>IFERROR(VLOOKUP(BT180,Кабель_обозначение,2,FALSE),"")</f>
        <v>ВВГнг(А)-LS</v>
      </c>
      <c r="EI180" t="str">
        <f t="shared" si="298"/>
        <v>ВВГнг(А)-LS (3х2,5)</v>
      </c>
      <c r="EJ180" t="str">
        <f t="shared" si="299"/>
        <v>ВВГнг(А)-LS (3х2,5)
L=38-3,48%</v>
      </c>
      <c r="EK180">
        <f>IFERROR(2*ρкз_Cu*Q180/DX180,"")</f>
        <v>0.79952000000000001</v>
      </c>
      <c r="EL180">
        <f t="shared" si="300"/>
        <v>0.26600000000000001</v>
      </c>
      <c r="EM180" s="6" t="str">
        <f>IFERROR(IF(OR(B180="",NOT(ISNUMBER(DX180)),N(Q180)=0),"",_xlfn.XLOOKUP(A180,Щиты[Щит],Щиты[Zпетли на шинах, Ом])+EK180),"")</f>
        <v/>
      </c>
      <c r="EN180" s="6" t="str">
        <f>IF(ISNUMBER(EM180),c_min*(Uн_лин*1000/SQRT(3))/EM180,"")</f>
        <v/>
      </c>
      <c r="EO180" s="6" t="str">
        <f>IFERROR(IF(OR(B180="",NOT(ISNUMBER(DX180))),"",1.05*(Uн_лин*1000/SQRT(3))/(_xlfn.XLOOKUP(A180,Щиты[Щит],Щиты[Zmax на шинах, Ом])+EL180)/1000),"")</f>
        <v/>
      </c>
      <c r="EP180" s="6" t="str">
        <f>IF(B180="","",IF(ISNUMBER(Y180),"Сил",IF(IFERROR(_xlfn.XLOOKUP(AX180,Коды_код,Коды_группа)&amp;"","")="","Быт",_xlfn.XLOOKUP(AX180,Коды_код,Коды_группа)&amp;"")))</f>
        <v>Быт</v>
      </c>
      <c r="EQ180" s="6" t="str">
        <f t="shared" si="301"/>
        <v>Пост</v>
      </c>
      <c r="ER180" s="6">
        <f>IF(EQ180="Щит","щит",IF(EQ180="","",IF(EQ180="Быт",IFERROR(_xlfn.XLOOKUP(A180,Щиты[Щит],Щиты[Кс быт]),1),IF(EQ180="Сил",IF(ISNUMBER(Y180),Y180,IF(Методика="нормы 2026",IFERROR(_xlfn.XLOOKUP(A180,Щиты[Щит],Щиты[Кс силовых (табл. 7.5)]),1),1)),IF(OR(EQ180="Пост",EQ180="Отоп"),1,IF(EQ180="ВНГ",0.7,0))))))</f>
        <v>1</v>
      </c>
      <c r="ES180">
        <f t="shared" si="302"/>
        <v>1</v>
      </c>
      <c r="ET180">
        <f t="shared" si="303"/>
        <v>2.7</v>
      </c>
      <c r="EU180">
        <f t="shared" si="304"/>
        <v>0</v>
      </c>
      <c r="EV180">
        <f t="shared" si="305"/>
        <v>0</v>
      </c>
      <c r="EW180">
        <f t="shared" si="306"/>
        <v>2.7</v>
      </c>
      <c r="EX180">
        <f t="shared" si="307"/>
        <v>0</v>
      </c>
      <c r="EY180">
        <f t="shared" si="308"/>
        <v>0</v>
      </c>
      <c r="EZ180">
        <f t="shared" si="309"/>
        <v>2.7</v>
      </c>
      <c r="FA180">
        <f t="shared" si="310"/>
        <v>2.5649999999999999</v>
      </c>
      <c r="FB180">
        <f t="shared" si="311"/>
        <v>2.7</v>
      </c>
      <c r="FC180" t="str">
        <f t="shared" si="312"/>
        <v>L1</v>
      </c>
      <c r="FD180" t="str">
        <f>IF(B180="","",IF(CA180=0,IF(AW180=1,"",FF179),IF(OR(N(CV180)&gt;=3,N(BR180)&gt;=3),"L1,L2,L3",IFERROR(_xlfn.TEXTBEFORE(_xlfn.TEXTAFTER(_xlfn.XLOOKUP(A180,Щиты[Щит],Щиты[_фазы авто]),";"&amp;AW180&amp;":"),";"),"L1"))))</f>
        <v>L1</v>
      </c>
      <c r="FE180" t="str">
        <f t="shared" si="313"/>
        <v>L1</v>
      </c>
      <c r="FF180" t="str">
        <f t="shared" si="314"/>
        <v>L1</v>
      </c>
      <c r="FG180" cm="1">
        <f t="array" ref="FG180">IFERROR(IF(BX180=2,_xlfn.IFS(BR180=3,VLOOKUP(BN180,Справочная_двигатели,3,FALSE),BR180=1,VLOOKUP(BN180,Справочная_двигатели,5,TRUE)),0),0)</f>
        <v>0</v>
      </c>
      <c r="FH180">
        <f>IFERROR(IF(BX180=3,VLOOKUP(BN180,Справочная_ЛЭД,2,TRUE),0),0)</f>
        <v>0</v>
      </c>
      <c r="FI180" s="6">
        <f t="shared" si="315"/>
        <v>0</v>
      </c>
      <c r="FJ180" t="str" cm="1">
        <f t="array" ref="FJ180">IF(B180="","",IFERROR(INDEX({"I особая","I","II","III"},MATCH(TRIM(AC180&amp;""),{"I особая","I","II","III"},0)),"III"))</f>
        <v>II</v>
      </c>
      <c r="FK180" t="str">
        <f>IF(B180="","",IF(TRIM(AD180&amp;"")&lt;&gt;"",IF(LOWER(TRIM(AD180&amp;""))="да","да","нет"),IF(IFERROR(_xlfn.XLOOKUP(AX180,Коды_код,Коды_пожарная),"")="да","да","нет")))</f>
        <v>нет</v>
      </c>
      <c r="FL180" t="str">
        <f t="shared" si="316"/>
        <v/>
      </c>
      <c r="FM180" t="str">
        <f t="shared" si="317"/>
        <v>основная</v>
      </c>
      <c r="FN180">
        <f t="shared" si="318"/>
        <v>1</v>
      </c>
      <c r="FO180" t="str" cm="1">
        <f t="array" ref="FO180">IF(B180="","",_xlfn.LET(_xlpm.t,IFERROR(_xlfn.XLOOKUP(1,(Шины[Шина]=FM180)*(((Шины[Щит]=A180)+(Шины[Щит]=""))&gt;0),Шины[Тип]),"")&amp;"",IF(_xlpm.t&lt;&gt;"",_xlpm.t,IF(ISNUMBER(SEARCH("ИБП",FM180)),"ИБП",IF(ISNUMBER(SEARCH("ДГУ",FM180)),"ДГУ","Ввод "&amp;FN180)))))</f>
        <v>Ввод 1</v>
      </c>
      <c r="FP180" t="str">
        <f t="shared" si="319"/>
        <v>Ввод 1</v>
      </c>
      <c r="FQ180" t="str">
        <f>IF(B180="","",IF(OR(FO180="ИБП",FO180="ДГУ"),"I особая",IF(FO180="Одиночная","III",_xlfn.XLOOKUP(A180,Щиты[Щит],Щиты[Категория шины «Ввод»],"III"))))</f>
        <v>II</v>
      </c>
      <c r="FR180">
        <f>IF(B180="",0,IFERROR(MATCH(FJ180,{"III","II","I","I особая"},0),1))</f>
        <v>2</v>
      </c>
      <c r="FS180">
        <f t="shared" si="320"/>
        <v>2</v>
      </c>
      <c r="FT180" t="str">
        <f>IF(B180="","",IF(FR180&gt;IFERROR(MATCH(FQ180,{"III","II","I","I особая"},0),1),"НЕ ОБЕСПЕЧЕНА","ОК"))</f>
        <v>ОК</v>
      </c>
      <c r="FU180" t="str">
        <f>IF(A180="","",_xlfn.XLOOKUP(A180,Щиты[Щит],Щиты[Путь],""))</f>
        <v>|ГРЩ-ЖД|ЩР-001|</v>
      </c>
      <c r="FV180" t="str">
        <f>IF(B180="","",IF(AE180&lt;&gt;"",AE180,IF(IFERROR(_xlfn.XLOOKUP(AX180,Коды_код,Коды_вид)&amp;"","")="","Прочее",_xlfn.XLOOKUP(AX180,Коды_код,Коды_вид)&amp;"")))</f>
        <v>Слаботочные системы, автоматизация, KNX</v>
      </c>
      <c r="FW180">
        <f>IF(BH180="","",INT((BH180-1)/Столбцов_на_лист)+1)</f>
        <v>3</v>
      </c>
      <c r="FX180" t="str">
        <f t="shared" si="321"/>
        <v>ВВГнг(А)-LS (3х2,5) L=38-3,48%</v>
      </c>
      <c r="FY180">
        <f t="shared" si="322"/>
        <v>2.7</v>
      </c>
      <c r="FZ180">
        <f t="shared" si="323"/>
        <v>12.31</v>
      </c>
      <c r="GA180">
        <f t="shared" si="324"/>
        <v>1</v>
      </c>
      <c r="GB180">
        <f t="shared" si="325"/>
        <v>0</v>
      </c>
      <c r="GC180">
        <f t="shared" si="326"/>
        <v>1</v>
      </c>
      <c r="GD180">
        <f>IF(BH180="","",IF(AND(CA180=1,GC180=1),COUNTIFS(A$3:A180,A180,CA$3:CA180,1,GC$3:GC180,1),IF(OR(OR(AW180=1,A180&lt;&gt;A179),AF180="вручную",GC180=0),"",IF(AW180=1,"",GE179))))</f>
        <v>26</v>
      </c>
      <c r="GE180">
        <f t="shared" si="327"/>
        <v>26</v>
      </c>
      <c r="GF180">
        <f>IF(B180="","",IFERROR(LOOKUP(INDEX(CHOOSE(DL180,Iдоп_1ж,Iдоп_2ж,Iдоп_3ж),MATCH(DX180,Iдоп_S,0))*DJ180*DK180,{6,10,16,20,25,32,40,50,63,80,100,125,160,200,250,315,400,500,630}),""))</f>
        <v>25</v>
      </c>
      <c r="GG180" t="str">
        <f t="shared" si="328"/>
        <v>QF26</v>
      </c>
      <c r="GH180" t="str">
        <f t="shared" si="329"/>
        <v>QF26</v>
      </c>
      <c r="GI180" t="str">
        <f t="shared" si="330"/>
        <v/>
      </c>
      <c r="GJ180">
        <f t="shared" si="331"/>
        <v>0</v>
      </c>
      <c r="GK180" t="str">
        <f>IF(OR(AG180="",AG180="-"),"",IFERROR(VLOOKUP(AG180,Модули_спр,2,FALSE),"R"))</f>
        <v/>
      </c>
      <c r="GL180" t="str">
        <f>IF(GK180="","",GK180&amp;"."&amp;COUNTIFS(A$3:A180,A180,GK$3:GK180,GK180))</f>
        <v/>
      </c>
      <c r="GM180" t="str">
        <f t="shared" si="332"/>
        <v/>
      </c>
      <c r="GN180" t="str">
        <f t="shared" si="333"/>
        <v/>
      </c>
      <c r="GO180" t="str">
        <f t="shared" si="334"/>
        <v/>
      </c>
      <c r="GP180" t="str">
        <f t="shared" si="335"/>
        <v/>
      </c>
      <c r="GQ180">
        <f t="shared" si="336"/>
        <v>1</v>
      </c>
      <c r="GR180" t="str">
        <f>IF(GQ180=1,"XT"&amp;COUNTIFS(A$3:A180,A180,GQ$3:GQ180,1),"")</f>
        <v>XT26</v>
      </c>
      <c r="GS180" t="str">
        <f t="shared" si="337"/>
        <v>XT26</v>
      </c>
      <c r="GT180" t="str">
        <f t="shared" si="338"/>
        <v>QF26</v>
      </c>
      <c r="GU180" t="str">
        <f t="shared" si="339"/>
        <v/>
      </c>
      <c r="GV180" t="str">
        <f t="shared" si="340"/>
        <v>ok</v>
      </c>
      <c r="GW180" t="str">
        <f>IF(OR(GO180="",GM180=""),"",IF(GO180&gt;IFERROR(VLOOKUP(GN180,Модули_спр,3,FALSE),99),"ЛИШНИЙ КАНАЛ",IF(AND(AH180&lt;&gt;"=",COUNTIFS(Линии[_модуль гр.],GM180,Линии[Канал (итог)],GO180,Линии[Канал],"&lt;&gt;=",Линии[Щит],A180)&gt;1),"ДУБЛЬ КАНАЛА","")))</f>
        <v/>
      </c>
      <c r="GX180" s="6" t="str">
        <f t="shared" si="341"/>
        <v/>
      </c>
      <c r="GY180">
        <f t="shared" si="342"/>
        <v>10</v>
      </c>
      <c r="GZ180" t="str">
        <f t="shared" si="343"/>
        <v/>
      </c>
      <c r="HA180" t="str">
        <f>IF(AND(B180="",GT180=""),"",_xlfn.TEXTJOIN("; ",TRUE,IF(AND(B180&lt;&gt;"",FE180=""),"нет фазы",""),IF(AND(B180&lt;&gt;"",N(FY180)=0,EQ180&lt;&gt;"Нет"),"нет мощности",""),IF(AND(GS180&lt;&gt;"",COUNTIFS(Линии[Щит],A180,Линии[Клемма (итог)],GS180)&gt;1),"дубль клеммы "&amp;GS180,""),IF(AND(GV180&lt;&gt;"",GV180&lt;&gt;"ok"),GV180,""),IF(GW180&lt;&gt;"",GW180,""),IF(AND(N(BV180)&gt;=4,N(BR180)=1),BV180&amp;" жил на 1 фазе",""),IF(AND(AX180="R",CA180=1,OR(N(CK180)=0,N(CK180)&gt;30)),"розетка без дифзащиты до 30 мА",""),IFERROR(IF(AND(ISNUMBER(R180),R180&gt;DV180),"потери "&amp;FIXED(R180,1)&amp;" % &gt; "&amp;DV180&amp;" %",""),""),IFERROR(IF(LEFT(GZ180,4)="мало","Iкз мало — отключение &gt; 0,4 с",""),""),IF(AND(B180&lt;&gt;"",BH180=""),"не на схеме",""),IF(AND(CA180=0,B180&lt;&gt;"",FE180&lt;&gt;"",IF(AW180=1,"",FF179)&lt;&gt;"",FE180&lt;&gt;IF(AW180=1,"",FF179)),"фаза не как у автомата группы ("&amp;IF(AW180=1,"",FF179)&amp;")","")))</f>
        <v>потери 5,1 % &gt; 4 %</v>
      </c>
      <c r="HB180" s="6">
        <f>IF(OR(CA180=0,DA180=""),"",_xlfn.LET(_xlpm.t,IFERROR(_xlfn.XLOOKUP(DA180,Каталог!$U$4:$U$500,Каталог!$G$4:$G$500),""),_xlpm.k,SEARCH("кА",_xlpm.t),IFERROR(--TRIM(RIGHT(SUBSTITUTE(MID(_xlpm.t,MAX(1,_xlpm.k-4),_xlpm.k-MAX(1,_xlpm.k-4))," ",REPT(" ",9)),5)),"")))</f>
        <v>6</v>
      </c>
      <c r="HC180" t="str">
        <f>IF(OR(HB180="",CA180=0),"",IF(_xlfn.XLOOKUP(A180,Щиты[Щит],Щиты[Iкз max на шинах, кА],"")="","",IF(HB180&lt;_xlfn.XLOOKUP(A180,Щиты[Щит],Щиты[Iкз max на шинах, кА]),"Icu "&amp;HB180&amp;" кА &lt; Iкз max","ok")))</f>
        <v/>
      </c>
      <c r="HD180" t="str">
        <f t="shared" si="344"/>
        <v/>
      </c>
      <c r="HE180" t="str">
        <f t="shared" si="345"/>
        <v>QF26|XT26</v>
      </c>
      <c r="HF180" t="str">
        <f t="shared" si="346"/>
        <v>QF26|XT26|кабель ВВГнг(А)-LS (3х2,5) → Шкаф телекоммуникационный ШТК-ЛВС.00  Подвальный этаж Пом. №007Т</v>
      </c>
      <c r="HG180" t="str" cm="1">
        <f t="array" ref="HG180">IF(HF180="","",_xlfn.LET(_xlpm.nd,_xlfn.TEXTSPLIT(HF180,"|"),IF(COLUMNS(_xlpm.nd)&gt;1,A180&amp;"¦"&amp;INDEX(_xlpm.nd,1)&amp;"¦"&amp;INDEX(_xlpm.nd,2),"")))</f>
        <v>ЩР-001¦QF26¦XT26</v>
      </c>
      <c r="HH180" t="str">
        <f t="shared" si="347"/>
        <v>ШТК-ЛВС.00¦Шкаф телекоммуникационный ШТК-ЛВС.00  Подвальный этаж Пом. №007Т</v>
      </c>
      <c r="HI180" t="str" cm="1">
        <f t="array" ref="HI180">IF(HF180="","",_xlfn.LET(_xlpm.nd,_xlfn.TEXTSPLIT(HF180,"|"),IF(COLUMNS(_xlpm.nd)&gt;2,A180&amp;"¦"&amp;INDEX(_xlpm.nd,2)&amp;"¦"&amp;INDEX(_xlpm.nd,3),"")))</f>
        <v>ЩР-001¦XT26¦кабель ВВГнг(А)-LS (3х2,5) → Шкаф телекоммуникационный ШТК-ЛВС.00  Подвальный этаж Пом. №007Т</v>
      </c>
      <c r="HJ180" t="str">
        <f t="shared" si="348"/>
        <v>ШТК-ЛВС.00¦Шкаф телекоммуникационный ШТК-ЛВС.00  Подвальный этаж Пом. №007Т</v>
      </c>
      <c r="HK180" t="str" cm="1">
        <f t="array" ref="HK180">IF(HF180="","",_xlfn.LET(_xlpm.nd,_xlfn.TEXTSPLIT(HF180,"|"),IF(COLUMNS(_xlpm.nd)&gt;3,A180&amp;"¦"&amp;INDEX(_xlpm.nd,3)&amp;"¦"&amp;INDEX(_xlpm.nd,4),"")))</f>
        <v/>
      </c>
      <c r="HL180" t="str">
        <f t="shared" si="349"/>
        <v/>
      </c>
      <c r="HM180" t="str" cm="1">
        <f t="array" ref="HM180">IF(HF180="","",_xlfn.LET(_xlpm.nd,_xlfn.TEXTSPLIT(HF180,"|"),IF(COLUMNS(_xlpm.nd)&gt;4,A180&amp;"¦"&amp;INDEX(_xlpm.nd,4)&amp;"¦"&amp;INDEX(_xlpm.nd,5),"")))</f>
        <v/>
      </c>
      <c r="HN180" t="str">
        <f t="shared" si="350"/>
        <v/>
      </c>
      <c r="HO180" t="str" cm="1">
        <f t="array" ref="HO180">IF(HF180="","",_xlfn.LET(_xlpm.nd,_xlfn.TEXTSPLIT(HF180,"|"),IF(COLUMNS(_xlpm.nd)&gt;5,A180&amp;"¦"&amp;INDEX(_xlpm.nd,5)&amp;"¦"&amp;INDEX(_xlpm.nd,6),"")))</f>
        <v/>
      </c>
      <c r="HP180" t="str">
        <f t="shared" si="351"/>
        <v/>
      </c>
      <c r="HQ180" t="str" cm="1">
        <f t="array" ref="HQ180">IF(HF180="","",_xlfn.LET(_xlpm.nd,_xlfn.TEXTSPLIT(HF180,"|"),IF(COLUMNS(_xlpm.nd)&gt;6,A180&amp;"¦"&amp;INDEX(_xlpm.nd,6)&amp;"¦"&amp;INDEX(_xlpm.nd,7),"")))</f>
        <v/>
      </c>
      <c r="HR180" t="str">
        <f t="shared" si="352"/>
        <v/>
      </c>
      <c r="HS180" t="str">
        <f t="shared" si="353"/>
        <v/>
      </c>
      <c r="HT180" t="str">
        <f t="shared" si="354"/>
        <v>QF26 → XT26</v>
      </c>
      <c r="HU180">
        <f t="shared" si="355"/>
        <v>0</v>
      </c>
      <c r="HV180">
        <f t="shared" si="356"/>
        <v>0</v>
      </c>
      <c r="HW180" t="str">
        <f t="shared" si="357"/>
        <v/>
      </c>
      <c r="HX180" t="str">
        <f t="shared" si="358"/>
        <v/>
      </c>
      <c r="HY180" t="str">
        <f t="shared" si="359"/>
        <v/>
      </c>
      <c r="HZ180" t="str">
        <f t="shared" si="360"/>
        <v/>
      </c>
      <c r="IA180">
        <f>IF(B180="","",IFERROR(VLOOKUP(B180,УГО_спр,2,FALSE),IFERROR(VLOOKUP(AX180,УГО_спр,2,FALSE),IFERROR(VLOOKUP(LEFT(AX180,2),УГО_спр,2,FALSE),""))))</f>
        <v>0</v>
      </c>
      <c r="IB180" t="str">
        <f>IF(B180="","",IF(OR(IA180="",IA180=0),"BOX",IFERROR(IF(VLOOKUP(IA180,УГО_блоки,3,FALSE)&amp;""&lt;&gt;"",VLOOKUP(IA180,УГО_блоки,3,FALSE),VLOOKUP(IA180,УГО_блоки,2,FALSE)),IA180)))</f>
        <v>BOX</v>
      </c>
      <c r="IC180">
        <f t="shared" si="361"/>
        <v>1</v>
      </c>
      <c r="ID180" t="str">
        <f>IF(DA180="","",IF(COUNTIF(DA$3:DA180,DA180)=1,MAX(ID$2:ID179)+1,""))</f>
        <v/>
      </c>
      <c r="IE180" t="str">
        <f>IF(CO180="","",IF(COUNTIF(CO$3:CO180,CO180)+COUNTIF(CP$2:CP179,CO180)+COUNTIF(CQ$2:CQ179,CO180)=1,MAX(IE$2:IG179)+1,""))</f>
        <v/>
      </c>
      <c r="IF180" t="str">
        <f>IF(CP180="","",IF(COUNTIF(CO$3:CO180,CP180)+COUNTIF(CP$3:CP180,CP180)+COUNTIF(CQ$2:CQ179,CP180)=1,MAX(IE$2:IG179,IE180)+1,""))</f>
        <v/>
      </c>
      <c r="IG180" t="str">
        <f>IF(CQ180="","",IF(COUNTIF(CO$3:CO180,CQ180)+COUNTIF(CP$3:CP180,CQ180)+COUNTIF(CQ$3:CQ180,CQ180)=1,MAX(IE$2:IG179,IE180,IF180)+1,""))</f>
        <v/>
      </c>
      <c r="IH180" t="str">
        <f t="shared" si="362"/>
        <v>3х2,5</v>
      </c>
      <c r="II180" t="str">
        <f>IF(IH180="","",IF(COUNTIF(IH$3:IH180,IH180)=1,MAX(II$2:II179)+1,""))</f>
        <v/>
      </c>
      <c r="IJ180" t="str">
        <f>IF(GL180="","",COUNTIF(GL$3:GL180,"?*"))</f>
        <v/>
      </c>
      <c r="IK180" t="str">
        <f>IF(OR(GL180="",GN180=""),"",IF(COUNTIFS(GL$3:GL180,"?*",GN$3:GN180,GN180)=1,MAX(IK$2:IK179)+1,""))</f>
        <v/>
      </c>
      <c r="IL180">
        <f t="shared" si="363"/>
        <v>1</v>
      </c>
      <c r="IM180">
        <f>IF(B180="","",COUNTIF(B$3:B180,"?*"))</f>
        <v>178</v>
      </c>
      <c r="IN180">
        <f>IF(GQ180&lt;&gt;1,0,_xlfn.LET(_xlpm.k,MAX(IFERROR(--VLOOKUP(B180,УГО_спр,5,FALSE),0),IFERROR(--VLOOKUP(AX180,УГО_спр,5,FALSE),0),IFERROR(--VLOOKUP(LEFT(AX180,2),УГО_спр,5,FALSE),0)),IF(_xlpm.k&gt;0,_xlpm.k,IF(IFERROR(--LEFT(SUBSTITUTE(IH180,"x","х"),FIND("х",SUBSTITUTE(IH180,"x","х"))-1),3)&gt;3,Каталог!$S$9,1))))</f>
        <v>1</v>
      </c>
      <c r="IO180">
        <f t="shared" si="364"/>
        <v>0</v>
      </c>
      <c r="IP180" t="str">
        <f t="shared" si="365"/>
        <v>авто</v>
      </c>
      <c r="IQ180" t="str">
        <f t="shared" si="366"/>
        <v/>
      </c>
      <c r="IR180">
        <f t="shared" si="367"/>
        <v>0</v>
      </c>
      <c r="IS180">
        <f t="shared" si="368"/>
        <v>1</v>
      </c>
    </row>
    <row r="181" spans="1:253" x14ac:dyDescent="0.3">
      <c r="A181" t="s">
        <v>755</v>
      </c>
      <c r="B181" t="s">
        <v>1448</v>
      </c>
      <c r="C181" t="s">
        <v>1653</v>
      </c>
      <c r="D181">
        <v>1</v>
      </c>
      <c r="E181">
        <v>2</v>
      </c>
      <c r="G181">
        <v>16</v>
      </c>
      <c r="H181" t="str">
        <f>Линии[[#This Row],[_авто утечка]]</f>
        <v/>
      </c>
      <c r="I181" t="str">
        <f>Линии[[#This Row],[_авто управление]]</f>
        <v/>
      </c>
      <c r="J181" t="str">
        <f>Линии[[#This Row],[_авто аппараты]]</f>
        <v/>
      </c>
      <c r="K181">
        <v>2.5</v>
      </c>
      <c r="L181">
        <v>36</v>
      </c>
      <c r="M181">
        <v>2</v>
      </c>
      <c r="N181" t="s">
        <v>486</v>
      </c>
      <c r="O181" t="str">
        <f t="shared" si="246"/>
        <v>потери 4,2 % &gt; 4 %</v>
      </c>
      <c r="P181" s="6" cm="1">
        <f t="array" ref="P181">IF(B181="","",IF(BC181&lt;&gt;"",IFERROR(_xlfn.XLOOKUP(BC181,Щиты[Щит],Щиты[Iр, А]),""),IF(BK181=1,IFERROR(_xlfn.XLOOKUP(A181,Щиты[Щит],Щиты[Iр, А]),""),IFERROR(_xlfn.IFS(BR181=1,BN181/((Uн_лин/SQRT(3))*BY181),BR181=3,BN181/(SQRT(3)*Uн_лин*BY181)),""))))</f>
        <v>9.1160568819414589</v>
      </c>
      <c r="Q181" s="7">
        <f>IF(B181="","",IFERROR(IF(VLOOKUP(AX181,Потребители_обозначение,4,FALSE)=1,VLOOKUP(AX181,Потребители_обозначение,3,FALSE)*(D181*2-1)+DS181+VLOOKUP(AZ181,Этаж_обозначение,3,FALSE)+VLOOKUP(AZ181,Этаж_обозначение,4,FALSE),VLOOKUP(AX181,Потребители_обозначение,3,FALSE)*(D181*2-1)+DS181),DS181))</f>
        <v>39</v>
      </c>
      <c r="R181" s="6">
        <f t="shared" si="247"/>
        <v>4.22</v>
      </c>
      <c r="S181" t="str">
        <f t="shared" si="248"/>
        <v>ВВГнг(А)-LS (3х2,5)</v>
      </c>
      <c r="T181" t="str">
        <f>IF(BH181="","",IF(BI181="вводной узел","узел ","")&amp;"л."&amp;(INT((BH181-1)/Столбцов_на_лист)+1)&amp;" / "&amp;(MOD(BH181-1,Столбцов_на_лист)+1))</f>
        <v>л.3 / 14</v>
      </c>
      <c r="V181">
        <v>1</v>
      </c>
      <c r="W181">
        <v>230</v>
      </c>
      <c r="X181" t="s">
        <v>575</v>
      </c>
      <c r="AC181" t="s">
        <v>815</v>
      </c>
      <c r="AE181" t="s">
        <v>574</v>
      </c>
      <c r="AI181">
        <v>48</v>
      </c>
      <c r="AJ181" t="s">
        <v>11</v>
      </c>
      <c r="AK181">
        <v>3</v>
      </c>
      <c r="AM181">
        <v>17</v>
      </c>
      <c r="AN181">
        <v>14</v>
      </c>
      <c r="AW181" cm="1">
        <f t="array" ref="AW181">ROW()-ROW(Линии[#Headers])</f>
        <v>179</v>
      </c>
      <c r="AX181" s="6" t="str">
        <f t="shared" si="249"/>
        <v>ШТК-СОТ</v>
      </c>
      <c r="AY181" t="str">
        <f t="shared" si="250"/>
        <v>00</v>
      </c>
      <c r="AZ181" t="str">
        <f t="shared" si="251"/>
        <v>00</v>
      </c>
      <c r="BA181" t="str">
        <f t="shared" si="252"/>
        <v/>
      </c>
      <c r="BB181" t="str">
        <f t="shared" si="253"/>
        <v/>
      </c>
      <c r="BC181" t="str">
        <f>IF(U181&lt;&gt;"",U181,IF(AND(B181&lt;&gt;"",B181&lt;&gt;A181,ISNUMBER(_xlfn.XMATCH(B181,Щиты[Щит]))),B181,""))</f>
        <v/>
      </c>
      <c r="BD181" t="str" cm="1">
        <f t="array" ref="BD181">IF(B181="","",IF(BC181&lt;&gt;"","Щит "&amp;BC181,_xlfn.LET(_xlpm.nm,IFERROR(_xlfn.XLOOKUP(AX181,Коды_код,Коды_имя)&amp;"",""),_xlpm.md,IFERROR(N(_xlfn.XLOOKUP(AX181,Коды_код,Коды_режим)),1),_xlpm.ex,IF(Имя_режим="по экспликации",IFERROR(_xlfn.XLOOKUP(AZ181&amp;"|"&amp;BB181,Экспликация[Этаж]&amp;"|"&amp;Экспликация[Помещение],Экспликация[Название])&amp;"",""),""),_xlpm.rm,IF(BB181="","",IF(_xlpm.ex&lt;&gt;"",". "&amp;_xlpm.ex&amp;IF(Имя_пом="нет"," ("&amp;BB181&amp;")"," (пом. "&amp;BB181&amp;")"),IF(Имя_пом="нет"," ",", пом. ")&amp;BB181)),IF(_xlpm.nm="","",IF(_xlpm.md=2,_xlpm.nm&amp;" шлейф "&amp;AZ181,_xlpm.nm&amp;_xlpm.rm)))))</f>
        <v>Шкаф телекоммуникационный СОТ шлейф 00</v>
      </c>
      <c r="BE181" t="str">
        <f t="shared" si="254"/>
        <v>Шкаф телекоммуникационный ШТК-СОТ.00  Подвальный этаж Пом. №007Т</v>
      </c>
      <c r="BF181">
        <f>IFERROR(_xlfn.XMATCH(A181,Щиты[Щит]),0)</f>
        <v>8</v>
      </c>
      <c r="BG181">
        <f>_xlfn.LET(_xlpm.k,IFERROR(_xlfn.XLOOKUP(A181,Щиты[Щит],Щиты[Листов под вводной узел]),""),IF(_xlpm.k="",1,N(_xlpm.k))*Столбцов_на_лист)</f>
        <v>17</v>
      </c>
      <c r="BH181">
        <f t="shared" si="255"/>
        <v>48</v>
      </c>
      <c r="BI181" t="str">
        <f t="shared" si="256"/>
        <v>линии</v>
      </c>
      <c r="BJ181" s="6">
        <f>IFERROR(N(_xlfn.XLOOKUP(AX181,Коды_код,Коды_квт)),0)</f>
        <v>0</v>
      </c>
      <c r="BK181">
        <f t="shared" si="257"/>
        <v>0</v>
      </c>
      <c r="BL181" t="str">
        <f>IF(B181="","",IF(BC181&lt;&gt;"",IFERROR(_xlfn.XLOOKUP(BC181,Щиты[Щит],Щиты[Руст, кВт]),0),IF(BK181=1,IFERROR(_xlfn.XLOOKUP(A181,Щиты[Щит],Щиты[Руст, кВт]),0),IF(BJ181&gt;0,ROUND(BJ181*MAX(1,N(D181)),3),""))))</f>
        <v/>
      </c>
      <c r="BM181">
        <f t="shared" si="258"/>
        <v>2</v>
      </c>
      <c r="BN181" s="6">
        <f>IF(B181="","",IF(BC181&lt;&gt;"",IFERROR(_xlfn.XLOOKUP(BC181,Щиты[Щит],Щиты[Руст, кВт]),0),N(BM181)))</f>
        <v>2</v>
      </c>
      <c r="BO181" t="str">
        <f>IF(B181="","",IFERROR(IF(VLOOKUP(AX181,Потребители_обозначение,8,FALSE)=0,"",VLOOKUP(AX181,Потребители_обозначение,8,FALSE)),""))</f>
        <v/>
      </c>
      <c r="BP181">
        <f t="shared" si="259"/>
        <v>230</v>
      </c>
      <c r="BQ181">
        <f>IF(B181="","",IF(BC181&lt;&gt;"",3,IFERROR(IF(N(VLOOKUP(AX181,Потребители_обозначение,9,FALSE))=0,1,VLOOKUP(AX181,Потребители_обозначение,9,FALSE)),1)))</f>
        <v>1</v>
      </c>
      <c r="BR181">
        <f t="shared" si="260"/>
        <v>1</v>
      </c>
      <c r="BS181" t="str">
        <f>IF(B181="","",_xlfn.LET(_xlpm.bc,IFERROR(IF(VLOOKUP(AX181,Потребители_обозначение,6,FALSE)=0,"",VLOOKUP(AX181,Потребители_обозначение,6,FALSE)&amp;""),""),IF(AND(FK181="да",OR(_xlpm.bc="",_xlpm.bc="мс")),Марка_пож,IF(AND(_xlpm.bc="",BC181&lt;&gt;""),"мс",_xlpm.bc))))</f>
        <v/>
      </c>
      <c r="BT181" t="str">
        <f t="shared" si="261"/>
        <v>мс</v>
      </c>
      <c r="BU181">
        <f>IF(B181="","",_xlfn.LET(_xlpm.cc,IFERROR(N(VLOOKUP(AX181,Потребители_обозначение,7,FALSE)),0),IF(_xlpm.cc&gt;0,_xlpm.cc,IF(BT181="","",IF(N(BR181)=3,5,3)))))</f>
        <v>3</v>
      </c>
      <c r="BV181">
        <f t="shared" si="262"/>
        <v>3</v>
      </c>
      <c r="BW181">
        <f>IFERROR(N(VLOOKUP(AX181,Потребители_обозначение,10,FALSE)),0)</f>
        <v>0</v>
      </c>
      <c r="BX181">
        <f>IFERROR(VLOOKUP(AX181,Потребители_обозначение,5,FALSE),0)</f>
        <v>1</v>
      </c>
      <c r="BY181" s="6" cm="1">
        <f t="array" ref="BY181">IF(B181="","",IF(BC181&lt;&gt;"",IFERROR(_xlfn.XLOOKUP(BC181,Щиты[Щит],Щиты[cos φ]),0.95),IF(BK181=1,IFERROR(_xlfn.XLOOKUP(A181,Щиты[Щит],Щиты[cos φ]),0.95),IF(ISNUMBER(Z181),Z181,IFERROR(IF(BX181=2,_xlfn.IFS(BR181=3,VLOOKUP(BN181,Справочная_двигатели,8,FALSE),BR181=1,VLOOKUP(BN181,Справочная_двигатели,10,TRUE)),IF(AND(Методика="нормы 2026",EQ181="Сил"),0.8,0.95)),0.95)))))</f>
        <v>0.95</v>
      </c>
      <c r="BZ181">
        <f t="shared" si="263"/>
        <v>0</v>
      </c>
      <c r="CA181">
        <f t="shared" si="264"/>
        <v>1</v>
      </c>
      <c r="CB181">
        <f t="shared" si="265"/>
        <v>0</v>
      </c>
      <c r="CC181">
        <f t="shared" si="266"/>
        <v>0</v>
      </c>
      <c r="CD181">
        <f t="shared" si="267"/>
        <v>0</v>
      </c>
      <c r="CE181">
        <f t="shared" si="268"/>
        <v>0</v>
      </c>
      <c r="CF181">
        <f t="shared" si="269"/>
        <v>0</v>
      </c>
      <c r="CG181">
        <f>IF(AX181="",0,_xlfn.LET(_xlpm.v,IFERROR(VLOOKUP(B181,УГО_спр,3,FALSE),IFERROR(VLOOKUP(AX181,УГО_спр,3,FALSE),IFERROR(VLOOKUP(LEFT(AX181,2),УГО_спр,3,FALSE),""))),IF(_xlpm.v="да",30,IF(ISNUMBER(_xlpm.v),_xlpm.v,0))))</f>
        <v>0</v>
      </c>
      <c r="CH181" t="str">
        <f t="shared" si="270"/>
        <v/>
      </c>
      <c r="CI181" t="str">
        <f>_xlfn.LET(_xlpm.k,IFERROR(_xlfn.XLOOKUP(AX181,Коды_код,Коды_утечка)&amp;"",""),IF(_xlpm.k="","дифавтомат",_xlpm.k))</f>
        <v>дифавтомат</v>
      </c>
      <c r="CJ181">
        <f t="shared" si="271"/>
        <v>0</v>
      </c>
      <c r="CK181">
        <f t="shared" si="272"/>
        <v>0</v>
      </c>
      <c r="CL181">
        <f>IF(B181="",0,IFERROR(--VLOOKUP(B181,УГО_спр,4,FALSE),IFERROR(--VLOOKUP(AX181,УГО_спр,4,FALSE),IFERROR(--VLOOKUP(LEFT(AX181,2),УГО_спр,4,FALSE),0))))</f>
        <v>0</v>
      </c>
      <c r="CM181" t="str">
        <f>IF(B181="","",IFERROR(_xlfn.XLOOKUP(AX181,Коды_код,Коды_апп)&amp;"",""))</f>
        <v/>
      </c>
      <c r="CN181" t="str">
        <f t="shared" si="273"/>
        <v/>
      </c>
      <c r="CO181" t="str" cm="1">
        <f t="array" ref="CO181">IF(TRIM(CN181&amp;"")="","",IFERROR(TRIM(INDEX(_xlfn.TEXTSPLIT(CN181&amp;";;;",";"),1)),""))</f>
        <v/>
      </c>
      <c r="CP181" t="str" cm="1">
        <f t="array" ref="CP181">IF(TRIM(CN181&amp;"")="","",IFERROR(TRIM(INDEX(_xlfn.TEXTSPLIT(CN181&amp;";;;",";"),2)),""))</f>
        <v/>
      </c>
      <c r="CQ181" t="str" cm="1">
        <f t="array" ref="CQ181">IF(TRIM(CN181&amp;"")="","",IFERROR(TRIM(INDEX(_xlfn.TEXTSPLIT(CN181&amp;";;;",";"),3)),""))</f>
        <v/>
      </c>
      <c r="CR181">
        <f t="shared" si="274"/>
        <v>0</v>
      </c>
      <c r="CS181" t="str">
        <f>IF(B181="","",_xlfn.LET(_xlpm.t,LOWER(AV181&amp;""),IF(ISNUMBER(SEARCH("dim",_xlpm.t)),"DIM",IF(ISNUMBER(SEARCH("dali",_xlpm.t)),"DALI",IF(OR(ISNUMBER(SEARCH("relay",_xlpm.t)),ISNUMBER(SEARCH("реле",_xlpm.t))),"Relay",IF(ISNUMBER(SEARCH("кнопк",_xlpm.t)),"",IFERROR(_xlfn.XLOOKUP(AX181,Коды_код,Коды_упр)&amp;"","")))))))</f>
        <v/>
      </c>
      <c r="CT181" t="str">
        <f t="shared" si="275"/>
        <v/>
      </c>
      <c r="CU181">
        <f>IF(B181="","",_xlfn.LET(_xlpm.ig,N(P181)+IF(AF181="вручную",0,N(CB181)),_xlpm.n0,IFERROR(VLOOKUP(_xlpm.ig,Автомат_номиналы,2,TRUE),0),_xlpm.mn,MAX(CL181,IF(AF181="вручную",0,N(CE181))),MAX(_xlpm.n0,_xlpm.mn,IF(CR181=1,Мин_автомат_БП,0))))</f>
        <v>16</v>
      </c>
      <c r="CV181">
        <f t="shared" si="276"/>
        <v>1</v>
      </c>
      <c r="CW181" t="str">
        <f t="shared" si="277"/>
        <v>1P</v>
      </c>
      <c r="CX181" t="str">
        <f>_xlfn.LET(_xlpm.cc,UPPER(TRIM(IFERROR(_xlfn.XLOOKUP(AX181,Коды_код,Коды_хар)&amp;"",""))),IF(OR(_xlpm.cc="B",_xlpm.cc="В"),"B",IF(_xlpm.cc="D","D","С")))</f>
        <v>С</v>
      </c>
      <c r="CY181" t="str">
        <f t="shared" si="278"/>
        <v>1P С16А</v>
      </c>
      <c r="CZ181">
        <f t="shared" si="279"/>
        <v>16</v>
      </c>
      <c r="DA181" t="str">
        <f t="shared" si="280"/>
        <v>1P С16А</v>
      </c>
      <c r="DB181" cm="1">
        <f t="array" ref="DB181">IF(DA181="","",_xlfn.LET(_xlpm.t,SUBSTITUTE(SUBSTITUTE(SUBSTITUTE(UPPER(DA181),"С","C"),"А","A"),"В","B"),_xlpm.tk,_xlfn.TEXTSPLIT(_xlpm.t,"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1" t="str">
        <f t="shared" si="281"/>
        <v>ok</v>
      </c>
      <c r="DD181">
        <f t="shared" si="282"/>
        <v>16</v>
      </c>
      <c r="DE181" t="str">
        <f t="shared" si="283"/>
        <v>1P С16А</v>
      </c>
      <c r="DF181">
        <f t="shared" si="284"/>
        <v>0</v>
      </c>
      <c r="DG181">
        <f t="shared" si="285"/>
        <v>0</v>
      </c>
      <c r="DH181">
        <f t="shared" si="286"/>
        <v>0</v>
      </c>
      <c r="DI181">
        <f t="shared" si="287"/>
        <v>9.1160568819414589</v>
      </c>
      <c r="DJ181">
        <f t="shared" si="288"/>
        <v>1</v>
      </c>
      <c r="DK181">
        <f>IF(ISNUMBER(AL181),AL181,К_прокл)</f>
        <v>1</v>
      </c>
      <c r="DL181">
        <f t="shared" si="289"/>
        <v>2</v>
      </c>
      <c r="DM181">
        <f>IFERROR(N(VLOOKUP(BT181,Кабель_обозначение,3,FALSE)),1)</f>
        <v>1</v>
      </c>
      <c r="DN181">
        <f>IFERROR(N(_xlfn.XLOOKUP(A181,Щиты[Щит],Щиты[ΔU до шин, %])),0)</f>
        <v>1.57</v>
      </c>
      <c r="DO181" t="str">
        <f>IFERROR(_xlfn.XLOOKUP(A181,Щиты[Щит],Щиты[Zпетли на шинах, Ом]),"")</f>
        <v/>
      </c>
      <c r="DP181">
        <f>IFERROR(N(_xlfn.XLOOKUP(A181,Щиты[Щит],Щиты[ΔU до шин (подбор), %])),0)</f>
        <v>2.5</v>
      </c>
      <c r="DQ181" t="str">
        <f>IFERROR(_xlfn.XLOOKUP(A181,Щиты[Щит],Щиты[Zпетли на шинах (подбор), Ом]),"")</f>
        <v/>
      </c>
      <c r="DR181" t="str">
        <f t="shared" si="290"/>
        <v/>
      </c>
      <c r="DS181">
        <f t="shared" si="291"/>
        <v>36</v>
      </c>
      <c r="DT181">
        <f t="shared" si="292"/>
        <v>2</v>
      </c>
      <c r="DU181">
        <f t="shared" si="293"/>
        <v>0.31</v>
      </c>
      <c r="DV181" s="6">
        <f>IF(B181="","",IF(IFERROR(VLOOKUP(AX181,УГО_спр,2,FALSE),"")="Светильник",3,4)+IF(Методика="нормы 2026",MIN(0.5,MAX(0,N(Q181)-100)*0.005),0))</f>
        <v>4</v>
      </c>
      <c r="DW181" cm="1">
        <f t="array" ref="DW181">IF(OR(B181="",BT181="",DM181&lt;&gt;1),"",_xlfn.LET(_xlpm.sz,Iдоп_S,_xlpm.t_,CHOOSE(DL181,Iдоп_1ж,Iдоп_2ж,Iдоп_3ж)*DJ181*DK181,_xlpm.inn,N(DD181),_xlpm.smin,MAX(1.5,BW181),_xlpm.L_,N(Q181)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181)*(_xlpm.rho*_xlpm.L_/_xlpm.sz*N(BY181)+_xlpm.xx*_xlpm.L_*N(DU181)/1000)*N(P181)/((Uн_лин/SQRT(3))*1000)*100,999),_xlpm.kz,IF(OR(DG181=1,NOT(ISNUMBER(DQ181)),_xlpm.L_=0,_xlpm.inn=0),1,IFERROR(--(c_min*(Uн_лин*1000/SQRT(3))/(DQ181+2*ρкз_Cu*_xlpm.L_/_xlpm.sz)&gt;=GY181*_xlpm.inn),0)),_xlpm.ok,IFERROR((_xlpm.sz&gt;=_xlpm.smin)*(_xlpm.t_&gt;=_xlpm.inn)*IF(_xlpm.L_&gt;0,(_xlpm.du_+DP181&lt;=DV181+0.00001),1)*_xlpm.kz,0),_xlpm.r_,_xlfn._xlws.FILTER(_xlpm.sz,_xlpm.ok,"не подобрано"),INDEX(_xlpm.r_,1)))</f>
        <v>6</v>
      </c>
      <c r="DX181">
        <f t="shared" si="294"/>
        <v>2.5</v>
      </c>
      <c r="DY181" cm="1">
        <f t="array" ref="DY181">IF(OR(B181="",BT181="",DM181&lt;&gt;1),"",_xlfn.LET(_xlpm.sz,Iдоп_S,_xlpm.t_,CHOOSE(DL181,Iдоп_1ж,Iдоп_2ж,Iдоп_3ж)*DJ181*DK181,_xlpm.ok,IFERROR((_xlpm.sz&gt;=MAX(1.5,BW181))*(_xlpm.t_&gt;=N(DD181)),0),_xlpm.r_,_xlfn._xlws.FILTER(_xlpm.sz,_xlpm.ok,""),INDEX(_xlpm.r_,1)))</f>
        <v>1.5</v>
      </c>
      <c r="DZ181" s="6" cm="1">
        <f t="array" ref="DZ181">IFERROR(ROUNDUP(N(DT181)*(_xlfn.XLOOKUP(DY181,INDEX(Кабель_сопротивление,0,1),INDEX(Кабель_сопротивление,0,3))*N(Q181)/DY181*N(BY181)+_xlfn.XLOOKUP(DY181,INDEX(Кабель_сопротивление,0,1),INDEX(Кабель_сопротивление,0,2))*N(Q181)*N(DU181)/1000)*N(P181)/((Uн_лин/SQRT(3))*1000)*100,2),"")</f>
        <v>4.3999999999999995</v>
      </c>
      <c r="EA181">
        <f>IFERROR(2*ρкз_Cu*N(Q181)/DY181,"")</f>
        <v>1.3676000000000001</v>
      </c>
      <c r="EB181">
        <f>IFERROR(VLOOKUP(DX181,Кабель_сопротивление,3,FALSE),"")</f>
        <v>2.2499999999999999E-2</v>
      </c>
      <c r="EC181">
        <f>IFERROR(VLOOKUP(DX181,Кабель_сопротивление,2,FALSE),"")</f>
        <v>0.1</v>
      </c>
      <c r="ED181">
        <f t="shared" si="295"/>
        <v>14</v>
      </c>
      <c r="EE181" t="str">
        <f t="shared" si="296"/>
        <v/>
      </c>
      <c r="EF181">
        <f t="shared" si="297"/>
        <v>6.1015409601072932</v>
      </c>
      <c r="EG181" s="6">
        <f>IFERROR(ROUNDUP(EF181/((Uн_лин/SQRT(3))*1000)*100,2),"")</f>
        <v>2.65</v>
      </c>
      <c r="EH181" t="str">
        <f>IFERROR(VLOOKUP(BT181,Кабель_обозначение,2,FALSE),"")</f>
        <v>ВВГнг(А)-LS</v>
      </c>
      <c r="EI181" t="str">
        <f t="shared" si="298"/>
        <v>ВВГнг(А)-LS (3х2,5)</v>
      </c>
      <c r="EJ181" t="str">
        <f t="shared" si="299"/>
        <v>ВВГнг(А)-LS (3х2,5)
L=39-2,65%</v>
      </c>
      <c r="EK181">
        <f>IFERROR(2*ρкз_Cu*Q181/DX181,"")</f>
        <v>0.82056000000000007</v>
      </c>
      <c r="EL181">
        <f t="shared" si="300"/>
        <v>0.27300000000000002</v>
      </c>
      <c r="EM181" s="6" t="str">
        <f>IFERROR(IF(OR(B181="",NOT(ISNUMBER(DX181)),N(Q181)=0),"",_xlfn.XLOOKUP(A181,Щиты[Щит],Щиты[Zпетли на шинах, Ом])+EK181),"")</f>
        <v/>
      </c>
      <c r="EN181" s="6" t="str">
        <f>IF(ISNUMBER(EM181),c_min*(Uн_лин*1000/SQRT(3))/EM181,"")</f>
        <v/>
      </c>
      <c r="EO181" s="6" t="str">
        <f>IFERROR(IF(OR(B181="",NOT(ISNUMBER(DX181))),"",1.05*(Uн_лин*1000/SQRT(3))/(_xlfn.XLOOKUP(A181,Щиты[Щит],Щиты[Zmax на шинах, Ом])+EL181)/1000),"")</f>
        <v/>
      </c>
      <c r="EP181" s="6" t="str">
        <f>IF(B181="","",IF(ISNUMBER(Y181),"Сил",IF(IFERROR(_xlfn.XLOOKUP(AX181,Коды_код,Коды_группа)&amp;"","")="","Быт",_xlfn.XLOOKUP(AX181,Коды_код,Коды_группа)&amp;"")))</f>
        <v>Быт</v>
      </c>
      <c r="EQ181" s="6" t="str">
        <f t="shared" si="301"/>
        <v>Пост</v>
      </c>
      <c r="ER181" s="6">
        <f>IF(EQ181="Щит","щит",IF(EQ181="","",IF(EQ181="Быт",IFERROR(_xlfn.XLOOKUP(A181,Щиты[Щит],Щиты[Кс быт]),1),IF(EQ181="Сил",IF(ISNUMBER(Y181),Y181,IF(Методика="нормы 2026",IFERROR(_xlfn.XLOOKUP(A181,Щиты[Щит],Щиты[Кс силовых (табл. 7.5)]),1),1)),IF(OR(EQ181="Пост",EQ181="Отоп"),1,IF(EQ181="ВНГ",0.7,0))))))</f>
        <v>1</v>
      </c>
      <c r="ES181">
        <f t="shared" si="302"/>
        <v>1</v>
      </c>
      <c r="ET181">
        <f t="shared" si="303"/>
        <v>2</v>
      </c>
      <c r="EU181">
        <f t="shared" si="304"/>
        <v>0</v>
      </c>
      <c r="EV181">
        <f t="shared" si="305"/>
        <v>0</v>
      </c>
      <c r="EW181">
        <f t="shared" si="306"/>
        <v>2</v>
      </c>
      <c r="EX181">
        <f t="shared" si="307"/>
        <v>0</v>
      </c>
      <c r="EY181">
        <f t="shared" si="308"/>
        <v>0</v>
      </c>
      <c r="EZ181">
        <f t="shared" si="309"/>
        <v>2</v>
      </c>
      <c r="FA181">
        <f t="shared" si="310"/>
        <v>1.9</v>
      </c>
      <c r="FB181">
        <f t="shared" si="311"/>
        <v>2</v>
      </c>
      <c r="FC181" t="str">
        <f t="shared" si="312"/>
        <v>L2</v>
      </c>
      <c r="FD181" t="str">
        <f>IF(B181="","",IF(CA181=0,IF(AW181=1,"",FF180),IF(OR(N(CV181)&gt;=3,N(BR181)&gt;=3),"L1,L2,L3",IFERROR(_xlfn.TEXTBEFORE(_xlfn.TEXTAFTER(_xlfn.XLOOKUP(A181,Щиты[Щит],Щиты[_фазы авто]),";"&amp;AW181&amp;":"),";"),"L1"))))</f>
        <v>L1</v>
      </c>
      <c r="FE181" t="str">
        <f t="shared" si="313"/>
        <v>L2</v>
      </c>
      <c r="FF181" t="str">
        <f t="shared" si="314"/>
        <v>L2</v>
      </c>
      <c r="FG181" cm="1">
        <f t="array" ref="FG181">IFERROR(IF(BX181=2,_xlfn.IFS(BR181=3,VLOOKUP(BN181,Справочная_двигатели,3,FALSE),BR181=1,VLOOKUP(BN181,Справочная_двигатели,5,TRUE)),0),0)</f>
        <v>0</v>
      </c>
      <c r="FH181">
        <f>IFERROR(IF(BX181=3,VLOOKUP(BN181,Справочная_ЛЭД,2,TRUE),0),0)</f>
        <v>0</v>
      </c>
      <c r="FI181" s="6">
        <f t="shared" si="315"/>
        <v>0</v>
      </c>
      <c r="FJ181" t="str" cm="1">
        <f t="array" ref="FJ181">IF(B181="","",IFERROR(INDEX({"I особая","I","II","III"},MATCH(TRIM(AC181&amp;""),{"I особая","I","II","III"},0)),"III"))</f>
        <v>II</v>
      </c>
      <c r="FK181" t="str">
        <f>IF(B181="","",IF(TRIM(AD181&amp;"")&lt;&gt;"",IF(LOWER(TRIM(AD181&amp;""))="да","да","нет"),IF(IFERROR(_xlfn.XLOOKUP(AX181,Коды_код,Коды_пожарная),"")="да","да","нет")))</f>
        <v>нет</v>
      </c>
      <c r="FL181" t="str">
        <f t="shared" si="316"/>
        <v/>
      </c>
      <c r="FM181" t="str">
        <f t="shared" si="317"/>
        <v>основная</v>
      </c>
      <c r="FN181">
        <f t="shared" si="318"/>
        <v>1</v>
      </c>
      <c r="FO181" t="str" cm="1">
        <f t="array" ref="FO181">IF(B181="","",_xlfn.LET(_xlpm.t,IFERROR(_xlfn.XLOOKUP(1,(Шины[Шина]=FM181)*(((Шины[Щит]=A181)+(Шины[Щит]=""))&gt;0),Шины[Тип]),"")&amp;"",IF(_xlpm.t&lt;&gt;"",_xlpm.t,IF(ISNUMBER(SEARCH("ИБП",FM181)),"ИБП",IF(ISNUMBER(SEARCH("ДГУ",FM181)),"ДГУ","Ввод "&amp;FN181)))))</f>
        <v>Ввод 1</v>
      </c>
      <c r="FP181" t="str">
        <f t="shared" si="319"/>
        <v>Ввод 1</v>
      </c>
      <c r="FQ181" t="str">
        <f>IF(B181="","",IF(OR(FO181="ИБП",FO181="ДГУ"),"I особая",IF(FO181="Одиночная","III",_xlfn.XLOOKUP(A181,Щиты[Щит],Щиты[Категория шины «Ввод»],"III"))))</f>
        <v>II</v>
      </c>
      <c r="FR181">
        <f>IF(B181="",0,IFERROR(MATCH(FJ181,{"III","II","I","I особая"},0),1))</f>
        <v>2</v>
      </c>
      <c r="FS181">
        <f t="shared" si="320"/>
        <v>2</v>
      </c>
      <c r="FT181" t="str">
        <f>IF(B181="","",IF(FR181&gt;IFERROR(MATCH(FQ181,{"III","II","I","I особая"},0),1),"НЕ ОБЕСПЕЧЕНА","ОК"))</f>
        <v>ОК</v>
      </c>
      <c r="FU181" t="str">
        <f>IF(A181="","",_xlfn.XLOOKUP(A181,Щиты[Щит],Щиты[Путь],""))</f>
        <v>|ГРЩ-ЖД|ЩР-001|</v>
      </c>
      <c r="FV181" t="str">
        <f>IF(B181="","",IF(AE181&lt;&gt;"",AE181,IF(IFERROR(_xlfn.XLOOKUP(AX181,Коды_код,Коды_вид)&amp;"","")="","Прочее",_xlfn.XLOOKUP(AX181,Коды_код,Коды_вид)&amp;"")))</f>
        <v>Слаботочные системы, автоматизация, KNX</v>
      </c>
      <c r="FW181">
        <f>IF(BH181="","",INT((BH181-1)/Столбцов_на_лист)+1)</f>
        <v>3</v>
      </c>
      <c r="FX181" t="str">
        <f t="shared" si="321"/>
        <v>ВВГнг(А)-LS (3х2,5) L=39-2,65%</v>
      </c>
      <c r="FY181">
        <f t="shared" si="322"/>
        <v>2</v>
      </c>
      <c r="FZ181">
        <f t="shared" si="323"/>
        <v>9.1199999999999992</v>
      </c>
      <c r="GA181">
        <f t="shared" si="324"/>
        <v>1</v>
      </c>
      <c r="GB181">
        <f t="shared" si="325"/>
        <v>0</v>
      </c>
      <c r="GC181">
        <f t="shared" si="326"/>
        <v>1</v>
      </c>
      <c r="GD181">
        <f>IF(BH181="","",IF(AND(CA181=1,GC181=1),COUNTIFS(A$3:A181,A181,CA$3:CA181,1,GC$3:GC181,1),IF(OR(OR(AW181=1,A181&lt;&gt;A180),AF181="вручную",GC181=0),"",IF(AW181=1,"",GE180))))</f>
        <v>27</v>
      </c>
      <c r="GE181">
        <f t="shared" si="327"/>
        <v>27</v>
      </c>
      <c r="GF181">
        <f>IF(B181="","",IFERROR(LOOKUP(INDEX(CHOOSE(DL181,Iдоп_1ж,Iдоп_2ж,Iдоп_3ж),MATCH(DX181,Iдоп_S,0))*DJ181*DK181,{6,10,16,20,25,32,40,50,63,80,100,125,160,200,250,315,400,500,630}),""))</f>
        <v>25</v>
      </c>
      <c r="GG181" t="str">
        <f t="shared" si="328"/>
        <v>QF27</v>
      </c>
      <c r="GH181" t="str">
        <f t="shared" si="329"/>
        <v>QF27</v>
      </c>
      <c r="GI181" t="str">
        <f t="shared" si="330"/>
        <v/>
      </c>
      <c r="GJ181">
        <f t="shared" si="331"/>
        <v>0</v>
      </c>
      <c r="GK181" t="str">
        <f>IF(OR(AG181="",AG181="-"),"",IFERROR(VLOOKUP(AG181,Модули_спр,2,FALSE),"R"))</f>
        <v/>
      </c>
      <c r="GL181" t="str">
        <f>IF(GK181="","",GK181&amp;"."&amp;COUNTIFS(A$3:A181,A181,GK$3:GK181,GK181))</f>
        <v/>
      </c>
      <c r="GM181" t="str">
        <f t="shared" si="332"/>
        <v/>
      </c>
      <c r="GN181" t="str">
        <f t="shared" si="333"/>
        <v/>
      </c>
      <c r="GO181" t="str">
        <f t="shared" si="334"/>
        <v/>
      </c>
      <c r="GP181" t="str">
        <f t="shared" si="335"/>
        <v/>
      </c>
      <c r="GQ181">
        <f t="shared" si="336"/>
        <v>1</v>
      </c>
      <c r="GR181" t="str">
        <f>IF(GQ181=1,"XT"&amp;COUNTIFS(A$3:A181,A181,GQ$3:GQ181,1),"")</f>
        <v>XT27</v>
      </c>
      <c r="GS181" t="str">
        <f t="shared" si="337"/>
        <v/>
      </c>
      <c r="GT181" t="str">
        <f t="shared" si="338"/>
        <v>QF27</v>
      </c>
      <c r="GU181" t="str">
        <f t="shared" si="339"/>
        <v/>
      </c>
      <c r="GV181" t="str">
        <f t="shared" si="340"/>
        <v>ok</v>
      </c>
      <c r="GW181" t="str">
        <f>IF(OR(GO181="",GM181=""),"",IF(GO181&gt;IFERROR(VLOOKUP(GN181,Модули_спр,3,FALSE),99),"ЛИШНИЙ КАНАЛ",IF(AND(AH181&lt;&gt;"=",COUNTIFS(Линии[_модуль гр.],GM181,Линии[Канал (итог)],GO181,Линии[Канал],"&lt;&gt;=",Линии[Щит],A181)&gt;1),"ДУБЛЬ КАНАЛА","")))</f>
        <v/>
      </c>
      <c r="GX181" s="6" t="str">
        <f t="shared" si="341"/>
        <v/>
      </c>
      <c r="GY181">
        <f t="shared" si="342"/>
        <v>10</v>
      </c>
      <c r="GZ181" t="str">
        <f t="shared" si="343"/>
        <v/>
      </c>
      <c r="HA181" t="str">
        <f>IF(AND(B181="",GT181=""),"",_xlfn.TEXTJOIN("; ",TRUE,IF(AND(B181&lt;&gt;"",FE181=""),"нет фазы",""),IF(AND(B181&lt;&gt;"",N(FY181)=0,EQ181&lt;&gt;"Нет"),"нет мощности",""),IF(AND(GS181&lt;&gt;"",COUNTIFS(Линии[Щит],A181,Линии[Клемма (итог)],GS181)&gt;1),"дубль клеммы "&amp;GS181,""),IF(AND(GV181&lt;&gt;"",GV181&lt;&gt;"ok"),GV181,""),IF(GW181&lt;&gt;"",GW181,""),IF(AND(N(BV181)&gt;=4,N(BR181)=1),BV181&amp;" жил на 1 фазе",""),IF(AND(AX181="R",CA181=1,OR(N(CK181)=0,N(CK181)&gt;30)),"розетка без дифзащиты до 30 мА",""),IFERROR(IF(AND(ISNUMBER(R181),R181&gt;DV181),"потери "&amp;FIXED(R181,1)&amp;" % &gt; "&amp;DV181&amp;" %",""),""),IFERROR(IF(LEFT(GZ181,4)="мало","Iкз мало — отключение &gt; 0,4 с",""),""),IF(AND(B181&lt;&gt;"",BH181=""),"не на схеме",""),IF(AND(CA181=0,B181&lt;&gt;"",FE181&lt;&gt;"",IF(AW181=1,"",FF180)&lt;&gt;"",FE181&lt;&gt;IF(AW181=1,"",FF180)),"фаза не как у автомата группы ("&amp;IF(AW181=1,"",FF180)&amp;")","")))</f>
        <v>потери 4,2 % &gt; 4 %</v>
      </c>
      <c r="HB181" s="6">
        <f>IF(OR(CA181=0,DA181=""),"",_xlfn.LET(_xlpm.t,IFERROR(_xlfn.XLOOKUP(DA181,Каталог!$U$4:$U$500,Каталог!$G$4:$G$500),""),_xlpm.k,SEARCH("кА",_xlpm.t),IFERROR(--TRIM(RIGHT(SUBSTITUTE(MID(_xlpm.t,MAX(1,_xlpm.k-4),_xlpm.k-MAX(1,_xlpm.k-4))," ",REPT(" ",9)),5)),"")))</f>
        <v>6</v>
      </c>
      <c r="HC181" t="str">
        <f>IF(OR(HB181="",CA181=0),"",IF(_xlfn.XLOOKUP(A181,Щиты[Щит],Щиты[Iкз max на шинах, кА],"")="","",IF(HB181&lt;_xlfn.XLOOKUP(A181,Щиты[Щит],Щиты[Iкз max на шинах, кА]),"Icu "&amp;HB181&amp;" кА &lt; Iкз max","ok")))</f>
        <v/>
      </c>
      <c r="HD181" t="str">
        <f t="shared" si="344"/>
        <v/>
      </c>
      <c r="HE181" t="str">
        <f t="shared" si="345"/>
        <v>QF27</v>
      </c>
      <c r="HF181" t="str">
        <f t="shared" si="346"/>
        <v>QF27|кабель ВВГнг(А)-LS (3х2,5) → Шкаф телекоммуникационный ШТК-СОТ.00  Подвальный этаж Пом. №007Т</v>
      </c>
      <c r="HG181" t="str" cm="1">
        <f t="array" ref="HG181">IF(HF181="","",_xlfn.LET(_xlpm.nd,_xlfn.TEXTSPLIT(HF181,"|"),IF(COLUMNS(_xlpm.nd)&gt;1,A181&amp;"¦"&amp;INDEX(_xlpm.nd,1)&amp;"¦"&amp;INDEX(_xlpm.nd,2),"")))</f>
        <v>ЩР-001¦QF27¦кабель ВВГнг(А)-LS (3х2,5) → Шкаф телекоммуникационный ШТК-СОТ.00  Подвальный этаж Пом. №007Т</v>
      </c>
      <c r="HH181" t="str">
        <f t="shared" si="347"/>
        <v>ШТК-СОТ.00¦Шкаф телекоммуникационный ШТК-СОТ.00  Подвальный этаж Пом. №007Т</v>
      </c>
      <c r="HI181" t="str" cm="1">
        <f t="array" ref="HI181">IF(HF181="","",_xlfn.LET(_xlpm.nd,_xlfn.TEXTSPLIT(HF181,"|"),IF(COLUMNS(_xlpm.nd)&gt;2,A181&amp;"¦"&amp;INDEX(_xlpm.nd,2)&amp;"¦"&amp;INDEX(_xlpm.nd,3),"")))</f>
        <v/>
      </c>
      <c r="HJ181" t="str">
        <f t="shared" si="348"/>
        <v/>
      </c>
      <c r="HK181" t="str" cm="1">
        <f t="array" ref="HK181">IF(HF181="","",_xlfn.LET(_xlpm.nd,_xlfn.TEXTSPLIT(HF181,"|"),IF(COLUMNS(_xlpm.nd)&gt;3,A181&amp;"¦"&amp;INDEX(_xlpm.nd,3)&amp;"¦"&amp;INDEX(_xlpm.nd,4),"")))</f>
        <v/>
      </c>
      <c r="HL181" t="str">
        <f t="shared" si="349"/>
        <v/>
      </c>
      <c r="HM181" t="str" cm="1">
        <f t="array" ref="HM181">IF(HF181="","",_xlfn.LET(_xlpm.nd,_xlfn.TEXTSPLIT(HF181,"|"),IF(COLUMNS(_xlpm.nd)&gt;4,A181&amp;"¦"&amp;INDEX(_xlpm.nd,4)&amp;"¦"&amp;INDEX(_xlpm.nd,5),"")))</f>
        <v/>
      </c>
      <c r="HN181" t="str">
        <f t="shared" si="350"/>
        <v/>
      </c>
      <c r="HO181" t="str" cm="1">
        <f t="array" ref="HO181">IF(HF181="","",_xlfn.LET(_xlpm.nd,_xlfn.TEXTSPLIT(HF181,"|"),IF(COLUMNS(_xlpm.nd)&gt;5,A181&amp;"¦"&amp;INDEX(_xlpm.nd,5)&amp;"¦"&amp;INDEX(_xlpm.nd,6),"")))</f>
        <v/>
      </c>
      <c r="HP181" t="str">
        <f t="shared" si="351"/>
        <v/>
      </c>
      <c r="HQ181" t="str" cm="1">
        <f t="array" ref="HQ181">IF(HF181="","",_xlfn.LET(_xlpm.nd,_xlfn.TEXTSPLIT(HF181,"|"),IF(COLUMNS(_xlpm.nd)&gt;6,A181&amp;"¦"&amp;INDEX(_xlpm.nd,6)&amp;"¦"&amp;INDEX(_xlpm.nd,7),"")))</f>
        <v/>
      </c>
      <c r="HR181" t="str">
        <f t="shared" si="352"/>
        <v/>
      </c>
      <c r="HS181" t="str">
        <f t="shared" si="353"/>
        <v/>
      </c>
      <c r="HT181" t="str">
        <f t="shared" si="354"/>
        <v>QF27</v>
      </c>
      <c r="HU181">
        <f t="shared" si="355"/>
        <v>0</v>
      </c>
      <c r="HV181">
        <f t="shared" si="356"/>
        <v>0</v>
      </c>
      <c r="HW181" t="str">
        <f t="shared" si="357"/>
        <v/>
      </c>
      <c r="HX181" t="str">
        <f t="shared" si="358"/>
        <v/>
      </c>
      <c r="HY181" t="str">
        <f t="shared" si="359"/>
        <v/>
      </c>
      <c r="HZ181" t="str">
        <f t="shared" si="360"/>
        <v/>
      </c>
      <c r="IA181">
        <f>IF(B181="","",IFERROR(VLOOKUP(B181,УГО_спр,2,FALSE),IFERROR(VLOOKUP(AX181,УГО_спр,2,FALSE),IFERROR(VLOOKUP(LEFT(AX181,2),УГО_спр,2,FALSE),""))))</f>
        <v>0</v>
      </c>
      <c r="IB181" t="str">
        <f>IF(B181="","",IF(OR(IA181="",IA181=0),"BOX",IFERROR(IF(VLOOKUP(IA181,УГО_блоки,3,FALSE)&amp;""&lt;&gt;"",VLOOKUP(IA181,УГО_блоки,3,FALSE),VLOOKUP(IA181,УГО_блоки,2,FALSE)),IA181)))</f>
        <v>BOX</v>
      </c>
      <c r="IC181">
        <f t="shared" si="361"/>
        <v>1</v>
      </c>
      <c r="ID181" t="str">
        <f>IF(DA181="","",IF(COUNTIF(DA$3:DA181,DA181)=1,MAX(ID$2:ID180)+1,""))</f>
        <v/>
      </c>
      <c r="IE181" t="str">
        <f>IF(CO181="","",IF(COUNTIF(CO$3:CO181,CO181)+COUNTIF(CP$2:CP180,CO181)+COUNTIF(CQ$2:CQ180,CO181)=1,MAX(IE$2:IG180)+1,""))</f>
        <v/>
      </c>
      <c r="IF181" t="str">
        <f>IF(CP181="","",IF(COUNTIF(CO$3:CO181,CP181)+COUNTIF(CP$3:CP181,CP181)+COUNTIF(CQ$2:CQ180,CP181)=1,MAX(IE$2:IG180,IE181)+1,""))</f>
        <v/>
      </c>
      <c r="IG181" t="str">
        <f>IF(CQ181="","",IF(COUNTIF(CO$3:CO181,CQ181)+COUNTIF(CP$3:CP181,CQ181)+COUNTIF(CQ$3:CQ181,CQ181)=1,MAX(IE$2:IG180,IE181,IF181)+1,""))</f>
        <v/>
      </c>
      <c r="IH181" t="str">
        <f t="shared" si="362"/>
        <v>3х2,5</v>
      </c>
      <c r="II181" t="str">
        <f>IF(IH181="","",IF(COUNTIF(IH$3:IH181,IH181)=1,MAX(II$2:II180)+1,""))</f>
        <v/>
      </c>
      <c r="IJ181" t="str">
        <f>IF(GL181="","",COUNTIF(GL$3:GL181,"?*"))</f>
        <v/>
      </c>
      <c r="IK181" t="str">
        <f>IF(OR(GL181="",GN181=""),"",IF(COUNTIFS(GL$3:GL181,"?*",GN$3:GN181,GN181)=1,MAX(IK$2:IK180)+1,""))</f>
        <v/>
      </c>
      <c r="IL181">
        <f t="shared" si="363"/>
        <v>1</v>
      </c>
      <c r="IM181">
        <f>IF(B181="","",COUNTIF(B$3:B181,"?*"))</f>
        <v>179</v>
      </c>
      <c r="IN181">
        <f>IF(GQ181&lt;&gt;1,0,_xlfn.LET(_xlpm.k,MAX(IFERROR(--VLOOKUP(B181,УГО_спр,5,FALSE),0),IFERROR(--VLOOKUP(AX181,УГО_спр,5,FALSE),0),IFERROR(--VLOOKUP(LEFT(AX181,2),УГО_спр,5,FALSE),0)),IF(_xlpm.k&gt;0,_xlpm.k,IF(IFERROR(--LEFT(SUBSTITUTE(IH181,"x","х"),FIND("х",SUBSTITUTE(IH181,"x","х"))-1),3)&gt;3,Каталог!$S$9,1))))</f>
        <v>1</v>
      </c>
      <c r="IO181">
        <f t="shared" si="364"/>
        <v>0</v>
      </c>
      <c r="IP181" t="str">
        <f t="shared" si="365"/>
        <v>авто</v>
      </c>
      <c r="IQ181" t="str">
        <f t="shared" si="366"/>
        <v/>
      </c>
      <c r="IR181">
        <f t="shared" si="367"/>
        <v>0</v>
      </c>
      <c r="IS181">
        <f t="shared" si="368"/>
        <v>1</v>
      </c>
    </row>
    <row r="182" spans="1:253" x14ac:dyDescent="0.3">
      <c r="A182" t="s">
        <v>755</v>
      </c>
      <c r="B182" t="s">
        <v>1449</v>
      </c>
      <c r="C182" t="s">
        <v>1654</v>
      </c>
      <c r="D182">
        <v>1</v>
      </c>
      <c r="E182">
        <v>0.3</v>
      </c>
      <c r="G182">
        <v>16</v>
      </c>
      <c r="H182" t="str">
        <f>Линии[[#This Row],[_авто утечка]]</f>
        <v/>
      </c>
      <c r="I182" t="str">
        <f>Линии[[#This Row],[_авто управление]]</f>
        <v/>
      </c>
      <c r="J182" t="str">
        <f>Линии[[#This Row],[_авто аппараты]]</f>
        <v/>
      </c>
      <c r="K182">
        <v>2.5</v>
      </c>
      <c r="L182">
        <v>98</v>
      </c>
      <c r="M182">
        <v>2</v>
      </c>
      <c r="N182" t="s">
        <v>486</v>
      </c>
      <c r="O182" t="str">
        <f t="shared" si="246"/>
        <v/>
      </c>
      <c r="P182" s="6" cm="1">
        <f t="array" ref="P182">IF(B182="","",IF(BC182&lt;&gt;"",IFERROR(_xlfn.XLOOKUP(BC182,Щиты[Щит],Щиты[Iр, А]),""),IF(BK182=1,IFERROR(_xlfn.XLOOKUP(A182,Щиты[Щит],Щиты[Iр, А]),""),IFERROR(_xlfn.IFS(BR182=1,BN182/((Uн_лин/SQRT(3))*BY182),BR182=3,BN182/(SQRT(3)*Uн_лин*BY182)),""))))</f>
        <v>1.3674085322912188</v>
      </c>
      <c r="Q182" s="7">
        <f>IF(B182="","",IFERROR(IF(VLOOKUP(AX182,Потребители_обозначение,4,FALSE)=1,VLOOKUP(AX182,Потребители_обозначение,3,FALSE)*(D182*2-1)+DS182+VLOOKUP(AZ182,Этаж_обозначение,3,FALSE)+VLOOKUP(AZ182,Этаж_обозначение,4,FALSE),VLOOKUP(AX182,Потребители_обозначение,3,FALSE)*(D182*2-1)+DS182),DS182))</f>
        <v>98</v>
      </c>
      <c r="R182" s="6">
        <f t="shared" si="247"/>
        <v>2.5700000000000003</v>
      </c>
      <c r="S182" t="str">
        <f t="shared" si="248"/>
        <v>ВВГнг(А)-LS (3х2,5)</v>
      </c>
      <c r="T182" t="str">
        <f>IF(BH182="","",IF(BI182="вводной узел","узел ","")&amp;"л."&amp;(INT((BH182-1)/Столбцов_на_лист)+1)&amp;" / "&amp;(MOD(BH182-1,Столбцов_на_лист)+1))</f>
        <v>л.3 / 16</v>
      </c>
      <c r="V182">
        <v>1</v>
      </c>
      <c r="W182">
        <v>230</v>
      </c>
      <c r="X182" t="s">
        <v>575</v>
      </c>
      <c r="AC182" t="s">
        <v>815</v>
      </c>
      <c r="AE182" t="s">
        <v>579</v>
      </c>
      <c r="AI182">
        <v>50</v>
      </c>
      <c r="AJ182" t="s">
        <v>11</v>
      </c>
      <c r="AK182">
        <v>3</v>
      </c>
      <c r="AM182">
        <v>32</v>
      </c>
      <c r="AN182">
        <v>56</v>
      </c>
      <c r="AW182" cm="1">
        <f t="array" ref="AW182">ROW()-ROW(Линии[#Headers])</f>
        <v>180</v>
      </c>
      <c r="AX182" s="6" t="str">
        <f t="shared" si="249"/>
        <v>ЩКД-6</v>
      </c>
      <c r="AY182" t="str">
        <f t="shared" si="250"/>
        <v/>
      </c>
      <c r="AZ182" t="str">
        <f t="shared" si="251"/>
        <v/>
      </c>
      <c r="BA182" t="str">
        <f t="shared" si="252"/>
        <v/>
      </c>
      <c r="BB182" t="str">
        <f t="shared" si="253"/>
        <v/>
      </c>
      <c r="BC182" t="str">
        <f>IF(U182&lt;&gt;"",U182,IF(AND(B182&lt;&gt;"",B182&lt;&gt;A182,ISNUMBER(_xlfn.XMATCH(B182,Щиты[Щит]))),B182,""))</f>
        <v/>
      </c>
      <c r="BD182" t="str" cm="1">
        <f t="array" ref="BD182">IF(B182="","",IF(BC182&lt;&gt;"","Щит "&amp;BC182,_xlfn.LET(_xlpm.nm,IFERROR(_xlfn.XLOOKUP(AX182,Коды_код,Коды_имя)&amp;"",""),_xlpm.md,IFERROR(N(_xlfn.XLOOKUP(AX182,Коды_код,Коды_режим)),1),_xlpm.ex,IF(Имя_режим="по экспликации",IFERROR(_xlfn.XLOOKUP(AZ182&amp;"|"&amp;BB182,Экспликация[Этаж]&amp;"|"&amp;Экспликация[Помещение],Экспликация[Название])&amp;"",""),""),_xlpm.rm,IF(BB182="","",IF(_xlpm.ex&lt;&gt;"",". "&amp;_xlpm.ex&amp;IF(Имя_пом="нет"," ("&amp;BB182&amp;")"," (пом. "&amp;BB182&amp;")"),IF(Имя_пом="нет"," ",", пом. ")&amp;BB182)),IF(_xlpm.nm="","",IF(_xlpm.md=2,_xlpm.nm&amp;" шлейф "&amp;AZ182,_xlpm.nm&amp;_xlpm.rm)))))</f>
        <v/>
      </c>
      <c r="BE182" t="str">
        <f t="shared" si="254"/>
        <v>Щит контроля доступа ШДК-06. Пом. Венткиосок</v>
      </c>
      <c r="BF182">
        <f>IFERROR(_xlfn.XMATCH(A182,Щиты[Щит]),0)</f>
        <v>8</v>
      </c>
      <c r="BG182">
        <f>_xlfn.LET(_xlpm.k,IFERROR(_xlfn.XLOOKUP(A182,Щиты[Щит],Щиты[Листов под вводной узел]),""),IF(_xlpm.k="",1,N(_xlpm.k))*Столбцов_на_лист)</f>
        <v>17</v>
      </c>
      <c r="BH182">
        <f t="shared" si="255"/>
        <v>50</v>
      </c>
      <c r="BI182" t="str">
        <f t="shared" si="256"/>
        <v>линии</v>
      </c>
      <c r="BJ182" s="6">
        <f>IFERROR(N(_xlfn.XLOOKUP(AX182,Коды_код,Коды_квт)),0)</f>
        <v>0</v>
      </c>
      <c r="BK182">
        <f t="shared" si="257"/>
        <v>0</v>
      </c>
      <c r="BL182" t="str">
        <f>IF(B182="","",IF(BC182&lt;&gt;"",IFERROR(_xlfn.XLOOKUP(BC182,Щиты[Щит],Щиты[Руст, кВт]),0),IF(BK182=1,IFERROR(_xlfn.XLOOKUP(A182,Щиты[Щит],Щиты[Руст, кВт]),0),IF(BJ182&gt;0,ROUND(BJ182*MAX(1,N(D182)),3),""))))</f>
        <v/>
      </c>
      <c r="BM182">
        <f t="shared" si="258"/>
        <v>0.3</v>
      </c>
      <c r="BN182" s="6">
        <f>IF(B182="","",IF(BC182&lt;&gt;"",IFERROR(_xlfn.XLOOKUP(BC182,Щиты[Щит],Щиты[Руст, кВт]),0),N(BM182)))</f>
        <v>0.3</v>
      </c>
      <c r="BO182" t="str">
        <f>IF(B182="","",IFERROR(IF(VLOOKUP(AX182,Потребители_обозначение,8,FALSE)=0,"",VLOOKUP(AX182,Потребители_обозначение,8,FALSE)),""))</f>
        <v/>
      </c>
      <c r="BP182">
        <f t="shared" si="259"/>
        <v>230</v>
      </c>
      <c r="BQ182">
        <f>IF(B182="","",IF(BC182&lt;&gt;"",3,IFERROR(IF(N(VLOOKUP(AX182,Потребители_обозначение,9,FALSE))=0,1,VLOOKUP(AX182,Потребители_обозначение,9,FALSE)),1)))</f>
        <v>1</v>
      </c>
      <c r="BR182">
        <f t="shared" si="260"/>
        <v>1</v>
      </c>
      <c r="BS182" t="str">
        <f>IF(B182="","",_xlfn.LET(_xlpm.bc,IFERROR(IF(VLOOKUP(AX182,Потребители_обозначение,6,FALSE)=0,"",VLOOKUP(AX182,Потребители_обозначение,6,FALSE)&amp;""),""),IF(AND(FK182="да",OR(_xlpm.bc="",_xlpm.bc="мс")),Марка_пож,IF(AND(_xlpm.bc="",BC182&lt;&gt;""),"мс",_xlpm.bc))))</f>
        <v/>
      </c>
      <c r="BT182" t="str">
        <f t="shared" si="261"/>
        <v>мс</v>
      </c>
      <c r="BU182">
        <f>IF(B182="","",_xlfn.LET(_xlpm.cc,IFERROR(N(VLOOKUP(AX182,Потребители_обозначение,7,FALSE)),0),IF(_xlpm.cc&gt;0,_xlpm.cc,IF(BT182="","",IF(N(BR182)=3,5,3)))))</f>
        <v>3</v>
      </c>
      <c r="BV182">
        <f t="shared" si="262"/>
        <v>3</v>
      </c>
      <c r="BW182">
        <f>IFERROR(N(VLOOKUP(AX182,Потребители_обозначение,10,FALSE)),0)</f>
        <v>0</v>
      </c>
      <c r="BX182">
        <f>IFERROR(VLOOKUP(AX182,Потребители_обозначение,5,FALSE),0)</f>
        <v>0</v>
      </c>
      <c r="BY182" s="6" cm="1">
        <f t="array" ref="BY182">IF(B182="","",IF(BC182&lt;&gt;"",IFERROR(_xlfn.XLOOKUP(BC182,Щиты[Щит],Щиты[cos φ]),0.95),IF(BK182=1,IFERROR(_xlfn.XLOOKUP(A182,Щиты[Щит],Щиты[cos φ]),0.95),IF(ISNUMBER(Z182),Z182,IFERROR(IF(BX182=2,_xlfn.IFS(BR182=3,VLOOKUP(BN182,Справочная_двигатели,8,FALSE),BR182=1,VLOOKUP(BN182,Справочная_двигатели,10,TRUE)),IF(AND(Методика="нормы 2026",EQ182="Сил"),0.8,0.95)),0.95)))))</f>
        <v>0.95</v>
      </c>
      <c r="BZ182">
        <f t="shared" si="263"/>
        <v>0</v>
      </c>
      <c r="CA182">
        <f t="shared" si="264"/>
        <v>1</v>
      </c>
      <c r="CB182">
        <f t="shared" si="265"/>
        <v>0</v>
      </c>
      <c r="CC182">
        <f t="shared" si="266"/>
        <v>0</v>
      </c>
      <c r="CD182">
        <f t="shared" si="267"/>
        <v>0</v>
      </c>
      <c r="CE182">
        <f t="shared" si="268"/>
        <v>0</v>
      </c>
      <c r="CF182">
        <f t="shared" si="269"/>
        <v>0</v>
      </c>
      <c r="CG182">
        <f>IF(AX182="",0,_xlfn.LET(_xlpm.v,IFERROR(VLOOKUP(B182,УГО_спр,3,FALSE),IFERROR(VLOOKUP(AX182,УГО_спр,3,FALSE),IFERROR(VLOOKUP(LEFT(AX182,2),УГО_спр,3,FALSE),""))),IF(_xlpm.v="да",30,IF(ISNUMBER(_xlpm.v),_xlpm.v,0))))</f>
        <v>0</v>
      </c>
      <c r="CH182" t="str">
        <f t="shared" si="270"/>
        <v/>
      </c>
      <c r="CI182" t="str">
        <f>_xlfn.LET(_xlpm.k,IFERROR(_xlfn.XLOOKUP(AX182,Коды_код,Коды_утечка)&amp;"",""),IF(_xlpm.k="","дифавтомат",_xlpm.k))</f>
        <v>дифавтомат</v>
      </c>
      <c r="CJ182">
        <f t="shared" si="271"/>
        <v>0</v>
      </c>
      <c r="CK182">
        <f t="shared" si="272"/>
        <v>0</v>
      </c>
      <c r="CL182">
        <f>IF(B182="",0,IFERROR(--VLOOKUP(B182,УГО_спр,4,FALSE),IFERROR(--VLOOKUP(AX182,УГО_спр,4,FALSE),IFERROR(--VLOOKUP(LEFT(AX182,2),УГО_спр,4,FALSE),0))))</f>
        <v>0</v>
      </c>
      <c r="CM182" t="str">
        <f>IF(B182="","",IFERROR(_xlfn.XLOOKUP(AX182,Коды_код,Коды_апп)&amp;"",""))</f>
        <v/>
      </c>
      <c r="CN182" t="str">
        <f t="shared" si="273"/>
        <v/>
      </c>
      <c r="CO182" t="str" cm="1">
        <f t="array" ref="CO182">IF(TRIM(CN182&amp;"")="","",IFERROR(TRIM(INDEX(_xlfn.TEXTSPLIT(CN182&amp;";;;",";"),1)),""))</f>
        <v/>
      </c>
      <c r="CP182" t="str" cm="1">
        <f t="array" ref="CP182">IF(TRIM(CN182&amp;"")="","",IFERROR(TRIM(INDEX(_xlfn.TEXTSPLIT(CN182&amp;";;;",";"),2)),""))</f>
        <v/>
      </c>
      <c r="CQ182" t="str" cm="1">
        <f t="array" ref="CQ182">IF(TRIM(CN182&amp;"")="","",IFERROR(TRIM(INDEX(_xlfn.TEXTSPLIT(CN182&amp;";;;",";"),3)),""))</f>
        <v/>
      </c>
      <c r="CR182">
        <f t="shared" si="274"/>
        <v>0</v>
      </c>
      <c r="CS182" t="str">
        <f>IF(B182="","",_xlfn.LET(_xlpm.t,LOWER(AV182&amp;""),IF(ISNUMBER(SEARCH("dim",_xlpm.t)),"DIM",IF(ISNUMBER(SEARCH("dali",_xlpm.t)),"DALI",IF(OR(ISNUMBER(SEARCH("relay",_xlpm.t)),ISNUMBER(SEARCH("реле",_xlpm.t))),"Relay",IF(ISNUMBER(SEARCH("кнопк",_xlpm.t)),"",IFERROR(_xlfn.XLOOKUP(AX182,Коды_код,Коды_упр)&amp;"","")))))))</f>
        <v/>
      </c>
      <c r="CT182" t="str">
        <f t="shared" si="275"/>
        <v/>
      </c>
      <c r="CU182">
        <f>IF(B182="","",_xlfn.LET(_xlpm.ig,N(P182)+IF(AF182="вручную",0,N(CB182)),_xlpm.n0,IFERROR(VLOOKUP(_xlpm.ig,Автомат_номиналы,2,TRUE),0),_xlpm.mn,MAX(CL182,IF(AF182="вручную",0,N(CE182))),MAX(_xlpm.n0,_xlpm.mn,IF(CR182=1,Мин_автомат_БП,0))))</f>
        <v>6</v>
      </c>
      <c r="CV182">
        <f t="shared" si="276"/>
        <v>1</v>
      </c>
      <c r="CW182" t="str">
        <f t="shared" si="277"/>
        <v>1P</v>
      </c>
      <c r="CX182" t="str">
        <f>_xlfn.LET(_xlpm.cc,UPPER(TRIM(IFERROR(_xlfn.XLOOKUP(AX182,Коды_код,Коды_хар)&amp;"",""))),IF(OR(_xlpm.cc="B",_xlpm.cc="В"),"B",IF(_xlpm.cc="D","D","С")))</f>
        <v>С</v>
      </c>
      <c r="CY182" t="str">
        <f t="shared" si="278"/>
        <v>1P С6А</v>
      </c>
      <c r="CZ182">
        <f t="shared" si="279"/>
        <v>16</v>
      </c>
      <c r="DA182" t="str">
        <f t="shared" si="280"/>
        <v>1P С16А</v>
      </c>
      <c r="DB182" cm="1">
        <f t="array" ref="DB182">IF(DA182="","",_xlfn.LET(_xlpm.t,SUBSTITUTE(SUBSTITUTE(SUBSTITUTE(UPPER(DA182),"С","C"),"А","A"),"В","B"),_xlpm.tk,_xlfn.TEXTSPLIT(_xlpm.t,"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2" t="str">
        <f t="shared" si="281"/>
        <v>ok</v>
      </c>
      <c r="DD182">
        <f t="shared" si="282"/>
        <v>16</v>
      </c>
      <c r="DE182" t="str">
        <f t="shared" si="283"/>
        <v>1P С16А</v>
      </c>
      <c r="DF182">
        <f t="shared" si="284"/>
        <v>0</v>
      </c>
      <c r="DG182">
        <f t="shared" si="285"/>
        <v>0</v>
      </c>
      <c r="DH182">
        <f t="shared" si="286"/>
        <v>0</v>
      </c>
      <c r="DI182">
        <f t="shared" si="287"/>
        <v>1.3674085322912188</v>
      </c>
      <c r="DJ182">
        <f t="shared" si="288"/>
        <v>1</v>
      </c>
      <c r="DK182">
        <f>IF(ISNUMBER(AL182),AL182,К_прокл)</f>
        <v>1</v>
      </c>
      <c r="DL182">
        <f t="shared" si="289"/>
        <v>2</v>
      </c>
      <c r="DM182">
        <f>IFERROR(N(VLOOKUP(BT182,Кабель_обозначение,3,FALSE)),1)</f>
        <v>1</v>
      </c>
      <c r="DN182">
        <f>IFERROR(N(_xlfn.XLOOKUP(A182,Щиты[Щит],Щиты[ΔU до шин, %])),0)</f>
        <v>1.57</v>
      </c>
      <c r="DO182" t="str">
        <f>IFERROR(_xlfn.XLOOKUP(A182,Щиты[Щит],Щиты[Zпетли на шинах, Ом]),"")</f>
        <v/>
      </c>
      <c r="DP182">
        <f>IFERROR(N(_xlfn.XLOOKUP(A182,Щиты[Щит],Щиты[ΔU до шин (подбор), %])),0)</f>
        <v>2.5</v>
      </c>
      <c r="DQ182" t="str">
        <f>IFERROR(_xlfn.XLOOKUP(A182,Щиты[Щит],Щиты[Zпетли на шинах (подбор), Ом]),"")</f>
        <v/>
      </c>
      <c r="DR182" t="str">
        <f t="shared" si="290"/>
        <v/>
      </c>
      <c r="DS182">
        <f t="shared" si="291"/>
        <v>98</v>
      </c>
      <c r="DT182">
        <f t="shared" si="292"/>
        <v>2</v>
      </c>
      <c r="DU182">
        <f t="shared" si="293"/>
        <v>0.31</v>
      </c>
      <c r="DV182" s="6">
        <f>IF(B182="","",IF(IFERROR(VLOOKUP(AX182,УГО_спр,2,FALSE),"")="Светильник",3,4)+IF(Методика="нормы 2026",MIN(0.5,MAX(0,N(Q182)-100)*0.005),0))</f>
        <v>4</v>
      </c>
      <c r="DW182" cm="1">
        <f t="array" ref="DW182">IF(OR(B182="",BT182="",DM182&lt;&gt;1),"",_xlfn.LET(_xlpm.sz,Iдоп_S,_xlpm.t_,CHOOSE(DL182,Iдоп_1ж,Iдоп_2ж,Iдоп_3ж)*DJ182*DK182,_xlpm.inn,N(DD182),_xlpm.smin,MAX(1.5,BW182),_xlpm.L_,N(Q182)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182)*(_xlpm.rho*_xlpm.L_/_xlpm.sz*N(BY182)+_xlpm.xx*_xlpm.L_*N(DU182)/1000)*N(P182)/((Uн_лин/SQRT(3))*1000)*100,999),_xlpm.kz,IF(OR(DG182=1,NOT(ISNUMBER(DQ182)),_xlpm.L_=0,_xlpm.inn=0),1,IFERROR(--(c_min*(Uн_лин*1000/SQRT(3))/(DQ182+2*ρкз_Cu*_xlpm.L_/_xlpm.sz)&gt;=GY182*_xlpm.inn),0)),_xlpm.ok,IFERROR((_xlpm.sz&gt;=_xlpm.smin)*(_xlpm.t_&gt;=_xlpm.inn)*IF(_xlpm.L_&gt;0,(_xlpm.du_+DP182&lt;=DV182+0.00001),1)*_xlpm.kz,0),_xlpm.r_,_xlfn._xlws.FILTER(_xlpm.sz,_xlpm.ok,"не подобрано"),INDEX(_xlpm.r_,1)))</f>
        <v>2.5</v>
      </c>
      <c r="DX182">
        <f t="shared" si="294"/>
        <v>2.5</v>
      </c>
      <c r="DY182" cm="1">
        <f t="array" ref="DY182">IF(OR(B182="",BT182="",DM182&lt;&gt;1),"",_xlfn.LET(_xlpm.sz,Iдоп_S,_xlpm.t_,CHOOSE(DL182,Iдоп_1ж,Iдоп_2ж,Iдоп_3ж)*DJ182*DK182,_xlpm.ok,IFERROR((_xlpm.sz&gt;=MAX(1.5,BW182))*(_xlpm.t_&gt;=N(DD182)),0),_xlpm.r_,_xlfn._xlws.FILTER(_xlpm.sz,_xlpm.ok,""),INDEX(_xlpm.r_,1)))</f>
        <v>1.5</v>
      </c>
      <c r="DZ182" s="6" cm="1">
        <f t="array" ref="DZ182">IFERROR(ROUNDUP(N(DT182)*(_xlfn.XLOOKUP(DY182,INDEX(Кабель_сопротивление,0,1),INDEX(Кабель_сопротивление,0,3))*N(Q182)/DY182*N(BY182)+_xlfn.XLOOKUP(DY182,INDEX(Кабель_сопротивление,0,1),INDEX(Кабель_сопротивление,0,2))*N(Q182)*N(DU182)/1000)*N(P182)/((Uн_лин/SQRT(3))*1000)*100,2),"")</f>
        <v>1.66</v>
      </c>
      <c r="EA182">
        <f>IFERROR(2*ρкз_Cu*N(Q182)/DY182,"")</f>
        <v>3.4365333333333332</v>
      </c>
      <c r="EB182">
        <f>IFERROR(VLOOKUP(DX182,Кабель_сопротивление,3,FALSE),"")</f>
        <v>2.2499999999999999E-2</v>
      </c>
      <c r="EC182">
        <f>IFERROR(VLOOKUP(DX182,Кабель_сопротивление,2,FALSE),"")</f>
        <v>0.1</v>
      </c>
      <c r="ED182">
        <f t="shared" si="295"/>
        <v>56</v>
      </c>
      <c r="EE182" t="str">
        <f t="shared" si="296"/>
        <v/>
      </c>
      <c r="EF182">
        <f t="shared" si="297"/>
        <v>2.2998115926558258</v>
      </c>
      <c r="EG182" s="6">
        <f>IFERROR(ROUNDUP(EF182/((Uн_лин/SQRT(3))*1000)*100,2),"")</f>
        <v>1</v>
      </c>
      <c r="EH182" t="str">
        <f>IFERROR(VLOOKUP(BT182,Кабель_обозначение,2,FALSE),"")</f>
        <v>ВВГнг(А)-LS</v>
      </c>
      <c r="EI182" t="str">
        <f t="shared" si="298"/>
        <v>ВВГнг(А)-LS (3х2,5)</v>
      </c>
      <c r="EJ182" t="str">
        <f t="shared" si="299"/>
        <v>ВВГнг(А)-LS (3х2,5)
L=98-1%</v>
      </c>
      <c r="EK182">
        <f>IFERROR(2*ρкз_Cu*Q182/DX182,"")</f>
        <v>2.0619199999999998</v>
      </c>
      <c r="EL182">
        <f t="shared" si="300"/>
        <v>0.68600000000000005</v>
      </c>
      <c r="EM182" s="6" t="str">
        <f>IFERROR(IF(OR(B182="",NOT(ISNUMBER(DX182)),N(Q182)=0),"",_xlfn.XLOOKUP(A182,Щиты[Щит],Щиты[Zпетли на шинах, Ом])+EK182),"")</f>
        <v/>
      </c>
      <c r="EN182" s="6" t="str">
        <f>IF(ISNUMBER(EM182),c_min*(Uн_лин*1000/SQRT(3))/EM182,"")</f>
        <v/>
      </c>
      <c r="EO182" s="6" t="str">
        <f>IFERROR(IF(OR(B182="",NOT(ISNUMBER(DX182))),"",1.05*(Uн_лин*1000/SQRT(3))/(_xlfn.XLOOKUP(A182,Щиты[Щит],Щиты[Zmax на шинах, Ом])+EL182)/1000),"")</f>
        <v/>
      </c>
      <c r="EP182" s="6" t="str">
        <f>IF(B182="","",IF(ISNUMBER(Y182),"Сил",IF(IFERROR(_xlfn.XLOOKUP(AX182,Коды_код,Коды_группа)&amp;"","")="","Быт",_xlfn.XLOOKUP(AX182,Коды_код,Коды_группа)&amp;"")))</f>
        <v>Быт</v>
      </c>
      <c r="EQ182" s="6" t="str">
        <f t="shared" si="301"/>
        <v>Пост</v>
      </c>
      <c r="ER182" s="6">
        <f>IF(EQ182="Щит","щит",IF(EQ182="","",IF(EQ182="Быт",IFERROR(_xlfn.XLOOKUP(A182,Щиты[Щит],Щиты[Кс быт]),1),IF(EQ182="Сил",IF(ISNUMBER(Y182),Y182,IF(Методика="нормы 2026",IFERROR(_xlfn.XLOOKUP(A182,Щиты[Щит],Щиты[Кс силовых (табл. 7.5)]),1),1)),IF(OR(EQ182="Пост",EQ182="Отоп"),1,IF(EQ182="ВНГ",0.7,0))))))</f>
        <v>1</v>
      </c>
      <c r="ES182">
        <f t="shared" si="302"/>
        <v>1</v>
      </c>
      <c r="ET182">
        <f t="shared" si="303"/>
        <v>0.3</v>
      </c>
      <c r="EU182">
        <f t="shared" si="304"/>
        <v>0</v>
      </c>
      <c r="EV182">
        <f t="shared" si="305"/>
        <v>0</v>
      </c>
      <c r="EW182">
        <f t="shared" si="306"/>
        <v>0.3</v>
      </c>
      <c r="EX182">
        <f t="shared" si="307"/>
        <v>0</v>
      </c>
      <c r="EY182">
        <f t="shared" si="308"/>
        <v>0</v>
      </c>
      <c r="EZ182">
        <f t="shared" si="309"/>
        <v>0.3</v>
      </c>
      <c r="FA182">
        <f t="shared" si="310"/>
        <v>0.28499999999999998</v>
      </c>
      <c r="FB182">
        <f t="shared" si="311"/>
        <v>0.3</v>
      </c>
      <c r="FC182" t="str">
        <f t="shared" si="312"/>
        <v>L2</v>
      </c>
      <c r="FD182" t="str">
        <f>IF(B182="","",IF(CA182=0,IF(AW182=1,"",FF181),IF(OR(N(CV182)&gt;=3,N(BR182)&gt;=3),"L1,L2,L3",IFERROR(_xlfn.TEXTBEFORE(_xlfn.TEXTAFTER(_xlfn.XLOOKUP(A182,Щиты[Щит],Щиты[_фазы авто]),";"&amp;AW182&amp;":"),";"),"L1"))))</f>
        <v>L1</v>
      </c>
      <c r="FE182" t="str">
        <f t="shared" si="313"/>
        <v>L2</v>
      </c>
      <c r="FF182" t="str">
        <f t="shared" si="314"/>
        <v>L2</v>
      </c>
      <c r="FG182" cm="1">
        <f t="array" ref="FG182">IFERROR(IF(BX182=2,_xlfn.IFS(BR182=3,VLOOKUP(BN182,Справочная_двигатели,3,FALSE),BR182=1,VLOOKUP(BN182,Справочная_двигатели,5,TRUE)),0),0)</f>
        <v>0</v>
      </c>
      <c r="FH182">
        <f>IFERROR(IF(BX182=3,VLOOKUP(BN182,Справочная_ЛЭД,2,TRUE),0),0)</f>
        <v>0</v>
      </c>
      <c r="FI182" s="6">
        <f t="shared" si="315"/>
        <v>0</v>
      </c>
      <c r="FJ182" t="str" cm="1">
        <f t="array" ref="FJ182">IF(B182="","",IFERROR(INDEX({"I особая","I","II","III"},MATCH(TRIM(AC182&amp;""),{"I особая","I","II","III"},0)),"III"))</f>
        <v>II</v>
      </c>
      <c r="FK182" t="str">
        <f>IF(B182="","",IF(TRIM(AD182&amp;"")&lt;&gt;"",IF(LOWER(TRIM(AD182&amp;""))="да","да","нет"),IF(IFERROR(_xlfn.XLOOKUP(AX182,Коды_код,Коды_пожарная),"")="да","да","нет")))</f>
        <v>нет</v>
      </c>
      <c r="FL182" t="str">
        <f t="shared" si="316"/>
        <v/>
      </c>
      <c r="FM182" t="str">
        <f t="shared" si="317"/>
        <v>основная</v>
      </c>
      <c r="FN182">
        <f t="shared" si="318"/>
        <v>1</v>
      </c>
      <c r="FO182" t="str" cm="1">
        <f t="array" ref="FO182">IF(B182="","",_xlfn.LET(_xlpm.t,IFERROR(_xlfn.XLOOKUP(1,(Шины[Шина]=FM182)*(((Шины[Щит]=A182)+(Шины[Щит]=""))&gt;0),Шины[Тип]),"")&amp;"",IF(_xlpm.t&lt;&gt;"",_xlpm.t,IF(ISNUMBER(SEARCH("ИБП",FM182)),"ИБП",IF(ISNUMBER(SEARCH("ДГУ",FM182)),"ДГУ","Ввод "&amp;FN182)))))</f>
        <v>Ввод 1</v>
      </c>
      <c r="FP182" t="str">
        <f t="shared" si="319"/>
        <v>Ввод 1</v>
      </c>
      <c r="FQ182" t="str">
        <f>IF(B182="","",IF(OR(FO182="ИБП",FO182="ДГУ"),"I особая",IF(FO182="Одиночная","III",_xlfn.XLOOKUP(A182,Щиты[Щит],Щиты[Категория шины «Ввод»],"III"))))</f>
        <v>II</v>
      </c>
      <c r="FR182">
        <f>IF(B182="",0,IFERROR(MATCH(FJ182,{"III","II","I","I особая"},0),1))</f>
        <v>2</v>
      </c>
      <c r="FS182">
        <f t="shared" si="320"/>
        <v>2</v>
      </c>
      <c r="FT182" t="str">
        <f>IF(B182="","",IF(FR182&gt;IFERROR(MATCH(FQ182,{"III","II","I","I особая"},0),1),"НЕ ОБЕСПЕЧЕНА","ОК"))</f>
        <v>ОК</v>
      </c>
      <c r="FU182" t="str">
        <f>IF(A182="","",_xlfn.XLOOKUP(A182,Щиты[Щит],Щиты[Путь],""))</f>
        <v>|ГРЩ-ЖД|ЩР-001|</v>
      </c>
      <c r="FV182" t="str">
        <f>IF(B182="","",IF(AE182&lt;&gt;"",AE182,IF(IFERROR(_xlfn.XLOOKUP(AX182,Коды_код,Коды_вид)&amp;"","")="","Прочее",_xlfn.XLOOKUP(AX182,Коды_код,Коды_вид)&amp;"")))</f>
        <v>Системы безопасности и связи</v>
      </c>
      <c r="FW182">
        <f>IF(BH182="","",INT((BH182-1)/Столбцов_на_лист)+1)</f>
        <v>3</v>
      </c>
      <c r="FX182" t="str">
        <f t="shared" si="321"/>
        <v>ВВГнг(А)-LS (3х2,5) L=98-1%</v>
      </c>
      <c r="FY182">
        <f t="shared" si="322"/>
        <v>0.3</v>
      </c>
      <c r="FZ182">
        <f t="shared" si="323"/>
        <v>1.37</v>
      </c>
      <c r="GA182">
        <f t="shared" si="324"/>
        <v>1</v>
      </c>
      <c r="GB182">
        <f t="shared" si="325"/>
        <v>0</v>
      </c>
      <c r="GC182">
        <f t="shared" si="326"/>
        <v>1</v>
      </c>
      <c r="GD182">
        <f>IF(BH182="","",IF(AND(CA182=1,GC182=1),COUNTIFS(A$3:A182,A182,CA$3:CA182,1,GC$3:GC182,1),IF(OR(OR(AW182=1,A182&lt;&gt;A181),AF182="вручную",GC182=0),"",IF(AW182=1,"",GE181))))</f>
        <v>28</v>
      </c>
      <c r="GE182">
        <f t="shared" si="327"/>
        <v>28</v>
      </c>
      <c r="GF182">
        <f>IF(B182="","",IFERROR(LOOKUP(INDEX(CHOOSE(DL182,Iдоп_1ж,Iдоп_2ж,Iдоп_3ж),MATCH(DX182,Iдоп_S,0))*DJ182*DK182,{6,10,16,20,25,32,40,50,63,80,100,125,160,200,250,315,400,500,630}),""))</f>
        <v>25</v>
      </c>
      <c r="GG182" t="str">
        <f t="shared" si="328"/>
        <v>QF28</v>
      </c>
      <c r="GH182" t="str">
        <f t="shared" si="329"/>
        <v>QF28</v>
      </c>
      <c r="GI182" t="str">
        <f t="shared" si="330"/>
        <v/>
      </c>
      <c r="GJ182">
        <f t="shared" si="331"/>
        <v>0</v>
      </c>
      <c r="GK182" t="str">
        <f>IF(OR(AG182="",AG182="-"),"",IFERROR(VLOOKUP(AG182,Модули_спр,2,FALSE),"R"))</f>
        <v/>
      </c>
      <c r="GL182" t="str">
        <f>IF(GK182="","",GK182&amp;"."&amp;COUNTIFS(A$3:A182,A182,GK$3:GK182,GK182))</f>
        <v/>
      </c>
      <c r="GM182" t="str">
        <f t="shared" si="332"/>
        <v/>
      </c>
      <c r="GN182" t="str">
        <f t="shared" si="333"/>
        <v/>
      </c>
      <c r="GO182" t="str">
        <f t="shared" si="334"/>
        <v/>
      </c>
      <c r="GP182" t="str">
        <f t="shared" si="335"/>
        <v/>
      </c>
      <c r="GQ182">
        <f t="shared" si="336"/>
        <v>1</v>
      </c>
      <c r="GR182" t="str">
        <f>IF(GQ182=1,"XT"&amp;COUNTIFS(A$3:A182,A182,GQ$3:GQ182,1),"")</f>
        <v>XT28</v>
      </c>
      <c r="GS182" t="str">
        <f t="shared" si="337"/>
        <v/>
      </c>
      <c r="GT182" t="str">
        <f t="shared" si="338"/>
        <v>QF28</v>
      </c>
      <c r="GU182" t="str">
        <f t="shared" si="339"/>
        <v/>
      </c>
      <c r="GV182" t="str">
        <f t="shared" si="340"/>
        <v>ok</v>
      </c>
      <c r="GW182" t="str">
        <f>IF(OR(GO182="",GM182=""),"",IF(GO182&gt;IFERROR(VLOOKUP(GN182,Модули_спр,3,FALSE),99),"ЛИШНИЙ КАНАЛ",IF(AND(AH182&lt;&gt;"=",COUNTIFS(Линии[_модуль гр.],GM182,Линии[Канал (итог)],GO182,Линии[Канал],"&lt;&gt;=",Линии[Щит],A182)&gt;1),"ДУБЛЬ КАНАЛА","")))</f>
        <v/>
      </c>
      <c r="GX182" s="6" t="str">
        <f t="shared" si="341"/>
        <v/>
      </c>
      <c r="GY182">
        <f t="shared" si="342"/>
        <v>10</v>
      </c>
      <c r="GZ182" t="str">
        <f t="shared" si="343"/>
        <v/>
      </c>
      <c r="HA182" t="str">
        <f>IF(AND(B182="",GT182=""),"",_xlfn.TEXTJOIN("; ",TRUE,IF(AND(B182&lt;&gt;"",FE182=""),"нет фазы",""),IF(AND(B182&lt;&gt;"",N(FY182)=0,EQ182&lt;&gt;"Нет"),"нет мощности",""),IF(AND(GS182&lt;&gt;"",COUNTIFS(Линии[Щит],A182,Линии[Клемма (итог)],GS182)&gt;1),"дубль клеммы "&amp;GS182,""),IF(AND(GV182&lt;&gt;"",GV182&lt;&gt;"ok"),GV182,""),IF(GW182&lt;&gt;"",GW182,""),IF(AND(N(BV182)&gt;=4,N(BR182)=1),BV182&amp;" жил на 1 фазе",""),IF(AND(AX182="R",CA182=1,OR(N(CK182)=0,N(CK182)&gt;30)),"розетка без дифзащиты до 30 мА",""),IFERROR(IF(AND(ISNUMBER(R182),R182&gt;DV182),"потери "&amp;FIXED(R182,1)&amp;" % &gt; "&amp;DV182&amp;" %",""),""),IFERROR(IF(LEFT(GZ182,4)="мало","Iкз мало — отключение &gt; 0,4 с",""),""),IF(AND(B182&lt;&gt;"",BH182=""),"не на схеме",""),IF(AND(CA182=0,B182&lt;&gt;"",FE182&lt;&gt;"",IF(AW182=1,"",FF181)&lt;&gt;"",FE182&lt;&gt;IF(AW182=1,"",FF181)),"фаза не как у автомата группы ("&amp;IF(AW182=1,"",FF181)&amp;")","")))</f>
        <v/>
      </c>
      <c r="HB182" s="6">
        <f>IF(OR(CA182=0,DA182=""),"",_xlfn.LET(_xlpm.t,IFERROR(_xlfn.XLOOKUP(DA182,Каталог!$U$4:$U$500,Каталог!$G$4:$G$500),""),_xlpm.k,SEARCH("кА",_xlpm.t),IFERROR(--TRIM(RIGHT(SUBSTITUTE(MID(_xlpm.t,MAX(1,_xlpm.k-4),_xlpm.k-MAX(1,_xlpm.k-4))," ",REPT(" ",9)),5)),"")))</f>
        <v>6</v>
      </c>
      <c r="HC182" t="str">
        <f>IF(OR(HB182="",CA182=0),"",IF(_xlfn.XLOOKUP(A182,Щиты[Щит],Щиты[Iкз max на шинах, кА],"")="","",IF(HB182&lt;_xlfn.XLOOKUP(A182,Щиты[Щит],Щиты[Iкз max на шинах, кА]),"Icu "&amp;HB182&amp;" кА &lt; Iкз max","ok")))</f>
        <v/>
      </c>
      <c r="HD182" t="str">
        <f t="shared" si="344"/>
        <v/>
      </c>
      <c r="HE182" t="str">
        <f t="shared" si="345"/>
        <v>QF28</v>
      </c>
      <c r="HF182" t="str">
        <f t="shared" si="346"/>
        <v>QF28|кабель ВВГнг(А)-LS (3х2,5) → Щит контроля доступа ШДК-06. Пом. Венткиосок</v>
      </c>
      <c r="HG182" t="str" cm="1">
        <f t="array" ref="HG182">IF(HF182="","",_xlfn.LET(_xlpm.nd,_xlfn.TEXTSPLIT(HF182,"|"),IF(COLUMNS(_xlpm.nd)&gt;1,A182&amp;"¦"&amp;INDEX(_xlpm.nd,1)&amp;"¦"&amp;INDEX(_xlpm.nd,2),"")))</f>
        <v>ЩР-001¦QF28¦кабель ВВГнг(А)-LS (3х2,5) → Щит контроля доступа ШДК-06. Пом. Венткиосок</v>
      </c>
      <c r="HH182" t="str">
        <f t="shared" si="347"/>
        <v>ЩКД-6¦Щит контроля доступа ШДК-06. Пом. Венткиосок</v>
      </c>
      <c r="HI182" t="str" cm="1">
        <f t="array" ref="HI182">IF(HF182="","",_xlfn.LET(_xlpm.nd,_xlfn.TEXTSPLIT(HF182,"|"),IF(COLUMNS(_xlpm.nd)&gt;2,A182&amp;"¦"&amp;INDEX(_xlpm.nd,2)&amp;"¦"&amp;INDEX(_xlpm.nd,3),"")))</f>
        <v/>
      </c>
      <c r="HJ182" t="str">
        <f t="shared" si="348"/>
        <v/>
      </c>
      <c r="HK182" t="str" cm="1">
        <f t="array" ref="HK182">IF(HF182="","",_xlfn.LET(_xlpm.nd,_xlfn.TEXTSPLIT(HF182,"|"),IF(COLUMNS(_xlpm.nd)&gt;3,A182&amp;"¦"&amp;INDEX(_xlpm.nd,3)&amp;"¦"&amp;INDEX(_xlpm.nd,4),"")))</f>
        <v/>
      </c>
      <c r="HL182" t="str">
        <f t="shared" si="349"/>
        <v/>
      </c>
      <c r="HM182" t="str" cm="1">
        <f t="array" ref="HM182">IF(HF182="","",_xlfn.LET(_xlpm.nd,_xlfn.TEXTSPLIT(HF182,"|"),IF(COLUMNS(_xlpm.nd)&gt;4,A182&amp;"¦"&amp;INDEX(_xlpm.nd,4)&amp;"¦"&amp;INDEX(_xlpm.nd,5),"")))</f>
        <v/>
      </c>
      <c r="HN182" t="str">
        <f t="shared" si="350"/>
        <v/>
      </c>
      <c r="HO182" t="str" cm="1">
        <f t="array" ref="HO182">IF(HF182="","",_xlfn.LET(_xlpm.nd,_xlfn.TEXTSPLIT(HF182,"|"),IF(COLUMNS(_xlpm.nd)&gt;5,A182&amp;"¦"&amp;INDEX(_xlpm.nd,5)&amp;"¦"&amp;INDEX(_xlpm.nd,6),"")))</f>
        <v/>
      </c>
      <c r="HP182" t="str">
        <f t="shared" si="351"/>
        <v/>
      </c>
      <c r="HQ182" t="str" cm="1">
        <f t="array" ref="HQ182">IF(HF182="","",_xlfn.LET(_xlpm.nd,_xlfn.TEXTSPLIT(HF182,"|"),IF(COLUMNS(_xlpm.nd)&gt;6,A182&amp;"¦"&amp;INDEX(_xlpm.nd,6)&amp;"¦"&amp;INDEX(_xlpm.nd,7),"")))</f>
        <v/>
      </c>
      <c r="HR182" t="str">
        <f t="shared" si="352"/>
        <v/>
      </c>
      <c r="HS182" t="str">
        <f t="shared" si="353"/>
        <v/>
      </c>
      <c r="HT182" t="str">
        <f t="shared" si="354"/>
        <v>QF28</v>
      </c>
      <c r="HU182">
        <f t="shared" si="355"/>
        <v>0</v>
      </c>
      <c r="HV182">
        <f t="shared" si="356"/>
        <v>0</v>
      </c>
      <c r="HW182" t="str">
        <f t="shared" si="357"/>
        <v/>
      </c>
      <c r="HX182" t="str">
        <f t="shared" si="358"/>
        <v/>
      </c>
      <c r="HY182" t="str">
        <f t="shared" si="359"/>
        <v/>
      </c>
      <c r="HZ182" t="str">
        <f t="shared" si="360"/>
        <v/>
      </c>
      <c r="IA182" t="str">
        <f>IF(B182="","",IFERROR(VLOOKUP(B182,УГО_спр,2,FALSE),IFERROR(VLOOKUP(AX182,УГО_спр,2,FALSE),IFERROR(VLOOKUP(LEFT(AX182,2),УГО_спр,2,FALSE),""))))</f>
        <v/>
      </c>
      <c r="IB182" t="str">
        <f>IF(B182="","",IF(OR(IA182="",IA182=0),"BOX",IFERROR(IF(VLOOKUP(IA182,УГО_блоки,3,FALSE)&amp;""&lt;&gt;"",VLOOKUP(IA182,УГО_блоки,3,FALSE),VLOOKUP(IA182,УГО_блоки,2,FALSE)),IA182)))</f>
        <v>BOX</v>
      </c>
      <c r="IC182">
        <f t="shared" si="361"/>
        <v>1</v>
      </c>
      <c r="ID182" t="str">
        <f>IF(DA182="","",IF(COUNTIF(DA$3:DA182,DA182)=1,MAX(ID$2:ID181)+1,""))</f>
        <v/>
      </c>
      <c r="IE182" t="str">
        <f>IF(CO182="","",IF(COUNTIF(CO$3:CO182,CO182)+COUNTIF(CP$2:CP181,CO182)+COUNTIF(CQ$2:CQ181,CO182)=1,MAX(IE$2:IG181)+1,""))</f>
        <v/>
      </c>
      <c r="IF182" t="str">
        <f>IF(CP182="","",IF(COUNTIF(CO$3:CO182,CP182)+COUNTIF(CP$3:CP182,CP182)+COUNTIF(CQ$2:CQ181,CP182)=1,MAX(IE$2:IG181,IE182)+1,""))</f>
        <v/>
      </c>
      <c r="IG182" t="str">
        <f>IF(CQ182="","",IF(COUNTIF(CO$3:CO182,CQ182)+COUNTIF(CP$3:CP182,CQ182)+COUNTIF(CQ$3:CQ182,CQ182)=1,MAX(IE$2:IG181,IE182,IF182)+1,""))</f>
        <v/>
      </c>
      <c r="IH182" t="str">
        <f t="shared" si="362"/>
        <v>3х2,5</v>
      </c>
      <c r="II182" t="str">
        <f>IF(IH182="","",IF(COUNTIF(IH$3:IH182,IH182)=1,MAX(II$2:II181)+1,""))</f>
        <v/>
      </c>
      <c r="IJ182" t="str">
        <f>IF(GL182="","",COUNTIF(GL$3:GL182,"?*"))</f>
        <v/>
      </c>
      <c r="IK182" t="str">
        <f>IF(OR(GL182="",GN182=""),"",IF(COUNTIFS(GL$3:GL182,"?*",GN$3:GN182,GN182)=1,MAX(IK$2:IK181)+1,""))</f>
        <v/>
      </c>
      <c r="IL182">
        <f t="shared" si="363"/>
        <v>0</v>
      </c>
      <c r="IM182">
        <f>IF(B182="","",COUNTIF(B$3:B182,"?*"))</f>
        <v>180</v>
      </c>
      <c r="IN182">
        <f>IF(GQ182&lt;&gt;1,0,_xlfn.LET(_xlpm.k,MAX(IFERROR(--VLOOKUP(B182,УГО_спр,5,FALSE),0),IFERROR(--VLOOKUP(AX182,УГО_спр,5,FALSE),0),IFERROR(--VLOOKUP(LEFT(AX182,2),УГО_спр,5,FALSE),0)),IF(_xlpm.k&gt;0,_xlpm.k,IF(IFERROR(--LEFT(SUBSTITUTE(IH182,"x","х"),FIND("х",SUBSTITUTE(IH182,"x","х"))-1),3)&gt;3,Каталог!$S$9,1))))</f>
        <v>1</v>
      </c>
      <c r="IO182">
        <f t="shared" si="364"/>
        <v>0</v>
      </c>
      <c r="IP182" t="str">
        <f t="shared" si="365"/>
        <v>авто</v>
      </c>
      <c r="IQ182" t="str">
        <f t="shared" si="366"/>
        <v/>
      </c>
      <c r="IR182">
        <f t="shared" si="367"/>
        <v>0</v>
      </c>
      <c r="IS182">
        <f t="shared" si="368"/>
        <v>1</v>
      </c>
    </row>
    <row r="183" spans="1:253" x14ac:dyDescent="0.3">
      <c r="A183" t="s">
        <v>755</v>
      </c>
      <c r="B183" t="s">
        <v>1450</v>
      </c>
      <c r="C183" t="s">
        <v>1655</v>
      </c>
      <c r="D183">
        <v>1</v>
      </c>
      <c r="E183">
        <v>0.5</v>
      </c>
      <c r="G183">
        <v>16</v>
      </c>
      <c r="H183" t="str">
        <f>Линии[[#This Row],[_авто утечка]]</f>
        <v/>
      </c>
      <c r="I183" t="str">
        <f>Линии[[#This Row],[_авто управление]]</f>
        <v/>
      </c>
      <c r="J183" t="str">
        <f>Линии[[#This Row],[_авто аппараты]]</f>
        <v/>
      </c>
      <c r="K183">
        <v>2.5</v>
      </c>
      <c r="L183">
        <v>12</v>
      </c>
      <c r="M183">
        <v>3</v>
      </c>
      <c r="N183" t="s">
        <v>486</v>
      </c>
      <c r="O183" t="str">
        <f t="shared" si="246"/>
        <v/>
      </c>
      <c r="P183" s="6" cm="1">
        <f t="array" ref="P183">IF(B183="","",IF(BC183&lt;&gt;"",IFERROR(_xlfn.XLOOKUP(BC183,Щиты[Щит],Щиты[Iр, А]),""),IF(BK183=1,IFERROR(_xlfn.XLOOKUP(A183,Щиты[Щит],Щиты[Iр, А]),""),IFERROR(_xlfn.IFS(BR183=1,BN183/((Uн_лин/SQRT(3))*BY183),BR183=3,BN183/(SQRT(3)*Uн_лин*BY183)),""))))</f>
        <v>2.2790142204853647</v>
      </c>
      <c r="Q183" s="7">
        <f>IF(B183="","",IFERROR(IF(VLOOKUP(AX183,Потребители_обозначение,4,FALSE)=1,VLOOKUP(AX183,Потребители_обозначение,3,FALSE)*(D183*2-1)+DS183+VLOOKUP(AZ183,Этаж_обозначение,3,FALSE)+VLOOKUP(AZ183,Этаж_обозначение,4,FALSE),VLOOKUP(AX183,Потребители_обозначение,3,FALSE)*(D183*2-1)+DS183),DS183))</f>
        <v>12</v>
      </c>
      <c r="R183" s="6">
        <f t="shared" si="247"/>
        <v>1.78</v>
      </c>
      <c r="S183" t="str">
        <f t="shared" si="248"/>
        <v>ВВГнг(А)-LS (3х2,5)</v>
      </c>
      <c r="T183" t="str">
        <f>IF(BH183="","",IF(BI183="вводной узел","узел ","")&amp;"л."&amp;(INT((BH183-1)/Столбцов_на_лист)+1)&amp;" / "&amp;(MOD(BH183-1,Столбцов_на_лист)+1))</f>
        <v>л.3 / 17</v>
      </c>
      <c r="V183">
        <v>1</v>
      </c>
      <c r="W183">
        <v>230</v>
      </c>
      <c r="X183" t="s">
        <v>575</v>
      </c>
      <c r="AC183" t="s">
        <v>815</v>
      </c>
      <c r="AE183" t="s">
        <v>579</v>
      </c>
      <c r="AI183">
        <v>51</v>
      </c>
      <c r="AJ183" t="s">
        <v>11</v>
      </c>
      <c r="AK183">
        <v>3</v>
      </c>
      <c r="AN183">
        <v>12</v>
      </c>
      <c r="AW183" cm="1">
        <f t="array" ref="AW183">ROW()-ROW(Линии[#Headers])</f>
        <v>181</v>
      </c>
      <c r="AX183" s="6" t="str">
        <f t="shared" si="249"/>
        <v>ЩКД-001</v>
      </c>
      <c r="AY183" t="str">
        <f t="shared" si="250"/>
        <v/>
      </c>
      <c r="AZ183" t="str">
        <f t="shared" si="251"/>
        <v/>
      </c>
      <c r="BA183" t="str">
        <f t="shared" si="252"/>
        <v/>
      </c>
      <c r="BB183" t="str">
        <f t="shared" si="253"/>
        <v/>
      </c>
      <c r="BC183" t="str">
        <f>IF(U183&lt;&gt;"",U183,IF(AND(B183&lt;&gt;"",B183&lt;&gt;A183,ISNUMBER(_xlfn.XMATCH(B183,Щиты[Щит]))),B183,""))</f>
        <v/>
      </c>
      <c r="BD183" t="str" cm="1">
        <f t="array" ref="BD183">IF(B183="","",IF(BC183&lt;&gt;"","Щит "&amp;BC183,_xlfn.LET(_xlpm.nm,IFERROR(_xlfn.XLOOKUP(AX183,Коды_код,Коды_имя)&amp;"",""),_xlpm.md,IFERROR(N(_xlfn.XLOOKUP(AX183,Коды_код,Коды_режим)),1),_xlpm.ex,IF(Имя_режим="по экспликации",IFERROR(_xlfn.XLOOKUP(AZ183&amp;"|"&amp;BB183,Экспликация[Этаж]&amp;"|"&amp;Экспликация[Помещение],Экспликация[Название])&amp;"",""),""),_xlpm.rm,IF(BB183="","",IF(_xlpm.ex&lt;&gt;"",". "&amp;_xlpm.ex&amp;IF(Имя_пом="нет"," ("&amp;BB183&amp;")"," (пом. "&amp;BB183&amp;")"),IF(Имя_пом="нет"," ",", пом. ")&amp;BB183)),IF(_xlpm.nm="","",IF(_xlpm.md=2,_xlpm.nm&amp;" шлейф "&amp;AZ183,_xlpm.nm&amp;_xlpm.rm)))))</f>
        <v/>
      </c>
      <c r="BE183" t="str">
        <f t="shared" si="254"/>
        <v>Щит контроля доступа ШДК-001 Подвальный этаж Пом. №004Т</v>
      </c>
      <c r="BF183">
        <f>IFERROR(_xlfn.XMATCH(A183,Щиты[Щит]),0)</f>
        <v>8</v>
      </c>
      <c r="BG183">
        <f>_xlfn.LET(_xlpm.k,IFERROR(_xlfn.XLOOKUP(A183,Щиты[Щит],Щиты[Листов под вводной узел]),""),IF(_xlpm.k="",1,N(_xlpm.k))*Столбцов_на_лист)</f>
        <v>17</v>
      </c>
      <c r="BH183">
        <f t="shared" si="255"/>
        <v>51</v>
      </c>
      <c r="BI183" t="str">
        <f t="shared" si="256"/>
        <v>линии</v>
      </c>
      <c r="BJ183" s="6">
        <f>IFERROR(N(_xlfn.XLOOKUP(AX183,Коды_код,Коды_квт)),0)</f>
        <v>0</v>
      </c>
      <c r="BK183">
        <f t="shared" si="257"/>
        <v>0</v>
      </c>
      <c r="BL183" t="str">
        <f>IF(B183="","",IF(BC183&lt;&gt;"",IFERROR(_xlfn.XLOOKUP(BC183,Щиты[Щит],Щиты[Руст, кВт]),0),IF(BK183=1,IFERROR(_xlfn.XLOOKUP(A183,Щиты[Щит],Щиты[Руст, кВт]),0),IF(BJ183&gt;0,ROUND(BJ183*MAX(1,N(D183)),3),""))))</f>
        <v/>
      </c>
      <c r="BM183">
        <f t="shared" si="258"/>
        <v>0.5</v>
      </c>
      <c r="BN183" s="6">
        <f>IF(B183="","",IF(BC183&lt;&gt;"",IFERROR(_xlfn.XLOOKUP(BC183,Щиты[Щит],Щиты[Руст, кВт]),0),N(BM183)))</f>
        <v>0.5</v>
      </c>
      <c r="BO183" t="str">
        <f>IF(B183="","",IFERROR(IF(VLOOKUP(AX183,Потребители_обозначение,8,FALSE)=0,"",VLOOKUP(AX183,Потребители_обозначение,8,FALSE)),""))</f>
        <v/>
      </c>
      <c r="BP183">
        <f t="shared" si="259"/>
        <v>230</v>
      </c>
      <c r="BQ183">
        <f>IF(B183="","",IF(BC183&lt;&gt;"",3,IFERROR(IF(N(VLOOKUP(AX183,Потребители_обозначение,9,FALSE))=0,1,VLOOKUP(AX183,Потребители_обозначение,9,FALSE)),1)))</f>
        <v>1</v>
      </c>
      <c r="BR183">
        <f t="shared" si="260"/>
        <v>1</v>
      </c>
      <c r="BS183" t="str">
        <f>IF(B183="","",_xlfn.LET(_xlpm.bc,IFERROR(IF(VLOOKUP(AX183,Потребители_обозначение,6,FALSE)=0,"",VLOOKUP(AX183,Потребители_обозначение,6,FALSE)&amp;""),""),IF(AND(FK183="да",OR(_xlpm.bc="",_xlpm.bc="мс")),Марка_пож,IF(AND(_xlpm.bc="",BC183&lt;&gt;""),"мс",_xlpm.bc))))</f>
        <v/>
      </c>
      <c r="BT183" t="str">
        <f t="shared" si="261"/>
        <v>мс</v>
      </c>
      <c r="BU183">
        <f>IF(B183="","",_xlfn.LET(_xlpm.cc,IFERROR(N(VLOOKUP(AX183,Потребители_обозначение,7,FALSE)),0),IF(_xlpm.cc&gt;0,_xlpm.cc,IF(BT183="","",IF(N(BR183)=3,5,3)))))</f>
        <v>3</v>
      </c>
      <c r="BV183">
        <f t="shared" si="262"/>
        <v>3</v>
      </c>
      <c r="BW183">
        <f>IFERROR(N(VLOOKUP(AX183,Потребители_обозначение,10,FALSE)),0)</f>
        <v>0</v>
      </c>
      <c r="BX183">
        <f>IFERROR(VLOOKUP(AX183,Потребители_обозначение,5,FALSE),0)</f>
        <v>0</v>
      </c>
      <c r="BY183" s="6" cm="1">
        <f t="array" ref="BY183">IF(B183="","",IF(BC183&lt;&gt;"",IFERROR(_xlfn.XLOOKUP(BC183,Щиты[Щит],Щиты[cos φ]),0.95),IF(BK183=1,IFERROR(_xlfn.XLOOKUP(A183,Щиты[Щит],Щиты[cos φ]),0.95),IF(ISNUMBER(Z183),Z183,IFERROR(IF(BX183=2,_xlfn.IFS(BR183=3,VLOOKUP(BN183,Справочная_двигатели,8,FALSE),BR183=1,VLOOKUP(BN183,Справочная_двигатели,10,TRUE)),IF(AND(Методика="нормы 2026",EQ183="Сил"),0.8,0.95)),0.95)))))</f>
        <v>0.95</v>
      </c>
      <c r="BZ183">
        <f t="shared" si="263"/>
        <v>0</v>
      </c>
      <c r="CA183">
        <f t="shared" si="264"/>
        <v>1</v>
      </c>
      <c r="CB183">
        <f t="shared" si="265"/>
        <v>0</v>
      </c>
      <c r="CC183">
        <f t="shared" si="266"/>
        <v>0</v>
      </c>
      <c r="CD183">
        <f t="shared" si="267"/>
        <v>0</v>
      </c>
      <c r="CE183">
        <f t="shared" si="268"/>
        <v>0</v>
      </c>
      <c r="CF183">
        <f t="shared" si="269"/>
        <v>0</v>
      </c>
      <c r="CG183">
        <f>IF(AX183="",0,_xlfn.LET(_xlpm.v,IFERROR(VLOOKUP(B183,УГО_спр,3,FALSE),IFERROR(VLOOKUP(AX183,УГО_спр,3,FALSE),IFERROR(VLOOKUP(LEFT(AX183,2),УГО_спр,3,FALSE),""))),IF(_xlpm.v="да",30,IF(ISNUMBER(_xlpm.v),_xlpm.v,0))))</f>
        <v>0</v>
      </c>
      <c r="CH183" t="str">
        <f t="shared" si="270"/>
        <v/>
      </c>
      <c r="CI183" t="str">
        <f>_xlfn.LET(_xlpm.k,IFERROR(_xlfn.XLOOKUP(AX183,Коды_код,Коды_утечка)&amp;"",""),IF(_xlpm.k="","дифавтомат",_xlpm.k))</f>
        <v>дифавтомат</v>
      </c>
      <c r="CJ183">
        <f t="shared" si="271"/>
        <v>0</v>
      </c>
      <c r="CK183">
        <f t="shared" si="272"/>
        <v>0</v>
      </c>
      <c r="CL183">
        <f>IF(B183="",0,IFERROR(--VLOOKUP(B183,УГО_спр,4,FALSE),IFERROR(--VLOOKUP(AX183,УГО_спр,4,FALSE),IFERROR(--VLOOKUP(LEFT(AX183,2),УГО_спр,4,FALSE),0))))</f>
        <v>0</v>
      </c>
      <c r="CM183" t="str">
        <f>IF(B183="","",IFERROR(_xlfn.XLOOKUP(AX183,Коды_код,Коды_апп)&amp;"",""))</f>
        <v/>
      </c>
      <c r="CN183" t="str">
        <f t="shared" si="273"/>
        <v/>
      </c>
      <c r="CO183" t="str" cm="1">
        <f t="array" ref="CO183">IF(TRIM(CN183&amp;"")="","",IFERROR(TRIM(INDEX(_xlfn.TEXTSPLIT(CN183&amp;";;;",";"),1)),""))</f>
        <v/>
      </c>
      <c r="CP183" t="str" cm="1">
        <f t="array" ref="CP183">IF(TRIM(CN183&amp;"")="","",IFERROR(TRIM(INDEX(_xlfn.TEXTSPLIT(CN183&amp;";;;",";"),2)),""))</f>
        <v/>
      </c>
      <c r="CQ183" t="str" cm="1">
        <f t="array" ref="CQ183">IF(TRIM(CN183&amp;"")="","",IFERROR(TRIM(INDEX(_xlfn.TEXTSPLIT(CN183&amp;";;;",";"),3)),""))</f>
        <v/>
      </c>
      <c r="CR183">
        <f t="shared" si="274"/>
        <v>0</v>
      </c>
      <c r="CS183" t="str">
        <f>IF(B183="","",_xlfn.LET(_xlpm.t,LOWER(AV183&amp;""),IF(ISNUMBER(SEARCH("dim",_xlpm.t)),"DIM",IF(ISNUMBER(SEARCH("dali",_xlpm.t)),"DALI",IF(OR(ISNUMBER(SEARCH("relay",_xlpm.t)),ISNUMBER(SEARCH("реле",_xlpm.t))),"Relay",IF(ISNUMBER(SEARCH("кнопк",_xlpm.t)),"",IFERROR(_xlfn.XLOOKUP(AX183,Коды_код,Коды_упр)&amp;"","")))))))</f>
        <v/>
      </c>
      <c r="CT183" t="str">
        <f t="shared" si="275"/>
        <v/>
      </c>
      <c r="CU183">
        <f>IF(B183="","",_xlfn.LET(_xlpm.ig,N(P183)+IF(AF183="вручную",0,N(CB183)),_xlpm.n0,IFERROR(VLOOKUP(_xlpm.ig,Автомат_номиналы,2,TRUE),0),_xlpm.mn,MAX(CL183,IF(AF183="вручную",0,N(CE183))),MAX(_xlpm.n0,_xlpm.mn,IF(CR183=1,Мин_автомат_БП,0))))</f>
        <v>6</v>
      </c>
      <c r="CV183">
        <f t="shared" si="276"/>
        <v>1</v>
      </c>
      <c r="CW183" t="str">
        <f t="shared" si="277"/>
        <v>1P</v>
      </c>
      <c r="CX183" t="str">
        <f>_xlfn.LET(_xlpm.cc,UPPER(TRIM(IFERROR(_xlfn.XLOOKUP(AX183,Коды_код,Коды_хар)&amp;"",""))),IF(OR(_xlpm.cc="B",_xlpm.cc="В"),"B",IF(_xlpm.cc="D","D","С")))</f>
        <v>С</v>
      </c>
      <c r="CY183" t="str">
        <f t="shared" si="278"/>
        <v>1P С6А</v>
      </c>
      <c r="CZ183">
        <f t="shared" si="279"/>
        <v>16</v>
      </c>
      <c r="DA183" t="str">
        <f t="shared" si="280"/>
        <v>1P С16А</v>
      </c>
      <c r="DB183" cm="1">
        <f t="array" ref="DB183">IF(DA183="","",_xlfn.LET(_xlpm.t,SUBSTITUTE(SUBSTITUTE(SUBSTITUTE(UPPER(DA183),"С","C"),"А","A"),"В","B"),_xlpm.tk,_xlfn.TEXTSPLIT(_xlpm.t,"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3" t="str">
        <f t="shared" si="281"/>
        <v>ok</v>
      </c>
      <c r="DD183">
        <f t="shared" si="282"/>
        <v>16</v>
      </c>
      <c r="DE183" t="str">
        <f t="shared" si="283"/>
        <v>1P С16А</v>
      </c>
      <c r="DF183">
        <f t="shared" si="284"/>
        <v>0</v>
      </c>
      <c r="DG183">
        <f t="shared" si="285"/>
        <v>0</v>
      </c>
      <c r="DH183">
        <f t="shared" si="286"/>
        <v>0</v>
      </c>
      <c r="DI183">
        <f t="shared" si="287"/>
        <v>2.2790142204853647</v>
      </c>
      <c r="DJ183">
        <f t="shared" si="288"/>
        <v>1</v>
      </c>
      <c r="DK183">
        <f>IF(ISNUMBER(AL183),AL183,К_прокл)</f>
        <v>1</v>
      </c>
      <c r="DL183">
        <f t="shared" si="289"/>
        <v>2</v>
      </c>
      <c r="DM183">
        <f>IFERROR(N(VLOOKUP(BT183,Кабель_обозначение,3,FALSE)),1)</f>
        <v>1</v>
      </c>
      <c r="DN183">
        <f>IFERROR(N(_xlfn.XLOOKUP(A183,Щиты[Щит],Щиты[ΔU до шин, %])),0)</f>
        <v>1.57</v>
      </c>
      <c r="DO183" t="str">
        <f>IFERROR(_xlfn.XLOOKUP(A183,Щиты[Щит],Щиты[Zпетли на шинах, Ом]),"")</f>
        <v/>
      </c>
      <c r="DP183">
        <f>IFERROR(N(_xlfn.XLOOKUP(A183,Щиты[Щит],Щиты[ΔU до шин (подбор), %])),0)</f>
        <v>2.5</v>
      </c>
      <c r="DQ183" t="str">
        <f>IFERROR(_xlfn.XLOOKUP(A183,Щиты[Щит],Щиты[Zпетли на шинах (подбор), Ом]),"")</f>
        <v/>
      </c>
      <c r="DR183" t="str">
        <f t="shared" si="290"/>
        <v/>
      </c>
      <c r="DS183">
        <f t="shared" si="291"/>
        <v>12</v>
      </c>
      <c r="DT183">
        <f t="shared" si="292"/>
        <v>2</v>
      </c>
      <c r="DU183">
        <f t="shared" si="293"/>
        <v>0.31</v>
      </c>
      <c r="DV183" s="6">
        <f>IF(B183="","",IF(IFERROR(VLOOKUP(AX183,УГО_спр,2,FALSE),"")="Светильник",3,4)+IF(Методика="нормы 2026",MIN(0.5,MAX(0,N(Q183)-100)*0.005),0))</f>
        <v>4</v>
      </c>
      <c r="DW183" cm="1">
        <f t="array" ref="DW183">IF(OR(B183="",BT183="",DM183&lt;&gt;1),"",_xlfn.LET(_xlpm.sz,Iдоп_S,_xlpm.t_,CHOOSE(DL183,Iдоп_1ж,Iдоп_2ж,Iдоп_3ж)*DJ183*DK183,_xlpm.inn,N(DD183),_xlpm.smin,MAX(1.5,BW183),_xlpm.L_,N(Q183)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183)*(_xlpm.rho*_xlpm.L_/_xlpm.sz*N(BY183)+_xlpm.xx*_xlpm.L_*N(DU183)/1000)*N(P183)/((Uн_лин/SQRT(3))*1000)*100,999),_xlpm.kz,IF(OR(DG183=1,NOT(ISNUMBER(DQ183)),_xlpm.L_=0,_xlpm.inn=0),1,IFERROR(--(c_min*(Uн_лин*1000/SQRT(3))/(DQ183+2*ρкз_Cu*_xlpm.L_/_xlpm.sz)&gt;=GY183*_xlpm.inn),0)),_xlpm.ok,IFERROR((_xlpm.sz&gt;=_xlpm.smin)*(_xlpm.t_&gt;=_xlpm.inn)*IF(_xlpm.L_&gt;0,(_xlpm.du_+DP183&lt;=DV183+0.00001),1)*_xlpm.kz,0),_xlpm.r_,_xlfn._xlws.FILTER(_xlpm.sz,_xlpm.ok,"не подобрано"),INDEX(_xlpm.r_,1)))</f>
        <v>1.5</v>
      </c>
      <c r="DX183">
        <f t="shared" si="294"/>
        <v>2.5</v>
      </c>
      <c r="DY183" cm="1">
        <f t="array" ref="DY183">IF(OR(B183="",BT183="",DM183&lt;&gt;1),"",_xlfn.LET(_xlpm.sz,Iдоп_S,_xlpm.t_,CHOOSE(DL183,Iдоп_1ж,Iдоп_2ж,Iдоп_3ж)*DJ183*DK183,_xlpm.ok,IFERROR((_xlpm.sz&gt;=MAX(1.5,BW183))*(_xlpm.t_&gt;=N(DD183)),0),_xlpm.r_,_xlfn._xlws.FILTER(_xlpm.sz,_xlpm.ok,""),INDEX(_xlpm.r_,1)))</f>
        <v>1.5</v>
      </c>
      <c r="DZ183" s="6" cm="1">
        <f t="array" ref="DZ183">IFERROR(ROUNDUP(N(DT183)*(_xlfn.XLOOKUP(DY183,INDEX(Кабель_сопротивление,0,1),INDEX(Кабель_сопротивление,0,3))*N(Q183)/DY183*N(BY183)+_xlfn.XLOOKUP(DY183,INDEX(Кабель_сопротивление,0,1),INDEX(Кабель_сопротивление,0,2))*N(Q183)*N(DU183)/1000)*N(P183)/((Uн_лин/SQRT(3))*1000)*100,2),"")</f>
        <v>0.34</v>
      </c>
      <c r="EA183">
        <f>IFERROR(2*ρкз_Cu*N(Q183)/DY183,"")</f>
        <v>0.42080000000000001</v>
      </c>
      <c r="EB183">
        <f>IFERROR(VLOOKUP(DX183,Кабель_сопротивление,3,FALSE),"")</f>
        <v>2.2499999999999999E-2</v>
      </c>
      <c r="EC183">
        <f>IFERROR(VLOOKUP(DX183,Кабель_сопротивление,2,FALSE),"")</f>
        <v>0.1</v>
      </c>
      <c r="ED183">
        <f t="shared" si="295"/>
        <v>12</v>
      </c>
      <c r="EE183" t="str">
        <f t="shared" si="296"/>
        <v/>
      </c>
      <c r="EF183">
        <f t="shared" si="297"/>
        <v>0.469349304623638</v>
      </c>
      <c r="EG183" s="6">
        <f>IFERROR(ROUNDUP(EF183/((Uн_лин/SQRT(3))*1000)*100,2),"")</f>
        <v>0.21000000000000002</v>
      </c>
      <c r="EH183" t="str">
        <f>IFERROR(VLOOKUP(BT183,Кабель_обозначение,2,FALSE),"")</f>
        <v>ВВГнг(А)-LS</v>
      </c>
      <c r="EI183" t="str">
        <f t="shared" si="298"/>
        <v>ВВГнг(А)-LS (3х2,5)</v>
      </c>
      <c r="EJ183" t="str">
        <f t="shared" si="299"/>
        <v>ВВГнг(А)-LS (3х2,5)
L=12-0,21%</v>
      </c>
      <c r="EK183">
        <f>IFERROR(2*ρкз_Cu*Q183/DX183,"")</f>
        <v>0.25247999999999998</v>
      </c>
      <c r="EL183">
        <f t="shared" si="300"/>
        <v>8.4000000000000005E-2</v>
      </c>
      <c r="EM183" s="6" t="str">
        <f>IFERROR(IF(OR(B183="",NOT(ISNUMBER(DX183)),N(Q183)=0),"",_xlfn.XLOOKUP(A183,Щиты[Щит],Щиты[Zпетли на шинах, Ом])+EK183),"")</f>
        <v/>
      </c>
      <c r="EN183" s="6" t="str">
        <f>IF(ISNUMBER(EM183),c_min*(Uн_лин*1000/SQRT(3))/EM183,"")</f>
        <v/>
      </c>
      <c r="EO183" s="6" t="str">
        <f>IFERROR(IF(OR(B183="",NOT(ISNUMBER(DX183))),"",1.05*(Uн_лин*1000/SQRT(3))/(_xlfn.XLOOKUP(A183,Щиты[Щит],Щиты[Zmax на шинах, Ом])+EL183)/1000),"")</f>
        <v/>
      </c>
      <c r="EP183" s="6" t="str">
        <f>IF(B183="","",IF(ISNUMBER(Y183),"Сил",IF(IFERROR(_xlfn.XLOOKUP(AX183,Коды_код,Коды_группа)&amp;"","")="","Быт",_xlfn.XLOOKUP(AX183,Коды_код,Коды_группа)&amp;"")))</f>
        <v>Быт</v>
      </c>
      <c r="EQ183" s="6" t="str">
        <f t="shared" si="301"/>
        <v>Пост</v>
      </c>
      <c r="ER183" s="6">
        <f>IF(EQ183="Щит","щит",IF(EQ183="","",IF(EQ183="Быт",IFERROR(_xlfn.XLOOKUP(A183,Щиты[Щит],Щиты[Кс быт]),1),IF(EQ183="Сил",IF(ISNUMBER(Y183),Y183,IF(Методика="нормы 2026",IFERROR(_xlfn.XLOOKUP(A183,Щиты[Щит],Щиты[Кс силовых (табл. 7.5)]),1),1)),IF(OR(EQ183="Пост",EQ183="Отоп"),1,IF(EQ183="ВНГ",0.7,0))))))</f>
        <v>1</v>
      </c>
      <c r="ES183">
        <f t="shared" si="302"/>
        <v>1</v>
      </c>
      <c r="ET183">
        <f t="shared" si="303"/>
        <v>0.5</v>
      </c>
      <c r="EU183">
        <f t="shared" si="304"/>
        <v>0</v>
      </c>
      <c r="EV183">
        <f t="shared" si="305"/>
        <v>0</v>
      </c>
      <c r="EW183">
        <f t="shared" si="306"/>
        <v>0.5</v>
      </c>
      <c r="EX183">
        <f t="shared" si="307"/>
        <v>0</v>
      </c>
      <c r="EY183">
        <f t="shared" si="308"/>
        <v>0</v>
      </c>
      <c r="EZ183">
        <f t="shared" si="309"/>
        <v>0.5</v>
      </c>
      <c r="FA183">
        <f t="shared" si="310"/>
        <v>0.47499999999999998</v>
      </c>
      <c r="FB183">
        <f t="shared" si="311"/>
        <v>0.5</v>
      </c>
      <c r="FC183" t="str">
        <f t="shared" si="312"/>
        <v>L3</v>
      </c>
      <c r="FD183" t="str">
        <f>IF(B183="","",IF(CA183=0,IF(AW183=1,"",FF182),IF(OR(N(CV183)&gt;=3,N(BR183)&gt;=3),"L1,L2,L3",IFERROR(_xlfn.TEXTBEFORE(_xlfn.TEXTAFTER(_xlfn.XLOOKUP(A183,Щиты[Щит],Щиты[_фазы авто]),";"&amp;AW183&amp;":"),";"),"L1"))))</f>
        <v>L1</v>
      </c>
      <c r="FE183" t="str">
        <f t="shared" si="313"/>
        <v>L3</v>
      </c>
      <c r="FF183" t="str">
        <f t="shared" si="314"/>
        <v>L3</v>
      </c>
      <c r="FG183" cm="1">
        <f t="array" ref="FG183">IFERROR(IF(BX183=2,_xlfn.IFS(BR183=3,VLOOKUP(BN183,Справочная_двигатели,3,FALSE),BR183=1,VLOOKUP(BN183,Справочная_двигатели,5,TRUE)),0),0)</f>
        <v>0</v>
      </c>
      <c r="FH183">
        <f>IFERROR(IF(BX183=3,VLOOKUP(BN183,Справочная_ЛЭД,2,TRUE),0),0)</f>
        <v>0</v>
      </c>
      <c r="FI183" s="6">
        <f t="shared" si="315"/>
        <v>0</v>
      </c>
      <c r="FJ183" t="str" cm="1">
        <f t="array" ref="FJ183">IF(B183="","",IFERROR(INDEX({"I особая","I","II","III"},MATCH(TRIM(AC183&amp;""),{"I особая","I","II","III"},0)),"III"))</f>
        <v>II</v>
      </c>
      <c r="FK183" t="str">
        <f>IF(B183="","",IF(TRIM(AD183&amp;"")&lt;&gt;"",IF(LOWER(TRIM(AD183&amp;""))="да","да","нет"),IF(IFERROR(_xlfn.XLOOKUP(AX183,Коды_код,Коды_пожарная),"")="да","да","нет")))</f>
        <v>нет</v>
      </c>
      <c r="FL183" t="str">
        <f t="shared" si="316"/>
        <v/>
      </c>
      <c r="FM183" t="str">
        <f t="shared" si="317"/>
        <v>основная</v>
      </c>
      <c r="FN183">
        <f t="shared" si="318"/>
        <v>1</v>
      </c>
      <c r="FO183" t="str" cm="1">
        <f t="array" ref="FO183">IF(B183="","",_xlfn.LET(_xlpm.t,IFERROR(_xlfn.XLOOKUP(1,(Шины[Шина]=FM183)*(((Шины[Щит]=A183)+(Шины[Щит]=""))&gt;0),Шины[Тип]),"")&amp;"",IF(_xlpm.t&lt;&gt;"",_xlpm.t,IF(ISNUMBER(SEARCH("ИБП",FM183)),"ИБП",IF(ISNUMBER(SEARCH("ДГУ",FM183)),"ДГУ","Ввод "&amp;FN183)))))</f>
        <v>Ввод 1</v>
      </c>
      <c r="FP183" t="str">
        <f t="shared" si="319"/>
        <v>Ввод 1</v>
      </c>
      <c r="FQ183" t="str">
        <f>IF(B183="","",IF(OR(FO183="ИБП",FO183="ДГУ"),"I особая",IF(FO183="Одиночная","III",_xlfn.XLOOKUP(A183,Щиты[Щит],Щиты[Категория шины «Ввод»],"III"))))</f>
        <v>II</v>
      </c>
      <c r="FR183">
        <f>IF(B183="",0,IFERROR(MATCH(FJ183,{"III","II","I","I особая"},0),1))</f>
        <v>2</v>
      </c>
      <c r="FS183">
        <f t="shared" si="320"/>
        <v>2</v>
      </c>
      <c r="FT183" t="str">
        <f>IF(B183="","",IF(FR183&gt;IFERROR(MATCH(FQ183,{"III","II","I","I особая"},0),1),"НЕ ОБЕСПЕЧЕНА","ОК"))</f>
        <v>ОК</v>
      </c>
      <c r="FU183" t="str">
        <f>IF(A183="","",_xlfn.XLOOKUP(A183,Щиты[Щит],Щиты[Путь],""))</f>
        <v>|ГРЩ-ЖД|ЩР-001|</v>
      </c>
      <c r="FV183" t="str">
        <f>IF(B183="","",IF(AE183&lt;&gt;"",AE183,IF(IFERROR(_xlfn.XLOOKUP(AX183,Коды_код,Коды_вид)&amp;"","")="","Прочее",_xlfn.XLOOKUP(AX183,Коды_код,Коды_вид)&amp;"")))</f>
        <v>Системы безопасности и связи</v>
      </c>
      <c r="FW183">
        <f>IF(BH183="","",INT((BH183-1)/Столбцов_на_лист)+1)</f>
        <v>3</v>
      </c>
      <c r="FX183" t="str">
        <f t="shared" si="321"/>
        <v>ВВГнг(А)-LS (3х2,5) L=12-0,21%</v>
      </c>
      <c r="FY183">
        <f t="shared" si="322"/>
        <v>0.5</v>
      </c>
      <c r="FZ183">
        <f t="shared" si="323"/>
        <v>2.2799999999999998</v>
      </c>
      <c r="GA183">
        <f t="shared" si="324"/>
        <v>1</v>
      </c>
      <c r="GB183">
        <f t="shared" si="325"/>
        <v>0</v>
      </c>
      <c r="GC183">
        <f t="shared" si="326"/>
        <v>1</v>
      </c>
      <c r="GD183">
        <f>IF(BH183="","",IF(AND(CA183=1,GC183=1),COUNTIFS(A$3:A183,A183,CA$3:CA183,1,GC$3:GC183,1),IF(OR(OR(AW183=1,A183&lt;&gt;A182),AF183="вручную",GC183=0),"",IF(AW183=1,"",GE182))))</f>
        <v>29</v>
      </c>
      <c r="GE183">
        <f t="shared" si="327"/>
        <v>29</v>
      </c>
      <c r="GF183">
        <f>IF(B183="","",IFERROR(LOOKUP(INDEX(CHOOSE(DL183,Iдоп_1ж,Iдоп_2ж,Iдоп_3ж),MATCH(DX183,Iдоп_S,0))*DJ183*DK183,{6,10,16,20,25,32,40,50,63,80,100,125,160,200,250,315,400,500,630}),""))</f>
        <v>25</v>
      </c>
      <c r="GG183" t="str">
        <f t="shared" si="328"/>
        <v>QF29</v>
      </c>
      <c r="GH183" t="str">
        <f t="shared" si="329"/>
        <v>QF29</v>
      </c>
      <c r="GI183" t="str">
        <f t="shared" si="330"/>
        <v/>
      </c>
      <c r="GJ183">
        <f t="shared" si="331"/>
        <v>0</v>
      </c>
      <c r="GK183" t="str">
        <f>IF(OR(AG183="",AG183="-"),"",IFERROR(VLOOKUP(AG183,Модули_спр,2,FALSE),"R"))</f>
        <v/>
      </c>
      <c r="GL183" t="str">
        <f>IF(GK183="","",GK183&amp;"."&amp;COUNTIFS(A$3:A183,A183,GK$3:GK183,GK183))</f>
        <v/>
      </c>
      <c r="GM183" t="str">
        <f t="shared" si="332"/>
        <v/>
      </c>
      <c r="GN183" t="str">
        <f t="shared" si="333"/>
        <v/>
      </c>
      <c r="GO183" t="str">
        <f t="shared" si="334"/>
        <v/>
      </c>
      <c r="GP183" t="str">
        <f t="shared" si="335"/>
        <v/>
      </c>
      <c r="GQ183">
        <f t="shared" si="336"/>
        <v>1</v>
      </c>
      <c r="GR183" t="str">
        <f>IF(GQ183=1,"XT"&amp;COUNTIFS(A$3:A183,A183,GQ$3:GQ183,1),"")</f>
        <v>XT29</v>
      </c>
      <c r="GS183" t="str">
        <f t="shared" si="337"/>
        <v/>
      </c>
      <c r="GT183" t="str">
        <f t="shared" si="338"/>
        <v>QF29</v>
      </c>
      <c r="GU183" t="str">
        <f t="shared" si="339"/>
        <v/>
      </c>
      <c r="GV183" t="str">
        <f t="shared" si="340"/>
        <v>ok</v>
      </c>
      <c r="GW183" t="str">
        <f>IF(OR(GO183="",GM183=""),"",IF(GO183&gt;IFERROR(VLOOKUP(GN183,Модули_спр,3,FALSE),99),"ЛИШНИЙ КАНАЛ",IF(AND(AH183&lt;&gt;"=",COUNTIFS(Линии[_модуль гр.],GM183,Линии[Канал (итог)],GO183,Линии[Канал],"&lt;&gt;=",Линии[Щит],A183)&gt;1),"ДУБЛЬ КАНАЛА","")))</f>
        <v/>
      </c>
      <c r="GX183" s="6" t="str">
        <f t="shared" si="341"/>
        <v/>
      </c>
      <c r="GY183">
        <f t="shared" si="342"/>
        <v>10</v>
      </c>
      <c r="GZ183" t="str">
        <f t="shared" si="343"/>
        <v/>
      </c>
      <c r="HA183" t="str">
        <f>IF(AND(B183="",GT183=""),"",_xlfn.TEXTJOIN("; ",TRUE,IF(AND(B183&lt;&gt;"",FE183=""),"нет фазы",""),IF(AND(B183&lt;&gt;"",N(FY183)=0,EQ183&lt;&gt;"Нет"),"нет мощности",""),IF(AND(GS183&lt;&gt;"",COUNTIFS(Линии[Щит],A183,Линии[Клемма (итог)],GS183)&gt;1),"дубль клеммы "&amp;GS183,""),IF(AND(GV183&lt;&gt;"",GV183&lt;&gt;"ok"),GV183,""),IF(GW183&lt;&gt;"",GW183,""),IF(AND(N(BV183)&gt;=4,N(BR183)=1),BV183&amp;" жил на 1 фазе",""),IF(AND(AX183="R",CA183=1,OR(N(CK183)=0,N(CK183)&gt;30)),"розетка без дифзащиты до 30 мА",""),IFERROR(IF(AND(ISNUMBER(R183),R183&gt;DV183),"потери "&amp;FIXED(R183,1)&amp;" % &gt; "&amp;DV183&amp;" %",""),""),IFERROR(IF(LEFT(GZ183,4)="мало","Iкз мало — отключение &gt; 0,4 с",""),""),IF(AND(B183&lt;&gt;"",BH183=""),"не на схеме",""),IF(AND(CA183=0,B183&lt;&gt;"",FE183&lt;&gt;"",IF(AW183=1,"",FF182)&lt;&gt;"",FE183&lt;&gt;IF(AW183=1,"",FF182)),"фаза не как у автомата группы ("&amp;IF(AW183=1,"",FF182)&amp;")","")))</f>
        <v/>
      </c>
      <c r="HB183" s="6">
        <f>IF(OR(CA183=0,DA183=""),"",_xlfn.LET(_xlpm.t,IFERROR(_xlfn.XLOOKUP(DA183,Каталог!$U$4:$U$500,Каталог!$G$4:$G$500),""),_xlpm.k,SEARCH("кА",_xlpm.t),IFERROR(--TRIM(RIGHT(SUBSTITUTE(MID(_xlpm.t,MAX(1,_xlpm.k-4),_xlpm.k-MAX(1,_xlpm.k-4))," ",REPT(" ",9)),5)),"")))</f>
        <v>6</v>
      </c>
      <c r="HC183" t="str">
        <f>IF(OR(HB183="",CA183=0),"",IF(_xlfn.XLOOKUP(A183,Щиты[Щит],Щиты[Iкз max на шинах, кА],"")="","",IF(HB183&lt;_xlfn.XLOOKUP(A183,Щиты[Щит],Щиты[Iкз max на шинах, кА]),"Icu "&amp;HB183&amp;" кА &lt; Iкз max","ok")))</f>
        <v/>
      </c>
      <c r="HD183" t="str">
        <f t="shared" si="344"/>
        <v/>
      </c>
      <c r="HE183" t="str">
        <f t="shared" si="345"/>
        <v>QF29</v>
      </c>
      <c r="HF183" t="str">
        <f t="shared" si="346"/>
        <v>QF29|кабель ВВГнг(А)-LS (3х2,5) → Щит контроля доступа ШДК-001 Подвальный этаж Пом. №004Т</v>
      </c>
      <c r="HG183" t="str" cm="1">
        <f t="array" ref="HG183">IF(HF183="","",_xlfn.LET(_xlpm.nd,_xlfn.TEXTSPLIT(HF183,"|"),IF(COLUMNS(_xlpm.nd)&gt;1,A183&amp;"¦"&amp;INDEX(_xlpm.nd,1)&amp;"¦"&amp;INDEX(_xlpm.nd,2),"")))</f>
        <v>ЩР-001¦QF29¦кабель ВВГнг(А)-LS (3х2,5) → Щит контроля доступа ШДК-001 Подвальный этаж Пом. №004Т</v>
      </c>
      <c r="HH183" t="str">
        <f t="shared" si="347"/>
        <v>ЩКД-001¦Щит контроля доступа ШДК-001 Подвальный этаж Пом. №004Т</v>
      </c>
      <c r="HI183" t="str" cm="1">
        <f t="array" ref="HI183">IF(HF183="","",_xlfn.LET(_xlpm.nd,_xlfn.TEXTSPLIT(HF183,"|"),IF(COLUMNS(_xlpm.nd)&gt;2,A183&amp;"¦"&amp;INDEX(_xlpm.nd,2)&amp;"¦"&amp;INDEX(_xlpm.nd,3),"")))</f>
        <v/>
      </c>
      <c r="HJ183" t="str">
        <f t="shared" si="348"/>
        <v/>
      </c>
      <c r="HK183" t="str" cm="1">
        <f t="array" ref="HK183">IF(HF183="","",_xlfn.LET(_xlpm.nd,_xlfn.TEXTSPLIT(HF183,"|"),IF(COLUMNS(_xlpm.nd)&gt;3,A183&amp;"¦"&amp;INDEX(_xlpm.nd,3)&amp;"¦"&amp;INDEX(_xlpm.nd,4),"")))</f>
        <v/>
      </c>
      <c r="HL183" t="str">
        <f t="shared" si="349"/>
        <v/>
      </c>
      <c r="HM183" t="str" cm="1">
        <f t="array" ref="HM183">IF(HF183="","",_xlfn.LET(_xlpm.nd,_xlfn.TEXTSPLIT(HF183,"|"),IF(COLUMNS(_xlpm.nd)&gt;4,A183&amp;"¦"&amp;INDEX(_xlpm.nd,4)&amp;"¦"&amp;INDEX(_xlpm.nd,5),"")))</f>
        <v/>
      </c>
      <c r="HN183" t="str">
        <f t="shared" si="350"/>
        <v/>
      </c>
      <c r="HO183" t="str" cm="1">
        <f t="array" ref="HO183">IF(HF183="","",_xlfn.LET(_xlpm.nd,_xlfn.TEXTSPLIT(HF183,"|"),IF(COLUMNS(_xlpm.nd)&gt;5,A183&amp;"¦"&amp;INDEX(_xlpm.nd,5)&amp;"¦"&amp;INDEX(_xlpm.nd,6),"")))</f>
        <v/>
      </c>
      <c r="HP183" t="str">
        <f t="shared" si="351"/>
        <v/>
      </c>
      <c r="HQ183" t="str" cm="1">
        <f t="array" ref="HQ183">IF(HF183="","",_xlfn.LET(_xlpm.nd,_xlfn.TEXTSPLIT(HF183,"|"),IF(COLUMNS(_xlpm.nd)&gt;6,A183&amp;"¦"&amp;INDEX(_xlpm.nd,6)&amp;"¦"&amp;INDEX(_xlpm.nd,7),"")))</f>
        <v/>
      </c>
      <c r="HR183" t="str">
        <f t="shared" si="352"/>
        <v/>
      </c>
      <c r="HS183" t="str">
        <f t="shared" si="353"/>
        <v/>
      </c>
      <c r="HT183" t="str">
        <f t="shared" si="354"/>
        <v>QF29</v>
      </c>
      <c r="HU183">
        <f t="shared" si="355"/>
        <v>0</v>
      </c>
      <c r="HV183">
        <f t="shared" si="356"/>
        <v>0</v>
      </c>
      <c r="HW183" t="str">
        <f t="shared" si="357"/>
        <v/>
      </c>
      <c r="HX183" t="str">
        <f t="shared" si="358"/>
        <v/>
      </c>
      <c r="HY183" t="str">
        <f t="shared" si="359"/>
        <v/>
      </c>
      <c r="HZ183" t="str">
        <f t="shared" si="360"/>
        <v/>
      </c>
      <c r="IA183" t="str">
        <f>IF(B183="","",IFERROR(VLOOKUP(B183,УГО_спр,2,FALSE),IFERROR(VLOOKUP(AX183,УГО_спр,2,FALSE),IFERROR(VLOOKUP(LEFT(AX183,2),УГО_спр,2,FALSE),""))))</f>
        <v/>
      </c>
      <c r="IB183" t="str">
        <f>IF(B183="","",IF(OR(IA183="",IA183=0),"BOX",IFERROR(IF(VLOOKUP(IA183,УГО_блоки,3,FALSE)&amp;""&lt;&gt;"",VLOOKUP(IA183,УГО_блоки,3,FALSE),VLOOKUP(IA183,УГО_блоки,2,FALSE)),IA183)))</f>
        <v>BOX</v>
      </c>
      <c r="IC183">
        <f t="shared" si="361"/>
        <v>1</v>
      </c>
      <c r="ID183" t="str">
        <f>IF(DA183="","",IF(COUNTIF(DA$3:DA183,DA183)=1,MAX(ID$2:ID182)+1,""))</f>
        <v/>
      </c>
      <c r="IE183" t="str">
        <f>IF(CO183="","",IF(COUNTIF(CO$3:CO183,CO183)+COUNTIF(CP$2:CP182,CO183)+COUNTIF(CQ$2:CQ182,CO183)=1,MAX(IE$2:IG182)+1,""))</f>
        <v/>
      </c>
      <c r="IF183" t="str">
        <f>IF(CP183="","",IF(COUNTIF(CO$3:CO183,CP183)+COUNTIF(CP$3:CP183,CP183)+COUNTIF(CQ$2:CQ182,CP183)=1,MAX(IE$2:IG182,IE183)+1,""))</f>
        <v/>
      </c>
      <c r="IG183" t="str">
        <f>IF(CQ183="","",IF(COUNTIF(CO$3:CO183,CQ183)+COUNTIF(CP$3:CP183,CQ183)+COUNTIF(CQ$3:CQ183,CQ183)=1,MAX(IE$2:IG182,IE183,IF183)+1,""))</f>
        <v/>
      </c>
      <c r="IH183" t="str">
        <f t="shared" si="362"/>
        <v>3х2,5</v>
      </c>
      <c r="II183" t="str">
        <f>IF(IH183="","",IF(COUNTIF(IH$3:IH183,IH183)=1,MAX(II$2:II182)+1,""))</f>
        <v/>
      </c>
      <c r="IJ183" t="str">
        <f>IF(GL183="","",COUNTIF(GL$3:GL183,"?*"))</f>
        <v/>
      </c>
      <c r="IK183" t="str">
        <f>IF(OR(GL183="",GN183=""),"",IF(COUNTIFS(GL$3:GL183,"?*",GN$3:GN183,GN183)=1,MAX(IK$2:IK182)+1,""))</f>
        <v/>
      </c>
      <c r="IL183">
        <f t="shared" si="363"/>
        <v>0</v>
      </c>
      <c r="IM183">
        <f>IF(B183="","",COUNTIF(B$3:B183,"?*"))</f>
        <v>181</v>
      </c>
      <c r="IN183">
        <f>IF(GQ183&lt;&gt;1,0,_xlfn.LET(_xlpm.k,MAX(IFERROR(--VLOOKUP(B183,УГО_спр,5,FALSE),0),IFERROR(--VLOOKUP(AX183,УГО_спр,5,FALSE),0),IFERROR(--VLOOKUP(LEFT(AX183,2),УГО_спр,5,FALSE),0)),IF(_xlpm.k&gt;0,_xlpm.k,IF(IFERROR(--LEFT(SUBSTITUTE(IH183,"x","х"),FIND("х",SUBSTITUTE(IH183,"x","х"))-1),3)&gt;3,Каталог!$S$9,1))))</f>
        <v>1</v>
      </c>
      <c r="IO183">
        <f t="shared" si="364"/>
        <v>0</v>
      </c>
      <c r="IP183" t="str">
        <f t="shared" si="365"/>
        <v>авто</v>
      </c>
      <c r="IQ183" t="str">
        <f t="shared" si="366"/>
        <v/>
      </c>
      <c r="IR183">
        <f t="shared" si="367"/>
        <v>0</v>
      </c>
      <c r="IS183">
        <f t="shared" si="368"/>
        <v>1</v>
      </c>
    </row>
    <row r="184" spans="1:253" x14ac:dyDescent="0.3">
      <c r="A184" t="s">
        <v>757</v>
      </c>
      <c r="B184" t="s">
        <v>743</v>
      </c>
      <c r="C184" t="s">
        <v>55</v>
      </c>
      <c r="D184">
        <v>1</v>
      </c>
      <c r="E184" t="s">
        <v>16</v>
      </c>
      <c r="G184">
        <v>40</v>
      </c>
      <c r="H184" t="str">
        <f>Линии[[#This Row],[_авто утечка]]</f>
        <v/>
      </c>
      <c r="I184" t="str">
        <f>Линии[[#This Row],[_авто управление]]</f>
        <v/>
      </c>
      <c r="J184" t="str">
        <f>Линии[[#This Row],[_авто аппараты]]</f>
        <v/>
      </c>
      <c r="K184">
        <v>10</v>
      </c>
      <c r="L184" t="str">
        <f>Линии[[#This Row],[_авто длина по плану]]</f>
        <v/>
      </c>
      <c r="M184" t="str">
        <f>Линии[[#This Row],[_авто фаза]]</f>
        <v>L1,L2,L3</v>
      </c>
      <c r="N184" t="str">
        <f>Линии[[#This Row],[_авто клемма]]</f>
        <v/>
      </c>
      <c r="O184" t="str">
        <f t="shared" si="246"/>
        <v/>
      </c>
      <c r="P184" s="6" cm="1">
        <f t="array" ref="P184">IF(B184="","",IF(BC184&lt;&gt;"",IFERROR(_xlfn.XLOOKUP(BC184,Щиты[Щит],Щиты[Iр, А]),""),IF(BK184=1,IFERROR(_xlfn.XLOOKUP(A184,Щиты[Щит],Щиты[Iр, А]),""),IFERROR(_xlfn.IFS(BR184=1,BN184/((Uн_лин/SQRT(3))*BY184),BR184=3,BN184/(SQRT(3)*Uн_лин*BY184)),""))))</f>
        <v>32.798575666043085</v>
      </c>
      <c r="Q184" s="7" t="str">
        <f>IF(B184="","",IFERROR(IF(VLOOKUP(AX184,Потребители_обозначение,4,FALSE)=1,VLOOKUP(AX184,Потребители_обозначение,3,FALSE)*(D184*2-1)+DS184+VLOOKUP(AZ184,Этаж_обозначение,3,FALSE)+VLOOKUP(AZ184,Этаж_обозначение,4,FALSE),VLOOKUP(AX184,Потребители_обозначение,3,FALSE)*(D184*2-1)+DS184),DS184))</f>
        <v/>
      </c>
      <c r="R184" s="6" t="str">
        <f t="shared" si="247"/>
        <v/>
      </c>
      <c r="S184" t="str">
        <f t="shared" si="248"/>
        <v>ВВГнг(А)-LS (5х10)</v>
      </c>
      <c r="T184" t="str">
        <f>IF(BH184="","",IF(BI184="вводной узел","узел ","")&amp;"л."&amp;(INT((BH184-1)/Столбцов_на_лист)+1)&amp;" / "&amp;(MOD(BH184-1,Столбцов_на_лист)+1))</f>
        <v>узел л.1 / 2</v>
      </c>
      <c r="V184">
        <v>3</v>
      </c>
      <c r="W184">
        <v>400</v>
      </c>
      <c r="X184" t="s">
        <v>549</v>
      </c>
      <c r="AF184" t="s">
        <v>1303</v>
      </c>
      <c r="AI184">
        <v>2</v>
      </c>
      <c r="AJ184" t="s">
        <v>11</v>
      </c>
      <c r="AK184">
        <v>5</v>
      </c>
      <c r="AW184" cm="1">
        <f t="array" ref="AW184">ROW()-ROW(Линии[#Headers])</f>
        <v>182</v>
      </c>
      <c r="AX184" s="6" t="str">
        <f t="shared" si="249"/>
        <v>Ввод</v>
      </c>
      <c r="AY184" t="str">
        <f t="shared" si="250"/>
        <v>1</v>
      </c>
      <c r="AZ184" t="str">
        <f t="shared" si="251"/>
        <v>1</v>
      </c>
      <c r="BA184" t="str">
        <f t="shared" si="252"/>
        <v/>
      </c>
      <c r="BB184" t="str">
        <f t="shared" si="253"/>
        <v/>
      </c>
      <c r="BC184" t="str">
        <f>IF(U184&lt;&gt;"",U184,IF(AND(B184&lt;&gt;"",B184&lt;&gt;A184,ISNUMBER(_xlfn.XMATCH(B184,Щиты[Щит]))),B184,""))</f>
        <v/>
      </c>
      <c r="BD184" t="str" cm="1">
        <f t="array" ref="BD184">IF(B184="","",IF(BC184&lt;&gt;"","Щит "&amp;BC184,_xlfn.LET(_xlpm.nm,IFERROR(_xlfn.XLOOKUP(AX184,Коды_код,Коды_имя)&amp;"",""),_xlpm.md,IFERROR(N(_xlfn.XLOOKUP(AX184,Коды_код,Коды_режим)),1),_xlpm.ex,IF(Имя_режим="по экспликации",IFERROR(_xlfn.XLOOKUP(AZ184&amp;"|"&amp;BB184,Экспликация[Этаж]&amp;"|"&amp;Экспликация[Помещение],Экспликация[Название])&amp;"",""),""),_xlpm.rm,IF(BB184="","",IF(_xlpm.ex&lt;&gt;"",". "&amp;_xlpm.ex&amp;IF(Имя_пом="нет"," ("&amp;BB184&amp;")"," (пом. "&amp;BB184&amp;")"),IF(Имя_пом="нет"," ",", пом. ")&amp;BB184)),IF(_xlpm.nm="","",IF(_xlpm.md=2,_xlpm.nm&amp;" шлейф "&amp;AZ184,_xlpm.nm&amp;_xlpm.rm)))))</f>
        <v>Вводной кабель шлейф 1</v>
      </c>
      <c r="BE184" t="str">
        <f t="shared" si="254"/>
        <v>Ввод</v>
      </c>
      <c r="BF184">
        <f>IFERROR(_xlfn.XMATCH(A184,Щиты[Щит]),0)</f>
        <v>9</v>
      </c>
      <c r="BG184">
        <f>_xlfn.LET(_xlpm.k,IFERROR(_xlfn.XLOOKUP(A184,Щиты[Щит],Щиты[Листов под вводной узел]),""),IF(_xlpm.k="",1,N(_xlpm.k))*Столбцов_на_лист)</f>
        <v>17</v>
      </c>
      <c r="BH184">
        <f t="shared" si="255"/>
        <v>2</v>
      </c>
      <c r="BI184" t="str">
        <f t="shared" si="256"/>
        <v>вводной узел</v>
      </c>
      <c r="BJ184" s="6">
        <f>IFERROR(N(_xlfn.XLOOKUP(AX184,Коды_код,Коды_квт)),0)</f>
        <v>0</v>
      </c>
      <c r="BK184">
        <f t="shared" si="257"/>
        <v>1</v>
      </c>
      <c r="BL184">
        <f>IF(B184="","",IF(BC184&lt;&gt;"",IFERROR(_xlfn.XLOOKUP(BC184,Щиты[Щит],Щиты[Руст, кВт]),0),IF(BK184=1,IFERROR(_xlfn.XLOOKUP(A184,Щиты[Щит],Щиты[Руст, кВт]),0),IF(BJ184&gt;0,ROUND(BJ184*MAX(1,N(D184)),3),""))))</f>
        <v>24.405000000000005</v>
      </c>
      <c r="BM184" t="str">
        <f t="shared" si="258"/>
        <v>кВт</v>
      </c>
      <c r="BN184" s="6">
        <f>IF(B184="","",IF(BC184&lt;&gt;"",IFERROR(_xlfn.XLOOKUP(BC184,Щиты[Щит],Щиты[Руст, кВт]),0),N(BM184)))</f>
        <v>0</v>
      </c>
      <c r="BO184" t="str">
        <f>IF(B184="","",IFERROR(IF(VLOOKUP(AX184,Потребители_обозначение,8,FALSE)=0,"",VLOOKUP(AX184,Потребители_обозначение,8,FALSE)),""))</f>
        <v/>
      </c>
      <c r="BP184">
        <f t="shared" si="259"/>
        <v>400</v>
      </c>
      <c r="BQ184">
        <f>IF(B184="","",IF(BC184&lt;&gt;"",3,IFERROR(IF(N(VLOOKUP(AX184,Потребители_обозначение,9,FALSE))=0,1,VLOOKUP(AX184,Потребители_обозначение,9,FALSE)),1)))</f>
        <v>1</v>
      </c>
      <c r="BR184">
        <f t="shared" si="260"/>
        <v>3</v>
      </c>
      <c r="BS184" t="str">
        <f>IF(B184="","",_xlfn.LET(_xlpm.bc,IFERROR(IF(VLOOKUP(AX184,Потребители_обозначение,6,FALSE)=0,"",VLOOKUP(AX184,Потребители_обозначение,6,FALSE)&amp;""),""),IF(AND(FK184="да",OR(_xlpm.bc="",_xlpm.bc="мс")),Марка_пож,IF(AND(_xlpm.bc="",BC184&lt;&gt;""),"мс",_xlpm.bc))))</f>
        <v/>
      </c>
      <c r="BT184" t="str">
        <f t="shared" si="261"/>
        <v>мс</v>
      </c>
      <c r="BU184">
        <f>IF(B184="","",_xlfn.LET(_xlpm.cc,IFERROR(N(VLOOKUP(AX184,Потребители_обозначение,7,FALSE)),0),IF(_xlpm.cc&gt;0,_xlpm.cc,IF(BT184="","",IF(N(BR184)=3,5,3)))))</f>
        <v>5</v>
      </c>
      <c r="BV184">
        <f t="shared" si="262"/>
        <v>5</v>
      </c>
      <c r="BW184">
        <f>IFERROR(N(VLOOKUP(AX184,Потребители_обозначение,10,FALSE)),0)</f>
        <v>0</v>
      </c>
      <c r="BX184">
        <f>IFERROR(VLOOKUP(AX184,Потребители_обозначение,5,FALSE),0)</f>
        <v>1</v>
      </c>
      <c r="BY184" s="6" cm="1">
        <f t="array" ref="BY184">IF(B184="","",IF(BC184&lt;&gt;"",IFERROR(_xlfn.XLOOKUP(BC184,Щиты[Щит],Щиты[cos φ]),0.95),IF(BK184=1,IFERROR(_xlfn.XLOOKUP(A184,Щиты[Щит],Щиты[cos φ]),0.95),IF(ISNUMBER(Z184),Z184,IFERROR(IF(BX184=2,_xlfn.IFS(BR184=3,VLOOKUP(BN184,Справочная_двигатели,8,FALSE),BR184=1,VLOOKUP(BN184,Справочная_двигатели,10,TRUE)),IF(AND(Методика="нормы 2026",EQ184="Сил"),0.8,0.95)),0.95)))))</f>
        <v>0.95000000000000018</v>
      </c>
      <c r="BZ184">
        <f t="shared" si="263"/>
        <v>0</v>
      </c>
      <c r="CA184">
        <f t="shared" si="264"/>
        <v>1</v>
      </c>
      <c r="CB184">
        <f t="shared" si="265"/>
        <v>0</v>
      </c>
      <c r="CC184">
        <f t="shared" si="266"/>
        <v>0</v>
      </c>
      <c r="CD184">
        <f t="shared" si="267"/>
        <v>0</v>
      </c>
      <c r="CE184">
        <f t="shared" si="268"/>
        <v>0</v>
      </c>
      <c r="CF184">
        <f t="shared" si="269"/>
        <v>0</v>
      </c>
      <c r="CG184">
        <f>IF(AX184="",0,_xlfn.LET(_xlpm.v,IFERROR(VLOOKUP(B184,УГО_спр,3,FALSE),IFERROR(VLOOKUP(AX184,УГО_спр,3,FALSE),IFERROR(VLOOKUP(LEFT(AX184,2),УГО_спр,3,FALSE),""))),IF(_xlpm.v="да",30,IF(ISNUMBER(_xlpm.v),_xlpm.v,0))))</f>
        <v>0</v>
      </c>
      <c r="CH184" t="str">
        <f t="shared" si="270"/>
        <v/>
      </c>
      <c r="CI184" t="str">
        <f>_xlfn.LET(_xlpm.k,IFERROR(_xlfn.XLOOKUP(AX184,Коды_код,Коды_утечка)&amp;"",""),IF(_xlpm.k="","дифавтомат",_xlpm.k))</f>
        <v>дифавтомат</v>
      </c>
      <c r="CJ184">
        <f t="shared" si="271"/>
        <v>0</v>
      </c>
      <c r="CK184">
        <f t="shared" si="272"/>
        <v>0</v>
      </c>
      <c r="CL184">
        <f>IF(B184="",0,IFERROR(--VLOOKUP(B184,УГО_спр,4,FALSE),IFERROR(--VLOOKUP(AX184,УГО_спр,4,FALSE),IFERROR(--VLOOKUP(LEFT(AX184,2),УГО_спр,4,FALSE),0))))</f>
        <v>0</v>
      </c>
      <c r="CM184" t="str">
        <f>IF(B184="","",IFERROR(_xlfn.XLOOKUP(AX184,Коды_код,Коды_апп)&amp;"",""))</f>
        <v/>
      </c>
      <c r="CN184" t="str">
        <f t="shared" si="273"/>
        <v/>
      </c>
      <c r="CO184" t="str" cm="1">
        <f t="array" ref="CO184">IF(TRIM(CN184&amp;"")="","",IFERROR(TRIM(INDEX(_xlfn.TEXTSPLIT(CN184&amp;";;;",";"),1)),""))</f>
        <v/>
      </c>
      <c r="CP184" t="str" cm="1">
        <f t="array" ref="CP184">IF(TRIM(CN184&amp;"")="","",IFERROR(TRIM(INDEX(_xlfn.TEXTSPLIT(CN184&amp;";;;",";"),2)),""))</f>
        <v/>
      </c>
      <c r="CQ184" t="str" cm="1">
        <f t="array" ref="CQ184">IF(TRIM(CN184&amp;"")="","",IFERROR(TRIM(INDEX(_xlfn.TEXTSPLIT(CN184&amp;";;;",";"),3)),""))</f>
        <v/>
      </c>
      <c r="CR184">
        <f t="shared" si="274"/>
        <v>0</v>
      </c>
      <c r="CS184" t="str">
        <f>IF(B184="","",_xlfn.LET(_xlpm.t,LOWER(AV184&amp;""),IF(ISNUMBER(SEARCH("dim",_xlpm.t)),"DIM",IF(ISNUMBER(SEARCH("dali",_xlpm.t)),"DALI",IF(OR(ISNUMBER(SEARCH("relay",_xlpm.t)),ISNUMBER(SEARCH("реле",_xlpm.t))),"Relay",IF(ISNUMBER(SEARCH("кнопк",_xlpm.t)),"",IFERROR(_xlfn.XLOOKUP(AX184,Коды_код,Коды_упр)&amp;"","")))))))</f>
        <v/>
      </c>
      <c r="CT184" t="str">
        <f t="shared" si="275"/>
        <v/>
      </c>
      <c r="CU184">
        <f>IF(B184="","",_xlfn.LET(_xlpm.ig,N(P184)+IF(AF184="вручную",0,N(CB184)),_xlpm.n0,IFERROR(VLOOKUP(_xlpm.ig,Автомат_номиналы,2,TRUE),0),_xlpm.mn,MAX(CL184,IF(AF184="вручную",0,N(CE184))),MAX(_xlpm.n0,_xlpm.mn,IF(CR184=1,Мин_автомат_БП,0))))</f>
        <v>40</v>
      </c>
      <c r="CV184">
        <f t="shared" si="276"/>
        <v>3</v>
      </c>
      <c r="CW184" t="str">
        <f t="shared" si="277"/>
        <v>3P</v>
      </c>
      <c r="CX184" t="str">
        <f>_xlfn.LET(_xlpm.cc,UPPER(TRIM(IFERROR(_xlfn.XLOOKUP(AX184,Коды_код,Коды_хар)&amp;"",""))),IF(OR(_xlpm.cc="B",_xlpm.cc="В"),"B",IF(_xlpm.cc="D","D","С")))</f>
        <v>С</v>
      </c>
      <c r="CY184" t="str">
        <f t="shared" si="278"/>
        <v>3P С40А</v>
      </c>
      <c r="CZ184">
        <f t="shared" si="279"/>
        <v>40</v>
      </c>
      <c r="DA184" t="str">
        <f t="shared" si="280"/>
        <v>3P С40А</v>
      </c>
      <c r="DB184" cm="1">
        <f t="array" ref="DB184">IF(DA184="","",_xlfn.LET(_xlpm.t,SUBSTITUTE(SUBSTITUTE(SUBSTITUTE(UPPER(DA184),"С","C"),"А","A"),"В","B"),_xlpm.tk,_xlfn.TEXTSPLIT(_xlpm.t,"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184" t="str">
        <f t="shared" si="281"/>
        <v>узел</v>
      </c>
      <c r="DD184">
        <f t="shared" si="282"/>
        <v>40</v>
      </c>
      <c r="DE184" t="str">
        <f t="shared" si="283"/>
        <v>3P С40А</v>
      </c>
      <c r="DF184">
        <f t="shared" si="284"/>
        <v>0</v>
      </c>
      <c r="DG184">
        <f t="shared" si="285"/>
        <v>0</v>
      </c>
      <c r="DH184">
        <f t="shared" si="286"/>
        <v>0</v>
      </c>
      <c r="DI184">
        <f t="shared" si="287"/>
        <v>32.798575666043085</v>
      </c>
      <c r="DJ184">
        <f t="shared" si="288"/>
        <v>0.92</v>
      </c>
      <c r="DK184">
        <f>IF(ISNUMBER(AL184),AL184,К_прокл)</f>
        <v>1</v>
      </c>
      <c r="DL184">
        <f t="shared" si="289"/>
        <v>3</v>
      </c>
      <c r="DM184">
        <f>IFERROR(N(VLOOKUP(BT184,Кабель_обозначение,3,FALSE)),1)</f>
        <v>1</v>
      </c>
      <c r="DN184">
        <f>IFERROR(N(_xlfn.XLOOKUP(A184,Щиты[Щит],Щиты[ΔU до шин, %])),0)</f>
        <v>0.43</v>
      </c>
      <c r="DO184" t="str">
        <f>IFERROR(_xlfn.XLOOKUP(A184,Щиты[Щит],Щиты[Zпетли на шинах, Ом]),"")</f>
        <v/>
      </c>
      <c r="DP184">
        <f>IFERROR(N(_xlfn.XLOOKUP(A184,Щиты[Щит],Щиты[ΔU до шин (подбор), %])),0)</f>
        <v>0.43</v>
      </c>
      <c r="DQ184" t="str">
        <f>IFERROR(_xlfn.XLOOKUP(A184,Щиты[Щит],Щиты[Zпетли на шинах (подбор), Ом]),"")</f>
        <v/>
      </c>
      <c r="DR184" t="str">
        <f t="shared" si="290"/>
        <v/>
      </c>
      <c r="DS184" t="str">
        <f t="shared" si="291"/>
        <v/>
      </c>
      <c r="DT184">
        <f t="shared" si="292"/>
        <v>1</v>
      </c>
      <c r="DU184">
        <f t="shared" si="293"/>
        <v>0.31</v>
      </c>
      <c r="DV184" s="6">
        <f>IF(B184="","",IF(IFERROR(VLOOKUP(AX184,УГО_спр,2,FALSE),"")="Светильник",3,4)+IF(Методика="нормы 2026",MIN(0.5,MAX(0,N(Q184)-100)*0.005),0))</f>
        <v>4</v>
      </c>
      <c r="DW184" cm="1">
        <f t="array" ref="DW184">IF(OR(B184="",BT184="",DM184&lt;&gt;1),"",_xlfn.LET(_xlpm.sz,Iдоп_S,_xlpm.t_,CHOOSE(DL184,Iдоп_1ж,Iдоп_2ж,Iдоп_3ж)*DJ184*DK184,_xlpm.inn,N(DD184),_xlpm.smin,MAX(1.5,BW184),_xlpm.L_,N(Q184)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184)*(_xlpm.rho*_xlpm.L_/_xlpm.sz*N(BY184)+_xlpm.xx*_xlpm.L_*N(DU184)/1000)*N(P184)/((Uн_лин/SQRT(3))*1000)*100,999),_xlpm.kz,IF(OR(DG184=1,NOT(ISNUMBER(DQ184)),_xlpm.L_=0,_xlpm.inn=0),1,IFERROR(--(c_min*(Uн_лин*1000/SQRT(3))/(DQ184+2*ρкз_Cu*_xlpm.L_/_xlpm.sz)&gt;=GY184*_xlpm.inn),0)),_xlpm.ok,IFERROR((_xlpm.sz&gt;=_xlpm.smin)*(_xlpm.t_&gt;=_xlpm.inn)*IF(_xlpm.L_&gt;0,(_xlpm.du_+DP184&lt;=DV184+0.00001),1)*_xlpm.kz,0),_xlpm.r_,_xlfn._xlws.FILTER(_xlpm.sz,_xlpm.ok,"не подобрано"),INDEX(_xlpm.r_,1)))</f>
        <v>10</v>
      </c>
      <c r="DX184">
        <f t="shared" si="294"/>
        <v>10</v>
      </c>
      <c r="DY184" cm="1">
        <f t="array" ref="DY184">IF(OR(B184="",BT184="",DM184&lt;&gt;1),"",_xlfn.LET(_xlpm.sz,Iдоп_S,_xlpm.t_,CHOOSE(DL184,Iдоп_1ж,Iдоп_2ж,Iдоп_3ж)*DJ184*DK184,_xlpm.ok,IFERROR((_xlpm.sz&gt;=MAX(1.5,BW184))*(_xlpm.t_&gt;=N(DD184)),0),_xlpm.r_,_xlfn._xlws.FILTER(_xlpm.sz,_xlpm.ok,""),INDEX(_xlpm.r_,1)))</f>
        <v>10</v>
      </c>
      <c r="DZ184" s="6" cm="1">
        <f t="array" ref="DZ184">IFERROR(ROUNDUP(N(DT184)*(_xlfn.XLOOKUP(DY184,INDEX(Кабель_сопротивление,0,1),INDEX(Кабель_сопротивление,0,3))*N(Q184)/DY184*N(BY184)+_xlfn.XLOOKUP(DY184,INDEX(Кабель_сопротивление,0,1),INDEX(Кабель_сопротивление,0,2))*N(Q184)*N(DU184)/1000)*N(P184)/((Uн_лин/SQRT(3))*1000)*100,2),"")</f>
        <v>0</v>
      </c>
      <c r="EA184">
        <f>IFERROR(2*ρкз_Cu*N(Q184)/DY184,"")</f>
        <v>0</v>
      </c>
      <c r="EB184">
        <f>IFERROR(VLOOKUP(DX184,Кабель_сопротивление,3,FALSE),"")</f>
        <v>2.2499999999999999E-2</v>
      </c>
      <c r="EC184">
        <f>IFERROR(VLOOKUP(DX184,Кабель_сопротивление,2,FALSE),"")</f>
        <v>7.2999999999999995E-2</v>
      </c>
      <c r="ED184" t="str">
        <f t="shared" si="295"/>
        <v/>
      </c>
      <c r="EE184" t="str">
        <f t="shared" si="296"/>
        <v/>
      </c>
      <c r="EF184" t="str">
        <f t="shared" si="297"/>
        <v/>
      </c>
      <c r="EG184" s="6" t="str">
        <f>IFERROR(ROUNDUP(EF184/((Uн_лин/SQRT(3))*1000)*100,2),"")</f>
        <v/>
      </c>
      <c r="EH184" t="str">
        <f>IFERROR(VLOOKUP(BT184,Кабель_обозначение,2,FALSE),"")</f>
        <v>ВВГнг(А)-LS</v>
      </c>
      <c r="EI184" t="str">
        <f t="shared" si="298"/>
        <v>ВВГнг(А)-LS (5х10)</v>
      </c>
      <c r="EJ184" t="str">
        <f t="shared" si="299"/>
        <v/>
      </c>
      <c r="EK184" t="str">
        <f>IFERROR(2*ρкз_Cu*Q184/DX184,"")</f>
        <v/>
      </c>
      <c r="EL184">
        <f t="shared" si="300"/>
        <v>0</v>
      </c>
      <c r="EM184" s="6" t="str">
        <f>IFERROR(IF(OR(B184="",NOT(ISNUMBER(DX184)),N(Q184)=0),"",_xlfn.XLOOKUP(A184,Щиты[Щит],Щиты[Zпетли на шинах, Ом])+EK184),"")</f>
        <v/>
      </c>
      <c r="EN184" s="6" t="str">
        <f>IF(ISNUMBER(EM184),c_min*(Uн_лин*1000/SQRT(3))/EM184,"")</f>
        <v/>
      </c>
      <c r="EO184" s="6" t="str">
        <f>IFERROR(IF(OR(B184="",NOT(ISNUMBER(DX184))),"",1.05*(Uн_лин*1000/SQRT(3))/(_xlfn.XLOOKUP(A184,Щиты[Щит],Щиты[Zmax на шинах, Ом])+EL184)/1000),"")</f>
        <v/>
      </c>
      <c r="EP184" s="6" t="str">
        <f>IF(B184="","",IF(ISNUMBER(Y184),"Сил",IF(IFERROR(_xlfn.XLOOKUP(AX184,Коды_код,Коды_группа)&amp;"","")="","Быт",_xlfn.XLOOKUP(AX184,Коды_код,Коды_группа)&amp;"")))</f>
        <v>Быт</v>
      </c>
      <c r="EQ184" s="6" t="str">
        <f t="shared" si="301"/>
        <v>Нет</v>
      </c>
      <c r="ER184" s="6">
        <f>IF(EQ184="Щит","щит",IF(EQ184="","",IF(EQ184="Быт",IFERROR(_xlfn.XLOOKUP(A184,Щиты[Щит],Щиты[Кс быт]),1),IF(EQ184="Сил",IF(ISNUMBER(Y184),Y184,IF(Методика="нормы 2026",IFERROR(_xlfn.XLOOKUP(A184,Щиты[Щит],Щиты[Кс силовых (табл. 7.5)]),1),1)),IF(OR(EQ184="Пост",EQ184="Отоп"),1,IF(EQ184="ВНГ",0.7,0))))))</f>
        <v>0</v>
      </c>
      <c r="ES184">
        <f t="shared" si="302"/>
        <v>1</v>
      </c>
      <c r="ET184">
        <f t="shared" si="303"/>
        <v>0</v>
      </c>
      <c r="EU184">
        <f t="shared" si="304"/>
        <v>0</v>
      </c>
      <c r="EV184">
        <f t="shared" si="305"/>
        <v>0</v>
      </c>
      <c r="EW184">
        <f t="shared" si="306"/>
        <v>0</v>
      </c>
      <c r="EX184">
        <f t="shared" si="307"/>
        <v>0</v>
      </c>
      <c r="EY184">
        <f t="shared" si="308"/>
        <v>0</v>
      </c>
      <c r="EZ184">
        <f t="shared" si="309"/>
        <v>0</v>
      </c>
      <c r="FA184">
        <f t="shared" si="310"/>
        <v>0</v>
      </c>
      <c r="FB184">
        <f t="shared" si="311"/>
        <v>0</v>
      </c>
      <c r="FC184" t="str">
        <f t="shared" si="312"/>
        <v/>
      </c>
      <c r="FD184" t="str">
        <f>IF(B184="","",IF(CA184=0,IF(AW184=1,"",FF183),IF(OR(N(CV184)&gt;=3,N(BR184)&gt;=3),"L1,L2,L3",IFERROR(_xlfn.TEXTBEFORE(_xlfn.TEXTAFTER(_xlfn.XLOOKUP(A184,Щиты[Щит],Щиты[_фазы авто]),";"&amp;AW184&amp;":"),";"),"L1"))))</f>
        <v>L1,L2,L3</v>
      </c>
      <c r="FE184" t="str">
        <f t="shared" si="313"/>
        <v>L1,L2,L3</v>
      </c>
      <c r="FF184" t="str">
        <f t="shared" si="314"/>
        <v>L1,L2,L3</v>
      </c>
      <c r="FG184" cm="1">
        <f t="array" ref="FG184">IFERROR(IF(BX184=2,_xlfn.IFS(BR184=3,VLOOKUP(BN184,Справочная_двигатели,3,FALSE),BR184=1,VLOOKUP(BN184,Справочная_двигатели,5,TRUE)),0),0)</f>
        <v>0</v>
      </c>
      <c r="FH184">
        <f>IFERROR(IF(BX184=3,VLOOKUP(BN184,Справочная_ЛЭД,2,TRUE),0),0)</f>
        <v>0</v>
      </c>
      <c r="FI184" s="6">
        <f t="shared" si="315"/>
        <v>0</v>
      </c>
      <c r="FJ184" t="str" cm="1">
        <f t="array" ref="FJ184">IF(B184="","",IFERROR(INDEX({"I особая","I","II","III"},MATCH(TRIM(AC184&amp;""),{"I особая","I","II","III"},0)),"III"))</f>
        <v>III</v>
      </c>
      <c r="FK184" t="str">
        <f>IF(B184="","",IF(TRIM(AD184&amp;"")&lt;&gt;"",IF(LOWER(TRIM(AD184&amp;""))="да","да","нет"),IF(IFERROR(_xlfn.XLOOKUP(AX184,Коды_код,Коды_пожарная),"")="да","да","нет")))</f>
        <v>нет</v>
      </c>
      <c r="FL184" t="str">
        <f t="shared" si="316"/>
        <v/>
      </c>
      <c r="FM184" t="str">
        <f t="shared" si="317"/>
        <v>основная</v>
      </c>
      <c r="FN184">
        <f t="shared" si="318"/>
        <v>1</v>
      </c>
      <c r="FO184" t="str" cm="1">
        <f t="array" ref="FO184">IF(B184="","",_xlfn.LET(_xlpm.t,IFERROR(_xlfn.XLOOKUP(1,(Шины[Шина]=FM184)*(((Шины[Щит]=A184)+(Шины[Щит]=""))&gt;0),Шины[Тип]),"")&amp;"",IF(_xlpm.t&lt;&gt;"",_xlpm.t,IF(ISNUMBER(SEARCH("ИБП",FM184)),"ИБП",IF(ISNUMBER(SEARCH("ДГУ",FM184)),"ДГУ","Ввод "&amp;FN184)))))</f>
        <v>Ввод 1</v>
      </c>
      <c r="FP184" t="str">
        <f t="shared" si="319"/>
        <v>Ввод 1</v>
      </c>
      <c r="FQ184" t="str">
        <f>IF(B184="","",IF(OR(FO184="ИБП",FO184="ДГУ"),"I особая",IF(FO184="Одиночная","III",_xlfn.XLOOKUP(A184,Щиты[Щит],Щиты[Категория шины «Ввод»],"III"))))</f>
        <v>II</v>
      </c>
      <c r="FR184">
        <f>IF(B184="",0,IFERROR(MATCH(FJ184,{"III","II","I","I особая"},0),1))</f>
        <v>1</v>
      </c>
      <c r="FS184">
        <f t="shared" si="320"/>
        <v>1</v>
      </c>
      <c r="FT184" t="str">
        <f>IF(B184="","",IF(FR184&gt;IFERROR(MATCH(FQ184,{"III","II","I","I особая"},0),1),"НЕ ОБЕСПЕЧЕНА","ОК"))</f>
        <v>ОК</v>
      </c>
      <c r="FU184" t="str">
        <f>IF(A184="","",_xlfn.XLOOKUP(A184,Щиты[Щит],Щиты[Путь],""))</f>
        <v>|ГРЩ-ЖД|ЩР-01|</v>
      </c>
      <c r="FV184" t="str">
        <f>IF(B184="","",IF(AE184&lt;&gt;"",AE184,IF(IFERROR(_xlfn.XLOOKUP(AX184,Коды_код,Коды_вид)&amp;"","")="","Прочее",_xlfn.XLOOKUP(AX184,Коды_код,Коды_вид)&amp;"")))</f>
        <v>Прочее</v>
      </c>
      <c r="FW184">
        <f>IF(BH184="","",INT((BH184-1)/Столбцов_на_лист)+1)</f>
        <v>1</v>
      </c>
      <c r="FX184" t="str">
        <f t="shared" si="321"/>
        <v/>
      </c>
      <c r="FY184">
        <f t="shared" si="322"/>
        <v>0</v>
      </c>
      <c r="FZ184">
        <f t="shared" si="323"/>
        <v>32.799999999999997</v>
      </c>
      <c r="GA184">
        <f t="shared" si="324"/>
        <v>3</v>
      </c>
      <c r="GB184">
        <f t="shared" si="325"/>
        <v>0</v>
      </c>
      <c r="GC184">
        <f t="shared" si="326"/>
        <v>0</v>
      </c>
      <c r="GD184" t="str">
        <f>IF(BH184="","",IF(AND(CA184=1,GC184=1),COUNTIFS(A$3:A184,A184,CA$3:CA184,1,GC$3:GC184,1),IF(OR(OR(AW184=1,A184&lt;&gt;A183),AF184="вручную",GC184=0),"",IF(AW184=1,"",GE183))))</f>
        <v/>
      </c>
      <c r="GE184" t="str">
        <f t="shared" si="327"/>
        <v/>
      </c>
      <c r="GF184">
        <f>IF(B184="","",IFERROR(LOOKUP(INDEX(CHOOSE(DL184,Iдоп_1ж,Iдоп_2ж,Iдоп_3ж),MATCH(DX184,Iдоп_S,0))*DJ184*DK184,{6,10,16,20,25,32,40,50,63,80,100,125,160,200,250,315,400,500,630}),""))</f>
        <v>50</v>
      </c>
      <c r="GG184" t="str">
        <f t="shared" si="328"/>
        <v/>
      </c>
      <c r="GH184" t="str">
        <f t="shared" si="329"/>
        <v/>
      </c>
      <c r="GI184" t="str">
        <f t="shared" si="330"/>
        <v/>
      </c>
      <c r="GJ184">
        <f t="shared" si="331"/>
        <v>0</v>
      </c>
      <c r="GK184" t="str">
        <f>IF(OR(AG184="",AG184="-"),"",IFERROR(VLOOKUP(AG184,Модули_спр,2,FALSE),"R"))</f>
        <v/>
      </c>
      <c r="GL184" t="str">
        <f>IF(GK184="","",GK184&amp;"."&amp;COUNTIFS(A$3:A184,A184,GK$3:GK184,GK184))</f>
        <v/>
      </c>
      <c r="GM184" t="str">
        <f t="shared" si="332"/>
        <v/>
      </c>
      <c r="GN184" t="str">
        <f t="shared" si="333"/>
        <v/>
      </c>
      <c r="GO184" t="str">
        <f t="shared" si="334"/>
        <v/>
      </c>
      <c r="GP184" t="str">
        <f t="shared" si="335"/>
        <v/>
      </c>
      <c r="GQ184">
        <f t="shared" si="336"/>
        <v>0</v>
      </c>
      <c r="GR184" t="str">
        <f>IF(GQ184=1,"XT"&amp;COUNTIFS(A$3:A184,A184,GQ$3:GQ184,1),"")</f>
        <v/>
      </c>
      <c r="GS184" t="str">
        <f t="shared" si="337"/>
        <v/>
      </c>
      <c r="GT184" t="str">
        <f t="shared" si="338"/>
        <v/>
      </c>
      <c r="GU184" t="str">
        <f t="shared" si="339"/>
        <v/>
      </c>
      <c r="GV184" t="str">
        <f t="shared" si="340"/>
        <v>ok</v>
      </c>
      <c r="GW184" t="str">
        <f>IF(OR(GO184="",GM184=""),"",IF(GO184&gt;IFERROR(VLOOKUP(GN184,Модули_спр,3,FALSE),99),"ЛИШНИЙ КАНАЛ",IF(AND(AH184&lt;&gt;"=",COUNTIFS(Линии[_модуль гр.],GM184,Линии[Канал (итог)],GO184,Линии[Канал],"&lt;&gt;=",Линии[Щит],A184)&gt;1),"ДУБЛЬ КАНАЛА","")))</f>
        <v/>
      </c>
      <c r="GX184" s="6" t="str">
        <f t="shared" si="341"/>
        <v/>
      </c>
      <c r="GY184">
        <f t="shared" si="342"/>
        <v>10</v>
      </c>
      <c r="GZ184" t="str">
        <f t="shared" si="343"/>
        <v/>
      </c>
      <c r="HA184" t="str">
        <f>IF(AND(B184="",GT184=""),"",_xlfn.TEXTJOIN("; ",TRUE,IF(AND(B184&lt;&gt;"",FE184=""),"нет фазы",""),IF(AND(B184&lt;&gt;"",N(FY184)=0,EQ184&lt;&gt;"Нет"),"нет мощности",""),IF(AND(GS184&lt;&gt;"",COUNTIFS(Линии[Щит],A184,Линии[Клемма (итог)],GS184)&gt;1),"дубль клеммы "&amp;GS184,""),IF(AND(GV184&lt;&gt;"",GV184&lt;&gt;"ok"),GV184,""),IF(GW184&lt;&gt;"",GW184,""),IF(AND(N(BV184)&gt;=4,N(BR184)=1),BV184&amp;" жил на 1 фазе",""),IF(AND(AX184="R",CA184=1,OR(N(CK184)=0,N(CK184)&gt;30)),"розетка без дифзащиты до 30 мА",""),IFERROR(IF(AND(ISNUMBER(R184),R184&gt;DV184),"потери "&amp;FIXED(R184,1)&amp;" % &gt; "&amp;DV184&amp;" %",""),""),IFERROR(IF(LEFT(GZ184,4)="мало","Iкз мало — отключение &gt; 0,4 с",""),""),IF(AND(B184&lt;&gt;"",BH184=""),"не на схеме",""),IF(AND(CA184=0,B184&lt;&gt;"",FE184&lt;&gt;"",IF(AW184=1,"",FF183)&lt;&gt;"",FE184&lt;&gt;IF(AW184=1,"",FF183)),"фаза не как у автомата группы ("&amp;IF(AW184=1,"",FF183)&amp;")","")))</f>
        <v/>
      </c>
      <c r="HB184" s="6" t="str">
        <f>IF(OR(CA184=0,DA184=""),"",_xlfn.LET(_xlpm.t,IFERROR(_xlfn.XLOOKUP(DA184,Каталог!$U$4:$U$500,Каталог!$G$4:$G$500),""),_xlpm.k,SEARCH("кА",_xlpm.t),IFERROR(--TRIM(RIGHT(SUBSTITUTE(MID(_xlpm.t,MAX(1,_xlpm.k-4),_xlpm.k-MAX(1,_xlpm.k-4))," ",REPT(" ",9)),5)),"")))</f>
        <v/>
      </c>
      <c r="HC184" t="str">
        <f>IF(OR(HB184="",CA184=0),"",IF(_xlfn.XLOOKUP(A184,Щиты[Щит],Щиты[Iкз max на шинах, кА],"")="","",IF(HB184&lt;_xlfn.XLOOKUP(A184,Щиты[Щит],Щиты[Iкз max на шинах, кА]),"Icu "&amp;HB184&amp;" кА &lt; Iкз max","ok")))</f>
        <v/>
      </c>
      <c r="HD184" t="str">
        <f t="shared" si="344"/>
        <v/>
      </c>
      <c r="HE184" t="str">
        <f t="shared" si="345"/>
        <v/>
      </c>
      <c r="HF184" t="str">
        <f t="shared" si="346"/>
        <v/>
      </c>
      <c r="HG184" t="str" cm="1">
        <f t="array" ref="HG184">IF(HF184="","",_xlfn.LET(_xlpm.nd,_xlfn.TEXTSPLIT(HF184,"|"),IF(COLUMNS(_xlpm.nd)&gt;1,A184&amp;"¦"&amp;INDEX(_xlpm.nd,1)&amp;"¦"&amp;INDEX(_xlpm.nd,2),"")))</f>
        <v/>
      </c>
      <c r="HH184" t="str">
        <f t="shared" si="347"/>
        <v/>
      </c>
      <c r="HI184" t="str" cm="1">
        <f t="array" ref="HI184">IF(HF184="","",_xlfn.LET(_xlpm.nd,_xlfn.TEXTSPLIT(HF184,"|"),IF(COLUMNS(_xlpm.nd)&gt;2,A184&amp;"¦"&amp;INDEX(_xlpm.nd,2)&amp;"¦"&amp;INDEX(_xlpm.nd,3),"")))</f>
        <v/>
      </c>
      <c r="HJ184" t="str">
        <f t="shared" si="348"/>
        <v/>
      </c>
      <c r="HK184" t="str" cm="1">
        <f t="array" ref="HK184">IF(HF184="","",_xlfn.LET(_xlpm.nd,_xlfn.TEXTSPLIT(HF184,"|"),IF(COLUMNS(_xlpm.nd)&gt;3,A184&amp;"¦"&amp;INDEX(_xlpm.nd,3)&amp;"¦"&amp;INDEX(_xlpm.nd,4),"")))</f>
        <v/>
      </c>
      <c r="HL184" t="str">
        <f t="shared" si="349"/>
        <v/>
      </c>
      <c r="HM184" t="str" cm="1">
        <f t="array" ref="HM184">IF(HF184="","",_xlfn.LET(_xlpm.nd,_xlfn.TEXTSPLIT(HF184,"|"),IF(COLUMNS(_xlpm.nd)&gt;4,A184&amp;"¦"&amp;INDEX(_xlpm.nd,4)&amp;"¦"&amp;INDEX(_xlpm.nd,5),"")))</f>
        <v/>
      </c>
      <c r="HN184" t="str">
        <f t="shared" si="350"/>
        <v/>
      </c>
      <c r="HO184" t="str" cm="1">
        <f t="array" ref="HO184">IF(HF184="","",_xlfn.LET(_xlpm.nd,_xlfn.TEXTSPLIT(HF184,"|"),IF(COLUMNS(_xlpm.nd)&gt;5,A184&amp;"¦"&amp;INDEX(_xlpm.nd,5)&amp;"¦"&amp;INDEX(_xlpm.nd,6),"")))</f>
        <v/>
      </c>
      <c r="HP184" t="str">
        <f t="shared" si="351"/>
        <v/>
      </c>
      <c r="HQ184" t="str" cm="1">
        <f t="array" ref="HQ184">IF(HF184="","",_xlfn.LET(_xlpm.nd,_xlfn.TEXTSPLIT(HF184,"|"),IF(COLUMNS(_xlpm.nd)&gt;6,A184&amp;"¦"&amp;INDEX(_xlpm.nd,6)&amp;"¦"&amp;INDEX(_xlpm.nd,7),"")))</f>
        <v/>
      </c>
      <c r="HR184" t="str">
        <f t="shared" si="352"/>
        <v/>
      </c>
      <c r="HS184" t="str">
        <f t="shared" si="353"/>
        <v/>
      </c>
      <c r="HT184" t="str">
        <f t="shared" si="354"/>
        <v/>
      </c>
      <c r="HU184">
        <f t="shared" si="355"/>
        <v>0</v>
      </c>
      <c r="HV184">
        <f t="shared" si="356"/>
        <v>0</v>
      </c>
      <c r="HW184" t="str">
        <f t="shared" si="357"/>
        <v/>
      </c>
      <c r="HX184" t="str">
        <f t="shared" si="358"/>
        <v/>
      </c>
      <c r="HY184" t="str">
        <f t="shared" si="359"/>
        <v/>
      </c>
      <c r="HZ184" t="str">
        <f t="shared" si="360"/>
        <v/>
      </c>
      <c r="IA184">
        <f>IF(B184="","",IFERROR(VLOOKUP(B184,УГО_спр,2,FALSE),IFERROR(VLOOKUP(AX184,УГО_спр,2,FALSE),IFERROR(VLOOKUP(LEFT(AX184,2),УГО_спр,2,FALSE),""))))</f>
        <v>0</v>
      </c>
      <c r="IB184" t="str">
        <f>IF(B184="","",IF(OR(IA184="",IA184=0),"BOX",IFERROR(IF(VLOOKUP(IA184,УГО_блоки,3,FALSE)&amp;""&lt;&gt;"",VLOOKUP(IA184,УГО_блоки,3,FALSE),VLOOKUP(IA184,УГО_блоки,2,FALSE)),IA184)))</f>
        <v>BOX</v>
      </c>
      <c r="IC184">
        <f t="shared" si="361"/>
        <v>1</v>
      </c>
      <c r="ID184" t="str">
        <f>IF(DA184="","",IF(COUNTIF(DA$3:DA184,DA184)=1,MAX(ID$2:ID183)+1,""))</f>
        <v/>
      </c>
      <c r="IE184" t="str">
        <f>IF(CO184="","",IF(COUNTIF(CO$3:CO184,CO184)+COUNTIF(CP$2:CP183,CO184)+COUNTIF(CQ$2:CQ183,CO184)=1,MAX(IE$2:IG183)+1,""))</f>
        <v/>
      </c>
      <c r="IF184" t="str">
        <f>IF(CP184="","",IF(COUNTIF(CO$3:CO184,CP184)+COUNTIF(CP$3:CP184,CP184)+COUNTIF(CQ$2:CQ183,CP184)=1,MAX(IE$2:IG183,IE184)+1,""))</f>
        <v/>
      </c>
      <c r="IG184" t="str">
        <f>IF(CQ184="","",IF(COUNTIF(CO$3:CO184,CQ184)+COUNTIF(CP$3:CP184,CQ184)+COUNTIF(CQ$3:CQ184,CQ184)=1,MAX(IE$2:IG183,IE184,IF184)+1,""))</f>
        <v/>
      </c>
      <c r="IH184" t="str">
        <f t="shared" si="362"/>
        <v/>
      </c>
      <c r="II184" t="str">
        <f>IF(IH184="","",IF(COUNTIF(IH$3:IH184,IH184)=1,MAX(II$2:II183)+1,""))</f>
        <v/>
      </c>
      <c r="IJ184" t="str">
        <f>IF(GL184="","",COUNTIF(GL$3:GL184,"?*"))</f>
        <v/>
      </c>
      <c r="IK184" t="str">
        <f>IF(OR(GL184="",GN184=""),"",IF(COUNTIFS(GL$3:GL184,"?*",GN$3:GN184,GN184)=1,MAX(IK$2:IK183)+1,""))</f>
        <v/>
      </c>
      <c r="IL184">
        <f t="shared" si="363"/>
        <v>0</v>
      </c>
      <c r="IM184">
        <f>IF(B184="","",COUNTIF(B$3:B184,"?*"))</f>
        <v>182</v>
      </c>
      <c r="IN184">
        <f>IF(GQ184&lt;&gt;1,0,_xlfn.LET(_xlpm.k,MAX(IFERROR(--VLOOKUP(B184,УГО_спр,5,FALSE),0),IFERROR(--VLOOKUP(AX184,УГО_спр,5,FALSE),0),IFERROR(--VLOOKUP(LEFT(AX184,2),УГО_спр,5,FALSE),0)),IF(_xlpm.k&gt;0,_xlpm.k,IF(IFERROR(--LEFT(SUBSTITUTE(IH184,"x","х"),FIND("х",SUBSTITUTE(IH184,"x","х"))-1),3)&gt;3,Каталог!$S$9,1))))</f>
        <v>0</v>
      </c>
      <c r="IO184">
        <f t="shared" si="364"/>
        <v>0</v>
      </c>
      <c r="IP184" t="str">
        <f t="shared" si="365"/>
        <v>авто</v>
      </c>
      <c r="IQ184" t="str">
        <f t="shared" si="366"/>
        <v/>
      </c>
      <c r="IR184">
        <f t="shared" si="367"/>
        <v>0</v>
      </c>
      <c r="IS184">
        <f t="shared" si="368"/>
        <v>1</v>
      </c>
    </row>
    <row r="185" spans="1:253" x14ac:dyDescent="0.3">
      <c r="A185" t="s">
        <v>757</v>
      </c>
      <c r="B185" t="s">
        <v>1451</v>
      </c>
      <c r="C185" t="str">
        <f>Линии[[#This Row],[_авто наименование]]</f>
        <v>Розеточная группа, пом. 002A</v>
      </c>
      <c r="D185">
        <v>2</v>
      </c>
      <c r="E185">
        <v>0.12</v>
      </c>
      <c r="G185" t="str">
        <f>Линии[[#This Row],[_авто автомат]]</f>
        <v>2P С16А 30мА</v>
      </c>
      <c r="H185">
        <f>Линии[[#This Row],[_авто утечка]]</f>
        <v>30</v>
      </c>
      <c r="I185" t="str">
        <f>Линии[[#This Row],[_авто управление]]</f>
        <v/>
      </c>
      <c r="J185" t="str">
        <f>Линии[[#This Row],[_авто аппараты]]</f>
        <v/>
      </c>
      <c r="K185">
        <v>2.5</v>
      </c>
      <c r="L185">
        <v>29</v>
      </c>
      <c r="M185">
        <v>3</v>
      </c>
      <c r="N185" t="str">
        <f>Линии[[#This Row],[_авто клемма]]</f>
        <v>XT1</v>
      </c>
      <c r="O185" t="str">
        <f t="shared" si="246"/>
        <v/>
      </c>
      <c r="P185" s="6" cm="1">
        <f t="array" ref="P185">IF(B185="","",IF(BC185&lt;&gt;"",IFERROR(_xlfn.XLOOKUP(BC185,Щиты[Щит],Щиты[Iр, А]),""),IF(BK185=1,IFERROR(_xlfn.XLOOKUP(A185,Щиты[Щит],Щиты[Iр, А]),""),IFERROR(_xlfn.IFS(BR185=1,BN185/((Uн_лин/SQRT(3))*BY185),BR185=3,BN185/(SQRT(3)*Uн_лин*BY185)),""))))</f>
        <v>0.54696341291648753</v>
      </c>
      <c r="Q185" s="7">
        <f>IF(B185="","",IFERROR(IF(VLOOKUP(AX185,Потребители_обозначение,4,FALSE)=1,VLOOKUP(AX185,Потребители_обозначение,3,FALSE)*(D185*2-1)+DS185+VLOOKUP(AZ185,Этаж_обозначение,3,FALSE)+VLOOKUP(AZ185,Этаж_обозначение,4,FALSE),VLOOKUP(AX185,Потребители_обозначение,3,FALSE)*(D185*2-1)+DS185),DS185))</f>
        <v>38</v>
      </c>
      <c r="R185" s="6">
        <f t="shared" si="247"/>
        <v>0.59</v>
      </c>
      <c r="S185" t="str">
        <f t="shared" si="248"/>
        <v>ВВГнг(А)-LS (3х2,5)</v>
      </c>
      <c r="T185" t="str">
        <f>IF(BH185="","",IF(BI185="вводной узел","узел ","")&amp;"л."&amp;(INT((BH185-1)/Столбцов_на_лист)+1)&amp;" / "&amp;(MOD(BH185-1,Столбцов_на_лист)+1))</f>
        <v>л.2 / 1</v>
      </c>
      <c r="V185">
        <v>1</v>
      </c>
      <c r="W185">
        <v>230</v>
      </c>
      <c r="X185" t="s">
        <v>564</v>
      </c>
      <c r="AC185" t="s">
        <v>815</v>
      </c>
      <c r="AE185" t="s">
        <v>563</v>
      </c>
      <c r="AI185">
        <v>18</v>
      </c>
      <c r="AJ185" t="s">
        <v>11</v>
      </c>
      <c r="AK185">
        <v>3</v>
      </c>
      <c r="AM185">
        <v>8</v>
      </c>
      <c r="AN185">
        <v>30</v>
      </c>
      <c r="AO185">
        <v>0</v>
      </c>
      <c r="AW185" cm="1">
        <f t="array" ref="AW185">ROW()-ROW(Линии[#Headers])</f>
        <v>183</v>
      </c>
      <c r="AX185" s="6" t="str">
        <f t="shared" si="249"/>
        <v>R</v>
      </c>
      <c r="AY185" t="str">
        <f t="shared" si="250"/>
        <v>0.002A.1</v>
      </c>
      <c r="AZ185" t="str">
        <f t="shared" si="251"/>
        <v>0</v>
      </c>
      <c r="BA185" t="str">
        <f t="shared" si="252"/>
        <v>002A.1</v>
      </c>
      <c r="BB185" t="str">
        <f t="shared" si="253"/>
        <v>002A</v>
      </c>
      <c r="BC185" t="str">
        <f>IF(U185&lt;&gt;"",U185,IF(AND(B185&lt;&gt;"",B185&lt;&gt;A185,ISNUMBER(_xlfn.XMATCH(B185,Щиты[Щит]))),B185,""))</f>
        <v/>
      </c>
      <c r="BD185" t="str" cm="1">
        <f t="array" ref="BD185">IF(B185="","",IF(BC185&lt;&gt;"","Щит "&amp;BC185,_xlfn.LET(_xlpm.nm,IFERROR(_xlfn.XLOOKUP(AX185,Коды_код,Коды_имя)&amp;"",""),_xlpm.md,IFERROR(N(_xlfn.XLOOKUP(AX185,Коды_код,Коды_режим)),1),_xlpm.ex,IF(Имя_режим="по экспликации",IFERROR(_xlfn.XLOOKUP(AZ185&amp;"|"&amp;BB185,Экспликация[Этаж]&amp;"|"&amp;Экспликация[Помещение],Экспликация[Название])&amp;"",""),""),_xlpm.rm,IF(BB185="","",IF(_xlpm.ex&lt;&gt;"",". "&amp;_xlpm.ex&amp;IF(Имя_пом="нет"," ("&amp;BB185&amp;")"," (пом. "&amp;BB185&amp;")"),IF(Имя_пом="нет"," ",", пом. ")&amp;BB185)),IF(_xlpm.nm="","",IF(_xlpm.md=2,_xlpm.nm&amp;" шлейф "&amp;AZ185,_xlpm.nm&amp;_xlpm.rm)))))</f>
        <v>Розеточная группа, пом. 002A</v>
      </c>
      <c r="BE185" t="str">
        <f t="shared" si="254"/>
        <v>Розеточная группа, пом. 002A</v>
      </c>
      <c r="BF185">
        <f>IFERROR(_xlfn.XMATCH(A185,Щиты[Щит]),0)</f>
        <v>9</v>
      </c>
      <c r="BG185">
        <f>_xlfn.LET(_xlpm.k,IFERROR(_xlfn.XLOOKUP(A185,Щиты[Щит],Щиты[Листов под вводной узел]),""),IF(_xlpm.k="",1,N(_xlpm.k))*Столбцов_на_лист)</f>
        <v>17</v>
      </c>
      <c r="BH185">
        <f t="shared" si="255"/>
        <v>18</v>
      </c>
      <c r="BI185" t="str">
        <f t="shared" si="256"/>
        <v>линии</v>
      </c>
      <c r="BJ185" s="6">
        <f>IFERROR(N(_xlfn.XLOOKUP(AX185,Коды_код,Коды_квт)),0)</f>
        <v>0</v>
      </c>
      <c r="BK185">
        <f t="shared" si="257"/>
        <v>0</v>
      </c>
      <c r="BL185" t="str">
        <f>IF(B185="","",IF(BC185&lt;&gt;"",IFERROR(_xlfn.XLOOKUP(BC185,Щиты[Щит],Щиты[Руст, кВт]),0),IF(BK185=1,IFERROR(_xlfn.XLOOKUP(A185,Щиты[Щит],Щиты[Руст, кВт]),0),IF(BJ185&gt;0,ROUND(BJ185*MAX(1,N(D185)),3),""))))</f>
        <v/>
      </c>
      <c r="BM185">
        <f t="shared" si="258"/>
        <v>0.12</v>
      </c>
      <c r="BN185" s="6">
        <f>IF(B185="","",IF(BC185&lt;&gt;"",IFERROR(_xlfn.XLOOKUP(BC185,Щиты[Щит],Щиты[Руст, кВт]),0),N(BM185)))</f>
        <v>0.12</v>
      </c>
      <c r="BO185" t="str">
        <f>IF(B185="","",IFERROR(IF(VLOOKUP(AX185,Потребители_обозначение,8,FALSE)=0,"",VLOOKUP(AX185,Потребители_обозначение,8,FALSE)),""))</f>
        <v/>
      </c>
      <c r="BP185">
        <f t="shared" si="259"/>
        <v>230</v>
      </c>
      <c r="BQ185">
        <f>IF(B185="","",IF(BC185&lt;&gt;"",3,IFERROR(IF(N(VLOOKUP(AX185,Потребители_обозначение,9,FALSE))=0,1,VLOOKUP(AX185,Потребители_обозначение,9,FALSE)),1)))</f>
        <v>1</v>
      </c>
      <c r="BR185">
        <f t="shared" si="260"/>
        <v>1</v>
      </c>
      <c r="BS185" t="str">
        <f>IF(B185="","",_xlfn.LET(_xlpm.bc,IFERROR(IF(VLOOKUP(AX185,Потребители_обозначение,6,FALSE)=0,"",VLOOKUP(AX185,Потребители_обозначение,6,FALSE)&amp;""),""),IF(AND(FK185="да",OR(_xlpm.bc="",_xlpm.bc="мс")),Марка_пож,IF(AND(_xlpm.bc="",BC185&lt;&gt;""),"мс",_xlpm.bc))))</f>
        <v/>
      </c>
      <c r="BT185" t="str">
        <f t="shared" si="261"/>
        <v>мс</v>
      </c>
      <c r="BU185">
        <f>IF(B185="","",_xlfn.LET(_xlpm.cc,IFERROR(N(VLOOKUP(AX185,Потребители_обозначение,7,FALSE)),0),IF(_xlpm.cc&gt;0,_xlpm.cc,IF(BT185="","",IF(N(BR185)=3,5,3)))))</f>
        <v>3</v>
      </c>
      <c r="BV185">
        <f t="shared" si="262"/>
        <v>3</v>
      </c>
      <c r="BW185">
        <f>IFERROR(N(VLOOKUP(AX185,Потребители_обозначение,10,FALSE)),0)</f>
        <v>0</v>
      </c>
      <c r="BX185">
        <f>IFERROR(VLOOKUP(AX185,Потребители_обозначение,5,FALSE),0)</f>
        <v>1</v>
      </c>
      <c r="BY185" s="6" cm="1">
        <f t="array" ref="BY185">IF(B185="","",IF(BC185&lt;&gt;"",IFERROR(_xlfn.XLOOKUP(BC185,Щиты[Щит],Щиты[cos φ]),0.95),IF(BK185=1,IFERROR(_xlfn.XLOOKUP(A185,Щиты[Щит],Щиты[cos φ]),0.95),IF(ISNUMBER(Z185),Z185,IFERROR(IF(BX185=2,_xlfn.IFS(BR185=3,VLOOKUP(BN185,Справочная_двигатели,8,FALSE),BR185=1,VLOOKUP(BN185,Справочная_двигатели,10,TRUE)),IF(AND(Методика="нормы 2026",EQ185="Сил"),0.8,0.95)),0.95)))))</f>
        <v>0.95</v>
      </c>
      <c r="BZ185">
        <f t="shared" si="263"/>
        <v>0</v>
      </c>
      <c r="CA185">
        <f t="shared" si="264"/>
        <v>1</v>
      </c>
      <c r="CB185">
        <f t="shared" si="265"/>
        <v>0</v>
      </c>
      <c r="CC185">
        <f t="shared" si="266"/>
        <v>0</v>
      </c>
      <c r="CD185">
        <f t="shared" si="267"/>
        <v>0</v>
      </c>
      <c r="CE185">
        <f t="shared" si="268"/>
        <v>0</v>
      </c>
      <c r="CF185">
        <f t="shared" si="269"/>
        <v>0</v>
      </c>
      <c r="CG185">
        <f>IF(AX185="",0,_xlfn.LET(_xlpm.v,IFERROR(VLOOKUP(B185,УГО_спр,3,FALSE),IFERROR(VLOOKUP(AX185,УГО_спр,3,FALSE),IFERROR(VLOOKUP(LEFT(AX185,2),УГО_спр,3,FALSE),""))),IF(_xlpm.v="да",30,IF(ISNUMBER(_xlpm.v),_xlpm.v,0))))</f>
        <v>30</v>
      </c>
      <c r="CH185">
        <f t="shared" si="270"/>
        <v>30</v>
      </c>
      <c r="CI185" t="str">
        <f>_xlfn.LET(_xlpm.k,IFERROR(_xlfn.XLOOKUP(AX185,Коды_код,Коды_утечка)&amp;"",""),IF(_xlpm.k="","дифавтомат",_xlpm.k))</f>
        <v>дифавтомат</v>
      </c>
      <c r="CJ185">
        <f t="shared" si="271"/>
        <v>30</v>
      </c>
      <c r="CK185">
        <f t="shared" si="272"/>
        <v>30</v>
      </c>
      <c r="CL185">
        <f>IF(B185="",0,IFERROR(--VLOOKUP(B185,УГО_спр,4,FALSE),IFERROR(--VLOOKUP(AX185,УГО_спр,4,FALSE),IFERROR(--VLOOKUP(LEFT(AX185,2),УГО_спр,4,FALSE),0))))</f>
        <v>16</v>
      </c>
      <c r="CM185" t="str">
        <f>IF(B185="","",IFERROR(_xlfn.XLOOKUP(AX185,Коды_код,Коды_апп)&amp;"",""))</f>
        <v/>
      </c>
      <c r="CN185" t="str">
        <f t="shared" si="273"/>
        <v/>
      </c>
      <c r="CO185" t="str" cm="1">
        <f t="array" ref="CO185">IF(TRIM(CN185&amp;"")="","",IFERROR(TRIM(INDEX(_xlfn.TEXTSPLIT(CN185&amp;";;;",";"),1)),""))</f>
        <v/>
      </c>
      <c r="CP185" t="str" cm="1">
        <f t="array" ref="CP185">IF(TRIM(CN185&amp;"")="","",IFERROR(TRIM(INDEX(_xlfn.TEXTSPLIT(CN185&amp;";;;",";"),2)),""))</f>
        <v/>
      </c>
      <c r="CQ185" t="str" cm="1">
        <f t="array" ref="CQ185">IF(TRIM(CN185&amp;"")="","",IFERROR(TRIM(INDEX(_xlfn.TEXTSPLIT(CN185&amp;";;;",";"),3)),""))</f>
        <v/>
      </c>
      <c r="CR185">
        <f t="shared" si="274"/>
        <v>0</v>
      </c>
      <c r="CS185" t="str">
        <f>IF(B185="","",_xlfn.LET(_xlpm.t,LOWER(AV185&amp;""),IF(ISNUMBER(SEARCH("dim",_xlpm.t)),"DIM",IF(ISNUMBER(SEARCH("dali",_xlpm.t)),"DALI",IF(OR(ISNUMBER(SEARCH("relay",_xlpm.t)),ISNUMBER(SEARCH("реле",_xlpm.t))),"Relay",IF(ISNUMBER(SEARCH("кнопк",_xlpm.t)),"",IFERROR(_xlfn.XLOOKUP(AX185,Коды_код,Коды_упр)&amp;"","")))))))</f>
        <v/>
      </c>
      <c r="CT185" t="str">
        <f t="shared" si="275"/>
        <v/>
      </c>
      <c r="CU185">
        <f>IF(B185="","",_xlfn.LET(_xlpm.ig,N(P185)+IF(AF185="вручную",0,N(CB185)),_xlpm.n0,IFERROR(VLOOKUP(_xlpm.ig,Автомат_номиналы,2,TRUE),0),_xlpm.mn,MAX(CL185,IF(AF185="вручную",0,N(CE185))),MAX(_xlpm.n0,_xlpm.mn,IF(CR185=1,Мин_автомат_БП,0))))</f>
        <v>16</v>
      </c>
      <c r="CV185">
        <f t="shared" si="276"/>
        <v>1</v>
      </c>
      <c r="CW185" t="str">
        <f t="shared" si="277"/>
        <v>2P</v>
      </c>
      <c r="CX185" t="str">
        <f>_xlfn.LET(_xlpm.cc,UPPER(TRIM(IFERROR(_xlfn.XLOOKUP(AX185,Коды_код,Коды_хар)&amp;"",""))),IF(OR(_xlpm.cc="B",_xlpm.cc="В"),"B",IF(_xlpm.cc="D","D","С")))</f>
        <v>С</v>
      </c>
      <c r="CY185" t="str">
        <f t="shared" si="278"/>
        <v>2P С16А 30мА</v>
      </c>
      <c r="CZ185" t="str">
        <f t="shared" si="279"/>
        <v>2P С16А 30мА</v>
      </c>
      <c r="DA185" t="str">
        <f t="shared" si="280"/>
        <v>2P С16А 30мА</v>
      </c>
      <c r="DB185" cm="1">
        <f t="array" ref="DB185">IF(DA185="","",_xlfn.LET(_xlpm.t,SUBSTITUTE(SUBSTITUTE(SUBSTITUTE(UPPER(DA185),"С","C"),"А","A"),"В","B"),_xlpm.tk,_xlfn.TEXTSPLIT(_xlpm.t,"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5" t="str">
        <f t="shared" si="281"/>
        <v>ok</v>
      </c>
      <c r="DD185">
        <f t="shared" si="282"/>
        <v>16</v>
      </c>
      <c r="DE185" t="str">
        <f t="shared" si="283"/>
        <v>2P С16А 30мА</v>
      </c>
      <c r="DF185">
        <f t="shared" si="284"/>
        <v>30</v>
      </c>
      <c r="DG185">
        <f t="shared" si="285"/>
        <v>1</v>
      </c>
      <c r="DH185">
        <f t="shared" si="286"/>
        <v>0</v>
      </c>
      <c r="DI185">
        <f t="shared" si="287"/>
        <v>0.54696341291648753</v>
      </c>
      <c r="DJ185">
        <f t="shared" si="288"/>
        <v>1</v>
      </c>
      <c r="DK185">
        <f>IF(ISNUMBER(AL185),AL185,К_прокл)</f>
        <v>1</v>
      </c>
      <c r="DL185">
        <f t="shared" si="289"/>
        <v>2</v>
      </c>
      <c r="DM185">
        <f>IFERROR(N(VLOOKUP(BT185,Кабель_обозначение,3,FALSE)),1)</f>
        <v>1</v>
      </c>
      <c r="DN185">
        <f>IFERROR(N(_xlfn.XLOOKUP(A185,Щиты[Щит],Щиты[ΔU до шин, %])),0)</f>
        <v>0.43</v>
      </c>
      <c r="DO185" t="str">
        <f>IFERROR(_xlfn.XLOOKUP(A185,Щиты[Щит],Щиты[Zпетли на шинах, Ом]),"")</f>
        <v/>
      </c>
      <c r="DP185">
        <f>IFERROR(N(_xlfn.XLOOKUP(A185,Щиты[Щит],Щиты[ΔU до шин (подбор), %])),0)</f>
        <v>0.43</v>
      </c>
      <c r="DQ185" t="str">
        <f>IFERROR(_xlfn.XLOOKUP(A185,Щиты[Щит],Щиты[Zпетли на шинах (подбор), Ом]),"")</f>
        <v/>
      </c>
      <c r="DR185" t="str">
        <f t="shared" si="290"/>
        <v/>
      </c>
      <c r="DS185">
        <f t="shared" si="291"/>
        <v>29</v>
      </c>
      <c r="DT185">
        <f t="shared" si="292"/>
        <v>2</v>
      </c>
      <c r="DU185">
        <f t="shared" si="293"/>
        <v>0.31</v>
      </c>
      <c r="DV185" s="6">
        <f>IF(B185="","",IF(IFERROR(VLOOKUP(AX185,УГО_спр,2,FALSE),"")="Светильник",3,4)+IF(Методика="нормы 2026",MIN(0.5,MAX(0,N(Q185)-100)*0.005),0))</f>
        <v>4</v>
      </c>
      <c r="DW185" cm="1">
        <f t="array" ref="DW185">IF(OR(B185="",BT185="",DM185&lt;&gt;1),"",_xlfn.LET(_xlpm.sz,Iдоп_S,_xlpm.t_,CHOOSE(DL185,Iдоп_1ж,Iдоп_2ж,Iдоп_3ж)*DJ185*DK185,_xlpm.inn,N(DD185),_xlpm.smin,MAX(1.5,BW185),_xlpm.L_,N(Q185)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185)*(_xlpm.rho*_xlpm.L_/_xlpm.sz*N(BY185)+_xlpm.xx*_xlpm.L_*N(DU185)/1000)*N(P185)/((Uн_лин/SQRT(3))*1000)*100,999),_xlpm.kz,IF(OR(DG185=1,NOT(ISNUMBER(DQ185)),_xlpm.L_=0,_xlpm.inn=0),1,IFERROR(--(c_min*(Uн_лин*1000/SQRT(3))/(DQ185+2*ρкз_Cu*_xlpm.L_/_xlpm.sz)&gt;=GY185*_xlpm.inn),0)),_xlpm.ok,IFERROR((_xlpm.sz&gt;=_xlpm.smin)*(_xlpm.t_&gt;=_xlpm.inn)*IF(_xlpm.L_&gt;0,(_xlpm.du_+DP185&lt;=DV185+0.00001),1)*_xlpm.kz,0),_xlpm.r_,_xlfn._xlws.FILTER(_xlpm.sz,_xlpm.ok,"не подобрано"),INDEX(_xlpm.r_,1)))</f>
        <v>1.5</v>
      </c>
      <c r="DX185">
        <f t="shared" si="294"/>
        <v>2.5</v>
      </c>
      <c r="DY185" cm="1">
        <f t="array" ref="DY185">IF(OR(B185="",BT185="",DM185&lt;&gt;1),"",_xlfn.LET(_xlpm.sz,Iдоп_S,_xlpm.t_,CHOOSE(DL185,Iдоп_1ж,Iдоп_2ж,Iдоп_3ж)*DJ185*DK185,_xlpm.ok,IFERROR((_xlpm.sz&gt;=MAX(1.5,BW185))*(_xlpm.t_&gt;=N(DD185)),0),_xlpm.r_,_xlfn._xlws.FILTER(_xlpm.sz,_xlpm.ok,""),INDEX(_xlpm.r_,1)))</f>
        <v>1.5</v>
      </c>
      <c r="DZ185" s="6" cm="1">
        <f t="array" ref="DZ185">IFERROR(ROUNDUP(N(DT185)*(_xlfn.XLOOKUP(DY185,INDEX(Кабель_сопротивление,0,1),INDEX(Кабель_сопротивление,0,3))*N(Q185)/DY185*N(BY185)+_xlfn.XLOOKUP(DY185,INDEX(Кабель_сопротивление,0,1),INDEX(Кабель_сопротивление,0,2))*N(Q185)*N(DU185)/1000)*N(P185)/((Uн_лин/SQRT(3))*1000)*100,2),"")</f>
        <v>0.26</v>
      </c>
      <c r="EA185">
        <f>IFERROR(2*ρкз_Cu*N(Q185)/DY185,"")</f>
        <v>1.3325333333333333</v>
      </c>
      <c r="EB185">
        <f>IFERROR(VLOOKUP(DX185,Кабель_сопротивление,3,FALSE),"")</f>
        <v>2.2499999999999999E-2</v>
      </c>
      <c r="EC185">
        <f>IFERROR(VLOOKUP(DX185,Кабель_сопротивление,2,FALSE),"")</f>
        <v>0.1</v>
      </c>
      <c r="ED185">
        <f t="shared" si="295"/>
        <v>30</v>
      </c>
      <c r="EE185">
        <f t="shared" si="296"/>
        <v>0</v>
      </c>
      <c r="EF185">
        <f t="shared" si="297"/>
        <v>0.35670547151396481</v>
      </c>
      <c r="EG185" s="6">
        <f>IFERROR(ROUNDUP(EF185/((Uн_лин/SQRT(3))*1000)*100,2),"")</f>
        <v>0.16</v>
      </c>
      <c r="EH185" t="str">
        <f>IFERROR(VLOOKUP(BT185,Кабель_обозначение,2,FALSE),"")</f>
        <v>ВВГнг(А)-LS</v>
      </c>
      <c r="EI185" t="str">
        <f t="shared" si="298"/>
        <v>ВВГнг(А)-LS (3х2,5)</v>
      </c>
      <c r="EJ185" t="str">
        <f t="shared" si="299"/>
        <v>ВВГнг(А)-LS (3х2,5)
L=38-0,16%</v>
      </c>
      <c r="EK185">
        <f>IFERROR(2*ρкз_Cu*Q185/DX185,"")</f>
        <v>0.79952000000000001</v>
      </c>
      <c r="EL185">
        <f t="shared" si="300"/>
        <v>0.26600000000000001</v>
      </c>
      <c r="EM185" s="6" t="str">
        <f>IFERROR(IF(OR(B185="",NOT(ISNUMBER(DX185)),N(Q185)=0),"",_xlfn.XLOOKUP(A185,Щиты[Щит],Щиты[Zпетли на шинах, Ом])+EK185),"")</f>
        <v/>
      </c>
      <c r="EN185" s="6" t="str">
        <f>IF(ISNUMBER(EM185),c_min*(Uн_лин*1000/SQRT(3))/EM185,"")</f>
        <v/>
      </c>
      <c r="EO185" s="6" t="str">
        <f>IFERROR(IF(OR(B185="",NOT(ISNUMBER(DX185))),"",1.05*(Uн_лин*1000/SQRT(3))/(_xlfn.XLOOKUP(A185,Щиты[Щит],Щиты[Zmax на шинах, Ом])+EL185)/1000),"")</f>
        <v/>
      </c>
      <c r="EP185" s="6" t="str">
        <f>IF(B185="","",IF(ISNUMBER(Y185),"Сил",IF(IFERROR(_xlfn.XLOOKUP(AX185,Коды_код,Коды_группа)&amp;"","")="","Быт",_xlfn.XLOOKUP(AX185,Коды_код,Коды_группа)&amp;"")))</f>
        <v>Быт</v>
      </c>
      <c r="EQ185" s="6" t="str">
        <f t="shared" si="301"/>
        <v>Быт</v>
      </c>
      <c r="ER185" s="6">
        <f>IF(EQ185="Щит","щит",IF(EQ185="","",IF(EQ185="Быт",IFERROR(_xlfn.XLOOKUP(A185,Щиты[Щит],Щиты[Кс быт]),1),IF(EQ185="Сил",IF(ISNUMBER(Y185),Y185,IF(Методика="нормы 2026",IFERROR(_xlfn.XLOOKUP(A185,Щиты[Щит],Щиты[Кс силовых (табл. 7.5)]),1),1)),IF(OR(EQ185="Пост",EQ185="Отоп"),1,IF(EQ185="ВНГ",0.7,0))))))</f>
        <v>0.79799999999999993</v>
      </c>
      <c r="ES185">
        <f t="shared" si="302"/>
        <v>1</v>
      </c>
      <c r="ET185">
        <f t="shared" si="303"/>
        <v>0.12</v>
      </c>
      <c r="EU185">
        <f t="shared" si="304"/>
        <v>0.12</v>
      </c>
      <c r="EV185">
        <f t="shared" si="305"/>
        <v>0</v>
      </c>
      <c r="EW185">
        <f t="shared" si="306"/>
        <v>0</v>
      </c>
      <c r="EX185">
        <f t="shared" si="307"/>
        <v>0</v>
      </c>
      <c r="EY185">
        <f t="shared" si="308"/>
        <v>0</v>
      </c>
      <c r="EZ185">
        <f t="shared" si="309"/>
        <v>0.12</v>
      </c>
      <c r="FA185">
        <f t="shared" si="310"/>
        <v>0.11399999999999999</v>
      </c>
      <c r="FB185">
        <f t="shared" si="311"/>
        <v>0.12</v>
      </c>
      <c r="FC185" t="str">
        <f t="shared" si="312"/>
        <v>L3</v>
      </c>
      <c r="FD185" t="str">
        <f>IF(B185="","",IF(CA185=0,IF(AW185=1,"",FF184),IF(OR(N(CV185)&gt;=3,N(BR185)&gt;=3),"L1,L2,L3",IFERROR(_xlfn.TEXTBEFORE(_xlfn.TEXTAFTER(_xlfn.XLOOKUP(A185,Щиты[Щит],Щиты[_фазы авто]),";"&amp;AW185&amp;":"),";"),"L1"))))</f>
        <v>L1</v>
      </c>
      <c r="FE185" t="str">
        <f t="shared" si="313"/>
        <v>L3</v>
      </c>
      <c r="FF185" t="str">
        <f t="shared" si="314"/>
        <v>L3</v>
      </c>
      <c r="FG185" cm="1">
        <f t="array" ref="FG185">IFERROR(IF(BX185=2,_xlfn.IFS(BR185=3,VLOOKUP(BN185,Справочная_двигатели,3,FALSE),BR185=1,VLOOKUP(BN185,Справочная_двигатели,5,TRUE)),0),0)</f>
        <v>0</v>
      </c>
      <c r="FH185">
        <f>IFERROR(IF(BX185=3,VLOOKUP(BN185,Справочная_ЛЭД,2,TRUE),0),0)</f>
        <v>0</v>
      </c>
      <c r="FI185" s="6">
        <f t="shared" si="315"/>
        <v>0</v>
      </c>
      <c r="FJ185" t="str" cm="1">
        <f t="array" ref="FJ185">IF(B185="","",IFERROR(INDEX({"I особая","I","II","III"},MATCH(TRIM(AC185&amp;""),{"I особая","I","II","III"},0)),"III"))</f>
        <v>II</v>
      </c>
      <c r="FK185" t="str">
        <f>IF(B185="","",IF(TRIM(AD185&amp;"")&lt;&gt;"",IF(LOWER(TRIM(AD185&amp;""))="да","да","нет"),IF(IFERROR(_xlfn.XLOOKUP(AX185,Коды_код,Коды_пожарная),"")="да","да","нет")))</f>
        <v>нет</v>
      </c>
      <c r="FL185" t="str">
        <f t="shared" si="316"/>
        <v/>
      </c>
      <c r="FM185" t="str">
        <f t="shared" si="317"/>
        <v>основная</v>
      </c>
      <c r="FN185">
        <f t="shared" si="318"/>
        <v>1</v>
      </c>
      <c r="FO185" t="str" cm="1">
        <f t="array" ref="FO185">IF(B185="","",_xlfn.LET(_xlpm.t,IFERROR(_xlfn.XLOOKUP(1,(Шины[Шина]=FM185)*(((Шины[Щит]=A185)+(Шины[Щит]=""))&gt;0),Шины[Тип]),"")&amp;"",IF(_xlpm.t&lt;&gt;"",_xlpm.t,IF(ISNUMBER(SEARCH("ИБП",FM185)),"ИБП",IF(ISNUMBER(SEARCH("ДГУ",FM185)),"ДГУ","Ввод "&amp;FN185)))))</f>
        <v>Ввод 1</v>
      </c>
      <c r="FP185" t="str">
        <f t="shared" si="319"/>
        <v>Ввод 1</v>
      </c>
      <c r="FQ185" t="str">
        <f>IF(B185="","",IF(OR(FO185="ИБП",FO185="ДГУ"),"I особая",IF(FO185="Одиночная","III",_xlfn.XLOOKUP(A185,Щиты[Щит],Щиты[Категория шины «Ввод»],"III"))))</f>
        <v>II</v>
      </c>
      <c r="FR185">
        <f>IF(B185="",0,IFERROR(MATCH(FJ185,{"III","II","I","I особая"},0),1))</f>
        <v>2</v>
      </c>
      <c r="FS185">
        <f t="shared" si="320"/>
        <v>2</v>
      </c>
      <c r="FT185" t="str">
        <f>IF(B185="","",IF(FR185&gt;IFERROR(MATCH(FQ185,{"III","II","I","I особая"},0),1),"НЕ ОБЕСПЕЧЕНА","ОК"))</f>
        <v>ОК</v>
      </c>
      <c r="FU185" t="str">
        <f>IF(A185="","",_xlfn.XLOOKUP(A185,Щиты[Щит],Щиты[Путь],""))</f>
        <v>|ГРЩ-ЖД|ЩР-01|</v>
      </c>
      <c r="FV185" t="str">
        <f>IF(B185="","",IF(AE185&lt;&gt;"",AE185,IF(IFERROR(_xlfn.XLOOKUP(AX185,Коды_код,Коды_вид)&amp;"","")="","Прочее",_xlfn.XLOOKUP(AX185,Коды_код,Коды_вид)&amp;"")))</f>
        <v>Розеточная сеть и бытовые приборы</v>
      </c>
      <c r="FW185">
        <f>IF(BH185="","",INT((BH185-1)/Столбцов_на_лист)+1)</f>
        <v>2</v>
      </c>
      <c r="FX185" t="str">
        <f t="shared" si="321"/>
        <v>ВВГнг(А)-LS (3х2,5) L=38-0,16%</v>
      </c>
      <c r="FY185">
        <f t="shared" si="322"/>
        <v>0.12</v>
      </c>
      <c r="FZ185">
        <f t="shared" si="323"/>
        <v>0.55000000000000004</v>
      </c>
      <c r="GA185">
        <f t="shared" si="324"/>
        <v>1</v>
      </c>
      <c r="GB185">
        <f t="shared" si="325"/>
        <v>0</v>
      </c>
      <c r="GC185">
        <f t="shared" si="326"/>
        <v>1</v>
      </c>
      <c r="GD185">
        <f>IF(BH185="","",IF(AND(CA185=1,GC185=1),COUNTIFS(A$3:A185,A185,CA$3:CA185,1,GC$3:GC185,1),IF(OR(OR(AW185=1,A185&lt;&gt;A184),AF185="вручную",GC185=0),"",IF(AW185=1,"",GE184))))</f>
        <v>1</v>
      </c>
      <c r="GE185">
        <f t="shared" si="327"/>
        <v>1</v>
      </c>
      <c r="GF185">
        <f>IF(B185="","",IFERROR(LOOKUP(INDEX(CHOOSE(DL185,Iдоп_1ж,Iдоп_2ж,Iдоп_3ж),MATCH(DX185,Iдоп_S,0))*DJ185*DK185,{6,10,16,20,25,32,40,50,63,80,100,125,160,200,250,315,400,500,630}),""))</f>
        <v>25</v>
      </c>
      <c r="GG185" t="str">
        <f t="shared" si="328"/>
        <v>QFD1</v>
      </c>
      <c r="GH185" t="str">
        <f t="shared" si="329"/>
        <v>QFD1</v>
      </c>
      <c r="GI185" t="str">
        <f t="shared" si="330"/>
        <v/>
      </c>
      <c r="GJ185">
        <f t="shared" si="331"/>
        <v>0</v>
      </c>
      <c r="GK185" t="str">
        <f>IF(OR(AG185="",AG185="-"),"",IFERROR(VLOOKUP(AG185,Модули_спр,2,FALSE),"R"))</f>
        <v/>
      </c>
      <c r="GL185" t="str">
        <f>IF(GK185="","",GK185&amp;"."&amp;COUNTIFS(A$3:A185,A185,GK$3:GK185,GK185))</f>
        <v/>
      </c>
      <c r="GM185" t="str">
        <f t="shared" si="332"/>
        <v/>
      </c>
      <c r="GN185" t="str">
        <f t="shared" si="333"/>
        <v/>
      </c>
      <c r="GO185" t="str">
        <f t="shared" si="334"/>
        <v/>
      </c>
      <c r="GP185" t="str">
        <f t="shared" si="335"/>
        <v/>
      </c>
      <c r="GQ185">
        <f t="shared" si="336"/>
        <v>1</v>
      </c>
      <c r="GR185" t="str">
        <f>IF(GQ185=1,"XT"&amp;COUNTIFS(A$3:A185,A185,GQ$3:GQ185,1),"")</f>
        <v>XT1</v>
      </c>
      <c r="GS185" t="str">
        <f t="shared" si="337"/>
        <v>XT1</v>
      </c>
      <c r="GT185" t="str">
        <f t="shared" si="338"/>
        <v>QFD1</v>
      </c>
      <c r="GU185" t="str">
        <f t="shared" si="339"/>
        <v/>
      </c>
      <c r="GV185" t="str">
        <f t="shared" si="340"/>
        <v>ok</v>
      </c>
      <c r="GW185" t="str">
        <f>IF(OR(GO185="",GM185=""),"",IF(GO185&gt;IFERROR(VLOOKUP(GN185,Модули_спр,3,FALSE),99),"ЛИШНИЙ КАНАЛ",IF(AND(AH185&lt;&gt;"=",COUNTIFS(Линии[_модуль гр.],GM185,Линии[Канал (итог)],GO185,Линии[Канал],"&lt;&gt;=",Линии[Щит],A185)&gt;1),"ДУБЛЬ КАНАЛА","")))</f>
        <v/>
      </c>
      <c r="GX185" s="6" t="str">
        <f t="shared" si="341"/>
        <v/>
      </c>
      <c r="GY185">
        <f t="shared" si="342"/>
        <v>10</v>
      </c>
      <c r="GZ185" t="str">
        <f t="shared" si="343"/>
        <v/>
      </c>
      <c r="HA185" t="str">
        <f>IF(AND(B185="",GT185=""),"",_xlfn.TEXTJOIN("; ",TRUE,IF(AND(B185&lt;&gt;"",FE185=""),"нет фазы",""),IF(AND(B185&lt;&gt;"",N(FY185)=0,EQ185&lt;&gt;"Нет"),"нет мощности",""),IF(AND(GS185&lt;&gt;"",COUNTIFS(Линии[Щит],A185,Линии[Клемма (итог)],GS185)&gt;1),"дубль клеммы "&amp;GS185,""),IF(AND(GV185&lt;&gt;"",GV185&lt;&gt;"ok"),GV185,""),IF(GW185&lt;&gt;"",GW185,""),IF(AND(N(BV185)&gt;=4,N(BR185)=1),BV185&amp;" жил на 1 фазе",""),IF(AND(AX185="R",CA185=1,OR(N(CK185)=0,N(CK185)&gt;30)),"розетка без дифзащиты до 30 мА",""),IFERROR(IF(AND(ISNUMBER(R185),R185&gt;DV185),"потери "&amp;FIXED(R185,1)&amp;" % &gt; "&amp;DV185&amp;" %",""),""),IFERROR(IF(LEFT(GZ185,4)="мало","Iкз мало — отключение &gt; 0,4 с",""),""),IF(AND(B185&lt;&gt;"",BH185=""),"не на схеме",""),IF(AND(CA185=0,B185&lt;&gt;"",FE185&lt;&gt;"",IF(AW185=1,"",FF184)&lt;&gt;"",FE185&lt;&gt;IF(AW185=1,"",FF184)),"фаза не как у автомата группы ("&amp;IF(AW185=1,"",FF184)&amp;")","")))</f>
        <v/>
      </c>
      <c r="HB185" s="6">
        <f>IF(OR(CA185=0,DA185=""),"",_xlfn.LET(_xlpm.t,IFERROR(_xlfn.XLOOKUP(DA185,Каталог!$U$4:$U$500,Каталог!$G$4:$G$500),""),_xlpm.k,SEARCH("кА",_xlpm.t),IFERROR(--TRIM(RIGHT(SUBSTITUTE(MID(_xlpm.t,MAX(1,_xlpm.k-4),_xlpm.k-MAX(1,_xlpm.k-4))," ",REPT(" ",9)),5)),"")))</f>
        <v>6</v>
      </c>
      <c r="HC185" t="str">
        <f>IF(OR(HB185="",CA185=0),"",IF(_xlfn.XLOOKUP(A185,Щиты[Щит],Щиты[Iкз max на шинах, кА],"")="","",IF(HB185&lt;_xlfn.XLOOKUP(A185,Щиты[Щит],Щиты[Iкз max на шинах, кА]),"Icu "&amp;HB185&amp;" кА &lt; Iкз max","ok")))</f>
        <v/>
      </c>
      <c r="HD185" t="str">
        <f t="shared" si="344"/>
        <v/>
      </c>
      <c r="HE185" t="str">
        <f t="shared" si="345"/>
        <v>QFD1|XT1</v>
      </c>
      <c r="HF185" t="str">
        <f t="shared" si="346"/>
        <v>QFD1|XT1|кабель ВВГнг(А)-LS (3х2,5) → Розеточная группа, пом. 002A</v>
      </c>
      <c r="HG185" t="str" cm="1">
        <f t="array" ref="HG185">IF(HF185="","",_xlfn.LET(_xlpm.nd,_xlfn.TEXTSPLIT(HF185,"|"),IF(COLUMNS(_xlpm.nd)&gt;1,A185&amp;"¦"&amp;INDEX(_xlpm.nd,1)&amp;"¦"&amp;INDEX(_xlpm.nd,2),"")))</f>
        <v>ЩР-01¦QFD1¦XT1</v>
      </c>
      <c r="HH185" t="str">
        <f t="shared" si="347"/>
        <v>R.0.002A.1¦Розеточная группа, пом. 002A</v>
      </c>
      <c r="HI185" t="str" cm="1">
        <f t="array" ref="HI185">IF(HF185="","",_xlfn.LET(_xlpm.nd,_xlfn.TEXTSPLIT(HF185,"|"),IF(COLUMNS(_xlpm.nd)&gt;2,A185&amp;"¦"&amp;INDEX(_xlpm.nd,2)&amp;"¦"&amp;INDEX(_xlpm.nd,3),"")))</f>
        <v>ЩР-01¦XT1¦кабель ВВГнг(А)-LS (3х2,5) → Розеточная группа, пом. 002A</v>
      </c>
      <c r="HJ185" t="str">
        <f t="shared" si="348"/>
        <v>R.0.002A.1¦Розеточная группа, пом. 002A</v>
      </c>
      <c r="HK185" t="str" cm="1">
        <f t="array" ref="HK185">IF(HF185="","",_xlfn.LET(_xlpm.nd,_xlfn.TEXTSPLIT(HF185,"|"),IF(COLUMNS(_xlpm.nd)&gt;3,A185&amp;"¦"&amp;INDEX(_xlpm.nd,3)&amp;"¦"&amp;INDEX(_xlpm.nd,4),"")))</f>
        <v/>
      </c>
      <c r="HL185" t="str">
        <f t="shared" si="349"/>
        <v/>
      </c>
      <c r="HM185" t="str" cm="1">
        <f t="array" ref="HM185">IF(HF185="","",_xlfn.LET(_xlpm.nd,_xlfn.TEXTSPLIT(HF185,"|"),IF(COLUMNS(_xlpm.nd)&gt;4,A185&amp;"¦"&amp;INDEX(_xlpm.nd,4)&amp;"¦"&amp;INDEX(_xlpm.nd,5),"")))</f>
        <v/>
      </c>
      <c r="HN185" t="str">
        <f t="shared" si="350"/>
        <v/>
      </c>
      <c r="HO185" t="str" cm="1">
        <f t="array" ref="HO185">IF(HF185="","",_xlfn.LET(_xlpm.nd,_xlfn.TEXTSPLIT(HF185,"|"),IF(COLUMNS(_xlpm.nd)&gt;5,A185&amp;"¦"&amp;INDEX(_xlpm.nd,5)&amp;"¦"&amp;INDEX(_xlpm.nd,6),"")))</f>
        <v/>
      </c>
      <c r="HP185" t="str">
        <f t="shared" si="351"/>
        <v/>
      </c>
      <c r="HQ185" t="str" cm="1">
        <f t="array" ref="HQ185">IF(HF185="","",_xlfn.LET(_xlpm.nd,_xlfn.TEXTSPLIT(HF185,"|"),IF(COLUMNS(_xlpm.nd)&gt;6,A185&amp;"¦"&amp;INDEX(_xlpm.nd,6)&amp;"¦"&amp;INDEX(_xlpm.nd,7),"")))</f>
        <v/>
      </c>
      <c r="HR185" t="str">
        <f t="shared" si="352"/>
        <v/>
      </c>
      <c r="HS185" t="str">
        <f t="shared" si="353"/>
        <v/>
      </c>
      <c r="HT185" t="str">
        <f t="shared" si="354"/>
        <v>QFD1 → XT1</v>
      </c>
      <c r="HU185">
        <f t="shared" si="355"/>
        <v>0</v>
      </c>
      <c r="HV185">
        <f t="shared" si="356"/>
        <v>1</v>
      </c>
      <c r="HW185" t="str">
        <f t="shared" si="357"/>
        <v/>
      </c>
      <c r="HX185" t="str">
        <f t="shared" si="358"/>
        <v/>
      </c>
      <c r="HY185" t="str">
        <f t="shared" si="359"/>
        <v/>
      </c>
      <c r="HZ185" t="str">
        <f t="shared" si="360"/>
        <v/>
      </c>
      <c r="IA185" t="str">
        <f>IF(B185="","",IFERROR(VLOOKUP(B185,УГО_спр,2,FALSE),IFERROR(VLOOKUP(AX185,УГО_спр,2,FALSE),IFERROR(VLOOKUP(LEFT(AX185,2),УГО_спр,2,FALSE),""))))</f>
        <v>Розетка</v>
      </c>
      <c r="IB185" t="str">
        <f>IF(B185="","",IF(OR(IA185="",IA185=0),"BOX",IFERROR(IF(VLOOKUP(IA185,УГО_блоки,3,FALSE)&amp;""&lt;&gt;"",VLOOKUP(IA185,УГО_блоки,3,FALSE),VLOOKUP(IA185,УГО_блоки,2,FALSE)),IA185)))</f>
        <v>SOCKET</v>
      </c>
      <c r="IC185">
        <f t="shared" si="361"/>
        <v>1</v>
      </c>
      <c r="ID185" t="str">
        <f>IF(DA185="","",IF(COUNTIF(DA$3:DA185,DA185)=1,MAX(ID$2:ID184)+1,""))</f>
        <v/>
      </c>
      <c r="IE185" t="str">
        <f>IF(CO185="","",IF(COUNTIF(CO$3:CO185,CO185)+COUNTIF(CP$2:CP184,CO185)+COUNTIF(CQ$2:CQ184,CO185)=1,MAX(IE$2:IG184)+1,""))</f>
        <v/>
      </c>
      <c r="IF185" t="str">
        <f>IF(CP185="","",IF(COUNTIF(CO$3:CO185,CP185)+COUNTIF(CP$3:CP185,CP185)+COUNTIF(CQ$2:CQ184,CP185)=1,MAX(IE$2:IG184,IE185)+1,""))</f>
        <v/>
      </c>
      <c r="IG185" t="str">
        <f>IF(CQ185="","",IF(COUNTIF(CO$3:CO185,CQ185)+COUNTIF(CP$3:CP185,CQ185)+COUNTIF(CQ$3:CQ185,CQ185)=1,MAX(IE$2:IG184,IE185,IF185)+1,""))</f>
        <v/>
      </c>
      <c r="IH185" t="str">
        <f t="shared" si="362"/>
        <v>3х2,5</v>
      </c>
      <c r="II185" t="str">
        <f>IF(IH185="","",IF(COUNTIF(IH$3:IH185,IH185)=1,MAX(II$2:II184)+1,""))</f>
        <v/>
      </c>
      <c r="IJ185" t="str">
        <f>IF(GL185="","",COUNTIF(GL$3:GL185,"?*"))</f>
        <v/>
      </c>
      <c r="IK185" t="str">
        <f>IF(OR(GL185="",GN185=""),"",IF(COUNTIFS(GL$3:GL185,"?*",GN$3:GN185,GN185)=1,MAX(IK$2:IK184)+1,""))</f>
        <v/>
      </c>
      <c r="IL185">
        <f t="shared" si="363"/>
        <v>0</v>
      </c>
      <c r="IM185">
        <f>IF(B185="","",COUNTIF(B$3:B185,"?*"))</f>
        <v>183</v>
      </c>
      <c r="IN185">
        <f>IF(GQ185&lt;&gt;1,0,_xlfn.LET(_xlpm.k,MAX(IFERROR(--VLOOKUP(B185,УГО_спр,5,FALSE),0),IFERROR(--VLOOKUP(AX185,УГО_спр,5,FALSE),0),IFERROR(--VLOOKUP(LEFT(AX185,2),УГО_спр,5,FALSE),0)),IF(_xlpm.k&gt;0,_xlpm.k,IF(IFERROR(--LEFT(SUBSTITUTE(IH185,"x","х"),FIND("х",SUBSTITUTE(IH185,"x","х"))-1),3)&gt;3,Каталог!$S$9,1))))</f>
        <v>1</v>
      </c>
      <c r="IO185">
        <f t="shared" si="364"/>
        <v>0</v>
      </c>
      <c r="IP185" t="str">
        <f t="shared" si="365"/>
        <v>авто</v>
      </c>
      <c r="IQ185">
        <f t="shared" si="366"/>
        <v>30</v>
      </c>
      <c r="IR185">
        <f t="shared" si="367"/>
        <v>1</v>
      </c>
      <c r="IS185">
        <f t="shared" si="368"/>
        <v>1</v>
      </c>
    </row>
    <row r="186" spans="1:253" x14ac:dyDescent="0.3">
      <c r="A186" t="s">
        <v>757</v>
      </c>
      <c r="B186" t="s">
        <v>1452</v>
      </c>
      <c r="C186" t="str">
        <f>Линии[[#This Row],[_авто наименование]]</f>
        <v>Розеточная группа, пом. 002A</v>
      </c>
      <c r="D186">
        <v>5</v>
      </c>
      <c r="E186">
        <v>0.3</v>
      </c>
      <c r="G186" t="str">
        <f>Линии[[#This Row],[_авто автомат]]</f>
        <v>2P С16А 30мА</v>
      </c>
      <c r="H186">
        <f>Линии[[#This Row],[_авто утечка]]</f>
        <v>30</v>
      </c>
      <c r="I186" t="str">
        <f>Линии[[#This Row],[_авто управление]]</f>
        <v/>
      </c>
      <c r="J186" t="str">
        <f>Линии[[#This Row],[_авто аппараты]]</f>
        <v/>
      </c>
      <c r="K186">
        <v>2.5</v>
      </c>
      <c r="L186">
        <v>52</v>
      </c>
      <c r="M186">
        <v>3</v>
      </c>
      <c r="N186" t="str">
        <f>Линии[[#This Row],[_авто клемма]]</f>
        <v>XT2</v>
      </c>
      <c r="O186" t="str">
        <f t="shared" si="246"/>
        <v/>
      </c>
      <c r="P186" s="6" cm="1">
        <f t="array" ref="P186">IF(B186="","",IF(BC186&lt;&gt;"",IFERROR(_xlfn.XLOOKUP(BC186,Щиты[Щит],Щиты[Iр, А]),""),IF(BK186=1,IFERROR(_xlfn.XLOOKUP(A186,Щиты[Щит],Щиты[Iр, А]),""),IFERROR(_xlfn.IFS(BR186=1,BN186/((Uн_лин/SQRT(3))*BY186),BR186=3,BN186/(SQRT(3)*Uн_лин*BY186)),""))))</f>
        <v>1.3674085322912188</v>
      </c>
      <c r="Q186" s="7">
        <f>IF(B186="","",IFERROR(IF(VLOOKUP(AX186,Потребители_обозначение,4,FALSE)=1,VLOOKUP(AX186,Потребители_обозначение,3,FALSE)*(D186*2-1)+DS186+VLOOKUP(AZ186,Этаж_обозначение,3,FALSE)+VLOOKUP(AZ186,Этаж_обозначение,4,FALSE),VLOOKUP(AX186,Потребители_обозначение,3,FALSE)*(D186*2-1)+DS186),DS186))</f>
        <v>79</v>
      </c>
      <c r="R186" s="6">
        <f t="shared" si="247"/>
        <v>1.24</v>
      </c>
      <c r="S186" t="str">
        <f t="shared" si="248"/>
        <v>ВВГнг(А)-LS (3х2,5)</v>
      </c>
      <c r="T186" t="str">
        <f>IF(BH186="","",IF(BI186="вводной узел","узел ","")&amp;"л."&amp;(INT((BH186-1)/Столбцов_на_лист)+1)&amp;" / "&amp;(MOD(BH186-1,Столбцов_на_лист)+1))</f>
        <v>л.2 / 2</v>
      </c>
      <c r="V186">
        <v>1</v>
      </c>
      <c r="W186">
        <v>230</v>
      </c>
      <c r="X186" t="s">
        <v>564</v>
      </c>
      <c r="AC186" t="s">
        <v>815</v>
      </c>
      <c r="AE186" t="s">
        <v>563</v>
      </c>
      <c r="AI186">
        <v>19</v>
      </c>
      <c r="AJ186" t="s">
        <v>11</v>
      </c>
      <c r="AK186">
        <v>3</v>
      </c>
      <c r="AM186">
        <v>19</v>
      </c>
      <c r="AN186">
        <v>60</v>
      </c>
      <c r="AO186">
        <v>0</v>
      </c>
      <c r="AW186" cm="1">
        <f t="array" ref="AW186">ROW()-ROW(Линии[#Headers])</f>
        <v>184</v>
      </c>
      <c r="AX186" s="6" t="str">
        <f t="shared" si="249"/>
        <v>R</v>
      </c>
      <c r="AY186" t="str">
        <f t="shared" si="250"/>
        <v>0.002A.2</v>
      </c>
      <c r="AZ186" t="str">
        <f t="shared" si="251"/>
        <v>0</v>
      </c>
      <c r="BA186" t="str">
        <f t="shared" si="252"/>
        <v>002A.2</v>
      </c>
      <c r="BB186" t="str">
        <f t="shared" si="253"/>
        <v>002A</v>
      </c>
      <c r="BC186" t="str">
        <f>IF(U186&lt;&gt;"",U186,IF(AND(B186&lt;&gt;"",B186&lt;&gt;A186,ISNUMBER(_xlfn.XMATCH(B186,Щиты[Щит]))),B186,""))</f>
        <v/>
      </c>
      <c r="BD186" t="str" cm="1">
        <f t="array" ref="BD186">IF(B186="","",IF(BC186&lt;&gt;"","Щит "&amp;BC186,_xlfn.LET(_xlpm.nm,IFERROR(_xlfn.XLOOKUP(AX186,Коды_код,Коды_имя)&amp;"",""),_xlpm.md,IFERROR(N(_xlfn.XLOOKUP(AX186,Коды_код,Коды_режим)),1),_xlpm.ex,IF(Имя_режим="по экспликации",IFERROR(_xlfn.XLOOKUP(AZ186&amp;"|"&amp;BB186,Экспликация[Этаж]&amp;"|"&amp;Экспликация[Помещение],Экспликация[Название])&amp;"",""),""),_xlpm.rm,IF(BB186="","",IF(_xlpm.ex&lt;&gt;"",". "&amp;_xlpm.ex&amp;IF(Имя_пом="нет"," ("&amp;BB186&amp;")"," (пом. "&amp;BB186&amp;")"),IF(Имя_пом="нет"," ",", пом. ")&amp;BB186)),IF(_xlpm.nm="","",IF(_xlpm.md=2,_xlpm.nm&amp;" шлейф "&amp;AZ186,_xlpm.nm&amp;_xlpm.rm)))))</f>
        <v>Розеточная группа, пом. 002A</v>
      </c>
      <c r="BE186" t="str">
        <f t="shared" si="254"/>
        <v>Розеточная группа, пом. 002A</v>
      </c>
      <c r="BF186">
        <f>IFERROR(_xlfn.XMATCH(A186,Щиты[Щит]),0)</f>
        <v>9</v>
      </c>
      <c r="BG186">
        <f>_xlfn.LET(_xlpm.k,IFERROR(_xlfn.XLOOKUP(A186,Щиты[Щит],Щиты[Листов под вводной узел]),""),IF(_xlpm.k="",1,N(_xlpm.k))*Столбцов_на_лист)</f>
        <v>17</v>
      </c>
      <c r="BH186">
        <f t="shared" si="255"/>
        <v>19</v>
      </c>
      <c r="BI186" t="str">
        <f t="shared" si="256"/>
        <v>линии</v>
      </c>
      <c r="BJ186" s="6">
        <f>IFERROR(N(_xlfn.XLOOKUP(AX186,Коды_код,Коды_квт)),0)</f>
        <v>0</v>
      </c>
      <c r="BK186">
        <f t="shared" si="257"/>
        <v>0</v>
      </c>
      <c r="BL186" t="str">
        <f>IF(B186="","",IF(BC186&lt;&gt;"",IFERROR(_xlfn.XLOOKUP(BC186,Щиты[Щит],Щиты[Руст, кВт]),0),IF(BK186=1,IFERROR(_xlfn.XLOOKUP(A186,Щиты[Щит],Щиты[Руст, кВт]),0),IF(BJ186&gt;0,ROUND(BJ186*MAX(1,N(D186)),3),""))))</f>
        <v/>
      </c>
      <c r="BM186">
        <f t="shared" si="258"/>
        <v>0.3</v>
      </c>
      <c r="BN186" s="6">
        <f>IF(B186="","",IF(BC186&lt;&gt;"",IFERROR(_xlfn.XLOOKUP(BC186,Щиты[Щит],Щиты[Руст, кВт]),0),N(BM186)))</f>
        <v>0.3</v>
      </c>
      <c r="BO186" t="str">
        <f>IF(B186="","",IFERROR(IF(VLOOKUP(AX186,Потребители_обозначение,8,FALSE)=0,"",VLOOKUP(AX186,Потребители_обозначение,8,FALSE)),""))</f>
        <v/>
      </c>
      <c r="BP186">
        <f t="shared" si="259"/>
        <v>230</v>
      </c>
      <c r="BQ186">
        <f>IF(B186="","",IF(BC186&lt;&gt;"",3,IFERROR(IF(N(VLOOKUP(AX186,Потребители_обозначение,9,FALSE))=0,1,VLOOKUP(AX186,Потребители_обозначение,9,FALSE)),1)))</f>
        <v>1</v>
      </c>
      <c r="BR186">
        <f t="shared" si="260"/>
        <v>1</v>
      </c>
      <c r="BS186" t="str">
        <f>IF(B186="","",_xlfn.LET(_xlpm.bc,IFERROR(IF(VLOOKUP(AX186,Потребители_обозначение,6,FALSE)=0,"",VLOOKUP(AX186,Потребители_обозначение,6,FALSE)&amp;""),""),IF(AND(FK186="да",OR(_xlpm.bc="",_xlpm.bc="мс")),Марка_пож,IF(AND(_xlpm.bc="",BC186&lt;&gt;""),"мс",_xlpm.bc))))</f>
        <v/>
      </c>
      <c r="BT186" t="str">
        <f t="shared" si="261"/>
        <v>мс</v>
      </c>
      <c r="BU186">
        <f>IF(B186="","",_xlfn.LET(_xlpm.cc,IFERROR(N(VLOOKUP(AX186,Потребители_обозначение,7,FALSE)),0),IF(_xlpm.cc&gt;0,_xlpm.cc,IF(BT186="","",IF(N(BR186)=3,5,3)))))</f>
        <v>3</v>
      </c>
      <c r="BV186">
        <f t="shared" si="262"/>
        <v>3</v>
      </c>
      <c r="BW186">
        <f>IFERROR(N(VLOOKUP(AX186,Потребители_обозначение,10,FALSE)),0)</f>
        <v>0</v>
      </c>
      <c r="BX186">
        <f>IFERROR(VLOOKUP(AX186,Потребители_обозначение,5,FALSE),0)</f>
        <v>1</v>
      </c>
      <c r="BY186" s="6" cm="1">
        <f t="array" ref="BY186">IF(B186="","",IF(BC186&lt;&gt;"",IFERROR(_xlfn.XLOOKUP(BC186,Щиты[Щит],Щиты[cos φ]),0.95),IF(BK186=1,IFERROR(_xlfn.XLOOKUP(A186,Щиты[Щит],Щиты[cos φ]),0.95),IF(ISNUMBER(Z186),Z186,IFERROR(IF(BX186=2,_xlfn.IFS(BR186=3,VLOOKUP(BN186,Справочная_двигатели,8,FALSE),BR186=1,VLOOKUP(BN186,Справочная_двигатели,10,TRUE)),IF(AND(Методика="нормы 2026",EQ186="Сил"),0.8,0.95)),0.95)))))</f>
        <v>0.95</v>
      </c>
      <c r="BZ186">
        <f t="shared" si="263"/>
        <v>0</v>
      </c>
      <c r="CA186">
        <f t="shared" si="264"/>
        <v>1</v>
      </c>
      <c r="CB186">
        <f t="shared" si="265"/>
        <v>0</v>
      </c>
      <c r="CC186">
        <f t="shared" si="266"/>
        <v>0</v>
      </c>
      <c r="CD186">
        <f t="shared" si="267"/>
        <v>0</v>
      </c>
      <c r="CE186">
        <f t="shared" si="268"/>
        <v>0</v>
      </c>
      <c r="CF186">
        <f t="shared" si="269"/>
        <v>0</v>
      </c>
      <c r="CG186">
        <f>IF(AX186="",0,_xlfn.LET(_xlpm.v,IFERROR(VLOOKUP(B186,УГО_спр,3,FALSE),IFERROR(VLOOKUP(AX186,УГО_спр,3,FALSE),IFERROR(VLOOKUP(LEFT(AX186,2),УГО_спр,3,FALSE),""))),IF(_xlpm.v="да",30,IF(ISNUMBER(_xlpm.v),_xlpm.v,0))))</f>
        <v>30</v>
      </c>
      <c r="CH186">
        <f t="shared" si="270"/>
        <v>30</v>
      </c>
      <c r="CI186" t="str">
        <f>_xlfn.LET(_xlpm.k,IFERROR(_xlfn.XLOOKUP(AX186,Коды_код,Коды_утечка)&amp;"",""),IF(_xlpm.k="","дифавтомат",_xlpm.k))</f>
        <v>дифавтомат</v>
      </c>
      <c r="CJ186">
        <f t="shared" si="271"/>
        <v>30</v>
      </c>
      <c r="CK186">
        <f t="shared" si="272"/>
        <v>30</v>
      </c>
      <c r="CL186">
        <f>IF(B186="",0,IFERROR(--VLOOKUP(B186,УГО_спр,4,FALSE),IFERROR(--VLOOKUP(AX186,УГО_спр,4,FALSE),IFERROR(--VLOOKUP(LEFT(AX186,2),УГО_спр,4,FALSE),0))))</f>
        <v>16</v>
      </c>
      <c r="CM186" t="str">
        <f>IF(B186="","",IFERROR(_xlfn.XLOOKUP(AX186,Коды_код,Коды_апп)&amp;"",""))</f>
        <v/>
      </c>
      <c r="CN186" t="str">
        <f t="shared" si="273"/>
        <v/>
      </c>
      <c r="CO186" t="str" cm="1">
        <f t="array" ref="CO186">IF(TRIM(CN186&amp;"")="","",IFERROR(TRIM(INDEX(_xlfn.TEXTSPLIT(CN186&amp;";;;",";"),1)),""))</f>
        <v/>
      </c>
      <c r="CP186" t="str" cm="1">
        <f t="array" ref="CP186">IF(TRIM(CN186&amp;"")="","",IFERROR(TRIM(INDEX(_xlfn.TEXTSPLIT(CN186&amp;";;;",";"),2)),""))</f>
        <v/>
      </c>
      <c r="CQ186" t="str" cm="1">
        <f t="array" ref="CQ186">IF(TRIM(CN186&amp;"")="","",IFERROR(TRIM(INDEX(_xlfn.TEXTSPLIT(CN186&amp;";;;",";"),3)),""))</f>
        <v/>
      </c>
      <c r="CR186">
        <f t="shared" si="274"/>
        <v>0</v>
      </c>
      <c r="CS186" t="str">
        <f>IF(B186="","",_xlfn.LET(_xlpm.t,LOWER(AV186&amp;""),IF(ISNUMBER(SEARCH("dim",_xlpm.t)),"DIM",IF(ISNUMBER(SEARCH("dali",_xlpm.t)),"DALI",IF(OR(ISNUMBER(SEARCH("relay",_xlpm.t)),ISNUMBER(SEARCH("реле",_xlpm.t))),"Relay",IF(ISNUMBER(SEARCH("кнопк",_xlpm.t)),"",IFERROR(_xlfn.XLOOKUP(AX186,Коды_код,Коды_упр)&amp;"","")))))))</f>
        <v/>
      </c>
      <c r="CT186" t="str">
        <f t="shared" si="275"/>
        <v/>
      </c>
      <c r="CU186">
        <f>IF(B186="","",_xlfn.LET(_xlpm.ig,N(P186)+IF(AF186="вручную",0,N(CB186)),_xlpm.n0,IFERROR(VLOOKUP(_xlpm.ig,Автомат_номиналы,2,TRUE),0),_xlpm.mn,MAX(CL186,IF(AF186="вручную",0,N(CE186))),MAX(_xlpm.n0,_xlpm.mn,IF(CR186=1,Мин_автомат_БП,0))))</f>
        <v>16</v>
      </c>
      <c r="CV186">
        <f t="shared" si="276"/>
        <v>1</v>
      </c>
      <c r="CW186" t="str">
        <f t="shared" si="277"/>
        <v>2P</v>
      </c>
      <c r="CX186" t="str">
        <f>_xlfn.LET(_xlpm.cc,UPPER(TRIM(IFERROR(_xlfn.XLOOKUP(AX186,Коды_код,Коды_хар)&amp;"",""))),IF(OR(_xlpm.cc="B",_xlpm.cc="В"),"B",IF(_xlpm.cc="D","D","С")))</f>
        <v>С</v>
      </c>
      <c r="CY186" t="str">
        <f t="shared" si="278"/>
        <v>2P С16А 30мА</v>
      </c>
      <c r="CZ186" t="str">
        <f t="shared" si="279"/>
        <v>2P С16А 30мА</v>
      </c>
      <c r="DA186" t="str">
        <f t="shared" si="280"/>
        <v>2P С16А 30мА</v>
      </c>
      <c r="DB186" cm="1">
        <f t="array" ref="DB186">IF(DA186="","",_xlfn.LET(_xlpm.t,SUBSTITUTE(SUBSTITUTE(SUBSTITUTE(UPPER(DA186),"С","C"),"А","A"),"В","B"),_xlpm.tk,_xlfn.TEXTSPLIT(_xlpm.t,"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6" t="str">
        <f t="shared" si="281"/>
        <v>ok</v>
      </c>
      <c r="DD186">
        <f t="shared" si="282"/>
        <v>16</v>
      </c>
      <c r="DE186" t="str">
        <f t="shared" si="283"/>
        <v>2P С16А 30мА</v>
      </c>
      <c r="DF186">
        <f t="shared" si="284"/>
        <v>30</v>
      </c>
      <c r="DG186">
        <f t="shared" si="285"/>
        <v>1</v>
      </c>
      <c r="DH186">
        <f t="shared" si="286"/>
        <v>0</v>
      </c>
      <c r="DI186">
        <f t="shared" si="287"/>
        <v>1.3674085322912188</v>
      </c>
      <c r="DJ186">
        <f t="shared" si="288"/>
        <v>1</v>
      </c>
      <c r="DK186">
        <f>IF(ISNUMBER(AL186),AL186,К_прокл)</f>
        <v>1</v>
      </c>
      <c r="DL186">
        <f t="shared" si="289"/>
        <v>2</v>
      </c>
      <c r="DM186">
        <f>IFERROR(N(VLOOKUP(BT186,Кабель_обозначение,3,FALSE)),1)</f>
        <v>1</v>
      </c>
      <c r="DN186">
        <f>IFERROR(N(_xlfn.XLOOKUP(A186,Щиты[Щит],Щиты[ΔU до шин, %])),0)</f>
        <v>0.43</v>
      </c>
      <c r="DO186" t="str">
        <f>IFERROR(_xlfn.XLOOKUP(A186,Щиты[Щит],Щиты[Zпетли на шинах, Ом]),"")</f>
        <v/>
      </c>
      <c r="DP186">
        <f>IFERROR(N(_xlfn.XLOOKUP(A186,Щиты[Щит],Щиты[ΔU до шин (подбор), %])),0)</f>
        <v>0.43</v>
      </c>
      <c r="DQ186" t="str">
        <f>IFERROR(_xlfn.XLOOKUP(A186,Щиты[Щит],Щиты[Zпетли на шинах (подбор), Ом]),"")</f>
        <v/>
      </c>
      <c r="DR186" t="str">
        <f t="shared" si="290"/>
        <v/>
      </c>
      <c r="DS186">
        <f t="shared" si="291"/>
        <v>52</v>
      </c>
      <c r="DT186">
        <f t="shared" si="292"/>
        <v>2</v>
      </c>
      <c r="DU186">
        <f t="shared" si="293"/>
        <v>0.31</v>
      </c>
      <c r="DV186" s="6">
        <f>IF(B186="","",IF(IFERROR(VLOOKUP(AX186,УГО_спр,2,FALSE),"")="Светильник",3,4)+IF(Методика="нормы 2026",MIN(0.5,MAX(0,N(Q186)-100)*0.005),0))</f>
        <v>4</v>
      </c>
      <c r="DW186" cm="1">
        <f t="array" ref="DW186">IF(OR(B186="",BT186="",DM186&lt;&gt;1),"",_xlfn.LET(_xlpm.sz,Iдоп_S,_xlpm.t_,CHOOSE(DL186,Iдоп_1ж,Iдоп_2ж,Iдоп_3ж)*DJ186*DK186,_xlpm.inn,N(DD186),_xlpm.smin,MAX(1.5,BW186),_xlpm.L_,N(Q186)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186)*(_xlpm.rho*_xlpm.L_/_xlpm.sz*N(BY186)+_xlpm.xx*_xlpm.L_*N(DU186)/1000)*N(P186)/((Uн_лин/SQRT(3))*1000)*100,999),_xlpm.kz,IF(OR(DG186=1,NOT(ISNUMBER(DQ186)),_xlpm.L_=0,_xlpm.inn=0),1,IFERROR(--(c_min*(Uн_лин*1000/SQRT(3))/(DQ186+2*ρкз_Cu*_xlpm.L_/_xlpm.sz)&gt;=GY186*_xlpm.inn),0)),_xlpm.ok,IFERROR((_xlpm.sz&gt;=_xlpm.smin)*(_xlpm.t_&gt;=_xlpm.inn)*IF(_xlpm.L_&gt;0,(_xlpm.du_+DP186&lt;=DV186+0.00001),1)*_xlpm.kz,0),_xlpm.r_,_xlfn._xlws.FILTER(_xlpm.sz,_xlpm.ok,"не подобрано"),INDEX(_xlpm.r_,1)))</f>
        <v>1.5</v>
      </c>
      <c r="DX186">
        <f t="shared" si="294"/>
        <v>2.5</v>
      </c>
      <c r="DY186" cm="1">
        <f t="array" ref="DY186">IF(OR(B186="",BT186="",DM186&lt;&gt;1),"",_xlfn.LET(_xlpm.sz,Iдоп_S,_xlpm.t_,CHOOSE(DL186,Iдоп_1ж,Iдоп_2ж,Iдоп_3ж)*DJ186*DK186,_xlpm.ok,IFERROR((_xlpm.sz&gt;=MAX(1.5,BW186))*(_xlpm.t_&gt;=N(DD186)),0),_xlpm.r_,_xlfn._xlws.FILTER(_xlpm.sz,_xlpm.ok,""),INDEX(_xlpm.r_,1)))</f>
        <v>1.5</v>
      </c>
      <c r="DZ186" s="6" cm="1">
        <f t="array" ref="DZ186">IFERROR(ROUNDUP(N(DT186)*(_xlfn.XLOOKUP(DY186,INDEX(Кабель_сопротивление,0,1),INDEX(Кабель_сопротивление,0,3))*N(Q186)/DY186*N(BY186)+_xlfn.XLOOKUP(DY186,INDEX(Кабель_сопротивление,0,1),INDEX(Кабель_сопротивление,0,2))*N(Q186)*N(DU186)/1000)*N(P186)/((Uн_лин/SQRT(3))*1000)*100,2),"")</f>
        <v>1.34</v>
      </c>
      <c r="EA186">
        <f>IFERROR(2*ρкз_Cu*N(Q186)/DY186,"")</f>
        <v>2.7702666666666667</v>
      </c>
      <c r="EB186">
        <f>IFERROR(VLOOKUP(DX186,Кабель_сопротивление,3,FALSE),"")</f>
        <v>2.2499999999999999E-2</v>
      </c>
      <c r="EC186">
        <f>IFERROR(VLOOKUP(DX186,Кабель_сопротивление,2,FALSE),"")</f>
        <v>0.1</v>
      </c>
      <c r="ED186">
        <f t="shared" si="295"/>
        <v>60</v>
      </c>
      <c r="EE186">
        <f t="shared" si="296"/>
        <v>0</v>
      </c>
      <c r="EF186">
        <f t="shared" si="297"/>
        <v>1.8539297532633696</v>
      </c>
      <c r="EG186" s="6">
        <f>IFERROR(ROUNDUP(EF186/((Uн_лин/SQRT(3))*1000)*100,2),"")</f>
        <v>0.81</v>
      </c>
      <c r="EH186" t="str">
        <f>IFERROR(VLOOKUP(BT186,Кабель_обозначение,2,FALSE),"")</f>
        <v>ВВГнг(А)-LS</v>
      </c>
      <c r="EI186" t="str">
        <f t="shared" si="298"/>
        <v>ВВГнг(А)-LS (3х2,5)</v>
      </c>
      <c r="EJ186" t="str">
        <f t="shared" si="299"/>
        <v>ВВГнг(А)-LS (3х2,5)
L=79-0,81%</v>
      </c>
      <c r="EK186">
        <f>IFERROR(2*ρкз_Cu*Q186/DX186,"")</f>
        <v>1.6621600000000001</v>
      </c>
      <c r="EL186">
        <f t="shared" si="300"/>
        <v>0.55300000000000005</v>
      </c>
      <c r="EM186" s="6" t="str">
        <f>IFERROR(IF(OR(B186="",NOT(ISNUMBER(DX186)),N(Q186)=0),"",_xlfn.XLOOKUP(A186,Щиты[Щит],Щиты[Zпетли на шинах, Ом])+EK186),"")</f>
        <v/>
      </c>
      <c r="EN186" s="6" t="str">
        <f>IF(ISNUMBER(EM186),c_min*(Uн_лин*1000/SQRT(3))/EM186,"")</f>
        <v/>
      </c>
      <c r="EO186" s="6" t="str">
        <f>IFERROR(IF(OR(B186="",NOT(ISNUMBER(DX186))),"",1.05*(Uн_лин*1000/SQRT(3))/(_xlfn.XLOOKUP(A186,Щиты[Щит],Щиты[Zmax на шинах, Ом])+EL186)/1000),"")</f>
        <v/>
      </c>
      <c r="EP186" s="6" t="str">
        <f>IF(B186="","",IF(ISNUMBER(Y186),"Сил",IF(IFERROR(_xlfn.XLOOKUP(AX186,Коды_код,Коды_группа)&amp;"","")="","Быт",_xlfn.XLOOKUP(AX186,Коды_код,Коды_группа)&amp;"")))</f>
        <v>Быт</v>
      </c>
      <c r="EQ186" s="6" t="str">
        <f t="shared" si="301"/>
        <v>Быт</v>
      </c>
      <c r="ER186" s="6">
        <f>IF(EQ186="Щит","щит",IF(EQ186="","",IF(EQ186="Быт",IFERROR(_xlfn.XLOOKUP(A186,Щиты[Щит],Щиты[Кс быт]),1),IF(EQ186="Сил",IF(ISNUMBER(Y186),Y186,IF(Методика="нормы 2026",IFERROR(_xlfn.XLOOKUP(A186,Щиты[Щит],Щиты[Кс силовых (табл. 7.5)]),1),1)),IF(OR(EQ186="Пост",EQ186="Отоп"),1,IF(EQ186="ВНГ",0.7,0))))))</f>
        <v>0.79799999999999993</v>
      </c>
      <c r="ES186">
        <f t="shared" si="302"/>
        <v>1</v>
      </c>
      <c r="ET186">
        <f t="shared" si="303"/>
        <v>0.3</v>
      </c>
      <c r="EU186">
        <f t="shared" si="304"/>
        <v>0.3</v>
      </c>
      <c r="EV186">
        <f t="shared" si="305"/>
        <v>0</v>
      </c>
      <c r="EW186">
        <f t="shared" si="306"/>
        <v>0</v>
      </c>
      <c r="EX186">
        <f t="shared" si="307"/>
        <v>0</v>
      </c>
      <c r="EY186">
        <f t="shared" si="308"/>
        <v>0</v>
      </c>
      <c r="EZ186">
        <f t="shared" si="309"/>
        <v>0.3</v>
      </c>
      <c r="FA186">
        <f t="shared" si="310"/>
        <v>0.28499999999999998</v>
      </c>
      <c r="FB186">
        <f t="shared" si="311"/>
        <v>0.3</v>
      </c>
      <c r="FC186" t="str">
        <f t="shared" si="312"/>
        <v>L3</v>
      </c>
      <c r="FD186" t="str">
        <f>IF(B186="","",IF(CA186=0,IF(AW186=1,"",FF185),IF(OR(N(CV186)&gt;=3,N(BR186)&gt;=3),"L1,L2,L3",IFERROR(_xlfn.TEXTBEFORE(_xlfn.TEXTAFTER(_xlfn.XLOOKUP(A186,Щиты[Щит],Щиты[_фазы авто]),";"&amp;AW186&amp;":"),";"),"L1"))))</f>
        <v>L1</v>
      </c>
      <c r="FE186" t="str">
        <f t="shared" si="313"/>
        <v>L3</v>
      </c>
      <c r="FF186" t="str">
        <f t="shared" si="314"/>
        <v>L3</v>
      </c>
      <c r="FG186" cm="1">
        <f t="array" ref="FG186">IFERROR(IF(BX186=2,_xlfn.IFS(BR186=3,VLOOKUP(BN186,Справочная_двигатели,3,FALSE),BR186=1,VLOOKUP(BN186,Справочная_двигатели,5,TRUE)),0),0)</f>
        <v>0</v>
      </c>
      <c r="FH186">
        <f>IFERROR(IF(BX186=3,VLOOKUP(BN186,Справочная_ЛЭД,2,TRUE),0),0)</f>
        <v>0</v>
      </c>
      <c r="FI186" s="6">
        <f t="shared" si="315"/>
        <v>0</v>
      </c>
      <c r="FJ186" t="str" cm="1">
        <f t="array" ref="FJ186">IF(B186="","",IFERROR(INDEX({"I особая","I","II","III"},MATCH(TRIM(AC186&amp;""),{"I особая","I","II","III"},0)),"III"))</f>
        <v>II</v>
      </c>
      <c r="FK186" t="str">
        <f>IF(B186="","",IF(TRIM(AD186&amp;"")&lt;&gt;"",IF(LOWER(TRIM(AD186&amp;""))="да","да","нет"),IF(IFERROR(_xlfn.XLOOKUP(AX186,Коды_код,Коды_пожарная),"")="да","да","нет")))</f>
        <v>нет</v>
      </c>
      <c r="FL186" t="str">
        <f t="shared" si="316"/>
        <v/>
      </c>
      <c r="FM186" t="str">
        <f t="shared" si="317"/>
        <v>основная</v>
      </c>
      <c r="FN186">
        <f t="shared" si="318"/>
        <v>1</v>
      </c>
      <c r="FO186" t="str" cm="1">
        <f t="array" ref="FO186">IF(B186="","",_xlfn.LET(_xlpm.t,IFERROR(_xlfn.XLOOKUP(1,(Шины[Шина]=FM186)*(((Шины[Щит]=A186)+(Шины[Щит]=""))&gt;0),Шины[Тип]),"")&amp;"",IF(_xlpm.t&lt;&gt;"",_xlpm.t,IF(ISNUMBER(SEARCH("ИБП",FM186)),"ИБП",IF(ISNUMBER(SEARCH("ДГУ",FM186)),"ДГУ","Ввод "&amp;FN186)))))</f>
        <v>Ввод 1</v>
      </c>
      <c r="FP186" t="str">
        <f t="shared" si="319"/>
        <v>Ввод 1</v>
      </c>
      <c r="FQ186" t="str">
        <f>IF(B186="","",IF(OR(FO186="ИБП",FO186="ДГУ"),"I особая",IF(FO186="Одиночная","III",_xlfn.XLOOKUP(A186,Щиты[Щит],Щиты[Категория шины «Ввод»],"III"))))</f>
        <v>II</v>
      </c>
      <c r="FR186">
        <f>IF(B186="",0,IFERROR(MATCH(FJ186,{"III","II","I","I особая"},0),1))</f>
        <v>2</v>
      </c>
      <c r="FS186">
        <f t="shared" si="320"/>
        <v>2</v>
      </c>
      <c r="FT186" t="str">
        <f>IF(B186="","",IF(FR186&gt;IFERROR(MATCH(FQ186,{"III","II","I","I особая"},0),1),"НЕ ОБЕСПЕЧЕНА","ОК"))</f>
        <v>ОК</v>
      </c>
      <c r="FU186" t="str">
        <f>IF(A186="","",_xlfn.XLOOKUP(A186,Щиты[Щит],Щиты[Путь],""))</f>
        <v>|ГРЩ-ЖД|ЩР-01|</v>
      </c>
      <c r="FV186" t="str">
        <f>IF(B186="","",IF(AE186&lt;&gt;"",AE186,IF(IFERROR(_xlfn.XLOOKUP(AX186,Коды_код,Коды_вид)&amp;"","")="","Прочее",_xlfn.XLOOKUP(AX186,Коды_код,Коды_вид)&amp;"")))</f>
        <v>Розеточная сеть и бытовые приборы</v>
      </c>
      <c r="FW186">
        <f>IF(BH186="","",INT((BH186-1)/Столбцов_на_лист)+1)</f>
        <v>2</v>
      </c>
      <c r="FX186" t="str">
        <f t="shared" si="321"/>
        <v>ВВГнг(А)-LS (3х2,5) L=79-0,81%</v>
      </c>
      <c r="FY186">
        <f t="shared" si="322"/>
        <v>0.3</v>
      </c>
      <c r="FZ186">
        <f t="shared" si="323"/>
        <v>1.37</v>
      </c>
      <c r="GA186">
        <f t="shared" si="324"/>
        <v>1</v>
      </c>
      <c r="GB186">
        <f t="shared" si="325"/>
        <v>0</v>
      </c>
      <c r="GC186">
        <f t="shared" si="326"/>
        <v>1</v>
      </c>
      <c r="GD186">
        <f>IF(BH186="","",IF(AND(CA186=1,GC186=1),COUNTIFS(A$3:A186,A186,CA$3:CA186,1,GC$3:GC186,1),IF(OR(OR(AW186=1,A186&lt;&gt;A185),AF186="вручную",GC186=0),"",IF(AW186=1,"",GE185))))</f>
        <v>2</v>
      </c>
      <c r="GE186">
        <f t="shared" si="327"/>
        <v>2</v>
      </c>
      <c r="GF186">
        <f>IF(B186="","",IFERROR(LOOKUP(INDEX(CHOOSE(DL186,Iдоп_1ж,Iдоп_2ж,Iдоп_3ж),MATCH(DX186,Iдоп_S,0))*DJ186*DK186,{6,10,16,20,25,32,40,50,63,80,100,125,160,200,250,315,400,500,630}),""))</f>
        <v>25</v>
      </c>
      <c r="GG186" t="str">
        <f t="shared" si="328"/>
        <v>QFD2</v>
      </c>
      <c r="GH186" t="str">
        <f t="shared" si="329"/>
        <v>QFD2</v>
      </c>
      <c r="GI186" t="str">
        <f t="shared" si="330"/>
        <v/>
      </c>
      <c r="GJ186">
        <f t="shared" si="331"/>
        <v>0</v>
      </c>
      <c r="GK186" t="str">
        <f>IF(OR(AG186="",AG186="-"),"",IFERROR(VLOOKUP(AG186,Модули_спр,2,FALSE),"R"))</f>
        <v/>
      </c>
      <c r="GL186" t="str">
        <f>IF(GK186="","",GK186&amp;"."&amp;COUNTIFS(A$3:A186,A186,GK$3:GK186,GK186))</f>
        <v/>
      </c>
      <c r="GM186" t="str">
        <f t="shared" si="332"/>
        <v/>
      </c>
      <c r="GN186" t="str">
        <f t="shared" si="333"/>
        <v/>
      </c>
      <c r="GO186" t="str">
        <f t="shared" si="334"/>
        <v/>
      </c>
      <c r="GP186" t="str">
        <f t="shared" si="335"/>
        <v/>
      </c>
      <c r="GQ186">
        <f t="shared" si="336"/>
        <v>1</v>
      </c>
      <c r="GR186" t="str">
        <f>IF(GQ186=1,"XT"&amp;COUNTIFS(A$3:A186,A186,GQ$3:GQ186,1),"")</f>
        <v>XT2</v>
      </c>
      <c r="GS186" t="str">
        <f t="shared" si="337"/>
        <v>XT2</v>
      </c>
      <c r="GT186" t="str">
        <f t="shared" si="338"/>
        <v>QFD2</v>
      </c>
      <c r="GU186" t="str">
        <f t="shared" si="339"/>
        <v/>
      </c>
      <c r="GV186" t="str">
        <f t="shared" si="340"/>
        <v>ok</v>
      </c>
      <c r="GW186" t="str">
        <f>IF(OR(GO186="",GM186=""),"",IF(GO186&gt;IFERROR(VLOOKUP(GN186,Модули_спр,3,FALSE),99),"ЛИШНИЙ КАНАЛ",IF(AND(AH186&lt;&gt;"=",COUNTIFS(Линии[_модуль гр.],GM186,Линии[Канал (итог)],GO186,Линии[Канал],"&lt;&gt;=",Линии[Щит],A186)&gt;1),"ДУБЛЬ КАНАЛА","")))</f>
        <v/>
      </c>
      <c r="GX186" s="6" t="str">
        <f t="shared" si="341"/>
        <v/>
      </c>
      <c r="GY186">
        <f t="shared" si="342"/>
        <v>10</v>
      </c>
      <c r="GZ186" t="str">
        <f t="shared" si="343"/>
        <v/>
      </c>
      <c r="HA186" t="str">
        <f>IF(AND(B186="",GT186=""),"",_xlfn.TEXTJOIN("; ",TRUE,IF(AND(B186&lt;&gt;"",FE186=""),"нет фазы",""),IF(AND(B186&lt;&gt;"",N(FY186)=0,EQ186&lt;&gt;"Нет"),"нет мощности",""),IF(AND(GS186&lt;&gt;"",COUNTIFS(Линии[Щит],A186,Линии[Клемма (итог)],GS186)&gt;1),"дубль клеммы "&amp;GS186,""),IF(AND(GV186&lt;&gt;"",GV186&lt;&gt;"ok"),GV186,""),IF(GW186&lt;&gt;"",GW186,""),IF(AND(N(BV186)&gt;=4,N(BR186)=1),BV186&amp;" жил на 1 фазе",""),IF(AND(AX186="R",CA186=1,OR(N(CK186)=0,N(CK186)&gt;30)),"розетка без дифзащиты до 30 мА",""),IFERROR(IF(AND(ISNUMBER(R186),R186&gt;DV186),"потери "&amp;FIXED(R186,1)&amp;" % &gt; "&amp;DV186&amp;" %",""),""),IFERROR(IF(LEFT(GZ186,4)="мало","Iкз мало — отключение &gt; 0,4 с",""),""),IF(AND(B186&lt;&gt;"",BH186=""),"не на схеме",""),IF(AND(CA186=0,B186&lt;&gt;"",FE186&lt;&gt;"",IF(AW186=1,"",FF185)&lt;&gt;"",FE186&lt;&gt;IF(AW186=1,"",FF185)),"фаза не как у автомата группы ("&amp;IF(AW186=1,"",FF185)&amp;")","")))</f>
        <v/>
      </c>
      <c r="HB186" s="6">
        <f>IF(OR(CA186=0,DA186=""),"",_xlfn.LET(_xlpm.t,IFERROR(_xlfn.XLOOKUP(DA186,Каталог!$U$4:$U$500,Каталог!$G$4:$G$500),""),_xlpm.k,SEARCH("кА",_xlpm.t),IFERROR(--TRIM(RIGHT(SUBSTITUTE(MID(_xlpm.t,MAX(1,_xlpm.k-4),_xlpm.k-MAX(1,_xlpm.k-4))," ",REPT(" ",9)),5)),"")))</f>
        <v>6</v>
      </c>
      <c r="HC186" t="str">
        <f>IF(OR(HB186="",CA186=0),"",IF(_xlfn.XLOOKUP(A186,Щиты[Щит],Щиты[Iкз max на шинах, кА],"")="","",IF(HB186&lt;_xlfn.XLOOKUP(A186,Щиты[Щит],Щиты[Iкз max на шинах, кА]),"Icu "&amp;HB186&amp;" кА &lt; Iкз max","ok")))</f>
        <v/>
      </c>
      <c r="HD186" t="str">
        <f t="shared" si="344"/>
        <v/>
      </c>
      <c r="HE186" t="str">
        <f t="shared" si="345"/>
        <v>QFD2|XT2</v>
      </c>
      <c r="HF186" t="str">
        <f t="shared" si="346"/>
        <v>QFD2|XT2|кабель ВВГнг(А)-LS (3х2,5) → Розеточная группа, пом. 002A</v>
      </c>
      <c r="HG186" t="str" cm="1">
        <f t="array" ref="HG186">IF(HF186="","",_xlfn.LET(_xlpm.nd,_xlfn.TEXTSPLIT(HF186,"|"),IF(COLUMNS(_xlpm.nd)&gt;1,A186&amp;"¦"&amp;INDEX(_xlpm.nd,1)&amp;"¦"&amp;INDEX(_xlpm.nd,2),"")))</f>
        <v>ЩР-01¦QFD2¦XT2</v>
      </c>
      <c r="HH186" t="str">
        <f t="shared" si="347"/>
        <v>R.0.002A.2¦Розеточная группа, пом. 002A</v>
      </c>
      <c r="HI186" t="str" cm="1">
        <f t="array" ref="HI186">IF(HF186="","",_xlfn.LET(_xlpm.nd,_xlfn.TEXTSPLIT(HF186,"|"),IF(COLUMNS(_xlpm.nd)&gt;2,A186&amp;"¦"&amp;INDEX(_xlpm.nd,2)&amp;"¦"&amp;INDEX(_xlpm.nd,3),"")))</f>
        <v>ЩР-01¦XT2¦кабель ВВГнг(А)-LS (3х2,5) → Розеточная группа, пом. 002A</v>
      </c>
      <c r="HJ186" t="str">
        <f t="shared" si="348"/>
        <v>R.0.002A.2¦Розеточная группа, пом. 002A</v>
      </c>
      <c r="HK186" t="str" cm="1">
        <f t="array" ref="HK186">IF(HF186="","",_xlfn.LET(_xlpm.nd,_xlfn.TEXTSPLIT(HF186,"|"),IF(COLUMNS(_xlpm.nd)&gt;3,A186&amp;"¦"&amp;INDEX(_xlpm.nd,3)&amp;"¦"&amp;INDEX(_xlpm.nd,4),"")))</f>
        <v/>
      </c>
      <c r="HL186" t="str">
        <f t="shared" si="349"/>
        <v/>
      </c>
      <c r="HM186" t="str" cm="1">
        <f t="array" ref="HM186">IF(HF186="","",_xlfn.LET(_xlpm.nd,_xlfn.TEXTSPLIT(HF186,"|"),IF(COLUMNS(_xlpm.nd)&gt;4,A186&amp;"¦"&amp;INDEX(_xlpm.nd,4)&amp;"¦"&amp;INDEX(_xlpm.nd,5),"")))</f>
        <v/>
      </c>
      <c r="HN186" t="str">
        <f t="shared" si="350"/>
        <v/>
      </c>
      <c r="HO186" t="str" cm="1">
        <f t="array" ref="HO186">IF(HF186="","",_xlfn.LET(_xlpm.nd,_xlfn.TEXTSPLIT(HF186,"|"),IF(COLUMNS(_xlpm.nd)&gt;5,A186&amp;"¦"&amp;INDEX(_xlpm.nd,5)&amp;"¦"&amp;INDEX(_xlpm.nd,6),"")))</f>
        <v/>
      </c>
      <c r="HP186" t="str">
        <f t="shared" si="351"/>
        <v/>
      </c>
      <c r="HQ186" t="str" cm="1">
        <f t="array" ref="HQ186">IF(HF186="","",_xlfn.LET(_xlpm.nd,_xlfn.TEXTSPLIT(HF186,"|"),IF(COLUMNS(_xlpm.nd)&gt;6,A186&amp;"¦"&amp;INDEX(_xlpm.nd,6)&amp;"¦"&amp;INDEX(_xlpm.nd,7),"")))</f>
        <v/>
      </c>
      <c r="HR186" t="str">
        <f t="shared" si="352"/>
        <v/>
      </c>
      <c r="HS186" t="str">
        <f t="shared" si="353"/>
        <v/>
      </c>
      <c r="HT186" t="str">
        <f t="shared" si="354"/>
        <v>QFD2 → XT2</v>
      </c>
      <c r="HU186">
        <f t="shared" si="355"/>
        <v>0</v>
      </c>
      <c r="HV186">
        <f t="shared" si="356"/>
        <v>1</v>
      </c>
      <c r="HW186" t="str">
        <f t="shared" si="357"/>
        <v/>
      </c>
      <c r="HX186" t="str">
        <f t="shared" si="358"/>
        <v/>
      </c>
      <c r="HY186" t="str">
        <f t="shared" si="359"/>
        <v/>
      </c>
      <c r="HZ186" t="str">
        <f t="shared" si="360"/>
        <v/>
      </c>
      <c r="IA186" t="str">
        <f>IF(B186="","",IFERROR(VLOOKUP(B186,УГО_спр,2,FALSE),IFERROR(VLOOKUP(AX186,УГО_спр,2,FALSE),IFERROR(VLOOKUP(LEFT(AX186,2),УГО_спр,2,FALSE),""))))</f>
        <v>Розетка</v>
      </c>
      <c r="IB186" t="str">
        <f>IF(B186="","",IF(OR(IA186="",IA186=0),"BOX",IFERROR(IF(VLOOKUP(IA186,УГО_блоки,3,FALSE)&amp;""&lt;&gt;"",VLOOKUP(IA186,УГО_блоки,3,FALSE),VLOOKUP(IA186,УГО_блоки,2,FALSE)),IA186)))</f>
        <v>SOCKET</v>
      </c>
      <c r="IC186">
        <f t="shared" si="361"/>
        <v>1</v>
      </c>
      <c r="ID186" t="str">
        <f>IF(DA186="","",IF(COUNTIF(DA$3:DA186,DA186)=1,MAX(ID$2:ID185)+1,""))</f>
        <v/>
      </c>
      <c r="IE186" t="str">
        <f>IF(CO186="","",IF(COUNTIF(CO$3:CO186,CO186)+COUNTIF(CP$2:CP185,CO186)+COUNTIF(CQ$2:CQ185,CO186)=1,MAX(IE$2:IG185)+1,""))</f>
        <v/>
      </c>
      <c r="IF186" t="str">
        <f>IF(CP186="","",IF(COUNTIF(CO$3:CO186,CP186)+COUNTIF(CP$3:CP186,CP186)+COUNTIF(CQ$2:CQ185,CP186)=1,MAX(IE$2:IG185,IE186)+1,""))</f>
        <v/>
      </c>
      <c r="IG186" t="str">
        <f>IF(CQ186="","",IF(COUNTIF(CO$3:CO186,CQ186)+COUNTIF(CP$3:CP186,CQ186)+COUNTIF(CQ$3:CQ186,CQ186)=1,MAX(IE$2:IG185,IE186,IF186)+1,""))</f>
        <v/>
      </c>
      <c r="IH186" t="str">
        <f t="shared" si="362"/>
        <v>3х2,5</v>
      </c>
      <c r="II186" t="str">
        <f>IF(IH186="","",IF(COUNTIF(IH$3:IH186,IH186)=1,MAX(II$2:II185)+1,""))</f>
        <v/>
      </c>
      <c r="IJ186" t="str">
        <f>IF(GL186="","",COUNTIF(GL$3:GL186,"?*"))</f>
        <v/>
      </c>
      <c r="IK186" t="str">
        <f>IF(OR(GL186="",GN186=""),"",IF(COUNTIFS(GL$3:GL186,"?*",GN$3:GN186,GN186)=1,MAX(IK$2:IK185)+1,""))</f>
        <v/>
      </c>
      <c r="IL186">
        <f t="shared" si="363"/>
        <v>0</v>
      </c>
      <c r="IM186">
        <f>IF(B186="","",COUNTIF(B$3:B186,"?*"))</f>
        <v>184</v>
      </c>
      <c r="IN186">
        <f>IF(GQ186&lt;&gt;1,0,_xlfn.LET(_xlpm.k,MAX(IFERROR(--VLOOKUP(B186,УГО_спр,5,FALSE),0),IFERROR(--VLOOKUP(AX186,УГО_спр,5,FALSE),0),IFERROR(--VLOOKUP(LEFT(AX186,2),УГО_спр,5,FALSE),0)),IF(_xlpm.k&gt;0,_xlpm.k,IF(IFERROR(--LEFT(SUBSTITUTE(IH186,"x","х"),FIND("х",SUBSTITUTE(IH186,"x","х"))-1),3)&gt;3,Каталог!$S$9,1))))</f>
        <v>1</v>
      </c>
      <c r="IO186">
        <f t="shared" si="364"/>
        <v>0</v>
      </c>
      <c r="IP186" t="str">
        <f t="shared" si="365"/>
        <v>авто</v>
      </c>
      <c r="IQ186">
        <f t="shared" si="366"/>
        <v>30</v>
      </c>
      <c r="IR186">
        <f t="shared" si="367"/>
        <v>1</v>
      </c>
      <c r="IS186">
        <f t="shared" si="368"/>
        <v>1</v>
      </c>
    </row>
    <row r="187" spans="1:253" x14ac:dyDescent="0.3">
      <c r="A187" t="s">
        <v>757</v>
      </c>
      <c r="B187" t="s">
        <v>1453</v>
      </c>
      <c r="C187" t="str">
        <f>Линии[[#This Row],[_авто наименование]]</f>
        <v>Розеточная группа, пом. 002A</v>
      </c>
      <c r="D187">
        <v>3</v>
      </c>
      <c r="E187">
        <v>0.18</v>
      </c>
      <c r="G187" t="str">
        <f>Линии[[#This Row],[_авто автомат]]</f>
        <v>2P С16А 30мА</v>
      </c>
      <c r="H187">
        <f>Линии[[#This Row],[_авто утечка]]</f>
        <v>30</v>
      </c>
      <c r="I187" t="str">
        <f>Линии[[#This Row],[_авто управление]]</f>
        <v/>
      </c>
      <c r="J187" t="str">
        <f>Линии[[#This Row],[_авто аппараты]]</f>
        <v/>
      </c>
      <c r="K187">
        <v>2.5</v>
      </c>
      <c r="L187">
        <v>32</v>
      </c>
      <c r="M187">
        <v>2</v>
      </c>
      <c r="N187" t="str">
        <f>Линии[[#This Row],[_авто клемма]]</f>
        <v>XT3</v>
      </c>
      <c r="O187" t="str">
        <f t="shared" si="246"/>
        <v/>
      </c>
      <c r="P187" s="6" cm="1">
        <f t="array" ref="P187">IF(B187="","",IF(BC187&lt;&gt;"",IFERROR(_xlfn.XLOOKUP(BC187,Щиты[Щит],Щиты[Iр, А]),""),IF(BK187=1,IFERROR(_xlfn.XLOOKUP(A187,Щиты[Щит],Щиты[Iр, А]),""),IFERROR(_xlfn.IFS(BR187=1,BN187/((Uн_лин/SQRT(3))*BY187),BR187=3,BN187/(SQRT(3)*Uн_лин*BY187)),""))))</f>
        <v>0.8204451193747313</v>
      </c>
      <c r="Q187" s="7">
        <f>IF(B187="","",IFERROR(IF(VLOOKUP(AX187,Потребители_обозначение,4,FALSE)=1,VLOOKUP(AX187,Потребители_обозначение,3,FALSE)*(D187*2-1)+DS187+VLOOKUP(AZ187,Этаж_обозначение,3,FALSE)+VLOOKUP(AZ187,Этаж_обозначение,4,FALSE),VLOOKUP(AX187,Потребители_обозначение,3,FALSE)*(D187*2-1)+DS187),DS187))</f>
        <v>47</v>
      </c>
      <c r="R187" s="6">
        <f t="shared" si="247"/>
        <v>0.72</v>
      </c>
      <c r="S187" t="str">
        <f t="shared" si="248"/>
        <v>ВВГнг(А)-LS (3х2,5)</v>
      </c>
      <c r="T187" t="str">
        <f>IF(BH187="","",IF(BI187="вводной узел","узел ","")&amp;"л."&amp;(INT((BH187-1)/Столбцов_на_лист)+1)&amp;" / "&amp;(MOD(BH187-1,Столбцов_на_лист)+1))</f>
        <v>л.2 / 3</v>
      </c>
      <c r="V187">
        <v>1</v>
      </c>
      <c r="W187">
        <v>230</v>
      </c>
      <c r="X187" t="s">
        <v>564</v>
      </c>
      <c r="AC187" t="s">
        <v>815</v>
      </c>
      <c r="AE187" t="s">
        <v>563</v>
      </c>
      <c r="AI187">
        <v>20</v>
      </c>
      <c r="AJ187" t="s">
        <v>11</v>
      </c>
      <c r="AK187">
        <v>3</v>
      </c>
      <c r="AM187">
        <v>17</v>
      </c>
      <c r="AN187">
        <v>30</v>
      </c>
      <c r="AO187">
        <v>0</v>
      </c>
      <c r="AW187" cm="1">
        <f t="array" ref="AW187">ROW()-ROW(Линии[#Headers])</f>
        <v>185</v>
      </c>
      <c r="AX187" s="6" t="str">
        <f t="shared" si="249"/>
        <v>R</v>
      </c>
      <c r="AY187" t="str">
        <f t="shared" si="250"/>
        <v>0.002A.3</v>
      </c>
      <c r="AZ187" t="str">
        <f t="shared" si="251"/>
        <v>0</v>
      </c>
      <c r="BA187" t="str">
        <f t="shared" si="252"/>
        <v>002A.3</v>
      </c>
      <c r="BB187" t="str">
        <f t="shared" si="253"/>
        <v>002A</v>
      </c>
      <c r="BC187" t="str">
        <f>IF(U187&lt;&gt;"",U187,IF(AND(B187&lt;&gt;"",B187&lt;&gt;A187,ISNUMBER(_xlfn.XMATCH(B187,Щиты[Щит]))),B187,""))</f>
        <v/>
      </c>
      <c r="BD187" t="str" cm="1">
        <f t="array" ref="BD187">IF(B187="","",IF(BC187&lt;&gt;"","Щит "&amp;BC187,_xlfn.LET(_xlpm.nm,IFERROR(_xlfn.XLOOKUP(AX187,Коды_код,Коды_имя)&amp;"",""),_xlpm.md,IFERROR(N(_xlfn.XLOOKUP(AX187,Коды_код,Коды_режим)),1),_xlpm.ex,IF(Имя_режим="по экспликации",IFERROR(_xlfn.XLOOKUP(AZ187&amp;"|"&amp;BB187,Экспликация[Этаж]&amp;"|"&amp;Экспликация[Помещение],Экспликация[Название])&amp;"",""),""),_xlpm.rm,IF(BB187="","",IF(_xlpm.ex&lt;&gt;"",". "&amp;_xlpm.ex&amp;IF(Имя_пом="нет"," ("&amp;BB187&amp;")"," (пом. "&amp;BB187&amp;")"),IF(Имя_пом="нет"," ",", пом. ")&amp;BB187)),IF(_xlpm.nm="","",IF(_xlpm.md=2,_xlpm.nm&amp;" шлейф "&amp;AZ187,_xlpm.nm&amp;_xlpm.rm)))))</f>
        <v>Розеточная группа, пом. 002A</v>
      </c>
      <c r="BE187" t="str">
        <f t="shared" si="254"/>
        <v>Розеточная группа, пом. 002A</v>
      </c>
      <c r="BF187">
        <f>IFERROR(_xlfn.XMATCH(A187,Щиты[Щит]),0)</f>
        <v>9</v>
      </c>
      <c r="BG187">
        <f>_xlfn.LET(_xlpm.k,IFERROR(_xlfn.XLOOKUP(A187,Щиты[Щит],Щиты[Листов под вводной узел]),""),IF(_xlpm.k="",1,N(_xlpm.k))*Столбцов_на_лист)</f>
        <v>17</v>
      </c>
      <c r="BH187">
        <f t="shared" si="255"/>
        <v>20</v>
      </c>
      <c r="BI187" t="str">
        <f t="shared" si="256"/>
        <v>линии</v>
      </c>
      <c r="BJ187" s="6">
        <f>IFERROR(N(_xlfn.XLOOKUP(AX187,Коды_код,Коды_квт)),0)</f>
        <v>0</v>
      </c>
      <c r="BK187">
        <f t="shared" si="257"/>
        <v>0</v>
      </c>
      <c r="BL187" t="str">
        <f>IF(B187="","",IF(BC187&lt;&gt;"",IFERROR(_xlfn.XLOOKUP(BC187,Щиты[Щит],Щиты[Руст, кВт]),0),IF(BK187=1,IFERROR(_xlfn.XLOOKUP(A187,Щиты[Щит],Щиты[Руст, кВт]),0),IF(BJ187&gt;0,ROUND(BJ187*MAX(1,N(D187)),3),""))))</f>
        <v/>
      </c>
      <c r="BM187">
        <f t="shared" si="258"/>
        <v>0.18</v>
      </c>
      <c r="BN187" s="6">
        <f>IF(B187="","",IF(BC187&lt;&gt;"",IFERROR(_xlfn.XLOOKUP(BC187,Щиты[Щит],Щиты[Руст, кВт]),0),N(BM187)))</f>
        <v>0.18</v>
      </c>
      <c r="BO187" t="str">
        <f>IF(B187="","",IFERROR(IF(VLOOKUP(AX187,Потребители_обозначение,8,FALSE)=0,"",VLOOKUP(AX187,Потребители_обозначение,8,FALSE)),""))</f>
        <v/>
      </c>
      <c r="BP187">
        <f t="shared" si="259"/>
        <v>230</v>
      </c>
      <c r="BQ187">
        <f>IF(B187="","",IF(BC187&lt;&gt;"",3,IFERROR(IF(N(VLOOKUP(AX187,Потребители_обозначение,9,FALSE))=0,1,VLOOKUP(AX187,Потребители_обозначение,9,FALSE)),1)))</f>
        <v>1</v>
      </c>
      <c r="BR187">
        <f t="shared" si="260"/>
        <v>1</v>
      </c>
      <c r="BS187" t="str">
        <f>IF(B187="","",_xlfn.LET(_xlpm.bc,IFERROR(IF(VLOOKUP(AX187,Потребители_обозначение,6,FALSE)=0,"",VLOOKUP(AX187,Потребители_обозначение,6,FALSE)&amp;""),""),IF(AND(FK187="да",OR(_xlpm.bc="",_xlpm.bc="мс")),Марка_пож,IF(AND(_xlpm.bc="",BC187&lt;&gt;""),"мс",_xlpm.bc))))</f>
        <v/>
      </c>
      <c r="BT187" t="str">
        <f t="shared" si="261"/>
        <v>мс</v>
      </c>
      <c r="BU187">
        <f>IF(B187="","",_xlfn.LET(_xlpm.cc,IFERROR(N(VLOOKUP(AX187,Потребители_обозначение,7,FALSE)),0),IF(_xlpm.cc&gt;0,_xlpm.cc,IF(BT187="","",IF(N(BR187)=3,5,3)))))</f>
        <v>3</v>
      </c>
      <c r="BV187">
        <f t="shared" si="262"/>
        <v>3</v>
      </c>
      <c r="BW187">
        <f>IFERROR(N(VLOOKUP(AX187,Потребители_обозначение,10,FALSE)),0)</f>
        <v>0</v>
      </c>
      <c r="BX187">
        <f>IFERROR(VLOOKUP(AX187,Потребители_обозначение,5,FALSE),0)</f>
        <v>1</v>
      </c>
      <c r="BY187" s="6" cm="1">
        <f t="array" ref="BY187">IF(B187="","",IF(BC187&lt;&gt;"",IFERROR(_xlfn.XLOOKUP(BC187,Щиты[Щит],Щиты[cos φ]),0.95),IF(BK187=1,IFERROR(_xlfn.XLOOKUP(A187,Щиты[Щит],Щиты[cos φ]),0.95),IF(ISNUMBER(Z187),Z187,IFERROR(IF(BX187=2,_xlfn.IFS(BR187=3,VLOOKUP(BN187,Справочная_двигатели,8,FALSE),BR187=1,VLOOKUP(BN187,Справочная_двигатели,10,TRUE)),IF(AND(Методика="нормы 2026",EQ187="Сил"),0.8,0.95)),0.95)))))</f>
        <v>0.95</v>
      </c>
      <c r="BZ187">
        <f t="shared" si="263"/>
        <v>0</v>
      </c>
      <c r="CA187">
        <f t="shared" si="264"/>
        <v>1</v>
      </c>
      <c r="CB187">
        <f t="shared" si="265"/>
        <v>0</v>
      </c>
      <c r="CC187">
        <f t="shared" si="266"/>
        <v>0</v>
      </c>
      <c r="CD187">
        <f t="shared" si="267"/>
        <v>0</v>
      </c>
      <c r="CE187">
        <f t="shared" si="268"/>
        <v>0</v>
      </c>
      <c r="CF187">
        <f t="shared" si="269"/>
        <v>0</v>
      </c>
      <c r="CG187">
        <f>IF(AX187="",0,_xlfn.LET(_xlpm.v,IFERROR(VLOOKUP(B187,УГО_спр,3,FALSE),IFERROR(VLOOKUP(AX187,УГО_спр,3,FALSE),IFERROR(VLOOKUP(LEFT(AX187,2),УГО_спр,3,FALSE),""))),IF(_xlpm.v="да",30,IF(ISNUMBER(_xlpm.v),_xlpm.v,0))))</f>
        <v>30</v>
      </c>
      <c r="CH187">
        <f t="shared" si="270"/>
        <v>30</v>
      </c>
      <c r="CI187" t="str">
        <f>_xlfn.LET(_xlpm.k,IFERROR(_xlfn.XLOOKUP(AX187,Коды_код,Коды_утечка)&amp;"",""),IF(_xlpm.k="","дифавтомат",_xlpm.k))</f>
        <v>дифавтомат</v>
      </c>
      <c r="CJ187">
        <f t="shared" si="271"/>
        <v>30</v>
      </c>
      <c r="CK187">
        <f t="shared" si="272"/>
        <v>30</v>
      </c>
      <c r="CL187">
        <f>IF(B187="",0,IFERROR(--VLOOKUP(B187,УГО_спр,4,FALSE),IFERROR(--VLOOKUP(AX187,УГО_спр,4,FALSE),IFERROR(--VLOOKUP(LEFT(AX187,2),УГО_спр,4,FALSE),0))))</f>
        <v>16</v>
      </c>
      <c r="CM187" t="str">
        <f>IF(B187="","",IFERROR(_xlfn.XLOOKUP(AX187,Коды_код,Коды_апп)&amp;"",""))</f>
        <v/>
      </c>
      <c r="CN187" t="str">
        <f t="shared" si="273"/>
        <v/>
      </c>
      <c r="CO187" t="str" cm="1">
        <f t="array" ref="CO187">IF(TRIM(CN187&amp;"")="","",IFERROR(TRIM(INDEX(_xlfn.TEXTSPLIT(CN187&amp;";;;",";"),1)),""))</f>
        <v/>
      </c>
      <c r="CP187" t="str" cm="1">
        <f t="array" ref="CP187">IF(TRIM(CN187&amp;"")="","",IFERROR(TRIM(INDEX(_xlfn.TEXTSPLIT(CN187&amp;";;;",";"),2)),""))</f>
        <v/>
      </c>
      <c r="CQ187" t="str" cm="1">
        <f t="array" ref="CQ187">IF(TRIM(CN187&amp;"")="","",IFERROR(TRIM(INDEX(_xlfn.TEXTSPLIT(CN187&amp;";;;",";"),3)),""))</f>
        <v/>
      </c>
      <c r="CR187">
        <f t="shared" si="274"/>
        <v>0</v>
      </c>
      <c r="CS187" t="str">
        <f>IF(B187="","",_xlfn.LET(_xlpm.t,LOWER(AV187&amp;""),IF(ISNUMBER(SEARCH("dim",_xlpm.t)),"DIM",IF(ISNUMBER(SEARCH("dali",_xlpm.t)),"DALI",IF(OR(ISNUMBER(SEARCH("relay",_xlpm.t)),ISNUMBER(SEARCH("реле",_xlpm.t))),"Relay",IF(ISNUMBER(SEARCH("кнопк",_xlpm.t)),"",IFERROR(_xlfn.XLOOKUP(AX187,Коды_код,Коды_упр)&amp;"","")))))))</f>
        <v/>
      </c>
      <c r="CT187" t="str">
        <f t="shared" si="275"/>
        <v/>
      </c>
      <c r="CU187">
        <f>IF(B187="","",_xlfn.LET(_xlpm.ig,N(P187)+IF(AF187="вручную",0,N(CB187)),_xlpm.n0,IFERROR(VLOOKUP(_xlpm.ig,Автомат_номиналы,2,TRUE),0),_xlpm.mn,MAX(CL187,IF(AF187="вручную",0,N(CE187))),MAX(_xlpm.n0,_xlpm.mn,IF(CR187=1,Мин_автомат_БП,0))))</f>
        <v>16</v>
      </c>
      <c r="CV187">
        <f t="shared" si="276"/>
        <v>1</v>
      </c>
      <c r="CW187" t="str">
        <f t="shared" si="277"/>
        <v>2P</v>
      </c>
      <c r="CX187" t="str">
        <f>_xlfn.LET(_xlpm.cc,UPPER(TRIM(IFERROR(_xlfn.XLOOKUP(AX187,Коды_код,Коды_хар)&amp;"",""))),IF(OR(_xlpm.cc="B",_xlpm.cc="В"),"B",IF(_xlpm.cc="D","D","С")))</f>
        <v>С</v>
      </c>
      <c r="CY187" t="str">
        <f t="shared" si="278"/>
        <v>2P С16А 30мА</v>
      </c>
      <c r="CZ187" t="str">
        <f t="shared" si="279"/>
        <v>2P С16А 30мА</v>
      </c>
      <c r="DA187" t="str">
        <f t="shared" si="280"/>
        <v>2P С16А 30мА</v>
      </c>
      <c r="DB187" cm="1">
        <f t="array" ref="DB187">IF(DA187="","",_xlfn.LET(_xlpm.t,SUBSTITUTE(SUBSTITUTE(SUBSTITUTE(UPPER(DA187),"С","C"),"А","A"),"В","B"),_xlpm.tk,_xlfn.TEXTSPLIT(_xlpm.t,"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7" t="str">
        <f t="shared" si="281"/>
        <v>ok</v>
      </c>
      <c r="DD187">
        <f t="shared" si="282"/>
        <v>16</v>
      </c>
      <c r="DE187" t="str">
        <f t="shared" si="283"/>
        <v>2P С16А 30мА</v>
      </c>
      <c r="DF187">
        <f t="shared" si="284"/>
        <v>30</v>
      </c>
      <c r="DG187">
        <f t="shared" si="285"/>
        <v>1</v>
      </c>
      <c r="DH187">
        <f t="shared" si="286"/>
        <v>0</v>
      </c>
      <c r="DI187">
        <f t="shared" si="287"/>
        <v>0.8204451193747313</v>
      </c>
      <c r="DJ187">
        <f t="shared" si="288"/>
        <v>1</v>
      </c>
      <c r="DK187">
        <f>IF(ISNUMBER(AL187),AL187,К_прокл)</f>
        <v>1</v>
      </c>
      <c r="DL187">
        <f t="shared" si="289"/>
        <v>2</v>
      </c>
      <c r="DM187">
        <f>IFERROR(N(VLOOKUP(BT187,Кабель_обозначение,3,FALSE)),1)</f>
        <v>1</v>
      </c>
      <c r="DN187">
        <f>IFERROR(N(_xlfn.XLOOKUP(A187,Щиты[Щит],Щиты[ΔU до шин, %])),0)</f>
        <v>0.43</v>
      </c>
      <c r="DO187" t="str">
        <f>IFERROR(_xlfn.XLOOKUP(A187,Щиты[Щит],Щиты[Zпетли на шинах, Ом]),"")</f>
        <v/>
      </c>
      <c r="DP187">
        <f>IFERROR(N(_xlfn.XLOOKUP(A187,Щиты[Щит],Щиты[ΔU до шин (подбор), %])),0)</f>
        <v>0.43</v>
      </c>
      <c r="DQ187" t="str">
        <f>IFERROR(_xlfn.XLOOKUP(A187,Щиты[Щит],Щиты[Zпетли на шинах (подбор), Ом]),"")</f>
        <v/>
      </c>
      <c r="DR187" t="str">
        <f t="shared" si="290"/>
        <v/>
      </c>
      <c r="DS187">
        <f t="shared" si="291"/>
        <v>32</v>
      </c>
      <c r="DT187">
        <f t="shared" si="292"/>
        <v>2</v>
      </c>
      <c r="DU187">
        <f t="shared" si="293"/>
        <v>0.31</v>
      </c>
      <c r="DV187" s="6">
        <f>IF(B187="","",IF(IFERROR(VLOOKUP(AX187,УГО_спр,2,FALSE),"")="Светильник",3,4)+IF(Методика="нормы 2026",MIN(0.5,MAX(0,N(Q187)-100)*0.005),0))</f>
        <v>4</v>
      </c>
      <c r="DW187" cm="1">
        <f t="array" ref="DW187">IF(OR(B187="",BT187="",DM187&lt;&gt;1),"",_xlfn.LET(_xlpm.sz,Iдоп_S,_xlpm.t_,CHOOSE(DL187,Iдоп_1ж,Iдоп_2ж,Iдоп_3ж)*DJ187*DK187,_xlpm.inn,N(DD187),_xlpm.smin,MAX(1.5,BW187),_xlpm.L_,N(Q187)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187)*(_xlpm.rho*_xlpm.L_/_xlpm.sz*N(BY187)+_xlpm.xx*_xlpm.L_*N(DU187)/1000)*N(P187)/((Uн_лин/SQRT(3))*1000)*100,999),_xlpm.kz,IF(OR(DG187=1,NOT(ISNUMBER(DQ187)),_xlpm.L_=0,_xlpm.inn=0),1,IFERROR(--(c_min*(Uн_лин*1000/SQRT(3))/(DQ187+2*ρкз_Cu*_xlpm.L_/_xlpm.sz)&gt;=GY187*_xlpm.inn),0)),_xlpm.ok,IFERROR((_xlpm.sz&gt;=_xlpm.smin)*(_xlpm.t_&gt;=_xlpm.inn)*IF(_xlpm.L_&gt;0,(_xlpm.du_+DP187&lt;=DV187+0.00001),1)*_xlpm.kz,0),_xlpm.r_,_xlfn._xlws.FILTER(_xlpm.sz,_xlpm.ok,"не подобрано"),INDEX(_xlpm.r_,1)))</f>
        <v>1.5</v>
      </c>
      <c r="DX187">
        <f t="shared" si="294"/>
        <v>2.5</v>
      </c>
      <c r="DY187" cm="1">
        <f t="array" ref="DY187">IF(OR(B187="",BT187="",DM187&lt;&gt;1),"",_xlfn.LET(_xlpm.sz,Iдоп_S,_xlpm.t_,CHOOSE(DL187,Iдоп_1ж,Iдоп_2ж,Iдоп_3ж)*DJ187*DK187,_xlpm.ok,IFERROR((_xlpm.sz&gt;=MAX(1.5,BW187))*(_xlpm.t_&gt;=N(DD187)),0),_xlpm.r_,_xlfn._xlws.FILTER(_xlpm.sz,_xlpm.ok,""),INDEX(_xlpm.r_,1)))</f>
        <v>1.5</v>
      </c>
      <c r="DZ187" s="6" cm="1">
        <f t="array" ref="DZ187">IFERROR(ROUNDUP(N(DT187)*(_xlfn.XLOOKUP(DY187,INDEX(Кабель_сопротивление,0,1),INDEX(Кабель_сопротивление,0,3))*N(Q187)/DY187*N(BY187)+_xlfn.XLOOKUP(DY187,INDEX(Кабель_сопротивление,0,1),INDEX(Кабель_сопротивление,0,2))*N(Q187)*N(DU187)/1000)*N(P187)/((Uн_лин/SQRT(3))*1000)*100,2),"")</f>
        <v>0.48</v>
      </c>
      <c r="EA187">
        <f>IFERROR(2*ρкз_Cu*N(Q187)/DY187,"")</f>
        <v>1.6481333333333332</v>
      </c>
      <c r="EB187">
        <f>IFERROR(VLOOKUP(DX187,Кабель_сопротивление,3,FALSE),"")</f>
        <v>2.2499999999999999E-2</v>
      </c>
      <c r="EC187">
        <f>IFERROR(VLOOKUP(DX187,Кабель_сопротивление,2,FALSE),"")</f>
        <v>0.1</v>
      </c>
      <c r="ED187">
        <f t="shared" si="295"/>
        <v>30</v>
      </c>
      <c r="EE187">
        <f t="shared" si="296"/>
        <v>0</v>
      </c>
      <c r="EF187">
        <f t="shared" si="297"/>
        <v>0.66178251951932943</v>
      </c>
      <c r="EG187" s="6">
        <f>IFERROR(ROUNDUP(EF187/((Uн_лин/SQRT(3))*1000)*100,2),"")</f>
        <v>0.29000000000000004</v>
      </c>
      <c r="EH187" t="str">
        <f>IFERROR(VLOOKUP(BT187,Кабель_обозначение,2,FALSE),"")</f>
        <v>ВВГнг(А)-LS</v>
      </c>
      <c r="EI187" t="str">
        <f t="shared" si="298"/>
        <v>ВВГнг(А)-LS (3х2,5)</v>
      </c>
      <c r="EJ187" t="str">
        <f t="shared" si="299"/>
        <v>ВВГнг(А)-LS (3х2,5)
L=47-0,29%</v>
      </c>
      <c r="EK187">
        <f>IFERROR(2*ρкз_Cu*Q187/DX187,"")</f>
        <v>0.98887999999999998</v>
      </c>
      <c r="EL187">
        <f t="shared" si="300"/>
        <v>0.32900000000000007</v>
      </c>
      <c r="EM187" s="6" t="str">
        <f>IFERROR(IF(OR(B187="",NOT(ISNUMBER(DX187)),N(Q187)=0),"",_xlfn.XLOOKUP(A187,Щиты[Щит],Щиты[Zпетли на шинах, Ом])+EK187),"")</f>
        <v/>
      </c>
      <c r="EN187" s="6" t="str">
        <f>IF(ISNUMBER(EM187),c_min*(Uн_лин*1000/SQRT(3))/EM187,"")</f>
        <v/>
      </c>
      <c r="EO187" s="6" t="str">
        <f>IFERROR(IF(OR(B187="",NOT(ISNUMBER(DX187))),"",1.05*(Uн_лин*1000/SQRT(3))/(_xlfn.XLOOKUP(A187,Щиты[Щит],Щиты[Zmax на шинах, Ом])+EL187)/1000),"")</f>
        <v/>
      </c>
      <c r="EP187" s="6" t="str">
        <f>IF(B187="","",IF(ISNUMBER(Y187),"Сил",IF(IFERROR(_xlfn.XLOOKUP(AX187,Коды_код,Коды_группа)&amp;"","")="","Быт",_xlfn.XLOOKUP(AX187,Коды_код,Коды_группа)&amp;"")))</f>
        <v>Быт</v>
      </c>
      <c r="EQ187" s="6" t="str">
        <f t="shared" si="301"/>
        <v>Быт</v>
      </c>
      <c r="ER187" s="6">
        <f>IF(EQ187="Щит","щит",IF(EQ187="","",IF(EQ187="Быт",IFERROR(_xlfn.XLOOKUP(A187,Щиты[Щит],Щиты[Кс быт]),1),IF(EQ187="Сил",IF(ISNUMBER(Y187),Y187,IF(Методика="нормы 2026",IFERROR(_xlfn.XLOOKUP(A187,Щиты[Щит],Щиты[Кс силовых (табл. 7.5)]),1),1)),IF(OR(EQ187="Пост",EQ187="Отоп"),1,IF(EQ187="ВНГ",0.7,0))))))</f>
        <v>0.79799999999999993</v>
      </c>
      <c r="ES187">
        <f t="shared" si="302"/>
        <v>1</v>
      </c>
      <c r="ET187">
        <f t="shared" si="303"/>
        <v>0.18</v>
      </c>
      <c r="EU187">
        <f t="shared" si="304"/>
        <v>0.18</v>
      </c>
      <c r="EV187">
        <f t="shared" si="305"/>
        <v>0</v>
      </c>
      <c r="EW187">
        <f t="shared" si="306"/>
        <v>0</v>
      </c>
      <c r="EX187">
        <f t="shared" si="307"/>
        <v>0</v>
      </c>
      <c r="EY187">
        <f t="shared" si="308"/>
        <v>0</v>
      </c>
      <c r="EZ187">
        <f t="shared" si="309"/>
        <v>0.18</v>
      </c>
      <c r="FA187">
        <f t="shared" si="310"/>
        <v>0.17099999999999999</v>
      </c>
      <c r="FB187">
        <f t="shared" si="311"/>
        <v>0.18</v>
      </c>
      <c r="FC187" t="str">
        <f t="shared" si="312"/>
        <v>L2</v>
      </c>
      <c r="FD187" t="str">
        <f>IF(B187="","",IF(CA187=0,IF(AW187=1,"",FF186),IF(OR(N(CV187)&gt;=3,N(BR187)&gt;=3),"L1,L2,L3",IFERROR(_xlfn.TEXTBEFORE(_xlfn.TEXTAFTER(_xlfn.XLOOKUP(A187,Щиты[Щит],Щиты[_фазы авто]),";"&amp;AW187&amp;":"),";"),"L1"))))</f>
        <v>L1</v>
      </c>
      <c r="FE187" t="str">
        <f t="shared" si="313"/>
        <v>L2</v>
      </c>
      <c r="FF187" t="str">
        <f t="shared" si="314"/>
        <v>L2</v>
      </c>
      <c r="FG187" cm="1">
        <f t="array" ref="FG187">IFERROR(IF(BX187=2,_xlfn.IFS(BR187=3,VLOOKUP(BN187,Справочная_двигатели,3,FALSE),BR187=1,VLOOKUP(BN187,Справочная_двигатели,5,TRUE)),0),0)</f>
        <v>0</v>
      </c>
      <c r="FH187">
        <f>IFERROR(IF(BX187=3,VLOOKUP(BN187,Справочная_ЛЭД,2,TRUE),0),0)</f>
        <v>0</v>
      </c>
      <c r="FI187" s="6">
        <f t="shared" si="315"/>
        <v>0</v>
      </c>
      <c r="FJ187" t="str" cm="1">
        <f t="array" ref="FJ187">IF(B187="","",IFERROR(INDEX({"I особая","I","II","III"},MATCH(TRIM(AC187&amp;""),{"I особая","I","II","III"},0)),"III"))</f>
        <v>II</v>
      </c>
      <c r="FK187" t="str">
        <f>IF(B187="","",IF(TRIM(AD187&amp;"")&lt;&gt;"",IF(LOWER(TRIM(AD187&amp;""))="да","да","нет"),IF(IFERROR(_xlfn.XLOOKUP(AX187,Коды_код,Коды_пожарная),"")="да","да","нет")))</f>
        <v>нет</v>
      </c>
      <c r="FL187" t="str">
        <f t="shared" si="316"/>
        <v/>
      </c>
      <c r="FM187" t="str">
        <f t="shared" si="317"/>
        <v>основная</v>
      </c>
      <c r="FN187">
        <f t="shared" si="318"/>
        <v>1</v>
      </c>
      <c r="FO187" t="str" cm="1">
        <f t="array" ref="FO187">IF(B187="","",_xlfn.LET(_xlpm.t,IFERROR(_xlfn.XLOOKUP(1,(Шины[Шина]=FM187)*(((Шины[Щит]=A187)+(Шины[Щит]=""))&gt;0),Шины[Тип]),"")&amp;"",IF(_xlpm.t&lt;&gt;"",_xlpm.t,IF(ISNUMBER(SEARCH("ИБП",FM187)),"ИБП",IF(ISNUMBER(SEARCH("ДГУ",FM187)),"ДГУ","Ввод "&amp;FN187)))))</f>
        <v>Ввод 1</v>
      </c>
      <c r="FP187" t="str">
        <f t="shared" si="319"/>
        <v>Ввод 1</v>
      </c>
      <c r="FQ187" t="str">
        <f>IF(B187="","",IF(OR(FO187="ИБП",FO187="ДГУ"),"I особая",IF(FO187="Одиночная","III",_xlfn.XLOOKUP(A187,Щиты[Щит],Щиты[Категория шины «Ввод»],"III"))))</f>
        <v>II</v>
      </c>
      <c r="FR187">
        <f>IF(B187="",0,IFERROR(MATCH(FJ187,{"III","II","I","I особая"},0),1))</f>
        <v>2</v>
      </c>
      <c r="FS187">
        <f t="shared" si="320"/>
        <v>2</v>
      </c>
      <c r="FT187" t="str">
        <f>IF(B187="","",IF(FR187&gt;IFERROR(MATCH(FQ187,{"III","II","I","I особая"},0),1),"НЕ ОБЕСПЕЧЕНА","ОК"))</f>
        <v>ОК</v>
      </c>
      <c r="FU187" t="str">
        <f>IF(A187="","",_xlfn.XLOOKUP(A187,Щиты[Щит],Щиты[Путь],""))</f>
        <v>|ГРЩ-ЖД|ЩР-01|</v>
      </c>
      <c r="FV187" t="str">
        <f>IF(B187="","",IF(AE187&lt;&gt;"",AE187,IF(IFERROR(_xlfn.XLOOKUP(AX187,Коды_код,Коды_вид)&amp;"","")="","Прочее",_xlfn.XLOOKUP(AX187,Коды_код,Коды_вид)&amp;"")))</f>
        <v>Розеточная сеть и бытовые приборы</v>
      </c>
      <c r="FW187">
        <f>IF(BH187="","",INT((BH187-1)/Столбцов_на_лист)+1)</f>
        <v>2</v>
      </c>
      <c r="FX187" t="str">
        <f t="shared" si="321"/>
        <v>ВВГнг(А)-LS (3х2,5) L=47-0,29%</v>
      </c>
      <c r="FY187">
        <f t="shared" si="322"/>
        <v>0.18</v>
      </c>
      <c r="FZ187">
        <f t="shared" si="323"/>
        <v>0.83</v>
      </c>
      <c r="GA187">
        <f t="shared" si="324"/>
        <v>1</v>
      </c>
      <c r="GB187">
        <f t="shared" si="325"/>
        <v>0</v>
      </c>
      <c r="GC187">
        <f t="shared" si="326"/>
        <v>1</v>
      </c>
      <c r="GD187">
        <f>IF(BH187="","",IF(AND(CA187=1,GC187=1),COUNTIFS(A$3:A187,A187,CA$3:CA187,1,GC$3:GC187,1),IF(OR(OR(AW187=1,A187&lt;&gt;A186),AF187="вручную",GC187=0),"",IF(AW187=1,"",GE186))))</f>
        <v>3</v>
      </c>
      <c r="GE187">
        <f t="shared" si="327"/>
        <v>3</v>
      </c>
      <c r="GF187">
        <f>IF(B187="","",IFERROR(LOOKUP(INDEX(CHOOSE(DL187,Iдоп_1ж,Iдоп_2ж,Iдоп_3ж),MATCH(DX187,Iдоп_S,0))*DJ187*DK187,{6,10,16,20,25,32,40,50,63,80,100,125,160,200,250,315,400,500,630}),""))</f>
        <v>25</v>
      </c>
      <c r="GG187" t="str">
        <f t="shared" si="328"/>
        <v>QFD3</v>
      </c>
      <c r="GH187" t="str">
        <f t="shared" si="329"/>
        <v>QFD3</v>
      </c>
      <c r="GI187" t="str">
        <f t="shared" si="330"/>
        <v/>
      </c>
      <c r="GJ187">
        <f t="shared" si="331"/>
        <v>0</v>
      </c>
      <c r="GK187" t="str">
        <f>IF(OR(AG187="",AG187="-"),"",IFERROR(VLOOKUP(AG187,Модули_спр,2,FALSE),"R"))</f>
        <v/>
      </c>
      <c r="GL187" t="str">
        <f>IF(GK187="","",GK187&amp;"."&amp;COUNTIFS(A$3:A187,A187,GK$3:GK187,GK187))</f>
        <v/>
      </c>
      <c r="GM187" t="str">
        <f t="shared" si="332"/>
        <v/>
      </c>
      <c r="GN187" t="str">
        <f t="shared" si="333"/>
        <v/>
      </c>
      <c r="GO187" t="str">
        <f t="shared" si="334"/>
        <v/>
      </c>
      <c r="GP187" t="str">
        <f t="shared" si="335"/>
        <v/>
      </c>
      <c r="GQ187">
        <f t="shared" si="336"/>
        <v>1</v>
      </c>
      <c r="GR187" t="str">
        <f>IF(GQ187=1,"XT"&amp;COUNTIFS(A$3:A187,A187,GQ$3:GQ187,1),"")</f>
        <v>XT3</v>
      </c>
      <c r="GS187" t="str">
        <f t="shared" si="337"/>
        <v>XT3</v>
      </c>
      <c r="GT187" t="str">
        <f t="shared" si="338"/>
        <v>QFD3</v>
      </c>
      <c r="GU187" t="str">
        <f t="shared" si="339"/>
        <v/>
      </c>
      <c r="GV187" t="str">
        <f t="shared" si="340"/>
        <v>ok</v>
      </c>
      <c r="GW187" t="str">
        <f>IF(OR(GO187="",GM187=""),"",IF(GO187&gt;IFERROR(VLOOKUP(GN187,Модули_спр,3,FALSE),99),"ЛИШНИЙ КАНАЛ",IF(AND(AH187&lt;&gt;"=",COUNTIFS(Линии[_модуль гр.],GM187,Линии[Канал (итог)],GO187,Линии[Канал],"&lt;&gt;=",Линии[Щит],A187)&gt;1),"ДУБЛЬ КАНАЛА","")))</f>
        <v/>
      </c>
      <c r="GX187" s="6" t="str">
        <f t="shared" si="341"/>
        <v/>
      </c>
      <c r="GY187">
        <f t="shared" si="342"/>
        <v>10</v>
      </c>
      <c r="GZ187" t="str">
        <f t="shared" si="343"/>
        <v/>
      </c>
      <c r="HA187" t="str">
        <f>IF(AND(B187="",GT187=""),"",_xlfn.TEXTJOIN("; ",TRUE,IF(AND(B187&lt;&gt;"",FE187=""),"нет фазы",""),IF(AND(B187&lt;&gt;"",N(FY187)=0,EQ187&lt;&gt;"Нет"),"нет мощности",""),IF(AND(GS187&lt;&gt;"",COUNTIFS(Линии[Щит],A187,Линии[Клемма (итог)],GS187)&gt;1),"дубль клеммы "&amp;GS187,""),IF(AND(GV187&lt;&gt;"",GV187&lt;&gt;"ok"),GV187,""),IF(GW187&lt;&gt;"",GW187,""),IF(AND(N(BV187)&gt;=4,N(BR187)=1),BV187&amp;" жил на 1 фазе",""),IF(AND(AX187="R",CA187=1,OR(N(CK187)=0,N(CK187)&gt;30)),"розетка без дифзащиты до 30 мА",""),IFERROR(IF(AND(ISNUMBER(R187),R187&gt;DV187),"потери "&amp;FIXED(R187,1)&amp;" % &gt; "&amp;DV187&amp;" %",""),""),IFERROR(IF(LEFT(GZ187,4)="мало","Iкз мало — отключение &gt; 0,4 с",""),""),IF(AND(B187&lt;&gt;"",BH187=""),"не на схеме",""),IF(AND(CA187=0,B187&lt;&gt;"",FE187&lt;&gt;"",IF(AW187=1,"",FF186)&lt;&gt;"",FE187&lt;&gt;IF(AW187=1,"",FF186)),"фаза не как у автомата группы ("&amp;IF(AW187=1,"",FF186)&amp;")","")))</f>
        <v/>
      </c>
      <c r="HB187" s="6">
        <f>IF(OR(CA187=0,DA187=""),"",_xlfn.LET(_xlpm.t,IFERROR(_xlfn.XLOOKUP(DA187,Каталог!$U$4:$U$500,Каталог!$G$4:$G$500),""),_xlpm.k,SEARCH("кА",_xlpm.t),IFERROR(--TRIM(RIGHT(SUBSTITUTE(MID(_xlpm.t,MAX(1,_xlpm.k-4),_xlpm.k-MAX(1,_xlpm.k-4))," ",REPT(" ",9)),5)),"")))</f>
        <v>6</v>
      </c>
      <c r="HC187" t="str">
        <f>IF(OR(HB187="",CA187=0),"",IF(_xlfn.XLOOKUP(A187,Щиты[Щит],Щиты[Iкз max на шинах, кА],"")="","",IF(HB187&lt;_xlfn.XLOOKUP(A187,Щиты[Щит],Щиты[Iкз max на шинах, кА]),"Icu "&amp;HB187&amp;" кА &lt; Iкз max","ok")))</f>
        <v/>
      </c>
      <c r="HD187" t="str">
        <f t="shared" si="344"/>
        <v/>
      </c>
      <c r="HE187" t="str">
        <f t="shared" si="345"/>
        <v>QFD3|XT3</v>
      </c>
      <c r="HF187" t="str">
        <f t="shared" si="346"/>
        <v>QFD3|XT3|кабель ВВГнг(А)-LS (3х2,5) → Розеточная группа, пом. 002A</v>
      </c>
      <c r="HG187" t="str" cm="1">
        <f t="array" ref="HG187">IF(HF187="","",_xlfn.LET(_xlpm.nd,_xlfn.TEXTSPLIT(HF187,"|"),IF(COLUMNS(_xlpm.nd)&gt;1,A187&amp;"¦"&amp;INDEX(_xlpm.nd,1)&amp;"¦"&amp;INDEX(_xlpm.nd,2),"")))</f>
        <v>ЩР-01¦QFD3¦XT3</v>
      </c>
      <c r="HH187" t="str">
        <f t="shared" si="347"/>
        <v>R.0.002A.3¦Розеточная группа, пом. 002A</v>
      </c>
      <c r="HI187" t="str" cm="1">
        <f t="array" ref="HI187">IF(HF187="","",_xlfn.LET(_xlpm.nd,_xlfn.TEXTSPLIT(HF187,"|"),IF(COLUMNS(_xlpm.nd)&gt;2,A187&amp;"¦"&amp;INDEX(_xlpm.nd,2)&amp;"¦"&amp;INDEX(_xlpm.nd,3),"")))</f>
        <v>ЩР-01¦XT3¦кабель ВВГнг(А)-LS (3х2,5) → Розеточная группа, пом. 002A</v>
      </c>
      <c r="HJ187" t="str">
        <f t="shared" si="348"/>
        <v>R.0.002A.3¦Розеточная группа, пом. 002A</v>
      </c>
      <c r="HK187" t="str" cm="1">
        <f t="array" ref="HK187">IF(HF187="","",_xlfn.LET(_xlpm.nd,_xlfn.TEXTSPLIT(HF187,"|"),IF(COLUMNS(_xlpm.nd)&gt;3,A187&amp;"¦"&amp;INDEX(_xlpm.nd,3)&amp;"¦"&amp;INDEX(_xlpm.nd,4),"")))</f>
        <v/>
      </c>
      <c r="HL187" t="str">
        <f t="shared" si="349"/>
        <v/>
      </c>
      <c r="HM187" t="str" cm="1">
        <f t="array" ref="HM187">IF(HF187="","",_xlfn.LET(_xlpm.nd,_xlfn.TEXTSPLIT(HF187,"|"),IF(COLUMNS(_xlpm.nd)&gt;4,A187&amp;"¦"&amp;INDEX(_xlpm.nd,4)&amp;"¦"&amp;INDEX(_xlpm.nd,5),"")))</f>
        <v/>
      </c>
      <c r="HN187" t="str">
        <f t="shared" si="350"/>
        <v/>
      </c>
      <c r="HO187" t="str" cm="1">
        <f t="array" ref="HO187">IF(HF187="","",_xlfn.LET(_xlpm.nd,_xlfn.TEXTSPLIT(HF187,"|"),IF(COLUMNS(_xlpm.nd)&gt;5,A187&amp;"¦"&amp;INDEX(_xlpm.nd,5)&amp;"¦"&amp;INDEX(_xlpm.nd,6),"")))</f>
        <v/>
      </c>
      <c r="HP187" t="str">
        <f t="shared" si="351"/>
        <v/>
      </c>
      <c r="HQ187" t="str" cm="1">
        <f t="array" ref="HQ187">IF(HF187="","",_xlfn.LET(_xlpm.nd,_xlfn.TEXTSPLIT(HF187,"|"),IF(COLUMNS(_xlpm.nd)&gt;6,A187&amp;"¦"&amp;INDEX(_xlpm.nd,6)&amp;"¦"&amp;INDEX(_xlpm.nd,7),"")))</f>
        <v/>
      </c>
      <c r="HR187" t="str">
        <f t="shared" si="352"/>
        <v/>
      </c>
      <c r="HS187" t="str">
        <f t="shared" si="353"/>
        <v/>
      </c>
      <c r="HT187" t="str">
        <f t="shared" si="354"/>
        <v>QFD3 → XT3</v>
      </c>
      <c r="HU187">
        <f t="shared" si="355"/>
        <v>0</v>
      </c>
      <c r="HV187">
        <f t="shared" si="356"/>
        <v>1</v>
      </c>
      <c r="HW187" t="str">
        <f t="shared" si="357"/>
        <v/>
      </c>
      <c r="HX187" t="str">
        <f t="shared" si="358"/>
        <v/>
      </c>
      <c r="HY187" t="str">
        <f t="shared" si="359"/>
        <v/>
      </c>
      <c r="HZ187" t="str">
        <f t="shared" si="360"/>
        <v/>
      </c>
      <c r="IA187" t="str">
        <f>IF(B187="","",IFERROR(VLOOKUP(B187,УГО_спр,2,FALSE),IFERROR(VLOOKUP(AX187,УГО_спр,2,FALSE),IFERROR(VLOOKUP(LEFT(AX187,2),УГО_спр,2,FALSE),""))))</f>
        <v>Розетка</v>
      </c>
      <c r="IB187" t="str">
        <f>IF(B187="","",IF(OR(IA187="",IA187=0),"BOX",IFERROR(IF(VLOOKUP(IA187,УГО_блоки,3,FALSE)&amp;""&lt;&gt;"",VLOOKUP(IA187,УГО_блоки,3,FALSE),VLOOKUP(IA187,УГО_блоки,2,FALSE)),IA187)))</f>
        <v>SOCKET</v>
      </c>
      <c r="IC187">
        <f t="shared" si="361"/>
        <v>1</v>
      </c>
      <c r="ID187" t="str">
        <f>IF(DA187="","",IF(COUNTIF(DA$3:DA187,DA187)=1,MAX(ID$2:ID186)+1,""))</f>
        <v/>
      </c>
      <c r="IE187" t="str">
        <f>IF(CO187="","",IF(COUNTIF(CO$3:CO187,CO187)+COUNTIF(CP$2:CP186,CO187)+COUNTIF(CQ$2:CQ186,CO187)=1,MAX(IE$2:IG186)+1,""))</f>
        <v/>
      </c>
      <c r="IF187" t="str">
        <f>IF(CP187="","",IF(COUNTIF(CO$3:CO187,CP187)+COUNTIF(CP$3:CP187,CP187)+COUNTIF(CQ$2:CQ186,CP187)=1,MAX(IE$2:IG186,IE187)+1,""))</f>
        <v/>
      </c>
      <c r="IG187" t="str">
        <f>IF(CQ187="","",IF(COUNTIF(CO$3:CO187,CQ187)+COUNTIF(CP$3:CP187,CQ187)+COUNTIF(CQ$3:CQ187,CQ187)=1,MAX(IE$2:IG186,IE187,IF187)+1,""))</f>
        <v/>
      </c>
      <c r="IH187" t="str">
        <f t="shared" si="362"/>
        <v>3х2,5</v>
      </c>
      <c r="II187" t="str">
        <f>IF(IH187="","",IF(COUNTIF(IH$3:IH187,IH187)=1,MAX(II$2:II186)+1,""))</f>
        <v/>
      </c>
      <c r="IJ187" t="str">
        <f>IF(GL187="","",COUNTIF(GL$3:GL187,"?*"))</f>
        <v/>
      </c>
      <c r="IK187" t="str">
        <f>IF(OR(GL187="",GN187=""),"",IF(COUNTIFS(GL$3:GL187,"?*",GN$3:GN187,GN187)=1,MAX(IK$2:IK186)+1,""))</f>
        <v/>
      </c>
      <c r="IL187">
        <f t="shared" si="363"/>
        <v>0</v>
      </c>
      <c r="IM187">
        <f>IF(B187="","",COUNTIF(B$3:B187,"?*"))</f>
        <v>185</v>
      </c>
      <c r="IN187">
        <f>IF(GQ187&lt;&gt;1,0,_xlfn.LET(_xlpm.k,MAX(IFERROR(--VLOOKUP(B187,УГО_спр,5,FALSE),0),IFERROR(--VLOOKUP(AX187,УГО_спр,5,FALSE),0),IFERROR(--VLOOKUP(LEFT(AX187,2),УГО_спр,5,FALSE),0)),IF(_xlpm.k&gt;0,_xlpm.k,IF(IFERROR(--LEFT(SUBSTITUTE(IH187,"x","х"),FIND("х",SUBSTITUTE(IH187,"x","х"))-1),3)&gt;3,Каталог!$S$9,1))))</f>
        <v>1</v>
      </c>
      <c r="IO187">
        <f t="shared" si="364"/>
        <v>0</v>
      </c>
      <c r="IP187" t="str">
        <f t="shared" si="365"/>
        <v>авто</v>
      </c>
      <c r="IQ187">
        <f t="shared" si="366"/>
        <v>30</v>
      </c>
      <c r="IR187">
        <f t="shared" si="367"/>
        <v>1</v>
      </c>
      <c r="IS187">
        <f t="shared" si="368"/>
        <v>1</v>
      </c>
    </row>
    <row r="188" spans="1:253" x14ac:dyDescent="0.3">
      <c r="A188" t="s">
        <v>757</v>
      </c>
      <c r="B188" t="s">
        <v>1454</v>
      </c>
      <c r="C188" t="str">
        <f>Линии[[#This Row],[_авто наименование]]</f>
        <v>Розеточная группа, пом. 002T</v>
      </c>
      <c r="D188">
        <v>1</v>
      </c>
      <c r="E188">
        <v>0.06</v>
      </c>
      <c r="G188" t="str">
        <f>Линии[[#This Row],[_авто автомат]]</f>
        <v>2P С16А 30мА</v>
      </c>
      <c r="H188">
        <f>Линии[[#This Row],[_авто утечка]]</f>
        <v>30</v>
      </c>
      <c r="I188" t="str">
        <f>Линии[[#This Row],[_авто управление]]</f>
        <v/>
      </c>
      <c r="J188" t="str">
        <f>Линии[[#This Row],[_авто аппараты]]</f>
        <v/>
      </c>
      <c r="K188">
        <v>2.5</v>
      </c>
      <c r="L188">
        <v>29</v>
      </c>
      <c r="M188">
        <v>3</v>
      </c>
      <c r="N188" t="str">
        <f>Линии[[#This Row],[_авто клемма]]</f>
        <v>XT4</v>
      </c>
      <c r="O188" t="str">
        <f t="shared" si="246"/>
        <v/>
      </c>
      <c r="P188" s="6" cm="1">
        <f t="array" ref="P188">IF(B188="","",IF(BC188&lt;&gt;"",IFERROR(_xlfn.XLOOKUP(BC188,Щиты[Щит],Щиты[Iр, А]),""),IF(BK188=1,IFERROR(_xlfn.XLOOKUP(A188,Щиты[Щит],Щиты[Iр, А]),""),IFERROR(_xlfn.IFS(BR188=1,BN188/((Uн_лин/SQRT(3))*BY188),BR188=3,BN188/(SQRT(3)*Uн_лин*BY188)),""))))</f>
        <v>0.27348170645824377</v>
      </c>
      <c r="Q188" s="7">
        <f>IF(B188="","",IFERROR(IF(VLOOKUP(AX188,Потребители_обозначение,4,FALSE)=1,VLOOKUP(AX188,Потребители_обозначение,3,FALSE)*(D188*2-1)+DS188+VLOOKUP(AZ188,Этаж_обозначение,3,FALSE)+VLOOKUP(AZ188,Этаж_обозначение,4,FALSE),VLOOKUP(AX188,Потребители_обозначение,3,FALSE)*(D188*2-1)+DS188),DS188))</f>
        <v>32</v>
      </c>
      <c r="R188" s="6">
        <f t="shared" si="247"/>
        <v>0.5</v>
      </c>
      <c r="S188" t="str">
        <f t="shared" si="248"/>
        <v>ВВГнг(А)-LS (3х2,5)</v>
      </c>
      <c r="T188" t="str">
        <f>IF(BH188="","",IF(BI188="вводной узел","узел ","")&amp;"л."&amp;(INT((BH188-1)/Столбцов_на_лист)+1)&amp;" / "&amp;(MOD(BH188-1,Столбцов_на_лист)+1))</f>
        <v>л.2 / 4</v>
      </c>
      <c r="V188">
        <v>1</v>
      </c>
      <c r="W188">
        <v>230</v>
      </c>
      <c r="X188" t="s">
        <v>564</v>
      </c>
      <c r="AC188" t="s">
        <v>815</v>
      </c>
      <c r="AE188" t="s">
        <v>563</v>
      </c>
      <c r="AI188">
        <v>21</v>
      </c>
      <c r="AJ188" t="s">
        <v>11</v>
      </c>
      <c r="AK188">
        <v>3</v>
      </c>
      <c r="AM188">
        <v>8</v>
      </c>
      <c r="AN188">
        <v>0</v>
      </c>
      <c r="AO188">
        <v>19</v>
      </c>
      <c r="AW188" cm="1">
        <f t="array" ref="AW188">ROW()-ROW(Линии[#Headers])</f>
        <v>186</v>
      </c>
      <c r="AX188" s="6" t="str">
        <f t="shared" si="249"/>
        <v>R</v>
      </c>
      <c r="AY188" t="str">
        <f t="shared" si="250"/>
        <v>0.002T.1</v>
      </c>
      <c r="AZ188" t="str">
        <f t="shared" si="251"/>
        <v>0</v>
      </c>
      <c r="BA188" t="str">
        <f t="shared" si="252"/>
        <v>002T.1</v>
      </c>
      <c r="BB188" t="str">
        <f t="shared" si="253"/>
        <v>002T</v>
      </c>
      <c r="BC188" t="str">
        <f>IF(U188&lt;&gt;"",U188,IF(AND(B188&lt;&gt;"",B188&lt;&gt;A188,ISNUMBER(_xlfn.XMATCH(B188,Щиты[Щит]))),B188,""))</f>
        <v/>
      </c>
      <c r="BD188" t="str" cm="1">
        <f t="array" ref="BD188">IF(B188="","",IF(BC188&lt;&gt;"","Щит "&amp;BC188,_xlfn.LET(_xlpm.nm,IFERROR(_xlfn.XLOOKUP(AX188,Коды_код,Коды_имя)&amp;"",""),_xlpm.md,IFERROR(N(_xlfn.XLOOKUP(AX188,Коды_код,Коды_режим)),1),_xlpm.ex,IF(Имя_режим="по экспликации",IFERROR(_xlfn.XLOOKUP(AZ188&amp;"|"&amp;BB188,Экспликация[Этаж]&amp;"|"&amp;Экспликация[Помещение],Экспликация[Название])&amp;"",""),""),_xlpm.rm,IF(BB188="","",IF(_xlpm.ex&lt;&gt;"",". "&amp;_xlpm.ex&amp;IF(Имя_пом="нет"," ("&amp;BB188&amp;")"," (пом. "&amp;BB188&amp;")"),IF(Имя_пом="нет"," ",", пом. ")&amp;BB188)),IF(_xlpm.nm="","",IF(_xlpm.md=2,_xlpm.nm&amp;" шлейф "&amp;AZ188,_xlpm.nm&amp;_xlpm.rm)))))</f>
        <v>Розеточная группа, пом. 002T</v>
      </c>
      <c r="BE188" t="str">
        <f t="shared" si="254"/>
        <v>Розеточная группа, пом. 002T</v>
      </c>
      <c r="BF188">
        <f>IFERROR(_xlfn.XMATCH(A188,Щиты[Щит]),0)</f>
        <v>9</v>
      </c>
      <c r="BG188">
        <f>_xlfn.LET(_xlpm.k,IFERROR(_xlfn.XLOOKUP(A188,Щиты[Щит],Щиты[Листов под вводной узел]),""),IF(_xlpm.k="",1,N(_xlpm.k))*Столбцов_на_лист)</f>
        <v>17</v>
      </c>
      <c r="BH188">
        <f t="shared" si="255"/>
        <v>21</v>
      </c>
      <c r="BI188" t="str">
        <f t="shared" si="256"/>
        <v>линии</v>
      </c>
      <c r="BJ188" s="6">
        <f>IFERROR(N(_xlfn.XLOOKUP(AX188,Коды_код,Коды_квт)),0)</f>
        <v>0</v>
      </c>
      <c r="BK188">
        <f t="shared" si="257"/>
        <v>0</v>
      </c>
      <c r="BL188" t="str">
        <f>IF(B188="","",IF(BC188&lt;&gt;"",IFERROR(_xlfn.XLOOKUP(BC188,Щиты[Щит],Щиты[Руст, кВт]),0),IF(BK188=1,IFERROR(_xlfn.XLOOKUP(A188,Щиты[Щит],Щиты[Руст, кВт]),0),IF(BJ188&gt;0,ROUND(BJ188*MAX(1,N(D188)),3),""))))</f>
        <v/>
      </c>
      <c r="BM188">
        <f t="shared" si="258"/>
        <v>0.06</v>
      </c>
      <c r="BN188" s="6">
        <f>IF(B188="","",IF(BC188&lt;&gt;"",IFERROR(_xlfn.XLOOKUP(BC188,Щиты[Щит],Щиты[Руст, кВт]),0),N(BM188)))</f>
        <v>0.06</v>
      </c>
      <c r="BO188" t="str">
        <f>IF(B188="","",IFERROR(IF(VLOOKUP(AX188,Потребители_обозначение,8,FALSE)=0,"",VLOOKUP(AX188,Потребители_обозначение,8,FALSE)),""))</f>
        <v/>
      </c>
      <c r="BP188">
        <f t="shared" si="259"/>
        <v>230</v>
      </c>
      <c r="BQ188">
        <f>IF(B188="","",IF(BC188&lt;&gt;"",3,IFERROR(IF(N(VLOOKUP(AX188,Потребители_обозначение,9,FALSE))=0,1,VLOOKUP(AX188,Потребители_обозначение,9,FALSE)),1)))</f>
        <v>1</v>
      </c>
      <c r="BR188">
        <f t="shared" si="260"/>
        <v>1</v>
      </c>
      <c r="BS188" t="str">
        <f>IF(B188="","",_xlfn.LET(_xlpm.bc,IFERROR(IF(VLOOKUP(AX188,Потребители_обозначение,6,FALSE)=0,"",VLOOKUP(AX188,Потребители_обозначение,6,FALSE)&amp;""),""),IF(AND(FK188="да",OR(_xlpm.bc="",_xlpm.bc="мс")),Марка_пож,IF(AND(_xlpm.bc="",BC188&lt;&gt;""),"мс",_xlpm.bc))))</f>
        <v/>
      </c>
      <c r="BT188" t="str">
        <f t="shared" si="261"/>
        <v>мс</v>
      </c>
      <c r="BU188">
        <f>IF(B188="","",_xlfn.LET(_xlpm.cc,IFERROR(N(VLOOKUP(AX188,Потребители_обозначение,7,FALSE)),0),IF(_xlpm.cc&gt;0,_xlpm.cc,IF(BT188="","",IF(N(BR188)=3,5,3)))))</f>
        <v>3</v>
      </c>
      <c r="BV188">
        <f t="shared" si="262"/>
        <v>3</v>
      </c>
      <c r="BW188">
        <f>IFERROR(N(VLOOKUP(AX188,Потребители_обозначение,10,FALSE)),0)</f>
        <v>0</v>
      </c>
      <c r="BX188">
        <f>IFERROR(VLOOKUP(AX188,Потребители_обозначение,5,FALSE),0)</f>
        <v>1</v>
      </c>
      <c r="BY188" s="6" cm="1">
        <f t="array" ref="BY188">IF(B188="","",IF(BC188&lt;&gt;"",IFERROR(_xlfn.XLOOKUP(BC188,Щиты[Щит],Щиты[cos φ]),0.95),IF(BK188=1,IFERROR(_xlfn.XLOOKUP(A188,Щиты[Щит],Щиты[cos φ]),0.95),IF(ISNUMBER(Z188),Z188,IFERROR(IF(BX188=2,_xlfn.IFS(BR188=3,VLOOKUP(BN188,Справочная_двигатели,8,FALSE),BR188=1,VLOOKUP(BN188,Справочная_двигатели,10,TRUE)),IF(AND(Методика="нормы 2026",EQ188="Сил"),0.8,0.95)),0.95)))))</f>
        <v>0.95</v>
      </c>
      <c r="BZ188">
        <f t="shared" si="263"/>
        <v>0</v>
      </c>
      <c r="CA188">
        <f t="shared" si="264"/>
        <v>1</v>
      </c>
      <c r="CB188">
        <f t="shared" si="265"/>
        <v>0</v>
      </c>
      <c r="CC188">
        <f t="shared" si="266"/>
        <v>0</v>
      </c>
      <c r="CD188">
        <f t="shared" si="267"/>
        <v>0</v>
      </c>
      <c r="CE188">
        <f t="shared" si="268"/>
        <v>0</v>
      </c>
      <c r="CF188">
        <f t="shared" si="269"/>
        <v>0</v>
      </c>
      <c r="CG188">
        <f>IF(AX188="",0,_xlfn.LET(_xlpm.v,IFERROR(VLOOKUP(B188,УГО_спр,3,FALSE),IFERROR(VLOOKUP(AX188,УГО_спр,3,FALSE),IFERROR(VLOOKUP(LEFT(AX188,2),УГО_спр,3,FALSE),""))),IF(_xlpm.v="да",30,IF(ISNUMBER(_xlpm.v),_xlpm.v,0))))</f>
        <v>30</v>
      </c>
      <c r="CH188">
        <f t="shared" si="270"/>
        <v>30</v>
      </c>
      <c r="CI188" t="str">
        <f>_xlfn.LET(_xlpm.k,IFERROR(_xlfn.XLOOKUP(AX188,Коды_код,Коды_утечка)&amp;"",""),IF(_xlpm.k="","дифавтомат",_xlpm.k))</f>
        <v>дифавтомат</v>
      </c>
      <c r="CJ188">
        <f t="shared" si="271"/>
        <v>30</v>
      </c>
      <c r="CK188">
        <f t="shared" si="272"/>
        <v>30</v>
      </c>
      <c r="CL188">
        <f>IF(B188="",0,IFERROR(--VLOOKUP(B188,УГО_спр,4,FALSE),IFERROR(--VLOOKUP(AX188,УГО_спр,4,FALSE),IFERROR(--VLOOKUP(LEFT(AX188,2),УГО_спр,4,FALSE),0))))</f>
        <v>16</v>
      </c>
      <c r="CM188" t="str">
        <f>IF(B188="","",IFERROR(_xlfn.XLOOKUP(AX188,Коды_код,Коды_апп)&amp;"",""))</f>
        <v/>
      </c>
      <c r="CN188" t="str">
        <f t="shared" si="273"/>
        <v/>
      </c>
      <c r="CO188" t="str" cm="1">
        <f t="array" ref="CO188">IF(TRIM(CN188&amp;"")="","",IFERROR(TRIM(INDEX(_xlfn.TEXTSPLIT(CN188&amp;";;;",";"),1)),""))</f>
        <v/>
      </c>
      <c r="CP188" t="str" cm="1">
        <f t="array" ref="CP188">IF(TRIM(CN188&amp;"")="","",IFERROR(TRIM(INDEX(_xlfn.TEXTSPLIT(CN188&amp;";;;",";"),2)),""))</f>
        <v/>
      </c>
      <c r="CQ188" t="str" cm="1">
        <f t="array" ref="CQ188">IF(TRIM(CN188&amp;"")="","",IFERROR(TRIM(INDEX(_xlfn.TEXTSPLIT(CN188&amp;";;;",";"),3)),""))</f>
        <v/>
      </c>
      <c r="CR188">
        <f t="shared" si="274"/>
        <v>0</v>
      </c>
      <c r="CS188" t="str">
        <f>IF(B188="","",_xlfn.LET(_xlpm.t,LOWER(AV188&amp;""),IF(ISNUMBER(SEARCH("dim",_xlpm.t)),"DIM",IF(ISNUMBER(SEARCH("dali",_xlpm.t)),"DALI",IF(OR(ISNUMBER(SEARCH("relay",_xlpm.t)),ISNUMBER(SEARCH("реле",_xlpm.t))),"Relay",IF(ISNUMBER(SEARCH("кнопк",_xlpm.t)),"",IFERROR(_xlfn.XLOOKUP(AX188,Коды_код,Коды_упр)&amp;"","")))))))</f>
        <v/>
      </c>
      <c r="CT188" t="str">
        <f t="shared" si="275"/>
        <v/>
      </c>
      <c r="CU188">
        <f>IF(B188="","",_xlfn.LET(_xlpm.ig,N(P188)+IF(AF188="вручную",0,N(CB188)),_xlpm.n0,IFERROR(VLOOKUP(_xlpm.ig,Автомат_номиналы,2,TRUE),0),_xlpm.mn,MAX(CL188,IF(AF188="вручную",0,N(CE188))),MAX(_xlpm.n0,_xlpm.mn,IF(CR188=1,Мин_автомат_БП,0))))</f>
        <v>16</v>
      </c>
      <c r="CV188">
        <f t="shared" si="276"/>
        <v>1</v>
      </c>
      <c r="CW188" t="str">
        <f t="shared" si="277"/>
        <v>2P</v>
      </c>
      <c r="CX188" t="str">
        <f>_xlfn.LET(_xlpm.cc,UPPER(TRIM(IFERROR(_xlfn.XLOOKUP(AX188,Коды_код,Коды_хар)&amp;"",""))),IF(OR(_xlpm.cc="B",_xlpm.cc="В"),"B",IF(_xlpm.cc="D","D","С")))</f>
        <v>С</v>
      </c>
      <c r="CY188" t="str">
        <f t="shared" si="278"/>
        <v>2P С16А 30мА</v>
      </c>
      <c r="CZ188" t="str">
        <f t="shared" si="279"/>
        <v>2P С16А 30мА</v>
      </c>
      <c r="DA188" t="str">
        <f t="shared" si="280"/>
        <v>2P С16А 30мА</v>
      </c>
      <c r="DB188" cm="1">
        <f t="array" ref="DB188">IF(DA188="","",_xlfn.LET(_xlpm.t,SUBSTITUTE(SUBSTITUTE(SUBSTITUTE(UPPER(DA188),"С","C"),"А","A"),"В","B"),_xlpm.tk,_xlfn.TEXTSPLIT(_xlpm.t,"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8" t="str">
        <f t="shared" si="281"/>
        <v>ok</v>
      </c>
      <c r="DD188">
        <f t="shared" si="282"/>
        <v>16</v>
      </c>
      <c r="DE188" t="str">
        <f t="shared" si="283"/>
        <v>2P С16А 30мА</v>
      </c>
      <c r="DF188">
        <f t="shared" si="284"/>
        <v>30</v>
      </c>
      <c r="DG188">
        <f t="shared" si="285"/>
        <v>1</v>
      </c>
      <c r="DH188">
        <f t="shared" si="286"/>
        <v>0</v>
      </c>
      <c r="DI188">
        <f t="shared" si="287"/>
        <v>0.27348170645824377</v>
      </c>
      <c r="DJ188">
        <f t="shared" si="288"/>
        <v>1</v>
      </c>
      <c r="DK188">
        <f>IF(ISNUMBER(AL188),AL188,К_прокл)</f>
        <v>1</v>
      </c>
      <c r="DL188">
        <f t="shared" si="289"/>
        <v>2</v>
      </c>
      <c r="DM188">
        <f>IFERROR(N(VLOOKUP(BT188,Кабель_обозначение,3,FALSE)),1)</f>
        <v>1</v>
      </c>
      <c r="DN188">
        <f>IFERROR(N(_xlfn.XLOOKUP(A188,Щиты[Щит],Щиты[ΔU до шин, %])),0)</f>
        <v>0.43</v>
      </c>
      <c r="DO188" t="str">
        <f>IFERROR(_xlfn.XLOOKUP(A188,Щиты[Щит],Щиты[Zпетли на шинах, Ом]),"")</f>
        <v/>
      </c>
      <c r="DP188">
        <f>IFERROR(N(_xlfn.XLOOKUP(A188,Щиты[Щит],Щиты[ΔU до шин (подбор), %])),0)</f>
        <v>0.43</v>
      </c>
      <c r="DQ188" t="str">
        <f>IFERROR(_xlfn.XLOOKUP(A188,Щиты[Щит],Щиты[Zпетли на шинах (подбор), Ом]),"")</f>
        <v/>
      </c>
      <c r="DR188" t="str">
        <f t="shared" si="290"/>
        <v/>
      </c>
      <c r="DS188">
        <f t="shared" si="291"/>
        <v>29</v>
      </c>
      <c r="DT188">
        <f t="shared" si="292"/>
        <v>2</v>
      </c>
      <c r="DU188">
        <f t="shared" si="293"/>
        <v>0.31</v>
      </c>
      <c r="DV188" s="6">
        <f>IF(B188="","",IF(IFERROR(VLOOKUP(AX188,УГО_спр,2,FALSE),"")="Светильник",3,4)+IF(Методика="нормы 2026",MIN(0.5,MAX(0,N(Q188)-100)*0.005),0))</f>
        <v>4</v>
      </c>
      <c r="DW188" cm="1">
        <f t="array" ref="DW188">IF(OR(B188="",BT188="",DM188&lt;&gt;1),"",_xlfn.LET(_xlpm.sz,Iдоп_S,_xlpm.t_,CHOOSE(DL188,Iдоп_1ж,Iдоп_2ж,Iдоп_3ж)*DJ188*DK188,_xlpm.inn,N(DD188),_xlpm.smin,MAX(1.5,BW188),_xlpm.L_,N(Q188)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188)*(_xlpm.rho*_xlpm.L_/_xlpm.sz*N(BY188)+_xlpm.xx*_xlpm.L_*N(DU188)/1000)*N(P188)/((Uн_лин/SQRT(3))*1000)*100,999),_xlpm.kz,IF(OR(DG188=1,NOT(ISNUMBER(DQ188)),_xlpm.L_=0,_xlpm.inn=0),1,IFERROR(--(c_min*(Uн_лин*1000/SQRT(3))/(DQ188+2*ρкз_Cu*_xlpm.L_/_xlpm.sz)&gt;=GY188*_xlpm.inn),0)),_xlpm.ok,IFERROR((_xlpm.sz&gt;=_xlpm.smin)*(_xlpm.t_&gt;=_xlpm.inn)*IF(_xlpm.L_&gt;0,(_xlpm.du_+DP188&lt;=DV188+0.00001),1)*_xlpm.kz,0),_xlpm.r_,_xlfn._xlws.FILTER(_xlpm.sz,_xlpm.ok,"не подобрано"),INDEX(_xlpm.r_,1)))</f>
        <v>1.5</v>
      </c>
      <c r="DX188">
        <f t="shared" si="294"/>
        <v>2.5</v>
      </c>
      <c r="DY188" cm="1">
        <f t="array" ref="DY188">IF(OR(B188="",BT188="",DM188&lt;&gt;1),"",_xlfn.LET(_xlpm.sz,Iдоп_S,_xlpm.t_,CHOOSE(DL188,Iдоп_1ж,Iдоп_2ж,Iдоп_3ж)*DJ188*DK188,_xlpm.ok,IFERROR((_xlpm.sz&gt;=MAX(1.5,BW188))*(_xlpm.t_&gt;=N(DD188)),0),_xlpm.r_,_xlfn._xlws.FILTER(_xlpm.sz,_xlpm.ok,""),INDEX(_xlpm.r_,1)))</f>
        <v>1.5</v>
      </c>
      <c r="DZ188" s="6" cm="1">
        <f t="array" ref="DZ188">IFERROR(ROUNDUP(N(DT188)*(_xlfn.XLOOKUP(DY188,INDEX(Кабель_сопротивление,0,1),INDEX(Кабель_сопротивление,0,3))*N(Q188)/DY188*N(BY188)+_xlfn.XLOOKUP(DY188,INDEX(Кабель_сопротивление,0,1),INDEX(Кабель_сопротивление,0,2))*N(Q188)*N(DU188)/1000)*N(P188)/((Uн_лин/SQRT(3))*1000)*100,2),"")</f>
        <v>0.11</v>
      </c>
      <c r="EA188">
        <f>IFERROR(2*ρкз_Cu*N(Q188)/DY188,"")</f>
        <v>1.1221333333333334</v>
      </c>
      <c r="EB188">
        <f>IFERROR(VLOOKUP(DX188,Кабель_сопротивление,3,FALSE),"")</f>
        <v>2.2499999999999999E-2</v>
      </c>
      <c r="EC188">
        <f>IFERROR(VLOOKUP(DX188,Кабель_сопротивление,2,FALSE),"")</f>
        <v>0.1</v>
      </c>
      <c r="ED188">
        <f t="shared" si="295"/>
        <v>0</v>
      </c>
      <c r="EE188">
        <f t="shared" si="296"/>
        <v>19</v>
      </c>
      <c r="EF188">
        <f t="shared" si="297"/>
        <v>0.15019177747956411</v>
      </c>
      <c r="EG188" s="6">
        <f>IFERROR(ROUNDUP(EF188/((Uн_лин/SQRT(3))*1000)*100,2),"")</f>
        <v>6.9999999999999993E-2</v>
      </c>
      <c r="EH188" t="str">
        <f>IFERROR(VLOOKUP(BT188,Кабель_обозначение,2,FALSE),"")</f>
        <v>ВВГнг(А)-LS</v>
      </c>
      <c r="EI188" t="str">
        <f t="shared" si="298"/>
        <v>ВВГнг(А)-LS (3х2,5)</v>
      </c>
      <c r="EJ188" t="str">
        <f t="shared" si="299"/>
        <v>ВВГнг(А)-LS (3х2,5)
L=32-0,07%</v>
      </c>
      <c r="EK188">
        <f>IFERROR(2*ρкз_Cu*Q188/DX188,"")</f>
        <v>0.67327999999999999</v>
      </c>
      <c r="EL188">
        <f t="shared" si="300"/>
        <v>0.22400000000000003</v>
      </c>
      <c r="EM188" s="6" t="str">
        <f>IFERROR(IF(OR(B188="",NOT(ISNUMBER(DX188)),N(Q188)=0),"",_xlfn.XLOOKUP(A188,Щиты[Щит],Щиты[Zпетли на шинах, Ом])+EK188),"")</f>
        <v/>
      </c>
      <c r="EN188" s="6" t="str">
        <f>IF(ISNUMBER(EM188),c_min*(Uн_лин*1000/SQRT(3))/EM188,"")</f>
        <v/>
      </c>
      <c r="EO188" s="6" t="str">
        <f>IFERROR(IF(OR(B188="",NOT(ISNUMBER(DX188))),"",1.05*(Uн_лин*1000/SQRT(3))/(_xlfn.XLOOKUP(A188,Щиты[Щит],Щиты[Zmax на шинах, Ом])+EL188)/1000),"")</f>
        <v/>
      </c>
      <c r="EP188" s="6" t="str">
        <f>IF(B188="","",IF(ISNUMBER(Y188),"Сил",IF(IFERROR(_xlfn.XLOOKUP(AX188,Коды_код,Коды_группа)&amp;"","")="","Быт",_xlfn.XLOOKUP(AX188,Коды_код,Коды_группа)&amp;"")))</f>
        <v>Быт</v>
      </c>
      <c r="EQ188" s="6" t="str">
        <f t="shared" si="301"/>
        <v>Быт</v>
      </c>
      <c r="ER188" s="6">
        <f>IF(EQ188="Щит","щит",IF(EQ188="","",IF(EQ188="Быт",IFERROR(_xlfn.XLOOKUP(A188,Щиты[Щит],Щиты[Кс быт]),1),IF(EQ188="Сил",IF(ISNUMBER(Y188),Y188,IF(Методика="нормы 2026",IFERROR(_xlfn.XLOOKUP(A188,Щиты[Щит],Щиты[Кс силовых (табл. 7.5)]),1),1)),IF(OR(EQ188="Пост",EQ188="Отоп"),1,IF(EQ188="ВНГ",0.7,0))))))</f>
        <v>0.79799999999999993</v>
      </c>
      <c r="ES188">
        <f t="shared" si="302"/>
        <v>1</v>
      </c>
      <c r="ET188">
        <f t="shared" si="303"/>
        <v>0.06</v>
      </c>
      <c r="EU188">
        <f t="shared" si="304"/>
        <v>0.06</v>
      </c>
      <c r="EV188">
        <f t="shared" si="305"/>
        <v>0</v>
      </c>
      <c r="EW188">
        <f t="shared" si="306"/>
        <v>0</v>
      </c>
      <c r="EX188">
        <f t="shared" si="307"/>
        <v>0</v>
      </c>
      <c r="EY188">
        <f t="shared" si="308"/>
        <v>0</v>
      </c>
      <c r="EZ188">
        <f t="shared" si="309"/>
        <v>0.06</v>
      </c>
      <c r="FA188">
        <f t="shared" si="310"/>
        <v>5.6999999999999995E-2</v>
      </c>
      <c r="FB188">
        <f t="shared" si="311"/>
        <v>0.06</v>
      </c>
      <c r="FC188" t="str">
        <f t="shared" si="312"/>
        <v>L3</v>
      </c>
      <c r="FD188" t="str">
        <f>IF(B188="","",IF(CA188=0,IF(AW188=1,"",FF187),IF(OR(N(CV188)&gt;=3,N(BR188)&gt;=3),"L1,L2,L3",IFERROR(_xlfn.TEXTBEFORE(_xlfn.TEXTAFTER(_xlfn.XLOOKUP(A188,Щиты[Щит],Щиты[_фазы авто]),";"&amp;AW188&amp;":"),";"),"L1"))))</f>
        <v>L1</v>
      </c>
      <c r="FE188" t="str">
        <f t="shared" si="313"/>
        <v>L3</v>
      </c>
      <c r="FF188" t="str">
        <f t="shared" si="314"/>
        <v>L3</v>
      </c>
      <c r="FG188" cm="1">
        <f t="array" ref="FG188">IFERROR(IF(BX188=2,_xlfn.IFS(BR188=3,VLOOKUP(BN188,Справочная_двигатели,3,FALSE),BR188=1,VLOOKUP(BN188,Справочная_двигатели,5,TRUE)),0),0)</f>
        <v>0</v>
      </c>
      <c r="FH188">
        <f>IFERROR(IF(BX188=3,VLOOKUP(BN188,Справочная_ЛЭД,2,TRUE),0),0)</f>
        <v>0</v>
      </c>
      <c r="FI188" s="6">
        <f t="shared" si="315"/>
        <v>0</v>
      </c>
      <c r="FJ188" t="str" cm="1">
        <f t="array" ref="FJ188">IF(B188="","",IFERROR(INDEX({"I особая","I","II","III"},MATCH(TRIM(AC188&amp;""),{"I особая","I","II","III"},0)),"III"))</f>
        <v>II</v>
      </c>
      <c r="FK188" t="str">
        <f>IF(B188="","",IF(TRIM(AD188&amp;"")&lt;&gt;"",IF(LOWER(TRIM(AD188&amp;""))="да","да","нет"),IF(IFERROR(_xlfn.XLOOKUP(AX188,Коды_код,Коды_пожарная),"")="да","да","нет")))</f>
        <v>нет</v>
      </c>
      <c r="FL188" t="str">
        <f t="shared" si="316"/>
        <v/>
      </c>
      <c r="FM188" t="str">
        <f t="shared" si="317"/>
        <v>основная</v>
      </c>
      <c r="FN188">
        <f t="shared" si="318"/>
        <v>1</v>
      </c>
      <c r="FO188" t="str" cm="1">
        <f t="array" ref="FO188">IF(B188="","",_xlfn.LET(_xlpm.t,IFERROR(_xlfn.XLOOKUP(1,(Шины[Шина]=FM188)*(((Шины[Щит]=A188)+(Шины[Щит]=""))&gt;0),Шины[Тип]),"")&amp;"",IF(_xlpm.t&lt;&gt;"",_xlpm.t,IF(ISNUMBER(SEARCH("ИБП",FM188)),"ИБП",IF(ISNUMBER(SEARCH("ДГУ",FM188)),"ДГУ","Ввод "&amp;FN188)))))</f>
        <v>Ввод 1</v>
      </c>
      <c r="FP188" t="str">
        <f t="shared" si="319"/>
        <v>Ввод 1</v>
      </c>
      <c r="FQ188" t="str">
        <f>IF(B188="","",IF(OR(FO188="ИБП",FO188="ДГУ"),"I особая",IF(FO188="Одиночная","III",_xlfn.XLOOKUP(A188,Щиты[Щит],Щиты[Категория шины «Ввод»],"III"))))</f>
        <v>II</v>
      </c>
      <c r="FR188">
        <f>IF(B188="",0,IFERROR(MATCH(FJ188,{"III","II","I","I особая"},0),1))</f>
        <v>2</v>
      </c>
      <c r="FS188">
        <f t="shared" si="320"/>
        <v>2</v>
      </c>
      <c r="FT188" t="str">
        <f>IF(B188="","",IF(FR188&gt;IFERROR(MATCH(FQ188,{"III","II","I","I особая"},0),1),"НЕ ОБЕСПЕЧЕНА","ОК"))</f>
        <v>ОК</v>
      </c>
      <c r="FU188" t="str">
        <f>IF(A188="","",_xlfn.XLOOKUP(A188,Щиты[Щит],Щиты[Путь],""))</f>
        <v>|ГРЩ-ЖД|ЩР-01|</v>
      </c>
      <c r="FV188" t="str">
        <f>IF(B188="","",IF(AE188&lt;&gt;"",AE188,IF(IFERROR(_xlfn.XLOOKUP(AX188,Коды_код,Коды_вид)&amp;"","")="","Прочее",_xlfn.XLOOKUP(AX188,Коды_код,Коды_вид)&amp;"")))</f>
        <v>Розеточная сеть и бытовые приборы</v>
      </c>
      <c r="FW188">
        <f>IF(BH188="","",INT((BH188-1)/Столбцов_на_лист)+1)</f>
        <v>2</v>
      </c>
      <c r="FX188" t="str">
        <f t="shared" si="321"/>
        <v>ВВГнг(А)-LS (3х2,5) L=32-0,07%</v>
      </c>
      <c r="FY188">
        <f t="shared" si="322"/>
        <v>0.06</v>
      </c>
      <c r="FZ188">
        <f t="shared" si="323"/>
        <v>0.28000000000000003</v>
      </c>
      <c r="GA188">
        <f t="shared" si="324"/>
        <v>1</v>
      </c>
      <c r="GB188">
        <f t="shared" si="325"/>
        <v>0</v>
      </c>
      <c r="GC188">
        <f t="shared" si="326"/>
        <v>1</v>
      </c>
      <c r="GD188">
        <f>IF(BH188="","",IF(AND(CA188=1,GC188=1),COUNTIFS(A$3:A188,A188,CA$3:CA188,1,GC$3:GC188,1),IF(OR(OR(AW188=1,A188&lt;&gt;A187),AF188="вручную",GC188=0),"",IF(AW188=1,"",GE187))))</f>
        <v>4</v>
      </c>
      <c r="GE188">
        <f t="shared" si="327"/>
        <v>4</v>
      </c>
      <c r="GF188">
        <f>IF(B188="","",IFERROR(LOOKUP(INDEX(CHOOSE(DL188,Iдоп_1ж,Iдоп_2ж,Iдоп_3ж),MATCH(DX188,Iдоп_S,0))*DJ188*DK188,{6,10,16,20,25,32,40,50,63,80,100,125,160,200,250,315,400,500,630}),""))</f>
        <v>25</v>
      </c>
      <c r="GG188" t="str">
        <f t="shared" si="328"/>
        <v>QFD4</v>
      </c>
      <c r="GH188" t="str">
        <f t="shared" si="329"/>
        <v>QFD4</v>
      </c>
      <c r="GI188" t="str">
        <f t="shared" si="330"/>
        <v/>
      </c>
      <c r="GJ188">
        <f t="shared" si="331"/>
        <v>0</v>
      </c>
      <c r="GK188" t="str">
        <f>IF(OR(AG188="",AG188="-"),"",IFERROR(VLOOKUP(AG188,Модули_спр,2,FALSE),"R"))</f>
        <v/>
      </c>
      <c r="GL188" t="str">
        <f>IF(GK188="","",GK188&amp;"."&amp;COUNTIFS(A$3:A188,A188,GK$3:GK188,GK188))</f>
        <v/>
      </c>
      <c r="GM188" t="str">
        <f t="shared" si="332"/>
        <v/>
      </c>
      <c r="GN188" t="str">
        <f t="shared" si="333"/>
        <v/>
      </c>
      <c r="GO188" t="str">
        <f t="shared" si="334"/>
        <v/>
      </c>
      <c r="GP188" t="str">
        <f t="shared" si="335"/>
        <v/>
      </c>
      <c r="GQ188">
        <f t="shared" si="336"/>
        <v>1</v>
      </c>
      <c r="GR188" t="str">
        <f>IF(GQ188=1,"XT"&amp;COUNTIFS(A$3:A188,A188,GQ$3:GQ188,1),"")</f>
        <v>XT4</v>
      </c>
      <c r="GS188" t="str">
        <f t="shared" si="337"/>
        <v>XT4</v>
      </c>
      <c r="GT188" t="str">
        <f t="shared" si="338"/>
        <v>QFD4</v>
      </c>
      <c r="GU188" t="str">
        <f t="shared" si="339"/>
        <v/>
      </c>
      <c r="GV188" t="str">
        <f t="shared" si="340"/>
        <v>ok</v>
      </c>
      <c r="GW188" t="str">
        <f>IF(OR(GO188="",GM188=""),"",IF(GO188&gt;IFERROR(VLOOKUP(GN188,Модули_спр,3,FALSE),99),"ЛИШНИЙ КАНАЛ",IF(AND(AH188&lt;&gt;"=",COUNTIFS(Линии[_модуль гр.],GM188,Линии[Канал (итог)],GO188,Линии[Канал],"&lt;&gt;=",Линии[Щит],A188)&gt;1),"ДУБЛЬ КАНАЛА","")))</f>
        <v/>
      </c>
      <c r="GX188" s="6" t="str">
        <f t="shared" si="341"/>
        <v/>
      </c>
      <c r="GY188">
        <f t="shared" si="342"/>
        <v>10</v>
      </c>
      <c r="GZ188" t="str">
        <f t="shared" si="343"/>
        <v/>
      </c>
      <c r="HA188" t="str">
        <f>IF(AND(B188="",GT188=""),"",_xlfn.TEXTJOIN("; ",TRUE,IF(AND(B188&lt;&gt;"",FE188=""),"нет фазы",""),IF(AND(B188&lt;&gt;"",N(FY188)=0,EQ188&lt;&gt;"Нет"),"нет мощности",""),IF(AND(GS188&lt;&gt;"",COUNTIFS(Линии[Щит],A188,Линии[Клемма (итог)],GS188)&gt;1),"дубль клеммы "&amp;GS188,""),IF(AND(GV188&lt;&gt;"",GV188&lt;&gt;"ok"),GV188,""),IF(GW188&lt;&gt;"",GW188,""),IF(AND(N(BV188)&gt;=4,N(BR188)=1),BV188&amp;" жил на 1 фазе",""),IF(AND(AX188="R",CA188=1,OR(N(CK188)=0,N(CK188)&gt;30)),"розетка без дифзащиты до 30 мА",""),IFERROR(IF(AND(ISNUMBER(R188),R188&gt;DV188),"потери "&amp;FIXED(R188,1)&amp;" % &gt; "&amp;DV188&amp;" %",""),""),IFERROR(IF(LEFT(GZ188,4)="мало","Iкз мало — отключение &gt; 0,4 с",""),""),IF(AND(B188&lt;&gt;"",BH188=""),"не на схеме",""),IF(AND(CA188=0,B188&lt;&gt;"",FE188&lt;&gt;"",IF(AW188=1,"",FF187)&lt;&gt;"",FE188&lt;&gt;IF(AW188=1,"",FF187)),"фаза не как у автомата группы ("&amp;IF(AW188=1,"",FF187)&amp;")","")))</f>
        <v/>
      </c>
      <c r="HB188" s="6">
        <f>IF(OR(CA188=0,DA188=""),"",_xlfn.LET(_xlpm.t,IFERROR(_xlfn.XLOOKUP(DA188,Каталог!$U$4:$U$500,Каталог!$G$4:$G$500),""),_xlpm.k,SEARCH("кА",_xlpm.t),IFERROR(--TRIM(RIGHT(SUBSTITUTE(MID(_xlpm.t,MAX(1,_xlpm.k-4),_xlpm.k-MAX(1,_xlpm.k-4))," ",REPT(" ",9)),5)),"")))</f>
        <v>6</v>
      </c>
      <c r="HC188" t="str">
        <f>IF(OR(HB188="",CA188=0),"",IF(_xlfn.XLOOKUP(A188,Щиты[Щит],Щиты[Iкз max на шинах, кА],"")="","",IF(HB188&lt;_xlfn.XLOOKUP(A188,Щиты[Щит],Щиты[Iкз max на шинах, кА]),"Icu "&amp;HB188&amp;" кА &lt; Iкз max","ok")))</f>
        <v/>
      </c>
      <c r="HD188" t="str">
        <f t="shared" si="344"/>
        <v/>
      </c>
      <c r="HE188" t="str">
        <f t="shared" si="345"/>
        <v>QFD4|XT4</v>
      </c>
      <c r="HF188" t="str">
        <f t="shared" si="346"/>
        <v>QFD4|XT4|кабель ВВГнг(А)-LS (3х2,5) → Розеточная группа, пом. 002T</v>
      </c>
      <c r="HG188" t="str" cm="1">
        <f t="array" ref="HG188">IF(HF188="","",_xlfn.LET(_xlpm.nd,_xlfn.TEXTSPLIT(HF188,"|"),IF(COLUMNS(_xlpm.nd)&gt;1,A188&amp;"¦"&amp;INDEX(_xlpm.nd,1)&amp;"¦"&amp;INDEX(_xlpm.nd,2),"")))</f>
        <v>ЩР-01¦QFD4¦XT4</v>
      </c>
      <c r="HH188" t="str">
        <f t="shared" si="347"/>
        <v>R.0.002T.1¦Розеточная группа, пом. 002T</v>
      </c>
      <c r="HI188" t="str" cm="1">
        <f t="array" ref="HI188">IF(HF188="","",_xlfn.LET(_xlpm.nd,_xlfn.TEXTSPLIT(HF188,"|"),IF(COLUMNS(_xlpm.nd)&gt;2,A188&amp;"¦"&amp;INDEX(_xlpm.nd,2)&amp;"¦"&amp;INDEX(_xlpm.nd,3),"")))</f>
        <v>ЩР-01¦XT4¦кабель ВВГнг(А)-LS (3х2,5) → Розеточная группа, пом. 002T</v>
      </c>
      <c r="HJ188" t="str">
        <f t="shared" si="348"/>
        <v>R.0.002T.1¦Розеточная группа, пом. 002T</v>
      </c>
      <c r="HK188" t="str" cm="1">
        <f t="array" ref="HK188">IF(HF188="","",_xlfn.LET(_xlpm.nd,_xlfn.TEXTSPLIT(HF188,"|"),IF(COLUMNS(_xlpm.nd)&gt;3,A188&amp;"¦"&amp;INDEX(_xlpm.nd,3)&amp;"¦"&amp;INDEX(_xlpm.nd,4),"")))</f>
        <v/>
      </c>
      <c r="HL188" t="str">
        <f t="shared" si="349"/>
        <v/>
      </c>
      <c r="HM188" t="str" cm="1">
        <f t="array" ref="HM188">IF(HF188="","",_xlfn.LET(_xlpm.nd,_xlfn.TEXTSPLIT(HF188,"|"),IF(COLUMNS(_xlpm.nd)&gt;4,A188&amp;"¦"&amp;INDEX(_xlpm.nd,4)&amp;"¦"&amp;INDEX(_xlpm.nd,5),"")))</f>
        <v/>
      </c>
      <c r="HN188" t="str">
        <f t="shared" si="350"/>
        <v/>
      </c>
      <c r="HO188" t="str" cm="1">
        <f t="array" ref="HO188">IF(HF188="","",_xlfn.LET(_xlpm.nd,_xlfn.TEXTSPLIT(HF188,"|"),IF(COLUMNS(_xlpm.nd)&gt;5,A188&amp;"¦"&amp;INDEX(_xlpm.nd,5)&amp;"¦"&amp;INDEX(_xlpm.nd,6),"")))</f>
        <v/>
      </c>
      <c r="HP188" t="str">
        <f t="shared" si="351"/>
        <v/>
      </c>
      <c r="HQ188" t="str" cm="1">
        <f t="array" ref="HQ188">IF(HF188="","",_xlfn.LET(_xlpm.nd,_xlfn.TEXTSPLIT(HF188,"|"),IF(COLUMNS(_xlpm.nd)&gt;6,A188&amp;"¦"&amp;INDEX(_xlpm.nd,6)&amp;"¦"&amp;INDEX(_xlpm.nd,7),"")))</f>
        <v/>
      </c>
      <c r="HR188" t="str">
        <f t="shared" si="352"/>
        <v/>
      </c>
      <c r="HS188" t="str">
        <f t="shared" si="353"/>
        <v/>
      </c>
      <c r="HT188" t="str">
        <f t="shared" si="354"/>
        <v>QFD4 → XT4</v>
      </c>
      <c r="HU188">
        <f t="shared" si="355"/>
        <v>0</v>
      </c>
      <c r="HV188">
        <f t="shared" si="356"/>
        <v>1</v>
      </c>
      <c r="HW188" t="str">
        <f t="shared" si="357"/>
        <v/>
      </c>
      <c r="HX188" t="str">
        <f t="shared" si="358"/>
        <v/>
      </c>
      <c r="HY188" t="str">
        <f t="shared" si="359"/>
        <v/>
      </c>
      <c r="HZ188" t="str">
        <f t="shared" si="360"/>
        <v/>
      </c>
      <c r="IA188" t="str">
        <f>IF(B188="","",IFERROR(VLOOKUP(B188,УГО_спр,2,FALSE),IFERROR(VLOOKUP(AX188,УГО_спр,2,FALSE),IFERROR(VLOOKUP(LEFT(AX188,2),УГО_спр,2,FALSE),""))))</f>
        <v>Розетка</v>
      </c>
      <c r="IB188" t="str">
        <f>IF(B188="","",IF(OR(IA188="",IA188=0),"BOX",IFERROR(IF(VLOOKUP(IA188,УГО_блоки,3,FALSE)&amp;""&lt;&gt;"",VLOOKUP(IA188,УГО_блоки,3,FALSE),VLOOKUP(IA188,УГО_блоки,2,FALSE)),IA188)))</f>
        <v>SOCKET</v>
      </c>
      <c r="IC188">
        <f t="shared" si="361"/>
        <v>1</v>
      </c>
      <c r="ID188" t="str">
        <f>IF(DA188="","",IF(COUNTIF(DA$3:DA188,DA188)=1,MAX(ID$2:ID187)+1,""))</f>
        <v/>
      </c>
      <c r="IE188" t="str">
        <f>IF(CO188="","",IF(COUNTIF(CO$3:CO188,CO188)+COUNTIF(CP$2:CP187,CO188)+COUNTIF(CQ$2:CQ187,CO188)=1,MAX(IE$2:IG187)+1,""))</f>
        <v/>
      </c>
      <c r="IF188" t="str">
        <f>IF(CP188="","",IF(COUNTIF(CO$3:CO188,CP188)+COUNTIF(CP$3:CP188,CP188)+COUNTIF(CQ$2:CQ187,CP188)=1,MAX(IE$2:IG187,IE188)+1,""))</f>
        <v/>
      </c>
      <c r="IG188" t="str">
        <f>IF(CQ188="","",IF(COUNTIF(CO$3:CO188,CQ188)+COUNTIF(CP$3:CP188,CQ188)+COUNTIF(CQ$3:CQ188,CQ188)=1,MAX(IE$2:IG187,IE188,IF188)+1,""))</f>
        <v/>
      </c>
      <c r="IH188" t="str">
        <f t="shared" si="362"/>
        <v>3х2,5</v>
      </c>
      <c r="II188" t="str">
        <f>IF(IH188="","",IF(COUNTIF(IH$3:IH188,IH188)=1,MAX(II$2:II187)+1,""))</f>
        <v/>
      </c>
      <c r="IJ188" t="str">
        <f>IF(GL188="","",COUNTIF(GL$3:GL188,"?*"))</f>
        <v/>
      </c>
      <c r="IK188" t="str">
        <f>IF(OR(GL188="",GN188=""),"",IF(COUNTIFS(GL$3:GL188,"?*",GN$3:GN188,GN188)=1,MAX(IK$2:IK187)+1,""))</f>
        <v/>
      </c>
      <c r="IL188">
        <f t="shared" si="363"/>
        <v>0</v>
      </c>
      <c r="IM188">
        <f>IF(B188="","",COUNTIF(B$3:B188,"?*"))</f>
        <v>186</v>
      </c>
      <c r="IN188">
        <f>IF(GQ188&lt;&gt;1,0,_xlfn.LET(_xlpm.k,MAX(IFERROR(--VLOOKUP(B188,УГО_спр,5,FALSE),0),IFERROR(--VLOOKUP(AX188,УГО_спр,5,FALSE),0),IFERROR(--VLOOKUP(LEFT(AX188,2),УГО_спр,5,FALSE),0)),IF(_xlpm.k&gt;0,_xlpm.k,IF(IFERROR(--LEFT(SUBSTITUTE(IH188,"x","х"),FIND("х",SUBSTITUTE(IH188,"x","х"))-1),3)&gt;3,Каталог!$S$9,1))))</f>
        <v>1</v>
      </c>
      <c r="IO188">
        <f t="shared" si="364"/>
        <v>0</v>
      </c>
      <c r="IP188" t="str">
        <f t="shared" si="365"/>
        <v>авто</v>
      </c>
      <c r="IQ188">
        <f t="shared" si="366"/>
        <v>30</v>
      </c>
      <c r="IR188">
        <f t="shared" si="367"/>
        <v>1</v>
      </c>
      <c r="IS188">
        <f t="shared" si="368"/>
        <v>1</v>
      </c>
    </row>
    <row r="189" spans="1:253" x14ac:dyDescent="0.3">
      <c r="A189" t="s">
        <v>757</v>
      </c>
      <c r="B189" t="s">
        <v>1455</v>
      </c>
      <c r="C189" t="str">
        <f>Линии[[#This Row],[_авто наименование]]</f>
        <v>Розеточная группа, пом. 002Б</v>
      </c>
      <c r="D189">
        <v>4</v>
      </c>
      <c r="E189">
        <v>0.24</v>
      </c>
      <c r="G189" t="str">
        <f>Линии[[#This Row],[_авто автомат]]</f>
        <v>2P С16А 30мА</v>
      </c>
      <c r="H189">
        <f>Линии[[#This Row],[_авто утечка]]</f>
        <v>30</v>
      </c>
      <c r="I189" t="str">
        <f>Линии[[#This Row],[_авто управление]]</f>
        <v/>
      </c>
      <c r="J189" t="str">
        <f>Линии[[#This Row],[_авто аппараты]]</f>
        <v/>
      </c>
      <c r="K189">
        <v>2.5</v>
      </c>
      <c r="L189">
        <v>24</v>
      </c>
      <c r="M189">
        <v>3</v>
      </c>
      <c r="N189" t="str">
        <f>Линии[[#This Row],[_авто клемма]]</f>
        <v>XT5</v>
      </c>
      <c r="O189" t="str">
        <f t="shared" si="246"/>
        <v/>
      </c>
      <c r="P189" s="6" cm="1">
        <f t="array" ref="P189">IF(B189="","",IF(BC189&lt;&gt;"",IFERROR(_xlfn.XLOOKUP(BC189,Щиты[Щит],Щиты[Iр, А]),""),IF(BK189=1,IFERROR(_xlfn.XLOOKUP(A189,Щиты[Щит],Щиты[Iр, А]),""),IFERROR(_xlfn.IFS(BR189=1,BN189/((Uн_лин/SQRT(3))*BY189),BR189=3,BN189/(SQRT(3)*Uн_лин*BY189)),""))))</f>
        <v>1.0939268258329751</v>
      </c>
      <c r="Q189" s="7">
        <f>IF(B189="","",IFERROR(IF(VLOOKUP(AX189,Потребители_обозначение,4,FALSE)=1,VLOOKUP(AX189,Потребители_обозначение,3,FALSE)*(D189*2-1)+DS189+VLOOKUP(AZ189,Этаж_обозначение,3,FALSE)+VLOOKUP(AZ189,Этаж_обозначение,4,FALSE),VLOOKUP(AX189,Потребители_обозначение,3,FALSE)*(D189*2-1)+DS189),DS189))</f>
        <v>45</v>
      </c>
      <c r="R189" s="6">
        <f t="shared" si="247"/>
        <v>0.8</v>
      </c>
      <c r="S189" t="str">
        <f t="shared" si="248"/>
        <v>ВВГнг(А)-LS (3х2,5)</v>
      </c>
      <c r="T189" t="str">
        <f>IF(BH189="","",IF(BI189="вводной узел","узел ","")&amp;"л."&amp;(INT((BH189-1)/Столбцов_на_лист)+1)&amp;" / "&amp;(MOD(BH189-1,Столбцов_на_лист)+1))</f>
        <v>л.2 / 5</v>
      </c>
      <c r="V189">
        <v>1</v>
      </c>
      <c r="W189">
        <v>230</v>
      </c>
      <c r="X189" t="s">
        <v>564</v>
      </c>
      <c r="AC189" t="s">
        <v>815</v>
      </c>
      <c r="AE189" t="s">
        <v>563</v>
      </c>
      <c r="AI189">
        <v>22</v>
      </c>
      <c r="AJ189" t="s">
        <v>11</v>
      </c>
      <c r="AK189">
        <v>3</v>
      </c>
      <c r="AM189">
        <v>0</v>
      </c>
      <c r="AN189">
        <v>0</v>
      </c>
      <c r="AO189">
        <v>24</v>
      </c>
      <c r="AW189" cm="1">
        <f t="array" ref="AW189">ROW()-ROW(Линии[#Headers])</f>
        <v>187</v>
      </c>
      <c r="AX189" s="6" t="str">
        <f t="shared" si="249"/>
        <v>R</v>
      </c>
      <c r="AY189" t="str">
        <f t="shared" si="250"/>
        <v>0.002Б.1</v>
      </c>
      <c r="AZ189" t="str">
        <f t="shared" si="251"/>
        <v>0</v>
      </c>
      <c r="BA189" t="str">
        <f t="shared" si="252"/>
        <v>002Б.1</v>
      </c>
      <c r="BB189" t="str">
        <f t="shared" si="253"/>
        <v>002Б</v>
      </c>
      <c r="BC189" t="str">
        <f>IF(U189&lt;&gt;"",U189,IF(AND(B189&lt;&gt;"",B189&lt;&gt;A189,ISNUMBER(_xlfn.XMATCH(B189,Щиты[Щит]))),B189,""))</f>
        <v/>
      </c>
      <c r="BD189" t="str" cm="1">
        <f t="array" ref="BD189">IF(B189="","",IF(BC189&lt;&gt;"","Щит "&amp;BC189,_xlfn.LET(_xlpm.nm,IFERROR(_xlfn.XLOOKUP(AX189,Коды_код,Коды_имя)&amp;"",""),_xlpm.md,IFERROR(N(_xlfn.XLOOKUP(AX189,Коды_код,Коды_режим)),1),_xlpm.ex,IF(Имя_режим="по экспликации",IFERROR(_xlfn.XLOOKUP(AZ189&amp;"|"&amp;BB189,Экспликация[Этаж]&amp;"|"&amp;Экспликация[Помещение],Экспликация[Название])&amp;"",""),""),_xlpm.rm,IF(BB189="","",IF(_xlpm.ex&lt;&gt;"",". "&amp;_xlpm.ex&amp;IF(Имя_пом="нет"," ("&amp;BB189&amp;")"," (пом. "&amp;BB189&amp;")"),IF(Имя_пом="нет"," ",", пом. ")&amp;BB189)),IF(_xlpm.nm="","",IF(_xlpm.md=2,_xlpm.nm&amp;" шлейф "&amp;AZ189,_xlpm.nm&amp;_xlpm.rm)))))</f>
        <v>Розеточная группа, пом. 002Б</v>
      </c>
      <c r="BE189" t="str">
        <f t="shared" si="254"/>
        <v>Розеточная группа, пом. 002Б</v>
      </c>
      <c r="BF189">
        <f>IFERROR(_xlfn.XMATCH(A189,Щиты[Щит]),0)</f>
        <v>9</v>
      </c>
      <c r="BG189">
        <f>_xlfn.LET(_xlpm.k,IFERROR(_xlfn.XLOOKUP(A189,Щиты[Щит],Щиты[Листов под вводной узел]),""),IF(_xlpm.k="",1,N(_xlpm.k))*Столбцов_на_лист)</f>
        <v>17</v>
      </c>
      <c r="BH189">
        <f t="shared" si="255"/>
        <v>22</v>
      </c>
      <c r="BI189" t="str">
        <f t="shared" si="256"/>
        <v>линии</v>
      </c>
      <c r="BJ189" s="6">
        <f>IFERROR(N(_xlfn.XLOOKUP(AX189,Коды_код,Коды_квт)),0)</f>
        <v>0</v>
      </c>
      <c r="BK189">
        <f t="shared" si="257"/>
        <v>0</v>
      </c>
      <c r="BL189" t="str">
        <f>IF(B189="","",IF(BC189&lt;&gt;"",IFERROR(_xlfn.XLOOKUP(BC189,Щиты[Щит],Щиты[Руст, кВт]),0),IF(BK189=1,IFERROR(_xlfn.XLOOKUP(A189,Щиты[Щит],Щиты[Руст, кВт]),0),IF(BJ189&gt;0,ROUND(BJ189*MAX(1,N(D189)),3),""))))</f>
        <v/>
      </c>
      <c r="BM189">
        <f t="shared" si="258"/>
        <v>0.24</v>
      </c>
      <c r="BN189" s="6">
        <f>IF(B189="","",IF(BC189&lt;&gt;"",IFERROR(_xlfn.XLOOKUP(BC189,Щиты[Щит],Щиты[Руст, кВт]),0),N(BM189)))</f>
        <v>0.24</v>
      </c>
      <c r="BO189" t="str">
        <f>IF(B189="","",IFERROR(IF(VLOOKUP(AX189,Потребители_обозначение,8,FALSE)=0,"",VLOOKUP(AX189,Потребители_обозначение,8,FALSE)),""))</f>
        <v/>
      </c>
      <c r="BP189">
        <f t="shared" si="259"/>
        <v>230</v>
      </c>
      <c r="BQ189">
        <f>IF(B189="","",IF(BC189&lt;&gt;"",3,IFERROR(IF(N(VLOOKUP(AX189,Потребители_обозначение,9,FALSE))=0,1,VLOOKUP(AX189,Потребители_обозначение,9,FALSE)),1)))</f>
        <v>1</v>
      </c>
      <c r="BR189">
        <f t="shared" si="260"/>
        <v>1</v>
      </c>
      <c r="BS189" t="str">
        <f>IF(B189="","",_xlfn.LET(_xlpm.bc,IFERROR(IF(VLOOKUP(AX189,Потребители_обозначение,6,FALSE)=0,"",VLOOKUP(AX189,Потребители_обозначение,6,FALSE)&amp;""),""),IF(AND(FK189="да",OR(_xlpm.bc="",_xlpm.bc="мс")),Марка_пож,IF(AND(_xlpm.bc="",BC189&lt;&gt;""),"мс",_xlpm.bc))))</f>
        <v/>
      </c>
      <c r="BT189" t="str">
        <f t="shared" si="261"/>
        <v>мс</v>
      </c>
      <c r="BU189">
        <f>IF(B189="","",_xlfn.LET(_xlpm.cc,IFERROR(N(VLOOKUP(AX189,Потребители_обозначение,7,FALSE)),0),IF(_xlpm.cc&gt;0,_xlpm.cc,IF(BT189="","",IF(N(BR189)=3,5,3)))))</f>
        <v>3</v>
      </c>
      <c r="BV189">
        <f t="shared" si="262"/>
        <v>3</v>
      </c>
      <c r="BW189">
        <f>IFERROR(N(VLOOKUP(AX189,Потребители_обозначение,10,FALSE)),0)</f>
        <v>0</v>
      </c>
      <c r="BX189">
        <f>IFERROR(VLOOKUP(AX189,Потребители_обозначение,5,FALSE),0)</f>
        <v>1</v>
      </c>
      <c r="BY189" s="6" cm="1">
        <f t="array" ref="BY189">IF(B189="","",IF(BC189&lt;&gt;"",IFERROR(_xlfn.XLOOKUP(BC189,Щиты[Щит],Щиты[cos φ]),0.95),IF(BK189=1,IFERROR(_xlfn.XLOOKUP(A189,Щиты[Щит],Щиты[cos φ]),0.95),IF(ISNUMBER(Z189),Z189,IFERROR(IF(BX189=2,_xlfn.IFS(BR189=3,VLOOKUP(BN189,Справочная_двигатели,8,FALSE),BR189=1,VLOOKUP(BN189,Справочная_двигатели,10,TRUE)),IF(AND(Методика="нормы 2026",EQ189="Сил"),0.8,0.95)),0.95)))))</f>
        <v>0.95</v>
      </c>
      <c r="BZ189">
        <f t="shared" si="263"/>
        <v>0</v>
      </c>
      <c r="CA189">
        <f t="shared" si="264"/>
        <v>1</v>
      </c>
      <c r="CB189">
        <f t="shared" si="265"/>
        <v>0</v>
      </c>
      <c r="CC189">
        <f t="shared" si="266"/>
        <v>0</v>
      </c>
      <c r="CD189">
        <f t="shared" si="267"/>
        <v>0</v>
      </c>
      <c r="CE189">
        <f t="shared" si="268"/>
        <v>0</v>
      </c>
      <c r="CF189">
        <f t="shared" si="269"/>
        <v>0</v>
      </c>
      <c r="CG189">
        <f>IF(AX189="",0,_xlfn.LET(_xlpm.v,IFERROR(VLOOKUP(B189,УГО_спр,3,FALSE),IFERROR(VLOOKUP(AX189,УГО_спр,3,FALSE),IFERROR(VLOOKUP(LEFT(AX189,2),УГО_спр,3,FALSE),""))),IF(_xlpm.v="да",30,IF(ISNUMBER(_xlpm.v),_xlpm.v,0))))</f>
        <v>30</v>
      </c>
      <c r="CH189">
        <f t="shared" si="270"/>
        <v>30</v>
      </c>
      <c r="CI189" t="str">
        <f>_xlfn.LET(_xlpm.k,IFERROR(_xlfn.XLOOKUP(AX189,Коды_код,Коды_утечка)&amp;"",""),IF(_xlpm.k="","дифавтомат",_xlpm.k))</f>
        <v>дифавтомат</v>
      </c>
      <c r="CJ189">
        <f t="shared" si="271"/>
        <v>30</v>
      </c>
      <c r="CK189">
        <f t="shared" si="272"/>
        <v>30</v>
      </c>
      <c r="CL189">
        <f>IF(B189="",0,IFERROR(--VLOOKUP(B189,УГО_спр,4,FALSE),IFERROR(--VLOOKUP(AX189,УГО_спр,4,FALSE),IFERROR(--VLOOKUP(LEFT(AX189,2),УГО_спр,4,FALSE),0))))</f>
        <v>16</v>
      </c>
      <c r="CM189" t="str">
        <f>IF(B189="","",IFERROR(_xlfn.XLOOKUP(AX189,Коды_код,Коды_апп)&amp;"",""))</f>
        <v/>
      </c>
      <c r="CN189" t="str">
        <f t="shared" si="273"/>
        <v/>
      </c>
      <c r="CO189" t="str" cm="1">
        <f t="array" ref="CO189">IF(TRIM(CN189&amp;"")="","",IFERROR(TRIM(INDEX(_xlfn.TEXTSPLIT(CN189&amp;";;;",";"),1)),""))</f>
        <v/>
      </c>
      <c r="CP189" t="str" cm="1">
        <f t="array" ref="CP189">IF(TRIM(CN189&amp;"")="","",IFERROR(TRIM(INDEX(_xlfn.TEXTSPLIT(CN189&amp;";;;",";"),2)),""))</f>
        <v/>
      </c>
      <c r="CQ189" t="str" cm="1">
        <f t="array" ref="CQ189">IF(TRIM(CN189&amp;"")="","",IFERROR(TRIM(INDEX(_xlfn.TEXTSPLIT(CN189&amp;";;;",";"),3)),""))</f>
        <v/>
      </c>
      <c r="CR189">
        <f t="shared" si="274"/>
        <v>0</v>
      </c>
      <c r="CS189" t="str">
        <f>IF(B189="","",_xlfn.LET(_xlpm.t,LOWER(AV189&amp;""),IF(ISNUMBER(SEARCH("dim",_xlpm.t)),"DIM",IF(ISNUMBER(SEARCH("dali",_xlpm.t)),"DALI",IF(OR(ISNUMBER(SEARCH("relay",_xlpm.t)),ISNUMBER(SEARCH("реле",_xlpm.t))),"Relay",IF(ISNUMBER(SEARCH("кнопк",_xlpm.t)),"",IFERROR(_xlfn.XLOOKUP(AX189,Коды_код,Коды_упр)&amp;"","")))))))</f>
        <v/>
      </c>
      <c r="CT189" t="str">
        <f t="shared" si="275"/>
        <v/>
      </c>
      <c r="CU189">
        <f>IF(B189="","",_xlfn.LET(_xlpm.ig,N(P189)+IF(AF189="вручную",0,N(CB189)),_xlpm.n0,IFERROR(VLOOKUP(_xlpm.ig,Автомат_номиналы,2,TRUE),0),_xlpm.mn,MAX(CL189,IF(AF189="вручную",0,N(CE189))),MAX(_xlpm.n0,_xlpm.mn,IF(CR189=1,Мин_автомат_БП,0))))</f>
        <v>16</v>
      </c>
      <c r="CV189">
        <f t="shared" si="276"/>
        <v>1</v>
      </c>
      <c r="CW189" t="str">
        <f t="shared" si="277"/>
        <v>2P</v>
      </c>
      <c r="CX189" t="str">
        <f>_xlfn.LET(_xlpm.cc,UPPER(TRIM(IFERROR(_xlfn.XLOOKUP(AX189,Коды_код,Коды_хар)&amp;"",""))),IF(OR(_xlpm.cc="B",_xlpm.cc="В"),"B",IF(_xlpm.cc="D","D","С")))</f>
        <v>С</v>
      </c>
      <c r="CY189" t="str">
        <f t="shared" si="278"/>
        <v>2P С16А 30мА</v>
      </c>
      <c r="CZ189" t="str">
        <f t="shared" si="279"/>
        <v>2P С16А 30мА</v>
      </c>
      <c r="DA189" t="str">
        <f t="shared" si="280"/>
        <v>2P С16А 30мА</v>
      </c>
      <c r="DB189" cm="1">
        <f t="array" ref="DB189">IF(DA189="","",_xlfn.LET(_xlpm.t,SUBSTITUTE(SUBSTITUTE(SUBSTITUTE(UPPER(DA189),"С","C"),"А","A"),"В","B"),_xlpm.tk,_xlfn.TEXTSPLIT(_xlpm.t,"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9" t="str">
        <f t="shared" si="281"/>
        <v>ok</v>
      </c>
      <c r="DD189">
        <f t="shared" si="282"/>
        <v>16</v>
      </c>
      <c r="DE189" t="str">
        <f t="shared" si="283"/>
        <v>2P С16А 30мА</v>
      </c>
      <c r="DF189">
        <f t="shared" si="284"/>
        <v>30</v>
      </c>
      <c r="DG189">
        <f t="shared" si="285"/>
        <v>1</v>
      </c>
      <c r="DH189">
        <f t="shared" si="286"/>
        <v>0</v>
      </c>
      <c r="DI189">
        <f t="shared" si="287"/>
        <v>1.0939268258329751</v>
      </c>
      <c r="DJ189">
        <f t="shared" si="288"/>
        <v>1</v>
      </c>
      <c r="DK189">
        <f>IF(ISNUMBER(AL189),AL189,К_прокл)</f>
        <v>1</v>
      </c>
      <c r="DL189">
        <f t="shared" si="289"/>
        <v>2</v>
      </c>
      <c r="DM189">
        <f>IFERROR(N(VLOOKUP(BT189,Кабель_обозначение,3,FALSE)),1)</f>
        <v>1</v>
      </c>
      <c r="DN189">
        <f>IFERROR(N(_xlfn.XLOOKUP(A189,Щиты[Щит],Щиты[ΔU до шин, %])),0)</f>
        <v>0.43</v>
      </c>
      <c r="DO189" t="str">
        <f>IFERROR(_xlfn.XLOOKUP(A189,Щиты[Щит],Щиты[Zпетли на шинах, Ом]),"")</f>
        <v/>
      </c>
      <c r="DP189">
        <f>IFERROR(N(_xlfn.XLOOKUP(A189,Щиты[Щит],Щиты[ΔU до шин (подбор), %])),0)</f>
        <v>0.43</v>
      </c>
      <c r="DQ189" t="str">
        <f>IFERROR(_xlfn.XLOOKUP(A189,Щиты[Щит],Щиты[Zпетли на шинах (подбор), Ом]),"")</f>
        <v/>
      </c>
      <c r="DR189" t="str">
        <f t="shared" si="290"/>
        <v/>
      </c>
      <c r="DS189">
        <f t="shared" si="291"/>
        <v>24</v>
      </c>
      <c r="DT189">
        <f t="shared" si="292"/>
        <v>2</v>
      </c>
      <c r="DU189">
        <f t="shared" si="293"/>
        <v>0.31</v>
      </c>
      <c r="DV189" s="6">
        <f>IF(B189="","",IF(IFERROR(VLOOKUP(AX189,УГО_спр,2,FALSE),"")="Светильник",3,4)+IF(Методика="нормы 2026",MIN(0.5,MAX(0,N(Q189)-100)*0.005),0))</f>
        <v>4</v>
      </c>
      <c r="DW189" cm="1">
        <f t="array" ref="DW189">IF(OR(B189="",BT189="",DM189&lt;&gt;1),"",_xlfn.LET(_xlpm.sz,Iдоп_S,_xlpm.t_,CHOOSE(DL189,Iдоп_1ж,Iдоп_2ж,Iдоп_3ж)*DJ189*DK189,_xlpm.inn,N(DD189),_xlpm.smin,MAX(1.5,BW189),_xlpm.L_,N(Q189)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189)*(_xlpm.rho*_xlpm.L_/_xlpm.sz*N(BY189)+_xlpm.xx*_xlpm.L_*N(DU189)/1000)*N(P189)/((Uн_лин/SQRT(3))*1000)*100,999),_xlpm.kz,IF(OR(DG189=1,NOT(ISNUMBER(DQ189)),_xlpm.L_=0,_xlpm.inn=0),1,IFERROR(--(c_min*(Uн_лин*1000/SQRT(3))/(DQ189+2*ρкз_Cu*_xlpm.L_/_xlpm.sz)&gt;=GY189*_xlpm.inn),0)),_xlpm.ok,IFERROR((_xlpm.sz&gt;=_xlpm.smin)*(_xlpm.t_&gt;=_xlpm.inn)*IF(_xlpm.L_&gt;0,(_xlpm.du_+DP189&lt;=DV189+0.00001),1)*_xlpm.kz,0),_xlpm.r_,_xlfn._xlws.FILTER(_xlpm.sz,_xlpm.ok,"не подобрано"),INDEX(_xlpm.r_,1)))</f>
        <v>1.5</v>
      </c>
      <c r="DX189">
        <f t="shared" si="294"/>
        <v>2.5</v>
      </c>
      <c r="DY189" cm="1">
        <f t="array" ref="DY189">IF(OR(B189="",BT189="",DM189&lt;&gt;1),"",_xlfn.LET(_xlpm.sz,Iдоп_S,_xlpm.t_,CHOOSE(DL189,Iдоп_1ж,Iдоп_2ж,Iдоп_3ж)*DJ189*DK189,_xlpm.ok,IFERROR((_xlpm.sz&gt;=MAX(1.5,BW189))*(_xlpm.t_&gt;=N(DD189)),0),_xlpm.r_,_xlfn._xlws.FILTER(_xlpm.sz,_xlpm.ok,""),INDEX(_xlpm.r_,1)))</f>
        <v>1.5</v>
      </c>
      <c r="DZ189" s="6" cm="1">
        <f t="array" ref="DZ189">IFERROR(ROUNDUP(N(DT189)*(_xlfn.XLOOKUP(DY189,INDEX(Кабель_сопротивление,0,1),INDEX(Кабель_сопротивление,0,3))*N(Q189)/DY189*N(BY189)+_xlfn.XLOOKUP(DY189,INDEX(Кабель_сопротивление,0,1),INDEX(Кабель_сопротивление,0,2))*N(Q189)*N(DU189)/1000)*N(P189)/((Uн_лин/SQRT(3))*1000)*100,2),"")</f>
        <v>0.61</v>
      </c>
      <c r="EA189">
        <f>IFERROR(2*ρкз_Cu*N(Q189)/DY189,"")</f>
        <v>1.5780000000000001</v>
      </c>
      <c r="EB189">
        <f>IFERROR(VLOOKUP(DX189,Кабель_сопротивление,3,FALSE),"")</f>
        <v>2.2499999999999999E-2</v>
      </c>
      <c r="EC189">
        <f>IFERROR(VLOOKUP(DX189,Кабель_сопротивление,2,FALSE),"")</f>
        <v>0.1</v>
      </c>
      <c r="ED189">
        <f t="shared" si="295"/>
        <v>0</v>
      </c>
      <c r="EE189">
        <f t="shared" si="296"/>
        <v>24</v>
      </c>
      <c r="EF189">
        <f t="shared" si="297"/>
        <v>0.84482874832254828</v>
      </c>
      <c r="EG189" s="6">
        <f>IFERROR(ROUNDUP(EF189/((Uн_лин/SQRT(3))*1000)*100,2),"")</f>
        <v>0.37</v>
      </c>
      <c r="EH189" t="str">
        <f>IFERROR(VLOOKUP(BT189,Кабель_обозначение,2,FALSE),"")</f>
        <v>ВВГнг(А)-LS</v>
      </c>
      <c r="EI189" t="str">
        <f t="shared" si="298"/>
        <v>ВВГнг(А)-LS (3х2,5)</v>
      </c>
      <c r="EJ189" t="str">
        <f t="shared" si="299"/>
        <v>ВВГнг(А)-LS (3х2,5)
L=45-0,37%</v>
      </c>
      <c r="EK189">
        <f>IFERROR(2*ρкз_Cu*Q189/DX189,"")</f>
        <v>0.94679999999999997</v>
      </c>
      <c r="EL189">
        <f t="shared" si="300"/>
        <v>0.31500000000000006</v>
      </c>
      <c r="EM189" s="6" t="str">
        <f>IFERROR(IF(OR(B189="",NOT(ISNUMBER(DX189)),N(Q189)=0),"",_xlfn.XLOOKUP(A189,Щиты[Щит],Щиты[Zпетли на шинах, Ом])+EK189),"")</f>
        <v/>
      </c>
      <c r="EN189" s="6" t="str">
        <f>IF(ISNUMBER(EM189),c_min*(Uн_лин*1000/SQRT(3))/EM189,"")</f>
        <v/>
      </c>
      <c r="EO189" s="6" t="str">
        <f>IFERROR(IF(OR(B189="",NOT(ISNUMBER(DX189))),"",1.05*(Uн_лин*1000/SQRT(3))/(_xlfn.XLOOKUP(A189,Щиты[Щит],Щиты[Zmax на шинах, Ом])+EL189)/1000),"")</f>
        <v/>
      </c>
      <c r="EP189" s="6" t="str">
        <f>IF(B189="","",IF(ISNUMBER(Y189),"Сил",IF(IFERROR(_xlfn.XLOOKUP(AX189,Коды_код,Коды_группа)&amp;"","")="","Быт",_xlfn.XLOOKUP(AX189,Коды_код,Коды_группа)&amp;"")))</f>
        <v>Быт</v>
      </c>
      <c r="EQ189" s="6" t="str">
        <f t="shared" si="301"/>
        <v>Быт</v>
      </c>
      <c r="ER189" s="6">
        <f>IF(EQ189="Щит","щит",IF(EQ189="","",IF(EQ189="Быт",IFERROR(_xlfn.XLOOKUP(A189,Щиты[Щит],Щиты[Кс быт]),1),IF(EQ189="Сил",IF(ISNUMBER(Y189),Y189,IF(Методика="нормы 2026",IFERROR(_xlfn.XLOOKUP(A189,Щиты[Щит],Щиты[Кс силовых (табл. 7.5)]),1),1)),IF(OR(EQ189="Пост",EQ189="Отоп"),1,IF(EQ189="ВНГ",0.7,0))))))</f>
        <v>0.79799999999999993</v>
      </c>
      <c r="ES189">
        <f t="shared" si="302"/>
        <v>1</v>
      </c>
      <c r="ET189">
        <f t="shared" si="303"/>
        <v>0.24</v>
      </c>
      <c r="EU189">
        <f t="shared" si="304"/>
        <v>0.24</v>
      </c>
      <c r="EV189">
        <f t="shared" si="305"/>
        <v>0</v>
      </c>
      <c r="EW189">
        <f t="shared" si="306"/>
        <v>0</v>
      </c>
      <c r="EX189">
        <f t="shared" si="307"/>
        <v>0</v>
      </c>
      <c r="EY189">
        <f t="shared" si="308"/>
        <v>0</v>
      </c>
      <c r="EZ189">
        <f t="shared" si="309"/>
        <v>0.24</v>
      </c>
      <c r="FA189">
        <f t="shared" si="310"/>
        <v>0.22799999999999998</v>
      </c>
      <c r="FB189">
        <f t="shared" si="311"/>
        <v>0.24</v>
      </c>
      <c r="FC189" t="str">
        <f t="shared" si="312"/>
        <v>L3</v>
      </c>
      <c r="FD189" t="str">
        <f>IF(B189="","",IF(CA189=0,IF(AW189=1,"",FF188),IF(OR(N(CV189)&gt;=3,N(BR189)&gt;=3),"L1,L2,L3",IFERROR(_xlfn.TEXTBEFORE(_xlfn.TEXTAFTER(_xlfn.XLOOKUP(A189,Щиты[Щит],Щиты[_фазы авто]),";"&amp;AW189&amp;":"),";"),"L1"))))</f>
        <v>L1</v>
      </c>
      <c r="FE189" t="str">
        <f t="shared" si="313"/>
        <v>L3</v>
      </c>
      <c r="FF189" t="str">
        <f t="shared" si="314"/>
        <v>L3</v>
      </c>
      <c r="FG189" cm="1">
        <f t="array" ref="FG189">IFERROR(IF(BX189=2,_xlfn.IFS(BR189=3,VLOOKUP(BN189,Справочная_двигатели,3,FALSE),BR189=1,VLOOKUP(BN189,Справочная_двигатели,5,TRUE)),0),0)</f>
        <v>0</v>
      </c>
      <c r="FH189">
        <f>IFERROR(IF(BX189=3,VLOOKUP(BN189,Справочная_ЛЭД,2,TRUE),0),0)</f>
        <v>0</v>
      </c>
      <c r="FI189" s="6">
        <f t="shared" si="315"/>
        <v>0</v>
      </c>
      <c r="FJ189" t="str" cm="1">
        <f t="array" ref="FJ189">IF(B189="","",IFERROR(INDEX({"I особая","I","II","III"},MATCH(TRIM(AC189&amp;""),{"I особая","I","II","III"},0)),"III"))</f>
        <v>II</v>
      </c>
      <c r="FK189" t="str">
        <f>IF(B189="","",IF(TRIM(AD189&amp;"")&lt;&gt;"",IF(LOWER(TRIM(AD189&amp;""))="да","да","нет"),IF(IFERROR(_xlfn.XLOOKUP(AX189,Коды_код,Коды_пожарная),"")="да","да","нет")))</f>
        <v>нет</v>
      </c>
      <c r="FL189" t="str">
        <f t="shared" si="316"/>
        <v/>
      </c>
      <c r="FM189" t="str">
        <f t="shared" si="317"/>
        <v>основная</v>
      </c>
      <c r="FN189">
        <f t="shared" si="318"/>
        <v>1</v>
      </c>
      <c r="FO189" t="str" cm="1">
        <f t="array" ref="FO189">IF(B189="","",_xlfn.LET(_xlpm.t,IFERROR(_xlfn.XLOOKUP(1,(Шины[Шина]=FM189)*(((Шины[Щит]=A189)+(Шины[Щит]=""))&gt;0),Шины[Тип]),"")&amp;"",IF(_xlpm.t&lt;&gt;"",_xlpm.t,IF(ISNUMBER(SEARCH("ИБП",FM189)),"ИБП",IF(ISNUMBER(SEARCH("ДГУ",FM189)),"ДГУ","Ввод "&amp;FN189)))))</f>
        <v>Ввод 1</v>
      </c>
      <c r="FP189" t="str">
        <f t="shared" si="319"/>
        <v>Ввод 1</v>
      </c>
      <c r="FQ189" t="str">
        <f>IF(B189="","",IF(OR(FO189="ИБП",FO189="ДГУ"),"I особая",IF(FO189="Одиночная","III",_xlfn.XLOOKUP(A189,Щиты[Щит],Щиты[Категория шины «Ввод»],"III"))))</f>
        <v>II</v>
      </c>
      <c r="FR189">
        <f>IF(B189="",0,IFERROR(MATCH(FJ189,{"III","II","I","I особая"},0),1))</f>
        <v>2</v>
      </c>
      <c r="FS189">
        <f t="shared" si="320"/>
        <v>2</v>
      </c>
      <c r="FT189" t="str">
        <f>IF(B189="","",IF(FR189&gt;IFERROR(MATCH(FQ189,{"III","II","I","I особая"},0),1),"НЕ ОБЕСПЕЧЕНА","ОК"))</f>
        <v>ОК</v>
      </c>
      <c r="FU189" t="str">
        <f>IF(A189="","",_xlfn.XLOOKUP(A189,Щиты[Щит],Щиты[Путь],""))</f>
        <v>|ГРЩ-ЖД|ЩР-01|</v>
      </c>
      <c r="FV189" t="str">
        <f>IF(B189="","",IF(AE189&lt;&gt;"",AE189,IF(IFERROR(_xlfn.XLOOKUP(AX189,Коды_код,Коды_вид)&amp;"","")="","Прочее",_xlfn.XLOOKUP(AX189,Коды_код,Коды_вид)&amp;"")))</f>
        <v>Розеточная сеть и бытовые приборы</v>
      </c>
      <c r="FW189">
        <f>IF(BH189="","",INT((BH189-1)/Столбцов_на_лист)+1)</f>
        <v>2</v>
      </c>
      <c r="FX189" t="str">
        <f t="shared" si="321"/>
        <v>ВВГнг(А)-LS (3х2,5) L=45-0,37%</v>
      </c>
      <c r="FY189">
        <f t="shared" si="322"/>
        <v>0.24</v>
      </c>
      <c r="FZ189">
        <f t="shared" si="323"/>
        <v>1.1000000000000001</v>
      </c>
      <c r="GA189">
        <f t="shared" si="324"/>
        <v>1</v>
      </c>
      <c r="GB189">
        <f t="shared" si="325"/>
        <v>0</v>
      </c>
      <c r="GC189">
        <f t="shared" si="326"/>
        <v>1</v>
      </c>
      <c r="GD189">
        <f>IF(BH189="","",IF(AND(CA189=1,GC189=1),COUNTIFS(A$3:A189,A189,CA$3:CA189,1,GC$3:GC189,1),IF(OR(OR(AW189=1,A189&lt;&gt;A188),AF189="вручную",GC189=0),"",IF(AW189=1,"",GE188))))</f>
        <v>5</v>
      </c>
      <c r="GE189">
        <f t="shared" si="327"/>
        <v>5</v>
      </c>
      <c r="GF189">
        <f>IF(B189="","",IFERROR(LOOKUP(INDEX(CHOOSE(DL189,Iдоп_1ж,Iдоп_2ж,Iдоп_3ж),MATCH(DX189,Iдоп_S,0))*DJ189*DK189,{6,10,16,20,25,32,40,50,63,80,100,125,160,200,250,315,400,500,630}),""))</f>
        <v>25</v>
      </c>
      <c r="GG189" t="str">
        <f t="shared" si="328"/>
        <v>QFD5</v>
      </c>
      <c r="GH189" t="str">
        <f t="shared" si="329"/>
        <v>QFD5</v>
      </c>
      <c r="GI189" t="str">
        <f t="shared" si="330"/>
        <v/>
      </c>
      <c r="GJ189">
        <f t="shared" si="331"/>
        <v>0</v>
      </c>
      <c r="GK189" t="str">
        <f>IF(OR(AG189="",AG189="-"),"",IFERROR(VLOOKUP(AG189,Модули_спр,2,FALSE),"R"))</f>
        <v/>
      </c>
      <c r="GL189" t="str">
        <f>IF(GK189="","",GK189&amp;"."&amp;COUNTIFS(A$3:A189,A189,GK$3:GK189,GK189))</f>
        <v/>
      </c>
      <c r="GM189" t="str">
        <f t="shared" si="332"/>
        <v/>
      </c>
      <c r="GN189" t="str">
        <f t="shared" si="333"/>
        <v/>
      </c>
      <c r="GO189" t="str">
        <f t="shared" si="334"/>
        <v/>
      </c>
      <c r="GP189" t="str">
        <f t="shared" si="335"/>
        <v/>
      </c>
      <c r="GQ189">
        <f t="shared" si="336"/>
        <v>1</v>
      </c>
      <c r="GR189" t="str">
        <f>IF(GQ189=1,"XT"&amp;COUNTIFS(A$3:A189,A189,GQ$3:GQ189,1),"")</f>
        <v>XT5</v>
      </c>
      <c r="GS189" t="str">
        <f t="shared" si="337"/>
        <v>XT5</v>
      </c>
      <c r="GT189" t="str">
        <f t="shared" si="338"/>
        <v>QFD5</v>
      </c>
      <c r="GU189" t="str">
        <f t="shared" si="339"/>
        <v/>
      </c>
      <c r="GV189" t="str">
        <f t="shared" si="340"/>
        <v>ok</v>
      </c>
      <c r="GW189" t="str">
        <f>IF(OR(GO189="",GM189=""),"",IF(GO189&gt;IFERROR(VLOOKUP(GN189,Модули_спр,3,FALSE),99),"ЛИШНИЙ КАНАЛ",IF(AND(AH189&lt;&gt;"=",COUNTIFS(Линии[_модуль гр.],GM189,Линии[Канал (итог)],GO189,Линии[Канал],"&lt;&gt;=",Линии[Щит],A189)&gt;1),"ДУБЛЬ КАНАЛА","")))</f>
        <v/>
      </c>
      <c r="GX189" s="6" t="str">
        <f t="shared" si="341"/>
        <v/>
      </c>
      <c r="GY189">
        <f t="shared" si="342"/>
        <v>10</v>
      </c>
      <c r="GZ189" t="str">
        <f t="shared" si="343"/>
        <v/>
      </c>
      <c r="HA189" t="str">
        <f>IF(AND(B189="",GT189=""),"",_xlfn.TEXTJOIN("; ",TRUE,IF(AND(B189&lt;&gt;"",FE189=""),"нет фазы",""),IF(AND(B189&lt;&gt;"",N(FY189)=0,EQ189&lt;&gt;"Нет"),"нет мощности",""),IF(AND(GS189&lt;&gt;"",COUNTIFS(Линии[Щит],A189,Линии[Клемма (итог)],GS189)&gt;1),"дубль клеммы "&amp;GS189,""),IF(AND(GV189&lt;&gt;"",GV189&lt;&gt;"ok"),GV189,""),IF(GW189&lt;&gt;"",GW189,""),IF(AND(N(BV189)&gt;=4,N(BR189)=1),BV189&amp;" жил на 1 фазе",""),IF(AND(AX189="R",CA189=1,OR(N(CK189)=0,N(CK189)&gt;30)),"розетка без дифзащиты до 30 мА",""),IFERROR(IF(AND(ISNUMBER(R189),R189&gt;DV189),"потери "&amp;FIXED(R189,1)&amp;" % &gt; "&amp;DV189&amp;" %",""),""),IFERROR(IF(LEFT(GZ189,4)="мало","Iкз мало — отключение &gt; 0,4 с",""),""),IF(AND(B189&lt;&gt;"",BH189=""),"не на схеме",""),IF(AND(CA189=0,B189&lt;&gt;"",FE189&lt;&gt;"",IF(AW189=1,"",FF188)&lt;&gt;"",FE189&lt;&gt;IF(AW189=1,"",FF188)),"фаза не как у автомата группы ("&amp;IF(AW189=1,"",FF188)&amp;")","")))</f>
        <v/>
      </c>
      <c r="HB189" s="6">
        <f>IF(OR(CA189=0,DA189=""),"",_xlfn.LET(_xlpm.t,IFERROR(_xlfn.XLOOKUP(DA189,Каталог!$U$4:$U$500,Каталог!$G$4:$G$500),""),_xlpm.k,SEARCH("кА",_xlpm.t),IFERROR(--TRIM(RIGHT(SUBSTITUTE(MID(_xlpm.t,MAX(1,_xlpm.k-4),_xlpm.k-MAX(1,_xlpm.k-4))," ",REPT(" ",9)),5)),"")))</f>
        <v>6</v>
      </c>
      <c r="HC189" t="str">
        <f>IF(OR(HB189="",CA189=0),"",IF(_xlfn.XLOOKUP(A189,Щиты[Щит],Щиты[Iкз max на шинах, кА],"")="","",IF(HB189&lt;_xlfn.XLOOKUP(A189,Щиты[Щит],Щиты[Iкз max на шинах, кА]),"Icu "&amp;HB189&amp;" кА &lt; Iкз max","ok")))</f>
        <v/>
      </c>
      <c r="HD189" t="str">
        <f t="shared" si="344"/>
        <v/>
      </c>
      <c r="HE189" t="str">
        <f t="shared" si="345"/>
        <v>QFD5|XT5</v>
      </c>
      <c r="HF189" t="str">
        <f t="shared" si="346"/>
        <v>QFD5|XT5|кабель ВВГнг(А)-LS (3х2,5) → Розеточная группа, пом. 002Б</v>
      </c>
      <c r="HG189" t="str" cm="1">
        <f t="array" ref="HG189">IF(HF189="","",_xlfn.LET(_xlpm.nd,_xlfn.TEXTSPLIT(HF189,"|"),IF(COLUMNS(_xlpm.nd)&gt;1,A189&amp;"¦"&amp;INDEX(_xlpm.nd,1)&amp;"¦"&amp;INDEX(_xlpm.nd,2),"")))</f>
        <v>ЩР-01¦QFD5¦XT5</v>
      </c>
      <c r="HH189" t="str">
        <f t="shared" si="347"/>
        <v>R.0.002Б.1¦Розеточная группа, пом. 002Б</v>
      </c>
      <c r="HI189" t="str" cm="1">
        <f t="array" ref="HI189">IF(HF189="","",_xlfn.LET(_xlpm.nd,_xlfn.TEXTSPLIT(HF189,"|"),IF(COLUMNS(_xlpm.nd)&gt;2,A189&amp;"¦"&amp;INDEX(_xlpm.nd,2)&amp;"¦"&amp;INDEX(_xlpm.nd,3),"")))</f>
        <v>ЩР-01¦XT5¦кабель ВВГнг(А)-LS (3х2,5) → Розеточная группа, пом. 002Б</v>
      </c>
      <c r="HJ189" t="str">
        <f t="shared" si="348"/>
        <v>R.0.002Б.1¦Розеточная группа, пом. 002Б</v>
      </c>
      <c r="HK189" t="str" cm="1">
        <f t="array" ref="HK189">IF(HF189="","",_xlfn.LET(_xlpm.nd,_xlfn.TEXTSPLIT(HF189,"|"),IF(COLUMNS(_xlpm.nd)&gt;3,A189&amp;"¦"&amp;INDEX(_xlpm.nd,3)&amp;"¦"&amp;INDEX(_xlpm.nd,4),"")))</f>
        <v/>
      </c>
      <c r="HL189" t="str">
        <f t="shared" si="349"/>
        <v/>
      </c>
      <c r="HM189" t="str" cm="1">
        <f t="array" ref="HM189">IF(HF189="","",_xlfn.LET(_xlpm.nd,_xlfn.TEXTSPLIT(HF189,"|"),IF(COLUMNS(_xlpm.nd)&gt;4,A189&amp;"¦"&amp;INDEX(_xlpm.nd,4)&amp;"¦"&amp;INDEX(_xlpm.nd,5),"")))</f>
        <v/>
      </c>
      <c r="HN189" t="str">
        <f t="shared" si="350"/>
        <v/>
      </c>
      <c r="HO189" t="str" cm="1">
        <f t="array" ref="HO189">IF(HF189="","",_xlfn.LET(_xlpm.nd,_xlfn.TEXTSPLIT(HF189,"|"),IF(COLUMNS(_xlpm.nd)&gt;5,A189&amp;"¦"&amp;INDEX(_xlpm.nd,5)&amp;"¦"&amp;INDEX(_xlpm.nd,6),"")))</f>
        <v/>
      </c>
      <c r="HP189" t="str">
        <f t="shared" si="351"/>
        <v/>
      </c>
      <c r="HQ189" t="str" cm="1">
        <f t="array" ref="HQ189">IF(HF189="","",_xlfn.LET(_xlpm.nd,_xlfn.TEXTSPLIT(HF189,"|"),IF(COLUMNS(_xlpm.nd)&gt;6,A189&amp;"¦"&amp;INDEX(_xlpm.nd,6)&amp;"¦"&amp;INDEX(_xlpm.nd,7),"")))</f>
        <v/>
      </c>
      <c r="HR189" t="str">
        <f t="shared" si="352"/>
        <v/>
      </c>
      <c r="HS189" t="str">
        <f t="shared" si="353"/>
        <v/>
      </c>
      <c r="HT189" t="str">
        <f t="shared" si="354"/>
        <v>QFD5 → XT5</v>
      </c>
      <c r="HU189">
        <f t="shared" si="355"/>
        <v>0</v>
      </c>
      <c r="HV189">
        <f t="shared" si="356"/>
        <v>1</v>
      </c>
      <c r="HW189" t="str">
        <f t="shared" si="357"/>
        <v/>
      </c>
      <c r="HX189" t="str">
        <f t="shared" si="358"/>
        <v/>
      </c>
      <c r="HY189" t="str">
        <f t="shared" si="359"/>
        <v/>
      </c>
      <c r="HZ189" t="str">
        <f t="shared" si="360"/>
        <v/>
      </c>
      <c r="IA189" t="str">
        <f>IF(B189="","",IFERROR(VLOOKUP(B189,УГО_спр,2,FALSE),IFERROR(VLOOKUP(AX189,УГО_спр,2,FALSE),IFERROR(VLOOKUP(LEFT(AX189,2),УГО_спр,2,FALSE),""))))</f>
        <v>Розетка</v>
      </c>
      <c r="IB189" t="str">
        <f>IF(B189="","",IF(OR(IA189="",IA189=0),"BOX",IFERROR(IF(VLOOKUP(IA189,УГО_блоки,3,FALSE)&amp;""&lt;&gt;"",VLOOKUP(IA189,УГО_блоки,3,FALSE),VLOOKUP(IA189,УГО_блоки,2,FALSE)),IA189)))</f>
        <v>SOCKET</v>
      </c>
      <c r="IC189">
        <f t="shared" si="361"/>
        <v>1</v>
      </c>
      <c r="ID189" t="str">
        <f>IF(DA189="","",IF(COUNTIF(DA$3:DA189,DA189)=1,MAX(ID$2:ID188)+1,""))</f>
        <v/>
      </c>
      <c r="IE189" t="str">
        <f>IF(CO189="","",IF(COUNTIF(CO$3:CO189,CO189)+COUNTIF(CP$2:CP188,CO189)+COUNTIF(CQ$2:CQ188,CO189)=1,MAX(IE$2:IG188)+1,""))</f>
        <v/>
      </c>
      <c r="IF189" t="str">
        <f>IF(CP189="","",IF(COUNTIF(CO$3:CO189,CP189)+COUNTIF(CP$3:CP189,CP189)+COUNTIF(CQ$2:CQ188,CP189)=1,MAX(IE$2:IG188,IE189)+1,""))</f>
        <v/>
      </c>
      <c r="IG189" t="str">
        <f>IF(CQ189="","",IF(COUNTIF(CO$3:CO189,CQ189)+COUNTIF(CP$3:CP189,CQ189)+COUNTIF(CQ$3:CQ189,CQ189)=1,MAX(IE$2:IG188,IE189,IF189)+1,""))</f>
        <v/>
      </c>
      <c r="IH189" t="str">
        <f t="shared" si="362"/>
        <v>3х2,5</v>
      </c>
      <c r="II189" t="str">
        <f>IF(IH189="","",IF(COUNTIF(IH$3:IH189,IH189)=1,MAX(II$2:II188)+1,""))</f>
        <v/>
      </c>
      <c r="IJ189" t="str">
        <f>IF(GL189="","",COUNTIF(GL$3:GL189,"?*"))</f>
        <v/>
      </c>
      <c r="IK189" t="str">
        <f>IF(OR(GL189="",GN189=""),"",IF(COUNTIFS(GL$3:GL189,"?*",GN$3:GN189,GN189)=1,MAX(IK$2:IK188)+1,""))</f>
        <v/>
      </c>
      <c r="IL189">
        <f t="shared" si="363"/>
        <v>0</v>
      </c>
      <c r="IM189">
        <f>IF(B189="","",COUNTIF(B$3:B189,"?*"))</f>
        <v>187</v>
      </c>
      <c r="IN189">
        <f>IF(GQ189&lt;&gt;1,0,_xlfn.LET(_xlpm.k,MAX(IFERROR(--VLOOKUP(B189,УГО_спр,5,FALSE),0),IFERROR(--VLOOKUP(AX189,УГО_спр,5,FALSE),0),IFERROR(--VLOOKUP(LEFT(AX189,2),УГО_спр,5,FALSE),0)),IF(_xlpm.k&gt;0,_xlpm.k,IF(IFERROR(--LEFT(SUBSTITUTE(IH189,"x","х"),FIND("х",SUBSTITUTE(IH189,"x","х"))-1),3)&gt;3,Каталог!$S$9,1))))</f>
        <v>1</v>
      </c>
      <c r="IO189">
        <f t="shared" si="364"/>
        <v>0</v>
      </c>
      <c r="IP189" t="str">
        <f t="shared" si="365"/>
        <v>авто</v>
      </c>
      <c r="IQ189">
        <f t="shared" si="366"/>
        <v>30</v>
      </c>
      <c r="IR189">
        <f t="shared" si="367"/>
        <v>1</v>
      </c>
      <c r="IS189">
        <f t="shared" si="368"/>
        <v>1</v>
      </c>
    </row>
    <row r="190" spans="1:253" x14ac:dyDescent="0.3">
      <c r="A190" t="s">
        <v>757</v>
      </c>
      <c r="B190" t="s">
        <v>1456</v>
      </c>
      <c r="C190" t="str">
        <f>Линии[[#This Row],[_авто наименование]]</f>
        <v>Розеточная группа, пом. 002Б</v>
      </c>
      <c r="D190">
        <v>9</v>
      </c>
      <c r="E190">
        <v>0.54</v>
      </c>
      <c r="G190" t="str">
        <f>Линии[[#This Row],[_авто автомат]]</f>
        <v>2P С16А 30мА</v>
      </c>
      <c r="H190">
        <f>Линии[[#This Row],[_авто утечка]]</f>
        <v>30</v>
      </c>
      <c r="I190" t="str">
        <f>Линии[[#This Row],[_авто управление]]</f>
        <v/>
      </c>
      <c r="J190" t="str">
        <f>Линии[[#This Row],[_авто аппараты]]</f>
        <v/>
      </c>
      <c r="K190">
        <v>2.5</v>
      </c>
      <c r="L190">
        <v>70</v>
      </c>
      <c r="M190">
        <v>3</v>
      </c>
      <c r="N190" t="str">
        <f>Линии[[#This Row],[_авто клемма]]</f>
        <v>XT6</v>
      </c>
      <c r="O190" t="str">
        <f t="shared" si="246"/>
        <v/>
      </c>
      <c r="P190" s="6" cm="1">
        <f t="array" ref="P190">IF(B190="","",IF(BC190&lt;&gt;"",IFERROR(_xlfn.XLOOKUP(BC190,Щиты[Щит],Щиты[Iр, А]),""),IF(BK190=1,IFERROR(_xlfn.XLOOKUP(A190,Щиты[Щит],Щиты[Iр, А]),""),IFERROR(_xlfn.IFS(BR190=1,BN190/((Uн_лин/SQRT(3))*BY190),BR190=3,BN190/(SQRT(3)*Uн_лин*BY190)),""))))</f>
        <v>2.4613353581241939</v>
      </c>
      <c r="Q190" s="7">
        <f>IF(B190="","",IFERROR(IF(VLOOKUP(AX190,Потребители_обозначение,4,FALSE)=1,VLOOKUP(AX190,Потребители_обозначение,3,FALSE)*(D190*2-1)+DS190+VLOOKUP(AZ190,Этаж_обозначение,3,FALSE)+VLOOKUP(AZ190,Этаж_обозначение,4,FALSE),VLOOKUP(AX190,Потребители_обозначение,3,FALSE)*(D190*2-1)+DS190),DS190))</f>
        <v>121</v>
      </c>
      <c r="R190" s="6">
        <f t="shared" si="247"/>
        <v>2.65</v>
      </c>
      <c r="S190" t="str">
        <f t="shared" si="248"/>
        <v>ВВГнг(А)-LS (3х2,5)</v>
      </c>
      <c r="T190" t="str">
        <f>IF(BH190="","",IF(BI190="вводной узел","узел ","")&amp;"л."&amp;(INT((BH190-1)/Столбцов_на_лист)+1)&amp;" / "&amp;(MOD(BH190-1,Столбцов_на_лист)+1))</f>
        <v>л.2 / 6</v>
      </c>
      <c r="V190">
        <v>1</v>
      </c>
      <c r="W190">
        <v>230</v>
      </c>
      <c r="X190" t="s">
        <v>564</v>
      </c>
      <c r="AC190" t="s">
        <v>815</v>
      </c>
      <c r="AE190" t="s">
        <v>563</v>
      </c>
      <c r="AI190">
        <v>23</v>
      </c>
      <c r="AJ190" t="s">
        <v>11</v>
      </c>
      <c r="AK190">
        <v>3</v>
      </c>
      <c r="AM190">
        <v>0</v>
      </c>
      <c r="AN190">
        <v>0</v>
      </c>
      <c r="AO190">
        <v>70</v>
      </c>
      <c r="AW190" cm="1">
        <f t="array" ref="AW190">ROW()-ROW(Линии[#Headers])</f>
        <v>188</v>
      </c>
      <c r="AX190" s="6" t="str">
        <f t="shared" si="249"/>
        <v>R</v>
      </c>
      <c r="AY190" t="str">
        <f t="shared" si="250"/>
        <v>0.002Б.2</v>
      </c>
      <c r="AZ190" t="str">
        <f t="shared" si="251"/>
        <v>0</v>
      </c>
      <c r="BA190" t="str">
        <f t="shared" si="252"/>
        <v>002Б.2</v>
      </c>
      <c r="BB190" t="str">
        <f t="shared" si="253"/>
        <v>002Б</v>
      </c>
      <c r="BC190" t="str">
        <f>IF(U190&lt;&gt;"",U190,IF(AND(B190&lt;&gt;"",B190&lt;&gt;A190,ISNUMBER(_xlfn.XMATCH(B190,Щиты[Щит]))),B190,""))</f>
        <v/>
      </c>
      <c r="BD190" t="str" cm="1">
        <f t="array" ref="BD190">IF(B190="","",IF(BC190&lt;&gt;"","Щит "&amp;BC190,_xlfn.LET(_xlpm.nm,IFERROR(_xlfn.XLOOKUP(AX190,Коды_код,Коды_имя)&amp;"",""),_xlpm.md,IFERROR(N(_xlfn.XLOOKUP(AX190,Коды_код,Коды_режим)),1),_xlpm.ex,IF(Имя_режим="по экспликации",IFERROR(_xlfn.XLOOKUP(AZ190&amp;"|"&amp;BB190,Экспликация[Этаж]&amp;"|"&amp;Экспликация[Помещение],Экспликация[Название])&amp;"",""),""),_xlpm.rm,IF(BB190="","",IF(_xlpm.ex&lt;&gt;"",". "&amp;_xlpm.ex&amp;IF(Имя_пом="нет"," ("&amp;BB190&amp;")"," (пом. "&amp;BB190&amp;")"),IF(Имя_пом="нет"," ",", пом. ")&amp;BB190)),IF(_xlpm.nm="","",IF(_xlpm.md=2,_xlpm.nm&amp;" шлейф "&amp;AZ190,_xlpm.nm&amp;_xlpm.rm)))))</f>
        <v>Розеточная группа, пом. 002Б</v>
      </c>
      <c r="BE190" t="str">
        <f t="shared" si="254"/>
        <v>Розеточная группа, пом. 002Б</v>
      </c>
      <c r="BF190">
        <f>IFERROR(_xlfn.XMATCH(A190,Щиты[Щит]),0)</f>
        <v>9</v>
      </c>
      <c r="BG190">
        <f>_xlfn.LET(_xlpm.k,IFERROR(_xlfn.XLOOKUP(A190,Щиты[Щит],Щиты[Листов под вводной узел]),""),IF(_xlpm.k="",1,N(_xlpm.k))*Столбцов_на_лист)</f>
        <v>17</v>
      </c>
      <c r="BH190">
        <f t="shared" si="255"/>
        <v>23</v>
      </c>
      <c r="BI190" t="str">
        <f t="shared" si="256"/>
        <v>линии</v>
      </c>
      <c r="BJ190" s="6">
        <f>IFERROR(N(_xlfn.XLOOKUP(AX190,Коды_код,Коды_квт)),0)</f>
        <v>0</v>
      </c>
      <c r="BK190">
        <f t="shared" si="257"/>
        <v>0</v>
      </c>
      <c r="BL190" t="str">
        <f>IF(B190="","",IF(BC190&lt;&gt;"",IFERROR(_xlfn.XLOOKUP(BC190,Щиты[Щит],Щиты[Руст, кВт]),0),IF(BK190=1,IFERROR(_xlfn.XLOOKUP(A190,Щиты[Щит],Щиты[Руст, кВт]),0),IF(BJ190&gt;0,ROUND(BJ190*MAX(1,N(D190)),3),""))))</f>
        <v/>
      </c>
      <c r="BM190">
        <f t="shared" si="258"/>
        <v>0.54</v>
      </c>
      <c r="BN190" s="6">
        <f>IF(B190="","",IF(BC190&lt;&gt;"",IFERROR(_xlfn.XLOOKUP(BC190,Щиты[Щит],Щиты[Руст, кВт]),0),N(BM190)))</f>
        <v>0.54</v>
      </c>
      <c r="BO190" t="str">
        <f>IF(B190="","",IFERROR(IF(VLOOKUP(AX190,Потребители_обозначение,8,FALSE)=0,"",VLOOKUP(AX190,Потребители_обозначение,8,FALSE)),""))</f>
        <v/>
      </c>
      <c r="BP190">
        <f t="shared" si="259"/>
        <v>230</v>
      </c>
      <c r="BQ190">
        <f>IF(B190="","",IF(BC190&lt;&gt;"",3,IFERROR(IF(N(VLOOKUP(AX190,Потребители_обозначение,9,FALSE))=0,1,VLOOKUP(AX190,Потребители_обозначение,9,FALSE)),1)))</f>
        <v>1</v>
      </c>
      <c r="BR190">
        <f t="shared" si="260"/>
        <v>1</v>
      </c>
      <c r="BS190" t="str">
        <f>IF(B190="","",_xlfn.LET(_xlpm.bc,IFERROR(IF(VLOOKUP(AX190,Потребители_обозначение,6,FALSE)=0,"",VLOOKUP(AX190,Потребители_обозначение,6,FALSE)&amp;""),""),IF(AND(FK190="да",OR(_xlpm.bc="",_xlpm.bc="мс")),Марка_пож,IF(AND(_xlpm.bc="",BC190&lt;&gt;""),"мс",_xlpm.bc))))</f>
        <v/>
      </c>
      <c r="BT190" t="str">
        <f t="shared" si="261"/>
        <v>мс</v>
      </c>
      <c r="BU190">
        <f>IF(B190="","",_xlfn.LET(_xlpm.cc,IFERROR(N(VLOOKUP(AX190,Потребители_обозначение,7,FALSE)),0),IF(_xlpm.cc&gt;0,_xlpm.cc,IF(BT190="","",IF(N(BR190)=3,5,3)))))</f>
        <v>3</v>
      </c>
      <c r="BV190">
        <f t="shared" si="262"/>
        <v>3</v>
      </c>
      <c r="BW190">
        <f>IFERROR(N(VLOOKUP(AX190,Потребители_обозначение,10,FALSE)),0)</f>
        <v>0</v>
      </c>
      <c r="BX190">
        <f>IFERROR(VLOOKUP(AX190,Потребители_обозначение,5,FALSE),0)</f>
        <v>1</v>
      </c>
      <c r="BY190" s="6" cm="1">
        <f t="array" ref="BY190">IF(B190="","",IF(BC190&lt;&gt;"",IFERROR(_xlfn.XLOOKUP(BC190,Щиты[Щит],Щиты[cos φ]),0.95),IF(BK190=1,IFERROR(_xlfn.XLOOKUP(A190,Щиты[Щит],Щиты[cos φ]),0.95),IF(ISNUMBER(Z190),Z190,IFERROR(IF(BX190=2,_xlfn.IFS(BR190=3,VLOOKUP(BN190,Справочная_двигатели,8,FALSE),BR190=1,VLOOKUP(BN190,Справочная_двигатели,10,TRUE)),IF(AND(Методика="нормы 2026",EQ190="Сил"),0.8,0.95)),0.95)))))</f>
        <v>0.95</v>
      </c>
      <c r="BZ190">
        <f t="shared" si="263"/>
        <v>0</v>
      </c>
      <c r="CA190">
        <f t="shared" si="264"/>
        <v>1</v>
      </c>
      <c r="CB190">
        <f t="shared" si="265"/>
        <v>0</v>
      </c>
      <c r="CC190">
        <f t="shared" si="266"/>
        <v>0</v>
      </c>
      <c r="CD190">
        <f t="shared" si="267"/>
        <v>0</v>
      </c>
      <c r="CE190">
        <f t="shared" si="268"/>
        <v>0</v>
      </c>
      <c r="CF190">
        <f t="shared" si="269"/>
        <v>0</v>
      </c>
      <c r="CG190">
        <f>IF(AX190="",0,_xlfn.LET(_xlpm.v,IFERROR(VLOOKUP(B190,УГО_спр,3,FALSE),IFERROR(VLOOKUP(AX190,УГО_спр,3,FALSE),IFERROR(VLOOKUP(LEFT(AX190,2),УГО_спр,3,FALSE),""))),IF(_xlpm.v="да",30,IF(ISNUMBER(_xlpm.v),_xlpm.v,0))))</f>
        <v>30</v>
      </c>
      <c r="CH190">
        <f t="shared" si="270"/>
        <v>30</v>
      </c>
      <c r="CI190" t="str">
        <f>_xlfn.LET(_xlpm.k,IFERROR(_xlfn.XLOOKUP(AX190,Коды_код,Коды_утечка)&amp;"",""),IF(_xlpm.k="","дифавтомат",_xlpm.k))</f>
        <v>дифавтомат</v>
      </c>
      <c r="CJ190">
        <f t="shared" si="271"/>
        <v>30</v>
      </c>
      <c r="CK190">
        <f t="shared" si="272"/>
        <v>30</v>
      </c>
      <c r="CL190">
        <f>IF(B190="",0,IFERROR(--VLOOKUP(B190,УГО_спр,4,FALSE),IFERROR(--VLOOKUP(AX190,УГО_спр,4,FALSE),IFERROR(--VLOOKUP(LEFT(AX190,2),УГО_спр,4,FALSE),0))))</f>
        <v>16</v>
      </c>
      <c r="CM190" t="str">
        <f>IF(B190="","",IFERROR(_xlfn.XLOOKUP(AX190,Коды_код,Коды_апп)&amp;"",""))</f>
        <v/>
      </c>
      <c r="CN190" t="str">
        <f t="shared" si="273"/>
        <v/>
      </c>
      <c r="CO190" t="str" cm="1">
        <f t="array" ref="CO190">IF(TRIM(CN190&amp;"")="","",IFERROR(TRIM(INDEX(_xlfn.TEXTSPLIT(CN190&amp;";;;",";"),1)),""))</f>
        <v/>
      </c>
      <c r="CP190" t="str" cm="1">
        <f t="array" ref="CP190">IF(TRIM(CN190&amp;"")="","",IFERROR(TRIM(INDEX(_xlfn.TEXTSPLIT(CN190&amp;";;;",";"),2)),""))</f>
        <v/>
      </c>
      <c r="CQ190" t="str" cm="1">
        <f t="array" ref="CQ190">IF(TRIM(CN190&amp;"")="","",IFERROR(TRIM(INDEX(_xlfn.TEXTSPLIT(CN190&amp;";;;",";"),3)),""))</f>
        <v/>
      </c>
      <c r="CR190">
        <f t="shared" si="274"/>
        <v>0</v>
      </c>
      <c r="CS190" t="str">
        <f>IF(B190="","",_xlfn.LET(_xlpm.t,LOWER(AV190&amp;""),IF(ISNUMBER(SEARCH("dim",_xlpm.t)),"DIM",IF(ISNUMBER(SEARCH("dali",_xlpm.t)),"DALI",IF(OR(ISNUMBER(SEARCH("relay",_xlpm.t)),ISNUMBER(SEARCH("реле",_xlpm.t))),"Relay",IF(ISNUMBER(SEARCH("кнопк",_xlpm.t)),"",IFERROR(_xlfn.XLOOKUP(AX190,Коды_код,Коды_упр)&amp;"","")))))))</f>
        <v/>
      </c>
      <c r="CT190" t="str">
        <f t="shared" si="275"/>
        <v/>
      </c>
      <c r="CU190">
        <f>IF(B190="","",_xlfn.LET(_xlpm.ig,N(P190)+IF(AF190="вручную",0,N(CB190)),_xlpm.n0,IFERROR(VLOOKUP(_xlpm.ig,Автомат_номиналы,2,TRUE),0),_xlpm.mn,MAX(CL190,IF(AF190="вручную",0,N(CE190))),MAX(_xlpm.n0,_xlpm.mn,IF(CR190=1,Мин_автомат_БП,0))))</f>
        <v>16</v>
      </c>
      <c r="CV190">
        <f t="shared" si="276"/>
        <v>1</v>
      </c>
      <c r="CW190" t="str">
        <f t="shared" si="277"/>
        <v>2P</v>
      </c>
      <c r="CX190" t="str">
        <f>_xlfn.LET(_xlpm.cc,UPPER(TRIM(IFERROR(_xlfn.XLOOKUP(AX190,Коды_код,Коды_хар)&amp;"",""))),IF(OR(_xlpm.cc="B",_xlpm.cc="В"),"B",IF(_xlpm.cc="D","D","С")))</f>
        <v>С</v>
      </c>
      <c r="CY190" t="str">
        <f t="shared" si="278"/>
        <v>2P С16А 30мА</v>
      </c>
      <c r="CZ190" t="str">
        <f t="shared" si="279"/>
        <v>2P С16А 30мА</v>
      </c>
      <c r="DA190" t="str">
        <f t="shared" si="280"/>
        <v>2P С16А 30мА</v>
      </c>
      <c r="DB190" cm="1">
        <f t="array" ref="DB190">IF(DA190="","",_xlfn.LET(_xlpm.t,SUBSTITUTE(SUBSTITUTE(SUBSTITUTE(UPPER(DA190),"С","C"),"А","A"),"В","B"),_xlpm.tk,_xlfn.TEXTSPLIT(_xlpm.t,"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0" t="str">
        <f t="shared" si="281"/>
        <v>ok</v>
      </c>
      <c r="DD190">
        <f t="shared" si="282"/>
        <v>16</v>
      </c>
      <c r="DE190" t="str">
        <f t="shared" si="283"/>
        <v>2P С16А 30мА</v>
      </c>
      <c r="DF190">
        <f t="shared" si="284"/>
        <v>30</v>
      </c>
      <c r="DG190">
        <f t="shared" si="285"/>
        <v>1</v>
      </c>
      <c r="DH190">
        <f t="shared" si="286"/>
        <v>0</v>
      </c>
      <c r="DI190">
        <f t="shared" si="287"/>
        <v>2.4613353581241939</v>
      </c>
      <c r="DJ190">
        <f t="shared" si="288"/>
        <v>1</v>
      </c>
      <c r="DK190">
        <f>IF(ISNUMBER(AL190),AL190,К_прокл)</f>
        <v>1</v>
      </c>
      <c r="DL190">
        <f t="shared" si="289"/>
        <v>2</v>
      </c>
      <c r="DM190">
        <f>IFERROR(N(VLOOKUP(BT190,Кабель_обозначение,3,FALSE)),1)</f>
        <v>1</v>
      </c>
      <c r="DN190">
        <f>IFERROR(N(_xlfn.XLOOKUP(A190,Щиты[Щит],Щиты[ΔU до шин, %])),0)</f>
        <v>0.43</v>
      </c>
      <c r="DO190" t="str">
        <f>IFERROR(_xlfn.XLOOKUP(A190,Щиты[Щит],Щиты[Zпетли на шинах, Ом]),"")</f>
        <v/>
      </c>
      <c r="DP190">
        <f>IFERROR(N(_xlfn.XLOOKUP(A190,Щиты[Щит],Щиты[ΔU до шин (подбор), %])),0)</f>
        <v>0.43</v>
      </c>
      <c r="DQ190" t="str">
        <f>IFERROR(_xlfn.XLOOKUP(A190,Щиты[Щит],Щиты[Zпетли на шинах (подбор), Ом]),"")</f>
        <v/>
      </c>
      <c r="DR190" t="str">
        <f t="shared" si="290"/>
        <v/>
      </c>
      <c r="DS190">
        <f t="shared" si="291"/>
        <v>70</v>
      </c>
      <c r="DT190">
        <f t="shared" si="292"/>
        <v>2</v>
      </c>
      <c r="DU190">
        <f t="shared" si="293"/>
        <v>0.31</v>
      </c>
      <c r="DV190" s="6">
        <f>IF(B190="","",IF(IFERROR(VLOOKUP(AX190,УГО_спр,2,FALSE),"")="Светильник",3,4)+IF(Методика="нормы 2026",MIN(0.5,MAX(0,N(Q190)-100)*0.005),0))</f>
        <v>4.1050000000000004</v>
      </c>
      <c r="DW190" cm="1">
        <f t="array" ref="DW190">IF(OR(B190="",BT190="",DM190&lt;&gt;1),"",_xlfn.LET(_xlpm.sz,Iдоп_S,_xlpm.t_,CHOOSE(DL190,Iдоп_1ж,Iдоп_2ж,Iдоп_3ж)*DJ190*DK190,_xlpm.inn,N(DD190),_xlpm.smin,MAX(1.5,BW190),_xlpm.L_,N(Q190)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190)*(_xlpm.rho*_xlpm.L_/_xlpm.sz*N(BY190)+_xlpm.xx*_xlpm.L_*N(DU190)/1000)*N(P190)/((Uн_лин/SQRT(3))*1000)*100,999),_xlpm.kz,IF(OR(DG190=1,NOT(ISNUMBER(DQ190)),_xlpm.L_=0,_xlpm.inn=0),1,IFERROR(--(c_min*(Uн_лин*1000/SQRT(3))/(DQ190+2*ρкз_Cu*_xlpm.L_/_xlpm.sz)&gt;=GY190*_xlpm.inn),0)),_xlpm.ok,IFERROR((_xlpm.sz&gt;=_xlpm.smin)*(_xlpm.t_&gt;=_xlpm.inn)*IF(_xlpm.L_&gt;0,(_xlpm.du_+DP190&lt;=DV190+0.00001),1)*_xlpm.kz,0),_xlpm.r_,_xlfn._xlws.FILTER(_xlpm.sz,_xlpm.ok,"не подобрано"),INDEX(_xlpm.r_,1)))</f>
        <v>2.5</v>
      </c>
      <c r="DX190">
        <f t="shared" si="294"/>
        <v>2.5</v>
      </c>
      <c r="DY190" cm="1">
        <f t="array" ref="DY190">IF(OR(B190="",BT190="",DM190&lt;&gt;1),"",_xlfn.LET(_xlpm.sz,Iдоп_S,_xlpm.t_,CHOOSE(DL190,Iдоп_1ж,Iдоп_2ж,Iдоп_3ж)*DJ190*DK190,_xlpm.ok,IFERROR((_xlpm.sz&gt;=MAX(1.5,BW190))*(_xlpm.t_&gt;=N(DD190)),0),_xlpm.r_,_xlfn._xlws.FILTER(_xlpm.sz,_xlpm.ok,""),INDEX(_xlpm.r_,1)))</f>
        <v>1.5</v>
      </c>
      <c r="DZ190" s="6" cm="1">
        <f t="array" ref="DZ190">IFERROR(ROUNDUP(N(DT190)*(_xlfn.XLOOKUP(DY190,INDEX(Кабель_сопротивление,0,1),INDEX(Кабель_сопротивление,0,3))*N(Q190)/DY190*N(BY190)+_xlfn.XLOOKUP(DY190,INDEX(Кабель_сопротивление,0,1),INDEX(Кабель_сопротивление,0,2))*N(Q190)*N(DU190)/1000)*N(P190)/((Uн_лин/SQRT(3))*1000)*100,2),"")</f>
        <v>3.69</v>
      </c>
      <c r="EA190">
        <f>IFERROR(2*ρкз_Cu*N(Q190)/DY190,"")</f>
        <v>4.2430666666666665</v>
      </c>
      <c r="EB190">
        <f>IFERROR(VLOOKUP(DX190,Кабель_сопротивление,3,FALSE),"")</f>
        <v>2.2499999999999999E-2</v>
      </c>
      <c r="EC190">
        <f>IFERROR(VLOOKUP(DX190,Кабель_сопротивление,2,FALSE),"")</f>
        <v>0.1</v>
      </c>
      <c r="ED190">
        <f t="shared" si="295"/>
        <v>0</v>
      </c>
      <c r="EE190">
        <f t="shared" si="296"/>
        <v>70</v>
      </c>
      <c r="EF190">
        <f t="shared" si="297"/>
        <v>5.1112139273514172</v>
      </c>
      <c r="EG190" s="6">
        <f>IFERROR(ROUNDUP(EF190/((Uн_лин/SQRT(3))*1000)*100,2),"")</f>
        <v>2.2199999999999998</v>
      </c>
      <c r="EH190" t="str">
        <f>IFERROR(VLOOKUP(BT190,Кабель_обозначение,2,FALSE),"")</f>
        <v>ВВГнг(А)-LS</v>
      </c>
      <c r="EI190" t="str">
        <f t="shared" si="298"/>
        <v>ВВГнг(А)-LS (3х2,5)</v>
      </c>
      <c r="EJ190" t="str">
        <f t="shared" si="299"/>
        <v>ВВГнг(А)-LS (3х2,5)
L=121-2,22%</v>
      </c>
      <c r="EK190">
        <f>IFERROR(2*ρкз_Cu*Q190/DX190,"")</f>
        <v>2.5458400000000001</v>
      </c>
      <c r="EL190">
        <f t="shared" si="300"/>
        <v>0.84700000000000009</v>
      </c>
      <c r="EM190" s="6" t="str">
        <f>IFERROR(IF(OR(B190="",NOT(ISNUMBER(DX190)),N(Q190)=0),"",_xlfn.XLOOKUP(A190,Щиты[Щит],Щиты[Zпетли на шинах, Ом])+EK190),"")</f>
        <v/>
      </c>
      <c r="EN190" s="6" t="str">
        <f>IF(ISNUMBER(EM190),c_min*(Uн_лин*1000/SQRT(3))/EM190,"")</f>
        <v/>
      </c>
      <c r="EO190" s="6" t="str">
        <f>IFERROR(IF(OR(B190="",NOT(ISNUMBER(DX190))),"",1.05*(Uн_лин*1000/SQRT(3))/(_xlfn.XLOOKUP(A190,Щиты[Щит],Щиты[Zmax на шинах, Ом])+EL190)/1000),"")</f>
        <v/>
      </c>
      <c r="EP190" s="6" t="str">
        <f>IF(B190="","",IF(ISNUMBER(Y190),"Сил",IF(IFERROR(_xlfn.XLOOKUP(AX190,Коды_код,Коды_группа)&amp;"","")="","Быт",_xlfn.XLOOKUP(AX190,Коды_код,Коды_группа)&amp;"")))</f>
        <v>Быт</v>
      </c>
      <c r="EQ190" s="6" t="str">
        <f t="shared" si="301"/>
        <v>Быт</v>
      </c>
      <c r="ER190" s="6">
        <f>IF(EQ190="Щит","щит",IF(EQ190="","",IF(EQ190="Быт",IFERROR(_xlfn.XLOOKUP(A190,Щиты[Щит],Щиты[Кс быт]),1),IF(EQ190="Сил",IF(ISNUMBER(Y190),Y190,IF(Методика="нормы 2026",IFERROR(_xlfn.XLOOKUP(A190,Щиты[Щит],Щиты[Кс силовых (табл. 7.5)]),1),1)),IF(OR(EQ190="Пост",EQ190="Отоп"),1,IF(EQ190="ВНГ",0.7,0))))))</f>
        <v>0.79799999999999993</v>
      </c>
      <c r="ES190">
        <f t="shared" si="302"/>
        <v>1</v>
      </c>
      <c r="ET190">
        <f t="shared" si="303"/>
        <v>0.54</v>
      </c>
      <c r="EU190">
        <f t="shared" si="304"/>
        <v>0.54</v>
      </c>
      <c r="EV190">
        <f t="shared" si="305"/>
        <v>0</v>
      </c>
      <c r="EW190">
        <f t="shared" si="306"/>
        <v>0</v>
      </c>
      <c r="EX190">
        <f t="shared" si="307"/>
        <v>0</v>
      </c>
      <c r="EY190">
        <f t="shared" si="308"/>
        <v>0</v>
      </c>
      <c r="EZ190">
        <f t="shared" si="309"/>
        <v>0.54</v>
      </c>
      <c r="FA190">
        <f t="shared" si="310"/>
        <v>0.51300000000000001</v>
      </c>
      <c r="FB190">
        <f t="shared" si="311"/>
        <v>0.54</v>
      </c>
      <c r="FC190" t="str">
        <f t="shared" si="312"/>
        <v>L3</v>
      </c>
      <c r="FD190" t="str">
        <f>IF(B190="","",IF(CA190=0,IF(AW190=1,"",FF189),IF(OR(N(CV190)&gt;=3,N(BR190)&gt;=3),"L1,L2,L3",IFERROR(_xlfn.TEXTBEFORE(_xlfn.TEXTAFTER(_xlfn.XLOOKUP(A190,Щиты[Щит],Щиты[_фазы авто]),";"&amp;AW190&amp;":"),";"),"L1"))))</f>
        <v>L1</v>
      </c>
      <c r="FE190" t="str">
        <f t="shared" si="313"/>
        <v>L3</v>
      </c>
      <c r="FF190" t="str">
        <f t="shared" si="314"/>
        <v>L3</v>
      </c>
      <c r="FG190" cm="1">
        <f t="array" ref="FG190">IFERROR(IF(BX190=2,_xlfn.IFS(BR190=3,VLOOKUP(BN190,Справочная_двигатели,3,FALSE),BR190=1,VLOOKUP(BN190,Справочная_двигатели,5,TRUE)),0),0)</f>
        <v>0</v>
      </c>
      <c r="FH190">
        <f>IFERROR(IF(BX190=3,VLOOKUP(BN190,Справочная_ЛЭД,2,TRUE),0),0)</f>
        <v>0</v>
      </c>
      <c r="FI190" s="6">
        <f t="shared" si="315"/>
        <v>0</v>
      </c>
      <c r="FJ190" t="str" cm="1">
        <f t="array" ref="FJ190">IF(B190="","",IFERROR(INDEX({"I особая","I","II","III"},MATCH(TRIM(AC190&amp;""),{"I особая","I","II","III"},0)),"III"))</f>
        <v>II</v>
      </c>
      <c r="FK190" t="str">
        <f>IF(B190="","",IF(TRIM(AD190&amp;"")&lt;&gt;"",IF(LOWER(TRIM(AD190&amp;""))="да","да","нет"),IF(IFERROR(_xlfn.XLOOKUP(AX190,Коды_код,Коды_пожарная),"")="да","да","нет")))</f>
        <v>нет</v>
      </c>
      <c r="FL190" t="str">
        <f t="shared" si="316"/>
        <v/>
      </c>
      <c r="FM190" t="str">
        <f t="shared" si="317"/>
        <v>основная</v>
      </c>
      <c r="FN190">
        <f t="shared" si="318"/>
        <v>1</v>
      </c>
      <c r="FO190" t="str" cm="1">
        <f t="array" ref="FO190">IF(B190="","",_xlfn.LET(_xlpm.t,IFERROR(_xlfn.XLOOKUP(1,(Шины[Шина]=FM190)*(((Шины[Щит]=A190)+(Шины[Щит]=""))&gt;0),Шины[Тип]),"")&amp;"",IF(_xlpm.t&lt;&gt;"",_xlpm.t,IF(ISNUMBER(SEARCH("ИБП",FM190)),"ИБП",IF(ISNUMBER(SEARCH("ДГУ",FM190)),"ДГУ","Ввод "&amp;FN190)))))</f>
        <v>Ввод 1</v>
      </c>
      <c r="FP190" t="str">
        <f t="shared" si="319"/>
        <v>Ввод 1</v>
      </c>
      <c r="FQ190" t="str">
        <f>IF(B190="","",IF(OR(FO190="ИБП",FO190="ДГУ"),"I особая",IF(FO190="Одиночная","III",_xlfn.XLOOKUP(A190,Щиты[Щит],Щиты[Категория шины «Ввод»],"III"))))</f>
        <v>II</v>
      </c>
      <c r="FR190">
        <f>IF(B190="",0,IFERROR(MATCH(FJ190,{"III","II","I","I особая"},0),1))</f>
        <v>2</v>
      </c>
      <c r="FS190">
        <f t="shared" si="320"/>
        <v>2</v>
      </c>
      <c r="FT190" t="str">
        <f>IF(B190="","",IF(FR190&gt;IFERROR(MATCH(FQ190,{"III","II","I","I особая"},0),1),"НЕ ОБЕСПЕЧЕНА","ОК"))</f>
        <v>ОК</v>
      </c>
      <c r="FU190" t="str">
        <f>IF(A190="","",_xlfn.XLOOKUP(A190,Щиты[Щит],Щиты[Путь],""))</f>
        <v>|ГРЩ-ЖД|ЩР-01|</v>
      </c>
      <c r="FV190" t="str">
        <f>IF(B190="","",IF(AE190&lt;&gt;"",AE190,IF(IFERROR(_xlfn.XLOOKUP(AX190,Коды_код,Коды_вид)&amp;"","")="","Прочее",_xlfn.XLOOKUP(AX190,Коды_код,Коды_вид)&amp;"")))</f>
        <v>Розеточная сеть и бытовые приборы</v>
      </c>
      <c r="FW190">
        <f>IF(BH190="","",INT((BH190-1)/Столбцов_на_лист)+1)</f>
        <v>2</v>
      </c>
      <c r="FX190" t="str">
        <f t="shared" si="321"/>
        <v>ВВГнг(А)-LS (3х2,5) L=121-2,22%</v>
      </c>
      <c r="FY190">
        <f t="shared" si="322"/>
        <v>0.54</v>
      </c>
      <c r="FZ190">
        <f t="shared" si="323"/>
        <v>2.4699999999999998</v>
      </c>
      <c r="GA190">
        <f t="shared" si="324"/>
        <v>1</v>
      </c>
      <c r="GB190">
        <f t="shared" si="325"/>
        <v>0</v>
      </c>
      <c r="GC190">
        <f t="shared" si="326"/>
        <v>1</v>
      </c>
      <c r="GD190">
        <f>IF(BH190="","",IF(AND(CA190=1,GC190=1),COUNTIFS(A$3:A190,A190,CA$3:CA190,1,GC$3:GC190,1),IF(OR(OR(AW190=1,A190&lt;&gt;A189),AF190="вручную",GC190=0),"",IF(AW190=1,"",GE189))))</f>
        <v>6</v>
      </c>
      <c r="GE190">
        <f t="shared" si="327"/>
        <v>6</v>
      </c>
      <c r="GF190">
        <f>IF(B190="","",IFERROR(LOOKUP(INDEX(CHOOSE(DL190,Iдоп_1ж,Iдоп_2ж,Iдоп_3ж),MATCH(DX190,Iдоп_S,0))*DJ190*DK190,{6,10,16,20,25,32,40,50,63,80,100,125,160,200,250,315,400,500,630}),""))</f>
        <v>25</v>
      </c>
      <c r="GG190" t="str">
        <f t="shared" si="328"/>
        <v>QFD6</v>
      </c>
      <c r="GH190" t="str">
        <f t="shared" si="329"/>
        <v>QFD6</v>
      </c>
      <c r="GI190" t="str">
        <f t="shared" si="330"/>
        <v/>
      </c>
      <c r="GJ190">
        <f t="shared" si="331"/>
        <v>0</v>
      </c>
      <c r="GK190" t="str">
        <f>IF(OR(AG190="",AG190="-"),"",IFERROR(VLOOKUP(AG190,Модули_спр,2,FALSE),"R"))</f>
        <v/>
      </c>
      <c r="GL190" t="str">
        <f>IF(GK190="","",GK190&amp;"."&amp;COUNTIFS(A$3:A190,A190,GK$3:GK190,GK190))</f>
        <v/>
      </c>
      <c r="GM190" t="str">
        <f t="shared" si="332"/>
        <v/>
      </c>
      <c r="GN190" t="str">
        <f t="shared" si="333"/>
        <v/>
      </c>
      <c r="GO190" t="str">
        <f t="shared" si="334"/>
        <v/>
      </c>
      <c r="GP190" t="str">
        <f t="shared" si="335"/>
        <v/>
      </c>
      <c r="GQ190">
        <f t="shared" si="336"/>
        <v>1</v>
      </c>
      <c r="GR190" t="str">
        <f>IF(GQ190=1,"XT"&amp;COUNTIFS(A$3:A190,A190,GQ$3:GQ190,1),"")</f>
        <v>XT6</v>
      </c>
      <c r="GS190" t="str">
        <f t="shared" si="337"/>
        <v>XT6</v>
      </c>
      <c r="GT190" t="str">
        <f t="shared" si="338"/>
        <v>QFD6</v>
      </c>
      <c r="GU190" t="str">
        <f t="shared" si="339"/>
        <v/>
      </c>
      <c r="GV190" t="str">
        <f t="shared" si="340"/>
        <v>ok</v>
      </c>
      <c r="GW190" t="str">
        <f>IF(OR(GO190="",GM190=""),"",IF(GO190&gt;IFERROR(VLOOKUP(GN190,Модули_спр,3,FALSE),99),"ЛИШНИЙ КАНАЛ",IF(AND(AH190&lt;&gt;"=",COUNTIFS(Линии[_модуль гр.],GM190,Линии[Канал (итог)],GO190,Линии[Канал],"&lt;&gt;=",Линии[Щит],A190)&gt;1),"ДУБЛЬ КАНАЛА","")))</f>
        <v/>
      </c>
      <c r="GX190" s="6" t="str">
        <f t="shared" si="341"/>
        <v/>
      </c>
      <c r="GY190">
        <f t="shared" si="342"/>
        <v>10</v>
      </c>
      <c r="GZ190" t="str">
        <f t="shared" si="343"/>
        <v/>
      </c>
      <c r="HA190" t="str">
        <f>IF(AND(B190="",GT190=""),"",_xlfn.TEXTJOIN("; ",TRUE,IF(AND(B190&lt;&gt;"",FE190=""),"нет фазы",""),IF(AND(B190&lt;&gt;"",N(FY190)=0,EQ190&lt;&gt;"Нет"),"нет мощности",""),IF(AND(GS190&lt;&gt;"",COUNTIFS(Линии[Щит],A190,Линии[Клемма (итог)],GS190)&gt;1),"дубль клеммы "&amp;GS190,""),IF(AND(GV190&lt;&gt;"",GV190&lt;&gt;"ok"),GV190,""),IF(GW190&lt;&gt;"",GW190,""),IF(AND(N(BV190)&gt;=4,N(BR190)=1),BV190&amp;" жил на 1 фазе",""),IF(AND(AX190="R",CA190=1,OR(N(CK190)=0,N(CK190)&gt;30)),"розетка без дифзащиты до 30 мА",""),IFERROR(IF(AND(ISNUMBER(R190),R190&gt;DV190),"потери "&amp;FIXED(R190,1)&amp;" % &gt; "&amp;DV190&amp;" %",""),""),IFERROR(IF(LEFT(GZ190,4)="мало","Iкз мало — отключение &gt; 0,4 с",""),""),IF(AND(B190&lt;&gt;"",BH190=""),"не на схеме",""),IF(AND(CA190=0,B190&lt;&gt;"",FE190&lt;&gt;"",IF(AW190=1,"",FF189)&lt;&gt;"",FE190&lt;&gt;IF(AW190=1,"",FF189)),"фаза не как у автомата группы ("&amp;IF(AW190=1,"",FF189)&amp;")","")))</f>
        <v/>
      </c>
      <c r="HB190" s="6">
        <f>IF(OR(CA190=0,DA190=""),"",_xlfn.LET(_xlpm.t,IFERROR(_xlfn.XLOOKUP(DA190,Каталог!$U$4:$U$500,Каталог!$G$4:$G$500),""),_xlpm.k,SEARCH("кА",_xlpm.t),IFERROR(--TRIM(RIGHT(SUBSTITUTE(MID(_xlpm.t,MAX(1,_xlpm.k-4),_xlpm.k-MAX(1,_xlpm.k-4))," ",REPT(" ",9)),5)),"")))</f>
        <v>6</v>
      </c>
      <c r="HC190" t="str">
        <f>IF(OR(HB190="",CA190=0),"",IF(_xlfn.XLOOKUP(A190,Щиты[Щит],Щиты[Iкз max на шинах, кА],"")="","",IF(HB190&lt;_xlfn.XLOOKUP(A190,Щиты[Щит],Щиты[Iкз max на шинах, кА]),"Icu "&amp;HB190&amp;" кА &lt; Iкз max","ok")))</f>
        <v/>
      </c>
      <c r="HD190" t="str">
        <f t="shared" si="344"/>
        <v/>
      </c>
      <c r="HE190" t="str">
        <f t="shared" si="345"/>
        <v>QFD6|XT6</v>
      </c>
      <c r="HF190" t="str">
        <f t="shared" si="346"/>
        <v>QFD6|XT6|кабель ВВГнг(А)-LS (3х2,5) → Розеточная группа, пом. 002Б</v>
      </c>
      <c r="HG190" t="str" cm="1">
        <f t="array" ref="HG190">IF(HF190="","",_xlfn.LET(_xlpm.nd,_xlfn.TEXTSPLIT(HF190,"|"),IF(COLUMNS(_xlpm.nd)&gt;1,A190&amp;"¦"&amp;INDEX(_xlpm.nd,1)&amp;"¦"&amp;INDEX(_xlpm.nd,2),"")))</f>
        <v>ЩР-01¦QFD6¦XT6</v>
      </c>
      <c r="HH190" t="str">
        <f t="shared" si="347"/>
        <v>R.0.002Б.2¦Розеточная группа, пом. 002Б</v>
      </c>
      <c r="HI190" t="str" cm="1">
        <f t="array" ref="HI190">IF(HF190="","",_xlfn.LET(_xlpm.nd,_xlfn.TEXTSPLIT(HF190,"|"),IF(COLUMNS(_xlpm.nd)&gt;2,A190&amp;"¦"&amp;INDEX(_xlpm.nd,2)&amp;"¦"&amp;INDEX(_xlpm.nd,3),"")))</f>
        <v>ЩР-01¦XT6¦кабель ВВГнг(А)-LS (3х2,5) → Розеточная группа, пом. 002Б</v>
      </c>
      <c r="HJ190" t="str">
        <f t="shared" si="348"/>
        <v>R.0.002Б.2¦Розеточная группа, пом. 002Б</v>
      </c>
      <c r="HK190" t="str" cm="1">
        <f t="array" ref="HK190">IF(HF190="","",_xlfn.LET(_xlpm.nd,_xlfn.TEXTSPLIT(HF190,"|"),IF(COLUMNS(_xlpm.nd)&gt;3,A190&amp;"¦"&amp;INDEX(_xlpm.nd,3)&amp;"¦"&amp;INDEX(_xlpm.nd,4),"")))</f>
        <v/>
      </c>
      <c r="HL190" t="str">
        <f t="shared" si="349"/>
        <v/>
      </c>
      <c r="HM190" t="str" cm="1">
        <f t="array" ref="HM190">IF(HF190="","",_xlfn.LET(_xlpm.nd,_xlfn.TEXTSPLIT(HF190,"|"),IF(COLUMNS(_xlpm.nd)&gt;4,A190&amp;"¦"&amp;INDEX(_xlpm.nd,4)&amp;"¦"&amp;INDEX(_xlpm.nd,5),"")))</f>
        <v/>
      </c>
      <c r="HN190" t="str">
        <f t="shared" si="350"/>
        <v/>
      </c>
      <c r="HO190" t="str" cm="1">
        <f t="array" ref="HO190">IF(HF190="","",_xlfn.LET(_xlpm.nd,_xlfn.TEXTSPLIT(HF190,"|"),IF(COLUMNS(_xlpm.nd)&gt;5,A190&amp;"¦"&amp;INDEX(_xlpm.nd,5)&amp;"¦"&amp;INDEX(_xlpm.nd,6),"")))</f>
        <v/>
      </c>
      <c r="HP190" t="str">
        <f t="shared" si="351"/>
        <v/>
      </c>
      <c r="HQ190" t="str" cm="1">
        <f t="array" ref="HQ190">IF(HF190="","",_xlfn.LET(_xlpm.nd,_xlfn.TEXTSPLIT(HF190,"|"),IF(COLUMNS(_xlpm.nd)&gt;6,A190&amp;"¦"&amp;INDEX(_xlpm.nd,6)&amp;"¦"&amp;INDEX(_xlpm.nd,7),"")))</f>
        <v/>
      </c>
      <c r="HR190" t="str">
        <f t="shared" si="352"/>
        <v/>
      </c>
      <c r="HS190" t="str">
        <f t="shared" si="353"/>
        <v/>
      </c>
      <c r="HT190" t="str">
        <f t="shared" si="354"/>
        <v>QFD6 → XT6</v>
      </c>
      <c r="HU190">
        <f t="shared" si="355"/>
        <v>0</v>
      </c>
      <c r="HV190">
        <f t="shared" si="356"/>
        <v>1</v>
      </c>
      <c r="HW190" t="str">
        <f t="shared" si="357"/>
        <v/>
      </c>
      <c r="HX190" t="str">
        <f t="shared" si="358"/>
        <v/>
      </c>
      <c r="HY190" t="str">
        <f t="shared" si="359"/>
        <v/>
      </c>
      <c r="HZ190" t="str">
        <f t="shared" si="360"/>
        <v/>
      </c>
      <c r="IA190" t="str">
        <f>IF(B190="","",IFERROR(VLOOKUP(B190,УГО_спр,2,FALSE),IFERROR(VLOOKUP(AX190,УГО_спр,2,FALSE),IFERROR(VLOOKUP(LEFT(AX190,2),УГО_спр,2,FALSE),""))))</f>
        <v>Розетка</v>
      </c>
      <c r="IB190" t="str">
        <f>IF(B190="","",IF(OR(IA190="",IA190=0),"BOX",IFERROR(IF(VLOOKUP(IA190,УГО_блоки,3,FALSE)&amp;""&lt;&gt;"",VLOOKUP(IA190,УГО_блоки,3,FALSE),VLOOKUP(IA190,УГО_блоки,2,FALSE)),IA190)))</f>
        <v>SOCKET</v>
      </c>
      <c r="IC190">
        <f t="shared" si="361"/>
        <v>1</v>
      </c>
      <c r="ID190" t="str">
        <f>IF(DA190="","",IF(COUNTIF(DA$3:DA190,DA190)=1,MAX(ID$2:ID189)+1,""))</f>
        <v/>
      </c>
      <c r="IE190" t="str">
        <f>IF(CO190="","",IF(COUNTIF(CO$3:CO190,CO190)+COUNTIF(CP$2:CP189,CO190)+COUNTIF(CQ$2:CQ189,CO190)=1,MAX(IE$2:IG189)+1,""))</f>
        <v/>
      </c>
      <c r="IF190" t="str">
        <f>IF(CP190="","",IF(COUNTIF(CO$3:CO190,CP190)+COUNTIF(CP$3:CP190,CP190)+COUNTIF(CQ$2:CQ189,CP190)=1,MAX(IE$2:IG189,IE190)+1,""))</f>
        <v/>
      </c>
      <c r="IG190" t="str">
        <f>IF(CQ190="","",IF(COUNTIF(CO$3:CO190,CQ190)+COUNTIF(CP$3:CP190,CQ190)+COUNTIF(CQ$3:CQ190,CQ190)=1,MAX(IE$2:IG189,IE190,IF190)+1,""))</f>
        <v/>
      </c>
      <c r="IH190" t="str">
        <f t="shared" si="362"/>
        <v>3х2,5</v>
      </c>
      <c r="II190" t="str">
        <f>IF(IH190="","",IF(COUNTIF(IH$3:IH190,IH190)=1,MAX(II$2:II189)+1,""))</f>
        <v/>
      </c>
      <c r="IJ190" t="str">
        <f>IF(GL190="","",COUNTIF(GL$3:GL190,"?*"))</f>
        <v/>
      </c>
      <c r="IK190" t="str">
        <f>IF(OR(GL190="",GN190=""),"",IF(COUNTIFS(GL$3:GL190,"?*",GN$3:GN190,GN190)=1,MAX(IK$2:IK189)+1,""))</f>
        <v/>
      </c>
      <c r="IL190">
        <f t="shared" si="363"/>
        <v>0</v>
      </c>
      <c r="IM190">
        <f>IF(B190="","",COUNTIF(B$3:B190,"?*"))</f>
        <v>188</v>
      </c>
      <c r="IN190">
        <f>IF(GQ190&lt;&gt;1,0,_xlfn.LET(_xlpm.k,MAX(IFERROR(--VLOOKUP(B190,УГО_спр,5,FALSE),0),IFERROR(--VLOOKUP(AX190,УГО_спр,5,FALSE),0),IFERROR(--VLOOKUP(LEFT(AX190,2),УГО_спр,5,FALSE),0)),IF(_xlpm.k&gt;0,_xlpm.k,IF(IFERROR(--LEFT(SUBSTITUTE(IH190,"x","х"),FIND("х",SUBSTITUTE(IH190,"x","х"))-1),3)&gt;3,Каталог!$S$9,1))))</f>
        <v>1</v>
      </c>
      <c r="IO190">
        <f t="shared" si="364"/>
        <v>0</v>
      </c>
      <c r="IP190" t="str">
        <f t="shared" si="365"/>
        <v>авто</v>
      </c>
      <c r="IQ190">
        <f t="shared" si="366"/>
        <v>30</v>
      </c>
      <c r="IR190">
        <f t="shared" si="367"/>
        <v>1</v>
      </c>
      <c r="IS190">
        <f t="shared" si="368"/>
        <v>1</v>
      </c>
    </row>
    <row r="191" spans="1:253" x14ac:dyDescent="0.3">
      <c r="A191" t="s">
        <v>757</v>
      </c>
      <c r="B191" t="s">
        <v>1457</v>
      </c>
      <c r="C191" t="str">
        <f>Линии[[#This Row],[_авто наименование]]</f>
        <v>Розеточная группа, пом. 003A</v>
      </c>
      <c r="D191">
        <v>5</v>
      </c>
      <c r="E191">
        <v>0.3</v>
      </c>
      <c r="G191" t="str">
        <f>Линии[[#This Row],[_авто автомат]]</f>
        <v>2P С16А 30мА</v>
      </c>
      <c r="H191">
        <f>Линии[[#This Row],[_авто утечка]]</f>
        <v>30</v>
      </c>
      <c r="I191" t="str">
        <f>Линии[[#This Row],[_авто управление]]</f>
        <v/>
      </c>
      <c r="J191" t="str">
        <f>Линии[[#This Row],[_авто аппараты]]</f>
        <v/>
      </c>
      <c r="K191">
        <v>2.5</v>
      </c>
      <c r="L191">
        <v>50</v>
      </c>
      <c r="M191">
        <v>3</v>
      </c>
      <c r="N191" t="str">
        <f>Линии[[#This Row],[_авто клемма]]</f>
        <v>XT7</v>
      </c>
      <c r="O191" t="str">
        <f t="shared" si="246"/>
        <v/>
      </c>
      <c r="P191" s="6" cm="1">
        <f t="array" ref="P191">IF(B191="","",IF(BC191&lt;&gt;"",IFERROR(_xlfn.XLOOKUP(BC191,Щиты[Щит],Щиты[Iр, А]),""),IF(BK191=1,IFERROR(_xlfn.XLOOKUP(A191,Щиты[Щит],Щиты[Iр, А]),""),IFERROR(_xlfn.IFS(BR191=1,BN191/((Uн_лин/SQRT(3))*BY191),BR191=3,BN191/(SQRT(3)*Uн_лин*BY191)),""))))</f>
        <v>1.3674085322912188</v>
      </c>
      <c r="Q191" s="7">
        <f>IF(B191="","",IFERROR(IF(VLOOKUP(AX191,Потребители_обозначение,4,FALSE)=1,VLOOKUP(AX191,Потребители_обозначение,3,FALSE)*(D191*2-1)+DS191+VLOOKUP(AZ191,Этаж_обозначение,3,FALSE)+VLOOKUP(AZ191,Этаж_обозначение,4,FALSE),VLOOKUP(AX191,Потребители_обозначение,3,FALSE)*(D191*2-1)+DS191),DS191))</f>
        <v>77</v>
      </c>
      <c r="R191" s="6">
        <f t="shared" si="247"/>
        <v>1.22</v>
      </c>
      <c r="S191" t="str">
        <f t="shared" si="248"/>
        <v>ВВГнг(А)-LS (3х2,5)</v>
      </c>
      <c r="T191" t="str">
        <f>IF(BH191="","",IF(BI191="вводной узел","узел ","")&amp;"л."&amp;(INT((BH191-1)/Столбцов_на_лист)+1)&amp;" / "&amp;(MOD(BH191-1,Столбцов_на_лист)+1))</f>
        <v>л.2 / 7</v>
      </c>
      <c r="V191">
        <v>1</v>
      </c>
      <c r="W191">
        <v>230</v>
      </c>
      <c r="X191" t="s">
        <v>564</v>
      </c>
      <c r="AC191" t="s">
        <v>815</v>
      </c>
      <c r="AE191" t="s">
        <v>563</v>
      </c>
      <c r="AI191">
        <v>24</v>
      </c>
      <c r="AJ191" t="s">
        <v>11</v>
      </c>
      <c r="AK191">
        <v>3</v>
      </c>
      <c r="AM191">
        <v>55</v>
      </c>
      <c r="AN191">
        <v>22</v>
      </c>
      <c r="AO191">
        <v>50</v>
      </c>
      <c r="AW191" cm="1">
        <f t="array" ref="AW191">ROW()-ROW(Линии[#Headers])</f>
        <v>189</v>
      </c>
      <c r="AX191" s="6" t="str">
        <f t="shared" si="249"/>
        <v>R</v>
      </c>
      <c r="AY191" t="str">
        <f t="shared" si="250"/>
        <v>0.003A.1</v>
      </c>
      <c r="AZ191" t="str">
        <f t="shared" si="251"/>
        <v>0</v>
      </c>
      <c r="BA191" t="str">
        <f t="shared" si="252"/>
        <v>003A.1</v>
      </c>
      <c r="BB191" t="str">
        <f t="shared" si="253"/>
        <v>003A</v>
      </c>
      <c r="BC191" t="str">
        <f>IF(U191&lt;&gt;"",U191,IF(AND(B191&lt;&gt;"",B191&lt;&gt;A191,ISNUMBER(_xlfn.XMATCH(B191,Щиты[Щит]))),B191,""))</f>
        <v/>
      </c>
      <c r="BD191" t="str" cm="1">
        <f t="array" ref="BD191">IF(B191="","",IF(BC191&lt;&gt;"","Щит "&amp;BC191,_xlfn.LET(_xlpm.nm,IFERROR(_xlfn.XLOOKUP(AX191,Коды_код,Коды_имя)&amp;"",""),_xlpm.md,IFERROR(N(_xlfn.XLOOKUP(AX191,Коды_код,Коды_режим)),1),_xlpm.ex,IF(Имя_режим="по экспликации",IFERROR(_xlfn.XLOOKUP(AZ191&amp;"|"&amp;BB191,Экспликация[Этаж]&amp;"|"&amp;Экспликация[Помещение],Экспликация[Название])&amp;"",""),""),_xlpm.rm,IF(BB191="","",IF(_xlpm.ex&lt;&gt;"",". "&amp;_xlpm.ex&amp;IF(Имя_пом="нет"," ("&amp;BB191&amp;")"," (пом. "&amp;BB191&amp;")"),IF(Имя_пом="нет"," ",", пом. ")&amp;BB191)),IF(_xlpm.nm="","",IF(_xlpm.md=2,_xlpm.nm&amp;" шлейф "&amp;AZ191,_xlpm.nm&amp;_xlpm.rm)))))</f>
        <v>Розеточная группа, пом. 003A</v>
      </c>
      <c r="BE191" t="str">
        <f t="shared" si="254"/>
        <v>Розеточная группа, пом. 003A</v>
      </c>
      <c r="BF191">
        <f>IFERROR(_xlfn.XMATCH(A191,Щиты[Щит]),0)</f>
        <v>9</v>
      </c>
      <c r="BG191">
        <f>_xlfn.LET(_xlpm.k,IFERROR(_xlfn.XLOOKUP(A191,Щиты[Щит],Щиты[Листов под вводной узел]),""),IF(_xlpm.k="",1,N(_xlpm.k))*Столбцов_на_лист)</f>
        <v>17</v>
      </c>
      <c r="BH191">
        <f t="shared" si="255"/>
        <v>24</v>
      </c>
      <c r="BI191" t="str">
        <f t="shared" si="256"/>
        <v>линии</v>
      </c>
      <c r="BJ191" s="6">
        <f>IFERROR(N(_xlfn.XLOOKUP(AX191,Коды_код,Коды_квт)),0)</f>
        <v>0</v>
      </c>
      <c r="BK191">
        <f t="shared" si="257"/>
        <v>0</v>
      </c>
      <c r="BL191" t="str">
        <f>IF(B191="","",IF(BC191&lt;&gt;"",IFERROR(_xlfn.XLOOKUP(BC191,Щиты[Щит],Щиты[Руст, кВт]),0),IF(BK191=1,IFERROR(_xlfn.XLOOKUP(A191,Щиты[Щит],Щиты[Руст, кВт]),0),IF(BJ191&gt;0,ROUND(BJ191*MAX(1,N(D191)),3),""))))</f>
        <v/>
      </c>
      <c r="BM191">
        <f t="shared" si="258"/>
        <v>0.3</v>
      </c>
      <c r="BN191" s="6">
        <f>IF(B191="","",IF(BC191&lt;&gt;"",IFERROR(_xlfn.XLOOKUP(BC191,Щиты[Щит],Щиты[Руст, кВт]),0),N(BM191)))</f>
        <v>0.3</v>
      </c>
      <c r="BO191" t="str">
        <f>IF(B191="","",IFERROR(IF(VLOOKUP(AX191,Потребители_обозначение,8,FALSE)=0,"",VLOOKUP(AX191,Потребители_обозначение,8,FALSE)),""))</f>
        <v/>
      </c>
      <c r="BP191">
        <f t="shared" si="259"/>
        <v>230</v>
      </c>
      <c r="BQ191">
        <f>IF(B191="","",IF(BC191&lt;&gt;"",3,IFERROR(IF(N(VLOOKUP(AX191,Потребители_обозначение,9,FALSE))=0,1,VLOOKUP(AX191,Потребители_обозначение,9,FALSE)),1)))</f>
        <v>1</v>
      </c>
      <c r="BR191">
        <f t="shared" si="260"/>
        <v>1</v>
      </c>
      <c r="BS191" t="str">
        <f>IF(B191="","",_xlfn.LET(_xlpm.bc,IFERROR(IF(VLOOKUP(AX191,Потребители_обозначение,6,FALSE)=0,"",VLOOKUP(AX191,Потребители_обозначение,6,FALSE)&amp;""),""),IF(AND(FK191="да",OR(_xlpm.bc="",_xlpm.bc="мс")),Марка_пож,IF(AND(_xlpm.bc="",BC191&lt;&gt;""),"мс",_xlpm.bc))))</f>
        <v/>
      </c>
      <c r="BT191" t="str">
        <f t="shared" si="261"/>
        <v>мс</v>
      </c>
      <c r="BU191">
        <f>IF(B191="","",_xlfn.LET(_xlpm.cc,IFERROR(N(VLOOKUP(AX191,Потребители_обозначение,7,FALSE)),0),IF(_xlpm.cc&gt;0,_xlpm.cc,IF(BT191="","",IF(N(BR191)=3,5,3)))))</f>
        <v>3</v>
      </c>
      <c r="BV191">
        <f t="shared" si="262"/>
        <v>3</v>
      </c>
      <c r="BW191">
        <f>IFERROR(N(VLOOKUP(AX191,Потребители_обозначение,10,FALSE)),0)</f>
        <v>0</v>
      </c>
      <c r="BX191">
        <f>IFERROR(VLOOKUP(AX191,Потребители_обозначение,5,FALSE),0)</f>
        <v>1</v>
      </c>
      <c r="BY191" s="6" cm="1">
        <f t="array" ref="BY191">IF(B191="","",IF(BC191&lt;&gt;"",IFERROR(_xlfn.XLOOKUP(BC191,Щиты[Щит],Щиты[cos φ]),0.95),IF(BK191=1,IFERROR(_xlfn.XLOOKUP(A191,Щиты[Щит],Щиты[cos φ]),0.95),IF(ISNUMBER(Z191),Z191,IFERROR(IF(BX191=2,_xlfn.IFS(BR191=3,VLOOKUP(BN191,Справочная_двигатели,8,FALSE),BR191=1,VLOOKUP(BN191,Справочная_двигатели,10,TRUE)),IF(AND(Методика="нормы 2026",EQ191="Сил"),0.8,0.95)),0.95)))))</f>
        <v>0.95</v>
      </c>
      <c r="BZ191">
        <f t="shared" si="263"/>
        <v>0</v>
      </c>
      <c r="CA191">
        <f t="shared" si="264"/>
        <v>1</v>
      </c>
      <c r="CB191">
        <f t="shared" si="265"/>
        <v>0</v>
      </c>
      <c r="CC191">
        <f t="shared" si="266"/>
        <v>0</v>
      </c>
      <c r="CD191">
        <f t="shared" si="267"/>
        <v>0</v>
      </c>
      <c r="CE191">
        <f t="shared" si="268"/>
        <v>0</v>
      </c>
      <c r="CF191">
        <f t="shared" si="269"/>
        <v>0</v>
      </c>
      <c r="CG191">
        <f>IF(AX191="",0,_xlfn.LET(_xlpm.v,IFERROR(VLOOKUP(B191,УГО_спр,3,FALSE),IFERROR(VLOOKUP(AX191,УГО_спр,3,FALSE),IFERROR(VLOOKUP(LEFT(AX191,2),УГО_спр,3,FALSE),""))),IF(_xlpm.v="да",30,IF(ISNUMBER(_xlpm.v),_xlpm.v,0))))</f>
        <v>30</v>
      </c>
      <c r="CH191">
        <f t="shared" si="270"/>
        <v>30</v>
      </c>
      <c r="CI191" t="str">
        <f>_xlfn.LET(_xlpm.k,IFERROR(_xlfn.XLOOKUP(AX191,Коды_код,Коды_утечка)&amp;"",""),IF(_xlpm.k="","дифавтомат",_xlpm.k))</f>
        <v>дифавтомат</v>
      </c>
      <c r="CJ191">
        <f t="shared" si="271"/>
        <v>30</v>
      </c>
      <c r="CK191">
        <f t="shared" si="272"/>
        <v>30</v>
      </c>
      <c r="CL191">
        <f>IF(B191="",0,IFERROR(--VLOOKUP(B191,УГО_спр,4,FALSE),IFERROR(--VLOOKUP(AX191,УГО_спр,4,FALSE),IFERROR(--VLOOKUP(LEFT(AX191,2),УГО_спр,4,FALSE),0))))</f>
        <v>16</v>
      </c>
      <c r="CM191" t="str">
        <f>IF(B191="","",IFERROR(_xlfn.XLOOKUP(AX191,Коды_код,Коды_апп)&amp;"",""))</f>
        <v/>
      </c>
      <c r="CN191" t="str">
        <f t="shared" si="273"/>
        <v/>
      </c>
      <c r="CO191" t="str" cm="1">
        <f t="array" ref="CO191">IF(TRIM(CN191&amp;"")="","",IFERROR(TRIM(INDEX(_xlfn.TEXTSPLIT(CN191&amp;";;;",";"),1)),""))</f>
        <v/>
      </c>
      <c r="CP191" t="str" cm="1">
        <f t="array" ref="CP191">IF(TRIM(CN191&amp;"")="","",IFERROR(TRIM(INDEX(_xlfn.TEXTSPLIT(CN191&amp;";;;",";"),2)),""))</f>
        <v/>
      </c>
      <c r="CQ191" t="str" cm="1">
        <f t="array" ref="CQ191">IF(TRIM(CN191&amp;"")="","",IFERROR(TRIM(INDEX(_xlfn.TEXTSPLIT(CN191&amp;";;;",";"),3)),""))</f>
        <v/>
      </c>
      <c r="CR191">
        <f t="shared" si="274"/>
        <v>0</v>
      </c>
      <c r="CS191" t="str">
        <f>IF(B191="","",_xlfn.LET(_xlpm.t,LOWER(AV191&amp;""),IF(ISNUMBER(SEARCH("dim",_xlpm.t)),"DIM",IF(ISNUMBER(SEARCH("dali",_xlpm.t)),"DALI",IF(OR(ISNUMBER(SEARCH("relay",_xlpm.t)),ISNUMBER(SEARCH("реле",_xlpm.t))),"Relay",IF(ISNUMBER(SEARCH("кнопк",_xlpm.t)),"",IFERROR(_xlfn.XLOOKUP(AX191,Коды_код,Коды_упр)&amp;"","")))))))</f>
        <v/>
      </c>
      <c r="CT191" t="str">
        <f t="shared" si="275"/>
        <v/>
      </c>
      <c r="CU191">
        <f>IF(B191="","",_xlfn.LET(_xlpm.ig,N(P191)+IF(AF191="вручную",0,N(CB191)),_xlpm.n0,IFERROR(VLOOKUP(_xlpm.ig,Автомат_номиналы,2,TRUE),0),_xlpm.mn,MAX(CL191,IF(AF191="вручную",0,N(CE191))),MAX(_xlpm.n0,_xlpm.mn,IF(CR191=1,Мин_автомат_БП,0))))</f>
        <v>16</v>
      </c>
      <c r="CV191">
        <f t="shared" si="276"/>
        <v>1</v>
      </c>
      <c r="CW191" t="str">
        <f t="shared" si="277"/>
        <v>2P</v>
      </c>
      <c r="CX191" t="str">
        <f>_xlfn.LET(_xlpm.cc,UPPER(TRIM(IFERROR(_xlfn.XLOOKUP(AX191,Коды_код,Коды_хар)&amp;"",""))),IF(OR(_xlpm.cc="B",_xlpm.cc="В"),"B",IF(_xlpm.cc="D","D","С")))</f>
        <v>С</v>
      </c>
      <c r="CY191" t="str">
        <f t="shared" si="278"/>
        <v>2P С16А 30мА</v>
      </c>
      <c r="CZ191" t="str">
        <f t="shared" si="279"/>
        <v>2P С16А 30мА</v>
      </c>
      <c r="DA191" t="str">
        <f t="shared" si="280"/>
        <v>2P С16А 30мА</v>
      </c>
      <c r="DB191" cm="1">
        <f t="array" ref="DB191">IF(DA191="","",_xlfn.LET(_xlpm.t,SUBSTITUTE(SUBSTITUTE(SUBSTITUTE(UPPER(DA191),"С","C"),"А","A"),"В","B"),_xlpm.tk,_xlfn.TEXTSPLIT(_xlpm.t,"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1" t="str">
        <f t="shared" si="281"/>
        <v>ok</v>
      </c>
      <c r="DD191">
        <f t="shared" si="282"/>
        <v>16</v>
      </c>
      <c r="DE191" t="str">
        <f t="shared" si="283"/>
        <v>2P С16А 30мА</v>
      </c>
      <c r="DF191">
        <f t="shared" si="284"/>
        <v>30</v>
      </c>
      <c r="DG191">
        <f t="shared" si="285"/>
        <v>1</v>
      </c>
      <c r="DH191">
        <f t="shared" si="286"/>
        <v>0</v>
      </c>
      <c r="DI191">
        <f t="shared" si="287"/>
        <v>1.3674085322912188</v>
      </c>
      <c r="DJ191">
        <f t="shared" si="288"/>
        <v>1</v>
      </c>
      <c r="DK191">
        <f>IF(ISNUMBER(AL191),AL191,К_прокл)</f>
        <v>1</v>
      </c>
      <c r="DL191">
        <f t="shared" si="289"/>
        <v>2</v>
      </c>
      <c r="DM191">
        <f>IFERROR(N(VLOOKUP(BT191,Кабель_обозначение,3,FALSE)),1)</f>
        <v>1</v>
      </c>
      <c r="DN191">
        <f>IFERROR(N(_xlfn.XLOOKUP(A191,Щиты[Щит],Щиты[ΔU до шин, %])),0)</f>
        <v>0.43</v>
      </c>
      <c r="DO191" t="str">
        <f>IFERROR(_xlfn.XLOOKUP(A191,Щиты[Щит],Щиты[Zпетли на шинах, Ом]),"")</f>
        <v/>
      </c>
      <c r="DP191">
        <f>IFERROR(N(_xlfn.XLOOKUP(A191,Щиты[Щит],Щиты[ΔU до шин (подбор), %])),0)</f>
        <v>0.43</v>
      </c>
      <c r="DQ191" t="str">
        <f>IFERROR(_xlfn.XLOOKUP(A191,Щиты[Щит],Щиты[Zпетли на шинах (подбор), Ом]),"")</f>
        <v/>
      </c>
      <c r="DR191" t="str">
        <f t="shared" si="290"/>
        <v/>
      </c>
      <c r="DS191">
        <f t="shared" si="291"/>
        <v>50</v>
      </c>
      <c r="DT191">
        <f t="shared" si="292"/>
        <v>2</v>
      </c>
      <c r="DU191">
        <f t="shared" si="293"/>
        <v>0.31</v>
      </c>
      <c r="DV191" s="6">
        <f>IF(B191="","",IF(IFERROR(VLOOKUP(AX191,УГО_спр,2,FALSE),"")="Светильник",3,4)+IF(Методика="нормы 2026",MIN(0.5,MAX(0,N(Q191)-100)*0.005),0))</f>
        <v>4</v>
      </c>
      <c r="DW191" cm="1">
        <f t="array" ref="DW191">IF(OR(B191="",BT191="",DM191&lt;&gt;1),"",_xlfn.LET(_xlpm.sz,Iдоп_S,_xlpm.t_,CHOOSE(DL191,Iдоп_1ж,Iдоп_2ж,Iдоп_3ж)*DJ191*DK191,_xlpm.inn,N(DD191),_xlpm.smin,MAX(1.5,BW191),_xlpm.L_,N(Q191)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191)*(_xlpm.rho*_xlpm.L_/_xlpm.sz*N(BY191)+_xlpm.xx*_xlpm.L_*N(DU191)/1000)*N(P191)/((Uн_лин/SQRT(3))*1000)*100,999),_xlpm.kz,IF(OR(DG191=1,NOT(ISNUMBER(DQ191)),_xlpm.L_=0,_xlpm.inn=0),1,IFERROR(--(c_min*(Uн_лин*1000/SQRT(3))/(DQ191+2*ρкз_Cu*_xlpm.L_/_xlpm.sz)&gt;=GY191*_xlpm.inn),0)),_xlpm.ok,IFERROR((_xlpm.sz&gt;=_xlpm.smin)*(_xlpm.t_&gt;=_xlpm.inn)*IF(_xlpm.L_&gt;0,(_xlpm.du_+DP191&lt;=DV191+0.00001),1)*_xlpm.kz,0),_xlpm.r_,_xlfn._xlws.FILTER(_xlpm.sz,_xlpm.ok,"не подобрано"),INDEX(_xlpm.r_,1)))</f>
        <v>1.5</v>
      </c>
      <c r="DX191">
        <f t="shared" si="294"/>
        <v>2.5</v>
      </c>
      <c r="DY191" cm="1">
        <f t="array" ref="DY191">IF(OR(B191="",BT191="",DM191&lt;&gt;1),"",_xlfn.LET(_xlpm.sz,Iдоп_S,_xlpm.t_,CHOOSE(DL191,Iдоп_1ж,Iдоп_2ж,Iдоп_3ж)*DJ191*DK191,_xlpm.ok,IFERROR((_xlpm.sz&gt;=MAX(1.5,BW191))*(_xlpm.t_&gt;=N(DD191)),0),_xlpm.r_,_xlfn._xlws.FILTER(_xlpm.sz,_xlpm.ok,""),INDEX(_xlpm.r_,1)))</f>
        <v>1.5</v>
      </c>
      <c r="DZ191" s="6" cm="1">
        <f t="array" ref="DZ191">IFERROR(ROUNDUP(N(DT191)*(_xlfn.XLOOKUP(DY191,INDEX(Кабель_сопротивление,0,1),INDEX(Кабель_сопротивление,0,3))*N(Q191)/DY191*N(BY191)+_xlfn.XLOOKUP(DY191,INDEX(Кабель_сопротивление,0,1),INDEX(Кабель_сопротивление,0,2))*N(Q191)*N(DU191)/1000)*N(P191)/((Uн_лин/SQRT(3))*1000)*100,2),"")</f>
        <v>1.31</v>
      </c>
      <c r="EA191">
        <f>IFERROR(2*ρкз_Cu*N(Q191)/DY191,"")</f>
        <v>2.7001333333333335</v>
      </c>
      <c r="EB191">
        <f>IFERROR(VLOOKUP(DX191,Кабель_сопротивление,3,FALSE),"")</f>
        <v>2.2499999999999999E-2</v>
      </c>
      <c r="EC191">
        <f>IFERROR(VLOOKUP(DX191,Кабель_сопротивление,2,FALSE),"")</f>
        <v>0.1</v>
      </c>
      <c r="ED191">
        <f t="shared" si="295"/>
        <v>22</v>
      </c>
      <c r="EE191">
        <f t="shared" si="296"/>
        <v>50</v>
      </c>
      <c r="EF191">
        <f t="shared" si="297"/>
        <v>1.8069948228010058</v>
      </c>
      <c r="EG191" s="6">
        <f>IFERROR(ROUNDUP(EF191/((Uн_лин/SQRT(3))*1000)*100,2),"")</f>
        <v>0.79</v>
      </c>
      <c r="EH191" t="str">
        <f>IFERROR(VLOOKUP(BT191,Кабель_обозначение,2,FALSE),"")</f>
        <v>ВВГнг(А)-LS</v>
      </c>
      <c r="EI191" t="str">
        <f t="shared" si="298"/>
        <v>ВВГнг(А)-LS (3х2,5)</v>
      </c>
      <c r="EJ191" t="str">
        <f t="shared" si="299"/>
        <v>ВВГнг(А)-LS (3х2,5)
L=77-0,79%</v>
      </c>
      <c r="EK191">
        <f>IFERROR(2*ρкз_Cu*Q191/DX191,"")</f>
        <v>1.6200800000000002</v>
      </c>
      <c r="EL191">
        <f t="shared" si="300"/>
        <v>0.53900000000000003</v>
      </c>
      <c r="EM191" s="6" t="str">
        <f>IFERROR(IF(OR(B191="",NOT(ISNUMBER(DX191)),N(Q191)=0),"",_xlfn.XLOOKUP(A191,Щиты[Щит],Щиты[Zпетли на шинах, Ом])+EK191),"")</f>
        <v/>
      </c>
      <c r="EN191" s="6" t="str">
        <f>IF(ISNUMBER(EM191),c_min*(Uн_лин*1000/SQRT(3))/EM191,"")</f>
        <v/>
      </c>
      <c r="EO191" s="6" t="str">
        <f>IFERROR(IF(OR(B191="",NOT(ISNUMBER(DX191))),"",1.05*(Uн_лин*1000/SQRT(3))/(_xlfn.XLOOKUP(A191,Щиты[Щит],Щиты[Zmax на шинах, Ом])+EL191)/1000),"")</f>
        <v/>
      </c>
      <c r="EP191" s="6" t="str">
        <f>IF(B191="","",IF(ISNUMBER(Y191),"Сил",IF(IFERROR(_xlfn.XLOOKUP(AX191,Коды_код,Коды_группа)&amp;"","")="","Быт",_xlfn.XLOOKUP(AX191,Коды_код,Коды_группа)&amp;"")))</f>
        <v>Быт</v>
      </c>
      <c r="EQ191" s="6" t="str">
        <f t="shared" si="301"/>
        <v>Быт</v>
      </c>
      <c r="ER191" s="6">
        <f>IF(EQ191="Щит","щит",IF(EQ191="","",IF(EQ191="Быт",IFERROR(_xlfn.XLOOKUP(A191,Щиты[Щит],Щиты[Кс быт]),1),IF(EQ191="Сил",IF(ISNUMBER(Y191),Y191,IF(Методика="нормы 2026",IFERROR(_xlfn.XLOOKUP(A191,Щиты[Щит],Щиты[Кс силовых (табл. 7.5)]),1),1)),IF(OR(EQ191="Пост",EQ191="Отоп"),1,IF(EQ191="ВНГ",0.7,0))))))</f>
        <v>0.79799999999999993</v>
      </c>
      <c r="ES191">
        <f t="shared" si="302"/>
        <v>1</v>
      </c>
      <c r="ET191">
        <f t="shared" si="303"/>
        <v>0.3</v>
      </c>
      <c r="EU191">
        <f t="shared" si="304"/>
        <v>0.3</v>
      </c>
      <c r="EV191">
        <f t="shared" si="305"/>
        <v>0</v>
      </c>
      <c r="EW191">
        <f t="shared" si="306"/>
        <v>0</v>
      </c>
      <c r="EX191">
        <f t="shared" si="307"/>
        <v>0</v>
      </c>
      <c r="EY191">
        <f t="shared" si="308"/>
        <v>0</v>
      </c>
      <c r="EZ191">
        <f t="shared" si="309"/>
        <v>0.3</v>
      </c>
      <c r="FA191">
        <f t="shared" si="310"/>
        <v>0.28499999999999998</v>
      </c>
      <c r="FB191">
        <f t="shared" si="311"/>
        <v>0.3</v>
      </c>
      <c r="FC191" t="str">
        <f t="shared" si="312"/>
        <v>L3</v>
      </c>
      <c r="FD191" t="str">
        <f>IF(B191="","",IF(CA191=0,IF(AW191=1,"",FF190),IF(OR(N(CV191)&gt;=3,N(BR191)&gt;=3),"L1,L2,L3",IFERROR(_xlfn.TEXTBEFORE(_xlfn.TEXTAFTER(_xlfn.XLOOKUP(A191,Щиты[Щит],Щиты[_фазы авто]),";"&amp;AW191&amp;":"),";"),"L1"))))</f>
        <v>L1</v>
      </c>
      <c r="FE191" t="str">
        <f t="shared" si="313"/>
        <v>L3</v>
      </c>
      <c r="FF191" t="str">
        <f t="shared" si="314"/>
        <v>L3</v>
      </c>
      <c r="FG191" cm="1">
        <f t="array" ref="FG191">IFERROR(IF(BX191=2,_xlfn.IFS(BR191=3,VLOOKUP(BN191,Справочная_двигатели,3,FALSE),BR191=1,VLOOKUP(BN191,Справочная_двигатели,5,TRUE)),0),0)</f>
        <v>0</v>
      </c>
      <c r="FH191">
        <f>IFERROR(IF(BX191=3,VLOOKUP(BN191,Справочная_ЛЭД,2,TRUE),0),0)</f>
        <v>0</v>
      </c>
      <c r="FI191" s="6">
        <f t="shared" si="315"/>
        <v>0</v>
      </c>
      <c r="FJ191" t="str" cm="1">
        <f t="array" ref="FJ191">IF(B191="","",IFERROR(INDEX({"I особая","I","II","III"},MATCH(TRIM(AC191&amp;""),{"I особая","I","II","III"},0)),"III"))</f>
        <v>II</v>
      </c>
      <c r="FK191" t="str">
        <f>IF(B191="","",IF(TRIM(AD191&amp;"")&lt;&gt;"",IF(LOWER(TRIM(AD191&amp;""))="да","да","нет"),IF(IFERROR(_xlfn.XLOOKUP(AX191,Коды_код,Коды_пожарная),"")="да","да","нет")))</f>
        <v>нет</v>
      </c>
      <c r="FL191" t="str">
        <f t="shared" si="316"/>
        <v/>
      </c>
      <c r="FM191" t="str">
        <f t="shared" si="317"/>
        <v>основная</v>
      </c>
      <c r="FN191">
        <f t="shared" si="318"/>
        <v>1</v>
      </c>
      <c r="FO191" t="str" cm="1">
        <f t="array" ref="FO191">IF(B191="","",_xlfn.LET(_xlpm.t,IFERROR(_xlfn.XLOOKUP(1,(Шины[Шина]=FM191)*(((Шины[Щит]=A191)+(Шины[Щит]=""))&gt;0),Шины[Тип]),"")&amp;"",IF(_xlpm.t&lt;&gt;"",_xlpm.t,IF(ISNUMBER(SEARCH("ИБП",FM191)),"ИБП",IF(ISNUMBER(SEARCH("ДГУ",FM191)),"ДГУ","Ввод "&amp;FN191)))))</f>
        <v>Ввод 1</v>
      </c>
      <c r="FP191" t="str">
        <f t="shared" si="319"/>
        <v>Ввод 1</v>
      </c>
      <c r="FQ191" t="str">
        <f>IF(B191="","",IF(OR(FO191="ИБП",FO191="ДГУ"),"I особая",IF(FO191="Одиночная","III",_xlfn.XLOOKUP(A191,Щиты[Щит],Щиты[Категория шины «Ввод»],"III"))))</f>
        <v>II</v>
      </c>
      <c r="FR191">
        <f>IF(B191="",0,IFERROR(MATCH(FJ191,{"III","II","I","I особая"},0),1))</f>
        <v>2</v>
      </c>
      <c r="FS191">
        <f t="shared" si="320"/>
        <v>2</v>
      </c>
      <c r="FT191" t="str">
        <f>IF(B191="","",IF(FR191&gt;IFERROR(MATCH(FQ191,{"III","II","I","I особая"},0),1),"НЕ ОБЕСПЕЧЕНА","ОК"))</f>
        <v>ОК</v>
      </c>
      <c r="FU191" t="str">
        <f>IF(A191="","",_xlfn.XLOOKUP(A191,Щиты[Щит],Щиты[Путь],""))</f>
        <v>|ГРЩ-ЖД|ЩР-01|</v>
      </c>
      <c r="FV191" t="str">
        <f>IF(B191="","",IF(AE191&lt;&gt;"",AE191,IF(IFERROR(_xlfn.XLOOKUP(AX191,Коды_код,Коды_вид)&amp;"","")="","Прочее",_xlfn.XLOOKUP(AX191,Коды_код,Коды_вид)&amp;"")))</f>
        <v>Розеточная сеть и бытовые приборы</v>
      </c>
      <c r="FW191">
        <f>IF(BH191="","",INT((BH191-1)/Столбцов_на_лист)+1)</f>
        <v>2</v>
      </c>
      <c r="FX191" t="str">
        <f t="shared" si="321"/>
        <v>ВВГнг(А)-LS (3х2,5) L=77-0,79%</v>
      </c>
      <c r="FY191">
        <f t="shared" si="322"/>
        <v>0.3</v>
      </c>
      <c r="FZ191">
        <f t="shared" si="323"/>
        <v>1.37</v>
      </c>
      <c r="GA191">
        <f t="shared" si="324"/>
        <v>1</v>
      </c>
      <c r="GB191">
        <f t="shared" si="325"/>
        <v>0</v>
      </c>
      <c r="GC191">
        <f t="shared" si="326"/>
        <v>1</v>
      </c>
      <c r="GD191">
        <f>IF(BH191="","",IF(AND(CA191=1,GC191=1),COUNTIFS(A$3:A191,A191,CA$3:CA191,1,GC$3:GC191,1),IF(OR(OR(AW191=1,A191&lt;&gt;A190),AF191="вручную",GC191=0),"",IF(AW191=1,"",GE190))))</f>
        <v>7</v>
      </c>
      <c r="GE191">
        <f t="shared" si="327"/>
        <v>7</v>
      </c>
      <c r="GF191">
        <f>IF(B191="","",IFERROR(LOOKUP(INDEX(CHOOSE(DL191,Iдоп_1ж,Iдоп_2ж,Iдоп_3ж),MATCH(DX191,Iдоп_S,0))*DJ191*DK191,{6,10,16,20,25,32,40,50,63,80,100,125,160,200,250,315,400,500,630}),""))</f>
        <v>25</v>
      </c>
      <c r="GG191" t="str">
        <f t="shared" si="328"/>
        <v>QFD7</v>
      </c>
      <c r="GH191" t="str">
        <f t="shared" si="329"/>
        <v>QFD7</v>
      </c>
      <c r="GI191" t="str">
        <f t="shared" si="330"/>
        <v/>
      </c>
      <c r="GJ191">
        <f t="shared" si="331"/>
        <v>0</v>
      </c>
      <c r="GK191" t="str">
        <f>IF(OR(AG191="",AG191="-"),"",IFERROR(VLOOKUP(AG191,Модули_спр,2,FALSE),"R"))</f>
        <v/>
      </c>
      <c r="GL191" t="str">
        <f>IF(GK191="","",GK191&amp;"."&amp;COUNTIFS(A$3:A191,A191,GK$3:GK191,GK191))</f>
        <v/>
      </c>
      <c r="GM191" t="str">
        <f t="shared" si="332"/>
        <v/>
      </c>
      <c r="GN191" t="str">
        <f t="shared" si="333"/>
        <v/>
      </c>
      <c r="GO191" t="str">
        <f t="shared" si="334"/>
        <v/>
      </c>
      <c r="GP191" t="str">
        <f t="shared" si="335"/>
        <v/>
      </c>
      <c r="GQ191">
        <f t="shared" si="336"/>
        <v>1</v>
      </c>
      <c r="GR191" t="str">
        <f>IF(GQ191=1,"XT"&amp;COUNTIFS(A$3:A191,A191,GQ$3:GQ191,1),"")</f>
        <v>XT7</v>
      </c>
      <c r="GS191" t="str">
        <f t="shared" si="337"/>
        <v>XT7</v>
      </c>
      <c r="GT191" t="str">
        <f t="shared" si="338"/>
        <v>QFD7</v>
      </c>
      <c r="GU191" t="str">
        <f t="shared" si="339"/>
        <v/>
      </c>
      <c r="GV191" t="str">
        <f t="shared" si="340"/>
        <v>ok</v>
      </c>
      <c r="GW191" t="str">
        <f>IF(OR(GO191="",GM191=""),"",IF(GO191&gt;IFERROR(VLOOKUP(GN191,Модули_спр,3,FALSE),99),"ЛИШНИЙ КАНАЛ",IF(AND(AH191&lt;&gt;"=",COUNTIFS(Линии[_модуль гр.],GM191,Линии[Канал (итог)],GO191,Линии[Канал],"&lt;&gt;=",Линии[Щит],A191)&gt;1),"ДУБЛЬ КАНАЛА","")))</f>
        <v/>
      </c>
      <c r="GX191" s="6" t="str">
        <f t="shared" si="341"/>
        <v/>
      </c>
      <c r="GY191">
        <f t="shared" si="342"/>
        <v>10</v>
      </c>
      <c r="GZ191" t="str">
        <f t="shared" si="343"/>
        <v/>
      </c>
      <c r="HA191" t="str">
        <f>IF(AND(B191="",GT191=""),"",_xlfn.TEXTJOIN("; ",TRUE,IF(AND(B191&lt;&gt;"",FE191=""),"нет фазы",""),IF(AND(B191&lt;&gt;"",N(FY191)=0,EQ191&lt;&gt;"Нет"),"нет мощности",""),IF(AND(GS191&lt;&gt;"",COUNTIFS(Линии[Щит],A191,Линии[Клемма (итог)],GS191)&gt;1),"дубль клеммы "&amp;GS191,""),IF(AND(GV191&lt;&gt;"",GV191&lt;&gt;"ok"),GV191,""),IF(GW191&lt;&gt;"",GW191,""),IF(AND(N(BV191)&gt;=4,N(BR191)=1),BV191&amp;" жил на 1 фазе",""),IF(AND(AX191="R",CA191=1,OR(N(CK191)=0,N(CK191)&gt;30)),"розетка без дифзащиты до 30 мА",""),IFERROR(IF(AND(ISNUMBER(R191),R191&gt;DV191),"потери "&amp;FIXED(R191,1)&amp;" % &gt; "&amp;DV191&amp;" %",""),""),IFERROR(IF(LEFT(GZ191,4)="мало","Iкз мало — отключение &gt; 0,4 с",""),""),IF(AND(B191&lt;&gt;"",BH191=""),"не на схеме",""),IF(AND(CA191=0,B191&lt;&gt;"",FE191&lt;&gt;"",IF(AW191=1,"",FF190)&lt;&gt;"",FE191&lt;&gt;IF(AW191=1,"",FF190)),"фаза не как у автомата группы ("&amp;IF(AW191=1,"",FF190)&amp;")","")))</f>
        <v/>
      </c>
      <c r="HB191" s="6">
        <f>IF(OR(CA191=0,DA191=""),"",_xlfn.LET(_xlpm.t,IFERROR(_xlfn.XLOOKUP(DA191,Каталог!$U$4:$U$500,Каталог!$G$4:$G$500),""),_xlpm.k,SEARCH("кА",_xlpm.t),IFERROR(--TRIM(RIGHT(SUBSTITUTE(MID(_xlpm.t,MAX(1,_xlpm.k-4),_xlpm.k-MAX(1,_xlpm.k-4))," ",REPT(" ",9)),5)),"")))</f>
        <v>6</v>
      </c>
      <c r="HC191" t="str">
        <f>IF(OR(HB191="",CA191=0),"",IF(_xlfn.XLOOKUP(A191,Щиты[Щит],Щиты[Iкз max на шинах, кА],"")="","",IF(HB191&lt;_xlfn.XLOOKUP(A191,Щиты[Щит],Щиты[Iкз max на шинах, кА]),"Icu "&amp;HB191&amp;" кА &lt; Iкз max","ok")))</f>
        <v/>
      </c>
      <c r="HD191" t="str">
        <f t="shared" si="344"/>
        <v/>
      </c>
      <c r="HE191" t="str">
        <f t="shared" si="345"/>
        <v>QFD7|XT7</v>
      </c>
      <c r="HF191" t="str">
        <f t="shared" si="346"/>
        <v>QFD7|XT7|кабель ВВГнг(А)-LS (3х2,5) → Розеточная группа, пом. 003A</v>
      </c>
      <c r="HG191" t="str" cm="1">
        <f t="array" ref="HG191">IF(HF191="","",_xlfn.LET(_xlpm.nd,_xlfn.TEXTSPLIT(HF191,"|"),IF(COLUMNS(_xlpm.nd)&gt;1,A191&amp;"¦"&amp;INDEX(_xlpm.nd,1)&amp;"¦"&amp;INDEX(_xlpm.nd,2),"")))</f>
        <v>ЩР-01¦QFD7¦XT7</v>
      </c>
      <c r="HH191" t="str">
        <f t="shared" si="347"/>
        <v>R.0.003A.1¦Розеточная группа, пом. 003A</v>
      </c>
      <c r="HI191" t="str" cm="1">
        <f t="array" ref="HI191">IF(HF191="","",_xlfn.LET(_xlpm.nd,_xlfn.TEXTSPLIT(HF191,"|"),IF(COLUMNS(_xlpm.nd)&gt;2,A191&amp;"¦"&amp;INDEX(_xlpm.nd,2)&amp;"¦"&amp;INDEX(_xlpm.nd,3),"")))</f>
        <v>ЩР-01¦XT7¦кабель ВВГнг(А)-LS (3х2,5) → Розеточная группа, пом. 003A</v>
      </c>
      <c r="HJ191" t="str">
        <f t="shared" si="348"/>
        <v>R.0.003A.1¦Розеточная группа, пом. 003A</v>
      </c>
      <c r="HK191" t="str" cm="1">
        <f t="array" ref="HK191">IF(HF191="","",_xlfn.LET(_xlpm.nd,_xlfn.TEXTSPLIT(HF191,"|"),IF(COLUMNS(_xlpm.nd)&gt;3,A191&amp;"¦"&amp;INDEX(_xlpm.nd,3)&amp;"¦"&amp;INDEX(_xlpm.nd,4),"")))</f>
        <v/>
      </c>
      <c r="HL191" t="str">
        <f t="shared" si="349"/>
        <v/>
      </c>
      <c r="HM191" t="str" cm="1">
        <f t="array" ref="HM191">IF(HF191="","",_xlfn.LET(_xlpm.nd,_xlfn.TEXTSPLIT(HF191,"|"),IF(COLUMNS(_xlpm.nd)&gt;4,A191&amp;"¦"&amp;INDEX(_xlpm.nd,4)&amp;"¦"&amp;INDEX(_xlpm.nd,5),"")))</f>
        <v/>
      </c>
      <c r="HN191" t="str">
        <f t="shared" si="350"/>
        <v/>
      </c>
      <c r="HO191" t="str" cm="1">
        <f t="array" ref="HO191">IF(HF191="","",_xlfn.LET(_xlpm.nd,_xlfn.TEXTSPLIT(HF191,"|"),IF(COLUMNS(_xlpm.nd)&gt;5,A191&amp;"¦"&amp;INDEX(_xlpm.nd,5)&amp;"¦"&amp;INDEX(_xlpm.nd,6),"")))</f>
        <v/>
      </c>
      <c r="HP191" t="str">
        <f t="shared" si="351"/>
        <v/>
      </c>
      <c r="HQ191" t="str" cm="1">
        <f t="array" ref="HQ191">IF(HF191="","",_xlfn.LET(_xlpm.nd,_xlfn.TEXTSPLIT(HF191,"|"),IF(COLUMNS(_xlpm.nd)&gt;6,A191&amp;"¦"&amp;INDEX(_xlpm.nd,6)&amp;"¦"&amp;INDEX(_xlpm.nd,7),"")))</f>
        <v/>
      </c>
      <c r="HR191" t="str">
        <f t="shared" si="352"/>
        <v/>
      </c>
      <c r="HS191" t="str">
        <f t="shared" si="353"/>
        <v/>
      </c>
      <c r="HT191" t="str">
        <f t="shared" si="354"/>
        <v>QFD7 → XT7</v>
      </c>
      <c r="HU191">
        <f t="shared" si="355"/>
        <v>0</v>
      </c>
      <c r="HV191">
        <f t="shared" si="356"/>
        <v>1</v>
      </c>
      <c r="HW191" t="str">
        <f t="shared" si="357"/>
        <v/>
      </c>
      <c r="HX191" t="str">
        <f t="shared" si="358"/>
        <v/>
      </c>
      <c r="HY191" t="str">
        <f t="shared" si="359"/>
        <v/>
      </c>
      <c r="HZ191" t="str">
        <f t="shared" si="360"/>
        <v/>
      </c>
      <c r="IA191" t="str">
        <f>IF(B191="","",IFERROR(VLOOKUP(B191,УГО_спр,2,FALSE),IFERROR(VLOOKUP(AX191,УГО_спр,2,FALSE),IFERROR(VLOOKUP(LEFT(AX191,2),УГО_спр,2,FALSE),""))))</f>
        <v>Розетка</v>
      </c>
      <c r="IB191" t="str">
        <f>IF(B191="","",IF(OR(IA191="",IA191=0),"BOX",IFERROR(IF(VLOOKUP(IA191,УГО_блоки,3,FALSE)&amp;""&lt;&gt;"",VLOOKUP(IA191,УГО_блоки,3,FALSE),VLOOKUP(IA191,УГО_блоки,2,FALSE)),IA191)))</f>
        <v>SOCKET</v>
      </c>
      <c r="IC191">
        <f t="shared" si="361"/>
        <v>1</v>
      </c>
      <c r="ID191" t="str">
        <f>IF(DA191="","",IF(COUNTIF(DA$3:DA191,DA191)=1,MAX(ID$2:ID190)+1,""))</f>
        <v/>
      </c>
      <c r="IE191" t="str">
        <f>IF(CO191="","",IF(COUNTIF(CO$3:CO191,CO191)+COUNTIF(CP$2:CP190,CO191)+COUNTIF(CQ$2:CQ190,CO191)=1,MAX(IE$2:IG190)+1,""))</f>
        <v/>
      </c>
      <c r="IF191" t="str">
        <f>IF(CP191="","",IF(COUNTIF(CO$3:CO191,CP191)+COUNTIF(CP$3:CP191,CP191)+COUNTIF(CQ$2:CQ190,CP191)=1,MAX(IE$2:IG190,IE191)+1,""))</f>
        <v/>
      </c>
      <c r="IG191" t="str">
        <f>IF(CQ191="","",IF(COUNTIF(CO$3:CO191,CQ191)+COUNTIF(CP$3:CP191,CQ191)+COUNTIF(CQ$3:CQ191,CQ191)=1,MAX(IE$2:IG190,IE191,IF191)+1,""))</f>
        <v/>
      </c>
      <c r="IH191" t="str">
        <f t="shared" si="362"/>
        <v>3х2,5</v>
      </c>
      <c r="II191" t="str">
        <f>IF(IH191="","",IF(COUNTIF(IH$3:IH191,IH191)=1,MAX(II$2:II190)+1,""))</f>
        <v/>
      </c>
      <c r="IJ191" t="str">
        <f>IF(GL191="","",COUNTIF(GL$3:GL191,"?*"))</f>
        <v/>
      </c>
      <c r="IK191" t="str">
        <f>IF(OR(GL191="",GN191=""),"",IF(COUNTIFS(GL$3:GL191,"?*",GN$3:GN191,GN191)=1,MAX(IK$2:IK190)+1,""))</f>
        <v/>
      </c>
      <c r="IL191">
        <f t="shared" si="363"/>
        <v>0</v>
      </c>
      <c r="IM191">
        <f>IF(B191="","",COUNTIF(B$3:B191,"?*"))</f>
        <v>189</v>
      </c>
      <c r="IN191">
        <f>IF(GQ191&lt;&gt;1,0,_xlfn.LET(_xlpm.k,MAX(IFERROR(--VLOOKUP(B191,УГО_спр,5,FALSE),0),IFERROR(--VLOOKUP(AX191,УГО_спр,5,FALSE),0),IFERROR(--VLOOKUP(LEFT(AX191,2),УГО_спр,5,FALSE),0)),IF(_xlpm.k&gt;0,_xlpm.k,IF(IFERROR(--LEFT(SUBSTITUTE(IH191,"x","х"),FIND("х",SUBSTITUTE(IH191,"x","х"))-1),3)&gt;3,Каталог!$S$9,1))))</f>
        <v>1</v>
      </c>
      <c r="IO191">
        <f t="shared" si="364"/>
        <v>0</v>
      </c>
      <c r="IP191" t="str">
        <f t="shared" si="365"/>
        <v>авто</v>
      </c>
      <c r="IQ191">
        <f t="shared" si="366"/>
        <v>30</v>
      </c>
      <c r="IR191">
        <f t="shared" si="367"/>
        <v>1</v>
      </c>
      <c r="IS191">
        <f t="shared" si="368"/>
        <v>1</v>
      </c>
    </row>
    <row r="192" spans="1:253" x14ac:dyDescent="0.3">
      <c r="A192" t="s">
        <v>757</v>
      </c>
      <c r="B192" t="s">
        <v>1458</v>
      </c>
      <c r="C192" t="str">
        <f>Линии[[#This Row],[_авто наименование]]</f>
        <v>Розеточная группа, пом. 003A</v>
      </c>
      <c r="D192">
        <v>3</v>
      </c>
      <c r="E192">
        <v>0.18</v>
      </c>
      <c r="G192" t="str">
        <f>Линии[[#This Row],[_авто автомат]]</f>
        <v>2P С16А 30мА</v>
      </c>
      <c r="H192">
        <f>Линии[[#This Row],[_авто утечка]]</f>
        <v>30</v>
      </c>
      <c r="I192" t="str">
        <f>Линии[[#This Row],[_авто управление]]</f>
        <v/>
      </c>
      <c r="J192" t="str">
        <f>Линии[[#This Row],[_авто аппараты]]</f>
        <v/>
      </c>
      <c r="K192">
        <v>2.5</v>
      </c>
      <c r="L192">
        <v>54</v>
      </c>
      <c r="M192">
        <v>1</v>
      </c>
      <c r="N192" t="str">
        <f>Линии[[#This Row],[_авто клемма]]</f>
        <v>XT8</v>
      </c>
      <c r="O192" t="str">
        <f t="shared" si="246"/>
        <v/>
      </c>
      <c r="P192" s="6" cm="1">
        <f t="array" ref="P192">IF(B192="","",IF(BC192&lt;&gt;"",IFERROR(_xlfn.XLOOKUP(BC192,Щиты[Щит],Щиты[Iр, А]),""),IF(BK192=1,IFERROR(_xlfn.XLOOKUP(A192,Щиты[Щит],Щиты[Iр, А]),""),IFERROR(_xlfn.IFS(BR192=1,BN192/((Uн_лин/SQRT(3))*BY192),BR192=3,BN192/(SQRT(3)*Uн_лин*BY192)),""))))</f>
        <v>0.8204451193747313</v>
      </c>
      <c r="Q192" s="7">
        <f>IF(B192="","",IFERROR(IF(VLOOKUP(AX192,Потребители_обозначение,4,FALSE)=1,VLOOKUP(AX192,Потребители_обозначение,3,FALSE)*(D192*2-1)+DS192+VLOOKUP(AZ192,Этаж_обозначение,3,FALSE)+VLOOKUP(AZ192,Этаж_обозначение,4,FALSE),VLOOKUP(AX192,Потребители_обозначение,3,FALSE)*(D192*2-1)+DS192),DS192))</f>
        <v>69</v>
      </c>
      <c r="R192" s="6">
        <f t="shared" si="247"/>
        <v>0.86</v>
      </c>
      <c r="S192" t="str">
        <f t="shared" si="248"/>
        <v>ВВГнг(А)-LS (3х2,5)</v>
      </c>
      <c r="T192" t="str">
        <f>IF(BH192="","",IF(BI192="вводной узел","узел ","")&amp;"л."&amp;(INT((BH192-1)/Столбцов_на_лист)+1)&amp;" / "&amp;(MOD(BH192-1,Столбцов_на_лист)+1))</f>
        <v>л.2 / 8</v>
      </c>
      <c r="V192">
        <v>1</v>
      </c>
      <c r="W192">
        <v>230</v>
      </c>
      <c r="X192" t="s">
        <v>564</v>
      </c>
      <c r="AC192" t="s">
        <v>815</v>
      </c>
      <c r="AE192" t="s">
        <v>563</v>
      </c>
      <c r="AI192">
        <v>25</v>
      </c>
      <c r="AJ192" t="s">
        <v>11</v>
      </c>
      <c r="AK192">
        <v>3</v>
      </c>
      <c r="AM192">
        <v>10</v>
      </c>
      <c r="AN192">
        <v>59</v>
      </c>
      <c r="AO192">
        <v>0</v>
      </c>
      <c r="AW192" cm="1">
        <f t="array" ref="AW192">ROW()-ROW(Линии[#Headers])</f>
        <v>190</v>
      </c>
      <c r="AX192" s="6" t="str">
        <f t="shared" si="249"/>
        <v>R</v>
      </c>
      <c r="AY192" t="str">
        <f t="shared" si="250"/>
        <v>0.003A.3</v>
      </c>
      <c r="AZ192" t="str">
        <f t="shared" si="251"/>
        <v>0</v>
      </c>
      <c r="BA192" t="str">
        <f t="shared" si="252"/>
        <v>003A.3</v>
      </c>
      <c r="BB192" t="str">
        <f t="shared" si="253"/>
        <v>003A</v>
      </c>
      <c r="BC192" t="str">
        <f>IF(U192&lt;&gt;"",U192,IF(AND(B192&lt;&gt;"",B192&lt;&gt;A192,ISNUMBER(_xlfn.XMATCH(B192,Щиты[Щит]))),B192,""))</f>
        <v/>
      </c>
      <c r="BD192" t="str" cm="1">
        <f t="array" ref="BD192">IF(B192="","",IF(BC192&lt;&gt;"","Щит "&amp;BC192,_xlfn.LET(_xlpm.nm,IFERROR(_xlfn.XLOOKUP(AX192,Коды_код,Коды_имя)&amp;"",""),_xlpm.md,IFERROR(N(_xlfn.XLOOKUP(AX192,Коды_код,Коды_режим)),1),_xlpm.ex,IF(Имя_режим="по экспликации",IFERROR(_xlfn.XLOOKUP(AZ192&amp;"|"&amp;BB192,Экспликация[Этаж]&amp;"|"&amp;Экспликация[Помещение],Экспликация[Название])&amp;"",""),""),_xlpm.rm,IF(BB192="","",IF(_xlpm.ex&lt;&gt;"",". "&amp;_xlpm.ex&amp;IF(Имя_пом="нет"," ("&amp;BB192&amp;")"," (пом. "&amp;BB192&amp;")"),IF(Имя_пом="нет"," ",", пом. ")&amp;BB192)),IF(_xlpm.nm="","",IF(_xlpm.md=2,_xlpm.nm&amp;" шлейф "&amp;AZ192,_xlpm.nm&amp;_xlpm.rm)))))</f>
        <v>Розеточная группа, пом. 003A</v>
      </c>
      <c r="BE192" t="str">
        <f t="shared" si="254"/>
        <v>Розеточная группа, пом. 003A</v>
      </c>
      <c r="BF192">
        <f>IFERROR(_xlfn.XMATCH(A192,Щиты[Щит]),0)</f>
        <v>9</v>
      </c>
      <c r="BG192">
        <f>_xlfn.LET(_xlpm.k,IFERROR(_xlfn.XLOOKUP(A192,Щиты[Щит],Щиты[Листов под вводной узел]),""),IF(_xlpm.k="",1,N(_xlpm.k))*Столбцов_на_лист)</f>
        <v>17</v>
      </c>
      <c r="BH192">
        <f t="shared" si="255"/>
        <v>25</v>
      </c>
      <c r="BI192" t="str">
        <f t="shared" si="256"/>
        <v>линии</v>
      </c>
      <c r="BJ192" s="6">
        <f>IFERROR(N(_xlfn.XLOOKUP(AX192,Коды_код,Коды_квт)),0)</f>
        <v>0</v>
      </c>
      <c r="BK192">
        <f t="shared" si="257"/>
        <v>0</v>
      </c>
      <c r="BL192" t="str">
        <f>IF(B192="","",IF(BC192&lt;&gt;"",IFERROR(_xlfn.XLOOKUP(BC192,Щиты[Щит],Щиты[Руст, кВт]),0),IF(BK192=1,IFERROR(_xlfn.XLOOKUP(A192,Щиты[Щит],Щиты[Руст, кВт]),0),IF(BJ192&gt;0,ROUND(BJ192*MAX(1,N(D192)),3),""))))</f>
        <v/>
      </c>
      <c r="BM192">
        <f t="shared" si="258"/>
        <v>0.18</v>
      </c>
      <c r="BN192" s="6">
        <f>IF(B192="","",IF(BC192&lt;&gt;"",IFERROR(_xlfn.XLOOKUP(BC192,Щиты[Щит],Щиты[Руст, кВт]),0),N(BM192)))</f>
        <v>0.18</v>
      </c>
      <c r="BO192" t="str">
        <f>IF(B192="","",IFERROR(IF(VLOOKUP(AX192,Потребители_обозначение,8,FALSE)=0,"",VLOOKUP(AX192,Потребители_обозначение,8,FALSE)),""))</f>
        <v/>
      </c>
      <c r="BP192">
        <f t="shared" si="259"/>
        <v>230</v>
      </c>
      <c r="BQ192">
        <f>IF(B192="","",IF(BC192&lt;&gt;"",3,IFERROR(IF(N(VLOOKUP(AX192,Потребители_обозначение,9,FALSE))=0,1,VLOOKUP(AX192,Потребители_обозначение,9,FALSE)),1)))</f>
        <v>1</v>
      </c>
      <c r="BR192">
        <f t="shared" si="260"/>
        <v>1</v>
      </c>
      <c r="BS192" t="str">
        <f>IF(B192="","",_xlfn.LET(_xlpm.bc,IFERROR(IF(VLOOKUP(AX192,Потребители_обозначение,6,FALSE)=0,"",VLOOKUP(AX192,Потребители_обозначение,6,FALSE)&amp;""),""),IF(AND(FK192="да",OR(_xlpm.bc="",_xlpm.bc="мс")),Марка_пож,IF(AND(_xlpm.bc="",BC192&lt;&gt;""),"мс",_xlpm.bc))))</f>
        <v/>
      </c>
      <c r="BT192" t="str">
        <f t="shared" si="261"/>
        <v>мс</v>
      </c>
      <c r="BU192">
        <f>IF(B192="","",_xlfn.LET(_xlpm.cc,IFERROR(N(VLOOKUP(AX192,Потребители_обозначение,7,FALSE)),0),IF(_xlpm.cc&gt;0,_xlpm.cc,IF(BT192="","",IF(N(BR192)=3,5,3)))))</f>
        <v>3</v>
      </c>
      <c r="BV192">
        <f t="shared" si="262"/>
        <v>3</v>
      </c>
      <c r="BW192">
        <f>IFERROR(N(VLOOKUP(AX192,Потребители_обозначение,10,FALSE)),0)</f>
        <v>0</v>
      </c>
      <c r="BX192">
        <f>IFERROR(VLOOKUP(AX192,Потребители_обозначение,5,FALSE),0)</f>
        <v>1</v>
      </c>
      <c r="BY192" s="6" cm="1">
        <f t="array" ref="BY192">IF(B192="","",IF(BC192&lt;&gt;"",IFERROR(_xlfn.XLOOKUP(BC192,Щиты[Щит],Щиты[cos φ]),0.95),IF(BK192=1,IFERROR(_xlfn.XLOOKUP(A192,Щиты[Щит],Щиты[cos φ]),0.95),IF(ISNUMBER(Z192),Z192,IFERROR(IF(BX192=2,_xlfn.IFS(BR192=3,VLOOKUP(BN192,Справочная_двигатели,8,FALSE),BR192=1,VLOOKUP(BN192,Справочная_двигатели,10,TRUE)),IF(AND(Методика="нормы 2026",EQ192="Сил"),0.8,0.95)),0.95)))))</f>
        <v>0.95</v>
      </c>
      <c r="BZ192">
        <f t="shared" si="263"/>
        <v>0</v>
      </c>
      <c r="CA192">
        <f t="shared" si="264"/>
        <v>1</v>
      </c>
      <c r="CB192">
        <f t="shared" si="265"/>
        <v>0</v>
      </c>
      <c r="CC192">
        <f t="shared" si="266"/>
        <v>0</v>
      </c>
      <c r="CD192">
        <f t="shared" si="267"/>
        <v>0</v>
      </c>
      <c r="CE192">
        <f t="shared" si="268"/>
        <v>0</v>
      </c>
      <c r="CF192">
        <f t="shared" si="269"/>
        <v>0</v>
      </c>
      <c r="CG192">
        <f>IF(AX192="",0,_xlfn.LET(_xlpm.v,IFERROR(VLOOKUP(B192,УГО_спр,3,FALSE),IFERROR(VLOOKUP(AX192,УГО_спр,3,FALSE),IFERROR(VLOOKUP(LEFT(AX192,2),УГО_спр,3,FALSE),""))),IF(_xlpm.v="да",30,IF(ISNUMBER(_xlpm.v),_xlpm.v,0))))</f>
        <v>30</v>
      </c>
      <c r="CH192">
        <f t="shared" si="270"/>
        <v>30</v>
      </c>
      <c r="CI192" t="str">
        <f>_xlfn.LET(_xlpm.k,IFERROR(_xlfn.XLOOKUP(AX192,Коды_код,Коды_утечка)&amp;"",""),IF(_xlpm.k="","дифавтомат",_xlpm.k))</f>
        <v>дифавтомат</v>
      </c>
      <c r="CJ192">
        <f t="shared" si="271"/>
        <v>30</v>
      </c>
      <c r="CK192">
        <f t="shared" si="272"/>
        <v>30</v>
      </c>
      <c r="CL192">
        <f>IF(B192="",0,IFERROR(--VLOOKUP(B192,УГО_спр,4,FALSE),IFERROR(--VLOOKUP(AX192,УГО_спр,4,FALSE),IFERROR(--VLOOKUP(LEFT(AX192,2),УГО_спр,4,FALSE),0))))</f>
        <v>16</v>
      </c>
      <c r="CM192" t="str">
        <f>IF(B192="","",IFERROR(_xlfn.XLOOKUP(AX192,Коды_код,Коды_апп)&amp;"",""))</f>
        <v/>
      </c>
      <c r="CN192" t="str">
        <f t="shared" si="273"/>
        <v/>
      </c>
      <c r="CO192" t="str" cm="1">
        <f t="array" ref="CO192">IF(TRIM(CN192&amp;"")="","",IFERROR(TRIM(INDEX(_xlfn.TEXTSPLIT(CN192&amp;";;;",";"),1)),""))</f>
        <v/>
      </c>
      <c r="CP192" t="str" cm="1">
        <f t="array" ref="CP192">IF(TRIM(CN192&amp;"")="","",IFERROR(TRIM(INDEX(_xlfn.TEXTSPLIT(CN192&amp;";;;",";"),2)),""))</f>
        <v/>
      </c>
      <c r="CQ192" t="str" cm="1">
        <f t="array" ref="CQ192">IF(TRIM(CN192&amp;"")="","",IFERROR(TRIM(INDEX(_xlfn.TEXTSPLIT(CN192&amp;";;;",";"),3)),""))</f>
        <v/>
      </c>
      <c r="CR192">
        <f t="shared" si="274"/>
        <v>0</v>
      </c>
      <c r="CS192" t="str">
        <f>IF(B192="","",_xlfn.LET(_xlpm.t,LOWER(AV192&amp;""),IF(ISNUMBER(SEARCH("dim",_xlpm.t)),"DIM",IF(ISNUMBER(SEARCH("dali",_xlpm.t)),"DALI",IF(OR(ISNUMBER(SEARCH("relay",_xlpm.t)),ISNUMBER(SEARCH("реле",_xlpm.t))),"Relay",IF(ISNUMBER(SEARCH("кнопк",_xlpm.t)),"",IFERROR(_xlfn.XLOOKUP(AX192,Коды_код,Коды_упр)&amp;"","")))))))</f>
        <v/>
      </c>
      <c r="CT192" t="str">
        <f t="shared" si="275"/>
        <v/>
      </c>
      <c r="CU192">
        <f>IF(B192="","",_xlfn.LET(_xlpm.ig,N(P192)+IF(AF192="вручную",0,N(CB192)),_xlpm.n0,IFERROR(VLOOKUP(_xlpm.ig,Автомат_номиналы,2,TRUE),0),_xlpm.mn,MAX(CL192,IF(AF192="вручную",0,N(CE192))),MAX(_xlpm.n0,_xlpm.mn,IF(CR192=1,Мин_автомат_БП,0))))</f>
        <v>16</v>
      </c>
      <c r="CV192">
        <f t="shared" si="276"/>
        <v>1</v>
      </c>
      <c r="CW192" t="str">
        <f t="shared" si="277"/>
        <v>2P</v>
      </c>
      <c r="CX192" t="str">
        <f>_xlfn.LET(_xlpm.cc,UPPER(TRIM(IFERROR(_xlfn.XLOOKUP(AX192,Коды_код,Коды_хар)&amp;"",""))),IF(OR(_xlpm.cc="B",_xlpm.cc="В"),"B",IF(_xlpm.cc="D","D","С")))</f>
        <v>С</v>
      </c>
      <c r="CY192" t="str">
        <f t="shared" si="278"/>
        <v>2P С16А 30мА</v>
      </c>
      <c r="CZ192" t="str">
        <f t="shared" si="279"/>
        <v>2P С16А 30мА</v>
      </c>
      <c r="DA192" t="str">
        <f t="shared" si="280"/>
        <v>2P С16А 30мА</v>
      </c>
      <c r="DB192" cm="1">
        <f t="array" ref="DB192">IF(DA192="","",_xlfn.LET(_xlpm.t,SUBSTITUTE(SUBSTITUTE(SUBSTITUTE(UPPER(DA192),"С","C"),"А","A"),"В","B"),_xlpm.tk,_xlfn.TEXTSPLIT(_xlpm.t,"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2" t="str">
        <f t="shared" si="281"/>
        <v>ok</v>
      </c>
      <c r="DD192">
        <f t="shared" si="282"/>
        <v>16</v>
      </c>
      <c r="DE192" t="str">
        <f t="shared" si="283"/>
        <v>2P С16А 30мА</v>
      </c>
      <c r="DF192">
        <f t="shared" si="284"/>
        <v>30</v>
      </c>
      <c r="DG192">
        <f t="shared" si="285"/>
        <v>1</v>
      </c>
      <c r="DH192">
        <f t="shared" si="286"/>
        <v>0</v>
      </c>
      <c r="DI192">
        <f t="shared" si="287"/>
        <v>0.8204451193747313</v>
      </c>
      <c r="DJ192">
        <f t="shared" si="288"/>
        <v>1</v>
      </c>
      <c r="DK192">
        <f>IF(ISNUMBER(AL192),AL192,К_прокл)</f>
        <v>1</v>
      </c>
      <c r="DL192">
        <f t="shared" si="289"/>
        <v>2</v>
      </c>
      <c r="DM192">
        <f>IFERROR(N(VLOOKUP(BT192,Кабель_обозначение,3,FALSE)),1)</f>
        <v>1</v>
      </c>
      <c r="DN192">
        <f>IFERROR(N(_xlfn.XLOOKUP(A192,Щиты[Щит],Щиты[ΔU до шин, %])),0)</f>
        <v>0.43</v>
      </c>
      <c r="DO192" t="str">
        <f>IFERROR(_xlfn.XLOOKUP(A192,Щиты[Щит],Щиты[Zпетли на шинах, Ом]),"")</f>
        <v/>
      </c>
      <c r="DP192">
        <f>IFERROR(N(_xlfn.XLOOKUP(A192,Щиты[Щит],Щиты[ΔU до шин (подбор), %])),0)</f>
        <v>0.43</v>
      </c>
      <c r="DQ192" t="str">
        <f>IFERROR(_xlfn.XLOOKUP(A192,Щиты[Щит],Щиты[Zпетли на шинах (подбор), Ом]),"")</f>
        <v/>
      </c>
      <c r="DR192" t="str">
        <f t="shared" si="290"/>
        <v/>
      </c>
      <c r="DS192">
        <f t="shared" si="291"/>
        <v>54</v>
      </c>
      <c r="DT192">
        <f t="shared" si="292"/>
        <v>2</v>
      </c>
      <c r="DU192">
        <f t="shared" si="293"/>
        <v>0.31</v>
      </c>
      <c r="DV192" s="6">
        <f>IF(B192="","",IF(IFERROR(VLOOKUP(AX192,УГО_спр,2,FALSE),"")="Светильник",3,4)+IF(Методика="нормы 2026",MIN(0.5,MAX(0,N(Q192)-100)*0.005),0))</f>
        <v>4</v>
      </c>
      <c r="DW192" cm="1">
        <f t="array" ref="DW192">IF(OR(B192="",BT192="",DM192&lt;&gt;1),"",_xlfn.LET(_xlpm.sz,Iдоп_S,_xlpm.t_,CHOOSE(DL192,Iдоп_1ж,Iдоп_2ж,Iдоп_3ж)*DJ192*DK192,_xlpm.inn,N(DD192),_xlpm.smin,MAX(1.5,BW192),_xlpm.L_,N(Q192)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192)*(_xlpm.rho*_xlpm.L_/_xlpm.sz*N(BY192)+_xlpm.xx*_xlpm.L_*N(DU192)/1000)*N(P192)/((Uн_лин/SQRT(3))*1000)*100,999),_xlpm.kz,IF(OR(DG192=1,NOT(ISNUMBER(DQ192)),_xlpm.L_=0,_xlpm.inn=0),1,IFERROR(--(c_min*(Uн_лин*1000/SQRT(3))/(DQ192+2*ρкз_Cu*_xlpm.L_/_xlpm.sz)&gt;=GY192*_xlpm.inn),0)),_xlpm.ok,IFERROR((_xlpm.sz&gt;=_xlpm.smin)*(_xlpm.t_&gt;=_xlpm.inn)*IF(_xlpm.L_&gt;0,(_xlpm.du_+DP192&lt;=DV192+0.00001),1)*_xlpm.kz,0),_xlpm.r_,_xlfn._xlws.FILTER(_xlpm.sz,_xlpm.ok,"не подобрано"),INDEX(_xlpm.r_,1)))</f>
        <v>1.5</v>
      </c>
      <c r="DX192">
        <f t="shared" si="294"/>
        <v>2.5</v>
      </c>
      <c r="DY192" cm="1">
        <f t="array" ref="DY192">IF(OR(B192="",BT192="",DM192&lt;&gt;1),"",_xlfn.LET(_xlpm.sz,Iдоп_S,_xlpm.t_,CHOOSE(DL192,Iдоп_1ж,Iдоп_2ж,Iдоп_3ж)*DJ192*DK192,_xlpm.ok,IFERROR((_xlpm.sz&gt;=MAX(1.5,BW192))*(_xlpm.t_&gt;=N(DD192)),0),_xlpm.r_,_xlfn._xlws.FILTER(_xlpm.sz,_xlpm.ok,""),INDEX(_xlpm.r_,1)))</f>
        <v>1.5</v>
      </c>
      <c r="DZ192" s="6" cm="1">
        <f t="array" ref="DZ192">IFERROR(ROUNDUP(N(DT192)*(_xlfn.XLOOKUP(DY192,INDEX(Кабель_сопротивление,0,1),INDEX(Кабель_сопротивление,0,3))*N(Q192)/DY192*N(BY192)+_xlfn.XLOOKUP(DY192,INDEX(Кабель_сопротивление,0,1),INDEX(Кабель_сопротивление,0,2))*N(Q192)*N(DU192)/1000)*N(P192)/((Uн_лин/SQRT(3))*1000)*100,2),"")</f>
        <v>0.71</v>
      </c>
      <c r="EA192">
        <f>IFERROR(2*ρкз_Cu*N(Q192)/DY192,"")</f>
        <v>2.4196</v>
      </c>
      <c r="EB192">
        <f>IFERROR(VLOOKUP(DX192,Кабель_сопротивление,3,FALSE),"")</f>
        <v>2.2499999999999999E-2</v>
      </c>
      <c r="EC192">
        <f>IFERROR(VLOOKUP(DX192,Кабель_сопротивление,2,FALSE),"")</f>
        <v>0.1</v>
      </c>
      <c r="ED192">
        <f t="shared" si="295"/>
        <v>59</v>
      </c>
      <c r="EE192">
        <f t="shared" si="296"/>
        <v>0</v>
      </c>
      <c r="EF192">
        <f t="shared" si="297"/>
        <v>0.97155306057093049</v>
      </c>
      <c r="EG192" s="6">
        <f>IFERROR(ROUNDUP(EF192/((Uн_лин/SQRT(3))*1000)*100,2),"")</f>
        <v>0.43</v>
      </c>
      <c r="EH192" t="str">
        <f>IFERROR(VLOOKUP(BT192,Кабель_обозначение,2,FALSE),"")</f>
        <v>ВВГнг(А)-LS</v>
      </c>
      <c r="EI192" t="str">
        <f t="shared" si="298"/>
        <v>ВВГнг(А)-LS (3х2,5)</v>
      </c>
      <c r="EJ192" t="str">
        <f t="shared" si="299"/>
        <v>ВВГнг(А)-LS (3х2,5)
L=69-0,43%</v>
      </c>
      <c r="EK192">
        <f>IFERROR(2*ρкз_Cu*Q192/DX192,"")</f>
        <v>1.4517599999999999</v>
      </c>
      <c r="EL192">
        <f t="shared" si="300"/>
        <v>0.48299999999999998</v>
      </c>
      <c r="EM192" s="6" t="str">
        <f>IFERROR(IF(OR(B192="",NOT(ISNUMBER(DX192)),N(Q192)=0),"",_xlfn.XLOOKUP(A192,Щиты[Щит],Щиты[Zпетли на шинах, Ом])+EK192),"")</f>
        <v/>
      </c>
      <c r="EN192" s="6" t="str">
        <f>IF(ISNUMBER(EM192),c_min*(Uн_лин*1000/SQRT(3))/EM192,"")</f>
        <v/>
      </c>
      <c r="EO192" s="6" t="str">
        <f>IFERROR(IF(OR(B192="",NOT(ISNUMBER(DX192))),"",1.05*(Uн_лин*1000/SQRT(3))/(_xlfn.XLOOKUP(A192,Щиты[Щит],Щиты[Zmax на шинах, Ом])+EL192)/1000),"")</f>
        <v/>
      </c>
      <c r="EP192" s="6" t="str">
        <f>IF(B192="","",IF(ISNUMBER(Y192),"Сил",IF(IFERROR(_xlfn.XLOOKUP(AX192,Коды_код,Коды_группа)&amp;"","")="","Быт",_xlfn.XLOOKUP(AX192,Коды_код,Коды_группа)&amp;"")))</f>
        <v>Быт</v>
      </c>
      <c r="EQ192" s="6" t="str">
        <f t="shared" si="301"/>
        <v>Быт</v>
      </c>
      <c r="ER192" s="6">
        <f>IF(EQ192="Щит","щит",IF(EQ192="","",IF(EQ192="Быт",IFERROR(_xlfn.XLOOKUP(A192,Щиты[Щит],Щиты[Кс быт]),1),IF(EQ192="Сил",IF(ISNUMBER(Y192),Y192,IF(Методика="нормы 2026",IFERROR(_xlfn.XLOOKUP(A192,Щиты[Щит],Щиты[Кс силовых (табл. 7.5)]),1),1)),IF(OR(EQ192="Пост",EQ192="Отоп"),1,IF(EQ192="ВНГ",0.7,0))))))</f>
        <v>0.79799999999999993</v>
      </c>
      <c r="ES192">
        <f t="shared" si="302"/>
        <v>1</v>
      </c>
      <c r="ET192">
        <f t="shared" si="303"/>
        <v>0.18</v>
      </c>
      <c r="EU192">
        <f t="shared" si="304"/>
        <v>0.18</v>
      </c>
      <c r="EV192">
        <f t="shared" si="305"/>
        <v>0</v>
      </c>
      <c r="EW192">
        <f t="shared" si="306"/>
        <v>0</v>
      </c>
      <c r="EX192">
        <f t="shared" si="307"/>
        <v>0</v>
      </c>
      <c r="EY192">
        <f t="shared" si="308"/>
        <v>0</v>
      </c>
      <c r="EZ192">
        <f t="shared" si="309"/>
        <v>0.18</v>
      </c>
      <c r="FA192">
        <f t="shared" si="310"/>
        <v>0.17099999999999999</v>
      </c>
      <c r="FB192">
        <f t="shared" si="311"/>
        <v>0.18</v>
      </c>
      <c r="FC192" t="str">
        <f t="shared" si="312"/>
        <v>L1</v>
      </c>
      <c r="FD192" t="str">
        <f>IF(B192="","",IF(CA192=0,IF(AW192=1,"",FF191),IF(OR(N(CV192)&gt;=3,N(BR192)&gt;=3),"L1,L2,L3",IFERROR(_xlfn.TEXTBEFORE(_xlfn.TEXTAFTER(_xlfn.XLOOKUP(A192,Щиты[Щит],Щиты[_фазы авто]),";"&amp;AW192&amp;":"),";"),"L1"))))</f>
        <v>L1</v>
      </c>
      <c r="FE192" t="str">
        <f t="shared" si="313"/>
        <v>L1</v>
      </c>
      <c r="FF192" t="str">
        <f t="shared" si="314"/>
        <v>L1</v>
      </c>
      <c r="FG192" cm="1">
        <f t="array" ref="FG192">IFERROR(IF(BX192=2,_xlfn.IFS(BR192=3,VLOOKUP(BN192,Справочная_двигатели,3,FALSE),BR192=1,VLOOKUP(BN192,Справочная_двигатели,5,TRUE)),0),0)</f>
        <v>0</v>
      </c>
      <c r="FH192">
        <f>IFERROR(IF(BX192=3,VLOOKUP(BN192,Справочная_ЛЭД,2,TRUE),0),0)</f>
        <v>0</v>
      </c>
      <c r="FI192" s="6">
        <f t="shared" si="315"/>
        <v>0</v>
      </c>
      <c r="FJ192" t="str" cm="1">
        <f t="array" ref="FJ192">IF(B192="","",IFERROR(INDEX({"I особая","I","II","III"},MATCH(TRIM(AC192&amp;""),{"I особая","I","II","III"},0)),"III"))</f>
        <v>II</v>
      </c>
      <c r="FK192" t="str">
        <f>IF(B192="","",IF(TRIM(AD192&amp;"")&lt;&gt;"",IF(LOWER(TRIM(AD192&amp;""))="да","да","нет"),IF(IFERROR(_xlfn.XLOOKUP(AX192,Коды_код,Коды_пожарная),"")="да","да","нет")))</f>
        <v>нет</v>
      </c>
      <c r="FL192" t="str">
        <f t="shared" si="316"/>
        <v/>
      </c>
      <c r="FM192" t="str">
        <f t="shared" si="317"/>
        <v>основная</v>
      </c>
      <c r="FN192">
        <f t="shared" si="318"/>
        <v>1</v>
      </c>
      <c r="FO192" t="str" cm="1">
        <f t="array" ref="FO192">IF(B192="","",_xlfn.LET(_xlpm.t,IFERROR(_xlfn.XLOOKUP(1,(Шины[Шина]=FM192)*(((Шины[Щит]=A192)+(Шины[Щит]=""))&gt;0),Шины[Тип]),"")&amp;"",IF(_xlpm.t&lt;&gt;"",_xlpm.t,IF(ISNUMBER(SEARCH("ИБП",FM192)),"ИБП",IF(ISNUMBER(SEARCH("ДГУ",FM192)),"ДГУ","Ввод "&amp;FN192)))))</f>
        <v>Ввод 1</v>
      </c>
      <c r="FP192" t="str">
        <f t="shared" si="319"/>
        <v>Ввод 1</v>
      </c>
      <c r="FQ192" t="str">
        <f>IF(B192="","",IF(OR(FO192="ИБП",FO192="ДГУ"),"I особая",IF(FO192="Одиночная","III",_xlfn.XLOOKUP(A192,Щиты[Щит],Щиты[Категория шины «Ввод»],"III"))))</f>
        <v>II</v>
      </c>
      <c r="FR192">
        <f>IF(B192="",0,IFERROR(MATCH(FJ192,{"III","II","I","I особая"},0),1))</f>
        <v>2</v>
      </c>
      <c r="FS192">
        <f t="shared" si="320"/>
        <v>2</v>
      </c>
      <c r="FT192" t="str">
        <f>IF(B192="","",IF(FR192&gt;IFERROR(MATCH(FQ192,{"III","II","I","I особая"},0),1),"НЕ ОБЕСПЕЧЕНА","ОК"))</f>
        <v>ОК</v>
      </c>
      <c r="FU192" t="str">
        <f>IF(A192="","",_xlfn.XLOOKUP(A192,Щиты[Щит],Щиты[Путь],""))</f>
        <v>|ГРЩ-ЖД|ЩР-01|</v>
      </c>
      <c r="FV192" t="str">
        <f>IF(B192="","",IF(AE192&lt;&gt;"",AE192,IF(IFERROR(_xlfn.XLOOKUP(AX192,Коды_код,Коды_вид)&amp;"","")="","Прочее",_xlfn.XLOOKUP(AX192,Коды_код,Коды_вид)&amp;"")))</f>
        <v>Розеточная сеть и бытовые приборы</v>
      </c>
      <c r="FW192">
        <f>IF(BH192="","",INT((BH192-1)/Столбцов_на_лист)+1)</f>
        <v>2</v>
      </c>
      <c r="FX192" t="str">
        <f t="shared" si="321"/>
        <v>ВВГнг(А)-LS (3х2,5) L=69-0,43%</v>
      </c>
      <c r="FY192">
        <f t="shared" si="322"/>
        <v>0.18</v>
      </c>
      <c r="FZ192">
        <f t="shared" si="323"/>
        <v>0.83</v>
      </c>
      <c r="GA192">
        <f t="shared" si="324"/>
        <v>1</v>
      </c>
      <c r="GB192">
        <f t="shared" si="325"/>
        <v>0</v>
      </c>
      <c r="GC192">
        <f t="shared" si="326"/>
        <v>1</v>
      </c>
      <c r="GD192">
        <f>IF(BH192="","",IF(AND(CA192=1,GC192=1),COUNTIFS(A$3:A192,A192,CA$3:CA192,1,GC$3:GC192,1),IF(OR(OR(AW192=1,A192&lt;&gt;A191),AF192="вручную",GC192=0),"",IF(AW192=1,"",GE191))))</f>
        <v>8</v>
      </c>
      <c r="GE192">
        <f t="shared" si="327"/>
        <v>8</v>
      </c>
      <c r="GF192">
        <f>IF(B192="","",IFERROR(LOOKUP(INDEX(CHOOSE(DL192,Iдоп_1ж,Iдоп_2ж,Iдоп_3ж),MATCH(DX192,Iдоп_S,0))*DJ192*DK192,{6,10,16,20,25,32,40,50,63,80,100,125,160,200,250,315,400,500,630}),""))</f>
        <v>25</v>
      </c>
      <c r="GG192" t="str">
        <f t="shared" si="328"/>
        <v>QFD8</v>
      </c>
      <c r="GH192" t="str">
        <f t="shared" si="329"/>
        <v>QFD8</v>
      </c>
      <c r="GI192" t="str">
        <f t="shared" si="330"/>
        <v/>
      </c>
      <c r="GJ192">
        <f t="shared" si="331"/>
        <v>0</v>
      </c>
      <c r="GK192" t="str">
        <f>IF(OR(AG192="",AG192="-"),"",IFERROR(VLOOKUP(AG192,Модули_спр,2,FALSE),"R"))</f>
        <v/>
      </c>
      <c r="GL192" t="str">
        <f>IF(GK192="","",GK192&amp;"."&amp;COUNTIFS(A$3:A192,A192,GK$3:GK192,GK192))</f>
        <v/>
      </c>
      <c r="GM192" t="str">
        <f t="shared" si="332"/>
        <v/>
      </c>
      <c r="GN192" t="str">
        <f t="shared" si="333"/>
        <v/>
      </c>
      <c r="GO192" t="str">
        <f t="shared" si="334"/>
        <v/>
      </c>
      <c r="GP192" t="str">
        <f t="shared" si="335"/>
        <v/>
      </c>
      <c r="GQ192">
        <f t="shared" si="336"/>
        <v>1</v>
      </c>
      <c r="GR192" t="str">
        <f>IF(GQ192=1,"XT"&amp;COUNTIFS(A$3:A192,A192,GQ$3:GQ192,1),"")</f>
        <v>XT8</v>
      </c>
      <c r="GS192" t="str">
        <f t="shared" si="337"/>
        <v>XT8</v>
      </c>
      <c r="GT192" t="str">
        <f t="shared" si="338"/>
        <v>QFD8</v>
      </c>
      <c r="GU192" t="str">
        <f t="shared" si="339"/>
        <v/>
      </c>
      <c r="GV192" t="str">
        <f t="shared" si="340"/>
        <v>ok</v>
      </c>
      <c r="GW192" t="str">
        <f>IF(OR(GO192="",GM192=""),"",IF(GO192&gt;IFERROR(VLOOKUP(GN192,Модули_спр,3,FALSE),99),"ЛИШНИЙ КАНАЛ",IF(AND(AH192&lt;&gt;"=",COUNTIFS(Линии[_модуль гр.],GM192,Линии[Канал (итог)],GO192,Линии[Канал],"&lt;&gt;=",Линии[Щит],A192)&gt;1),"ДУБЛЬ КАНАЛА","")))</f>
        <v/>
      </c>
      <c r="GX192" s="6" t="str">
        <f t="shared" si="341"/>
        <v/>
      </c>
      <c r="GY192">
        <f t="shared" si="342"/>
        <v>10</v>
      </c>
      <c r="GZ192" t="str">
        <f t="shared" si="343"/>
        <v/>
      </c>
      <c r="HA192" t="str">
        <f>IF(AND(B192="",GT192=""),"",_xlfn.TEXTJOIN("; ",TRUE,IF(AND(B192&lt;&gt;"",FE192=""),"нет фазы",""),IF(AND(B192&lt;&gt;"",N(FY192)=0,EQ192&lt;&gt;"Нет"),"нет мощности",""),IF(AND(GS192&lt;&gt;"",COUNTIFS(Линии[Щит],A192,Линии[Клемма (итог)],GS192)&gt;1),"дубль клеммы "&amp;GS192,""),IF(AND(GV192&lt;&gt;"",GV192&lt;&gt;"ok"),GV192,""),IF(GW192&lt;&gt;"",GW192,""),IF(AND(N(BV192)&gt;=4,N(BR192)=1),BV192&amp;" жил на 1 фазе",""),IF(AND(AX192="R",CA192=1,OR(N(CK192)=0,N(CK192)&gt;30)),"розетка без дифзащиты до 30 мА",""),IFERROR(IF(AND(ISNUMBER(R192),R192&gt;DV192),"потери "&amp;FIXED(R192,1)&amp;" % &gt; "&amp;DV192&amp;" %",""),""),IFERROR(IF(LEFT(GZ192,4)="мало","Iкз мало — отключение &gt; 0,4 с",""),""),IF(AND(B192&lt;&gt;"",BH192=""),"не на схеме",""),IF(AND(CA192=0,B192&lt;&gt;"",FE192&lt;&gt;"",IF(AW192=1,"",FF191)&lt;&gt;"",FE192&lt;&gt;IF(AW192=1,"",FF191)),"фаза не как у автомата группы ("&amp;IF(AW192=1,"",FF191)&amp;")","")))</f>
        <v/>
      </c>
      <c r="HB192" s="6">
        <f>IF(OR(CA192=0,DA192=""),"",_xlfn.LET(_xlpm.t,IFERROR(_xlfn.XLOOKUP(DA192,Каталог!$U$4:$U$500,Каталог!$G$4:$G$500),""),_xlpm.k,SEARCH("кА",_xlpm.t),IFERROR(--TRIM(RIGHT(SUBSTITUTE(MID(_xlpm.t,MAX(1,_xlpm.k-4),_xlpm.k-MAX(1,_xlpm.k-4))," ",REPT(" ",9)),5)),"")))</f>
        <v>6</v>
      </c>
      <c r="HC192" t="str">
        <f>IF(OR(HB192="",CA192=0),"",IF(_xlfn.XLOOKUP(A192,Щиты[Щит],Щиты[Iкз max на шинах, кА],"")="","",IF(HB192&lt;_xlfn.XLOOKUP(A192,Щиты[Щит],Щиты[Iкз max на шинах, кА]),"Icu "&amp;HB192&amp;" кА &lt; Iкз max","ok")))</f>
        <v/>
      </c>
      <c r="HD192" t="str">
        <f t="shared" si="344"/>
        <v/>
      </c>
      <c r="HE192" t="str">
        <f t="shared" si="345"/>
        <v>QFD8|XT8</v>
      </c>
      <c r="HF192" t="str">
        <f t="shared" si="346"/>
        <v>QFD8|XT8|кабель ВВГнг(А)-LS (3х2,5) → Розеточная группа, пом. 003A</v>
      </c>
      <c r="HG192" t="str" cm="1">
        <f t="array" ref="HG192">IF(HF192="","",_xlfn.LET(_xlpm.nd,_xlfn.TEXTSPLIT(HF192,"|"),IF(COLUMNS(_xlpm.nd)&gt;1,A192&amp;"¦"&amp;INDEX(_xlpm.nd,1)&amp;"¦"&amp;INDEX(_xlpm.nd,2),"")))</f>
        <v>ЩР-01¦QFD8¦XT8</v>
      </c>
      <c r="HH192" t="str">
        <f t="shared" si="347"/>
        <v>R.0.003A.3¦Розеточная группа, пом. 003A</v>
      </c>
      <c r="HI192" t="str" cm="1">
        <f t="array" ref="HI192">IF(HF192="","",_xlfn.LET(_xlpm.nd,_xlfn.TEXTSPLIT(HF192,"|"),IF(COLUMNS(_xlpm.nd)&gt;2,A192&amp;"¦"&amp;INDEX(_xlpm.nd,2)&amp;"¦"&amp;INDEX(_xlpm.nd,3),"")))</f>
        <v>ЩР-01¦XT8¦кабель ВВГнг(А)-LS (3х2,5) → Розеточная группа, пом. 003A</v>
      </c>
      <c r="HJ192" t="str">
        <f t="shared" si="348"/>
        <v>R.0.003A.3¦Розеточная группа, пом. 003A</v>
      </c>
      <c r="HK192" t="str" cm="1">
        <f t="array" ref="HK192">IF(HF192="","",_xlfn.LET(_xlpm.nd,_xlfn.TEXTSPLIT(HF192,"|"),IF(COLUMNS(_xlpm.nd)&gt;3,A192&amp;"¦"&amp;INDEX(_xlpm.nd,3)&amp;"¦"&amp;INDEX(_xlpm.nd,4),"")))</f>
        <v/>
      </c>
      <c r="HL192" t="str">
        <f t="shared" si="349"/>
        <v/>
      </c>
      <c r="HM192" t="str" cm="1">
        <f t="array" ref="HM192">IF(HF192="","",_xlfn.LET(_xlpm.nd,_xlfn.TEXTSPLIT(HF192,"|"),IF(COLUMNS(_xlpm.nd)&gt;4,A192&amp;"¦"&amp;INDEX(_xlpm.nd,4)&amp;"¦"&amp;INDEX(_xlpm.nd,5),"")))</f>
        <v/>
      </c>
      <c r="HN192" t="str">
        <f t="shared" si="350"/>
        <v/>
      </c>
      <c r="HO192" t="str" cm="1">
        <f t="array" ref="HO192">IF(HF192="","",_xlfn.LET(_xlpm.nd,_xlfn.TEXTSPLIT(HF192,"|"),IF(COLUMNS(_xlpm.nd)&gt;5,A192&amp;"¦"&amp;INDEX(_xlpm.nd,5)&amp;"¦"&amp;INDEX(_xlpm.nd,6),"")))</f>
        <v/>
      </c>
      <c r="HP192" t="str">
        <f t="shared" si="351"/>
        <v/>
      </c>
      <c r="HQ192" t="str" cm="1">
        <f t="array" ref="HQ192">IF(HF192="","",_xlfn.LET(_xlpm.nd,_xlfn.TEXTSPLIT(HF192,"|"),IF(COLUMNS(_xlpm.nd)&gt;6,A192&amp;"¦"&amp;INDEX(_xlpm.nd,6)&amp;"¦"&amp;INDEX(_xlpm.nd,7),"")))</f>
        <v/>
      </c>
      <c r="HR192" t="str">
        <f t="shared" si="352"/>
        <v/>
      </c>
      <c r="HS192" t="str">
        <f t="shared" si="353"/>
        <v/>
      </c>
      <c r="HT192" t="str">
        <f t="shared" si="354"/>
        <v>QFD8 → XT8</v>
      </c>
      <c r="HU192">
        <f t="shared" si="355"/>
        <v>0</v>
      </c>
      <c r="HV192">
        <f t="shared" si="356"/>
        <v>1</v>
      </c>
      <c r="HW192" t="str">
        <f t="shared" si="357"/>
        <v/>
      </c>
      <c r="HX192" t="str">
        <f t="shared" si="358"/>
        <v/>
      </c>
      <c r="HY192" t="str">
        <f t="shared" si="359"/>
        <v/>
      </c>
      <c r="HZ192" t="str">
        <f t="shared" si="360"/>
        <v/>
      </c>
      <c r="IA192" t="str">
        <f>IF(B192="","",IFERROR(VLOOKUP(B192,УГО_спр,2,FALSE),IFERROR(VLOOKUP(AX192,УГО_спр,2,FALSE),IFERROR(VLOOKUP(LEFT(AX192,2),УГО_спр,2,FALSE),""))))</f>
        <v>Розетка</v>
      </c>
      <c r="IB192" t="str">
        <f>IF(B192="","",IF(OR(IA192="",IA192=0),"BOX",IFERROR(IF(VLOOKUP(IA192,УГО_блоки,3,FALSE)&amp;""&lt;&gt;"",VLOOKUP(IA192,УГО_блоки,3,FALSE),VLOOKUP(IA192,УГО_блоки,2,FALSE)),IA192)))</f>
        <v>SOCKET</v>
      </c>
      <c r="IC192">
        <f t="shared" si="361"/>
        <v>1</v>
      </c>
      <c r="ID192" t="str">
        <f>IF(DA192="","",IF(COUNTIF(DA$3:DA192,DA192)=1,MAX(ID$2:ID191)+1,""))</f>
        <v/>
      </c>
      <c r="IE192" t="str">
        <f>IF(CO192="","",IF(COUNTIF(CO$3:CO192,CO192)+COUNTIF(CP$2:CP191,CO192)+COUNTIF(CQ$2:CQ191,CO192)=1,MAX(IE$2:IG191)+1,""))</f>
        <v/>
      </c>
      <c r="IF192" t="str">
        <f>IF(CP192="","",IF(COUNTIF(CO$3:CO192,CP192)+COUNTIF(CP$3:CP192,CP192)+COUNTIF(CQ$2:CQ191,CP192)=1,MAX(IE$2:IG191,IE192)+1,""))</f>
        <v/>
      </c>
      <c r="IG192" t="str">
        <f>IF(CQ192="","",IF(COUNTIF(CO$3:CO192,CQ192)+COUNTIF(CP$3:CP192,CQ192)+COUNTIF(CQ$3:CQ192,CQ192)=1,MAX(IE$2:IG191,IE192,IF192)+1,""))</f>
        <v/>
      </c>
      <c r="IH192" t="str">
        <f t="shared" si="362"/>
        <v>3х2,5</v>
      </c>
      <c r="II192" t="str">
        <f>IF(IH192="","",IF(COUNTIF(IH$3:IH192,IH192)=1,MAX(II$2:II191)+1,""))</f>
        <v/>
      </c>
      <c r="IJ192" t="str">
        <f>IF(GL192="","",COUNTIF(GL$3:GL192,"?*"))</f>
        <v/>
      </c>
      <c r="IK192" t="str">
        <f>IF(OR(GL192="",GN192=""),"",IF(COUNTIFS(GL$3:GL192,"?*",GN$3:GN192,GN192)=1,MAX(IK$2:IK191)+1,""))</f>
        <v/>
      </c>
      <c r="IL192">
        <f t="shared" si="363"/>
        <v>0</v>
      </c>
      <c r="IM192">
        <f>IF(B192="","",COUNTIF(B$3:B192,"?*"))</f>
        <v>190</v>
      </c>
      <c r="IN192">
        <f>IF(GQ192&lt;&gt;1,0,_xlfn.LET(_xlpm.k,MAX(IFERROR(--VLOOKUP(B192,УГО_спр,5,FALSE),0),IFERROR(--VLOOKUP(AX192,УГО_спр,5,FALSE),0),IFERROR(--VLOOKUP(LEFT(AX192,2),УГО_спр,5,FALSE),0)),IF(_xlpm.k&gt;0,_xlpm.k,IF(IFERROR(--LEFT(SUBSTITUTE(IH192,"x","х"),FIND("х",SUBSTITUTE(IH192,"x","х"))-1),3)&gt;3,Каталог!$S$9,1))))</f>
        <v>1</v>
      </c>
      <c r="IO192">
        <f t="shared" si="364"/>
        <v>0</v>
      </c>
      <c r="IP192" t="str">
        <f t="shared" si="365"/>
        <v>авто</v>
      </c>
      <c r="IQ192">
        <f t="shared" si="366"/>
        <v>30</v>
      </c>
      <c r="IR192">
        <f t="shared" si="367"/>
        <v>1</v>
      </c>
      <c r="IS192">
        <f t="shared" si="368"/>
        <v>1</v>
      </c>
    </row>
    <row r="193" spans="1:253" x14ac:dyDescent="0.3">
      <c r="A193" t="s">
        <v>757</v>
      </c>
      <c r="B193" t="s">
        <v>1459</v>
      </c>
      <c r="C193" t="str">
        <f>Линии[[#This Row],[_авто наименование]]</f>
        <v>Розеточная группа, пом. 003Б</v>
      </c>
      <c r="D193">
        <v>1</v>
      </c>
      <c r="E193">
        <v>0.06</v>
      </c>
      <c r="G193" t="str">
        <f>Линии[[#This Row],[_авто автомат]]</f>
        <v>2P С16А 30мА</v>
      </c>
      <c r="H193">
        <f>Линии[[#This Row],[_авто утечка]]</f>
        <v>30</v>
      </c>
      <c r="I193" t="str">
        <f>Линии[[#This Row],[_авто управление]]</f>
        <v/>
      </c>
      <c r="J193" t="str">
        <f>Линии[[#This Row],[_авто аппараты]]</f>
        <v/>
      </c>
      <c r="K193">
        <v>2.5</v>
      </c>
      <c r="L193">
        <v>44</v>
      </c>
      <c r="M193">
        <v>2</v>
      </c>
      <c r="N193" t="s">
        <v>486</v>
      </c>
      <c r="O193" t="str">
        <f t="shared" si="246"/>
        <v/>
      </c>
      <c r="P193" s="6" cm="1">
        <f t="array" ref="P193">IF(B193="","",IF(BC193&lt;&gt;"",IFERROR(_xlfn.XLOOKUP(BC193,Щиты[Щит],Щиты[Iр, А]),""),IF(BK193=1,IFERROR(_xlfn.XLOOKUP(A193,Щиты[Щит],Щиты[Iр, А]),""),IFERROR(_xlfn.IFS(BR193=1,BN193/((Uн_лин/SQRT(3))*BY193),BR193=3,BN193/(SQRT(3)*Uн_лин*BY193)),""))))</f>
        <v>0.27348170645824377</v>
      </c>
      <c r="Q193" s="7">
        <f>IF(B193="","",IFERROR(IF(VLOOKUP(AX193,Потребители_обозначение,4,FALSE)=1,VLOOKUP(AX193,Потребители_обозначение,3,FALSE)*(D193*2-1)+DS193+VLOOKUP(AZ193,Этаж_обозначение,3,FALSE)+VLOOKUP(AZ193,Этаж_обозначение,4,FALSE),VLOOKUP(AX193,Потребители_обозначение,3,FALSE)*(D193*2-1)+DS193),DS193))</f>
        <v>47</v>
      </c>
      <c r="R193" s="6">
        <f t="shared" si="247"/>
        <v>0.53</v>
      </c>
      <c r="S193" t="str">
        <f t="shared" si="248"/>
        <v>ВВГнг(А)-LS (3х2,5)</v>
      </c>
      <c r="T193" t="str">
        <f>IF(BH193="","",IF(BI193="вводной узел","узел ","")&amp;"л."&amp;(INT((BH193-1)/Столбцов_на_лист)+1)&amp;" / "&amp;(MOD(BH193-1,Столбцов_на_лист)+1))</f>
        <v>л.2 / 11</v>
      </c>
      <c r="V193">
        <v>1</v>
      </c>
      <c r="W193">
        <v>230</v>
      </c>
      <c r="X193" t="s">
        <v>564</v>
      </c>
      <c r="AC193" t="s">
        <v>815</v>
      </c>
      <c r="AE193" t="s">
        <v>563</v>
      </c>
      <c r="AI193">
        <v>28</v>
      </c>
      <c r="AJ193" t="s">
        <v>11</v>
      </c>
      <c r="AK193">
        <v>3</v>
      </c>
      <c r="AM193">
        <v>8</v>
      </c>
      <c r="AN193">
        <v>39</v>
      </c>
      <c r="AO193">
        <v>0</v>
      </c>
      <c r="AW193" cm="1">
        <f t="array" ref="AW193">ROW()-ROW(Линии[#Headers])</f>
        <v>191</v>
      </c>
      <c r="AX193" s="6" t="str">
        <f t="shared" si="249"/>
        <v>R</v>
      </c>
      <c r="AY193" t="str">
        <f t="shared" si="250"/>
        <v>0.003Б.1</v>
      </c>
      <c r="AZ193" t="str">
        <f t="shared" si="251"/>
        <v>0</v>
      </c>
      <c r="BA193" t="str">
        <f t="shared" si="252"/>
        <v>003Б.1</v>
      </c>
      <c r="BB193" t="str">
        <f t="shared" si="253"/>
        <v>003Б</v>
      </c>
      <c r="BC193" t="str">
        <f>IF(U193&lt;&gt;"",U193,IF(AND(B193&lt;&gt;"",B193&lt;&gt;A193,ISNUMBER(_xlfn.XMATCH(B193,Щиты[Щит]))),B193,""))</f>
        <v/>
      </c>
      <c r="BD193" t="str" cm="1">
        <f t="array" ref="BD193">IF(B193="","",IF(BC193&lt;&gt;"","Щит "&amp;BC193,_xlfn.LET(_xlpm.nm,IFERROR(_xlfn.XLOOKUP(AX193,Коды_код,Коды_имя)&amp;"",""),_xlpm.md,IFERROR(N(_xlfn.XLOOKUP(AX193,Коды_код,Коды_режим)),1),_xlpm.ex,IF(Имя_режим="по экспликации",IFERROR(_xlfn.XLOOKUP(AZ193&amp;"|"&amp;BB193,Экспликация[Этаж]&amp;"|"&amp;Экспликация[Помещение],Экспликация[Название])&amp;"",""),""),_xlpm.rm,IF(BB193="","",IF(_xlpm.ex&lt;&gt;"",". "&amp;_xlpm.ex&amp;IF(Имя_пом="нет"," ("&amp;BB193&amp;")"," (пом. "&amp;BB193&amp;")"),IF(Имя_пом="нет"," ",", пом. ")&amp;BB193)),IF(_xlpm.nm="","",IF(_xlpm.md=2,_xlpm.nm&amp;" шлейф "&amp;AZ193,_xlpm.nm&amp;_xlpm.rm)))))</f>
        <v>Розеточная группа, пом. 003Б</v>
      </c>
      <c r="BE193" t="str">
        <f t="shared" si="254"/>
        <v>Розеточная группа, пом. 003Б</v>
      </c>
      <c r="BF193">
        <f>IFERROR(_xlfn.XMATCH(A193,Щиты[Щит]),0)</f>
        <v>9</v>
      </c>
      <c r="BG193">
        <f>_xlfn.LET(_xlpm.k,IFERROR(_xlfn.XLOOKUP(A193,Щиты[Щит],Щиты[Листов под вводной узел]),""),IF(_xlpm.k="",1,N(_xlpm.k))*Столбцов_на_лист)</f>
        <v>17</v>
      </c>
      <c r="BH193">
        <f t="shared" si="255"/>
        <v>28</v>
      </c>
      <c r="BI193" t="str">
        <f t="shared" si="256"/>
        <v>линии</v>
      </c>
      <c r="BJ193" s="6">
        <f>IFERROR(N(_xlfn.XLOOKUP(AX193,Коды_код,Коды_квт)),0)</f>
        <v>0</v>
      </c>
      <c r="BK193">
        <f t="shared" si="257"/>
        <v>0</v>
      </c>
      <c r="BL193" t="str">
        <f>IF(B193="","",IF(BC193&lt;&gt;"",IFERROR(_xlfn.XLOOKUP(BC193,Щиты[Щит],Щиты[Руст, кВт]),0),IF(BK193=1,IFERROR(_xlfn.XLOOKUP(A193,Щиты[Щит],Щиты[Руст, кВт]),0),IF(BJ193&gt;0,ROUND(BJ193*MAX(1,N(D193)),3),""))))</f>
        <v/>
      </c>
      <c r="BM193">
        <f t="shared" si="258"/>
        <v>0.06</v>
      </c>
      <c r="BN193" s="6">
        <f>IF(B193="","",IF(BC193&lt;&gt;"",IFERROR(_xlfn.XLOOKUP(BC193,Щиты[Щит],Щиты[Руст, кВт]),0),N(BM193)))</f>
        <v>0.06</v>
      </c>
      <c r="BO193" t="str">
        <f>IF(B193="","",IFERROR(IF(VLOOKUP(AX193,Потребители_обозначение,8,FALSE)=0,"",VLOOKUP(AX193,Потребители_обозначение,8,FALSE)),""))</f>
        <v/>
      </c>
      <c r="BP193">
        <f t="shared" si="259"/>
        <v>230</v>
      </c>
      <c r="BQ193">
        <f>IF(B193="","",IF(BC193&lt;&gt;"",3,IFERROR(IF(N(VLOOKUP(AX193,Потребители_обозначение,9,FALSE))=0,1,VLOOKUP(AX193,Потребители_обозначение,9,FALSE)),1)))</f>
        <v>1</v>
      </c>
      <c r="BR193">
        <f t="shared" si="260"/>
        <v>1</v>
      </c>
      <c r="BS193" t="str">
        <f>IF(B193="","",_xlfn.LET(_xlpm.bc,IFERROR(IF(VLOOKUP(AX193,Потребители_обозначение,6,FALSE)=0,"",VLOOKUP(AX193,Потребители_обозначение,6,FALSE)&amp;""),""),IF(AND(FK193="да",OR(_xlpm.bc="",_xlpm.bc="мс")),Марка_пож,IF(AND(_xlpm.bc="",BC193&lt;&gt;""),"мс",_xlpm.bc))))</f>
        <v/>
      </c>
      <c r="BT193" t="str">
        <f t="shared" si="261"/>
        <v>мс</v>
      </c>
      <c r="BU193">
        <f>IF(B193="","",_xlfn.LET(_xlpm.cc,IFERROR(N(VLOOKUP(AX193,Потребители_обозначение,7,FALSE)),0),IF(_xlpm.cc&gt;0,_xlpm.cc,IF(BT193="","",IF(N(BR193)=3,5,3)))))</f>
        <v>3</v>
      </c>
      <c r="BV193">
        <f t="shared" si="262"/>
        <v>3</v>
      </c>
      <c r="BW193">
        <f>IFERROR(N(VLOOKUP(AX193,Потребители_обозначение,10,FALSE)),0)</f>
        <v>0</v>
      </c>
      <c r="BX193">
        <f>IFERROR(VLOOKUP(AX193,Потребители_обозначение,5,FALSE),0)</f>
        <v>1</v>
      </c>
      <c r="BY193" s="6" cm="1">
        <f t="array" ref="BY193">IF(B193="","",IF(BC193&lt;&gt;"",IFERROR(_xlfn.XLOOKUP(BC193,Щиты[Щит],Щиты[cos φ]),0.95),IF(BK193=1,IFERROR(_xlfn.XLOOKUP(A193,Щиты[Щит],Щиты[cos φ]),0.95),IF(ISNUMBER(Z193),Z193,IFERROR(IF(BX193=2,_xlfn.IFS(BR193=3,VLOOKUP(BN193,Справочная_двигатели,8,FALSE),BR193=1,VLOOKUP(BN193,Справочная_двигатели,10,TRUE)),IF(AND(Методика="нормы 2026",EQ193="Сил"),0.8,0.95)),0.95)))))</f>
        <v>0.95</v>
      </c>
      <c r="BZ193">
        <f t="shared" si="263"/>
        <v>0</v>
      </c>
      <c r="CA193">
        <f t="shared" si="264"/>
        <v>1</v>
      </c>
      <c r="CB193">
        <f t="shared" si="265"/>
        <v>0</v>
      </c>
      <c r="CC193">
        <f t="shared" si="266"/>
        <v>0</v>
      </c>
      <c r="CD193">
        <f t="shared" si="267"/>
        <v>0</v>
      </c>
      <c r="CE193">
        <f t="shared" si="268"/>
        <v>0</v>
      </c>
      <c r="CF193">
        <f t="shared" si="269"/>
        <v>0</v>
      </c>
      <c r="CG193">
        <f>IF(AX193="",0,_xlfn.LET(_xlpm.v,IFERROR(VLOOKUP(B193,УГО_спр,3,FALSE),IFERROR(VLOOKUP(AX193,УГО_спр,3,FALSE),IFERROR(VLOOKUP(LEFT(AX193,2),УГО_спр,3,FALSE),""))),IF(_xlpm.v="да",30,IF(ISNUMBER(_xlpm.v),_xlpm.v,0))))</f>
        <v>30</v>
      </c>
      <c r="CH193">
        <f t="shared" si="270"/>
        <v>30</v>
      </c>
      <c r="CI193" t="str">
        <f>_xlfn.LET(_xlpm.k,IFERROR(_xlfn.XLOOKUP(AX193,Коды_код,Коды_утечка)&amp;"",""),IF(_xlpm.k="","дифавтомат",_xlpm.k))</f>
        <v>дифавтомат</v>
      </c>
      <c r="CJ193">
        <f t="shared" si="271"/>
        <v>30</v>
      </c>
      <c r="CK193">
        <f t="shared" si="272"/>
        <v>30</v>
      </c>
      <c r="CL193">
        <f>IF(B193="",0,IFERROR(--VLOOKUP(B193,УГО_спр,4,FALSE),IFERROR(--VLOOKUP(AX193,УГО_спр,4,FALSE),IFERROR(--VLOOKUP(LEFT(AX193,2),УГО_спр,4,FALSE),0))))</f>
        <v>16</v>
      </c>
      <c r="CM193" t="str">
        <f>IF(B193="","",IFERROR(_xlfn.XLOOKUP(AX193,Коды_код,Коды_апп)&amp;"",""))</f>
        <v/>
      </c>
      <c r="CN193" t="str">
        <f t="shared" si="273"/>
        <v/>
      </c>
      <c r="CO193" t="str" cm="1">
        <f t="array" ref="CO193">IF(TRIM(CN193&amp;"")="","",IFERROR(TRIM(INDEX(_xlfn.TEXTSPLIT(CN193&amp;";;;",";"),1)),""))</f>
        <v/>
      </c>
      <c r="CP193" t="str" cm="1">
        <f t="array" ref="CP193">IF(TRIM(CN193&amp;"")="","",IFERROR(TRIM(INDEX(_xlfn.TEXTSPLIT(CN193&amp;";;;",";"),2)),""))</f>
        <v/>
      </c>
      <c r="CQ193" t="str" cm="1">
        <f t="array" ref="CQ193">IF(TRIM(CN193&amp;"")="","",IFERROR(TRIM(INDEX(_xlfn.TEXTSPLIT(CN193&amp;";;;",";"),3)),""))</f>
        <v/>
      </c>
      <c r="CR193">
        <f t="shared" si="274"/>
        <v>0</v>
      </c>
      <c r="CS193" t="str">
        <f>IF(B193="","",_xlfn.LET(_xlpm.t,LOWER(AV193&amp;""),IF(ISNUMBER(SEARCH("dim",_xlpm.t)),"DIM",IF(ISNUMBER(SEARCH("dali",_xlpm.t)),"DALI",IF(OR(ISNUMBER(SEARCH("relay",_xlpm.t)),ISNUMBER(SEARCH("реле",_xlpm.t))),"Relay",IF(ISNUMBER(SEARCH("кнопк",_xlpm.t)),"",IFERROR(_xlfn.XLOOKUP(AX193,Коды_код,Коды_упр)&amp;"","")))))))</f>
        <v/>
      </c>
      <c r="CT193" t="str">
        <f t="shared" si="275"/>
        <v/>
      </c>
      <c r="CU193">
        <f>IF(B193="","",_xlfn.LET(_xlpm.ig,N(P193)+IF(AF193="вручную",0,N(CB193)),_xlpm.n0,IFERROR(VLOOKUP(_xlpm.ig,Автомат_номиналы,2,TRUE),0),_xlpm.mn,MAX(CL193,IF(AF193="вручную",0,N(CE193))),MAX(_xlpm.n0,_xlpm.mn,IF(CR193=1,Мин_автомат_БП,0))))</f>
        <v>16</v>
      </c>
      <c r="CV193">
        <f t="shared" si="276"/>
        <v>1</v>
      </c>
      <c r="CW193" t="str">
        <f t="shared" si="277"/>
        <v>2P</v>
      </c>
      <c r="CX193" t="str">
        <f>_xlfn.LET(_xlpm.cc,UPPER(TRIM(IFERROR(_xlfn.XLOOKUP(AX193,Коды_код,Коды_хар)&amp;"",""))),IF(OR(_xlpm.cc="B",_xlpm.cc="В"),"B",IF(_xlpm.cc="D","D","С")))</f>
        <v>С</v>
      </c>
      <c r="CY193" t="str">
        <f t="shared" si="278"/>
        <v>2P С16А 30мА</v>
      </c>
      <c r="CZ193" t="str">
        <f t="shared" si="279"/>
        <v>2P С16А 30мА</v>
      </c>
      <c r="DA193" t="str">
        <f t="shared" si="280"/>
        <v>2P С16А 30мА</v>
      </c>
      <c r="DB193" cm="1">
        <f t="array" ref="DB193">IF(DA193="","",_xlfn.LET(_xlpm.t,SUBSTITUTE(SUBSTITUTE(SUBSTITUTE(UPPER(DA193),"С","C"),"А","A"),"В","B"),_xlpm.tk,_xlfn.TEXTSPLIT(_xlpm.t,"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3" t="str">
        <f t="shared" si="281"/>
        <v>ok</v>
      </c>
      <c r="DD193">
        <f t="shared" si="282"/>
        <v>16</v>
      </c>
      <c r="DE193" t="str">
        <f t="shared" si="283"/>
        <v>2P С16А 30мА</v>
      </c>
      <c r="DF193">
        <f t="shared" si="284"/>
        <v>30</v>
      </c>
      <c r="DG193">
        <f t="shared" si="285"/>
        <v>1</v>
      </c>
      <c r="DH193">
        <f t="shared" si="286"/>
        <v>0</v>
      </c>
      <c r="DI193">
        <f t="shared" si="287"/>
        <v>0.27348170645824377</v>
      </c>
      <c r="DJ193">
        <f t="shared" si="288"/>
        <v>1</v>
      </c>
      <c r="DK193">
        <f>IF(ISNUMBER(AL193),AL193,К_прокл)</f>
        <v>1</v>
      </c>
      <c r="DL193">
        <f t="shared" si="289"/>
        <v>2</v>
      </c>
      <c r="DM193">
        <f>IFERROR(N(VLOOKUP(BT193,Кабель_обозначение,3,FALSE)),1)</f>
        <v>1</v>
      </c>
      <c r="DN193">
        <f>IFERROR(N(_xlfn.XLOOKUP(A193,Щиты[Щит],Щиты[ΔU до шин, %])),0)</f>
        <v>0.43</v>
      </c>
      <c r="DO193" t="str">
        <f>IFERROR(_xlfn.XLOOKUP(A193,Щиты[Щит],Щиты[Zпетли на шинах, Ом]),"")</f>
        <v/>
      </c>
      <c r="DP193">
        <f>IFERROR(N(_xlfn.XLOOKUP(A193,Щиты[Щит],Щиты[ΔU до шин (подбор), %])),0)</f>
        <v>0.43</v>
      </c>
      <c r="DQ193" t="str">
        <f>IFERROR(_xlfn.XLOOKUP(A193,Щиты[Щит],Щиты[Zпетли на шинах (подбор), Ом]),"")</f>
        <v/>
      </c>
      <c r="DR193" t="str">
        <f t="shared" si="290"/>
        <v/>
      </c>
      <c r="DS193">
        <f t="shared" si="291"/>
        <v>44</v>
      </c>
      <c r="DT193">
        <f t="shared" si="292"/>
        <v>2</v>
      </c>
      <c r="DU193">
        <f t="shared" si="293"/>
        <v>0.31</v>
      </c>
      <c r="DV193" s="6">
        <f>IF(B193="","",IF(IFERROR(VLOOKUP(AX193,УГО_спр,2,FALSE),"")="Светильник",3,4)+IF(Методика="нормы 2026",MIN(0.5,MAX(0,N(Q193)-100)*0.005),0))</f>
        <v>4</v>
      </c>
      <c r="DW193" cm="1">
        <f t="array" ref="DW193">IF(OR(B193="",BT193="",DM193&lt;&gt;1),"",_xlfn.LET(_xlpm.sz,Iдоп_S,_xlpm.t_,CHOOSE(DL193,Iдоп_1ж,Iдоп_2ж,Iдоп_3ж)*DJ193*DK193,_xlpm.inn,N(DD193),_xlpm.smin,MAX(1.5,BW193),_xlpm.L_,N(Q193)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193)*(_xlpm.rho*_xlpm.L_/_xlpm.sz*N(BY193)+_xlpm.xx*_xlpm.L_*N(DU193)/1000)*N(P193)/((Uн_лин/SQRT(3))*1000)*100,999),_xlpm.kz,IF(OR(DG193=1,NOT(ISNUMBER(DQ193)),_xlpm.L_=0,_xlpm.inn=0),1,IFERROR(--(c_min*(Uн_лин*1000/SQRT(3))/(DQ193+2*ρкз_Cu*_xlpm.L_/_xlpm.sz)&gt;=GY193*_xlpm.inn),0)),_xlpm.ok,IFERROR((_xlpm.sz&gt;=_xlpm.smin)*(_xlpm.t_&gt;=_xlpm.inn)*IF(_xlpm.L_&gt;0,(_xlpm.du_+DP193&lt;=DV193+0.00001),1)*_xlpm.kz,0),_xlpm.r_,_xlfn._xlws.FILTER(_xlpm.sz,_xlpm.ok,"не подобрано"),INDEX(_xlpm.r_,1)))</f>
        <v>1.5</v>
      </c>
      <c r="DX193">
        <f t="shared" si="294"/>
        <v>2.5</v>
      </c>
      <c r="DY193" cm="1">
        <f t="array" ref="DY193">IF(OR(B193="",BT193="",DM193&lt;&gt;1),"",_xlfn.LET(_xlpm.sz,Iдоп_S,_xlpm.t_,CHOOSE(DL193,Iдоп_1ж,Iдоп_2ж,Iдоп_3ж)*DJ193*DK193,_xlpm.ok,IFERROR((_xlpm.sz&gt;=MAX(1.5,BW193))*(_xlpm.t_&gt;=N(DD193)),0),_xlpm.r_,_xlfn._xlws.FILTER(_xlpm.sz,_xlpm.ok,""),INDEX(_xlpm.r_,1)))</f>
        <v>1.5</v>
      </c>
      <c r="DZ193" s="6" cm="1">
        <f t="array" ref="DZ193">IFERROR(ROUNDUP(N(DT193)*(_xlfn.XLOOKUP(DY193,INDEX(Кабель_сопротивление,0,1),INDEX(Кабель_сопротивление,0,3))*N(Q193)/DY193*N(BY193)+_xlfn.XLOOKUP(DY193,INDEX(Кабель_сопротивление,0,1),INDEX(Кабель_сопротивление,0,2))*N(Q193)*N(DU193)/1000)*N(P193)/((Uн_лин/SQRT(3))*1000)*100,2),"")</f>
        <v>0.16</v>
      </c>
      <c r="EA193">
        <f>IFERROR(2*ρкз_Cu*N(Q193)/DY193,"")</f>
        <v>1.6481333333333332</v>
      </c>
      <c r="EB193">
        <f>IFERROR(VLOOKUP(DX193,Кабель_сопротивление,3,FALSE),"")</f>
        <v>2.2499999999999999E-2</v>
      </c>
      <c r="EC193">
        <f>IFERROR(VLOOKUP(DX193,Кабель_сопротивление,2,FALSE),"")</f>
        <v>0.1</v>
      </c>
      <c r="ED193">
        <f t="shared" si="295"/>
        <v>39</v>
      </c>
      <c r="EE193">
        <f t="shared" si="296"/>
        <v>0</v>
      </c>
      <c r="EF193">
        <f t="shared" si="297"/>
        <v>0.22059417317310978</v>
      </c>
      <c r="EG193" s="6">
        <f>IFERROR(ROUNDUP(EF193/((Uн_лин/SQRT(3))*1000)*100,2),"")</f>
        <v>9.9999999999999992E-2</v>
      </c>
      <c r="EH193" t="str">
        <f>IFERROR(VLOOKUP(BT193,Кабель_обозначение,2,FALSE),"")</f>
        <v>ВВГнг(А)-LS</v>
      </c>
      <c r="EI193" t="str">
        <f t="shared" si="298"/>
        <v>ВВГнг(А)-LS (3х2,5)</v>
      </c>
      <c r="EJ193" t="str">
        <f t="shared" si="299"/>
        <v>ВВГнг(А)-LS (3х2,5)
L=47-0,1%</v>
      </c>
      <c r="EK193">
        <f>IFERROR(2*ρкз_Cu*Q193/DX193,"")</f>
        <v>0.98887999999999998</v>
      </c>
      <c r="EL193">
        <f t="shared" si="300"/>
        <v>0.32900000000000007</v>
      </c>
      <c r="EM193" s="6" t="str">
        <f>IFERROR(IF(OR(B193="",NOT(ISNUMBER(DX193)),N(Q193)=0),"",_xlfn.XLOOKUP(A193,Щиты[Щит],Щиты[Zпетли на шинах, Ом])+EK193),"")</f>
        <v/>
      </c>
      <c r="EN193" s="6" t="str">
        <f>IF(ISNUMBER(EM193),c_min*(Uн_лин*1000/SQRT(3))/EM193,"")</f>
        <v/>
      </c>
      <c r="EO193" s="6" t="str">
        <f>IFERROR(IF(OR(B193="",NOT(ISNUMBER(DX193))),"",1.05*(Uн_лин*1000/SQRT(3))/(_xlfn.XLOOKUP(A193,Щиты[Щит],Щиты[Zmax на шинах, Ом])+EL193)/1000),"")</f>
        <v/>
      </c>
      <c r="EP193" s="6" t="str">
        <f>IF(B193="","",IF(ISNUMBER(Y193),"Сил",IF(IFERROR(_xlfn.XLOOKUP(AX193,Коды_код,Коды_группа)&amp;"","")="","Быт",_xlfn.XLOOKUP(AX193,Коды_код,Коды_группа)&amp;"")))</f>
        <v>Быт</v>
      </c>
      <c r="EQ193" s="6" t="str">
        <f t="shared" si="301"/>
        <v>Быт</v>
      </c>
      <c r="ER193" s="6">
        <f>IF(EQ193="Щит","щит",IF(EQ193="","",IF(EQ193="Быт",IFERROR(_xlfn.XLOOKUP(A193,Щиты[Щит],Щиты[Кс быт]),1),IF(EQ193="Сил",IF(ISNUMBER(Y193),Y193,IF(Методика="нормы 2026",IFERROR(_xlfn.XLOOKUP(A193,Щиты[Щит],Щиты[Кс силовых (табл. 7.5)]),1),1)),IF(OR(EQ193="Пост",EQ193="Отоп"),1,IF(EQ193="ВНГ",0.7,0))))))</f>
        <v>0.79799999999999993</v>
      </c>
      <c r="ES193">
        <f t="shared" si="302"/>
        <v>1</v>
      </c>
      <c r="ET193">
        <f t="shared" si="303"/>
        <v>0.06</v>
      </c>
      <c r="EU193">
        <f t="shared" si="304"/>
        <v>0.06</v>
      </c>
      <c r="EV193">
        <f t="shared" si="305"/>
        <v>0</v>
      </c>
      <c r="EW193">
        <f t="shared" si="306"/>
        <v>0</v>
      </c>
      <c r="EX193">
        <f t="shared" si="307"/>
        <v>0</v>
      </c>
      <c r="EY193">
        <f t="shared" si="308"/>
        <v>0</v>
      </c>
      <c r="EZ193">
        <f t="shared" si="309"/>
        <v>0.06</v>
      </c>
      <c r="FA193">
        <f t="shared" si="310"/>
        <v>5.6999999999999995E-2</v>
      </c>
      <c r="FB193">
        <f t="shared" si="311"/>
        <v>0.06</v>
      </c>
      <c r="FC193" t="str">
        <f t="shared" si="312"/>
        <v>L2</v>
      </c>
      <c r="FD193" t="str">
        <f>IF(B193="","",IF(CA193=0,IF(AW193=1,"",FF192),IF(OR(N(CV193)&gt;=3,N(BR193)&gt;=3),"L1,L2,L3",IFERROR(_xlfn.TEXTBEFORE(_xlfn.TEXTAFTER(_xlfn.XLOOKUP(A193,Щиты[Щит],Щиты[_фазы авто]),";"&amp;AW193&amp;":"),";"),"L1"))))</f>
        <v>L1</v>
      </c>
      <c r="FE193" t="str">
        <f t="shared" si="313"/>
        <v>L2</v>
      </c>
      <c r="FF193" t="str">
        <f t="shared" si="314"/>
        <v>L2</v>
      </c>
      <c r="FG193" cm="1">
        <f t="array" ref="FG193">IFERROR(IF(BX193=2,_xlfn.IFS(BR193=3,VLOOKUP(BN193,Справочная_двигатели,3,FALSE),BR193=1,VLOOKUP(BN193,Справочная_двигатели,5,TRUE)),0),0)</f>
        <v>0</v>
      </c>
      <c r="FH193">
        <f>IFERROR(IF(BX193=3,VLOOKUP(BN193,Справочная_ЛЭД,2,TRUE),0),0)</f>
        <v>0</v>
      </c>
      <c r="FI193" s="6">
        <f t="shared" si="315"/>
        <v>0</v>
      </c>
      <c r="FJ193" t="str" cm="1">
        <f t="array" ref="FJ193">IF(B193="","",IFERROR(INDEX({"I особая","I","II","III"},MATCH(TRIM(AC193&amp;""),{"I особая","I","II","III"},0)),"III"))</f>
        <v>II</v>
      </c>
      <c r="FK193" t="str">
        <f>IF(B193="","",IF(TRIM(AD193&amp;"")&lt;&gt;"",IF(LOWER(TRIM(AD193&amp;""))="да","да","нет"),IF(IFERROR(_xlfn.XLOOKUP(AX193,Коды_код,Коды_пожарная),"")="да","да","нет")))</f>
        <v>нет</v>
      </c>
      <c r="FL193" t="str">
        <f t="shared" si="316"/>
        <v/>
      </c>
      <c r="FM193" t="str">
        <f t="shared" si="317"/>
        <v>основная</v>
      </c>
      <c r="FN193">
        <f t="shared" si="318"/>
        <v>1</v>
      </c>
      <c r="FO193" t="str" cm="1">
        <f t="array" ref="FO193">IF(B193="","",_xlfn.LET(_xlpm.t,IFERROR(_xlfn.XLOOKUP(1,(Шины[Шина]=FM193)*(((Шины[Щит]=A193)+(Шины[Щит]=""))&gt;0),Шины[Тип]),"")&amp;"",IF(_xlpm.t&lt;&gt;"",_xlpm.t,IF(ISNUMBER(SEARCH("ИБП",FM193)),"ИБП",IF(ISNUMBER(SEARCH("ДГУ",FM193)),"ДГУ","Ввод "&amp;FN193)))))</f>
        <v>Ввод 1</v>
      </c>
      <c r="FP193" t="str">
        <f t="shared" si="319"/>
        <v>Ввод 1</v>
      </c>
      <c r="FQ193" t="str">
        <f>IF(B193="","",IF(OR(FO193="ИБП",FO193="ДГУ"),"I особая",IF(FO193="Одиночная","III",_xlfn.XLOOKUP(A193,Щиты[Щит],Щиты[Категория шины «Ввод»],"III"))))</f>
        <v>II</v>
      </c>
      <c r="FR193">
        <f>IF(B193="",0,IFERROR(MATCH(FJ193,{"III","II","I","I особая"},0),1))</f>
        <v>2</v>
      </c>
      <c r="FS193">
        <f t="shared" si="320"/>
        <v>2</v>
      </c>
      <c r="FT193" t="str">
        <f>IF(B193="","",IF(FR193&gt;IFERROR(MATCH(FQ193,{"III","II","I","I особая"},0),1),"НЕ ОБЕСПЕЧЕНА","ОК"))</f>
        <v>ОК</v>
      </c>
      <c r="FU193" t="str">
        <f>IF(A193="","",_xlfn.XLOOKUP(A193,Щиты[Щит],Щиты[Путь],""))</f>
        <v>|ГРЩ-ЖД|ЩР-01|</v>
      </c>
      <c r="FV193" t="str">
        <f>IF(B193="","",IF(AE193&lt;&gt;"",AE193,IF(IFERROR(_xlfn.XLOOKUP(AX193,Коды_код,Коды_вид)&amp;"","")="","Прочее",_xlfn.XLOOKUP(AX193,Коды_код,Коды_вид)&amp;"")))</f>
        <v>Розеточная сеть и бытовые приборы</v>
      </c>
      <c r="FW193">
        <f>IF(BH193="","",INT((BH193-1)/Столбцов_на_лист)+1)</f>
        <v>2</v>
      </c>
      <c r="FX193" t="str">
        <f t="shared" si="321"/>
        <v>ВВГнг(А)-LS (3х2,5) L=47-0,1%</v>
      </c>
      <c r="FY193">
        <f t="shared" si="322"/>
        <v>0.06</v>
      </c>
      <c r="FZ193">
        <f t="shared" si="323"/>
        <v>0.28000000000000003</v>
      </c>
      <c r="GA193">
        <f t="shared" si="324"/>
        <v>1</v>
      </c>
      <c r="GB193">
        <f t="shared" si="325"/>
        <v>0</v>
      </c>
      <c r="GC193">
        <f t="shared" si="326"/>
        <v>1</v>
      </c>
      <c r="GD193">
        <f>IF(BH193="","",IF(AND(CA193=1,GC193=1),COUNTIFS(A$3:A193,A193,CA$3:CA193,1,GC$3:GC193,1),IF(OR(OR(AW193=1,A193&lt;&gt;A192),AF193="вручную",GC193=0),"",IF(AW193=1,"",GE192))))</f>
        <v>9</v>
      </c>
      <c r="GE193">
        <f t="shared" si="327"/>
        <v>9</v>
      </c>
      <c r="GF193">
        <f>IF(B193="","",IFERROR(LOOKUP(INDEX(CHOOSE(DL193,Iдоп_1ж,Iдоп_2ж,Iдоп_3ж),MATCH(DX193,Iдоп_S,0))*DJ193*DK193,{6,10,16,20,25,32,40,50,63,80,100,125,160,200,250,315,400,500,630}),""))</f>
        <v>25</v>
      </c>
      <c r="GG193" t="str">
        <f t="shared" si="328"/>
        <v>QFD9</v>
      </c>
      <c r="GH193" t="str">
        <f t="shared" si="329"/>
        <v>QFD9</v>
      </c>
      <c r="GI193" t="str">
        <f t="shared" si="330"/>
        <v/>
      </c>
      <c r="GJ193">
        <f t="shared" si="331"/>
        <v>0</v>
      </c>
      <c r="GK193" t="str">
        <f>IF(OR(AG193="",AG193="-"),"",IFERROR(VLOOKUP(AG193,Модули_спр,2,FALSE),"R"))</f>
        <v/>
      </c>
      <c r="GL193" t="str">
        <f>IF(GK193="","",GK193&amp;"."&amp;COUNTIFS(A$3:A193,A193,GK$3:GK193,GK193))</f>
        <v/>
      </c>
      <c r="GM193" t="str">
        <f t="shared" si="332"/>
        <v/>
      </c>
      <c r="GN193" t="str">
        <f t="shared" si="333"/>
        <v/>
      </c>
      <c r="GO193" t="str">
        <f t="shared" si="334"/>
        <v/>
      </c>
      <c r="GP193" t="str">
        <f t="shared" si="335"/>
        <v/>
      </c>
      <c r="GQ193">
        <f t="shared" si="336"/>
        <v>1</v>
      </c>
      <c r="GR193" t="str">
        <f>IF(GQ193=1,"XT"&amp;COUNTIFS(A$3:A193,A193,GQ$3:GQ193,1),"")</f>
        <v>XT9</v>
      </c>
      <c r="GS193" t="str">
        <f t="shared" si="337"/>
        <v/>
      </c>
      <c r="GT193" t="str">
        <f t="shared" si="338"/>
        <v>QFD9</v>
      </c>
      <c r="GU193" t="str">
        <f t="shared" si="339"/>
        <v/>
      </c>
      <c r="GV193" t="str">
        <f t="shared" si="340"/>
        <v>ok</v>
      </c>
      <c r="GW193" t="str">
        <f>IF(OR(GO193="",GM193=""),"",IF(GO193&gt;IFERROR(VLOOKUP(GN193,Модули_спр,3,FALSE),99),"ЛИШНИЙ КАНАЛ",IF(AND(AH193&lt;&gt;"=",COUNTIFS(Линии[_модуль гр.],GM193,Линии[Канал (итог)],GO193,Линии[Канал],"&lt;&gt;=",Линии[Щит],A193)&gt;1),"ДУБЛЬ КАНАЛА","")))</f>
        <v/>
      </c>
      <c r="GX193" s="6" t="str">
        <f t="shared" si="341"/>
        <v/>
      </c>
      <c r="GY193">
        <f t="shared" si="342"/>
        <v>10</v>
      </c>
      <c r="GZ193" t="str">
        <f t="shared" si="343"/>
        <v/>
      </c>
      <c r="HA193" t="str">
        <f>IF(AND(B193="",GT193=""),"",_xlfn.TEXTJOIN("; ",TRUE,IF(AND(B193&lt;&gt;"",FE193=""),"нет фазы",""),IF(AND(B193&lt;&gt;"",N(FY193)=0,EQ193&lt;&gt;"Нет"),"нет мощности",""),IF(AND(GS193&lt;&gt;"",COUNTIFS(Линии[Щит],A193,Линии[Клемма (итог)],GS193)&gt;1),"дубль клеммы "&amp;GS193,""),IF(AND(GV193&lt;&gt;"",GV193&lt;&gt;"ok"),GV193,""),IF(GW193&lt;&gt;"",GW193,""),IF(AND(N(BV193)&gt;=4,N(BR193)=1),BV193&amp;" жил на 1 фазе",""),IF(AND(AX193="R",CA193=1,OR(N(CK193)=0,N(CK193)&gt;30)),"розетка без дифзащиты до 30 мА",""),IFERROR(IF(AND(ISNUMBER(R193),R193&gt;DV193),"потери "&amp;FIXED(R193,1)&amp;" % &gt; "&amp;DV193&amp;" %",""),""),IFERROR(IF(LEFT(GZ193,4)="мало","Iкз мало — отключение &gt; 0,4 с",""),""),IF(AND(B193&lt;&gt;"",BH193=""),"не на схеме",""),IF(AND(CA193=0,B193&lt;&gt;"",FE193&lt;&gt;"",IF(AW193=1,"",FF192)&lt;&gt;"",FE193&lt;&gt;IF(AW193=1,"",FF192)),"фаза не как у автомата группы ("&amp;IF(AW193=1,"",FF192)&amp;")","")))</f>
        <v/>
      </c>
      <c r="HB193" s="6">
        <f>IF(OR(CA193=0,DA193=""),"",_xlfn.LET(_xlpm.t,IFERROR(_xlfn.XLOOKUP(DA193,Каталог!$U$4:$U$500,Каталог!$G$4:$G$500),""),_xlpm.k,SEARCH("кА",_xlpm.t),IFERROR(--TRIM(RIGHT(SUBSTITUTE(MID(_xlpm.t,MAX(1,_xlpm.k-4),_xlpm.k-MAX(1,_xlpm.k-4))," ",REPT(" ",9)),5)),"")))</f>
        <v>6</v>
      </c>
      <c r="HC193" t="str">
        <f>IF(OR(HB193="",CA193=0),"",IF(_xlfn.XLOOKUP(A193,Щиты[Щит],Щиты[Iкз max на шинах, кА],"")="","",IF(HB193&lt;_xlfn.XLOOKUP(A193,Щиты[Щит],Щиты[Iкз max на шинах, кА]),"Icu "&amp;HB193&amp;" кА &lt; Iкз max","ok")))</f>
        <v/>
      </c>
      <c r="HD193" t="str">
        <f t="shared" si="344"/>
        <v/>
      </c>
      <c r="HE193" t="str">
        <f t="shared" si="345"/>
        <v>QFD9</v>
      </c>
      <c r="HF193" t="str">
        <f t="shared" si="346"/>
        <v>QFD9|кабель ВВГнг(А)-LS (3х2,5) → Розеточная группа, пом. 003Б</v>
      </c>
      <c r="HG193" t="str" cm="1">
        <f t="array" ref="HG193">IF(HF193="","",_xlfn.LET(_xlpm.nd,_xlfn.TEXTSPLIT(HF193,"|"),IF(COLUMNS(_xlpm.nd)&gt;1,A193&amp;"¦"&amp;INDEX(_xlpm.nd,1)&amp;"¦"&amp;INDEX(_xlpm.nd,2),"")))</f>
        <v>ЩР-01¦QFD9¦кабель ВВГнг(А)-LS (3х2,5) → Розеточная группа, пом. 003Б</v>
      </c>
      <c r="HH193" t="str">
        <f t="shared" si="347"/>
        <v>R.0.003Б.1¦Розеточная группа, пом. 003Б</v>
      </c>
      <c r="HI193" t="str" cm="1">
        <f t="array" ref="HI193">IF(HF193="","",_xlfn.LET(_xlpm.nd,_xlfn.TEXTSPLIT(HF193,"|"),IF(COLUMNS(_xlpm.nd)&gt;2,A193&amp;"¦"&amp;INDEX(_xlpm.nd,2)&amp;"¦"&amp;INDEX(_xlpm.nd,3),"")))</f>
        <v/>
      </c>
      <c r="HJ193" t="str">
        <f t="shared" si="348"/>
        <v/>
      </c>
      <c r="HK193" t="str" cm="1">
        <f t="array" ref="HK193">IF(HF193="","",_xlfn.LET(_xlpm.nd,_xlfn.TEXTSPLIT(HF193,"|"),IF(COLUMNS(_xlpm.nd)&gt;3,A193&amp;"¦"&amp;INDEX(_xlpm.nd,3)&amp;"¦"&amp;INDEX(_xlpm.nd,4),"")))</f>
        <v/>
      </c>
      <c r="HL193" t="str">
        <f t="shared" si="349"/>
        <v/>
      </c>
      <c r="HM193" t="str" cm="1">
        <f t="array" ref="HM193">IF(HF193="","",_xlfn.LET(_xlpm.nd,_xlfn.TEXTSPLIT(HF193,"|"),IF(COLUMNS(_xlpm.nd)&gt;4,A193&amp;"¦"&amp;INDEX(_xlpm.nd,4)&amp;"¦"&amp;INDEX(_xlpm.nd,5),"")))</f>
        <v/>
      </c>
      <c r="HN193" t="str">
        <f t="shared" si="350"/>
        <v/>
      </c>
      <c r="HO193" t="str" cm="1">
        <f t="array" ref="HO193">IF(HF193="","",_xlfn.LET(_xlpm.nd,_xlfn.TEXTSPLIT(HF193,"|"),IF(COLUMNS(_xlpm.nd)&gt;5,A193&amp;"¦"&amp;INDEX(_xlpm.nd,5)&amp;"¦"&amp;INDEX(_xlpm.nd,6),"")))</f>
        <v/>
      </c>
      <c r="HP193" t="str">
        <f t="shared" si="351"/>
        <v/>
      </c>
      <c r="HQ193" t="str" cm="1">
        <f t="array" ref="HQ193">IF(HF193="","",_xlfn.LET(_xlpm.nd,_xlfn.TEXTSPLIT(HF193,"|"),IF(COLUMNS(_xlpm.nd)&gt;6,A193&amp;"¦"&amp;INDEX(_xlpm.nd,6)&amp;"¦"&amp;INDEX(_xlpm.nd,7),"")))</f>
        <v/>
      </c>
      <c r="HR193" t="str">
        <f t="shared" si="352"/>
        <v/>
      </c>
      <c r="HS193" t="str">
        <f t="shared" si="353"/>
        <v/>
      </c>
      <c r="HT193" t="str">
        <f t="shared" si="354"/>
        <v>QFD9</v>
      </c>
      <c r="HU193">
        <f t="shared" si="355"/>
        <v>0</v>
      </c>
      <c r="HV193">
        <f t="shared" si="356"/>
        <v>1</v>
      </c>
      <c r="HW193" t="str">
        <f t="shared" si="357"/>
        <v/>
      </c>
      <c r="HX193" t="str">
        <f t="shared" si="358"/>
        <v/>
      </c>
      <c r="HY193" t="str">
        <f t="shared" si="359"/>
        <v/>
      </c>
      <c r="HZ193" t="str">
        <f t="shared" si="360"/>
        <v/>
      </c>
      <c r="IA193" t="str">
        <f>IF(B193="","",IFERROR(VLOOKUP(B193,УГО_спр,2,FALSE),IFERROR(VLOOKUP(AX193,УГО_спр,2,FALSE),IFERROR(VLOOKUP(LEFT(AX193,2),УГО_спр,2,FALSE),""))))</f>
        <v>Розетка</v>
      </c>
      <c r="IB193" t="str">
        <f>IF(B193="","",IF(OR(IA193="",IA193=0),"BOX",IFERROR(IF(VLOOKUP(IA193,УГО_блоки,3,FALSE)&amp;""&lt;&gt;"",VLOOKUP(IA193,УГО_блоки,3,FALSE),VLOOKUP(IA193,УГО_блоки,2,FALSE)),IA193)))</f>
        <v>SOCKET</v>
      </c>
      <c r="IC193">
        <f t="shared" si="361"/>
        <v>1</v>
      </c>
      <c r="ID193" t="str">
        <f>IF(DA193="","",IF(COUNTIF(DA$3:DA193,DA193)=1,MAX(ID$2:ID192)+1,""))</f>
        <v/>
      </c>
      <c r="IE193" t="str">
        <f>IF(CO193="","",IF(COUNTIF(CO$3:CO193,CO193)+COUNTIF(CP$2:CP192,CO193)+COUNTIF(CQ$2:CQ192,CO193)=1,MAX(IE$2:IG192)+1,""))</f>
        <v/>
      </c>
      <c r="IF193" t="str">
        <f>IF(CP193="","",IF(COUNTIF(CO$3:CO193,CP193)+COUNTIF(CP$3:CP193,CP193)+COUNTIF(CQ$2:CQ192,CP193)=1,MAX(IE$2:IG192,IE193)+1,""))</f>
        <v/>
      </c>
      <c r="IG193" t="str">
        <f>IF(CQ193="","",IF(COUNTIF(CO$3:CO193,CQ193)+COUNTIF(CP$3:CP193,CQ193)+COUNTIF(CQ$3:CQ193,CQ193)=1,MAX(IE$2:IG192,IE193,IF193)+1,""))</f>
        <v/>
      </c>
      <c r="IH193" t="str">
        <f t="shared" si="362"/>
        <v>3х2,5</v>
      </c>
      <c r="II193" t="str">
        <f>IF(IH193="","",IF(COUNTIF(IH$3:IH193,IH193)=1,MAX(II$2:II192)+1,""))</f>
        <v/>
      </c>
      <c r="IJ193" t="str">
        <f>IF(GL193="","",COUNTIF(GL$3:GL193,"?*"))</f>
        <v/>
      </c>
      <c r="IK193" t="str">
        <f>IF(OR(GL193="",GN193=""),"",IF(COUNTIFS(GL$3:GL193,"?*",GN$3:GN193,GN193)=1,MAX(IK$2:IK192)+1,""))</f>
        <v/>
      </c>
      <c r="IL193">
        <f t="shared" si="363"/>
        <v>0</v>
      </c>
      <c r="IM193">
        <f>IF(B193="","",COUNTIF(B$3:B193,"?*"))</f>
        <v>191</v>
      </c>
      <c r="IN193">
        <f>IF(GQ193&lt;&gt;1,0,_xlfn.LET(_xlpm.k,MAX(IFERROR(--VLOOKUP(B193,УГО_спр,5,FALSE),0),IFERROR(--VLOOKUP(AX193,УГО_спр,5,FALSE),0),IFERROR(--VLOOKUP(LEFT(AX193,2),УГО_спр,5,FALSE),0)),IF(_xlpm.k&gt;0,_xlpm.k,IF(IFERROR(--LEFT(SUBSTITUTE(IH193,"x","х"),FIND("х",SUBSTITUTE(IH193,"x","х"))-1),3)&gt;3,Каталог!$S$9,1))))</f>
        <v>1</v>
      </c>
      <c r="IO193">
        <f t="shared" si="364"/>
        <v>0</v>
      </c>
      <c r="IP193" t="str">
        <f t="shared" si="365"/>
        <v>авто</v>
      </c>
      <c r="IQ193">
        <f t="shared" si="366"/>
        <v>30</v>
      </c>
      <c r="IR193">
        <f t="shared" si="367"/>
        <v>1</v>
      </c>
      <c r="IS193">
        <f t="shared" si="368"/>
        <v>1</v>
      </c>
    </row>
    <row r="194" spans="1:253" x14ac:dyDescent="0.3">
      <c r="A194" t="s">
        <v>757</v>
      </c>
      <c r="B194" t="s">
        <v>1460</v>
      </c>
      <c r="C194" t="str">
        <f>Линии[[#This Row],[_авто наименование]]</f>
        <v>Розеточная группа, пом. 004Б</v>
      </c>
      <c r="D194">
        <v>3</v>
      </c>
      <c r="E194">
        <v>0.18</v>
      </c>
      <c r="G194" t="str">
        <f>Линии[[#This Row],[_авто автомат]]</f>
        <v>2P С16А 30мА</v>
      </c>
      <c r="H194">
        <f>Линии[[#This Row],[_авто утечка]]</f>
        <v>30</v>
      </c>
      <c r="I194" t="str">
        <f>Линии[[#This Row],[_авто управление]]</f>
        <v/>
      </c>
      <c r="J194" t="str">
        <f>Линии[[#This Row],[_авто аппараты]]</f>
        <v/>
      </c>
      <c r="K194">
        <v>2.5</v>
      </c>
      <c r="L194">
        <v>20</v>
      </c>
      <c r="M194">
        <v>3</v>
      </c>
      <c r="N194" t="str">
        <f>Линии[[#This Row],[_авто клемма]]</f>
        <v>XT10</v>
      </c>
      <c r="O194" t="str">
        <f t="shared" si="246"/>
        <v/>
      </c>
      <c r="P194" s="6" cm="1">
        <f t="array" ref="P194">IF(B194="","",IF(BC194&lt;&gt;"",IFERROR(_xlfn.XLOOKUP(BC194,Щиты[Щит],Щиты[Iр, А]),""),IF(BK194=1,IFERROR(_xlfn.XLOOKUP(A194,Щиты[Щит],Щиты[Iр, А]),""),IFERROR(_xlfn.IFS(BR194=1,BN194/((Uн_лин/SQRT(3))*BY194),BR194=3,BN194/(SQRT(3)*Uн_лин*BY194)),""))))</f>
        <v>0.8204451193747313</v>
      </c>
      <c r="Q194" s="7">
        <f>IF(B194="","",IFERROR(IF(VLOOKUP(AX194,Потребители_обозначение,4,FALSE)=1,VLOOKUP(AX194,Потребители_обозначение,3,FALSE)*(D194*2-1)+DS194+VLOOKUP(AZ194,Этаж_обозначение,3,FALSE)+VLOOKUP(AZ194,Этаж_обозначение,4,FALSE),VLOOKUP(AX194,Потребители_обозначение,3,FALSE)*(D194*2-1)+DS194),DS194))</f>
        <v>35</v>
      </c>
      <c r="R194" s="6">
        <f t="shared" si="247"/>
        <v>0.65</v>
      </c>
      <c r="S194" t="str">
        <f t="shared" si="248"/>
        <v>ВВГнг(А)-LS (3х2,5)</v>
      </c>
      <c r="T194" t="str">
        <f>IF(BH194="","",IF(BI194="вводной узел","узел ","")&amp;"л."&amp;(INT((BH194-1)/Столбцов_на_лист)+1)&amp;" / "&amp;(MOD(BH194-1,Столбцов_на_лист)+1))</f>
        <v>л.2 / 12</v>
      </c>
      <c r="V194">
        <v>1</v>
      </c>
      <c r="W194">
        <v>230</v>
      </c>
      <c r="X194" t="s">
        <v>564</v>
      </c>
      <c r="AC194" t="s">
        <v>815</v>
      </c>
      <c r="AE194" t="s">
        <v>563</v>
      </c>
      <c r="AI194">
        <v>29</v>
      </c>
      <c r="AJ194" t="s">
        <v>11</v>
      </c>
      <c r="AK194">
        <v>3</v>
      </c>
      <c r="AM194">
        <v>12</v>
      </c>
      <c r="AN194">
        <v>23</v>
      </c>
      <c r="AO194">
        <v>0</v>
      </c>
      <c r="AW194" cm="1">
        <f t="array" ref="AW194">ROW()-ROW(Линии[#Headers])</f>
        <v>192</v>
      </c>
      <c r="AX194" s="6" t="str">
        <f t="shared" si="249"/>
        <v>R</v>
      </c>
      <c r="AY194" t="str">
        <f t="shared" si="250"/>
        <v>0.004Б.1</v>
      </c>
      <c r="AZ194" t="str">
        <f t="shared" si="251"/>
        <v>0</v>
      </c>
      <c r="BA194" t="str">
        <f t="shared" si="252"/>
        <v>004Б.1</v>
      </c>
      <c r="BB194" t="str">
        <f t="shared" si="253"/>
        <v>004Б</v>
      </c>
      <c r="BC194" t="str">
        <f>IF(U194&lt;&gt;"",U194,IF(AND(B194&lt;&gt;"",B194&lt;&gt;A194,ISNUMBER(_xlfn.XMATCH(B194,Щиты[Щит]))),B194,""))</f>
        <v/>
      </c>
      <c r="BD194" t="str" cm="1">
        <f t="array" ref="BD194">IF(B194="","",IF(BC194&lt;&gt;"","Щит "&amp;BC194,_xlfn.LET(_xlpm.nm,IFERROR(_xlfn.XLOOKUP(AX194,Коды_код,Коды_имя)&amp;"",""),_xlpm.md,IFERROR(N(_xlfn.XLOOKUP(AX194,Коды_код,Коды_режим)),1),_xlpm.ex,IF(Имя_режим="по экспликации",IFERROR(_xlfn.XLOOKUP(AZ194&amp;"|"&amp;BB194,Экспликация[Этаж]&amp;"|"&amp;Экспликация[Помещение],Экспликация[Название])&amp;"",""),""),_xlpm.rm,IF(BB194="","",IF(_xlpm.ex&lt;&gt;"",". "&amp;_xlpm.ex&amp;IF(Имя_пом="нет"," ("&amp;BB194&amp;")"," (пом. "&amp;BB194&amp;")"),IF(Имя_пом="нет"," ",", пом. ")&amp;BB194)),IF(_xlpm.nm="","",IF(_xlpm.md=2,_xlpm.nm&amp;" шлейф "&amp;AZ194,_xlpm.nm&amp;_xlpm.rm)))))</f>
        <v>Розеточная группа, пом. 004Б</v>
      </c>
      <c r="BE194" t="str">
        <f t="shared" si="254"/>
        <v>Розеточная группа, пом. 004Б</v>
      </c>
      <c r="BF194">
        <f>IFERROR(_xlfn.XMATCH(A194,Щиты[Щит]),0)</f>
        <v>9</v>
      </c>
      <c r="BG194">
        <f>_xlfn.LET(_xlpm.k,IFERROR(_xlfn.XLOOKUP(A194,Щиты[Щит],Щиты[Листов под вводной узел]),""),IF(_xlpm.k="",1,N(_xlpm.k))*Столбцов_на_лист)</f>
        <v>17</v>
      </c>
      <c r="BH194">
        <f t="shared" si="255"/>
        <v>29</v>
      </c>
      <c r="BI194" t="str">
        <f t="shared" si="256"/>
        <v>линии</v>
      </c>
      <c r="BJ194" s="6">
        <f>IFERROR(N(_xlfn.XLOOKUP(AX194,Коды_код,Коды_квт)),0)</f>
        <v>0</v>
      </c>
      <c r="BK194">
        <f t="shared" si="257"/>
        <v>0</v>
      </c>
      <c r="BL194" t="str">
        <f>IF(B194="","",IF(BC194&lt;&gt;"",IFERROR(_xlfn.XLOOKUP(BC194,Щиты[Щит],Щиты[Руст, кВт]),0),IF(BK194=1,IFERROR(_xlfn.XLOOKUP(A194,Щиты[Щит],Щиты[Руст, кВт]),0),IF(BJ194&gt;0,ROUND(BJ194*MAX(1,N(D194)),3),""))))</f>
        <v/>
      </c>
      <c r="BM194">
        <f t="shared" si="258"/>
        <v>0.18</v>
      </c>
      <c r="BN194" s="6">
        <f>IF(B194="","",IF(BC194&lt;&gt;"",IFERROR(_xlfn.XLOOKUP(BC194,Щиты[Щит],Щиты[Руст, кВт]),0),N(BM194)))</f>
        <v>0.18</v>
      </c>
      <c r="BO194" t="str">
        <f>IF(B194="","",IFERROR(IF(VLOOKUP(AX194,Потребители_обозначение,8,FALSE)=0,"",VLOOKUP(AX194,Потребители_обозначение,8,FALSE)),""))</f>
        <v/>
      </c>
      <c r="BP194">
        <f t="shared" si="259"/>
        <v>230</v>
      </c>
      <c r="BQ194">
        <f>IF(B194="","",IF(BC194&lt;&gt;"",3,IFERROR(IF(N(VLOOKUP(AX194,Потребители_обозначение,9,FALSE))=0,1,VLOOKUP(AX194,Потребители_обозначение,9,FALSE)),1)))</f>
        <v>1</v>
      </c>
      <c r="BR194">
        <f t="shared" si="260"/>
        <v>1</v>
      </c>
      <c r="BS194" t="str">
        <f>IF(B194="","",_xlfn.LET(_xlpm.bc,IFERROR(IF(VLOOKUP(AX194,Потребители_обозначение,6,FALSE)=0,"",VLOOKUP(AX194,Потребители_обозначение,6,FALSE)&amp;""),""),IF(AND(FK194="да",OR(_xlpm.bc="",_xlpm.bc="мс")),Марка_пож,IF(AND(_xlpm.bc="",BC194&lt;&gt;""),"мс",_xlpm.bc))))</f>
        <v/>
      </c>
      <c r="BT194" t="str">
        <f t="shared" si="261"/>
        <v>мс</v>
      </c>
      <c r="BU194">
        <f>IF(B194="","",_xlfn.LET(_xlpm.cc,IFERROR(N(VLOOKUP(AX194,Потребители_обозначение,7,FALSE)),0),IF(_xlpm.cc&gt;0,_xlpm.cc,IF(BT194="","",IF(N(BR194)=3,5,3)))))</f>
        <v>3</v>
      </c>
      <c r="BV194">
        <f t="shared" si="262"/>
        <v>3</v>
      </c>
      <c r="BW194">
        <f>IFERROR(N(VLOOKUP(AX194,Потребители_обозначение,10,FALSE)),0)</f>
        <v>0</v>
      </c>
      <c r="BX194">
        <f>IFERROR(VLOOKUP(AX194,Потребители_обозначение,5,FALSE),0)</f>
        <v>1</v>
      </c>
      <c r="BY194" s="6" cm="1">
        <f t="array" ref="BY194">IF(B194="","",IF(BC194&lt;&gt;"",IFERROR(_xlfn.XLOOKUP(BC194,Щиты[Щит],Щиты[cos φ]),0.95),IF(BK194=1,IFERROR(_xlfn.XLOOKUP(A194,Щиты[Щит],Щиты[cos φ]),0.95),IF(ISNUMBER(Z194),Z194,IFERROR(IF(BX194=2,_xlfn.IFS(BR194=3,VLOOKUP(BN194,Справочная_двигатели,8,FALSE),BR194=1,VLOOKUP(BN194,Справочная_двигатели,10,TRUE)),IF(AND(Методика="нормы 2026",EQ194="Сил"),0.8,0.95)),0.95)))))</f>
        <v>0.95</v>
      </c>
      <c r="BZ194">
        <f t="shared" si="263"/>
        <v>0</v>
      </c>
      <c r="CA194">
        <f t="shared" si="264"/>
        <v>1</v>
      </c>
      <c r="CB194">
        <f t="shared" si="265"/>
        <v>0</v>
      </c>
      <c r="CC194">
        <f t="shared" si="266"/>
        <v>0</v>
      </c>
      <c r="CD194">
        <f t="shared" si="267"/>
        <v>0</v>
      </c>
      <c r="CE194">
        <f t="shared" si="268"/>
        <v>0</v>
      </c>
      <c r="CF194">
        <f t="shared" si="269"/>
        <v>0</v>
      </c>
      <c r="CG194">
        <f>IF(AX194="",0,_xlfn.LET(_xlpm.v,IFERROR(VLOOKUP(B194,УГО_спр,3,FALSE),IFERROR(VLOOKUP(AX194,УГО_спр,3,FALSE),IFERROR(VLOOKUP(LEFT(AX194,2),УГО_спр,3,FALSE),""))),IF(_xlpm.v="да",30,IF(ISNUMBER(_xlpm.v),_xlpm.v,0))))</f>
        <v>30</v>
      </c>
      <c r="CH194">
        <f t="shared" si="270"/>
        <v>30</v>
      </c>
      <c r="CI194" t="str">
        <f>_xlfn.LET(_xlpm.k,IFERROR(_xlfn.XLOOKUP(AX194,Коды_код,Коды_утечка)&amp;"",""),IF(_xlpm.k="","дифавтомат",_xlpm.k))</f>
        <v>дифавтомат</v>
      </c>
      <c r="CJ194">
        <f t="shared" si="271"/>
        <v>30</v>
      </c>
      <c r="CK194">
        <f t="shared" si="272"/>
        <v>30</v>
      </c>
      <c r="CL194">
        <f>IF(B194="",0,IFERROR(--VLOOKUP(B194,УГО_спр,4,FALSE),IFERROR(--VLOOKUP(AX194,УГО_спр,4,FALSE),IFERROR(--VLOOKUP(LEFT(AX194,2),УГО_спр,4,FALSE),0))))</f>
        <v>16</v>
      </c>
      <c r="CM194" t="str">
        <f>IF(B194="","",IFERROR(_xlfn.XLOOKUP(AX194,Коды_код,Коды_апп)&amp;"",""))</f>
        <v/>
      </c>
      <c r="CN194" t="str">
        <f t="shared" si="273"/>
        <v/>
      </c>
      <c r="CO194" t="str" cm="1">
        <f t="array" ref="CO194">IF(TRIM(CN194&amp;"")="","",IFERROR(TRIM(INDEX(_xlfn.TEXTSPLIT(CN194&amp;";;;",";"),1)),""))</f>
        <v/>
      </c>
      <c r="CP194" t="str" cm="1">
        <f t="array" ref="CP194">IF(TRIM(CN194&amp;"")="","",IFERROR(TRIM(INDEX(_xlfn.TEXTSPLIT(CN194&amp;";;;",";"),2)),""))</f>
        <v/>
      </c>
      <c r="CQ194" t="str" cm="1">
        <f t="array" ref="CQ194">IF(TRIM(CN194&amp;"")="","",IFERROR(TRIM(INDEX(_xlfn.TEXTSPLIT(CN194&amp;";;;",";"),3)),""))</f>
        <v/>
      </c>
      <c r="CR194">
        <f t="shared" si="274"/>
        <v>0</v>
      </c>
      <c r="CS194" t="str">
        <f>IF(B194="","",_xlfn.LET(_xlpm.t,LOWER(AV194&amp;""),IF(ISNUMBER(SEARCH("dim",_xlpm.t)),"DIM",IF(ISNUMBER(SEARCH("dali",_xlpm.t)),"DALI",IF(OR(ISNUMBER(SEARCH("relay",_xlpm.t)),ISNUMBER(SEARCH("реле",_xlpm.t))),"Relay",IF(ISNUMBER(SEARCH("кнопк",_xlpm.t)),"",IFERROR(_xlfn.XLOOKUP(AX194,Коды_код,Коды_упр)&amp;"","")))))))</f>
        <v/>
      </c>
      <c r="CT194" t="str">
        <f t="shared" si="275"/>
        <v/>
      </c>
      <c r="CU194">
        <f>IF(B194="","",_xlfn.LET(_xlpm.ig,N(P194)+IF(AF194="вручную",0,N(CB194)),_xlpm.n0,IFERROR(VLOOKUP(_xlpm.ig,Автомат_номиналы,2,TRUE),0),_xlpm.mn,MAX(CL194,IF(AF194="вручную",0,N(CE194))),MAX(_xlpm.n0,_xlpm.mn,IF(CR194=1,Мин_автомат_БП,0))))</f>
        <v>16</v>
      </c>
      <c r="CV194">
        <f t="shared" si="276"/>
        <v>1</v>
      </c>
      <c r="CW194" t="str">
        <f t="shared" si="277"/>
        <v>2P</v>
      </c>
      <c r="CX194" t="str">
        <f>_xlfn.LET(_xlpm.cc,UPPER(TRIM(IFERROR(_xlfn.XLOOKUP(AX194,Коды_код,Коды_хар)&amp;"",""))),IF(OR(_xlpm.cc="B",_xlpm.cc="В"),"B",IF(_xlpm.cc="D","D","С")))</f>
        <v>С</v>
      </c>
      <c r="CY194" t="str">
        <f t="shared" si="278"/>
        <v>2P С16А 30мА</v>
      </c>
      <c r="CZ194" t="str">
        <f t="shared" si="279"/>
        <v>2P С16А 30мА</v>
      </c>
      <c r="DA194" t="str">
        <f t="shared" si="280"/>
        <v>2P С16А 30мА</v>
      </c>
      <c r="DB194" cm="1">
        <f t="array" ref="DB194">IF(DA194="","",_xlfn.LET(_xlpm.t,SUBSTITUTE(SUBSTITUTE(SUBSTITUTE(UPPER(DA194),"С","C"),"А","A"),"В","B"),_xlpm.tk,_xlfn.TEXTSPLIT(_xlpm.t,"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4" t="str">
        <f t="shared" si="281"/>
        <v>ok</v>
      </c>
      <c r="DD194">
        <f t="shared" si="282"/>
        <v>16</v>
      </c>
      <c r="DE194" t="str">
        <f t="shared" si="283"/>
        <v>2P С16А 30мА</v>
      </c>
      <c r="DF194">
        <f t="shared" si="284"/>
        <v>30</v>
      </c>
      <c r="DG194">
        <f t="shared" si="285"/>
        <v>1</v>
      </c>
      <c r="DH194">
        <f t="shared" si="286"/>
        <v>0</v>
      </c>
      <c r="DI194">
        <f t="shared" si="287"/>
        <v>0.8204451193747313</v>
      </c>
      <c r="DJ194">
        <f t="shared" si="288"/>
        <v>1</v>
      </c>
      <c r="DK194">
        <f>IF(ISNUMBER(AL194),AL194,К_прокл)</f>
        <v>1</v>
      </c>
      <c r="DL194">
        <f t="shared" si="289"/>
        <v>2</v>
      </c>
      <c r="DM194">
        <f>IFERROR(N(VLOOKUP(BT194,Кабель_обозначение,3,FALSE)),1)</f>
        <v>1</v>
      </c>
      <c r="DN194">
        <f>IFERROR(N(_xlfn.XLOOKUP(A194,Щиты[Щит],Щиты[ΔU до шин, %])),0)</f>
        <v>0.43</v>
      </c>
      <c r="DO194" t="str">
        <f>IFERROR(_xlfn.XLOOKUP(A194,Щиты[Щит],Щиты[Zпетли на шинах, Ом]),"")</f>
        <v/>
      </c>
      <c r="DP194">
        <f>IFERROR(N(_xlfn.XLOOKUP(A194,Щиты[Щит],Щиты[ΔU до шин (подбор), %])),0)</f>
        <v>0.43</v>
      </c>
      <c r="DQ194" t="str">
        <f>IFERROR(_xlfn.XLOOKUP(A194,Щиты[Щит],Щиты[Zпетли на шинах (подбор), Ом]),"")</f>
        <v/>
      </c>
      <c r="DR194" t="str">
        <f t="shared" si="290"/>
        <v/>
      </c>
      <c r="DS194">
        <f t="shared" si="291"/>
        <v>20</v>
      </c>
      <c r="DT194">
        <f t="shared" si="292"/>
        <v>2</v>
      </c>
      <c r="DU194">
        <f t="shared" si="293"/>
        <v>0.31</v>
      </c>
      <c r="DV194" s="6">
        <f>IF(B194="","",IF(IFERROR(VLOOKUP(AX194,УГО_спр,2,FALSE),"")="Светильник",3,4)+IF(Методика="нормы 2026",MIN(0.5,MAX(0,N(Q194)-100)*0.005),0))</f>
        <v>4</v>
      </c>
      <c r="DW194" cm="1">
        <f t="array" ref="DW194">IF(OR(B194="",BT194="",DM194&lt;&gt;1),"",_xlfn.LET(_xlpm.sz,Iдоп_S,_xlpm.t_,CHOOSE(DL194,Iдоп_1ж,Iдоп_2ж,Iдоп_3ж)*DJ194*DK194,_xlpm.inn,N(DD194),_xlpm.smin,MAX(1.5,BW194),_xlpm.L_,N(Q194)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194)*(_xlpm.rho*_xlpm.L_/_xlpm.sz*N(BY194)+_xlpm.xx*_xlpm.L_*N(DU194)/1000)*N(P194)/((Uн_лин/SQRT(3))*1000)*100,999),_xlpm.kz,IF(OR(DG194=1,NOT(ISNUMBER(DQ194)),_xlpm.L_=0,_xlpm.inn=0),1,IFERROR(--(c_min*(Uн_лин*1000/SQRT(3))/(DQ194+2*ρкз_Cu*_xlpm.L_/_xlpm.sz)&gt;=GY194*_xlpm.inn),0)),_xlpm.ok,IFERROR((_xlpm.sz&gt;=_xlpm.smin)*(_xlpm.t_&gt;=_xlpm.inn)*IF(_xlpm.L_&gt;0,(_xlpm.du_+DP194&lt;=DV194+0.00001),1)*_xlpm.kz,0),_xlpm.r_,_xlfn._xlws.FILTER(_xlpm.sz,_xlpm.ok,"не подобрано"),INDEX(_xlpm.r_,1)))</f>
        <v>1.5</v>
      </c>
      <c r="DX194">
        <f t="shared" si="294"/>
        <v>2.5</v>
      </c>
      <c r="DY194" cm="1">
        <f t="array" ref="DY194">IF(OR(B194="",BT194="",DM194&lt;&gt;1),"",_xlfn.LET(_xlpm.sz,Iдоп_S,_xlpm.t_,CHOOSE(DL194,Iдоп_1ж,Iдоп_2ж,Iдоп_3ж)*DJ194*DK194,_xlpm.ok,IFERROR((_xlpm.sz&gt;=MAX(1.5,BW194))*(_xlpm.t_&gt;=N(DD194)),0),_xlpm.r_,_xlfn._xlws.FILTER(_xlpm.sz,_xlpm.ok,""),INDEX(_xlpm.r_,1)))</f>
        <v>1.5</v>
      </c>
      <c r="DZ194" s="6" cm="1">
        <f t="array" ref="DZ194">IFERROR(ROUNDUP(N(DT194)*(_xlfn.XLOOKUP(DY194,INDEX(Кабель_сопротивление,0,1),INDEX(Кабель_сопротивление,0,3))*N(Q194)/DY194*N(BY194)+_xlfn.XLOOKUP(DY194,INDEX(Кабель_сопротивление,0,1),INDEX(Кабель_сопротивление,0,2))*N(Q194)*N(DU194)/1000)*N(P194)/((Uн_лин/SQRT(3))*1000)*100,2),"")</f>
        <v>0.36</v>
      </c>
      <c r="EA194">
        <f>IFERROR(2*ρкз_Cu*N(Q194)/DY194,"")</f>
        <v>1.2273333333333334</v>
      </c>
      <c r="EB194">
        <f>IFERROR(VLOOKUP(DX194,Кабель_сопротивление,3,FALSE),"")</f>
        <v>2.2499999999999999E-2</v>
      </c>
      <c r="EC194">
        <f>IFERROR(VLOOKUP(DX194,Кабель_сопротивление,2,FALSE),"")</f>
        <v>0.1</v>
      </c>
      <c r="ED194">
        <f t="shared" si="295"/>
        <v>23</v>
      </c>
      <c r="EE194">
        <f t="shared" si="296"/>
        <v>0</v>
      </c>
      <c r="EF194">
        <f t="shared" si="297"/>
        <v>0.49281676985481981</v>
      </c>
      <c r="EG194" s="6">
        <f>IFERROR(ROUNDUP(EF194/((Uн_лин/SQRT(3))*1000)*100,2),"")</f>
        <v>0.22</v>
      </c>
      <c r="EH194" t="str">
        <f>IFERROR(VLOOKUP(BT194,Кабель_обозначение,2,FALSE),"")</f>
        <v>ВВГнг(А)-LS</v>
      </c>
      <c r="EI194" t="str">
        <f t="shared" si="298"/>
        <v>ВВГнг(А)-LS (3х2,5)</v>
      </c>
      <c r="EJ194" t="str">
        <f t="shared" si="299"/>
        <v>ВВГнг(А)-LS (3х2,5)
L=35-0,22%</v>
      </c>
      <c r="EK194">
        <f>IFERROR(2*ρкз_Cu*Q194/DX194,"")</f>
        <v>0.73639999999999994</v>
      </c>
      <c r="EL194">
        <f t="shared" si="300"/>
        <v>0.24500000000000002</v>
      </c>
      <c r="EM194" s="6" t="str">
        <f>IFERROR(IF(OR(B194="",NOT(ISNUMBER(DX194)),N(Q194)=0),"",_xlfn.XLOOKUP(A194,Щиты[Щит],Щиты[Zпетли на шинах, Ом])+EK194),"")</f>
        <v/>
      </c>
      <c r="EN194" s="6" t="str">
        <f>IF(ISNUMBER(EM194),c_min*(Uн_лин*1000/SQRT(3))/EM194,"")</f>
        <v/>
      </c>
      <c r="EO194" s="6" t="str">
        <f>IFERROR(IF(OR(B194="",NOT(ISNUMBER(DX194))),"",1.05*(Uн_лин*1000/SQRT(3))/(_xlfn.XLOOKUP(A194,Щиты[Щит],Щиты[Zmax на шинах, Ом])+EL194)/1000),"")</f>
        <v/>
      </c>
      <c r="EP194" s="6" t="str">
        <f>IF(B194="","",IF(ISNUMBER(Y194),"Сил",IF(IFERROR(_xlfn.XLOOKUP(AX194,Коды_код,Коды_группа)&amp;"","")="","Быт",_xlfn.XLOOKUP(AX194,Коды_код,Коды_группа)&amp;"")))</f>
        <v>Быт</v>
      </c>
      <c r="EQ194" s="6" t="str">
        <f t="shared" si="301"/>
        <v>Быт</v>
      </c>
      <c r="ER194" s="6">
        <f>IF(EQ194="Щит","щит",IF(EQ194="","",IF(EQ194="Быт",IFERROR(_xlfn.XLOOKUP(A194,Щиты[Щит],Щиты[Кс быт]),1),IF(EQ194="Сил",IF(ISNUMBER(Y194),Y194,IF(Методика="нормы 2026",IFERROR(_xlfn.XLOOKUP(A194,Щиты[Щит],Щиты[Кс силовых (табл. 7.5)]),1),1)),IF(OR(EQ194="Пост",EQ194="Отоп"),1,IF(EQ194="ВНГ",0.7,0))))))</f>
        <v>0.79799999999999993</v>
      </c>
      <c r="ES194">
        <f t="shared" si="302"/>
        <v>1</v>
      </c>
      <c r="ET194">
        <f t="shared" si="303"/>
        <v>0.18</v>
      </c>
      <c r="EU194">
        <f t="shared" si="304"/>
        <v>0.18</v>
      </c>
      <c r="EV194">
        <f t="shared" si="305"/>
        <v>0</v>
      </c>
      <c r="EW194">
        <f t="shared" si="306"/>
        <v>0</v>
      </c>
      <c r="EX194">
        <f t="shared" si="307"/>
        <v>0</v>
      </c>
      <c r="EY194">
        <f t="shared" si="308"/>
        <v>0</v>
      </c>
      <c r="EZ194">
        <f t="shared" si="309"/>
        <v>0.18</v>
      </c>
      <c r="FA194">
        <f t="shared" si="310"/>
        <v>0.17099999999999999</v>
      </c>
      <c r="FB194">
        <f t="shared" si="311"/>
        <v>0.18</v>
      </c>
      <c r="FC194" t="str">
        <f t="shared" si="312"/>
        <v>L3</v>
      </c>
      <c r="FD194" t="str">
        <f>IF(B194="","",IF(CA194=0,IF(AW194=1,"",FF193),IF(OR(N(CV194)&gt;=3,N(BR194)&gt;=3),"L1,L2,L3",IFERROR(_xlfn.TEXTBEFORE(_xlfn.TEXTAFTER(_xlfn.XLOOKUP(A194,Щиты[Щит],Щиты[_фазы авто]),";"&amp;AW194&amp;":"),";"),"L1"))))</f>
        <v>L1</v>
      </c>
      <c r="FE194" t="str">
        <f t="shared" si="313"/>
        <v>L3</v>
      </c>
      <c r="FF194" t="str">
        <f t="shared" si="314"/>
        <v>L3</v>
      </c>
      <c r="FG194" cm="1">
        <f t="array" ref="FG194">IFERROR(IF(BX194=2,_xlfn.IFS(BR194=3,VLOOKUP(BN194,Справочная_двигатели,3,FALSE),BR194=1,VLOOKUP(BN194,Справочная_двигатели,5,TRUE)),0),0)</f>
        <v>0</v>
      </c>
      <c r="FH194">
        <f>IFERROR(IF(BX194=3,VLOOKUP(BN194,Справочная_ЛЭД,2,TRUE),0),0)</f>
        <v>0</v>
      </c>
      <c r="FI194" s="6">
        <f t="shared" si="315"/>
        <v>0</v>
      </c>
      <c r="FJ194" t="str" cm="1">
        <f t="array" ref="FJ194">IF(B194="","",IFERROR(INDEX({"I особая","I","II","III"},MATCH(TRIM(AC194&amp;""),{"I особая","I","II","III"},0)),"III"))</f>
        <v>II</v>
      </c>
      <c r="FK194" t="str">
        <f>IF(B194="","",IF(TRIM(AD194&amp;"")&lt;&gt;"",IF(LOWER(TRIM(AD194&amp;""))="да","да","нет"),IF(IFERROR(_xlfn.XLOOKUP(AX194,Коды_код,Коды_пожарная),"")="да","да","нет")))</f>
        <v>нет</v>
      </c>
      <c r="FL194" t="str">
        <f t="shared" si="316"/>
        <v/>
      </c>
      <c r="FM194" t="str">
        <f t="shared" si="317"/>
        <v>основная</v>
      </c>
      <c r="FN194">
        <f t="shared" si="318"/>
        <v>1</v>
      </c>
      <c r="FO194" t="str" cm="1">
        <f t="array" ref="FO194">IF(B194="","",_xlfn.LET(_xlpm.t,IFERROR(_xlfn.XLOOKUP(1,(Шины[Шина]=FM194)*(((Шины[Щит]=A194)+(Шины[Щит]=""))&gt;0),Шины[Тип]),"")&amp;"",IF(_xlpm.t&lt;&gt;"",_xlpm.t,IF(ISNUMBER(SEARCH("ИБП",FM194)),"ИБП",IF(ISNUMBER(SEARCH("ДГУ",FM194)),"ДГУ","Ввод "&amp;FN194)))))</f>
        <v>Ввод 1</v>
      </c>
      <c r="FP194" t="str">
        <f t="shared" si="319"/>
        <v>Ввод 1</v>
      </c>
      <c r="FQ194" t="str">
        <f>IF(B194="","",IF(OR(FO194="ИБП",FO194="ДГУ"),"I особая",IF(FO194="Одиночная","III",_xlfn.XLOOKUP(A194,Щиты[Щит],Щиты[Категория шины «Ввод»],"III"))))</f>
        <v>II</v>
      </c>
      <c r="FR194">
        <f>IF(B194="",0,IFERROR(MATCH(FJ194,{"III","II","I","I особая"},0),1))</f>
        <v>2</v>
      </c>
      <c r="FS194">
        <f t="shared" si="320"/>
        <v>2</v>
      </c>
      <c r="FT194" t="str">
        <f>IF(B194="","",IF(FR194&gt;IFERROR(MATCH(FQ194,{"III","II","I","I особая"},0),1),"НЕ ОБЕСПЕЧЕНА","ОК"))</f>
        <v>ОК</v>
      </c>
      <c r="FU194" t="str">
        <f>IF(A194="","",_xlfn.XLOOKUP(A194,Щиты[Щит],Щиты[Путь],""))</f>
        <v>|ГРЩ-ЖД|ЩР-01|</v>
      </c>
      <c r="FV194" t="str">
        <f>IF(B194="","",IF(AE194&lt;&gt;"",AE194,IF(IFERROR(_xlfn.XLOOKUP(AX194,Коды_код,Коды_вид)&amp;"","")="","Прочее",_xlfn.XLOOKUP(AX194,Коды_код,Коды_вид)&amp;"")))</f>
        <v>Розеточная сеть и бытовые приборы</v>
      </c>
      <c r="FW194">
        <f>IF(BH194="","",INT((BH194-1)/Столбцов_на_лист)+1)</f>
        <v>2</v>
      </c>
      <c r="FX194" t="str">
        <f t="shared" si="321"/>
        <v>ВВГнг(А)-LS (3х2,5) L=35-0,22%</v>
      </c>
      <c r="FY194">
        <f t="shared" si="322"/>
        <v>0.18</v>
      </c>
      <c r="FZ194">
        <f t="shared" si="323"/>
        <v>0.83</v>
      </c>
      <c r="GA194">
        <f t="shared" si="324"/>
        <v>1</v>
      </c>
      <c r="GB194">
        <f t="shared" si="325"/>
        <v>0</v>
      </c>
      <c r="GC194">
        <f t="shared" si="326"/>
        <v>1</v>
      </c>
      <c r="GD194">
        <f>IF(BH194="","",IF(AND(CA194=1,GC194=1),COUNTIFS(A$3:A194,A194,CA$3:CA194,1,GC$3:GC194,1),IF(OR(OR(AW194=1,A194&lt;&gt;A193),AF194="вручную",GC194=0),"",IF(AW194=1,"",GE193))))</f>
        <v>10</v>
      </c>
      <c r="GE194">
        <f t="shared" si="327"/>
        <v>10</v>
      </c>
      <c r="GF194">
        <f>IF(B194="","",IFERROR(LOOKUP(INDEX(CHOOSE(DL194,Iдоп_1ж,Iдоп_2ж,Iдоп_3ж),MATCH(DX194,Iдоп_S,0))*DJ194*DK194,{6,10,16,20,25,32,40,50,63,80,100,125,160,200,250,315,400,500,630}),""))</f>
        <v>25</v>
      </c>
      <c r="GG194" t="str">
        <f t="shared" si="328"/>
        <v>QFD10</v>
      </c>
      <c r="GH194" t="str">
        <f t="shared" si="329"/>
        <v>QFD10</v>
      </c>
      <c r="GI194" t="str">
        <f t="shared" si="330"/>
        <v/>
      </c>
      <c r="GJ194">
        <f t="shared" si="331"/>
        <v>0</v>
      </c>
      <c r="GK194" t="str">
        <f>IF(OR(AG194="",AG194="-"),"",IFERROR(VLOOKUP(AG194,Модули_спр,2,FALSE),"R"))</f>
        <v/>
      </c>
      <c r="GL194" t="str">
        <f>IF(GK194="","",GK194&amp;"."&amp;COUNTIFS(A$3:A194,A194,GK$3:GK194,GK194))</f>
        <v/>
      </c>
      <c r="GM194" t="str">
        <f t="shared" si="332"/>
        <v/>
      </c>
      <c r="GN194" t="str">
        <f t="shared" si="333"/>
        <v/>
      </c>
      <c r="GO194" t="str">
        <f t="shared" si="334"/>
        <v/>
      </c>
      <c r="GP194" t="str">
        <f t="shared" si="335"/>
        <v/>
      </c>
      <c r="GQ194">
        <f t="shared" si="336"/>
        <v>1</v>
      </c>
      <c r="GR194" t="str">
        <f>IF(GQ194=1,"XT"&amp;COUNTIFS(A$3:A194,A194,GQ$3:GQ194,1),"")</f>
        <v>XT10</v>
      </c>
      <c r="GS194" t="str">
        <f t="shared" si="337"/>
        <v>XT10</v>
      </c>
      <c r="GT194" t="str">
        <f t="shared" si="338"/>
        <v>QFD10</v>
      </c>
      <c r="GU194" t="str">
        <f t="shared" si="339"/>
        <v/>
      </c>
      <c r="GV194" t="str">
        <f t="shared" si="340"/>
        <v>ok</v>
      </c>
      <c r="GW194" t="str">
        <f>IF(OR(GO194="",GM194=""),"",IF(GO194&gt;IFERROR(VLOOKUP(GN194,Модули_спр,3,FALSE),99),"ЛИШНИЙ КАНАЛ",IF(AND(AH194&lt;&gt;"=",COUNTIFS(Линии[_модуль гр.],GM194,Линии[Канал (итог)],GO194,Линии[Канал],"&lt;&gt;=",Линии[Щит],A194)&gt;1),"ДУБЛЬ КАНАЛА","")))</f>
        <v/>
      </c>
      <c r="GX194" s="6" t="str">
        <f t="shared" si="341"/>
        <v/>
      </c>
      <c r="GY194">
        <f t="shared" si="342"/>
        <v>10</v>
      </c>
      <c r="GZ194" t="str">
        <f t="shared" si="343"/>
        <v/>
      </c>
      <c r="HA194" t="str">
        <f>IF(AND(B194="",GT194=""),"",_xlfn.TEXTJOIN("; ",TRUE,IF(AND(B194&lt;&gt;"",FE194=""),"нет фазы",""),IF(AND(B194&lt;&gt;"",N(FY194)=0,EQ194&lt;&gt;"Нет"),"нет мощности",""),IF(AND(GS194&lt;&gt;"",COUNTIFS(Линии[Щит],A194,Линии[Клемма (итог)],GS194)&gt;1),"дубль клеммы "&amp;GS194,""),IF(AND(GV194&lt;&gt;"",GV194&lt;&gt;"ok"),GV194,""),IF(GW194&lt;&gt;"",GW194,""),IF(AND(N(BV194)&gt;=4,N(BR194)=1),BV194&amp;" жил на 1 фазе",""),IF(AND(AX194="R",CA194=1,OR(N(CK194)=0,N(CK194)&gt;30)),"розетка без дифзащиты до 30 мА",""),IFERROR(IF(AND(ISNUMBER(R194),R194&gt;DV194),"потери "&amp;FIXED(R194,1)&amp;" % &gt; "&amp;DV194&amp;" %",""),""),IFERROR(IF(LEFT(GZ194,4)="мало","Iкз мало — отключение &gt; 0,4 с",""),""),IF(AND(B194&lt;&gt;"",BH194=""),"не на схеме",""),IF(AND(CA194=0,B194&lt;&gt;"",FE194&lt;&gt;"",IF(AW194=1,"",FF193)&lt;&gt;"",FE194&lt;&gt;IF(AW194=1,"",FF193)),"фаза не как у автомата группы ("&amp;IF(AW194=1,"",FF193)&amp;")","")))</f>
        <v/>
      </c>
      <c r="HB194" s="6">
        <f>IF(OR(CA194=0,DA194=""),"",_xlfn.LET(_xlpm.t,IFERROR(_xlfn.XLOOKUP(DA194,Каталог!$U$4:$U$500,Каталог!$G$4:$G$500),""),_xlpm.k,SEARCH("кА",_xlpm.t),IFERROR(--TRIM(RIGHT(SUBSTITUTE(MID(_xlpm.t,MAX(1,_xlpm.k-4),_xlpm.k-MAX(1,_xlpm.k-4))," ",REPT(" ",9)),5)),"")))</f>
        <v>6</v>
      </c>
      <c r="HC194" t="str">
        <f>IF(OR(HB194="",CA194=0),"",IF(_xlfn.XLOOKUP(A194,Щиты[Щит],Щиты[Iкз max на шинах, кА],"")="","",IF(HB194&lt;_xlfn.XLOOKUP(A194,Щиты[Щит],Щиты[Iкз max на шинах, кА]),"Icu "&amp;HB194&amp;" кА &lt; Iкз max","ok")))</f>
        <v/>
      </c>
      <c r="HD194" t="str">
        <f t="shared" si="344"/>
        <v/>
      </c>
      <c r="HE194" t="str">
        <f t="shared" si="345"/>
        <v>QFD10|XT10</v>
      </c>
      <c r="HF194" t="str">
        <f t="shared" si="346"/>
        <v>QFD10|XT10|кабель ВВГнг(А)-LS (3х2,5) → Розеточная группа, пом. 004Б</v>
      </c>
      <c r="HG194" t="str" cm="1">
        <f t="array" ref="HG194">IF(HF194="","",_xlfn.LET(_xlpm.nd,_xlfn.TEXTSPLIT(HF194,"|"),IF(COLUMNS(_xlpm.nd)&gt;1,A194&amp;"¦"&amp;INDEX(_xlpm.nd,1)&amp;"¦"&amp;INDEX(_xlpm.nd,2),"")))</f>
        <v>ЩР-01¦QFD10¦XT10</v>
      </c>
      <c r="HH194" t="str">
        <f t="shared" si="347"/>
        <v>R.0.004Б.1¦Розеточная группа, пом. 004Б</v>
      </c>
      <c r="HI194" t="str" cm="1">
        <f t="array" ref="HI194">IF(HF194="","",_xlfn.LET(_xlpm.nd,_xlfn.TEXTSPLIT(HF194,"|"),IF(COLUMNS(_xlpm.nd)&gt;2,A194&amp;"¦"&amp;INDEX(_xlpm.nd,2)&amp;"¦"&amp;INDEX(_xlpm.nd,3),"")))</f>
        <v>ЩР-01¦XT10¦кабель ВВГнг(А)-LS (3х2,5) → Розеточная группа, пом. 004Б</v>
      </c>
      <c r="HJ194" t="str">
        <f t="shared" si="348"/>
        <v>R.0.004Б.1¦Розеточная группа, пом. 004Б</v>
      </c>
      <c r="HK194" t="str" cm="1">
        <f t="array" ref="HK194">IF(HF194="","",_xlfn.LET(_xlpm.nd,_xlfn.TEXTSPLIT(HF194,"|"),IF(COLUMNS(_xlpm.nd)&gt;3,A194&amp;"¦"&amp;INDEX(_xlpm.nd,3)&amp;"¦"&amp;INDEX(_xlpm.nd,4),"")))</f>
        <v/>
      </c>
      <c r="HL194" t="str">
        <f t="shared" si="349"/>
        <v/>
      </c>
      <c r="HM194" t="str" cm="1">
        <f t="array" ref="HM194">IF(HF194="","",_xlfn.LET(_xlpm.nd,_xlfn.TEXTSPLIT(HF194,"|"),IF(COLUMNS(_xlpm.nd)&gt;4,A194&amp;"¦"&amp;INDEX(_xlpm.nd,4)&amp;"¦"&amp;INDEX(_xlpm.nd,5),"")))</f>
        <v/>
      </c>
      <c r="HN194" t="str">
        <f t="shared" si="350"/>
        <v/>
      </c>
      <c r="HO194" t="str" cm="1">
        <f t="array" ref="HO194">IF(HF194="","",_xlfn.LET(_xlpm.nd,_xlfn.TEXTSPLIT(HF194,"|"),IF(COLUMNS(_xlpm.nd)&gt;5,A194&amp;"¦"&amp;INDEX(_xlpm.nd,5)&amp;"¦"&amp;INDEX(_xlpm.nd,6),"")))</f>
        <v/>
      </c>
      <c r="HP194" t="str">
        <f t="shared" si="351"/>
        <v/>
      </c>
      <c r="HQ194" t="str" cm="1">
        <f t="array" ref="HQ194">IF(HF194="","",_xlfn.LET(_xlpm.nd,_xlfn.TEXTSPLIT(HF194,"|"),IF(COLUMNS(_xlpm.nd)&gt;6,A194&amp;"¦"&amp;INDEX(_xlpm.nd,6)&amp;"¦"&amp;INDEX(_xlpm.nd,7),"")))</f>
        <v/>
      </c>
      <c r="HR194" t="str">
        <f t="shared" si="352"/>
        <v/>
      </c>
      <c r="HS194" t="str">
        <f t="shared" si="353"/>
        <v/>
      </c>
      <c r="HT194" t="str">
        <f t="shared" si="354"/>
        <v>QFD10 → XT10</v>
      </c>
      <c r="HU194">
        <f t="shared" si="355"/>
        <v>0</v>
      </c>
      <c r="HV194">
        <f t="shared" si="356"/>
        <v>1</v>
      </c>
      <c r="HW194" t="str">
        <f t="shared" si="357"/>
        <v/>
      </c>
      <c r="HX194" t="str">
        <f t="shared" si="358"/>
        <v/>
      </c>
      <c r="HY194" t="str">
        <f t="shared" si="359"/>
        <v/>
      </c>
      <c r="HZ194" t="str">
        <f t="shared" si="360"/>
        <v/>
      </c>
      <c r="IA194" t="str">
        <f>IF(B194="","",IFERROR(VLOOKUP(B194,УГО_спр,2,FALSE),IFERROR(VLOOKUP(AX194,УГО_спр,2,FALSE),IFERROR(VLOOKUP(LEFT(AX194,2),УГО_спр,2,FALSE),""))))</f>
        <v>Розетка</v>
      </c>
      <c r="IB194" t="str">
        <f>IF(B194="","",IF(OR(IA194="",IA194=0),"BOX",IFERROR(IF(VLOOKUP(IA194,УГО_блоки,3,FALSE)&amp;""&lt;&gt;"",VLOOKUP(IA194,УГО_блоки,3,FALSE),VLOOKUP(IA194,УГО_блоки,2,FALSE)),IA194)))</f>
        <v>SOCKET</v>
      </c>
      <c r="IC194">
        <f t="shared" si="361"/>
        <v>1</v>
      </c>
      <c r="ID194" t="str">
        <f>IF(DA194="","",IF(COUNTIF(DA$3:DA194,DA194)=1,MAX(ID$2:ID193)+1,""))</f>
        <v/>
      </c>
      <c r="IE194" t="str">
        <f>IF(CO194="","",IF(COUNTIF(CO$3:CO194,CO194)+COUNTIF(CP$2:CP193,CO194)+COUNTIF(CQ$2:CQ193,CO194)=1,MAX(IE$2:IG193)+1,""))</f>
        <v/>
      </c>
      <c r="IF194" t="str">
        <f>IF(CP194="","",IF(COUNTIF(CO$3:CO194,CP194)+COUNTIF(CP$3:CP194,CP194)+COUNTIF(CQ$2:CQ193,CP194)=1,MAX(IE$2:IG193,IE194)+1,""))</f>
        <v/>
      </c>
      <c r="IG194" t="str">
        <f>IF(CQ194="","",IF(COUNTIF(CO$3:CO194,CQ194)+COUNTIF(CP$3:CP194,CQ194)+COUNTIF(CQ$3:CQ194,CQ194)=1,MAX(IE$2:IG193,IE194,IF194)+1,""))</f>
        <v/>
      </c>
      <c r="IH194" t="str">
        <f t="shared" si="362"/>
        <v>3х2,5</v>
      </c>
      <c r="II194" t="str">
        <f>IF(IH194="","",IF(COUNTIF(IH$3:IH194,IH194)=1,MAX(II$2:II193)+1,""))</f>
        <v/>
      </c>
      <c r="IJ194" t="str">
        <f>IF(GL194="","",COUNTIF(GL$3:GL194,"?*"))</f>
        <v/>
      </c>
      <c r="IK194" t="str">
        <f>IF(OR(GL194="",GN194=""),"",IF(COUNTIFS(GL$3:GL194,"?*",GN$3:GN194,GN194)=1,MAX(IK$2:IK193)+1,""))</f>
        <v/>
      </c>
      <c r="IL194">
        <f t="shared" si="363"/>
        <v>0</v>
      </c>
      <c r="IM194">
        <f>IF(B194="","",COUNTIF(B$3:B194,"?*"))</f>
        <v>192</v>
      </c>
      <c r="IN194">
        <f>IF(GQ194&lt;&gt;1,0,_xlfn.LET(_xlpm.k,MAX(IFERROR(--VLOOKUP(B194,УГО_спр,5,FALSE),0),IFERROR(--VLOOKUP(AX194,УГО_спр,5,FALSE),0),IFERROR(--VLOOKUP(LEFT(AX194,2),УГО_спр,5,FALSE),0)),IF(_xlpm.k&gt;0,_xlpm.k,IF(IFERROR(--LEFT(SUBSTITUTE(IH194,"x","х"),FIND("х",SUBSTITUTE(IH194,"x","х"))-1),3)&gt;3,Каталог!$S$9,1))))</f>
        <v>1</v>
      </c>
      <c r="IO194">
        <f t="shared" si="364"/>
        <v>0</v>
      </c>
      <c r="IP194" t="str">
        <f t="shared" si="365"/>
        <v>авто</v>
      </c>
      <c r="IQ194">
        <f t="shared" si="366"/>
        <v>30</v>
      </c>
      <c r="IR194">
        <f t="shared" si="367"/>
        <v>1</v>
      </c>
      <c r="IS194">
        <f t="shared" si="368"/>
        <v>1</v>
      </c>
    </row>
    <row r="195" spans="1:253" x14ac:dyDescent="0.3">
      <c r="A195" t="s">
        <v>757</v>
      </c>
      <c r="B195" t="s">
        <v>1461</v>
      </c>
      <c r="C195" t="s">
        <v>1656</v>
      </c>
      <c r="D195">
        <v>1</v>
      </c>
      <c r="E195">
        <v>2.2000000000000002</v>
      </c>
      <c r="G195" t="str">
        <f>Линии[[#This Row],[_авто автомат]]</f>
        <v>2P С16А 30мА</v>
      </c>
      <c r="H195">
        <f>Линии[[#This Row],[_авто утечка]]</f>
        <v>30</v>
      </c>
      <c r="I195" t="str">
        <f>Линии[[#This Row],[_авто управление]]</f>
        <v/>
      </c>
      <c r="J195" t="str">
        <f>Линии[[#This Row],[_авто аппараты]]</f>
        <v/>
      </c>
      <c r="K195">
        <v>2.5</v>
      </c>
      <c r="L195">
        <v>16</v>
      </c>
      <c r="M195">
        <v>2</v>
      </c>
      <c r="N195" t="s">
        <v>486</v>
      </c>
      <c r="O195" t="str">
        <f t="shared" ref="O195:O258" si="369">_xlfn.TEXTJOIN("; ",TRUE,HD195,HA195,IF(FT195="НЕ ОБЕСПЕЧЕНА","категория "&amp;FJ195&amp;" не обеспечена (есть "&amp;FQ195&amp;")",""),IF(LEFT(HC195,3)="Icu",HC195,""),IF(AND(B195&lt;&gt;"",DX195="не подобрано"),"сечение не подобрано: проверьте длину и автомат или впишите сечение",""))</f>
        <v/>
      </c>
      <c r="P195" s="6" cm="1">
        <f t="array" ref="P195">IF(B195="","",IF(BC195&lt;&gt;"",IFERROR(_xlfn.XLOOKUP(BC195,Щиты[Щит],Щиты[Iр, А]),""),IF(BK195=1,IFERROR(_xlfn.XLOOKUP(A195,Щиты[Щит],Щиты[Iр, А]),""),IFERROR(_xlfn.IFS(BR195=1,BN195/((Uн_лин/SQRT(3))*BY195),BR195=3,BN195/(SQRT(3)*Uн_лин*BY195)),""))))</f>
        <v>10.027662570135606</v>
      </c>
      <c r="Q195" s="7">
        <f>IF(B195="","",IFERROR(IF(VLOOKUP(AX195,Потребители_обозначение,4,FALSE)=1,VLOOKUP(AX195,Потребители_обозначение,3,FALSE)*(D195*2-1)+DS195+VLOOKUP(AZ195,Этаж_обозначение,3,FALSE)+VLOOKUP(AZ195,Этаж_обозначение,4,FALSE),VLOOKUP(AX195,Потребители_обозначение,3,FALSE)*(D195*2-1)+DS195),DS195))</f>
        <v>19</v>
      </c>
      <c r="R195" s="6">
        <f t="shared" ref="R195:R258" si="370">IF(ISNUMBER(EG195),EG195+DN195,"")</f>
        <v>1.8499999999999999</v>
      </c>
      <c r="S195" t="str">
        <f t="shared" ref="S195:S258" si="371">IF(OR(B195="",EH195=""),"",IF(DX195="не подобрано",EH195&amp;" — сечение не подобрано",EI195))</f>
        <v>ВВГнг(А)-LS (3х2,5)</v>
      </c>
      <c r="T195" t="str">
        <f>IF(BH195="","",IF(BI195="вводной узел","узел ","")&amp;"л."&amp;(INT((BH195-1)/Столбцов_на_лист)+1)&amp;" / "&amp;(MOD(BH195-1,Столбцов_на_лист)+1))</f>
        <v>л.2 / 13</v>
      </c>
      <c r="V195">
        <v>1</v>
      </c>
      <c r="W195">
        <v>230</v>
      </c>
      <c r="X195" t="s">
        <v>564</v>
      </c>
      <c r="AC195" t="s">
        <v>815</v>
      </c>
      <c r="AE195" t="s">
        <v>563</v>
      </c>
      <c r="AI195">
        <v>30</v>
      </c>
      <c r="AJ195" t="s">
        <v>11</v>
      </c>
      <c r="AK195">
        <v>3</v>
      </c>
      <c r="AM195">
        <v>12</v>
      </c>
      <c r="AN195">
        <v>7</v>
      </c>
      <c r="AO195">
        <v>0</v>
      </c>
      <c r="AW195" cm="1">
        <f t="array" ref="AW195">ROW()-ROW(Линии[#Headers])</f>
        <v>193</v>
      </c>
      <c r="AX195" s="6" t="str">
        <f t="shared" ref="AX195:AX258" si="372">IF(B195="","",IFERROR(LEFT(B195,SEARCH(".",B195)-1),B195))</f>
        <v>R</v>
      </c>
      <c r="AY195" t="str">
        <f t="shared" ref="AY195:AY258" si="373">IFERROR(RIGHT(B195,LEN(B195)-SEARCH(".",B195)),"")</f>
        <v>0.004Б.2</v>
      </c>
      <c r="AZ195" t="str">
        <f t="shared" ref="AZ195:AZ258" si="374">IFERROR(LEFT(AY195,SEARCH(".",AY195)-1),AY195)</f>
        <v>0</v>
      </c>
      <c r="BA195" t="str">
        <f t="shared" ref="BA195:BA258" si="375">IFERROR(RIGHT(AY195,LEN(AY195)-SEARCH(".",AY195)),"")</f>
        <v>004Б.2</v>
      </c>
      <c r="BB195" t="str">
        <f t="shared" ref="BB195:BB258" si="376">IFERROR(LEFT(BA195,SEARCH(".",BA195)-1),BA195)</f>
        <v>004Б</v>
      </c>
      <c r="BC195" t="str">
        <f>IF(U195&lt;&gt;"",U195,IF(AND(B195&lt;&gt;"",B195&lt;&gt;A195,ISNUMBER(_xlfn.XMATCH(B195,Щиты[Щит]))),B195,""))</f>
        <v/>
      </c>
      <c r="BD195" t="str" cm="1">
        <f t="array" ref="BD195">IF(B195="","",IF(BC195&lt;&gt;"","Щит "&amp;BC195,_xlfn.LET(_xlpm.nm,IFERROR(_xlfn.XLOOKUP(AX195,Коды_код,Коды_имя)&amp;"",""),_xlpm.md,IFERROR(N(_xlfn.XLOOKUP(AX195,Коды_код,Коды_режим)),1),_xlpm.ex,IF(Имя_режим="по экспликации",IFERROR(_xlfn.XLOOKUP(AZ195&amp;"|"&amp;BB195,Экспликация[Этаж]&amp;"|"&amp;Экспликация[Помещение],Экспликация[Название])&amp;"",""),""),_xlpm.rm,IF(BB195="","",IF(_xlpm.ex&lt;&gt;"",". "&amp;_xlpm.ex&amp;IF(Имя_пом="нет"," ("&amp;BB195&amp;")"," (пом. "&amp;BB195&amp;")"),IF(Имя_пом="нет"," ",", пом. ")&amp;BB195)),IF(_xlpm.nm="","",IF(_xlpm.md=2,_xlpm.nm&amp;" шлейф "&amp;AZ195,_xlpm.nm&amp;_xlpm.rm)))))</f>
        <v>Розеточная группа, пом. 004Б</v>
      </c>
      <c r="BE195" t="str">
        <f t="shared" ref="BE195:BE258" si="377">IF(TRIM(C195&amp;"")="",BD195,C195)</f>
        <v>Розеточная группа Цокольный этаж Пом. №004Б Сушильная машина</v>
      </c>
      <c r="BF195">
        <f>IFERROR(_xlfn.XMATCH(A195,Щиты[Щит]),0)</f>
        <v>9</v>
      </c>
      <c r="BG195">
        <f>_xlfn.LET(_xlpm.k,IFERROR(_xlfn.XLOOKUP(A195,Щиты[Щит],Щиты[Листов под вводной узел]),""),IF(_xlpm.k="",1,N(_xlpm.k))*Столбцов_на_лист)</f>
        <v>17</v>
      </c>
      <c r="BH195">
        <f t="shared" ref="BH195:BH258" si="378">IF(AI195="-","",IF(ISNUMBER(AI195),AI195,_xlfn.LET(_xlpm.prev,IF(OR(AW195=1,A195&lt;&gt;A194),0,N(IF(AW195=1,"",BH194))),_xlpm.nx,_xlpm.prev+1,IF(AND(AF195&lt;&gt;"вручную",_xlpm.nx&lt;=BG195),BG195+1,_xlpm.nx))))</f>
        <v>30</v>
      </c>
      <c r="BI195" t="str">
        <f t="shared" ref="BI195:BI258" si="379">IF(BH195="","",IF(BH195&lt;=BG195,"вводной узел","линии"))</f>
        <v>линии</v>
      </c>
      <c r="BJ195" s="6">
        <f>IFERROR(N(_xlfn.XLOOKUP(AX195,Коды_код,Коды_квт)),0)</f>
        <v>0</v>
      </c>
      <c r="BK195">
        <f t="shared" ref="BK195:BK258" si="380">IF(AND(B195&lt;&gt;"",AX195="Ввод"),1,0)</f>
        <v>0</v>
      </c>
      <c r="BL195" t="str">
        <f>IF(B195="","",IF(BC195&lt;&gt;"",IFERROR(_xlfn.XLOOKUP(BC195,Щиты[Щит],Щиты[Руст, кВт]),0),IF(BK195=1,IFERROR(_xlfn.XLOOKUP(A195,Щиты[Щит],Щиты[Руст, кВт]),0),IF(BJ195&gt;0,ROUND(BJ195*MAX(1,N(D195)),3),""))))</f>
        <v/>
      </c>
      <c r="BM195">
        <f t="shared" ref="BM195:BM258" si="381">IF(TRIM(E195&amp;"")="",BL195,E195)</f>
        <v>2.2000000000000002</v>
      </c>
      <c r="BN195" s="6">
        <f>IF(B195="","",IF(BC195&lt;&gt;"",IFERROR(_xlfn.XLOOKUP(BC195,Щиты[Щит],Щиты[Руст, кВт]),0),N(BM195)))</f>
        <v>2.2000000000000002</v>
      </c>
      <c r="BO195" t="str">
        <f>IF(B195="","",IFERROR(IF(VLOOKUP(AX195,Потребители_обозначение,8,FALSE)=0,"",VLOOKUP(AX195,Потребители_обозначение,8,FALSE)),""))</f>
        <v/>
      </c>
      <c r="BP195">
        <f t="shared" ref="BP195:BP258" si="382">IF(TRIM(W195&amp;"")="",BO195,W195)</f>
        <v>230</v>
      </c>
      <c r="BQ195">
        <f>IF(B195="","",IF(BC195&lt;&gt;"",3,IFERROR(IF(N(VLOOKUP(AX195,Потребители_обозначение,9,FALSE))=0,1,VLOOKUP(AX195,Потребители_обозначение,9,FALSE)),1)))</f>
        <v>1</v>
      </c>
      <c r="BR195">
        <f t="shared" ref="BR195:BR258" si="383">IF(B195="","",IF(TRIM(V195&amp;"")="",BQ195,N(V195)))</f>
        <v>1</v>
      </c>
      <c r="BS195" t="str">
        <f>IF(B195="","",_xlfn.LET(_xlpm.bc,IFERROR(IF(VLOOKUP(AX195,Потребители_обозначение,6,FALSE)=0,"",VLOOKUP(AX195,Потребители_обозначение,6,FALSE)&amp;""),""),IF(AND(FK195="да",OR(_xlpm.bc="",_xlpm.bc="мс")),Марка_пож,IF(AND(_xlpm.bc="",BC195&lt;&gt;""),"мс",_xlpm.bc))))</f>
        <v/>
      </c>
      <c r="BT195" t="str">
        <f t="shared" ref="BT195:BT258" si="384">IF(TRIM(AJ195&amp;"")="",BS195,AJ195)</f>
        <v>мс</v>
      </c>
      <c r="BU195">
        <f>IF(B195="","",_xlfn.LET(_xlpm.cc,IFERROR(N(VLOOKUP(AX195,Потребители_обозначение,7,FALSE)),0),IF(_xlpm.cc&gt;0,_xlpm.cc,IF(BT195="","",IF(N(BR195)=3,5,3)))))</f>
        <v>3</v>
      </c>
      <c r="BV195">
        <f t="shared" ref="BV195:BV258" si="385">IF(TRIM(AK195&amp;"")="",BU195,AK195)</f>
        <v>3</v>
      </c>
      <c r="BW195">
        <f>IFERROR(N(VLOOKUP(AX195,Потребители_обозначение,10,FALSE)),0)</f>
        <v>0</v>
      </c>
      <c r="BX195">
        <f>IFERROR(VLOOKUP(AX195,Потребители_обозначение,5,FALSE),0)</f>
        <v>1</v>
      </c>
      <c r="BY195" s="6" cm="1">
        <f t="array" ref="BY195">IF(B195="","",IF(BC195&lt;&gt;"",IFERROR(_xlfn.XLOOKUP(BC195,Щиты[Щит],Щиты[cos φ]),0.95),IF(BK195=1,IFERROR(_xlfn.XLOOKUP(A195,Щиты[Щит],Щиты[cos φ]),0.95),IF(ISNUMBER(Z195),Z195,IFERROR(IF(BX195=2,_xlfn.IFS(BR195=3,VLOOKUP(BN195,Справочная_двигатели,8,FALSE),BR195=1,VLOOKUP(BN195,Справочная_двигатели,10,TRUE)),IF(AND(Методика="нормы 2026",EQ195="Сил"),0.8,0.95)),0.95)))))</f>
        <v>0.95</v>
      </c>
      <c r="BZ195">
        <f t="shared" ref="BZ195:BZ258" si="386">IF(OR(TRIM(F195&amp;"")="гр",TRIM(F195&amp;"")="=",TRIM(F195&amp;"")="^",TRIM(F195&amp;"")="↑"),1,0)</f>
        <v>0</v>
      </c>
      <c r="CA195">
        <f t="shared" ref="CA195:CA258" si="387">IF(AND(B195&lt;&gt;"",BZ195=0),1,0)</f>
        <v>1</v>
      </c>
      <c r="CB195">
        <f t="shared" ref="CB195:CB258" si="388">IF(AND(A196=A195,AF196&lt;&gt;"вручную",OR(B196="",BZ196=1)),IF(B196="",0,N(P196))+N(CB196),0)</f>
        <v>0</v>
      </c>
      <c r="CC195">
        <f t="shared" ref="CC195:CC258" si="389">IF(AND(A196=A195,AF196&lt;&gt;"вручную",OR(B196="",BZ196=1)),IF(B196="",0,N(BN196))+N(CC196),0)</f>
        <v>0</v>
      </c>
      <c r="CD195">
        <f t="shared" ref="CD195:CD258" si="390">IF(AND(A196=A195,AF196&lt;&gt;"вручную",OR(B196="",BZ196=1)),MAX(IF(B196="",0,N(BR196)),N(CD196)),0)</f>
        <v>0</v>
      </c>
      <c r="CE195">
        <f t="shared" ref="CE195:CE258" si="391">IF(AND(A196=A195,AF196&lt;&gt;"вручную",OR(B196="",BZ196=1)),MAX(IF(B196="",0,N(CL196)),N(CE196)),0)</f>
        <v>0</v>
      </c>
      <c r="CF195">
        <f t="shared" ref="CF195:CF258" si="392">IF(AND(A196=A195,AF196&lt;&gt;"вручную",OR(B196="",BZ196=1)),_xlfn.LET(_xlpm.a_,IF(B196="",0,N(CJ196)),_xlpm.b_,N(CF196),IF(_xlpm.a_=0,_xlpm.b_,IF(_xlpm.b_=0,_xlpm.a_,MIN(_xlpm.a_,_xlpm.b_)))),0)</f>
        <v>0</v>
      </c>
      <c r="CG195">
        <f>IF(AX195="",0,_xlfn.LET(_xlpm.v,IFERROR(VLOOKUP(B195,УГО_спр,3,FALSE),IFERROR(VLOOKUP(AX195,УГО_спр,3,FALSE),IFERROR(VLOOKUP(LEFT(AX195,2),УГО_спр,3,FALSE),""))),IF(_xlpm.v="да",30,IF(ISNUMBER(_xlpm.v),_xlpm.v,0))))</f>
        <v>30</v>
      </c>
      <c r="CH195">
        <f t="shared" ref="CH195:CH258" si="393">IF(B195="","",IF(N(CG195)&gt;0,CG195,""))</f>
        <v>30</v>
      </c>
      <c r="CI195" t="str">
        <f>_xlfn.LET(_xlpm.k,IFERROR(_xlfn.XLOOKUP(AX195,Коды_код,Коды_утечка)&amp;"",""),IF(_xlpm.k="","дифавтомат",_xlpm.k))</f>
        <v>дифавтомат</v>
      </c>
      <c r="CJ195">
        <f t="shared" ref="CJ195:CJ258" si="394">IF(B195="",0,_xlfn.LET(_xlpm.v,IF(TRIM(H195&amp;"")="",CH195,H195),_xlpm.nm,IF(_xlpm.v&amp;""="нет",0,IF(_xlpm.v&amp;""="да",30,IFERROR(--_xlpm.v,0))),IF(CI195="УЗО на группу",0,_xlpm.nm)))</f>
        <v>30</v>
      </c>
      <c r="CK195">
        <f t="shared" ref="CK195:CK258" si="395">IF(CA195=0,"",_xlfn.LET(_xlpm.a_,N(CJ195),_xlpm.b_,IF(AF195="вручную",0,N(CF195)),IF(_xlpm.a_=0,_xlpm.b_,IF(_xlpm.b_=0,_xlpm.a_,MIN(_xlpm.a_,_xlpm.b_)))))</f>
        <v>30</v>
      </c>
      <c r="CL195">
        <f>IF(B195="",0,IFERROR(--VLOOKUP(B195,УГО_спр,4,FALSE),IFERROR(--VLOOKUP(AX195,УГО_спр,4,FALSE),IFERROR(--VLOOKUP(LEFT(AX195,2),УГО_спр,4,FALSE),0))))</f>
        <v>16</v>
      </c>
      <c r="CM195" t="str">
        <f>IF(B195="","",IFERROR(_xlfn.XLOOKUP(AX195,Коды_код,Коды_апп)&amp;"",""))</f>
        <v/>
      </c>
      <c r="CN195" t="str">
        <f t="shared" ref="CN195:CN258" si="396">IF(TRIM(J195&amp;"")="",CM195,J195)</f>
        <v/>
      </c>
      <c r="CO195" t="str" cm="1">
        <f t="array" ref="CO195">IF(TRIM(CN195&amp;"")="","",IFERROR(TRIM(INDEX(_xlfn.TEXTSPLIT(CN195&amp;";;;",";"),1)),""))</f>
        <v/>
      </c>
      <c r="CP195" t="str" cm="1">
        <f t="array" ref="CP195">IF(TRIM(CN195&amp;"")="","",IFERROR(TRIM(INDEX(_xlfn.TEXTSPLIT(CN195&amp;";;;",";"),2)),""))</f>
        <v/>
      </c>
      <c r="CQ195" t="str" cm="1">
        <f t="array" ref="CQ195">IF(TRIM(CN195&amp;"")="","",IFERROR(TRIM(INDEX(_xlfn.TEXTSPLIT(CN195&amp;";;;",";"),3)),""))</f>
        <v/>
      </c>
      <c r="CR195">
        <f t="shared" ref="CR195:CR258" si="397">IF(CN195="",0,IF(OR(LEFT(CO195,2)="T ",LEFT(CO195,2)="Т ",ISNUMBER(SEARCH("БП",CN195)),ISNUMBER(SEARCH("; T ",CN195)),ISNUMBER(SEARCH("; Т ",CN195))),1,0))</f>
        <v>0</v>
      </c>
      <c r="CS195" t="str">
        <f>IF(B195="","",_xlfn.LET(_xlpm.t,LOWER(AV195&amp;""),IF(ISNUMBER(SEARCH("dim",_xlpm.t)),"DIM",IF(ISNUMBER(SEARCH("dali",_xlpm.t)),"DALI",IF(OR(ISNUMBER(SEARCH("relay",_xlpm.t)),ISNUMBER(SEARCH("реле",_xlpm.t))),"Relay",IF(ISNUMBER(SEARCH("кнопк",_xlpm.t)),"",IFERROR(_xlfn.XLOOKUP(AX195,Коды_код,Коды_упр)&amp;"","")))))))</f>
        <v/>
      </c>
      <c r="CT195" t="str">
        <f t="shared" ref="CT195:CT258" si="398">IF(TRIM(I195&amp;"")="",CS195,I195)</f>
        <v/>
      </c>
      <c r="CU195">
        <f>IF(B195="","",_xlfn.LET(_xlpm.ig,N(P195)+IF(AF195="вручную",0,N(CB195)),_xlpm.n0,IFERROR(VLOOKUP(_xlpm.ig,Автомат_номиналы,2,TRUE),0),_xlpm.mn,MAX(CL195,IF(AF195="вручную",0,N(CE195))),MAX(_xlpm.n0,_xlpm.mn,IF(CR195=1,Мин_автомат_БП,0))))</f>
        <v>16</v>
      </c>
      <c r="CV195">
        <f t="shared" ref="CV195:CV258" si="399">IF(B195="","",MAX(N(BR195),IF(AF195="вручную",0,N(CD195))))</f>
        <v>1</v>
      </c>
      <c r="CW195" t="str">
        <f t="shared" ref="CW195:CW258" si="400">IF(B195="","",IF(N(CV195)&gt;=3,IF(N(CK195)&gt;0,"4P","3P"),IF(N(CK195)&gt;0,"2P","1P")))</f>
        <v>2P</v>
      </c>
      <c r="CX195" t="str">
        <f>_xlfn.LET(_xlpm.cc,UPPER(TRIM(IFERROR(_xlfn.XLOOKUP(AX195,Коды_код,Коды_хар)&amp;"",""))),IF(OR(_xlpm.cc="B",_xlpm.cc="В"),"B",IF(_xlpm.cc="D","D","С")))</f>
        <v>С</v>
      </c>
      <c r="CY195" t="str">
        <f t="shared" ref="CY195:CY258" si="401">IF(B195="","",IF(CA195=0,IF(AND(AND(NOT(OR(AW195=1,A195&lt;&gt;A194)),AF195&lt;&gt;"вручную",IF(AW195=1,"",DC194)="ok"),IF(AW195=1,"",DE194)&lt;&gt;""),"↑ "&amp;IF(AW195=1,"",DE194),""),IF(N(CU195)=0,"",CW195&amp;" "&amp;CX195&amp;CU195&amp;"А"&amp;IF(N(CK195)&gt;0," "&amp;CK195&amp;"мА",""))))</f>
        <v>2P С16А 30мА</v>
      </c>
      <c r="CZ195" t="str">
        <f t="shared" ref="CZ195:CZ258" si="402">IF(TRIM(G195&amp;"")="",CY195,G195)</f>
        <v>2P С16А 30мА</v>
      </c>
      <c r="DA195" t="str">
        <f t="shared" ref="DA195:DA258" si="403">IF(CA195=0,"",_xlfn.LET(_xlpm.v,TRIM(CZ195&amp;""),IF(_xlpm.v="","",IF(ISNUMBER(--_xlpm.v),CW195&amp;" "&amp;CX195&amp;(--_xlpm.v)&amp;"А"&amp;IF(N(CK195)&gt;0," "&amp;CK195&amp;"мА",""),IF(ISNUMBER(SEARCH("P",UPPER(_xlpm.v))),_xlpm.v,CW195&amp;" "&amp;_xlpm.v)))))</f>
        <v>2P С16А 30мА</v>
      </c>
      <c r="DB195" cm="1">
        <f t="array" ref="DB195">IF(DA195="","",_xlfn.LET(_xlpm.t,SUBSTITUTE(SUBSTITUTE(SUBSTITUTE(UPPER(DA195),"С","C"),"А","A"),"В","B"),_xlpm.tk,_xlfn.TEXTSPLIT(_xlpm.t,"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5" t="str">
        <f t="shared" ref="DC195:DC258" si="404">IF(CA195=1,IF(AF195="вручную","узел","ok"),IF(OR(OR(AW195=1,A195&lt;&gt;A194),AF195="вручную"),"",IF(AW195=1,"",DC194)))</f>
        <v>ok</v>
      </c>
      <c r="DD195">
        <f t="shared" ref="DD195:DD258" si="405">IF(CA195=1,DB195,IF(AND(NOT(OR(AW195=1,A195&lt;&gt;A194)),AF195&lt;&gt;"вручную",IF(AW195=1,"",DC194)="ok"),IF(AW195=1,"",DD194),""))</f>
        <v>16</v>
      </c>
      <c r="DE195" t="str">
        <f t="shared" ref="DE195:DE258" si="406">IF(CA195=1,DA195,IF(AND(NOT(OR(AW195=1,A195&lt;&gt;A194)),AF195&lt;&gt;"вручную",IF(AW195=1,"",DC194)="ok"),IF(AW195=1,"",DE194),""))</f>
        <v>2P С16А 30мА</v>
      </c>
      <c r="DF195">
        <f t="shared" ref="DF195:DF258" si="407">IF(CA195=1,CK195,IF(AND(NOT(OR(AW195=1,A195&lt;&gt;A194)),AF195&lt;&gt;"вручную",IF(AW195=1,"",DC194)="ok"),IF(AW195=1,"",DF194),""))</f>
        <v>30</v>
      </c>
      <c r="DG195">
        <f t="shared" ref="DG195:DG258" si="408">IF(N(DF195)&gt;0,1,0)</f>
        <v>1</v>
      </c>
      <c r="DH195">
        <f t="shared" ref="DH195:DH258" si="409">IF(CA195=1,CR195,IF(AND(NOT(OR(AW195=1,A195&lt;&gt;A194)),AF195&lt;&gt;"вручную",IF(AW195=1,"",DC194)="ok"),N(IF(AW195=1,"",DH194)),0))</f>
        <v>0</v>
      </c>
      <c r="DI195">
        <f t="shared" ref="DI195:DI258" si="410">IF(CA195=1,N(P195)+IF(AF195="вручную",0,N(CB195)),"")</f>
        <v>10.027662570135606</v>
      </c>
      <c r="DJ195">
        <f t="shared" ref="DJ195:DJ258" si="411">IF(N(BV195)=1,1,IF(BR195=1,1,IF(N(BV195)&gt;=4,0.92,1)))</f>
        <v>1</v>
      </c>
      <c r="DK195">
        <f>IF(ISNUMBER(AL195),AL195,К_прокл)</f>
        <v>1</v>
      </c>
      <c r="DL195">
        <f t="shared" ref="DL195:DL258" si="412">IF(N(BV195)=1,1,IF(BR195=1,2,3))</f>
        <v>2</v>
      </c>
      <c r="DM195">
        <f>IFERROR(N(VLOOKUP(BT195,Кабель_обозначение,3,FALSE)),1)</f>
        <v>1</v>
      </c>
      <c r="DN195">
        <f>IFERROR(N(_xlfn.XLOOKUP(A195,Щиты[Щит],Щиты[ΔU до шин, %])),0)</f>
        <v>0.43</v>
      </c>
      <c r="DO195" t="str">
        <f>IFERROR(_xlfn.XLOOKUP(A195,Щиты[Щит],Щиты[Zпетли на шинах, Ом]),"")</f>
        <v/>
      </c>
      <c r="DP195">
        <f>IFERROR(N(_xlfn.XLOOKUP(A195,Щиты[Щит],Щиты[ΔU до шин (подбор), %])),0)</f>
        <v>0.43</v>
      </c>
      <c r="DQ195" t="str">
        <f>IFERROR(_xlfn.XLOOKUP(A195,Щиты[Щит],Щиты[Zпетли на шинах (подбор), Ом]),"")</f>
        <v/>
      </c>
      <c r="DR195" t="str">
        <f t="shared" ref="DR195:DR258" si="413">IF(COUNT(AR195,AS195)=0,"",ROUNDUP(SUM(AR195,AS195),0))</f>
        <v/>
      </c>
      <c r="DS195">
        <f t="shared" ref="DS195:DS258" si="414">IF(TRIM(L195&amp;"")="",DR195,L195)</f>
        <v>16</v>
      </c>
      <c r="DT195">
        <f t="shared" ref="DT195:DT258" si="415">IF(BR195=1,2,IF(BR195=3,1,""))</f>
        <v>2</v>
      </c>
      <c r="DU195">
        <f t="shared" ref="DU195:DU258" si="416">IFERROR(ROUND(SIN(ACOS(BY195)),2),"")</f>
        <v>0.31</v>
      </c>
      <c r="DV195" s="6">
        <f>IF(B195="","",IF(IFERROR(VLOOKUP(AX195,УГО_спр,2,FALSE),"")="Светильник",3,4)+IF(Методика="нормы 2026",MIN(0.5,MAX(0,N(Q195)-100)*0.005),0))</f>
        <v>4</v>
      </c>
      <c r="DW195" cm="1">
        <f t="array" ref="DW195">IF(OR(B195="",BT195="",DM195&lt;&gt;1),"",_xlfn.LET(_xlpm.sz,Iдоп_S,_xlpm.t_,CHOOSE(DL195,Iдоп_1ж,Iдоп_2ж,Iдоп_3ж)*DJ195*DK195,_xlpm.inn,N(DD195),_xlpm.smin,MAX(1.5,BW195),_xlpm.L_,N(Q195)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195)*(_xlpm.rho*_xlpm.L_/_xlpm.sz*N(BY195)+_xlpm.xx*_xlpm.L_*N(DU195)/1000)*N(P195)/((Uн_лин/SQRT(3))*1000)*100,999),_xlpm.kz,IF(OR(DG195=1,NOT(ISNUMBER(DQ195)),_xlpm.L_=0,_xlpm.inn=0),1,IFERROR(--(c_min*(Uн_лин*1000/SQRT(3))/(DQ195+2*ρкз_Cu*_xlpm.L_/_xlpm.sz)&gt;=GY195*_xlpm.inn),0)),_xlpm.ok,IFERROR((_xlpm.sz&gt;=_xlpm.smin)*(_xlpm.t_&gt;=_xlpm.inn)*IF(_xlpm.L_&gt;0,(_xlpm.du_+DP195&lt;=DV195+0.00001),1)*_xlpm.kz,0),_xlpm.r_,_xlfn._xlws.FILTER(_xlpm.sz,_xlpm.ok,"не подобрано"),INDEX(_xlpm.r_,1)))</f>
        <v>1.5</v>
      </c>
      <c r="DX195">
        <f t="shared" ref="DX195:DX258" si="417">IF(B195="","",IF(TRIM(K195&amp;"")="",DW195,K195))</f>
        <v>2.5</v>
      </c>
      <c r="DY195" cm="1">
        <f t="array" ref="DY195">IF(OR(B195="",BT195="",DM195&lt;&gt;1),"",_xlfn.LET(_xlpm.sz,Iдоп_S,_xlpm.t_,CHOOSE(DL195,Iдоп_1ж,Iдоп_2ж,Iдоп_3ж)*DJ195*DK195,_xlpm.ok,IFERROR((_xlpm.sz&gt;=MAX(1.5,BW195))*(_xlpm.t_&gt;=N(DD195)),0),_xlpm.r_,_xlfn._xlws.FILTER(_xlpm.sz,_xlpm.ok,""),INDEX(_xlpm.r_,1)))</f>
        <v>1.5</v>
      </c>
      <c r="DZ195" s="6" cm="1">
        <f t="array" ref="DZ195">IFERROR(ROUNDUP(N(DT195)*(_xlfn.XLOOKUP(DY195,INDEX(Кабель_сопротивление,0,1),INDEX(Кабель_сопротивление,0,3))*N(Q195)/DY195*N(BY195)+_xlfn.XLOOKUP(DY195,INDEX(Кабель_сопротивление,0,1),INDEX(Кабель_сопротивление,0,2))*N(Q195)*N(DU195)/1000)*N(P195)/((Uн_лин/SQRT(3))*1000)*100,2),"")</f>
        <v>2.36</v>
      </c>
      <c r="EA195">
        <f>IFERROR(2*ρкз_Cu*N(Q195)/DY195,"")</f>
        <v>0.66626666666666667</v>
      </c>
      <c r="EB195">
        <f>IFERROR(VLOOKUP(DX195,Кабель_сопротивление,3,FALSE),"")</f>
        <v>2.2499999999999999E-2</v>
      </c>
      <c r="EC195">
        <f>IFERROR(VLOOKUP(DX195,Кабель_сопротивление,2,FALSE),"")</f>
        <v>0.1</v>
      </c>
      <c r="ED195">
        <f t="shared" ref="ED195:ED258" si="418">IF(AN195&lt;&gt;"",AN195,IF(OR(DS195="",AP195=""),"",IF(AP195=1,MAX(0,Q195-ROUNDUP(N(AS195),0)-4),ROUNDUP(N(AR195),0))))</f>
        <v>7</v>
      </c>
      <c r="EE195">
        <f t="shared" ref="EE195:EE258" si="419">IF(AO195&lt;&gt;"",AO195,IF(OR(DS195="",AP195=""),"",IF(AP195=2,MAX(0,Q195-ROUNDUP(N(AR195),0)-4),ROUNDUP(N(AS195),0))))</f>
        <v>0</v>
      </c>
      <c r="EF195">
        <f t="shared" ref="EF195:EF258" si="420">IFERROR(DT195*(EB195*Q195/DX195*BY195+EC195*Q195*DU195/1000)*P195,"")</f>
        <v>3.2698001555446776</v>
      </c>
      <c r="EG195" s="6">
        <f>IFERROR(ROUNDUP(EF195/((Uн_лин/SQRT(3))*1000)*100,2),"")</f>
        <v>1.42</v>
      </c>
      <c r="EH195" t="str">
        <f>IFERROR(VLOOKUP(BT195,Кабель_обозначение,2,FALSE),"")</f>
        <v>ВВГнг(А)-LS</v>
      </c>
      <c r="EI195" t="str">
        <f t="shared" ref="EI195:EI258" si="421">IFERROR(IF(DM195=1,IF(ISNUMBER(DX195),EH195&amp;" ("&amp;BV195&amp;"х"&amp;DX195&amp;")",EH195),EH195),"")</f>
        <v>ВВГнг(А)-LS (3х2,5)</v>
      </c>
      <c r="EJ195" t="str">
        <f t="shared" ref="EJ195:EJ258" si="422">IF(OR(B195="",EH195="",AND(BM195&lt;&gt;"",NOT(ISNUMBER(BM195)))),"",IF(N(DX195)=0,EH195,EI195&amp;CHAR(10)&amp;"L="&amp;Q195&amp;"-"&amp;EG195&amp;"%"))</f>
        <v>ВВГнг(А)-LS (3х2,5)
L=19-1,42%</v>
      </c>
      <c r="EK195">
        <f>IFERROR(2*ρкз_Cu*Q195/DX195,"")</f>
        <v>0.39976</v>
      </c>
      <c r="EL195">
        <f t="shared" ref="EL195:EL258" si="423">IFERROR(0.0175*N(Q195)/DX195,"")</f>
        <v>0.13300000000000001</v>
      </c>
      <c r="EM195" s="6" t="str">
        <f>IFERROR(IF(OR(B195="",NOT(ISNUMBER(DX195)),N(Q195)=0),"",_xlfn.XLOOKUP(A195,Щиты[Щит],Щиты[Zпетли на шинах, Ом])+EK195),"")</f>
        <v/>
      </c>
      <c r="EN195" s="6" t="str">
        <f>IF(ISNUMBER(EM195),c_min*(Uн_лин*1000/SQRT(3))/EM195,"")</f>
        <v/>
      </c>
      <c r="EO195" s="6" t="str">
        <f>IFERROR(IF(OR(B195="",NOT(ISNUMBER(DX195))),"",1.05*(Uн_лин*1000/SQRT(3))/(_xlfn.XLOOKUP(A195,Щиты[Щит],Щиты[Zmax на шинах, Ом])+EL195)/1000),"")</f>
        <v/>
      </c>
      <c r="EP195" s="6" t="str">
        <f>IF(B195="","",IF(ISNUMBER(Y195),"Сил",IF(IFERROR(_xlfn.XLOOKUP(AX195,Коды_код,Коды_группа)&amp;"","")="","Быт",_xlfn.XLOOKUP(AX195,Коды_код,Коды_группа)&amp;"")))</f>
        <v>Быт</v>
      </c>
      <c r="EQ195" s="6" t="str">
        <f t="shared" ref="EQ195:EQ258" si="424">IF(B195="","",IF(BC195&lt;&gt;"","Щит",IF(TRIM(X195&amp;"")="",EP195,X195)))</f>
        <v>Быт</v>
      </c>
      <c r="ER195" s="6">
        <f>IF(EQ195="Щит","щит",IF(EQ195="","",IF(EQ195="Быт",IFERROR(_xlfn.XLOOKUP(A195,Щиты[Щит],Щиты[Кс быт]),1),IF(EQ195="Сил",IF(ISNUMBER(Y195),Y195,IF(Методика="нормы 2026",IFERROR(_xlfn.XLOOKUP(A195,Щиты[Щит],Щиты[Кс силовых (табл. 7.5)]),1),1)),IF(OR(EQ195="Пост",EQ195="Отоп"),1,IF(EQ195="ВНГ",0.7,0))))))</f>
        <v>0.79799999999999993</v>
      </c>
      <c r="ES195">
        <f t="shared" ref="ES195:ES258" si="425">IF(EQ195="","",IFERROR(MIN(3,MAX(1,INT(--AA195))),1))</f>
        <v>1</v>
      </c>
      <c r="ET195">
        <f t="shared" ref="ET195:ET258" si="426">IF(OR(EQ195="",EQ195="Нет",EQ195="Щит"),0,N(BN195))</f>
        <v>2.2000000000000002</v>
      </c>
      <c r="EU195">
        <f t="shared" ref="EU195:EU258" si="427">IF(EQ195="Быт",N(BN195),0)</f>
        <v>2.2000000000000002</v>
      </c>
      <c r="EV195">
        <f t="shared" ref="EV195:EV258" si="428">IF(EQ195="Сил",N(BN195)*N(ER195),0)</f>
        <v>0</v>
      </c>
      <c r="EW195">
        <f t="shared" ref="EW195:EW258" si="429">IF(EQ195="Пост",N(BN195),0)</f>
        <v>0</v>
      </c>
      <c r="EX195">
        <f t="shared" ref="EX195:EX258" si="430">IF(EQ195="Отоп",N(BN195),0)</f>
        <v>0</v>
      </c>
      <c r="EY195">
        <f t="shared" ref="EY195:EY258" si="431">IF(EQ195="ВНГ",N(BN195)*0.7,0)</f>
        <v>0</v>
      </c>
      <c r="EZ195">
        <f t="shared" ref="EZ195:EZ258" si="432">IF(OR(B195="",EQ195="Щит",EQ195="Нет"),0,N(BN195))</f>
        <v>2.2000000000000002</v>
      </c>
      <c r="FA195">
        <f t="shared" ref="FA195:FA258" si="433">IF(OR(B195="",EQ195="Щит",EQ195="Нет"),0,N(BN195)*N(BY195))</f>
        <v>2.09</v>
      </c>
      <c r="FB195">
        <f t="shared" ref="FB195:FB258" si="434">IF(CA195=1,N(BN195)+IF(AF195="вручную",0,N(CC195)),0)</f>
        <v>2.2000000000000002</v>
      </c>
      <c r="FC195" t="str">
        <f t="shared" ref="FC195:FC258" si="435">IF(B195="","",IF(_xlfn.ISFORMULA(M195),"",_xlfn.LET(_xlpm.v,UPPER(SUBSTITUTE(TRIM(M195&amp;"")," ","")),IF(_xlpm.v="","",IF(OR(_xlpm.v="1,2,3",_xlpm.v="L1,L2,L3",_xlpm.v="123",_xlpm.v="3Ф"),"L1,L2,L3",IF(OR(_xlpm.v="1",_xlpm.v="2",_xlpm.v="3"),"L"&amp;_xlpm.v,IF(OR(_xlpm.v="L1",_xlpm.v="L2",_xlpm.v="L3"),_xlpm.v,"")))))))</f>
        <v>L2</v>
      </c>
      <c r="FD195" t="str">
        <f>IF(B195="","",IF(CA195=0,IF(AW195=1,"",FF194),IF(OR(N(CV195)&gt;=3,N(BR195)&gt;=3),"L1,L2,L3",IFERROR(_xlfn.TEXTBEFORE(_xlfn.TEXTAFTER(_xlfn.XLOOKUP(A195,Щиты[Щит],Щиты[_фазы авто]),";"&amp;AW195&amp;":"),";"),"L1"))))</f>
        <v>L1</v>
      </c>
      <c r="FE195" t="str">
        <f t="shared" ref="FE195:FE258" si="436">IF(B195="","",_xlfn.LET(_xlpm.v,UPPER(SUBSTITUTE(TRIM(M195&amp;"")," ","")),IF(_xlpm.v="",FD195,IF(OR(_xlpm.v="1,2,3",_xlpm.v="L1,L2,L3",_xlpm.v="123",_xlpm.v="3Ф"),"L1,L2,L3",IF(OR(_xlpm.v="1",_xlpm.v="2",_xlpm.v="3"),"L"&amp;_xlpm.v,IF(OR(_xlpm.v="L1",_xlpm.v="L2",_xlpm.v="L3"),_xlpm.v,IF(_xlpm.v="УПР","",_xlpm.v)))))))</f>
        <v>L2</v>
      </c>
      <c r="FF195" t="str">
        <f t="shared" ref="FF195:FF258" si="437">IF(CA195=1,FE195,IF(AND(NOT(OR(AW195=1,A195&lt;&gt;A194)),AF195&lt;&gt;"вручную",IF(AW195=1,"",DC194)="ok"),IF(AW195=1,"",FF194),""))</f>
        <v>L2</v>
      </c>
      <c r="FG195" cm="1">
        <f t="array" ref="FG195">IFERROR(IF(BX195=2,_xlfn.IFS(BR195=3,VLOOKUP(BN195,Справочная_двигатели,3,FALSE),BR195=1,VLOOKUP(BN195,Справочная_двигатели,5,TRUE)),0),0)</f>
        <v>0</v>
      </c>
      <c r="FH195">
        <f>IFERROR(IF(BX195=3,VLOOKUP(BN195,Справочная_ЛЭД,2,TRUE),0),0)</f>
        <v>0</v>
      </c>
      <c r="FI195" s="6">
        <f t="shared" ref="FI195:FI258" si="438">IF(B195="","",IF(FG195=0,FH195,FG195))</f>
        <v>0</v>
      </c>
      <c r="FJ195" t="str" cm="1">
        <f t="array" ref="FJ195">IF(B195="","",IFERROR(INDEX({"I особая","I","II","III"},MATCH(TRIM(AC195&amp;""),{"I особая","I","II","III"},0)),"III"))</f>
        <v>II</v>
      </c>
      <c r="FK195" t="str">
        <f>IF(B195="","",IF(TRIM(AD195&amp;"")&lt;&gt;"",IF(LOWER(TRIM(AD195&amp;""))="да","да","нет"),IF(IFERROR(_xlfn.XLOOKUP(AX195,Коды_код,Коды_пожарная),"")="да","да","нет")))</f>
        <v>нет</v>
      </c>
      <c r="FL195" t="str">
        <f t="shared" ref="FL195:FL258" si="439">IF(AB195&lt;&gt;"",AB195,IF(CA195=1,"",IF(GH195="","",IF(AW195=1,"",FL194))))</f>
        <v/>
      </c>
      <c r="FM195" t="str">
        <f t="shared" ref="FM195:FM258" si="440">IF(B195="","",IF(FL195="","основная",FL195))</f>
        <v>основная</v>
      </c>
      <c r="FN195">
        <f t="shared" ref="FN195:FN258" si="441">IFERROR(MIN(3,MAX(1,INT(--AA195))),1)</f>
        <v>1</v>
      </c>
      <c r="FO195" t="str" cm="1">
        <f t="array" ref="FO195">IF(B195="","",_xlfn.LET(_xlpm.t,IFERROR(_xlfn.XLOOKUP(1,(Шины[Шина]=FM195)*(((Шины[Щит]=A195)+(Шины[Щит]=""))&gt;0),Шины[Тип]),"")&amp;"",IF(_xlpm.t&lt;&gt;"",_xlpm.t,IF(ISNUMBER(SEARCH("ИБП",FM195)),"ИБП",IF(ISNUMBER(SEARCH("ДГУ",FM195)),"ДГУ","Ввод "&amp;FN195)))))</f>
        <v>Ввод 1</v>
      </c>
      <c r="FP195" t="str">
        <f t="shared" ref="FP195:FP258" si="442">IF(B195="","",IF(OR(FO195="ИБП",FO195="ДГУ"),FO195,IF(LEFT(FO195,5)="Ввод ",FO195,"Ввод "&amp;FN195)))</f>
        <v>Ввод 1</v>
      </c>
      <c r="FQ195" t="str">
        <f>IF(B195="","",IF(OR(FO195="ИБП",FO195="ДГУ"),"I особая",IF(FO195="Одиночная","III",_xlfn.XLOOKUP(A195,Щиты[Щит],Щиты[Категория шины «Ввод»],"III"))))</f>
        <v>II</v>
      </c>
      <c r="FR195">
        <f>IF(B195="",0,IFERROR(MATCH(FJ195,{"III","II","I","I особая"},0),1))</f>
        <v>2</v>
      </c>
      <c r="FS195">
        <f t="shared" ref="FS195:FS258" si="443">IF(OR(FO195="ИБП",FO195="ДГУ"),MIN(FR195,3),FR195)</f>
        <v>2</v>
      </c>
      <c r="FT195" t="str">
        <f>IF(B195="","",IF(FR195&gt;IFERROR(MATCH(FQ195,{"III","II","I","I особая"},0),1),"НЕ ОБЕСПЕЧЕНА","ОК"))</f>
        <v>ОК</v>
      </c>
      <c r="FU195" t="str">
        <f>IF(A195="","",_xlfn.XLOOKUP(A195,Щиты[Щит],Щиты[Путь],""))</f>
        <v>|ГРЩ-ЖД|ЩР-01|</v>
      </c>
      <c r="FV195" t="str">
        <f>IF(B195="","",IF(AE195&lt;&gt;"",AE195,IF(IFERROR(_xlfn.XLOOKUP(AX195,Коды_код,Коды_вид)&amp;"","")="","Прочее",_xlfn.XLOOKUP(AX195,Коды_код,Коды_вид)&amp;"")))</f>
        <v>Розеточная сеть и бытовые приборы</v>
      </c>
      <c r="FW195">
        <f>IF(BH195="","",INT((BH195-1)/Столбцов_на_лист)+1)</f>
        <v>2</v>
      </c>
      <c r="FX195" t="str">
        <f t="shared" ref="FX195:FX258" si="444">IF(B195="","",SUBSTITUTE(EJ195,CHAR(10)," "))</f>
        <v>ВВГнг(А)-LS (3х2,5) L=19-1,42%</v>
      </c>
      <c r="FY195">
        <f t="shared" ref="FY195:FY258" si="445">IF(B195="","",IFERROR(--BN195,""))</f>
        <v>2.2000000000000002</v>
      </c>
      <c r="FZ195">
        <f t="shared" ref="FZ195:FZ258" si="446">IF(B195="","",IFERROR(ROUNDUP(P195,2),""))</f>
        <v>10.029999999999999</v>
      </c>
      <c r="GA195">
        <f t="shared" ref="GA195:GA258" si="447">IF(B195="","",IFERROR(--BR195,1))</f>
        <v>1</v>
      </c>
      <c r="GB195">
        <f t="shared" ref="GB195:GB258" si="448">IF(OR(AH195="+",AND(B195&lt;&gt;"",B195=IF(AW195=1,"",B194))),1,0)</f>
        <v>0</v>
      </c>
      <c r="GC195">
        <f t="shared" ref="GC195:GC258" si="449">IF(OR(BH195="",AF195="вручную",AND(BI195="вводной узел",AF195&lt;&gt;"рисовать")),0,1)</f>
        <v>1</v>
      </c>
      <c r="GD195">
        <f>IF(BH195="","",IF(AND(CA195=1,GC195=1),COUNTIFS(A$3:A195,A195,CA$3:CA195,1,GC$3:GC195,1),IF(OR(OR(AW195=1,A195&lt;&gt;A194),AF195="вручную",GC195=0),"",IF(AW195=1,"",GE194))))</f>
        <v>11</v>
      </c>
      <c r="GE195">
        <f t="shared" ref="GE195:GE258" si="450">IF(BH195="",IF(OR(AW195=1,A195&lt;&gt;A194),"",IF(AW195=1,"",GE194)),GD195)</f>
        <v>11</v>
      </c>
      <c r="GF195">
        <f>IF(B195="","",IFERROR(LOOKUP(INDEX(CHOOSE(DL195,Iдоп_1ж,Iдоп_2ж,Iдоп_3ж),MATCH(DX195,Iдоп_S,0))*DJ195*DK195,{6,10,16,20,25,32,40,50,63,80,100,125,160,200,250,315,400,500,630}),""))</f>
        <v>25</v>
      </c>
      <c r="GG195" t="str">
        <f t="shared" ref="GG195:GG258" si="451">IF(AND(CA195=1,GC195=1,GD195&lt;&gt;""),IF(N(CK195)&gt;0,"QFD","QF")&amp;GD195,"")</f>
        <v>QFD11</v>
      </c>
      <c r="GH195" t="str">
        <f t="shared" ref="GH195:GH258" si="452">IF(GG195&lt;&gt;"",GG195,IF(OR(OR(AW195=1,A195&lt;&gt;A194),AF195="вручную"),"",IF(AW195=1,"",GH194)))</f>
        <v>QFD11</v>
      </c>
      <c r="GI195" t="str">
        <f t="shared" ref="GI195:GI258" si="453">IF(GG195&lt;&gt;"",_xlfn.TEXTJOIN(" → ",TRUE,CO195,CP195,CQ195),IF(GH195="","",IF(AW195=1,"",GI194)))</f>
        <v/>
      </c>
      <c r="GJ195">
        <f t="shared" ref="GJ195:GJ258" si="454">IF(GI195="",0,IF(OR(LEFT(GI195,2)="T ",LEFT(GI195,2)="Т ",ISNUMBER(SEARCH("→ T ",GI195)),ISNUMBER(SEARCH("→ Т ",GI195)),ISNUMBER(SEARCH("БП",GI195))),1,0))</f>
        <v>0</v>
      </c>
      <c r="GK195" t="str">
        <f>IF(OR(AG195="",AG195="-"),"",IFERROR(VLOOKUP(AG195,Модули_спр,2,FALSE),"R"))</f>
        <v/>
      </c>
      <c r="GL195" t="str">
        <f>IF(GK195="","",GK195&amp;"."&amp;COUNTIFS(A$3:A195,A195,GK$3:GK195,GK195))</f>
        <v/>
      </c>
      <c r="GM195" t="str">
        <f t="shared" ref="GM195:GM258" si="455">IF(AG195="-","",IF(GL195&lt;&gt;"",GL195,IF(OR(AW195=1,A195&lt;&gt;A194),"",IF(AW195=1,"",GM194))))</f>
        <v/>
      </c>
      <c r="GN195" t="str">
        <f t="shared" ref="GN195:GN258" si="456">IF(GM195="","",IF(AND(AG195&lt;&gt;"",AG195&lt;&gt;"-"),AG195,IF(AW195=1,"",GN194)))</f>
        <v/>
      </c>
      <c r="GO195" t="str">
        <f t="shared" ref="GO195:GO258" si="457">IF(AH195="=",IF(AW195=1,"",GP194),IF(ISNUMBER(AH195),AH195,IF(GM195="","",IF(OR(B195&lt;&gt;"",AH195="+",AH195="р"),IF(OR(GL195&lt;&gt;"",IF(AW195=1,"",GP194)=""),1,IF(AW195=1,"",GP194)+1),""))))</f>
        <v/>
      </c>
      <c r="GP195" t="str">
        <f t="shared" ref="GP195:GP258" si="458">IF(GO195&lt;&gt;"",GO195,IF(OR(OR(AW195=1,A195&lt;&gt;A194),AG195="-",GL195&lt;&gt;""),"",IF(AW195=1,"",GP194)))</f>
        <v/>
      </c>
      <c r="GQ195">
        <f t="shared" ref="GQ195:GQ258" si="459">IF(OR(AH195="б/к",AF195="вручную"),0,IF(OR(ISNUMBER(SEARCH("L=",EJ195)),AH195="+",AH195="="),1,0))</f>
        <v>1</v>
      </c>
      <c r="GR195" t="str">
        <f>IF(GQ195=1,"XT"&amp;COUNTIFS(A$3:A195,A195,GQ$3:GQ195,1),"")</f>
        <v>XT11</v>
      </c>
      <c r="GS195" t="str">
        <f t="shared" ref="GS195:GS258" si="460">_xlfn.LET(_xlpm.v,TRIM(N195&amp;""),IF(_xlpm.v="нет","",IF(_xlpm.v="",GR195,_xlpm.v)))</f>
        <v/>
      </c>
      <c r="GT195" t="str">
        <f t="shared" ref="GT195:GT258" si="461">IF(OR(B195&lt;&gt;"",GO195&lt;&gt;"",GQ195=1),GH195,"")</f>
        <v>QFD11</v>
      </c>
      <c r="GU195" t="str">
        <f t="shared" ref="GU195:GU258" si="462">IF(OR(GO195&lt;&gt;"",AND(AG195&lt;&gt;"",AG195&lt;&gt;"-")),GM195,"")</f>
        <v/>
      </c>
      <c r="GV195" t="str">
        <f t="shared" ref="GV195:GV258" si="463">IF(B195="","",IF(AND(CA195=1,DA195&lt;&gt;"",DB195=""),"номинал автомата не распознан",IF(DD195="",IF(BZ195=1,"«гр»: нет автомата выше",""),IF(AND(CA195=1,N(DI195)&gt;N(DD195)),"ПЕРЕГРУЗ",IF(AND(N(DH195)=0,ISNUMBER(GF195),N(GF195)&lt;N(DD195)),"КАБЕЛЬ НЕ ЗАЩИЩЁН","ok")))))</f>
        <v>ok</v>
      </c>
      <c r="GW195" t="str">
        <f>IF(OR(GO195="",GM195=""),"",IF(GO195&gt;IFERROR(VLOOKUP(GN195,Модули_спр,3,FALSE),99),"ЛИШНИЙ КАНАЛ",IF(AND(AH195&lt;&gt;"=",COUNTIFS(Линии[_модуль гр.],GM195,Линии[Канал (итог)],GO195,Линии[Канал],"&lt;&gt;=",Линии[Щит],A195)&gt;1),"ДУБЛЬ КАНАЛА","")))</f>
        <v/>
      </c>
      <c r="GX195" s="6" t="str">
        <f t="shared" ref="GX195:GX258" si="464">IFERROR(IF(ISNUMBER(EN195),EN195/N(DD195),""),"")</f>
        <v/>
      </c>
      <c r="GY195">
        <f t="shared" ref="GY195:GY258" si="465">IF(OR(ISNUMBER(SEARCH(" B"," "&amp;DE195)),ISNUMBER(SEARCH(" В"," "&amp;DE195))),5,IF(ISNUMBER(SEARCH(" D"," "&amp;DE195)),20,10))</f>
        <v>10</v>
      </c>
      <c r="GZ195" t="str">
        <f t="shared" ref="GZ195:GZ258" si="466">IF(NOT(ISNUMBER(GX195)),"",IF(GX195&gt;=GY195,"ok",IF(N(DG195)=1,"ok (дифзащита "&amp;DF195&amp;" мА)","мало: Iкз &lt; "&amp;GY195&amp;"·In")))</f>
        <v/>
      </c>
      <c r="HA195" t="str">
        <f>IF(AND(B195="",GT195=""),"",_xlfn.TEXTJOIN("; ",TRUE,IF(AND(B195&lt;&gt;"",FE195=""),"нет фазы",""),IF(AND(B195&lt;&gt;"",N(FY195)=0,EQ195&lt;&gt;"Нет"),"нет мощности",""),IF(AND(GS195&lt;&gt;"",COUNTIFS(Линии[Щит],A195,Линии[Клемма (итог)],GS195)&gt;1),"дубль клеммы "&amp;GS195,""),IF(AND(GV195&lt;&gt;"",GV195&lt;&gt;"ok"),GV195,""),IF(GW195&lt;&gt;"",GW195,""),IF(AND(N(BV195)&gt;=4,N(BR195)=1),BV195&amp;" жил на 1 фазе",""),IF(AND(AX195="R",CA195=1,OR(N(CK195)=0,N(CK195)&gt;30)),"розетка без дифзащиты до 30 мА",""),IFERROR(IF(AND(ISNUMBER(R195),R195&gt;DV195),"потери "&amp;FIXED(R195,1)&amp;" % &gt; "&amp;DV195&amp;" %",""),""),IFERROR(IF(LEFT(GZ195,4)="мало","Iкз мало — отключение &gt; 0,4 с",""),""),IF(AND(B195&lt;&gt;"",BH195=""),"не на схеме",""),IF(AND(CA195=0,B195&lt;&gt;"",FE195&lt;&gt;"",IF(AW195=1,"",FF194)&lt;&gt;"",FE195&lt;&gt;IF(AW195=1,"",FF194)),"фаза не как у автомата группы ("&amp;IF(AW195=1,"",FF194)&amp;")","")))</f>
        <v/>
      </c>
      <c r="HB195" s="6">
        <f>IF(OR(CA195=0,DA195=""),"",_xlfn.LET(_xlpm.t,IFERROR(_xlfn.XLOOKUP(DA195,Каталог!$U$4:$U$500,Каталог!$G$4:$G$500),""),_xlpm.k,SEARCH("кА",_xlpm.t),IFERROR(--TRIM(RIGHT(SUBSTITUTE(MID(_xlpm.t,MAX(1,_xlpm.k-4),_xlpm.k-MAX(1,_xlpm.k-4))," ",REPT(" ",9)),5)),"")))</f>
        <v>6</v>
      </c>
      <c r="HC195" t="str">
        <f>IF(OR(HB195="",CA195=0),"",IF(_xlfn.XLOOKUP(A195,Щиты[Щит],Щиты[Iкз max на шинах, кА],"")="","",IF(HB195&lt;_xlfn.XLOOKUP(A195,Щиты[Щит],Щиты[Iкз max на шинах, кА]),"Icu "&amp;HB195&amp;" кА &lt; Iкз max","ok")))</f>
        <v/>
      </c>
      <c r="HD195" t="str">
        <f t="shared" ref="HD195:HD258" si="467">IF(OR(AND(AW195&gt;1,N(AW194)&lt;&gt;AW195-1),AND(AW196&lt;&gt;"",N(AW196)&lt;&gt;AW195+1)),"строки сдвинуты (вставка или удаление) — нажмите «Починить формулы»","")</f>
        <v/>
      </c>
      <c r="HE195" t="str">
        <f t="shared" ref="HE195:HE258" si="468">IF(OR(AF195="вручную",BH195="",AND(B195="",GS195="")),"",_xlfn.TEXTJOIN("|",TRUE,GH195,SUBSTITUTE(GI195," → ","|"),IF(GM195&lt;&gt;"",GM195&amp;IF(GO195&lt;&gt;""," к."&amp;GO195,""),""),GS195))</f>
        <v>QFD11</v>
      </c>
      <c r="HF195" t="str">
        <f t="shared" ref="HF195:HF258" si="469">IF(HE195="","",HE195&amp;IF(B195&lt;&gt;"","|кабель "&amp;EI195&amp;" → "&amp;BE195,""))</f>
        <v>QFD11|кабель ВВГнг(А)-LS (3х2,5) → Розеточная группа Цокольный этаж Пом. №004Б Сушильная машина</v>
      </c>
      <c r="HG195" t="str" cm="1">
        <f t="array" ref="HG195">IF(HF195="","",_xlfn.LET(_xlpm.nd,_xlfn.TEXTSPLIT(HF195,"|"),IF(COLUMNS(_xlpm.nd)&gt;1,A195&amp;"¦"&amp;INDEX(_xlpm.nd,1)&amp;"¦"&amp;INDEX(_xlpm.nd,2),"")))</f>
        <v>ЩР-01¦QFD11¦кабель ВВГнг(А)-LS (3х2,5) → Розеточная группа Цокольный этаж Пом. №004Б Сушильная машина</v>
      </c>
      <c r="HH195" t="str">
        <f t="shared" ref="HH195:HH258" si="470">IF(HG195="","",B195&amp;"¦"&amp;BE195)</f>
        <v>R.0.004Б.2¦Розеточная группа Цокольный этаж Пом. №004Б Сушильная машина</v>
      </c>
      <c r="HI195" t="str" cm="1">
        <f t="array" ref="HI195">IF(HF195="","",_xlfn.LET(_xlpm.nd,_xlfn.TEXTSPLIT(HF195,"|"),IF(COLUMNS(_xlpm.nd)&gt;2,A195&amp;"¦"&amp;INDEX(_xlpm.nd,2)&amp;"¦"&amp;INDEX(_xlpm.nd,3),"")))</f>
        <v/>
      </c>
      <c r="HJ195" t="str">
        <f t="shared" ref="HJ195:HJ258" si="471">IF(HI195="","",B195&amp;"¦"&amp;BE195)</f>
        <v/>
      </c>
      <c r="HK195" t="str" cm="1">
        <f t="array" ref="HK195">IF(HF195="","",_xlfn.LET(_xlpm.nd,_xlfn.TEXTSPLIT(HF195,"|"),IF(COLUMNS(_xlpm.nd)&gt;3,A195&amp;"¦"&amp;INDEX(_xlpm.nd,3)&amp;"¦"&amp;INDEX(_xlpm.nd,4),"")))</f>
        <v/>
      </c>
      <c r="HL195" t="str">
        <f t="shared" ref="HL195:HL258" si="472">IF(HK195="","",B195&amp;"¦"&amp;BE195)</f>
        <v/>
      </c>
      <c r="HM195" t="str" cm="1">
        <f t="array" ref="HM195">IF(HF195="","",_xlfn.LET(_xlpm.nd,_xlfn.TEXTSPLIT(HF195,"|"),IF(COLUMNS(_xlpm.nd)&gt;4,A195&amp;"¦"&amp;INDEX(_xlpm.nd,4)&amp;"¦"&amp;INDEX(_xlpm.nd,5),"")))</f>
        <v/>
      </c>
      <c r="HN195" t="str">
        <f t="shared" ref="HN195:HN258" si="473">IF(HM195="","",B195&amp;"¦"&amp;BE195)</f>
        <v/>
      </c>
      <c r="HO195" t="str" cm="1">
        <f t="array" ref="HO195">IF(HF195="","",_xlfn.LET(_xlpm.nd,_xlfn.TEXTSPLIT(HF195,"|"),IF(COLUMNS(_xlpm.nd)&gt;5,A195&amp;"¦"&amp;INDEX(_xlpm.nd,5)&amp;"¦"&amp;INDEX(_xlpm.nd,6),"")))</f>
        <v/>
      </c>
      <c r="HP195" t="str">
        <f t="shared" ref="HP195:HP258" si="474">IF(HO195="","",B195&amp;"¦"&amp;BE195)</f>
        <v/>
      </c>
      <c r="HQ195" t="str" cm="1">
        <f t="array" ref="HQ195">IF(HF195="","",_xlfn.LET(_xlpm.nd,_xlfn.TEXTSPLIT(HF195,"|"),IF(COLUMNS(_xlpm.nd)&gt;6,A195&amp;"¦"&amp;INDEX(_xlpm.nd,6)&amp;"¦"&amp;INDEX(_xlpm.nd,7),"")))</f>
        <v/>
      </c>
      <c r="HR195" t="str">
        <f t="shared" ref="HR195:HR258" si="475">IF(HQ195="","",B195&amp;"¦"&amp;BE195)</f>
        <v/>
      </c>
      <c r="HS195" t="str">
        <f t="shared" ref="HS195:HS258" si="476">IF(GU195="","",GN195)</f>
        <v/>
      </c>
      <c r="HT195" t="str">
        <f t="shared" ref="HT195:HT258" si="477">IF(AND(B195="",GO195="",GS195=""),"",_xlfn.TEXTJOIN(" → ",TRUE,GH195,GI195,IF(GM195&lt;&gt;"",GM195&amp;IF(GO195&lt;&gt;""," к."&amp;GO195,""),IF(GO195&lt;&gt;"","к."&amp;GO195,"")),GS195,IF(GB195=1,"(в кабель выше)","")))</f>
        <v>QFD11</v>
      </c>
      <c r="HU195">
        <f t="shared" ref="HU195:HU258" si="478">IF(AB195="",0,1)</f>
        <v>0</v>
      </c>
      <c r="HV195">
        <f t="shared" ref="HV195:HV258" si="479">IF(GG195="",0,IF(LEFT(GG195,3)="QFD",1,0))</f>
        <v>1</v>
      </c>
      <c r="HW195" t="str">
        <f t="shared" ref="HW195:HW258" si="480">IF(AH195="=","=",IF(AH195="+","+",IF(AH195="р","R","")))</f>
        <v/>
      </c>
      <c r="HX195" t="str">
        <f t="shared" ref="HX195:HX258" si="481">IF(CO195="","",IF(OR(LEFT(CO195,1)="T",LEFT(CO195,1)="Т"),"T",IF(LEFT(UPPER(CO195),2)="БП","PS",IF(OR(LEFT(UPPER(CO195),2)="МК",LEFT(UPPER(CO195),2)="MK"),"MK",IF(OR(LEFT(UPPER(CO195),2)="КМ",LEFT(UPPER(CO195),2)="KM"),"KM","X")))))</f>
        <v/>
      </c>
      <c r="HY195" t="str">
        <f t="shared" ref="HY195:HY258" si="482">IF(CP195="","",IF(OR(LEFT(CP195,1)="T",LEFT(CP195,1)="Т"),"T",IF(LEFT(UPPER(CP195),2)="БП","PS",IF(OR(LEFT(UPPER(CP195),2)="МК",LEFT(UPPER(CP195),2)="MK"),"MK",IF(OR(LEFT(UPPER(CP195),2)="КМ",LEFT(UPPER(CP195),2)="KM"),"KM","X")))))</f>
        <v/>
      </c>
      <c r="HZ195" t="str">
        <f t="shared" ref="HZ195:HZ258" si="483">IF(CQ195="","",IF(OR(LEFT(CQ195,1)="T",LEFT(CQ195,1)="Т"),"T",IF(LEFT(UPPER(CQ195),2)="БП","PS",IF(OR(LEFT(UPPER(CQ195),2)="МК",LEFT(UPPER(CQ195),2)="MK"),"MK",IF(OR(LEFT(UPPER(CQ195),2)="КМ",LEFT(UPPER(CQ195),2)="KM"),"KM","X")))))</f>
        <v/>
      </c>
      <c r="IA195" t="str">
        <f>IF(B195="","",IFERROR(VLOOKUP(B195,УГО_спр,2,FALSE),IFERROR(VLOOKUP(AX195,УГО_спр,2,FALSE),IFERROR(VLOOKUP(LEFT(AX195,2),УГО_спр,2,FALSE),""))))</f>
        <v>Розетка</v>
      </c>
      <c r="IB195" t="str">
        <f>IF(B195="","",IF(OR(IA195="",IA195=0),"BOX",IFERROR(IF(VLOOKUP(IA195,УГО_блоки,3,FALSE)&amp;""&lt;&gt;"",VLOOKUP(IA195,УГО_блоки,3,FALSE),VLOOKUP(IA195,УГО_блоки,2,FALSE)),IA195)))</f>
        <v>SOCKET</v>
      </c>
      <c r="IC195">
        <f t="shared" ref="IC195:IC258" si="484">IF(B195="",0,1)</f>
        <v>1</v>
      </c>
      <c r="ID195" t="str">
        <f>IF(DA195="","",IF(COUNTIF(DA$3:DA195,DA195)=1,MAX(ID$2:ID194)+1,""))</f>
        <v/>
      </c>
      <c r="IE195" t="str">
        <f>IF(CO195="","",IF(COUNTIF(CO$3:CO195,CO195)+COUNTIF(CP$2:CP194,CO195)+COUNTIF(CQ$2:CQ194,CO195)=1,MAX(IE$2:IG194)+1,""))</f>
        <v/>
      </c>
      <c r="IF195" t="str">
        <f>IF(CP195="","",IF(COUNTIF(CO$3:CO195,CP195)+COUNTIF(CP$3:CP195,CP195)+COUNTIF(CQ$2:CQ194,CP195)=1,MAX(IE$2:IG194,IE195)+1,""))</f>
        <v/>
      </c>
      <c r="IG195" t="str">
        <f>IF(CQ195="","",IF(COUNTIF(CO$3:CO195,CQ195)+COUNTIF(CP$3:CP195,CQ195)+COUNTIF(CQ$3:CQ195,CQ195)=1,MAX(IE$2:IG194,IE195,IF195)+1,""))</f>
        <v/>
      </c>
      <c r="IH195" t="str">
        <f t="shared" ref="IH195:IH258" si="485">IF(GQ195=1,IFERROR(MID(FX195,FIND(" (",FX195)+2,FIND(")",FX195,FIND(" (",FX195))-FIND(" (",FX195)-2),"?"),"")</f>
        <v>3х2,5</v>
      </c>
      <c r="II195" t="str">
        <f>IF(IH195="","",IF(COUNTIF(IH$3:IH195,IH195)=1,MAX(II$2:II194)+1,""))</f>
        <v/>
      </c>
      <c r="IJ195" t="str">
        <f>IF(GL195="","",COUNTIF(GL$3:GL195,"?*"))</f>
        <v/>
      </c>
      <c r="IK195" t="str">
        <f>IF(OR(GL195="",GN195=""),"",IF(COUNTIFS(GL$3:GL195,"?*",GN$3:GN195,GN195)=1,MAX(IK$2:IK194)+1,""))</f>
        <v/>
      </c>
      <c r="IL195">
        <f t="shared" ref="IL195:IL258" si="486">IF(HA195="",0,IF(OR(ISNUMBER(SEARCH("дубль",HA195)),ISNUMBER(SEARCH("ПЕРЕГРУЗ",HA195)),ISNUMBER(SEARCH("ЗАЩИЩ",HA195)),ISNUMBER(SEARCH("КАНАЛ",HA195)),ISNUMBER(SEARCH("без диф",HA195))),2,1))</f>
        <v>0</v>
      </c>
      <c r="IM195">
        <f>IF(B195="","",COUNTIF(B$3:B195,"?*"))</f>
        <v>193</v>
      </c>
      <c r="IN195">
        <f>IF(GQ195&lt;&gt;1,0,_xlfn.LET(_xlpm.k,MAX(IFERROR(--VLOOKUP(B195,УГО_спр,5,FALSE),0),IFERROR(--VLOOKUP(AX195,УГО_спр,5,FALSE),0),IFERROR(--VLOOKUP(LEFT(AX195,2),УГО_спр,5,FALSE),0)),IF(_xlpm.k&gt;0,_xlpm.k,IF(IFERROR(--LEFT(SUBSTITUTE(IH195,"x","х"),FIND("х",SUBSTITUTE(IH195,"x","х"))-1),3)&gt;3,Каталог!$S$9,1))))</f>
        <v>1</v>
      </c>
      <c r="IO195">
        <f t="shared" ref="IO195:IO258" si="487">IF(GQ195&lt;&gt;1,0,MAX(0,IFERROR(--LEFT(SUBSTITUTE(IH195,"x","х"),FIND("х",SUBSTITUTE(IH195,"x","х"))-1),3)-3*IN195))</f>
        <v>0</v>
      </c>
      <c r="IP195" t="str">
        <f t="shared" ref="IP195:IP258" si="488">IF(CA195=1,"авто","")</f>
        <v>авто</v>
      </c>
      <c r="IQ195">
        <f t="shared" ref="IQ195:IQ258" si="489">IF(CA195=1,IF(N(CK195)&gt;0,CK195,""),"")</f>
        <v>30</v>
      </c>
      <c r="IR195">
        <f t="shared" ref="IR195:IR258" si="490">IF(CA195=1,IF(N(CK195)&gt;0,1,0),"")</f>
        <v>1</v>
      </c>
      <c r="IS195">
        <f t="shared" ref="IS195:IS258" si="491">SUBTOTAL(103,A195)</f>
        <v>1</v>
      </c>
    </row>
    <row r="196" spans="1:253" x14ac:dyDescent="0.3">
      <c r="A196" t="s">
        <v>757</v>
      </c>
      <c r="B196" t="s">
        <v>1462</v>
      </c>
      <c r="C196" t="s">
        <v>1657</v>
      </c>
      <c r="D196">
        <v>1</v>
      </c>
      <c r="E196">
        <v>2.2000000000000002</v>
      </c>
      <c r="G196" t="str">
        <f>Линии[[#This Row],[_авто автомат]]</f>
        <v>2P С16А 30мА</v>
      </c>
      <c r="H196">
        <f>Линии[[#This Row],[_авто утечка]]</f>
        <v>30</v>
      </c>
      <c r="I196" t="str">
        <f>Линии[[#This Row],[_авто управление]]</f>
        <v/>
      </c>
      <c r="J196" t="str">
        <f>Линии[[#This Row],[_авто аппараты]]</f>
        <v/>
      </c>
      <c r="K196">
        <v>2.5</v>
      </c>
      <c r="L196">
        <v>26</v>
      </c>
      <c r="M196">
        <v>3</v>
      </c>
      <c r="N196" t="s">
        <v>486</v>
      </c>
      <c r="O196" t="str">
        <f t="shared" si="369"/>
        <v/>
      </c>
      <c r="P196" s="6" cm="1">
        <f t="array" ref="P196">IF(B196="","",IF(BC196&lt;&gt;"",IFERROR(_xlfn.XLOOKUP(BC196,Щиты[Щит],Щиты[Iр, А]),""),IF(BK196=1,IFERROR(_xlfn.XLOOKUP(A196,Щиты[Щит],Щиты[Iр, А]),""),IFERROR(_xlfn.IFS(BR196=1,BN196/((Uн_лин/SQRT(3))*BY196),BR196=3,BN196/(SQRT(3)*Uн_лин*BY196)),""))))</f>
        <v>10.027662570135606</v>
      </c>
      <c r="Q196" s="7">
        <f>IF(B196="","",IFERROR(IF(VLOOKUP(AX196,Потребители_обозначение,4,FALSE)=1,VLOOKUP(AX196,Потребители_обозначение,3,FALSE)*(D196*2-1)+DS196+VLOOKUP(AZ196,Этаж_обозначение,3,FALSE)+VLOOKUP(AZ196,Этаж_обозначение,4,FALSE),VLOOKUP(AX196,Потребители_обозначение,3,FALSE)*(D196*2-1)+DS196),DS196))</f>
        <v>29</v>
      </c>
      <c r="R196" s="6">
        <f t="shared" si="370"/>
        <v>2.6</v>
      </c>
      <c r="S196" t="str">
        <f t="shared" si="371"/>
        <v>ВВГнг(А)-LS (3х2,5)</v>
      </c>
      <c r="T196" t="str">
        <f>IF(BH196="","",IF(BI196="вводной узел","узел ","")&amp;"л."&amp;(INT((BH196-1)/Столбцов_на_лист)+1)&amp;" / "&amp;(MOD(BH196-1,Столбцов_на_лист)+1))</f>
        <v>л.2 / 14</v>
      </c>
      <c r="V196">
        <v>1</v>
      </c>
      <c r="W196">
        <v>230</v>
      </c>
      <c r="X196" t="s">
        <v>564</v>
      </c>
      <c r="AC196" t="s">
        <v>815</v>
      </c>
      <c r="AE196" t="s">
        <v>563</v>
      </c>
      <c r="AI196">
        <v>31</v>
      </c>
      <c r="AJ196" t="s">
        <v>11</v>
      </c>
      <c r="AK196">
        <v>3</v>
      </c>
      <c r="AM196">
        <v>12</v>
      </c>
      <c r="AN196">
        <v>17</v>
      </c>
      <c r="AO196">
        <v>0</v>
      </c>
      <c r="AW196" cm="1">
        <f t="array" ref="AW196">ROW()-ROW(Линии[#Headers])</f>
        <v>194</v>
      </c>
      <c r="AX196" s="6" t="str">
        <f t="shared" si="372"/>
        <v>R</v>
      </c>
      <c r="AY196" t="str">
        <f t="shared" si="373"/>
        <v>0.004Б.3</v>
      </c>
      <c r="AZ196" t="str">
        <f t="shared" si="374"/>
        <v>0</v>
      </c>
      <c r="BA196" t="str">
        <f t="shared" si="375"/>
        <v>004Б.3</v>
      </c>
      <c r="BB196" t="str">
        <f t="shared" si="376"/>
        <v>004Б</v>
      </c>
      <c r="BC196" t="str">
        <f>IF(U196&lt;&gt;"",U196,IF(AND(B196&lt;&gt;"",B196&lt;&gt;A196,ISNUMBER(_xlfn.XMATCH(B196,Щиты[Щит]))),B196,""))</f>
        <v/>
      </c>
      <c r="BD196" t="str" cm="1">
        <f t="array" ref="BD196">IF(B196="","",IF(BC196&lt;&gt;"","Щит "&amp;BC196,_xlfn.LET(_xlpm.nm,IFERROR(_xlfn.XLOOKUP(AX196,Коды_код,Коды_имя)&amp;"",""),_xlpm.md,IFERROR(N(_xlfn.XLOOKUP(AX196,Коды_код,Коды_режим)),1),_xlpm.ex,IF(Имя_режим="по экспликации",IFERROR(_xlfn.XLOOKUP(AZ196&amp;"|"&amp;BB196,Экспликация[Этаж]&amp;"|"&amp;Экспликация[Помещение],Экспликация[Название])&amp;"",""),""),_xlpm.rm,IF(BB196="","",IF(_xlpm.ex&lt;&gt;"",". "&amp;_xlpm.ex&amp;IF(Имя_пом="нет"," ("&amp;BB196&amp;")"," (пом. "&amp;BB196&amp;")"),IF(Имя_пом="нет"," ",", пом. ")&amp;BB196)),IF(_xlpm.nm="","",IF(_xlpm.md=2,_xlpm.nm&amp;" шлейф "&amp;AZ196,_xlpm.nm&amp;_xlpm.rm)))))</f>
        <v>Розеточная группа, пом. 004Б</v>
      </c>
      <c r="BE196" t="str">
        <f t="shared" si="377"/>
        <v>Розеточная группа Цокольный этаж Пом. №004Б Стиральная машина</v>
      </c>
      <c r="BF196">
        <f>IFERROR(_xlfn.XMATCH(A196,Щиты[Щит]),0)</f>
        <v>9</v>
      </c>
      <c r="BG196">
        <f>_xlfn.LET(_xlpm.k,IFERROR(_xlfn.XLOOKUP(A196,Щиты[Щит],Щиты[Листов под вводной узел]),""),IF(_xlpm.k="",1,N(_xlpm.k))*Столбцов_на_лист)</f>
        <v>17</v>
      </c>
      <c r="BH196">
        <f t="shared" si="378"/>
        <v>31</v>
      </c>
      <c r="BI196" t="str">
        <f t="shared" si="379"/>
        <v>линии</v>
      </c>
      <c r="BJ196" s="6">
        <f>IFERROR(N(_xlfn.XLOOKUP(AX196,Коды_код,Коды_квт)),0)</f>
        <v>0</v>
      </c>
      <c r="BK196">
        <f t="shared" si="380"/>
        <v>0</v>
      </c>
      <c r="BL196" t="str">
        <f>IF(B196="","",IF(BC196&lt;&gt;"",IFERROR(_xlfn.XLOOKUP(BC196,Щиты[Щит],Щиты[Руст, кВт]),0),IF(BK196=1,IFERROR(_xlfn.XLOOKUP(A196,Щиты[Щит],Щиты[Руст, кВт]),0),IF(BJ196&gt;0,ROUND(BJ196*MAX(1,N(D196)),3),""))))</f>
        <v/>
      </c>
      <c r="BM196">
        <f t="shared" si="381"/>
        <v>2.2000000000000002</v>
      </c>
      <c r="BN196" s="6">
        <f>IF(B196="","",IF(BC196&lt;&gt;"",IFERROR(_xlfn.XLOOKUP(BC196,Щиты[Щит],Щиты[Руст, кВт]),0),N(BM196)))</f>
        <v>2.2000000000000002</v>
      </c>
      <c r="BO196" t="str">
        <f>IF(B196="","",IFERROR(IF(VLOOKUP(AX196,Потребители_обозначение,8,FALSE)=0,"",VLOOKUP(AX196,Потребители_обозначение,8,FALSE)),""))</f>
        <v/>
      </c>
      <c r="BP196">
        <f t="shared" si="382"/>
        <v>230</v>
      </c>
      <c r="BQ196">
        <f>IF(B196="","",IF(BC196&lt;&gt;"",3,IFERROR(IF(N(VLOOKUP(AX196,Потребители_обозначение,9,FALSE))=0,1,VLOOKUP(AX196,Потребители_обозначение,9,FALSE)),1)))</f>
        <v>1</v>
      </c>
      <c r="BR196">
        <f t="shared" si="383"/>
        <v>1</v>
      </c>
      <c r="BS196" t="str">
        <f>IF(B196="","",_xlfn.LET(_xlpm.bc,IFERROR(IF(VLOOKUP(AX196,Потребители_обозначение,6,FALSE)=0,"",VLOOKUP(AX196,Потребители_обозначение,6,FALSE)&amp;""),""),IF(AND(FK196="да",OR(_xlpm.bc="",_xlpm.bc="мс")),Марка_пож,IF(AND(_xlpm.bc="",BC196&lt;&gt;""),"мс",_xlpm.bc))))</f>
        <v/>
      </c>
      <c r="BT196" t="str">
        <f t="shared" si="384"/>
        <v>мс</v>
      </c>
      <c r="BU196">
        <f>IF(B196="","",_xlfn.LET(_xlpm.cc,IFERROR(N(VLOOKUP(AX196,Потребители_обозначение,7,FALSE)),0),IF(_xlpm.cc&gt;0,_xlpm.cc,IF(BT196="","",IF(N(BR196)=3,5,3)))))</f>
        <v>3</v>
      </c>
      <c r="BV196">
        <f t="shared" si="385"/>
        <v>3</v>
      </c>
      <c r="BW196">
        <f>IFERROR(N(VLOOKUP(AX196,Потребители_обозначение,10,FALSE)),0)</f>
        <v>0</v>
      </c>
      <c r="BX196">
        <f>IFERROR(VLOOKUP(AX196,Потребители_обозначение,5,FALSE),0)</f>
        <v>1</v>
      </c>
      <c r="BY196" s="6" cm="1">
        <f t="array" ref="BY196">IF(B196="","",IF(BC196&lt;&gt;"",IFERROR(_xlfn.XLOOKUP(BC196,Щиты[Щит],Щиты[cos φ]),0.95),IF(BK196=1,IFERROR(_xlfn.XLOOKUP(A196,Щиты[Щит],Щиты[cos φ]),0.95),IF(ISNUMBER(Z196),Z196,IFERROR(IF(BX196=2,_xlfn.IFS(BR196=3,VLOOKUP(BN196,Справочная_двигатели,8,FALSE),BR196=1,VLOOKUP(BN196,Справочная_двигатели,10,TRUE)),IF(AND(Методика="нормы 2026",EQ196="Сил"),0.8,0.95)),0.95)))))</f>
        <v>0.95</v>
      </c>
      <c r="BZ196">
        <f t="shared" si="386"/>
        <v>0</v>
      </c>
      <c r="CA196">
        <f t="shared" si="387"/>
        <v>1</v>
      </c>
      <c r="CB196">
        <f t="shared" si="388"/>
        <v>0</v>
      </c>
      <c r="CC196">
        <f t="shared" si="389"/>
        <v>0</v>
      </c>
      <c r="CD196">
        <f t="shared" si="390"/>
        <v>0</v>
      </c>
      <c r="CE196">
        <f t="shared" si="391"/>
        <v>0</v>
      </c>
      <c r="CF196">
        <f t="shared" si="392"/>
        <v>0</v>
      </c>
      <c r="CG196">
        <f>IF(AX196="",0,_xlfn.LET(_xlpm.v,IFERROR(VLOOKUP(B196,УГО_спр,3,FALSE),IFERROR(VLOOKUP(AX196,УГО_спр,3,FALSE),IFERROR(VLOOKUP(LEFT(AX196,2),УГО_спр,3,FALSE),""))),IF(_xlpm.v="да",30,IF(ISNUMBER(_xlpm.v),_xlpm.v,0))))</f>
        <v>30</v>
      </c>
      <c r="CH196">
        <f t="shared" si="393"/>
        <v>30</v>
      </c>
      <c r="CI196" t="str">
        <f>_xlfn.LET(_xlpm.k,IFERROR(_xlfn.XLOOKUP(AX196,Коды_код,Коды_утечка)&amp;"",""),IF(_xlpm.k="","дифавтомат",_xlpm.k))</f>
        <v>дифавтомат</v>
      </c>
      <c r="CJ196">
        <f t="shared" si="394"/>
        <v>30</v>
      </c>
      <c r="CK196">
        <f t="shared" si="395"/>
        <v>30</v>
      </c>
      <c r="CL196">
        <f>IF(B196="",0,IFERROR(--VLOOKUP(B196,УГО_спр,4,FALSE),IFERROR(--VLOOKUP(AX196,УГО_спр,4,FALSE),IFERROR(--VLOOKUP(LEFT(AX196,2),УГО_спр,4,FALSE),0))))</f>
        <v>16</v>
      </c>
      <c r="CM196" t="str">
        <f>IF(B196="","",IFERROR(_xlfn.XLOOKUP(AX196,Коды_код,Коды_апп)&amp;"",""))</f>
        <v/>
      </c>
      <c r="CN196" t="str">
        <f t="shared" si="396"/>
        <v/>
      </c>
      <c r="CO196" t="str" cm="1">
        <f t="array" ref="CO196">IF(TRIM(CN196&amp;"")="","",IFERROR(TRIM(INDEX(_xlfn.TEXTSPLIT(CN196&amp;";;;",";"),1)),""))</f>
        <v/>
      </c>
      <c r="CP196" t="str" cm="1">
        <f t="array" ref="CP196">IF(TRIM(CN196&amp;"")="","",IFERROR(TRIM(INDEX(_xlfn.TEXTSPLIT(CN196&amp;";;;",";"),2)),""))</f>
        <v/>
      </c>
      <c r="CQ196" t="str" cm="1">
        <f t="array" ref="CQ196">IF(TRIM(CN196&amp;"")="","",IFERROR(TRIM(INDEX(_xlfn.TEXTSPLIT(CN196&amp;";;;",";"),3)),""))</f>
        <v/>
      </c>
      <c r="CR196">
        <f t="shared" si="397"/>
        <v>0</v>
      </c>
      <c r="CS196" t="str">
        <f>IF(B196="","",_xlfn.LET(_xlpm.t,LOWER(AV196&amp;""),IF(ISNUMBER(SEARCH("dim",_xlpm.t)),"DIM",IF(ISNUMBER(SEARCH("dali",_xlpm.t)),"DALI",IF(OR(ISNUMBER(SEARCH("relay",_xlpm.t)),ISNUMBER(SEARCH("реле",_xlpm.t))),"Relay",IF(ISNUMBER(SEARCH("кнопк",_xlpm.t)),"",IFERROR(_xlfn.XLOOKUP(AX196,Коды_код,Коды_упр)&amp;"","")))))))</f>
        <v/>
      </c>
      <c r="CT196" t="str">
        <f t="shared" si="398"/>
        <v/>
      </c>
      <c r="CU196">
        <f>IF(B196="","",_xlfn.LET(_xlpm.ig,N(P196)+IF(AF196="вручную",0,N(CB196)),_xlpm.n0,IFERROR(VLOOKUP(_xlpm.ig,Автомат_номиналы,2,TRUE),0),_xlpm.mn,MAX(CL196,IF(AF196="вручную",0,N(CE196))),MAX(_xlpm.n0,_xlpm.mn,IF(CR196=1,Мин_автомат_БП,0))))</f>
        <v>16</v>
      </c>
      <c r="CV196">
        <f t="shared" si="399"/>
        <v>1</v>
      </c>
      <c r="CW196" t="str">
        <f t="shared" si="400"/>
        <v>2P</v>
      </c>
      <c r="CX196" t="str">
        <f>_xlfn.LET(_xlpm.cc,UPPER(TRIM(IFERROR(_xlfn.XLOOKUP(AX196,Коды_код,Коды_хар)&amp;"",""))),IF(OR(_xlpm.cc="B",_xlpm.cc="В"),"B",IF(_xlpm.cc="D","D","С")))</f>
        <v>С</v>
      </c>
      <c r="CY196" t="str">
        <f t="shared" si="401"/>
        <v>2P С16А 30мА</v>
      </c>
      <c r="CZ196" t="str">
        <f t="shared" si="402"/>
        <v>2P С16А 30мА</v>
      </c>
      <c r="DA196" t="str">
        <f t="shared" si="403"/>
        <v>2P С16А 30мА</v>
      </c>
      <c r="DB196" cm="1">
        <f t="array" ref="DB196">IF(DA196="","",_xlfn.LET(_xlpm.t,SUBSTITUTE(SUBSTITUTE(SUBSTITUTE(UPPER(DA196),"С","C"),"А","A"),"В","B"),_xlpm.tk,_xlfn.TEXTSPLIT(_xlpm.t,"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6" t="str">
        <f t="shared" si="404"/>
        <v>ok</v>
      </c>
      <c r="DD196">
        <f t="shared" si="405"/>
        <v>16</v>
      </c>
      <c r="DE196" t="str">
        <f t="shared" si="406"/>
        <v>2P С16А 30мА</v>
      </c>
      <c r="DF196">
        <f t="shared" si="407"/>
        <v>30</v>
      </c>
      <c r="DG196">
        <f t="shared" si="408"/>
        <v>1</v>
      </c>
      <c r="DH196">
        <f t="shared" si="409"/>
        <v>0</v>
      </c>
      <c r="DI196">
        <f t="shared" si="410"/>
        <v>10.027662570135606</v>
      </c>
      <c r="DJ196">
        <f t="shared" si="411"/>
        <v>1</v>
      </c>
      <c r="DK196">
        <f>IF(ISNUMBER(AL196),AL196,К_прокл)</f>
        <v>1</v>
      </c>
      <c r="DL196">
        <f t="shared" si="412"/>
        <v>2</v>
      </c>
      <c r="DM196">
        <f>IFERROR(N(VLOOKUP(BT196,Кабель_обозначение,3,FALSE)),1)</f>
        <v>1</v>
      </c>
      <c r="DN196">
        <f>IFERROR(N(_xlfn.XLOOKUP(A196,Щиты[Щит],Щиты[ΔU до шин, %])),0)</f>
        <v>0.43</v>
      </c>
      <c r="DO196" t="str">
        <f>IFERROR(_xlfn.XLOOKUP(A196,Щиты[Щит],Щиты[Zпетли на шинах, Ом]),"")</f>
        <v/>
      </c>
      <c r="DP196">
        <f>IFERROR(N(_xlfn.XLOOKUP(A196,Щиты[Щит],Щиты[ΔU до шин (подбор), %])),0)</f>
        <v>0.43</v>
      </c>
      <c r="DQ196" t="str">
        <f>IFERROR(_xlfn.XLOOKUP(A196,Щиты[Щит],Щиты[Zпетли на шинах (подбор), Ом]),"")</f>
        <v/>
      </c>
      <c r="DR196" t="str">
        <f t="shared" si="413"/>
        <v/>
      </c>
      <c r="DS196">
        <f t="shared" si="414"/>
        <v>26</v>
      </c>
      <c r="DT196">
        <f t="shared" si="415"/>
        <v>2</v>
      </c>
      <c r="DU196">
        <f t="shared" si="416"/>
        <v>0.31</v>
      </c>
      <c r="DV196" s="6">
        <f>IF(B196="","",IF(IFERROR(VLOOKUP(AX196,УГО_спр,2,FALSE),"")="Светильник",3,4)+IF(Методика="нормы 2026",MIN(0.5,MAX(0,N(Q196)-100)*0.005),0))</f>
        <v>4</v>
      </c>
      <c r="DW196" cm="1">
        <f t="array" ref="DW196">IF(OR(B196="",BT196="",DM196&lt;&gt;1),"",_xlfn.LET(_xlpm.sz,Iдоп_S,_xlpm.t_,CHOOSE(DL196,Iдоп_1ж,Iдоп_2ж,Iдоп_3ж)*DJ196*DK196,_xlpm.inn,N(DD196),_xlpm.smin,MAX(1.5,BW196),_xlpm.L_,N(Q196)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196)*(_xlpm.rho*_xlpm.L_/_xlpm.sz*N(BY196)+_xlpm.xx*_xlpm.L_*N(DU196)/1000)*N(P196)/((Uн_лин/SQRT(3))*1000)*100,999),_xlpm.kz,IF(OR(DG196=1,NOT(ISNUMBER(DQ196)),_xlpm.L_=0,_xlpm.inn=0),1,IFERROR(--(c_min*(Uн_лин*1000/SQRT(3))/(DQ196+2*ρкз_Cu*_xlpm.L_/_xlpm.sz)&gt;=GY196*_xlpm.inn),0)),_xlpm.ok,IFERROR((_xlpm.sz&gt;=_xlpm.smin)*(_xlpm.t_&gt;=_xlpm.inn)*IF(_xlpm.L_&gt;0,(_xlpm.du_+DP196&lt;=DV196+0.00001),1)*_xlpm.kz,0),_xlpm.r_,_xlfn._xlws.FILTER(_xlpm.sz,_xlpm.ok,"не подобрано"),INDEX(_xlpm.r_,1)))</f>
        <v>2.5</v>
      </c>
      <c r="DX196">
        <f t="shared" si="417"/>
        <v>2.5</v>
      </c>
      <c r="DY196" cm="1">
        <f t="array" ref="DY196">IF(OR(B196="",BT196="",DM196&lt;&gt;1),"",_xlfn.LET(_xlpm.sz,Iдоп_S,_xlpm.t_,CHOOSE(DL196,Iдоп_1ж,Iдоп_2ж,Iдоп_3ж)*DJ196*DK196,_xlpm.ok,IFERROR((_xlpm.sz&gt;=MAX(1.5,BW196))*(_xlpm.t_&gt;=N(DD196)),0),_xlpm.r_,_xlfn._xlws.FILTER(_xlpm.sz,_xlpm.ok,""),INDEX(_xlpm.r_,1)))</f>
        <v>1.5</v>
      </c>
      <c r="DZ196" s="6" cm="1">
        <f t="array" ref="DZ196">IFERROR(ROUNDUP(N(DT196)*(_xlfn.XLOOKUP(DY196,INDEX(Кабель_сопротивление,0,1),INDEX(Кабель_сопротивление,0,3))*N(Q196)/DY196*N(BY196)+_xlfn.XLOOKUP(DY196,INDEX(Кабель_сопротивление,0,1),INDEX(Кабель_сопротивление,0,2))*N(Q196)*N(DU196)/1000)*N(P196)/((Uн_лин/SQRT(3))*1000)*100,2),"")</f>
        <v>3.5999999999999996</v>
      </c>
      <c r="EA196">
        <f>IFERROR(2*ρкз_Cu*N(Q196)/DY196,"")</f>
        <v>1.0169333333333335</v>
      </c>
      <c r="EB196">
        <f>IFERROR(VLOOKUP(DX196,Кабель_сопротивление,3,FALSE),"")</f>
        <v>2.2499999999999999E-2</v>
      </c>
      <c r="EC196">
        <f>IFERROR(VLOOKUP(DX196,Кабель_сопротивление,2,FALSE),"")</f>
        <v>0.1</v>
      </c>
      <c r="ED196">
        <f t="shared" si="418"/>
        <v>17</v>
      </c>
      <c r="EE196">
        <f t="shared" si="419"/>
        <v>0</v>
      </c>
      <c r="EF196">
        <f t="shared" si="420"/>
        <v>4.9907476058313511</v>
      </c>
      <c r="EG196" s="6">
        <f>IFERROR(ROUNDUP(EF196/((Uн_лин/SQRT(3))*1000)*100,2),"")</f>
        <v>2.17</v>
      </c>
      <c r="EH196" t="str">
        <f>IFERROR(VLOOKUP(BT196,Кабель_обозначение,2,FALSE),"")</f>
        <v>ВВГнг(А)-LS</v>
      </c>
      <c r="EI196" t="str">
        <f t="shared" si="421"/>
        <v>ВВГнг(А)-LS (3х2,5)</v>
      </c>
      <c r="EJ196" t="str">
        <f t="shared" si="422"/>
        <v>ВВГнг(А)-LS (3х2,5)
L=29-2,17%</v>
      </c>
      <c r="EK196">
        <f>IFERROR(2*ρкз_Cu*Q196/DX196,"")</f>
        <v>0.61016000000000004</v>
      </c>
      <c r="EL196">
        <f t="shared" si="423"/>
        <v>0.20300000000000001</v>
      </c>
      <c r="EM196" s="6" t="str">
        <f>IFERROR(IF(OR(B196="",NOT(ISNUMBER(DX196)),N(Q196)=0),"",_xlfn.XLOOKUP(A196,Щиты[Щит],Щиты[Zпетли на шинах, Ом])+EK196),"")</f>
        <v/>
      </c>
      <c r="EN196" s="6" t="str">
        <f>IF(ISNUMBER(EM196),c_min*(Uн_лин*1000/SQRT(3))/EM196,"")</f>
        <v/>
      </c>
      <c r="EO196" s="6" t="str">
        <f>IFERROR(IF(OR(B196="",NOT(ISNUMBER(DX196))),"",1.05*(Uн_лин*1000/SQRT(3))/(_xlfn.XLOOKUP(A196,Щиты[Щит],Щиты[Zmax на шинах, Ом])+EL196)/1000),"")</f>
        <v/>
      </c>
      <c r="EP196" s="6" t="str">
        <f>IF(B196="","",IF(ISNUMBER(Y196),"Сил",IF(IFERROR(_xlfn.XLOOKUP(AX196,Коды_код,Коды_группа)&amp;"","")="","Быт",_xlfn.XLOOKUP(AX196,Коды_код,Коды_группа)&amp;"")))</f>
        <v>Быт</v>
      </c>
      <c r="EQ196" s="6" t="str">
        <f t="shared" si="424"/>
        <v>Быт</v>
      </c>
      <c r="ER196" s="6">
        <f>IF(EQ196="Щит","щит",IF(EQ196="","",IF(EQ196="Быт",IFERROR(_xlfn.XLOOKUP(A196,Щиты[Щит],Щиты[Кс быт]),1),IF(EQ196="Сил",IF(ISNUMBER(Y196),Y196,IF(Методика="нормы 2026",IFERROR(_xlfn.XLOOKUP(A196,Щиты[Щит],Щиты[Кс силовых (табл. 7.5)]),1),1)),IF(OR(EQ196="Пост",EQ196="Отоп"),1,IF(EQ196="ВНГ",0.7,0))))))</f>
        <v>0.79799999999999993</v>
      </c>
      <c r="ES196">
        <f t="shared" si="425"/>
        <v>1</v>
      </c>
      <c r="ET196">
        <f t="shared" si="426"/>
        <v>2.2000000000000002</v>
      </c>
      <c r="EU196">
        <f t="shared" si="427"/>
        <v>2.2000000000000002</v>
      </c>
      <c r="EV196">
        <f t="shared" si="428"/>
        <v>0</v>
      </c>
      <c r="EW196">
        <f t="shared" si="429"/>
        <v>0</v>
      </c>
      <c r="EX196">
        <f t="shared" si="430"/>
        <v>0</v>
      </c>
      <c r="EY196">
        <f t="shared" si="431"/>
        <v>0</v>
      </c>
      <c r="EZ196">
        <f t="shared" si="432"/>
        <v>2.2000000000000002</v>
      </c>
      <c r="FA196">
        <f t="shared" si="433"/>
        <v>2.09</v>
      </c>
      <c r="FB196">
        <f t="shared" si="434"/>
        <v>2.2000000000000002</v>
      </c>
      <c r="FC196" t="str">
        <f t="shared" si="435"/>
        <v>L3</v>
      </c>
      <c r="FD196" t="str">
        <f>IF(B196="","",IF(CA196=0,IF(AW196=1,"",FF195),IF(OR(N(CV196)&gt;=3,N(BR196)&gt;=3),"L1,L2,L3",IFERROR(_xlfn.TEXTBEFORE(_xlfn.TEXTAFTER(_xlfn.XLOOKUP(A196,Щиты[Щит],Щиты[_фазы авто]),";"&amp;AW196&amp;":"),";"),"L1"))))</f>
        <v>L1</v>
      </c>
      <c r="FE196" t="str">
        <f t="shared" si="436"/>
        <v>L3</v>
      </c>
      <c r="FF196" t="str">
        <f t="shared" si="437"/>
        <v>L3</v>
      </c>
      <c r="FG196" cm="1">
        <f t="array" ref="FG196">IFERROR(IF(BX196=2,_xlfn.IFS(BR196=3,VLOOKUP(BN196,Справочная_двигатели,3,FALSE),BR196=1,VLOOKUP(BN196,Справочная_двигатели,5,TRUE)),0),0)</f>
        <v>0</v>
      </c>
      <c r="FH196">
        <f>IFERROR(IF(BX196=3,VLOOKUP(BN196,Справочная_ЛЭД,2,TRUE),0),0)</f>
        <v>0</v>
      </c>
      <c r="FI196" s="6">
        <f t="shared" si="438"/>
        <v>0</v>
      </c>
      <c r="FJ196" t="str" cm="1">
        <f t="array" ref="FJ196">IF(B196="","",IFERROR(INDEX({"I особая","I","II","III"},MATCH(TRIM(AC196&amp;""),{"I особая","I","II","III"},0)),"III"))</f>
        <v>II</v>
      </c>
      <c r="FK196" t="str">
        <f>IF(B196="","",IF(TRIM(AD196&amp;"")&lt;&gt;"",IF(LOWER(TRIM(AD196&amp;""))="да","да","нет"),IF(IFERROR(_xlfn.XLOOKUP(AX196,Коды_код,Коды_пожарная),"")="да","да","нет")))</f>
        <v>нет</v>
      </c>
      <c r="FL196" t="str">
        <f t="shared" si="439"/>
        <v/>
      </c>
      <c r="FM196" t="str">
        <f t="shared" si="440"/>
        <v>основная</v>
      </c>
      <c r="FN196">
        <f t="shared" si="441"/>
        <v>1</v>
      </c>
      <c r="FO196" t="str" cm="1">
        <f t="array" ref="FO196">IF(B196="","",_xlfn.LET(_xlpm.t,IFERROR(_xlfn.XLOOKUP(1,(Шины[Шина]=FM196)*(((Шины[Щит]=A196)+(Шины[Щит]=""))&gt;0),Шины[Тип]),"")&amp;"",IF(_xlpm.t&lt;&gt;"",_xlpm.t,IF(ISNUMBER(SEARCH("ИБП",FM196)),"ИБП",IF(ISNUMBER(SEARCH("ДГУ",FM196)),"ДГУ","Ввод "&amp;FN196)))))</f>
        <v>Ввод 1</v>
      </c>
      <c r="FP196" t="str">
        <f t="shared" si="442"/>
        <v>Ввод 1</v>
      </c>
      <c r="FQ196" t="str">
        <f>IF(B196="","",IF(OR(FO196="ИБП",FO196="ДГУ"),"I особая",IF(FO196="Одиночная","III",_xlfn.XLOOKUP(A196,Щиты[Щит],Щиты[Категория шины «Ввод»],"III"))))</f>
        <v>II</v>
      </c>
      <c r="FR196">
        <f>IF(B196="",0,IFERROR(MATCH(FJ196,{"III","II","I","I особая"},0),1))</f>
        <v>2</v>
      </c>
      <c r="FS196">
        <f t="shared" si="443"/>
        <v>2</v>
      </c>
      <c r="FT196" t="str">
        <f>IF(B196="","",IF(FR196&gt;IFERROR(MATCH(FQ196,{"III","II","I","I особая"},0),1),"НЕ ОБЕСПЕЧЕНА","ОК"))</f>
        <v>ОК</v>
      </c>
      <c r="FU196" t="str">
        <f>IF(A196="","",_xlfn.XLOOKUP(A196,Щиты[Щит],Щиты[Путь],""))</f>
        <v>|ГРЩ-ЖД|ЩР-01|</v>
      </c>
      <c r="FV196" t="str">
        <f>IF(B196="","",IF(AE196&lt;&gt;"",AE196,IF(IFERROR(_xlfn.XLOOKUP(AX196,Коды_код,Коды_вид)&amp;"","")="","Прочее",_xlfn.XLOOKUP(AX196,Коды_код,Коды_вид)&amp;"")))</f>
        <v>Розеточная сеть и бытовые приборы</v>
      </c>
      <c r="FW196">
        <f>IF(BH196="","",INT((BH196-1)/Столбцов_на_лист)+1)</f>
        <v>2</v>
      </c>
      <c r="FX196" t="str">
        <f t="shared" si="444"/>
        <v>ВВГнг(А)-LS (3х2,5) L=29-2,17%</v>
      </c>
      <c r="FY196">
        <f t="shared" si="445"/>
        <v>2.2000000000000002</v>
      </c>
      <c r="FZ196">
        <f t="shared" si="446"/>
        <v>10.029999999999999</v>
      </c>
      <c r="GA196">
        <f t="shared" si="447"/>
        <v>1</v>
      </c>
      <c r="GB196">
        <f t="shared" si="448"/>
        <v>0</v>
      </c>
      <c r="GC196">
        <f t="shared" si="449"/>
        <v>1</v>
      </c>
      <c r="GD196">
        <f>IF(BH196="","",IF(AND(CA196=1,GC196=1),COUNTIFS(A$3:A196,A196,CA$3:CA196,1,GC$3:GC196,1),IF(OR(OR(AW196=1,A196&lt;&gt;A195),AF196="вручную",GC196=0),"",IF(AW196=1,"",GE195))))</f>
        <v>12</v>
      </c>
      <c r="GE196">
        <f t="shared" si="450"/>
        <v>12</v>
      </c>
      <c r="GF196">
        <f>IF(B196="","",IFERROR(LOOKUP(INDEX(CHOOSE(DL196,Iдоп_1ж,Iдоп_2ж,Iдоп_3ж),MATCH(DX196,Iдоп_S,0))*DJ196*DK196,{6,10,16,20,25,32,40,50,63,80,100,125,160,200,250,315,400,500,630}),""))</f>
        <v>25</v>
      </c>
      <c r="GG196" t="str">
        <f t="shared" si="451"/>
        <v>QFD12</v>
      </c>
      <c r="GH196" t="str">
        <f t="shared" si="452"/>
        <v>QFD12</v>
      </c>
      <c r="GI196" t="str">
        <f t="shared" si="453"/>
        <v/>
      </c>
      <c r="GJ196">
        <f t="shared" si="454"/>
        <v>0</v>
      </c>
      <c r="GK196" t="str">
        <f>IF(OR(AG196="",AG196="-"),"",IFERROR(VLOOKUP(AG196,Модули_спр,2,FALSE),"R"))</f>
        <v/>
      </c>
      <c r="GL196" t="str">
        <f>IF(GK196="","",GK196&amp;"."&amp;COUNTIFS(A$3:A196,A196,GK$3:GK196,GK196))</f>
        <v/>
      </c>
      <c r="GM196" t="str">
        <f t="shared" si="455"/>
        <v/>
      </c>
      <c r="GN196" t="str">
        <f t="shared" si="456"/>
        <v/>
      </c>
      <c r="GO196" t="str">
        <f t="shared" si="457"/>
        <v/>
      </c>
      <c r="GP196" t="str">
        <f t="shared" si="458"/>
        <v/>
      </c>
      <c r="GQ196">
        <f t="shared" si="459"/>
        <v>1</v>
      </c>
      <c r="GR196" t="str">
        <f>IF(GQ196=1,"XT"&amp;COUNTIFS(A$3:A196,A196,GQ$3:GQ196,1),"")</f>
        <v>XT12</v>
      </c>
      <c r="GS196" t="str">
        <f t="shared" si="460"/>
        <v/>
      </c>
      <c r="GT196" t="str">
        <f t="shared" si="461"/>
        <v>QFD12</v>
      </c>
      <c r="GU196" t="str">
        <f t="shared" si="462"/>
        <v/>
      </c>
      <c r="GV196" t="str">
        <f t="shared" si="463"/>
        <v>ok</v>
      </c>
      <c r="GW196" t="str">
        <f>IF(OR(GO196="",GM196=""),"",IF(GO196&gt;IFERROR(VLOOKUP(GN196,Модули_спр,3,FALSE),99),"ЛИШНИЙ КАНАЛ",IF(AND(AH196&lt;&gt;"=",COUNTIFS(Линии[_модуль гр.],GM196,Линии[Канал (итог)],GO196,Линии[Канал],"&lt;&gt;=",Линии[Щит],A196)&gt;1),"ДУБЛЬ КАНАЛА","")))</f>
        <v/>
      </c>
      <c r="GX196" s="6" t="str">
        <f t="shared" si="464"/>
        <v/>
      </c>
      <c r="GY196">
        <f t="shared" si="465"/>
        <v>10</v>
      </c>
      <c r="GZ196" t="str">
        <f t="shared" si="466"/>
        <v/>
      </c>
      <c r="HA196" t="str">
        <f>IF(AND(B196="",GT196=""),"",_xlfn.TEXTJOIN("; ",TRUE,IF(AND(B196&lt;&gt;"",FE196=""),"нет фазы",""),IF(AND(B196&lt;&gt;"",N(FY196)=0,EQ196&lt;&gt;"Нет"),"нет мощности",""),IF(AND(GS196&lt;&gt;"",COUNTIFS(Линии[Щит],A196,Линии[Клемма (итог)],GS196)&gt;1),"дубль клеммы "&amp;GS196,""),IF(AND(GV196&lt;&gt;"",GV196&lt;&gt;"ok"),GV196,""),IF(GW196&lt;&gt;"",GW196,""),IF(AND(N(BV196)&gt;=4,N(BR196)=1),BV196&amp;" жил на 1 фазе",""),IF(AND(AX196="R",CA196=1,OR(N(CK196)=0,N(CK196)&gt;30)),"розетка без дифзащиты до 30 мА",""),IFERROR(IF(AND(ISNUMBER(R196),R196&gt;DV196),"потери "&amp;FIXED(R196,1)&amp;" % &gt; "&amp;DV196&amp;" %",""),""),IFERROR(IF(LEFT(GZ196,4)="мало","Iкз мало — отключение &gt; 0,4 с",""),""),IF(AND(B196&lt;&gt;"",BH196=""),"не на схеме",""),IF(AND(CA196=0,B196&lt;&gt;"",FE196&lt;&gt;"",IF(AW196=1,"",FF195)&lt;&gt;"",FE196&lt;&gt;IF(AW196=1,"",FF195)),"фаза не как у автомата группы ("&amp;IF(AW196=1,"",FF195)&amp;")","")))</f>
        <v/>
      </c>
      <c r="HB196" s="6">
        <f>IF(OR(CA196=0,DA196=""),"",_xlfn.LET(_xlpm.t,IFERROR(_xlfn.XLOOKUP(DA196,Каталог!$U$4:$U$500,Каталог!$G$4:$G$500),""),_xlpm.k,SEARCH("кА",_xlpm.t),IFERROR(--TRIM(RIGHT(SUBSTITUTE(MID(_xlpm.t,MAX(1,_xlpm.k-4),_xlpm.k-MAX(1,_xlpm.k-4))," ",REPT(" ",9)),5)),"")))</f>
        <v>6</v>
      </c>
      <c r="HC196" t="str">
        <f>IF(OR(HB196="",CA196=0),"",IF(_xlfn.XLOOKUP(A196,Щиты[Щит],Щиты[Iкз max на шинах, кА],"")="","",IF(HB196&lt;_xlfn.XLOOKUP(A196,Щиты[Щит],Щиты[Iкз max на шинах, кА]),"Icu "&amp;HB196&amp;" кА &lt; Iкз max","ok")))</f>
        <v/>
      </c>
      <c r="HD196" t="str">
        <f t="shared" si="467"/>
        <v/>
      </c>
      <c r="HE196" t="str">
        <f t="shared" si="468"/>
        <v>QFD12</v>
      </c>
      <c r="HF196" t="str">
        <f t="shared" si="469"/>
        <v>QFD12|кабель ВВГнг(А)-LS (3х2,5) → Розеточная группа Цокольный этаж Пом. №004Б Стиральная машина</v>
      </c>
      <c r="HG196" t="str" cm="1">
        <f t="array" ref="HG196">IF(HF196="","",_xlfn.LET(_xlpm.nd,_xlfn.TEXTSPLIT(HF196,"|"),IF(COLUMNS(_xlpm.nd)&gt;1,A196&amp;"¦"&amp;INDEX(_xlpm.nd,1)&amp;"¦"&amp;INDEX(_xlpm.nd,2),"")))</f>
        <v>ЩР-01¦QFD12¦кабель ВВГнг(А)-LS (3х2,5) → Розеточная группа Цокольный этаж Пом. №004Б Стиральная машина</v>
      </c>
      <c r="HH196" t="str">
        <f t="shared" si="470"/>
        <v>R.0.004Б.3¦Розеточная группа Цокольный этаж Пом. №004Б Стиральная машина</v>
      </c>
      <c r="HI196" t="str" cm="1">
        <f t="array" ref="HI196">IF(HF196="","",_xlfn.LET(_xlpm.nd,_xlfn.TEXTSPLIT(HF196,"|"),IF(COLUMNS(_xlpm.nd)&gt;2,A196&amp;"¦"&amp;INDEX(_xlpm.nd,2)&amp;"¦"&amp;INDEX(_xlpm.nd,3),"")))</f>
        <v/>
      </c>
      <c r="HJ196" t="str">
        <f t="shared" si="471"/>
        <v/>
      </c>
      <c r="HK196" t="str" cm="1">
        <f t="array" ref="HK196">IF(HF196="","",_xlfn.LET(_xlpm.nd,_xlfn.TEXTSPLIT(HF196,"|"),IF(COLUMNS(_xlpm.nd)&gt;3,A196&amp;"¦"&amp;INDEX(_xlpm.nd,3)&amp;"¦"&amp;INDEX(_xlpm.nd,4),"")))</f>
        <v/>
      </c>
      <c r="HL196" t="str">
        <f t="shared" si="472"/>
        <v/>
      </c>
      <c r="HM196" t="str" cm="1">
        <f t="array" ref="HM196">IF(HF196="","",_xlfn.LET(_xlpm.nd,_xlfn.TEXTSPLIT(HF196,"|"),IF(COLUMNS(_xlpm.nd)&gt;4,A196&amp;"¦"&amp;INDEX(_xlpm.nd,4)&amp;"¦"&amp;INDEX(_xlpm.nd,5),"")))</f>
        <v/>
      </c>
      <c r="HN196" t="str">
        <f t="shared" si="473"/>
        <v/>
      </c>
      <c r="HO196" t="str" cm="1">
        <f t="array" ref="HO196">IF(HF196="","",_xlfn.LET(_xlpm.nd,_xlfn.TEXTSPLIT(HF196,"|"),IF(COLUMNS(_xlpm.nd)&gt;5,A196&amp;"¦"&amp;INDEX(_xlpm.nd,5)&amp;"¦"&amp;INDEX(_xlpm.nd,6),"")))</f>
        <v/>
      </c>
      <c r="HP196" t="str">
        <f t="shared" si="474"/>
        <v/>
      </c>
      <c r="HQ196" t="str" cm="1">
        <f t="array" ref="HQ196">IF(HF196="","",_xlfn.LET(_xlpm.nd,_xlfn.TEXTSPLIT(HF196,"|"),IF(COLUMNS(_xlpm.nd)&gt;6,A196&amp;"¦"&amp;INDEX(_xlpm.nd,6)&amp;"¦"&amp;INDEX(_xlpm.nd,7),"")))</f>
        <v/>
      </c>
      <c r="HR196" t="str">
        <f t="shared" si="475"/>
        <v/>
      </c>
      <c r="HS196" t="str">
        <f t="shared" si="476"/>
        <v/>
      </c>
      <c r="HT196" t="str">
        <f t="shared" si="477"/>
        <v>QFD12</v>
      </c>
      <c r="HU196">
        <f t="shared" si="478"/>
        <v>0</v>
      </c>
      <c r="HV196">
        <f t="shared" si="479"/>
        <v>1</v>
      </c>
      <c r="HW196" t="str">
        <f t="shared" si="480"/>
        <v/>
      </c>
      <c r="HX196" t="str">
        <f t="shared" si="481"/>
        <v/>
      </c>
      <c r="HY196" t="str">
        <f t="shared" si="482"/>
        <v/>
      </c>
      <c r="HZ196" t="str">
        <f t="shared" si="483"/>
        <v/>
      </c>
      <c r="IA196" t="str">
        <f>IF(B196="","",IFERROR(VLOOKUP(B196,УГО_спр,2,FALSE),IFERROR(VLOOKUP(AX196,УГО_спр,2,FALSE),IFERROR(VLOOKUP(LEFT(AX196,2),УГО_спр,2,FALSE),""))))</f>
        <v>Розетка</v>
      </c>
      <c r="IB196" t="str">
        <f>IF(B196="","",IF(OR(IA196="",IA196=0),"BOX",IFERROR(IF(VLOOKUP(IA196,УГО_блоки,3,FALSE)&amp;""&lt;&gt;"",VLOOKUP(IA196,УГО_блоки,3,FALSE),VLOOKUP(IA196,УГО_блоки,2,FALSE)),IA196)))</f>
        <v>SOCKET</v>
      </c>
      <c r="IC196">
        <f t="shared" si="484"/>
        <v>1</v>
      </c>
      <c r="ID196" t="str">
        <f>IF(DA196="","",IF(COUNTIF(DA$3:DA196,DA196)=1,MAX(ID$2:ID195)+1,""))</f>
        <v/>
      </c>
      <c r="IE196" t="str">
        <f>IF(CO196="","",IF(COUNTIF(CO$3:CO196,CO196)+COUNTIF(CP$2:CP195,CO196)+COUNTIF(CQ$2:CQ195,CO196)=1,MAX(IE$2:IG195)+1,""))</f>
        <v/>
      </c>
      <c r="IF196" t="str">
        <f>IF(CP196="","",IF(COUNTIF(CO$3:CO196,CP196)+COUNTIF(CP$3:CP196,CP196)+COUNTIF(CQ$2:CQ195,CP196)=1,MAX(IE$2:IG195,IE196)+1,""))</f>
        <v/>
      </c>
      <c r="IG196" t="str">
        <f>IF(CQ196="","",IF(COUNTIF(CO$3:CO196,CQ196)+COUNTIF(CP$3:CP196,CQ196)+COUNTIF(CQ$3:CQ196,CQ196)=1,MAX(IE$2:IG195,IE196,IF196)+1,""))</f>
        <v/>
      </c>
      <c r="IH196" t="str">
        <f t="shared" si="485"/>
        <v>3х2,5</v>
      </c>
      <c r="II196" t="str">
        <f>IF(IH196="","",IF(COUNTIF(IH$3:IH196,IH196)=1,MAX(II$2:II195)+1,""))</f>
        <v/>
      </c>
      <c r="IJ196" t="str">
        <f>IF(GL196="","",COUNTIF(GL$3:GL196,"?*"))</f>
        <v/>
      </c>
      <c r="IK196" t="str">
        <f>IF(OR(GL196="",GN196=""),"",IF(COUNTIFS(GL$3:GL196,"?*",GN$3:GN196,GN196)=1,MAX(IK$2:IK195)+1,""))</f>
        <v/>
      </c>
      <c r="IL196">
        <f t="shared" si="486"/>
        <v>0</v>
      </c>
      <c r="IM196">
        <f>IF(B196="","",COUNTIF(B$3:B196,"?*"))</f>
        <v>194</v>
      </c>
      <c r="IN196">
        <f>IF(GQ196&lt;&gt;1,0,_xlfn.LET(_xlpm.k,MAX(IFERROR(--VLOOKUP(B196,УГО_спр,5,FALSE),0),IFERROR(--VLOOKUP(AX196,УГО_спр,5,FALSE),0),IFERROR(--VLOOKUP(LEFT(AX196,2),УГО_спр,5,FALSE),0)),IF(_xlpm.k&gt;0,_xlpm.k,IF(IFERROR(--LEFT(SUBSTITUTE(IH196,"x","х"),FIND("х",SUBSTITUTE(IH196,"x","х"))-1),3)&gt;3,Каталог!$S$9,1))))</f>
        <v>1</v>
      </c>
      <c r="IO196">
        <f t="shared" si="487"/>
        <v>0</v>
      </c>
      <c r="IP196" t="str">
        <f t="shared" si="488"/>
        <v>авто</v>
      </c>
      <c r="IQ196">
        <f t="shared" si="489"/>
        <v>30</v>
      </c>
      <c r="IR196">
        <f t="shared" si="490"/>
        <v>1</v>
      </c>
      <c r="IS196">
        <f t="shared" si="491"/>
        <v>1</v>
      </c>
    </row>
    <row r="197" spans="1:253" x14ac:dyDescent="0.3">
      <c r="A197" t="s">
        <v>757</v>
      </c>
      <c r="B197" t="s">
        <v>1463</v>
      </c>
      <c r="C197" t="str">
        <f>Линии[[#This Row],[_авто наименование]]</f>
        <v>Розеточная группа, пом. 006A</v>
      </c>
      <c r="D197">
        <v>3</v>
      </c>
      <c r="E197">
        <v>0.18</v>
      </c>
      <c r="G197" t="str">
        <f>Линии[[#This Row],[_авто автомат]]</f>
        <v>2P С16А 30мА</v>
      </c>
      <c r="H197">
        <f>Линии[[#This Row],[_авто утечка]]</f>
        <v>30</v>
      </c>
      <c r="I197" t="str">
        <f>Линии[[#This Row],[_авто управление]]</f>
        <v/>
      </c>
      <c r="J197" t="str">
        <f>Линии[[#This Row],[_авто аппараты]]</f>
        <v/>
      </c>
      <c r="K197">
        <v>2.5</v>
      </c>
      <c r="L197">
        <v>46</v>
      </c>
      <c r="M197">
        <v>2</v>
      </c>
      <c r="N197" t="s">
        <v>486</v>
      </c>
      <c r="O197" t="str">
        <f t="shared" si="369"/>
        <v/>
      </c>
      <c r="P197" s="6" cm="1">
        <f t="array" ref="P197">IF(B197="","",IF(BC197&lt;&gt;"",IFERROR(_xlfn.XLOOKUP(BC197,Щиты[Щит],Щиты[Iр, А]),""),IF(BK197=1,IFERROR(_xlfn.XLOOKUP(A197,Щиты[Щит],Щиты[Iр, А]),""),IFERROR(_xlfn.IFS(BR197=1,BN197/((Uн_лин/SQRT(3))*BY197),BR197=3,BN197/(SQRT(3)*Uн_лин*BY197)),""))))</f>
        <v>0.8204451193747313</v>
      </c>
      <c r="Q197" s="7">
        <f>IF(B197="","",IFERROR(IF(VLOOKUP(AX197,Потребители_обозначение,4,FALSE)=1,VLOOKUP(AX197,Потребители_обозначение,3,FALSE)*(D197*2-1)+DS197+VLOOKUP(AZ197,Этаж_обозначение,3,FALSE)+VLOOKUP(AZ197,Этаж_обозначение,4,FALSE),VLOOKUP(AX197,Потребители_обозначение,3,FALSE)*(D197*2-1)+DS197),DS197))</f>
        <v>61</v>
      </c>
      <c r="R197" s="6">
        <f t="shared" si="370"/>
        <v>0.81</v>
      </c>
      <c r="S197" t="str">
        <f t="shared" si="371"/>
        <v>ВВГнг(А)-LS (3х2,5)</v>
      </c>
      <c r="T197" t="str">
        <f>IF(BH197="","",IF(BI197="вводной узел","узел ","")&amp;"л."&amp;(INT((BH197-1)/Столбцов_на_лист)+1)&amp;" / "&amp;(MOD(BH197-1,Столбцов_на_лист)+1))</f>
        <v>л.2 / 15</v>
      </c>
      <c r="V197">
        <v>1</v>
      </c>
      <c r="W197">
        <v>230</v>
      </c>
      <c r="X197" t="s">
        <v>564</v>
      </c>
      <c r="AC197" t="s">
        <v>815</v>
      </c>
      <c r="AE197" t="s">
        <v>563</v>
      </c>
      <c r="AI197">
        <v>32</v>
      </c>
      <c r="AJ197" t="s">
        <v>11</v>
      </c>
      <c r="AK197">
        <v>3</v>
      </c>
      <c r="AM197">
        <v>15</v>
      </c>
      <c r="AN197">
        <v>39</v>
      </c>
      <c r="AO197">
        <v>7</v>
      </c>
      <c r="AW197" cm="1">
        <f t="array" ref="AW197">ROW()-ROW(Линии[#Headers])</f>
        <v>195</v>
      </c>
      <c r="AX197" s="6" t="str">
        <f t="shared" si="372"/>
        <v>R</v>
      </c>
      <c r="AY197" t="str">
        <f t="shared" si="373"/>
        <v>0.006A.1</v>
      </c>
      <c r="AZ197" t="str">
        <f t="shared" si="374"/>
        <v>0</v>
      </c>
      <c r="BA197" t="str">
        <f t="shared" si="375"/>
        <v>006A.1</v>
      </c>
      <c r="BB197" t="str">
        <f t="shared" si="376"/>
        <v>006A</v>
      </c>
      <c r="BC197" t="str">
        <f>IF(U197&lt;&gt;"",U197,IF(AND(B197&lt;&gt;"",B197&lt;&gt;A197,ISNUMBER(_xlfn.XMATCH(B197,Щиты[Щит]))),B197,""))</f>
        <v/>
      </c>
      <c r="BD197" t="str" cm="1">
        <f t="array" ref="BD197">IF(B197="","",IF(BC197&lt;&gt;"","Щит "&amp;BC197,_xlfn.LET(_xlpm.nm,IFERROR(_xlfn.XLOOKUP(AX197,Коды_код,Коды_имя)&amp;"",""),_xlpm.md,IFERROR(N(_xlfn.XLOOKUP(AX197,Коды_код,Коды_режим)),1),_xlpm.ex,IF(Имя_режим="по экспликации",IFERROR(_xlfn.XLOOKUP(AZ197&amp;"|"&amp;BB197,Экспликация[Этаж]&amp;"|"&amp;Экспликация[Помещение],Экспликация[Название])&amp;"",""),""),_xlpm.rm,IF(BB197="","",IF(_xlpm.ex&lt;&gt;"",". "&amp;_xlpm.ex&amp;IF(Имя_пом="нет"," ("&amp;BB197&amp;")"," (пом. "&amp;BB197&amp;")"),IF(Имя_пом="нет"," ",", пом. ")&amp;BB197)),IF(_xlpm.nm="","",IF(_xlpm.md=2,_xlpm.nm&amp;" шлейф "&amp;AZ197,_xlpm.nm&amp;_xlpm.rm)))))</f>
        <v>Розеточная группа, пом. 006A</v>
      </c>
      <c r="BE197" t="str">
        <f t="shared" si="377"/>
        <v>Розеточная группа, пом. 006A</v>
      </c>
      <c r="BF197">
        <f>IFERROR(_xlfn.XMATCH(A197,Щиты[Щит]),0)</f>
        <v>9</v>
      </c>
      <c r="BG197">
        <f>_xlfn.LET(_xlpm.k,IFERROR(_xlfn.XLOOKUP(A197,Щиты[Щит],Щиты[Листов под вводной узел]),""),IF(_xlpm.k="",1,N(_xlpm.k))*Столбцов_на_лист)</f>
        <v>17</v>
      </c>
      <c r="BH197">
        <f t="shared" si="378"/>
        <v>32</v>
      </c>
      <c r="BI197" t="str">
        <f t="shared" si="379"/>
        <v>линии</v>
      </c>
      <c r="BJ197" s="6">
        <f>IFERROR(N(_xlfn.XLOOKUP(AX197,Коды_код,Коды_квт)),0)</f>
        <v>0</v>
      </c>
      <c r="BK197">
        <f t="shared" si="380"/>
        <v>0</v>
      </c>
      <c r="BL197" t="str">
        <f>IF(B197="","",IF(BC197&lt;&gt;"",IFERROR(_xlfn.XLOOKUP(BC197,Щиты[Щит],Щиты[Руст, кВт]),0),IF(BK197=1,IFERROR(_xlfn.XLOOKUP(A197,Щиты[Щит],Щиты[Руст, кВт]),0),IF(BJ197&gt;0,ROUND(BJ197*MAX(1,N(D197)),3),""))))</f>
        <v/>
      </c>
      <c r="BM197">
        <f t="shared" si="381"/>
        <v>0.18</v>
      </c>
      <c r="BN197" s="6">
        <f>IF(B197="","",IF(BC197&lt;&gt;"",IFERROR(_xlfn.XLOOKUP(BC197,Щиты[Щит],Щиты[Руст, кВт]),0),N(BM197)))</f>
        <v>0.18</v>
      </c>
      <c r="BO197" t="str">
        <f>IF(B197="","",IFERROR(IF(VLOOKUP(AX197,Потребители_обозначение,8,FALSE)=0,"",VLOOKUP(AX197,Потребители_обозначение,8,FALSE)),""))</f>
        <v/>
      </c>
      <c r="BP197">
        <f t="shared" si="382"/>
        <v>230</v>
      </c>
      <c r="BQ197">
        <f>IF(B197="","",IF(BC197&lt;&gt;"",3,IFERROR(IF(N(VLOOKUP(AX197,Потребители_обозначение,9,FALSE))=0,1,VLOOKUP(AX197,Потребители_обозначение,9,FALSE)),1)))</f>
        <v>1</v>
      </c>
      <c r="BR197">
        <f t="shared" si="383"/>
        <v>1</v>
      </c>
      <c r="BS197" t="str">
        <f>IF(B197="","",_xlfn.LET(_xlpm.bc,IFERROR(IF(VLOOKUP(AX197,Потребители_обозначение,6,FALSE)=0,"",VLOOKUP(AX197,Потребители_обозначение,6,FALSE)&amp;""),""),IF(AND(FK197="да",OR(_xlpm.bc="",_xlpm.bc="мс")),Марка_пож,IF(AND(_xlpm.bc="",BC197&lt;&gt;""),"мс",_xlpm.bc))))</f>
        <v/>
      </c>
      <c r="BT197" t="str">
        <f t="shared" si="384"/>
        <v>мс</v>
      </c>
      <c r="BU197">
        <f>IF(B197="","",_xlfn.LET(_xlpm.cc,IFERROR(N(VLOOKUP(AX197,Потребители_обозначение,7,FALSE)),0),IF(_xlpm.cc&gt;0,_xlpm.cc,IF(BT197="","",IF(N(BR197)=3,5,3)))))</f>
        <v>3</v>
      </c>
      <c r="BV197">
        <f t="shared" si="385"/>
        <v>3</v>
      </c>
      <c r="BW197">
        <f>IFERROR(N(VLOOKUP(AX197,Потребители_обозначение,10,FALSE)),0)</f>
        <v>0</v>
      </c>
      <c r="BX197">
        <f>IFERROR(VLOOKUP(AX197,Потребители_обозначение,5,FALSE),0)</f>
        <v>1</v>
      </c>
      <c r="BY197" s="6" cm="1">
        <f t="array" ref="BY197">IF(B197="","",IF(BC197&lt;&gt;"",IFERROR(_xlfn.XLOOKUP(BC197,Щиты[Щит],Щиты[cos φ]),0.95),IF(BK197=1,IFERROR(_xlfn.XLOOKUP(A197,Щиты[Щит],Щиты[cos φ]),0.95),IF(ISNUMBER(Z197),Z197,IFERROR(IF(BX197=2,_xlfn.IFS(BR197=3,VLOOKUP(BN197,Справочная_двигатели,8,FALSE),BR197=1,VLOOKUP(BN197,Справочная_двигатели,10,TRUE)),IF(AND(Методика="нормы 2026",EQ197="Сил"),0.8,0.95)),0.95)))))</f>
        <v>0.95</v>
      </c>
      <c r="BZ197">
        <f t="shared" si="386"/>
        <v>0</v>
      </c>
      <c r="CA197">
        <f t="shared" si="387"/>
        <v>1</v>
      </c>
      <c r="CB197">
        <f t="shared" si="388"/>
        <v>0</v>
      </c>
      <c r="CC197">
        <f t="shared" si="389"/>
        <v>0</v>
      </c>
      <c r="CD197">
        <f t="shared" si="390"/>
        <v>0</v>
      </c>
      <c r="CE197">
        <f t="shared" si="391"/>
        <v>0</v>
      </c>
      <c r="CF197">
        <f t="shared" si="392"/>
        <v>0</v>
      </c>
      <c r="CG197">
        <f>IF(AX197="",0,_xlfn.LET(_xlpm.v,IFERROR(VLOOKUP(B197,УГО_спр,3,FALSE),IFERROR(VLOOKUP(AX197,УГО_спр,3,FALSE),IFERROR(VLOOKUP(LEFT(AX197,2),УГО_спр,3,FALSE),""))),IF(_xlpm.v="да",30,IF(ISNUMBER(_xlpm.v),_xlpm.v,0))))</f>
        <v>30</v>
      </c>
      <c r="CH197">
        <f t="shared" si="393"/>
        <v>30</v>
      </c>
      <c r="CI197" t="str">
        <f>_xlfn.LET(_xlpm.k,IFERROR(_xlfn.XLOOKUP(AX197,Коды_код,Коды_утечка)&amp;"",""),IF(_xlpm.k="","дифавтомат",_xlpm.k))</f>
        <v>дифавтомат</v>
      </c>
      <c r="CJ197">
        <f t="shared" si="394"/>
        <v>30</v>
      </c>
      <c r="CK197">
        <f t="shared" si="395"/>
        <v>30</v>
      </c>
      <c r="CL197">
        <f>IF(B197="",0,IFERROR(--VLOOKUP(B197,УГО_спр,4,FALSE),IFERROR(--VLOOKUP(AX197,УГО_спр,4,FALSE),IFERROR(--VLOOKUP(LEFT(AX197,2),УГО_спр,4,FALSE),0))))</f>
        <v>16</v>
      </c>
      <c r="CM197" t="str">
        <f>IF(B197="","",IFERROR(_xlfn.XLOOKUP(AX197,Коды_код,Коды_апп)&amp;"",""))</f>
        <v/>
      </c>
      <c r="CN197" t="str">
        <f t="shared" si="396"/>
        <v/>
      </c>
      <c r="CO197" t="str" cm="1">
        <f t="array" ref="CO197">IF(TRIM(CN197&amp;"")="","",IFERROR(TRIM(INDEX(_xlfn.TEXTSPLIT(CN197&amp;";;;",";"),1)),""))</f>
        <v/>
      </c>
      <c r="CP197" t="str" cm="1">
        <f t="array" ref="CP197">IF(TRIM(CN197&amp;"")="","",IFERROR(TRIM(INDEX(_xlfn.TEXTSPLIT(CN197&amp;";;;",";"),2)),""))</f>
        <v/>
      </c>
      <c r="CQ197" t="str" cm="1">
        <f t="array" ref="CQ197">IF(TRIM(CN197&amp;"")="","",IFERROR(TRIM(INDEX(_xlfn.TEXTSPLIT(CN197&amp;";;;",";"),3)),""))</f>
        <v/>
      </c>
      <c r="CR197">
        <f t="shared" si="397"/>
        <v>0</v>
      </c>
      <c r="CS197" t="str">
        <f>IF(B197="","",_xlfn.LET(_xlpm.t,LOWER(AV197&amp;""),IF(ISNUMBER(SEARCH("dim",_xlpm.t)),"DIM",IF(ISNUMBER(SEARCH("dali",_xlpm.t)),"DALI",IF(OR(ISNUMBER(SEARCH("relay",_xlpm.t)),ISNUMBER(SEARCH("реле",_xlpm.t))),"Relay",IF(ISNUMBER(SEARCH("кнопк",_xlpm.t)),"",IFERROR(_xlfn.XLOOKUP(AX197,Коды_код,Коды_упр)&amp;"","")))))))</f>
        <v/>
      </c>
      <c r="CT197" t="str">
        <f t="shared" si="398"/>
        <v/>
      </c>
      <c r="CU197">
        <f>IF(B197="","",_xlfn.LET(_xlpm.ig,N(P197)+IF(AF197="вручную",0,N(CB197)),_xlpm.n0,IFERROR(VLOOKUP(_xlpm.ig,Автомат_номиналы,2,TRUE),0),_xlpm.mn,MAX(CL197,IF(AF197="вручную",0,N(CE197))),MAX(_xlpm.n0,_xlpm.mn,IF(CR197=1,Мин_автомат_БП,0))))</f>
        <v>16</v>
      </c>
      <c r="CV197">
        <f t="shared" si="399"/>
        <v>1</v>
      </c>
      <c r="CW197" t="str">
        <f t="shared" si="400"/>
        <v>2P</v>
      </c>
      <c r="CX197" t="str">
        <f>_xlfn.LET(_xlpm.cc,UPPER(TRIM(IFERROR(_xlfn.XLOOKUP(AX197,Коды_код,Коды_хар)&amp;"",""))),IF(OR(_xlpm.cc="B",_xlpm.cc="В"),"B",IF(_xlpm.cc="D","D","С")))</f>
        <v>С</v>
      </c>
      <c r="CY197" t="str">
        <f t="shared" si="401"/>
        <v>2P С16А 30мА</v>
      </c>
      <c r="CZ197" t="str">
        <f t="shared" si="402"/>
        <v>2P С16А 30мА</v>
      </c>
      <c r="DA197" t="str">
        <f t="shared" si="403"/>
        <v>2P С16А 30мА</v>
      </c>
      <c r="DB197" cm="1">
        <f t="array" ref="DB197">IF(DA197="","",_xlfn.LET(_xlpm.t,SUBSTITUTE(SUBSTITUTE(SUBSTITUTE(UPPER(DA197),"С","C"),"А","A"),"В","B"),_xlpm.tk,_xlfn.TEXTSPLIT(_xlpm.t,"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7" t="str">
        <f t="shared" si="404"/>
        <v>ok</v>
      </c>
      <c r="DD197">
        <f t="shared" si="405"/>
        <v>16</v>
      </c>
      <c r="DE197" t="str">
        <f t="shared" si="406"/>
        <v>2P С16А 30мА</v>
      </c>
      <c r="DF197">
        <f t="shared" si="407"/>
        <v>30</v>
      </c>
      <c r="DG197">
        <f t="shared" si="408"/>
        <v>1</v>
      </c>
      <c r="DH197">
        <f t="shared" si="409"/>
        <v>0</v>
      </c>
      <c r="DI197">
        <f t="shared" si="410"/>
        <v>0.8204451193747313</v>
      </c>
      <c r="DJ197">
        <f t="shared" si="411"/>
        <v>1</v>
      </c>
      <c r="DK197">
        <f>IF(ISNUMBER(AL197),AL197,К_прокл)</f>
        <v>1</v>
      </c>
      <c r="DL197">
        <f t="shared" si="412"/>
        <v>2</v>
      </c>
      <c r="DM197">
        <f>IFERROR(N(VLOOKUP(BT197,Кабель_обозначение,3,FALSE)),1)</f>
        <v>1</v>
      </c>
      <c r="DN197">
        <f>IFERROR(N(_xlfn.XLOOKUP(A197,Щиты[Щит],Щиты[ΔU до шин, %])),0)</f>
        <v>0.43</v>
      </c>
      <c r="DO197" t="str">
        <f>IFERROR(_xlfn.XLOOKUP(A197,Щиты[Щит],Щиты[Zпетли на шинах, Ом]),"")</f>
        <v/>
      </c>
      <c r="DP197">
        <f>IFERROR(N(_xlfn.XLOOKUP(A197,Щиты[Щит],Щиты[ΔU до шин (подбор), %])),0)</f>
        <v>0.43</v>
      </c>
      <c r="DQ197" t="str">
        <f>IFERROR(_xlfn.XLOOKUP(A197,Щиты[Щит],Щиты[Zпетли на шинах (подбор), Ом]),"")</f>
        <v/>
      </c>
      <c r="DR197" t="str">
        <f t="shared" si="413"/>
        <v/>
      </c>
      <c r="DS197">
        <f t="shared" si="414"/>
        <v>46</v>
      </c>
      <c r="DT197">
        <f t="shared" si="415"/>
        <v>2</v>
      </c>
      <c r="DU197">
        <f t="shared" si="416"/>
        <v>0.31</v>
      </c>
      <c r="DV197" s="6">
        <f>IF(B197="","",IF(IFERROR(VLOOKUP(AX197,УГО_спр,2,FALSE),"")="Светильник",3,4)+IF(Методика="нормы 2026",MIN(0.5,MAX(0,N(Q197)-100)*0.005),0))</f>
        <v>4</v>
      </c>
      <c r="DW197" cm="1">
        <f t="array" ref="DW197">IF(OR(B197="",BT197="",DM197&lt;&gt;1),"",_xlfn.LET(_xlpm.sz,Iдоп_S,_xlpm.t_,CHOOSE(DL197,Iдоп_1ж,Iдоп_2ж,Iдоп_3ж)*DJ197*DK197,_xlpm.inn,N(DD197),_xlpm.smin,MAX(1.5,BW197),_xlpm.L_,N(Q197)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197)*(_xlpm.rho*_xlpm.L_/_xlpm.sz*N(BY197)+_xlpm.xx*_xlpm.L_*N(DU197)/1000)*N(P197)/((Uн_лин/SQRT(3))*1000)*100,999),_xlpm.kz,IF(OR(DG197=1,NOT(ISNUMBER(DQ197)),_xlpm.L_=0,_xlpm.inn=0),1,IFERROR(--(c_min*(Uн_лин*1000/SQRT(3))/(DQ197+2*ρкз_Cu*_xlpm.L_/_xlpm.sz)&gt;=GY197*_xlpm.inn),0)),_xlpm.ok,IFERROR((_xlpm.sz&gt;=_xlpm.smin)*(_xlpm.t_&gt;=_xlpm.inn)*IF(_xlpm.L_&gt;0,(_xlpm.du_+DP197&lt;=DV197+0.00001),1)*_xlpm.kz,0),_xlpm.r_,_xlfn._xlws.FILTER(_xlpm.sz,_xlpm.ok,"не подобрано"),INDEX(_xlpm.r_,1)))</f>
        <v>1.5</v>
      </c>
      <c r="DX197">
        <f t="shared" si="417"/>
        <v>2.5</v>
      </c>
      <c r="DY197" cm="1">
        <f t="array" ref="DY197">IF(OR(B197="",BT197="",DM197&lt;&gt;1),"",_xlfn.LET(_xlpm.sz,Iдоп_S,_xlpm.t_,CHOOSE(DL197,Iдоп_1ж,Iдоп_2ж,Iдоп_3ж)*DJ197*DK197,_xlpm.ok,IFERROR((_xlpm.sz&gt;=MAX(1.5,BW197))*(_xlpm.t_&gt;=N(DD197)),0),_xlpm.r_,_xlfn._xlws.FILTER(_xlpm.sz,_xlpm.ok,""),INDEX(_xlpm.r_,1)))</f>
        <v>1.5</v>
      </c>
      <c r="DZ197" s="6" cm="1">
        <f t="array" ref="DZ197">IFERROR(ROUNDUP(N(DT197)*(_xlfn.XLOOKUP(DY197,INDEX(Кабель_сопротивление,0,1),INDEX(Кабель_сопротивление,0,3))*N(Q197)/DY197*N(BY197)+_xlfn.XLOOKUP(DY197,INDEX(Кабель_сопротивление,0,1),INDEX(Кабель_сопротивление,0,2))*N(Q197)*N(DU197)/1000)*N(P197)/((Uн_лин/SQRT(3))*1000)*100,2),"")</f>
        <v>0.62</v>
      </c>
      <c r="EA197">
        <f>IFERROR(2*ρкз_Cu*N(Q197)/DY197,"")</f>
        <v>2.1390666666666669</v>
      </c>
      <c r="EB197">
        <f>IFERROR(VLOOKUP(DX197,Кабель_сопротивление,3,FALSE),"")</f>
        <v>2.2499999999999999E-2</v>
      </c>
      <c r="EC197">
        <f>IFERROR(VLOOKUP(DX197,Кабель_сопротивление,2,FALSE),"")</f>
        <v>0.1</v>
      </c>
      <c r="ED197">
        <f t="shared" si="418"/>
        <v>39</v>
      </c>
      <c r="EE197">
        <f t="shared" si="419"/>
        <v>7</v>
      </c>
      <c r="EF197">
        <f t="shared" si="420"/>
        <v>0.85890922746125753</v>
      </c>
      <c r="EG197" s="6">
        <f>IFERROR(ROUNDUP(EF197/((Uн_лин/SQRT(3))*1000)*100,2),"")</f>
        <v>0.38</v>
      </c>
      <c r="EH197" t="str">
        <f>IFERROR(VLOOKUP(BT197,Кабель_обозначение,2,FALSE),"")</f>
        <v>ВВГнг(А)-LS</v>
      </c>
      <c r="EI197" t="str">
        <f t="shared" si="421"/>
        <v>ВВГнг(А)-LS (3х2,5)</v>
      </c>
      <c r="EJ197" t="str">
        <f t="shared" si="422"/>
        <v>ВВГнг(А)-LS (3х2,5)
L=61-0,38%</v>
      </c>
      <c r="EK197">
        <f>IFERROR(2*ρкз_Cu*Q197/DX197,"")</f>
        <v>1.2834400000000001</v>
      </c>
      <c r="EL197">
        <f t="shared" si="423"/>
        <v>0.42700000000000005</v>
      </c>
      <c r="EM197" s="6" t="str">
        <f>IFERROR(IF(OR(B197="",NOT(ISNUMBER(DX197)),N(Q197)=0),"",_xlfn.XLOOKUP(A197,Щиты[Щит],Щиты[Zпетли на шинах, Ом])+EK197),"")</f>
        <v/>
      </c>
      <c r="EN197" s="6" t="str">
        <f>IF(ISNUMBER(EM197),c_min*(Uн_лин*1000/SQRT(3))/EM197,"")</f>
        <v/>
      </c>
      <c r="EO197" s="6" t="str">
        <f>IFERROR(IF(OR(B197="",NOT(ISNUMBER(DX197))),"",1.05*(Uн_лин*1000/SQRT(3))/(_xlfn.XLOOKUP(A197,Щиты[Щит],Щиты[Zmax на шинах, Ом])+EL197)/1000),"")</f>
        <v/>
      </c>
      <c r="EP197" s="6" t="str">
        <f>IF(B197="","",IF(ISNUMBER(Y197),"Сил",IF(IFERROR(_xlfn.XLOOKUP(AX197,Коды_код,Коды_группа)&amp;"","")="","Быт",_xlfn.XLOOKUP(AX197,Коды_код,Коды_группа)&amp;"")))</f>
        <v>Быт</v>
      </c>
      <c r="EQ197" s="6" t="str">
        <f t="shared" si="424"/>
        <v>Быт</v>
      </c>
      <c r="ER197" s="6">
        <f>IF(EQ197="Щит","щит",IF(EQ197="","",IF(EQ197="Быт",IFERROR(_xlfn.XLOOKUP(A197,Щиты[Щит],Щиты[Кс быт]),1),IF(EQ197="Сил",IF(ISNUMBER(Y197),Y197,IF(Методика="нормы 2026",IFERROR(_xlfn.XLOOKUP(A197,Щиты[Щит],Щиты[Кс силовых (табл. 7.5)]),1),1)),IF(OR(EQ197="Пост",EQ197="Отоп"),1,IF(EQ197="ВНГ",0.7,0))))))</f>
        <v>0.79799999999999993</v>
      </c>
      <c r="ES197">
        <f t="shared" si="425"/>
        <v>1</v>
      </c>
      <c r="ET197">
        <f t="shared" si="426"/>
        <v>0.18</v>
      </c>
      <c r="EU197">
        <f t="shared" si="427"/>
        <v>0.18</v>
      </c>
      <c r="EV197">
        <f t="shared" si="428"/>
        <v>0</v>
      </c>
      <c r="EW197">
        <f t="shared" si="429"/>
        <v>0</v>
      </c>
      <c r="EX197">
        <f t="shared" si="430"/>
        <v>0</v>
      </c>
      <c r="EY197">
        <f t="shared" si="431"/>
        <v>0</v>
      </c>
      <c r="EZ197">
        <f t="shared" si="432"/>
        <v>0.18</v>
      </c>
      <c r="FA197">
        <f t="shared" si="433"/>
        <v>0.17099999999999999</v>
      </c>
      <c r="FB197">
        <f t="shared" si="434"/>
        <v>0.18</v>
      </c>
      <c r="FC197" t="str">
        <f t="shared" si="435"/>
        <v>L2</v>
      </c>
      <c r="FD197" t="str">
        <f>IF(B197="","",IF(CA197=0,IF(AW197=1,"",FF196),IF(OR(N(CV197)&gt;=3,N(BR197)&gt;=3),"L1,L2,L3",IFERROR(_xlfn.TEXTBEFORE(_xlfn.TEXTAFTER(_xlfn.XLOOKUP(A197,Щиты[Щит],Щиты[_фазы авто]),";"&amp;AW197&amp;":"),";"),"L1"))))</f>
        <v>L1</v>
      </c>
      <c r="FE197" t="str">
        <f t="shared" si="436"/>
        <v>L2</v>
      </c>
      <c r="FF197" t="str">
        <f t="shared" si="437"/>
        <v>L2</v>
      </c>
      <c r="FG197" cm="1">
        <f t="array" ref="FG197">IFERROR(IF(BX197=2,_xlfn.IFS(BR197=3,VLOOKUP(BN197,Справочная_двигатели,3,FALSE),BR197=1,VLOOKUP(BN197,Справочная_двигатели,5,TRUE)),0),0)</f>
        <v>0</v>
      </c>
      <c r="FH197">
        <f>IFERROR(IF(BX197=3,VLOOKUP(BN197,Справочная_ЛЭД,2,TRUE),0),0)</f>
        <v>0</v>
      </c>
      <c r="FI197" s="6">
        <f t="shared" si="438"/>
        <v>0</v>
      </c>
      <c r="FJ197" t="str" cm="1">
        <f t="array" ref="FJ197">IF(B197="","",IFERROR(INDEX({"I особая","I","II","III"},MATCH(TRIM(AC197&amp;""),{"I особая","I","II","III"},0)),"III"))</f>
        <v>II</v>
      </c>
      <c r="FK197" t="str">
        <f>IF(B197="","",IF(TRIM(AD197&amp;"")&lt;&gt;"",IF(LOWER(TRIM(AD197&amp;""))="да","да","нет"),IF(IFERROR(_xlfn.XLOOKUP(AX197,Коды_код,Коды_пожарная),"")="да","да","нет")))</f>
        <v>нет</v>
      </c>
      <c r="FL197" t="str">
        <f t="shared" si="439"/>
        <v/>
      </c>
      <c r="FM197" t="str">
        <f t="shared" si="440"/>
        <v>основная</v>
      </c>
      <c r="FN197">
        <f t="shared" si="441"/>
        <v>1</v>
      </c>
      <c r="FO197" t="str" cm="1">
        <f t="array" ref="FO197">IF(B197="","",_xlfn.LET(_xlpm.t,IFERROR(_xlfn.XLOOKUP(1,(Шины[Шина]=FM197)*(((Шины[Щит]=A197)+(Шины[Щит]=""))&gt;0),Шины[Тип]),"")&amp;"",IF(_xlpm.t&lt;&gt;"",_xlpm.t,IF(ISNUMBER(SEARCH("ИБП",FM197)),"ИБП",IF(ISNUMBER(SEARCH("ДГУ",FM197)),"ДГУ","Ввод "&amp;FN197)))))</f>
        <v>Ввод 1</v>
      </c>
      <c r="FP197" t="str">
        <f t="shared" si="442"/>
        <v>Ввод 1</v>
      </c>
      <c r="FQ197" t="str">
        <f>IF(B197="","",IF(OR(FO197="ИБП",FO197="ДГУ"),"I особая",IF(FO197="Одиночная","III",_xlfn.XLOOKUP(A197,Щиты[Щит],Щиты[Категория шины «Ввод»],"III"))))</f>
        <v>II</v>
      </c>
      <c r="FR197">
        <f>IF(B197="",0,IFERROR(MATCH(FJ197,{"III","II","I","I особая"},0),1))</f>
        <v>2</v>
      </c>
      <c r="FS197">
        <f t="shared" si="443"/>
        <v>2</v>
      </c>
      <c r="FT197" t="str">
        <f>IF(B197="","",IF(FR197&gt;IFERROR(MATCH(FQ197,{"III","II","I","I особая"},0),1),"НЕ ОБЕСПЕЧЕНА","ОК"))</f>
        <v>ОК</v>
      </c>
      <c r="FU197" t="str">
        <f>IF(A197="","",_xlfn.XLOOKUP(A197,Щиты[Щит],Щиты[Путь],""))</f>
        <v>|ГРЩ-ЖД|ЩР-01|</v>
      </c>
      <c r="FV197" t="str">
        <f>IF(B197="","",IF(AE197&lt;&gt;"",AE197,IF(IFERROR(_xlfn.XLOOKUP(AX197,Коды_код,Коды_вид)&amp;"","")="","Прочее",_xlfn.XLOOKUP(AX197,Коды_код,Коды_вид)&amp;"")))</f>
        <v>Розеточная сеть и бытовые приборы</v>
      </c>
      <c r="FW197">
        <f>IF(BH197="","",INT((BH197-1)/Столбцов_на_лист)+1)</f>
        <v>2</v>
      </c>
      <c r="FX197" t="str">
        <f t="shared" si="444"/>
        <v>ВВГнг(А)-LS (3х2,5) L=61-0,38%</v>
      </c>
      <c r="FY197">
        <f t="shared" si="445"/>
        <v>0.18</v>
      </c>
      <c r="FZ197">
        <f t="shared" si="446"/>
        <v>0.83</v>
      </c>
      <c r="GA197">
        <f t="shared" si="447"/>
        <v>1</v>
      </c>
      <c r="GB197">
        <f t="shared" si="448"/>
        <v>0</v>
      </c>
      <c r="GC197">
        <f t="shared" si="449"/>
        <v>1</v>
      </c>
      <c r="GD197">
        <f>IF(BH197="","",IF(AND(CA197=1,GC197=1),COUNTIFS(A$3:A197,A197,CA$3:CA197,1,GC$3:GC197,1),IF(OR(OR(AW197=1,A197&lt;&gt;A196),AF197="вручную",GC197=0),"",IF(AW197=1,"",GE196))))</f>
        <v>13</v>
      </c>
      <c r="GE197">
        <f t="shared" si="450"/>
        <v>13</v>
      </c>
      <c r="GF197">
        <f>IF(B197="","",IFERROR(LOOKUP(INDEX(CHOOSE(DL197,Iдоп_1ж,Iдоп_2ж,Iдоп_3ж),MATCH(DX197,Iдоп_S,0))*DJ197*DK197,{6,10,16,20,25,32,40,50,63,80,100,125,160,200,250,315,400,500,630}),""))</f>
        <v>25</v>
      </c>
      <c r="GG197" t="str">
        <f t="shared" si="451"/>
        <v>QFD13</v>
      </c>
      <c r="GH197" t="str">
        <f t="shared" si="452"/>
        <v>QFD13</v>
      </c>
      <c r="GI197" t="str">
        <f t="shared" si="453"/>
        <v/>
      </c>
      <c r="GJ197">
        <f t="shared" si="454"/>
        <v>0</v>
      </c>
      <c r="GK197" t="str">
        <f>IF(OR(AG197="",AG197="-"),"",IFERROR(VLOOKUP(AG197,Модули_спр,2,FALSE),"R"))</f>
        <v/>
      </c>
      <c r="GL197" t="str">
        <f>IF(GK197="","",GK197&amp;"."&amp;COUNTIFS(A$3:A197,A197,GK$3:GK197,GK197))</f>
        <v/>
      </c>
      <c r="GM197" t="str">
        <f t="shared" si="455"/>
        <v/>
      </c>
      <c r="GN197" t="str">
        <f t="shared" si="456"/>
        <v/>
      </c>
      <c r="GO197" t="str">
        <f t="shared" si="457"/>
        <v/>
      </c>
      <c r="GP197" t="str">
        <f t="shared" si="458"/>
        <v/>
      </c>
      <c r="GQ197">
        <f t="shared" si="459"/>
        <v>1</v>
      </c>
      <c r="GR197" t="str">
        <f>IF(GQ197=1,"XT"&amp;COUNTIFS(A$3:A197,A197,GQ$3:GQ197,1),"")</f>
        <v>XT13</v>
      </c>
      <c r="GS197" t="str">
        <f t="shared" si="460"/>
        <v/>
      </c>
      <c r="GT197" t="str">
        <f t="shared" si="461"/>
        <v>QFD13</v>
      </c>
      <c r="GU197" t="str">
        <f t="shared" si="462"/>
        <v/>
      </c>
      <c r="GV197" t="str">
        <f t="shared" si="463"/>
        <v>ok</v>
      </c>
      <c r="GW197" t="str">
        <f>IF(OR(GO197="",GM197=""),"",IF(GO197&gt;IFERROR(VLOOKUP(GN197,Модули_спр,3,FALSE),99),"ЛИШНИЙ КАНАЛ",IF(AND(AH197&lt;&gt;"=",COUNTIFS(Линии[_модуль гр.],GM197,Линии[Канал (итог)],GO197,Линии[Канал],"&lt;&gt;=",Линии[Щит],A197)&gt;1),"ДУБЛЬ КАНАЛА","")))</f>
        <v/>
      </c>
      <c r="GX197" s="6" t="str">
        <f t="shared" si="464"/>
        <v/>
      </c>
      <c r="GY197">
        <f t="shared" si="465"/>
        <v>10</v>
      </c>
      <c r="GZ197" t="str">
        <f t="shared" si="466"/>
        <v/>
      </c>
      <c r="HA197" t="str">
        <f>IF(AND(B197="",GT197=""),"",_xlfn.TEXTJOIN("; ",TRUE,IF(AND(B197&lt;&gt;"",FE197=""),"нет фазы",""),IF(AND(B197&lt;&gt;"",N(FY197)=0,EQ197&lt;&gt;"Нет"),"нет мощности",""),IF(AND(GS197&lt;&gt;"",COUNTIFS(Линии[Щит],A197,Линии[Клемма (итог)],GS197)&gt;1),"дубль клеммы "&amp;GS197,""),IF(AND(GV197&lt;&gt;"",GV197&lt;&gt;"ok"),GV197,""),IF(GW197&lt;&gt;"",GW197,""),IF(AND(N(BV197)&gt;=4,N(BR197)=1),BV197&amp;" жил на 1 фазе",""),IF(AND(AX197="R",CA197=1,OR(N(CK197)=0,N(CK197)&gt;30)),"розетка без дифзащиты до 30 мА",""),IFERROR(IF(AND(ISNUMBER(R197),R197&gt;DV197),"потери "&amp;FIXED(R197,1)&amp;" % &gt; "&amp;DV197&amp;" %",""),""),IFERROR(IF(LEFT(GZ197,4)="мало","Iкз мало — отключение &gt; 0,4 с",""),""),IF(AND(B197&lt;&gt;"",BH197=""),"не на схеме",""),IF(AND(CA197=0,B197&lt;&gt;"",FE197&lt;&gt;"",IF(AW197=1,"",FF196)&lt;&gt;"",FE197&lt;&gt;IF(AW197=1,"",FF196)),"фаза не как у автомата группы ("&amp;IF(AW197=1,"",FF196)&amp;")","")))</f>
        <v/>
      </c>
      <c r="HB197" s="6">
        <f>IF(OR(CA197=0,DA197=""),"",_xlfn.LET(_xlpm.t,IFERROR(_xlfn.XLOOKUP(DA197,Каталог!$U$4:$U$500,Каталог!$G$4:$G$500),""),_xlpm.k,SEARCH("кА",_xlpm.t),IFERROR(--TRIM(RIGHT(SUBSTITUTE(MID(_xlpm.t,MAX(1,_xlpm.k-4),_xlpm.k-MAX(1,_xlpm.k-4))," ",REPT(" ",9)),5)),"")))</f>
        <v>6</v>
      </c>
      <c r="HC197" t="str">
        <f>IF(OR(HB197="",CA197=0),"",IF(_xlfn.XLOOKUP(A197,Щиты[Щит],Щиты[Iкз max на шинах, кА],"")="","",IF(HB197&lt;_xlfn.XLOOKUP(A197,Щиты[Щит],Щиты[Iкз max на шинах, кА]),"Icu "&amp;HB197&amp;" кА &lt; Iкз max","ok")))</f>
        <v/>
      </c>
      <c r="HD197" t="str">
        <f t="shared" si="467"/>
        <v/>
      </c>
      <c r="HE197" t="str">
        <f t="shared" si="468"/>
        <v>QFD13</v>
      </c>
      <c r="HF197" t="str">
        <f t="shared" si="469"/>
        <v>QFD13|кабель ВВГнг(А)-LS (3х2,5) → Розеточная группа, пом. 006A</v>
      </c>
      <c r="HG197" t="str" cm="1">
        <f t="array" ref="HG197">IF(HF197="","",_xlfn.LET(_xlpm.nd,_xlfn.TEXTSPLIT(HF197,"|"),IF(COLUMNS(_xlpm.nd)&gt;1,A197&amp;"¦"&amp;INDEX(_xlpm.nd,1)&amp;"¦"&amp;INDEX(_xlpm.nd,2),"")))</f>
        <v>ЩР-01¦QFD13¦кабель ВВГнг(А)-LS (3х2,5) → Розеточная группа, пом. 006A</v>
      </c>
      <c r="HH197" t="str">
        <f t="shared" si="470"/>
        <v>R.0.006A.1¦Розеточная группа, пом. 006A</v>
      </c>
      <c r="HI197" t="str" cm="1">
        <f t="array" ref="HI197">IF(HF197="","",_xlfn.LET(_xlpm.nd,_xlfn.TEXTSPLIT(HF197,"|"),IF(COLUMNS(_xlpm.nd)&gt;2,A197&amp;"¦"&amp;INDEX(_xlpm.nd,2)&amp;"¦"&amp;INDEX(_xlpm.nd,3),"")))</f>
        <v/>
      </c>
      <c r="HJ197" t="str">
        <f t="shared" si="471"/>
        <v/>
      </c>
      <c r="HK197" t="str" cm="1">
        <f t="array" ref="HK197">IF(HF197="","",_xlfn.LET(_xlpm.nd,_xlfn.TEXTSPLIT(HF197,"|"),IF(COLUMNS(_xlpm.nd)&gt;3,A197&amp;"¦"&amp;INDEX(_xlpm.nd,3)&amp;"¦"&amp;INDEX(_xlpm.nd,4),"")))</f>
        <v/>
      </c>
      <c r="HL197" t="str">
        <f t="shared" si="472"/>
        <v/>
      </c>
      <c r="HM197" t="str" cm="1">
        <f t="array" ref="HM197">IF(HF197="","",_xlfn.LET(_xlpm.nd,_xlfn.TEXTSPLIT(HF197,"|"),IF(COLUMNS(_xlpm.nd)&gt;4,A197&amp;"¦"&amp;INDEX(_xlpm.nd,4)&amp;"¦"&amp;INDEX(_xlpm.nd,5),"")))</f>
        <v/>
      </c>
      <c r="HN197" t="str">
        <f t="shared" si="473"/>
        <v/>
      </c>
      <c r="HO197" t="str" cm="1">
        <f t="array" ref="HO197">IF(HF197="","",_xlfn.LET(_xlpm.nd,_xlfn.TEXTSPLIT(HF197,"|"),IF(COLUMNS(_xlpm.nd)&gt;5,A197&amp;"¦"&amp;INDEX(_xlpm.nd,5)&amp;"¦"&amp;INDEX(_xlpm.nd,6),"")))</f>
        <v/>
      </c>
      <c r="HP197" t="str">
        <f t="shared" si="474"/>
        <v/>
      </c>
      <c r="HQ197" t="str" cm="1">
        <f t="array" ref="HQ197">IF(HF197="","",_xlfn.LET(_xlpm.nd,_xlfn.TEXTSPLIT(HF197,"|"),IF(COLUMNS(_xlpm.nd)&gt;6,A197&amp;"¦"&amp;INDEX(_xlpm.nd,6)&amp;"¦"&amp;INDEX(_xlpm.nd,7),"")))</f>
        <v/>
      </c>
      <c r="HR197" t="str">
        <f t="shared" si="475"/>
        <v/>
      </c>
      <c r="HS197" t="str">
        <f t="shared" si="476"/>
        <v/>
      </c>
      <c r="HT197" t="str">
        <f t="shared" si="477"/>
        <v>QFD13</v>
      </c>
      <c r="HU197">
        <f t="shared" si="478"/>
        <v>0</v>
      </c>
      <c r="HV197">
        <f t="shared" si="479"/>
        <v>1</v>
      </c>
      <c r="HW197" t="str">
        <f t="shared" si="480"/>
        <v/>
      </c>
      <c r="HX197" t="str">
        <f t="shared" si="481"/>
        <v/>
      </c>
      <c r="HY197" t="str">
        <f t="shared" si="482"/>
        <v/>
      </c>
      <c r="HZ197" t="str">
        <f t="shared" si="483"/>
        <v/>
      </c>
      <c r="IA197" t="str">
        <f>IF(B197="","",IFERROR(VLOOKUP(B197,УГО_спр,2,FALSE),IFERROR(VLOOKUP(AX197,УГО_спр,2,FALSE),IFERROR(VLOOKUP(LEFT(AX197,2),УГО_спр,2,FALSE),""))))</f>
        <v>Розетка</v>
      </c>
      <c r="IB197" t="str">
        <f>IF(B197="","",IF(OR(IA197="",IA197=0),"BOX",IFERROR(IF(VLOOKUP(IA197,УГО_блоки,3,FALSE)&amp;""&lt;&gt;"",VLOOKUP(IA197,УГО_блоки,3,FALSE),VLOOKUP(IA197,УГО_блоки,2,FALSE)),IA197)))</f>
        <v>SOCKET</v>
      </c>
      <c r="IC197">
        <f t="shared" si="484"/>
        <v>1</v>
      </c>
      <c r="ID197" t="str">
        <f>IF(DA197="","",IF(COUNTIF(DA$3:DA197,DA197)=1,MAX(ID$2:ID196)+1,""))</f>
        <v/>
      </c>
      <c r="IE197" t="str">
        <f>IF(CO197="","",IF(COUNTIF(CO$3:CO197,CO197)+COUNTIF(CP$2:CP196,CO197)+COUNTIF(CQ$2:CQ196,CO197)=1,MAX(IE$2:IG196)+1,""))</f>
        <v/>
      </c>
      <c r="IF197" t="str">
        <f>IF(CP197="","",IF(COUNTIF(CO$3:CO197,CP197)+COUNTIF(CP$3:CP197,CP197)+COUNTIF(CQ$2:CQ196,CP197)=1,MAX(IE$2:IG196,IE197)+1,""))</f>
        <v/>
      </c>
      <c r="IG197" t="str">
        <f>IF(CQ197="","",IF(COUNTIF(CO$3:CO197,CQ197)+COUNTIF(CP$3:CP197,CQ197)+COUNTIF(CQ$3:CQ197,CQ197)=1,MAX(IE$2:IG196,IE197,IF197)+1,""))</f>
        <v/>
      </c>
      <c r="IH197" t="str">
        <f t="shared" si="485"/>
        <v>3х2,5</v>
      </c>
      <c r="II197" t="str">
        <f>IF(IH197="","",IF(COUNTIF(IH$3:IH197,IH197)=1,MAX(II$2:II196)+1,""))</f>
        <v/>
      </c>
      <c r="IJ197" t="str">
        <f>IF(GL197="","",COUNTIF(GL$3:GL197,"?*"))</f>
        <v/>
      </c>
      <c r="IK197" t="str">
        <f>IF(OR(GL197="",GN197=""),"",IF(COUNTIFS(GL$3:GL197,"?*",GN$3:GN197,GN197)=1,MAX(IK$2:IK196)+1,""))</f>
        <v/>
      </c>
      <c r="IL197">
        <f t="shared" si="486"/>
        <v>0</v>
      </c>
      <c r="IM197">
        <f>IF(B197="","",COUNTIF(B$3:B197,"?*"))</f>
        <v>195</v>
      </c>
      <c r="IN197">
        <f>IF(GQ197&lt;&gt;1,0,_xlfn.LET(_xlpm.k,MAX(IFERROR(--VLOOKUP(B197,УГО_спр,5,FALSE),0),IFERROR(--VLOOKUP(AX197,УГО_спр,5,FALSE),0),IFERROR(--VLOOKUP(LEFT(AX197,2),УГО_спр,5,FALSE),0)),IF(_xlpm.k&gt;0,_xlpm.k,IF(IFERROR(--LEFT(SUBSTITUTE(IH197,"x","х"),FIND("х",SUBSTITUTE(IH197,"x","х"))-1),3)&gt;3,Каталог!$S$9,1))))</f>
        <v>1</v>
      </c>
      <c r="IO197">
        <f t="shared" si="487"/>
        <v>0</v>
      </c>
      <c r="IP197" t="str">
        <f t="shared" si="488"/>
        <v>авто</v>
      </c>
      <c r="IQ197">
        <f t="shared" si="489"/>
        <v>30</v>
      </c>
      <c r="IR197">
        <f t="shared" si="490"/>
        <v>1</v>
      </c>
      <c r="IS197">
        <f t="shared" si="491"/>
        <v>1</v>
      </c>
    </row>
    <row r="198" spans="1:253" x14ac:dyDescent="0.3">
      <c r="A198" t="s">
        <v>757</v>
      </c>
      <c r="B198" t="s">
        <v>1464</v>
      </c>
      <c r="C198" t="str">
        <f>Линии[[#This Row],[_авто наименование]]</f>
        <v>Розеточная группа, пом. 007A</v>
      </c>
      <c r="D198">
        <v>2</v>
      </c>
      <c r="E198">
        <v>0.12</v>
      </c>
      <c r="G198" t="str">
        <f>Линии[[#This Row],[_авто автомат]]</f>
        <v>2P С16А 30мА</v>
      </c>
      <c r="H198">
        <f>Линии[[#This Row],[_авто утечка]]</f>
        <v>30</v>
      </c>
      <c r="I198" t="str">
        <f>Линии[[#This Row],[_авто управление]]</f>
        <v/>
      </c>
      <c r="J198" t="str">
        <f>Линии[[#This Row],[_авто аппараты]]</f>
        <v/>
      </c>
      <c r="K198">
        <v>2.5</v>
      </c>
      <c r="L198">
        <v>20</v>
      </c>
      <c r="M198">
        <v>2</v>
      </c>
      <c r="N198" t="s">
        <v>486</v>
      </c>
      <c r="O198" t="str">
        <f t="shared" si="369"/>
        <v/>
      </c>
      <c r="P198" s="6" cm="1">
        <f t="array" ref="P198">IF(B198="","",IF(BC198&lt;&gt;"",IFERROR(_xlfn.XLOOKUP(BC198,Щиты[Щит],Щиты[Iр, А]),""),IF(BK198=1,IFERROR(_xlfn.XLOOKUP(A198,Щиты[Щит],Щиты[Iр, А]),""),IFERROR(_xlfn.IFS(BR198=1,BN198/((Uн_лин/SQRT(3))*BY198),BR198=3,BN198/(SQRT(3)*Uн_лин*BY198)),""))))</f>
        <v>0.54696341291648753</v>
      </c>
      <c r="Q198" s="7">
        <f>IF(B198="","",IFERROR(IF(VLOOKUP(AX198,Потребители_обозначение,4,FALSE)=1,VLOOKUP(AX198,Потребители_обозначение,3,FALSE)*(D198*2-1)+DS198+VLOOKUP(AZ198,Этаж_обозначение,3,FALSE)+VLOOKUP(AZ198,Этаж_обозначение,4,FALSE),VLOOKUP(AX198,Потребители_обозначение,3,FALSE)*(D198*2-1)+DS198),DS198))</f>
        <v>29</v>
      </c>
      <c r="R198" s="6">
        <f t="shared" si="370"/>
        <v>0.55000000000000004</v>
      </c>
      <c r="S198" t="str">
        <f t="shared" si="371"/>
        <v>ВВГнг(А)-LS (3х2,5)</v>
      </c>
      <c r="T198" t="str">
        <f>IF(BH198="","",IF(BI198="вводной узел","узел ","")&amp;"л."&amp;(INT((BH198-1)/Столбцов_на_лист)+1)&amp;" / "&amp;(MOD(BH198-1,Столбцов_на_лист)+1))</f>
        <v>л.2 / 16</v>
      </c>
      <c r="V198">
        <v>1</v>
      </c>
      <c r="W198">
        <v>230</v>
      </c>
      <c r="X198" t="s">
        <v>564</v>
      </c>
      <c r="AC198" t="s">
        <v>815</v>
      </c>
      <c r="AE198" t="s">
        <v>563</v>
      </c>
      <c r="AI198">
        <v>33</v>
      </c>
      <c r="AJ198" t="s">
        <v>11</v>
      </c>
      <c r="AK198">
        <v>3</v>
      </c>
      <c r="AM198">
        <v>7</v>
      </c>
      <c r="AN198">
        <v>22</v>
      </c>
      <c r="AO198">
        <v>0</v>
      </c>
      <c r="AW198" cm="1">
        <f t="array" ref="AW198">ROW()-ROW(Линии[#Headers])</f>
        <v>196</v>
      </c>
      <c r="AX198" s="6" t="str">
        <f t="shared" si="372"/>
        <v>R</v>
      </c>
      <c r="AY198" t="str">
        <f t="shared" si="373"/>
        <v>0.007A.1</v>
      </c>
      <c r="AZ198" t="str">
        <f t="shared" si="374"/>
        <v>0</v>
      </c>
      <c r="BA198" t="str">
        <f t="shared" si="375"/>
        <v>007A.1</v>
      </c>
      <c r="BB198" t="str">
        <f t="shared" si="376"/>
        <v>007A</v>
      </c>
      <c r="BC198" t="str">
        <f>IF(U198&lt;&gt;"",U198,IF(AND(B198&lt;&gt;"",B198&lt;&gt;A198,ISNUMBER(_xlfn.XMATCH(B198,Щиты[Щит]))),B198,""))</f>
        <v/>
      </c>
      <c r="BD198" t="str" cm="1">
        <f t="array" ref="BD198">IF(B198="","",IF(BC198&lt;&gt;"","Щит "&amp;BC198,_xlfn.LET(_xlpm.nm,IFERROR(_xlfn.XLOOKUP(AX198,Коды_код,Коды_имя)&amp;"",""),_xlpm.md,IFERROR(N(_xlfn.XLOOKUP(AX198,Коды_код,Коды_режим)),1),_xlpm.ex,IF(Имя_режим="по экспликации",IFERROR(_xlfn.XLOOKUP(AZ198&amp;"|"&amp;BB198,Экспликация[Этаж]&amp;"|"&amp;Экспликация[Помещение],Экспликация[Название])&amp;"",""),""),_xlpm.rm,IF(BB198="","",IF(_xlpm.ex&lt;&gt;"",". "&amp;_xlpm.ex&amp;IF(Имя_пом="нет"," ("&amp;BB198&amp;")"," (пом. "&amp;BB198&amp;")"),IF(Имя_пом="нет"," ",", пом. ")&amp;BB198)),IF(_xlpm.nm="","",IF(_xlpm.md=2,_xlpm.nm&amp;" шлейф "&amp;AZ198,_xlpm.nm&amp;_xlpm.rm)))))</f>
        <v>Розеточная группа, пом. 007A</v>
      </c>
      <c r="BE198" t="str">
        <f t="shared" si="377"/>
        <v>Розеточная группа, пом. 007A</v>
      </c>
      <c r="BF198">
        <f>IFERROR(_xlfn.XMATCH(A198,Щиты[Щит]),0)</f>
        <v>9</v>
      </c>
      <c r="BG198">
        <f>_xlfn.LET(_xlpm.k,IFERROR(_xlfn.XLOOKUP(A198,Щиты[Щит],Щиты[Листов под вводной узел]),""),IF(_xlpm.k="",1,N(_xlpm.k))*Столбцов_на_лист)</f>
        <v>17</v>
      </c>
      <c r="BH198">
        <f t="shared" si="378"/>
        <v>33</v>
      </c>
      <c r="BI198" t="str">
        <f t="shared" si="379"/>
        <v>линии</v>
      </c>
      <c r="BJ198" s="6">
        <f>IFERROR(N(_xlfn.XLOOKUP(AX198,Коды_код,Коды_квт)),0)</f>
        <v>0</v>
      </c>
      <c r="BK198">
        <f t="shared" si="380"/>
        <v>0</v>
      </c>
      <c r="BL198" t="str">
        <f>IF(B198="","",IF(BC198&lt;&gt;"",IFERROR(_xlfn.XLOOKUP(BC198,Щиты[Щит],Щиты[Руст, кВт]),0),IF(BK198=1,IFERROR(_xlfn.XLOOKUP(A198,Щиты[Щит],Щиты[Руст, кВт]),0),IF(BJ198&gt;0,ROUND(BJ198*MAX(1,N(D198)),3),""))))</f>
        <v/>
      </c>
      <c r="BM198">
        <f t="shared" si="381"/>
        <v>0.12</v>
      </c>
      <c r="BN198" s="6">
        <f>IF(B198="","",IF(BC198&lt;&gt;"",IFERROR(_xlfn.XLOOKUP(BC198,Щиты[Щит],Щиты[Руст, кВт]),0),N(BM198)))</f>
        <v>0.12</v>
      </c>
      <c r="BO198" t="str">
        <f>IF(B198="","",IFERROR(IF(VLOOKUP(AX198,Потребители_обозначение,8,FALSE)=0,"",VLOOKUP(AX198,Потребители_обозначение,8,FALSE)),""))</f>
        <v/>
      </c>
      <c r="BP198">
        <f t="shared" si="382"/>
        <v>230</v>
      </c>
      <c r="BQ198">
        <f>IF(B198="","",IF(BC198&lt;&gt;"",3,IFERROR(IF(N(VLOOKUP(AX198,Потребители_обозначение,9,FALSE))=0,1,VLOOKUP(AX198,Потребители_обозначение,9,FALSE)),1)))</f>
        <v>1</v>
      </c>
      <c r="BR198">
        <f t="shared" si="383"/>
        <v>1</v>
      </c>
      <c r="BS198" t="str">
        <f>IF(B198="","",_xlfn.LET(_xlpm.bc,IFERROR(IF(VLOOKUP(AX198,Потребители_обозначение,6,FALSE)=0,"",VLOOKUP(AX198,Потребители_обозначение,6,FALSE)&amp;""),""),IF(AND(FK198="да",OR(_xlpm.bc="",_xlpm.bc="мс")),Марка_пож,IF(AND(_xlpm.bc="",BC198&lt;&gt;""),"мс",_xlpm.bc))))</f>
        <v/>
      </c>
      <c r="BT198" t="str">
        <f t="shared" si="384"/>
        <v>мс</v>
      </c>
      <c r="BU198">
        <f>IF(B198="","",_xlfn.LET(_xlpm.cc,IFERROR(N(VLOOKUP(AX198,Потребители_обозначение,7,FALSE)),0),IF(_xlpm.cc&gt;0,_xlpm.cc,IF(BT198="","",IF(N(BR198)=3,5,3)))))</f>
        <v>3</v>
      </c>
      <c r="BV198">
        <f t="shared" si="385"/>
        <v>3</v>
      </c>
      <c r="BW198">
        <f>IFERROR(N(VLOOKUP(AX198,Потребители_обозначение,10,FALSE)),0)</f>
        <v>0</v>
      </c>
      <c r="BX198">
        <f>IFERROR(VLOOKUP(AX198,Потребители_обозначение,5,FALSE),0)</f>
        <v>1</v>
      </c>
      <c r="BY198" s="6" cm="1">
        <f t="array" ref="BY198">IF(B198="","",IF(BC198&lt;&gt;"",IFERROR(_xlfn.XLOOKUP(BC198,Щиты[Щит],Щиты[cos φ]),0.95),IF(BK198=1,IFERROR(_xlfn.XLOOKUP(A198,Щиты[Щит],Щиты[cos φ]),0.95),IF(ISNUMBER(Z198),Z198,IFERROR(IF(BX198=2,_xlfn.IFS(BR198=3,VLOOKUP(BN198,Справочная_двигатели,8,FALSE),BR198=1,VLOOKUP(BN198,Справочная_двигатели,10,TRUE)),IF(AND(Методика="нормы 2026",EQ198="Сил"),0.8,0.95)),0.95)))))</f>
        <v>0.95</v>
      </c>
      <c r="BZ198">
        <f t="shared" si="386"/>
        <v>0</v>
      </c>
      <c r="CA198">
        <f t="shared" si="387"/>
        <v>1</v>
      </c>
      <c r="CB198">
        <f t="shared" si="388"/>
        <v>0</v>
      </c>
      <c r="CC198">
        <f t="shared" si="389"/>
        <v>0</v>
      </c>
      <c r="CD198">
        <f t="shared" si="390"/>
        <v>0</v>
      </c>
      <c r="CE198">
        <f t="shared" si="391"/>
        <v>0</v>
      </c>
      <c r="CF198">
        <f t="shared" si="392"/>
        <v>0</v>
      </c>
      <c r="CG198">
        <f>IF(AX198="",0,_xlfn.LET(_xlpm.v,IFERROR(VLOOKUP(B198,УГО_спр,3,FALSE),IFERROR(VLOOKUP(AX198,УГО_спр,3,FALSE),IFERROR(VLOOKUP(LEFT(AX198,2),УГО_спр,3,FALSE),""))),IF(_xlpm.v="да",30,IF(ISNUMBER(_xlpm.v),_xlpm.v,0))))</f>
        <v>30</v>
      </c>
      <c r="CH198">
        <f t="shared" si="393"/>
        <v>30</v>
      </c>
      <c r="CI198" t="str">
        <f>_xlfn.LET(_xlpm.k,IFERROR(_xlfn.XLOOKUP(AX198,Коды_код,Коды_утечка)&amp;"",""),IF(_xlpm.k="","дифавтомат",_xlpm.k))</f>
        <v>дифавтомат</v>
      </c>
      <c r="CJ198">
        <f t="shared" si="394"/>
        <v>30</v>
      </c>
      <c r="CK198">
        <f t="shared" si="395"/>
        <v>30</v>
      </c>
      <c r="CL198">
        <f>IF(B198="",0,IFERROR(--VLOOKUP(B198,УГО_спр,4,FALSE),IFERROR(--VLOOKUP(AX198,УГО_спр,4,FALSE),IFERROR(--VLOOKUP(LEFT(AX198,2),УГО_спр,4,FALSE),0))))</f>
        <v>16</v>
      </c>
      <c r="CM198" t="str">
        <f>IF(B198="","",IFERROR(_xlfn.XLOOKUP(AX198,Коды_код,Коды_апп)&amp;"",""))</f>
        <v/>
      </c>
      <c r="CN198" t="str">
        <f t="shared" si="396"/>
        <v/>
      </c>
      <c r="CO198" t="str" cm="1">
        <f t="array" ref="CO198">IF(TRIM(CN198&amp;"")="","",IFERROR(TRIM(INDEX(_xlfn.TEXTSPLIT(CN198&amp;";;;",";"),1)),""))</f>
        <v/>
      </c>
      <c r="CP198" t="str" cm="1">
        <f t="array" ref="CP198">IF(TRIM(CN198&amp;"")="","",IFERROR(TRIM(INDEX(_xlfn.TEXTSPLIT(CN198&amp;";;;",";"),2)),""))</f>
        <v/>
      </c>
      <c r="CQ198" t="str" cm="1">
        <f t="array" ref="CQ198">IF(TRIM(CN198&amp;"")="","",IFERROR(TRIM(INDEX(_xlfn.TEXTSPLIT(CN198&amp;";;;",";"),3)),""))</f>
        <v/>
      </c>
      <c r="CR198">
        <f t="shared" si="397"/>
        <v>0</v>
      </c>
      <c r="CS198" t="str">
        <f>IF(B198="","",_xlfn.LET(_xlpm.t,LOWER(AV198&amp;""),IF(ISNUMBER(SEARCH("dim",_xlpm.t)),"DIM",IF(ISNUMBER(SEARCH("dali",_xlpm.t)),"DALI",IF(OR(ISNUMBER(SEARCH("relay",_xlpm.t)),ISNUMBER(SEARCH("реле",_xlpm.t))),"Relay",IF(ISNUMBER(SEARCH("кнопк",_xlpm.t)),"",IFERROR(_xlfn.XLOOKUP(AX198,Коды_код,Коды_упр)&amp;"","")))))))</f>
        <v/>
      </c>
      <c r="CT198" t="str">
        <f t="shared" si="398"/>
        <v/>
      </c>
      <c r="CU198">
        <f>IF(B198="","",_xlfn.LET(_xlpm.ig,N(P198)+IF(AF198="вручную",0,N(CB198)),_xlpm.n0,IFERROR(VLOOKUP(_xlpm.ig,Автомат_номиналы,2,TRUE),0),_xlpm.mn,MAX(CL198,IF(AF198="вручную",0,N(CE198))),MAX(_xlpm.n0,_xlpm.mn,IF(CR198=1,Мин_автомат_БП,0))))</f>
        <v>16</v>
      </c>
      <c r="CV198">
        <f t="shared" si="399"/>
        <v>1</v>
      </c>
      <c r="CW198" t="str">
        <f t="shared" si="400"/>
        <v>2P</v>
      </c>
      <c r="CX198" t="str">
        <f>_xlfn.LET(_xlpm.cc,UPPER(TRIM(IFERROR(_xlfn.XLOOKUP(AX198,Коды_код,Коды_хар)&amp;"",""))),IF(OR(_xlpm.cc="B",_xlpm.cc="В"),"B",IF(_xlpm.cc="D","D","С")))</f>
        <v>С</v>
      </c>
      <c r="CY198" t="str">
        <f t="shared" si="401"/>
        <v>2P С16А 30мА</v>
      </c>
      <c r="CZ198" t="str">
        <f t="shared" si="402"/>
        <v>2P С16А 30мА</v>
      </c>
      <c r="DA198" t="str">
        <f t="shared" si="403"/>
        <v>2P С16А 30мА</v>
      </c>
      <c r="DB198" cm="1">
        <f t="array" ref="DB198">IF(DA198="","",_xlfn.LET(_xlpm.t,SUBSTITUTE(SUBSTITUTE(SUBSTITUTE(UPPER(DA198),"С","C"),"А","A"),"В","B"),_xlpm.tk,_xlfn.TEXTSPLIT(_xlpm.t,"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8" t="str">
        <f t="shared" si="404"/>
        <v>ok</v>
      </c>
      <c r="DD198">
        <f t="shared" si="405"/>
        <v>16</v>
      </c>
      <c r="DE198" t="str">
        <f t="shared" si="406"/>
        <v>2P С16А 30мА</v>
      </c>
      <c r="DF198">
        <f t="shared" si="407"/>
        <v>30</v>
      </c>
      <c r="DG198">
        <f t="shared" si="408"/>
        <v>1</v>
      </c>
      <c r="DH198">
        <f t="shared" si="409"/>
        <v>0</v>
      </c>
      <c r="DI198">
        <f t="shared" si="410"/>
        <v>0.54696341291648753</v>
      </c>
      <c r="DJ198">
        <f t="shared" si="411"/>
        <v>1</v>
      </c>
      <c r="DK198">
        <f>IF(ISNUMBER(AL198),AL198,К_прокл)</f>
        <v>1</v>
      </c>
      <c r="DL198">
        <f t="shared" si="412"/>
        <v>2</v>
      </c>
      <c r="DM198">
        <f>IFERROR(N(VLOOKUP(BT198,Кабель_обозначение,3,FALSE)),1)</f>
        <v>1</v>
      </c>
      <c r="DN198">
        <f>IFERROR(N(_xlfn.XLOOKUP(A198,Щиты[Щит],Щиты[ΔU до шин, %])),0)</f>
        <v>0.43</v>
      </c>
      <c r="DO198" t="str">
        <f>IFERROR(_xlfn.XLOOKUP(A198,Щиты[Щит],Щиты[Zпетли на шинах, Ом]),"")</f>
        <v/>
      </c>
      <c r="DP198">
        <f>IFERROR(N(_xlfn.XLOOKUP(A198,Щиты[Щит],Щиты[ΔU до шин (подбор), %])),0)</f>
        <v>0.43</v>
      </c>
      <c r="DQ198" t="str">
        <f>IFERROR(_xlfn.XLOOKUP(A198,Щиты[Щит],Щиты[Zпетли на шинах (подбор), Ом]),"")</f>
        <v/>
      </c>
      <c r="DR198" t="str">
        <f t="shared" si="413"/>
        <v/>
      </c>
      <c r="DS198">
        <f t="shared" si="414"/>
        <v>20</v>
      </c>
      <c r="DT198">
        <f t="shared" si="415"/>
        <v>2</v>
      </c>
      <c r="DU198">
        <f t="shared" si="416"/>
        <v>0.31</v>
      </c>
      <c r="DV198" s="6">
        <f>IF(B198="","",IF(IFERROR(VLOOKUP(AX198,УГО_спр,2,FALSE),"")="Светильник",3,4)+IF(Методика="нормы 2026",MIN(0.5,MAX(0,N(Q198)-100)*0.005),0))</f>
        <v>4</v>
      </c>
      <c r="DW198" cm="1">
        <f t="array" ref="DW198">IF(OR(B198="",BT198="",DM198&lt;&gt;1),"",_xlfn.LET(_xlpm.sz,Iдоп_S,_xlpm.t_,CHOOSE(DL198,Iдоп_1ж,Iдоп_2ж,Iдоп_3ж)*DJ198*DK198,_xlpm.inn,N(DD198),_xlpm.smin,MAX(1.5,BW198),_xlpm.L_,N(Q198)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198)*(_xlpm.rho*_xlpm.L_/_xlpm.sz*N(BY198)+_xlpm.xx*_xlpm.L_*N(DU198)/1000)*N(P198)/((Uн_лин/SQRT(3))*1000)*100,999),_xlpm.kz,IF(OR(DG198=1,NOT(ISNUMBER(DQ198)),_xlpm.L_=0,_xlpm.inn=0),1,IFERROR(--(c_min*(Uн_лин*1000/SQRT(3))/(DQ198+2*ρкз_Cu*_xlpm.L_/_xlpm.sz)&gt;=GY198*_xlpm.inn),0)),_xlpm.ok,IFERROR((_xlpm.sz&gt;=_xlpm.smin)*(_xlpm.t_&gt;=_xlpm.inn)*IF(_xlpm.L_&gt;0,(_xlpm.du_+DP198&lt;=DV198+0.00001),1)*_xlpm.kz,0),_xlpm.r_,_xlfn._xlws.FILTER(_xlpm.sz,_xlpm.ok,"не подобрано"),INDEX(_xlpm.r_,1)))</f>
        <v>1.5</v>
      </c>
      <c r="DX198">
        <f t="shared" si="417"/>
        <v>2.5</v>
      </c>
      <c r="DY198" cm="1">
        <f t="array" ref="DY198">IF(OR(B198="",BT198="",DM198&lt;&gt;1),"",_xlfn.LET(_xlpm.sz,Iдоп_S,_xlpm.t_,CHOOSE(DL198,Iдоп_1ж,Iдоп_2ж,Iдоп_3ж)*DJ198*DK198,_xlpm.ok,IFERROR((_xlpm.sz&gt;=MAX(1.5,BW198))*(_xlpm.t_&gt;=N(DD198)),0),_xlpm.r_,_xlfn._xlws.FILTER(_xlpm.sz,_xlpm.ok,""),INDEX(_xlpm.r_,1)))</f>
        <v>1.5</v>
      </c>
      <c r="DZ198" s="6" cm="1">
        <f t="array" ref="DZ198">IFERROR(ROUNDUP(N(DT198)*(_xlfn.XLOOKUP(DY198,INDEX(Кабель_сопротивление,0,1),INDEX(Кабель_сопротивление,0,3))*N(Q198)/DY198*N(BY198)+_xlfn.XLOOKUP(DY198,INDEX(Кабель_сопротивление,0,1),INDEX(Кабель_сопротивление,0,2))*N(Q198)*N(DU198)/1000)*N(P198)/((Uн_лин/SQRT(3))*1000)*100,2),"")</f>
        <v>0.2</v>
      </c>
      <c r="EA198">
        <f>IFERROR(2*ρкз_Cu*N(Q198)/DY198,"")</f>
        <v>1.0169333333333335</v>
      </c>
      <c r="EB198">
        <f>IFERROR(VLOOKUP(DX198,Кабель_сопротивление,3,FALSE),"")</f>
        <v>2.2499999999999999E-2</v>
      </c>
      <c r="EC198">
        <f>IFERROR(VLOOKUP(DX198,Кабель_сопротивление,2,FALSE),"")</f>
        <v>0.1</v>
      </c>
      <c r="ED198">
        <f t="shared" si="418"/>
        <v>22</v>
      </c>
      <c r="EE198">
        <f t="shared" si="419"/>
        <v>0</v>
      </c>
      <c r="EF198">
        <f t="shared" si="420"/>
        <v>0.27222259668171001</v>
      </c>
      <c r="EG198" s="6">
        <f>IFERROR(ROUNDUP(EF198/((Uн_лин/SQRT(3))*1000)*100,2),"")</f>
        <v>0.12</v>
      </c>
      <c r="EH198" t="str">
        <f>IFERROR(VLOOKUP(BT198,Кабель_обозначение,2,FALSE),"")</f>
        <v>ВВГнг(А)-LS</v>
      </c>
      <c r="EI198" t="str">
        <f t="shared" si="421"/>
        <v>ВВГнг(А)-LS (3х2,5)</v>
      </c>
      <c r="EJ198" t="str">
        <f t="shared" si="422"/>
        <v>ВВГнг(А)-LS (3х2,5)
L=29-0,12%</v>
      </c>
      <c r="EK198">
        <f>IFERROR(2*ρкз_Cu*Q198/DX198,"")</f>
        <v>0.61016000000000004</v>
      </c>
      <c r="EL198">
        <f t="shared" si="423"/>
        <v>0.20300000000000001</v>
      </c>
      <c r="EM198" s="6" t="str">
        <f>IFERROR(IF(OR(B198="",NOT(ISNUMBER(DX198)),N(Q198)=0),"",_xlfn.XLOOKUP(A198,Щиты[Щит],Щиты[Zпетли на шинах, Ом])+EK198),"")</f>
        <v/>
      </c>
      <c r="EN198" s="6" t="str">
        <f>IF(ISNUMBER(EM198),c_min*(Uн_лин*1000/SQRT(3))/EM198,"")</f>
        <v/>
      </c>
      <c r="EO198" s="6" t="str">
        <f>IFERROR(IF(OR(B198="",NOT(ISNUMBER(DX198))),"",1.05*(Uн_лин*1000/SQRT(3))/(_xlfn.XLOOKUP(A198,Щиты[Щит],Щиты[Zmax на шинах, Ом])+EL198)/1000),"")</f>
        <v/>
      </c>
      <c r="EP198" s="6" t="str">
        <f>IF(B198="","",IF(ISNUMBER(Y198),"Сил",IF(IFERROR(_xlfn.XLOOKUP(AX198,Коды_код,Коды_группа)&amp;"","")="","Быт",_xlfn.XLOOKUP(AX198,Коды_код,Коды_группа)&amp;"")))</f>
        <v>Быт</v>
      </c>
      <c r="EQ198" s="6" t="str">
        <f t="shared" si="424"/>
        <v>Быт</v>
      </c>
      <c r="ER198" s="6">
        <f>IF(EQ198="Щит","щит",IF(EQ198="","",IF(EQ198="Быт",IFERROR(_xlfn.XLOOKUP(A198,Щиты[Щит],Щиты[Кс быт]),1),IF(EQ198="Сил",IF(ISNUMBER(Y198),Y198,IF(Методика="нормы 2026",IFERROR(_xlfn.XLOOKUP(A198,Щиты[Щит],Щиты[Кс силовых (табл. 7.5)]),1),1)),IF(OR(EQ198="Пост",EQ198="Отоп"),1,IF(EQ198="ВНГ",0.7,0))))))</f>
        <v>0.79799999999999993</v>
      </c>
      <c r="ES198">
        <f t="shared" si="425"/>
        <v>1</v>
      </c>
      <c r="ET198">
        <f t="shared" si="426"/>
        <v>0.12</v>
      </c>
      <c r="EU198">
        <f t="shared" si="427"/>
        <v>0.12</v>
      </c>
      <c r="EV198">
        <f t="shared" si="428"/>
        <v>0</v>
      </c>
      <c r="EW198">
        <f t="shared" si="429"/>
        <v>0</v>
      </c>
      <c r="EX198">
        <f t="shared" si="430"/>
        <v>0</v>
      </c>
      <c r="EY198">
        <f t="shared" si="431"/>
        <v>0</v>
      </c>
      <c r="EZ198">
        <f t="shared" si="432"/>
        <v>0.12</v>
      </c>
      <c r="FA198">
        <f t="shared" si="433"/>
        <v>0.11399999999999999</v>
      </c>
      <c r="FB198">
        <f t="shared" si="434"/>
        <v>0.12</v>
      </c>
      <c r="FC198" t="str">
        <f t="shared" si="435"/>
        <v>L2</v>
      </c>
      <c r="FD198" t="str">
        <f>IF(B198="","",IF(CA198=0,IF(AW198=1,"",FF197),IF(OR(N(CV198)&gt;=3,N(BR198)&gt;=3),"L1,L2,L3",IFERROR(_xlfn.TEXTBEFORE(_xlfn.TEXTAFTER(_xlfn.XLOOKUP(A198,Щиты[Щит],Щиты[_фазы авто]),";"&amp;AW198&amp;":"),";"),"L1"))))</f>
        <v>L1</v>
      </c>
      <c r="FE198" t="str">
        <f t="shared" si="436"/>
        <v>L2</v>
      </c>
      <c r="FF198" t="str">
        <f t="shared" si="437"/>
        <v>L2</v>
      </c>
      <c r="FG198" cm="1">
        <f t="array" ref="FG198">IFERROR(IF(BX198=2,_xlfn.IFS(BR198=3,VLOOKUP(BN198,Справочная_двигатели,3,FALSE),BR198=1,VLOOKUP(BN198,Справочная_двигатели,5,TRUE)),0),0)</f>
        <v>0</v>
      </c>
      <c r="FH198">
        <f>IFERROR(IF(BX198=3,VLOOKUP(BN198,Справочная_ЛЭД,2,TRUE),0),0)</f>
        <v>0</v>
      </c>
      <c r="FI198" s="6">
        <f t="shared" si="438"/>
        <v>0</v>
      </c>
      <c r="FJ198" t="str" cm="1">
        <f t="array" ref="FJ198">IF(B198="","",IFERROR(INDEX({"I особая","I","II","III"},MATCH(TRIM(AC198&amp;""),{"I особая","I","II","III"},0)),"III"))</f>
        <v>II</v>
      </c>
      <c r="FK198" t="str">
        <f>IF(B198="","",IF(TRIM(AD198&amp;"")&lt;&gt;"",IF(LOWER(TRIM(AD198&amp;""))="да","да","нет"),IF(IFERROR(_xlfn.XLOOKUP(AX198,Коды_код,Коды_пожарная),"")="да","да","нет")))</f>
        <v>нет</v>
      </c>
      <c r="FL198" t="str">
        <f t="shared" si="439"/>
        <v/>
      </c>
      <c r="FM198" t="str">
        <f t="shared" si="440"/>
        <v>основная</v>
      </c>
      <c r="FN198">
        <f t="shared" si="441"/>
        <v>1</v>
      </c>
      <c r="FO198" t="str" cm="1">
        <f t="array" ref="FO198">IF(B198="","",_xlfn.LET(_xlpm.t,IFERROR(_xlfn.XLOOKUP(1,(Шины[Шина]=FM198)*(((Шины[Щит]=A198)+(Шины[Щит]=""))&gt;0),Шины[Тип]),"")&amp;"",IF(_xlpm.t&lt;&gt;"",_xlpm.t,IF(ISNUMBER(SEARCH("ИБП",FM198)),"ИБП",IF(ISNUMBER(SEARCH("ДГУ",FM198)),"ДГУ","Ввод "&amp;FN198)))))</f>
        <v>Ввод 1</v>
      </c>
      <c r="FP198" t="str">
        <f t="shared" si="442"/>
        <v>Ввод 1</v>
      </c>
      <c r="FQ198" t="str">
        <f>IF(B198="","",IF(OR(FO198="ИБП",FO198="ДГУ"),"I особая",IF(FO198="Одиночная","III",_xlfn.XLOOKUP(A198,Щиты[Щит],Щиты[Категория шины «Ввод»],"III"))))</f>
        <v>II</v>
      </c>
      <c r="FR198">
        <f>IF(B198="",0,IFERROR(MATCH(FJ198,{"III","II","I","I особая"},0),1))</f>
        <v>2</v>
      </c>
      <c r="FS198">
        <f t="shared" si="443"/>
        <v>2</v>
      </c>
      <c r="FT198" t="str">
        <f>IF(B198="","",IF(FR198&gt;IFERROR(MATCH(FQ198,{"III","II","I","I особая"},0),1),"НЕ ОБЕСПЕЧЕНА","ОК"))</f>
        <v>ОК</v>
      </c>
      <c r="FU198" t="str">
        <f>IF(A198="","",_xlfn.XLOOKUP(A198,Щиты[Щит],Щиты[Путь],""))</f>
        <v>|ГРЩ-ЖД|ЩР-01|</v>
      </c>
      <c r="FV198" t="str">
        <f>IF(B198="","",IF(AE198&lt;&gt;"",AE198,IF(IFERROR(_xlfn.XLOOKUP(AX198,Коды_код,Коды_вид)&amp;"","")="","Прочее",_xlfn.XLOOKUP(AX198,Коды_код,Коды_вид)&amp;"")))</f>
        <v>Розеточная сеть и бытовые приборы</v>
      </c>
      <c r="FW198">
        <f>IF(BH198="","",INT((BH198-1)/Столбцов_на_лист)+1)</f>
        <v>2</v>
      </c>
      <c r="FX198" t="str">
        <f t="shared" si="444"/>
        <v>ВВГнг(А)-LS (3х2,5) L=29-0,12%</v>
      </c>
      <c r="FY198">
        <f t="shared" si="445"/>
        <v>0.12</v>
      </c>
      <c r="FZ198">
        <f t="shared" si="446"/>
        <v>0.55000000000000004</v>
      </c>
      <c r="GA198">
        <f t="shared" si="447"/>
        <v>1</v>
      </c>
      <c r="GB198">
        <f t="shared" si="448"/>
        <v>0</v>
      </c>
      <c r="GC198">
        <f t="shared" si="449"/>
        <v>1</v>
      </c>
      <c r="GD198">
        <f>IF(BH198="","",IF(AND(CA198=1,GC198=1),COUNTIFS(A$3:A198,A198,CA$3:CA198,1,GC$3:GC198,1),IF(OR(OR(AW198=1,A198&lt;&gt;A197),AF198="вручную",GC198=0),"",IF(AW198=1,"",GE197))))</f>
        <v>14</v>
      </c>
      <c r="GE198">
        <f t="shared" si="450"/>
        <v>14</v>
      </c>
      <c r="GF198">
        <f>IF(B198="","",IFERROR(LOOKUP(INDEX(CHOOSE(DL198,Iдоп_1ж,Iдоп_2ж,Iдоп_3ж),MATCH(DX198,Iдоп_S,0))*DJ198*DK198,{6,10,16,20,25,32,40,50,63,80,100,125,160,200,250,315,400,500,630}),""))</f>
        <v>25</v>
      </c>
      <c r="GG198" t="str">
        <f t="shared" si="451"/>
        <v>QFD14</v>
      </c>
      <c r="GH198" t="str">
        <f t="shared" si="452"/>
        <v>QFD14</v>
      </c>
      <c r="GI198" t="str">
        <f t="shared" si="453"/>
        <v/>
      </c>
      <c r="GJ198">
        <f t="shared" si="454"/>
        <v>0</v>
      </c>
      <c r="GK198" t="str">
        <f>IF(OR(AG198="",AG198="-"),"",IFERROR(VLOOKUP(AG198,Модули_спр,2,FALSE),"R"))</f>
        <v/>
      </c>
      <c r="GL198" t="str">
        <f>IF(GK198="","",GK198&amp;"."&amp;COUNTIFS(A$3:A198,A198,GK$3:GK198,GK198))</f>
        <v/>
      </c>
      <c r="GM198" t="str">
        <f t="shared" si="455"/>
        <v/>
      </c>
      <c r="GN198" t="str">
        <f t="shared" si="456"/>
        <v/>
      </c>
      <c r="GO198" t="str">
        <f t="shared" si="457"/>
        <v/>
      </c>
      <c r="GP198" t="str">
        <f t="shared" si="458"/>
        <v/>
      </c>
      <c r="GQ198">
        <f t="shared" si="459"/>
        <v>1</v>
      </c>
      <c r="GR198" t="str">
        <f>IF(GQ198=1,"XT"&amp;COUNTIFS(A$3:A198,A198,GQ$3:GQ198,1),"")</f>
        <v>XT14</v>
      </c>
      <c r="GS198" t="str">
        <f t="shared" si="460"/>
        <v/>
      </c>
      <c r="GT198" t="str">
        <f t="shared" si="461"/>
        <v>QFD14</v>
      </c>
      <c r="GU198" t="str">
        <f t="shared" si="462"/>
        <v/>
      </c>
      <c r="GV198" t="str">
        <f t="shared" si="463"/>
        <v>ok</v>
      </c>
      <c r="GW198" t="str">
        <f>IF(OR(GO198="",GM198=""),"",IF(GO198&gt;IFERROR(VLOOKUP(GN198,Модули_спр,3,FALSE),99),"ЛИШНИЙ КАНАЛ",IF(AND(AH198&lt;&gt;"=",COUNTIFS(Линии[_модуль гр.],GM198,Линии[Канал (итог)],GO198,Линии[Канал],"&lt;&gt;=",Линии[Щит],A198)&gt;1),"ДУБЛЬ КАНАЛА","")))</f>
        <v/>
      </c>
      <c r="GX198" s="6" t="str">
        <f t="shared" si="464"/>
        <v/>
      </c>
      <c r="GY198">
        <f t="shared" si="465"/>
        <v>10</v>
      </c>
      <c r="GZ198" t="str">
        <f t="shared" si="466"/>
        <v/>
      </c>
      <c r="HA198" t="str">
        <f>IF(AND(B198="",GT198=""),"",_xlfn.TEXTJOIN("; ",TRUE,IF(AND(B198&lt;&gt;"",FE198=""),"нет фазы",""),IF(AND(B198&lt;&gt;"",N(FY198)=0,EQ198&lt;&gt;"Нет"),"нет мощности",""),IF(AND(GS198&lt;&gt;"",COUNTIFS(Линии[Щит],A198,Линии[Клемма (итог)],GS198)&gt;1),"дубль клеммы "&amp;GS198,""),IF(AND(GV198&lt;&gt;"",GV198&lt;&gt;"ok"),GV198,""),IF(GW198&lt;&gt;"",GW198,""),IF(AND(N(BV198)&gt;=4,N(BR198)=1),BV198&amp;" жил на 1 фазе",""),IF(AND(AX198="R",CA198=1,OR(N(CK198)=0,N(CK198)&gt;30)),"розетка без дифзащиты до 30 мА",""),IFERROR(IF(AND(ISNUMBER(R198),R198&gt;DV198),"потери "&amp;FIXED(R198,1)&amp;" % &gt; "&amp;DV198&amp;" %",""),""),IFERROR(IF(LEFT(GZ198,4)="мало","Iкз мало — отключение &gt; 0,4 с",""),""),IF(AND(B198&lt;&gt;"",BH198=""),"не на схеме",""),IF(AND(CA198=0,B198&lt;&gt;"",FE198&lt;&gt;"",IF(AW198=1,"",FF197)&lt;&gt;"",FE198&lt;&gt;IF(AW198=1,"",FF197)),"фаза не как у автомата группы ("&amp;IF(AW198=1,"",FF197)&amp;")","")))</f>
        <v/>
      </c>
      <c r="HB198" s="6">
        <f>IF(OR(CA198=0,DA198=""),"",_xlfn.LET(_xlpm.t,IFERROR(_xlfn.XLOOKUP(DA198,Каталог!$U$4:$U$500,Каталог!$G$4:$G$500),""),_xlpm.k,SEARCH("кА",_xlpm.t),IFERROR(--TRIM(RIGHT(SUBSTITUTE(MID(_xlpm.t,MAX(1,_xlpm.k-4),_xlpm.k-MAX(1,_xlpm.k-4))," ",REPT(" ",9)),5)),"")))</f>
        <v>6</v>
      </c>
      <c r="HC198" t="str">
        <f>IF(OR(HB198="",CA198=0),"",IF(_xlfn.XLOOKUP(A198,Щиты[Щит],Щиты[Iкз max на шинах, кА],"")="","",IF(HB198&lt;_xlfn.XLOOKUP(A198,Щиты[Щит],Щиты[Iкз max на шинах, кА]),"Icu "&amp;HB198&amp;" кА &lt; Iкз max","ok")))</f>
        <v/>
      </c>
      <c r="HD198" t="str">
        <f t="shared" si="467"/>
        <v/>
      </c>
      <c r="HE198" t="str">
        <f t="shared" si="468"/>
        <v>QFD14</v>
      </c>
      <c r="HF198" t="str">
        <f t="shared" si="469"/>
        <v>QFD14|кабель ВВГнг(А)-LS (3х2,5) → Розеточная группа, пом. 007A</v>
      </c>
      <c r="HG198" t="str" cm="1">
        <f t="array" ref="HG198">IF(HF198="","",_xlfn.LET(_xlpm.nd,_xlfn.TEXTSPLIT(HF198,"|"),IF(COLUMNS(_xlpm.nd)&gt;1,A198&amp;"¦"&amp;INDEX(_xlpm.nd,1)&amp;"¦"&amp;INDEX(_xlpm.nd,2),"")))</f>
        <v>ЩР-01¦QFD14¦кабель ВВГнг(А)-LS (3х2,5) → Розеточная группа, пом. 007A</v>
      </c>
      <c r="HH198" t="str">
        <f t="shared" si="470"/>
        <v>R.0.007A.1¦Розеточная группа, пом. 007A</v>
      </c>
      <c r="HI198" t="str" cm="1">
        <f t="array" ref="HI198">IF(HF198="","",_xlfn.LET(_xlpm.nd,_xlfn.TEXTSPLIT(HF198,"|"),IF(COLUMNS(_xlpm.nd)&gt;2,A198&amp;"¦"&amp;INDEX(_xlpm.nd,2)&amp;"¦"&amp;INDEX(_xlpm.nd,3),"")))</f>
        <v/>
      </c>
      <c r="HJ198" t="str">
        <f t="shared" si="471"/>
        <v/>
      </c>
      <c r="HK198" t="str" cm="1">
        <f t="array" ref="HK198">IF(HF198="","",_xlfn.LET(_xlpm.nd,_xlfn.TEXTSPLIT(HF198,"|"),IF(COLUMNS(_xlpm.nd)&gt;3,A198&amp;"¦"&amp;INDEX(_xlpm.nd,3)&amp;"¦"&amp;INDEX(_xlpm.nd,4),"")))</f>
        <v/>
      </c>
      <c r="HL198" t="str">
        <f t="shared" si="472"/>
        <v/>
      </c>
      <c r="HM198" t="str" cm="1">
        <f t="array" ref="HM198">IF(HF198="","",_xlfn.LET(_xlpm.nd,_xlfn.TEXTSPLIT(HF198,"|"),IF(COLUMNS(_xlpm.nd)&gt;4,A198&amp;"¦"&amp;INDEX(_xlpm.nd,4)&amp;"¦"&amp;INDEX(_xlpm.nd,5),"")))</f>
        <v/>
      </c>
      <c r="HN198" t="str">
        <f t="shared" si="473"/>
        <v/>
      </c>
      <c r="HO198" t="str" cm="1">
        <f t="array" ref="HO198">IF(HF198="","",_xlfn.LET(_xlpm.nd,_xlfn.TEXTSPLIT(HF198,"|"),IF(COLUMNS(_xlpm.nd)&gt;5,A198&amp;"¦"&amp;INDEX(_xlpm.nd,5)&amp;"¦"&amp;INDEX(_xlpm.nd,6),"")))</f>
        <v/>
      </c>
      <c r="HP198" t="str">
        <f t="shared" si="474"/>
        <v/>
      </c>
      <c r="HQ198" t="str" cm="1">
        <f t="array" ref="HQ198">IF(HF198="","",_xlfn.LET(_xlpm.nd,_xlfn.TEXTSPLIT(HF198,"|"),IF(COLUMNS(_xlpm.nd)&gt;6,A198&amp;"¦"&amp;INDEX(_xlpm.nd,6)&amp;"¦"&amp;INDEX(_xlpm.nd,7),"")))</f>
        <v/>
      </c>
      <c r="HR198" t="str">
        <f t="shared" si="475"/>
        <v/>
      </c>
      <c r="HS198" t="str">
        <f t="shared" si="476"/>
        <v/>
      </c>
      <c r="HT198" t="str">
        <f t="shared" si="477"/>
        <v>QFD14</v>
      </c>
      <c r="HU198">
        <f t="shared" si="478"/>
        <v>0</v>
      </c>
      <c r="HV198">
        <f t="shared" si="479"/>
        <v>1</v>
      </c>
      <c r="HW198" t="str">
        <f t="shared" si="480"/>
        <v/>
      </c>
      <c r="HX198" t="str">
        <f t="shared" si="481"/>
        <v/>
      </c>
      <c r="HY198" t="str">
        <f t="shared" si="482"/>
        <v/>
      </c>
      <c r="HZ198" t="str">
        <f t="shared" si="483"/>
        <v/>
      </c>
      <c r="IA198" t="str">
        <f>IF(B198="","",IFERROR(VLOOKUP(B198,УГО_спр,2,FALSE),IFERROR(VLOOKUP(AX198,УГО_спр,2,FALSE),IFERROR(VLOOKUP(LEFT(AX198,2),УГО_спр,2,FALSE),""))))</f>
        <v>Розетка</v>
      </c>
      <c r="IB198" t="str">
        <f>IF(B198="","",IF(OR(IA198="",IA198=0),"BOX",IFERROR(IF(VLOOKUP(IA198,УГО_блоки,3,FALSE)&amp;""&lt;&gt;"",VLOOKUP(IA198,УГО_блоки,3,FALSE),VLOOKUP(IA198,УГО_блоки,2,FALSE)),IA198)))</f>
        <v>SOCKET</v>
      </c>
      <c r="IC198">
        <f t="shared" si="484"/>
        <v>1</v>
      </c>
      <c r="ID198" t="str">
        <f>IF(DA198="","",IF(COUNTIF(DA$3:DA198,DA198)=1,MAX(ID$2:ID197)+1,""))</f>
        <v/>
      </c>
      <c r="IE198" t="str">
        <f>IF(CO198="","",IF(COUNTIF(CO$3:CO198,CO198)+COUNTIF(CP$2:CP197,CO198)+COUNTIF(CQ$2:CQ197,CO198)=1,MAX(IE$2:IG197)+1,""))</f>
        <v/>
      </c>
      <c r="IF198" t="str">
        <f>IF(CP198="","",IF(COUNTIF(CO$3:CO198,CP198)+COUNTIF(CP$3:CP198,CP198)+COUNTIF(CQ$2:CQ197,CP198)=1,MAX(IE$2:IG197,IE198)+1,""))</f>
        <v/>
      </c>
      <c r="IG198" t="str">
        <f>IF(CQ198="","",IF(COUNTIF(CO$3:CO198,CQ198)+COUNTIF(CP$3:CP198,CQ198)+COUNTIF(CQ$3:CQ198,CQ198)=1,MAX(IE$2:IG197,IE198,IF198)+1,""))</f>
        <v/>
      </c>
      <c r="IH198" t="str">
        <f t="shared" si="485"/>
        <v>3х2,5</v>
      </c>
      <c r="II198" t="str">
        <f>IF(IH198="","",IF(COUNTIF(IH$3:IH198,IH198)=1,MAX(II$2:II197)+1,""))</f>
        <v/>
      </c>
      <c r="IJ198" t="str">
        <f>IF(GL198="","",COUNTIF(GL$3:GL198,"?*"))</f>
        <v/>
      </c>
      <c r="IK198" t="str">
        <f>IF(OR(GL198="",GN198=""),"",IF(COUNTIFS(GL$3:GL198,"?*",GN$3:GN198,GN198)=1,MAX(IK$2:IK197)+1,""))</f>
        <v/>
      </c>
      <c r="IL198">
        <f t="shared" si="486"/>
        <v>0</v>
      </c>
      <c r="IM198">
        <f>IF(B198="","",COUNTIF(B$3:B198,"?*"))</f>
        <v>196</v>
      </c>
      <c r="IN198">
        <f>IF(GQ198&lt;&gt;1,0,_xlfn.LET(_xlpm.k,MAX(IFERROR(--VLOOKUP(B198,УГО_спр,5,FALSE),0),IFERROR(--VLOOKUP(AX198,УГО_спр,5,FALSE),0),IFERROR(--VLOOKUP(LEFT(AX198,2),УГО_спр,5,FALSE),0)),IF(_xlpm.k&gt;0,_xlpm.k,IF(IFERROR(--LEFT(SUBSTITUTE(IH198,"x","х"),FIND("х",SUBSTITUTE(IH198,"x","х"))-1),3)&gt;3,Каталог!$S$9,1))))</f>
        <v>1</v>
      </c>
      <c r="IO198">
        <f t="shared" si="487"/>
        <v>0</v>
      </c>
      <c r="IP198" t="str">
        <f t="shared" si="488"/>
        <v>авто</v>
      </c>
      <c r="IQ198">
        <f t="shared" si="489"/>
        <v>30</v>
      </c>
      <c r="IR198">
        <f t="shared" si="490"/>
        <v>1</v>
      </c>
      <c r="IS198">
        <f t="shared" si="491"/>
        <v>1</v>
      </c>
    </row>
    <row r="199" spans="1:253" x14ac:dyDescent="0.3">
      <c r="A199" t="s">
        <v>757</v>
      </c>
      <c r="B199" t="s">
        <v>1465</v>
      </c>
      <c r="C199" t="str">
        <f>Линии[[#This Row],[_авто наименование]]</f>
        <v>Розеточная группа, пом. 008A</v>
      </c>
      <c r="D199">
        <v>2</v>
      </c>
      <c r="E199">
        <v>0.12</v>
      </c>
      <c r="G199" t="str">
        <f>Линии[[#This Row],[_авто автомат]]</f>
        <v>2P С16А 30мА</v>
      </c>
      <c r="H199">
        <f>Линии[[#This Row],[_авто утечка]]</f>
        <v>30</v>
      </c>
      <c r="I199" t="str">
        <f>Линии[[#This Row],[_авто управление]]</f>
        <v/>
      </c>
      <c r="J199" t="str">
        <f>Линии[[#This Row],[_авто аппараты]]</f>
        <v/>
      </c>
      <c r="K199">
        <v>2.5</v>
      </c>
      <c r="L199">
        <v>53</v>
      </c>
      <c r="M199">
        <v>1</v>
      </c>
      <c r="N199" t="s">
        <v>486</v>
      </c>
      <c r="O199" t="str">
        <f t="shared" si="369"/>
        <v/>
      </c>
      <c r="P199" s="6" cm="1">
        <f t="array" ref="P199">IF(B199="","",IF(BC199&lt;&gt;"",IFERROR(_xlfn.XLOOKUP(BC199,Щиты[Щит],Щиты[Iр, А]),""),IF(BK199=1,IFERROR(_xlfn.XLOOKUP(A199,Щиты[Щит],Щиты[Iр, А]),""),IFERROR(_xlfn.IFS(BR199=1,BN199/((Uн_лин/SQRT(3))*BY199),BR199=3,BN199/(SQRT(3)*Uн_лин*BY199)),""))))</f>
        <v>0.54696341291648753</v>
      </c>
      <c r="Q199" s="7">
        <f>IF(B199="","",IFERROR(IF(VLOOKUP(AX199,Потребители_обозначение,4,FALSE)=1,VLOOKUP(AX199,Потребители_обозначение,3,FALSE)*(D199*2-1)+DS199+VLOOKUP(AZ199,Этаж_обозначение,3,FALSE)+VLOOKUP(AZ199,Этаж_обозначение,4,FALSE),VLOOKUP(AX199,Потребители_обозначение,3,FALSE)*(D199*2-1)+DS199),DS199))</f>
        <v>62</v>
      </c>
      <c r="R199" s="6">
        <f t="shared" si="370"/>
        <v>0.69</v>
      </c>
      <c r="S199" t="str">
        <f t="shared" si="371"/>
        <v>ВВГнг(А)-LS (3х2,5)</v>
      </c>
      <c r="T199" t="str">
        <f>IF(BH199="","",IF(BI199="вводной узел","узел ","")&amp;"л."&amp;(INT((BH199-1)/Столбцов_на_лист)+1)&amp;" / "&amp;(MOD(BH199-1,Столбцов_на_лист)+1))</f>
        <v>л.2 / 17</v>
      </c>
      <c r="V199">
        <v>1</v>
      </c>
      <c r="W199">
        <v>230</v>
      </c>
      <c r="X199" t="s">
        <v>564</v>
      </c>
      <c r="AC199" t="s">
        <v>815</v>
      </c>
      <c r="AE199" t="s">
        <v>563</v>
      </c>
      <c r="AI199">
        <v>34</v>
      </c>
      <c r="AJ199" t="s">
        <v>11</v>
      </c>
      <c r="AK199">
        <v>3</v>
      </c>
      <c r="AM199">
        <v>47</v>
      </c>
      <c r="AN199">
        <v>10</v>
      </c>
      <c r="AO199">
        <v>5</v>
      </c>
      <c r="AW199" cm="1">
        <f t="array" ref="AW199">ROW()-ROW(Линии[#Headers])</f>
        <v>197</v>
      </c>
      <c r="AX199" s="6" t="str">
        <f t="shared" si="372"/>
        <v>R</v>
      </c>
      <c r="AY199" t="str">
        <f t="shared" si="373"/>
        <v>0.008A.1</v>
      </c>
      <c r="AZ199" t="str">
        <f t="shared" si="374"/>
        <v>0</v>
      </c>
      <c r="BA199" t="str">
        <f t="shared" si="375"/>
        <v>008A.1</v>
      </c>
      <c r="BB199" t="str">
        <f t="shared" si="376"/>
        <v>008A</v>
      </c>
      <c r="BC199" t="str">
        <f>IF(U199&lt;&gt;"",U199,IF(AND(B199&lt;&gt;"",B199&lt;&gt;A199,ISNUMBER(_xlfn.XMATCH(B199,Щиты[Щит]))),B199,""))</f>
        <v/>
      </c>
      <c r="BD199" t="str" cm="1">
        <f t="array" ref="BD199">IF(B199="","",IF(BC199&lt;&gt;"","Щит "&amp;BC199,_xlfn.LET(_xlpm.nm,IFERROR(_xlfn.XLOOKUP(AX199,Коды_код,Коды_имя)&amp;"",""),_xlpm.md,IFERROR(N(_xlfn.XLOOKUP(AX199,Коды_код,Коды_режим)),1),_xlpm.ex,IF(Имя_режим="по экспликации",IFERROR(_xlfn.XLOOKUP(AZ199&amp;"|"&amp;BB199,Экспликация[Этаж]&amp;"|"&amp;Экспликация[Помещение],Экспликация[Название])&amp;"",""),""),_xlpm.rm,IF(BB199="","",IF(_xlpm.ex&lt;&gt;"",". "&amp;_xlpm.ex&amp;IF(Имя_пом="нет"," ("&amp;BB199&amp;")"," (пом. "&amp;BB199&amp;")"),IF(Имя_пом="нет"," ",", пом. ")&amp;BB199)),IF(_xlpm.nm="","",IF(_xlpm.md=2,_xlpm.nm&amp;" шлейф "&amp;AZ199,_xlpm.nm&amp;_xlpm.rm)))))</f>
        <v>Розеточная группа, пом. 008A</v>
      </c>
      <c r="BE199" t="str">
        <f t="shared" si="377"/>
        <v>Розеточная группа, пом. 008A</v>
      </c>
      <c r="BF199">
        <f>IFERROR(_xlfn.XMATCH(A199,Щиты[Щит]),0)</f>
        <v>9</v>
      </c>
      <c r="BG199">
        <f>_xlfn.LET(_xlpm.k,IFERROR(_xlfn.XLOOKUP(A199,Щиты[Щит],Щиты[Листов под вводной узел]),""),IF(_xlpm.k="",1,N(_xlpm.k))*Столбцов_на_лист)</f>
        <v>17</v>
      </c>
      <c r="BH199">
        <f t="shared" si="378"/>
        <v>34</v>
      </c>
      <c r="BI199" t="str">
        <f t="shared" si="379"/>
        <v>линии</v>
      </c>
      <c r="BJ199" s="6">
        <f>IFERROR(N(_xlfn.XLOOKUP(AX199,Коды_код,Коды_квт)),0)</f>
        <v>0</v>
      </c>
      <c r="BK199">
        <f t="shared" si="380"/>
        <v>0</v>
      </c>
      <c r="BL199" t="str">
        <f>IF(B199="","",IF(BC199&lt;&gt;"",IFERROR(_xlfn.XLOOKUP(BC199,Щиты[Щит],Щиты[Руст, кВт]),0),IF(BK199=1,IFERROR(_xlfn.XLOOKUP(A199,Щиты[Щит],Щиты[Руст, кВт]),0),IF(BJ199&gt;0,ROUND(BJ199*MAX(1,N(D199)),3),""))))</f>
        <v/>
      </c>
      <c r="BM199">
        <f t="shared" si="381"/>
        <v>0.12</v>
      </c>
      <c r="BN199" s="6">
        <f>IF(B199="","",IF(BC199&lt;&gt;"",IFERROR(_xlfn.XLOOKUP(BC199,Щиты[Щит],Щиты[Руст, кВт]),0),N(BM199)))</f>
        <v>0.12</v>
      </c>
      <c r="BO199" t="str">
        <f>IF(B199="","",IFERROR(IF(VLOOKUP(AX199,Потребители_обозначение,8,FALSE)=0,"",VLOOKUP(AX199,Потребители_обозначение,8,FALSE)),""))</f>
        <v/>
      </c>
      <c r="BP199">
        <f t="shared" si="382"/>
        <v>230</v>
      </c>
      <c r="BQ199">
        <f>IF(B199="","",IF(BC199&lt;&gt;"",3,IFERROR(IF(N(VLOOKUP(AX199,Потребители_обозначение,9,FALSE))=0,1,VLOOKUP(AX199,Потребители_обозначение,9,FALSE)),1)))</f>
        <v>1</v>
      </c>
      <c r="BR199">
        <f t="shared" si="383"/>
        <v>1</v>
      </c>
      <c r="BS199" t="str">
        <f>IF(B199="","",_xlfn.LET(_xlpm.bc,IFERROR(IF(VLOOKUP(AX199,Потребители_обозначение,6,FALSE)=0,"",VLOOKUP(AX199,Потребители_обозначение,6,FALSE)&amp;""),""),IF(AND(FK199="да",OR(_xlpm.bc="",_xlpm.bc="мс")),Марка_пож,IF(AND(_xlpm.bc="",BC199&lt;&gt;""),"мс",_xlpm.bc))))</f>
        <v/>
      </c>
      <c r="BT199" t="str">
        <f t="shared" si="384"/>
        <v>мс</v>
      </c>
      <c r="BU199">
        <f>IF(B199="","",_xlfn.LET(_xlpm.cc,IFERROR(N(VLOOKUP(AX199,Потребители_обозначение,7,FALSE)),0),IF(_xlpm.cc&gt;0,_xlpm.cc,IF(BT199="","",IF(N(BR199)=3,5,3)))))</f>
        <v>3</v>
      </c>
      <c r="BV199">
        <f t="shared" si="385"/>
        <v>3</v>
      </c>
      <c r="BW199">
        <f>IFERROR(N(VLOOKUP(AX199,Потребители_обозначение,10,FALSE)),0)</f>
        <v>0</v>
      </c>
      <c r="BX199">
        <f>IFERROR(VLOOKUP(AX199,Потребители_обозначение,5,FALSE),0)</f>
        <v>1</v>
      </c>
      <c r="BY199" s="6" cm="1">
        <f t="array" ref="BY199">IF(B199="","",IF(BC199&lt;&gt;"",IFERROR(_xlfn.XLOOKUP(BC199,Щиты[Щит],Щиты[cos φ]),0.95),IF(BK199=1,IFERROR(_xlfn.XLOOKUP(A199,Щиты[Щит],Щиты[cos φ]),0.95),IF(ISNUMBER(Z199),Z199,IFERROR(IF(BX199=2,_xlfn.IFS(BR199=3,VLOOKUP(BN199,Справочная_двигатели,8,FALSE),BR199=1,VLOOKUP(BN199,Справочная_двигатели,10,TRUE)),IF(AND(Методика="нормы 2026",EQ199="Сил"),0.8,0.95)),0.95)))))</f>
        <v>0.95</v>
      </c>
      <c r="BZ199">
        <f t="shared" si="386"/>
        <v>0</v>
      </c>
      <c r="CA199">
        <f t="shared" si="387"/>
        <v>1</v>
      </c>
      <c r="CB199">
        <f t="shared" si="388"/>
        <v>0</v>
      </c>
      <c r="CC199">
        <f t="shared" si="389"/>
        <v>0</v>
      </c>
      <c r="CD199">
        <f t="shared" si="390"/>
        <v>0</v>
      </c>
      <c r="CE199">
        <f t="shared" si="391"/>
        <v>0</v>
      </c>
      <c r="CF199">
        <f t="shared" si="392"/>
        <v>0</v>
      </c>
      <c r="CG199">
        <f>IF(AX199="",0,_xlfn.LET(_xlpm.v,IFERROR(VLOOKUP(B199,УГО_спр,3,FALSE),IFERROR(VLOOKUP(AX199,УГО_спр,3,FALSE),IFERROR(VLOOKUP(LEFT(AX199,2),УГО_спр,3,FALSE),""))),IF(_xlpm.v="да",30,IF(ISNUMBER(_xlpm.v),_xlpm.v,0))))</f>
        <v>30</v>
      </c>
      <c r="CH199">
        <f t="shared" si="393"/>
        <v>30</v>
      </c>
      <c r="CI199" t="str">
        <f>_xlfn.LET(_xlpm.k,IFERROR(_xlfn.XLOOKUP(AX199,Коды_код,Коды_утечка)&amp;"",""),IF(_xlpm.k="","дифавтомат",_xlpm.k))</f>
        <v>дифавтомат</v>
      </c>
      <c r="CJ199">
        <f t="shared" si="394"/>
        <v>30</v>
      </c>
      <c r="CK199">
        <f t="shared" si="395"/>
        <v>30</v>
      </c>
      <c r="CL199">
        <f>IF(B199="",0,IFERROR(--VLOOKUP(B199,УГО_спр,4,FALSE),IFERROR(--VLOOKUP(AX199,УГО_спр,4,FALSE),IFERROR(--VLOOKUP(LEFT(AX199,2),УГО_спр,4,FALSE),0))))</f>
        <v>16</v>
      </c>
      <c r="CM199" t="str">
        <f>IF(B199="","",IFERROR(_xlfn.XLOOKUP(AX199,Коды_код,Коды_апп)&amp;"",""))</f>
        <v/>
      </c>
      <c r="CN199" t="str">
        <f t="shared" si="396"/>
        <v/>
      </c>
      <c r="CO199" t="str" cm="1">
        <f t="array" ref="CO199">IF(TRIM(CN199&amp;"")="","",IFERROR(TRIM(INDEX(_xlfn.TEXTSPLIT(CN199&amp;";;;",";"),1)),""))</f>
        <v/>
      </c>
      <c r="CP199" t="str" cm="1">
        <f t="array" ref="CP199">IF(TRIM(CN199&amp;"")="","",IFERROR(TRIM(INDEX(_xlfn.TEXTSPLIT(CN199&amp;";;;",";"),2)),""))</f>
        <v/>
      </c>
      <c r="CQ199" t="str" cm="1">
        <f t="array" ref="CQ199">IF(TRIM(CN199&amp;"")="","",IFERROR(TRIM(INDEX(_xlfn.TEXTSPLIT(CN199&amp;";;;",";"),3)),""))</f>
        <v/>
      </c>
      <c r="CR199">
        <f t="shared" si="397"/>
        <v>0</v>
      </c>
      <c r="CS199" t="str">
        <f>IF(B199="","",_xlfn.LET(_xlpm.t,LOWER(AV199&amp;""),IF(ISNUMBER(SEARCH("dim",_xlpm.t)),"DIM",IF(ISNUMBER(SEARCH("dali",_xlpm.t)),"DALI",IF(OR(ISNUMBER(SEARCH("relay",_xlpm.t)),ISNUMBER(SEARCH("реле",_xlpm.t))),"Relay",IF(ISNUMBER(SEARCH("кнопк",_xlpm.t)),"",IFERROR(_xlfn.XLOOKUP(AX199,Коды_код,Коды_упр)&amp;"","")))))))</f>
        <v/>
      </c>
      <c r="CT199" t="str">
        <f t="shared" si="398"/>
        <v/>
      </c>
      <c r="CU199">
        <f>IF(B199="","",_xlfn.LET(_xlpm.ig,N(P199)+IF(AF199="вручную",0,N(CB199)),_xlpm.n0,IFERROR(VLOOKUP(_xlpm.ig,Автомат_номиналы,2,TRUE),0),_xlpm.mn,MAX(CL199,IF(AF199="вручную",0,N(CE199))),MAX(_xlpm.n0,_xlpm.mn,IF(CR199=1,Мин_автомат_БП,0))))</f>
        <v>16</v>
      </c>
      <c r="CV199">
        <f t="shared" si="399"/>
        <v>1</v>
      </c>
      <c r="CW199" t="str">
        <f t="shared" si="400"/>
        <v>2P</v>
      </c>
      <c r="CX199" t="str">
        <f>_xlfn.LET(_xlpm.cc,UPPER(TRIM(IFERROR(_xlfn.XLOOKUP(AX199,Коды_код,Коды_хар)&amp;"",""))),IF(OR(_xlpm.cc="B",_xlpm.cc="В"),"B",IF(_xlpm.cc="D","D","С")))</f>
        <v>С</v>
      </c>
      <c r="CY199" t="str">
        <f t="shared" si="401"/>
        <v>2P С16А 30мА</v>
      </c>
      <c r="CZ199" t="str">
        <f t="shared" si="402"/>
        <v>2P С16А 30мА</v>
      </c>
      <c r="DA199" t="str">
        <f t="shared" si="403"/>
        <v>2P С16А 30мА</v>
      </c>
      <c r="DB199" cm="1">
        <f t="array" ref="DB199">IF(DA199="","",_xlfn.LET(_xlpm.t,SUBSTITUTE(SUBSTITUTE(SUBSTITUTE(UPPER(DA199),"С","C"),"А","A"),"В","B"),_xlpm.tk,_xlfn.TEXTSPLIT(_xlpm.t,"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9" t="str">
        <f t="shared" si="404"/>
        <v>ok</v>
      </c>
      <c r="DD199">
        <f t="shared" si="405"/>
        <v>16</v>
      </c>
      <c r="DE199" t="str">
        <f t="shared" si="406"/>
        <v>2P С16А 30мА</v>
      </c>
      <c r="DF199">
        <f t="shared" si="407"/>
        <v>30</v>
      </c>
      <c r="DG199">
        <f t="shared" si="408"/>
        <v>1</v>
      </c>
      <c r="DH199">
        <f t="shared" si="409"/>
        <v>0</v>
      </c>
      <c r="DI199">
        <f t="shared" si="410"/>
        <v>0.54696341291648753</v>
      </c>
      <c r="DJ199">
        <f t="shared" si="411"/>
        <v>1</v>
      </c>
      <c r="DK199">
        <f>IF(ISNUMBER(AL199),AL199,К_прокл)</f>
        <v>1</v>
      </c>
      <c r="DL199">
        <f t="shared" si="412"/>
        <v>2</v>
      </c>
      <c r="DM199">
        <f>IFERROR(N(VLOOKUP(BT199,Кабель_обозначение,3,FALSE)),1)</f>
        <v>1</v>
      </c>
      <c r="DN199">
        <f>IFERROR(N(_xlfn.XLOOKUP(A199,Щиты[Щит],Щиты[ΔU до шин, %])),0)</f>
        <v>0.43</v>
      </c>
      <c r="DO199" t="str">
        <f>IFERROR(_xlfn.XLOOKUP(A199,Щиты[Щит],Щиты[Zпетли на шинах, Ом]),"")</f>
        <v/>
      </c>
      <c r="DP199">
        <f>IFERROR(N(_xlfn.XLOOKUP(A199,Щиты[Щит],Щиты[ΔU до шин (подбор), %])),0)</f>
        <v>0.43</v>
      </c>
      <c r="DQ199" t="str">
        <f>IFERROR(_xlfn.XLOOKUP(A199,Щиты[Щит],Щиты[Zпетли на шинах (подбор), Ом]),"")</f>
        <v/>
      </c>
      <c r="DR199" t="str">
        <f t="shared" si="413"/>
        <v/>
      </c>
      <c r="DS199">
        <f t="shared" si="414"/>
        <v>53</v>
      </c>
      <c r="DT199">
        <f t="shared" si="415"/>
        <v>2</v>
      </c>
      <c r="DU199">
        <f t="shared" si="416"/>
        <v>0.31</v>
      </c>
      <c r="DV199" s="6">
        <f>IF(B199="","",IF(IFERROR(VLOOKUP(AX199,УГО_спр,2,FALSE),"")="Светильник",3,4)+IF(Методика="нормы 2026",MIN(0.5,MAX(0,N(Q199)-100)*0.005),0))</f>
        <v>4</v>
      </c>
      <c r="DW199" cm="1">
        <f t="array" ref="DW199">IF(OR(B199="",BT199="",DM199&lt;&gt;1),"",_xlfn.LET(_xlpm.sz,Iдоп_S,_xlpm.t_,CHOOSE(DL199,Iдоп_1ж,Iдоп_2ж,Iдоп_3ж)*DJ199*DK199,_xlpm.inn,N(DD199),_xlpm.smin,MAX(1.5,BW199),_xlpm.L_,N(Q199)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199)*(_xlpm.rho*_xlpm.L_/_xlpm.sz*N(BY199)+_xlpm.xx*_xlpm.L_*N(DU199)/1000)*N(P199)/((Uн_лин/SQRT(3))*1000)*100,999),_xlpm.kz,IF(OR(DG199=1,NOT(ISNUMBER(DQ199)),_xlpm.L_=0,_xlpm.inn=0),1,IFERROR(--(c_min*(Uн_лин*1000/SQRT(3))/(DQ199+2*ρкз_Cu*_xlpm.L_/_xlpm.sz)&gt;=GY199*_xlpm.inn),0)),_xlpm.ok,IFERROR((_xlpm.sz&gt;=_xlpm.smin)*(_xlpm.t_&gt;=_xlpm.inn)*IF(_xlpm.L_&gt;0,(_xlpm.du_+DP199&lt;=DV199+0.00001),1)*_xlpm.kz,0),_xlpm.r_,_xlfn._xlws.FILTER(_xlpm.sz,_xlpm.ok,"не подобрано"),INDEX(_xlpm.r_,1)))</f>
        <v>1.5</v>
      </c>
      <c r="DX199">
        <f t="shared" si="417"/>
        <v>2.5</v>
      </c>
      <c r="DY199" cm="1">
        <f t="array" ref="DY199">IF(OR(B199="",BT199="",DM199&lt;&gt;1),"",_xlfn.LET(_xlpm.sz,Iдоп_S,_xlpm.t_,CHOOSE(DL199,Iдоп_1ж,Iдоп_2ж,Iдоп_3ж)*DJ199*DK199,_xlpm.ok,IFERROR((_xlpm.sz&gt;=MAX(1.5,BW199))*(_xlpm.t_&gt;=N(DD199)),0),_xlpm.r_,_xlfn._xlws.FILTER(_xlpm.sz,_xlpm.ok,""),INDEX(_xlpm.r_,1)))</f>
        <v>1.5</v>
      </c>
      <c r="DZ199" s="6" cm="1">
        <f t="array" ref="DZ199">IFERROR(ROUNDUP(N(DT199)*(_xlfn.XLOOKUP(DY199,INDEX(Кабель_сопротивление,0,1),INDEX(Кабель_сопротивление,0,3))*N(Q199)/DY199*N(BY199)+_xlfn.XLOOKUP(DY199,INDEX(Кабель_сопротивление,0,1),INDEX(Кабель_сопротивление,0,2))*N(Q199)*N(DU199)/1000)*N(P199)/((Uн_лин/SQRT(3))*1000)*100,2),"")</f>
        <v>0.42</v>
      </c>
      <c r="EA199">
        <f>IFERROR(2*ρкз_Cu*N(Q199)/DY199,"")</f>
        <v>2.1741333333333333</v>
      </c>
      <c r="EB199">
        <f>IFERROR(VLOOKUP(DX199,Кабель_сопротивление,3,FALSE),"")</f>
        <v>2.2499999999999999E-2</v>
      </c>
      <c r="EC199">
        <f>IFERROR(VLOOKUP(DX199,Кабель_сопротивление,2,FALSE),"")</f>
        <v>0.1</v>
      </c>
      <c r="ED199">
        <f t="shared" si="418"/>
        <v>10</v>
      </c>
      <c r="EE199">
        <f t="shared" si="419"/>
        <v>5</v>
      </c>
      <c r="EF199">
        <f t="shared" si="420"/>
        <v>0.58199313773331107</v>
      </c>
      <c r="EG199" s="6">
        <f>IFERROR(ROUNDUP(EF199/((Uн_лин/SQRT(3))*1000)*100,2),"")</f>
        <v>0.26</v>
      </c>
      <c r="EH199" t="str">
        <f>IFERROR(VLOOKUP(BT199,Кабель_обозначение,2,FALSE),"")</f>
        <v>ВВГнг(А)-LS</v>
      </c>
      <c r="EI199" t="str">
        <f t="shared" si="421"/>
        <v>ВВГнг(А)-LS (3х2,5)</v>
      </c>
      <c r="EJ199" t="str">
        <f t="shared" si="422"/>
        <v>ВВГнг(А)-LS (3х2,5)
L=62-0,26%</v>
      </c>
      <c r="EK199">
        <f>IFERROR(2*ρкз_Cu*Q199/DX199,"")</f>
        <v>1.3044800000000001</v>
      </c>
      <c r="EL199">
        <f t="shared" si="423"/>
        <v>0.43400000000000005</v>
      </c>
      <c r="EM199" s="6" t="str">
        <f>IFERROR(IF(OR(B199="",NOT(ISNUMBER(DX199)),N(Q199)=0),"",_xlfn.XLOOKUP(A199,Щиты[Щит],Щиты[Zпетли на шинах, Ом])+EK199),"")</f>
        <v/>
      </c>
      <c r="EN199" s="6" t="str">
        <f>IF(ISNUMBER(EM199),c_min*(Uн_лин*1000/SQRT(3))/EM199,"")</f>
        <v/>
      </c>
      <c r="EO199" s="6" t="str">
        <f>IFERROR(IF(OR(B199="",NOT(ISNUMBER(DX199))),"",1.05*(Uн_лин*1000/SQRT(3))/(_xlfn.XLOOKUP(A199,Щиты[Щит],Щиты[Zmax на шинах, Ом])+EL199)/1000),"")</f>
        <v/>
      </c>
      <c r="EP199" s="6" t="str">
        <f>IF(B199="","",IF(ISNUMBER(Y199),"Сил",IF(IFERROR(_xlfn.XLOOKUP(AX199,Коды_код,Коды_группа)&amp;"","")="","Быт",_xlfn.XLOOKUP(AX199,Коды_код,Коды_группа)&amp;"")))</f>
        <v>Быт</v>
      </c>
      <c r="EQ199" s="6" t="str">
        <f t="shared" si="424"/>
        <v>Быт</v>
      </c>
      <c r="ER199" s="6">
        <f>IF(EQ199="Щит","щит",IF(EQ199="","",IF(EQ199="Быт",IFERROR(_xlfn.XLOOKUP(A199,Щиты[Щит],Щиты[Кс быт]),1),IF(EQ199="Сил",IF(ISNUMBER(Y199),Y199,IF(Методика="нормы 2026",IFERROR(_xlfn.XLOOKUP(A199,Щиты[Щит],Щиты[Кс силовых (табл. 7.5)]),1),1)),IF(OR(EQ199="Пост",EQ199="Отоп"),1,IF(EQ199="ВНГ",0.7,0))))))</f>
        <v>0.79799999999999993</v>
      </c>
      <c r="ES199">
        <f t="shared" si="425"/>
        <v>1</v>
      </c>
      <c r="ET199">
        <f t="shared" si="426"/>
        <v>0.12</v>
      </c>
      <c r="EU199">
        <f t="shared" si="427"/>
        <v>0.12</v>
      </c>
      <c r="EV199">
        <f t="shared" si="428"/>
        <v>0</v>
      </c>
      <c r="EW199">
        <f t="shared" si="429"/>
        <v>0</v>
      </c>
      <c r="EX199">
        <f t="shared" si="430"/>
        <v>0</v>
      </c>
      <c r="EY199">
        <f t="shared" si="431"/>
        <v>0</v>
      </c>
      <c r="EZ199">
        <f t="shared" si="432"/>
        <v>0.12</v>
      </c>
      <c r="FA199">
        <f t="shared" si="433"/>
        <v>0.11399999999999999</v>
      </c>
      <c r="FB199">
        <f t="shared" si="434"/>
        <v>0.12</v>
      </c>
      <c r="FC199" t="str">
        <f t="shared" si="435"/>
        <v>L1</v>
      </c>
      <c r="FD199" t="str">
        <f>IF(B199="","",IF(CA199=0,IF(AW199=1,"",FF198),IF(OR(N(CV199)&gt;=3,N(BR199)&gt;=3),"L1,L2,L3",IFERROR(_xlfn.TEXTBEFORE(_xlfn.TEXTAFTER(_xlfn.XLOOKUP(A199,Щиты[Щит],Щиты[_фазы авто]),";"&amp;AW199&amp;":"),";"),"L1"))))</f>
        <v>L1</v>
      </c>
      <c r="FE199" t="str">
        <f t="shared" si="436"/>
        <v>L1</v>
      </c>
      <c r="FF199" t="str">
        <f t="shared" si="437"/>
        <v>L1</v>
      </c>
      <c r="FG199" cm="1">
        <f t="array" ref="FG199">IFERROR(IF(BX199=2,_xlfn.IFS(BR199=3,VLOOKUP(BN199,Справочная_двигатели,3,FALSE),BR199=1,VLOOKUP(BN199,Справочная_двигатели,5,TRUE)),0),0)</f>
        <v>0</v>
      </c>
      <c r="FH199">
        <f>IFERROR(IF(BX199=3,VLOOKUP(BN199,Справочная_ЛЭД,2,TRUE),0),0)</f>
        <v>0</v>
      </c>
      <c r="FI199" s="6">
        <f t="shared" si="438"/>
        <v>0</v>
      </c>
      <c r="FJ199" t="str" cm="1">
        <f t="array" ref="FJ199">IF(B199="","",IFERROR(INDEX({"I особая","I","II","III"},MATCH(TRIM(AC199&amp;""),{"I особая","I","II","III"},0)),"III"))</f>
        <v>II</v>
      </c>
      <c r="FK199" t="str">
        <f>IF(B199="","",IF(TRIM(AD199&amp;"")&lt;&gt;"",IF(LOWER(TRIM(AD199&amp;""))="да","да","нет"),IF(IFERROR(_xlfn.XLOOKUP(AX199,Коды_код,Коды_пожарная),"")="да","да","нет")))</f>
        <v>нет</v>
      </c>
      <c r="FL199" t="str">
        <f t="shared" si="439"/>
        <v/>
      </c>
      <c r="FM199" t="str">
        <f t="shared" si="440"/>
        <v>основная</v>
      </c>
      <c r="FN199">
        <f t="shared" si="441"/>
        <v>1</v>
      </c>
      <c r="FO199" t="str" cm="1">
        <f t="array" ref="FO199">IF(B199="","",_xlfn.LET(_xlpm.t,IFERROR(_xlfn.XLOOKUP(1,(Шины[Шина]=FM199)*(((Шины[Щит]=A199)+(Шины[Щит]=""))&gt;0),Шины[Тип]),"")&amp;"",IF(_xlpm.t&lt;&gt;"",_xlpm.t,IF(ISNUMBER(SEARCH("ИБП",FM199)),"ИБП",IF(ISNUMBER(SEARCH("ДГУ",FM199)),"ДГУ","Ввод "&amp;FN199)))))</f>
        <v>Ввод 1</v>
      </c>
      <c r="FP199" t="str">
        <f t="shared" si="442"/>
        <v>Ввод 1</v>
      </c>
      <c r="FQ199" t="str">
        <f>IF(B199="","",IF(OR(FO199="ИБП",FO199="ДГУ"),"I особая",IF(FO199="Одиночная","III",_xlfn.XLOOKUP(A199,Щиты[Щит],Щиты[Категория шины «Ввод»],"III"))))</f>
        <v>II</v>
      </c>
      <c r="FR199">
        <f>IF(B199="",0,IFERROR(MATCH(FJ199,{"III","II","I","I особая"},0),1))</f>
        <v>2</v>
      </c>
      <c r="FS199">
        <f t="shared" si="443"/>
        <v>2</v>
      </c>
      <c r="FT199" t="str">
        <f>IF(B199="","",IF(FR199&gt;IFERROR(MATCH(FQ199,{"III","II","I","I особая"},0),1),"НЕ ОБЕСПЕЧЕНА","ОК"))</f>
        <v>ОК</v>
      </c>
      <c r="FU199" t="str">
        <f>IF(A199="","",_xlfn.XLOOKUP(A199,Щиты[Щит],Щиты[Путь],""))</f>
        <v>|ГРЩ-ЖД|ЩР-01|</v>
      </c>
      <c r="FV199" t="str">
        <f>IF(B199="","",IF(AE199&lt;&gt;"",AE199,IF(IFERROR(_xlfn.XLOOKUP(AX199,Коды_код,Коды_вид)&amp;"","")="","Прочее",_xlfn.XLOOKUP(AX199,Коды_код,Коды_вид)&amp;"")))</f>
        <v>Розеточная сеть и бытовые приборы</v>
      </c>
      <c r="FW199">
        <f>IF(BH199="","",INT((BH199-1)/Столбцов_на_лист)+1)</f>
        <v>2</v>
      </c>
      <c r="FX199" t="str">
        <f t="shared" si="444"/>
        <v>ВВГнг(А)-LS (3х2,5) L=62-0,26%</v>
      </c>
      <c r="FY199">
        <f t="shared" si="445"/>
        <v>0.12</v>
      </c>
      <c r="FZ199">
        <f t="shared" si="446"/>
        <v>0.55000000000000004</v>
      </c>
      <c r="GA199">
        <f t="shared" si="447"/>
        <v>1</v>
      </c>
      <c r="GB199">
        <f t="shared" si="448"/>
        <v>0</v>
      </c>
      <c r="GC199">
        <f t="shared" si="449"/>
        <v>1</v>
      </c>
      <c r="GD199">
        <f>IF(BH199="","",IF(AND(CA199=1,GC199=1),COUNTIFS(A$3:A199,A199,CA$3:CA199,1,GC$3:GC199,1),IF(OR(OR(AW199=1,A199&lt;&gt;A198),AF199="вручную",GC199=0),"",IF(AW199=1,"",GE198))))</f>
        <v>15</v>
      </c>
      <c r="GE199">
        <f t="shared" si="450"/>
        <v>15</v>
      </c>
      <c r="GF199">
        <f>IF(B199="","",IFERROR(LOOKUP(INDEX(CHOOSE(DL199,Iдоп_1ж,Iдоп_2ж,Iдоп_3ж),MATCH(DX199,Iдоп_S,0))*DJ199*DK199,{6,10,16,20,25,32,40,50,63,80,100,125,160,200,250,315,400,500,630}),""))</f>
        <v>25</v>
      </c>
      <c r="GG199" t="str">
        <f t="shared" si="451"/>
        <v>QFD15</v>
      </c>
      <c r="GH199" t="str">
        <f t="shared" si="452"/>
        <v>QFD15</v>
      </c>
      <c r="GI199" t="str">
        <f t="shared" si="453"/>
        <v/>
      </c>
      <c r="GJ199">
        <f t="shared" si="454"/>
        <v>0</v>
      </c>
      <c r="GK199" t="str">
        <f>IF(OR(AG199="",AG199="-"),"",IFERROR(VLOOKUP(AG199,Модули_спр,2,FALSE),"R"))</f>
        <v/>
      </c>
      <c r="GL199" t="str">
        <f>IF(GK199="","",GK199&amp;"."&amp;COUNTIFS(A$3:A199,A199,GK$3:GK199,GK199))</f>
        <v/>
      </c>
      <c r="GM199" t="str">
        <f t="shared" si="455"/>
        <v/>
      </c>
      <c r="GN199" t="str">
        <f t="shared" si="456"/>
        <v/>
      </c>
      <c r="GO199" t="str">
        <f t="shared" si="457"/>
        <v/>
      </c>
      <c r="GP199" t="str">
        <f t="shared" si="458"/>
        <v/>
      </c>
      <c r="GQ199">
        <f t="shared" si="459"/>
        <v>1</v>
      </c>
      <c r="GR199" t="str">
        <f>IF(GQ199=1,"XT"&amp;COUNTIFS(A$3:A199,A199,GQ$3:GQ199,1),"")</f>
        <v>XT15</v>
      </c>
      <c r="GS199" t="str">
        <f t="shared" si="460"/>
        <v/>
      </c>
      <c r="GT199" t="str">
        <f t="shared" si="461"/>
        <v>QFD15</v>
      </c>
      <c r="GU199" t="str">
        <f t="shared" si="462"/>
        <v/>
      </c>
      <c r="GV199" t="str">
        <f t="shared" si="463"/>
        <v>ok</v>
      </c>
      <c r="GW199" t="str">
        <f>IF(OR(GO199="",GM199=""),"",IF(GO199&gt;IFERROR(VLOOKUP(GN199,Модули_спр,3,FALSE),99),"ЛИШНИЙ КАНАЛ",IF(AND(AH199&lt;&gt;"=",COUNTIFS(Линии[_модуль гр.],GM199,Линии[Канал (итог)],GO199,Линии[Канал],"&lt;&gt;=",Линии[Щит],A199)&gt;1),"ДУБЛЬ КАНАЛА","")))</f>
        <v/>
      </c>
      <c r="GX199" s="6" t="str">
        <f t="shared" si="464"/>
        <v/>
      </c>
      <c r="GY199">
        <f t="shared" si="465"/>
        <v>10</v>
      </c>
      <c r="GZ199" t="str">
        <f t="shared" si="466"/>
        <v/>
      </c>
      <c r="HA199" t="str">
        <f>IF(AND(B199="",GT199=""),"",_xlfn.TEXTJOIN("; ",TRUE,IF(AND(B199&lt;&gt;"",FE199=""),"нет фазы",""),IF(AND(B199&lt;&gt;"",N(FY199)=0,EQ199&lt;&gt;"Нет"),"нет мощности",""),IF(AND(GS199&lt;&gt;"",COUNTIFS(Линии[Щит],A199,Линии[Клемма (итог)],GS199)&gt;1),"дубль клеммы "&amp;GS199,""),IF(AND(GV199&lt;&gt;"",GV199&lt;&gt;"ok"),GV199,""),IF(GW199&lt;&gt;"",GW199,""),IF(AND(N(BV199)&gt;=4,N(BR199)=1),BV199&amp;" жил на 1 фазе",""),IF(AND(AX199="R",CA199=1,OR(N(CK199)=0,N(CK199)&gt;30)),"розетка без дифзащиты до 30 мА",""),IFERROR(IF(AND(ISNUMBER(R199),R199&gt;DV199),"потери "&amp;FIXED(R199,1)&amp;" % &gt; "&amp;DV199&amp;" %",""),""),IFERROR(IF(LEFT(GZ199,4)="мало","Iкз мало — отключение &gt; 0,4 с",""),""),IF(AND(B199&lt;&gt;"",BH199=""),"не на схеме",""),IF(AND(CA199=0,B199&lt;&gt;"",FE199&lt;&gt;"",IF(AW199=1,"",FF198)&lt;&gt;"",FE199&lt;&gt;IF(AW199=1,"",FF198)),"фаза не как у автомата группы ("&amp;IF(AW199=1,"",FF198)&amp;")","")))</f>
        <v/>
      </c>
      <c r="HB199" s="6">
        <f>IF(OR(CA199=0,DA199=""),"",_xlfn.LET(_xlpm.t,IFERROR(_xlfn.XLOOKUP(DA199,Каталог!$U$4:$U$500,Каталог!$G$4:$G$500),""),_xlpm.k,SEARCH("кА",_xlpm.t),IFERROR(--TRIM(RIGHT(SUBSTITUTE(MID(_xlpm.t,MAX(1,_xlpm.k-4),_xlpm.k-MAX(1,_xlpm.k-4))," ",REPT(" ",9)),5)),"")))</f>
        <v>6</v>
      </c>
      <c r="HC199" t="str">
        <f>IF(OR(HB199="",CA199=0),"",IF(_xlfn.XLOOKUP(A199,Щиты[Щит],Щиты[Iкз max на шинах, кА],"")="","",IF(HB199&lt;_xlfn.XLOOKUP(A199,Щиты[Щит],Щиты[Iкз max на шинах, кА]),"Icu "&amp;HB199&amp;" кА &lt; Iкз max","ok")))</f>
        <v/>
      </c>
      <c r="HD199" t="str">
        <f t="shared" si="467"/>
        <v/>
      </c>
      <c r="HE199" t="str">
        <f t="shared" si="468"/>
        <v>QFD15</v>
      </c>
      <c r="HF199" t="str">
        <f t="shared" si="469"/>
        <v>QFD15|кабель ВВГнг(А)-LS (3х2,5) → Розеточная группа, пом. 008A</v>
      </c>
      <c r="HG199" t="str" cm="1">
        <f t="array" ref="HG199">IF(HF199="","",_xlfn.LET(_xlpm.nd,_xlfn.TEXTSPLIT(HF199,"|"),IF(COLUMNS(_xlpm.nd)&gt;1,A199&amp;"¦"&amp;INDEX(_xlpm.nd,1)&amp;"¦"&amp;INDEX(_xlpm.nd,2),"")))</f>
        <v>ЩР-01¦QFD15¦кабель ВВГнг(А)-LS (3х2,5) → Розеточная группа, пом. 008A</v>
      </c>
      <c r="HH199" t="str">
        <f t="shared" si="470"/>
        <v>R.0.008A.1¦Розеточная группа, пом. 008A</v>
      </c>
      <c r="HI199" t="str" cm="1">
        <f t="array" ref="HI199">IF(HF199="","",_xlfn.LET(_xlpm.nd,_xlfn.TEXTSPLIT(HF199,"|"),IF(COLUMNS(_xlpm.nd)&gt;2,A199&amp;"¦"&amp;INDEX(_xlpm.nd,2)&amp;"¦"&amp;INDEX(_xlpm.nd,3),"")))</f>
        <v/>
      </c>
      <c r="HJ199" t="str">
        <f t="shared" si="471"/>
        <v/>
      </c>
      <c r="HK199" t="str" cm="1">
        <f t="array" ref="HK199">IF(HF199="","",_xlfn.LET(_xlpm.nd,_xlfn.TEXTSPLIT(HF199,"|"),IF(COLUMNS(_xlpm.nd)&gt;3,A199&amp;"¦"&amp;INDEX(_xlpm.nd,3)&amp;"¦"&amp;INDEX(_xlpm.nd,4),"")))</f>
        <v/>
      </c>
      <c r="HL199" t="str">
        <f t="shared" si="472"/>
        <v/>
      </c>
      <c r="HM199" t="str" cm="1">
        <f t="array" ref="HM199">IF(HF199="","",_xlfn.LET(_xlpm.nd,_xlfn.TEXTSPLIT(HF199,"|"),IF(COLUMNS(_xlpm.nd)&gt;4,A199&amp;"¦"&amp;INDEX(_xlpm.nd,4)&amp;"¦"&amp;INDEX(_xlpm.nd,5),"")))</f>
        <v/>
      </c>
      <c r="HN199" t="str">
        <f t="shared" si="473"/>
        <v/>
      </c>
      <c r="HO199" t="str" cm="1">
        <f t="array" ref="HO199">IF(HF199="","",_xlfn.LET(_xlpm.nd,_xlfn.TEXTSPLIT(HF199,"|"),IF(COLUMNS(_xlpm.nd)&gt;5,A199&amp;"¦"&amp;INDEX(_xlpm.nd,5)&amp;"¦"&amp;INDEX(_xlpm.nd,6),"")))</f>
        <v/>
      </c>
      <c r="HP199" t="str">
        <f t="shared" si="474"/>
        <v/>
      </c>
      <c r="HQ199" t="str" cm="1">
        <f t="array" ref="HQ199">IF(HF199="","",_xlfn.LET(_xlpm.nd,_xlfn.TEXTSPLIT(HF199,"|"),IF(COLUMNS(_xlpm.nd)&gt;6,A199&amp;"¦"&amp;INDEX(_xlpm.nd,6)&amp;"¦"&amp;INDEX(_xlpm.nd,7),"")))</f>
        <v/>
      </c>
      <c r="HR199" t="str">
        <f t="shared" si="475"/>
        <v/>
      </c>
      <c r="HS199" t="str">
        <f t="shared" si="476"/>
        <v/>
      </c>
      <c r="HT199" t="str">
        <f t="shared" si="477"/>
        <v>QFD15</v>
      </c>
      <c r="HU199">
        <f t="shared" si="478"/>
        <v>0</v>
      </c>
      <c r="HV199">
        <f t="shared" si="479"/>
        <v>1</v>
      </c>
      <c r="HW199" t="str">
        <f t="shared" si="480"/>
        <v/>
      </c>
      <c r="HX199" t="str">
        <f t="shared" si="481"/>
        <v/>
      </c>
      <c r="HY199" t="str">
        <f t="shared" si="482"/>
        <v/>
      </c>
      <c r="HZ199" t="str">
        <f t="shared" si="483"/>
        <v/>
      </c>
      <c r="IA199" t="str">
        <f>IF(B199="","",IFERROR(VLOOKUP(B199,УГО_спр,2,FALSE),IFERROR(VLOOKUP(AX199,УГО_спр,2,FALSE),IFERROR(VLOOKUP(LEFT(AX199,2),УГО_спр,2,FALSE),""))))</f>
        <v>Розетка</v>
      </c>
      <c r="IB199" t="str">
        <f>IF(B199="","",IF(OR(IA199="",IA199=0),"BOX",IFERROR(IF(VLOOKUP(IA199,УГО_блоки,3,FALSE)&amp;""&lt;&gt;"",VLOOKUP(IA199,УГО_блоки,3,FALSE),VLOOKUP(IA199,УГО_блоки,2,FALSE)),IA199)))</f>
        <v>SOCKET</v>
      </c>
      <c r="IC199">
        <f t="shared" si="484"/>
        <v>1</v>
      </c>
      <c r="ID199" t="str">
        <f>IF(DA199="","",IF(COUNTIF(DA$3:DA199,DA199)=1,MAX(ID$2:ID198)+1,""))</f>
        <v/>
      </c>
      <c r="IE199" t="str">
        <f>IF(CO199="","",IF(COUNTIF(CO$3:CO199,CO199)+COUNTIF(CP$2:CP198,CO199)+COUNTIF(CQ$2:CQ198,CO199)=1,MAX(IE$2:IG198)+1,""))</f>
        <v/>
      </c>
      <c r="IF199" t="str">
        <f>IF(CP199="","",IF(COUNTIF(CO$3:CO199,CP199)+COUNTIF(CP$3:CP199,CP199)+COUNTIF(CQ$2:CQ198,CP199)=1,MAX(IE$2:IG198,IE199)+1,""))</f>
        <v/>
      </c>
      <c r="IG199" t="str">
        <f>IF(CQ199="","",IF(COUNTIF(CO$3:CO199,CQ199)+COUNTIF(CP$3:CP199,CQ199)+COUNTIF(CQ$3:CQ199,CQ199)=1,MAX(IE$2:IG198,IE199,IF199)+1,""))</f>
        <v/>
      </c>
      <c r="IH199" t="str">
        <f t="shared" si="485"/>
        <v>3х2,5</v>
      </c>
      <c r="II199" t="str">
        <f>IF(IH199="","",IF(COUNTIF(IH$3:IH199,IH199)=1,MAX(II$2:II198)+1,""))</f>
        <v/>
      </c>
      <c r="IJ199" t="str">
        <f>IF(GL199="","",COUNTIF(GL$3:GL199,"?*"))</f>
        <v/>
      </c>
      <c r="IK199" t="str">
        <f>IF(OR(GL199="",GN199=""),"",IF(COUNTIFS(GL$3:GL199,"?*",GN$3:GN199,GN199)=1,MAX(IK$2:IK198)+1,""))</f>
        <v/>
      </c>
      <c r="IL199">
        <f t="shared" si="486"/>
        <v>0</v>
      </c>
      <c r="IM199">
        <f>IF(B199="","",COUNTIF(B$3:B199,"?*"))</f>
        <v>197</v>
      </c>
      <c r="IN199">
        <f>IF(GQ199&lt;&gt;1,0,_xlfn.LET(_xlpm.k,MAX(IFERROR(--VLOOKUP(B199,УГО_спр,5,FALSE),0),IFERROR(--VLOOKUP(AX199,УГО_спр,5,FALSE),0),IFERROR(--VLOOKUP(LEFT(AX199,2),УГО_спр,5,FALSE),0)),IF(_xlpm.k&gt;0,_xlpm.k,IF(IFERROR(--LEFT(SUBSTITUTE(IH199,"x","х"),FIND("х",SUBSTITUTE(IH199,"x","х"))-1),3)&gt;3,Каталог!$S$9,1))))</f>
        <v>1</v>
      </c>
      <c r="IO199">
        <f t="shared" si="487"/>
        <v>0</v>
      </c>
      <c r="IP199" t="str">
        <f t="shared" si="488"/>
        <v>авто</v>
      </c>
      <c r="IQ199">
        <f t="shared" si="489"/>
        <v>30</v>
      </c>
      <c r="IR199">
        <f t="shared" si="490"/>
        <v>1</v>
      </c>
      <c r="IS199">
        <f t="shared" si="491"/>
        <v>1</v>
      </c>
    </row>
    <row r="200" spans="1:253" x14ac:dyDescent="0.3">
      <c r="A200" t="s">
        <v>757</v>
      </c>
      <c r="B200" t="s">
        <v>1466</v>
      </c>
      <c r="C200" t="s">
        <v>1658</v>
      </c>
      <c r="D200">
        <v>1</v>
      </c>
      <c r="E200">
        <v>2.2000000000000002</v>
      </c>
      <c r="G200" t="str">
        <f>Линии[[#This Row],[_авто автомат]]</f>
        <v>2P С16А 30мА</v>
      </c>
      <c r="H200">
        <f>Линии[[#This Row],[_авто утечка]]</f>
        <v>30</v>
      </c>
      <c r="I200" t="str">
        <f>Линии[[#This Row],[_авто управление]]</f>
        <v/>
      </c>
      <c r="J200" t="str">
        <f>Линии[[#This Row],[_авто аппараты]]</f>
        <v/>
      </c>
      <c r="K200">
        <v>2.5</v>
      </c>
      <c r="L200">
        <v>61</v>
      </c>
      <c r="M200">
        <v>1</v>
      </c>
      <c r="N200" t="s">
        <v>486</v>
      </c>
      <c r="O200" t="str">
        <f t="shared" si="369"/>
        <v>потери 5,2 % &gt; 4 %</v>
      </c>
      <c r="P200" s="6" cm="1">
        <f t="array" ref="P200">IF(B200="","",IF(BC200&lt;&gt;"",IFERROR(_xlfn.XLOOKUP(BC200,Щиты[Щит],Щиты[Iр, А]),""),IF(BK200=1,IFERROR(_xlfn.XLOOKUP(A200,Щиты[Щит],Щиты[Iр, А]),""),IFERROR(_xlfn.IFS(BR200=1,BN200/((Uн_лин/SQRT(3))*BY200),BR200=3,BN200/(SQRT(3)*Uн_лин*BY200)),""))))</f>
        <v>10.027662570135606</v>
      </c>
      <c r="Q200" s="7">
        <f>IF(B200="","",IFERROR(IF(VLOOKUP(AX200,Потребители_обозначение,4,FALSE)=1,VLOOKUP(AX200,Потребители_обозначение,3,FALSE)*(D200*2-1)+DS200+VLOOKUP(AZ200,Этаж_обозначение,3,FALSE)+VLOOKUP(AZ200,Этаж_обозначение,4,FALSE),VLOOKUP(AX200,Потребители_обозначение,3,FALSE)*(D200*2-1)+DS200),DS200))</f>
        <v>64</v>
      </c>
      <c r="R200" s="6">
        <f t="shared" si="370"/>
        <v>5.1999999999999993</v>
      </c>
      <c r="S200" t="str">
        <f t="shared" si="371"/>
        <v>ВВГнг(А)-LS (3х2,5)</v>
      </c>
      <c r="T200" t="str">
        <f>IF(BH200="","",IF(BI200="вводной узел","узел ","")&amp;"л."&amp;(INT((BH200-1)/Столбцов_на_лист)+1)&amp;" / "&amp;(MOD(BH200-1,Столбцов_на_лист)+1))</f>
        <v>л.3 / 1</v>
      </c>
      <c r="V200">
        <v>1</v>
      </c>
      <c r="W200">
        <v>230</v>
      </c>
      <c r="X200" t="s">
        <v>564</v>
      </c>
      <c r="AC200" t="s">
        <v>815</v>
      </c>
      <c r="AE200" t="s">
        <v>563</v>
      </c>
      <c r="AI200">
        <v>35</v>
      </c>
      <c r="AJ200" t="s">
        <v>11</v>
      </c>
      <c r="AK200">
        <v>3</v>
      </c>
      <c r="AM200">
        <v>49</v>
      </c>
      <c r="AN200">
        <v>15</v>
      </c>
      <c r="AO200">
        <v>0</v>
      </c>
      <c r="AW200" cm="1">
        <f t="array" ref="AW200">ROW()-ROW(Линии[#Headers])</f>
        <v>198</v>
      </c>
      <c r="AX200" s="6" t="str">
        <f t="shared" si="372"/>
        <v>R</v>
      </c>
      <c r="AY200" t="str">
        <f t="shared" si="373"/>
        <v>0.008A.2</v>
      </c>
      <c r="AZ200" t="str">
        <f t="shared" si="374"/>
        <v>0</v>
      </c>
      <c r="BA200" t="str">
        <f t="shared" si="375"/>
        <v>008A.2</v>
      </c>
      <c r="BB200" t="str">
        <f t="shared" si="376"/>
        <v>008A</v>
      </c>
      <c r="BC200" t="str">
        <f>IF(U200&lt;&gt;"",U200,IF(AND(B200&lt;&gt;"",B200&lt;&gt;A200,ISNUMBER(_xlfn.XMATCH(B200,Щиты[Щит]))),B200,""))</f>
        <v/>
      </c>
      <c r="BD200" t="str" cm="1">
        <f t="array" ref="BD200">IF(B200="","",IF(BC200&lt;&gt;"","Щит "&amp;BC200,_xlfn.LET(_xlpm.nm,IFERROR(_xlfn.XLOOKUP(AX200,Коды_код,Коды_имя)&amp;"",""),_xlpm.md,IFERROR(N(_xlfn.XLOOKUP(AX200,Коды_код,Коды_режим)),1),_xlpm.ex,IF(Имя_режим="по экспликации",IFERROR(_xlfn.XLOOKUP(AZ200&amp;"|"&amp;BB200,Экспликация[Этаж]&amp;"|"&amp;Экспликация[Помещение],Экспликация[Название])&amp;"",""),""),_xlpm.rm,IF(BB200="","",IF(_xlpm.ex&lt;&gt;"",". "&amp;_xlpm.ex&amp;IF(Имя_пом="нет"," ("&amp;BB200&amp;")"," (пом. "&amp;BB200&amp;")"),IF(Имя_пом="нет"," ",", пом. ")&amp;BB200)),IF(_xlpm.nm="","",IF(_xlpm.md=2,_xlpm.nm&amp;" шлейф "&amp;AZ200,_xlpm.nm&amp;_xlpm.rm)))))</f>
        <v>Розеточная группа, пом. 008A</v>
      </c>
      <c r="BE200" t="str">
        <f t="shared" si="377"/>
        <v>Розеточная группа Цокольный этаж Пом. №008A Душ виши</v>
      </c>
      <c r="BF200">
        <f>IFERROR(_xlfn.XMATCH(A200,Щиты[Щит]),0)</f>
        <v>9</v>
      </c>
      <c r="BG200">
        <f>_xlfn.LET(_xlpm.k,IFERROR(_xlfn.XLOOKUP(A200,Щиты[Щит],Щиты[Листов под вводной узел]),""),IF(_xlpm.k="",1,N(_xlpm.k))*Столбцов_на_лист)</f>
        <v>17</v>
      </c>
      <c r="BH200">
        <f t="shared" si="378"/>
        <v>35</v>
      </c>
      <c r="BI200" t="str">
        <f t="shared" si="379"/>
        <v>линии</v>
      </c>
      <c r="BJ200" s="6">
        <f>IFERROR(N(_xlfn.XLOOKUP(AX200,Коды_код,Коды_квт)),0)</f>
        <v>0</v>
      </c>
      <c r="BK200">
        <f t="shared" si="380"/>
        <v>0</v>
      </c>
      <c r="BL200" t="str">
        <f>IF(B200="","",IF(BC200&lt;&gt;"",IFERROR(_xlfn.XLOOKUP(BC200,Щиты[Щит],Щиты[Руст, кВт]),0),IF(BK200=1,IFERROR(_xlfn.XLOOKUP(A200,Щиты[Щит],Щиты[Руст, кВт]),0),IF(BJ200&gt;0,ROUND(BJ200*MAX(1,N(D200)),3),""))))</f>
        <v/>
      </c>
      <c r="BM200">
        <f t="shared" si="381"/>
        <v>2.2000000000000002</v>
      </c>
      <c r="BN200" s="6">
        <f>IF(B200="","",IF(BC200&lt;&gt;"",IFERROR(_xlfn.XLOOKUP(BC200,Щиты[Щит],Щиты[Руст, кВт]),0),N(BM200)))</f>
        <v>2.2000000000000002</v>
      </c>
      <c r="BO200" t="str">
        <f>IF(B200="","",IFERROR(IF(VLOOKUP(AX200,Потребители_обозначение,8,FALSE)=0,"",VLOOKUP(AX200,Потребители_обозначение,8,FALSE)),""))</f>
        <v/>
      </c>
      <c r="BP200">
        <f t="shared" si="382"/>
        <v>230</v>
      </c>
      <c r="BQ200">
        <f>IF(B200="","",IF(BC200&lt;&gt;"",3,IFERROR(IF(N(VLOOKUP(AX200,Потребители_обозначение,9,FALSE))=0,1,VLOOKUP(AX200,Потребители_обозначение,9,FALSE)),1)))</f>
        <v>1</v>
      </c>
      <c r="BR200">
        <f t="shared" si="383"/>
        <v>1</v>
      </c>
      <c r="BS200" t="str">
        <f>IF(B200="","",_xlfn.LET(_xlpm.bc,IFERROR(IF(VLOOKUP(AX200,Потребители_обозначение,6,FALSE)=0,"",VLOOKUP(AX200,Потребители_обозначение,6,FALSE)&amp;""),""),IF(AND(FK200="да",OR(_xlpm.bc="",_xlpm.bc="мс")),Марка_пож,IF(AND(_xlpm.bc="",BC200&lt;&gt;""),"мс",_xlpm.bc))))</f>
        <v/>
      </c>
      <c r="BT200" t="str">
        <f t="shared" si="384"/>
        <v>мс</v>
      </c>
      <c r="BU200">
        <f>IF(B200="","",_xlfn.LET(_xlpm.cc,IFERROR(N(VLOOKUP(AX200,Потребители_обозначение,7,FALSE)),0),IF(_xlpm.cc&gt;0,_xlpm.cc,IF(BT200="","",IF(N(BR200)=3,5,3)))))</f>
        <v>3</v>
      </c>
      <c r="BV200">
        <f t="shared" si="385"/>
        <v>3</v>
      </c>
      <c r="BW200">
        <f>IFERROR(N(VLOOKUP(AX200,Потребители_обозначение,10,FALSE)),0)</f>
        <v>0</v>
      </c>
      <c r="BX200">
        <f>IFERROR(VLOOKUP(AX200,Потребители_обозначение,5,FALSE),0)</f>
        <v>1</v>
      </c>
      <c r="BY200" s="6" cm="1">
        <f t="array" ref="BY200">IF(B200="","",IF(BC200&lt;&gt;"",IFERROR(_xlfn.XLOOKUP(BC200,Щиты[Щит],Щиты[cos φ]),0.95),IF(BK200=1,IFERROR(_xlfn.XLOOKUP(A200,Щиты[Щит],Щиты[cos φ]),0.95),IF(ISNUMBER(Z200),Z200,IFERROR(IF(BX200=2,_xlfn.IFS(BR200=3,VLOOKUP(BN200,Справочная_двигатели,8,FALSE),BR200=1,VLOOKUP(BN200,Справочная_двигатели,10,TRUE)),IF(AND(Методика="нормы 2026",EQ200="Сил"),0.8,0.95)),0.95)))))</f>
        <v>0.95</v>
      </c>
      <c r="BZ200">
        <f t="shared" si="386"/>
        <v>0</v>
      </c>
      <c r="CA200">
        <f t="shared" si="387"/>
        <v>1</v>
      </c>
      <c r="CB200">
        <f t="shared" si="388"/>
        <v>0</v>
      </c>
      <c r="CC200">
        <f t="shared" si="389"/>
        <v>0</v>
      </c>
      <c r="CD200">
        <f t="shared" si="390"/>
        <v>0</v>
      </c>
      <c r="CE200">
        <f t="shared" si="391"/>
        <v>0</v>
      </c>
      <c r="CF200">
        <f t="shared" si="392"/>
        <v>0</v>
      </c>
      <c r="CG200">
        <f>IF(AX200="",0,_xlfn.LET(_xlpm.v,IFERROR(VLOOKUP(B200,УГО_спр,3,FALSE),IFERROR(VLOOKUP(AX200,УГО_спр,3,FALSE),IFERROR(VLOOKUP(LEFT(AX200,2),УГО_спр,3,FALSE),""))),IF(_xlpm.v="да",30,IF(ISNUMBER(_xlpm.v),_xlpm.v,0))))</f>
        <v>30</v>
      </c>
      <c r="CH200">
        <f t="shared" si="393"/>
        <v>30</v>
      </c>
      <c r="CI200" t="str">
        <f>_xlfn.LET(_xlpm.k,IFERROR(_xlfn.XLOOKUP(AX200,Коды_код,Коды_утечка)&amp;"",""),IF(_xlpm.k="","дифавтомат",_xlpm.k))</f>
        <v>дифавтомат</v>
      </c>
      <c r="CJ200">
        <f t="shared" si="394"/>
        <v>30</v>
      </c>
      <c r="CK200">
        <f t="shared" si="395"/>
        <v>30</v>
      </c>
      <c r="CL200">
        <f>IF(B200="",0,IFERROR(--VLOOKUP(B200,УГО_спр,4,FALSE),IFERROR(--VLOOKUP(AX200,УГО_спр,4,FALSE),IFERROR(--VLOOKUP(LEFT(AX200,2),УГО_спр,4,FALSE),0))))</f>
        <v>16</v>
      </c>
      <c r="CM200" t="str">
        <f>IF(B200="","",IFERROR(_xlfn.XLOOKUP(AX200,Коды_код,Коды_апп)&amp;"",""))</f>
        <v/>
      </c>
      <c r="CN200" t="str">
        <f t="shared" si="396"/>
        <v/>
      </c>
      <c r="CO200" t="str" cm="1">
        <f t="array" ref="CO200">IF(TRIM(CN200&amp;"")="","",IFERROR(TRIM(INDEX(_xlfn.TEXTSPLIT(CN200&amp;";;;",";"),1)),""))</f>
        <v/>
      </c>
      <c r="CP200" t="str" cm="1">
        <f t="array" ref="CP200">IF(TRIM(CN200&amp;"")="","",IFERROR(TRIM(INDEX(_xlfn.TEXTSPLIT(CN200&amp;";;;",";"),2)),""))</f>
        <v/>
      </c>
      <c r="CQ200" t="str" cm="1">
        <f t="array" ref="CQ200">IF(TRIM(CN200&amp;"")="","",IFERROR(TRIM(INDEX(_xlfn.TEXTSPLIT(CN200&amp;";;;",";"),3)),""))</f>
        <v/>
      </c>
      <c r="CR200">
        <f t="shared" si="397"/>
        <v>0</v>
      </c>
      <c r="CS200" t="str">
        <f>IF(B200="","",_xlfn.LET(_xlpm.t,LOWER(AV200&amp;""),IF(ISNUMBER(SEARCH("dim",_xlpm.t)),"DIM",IF(ISNUMBER(SEARCH("dali",_xlpm.t)),"DALI",IF(OR(ISNUMBER(SEARCH("relay",_xlpm.t)),ISNUMBER(SEARCH("реле",_xlpm.t))),"Relay",IF(ISNUMBER(SEARCH("кнопк",_xlpm.t)),"",IFERROR(_xlfn.XLOOKUP(AX200,Коды_код,Коды_упр)&amp;"","")))))))</f>
        <v/>
      </c>
      <c r="CT200" t="str">
        <f t="shared" si="398"/>
        <v/>
      </c>
      <c r="CU200">
        <f>IF(B200="","",_xlfn.LET(_xlpm.ig,N(P200)+IF(AF200="вручную",0,N(CB200)),_xlpm.n0,IFERROR(VLOOKUP(_xlpm.ig,Автомат_номиналы,2,TRUE),0),_xlpm.mn,MAX(CL200,IF(AF200="вручную",0,N(CE200))),MAX(_xlpm.n0,_xlpm.mn,IF(CR200=1,Мин_автомат_БП,0))))</f>
        <v>16</v>
      </c>
      <c r="CV200">
        <f t="shared" si="399"/>
        <v>1</v>
      </c>
      <c r="CW200" t="str">
        <f t="shared" si="400"/>
        <v>2P</v>
      </c>
      <c r="CX200" t="str">
        <f>_xlfn.LET(_xlpm.cc,UPPER(TRIM(IFERROR(_xlfn.XLOOKUP(AX200,Коды_код,Коды_хар)&amp;"",""))),IF(OR(_xlpm.cc="B",_xlpm.cc="В"),"B",IF(_xlpm.cc="D","D","С")))</f>
        <v>С</v>
      </c>
      <c r="CY200" t="str">
        <f t="shared" si="401"/>
        <v>2P С16А 30мА</v>
      </c>
      <c r="CZ200" t="str">
        <f t="shared" si="402"/>
        <v>2P С16А 30мА</v>
      </c>
      <c r="DA200" t="str">
        <f t="shared" si="403"/>
        <v>2P С16А 30мА</v>
      </c>
      <c r="DB200" cm="1">
        <f t="array" ref="DB200">IF(DA200="","",_xlfn.LET(_xlpm.t,SUBSTITUTE(SUBSTITUTE(SUBSTITUTE(UPPER(DA200),"С","C"),"А","A"),"В","B"),_xlpm.tk,_xlfn.TEXTSPLIT(_xlpm.t,"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0" t="str">
        <f t="shared" si="404"/>
        <v>ok</v>
      </c>
      <c r="DD200">
        <f t="shared" si="405"/>
        <v>16</v>
      </c>
      <c r="DE200" t="str">
        <f t="shared" si="406"/>
        <v>2P С16А 30мА</v>
      </c>
      <c r="DF200">
        <f t="shared" si="407"/>
        <v>30</v>
      </c>
      <c r="DG200">
        <f t="shared" si="408"/>
        <v>1</v>
      </c>
      <c r="DH200">
        <f t="shared" si="409"/>
        <v>0</v>
      </c>
      <c r="DI200">
        <f t="shared" si="410"/>
        <v>10.027662570135606</v>
      </c>
      <c r="DJ200">
        <f t="shared" si="411"/>
        <v>1</v>
      </c>
      <c r="DK200">
        <f>IF(ISNUMBER(AL200),AL200,К_прокл)</f>
        <v>1</v>
      </c>
      <c r="DL200">
        <f t="shared" si="412"/>
        <v>2</v>
      </c>
      <c r="DM200">
        <f>IFERROR(N(VLOOKUP(BT200,Кабель_обозначение,3,FALSE)),1)</f>
        <v>1</v>
      </c>
      <c r="DN200">
        <f>IFERROR(N(_xlfn.XLOOKUP(A200,Щиты[Щит],Щиты[ΔU до шин, %])),0)</f>
        <v>0.43</v>
      </c>
      <c r="DO200" t="str">
        <f>IFERROR(_xlfn.XLOOKUP(A200,Щиты[Щит],Щиты[Zпетли на шинах, Ом]),"")</f>
        <v/>
      </c>
      <c r="DP200">
        <f>IFERROR(N(_xlfn.XLOOKUP(A200,Щиты[Щит],Щиты[ΔU до шин (подбор), %])),0)</f>
        <v>0.43</v>
      </c>
      <c r="DQ200" t="str">
        <f>IFERROR(_xlfn.XLOOKUP(A200,Щиты[Щит],Щиты[Zпетли на шинах (подбор), Ом]),"")</f>
        <v/>
      </c>
      <c r="DR200" t="str">
        <f t="shared" si="413"/>
        <v/>
      </c>
      <c r="DS200">
        <f t="shared" si="414"/>
        <v>61</v>
      </c>
      <c r="DT200">
        <f t="shared" si="415"/>
        <v>2</v>
      </c>
      <c r="DU200">
        <f t="shared" si="416"/>
        <v>0.31</v>
      </c>
      <c r="DV200" s="6">
        <f>IF(B200="","",IF(IFERROR(VLOOKUP(AX200,УГО_спр,2,FALSE),"")="Светильник",3,4)+IF(Методика="нормы 2026",MIN(0.5,MAX(0,N(Q200)-100)*0.005),0))</f>
        <v>4</v>
      </c>
      <c r="DW200" cm="1">
        <f t="array" ref="DW200">IF(OR(B200="",BT200="",DM200&lt;&gt;1),"",_xlfn.LET(_xlpm.sz,Iдоп_S,_xlpm.t_,CHOOSE(DL200,Iдоп_1ж,Iдоп_2ж,Iдоп_3ж)*DJ200*DK200,_xlpm.inn,N(DD200),_xlpm.smin,MAX(1.5,BW200),_xlpm.L_,N(Q200)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200)*(_xlpm.rho*_xlpm.L_/_xlpm.sz*N(BY200)+_xlpm.xx*_xlpm.L_*N(DU200)/1000)*N(P200)/((Uн_лин/SQRT(3))*1000)*100,999),_xlpm.kz,IF(OR(DG200=1,NOT(ISNUMBER(DQ200)),_xlpm.L_=0,_xlpm.inn=0),1,IFERROR(--(c_min*(Uн_лин*1000/SQRT(3))/(DQ200+2*ρкз_Cu*_xlpm.L_/_xlpm.sz)&gt;=GY200*_xlpm.inn),0)),_xlpm.ok,IFERROR((_xlpm.sz&gt;=_xlpm.smin)*(_xlpm.t_&gt;=_xlpm.inn)*IF(_xlpm.L_&gt;0,(_xlpm.du_+DP200&lt;=DV200+0.00001),1)*_xlpm.kz,0),_xlpm.r_,_xlfn._xlws.FILTER(_xlpm.sz,_xlpm.ok,"не подобрано"),INDEX(_xlpm.r_,1)))</f>
        <v>4</v>
      </c>
      <c r="DX200">
        <f t="shared" si="417"/>
        <v>2.5</v>
      </c>
      <c r="DY200" cm="1">
        <f t="array" ref="DY200">IF(OR(B200="",BT200="",DM200&lt;&gt;1),"",_xlfn.LET(_xlpm.sz,Iдоп_S,_xlpm.t_,CHOOSE(DL200,Iдоп_1ж,Iдоп_2ж,Iдоп_3ж)*DJ200*DK200,_xlpm.ok,IFERROR((_xlpm.sz&gt;=MAX(1.5,BW200))*(_xlpm.t_&gt;=N(DD200)),0),_xlpm.r_,_xlfn._xlws.FILTER(_xlpm.sz,_xlpm.ok,""),INDEX(_xlpm.r_,1)))</f>
        <v>1.5</v>
      </c>
      <c r="DZ200" s="6" cm="1">
        <f t="array" ref="DZ200">IFERROR(ROUNDUP(N(DT200)*(_xlfn.XLOOKUP(DY200,INDEX(Кабель_сопротивление,0,1),INDEX(Кабель_сопротивление,0,3))*N(Q200)/DY200*N(BY200)+_xlfn.XLOOKUP(DY200,INDEX(Кабель_сопротивление,0,1),INDEX(Кабель_сопротивление,0,2))*N(Q200)*N(DU200)/1000)*N(P200)/((Uн_лин/SQRT(3))*1000)*100,2),"")</f>
        <v>7.9399999999999995</v>
      </c>
      <c r="EA200">
        <f>IFERROR(2*ρкз_Cu*N(Q200)/DY200,"")</f>
        <v>2.2442666666666669</v>
      </c>
      <c r="EB200">
        <f>IFERROR(VLOOKUP(DX200,Кабель_сопротивление,3,FALSE),"")</f>
        <v>2.2499999999999999E-2</v>
      </c>
      <c r="EC200">
        <f>IFERROR(VLOOKUP(DX200,Кабель_сопротивление,2,FALSE),"")</f>
        <v>0.1</v>
      </c>
      <c r="ED200">
        <f t="shared" si="418"/>
        <v>15</v>
      </c>
      <c r="EE200">
        <f t="shared" si="419"/>
        <v>0</v>
      </c>
      <c r="EF200">
        <f t="shared" si="420"/>
        <v>11.014063681834703</v>
      </c>
      <c r="EG200" s="6">
        <f>IFERROR(ROUNDUP(EF200/((Uн_лин/SQRT(3))*1000)*100,2),"")</f>
        <v>4.7699999999999996</v>
      </c>
      <c r="EH200" t="str">
        <f>IFERROR(VLOOKUP(BT200,Кабель_обозначение,2,FALSE),"")</f>
        <v>ВВГнг(А)-LS</v>
      </c>
      <c r="EI200" t="str">
        <f t="shared" si="421"/>
        <v>ВВГнг(А)-LS (3х2,5)</v>
      </c>
      <c r="EJ200" t="str">
        <f t="shared" si="422"/>
        <v>ВВГнг(А)-LS (3х2,5)
L=64-4,77%</v>
      </c>
      <c r="EK200">
        <f>IFERROR(2*ρкз_Cu*Q200/DX200,"")</f>
        <v>1.34656</v>
      </c>
      <c r="EL200">
        <f t="shared" si="423"/>
        <v>0.44800000000000006</v>
      </c>
      <c r="EM200" s="6" t="str">
        <f>IFERROR(IF(OR(B200="",NOT(ISNUMBER(DX200)),N(Q200)=0),"",_xlfn.XLOOKUP(A200,Щиты[Щит],Щиты[Zпетли на шинах, Ом])+EK200),"")</f>
        <v/>
      </c>
      <c r="EN200" s="6" t="str">
        <f>IF(ISNUMBER(EM200),c_min*(Uн_лин*1000/SQRT(3))/EM200,"")</f>
        <v/>
      </c>
      <c r="EO200" s="6" t="str">
        <f>IFERROR(IF(OR(B200="",NOT(ISNUMBER(DX200))),"",1.05*(Uн_лин*1000/SQRT(3))/(_xlfn.XLOOKUP(A200,Щиты[Щит],Щиты[Zmax на шинах, Ом])+EL200)/1000),"")</f>
        <v/>
      </c>
      <c r="EP200" s="6" t="str">
        <f>IF(B200="","",IF(ISNUMBER(Y200),"Сил",IF(IFERROR(_xlfn.XLOOKUP(AX200,Коды_код,Коды_группа)&amp;"","")="","Быт",_xlfn.XLOOKUP(AX200,Коды_код,Коды_группа)&amp;"")))</f>
        <v>Быт</v>
      </c>
      <c r="EQ200" s="6" t="str">
        <f t="shared" si="424"/>
        <v>Быт</v>
      </c>
      <c r="ER200" s="6">
        <f>IF(EQ200="Щит","щит",IF(EQ200="","",IF(EQ200="Быт",IFERROR(_xlfn.XLOOKUP(A200,Щиты[Щит],Щиты[Кс быт]),1),IF(EQ200="Сил",IF(ISNUMBER(Y200),Y200,IF(Методика="нормы 2026",IFERROR(_xlfn.XLOOKUP(A200,Щиты[Щит],Щиты[Кс силовых (табл. 7.5)]),1),1)),IF(OR(EQ200="Пост",EQ200="Отоп"),1,IF(EQ200="ВНГ",0.7,0))))))</f>
        <v>0.79799999999999993</v>
      </c>
      <c r="ES200">
        <f t="shared" si="425"/>
        <v>1</v>
      </c>
      <c r="ET200">
        <f t="shared" si="426"/>
        <v>2.2000000000000002</v>
      </c>
      <c r="EU200">
        <f t="shared" si="427"/>
        <v>2.2000000000000002</v>
      </c>
      <c r="EV200">
        <f t="shared" si="428"/>
        <v>0</v>
      </c>
      <c r="EW200">
        <f t="shared" si="429"/>
        <v>0</v>
      </c>
      <c r="EX200">
        <f t="shared" si="430"/>
        <v>0</v>
      </c>
      <c r="EY200">
        <f t="shared" si="431"/>
        <v>0</v>
      </c>
      <c r="EZ200">
        <f t="shared" si="432"/>
        <v>2.2000000000000002</v>
      </c>
      <c r="FA200">
        <f t="shared" si="433"/>
        <v>2.09</v>
      </c>
      <c r="FB200">
        <f t="shared" si="434"/>
        <v>2.2000000000000002</v>
      </c>
      <c r="FC200" t="str">
        <f t="shared" si="435"/>
        <v>L1</v>
      </c>
      <c r="FD200" t="str">
        <f>IF(B200="","",IF(CA200=0,IF(AW200=1,"",FF199),IF(OR(N(CV200)&gt;=3,N(BR200)&gt;=3),"L1,L2,L3",IFERROR(_xlfn.TEXTBEFORE(_xlfn.TEXTAFTER(_xlfn.XLOOKUP(A200,Щиты[Щит],Щиты[_фазы авто]),";"&amp;AW200&amp;":"),";"),"L1"))))</f>
        <v>L1</v>
      </c>
      <c r="FE200" t="str">
        <f t="shared" si="436"/>
        <v>L1</v>
      </c>
      <c r="FF200" t="str">
        <f t="shared" si="437"/>
        <v>L1</v>
      </c>
      <c r="FG200" cm="1">
        <f t="array" ref="FG200">IFERROR(IF(BX200=2,_xlfn.IFS(BR200=3,VLOOKUP(BN200,Справочная_двигатели,3,FALSE),BR200=1,VLOOKUP(BN200,Справочная_двигатели,5,TRUE)),0),0)</f>
        <v>0</v>
      </c>
      <c r="FH200">
        <f>IFERROR(IF(BX200=3,VLOOKUP(BN200,Справочная_ЛЭД,2,TRUE),0),0)</f>
        <v>0</v>
      </c>
      <c r="FI200" s="6">
        <f t="shared" si="438"/>
        <v>0</v>
      </c>
      <c r="FJ200" t="str" cm="1">
        <f t="array" ref="FJ200">IF(B200="","",IFERROR(INDEX({"I особая","I","II","III"},MATCH(TRIM(AC200&amp;""),{"I особая","I","II","III"},0)),"III"))</f>
        <v>II</v>
      </c>
      <c r="FK200" t="str">
        <f>IF(B200="","",IF(TRIM(AD200&amp;"")&lt;&gt;"",IF(LOWER(TRIM(AD200&amp;""))="да","да","нет"),IF(IFERROR(_xlfn.XLOOKUP(AX200,Коды_код,Коды_пожарная),"")="да","да","нет")))</f>
        <v>нет</v>
      </c>
      <c r="FL200" t="str">
        <f t="shared" si="439"/>
        <v/>
      </c>
      <c r="FM200" t="str">
        <f t="shared" si="440"/>
        <v>основная</v>
      </c>
      <c r="FN200">
        <f t="shared" si="441"/>
        <v>1</v>
      </c>
      <c r="FO200" t="str" cm="1">
        <f t="array" ref="FO200">IF(B200="","",_xlfn.LET(_xlpm.t,IFERROR(_xlfn.XLOOKUP(1,(Шины[Шина]=FM200)*(((Шины[Щит]=A200)+(Шины[Щит]=""))&gt;0),Шины[Тип]),"")&amp;"",IF(_xlpm.t&lt;&gt;"",_xlpm.t,IF(ISNUMBER(SEARCH("ИБП",FM200)),"ИБП",IF(ISNUMBER(SEARCH("ДГУ",FM200)),"ДГУ","Ввод "&amp;FN200)))))</f>
        <v>Ввод 1</v>
      </c>
      <c r="FP200" t="str">
        <f t="shared" si="442"/>
        <v>Ввод 1</v>
      </c>
      <c r="FQ200" t="str">
        <f>IF(B200="","",IF(OR(FO200="ИБП",FO200="ДГУ"),"I особая",IF(FO200="Одиночная","III",_xlfn.XLOOKUP(A200,Щиты[Щит],Щиты[Категория шины «Ввод»],"III"))))</f>
        <v>II</v>
      </c>
      <c r="FR200">
        <f>IF(B200="",0,IFERROR(MATCH(FJ200,{"III","II","I","I особая"},0),1))</f>
        <v>2</v>
      </c>
      <c r="FS200">
        <f t="shared" si="443"/>
        <v>2</v>
      </c>
      <c r="FT200" t="str">
        <f>IF(B200="","",IF(FR200&gt;IFERROR(MATCH(FQ200,{"III","II","I","I особая"},0),1),"НЕ ОБЕСПЕЧЕНА","ОК"))</f>
        <v>ОК</v>
      </c>
      <c r="FU200" t="str">
        <f>IF(A200="","",_xlfn.XLOOKUP(A200,Щиты[Щит],Щиты[Путь],""))</f>
        <v>|ГРЩ-ЖД|ЩР-01|</v>
      </c>
      <c r="FV200" t="str">
        <f>IF(B200="","",IF(AE200&lt;&gt;"",AE200,IF(IFERROR(_xlfn.XLOOKUP(AX200,Коды_код,Коды_вид)&amp;"","")="","Прочее",_xlfn.XLOOKUP(AX200,Коды_код,Коды_вид)&amp;"")))</f>
        <v>Розеточная сеть и бытовые приборы</v>
      </c>
      <c r="FW200">
        <f>IF(BH200="","",INT((BH200-1)/Столбцов_на_лист)+1)</f>
        <v>3</v>
      </c>
      <c r="FX200" t="str">
        <f t="shared" si="444"/>
        <v>ВВГнг(А)-LS (3х2,5) L=64-4,77%</v>
      </c>
      <c r="FY200">
        <f t="shared" si="445"/>
        <v>2.2000000000000002</v>
      </c>
      <c r="FZ200">
        <f t="shared" si="446"/>
        <v>10.029999999999999</v>
      </c>
      <c r="GA200">
        <f t="shared" si="447"/>
        <v>1</v>
      </c>
      <c r="GB200">
        <f t="shared" si="448"/>
        <v>0</v>
      </c>
      <c r="GC200">
        <f t="shared" si="449"/>
        <v>1</v>
      </c>
      <c r="GD200">
        <f>IF(BH200="","",IF(AND(CA200=1,GC200=1),COUNTIFS(A$3:A200,A200,CA$3:CA200,1,GC$3:GC200,1),IF(OR(OR(AW200=1,A200&lt;&gt;A199),AF200="вручную",GC200=0),"",IF(AW200=1,"",GE199))))</f>
        <v>16</v>
      </c>
      <c r="GE200">
        <f t="shared" si="450"/>
        <v>16</v>
      </c>
      <c r="GF200">
        <f>IF(B200="","",IFERROR(LOOKUP(INDEX(CHOOSE(DL200,Iдоп_1ж,Iдоп_2ж,Iдоп_3ж),MATCH(DX200,Iдоп_S,0))*DJ200*DK200,{6,10,16,20,25,32,40,50,63,80,100,125,160,200,250,315,400,500,630}),""))</f>
        <v>25</v>
      </c>
      <c r="GG200" t="str">
        <f t="shared" si="451"/>
        <v>QFD16</v>
      </c>
      <c r="GH200" t="str">
        <f t="shared" si="452"/>
        <v>QFD16</v>
      </c>
      <c r="GI200" t="str">
        <f t="shared" si="453"/>
        <v/>
      </c>
      <c r="GJ200">
        <f t="shared" si="454"/>
        <v>0</v>
      </c>
      <c r="GK200" t="str">
        <f>IF(OR(AG200="",AG200="-"),"",IFERROR(VLOOKUP(AG200,Модули_спр,2,FALSE),"R"))</f>
        <v/>
      </c>
      <c r="GL200" t="str">
        <f>IF(GK200="","",GK200&amp;"."&amp;COUNTIFS(A$3:A200,A200,GK$3:GK200,GK200))</f>
        <v/>
      </c>
      <c r="GM200" t="str">
        <f t="shared" si="455"/>
        <v/>
      </c>
      <c r="GN200" t="str">
        <f t="shared" si="456"/>
        <v/>
      </c>
      <c r="GO200" t="str">
        <f t="shared" si="457"/>
        <v/>
      </c>
      <c r="GP200" t="str">
        <f t="shared" si="458"/>
        <v/>
      </c>
      <c r="GQ200">
        <f t="shared" si="459"/>
        <v>1</v>
      </c>
      <c r="GR200" t="str">
        <f>IF(GQ200=1,"XT"&amp;COUNTIFS(A$3:A200,A200,GQ$3:GQ200,1),"")</f>
        <v>XT16</v>
      </c>
      <c r="GS200" t="str">
        <f t="shared" si="460"/>
        <v/>
      </c>
      <c r="GT200" t="str">
        <f t="shared" si="461"/>
        <v>QFD16</v>
      </c>
      <c r="GU200" t="str">
        <f t="shared" si="462"/>
        <v/>
      </c>
      <c r="GV200" t="str">
        <f t="shared" si="463"/>
        <v>ok</v>
      </c>
      <c r="GW200" t="str">
        <f>IF(OR(GO200="",GM200=""),"",IF(GO200&gt;IFERROR(VLOOKUP(GN200,Модули_спр,3,FALSE),99),"ЛИШНИЙ КАНАЛ",IF(AND(AH200&lt;&gt;"=",COUNTIFS(Линии[_модуль гр.],GM200,Линии[Канал (итог)],GO200,Линии[Канал],"&lt;&gt;=",Линии[Щит],A200)&gt;1),"ДУБЛЬ КАНАЛА","")))</f>
        <v/>
      </c>
      <c r="GX200" s="6" t="str">
        <f t="shared" si="464"/>
        <v/>
      </c>
      <c r="GY200">
        <f t="shared" si="465"/>
        <v>10</v>
      </c>
      <c r="GZ200" t="str">
        <f t="shared" si="466"/>
        <v/>
      </c>
      <c r="HA200" t="str">
        <f>IF(AND(B200="",GT200=""),"",_xlfn.TEXTJOIN("; ",TRUE,IF(AND(B200&lt;&gt;"",FE200=""),"нет фазы",""),IF(AND(B200&lt;&gt;"",N(FY200)=0,EQ200&lt;&gt;"Нет"),"нет мощности",""),IF(AND(GS200&lt;&gt;"",COUNTIFS(Линии[Щит],A200,Линии[Клемма (итог)],GS200)&gt;1),"дубль клеммы "&amp;GS200,""),IF(AND(GV200&lt;&gt;"",GV200&lt;&gt;"ok"),GV200,""),IF(GW200&lt;&gt;"",GW200,""),IF(AND(N(BV200)&gt;=4,N(BR200)=1),BV200&amp;" жил на 1 фазе",""),IF(AND(AX200="R",CA200=1,OR(N(CK200)=0,N(CK200)&gt;30)),"розетка без дифзащиты до 30 мА",""),IFERROR(IF(AND(ISNUMBER(R200),R200&gt;DV200),"потери "&amp;FIXED(R200,1)&amp;" % &gt; "&amp;DV200&amp;" %",""),""),IFERROR(IF(LEFT(GZ200,4)="мало","Iкз мало — отключение &gt; 0,4 с",""),""),IF(AND(B200&lt;&gt;"",BH200=""),"не на схеме",""),IF(AND(CA200=0,B200&lt;&gt;"",FE200&lt;&gt;"",IF(AW200=1,"",FF199)&lt;&gt;"",FE200&lt;&gt;IF(AW200=1,"",FF199)),"фаза не как у автомата группы ("&amp;IF(AW200=1,"",FF199)&amp;")","")))</f>
        <v>потери 5,2 % &gt; 4 %</v>
      </c>
      <c r="HB200" s="6">
        <f>IF(OR(CA200=0,DA200=""),"",_xlfn.LET(_xlpm.t,IFERROR(_xlfn.XLOOKUP(DA200,Каталог!$U$4:$U$500,Каталог!$G$4:$G$500),""),_xlpm.k,SEARCH("кА",_xlpm.t),IFERROR(--TRIM(RIGHT(SUBSTITUTE(MID(_xlpm.t,MAX(1,_xlpm.k-4),_xlpm.k-MAX(1,_xlpm.k-4))," ",REPT(" ",9)),5)),"")))</f>
        <v>6</v>
      </c>
      <c r="HC200" t="str">
        <f>IF(OR(HB200="",CA200=0),"",IF(_xlfn.XLOOKUP(A200,Щиты[Щит],Щиты[Iкз max на шинах, кА],"")="","",IF(HB200&lt;_xlfn.XLOOKUP(A200,Щиты[Щит],Щиты[Iкз max на шинах, кА]),"Icu "&amp;HB200&amp;" кА &lt; Iкз max","ok")))</f>
        <v/>
      </c>
      <c r="HD200" t="str">
        <f t="shared" si="467"/>
        <v/>
      </c>
      <c r="HE200" t="str">
        <f t="shared" si="468"/>
        <v>QFD16</v>
      </c>
      <c r="HF200" t="str">
        <f t="shared" si="469"/>
        <v>QFD16|кабель ВВГнг(А)-LS (3х2,5) → Розеточная группа Цокольный этаж Пом. №008A Душ виши</v>
      </c>
      <c r="HG200" t="str" cm="1">
        <f t="array" ref="HG200">IF(HF200="","",_xlfn.LET(_xlpm.nd,_xlfn.TEXTSPLIT(HF200,"|"),IF(COLUMNS(_xlpm.nd)&gt;1,A200&amp;"¦"&amp;INDEX(_xlpm.nd,1)&amp;"¦"&amp;INDEX(_xlpm.nd,2),"")))</f>
        <v>ЩР-01¦QFD16¦кабель ВВГнг(А)-LS (3х2,5) → Розеточная группа Цокольный этаж Пом. №008A Душ виши</v>
      </c>
      <c r="HH200" t="str">
        <f t="shared" si="470"/>
        <v>R.0.008A.2¦Розеточная группа Цокольный этаж Пом. №008A Душ виши</v>
      </c>
      <c r="HI200" t="str" cm="1">
        <f t="array" ref="HI200">IF(HF200="","",_xlfn.LET(_xlpm.nd,_xlfn.TEXTSPLIT(HF200,"|"),IF(COLUMNS(_xlpm.nd)&gt;2,A200&amp;"¦"&amp;INDEX(_xlpm.nd,2)&amp;"¦"&amp;INDEX(_xlpm.nd,3),"")))</f>
        <v/>
      </c>
      <c r="HJ200" t="str">
        <f t="shared" si="471"/>
        <v/>
      </c>
      <c r="HK200" t="str" cm="1">
        <f t="array" ref="HK200">IF(HF200="","",_xlfn.LET(_xlpm.nd,_xlfn.TEXTSPLIT(HF200,"|"),IF(COLUMNS(_xlpm.nd)&gt;3,A200&amp;"¦"&amp;INDEX(_xlpm.nd,3)&amp;"¦"&amp;INDEX(_xlpm.nd,4),"")))</f>
        <v/>
      </c>
      <c r="HL200" t="str">
        <f t="shared" si="472"/>
        <v/>
      </c>
      <c r="HM200" t="str" cm="1">
        <f t="array" ref="HM200">IF(HF200="","",_xlfn.LET(_xlpm.nd,_xlfn.TEXTSPLIT(HF200,"|"),IF(COLUMNS(_xlpm.nd)&gt;4,A200&amp;"¦"&amp;INDEX(_xlpm.nd,4)&amp;"¦"&amp;INDEX(_xlpm.nd,5),"")))</f>
        <v/>
      </c>
      <c r="HN200" t="str">
        <f t="shared" si="473"/>
        <v/>
      </c>
      <c r="HO200" t="str" cm="1">
        <f t="array" ref="HO200">IF(HF200="","",_xlfn.LET(_xlpm.nd,_xlfn.TEXTSPLIT(HF200,"|"),IF(COLUMNS(_xlpm.nd)&gt;5,A200&amp;"¦"&amp;INDEX(_xlpm.nd,5)&amp;"¦"&amp;INDEX(_xlpm.nd,6),"")))</f>
        <v/>
      </c>
      <c r="HP200" t="str">
        <f t="shared" si="474"/>
        <v/>
      </c>
      <c r="HQ200" t="str" cm="1">
        <f t="array" ref="HQ200">IF(HF200="","",_xlfn.LET(_xlpm.nd,_xlfn.TEXTSPLIT(HF200,"|"),IF(COLUMNS(_xlpm.nd)&gt;6,A200&amp;"¦"&amp;INDEX(_xlpm.nd,6)&amp;"¦"&amp;INDEX(_xlpm.nd,7),"")))</f>
        <v/>
      </c>
      <c r="HR200" t="str">
        <f t="shared" si="475"/>
        <v/>
      </c>
      <c r="HS200" t="str">
        <f t="shared" si="476"/>
        <v/>
      </c>
      <c r="HT200" t="str">
        <f t="shared" si="477"/>
        <v>QFD16</v>
      </c>
      <c r="HU200">
        <f t="shared" si="478"/>
        <v>0</v>
      </c>
      <c r="HV200">
        <f t="shared" si="479"/>
        <v>1</v>
      </c>
      <c r="HW200" t="str">
        <f t="shared" si="480"/>
        <v/>
      </c>
      <c r="HX200" t="str">
        <f t="shared" si="481"/>
        <v/>
      </c>
      <c r="HY200" t="str">
        <f t="shared" si="482"/>
        <v/>
      </c>
      <c r="HZ200" t="str">
        <f t="shared" si="483"/>
        <v/>
      </c>
      <c r="IA200" t="str">
        <f>IF(B200="","",IFERROR(VLOOKUP(B200,УГО_спр,2,FALSE),IFERROR(VLOOKUP(AX200,УГО_спр,2,FALSE),IFERROR(VLOOKUP(LEFT(AX200,2),УГО_спр,2,FALSE),""))))</f>
        <v>Розетка</v>
      </c>
      <c r="IB200" t="str">
        <f>IF(B200="","",IF(OR(IA200="",IA200=0),"BOX",IFERROR(IF(VLOOKUP(IA200,УГО_блоки,3,FALSE)&amp;""&lt;&gt;"",VLOOKUP(IA200,УГО_блоки,3,FALSE),VLOOKUP(IA200,УГО_блоки,2,FALSE)),IA200)))</f>
        <v>SOCKET</v>
      </c>
      <c r="IC200">
        <f t="shared" si="484"/>
        <v>1</v>
      </c>
      <c r="ID200" t="str">
        <f>IF(DA200="","",IF(COUNTIF(DA$3:DA200,DA200)=1,MAX(ID$2:ID199)+1,""))</f>
        <v/>
      </c>
      <c r="IE200" t="str">
        <f>IF(CO200="","",IF(COUNTIF(CO$3:CO200,CO200)+COUNTIF(CP$2:CP199,CO200)+COUNTIF(CQ$2:CQ199,CO200)=1,MAX(IE$2:IG199)+1,""))</f>
        <v/>
      </c>
      <c r="IF200" t="str">
        <f>IF(CP200="","",IF(COUNTIF(CO$3:CO200,CP200)+COUNTIF(CP$3:CP200,CP200)+COUNTIF(CQ$2:CQ199,CP200)=1,MAX(IE$2:IG199,IE200)+1,""))</f>
        <v/>
      </c>
      <c r="IG200" t="str">
        <f>IF(CQ200="","",IF(COUNTIF(CO$3:CO200,CQ200)+COUNTIF(CP$3:CP200,CQ200)+COUNTIF(CQ$3:CQ200,CQ200)=1,MAX(IE$2:IG199,IE200,IF200)+1,""))</f>
        <v/>
      </c>
      <c r="IH200" t="str">
        <f t="shared" si="485"/>
        <v>3х2,5</v>
      </c>
      <c r="II200" t="str">
        <f>IF(IH200="","",IF(COUNTIF(IH$3:IH200,IH200)=1,MAX(II$2:II199)+1,""))</f>
        <v/>
      </c>
      <c r="IJ200" t="str">
        <f>IF(GL200="","",COUNTIF(GL$3:GL200,"?*"))</f>
        <v/>
      </c>
      <c r="IK200" t="str">
        <f>IF(OR(GL200="",GN200=""),"",IF(COUNTIFS(GL$3:GL200,"?*",GN$3:GN200,GN200)=1,MAX(IK$2:IK199)+1,""))</f>
        <v/>
      </c>
      <c r="IL200">
        <f t="shared" si="486"/>
        <v>1</v>
      </c>
      <c r="IM200">
        <f>IF(B200="","",COUNTIF(B$3:B200,"?*"))</f>
        <v>198</v>
      </c>
      <c r="IN200">
        <f>IF(GQ200&lt;&gt;1,0,_xlfn.LET(_xlpm.k,MAX(IFERROR(--VLOOKUP(B200,УГО_спр,5,FALSE),0),IFERROR(--VLOOKUP(AX200,УГО_спр,5,FALSE),0),IFERROR(--VLOOKUP(LEFT(AX200,2),УГО_спр,5,FALSE),0)),IF(_xlpm.k&gt;0,_xlpm.k,IF(IFERROR(--LEFT(SUBSTITUTE(IH200,"x","х"),FIND("х",SUBSTITUTE(IH200,"x","х"))-1),3)&gt;3,Каталог!$S$9,1))))</f>
        <v>1</v>
      </c>
      <c r="IO200">
        <f t="shared" si="487"/>
        <v>0</v>
      </c>
      <c r="IP200" t="str">
        <f t="shared" si="488"/>
        <v>авто</v>
      </c>
      <c r="IQ200">
        <f t="shared" si="489"/>
        <v>30</v>
      </c>
      <c r="IR200">
        <f t="shared" si="490"/>
        <v>1</v>
      </c>
      <c r="IS200">
        <f t="shared" si="491"/>
        <v>1</v>
      </c>
    </row>
    <row r="201" spans="1:253" x14ac:dyDescent="0.3">
      <c r="A201" t="s">
        <v>757</v>
      </c>
      <c r="B201" t="s">
        <v>1467</v>
      </c>
      <c r="C201" t="str">
        <f>Линии[[#This Row],[_авто наименование]]</f>
        <v>Розеточная группа, пом. 009A</v>
      </c>
      <c r="D201">
        <v>4</v>
      </c>
      <c r="E201">
        <v>0.24</v>
      </c>
      <c r="G201" t="str">
        <f>Линии[[#This Row],[_авто автомат]]</f>
        <v>2P С16А 30мА</v>
      </c>
      <c r="H201">
        <f>Линии[[#This Row],[_авто утечка]]</f>
        <v>30</v>
      </c>
      <c r="I201" t="str">
        <f>Линии[[#This Row],[_авто управление]]</f>
        <v/>
      </c>
      <c r="J201" t="str">
        <f>Линии[[#This Row],[_авто аппараты]]</f>
        <v/>
      </c>
      <c r="K201">
        <v>2.5</v>
      </c>
      <c r="L201">
        <v>31</v>
      </c>
      <c r="M201">
        <v>2</v>
      </c>
      <c r="N201" t="s">
        <v>486</v>
      </c>
      <c r="O201" t="str">
        <f t="shared" si="369"/>
        <v/>
      </c>
      <c r="P201" s="6" cm="1">
        <f t="array" ref="P201">IF(B201="","",IF(BC201&lt;&gt;"",IFERROR(_xlfn.XLOOKUP(BC201,Щиты[Щит],Щиты[Iр, А]),""),IF(BK201=1,IFERROR(_xlfn.XLOOKUP(A201,Щиты[Щит],Щиты[Iр, А]),""),IFERROR(_xlfn.IFS(BR201=1,BN201/((Uн_лин/SQRT(3))*BY201),BR201=3,BN201/(SQRT(3)*Uн_лин*BY201)),""))))</f>
        <v>1.0939268258329751</v>
      </c>
      <c r="Q201" s="7">
        <f>IF(B201="","",IFERROR(IF(VLOOKUP(AX201,Потребители_обозначение,4,FALSE)=1,VLOOKUP(AX201,Потребители_обозначение,3,FALSE)*(D201*2-1)+DS201+VLOOKUP(AZ201,Этаж_обозначение,3,FALSE)+VLOOKUP(AZ201,Этаж_обозначение,4,FALSE),VLOOKUP(AX201,Потребители_обозначение,3,FALSE)*(D201*2-1)+DS201),DS201))</f>
        <v>52</v>
      </c>
      <c r="R201" s="6">
        <f t="shared" si="370"/>
        <v>0.86</v>
      </c>
      <c r="S201" t="str">
        <f t="shared" si="371"/>
        <v>ВВГнг(А)-LS (3х2,5)</v>
      </c>
      <c r="T201" t="str">
        <f>IF(BH201="","",IF(BI201="вводной узел","узел ","")&amp;"л."&amp;(INT((BH201-1)/Столбцов_на_лист)+1)&amp;" / "&amp;(MOD(BH201-1,Столбцов_на_лист)+1))</f>
        <v>л.3 / 2</v>
      </c>
      <c r="V201">
        <v>1</v>
      </c>
      <c r="W201">
        <v>230</v>
      </c>
      <c r="X201" t="s">
        <v>564</v>
      </c>
      <c r="AC201" t="s">
        <v>815</v>
      </c>
      <c r="AE201" t="s">
        <v>563</v>
      </c>
      <c r="AI201">
        <v>36</v>
      </c>
      <c r="AJ201" t="s">
        <v>11</v>
      </c>
      <c r="AK201">
        <v>3</v>
      </c>
      <c r="AM201">
        <v>12</v>
      </c>
      <c r="AN201">
        <v>40</v>
      </c>
      <c r="AO201">
        <v>0</v>
      </c>
      <c r="AW201" cm="1">
        <f t="array" ref="AW201">ROW()-ROW(Линии[#Headers])</f>
        <v>199</v>
      </c>
      <c r="AX201" s="6" t="str">
        <f t="shared" si="372"/>
        <v>R</v>
      </c>
      <c r="AY201" t="str">
        <f t="shared" si="373"/>
        <v>0.009A.1</v>
      </c>
      <c r="AZ201" t="str">
        <f t="shared" si="374"/>
        <v>0</v>
      </c>
      <c r="BA201" t="str">
        <f t="shared" si="375"/>
        <v>009A.1</v>
      </c>
      <c r="BB201" t="str">
        <f t="shared" si="376"/>
        <v>009A</v>
      </c>
      <c r="BC201" t="str">
        <f>IF(U201&lt;&gt;"",U201,IF(AND(B201&lt;&gt;"",B201&lt;&gt;A201,ISNUMBER(_xlfn.XMATCH(B201,Щиты[Щит]))),B201,""))</f>
        <v/>
      </c>
      <c r="BD201" t="str" cm="1">
        <f t="array" ref="BD201">IF(B201="","",IF(BC201&lt;&gt;"","Щит "&amp;BC201,_xlfn.LET(_xlpm.nm,IFERROR(_xlfn.XLOOKUP(AX201,Коды_код,Коды_имя)&amp;"",""),_xlpm.md,IFERROR(N(_xlfn.XLOOKUP(AX201,Коды_код,Коды_режим)),1),_xlpm.ex,IF(Имя_режим="по экспликации",IFERROR(_xlfn.XLOOKUP(AZ201&amp;"|"&amp;BB201,Экспликация[Этаж]&amp;"|"&amp;Экспликация[Помещение],Экспликация[Название])&amp;"",""),""),_xlpm.rm,IF(BB201="","",IF(_xlpm.ex&lt;&gt;"",". "&amp;_xlpm.ex&amp;IF(Имя_пом="нет"," ("&amp;BB201&amp;")"," (пом. "&amp;BB201&amp;")"),IF(Имя_пом="нет"," ",", пом. ")&amp;BB201)),IF(_xlpm.nm="","",IF(_xlpm.md=2,_xlpm.nm&amp;" шлейф "&amp;AZ201,_xlpm.nm&amp;_xlpm.rm)))))</f>
        <v>Розеточная группа, пом. 009A</v>
      </c>
      <c r="BE201" t="str">
        <f t="shared" si="377"/>
        <v>Розеточная группа, пом. 009A</v>
      </c>
      <c r="BF201">
        <f>IFERROR(_xlfn.XMATCH(A201,Щиты[Щит]),0)</f>
        <v>9</v>
      </c>
      <c r="BG201">
        <f>_xlfn.LET(_xlpm.k,IFERROR(_xlfn.XLOOKUP(A201,Щиты[Щит],Щиты[Листов под вводной узел]),""),IF(_xlpm.k="",1,N(_xlpm.k))*Столбцов_на_лист)</f>
        <v>17</v>
      </c>
      <c r="BH201">
        <f t="shared" si="378"/>
        <v>36</v>
      </c>
      <c r="BI201" t="str">
        <f t="shared" si="379"/>
        <v>линии</v>
      </c>
      <c r="BJ201" s="6">
        <f>IFERROR(N(_xlfn.XLOOKUP(AX201,Коды_код,Коды_квт)),0)</f>
        <v>0</v>
      </c>
      <c r="BK201">
        <f t="shared" si="380"/>
        <v>0</v>
      </c>
      <c r="BL201" t="str">
        <f>IF(B201="","",IF(BC201&lt;&gt;"",IFERROR(_xlfn.XLOOKUP(BC201,Щиты[Щит],Щиты[Руст, кВт]),0),IF(BK201=1,IFERROR(_xlfn.XLOOKUP(A201,Щиты[Щит],Щиты[Руст, кВт]),0),IF(BJ201&gt;0,ROUND(BJ201*MAX(1,N(D201)),3),""))))</f>
        <v/>
      </c>
      <c r="BM201">
        <f t="shared" si="381"/>
        <v>0.24</v>
      </c>
      <c r="BN201" s="6">
        <f>IF(B201="","",IF(BC201&lt;&gt;"",IFERROR(_xlfn.XLOOKUP(BC201,Щиты[Щит],Щиты[Руст, кВт]),0),N(BM201)))</f>
        <v>0.24</v>
      </c>
      <c r="BO201" t="str">
        <f>IF(B201="","",IFERROR(IF(VLOOKUP(AX201,Потребители_обозначение,8,FALSE)=0,"",VLOOKUP(AX201,Потребители_обозначение,8,FALSE)),""))</f>
        <v/>
      </c>
      <c r="BP201">
        <f t="shared" si="382"/>
        <v>230</v>
      </c>
      <c r="BQ201">
        <f>IF(B201="","",IF(BC201&lt;&gt;"",3,IFERROR(IF(N(VLOOKUP(AX201,Потребители_обозначение,9,FALSE))=0,1,VLOOKUP(AX201,Потребители_обозначение,9,FALSE)),1)))</f>
        <v>1</v>
      </c>
      <c r="BR201">
        <f t="shared" si="383"/>
        <v>1</v>
      </c>
      <c r="BS201" t="str">
        <f>IF(B201="","",_xlfn.LET(_xlpm.bc,IFERROR(IF(VLOOKUP(AX201,Потребители_обозначение,6,FALSE)=0,"",VLOOKUP(AX201,Потребители_обозначение,6,FALSE)&amp;""),""),IF(AND(FK201="да",OR(_xlpm.bc="",_xlpm.bc="мс")),Марка_пож,IF(AND(_xlpm.bc="",BC201&lt;&gt;""),"мс",_xlpm.bc))))</f>
        <v/>
      </c>
      <c r="BT201" t="str">
        <f t="shared" si="384"/>
        <v>мс</v>
      </c>
      <c r="BU201">
        <f>IF(B201="","",_xlfn.LET(_xlpm.cc,IFERROR(N(VLOOKUP(AX201,Потребители_обозначение,7,FALSE)),0),IF(_xlpm.cc&gt;0,_xlpm.cc,IF(BT201="","",IF(N(BR201)=3,5,3)))))</f>
        <v>3</v>
      </c>
      <c r="BV201">
        <f t="shared" si="385"/>
        <v>3</v>
      </c>
      <c r="BW201">
        <f>IFERROR(N(VLOOKUP(AX201,Потребители_обозначение,10,FALSE)),0)</f>
        <v>0</v>
      </c>
      <c r="BX201">
        <f>IFERROR(VLOOKUP(AX201,Потребители_обозначение,5,FALSE),0)</f>
        <v>1</v>
      </c>
      <c r="BY201" s="6" cm="1">
        <f t="array" ref="BY201">IF(B201="","",IF(BC201&lt;&gt;"",IFERROR(_xlfn.XLOOKUP(BC201,Щиты[Щит],Щиты[cos φ]),0.95),IF(BK201=1,IFERROR(_xlfn.XLOOKUP(A201,Щиты[Щит],Щиты[cos φ]),0.95),IF(ISNUMBER(Z201),Z201,IFERROR(IF(BX201=2,_xlfn.IFS(BR201=3,VLOOKUP(BN201,Справочная_двигатели,8,FALSE),BR201=1,VLOOKUP(BN201,Справочная_двигатели,10,TRUE)),IF(AND(Методика="нормы 2026",EQ201="Сил"),0.8,0.95)),0.95)))))</f>
        <v>0.95</v>
      </c>
      <c r="BZ201">
        <f t="shared" si="386"/>
        <v>0</v>
      </c>
      <c r="CA201">
        <f t="shared" si="387"/>
        <v>1</v>
      </c>
      <c r="CB201">
        <f t="shared" si="388"/>
        <v>0</v>
      </c>
      <c r="CC201">
        <f t="shared" si="389"/>
        <v>0</v>
      </c>
      <c r="CD201">
        <f t="shared" si="390"/>
        <v>0</v>
      </c>
      <c r="CE201">
        <f t="shared" si="391"/>
        <v>0</v>
      </c>
      <c r="CF201">
        <f t="shared" si="392"/>
        <v>0</v>
      </c>
      <c r="CG201">
        <f>IF(AX201="",0,_xlfn.LET(_xlpm.v,IFERROR(VLOOKUP(B201,УГО_спр,3,FALSE),IFERROR(VLOOKUP(AX201,УГО_спр,3,FALSE),IFERROR(VLOOKUP(LEFT(AX201,2),УГО_спр,3,FALSE),""))),IF(_xlpm.v="да",30,IF(ISNUMBER(_xlpm.v),_xlpm.v,0))))</f>
        <v>30</v>
      </c>
      <c r="CH201">
        <f t="shared" si="393"/>
        <v>30</v>
      </c>
      <c r="CI201" t="str">
        <f>_xlfn.LET(_xlpm.k,IFERROR(_xlfn.XLOOKUP(AX201,Коды_код,Коды_утечка)&amp;"",""),IF(_xlpm.k="","дифавтомат",_xlpm.k))</f>
        <v>дифавтомат</v>
      </c>
      <c r="CJ201">
        <f t="shared" si="394"/>
        <v>30</v>
      </c>
      <c r="CK201">
        <f t="shared" si="395"/>
        <v>30</v>
      </c>
      <c r="CL201">
        <f>IF(B201="",0,IFERROR(--VLOOKUP(B201,УГО_спр,4,FALSE),IFERROR(--VLOOKUP(AX201,УГО_спр,4,FALSE),IFERROR(--VLOOKUP(LEFT(AX201,2),УГО_спр,4,FALSE),0))))</f>
        <v>16</v>
      </c>
      <c r="CM201" t="str">
        <f>IF(B201="","",IFERROR(_xlfn.XLOOKUP(AX201,Коды_код,Коды_апп)&amp;"",""))</f>
        <v/>
      </c>
      <c r="CN201" t="str">
        <f t="shared" si="396"/>
        <v/>
      </c>
      <c r="CO201" t="str" cm="1">
        <f t="array" ref="CO201">IF(TRIM(CN201&amp;"")="","",IFERROR(TRIM(INDEX(_xlfn.TEXTSPLIT(CN201&amp;";;;",";"),1)),""))</f>
        <v/>
      </c>
      <c r="CP201" t="str" cm="1">
        <f t="array" ref="CP201">IF(TRIM(CN201&amp;"")="","",IFERROR(TRIM(INDEX(_xlfn.TEXTSPLIT(CN201&amp;";;;",";"),2)),""))</f>
        <v/>
      </c>
      <c r="CQ201" t="str" cm="1">
        <f t="array" ref="CQ201">IF(TRIM(CN201&amp;"")="","",IFERROR(TRIM(INDEX(_xlfn.TEXTSPLIT(CN201&amp;";;;",";"),3)),""))</f>
        <v/>
      </c>
      <c r="CR201">
        <f t="shared" si="397"/>
        <v>0</v>
      </c>
      <c r="CS201" t="str">
        <f>IF(B201="","",_xlfn.LET(_xlpm.t,LOWER(AV201&amp;""),IF(ISNUMBER(SEARCH("dim",_xlpm.t)),"DIM",IF(ISNUMBER(SEARCH("dali",_xlpm.t)),"DALI",IF(OR(ISNUMBER(SEARCH("relay",_xlpm.t)),ISNUMBER(SEARCH("реле",_xlpm.t))),"Relay",IF(ISNUMBER(SEARCH("кнопк",_xlpm.t)),"",IFERROR(_xlfn.XLOOKUP(AX201,Коды_код,Коды_упр)&amp;"","")))))))</f>
        <v/>
      </c>
      <c r="CT201" t="str">
        <f t="shared" si="398"/>
        <v/>
      </c>
      <c r="CU201">
        <f>IF(B201="","",_xlfn.LET(_xlpm.ig,N(P201)+IF(AF201="вручную",0,N(CB201)),_xlpm.n0,IFERROR(VLOOKUP(_xlpm.ig,Автомат_номиналы,2,TRUE),0),_xlpm.mn,MAX(CL201,IF(AF201="вручную",0,N(CE201))),MAX(_xlpm.n0,_xlpm.mn,IF(CR201=1,Мин_автомат_БП,0))))</f>
        <v>16</v>
      </c>
      <c r="CV201">
        <f t="shared" si="399"/>
        <v>1</v>
      </c>
      <c r="CW201" t="str">
        <f t="shared" si="400"/>
        <v>2P</v>
      </c>
      <c r="CX201" t="str">
        <f>_xlfn.LET(_xlpm.cc,UPPER(TRIM(IFERROR(_xlfn.XLOOKUP(AX201,Коды_код,Коды_хар)&amp;"",""))),IF(OR(_xlpm.cc="B",_xlpm.cc="В"),"B",IF(_xlpm.cc="D","D","С")))</f>
        <v>С</v>
      </c>
      <c r="CY201" t="str">
        <f t="shared" si="401"/>
        <v>2P С16А 30мА</v>
      </c>
      <c r="CZ201" t="str">
        <f t="shared" si="402"/>
        <v>2P С16А 30мА</v>
      </c>
      <c r="DA201" t="str">
        <f t="shared" si="403"/>
        <v>2P С16А 30мА</v>
      </c>
      <c r="DB201" cm="1">
        <f t="array" ref="DB201">IF(DA201="","",_xlfn.LET(_xlpm.t,SUBSTITUTE(SUBSTITUTE(SUBSTITUTE(UPPER(DA201),"С","C"),"А","A"),"В","B"),_xlpm.tk,_xlfn.TEXTSPLIT(_xlpm.t,"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1" t="str">
        <f t="shared" si="404"/>
        <v>ok</v>
      </c>
      <c r="DD201">
        <f t="shared" si="405"/>
        <v>16</v>
      </c>
      <c r="DE201" t="str">
        <f t="shared" si="406"/>
        <v>2P С16А 30мА</v>
      </c>
      <c r="DF201">
        <f t="shared" si="407"/>
        <v>30</v>
      </c>
      <c r="DG201">
        <f t="shared" si="408"/>
        <v>1</v>
      </c>
      <c r="DH201">
        <f t="shared" si="409"/>
        <v>0</v>
      </c>
      <c r="DI201">
        <f t="shared" si="410"/>
        <v>1.0939268258329751</v>
      </c>
      <c r="DJ201">
        <f t="shared" si="411"/>
        <v>1</v>
      </c>
      <c r="DK201">
        <f>IF(ISNUMBER(AL201),AL201,К_прокл)</f>
        <v>1</v>
      </c>
      <c r="DL201">
        <f t="shared" si="412"/>
        <v>2</v>
      </c>
      <c r="DM201">
        <f>IFERROR(N(VLOOKUP(BT201,Кабель_обозначение,3,FALSE)),1)</f>
        <v>1</v>
      </c>
      <c r="DN201">
        <f>IFERROR(N(_xlfn.XLOOKUP(A201,Щиты[Щит],Щиты[ΔU до шин, %])),0)</f>
        <v>0.43</v>
      </c>
      <c r="DO201" t="str">
        <f>IFERROR(_xlfn.XLOOKUP(A201,Щиты[Щит],Щиты[Zпетли на шинах, Ом]),"")</f>
        <v/>
      </c>
      <c r="DP201">
        <f>IFERROR(N(_xlfn.XLOOKUP(A201,Щиты[Щит],Щиты[ΔU до шин (подбор), %])),0)</f>
        <v>0.43</v>
      </c>
      <c r="DQ201" t="str">
        <f>IFERROR(_xlfn.XLOOKUP(A201,Щиты[Щит],Щиты[Zпетли на шинах (подбор), Ом]),"")</f>
        <v/>
      </c>
      <c r="DR201" t="str">
        <f t="shared" si="413"/>
        <v/>
      </c>
      <c r="DS201">
        <f t="shared" si="414"/>
        <v>31</v>
      </c>
      <c r="DT201">
        <f t="shared" si="415"/>
        <v>2</v>
      </c>
      <c r="DU201">
        <f t="shared" si="416"/>
        <v>0.31</v>
      </c>
      <c r="DV201" s="6">
        <f>IF(B201="","",IF(IFERROR(VLOOKUP(AX201,УГО_спр,2,FALSE),"")="Светильник",3,4)+IF(Методика="нормы 2026",MIN(0.5,MAX(0,N(Q201)-100)*0.005),0))</f>
        <v>4</v>
      </c>
      <c r="DW201" cm="1">
        <f t="array" ref="DW201">IF(OR(B201="",BT201="",DM201&lt;&gt;1),"",_xlfn.LET(_xlpm.sz,Iдоп_S,_xlpm.t_,CHOOSE(DL201,Iдоп_1ж,Iдоп_2ж,Iдоп_3ж)*DJ201*DK201,_xlpm.inn,N(DD201),_xlpm.smin,MAX(1.5,BW201),_xlpm.L_,N(Q201)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201)*(_xlpm.rho*_xlpm.L_/_xlpm.sz*N(BY201)+_xlpm.xx*_xlpm.L_*N(DU201)/1000)*N(P201)/((Uн_лин/SQRT(3))*1000)*100,999),_xlpm.kz,IF(OR(DG201=1,NOT(ISNUMBER(DQ201)),_xlpm.L_=0,_xlpm.inn=0),1,IFERROR(--(c_min*(Uн_лин*1000/SQRT(3))/(DQ201+2*ρкз_Cu*_xlpm.L_/_xlpm.sz)&gt;=GY201*_xlpm.inn),0)),_xlpm.ok,IFERROR((_xlpm.sz&gt;=_xlpm.smin)*(_xlpm.t_&gt;=_xlpm.inn)*IF(_xlpm.L_&gt;0,(_xlpm.du_+DP201&lt;=DV201+0.00001),1)*_xlpm.kz,0),_xlpm.r_,_xlfn._xlws.FILTER(_xlpm.sz,_xlpm.ok,"не подобрано"),INDEX(_xlpm.r_,1)))</f>
        <v>1.5</v>
      </c>
      <c r="DX201">
        <f t="shared" si="417"/>
        <v>2.5</v>
      </c>
      <c r="DY201" cm="1">
        <f t="array" ref="DY201">IF(OR(B201="",BT201="",DM201&lt;&gt;1),"",_xlfn.LET(_xlpm.sz,Iдоп_S,_xlpm.t_,CHOOSE(DL201,Iдоп_1ж,Iдоп_2ж,Iдоп_3ж)*DJ201*DK201,_xlpm.ok,IFERROR((_xlpm.sz&gt;=MAX(1.5,BW201))*(_xlpm.t_&gt;=N(DD201)),0),_xlpm.r_,_xlfn._xlws.FILTER(_xlpm.sz,_xlpm.ok,""),INDEX(_xlpm.r_,1)))</f>
        <v>1.5</v>
      </c>
      <c r="DZ201" s="6" cm="1">
        <f t="array" ref="DZ201">IFERROR(ROUNDUP(N(DT201)*(_xlfn.XLOOKUP(DY201,INDEX(Кабель_сопротивление,0,1),INDEX(Кабель_сопротивление,0,3))*N(Q201)/DY201*N(BY201)+_xlfn.XLOOKUP(DY201,INDEX(Кабель_сопротивление,0,1),INDEX(Кабель_сопротивление,0,2))*N(Q201)*N(DU201)/1000)*N(P201)/((Uн_лин/SQRT(3))*1000)*100,2),"")</f>
        <v>0.71</v>
      </c>
      <c r="EA201">
        <f>IFERROR(2*ρкз_Cu*N(Q201)/DY201,"")</f>
        <v>1.8234666666666666</v>
      </c>
      <c r="EB201">
        <f>IFERROR(VLOOKUP(DX201,Кабель_сопротивление,3,FALSE),"")</f>
        <v>2.2499999999999999E-2</v>
      </c>
      <c r="EC201">
        <f>IFERROR(VLOOKUP(DX201,Кабель_сопротивление,2,FALSE),"")</f>
        <v>0.1</v>
      </c>
      <c r="ED201">
        <f t="shared" si="418"/>
        <v>40</v>
      </c>
      <c r="EE201">
        <f t="shared" si="419"/>
        <v>0</v>
      </c>
      <c r="EF201">
        <f t="shared" si="420"/>
        <v>0.97624655361716683</v>
      </c>
      <c r="EG201" s="6">
        <f>IFERROR(ROUNDUP(EF201/((Uн_лин/SQRT(3))*1000)*100,2),"")</f>
        <v>0.43</v>
      </c>
      <c r="EH201" t="str">
        <f>IFERROR(VLOOKUP(BT201,Кабель_обозначение,2,FALSE),"")</f>
        <v>ВВГнг(А)-LS</v>
      </c>
      <c r="EI201" t="str">
        <f t="shared" si="421"/>
        <v>ВВГнг(А)-LS (3х2,5)</v>
      </c>
      <c r="EJ201" t="str">
        <f t="shared" si="422"/>
        <v>ВВГнг(А)-LS (3х2,5)
L=52-0,43%</v>
      </c>
      <c r="EK201">
        <f>IFERROR(2*ρкз_Cu*Q201/DX201,"")</f>
        <v>1.0940799999999999</v>
      </c>
      <c r="EL201">
        <f t="shared" si="423"/>
        <v>0.36400000000000005</v>
      </c>
      <c r="EM201" s="6" t="str">
        <f>IFERROR(IF(OR(B201="",NOT(ISNUMBER(DX201)),N(Q201)=0),"",_xlfn.XLOOKUP(A201,Щиты[Щит],Щиты[Zпетли на шинах, Ом])+EK201),"")</f>
        <v/>
      </c>
      <c r="EN201" s="6" t="str">
        <f>IF(ISNUMBER(EM201),c_min*(Uн_лин*1000/SQRT(3))/EM201,"")</f>
        <v/>
      </c>
      <c r="EO201" s="6" t="str">
        <f>IFERROR(IF(OR(B201="",NOT(ISNUMBER(DX201))),"",1.05*(Uн_лин*1000/SQRT(3))/(_xlfn.XLOOKUP(A201,Щиты[Щит],Щиты[Zmax на шинах, Ом])+EL201)/1000),"")</f>
        <v/>
      </c>
      <c r="EP201" s="6" t="str">
        <f>IF(B201="","",IF(ISNUMBER(Y201),"Сил",IF(IFERROR(_xlfn.XLOOKUP(AX201,Коды_код,Коды_группа)&amp;"","")="","Быт",_xlfn.XLOOKUP(AX201,Коды_код,Коды_группа)&amp;"")))</f>
        <v>Быт</v>
      </c>
      <c r="EQ201" s="6" t="str">
        <f t="shared" si="424"/>
        <v>Быт</v>
      </c>
      <c r="ER201" s="6">
        <f>IF(EQ201="Щит","щит",IF(EQ201="","",IF(EQ201="Быт",IFERROR(_xlfn.XLOOKUP(A201,Щиты[Щит],Щиты[Кс быт]),1),IF(EQ201="Сил",IF(ISNUMBER(Y201),Y201,IF(Методика="нормы 2026",IFERROR(_xlfn.XLOOKUP(A201,Щиты[Щит],Щиты[Кс силовых (табл. 7.5)]),1),1)),IF(OR(EQ201="Пост",EQ201="Отоп"),1,IF(EQ201="ВНГ",0.7,0))))))</f>
        <v>0.79799999999999993</v>
      </c>
      <c r="ES201">
        <f t="shared" si="425"/>
        <v>1</v>
      </c>
      <c r="ET201">
        <f t="shared" si="426"/>
        <v>0.24</v>
      </c>
      <c r="EU201">
        <f t="shared" si="427"/>
        <v>0.24</v>
      </c>
      <c r="EV201">
        <f t="shared" si="428"/>
        <v>0</v>
      </c>
      <c r="EW201">
        <f t="shared" si="429"/>
        <v>0</v>
      </c>
      <c r="EX201">
        <f t="shared" si="430"/>
        <v>0</v>
      </c>
      <c r="EY201">
        <f t="shared" si="431"/>
        <v>0</v>
      </c>
      <c r="EZ201">
        <f t="shared" si="432"/>
        <v>0.24</v>
      </c>
      <c r="FA201">
        <f t="shared" si="433"/>
        <v>0.22799999999999998</v>
      </c>
      <c r="FB201">
        <f t="shared" si="434"/>
        <v>0.24</v>
      </c>
      <c r="FC201" t="str">
        <f t="shared" si="435"/>
        <v>L2</v>
      </c>
      <c r="FD201" t="str">
        <f>IF(B201="","",IF(CA201=0,IF(AW201=1,"",FF200),IF(OR(N(CV201)&gt;=3,N(BR201)&gt;=3),"L1,L2,L3",IFERROR(_xlfn.TEXTBEFORE(_xlfn.TEXTAFTER(_xlfn.XLOOKUP(A201,Щиты[Щит],Щиты[_фазы авто]),";"&amp;AW201&amp;":"),";"),"L1"))))</f>
        <v>L1</v>
      </c>
      <c r="FE201" t="str">
        <f t="shared" si="436"/>
        <v>L2</v>
      </c>
      <c r="FF201" t="str">
        <f t="shared" si="437"/>
        <v>L2</v>
      </c>
      <c r="FG201" cm="1">
        <f t="array" ref="FG201">IFERROR(IF(BX201=2,_xlfn.IFS(BR201=3,VLOOKUP(BN201,Справочная_двигатели,3,FALSE),BR201=1,VLOOKUP(BN201,Справочная_двигатели,5,TRUE)),0),0)</f>
        <v>0</v>
      </c>
      <c r="FH201">
        <f>IFERROR(IF(BX201=3,VLOOKUP(BN201,Справочная_ЛЭД,2,TRUE),0),0)</f>
        <v>0</v>
      </c>
      <c r="FI201" s="6">
        <f t="shared" si="438"/>
        <v>0</v>
      </c>
      <c r="FJ201" t="str" cm="1">
        <f t="array" ref="FJ201">IF(B201="","",IFERROR(INDEX({"I особая","I","II","III"},MATCH(TRIM(AC201&amp;""),{"I особая","I","II","III"},0)),"III"))</f>
        <v>II</v>
      </c>
      <c r="FK201" t="str">
        <f>IF(B201="","",IF(TRIM(AD201&amp;"")&lt;&gt;"",IF(LOWER(TRIM(AD201&amp;""))="да","да","нет"),IF(IFERROR(_xlfn.XLOOKUP(AX201,Коды_код,Коды_пожарная),"")="да","да","нет")))</f>
        <v>нет</v>
      </c>
      <c r="FL201" t="str">
        <f t="shared" si="439"/>
        <v/>
      </c>
      <c r="FM201" t="str">
        <f t="shared" si="440"/>
        <v>основная</v>
      </c>
      <c r="FN201">
        <f t="shared" si="441"/>
        <v>1</v>
      </c>
      <c r="FO201" t="str" cm="1">
        <f t="array" ref="FO201">IF(B201="","",_xlfn.LET(_xlpm.t,IFERROR(_xlfn.XLOOKUP(1,(Шины[Шина]=FM201)*(((Шины[Щит]=A201)+(Шины[Щит]=""))&gt;0),Шины[Тип]),"")&amp;"",IF(_xlpm.t&lt;&gt;"",_xlpm.t,IF(ISNUMBER(SEARCH("ИБП",FM201)),"ИБП",IF(ISNUMBER(SEARCH("ДГУ",FM201)),"ДГУ","Ввод "&amp;FN201)))))</f>
        <v>Ввод 1</v>
      </c>
      <c r="FP201" t="str">
        <f t="shared" si="442"/>
        <v>Ввод 1</v>
      </c>
      <c r="FQ201" t="str">
        <f>IF(B201="","",IF(OR(FO201="ИБП",FO201="ДГУ"),"I особая",IF(FO201="Одиночная","III",_xlfn.XLOOKUP(A201,Щиты[Щит],Щиты[Категория шины «Ввод»],"III"))))</f>
        <v>II</v>
      </c>
      <c r="FR201">
        <f>IF(B201="",0,IFERROR(MATCH(FJ201,{"III","II","I","I особая"},0),1))</f>
        <v>2</v>
      </c>
      <c r="FS201">
        <f t="shared" si="443"/>
        <v>2</v>
      </c>
      <c r="FT201" t="str">
        <f>IF(B201="","",IF(FR201&gt;IFERROR(MATCH(FQ201,{"III","II","I","I особая"},0),1),"НЕ ОБЕСПЕЧЕНА","ОК"))</f>
        <v>ОК</v>
      </c>
      <c r="FU201" t="str">
        <f>IF(A201="","",_xlfn.XLOOKUP(A201,Щиты[Щит],Щиты[Путь],""))</f>
        <v>|ГРЩ-ЖД|ЩР-01|</v>
      </c>
      <c r="FV201" t="str">
        <f>IF(B201="","",IF(AE201&lt;&gt;"",AE201,IF(IFERROR(_xlfn.XLOOKUP(AX201,Коды_код,Коды_вид)&amp;"","")="","Прочее",_xlfn.XLOOKUP(AX201,Коды_код,Коды_вид)&amp;"")))</f>
        <v>Розеточная сеть и бытовые приборы</v>
      </c>
      <c r="FW201">
        <f>IF(BH201="","",INT((BH201-1)/Столбцов_на_лист)+1)</f>
        <v>3</v>
      </c>
      <c r="FX201" t="str">
        <f t="shared" si="444"/>
        <v>ВВГнг(А)-LS (3х2,5) L=52-0,43%</v>
      </c>
      <c r="FY201">
        <f t="shared" si="445"/>
        <v>0.24</v>
      </c>
      <c r="FZ201">
        <f t="shared" si="446"/>
        <v>1.1000000000000001</v>
      </c>
      <c r="GA201">
        <f t="shared" si="447"/>
        <v>1</v>
      </c>
      <c r="GB201">
        <f t="shared" si="448"/>
        <v>0</v>
      </c>
      <c r="GC201">
        <f t="shared" si="449"/>
        <v>1</v>
      </c>
      <c r="GD201">
        <f>IF(BH201="","",IF(AND(CA201=1,GC201=1),COUNTIFS(A$3:A201,A201,CA$3:CA201,1,GC$3:GC201,1),IF(OR(OR(AW201=1,A201&lt;&gt;A200),AF201="вручную",GC201=0),"",IF(AW201=1,"",GE200))))</f>
        <v>17</v>
      </c>
      <c r="GE201">
        <f t="shared" si="450"/>
        <v>17</v>
      </c>
      <c r="GF201">
        <f>IF(B201="","",IFERROR(LOOKUP(INDEX(CHOOSE(DL201,Iдоп_1ж,Iдоп_2ж,Iдоп_3ж),MATCH(DX201,Iдоп_S,0))*DJ201*DK201,{6,10,16,20,25,32,40,50,63,80,100,125,160,200,250,315,400,500,630}),""))</f>
        <v>25</v>
      </c>
      <c r="GG201" t="str">
        <f t="shared" si="451"/>
        <v>QFD17</v>
      </c>
      <c r="GH201" t="str">
        <f t="shared" si="452"/>
        <v>QFD17</v>
      </c>
      <c r="GI201" t="str">
        <f t="shared" si="453"/>
        <v/>
      </c>
      <c r="GJ201">
        <f t="shared" si="454"/>
        <v>0</v>
      </c>
      <c r="GK201" t="str">
        <f>IF(OR(AG201="",AG201="-"),"",IFERROR(VLOOKUP(AG201,Модули_спр,2,FALSE),"R"))</f>
        <v/>
      </c>
      <c r="GL201" t="str">
        <f>IF(GK201="","",GK201&amp;"."&amp;COUNTIFS(A$3:A201,A201,GK$3:GK201,GK201))</f>
        <v/>
      </c>
      <c r="GM201" t="str">
        <f t="shared" si="455"/>
        <v/>
      </c>
      <c r="GN201" t="str">
        <f t="shared" si="456"/>
        <v/>
      </c>
      <c r="GO201" t="str">
        <f t="shared" si="457"/>
        <v/>
      </c>
      <c r="GP201" t="str">
        <f t="shared" si="458"/>
        <v/>
      </c>
      <c r="GQ201">
        <f t="shared" si="459"/>
        <v>1</v>
      </c>
      <c r="GR201" t="str">
        <f>IF(GQ201=1,"XT"&amp;COUNTIFS(A$3:A201,A201,GQ$3:GQ201,1),"")</f>
        <v>XT17</v>
      </c>
      <c r="GS201" t="str">
        <f t="shared" si="460"/>
        <v/>
      </c>
      <c r="GT201" t="str">
        <f t="shared" si="461"/>
        <v>QFD17</v>
      </c>
      <c r="GU201" t="str">
        <f t="shared" si="462"/>
        <v/>
      </c>
      <c r="GV201" t="str">
        <f t="shared" si="463"/>
        <v>ok</v>
      </c>
      <c r="GW201" t="str">
        <f>IF(OR(GO201="",GM201=""),"",IF(GO201&gt;IFERROR(VLOOKUP(GN201,Модули_спр,3,FALSE),99),"ЛИШНИЙ КАНАЛ",IF(AND(AH201&lt;&gt;"=",COUNTIFS(Линии[_модуль гр.],GM201,Линии[Канал (итог)],GO201,Линии[Канал],"&lt;&gt;=",Линии[Щит],A201)&gt;1),"ДУБЛЬ КАНАЛА","")))</f>
        <v/>
      </c>
      <c r="GX201" s="6" t="str">
        <f t="shared" si="464"/>
        <v/>
      </c>
      <c r="GY201">
        <f t="shared" si="465"/>
        <v>10</v>
      </c>
      <c r="GZ201" t="str">
        <f t="shared" si="466"/>
        <v/>
      </c>
      <c r="HA201" t="str">
        <f>IF(AND(B201="",GT201=""),"",_xlfn.TEXTJOIN("; ",TRUE,IF(AND(B201&lt;&gt;"",FE201=""),"нет фазы",""),IF(AND(B201&lt;&gt;"",N(FY201)=0,EQ201&lt;&gt;"Нет"),"нет мощности",""),IF(AND(GS201&lt;&gt;"",COUNTIFS(Линии[Щит],A201,Линии[Клемма (итог)],GS201)&gt;1),"дубль клеммы "&amp;GS201,""),IF(AND(GV201&lt;&gt;"",GV201&lt;&gt;"ok"),GV201,""),IF(GW201&lt;&gt;"",GW201,""),IF(AND(N(BV201)&gt;=4,N(BR201)=1),BV201&amp;" жил на 1 фазе",""),IF(AND(AX201="R",CA201=1,OR(N(CK201)=0,N(CK201)&gt;30)),"розетка без дифзащиты до 30 мА",""),IFERROR(IF(AND(ISNUMBER(R201),R201&gt;DV201),"потери "&amp;FIXED(R201,1)&amp;" % &gt; "&amp;DV201&amp;" %",""),""),IFERROR(IF(LEFT(GZ201,4)="мало","Iкз мало — отключение &gt; 0,4 с",""),""),IF(AND(B201&lt;&gt;"",BH201=""),"не на схеме",""),IF(AND(CA201=0,B201&lt;&gt;"",FE201&lt;&gt;"",IF(AW201=1,"",FF200)&lt;&gt;"",FE201&lt;&gt;IF(AW201=1,"",FF200)),"фаза не как у автомата группы ("&amp;IF(AW201=1,"",FF200)&amp;")","")))</f>
        <v/>
      </c>
      <c r="HB201" s="6">
        <f>IF(OR(CA201=0,DA201=""),"",_xlfn.LET(_xlpm.t,IFERROR(_xlfn.XLOOKUP(DA201,Каталог!$U$4:$U$500,Каталог!$G$4:$G$500),""),_xlpm.k,SEARCH("кА",_xlpm.t),IFERROR(--TRIM(RIGHT(SUBSTITUTE(MID(_xlpm.t,MAX(1,_xlpm.k-4),_xlpm.k-MAX(1,_xlpm.k-4))," ",REPT(" ",9)),5)),"")))</f>
        <v>6</v>
      </c>
      <c r="HC201" t="str">
        <f>IF(OR(HB201="",CA201=0),"",IF(_xlfn.XLOOKUP(A201,Щиты[Щит],Щиты[Iкз max на шинах, кА],"")="","",IF(HB201&lt;_xlfn.XLOOKUP(A201,Щиты[Щит],Щиты[Iкз max на шинах, кА]),"Icu "&amp;HB201&amp;" кА &lt; Iкз max","ok")))</f>
        <v/>
      </c>
      <c r="HD201" t="str">
        <f t="shared" si="467"/>
        <v/>
      </c>
      <c r="HE201" t="str">
        <f t="shared" si="468"/>
        <v>QFD17</v>
      </c>
      <c r="HF201" t="str">
        <f t="shared" si="469"/>
        <v>QFD17|кабель ВВГнг(А)-LS (3х2,5) → Розеточная группа, пом. 009A</v>
      </c>
      <c r="HG201" t="str" cm="1">
        <f t="array" ref="HG201">IF(HF201="","",_xlfn.LET(_xlpm.nd,_xlfn.TEXTSPLIT(HF201,"|"),IF(COLUMNS(_xlpm.nd)&gt;1,A201&amp;"¦"&amp;INDEX(_xlpm.nd,1)&amp;"¦"&amp;INDEX(_xlpm.nd,2),"")))</f>
        <v>ЩР-01¦QFD17¦кабель ВВГнг(А)-LS (3х2,5) → Розеточная группа, пом. 009A</v>
      </c>
      <c r="HH201" t="str">
        <f t="shared" si="470"/>
        <v>R.0.009A.1¦Розеточная группа, пом. 009A</v>
      </c>
      <c r="HI201" t="str" cm="1">
        <f t="array" ref="HI201">IF(HF201="","",_xlfn.LET(_xlpm.nd,_xlfn.TEXTSPLIT(HF201,"|"),IF(COLUMNS(_xlpm.nd)&gt;2,A201&amp;"¦"&amp;INDEX(_xlpm.nd,2)&amp;"¦"&amp;INDEX(_xlpm.nd,3),"")))</f>
        <v/>
      </c>
      <c r="HJ201" t="str">
        <f t="shared" si="471"/>
        <v/>
      </c>
      <c r="HK201" t="str" cm="1">
        <f t="array" ref="HK201">IF(HF201="","",_xlfn.LET(_xlpm.nd,_xlfn.TEXTSPLIT(HF201,"|"),IF(COLUMNS(_xlpm.nd)&gt;3,A201&amp;"¦"&amp;INDEX(_xlpm.nd,3)&amp;"¦"&amp;INDEX(_xlpm.nd,4),"")))</f>
        <v/>
      </c>
      <c r="HL201" t="str">
        <f t="shared" si="472"/>
        <v/>
      </c>
      <c r="HM201" t="str" cm="1">
        <f t="array" ref="HM201">IF(HF201="","",_xlfn.LET(_xlpm.nd,_xlfn.TEXTSPLIT(HF201,"|"),IF(COLUMNS(_xlpm.nd)&gt;4,A201&amp;"¦"&amp;INDEX(_xlpm.nd,4)&amp;"¦"&amp;INDEX(_xlpm.nd,5),"")))</f>
        <v/>
      </c>
      <c r="HN201" t="str">
        <f t="shared" si="473"/>
        <v/>
      </c>
      <c r="HO201" t="str" cm="1">
        <f t="array" ref="HO201">IF(HF201="","",_xlfn.LET(_xlpm.nd,_xlfn.TEXTSPLIT(HF201,"|"),IF(COLUMNS(_xlpm.nd)&gt;5,A201&amp;"¦"&amp;INDEX(_xlpm.nd,5)&amp;"¦"&amp;INDEX(_xlpm.nd,6),"")))</f>
        <v/>
      </c>
      <c r="HP201" t="str">
        <f t="shared" si="474"/>
        <v/>
      </c>
      <c r="HQ201" t="str" cm="1">
        <f t="array" ref="HQ201">IF(HF201="","",_xlfn.LET(_xlpm.nd,_xlfn.TEXTSPLIT(HF201,"|"),IF(COLUMNS(_xlpm.nd)&gt;6,A201&amp;"¦"&amp;INDEX(_xlpm.nd,6)&amp;"¦"&amp;INDEX(_xlpm.nd,7),"")))</f>
        <v/>
      </c>
      <c r="HR201" t="str">
        <f t="shared" si="475"/>
        <v/>
      </c>
      <c r="HS201" t="str">
        <f t="shared" si="476"/>
        <v/>
      </c>
      <c r="HT201" t="str">
        <f t="shared" si="477"/>
        <v>QFD17</v>
      </c>
      <c r="HU201">
        <f t="shared" si="478"/>
        <v>0</v>
      </c>
      <c r="HV201">
        <f t="shared" si="479"/>
        <v>1</v>
      </c>
      <c r="HW201" t="str">
        <f t="shared" si="480"/>
        <v/>
      </c>
      <c r="HX201" t="str">
        <f t="shared" si="481"/>
        <v/>
      </c>
      <c r="HY201" t="str">
        <f t="shared" si="482"/>
        <v/>
      </c>
      <c r="HZ201" t="str">
        <f t="shared" si="483"/>
        <v/>
      </c>
      <c r="IA201" t="str">
        <f>IF(B201="","",IFERROR(VLOOKUP(B201,УГО_спр,2,FALSE),IFERROR(VLOOKUP(AX201,УГО_спр,2,FALSE),IFERROR(VLOOKUP(LEFT(AX201,2),УГО_спр,2,FALSE),""))))</f>
        <v>Розетка</v>
      </c>
      <c r="IB201" t="str">
        <f>IF(B201="","",IF(OR(IA201="",IA201=0),"BOX",IFERROR(IF(VLOOKUP(IA201,УГО_блоки,3,FALSE)&amp;""&lt;&gt;"",VLOOKUP(IA201,УГО_блоки,3,FALSE),VLOOKUP(IA201,УГО_блоки,2,FALSE)),IA201)))</f>
        <v>SOCKET</v>
      </c>
      <c r="IC201">
        <f t="shared" si="484"/>
        <v>1</v>
      </c>
      <c r="ID201" t="str">
        <f>IF(DA201="","",IF(COUNTIF(DA$3:DA201,DA201)=1,MAX(ID$2:ID200)+1,""))</f>
        <v/>
      </c>
      <c r="IE201" t="str">
        <f>IF(CO201="","",IF(COUNTIF(CO$3:CO201,CO201)+COUNTIF(CP$2:CP200,CO201)+COUNTIF(CQ$2:CQ200,CO201)=1,MAX(IE$2:IG200)+1,""))</f>
        <v/>
      </c>
      <c r="IF201" t="str">
        <f>IF(CP201="","",IF(COUNTIF(CO$3:CO201,CP201)+COUNTIF(CP$3:CP201,CP201)+COUNTIF(CQ$2:CQ200,CP201)=1,MAX(IE$2:IG200,IE201)+1,""))</f>
        <v/>
      </c>
      <c r="IG201" t="str">
        <f>IF(CQ201="","",IF(COUNTIF(CO$3:CO201,CQ201)+COUNTIF(CP$3:CP201,CQ201)+COUNTIF(CQ$3:CQ201,CQ201)=1,MAX(IE$2:IG200,IE201,IF201)+1,""))</f>
        <v/>
      </c>
      <c r="IH201" t="str">
        <f t="shared" si="485"/>
        <v>3х2,5</v>
      </c>
      <c r="II201" t="str">
        <f>IF(IH201="","",IF(COUNTIF(IH$3:IH201,IH201)=1,MAX(II$2:II200)+1,""))</f>
        <v/>
      </c>
      <c r="IJ201" t="str">
        <f>IF(GL201="","",COUNTIF(GL$3:GL201,"?*"))</f>
        <v/>
      </c>
      <c r="IK201" t="str">
        <f>IF(OR(GL201="",GN201=""),"",IF(COUNTIFS(GL$3:GL201,"?*",GN$3:GN201,GN201)=1,MAX(IK$2:IK200)+1,""))</f>
        <v/>
      </c>
      <c r="IL201">
        <f t="shared" si="486"/>
        <v>0</v>
      </c>
      <c r="IM201">
        <f>IF(B201="","",COUNTIF(B$3:B201,"?*"))</f>
        <v>199</v>
      </c>
      <c r="IN201">
        <f>IF(GQ201&lt;&gt;1,0,_xlfn.LET(_xlpm.k,MAX(IFERROR(--VLOOKUP(B201,УГО_спр,5,FALSE),0),IFERROR(--VLOOKUP(AX201,УГО_спр,5,FALSE),0),IFERROR(--VLOOKUP(LEFT(AX201,2),УГО_спр,5,FALSE),0)),IF(_xlpm.k&gt;0,_xlpm.k,IF(IFERROR(--LEFT(SUBSTITUTE(IH201,"x","х"),FIND("х",SUBSTITUTE(IH201,"x","х"))-1),3)&gt;3,Каталог!$S$9,1))))</f>
        <v>1</v>
      </c>
      <c r="IO201">
        <f t="shared" si="487"/>
        <v>0</v>
      </c>
      <c r="IP201" t="str">
        <f t="shared" si="488"/>
        <v>авто</v>
      </c>
      <c r="IQ201">
        <f t="shared" si="489"/>
        <v>30</v>
      </c>
      <c r="IR201">
        <f t="shared" si="490"/>
        <v>1</v>
      </c>
      <c r="IS201">
        <f t="shared" si="491"/>
        <v>1</v>
      </c>
    </row>
    <row r="202" spans="1:253" x14ac:dyDescent="0.3">
      <c r="A202" t="s">
        <v>757</v>
      </c>
      <c r="B202" t="s">
        <v>1468</v>
      </c>
      <c r="C202" t="str">
        <f>Линии[[#This Row],[_авто наименование]]</f>
        <v>Розеточная группа, пом. 009A</v>
      </c>
      <c r="D202">
        <v>6</v>
      </c>
      <c r="E202">
        <v>0.36</v>
      </c>
      <c r="G202" t="str">
        <f>Линии[[#This Row],[_авто автомат]]</f>
        <v>2P С16А 30мА</v>
      </c>
      <c r="H202">
        <f>Линии[[#This Row],[_авто утечка]]</f>
        <v>30</v>
      </c>
      <c r="I202" t="str">
        <f>Линии[[#This Row],[_авто управление]]</f>
        <v/>
      </c>
      <c r="J202" t="str">
        <f>Линии[[#This Row],[_авто аппараты]]</f>
        <v/>
      </c>
      <c r="K202">
        <v>2.5</v>
      </c>
      <c r="L202">
        <v>26</v>
      </c>
      <c r="M202">
        <v>3</v>
      </c>
      <c r="N202" t="s">
        <v>486</v>
      </c>
      <c r="O202" t="str">
        <f t="shared" si="369"/>
        <v/>
      </c>
      <c r="P202" s="6" cm="1">
        <f t="array" ref="P202">IF(B202="","",IF(BC202&lt;&gt;"",IFERROR(_xlfn.XLOOKUP(BC202,Щиты[Щит],Щиты[Iр, А]),""),IF(BK202=1,IFERROR(_xlfn.XLOOKUP(A202,Щиты[Щит],Щиты[Iр, А]),""),IFERROR(_xlfn.IFS(BR202=1,BN202/((Uн_лин/SQRT(3))*BY202),BR202=3,BN202/(SQRT(3)*Uн_лин*BY202)),""))))</f>
        <v>1.6408902387494626</v>
      </c>
      <c r="Q202" s="7">
        <f>IF(B202="","",IFERROR(IF(VLOOKUP(AX202,Потребители_обозначение,4,FALSE)=1,VLOOKUP(AX202,Потребители_обозначение,3,FALSE)*(D202*2-1)+DS202+VLOOKUP(AZ202,Этаж_обозначение,3,FALSE)+VLOOKUP(AZ202,Этаж_обозначение,4,FALSE),VLOOKUP(AX202,Потребители_обозначение,3,FALSE)*(D202*2-1)+DS202),DS202))</f>
        <v>59</v>
      </c>
      <c r="R202" s="6">
        <f t="shared" si="370"/>
        <v>1.1499999999999999</v>
      </c>
      <c r="S202" t="str">
        <f t="shared" si="371"/>
        <v>ВВГнг(А)-LS (3х2,5)</v>
      </c>
      <c r="T202" t="str">
        <f>IF(BH202="","",IF(BI202="вводной узел","узел ","")&amp;"л."&amp;(INT((BH202-1)/Столбцов_на_лист)+1)&amp;" / "&amp;(MOD(BH202-1,Столбцов_на_лист)+1))</f>
        <v>л.3 / 3</v>
      </c>
      <c r="V202">
        <v>1</v>
      </c>
      <c r="W202">
        <v>230</v>
      </c>
      <c r="X202" t="s">
        <v>564</v>
      </c>
      <c r="AC202" t="s">
        <v>815</v>
      </c>
      <c r="AE202" t="s">
        <v>563</v>
      </c>
      <c r="AI202">
        <v>37</v>
      </c>
      <c r="AJ202" t="s">
        <v>11</v>
      </c>
      <c r="AK202">
        <v>3</v>
      </c>
      <c r="AM202">
        <v>14</v>
      </c>
      <c r="AN202">
        <v>45</v>
      </c>
      <c r="AO202">
        <v>0</v>
      </c>
      <c r="AW202" cm="1">
        <f t="array" ref="AW202">ROW()-ROW(Линии[#Headers])</f>
        <v>200</v>
      </c>
      <c r="AX202" s="6" t="str">
        <f t="shared" si="372"/>
        <v>R</v>
      </c>
      <c r="AY202" t="str">
        <f t="shared" si="373"/>
        <v>0.009A.2</v>
      </c>
      <c r="AZ202" t="str">
        <f t="shared" si="374"/>
        <v>0</v>
      </c>
      <c r="BA202" t="str">
        <f t="shared" si="375"/>
        <v>009A.2</v>
      </c>
      <c r="BB202" t="str">
        <f t="shared" si="376"/>
        <v>009A</v>
      </c>
      <c r="BC202" t="str">
        <f>IF(U202&lt;&gt;"",U202,IF(AND(B202&lt;&gt;"",B202&lt;&gt;A202,ISNUMBER(_xlfn.XMATCH(B202,Щиты[Щит]))),B202,""))</f>
        <v/>
      </c>
      <c r="BD202" t="str" cm="1">
        <f t="array" ref="BD202">IF(B202="","",IF(BC202&lt;&gt;"","Щит "&amp;BC202,_xlfn.LET(_xlpm.nm,IFERROR(_xlfn.XLOOKUP(AX202,Коды_код,Коды_имя)&amp;"",""),_xlpm.md,IFERROR(N(_xlfn.XLOOKUP(AX202,Коды_код,Коды_режим)),1),_xlpm.ex,IF(Имя_режим="по экспликации",IFERROR(_xlfn.XLOOKUP(AZ202&amp;"|"&amp;BB202,Экспликация[Этаж]&amp;"|"&amp;Экспликация[Помещение],Экспликация[Название])&amp;"",""),""),_xlpm.rm,IF(BB202="","",IF(_xlpm.ex&lt;&gt;"",". "&amp;_xlpm.ex&amp;IF(Имя_пом="нет"," ("&amp;BB202&amp;")"," (пом. "&amp;BB202&amp;")"),IF(Имя_пом="нет"," ",", пом. ")&amp;BB202)),IF(_xlpm.nm="","",IF(_xlpm.md=2,_xlpm.nm&amp;" шлейф "&amp;AZ202,_xlpm.nm&amp;_xlpm.rm)))))</f>
        <v>Розеточная группа, пом. 009A</v>
      </c>
      <c r="BE202" t="str">
        <f t="shared" si="377"/>
        <v>Розеточная группа, пом. 009A</v>
      </c>
      <c r="BF202">
        <f>IFERROR(_xlfn.XMATCH(A202,Щиты[Щит]),0)</f>
        <v>9</v>
      </c>
      <c r="BG202">
        <f>_xlfn.LET(_xlpm.k,IFERROR(_xlfn.XLOOKUP(A202,Щиты[Щит],Щиты[Листов под вводной узел]),""),IF(_xlpm.k="",1,N(_xlpm.k))*Столбцов_на_лист)</f>
        <v>17</v>
      </c>
      <c r="BH202">
        <f t="shared" si="378"/>
        <v>37</v>
      </c>
      <c r="BI202" t="str">
        <f t="shared" si="379"/>
        <v>линии</v>
      </c>
      <c r="BJ202" s="6">
        <f>IFERROR(N(_xlfn.XLOOKUP(AX202,Коды_код,Коды_квт)),0)</f>
        <v>0</v>
      </c>
      <c r="BK202">
        <f t="shared" si="380"/>
        <v>0</v>
      </c>
      <c r="BL202" t="str">
        <f>IF(B202="","",IF(BC202&lt;&gt;"",IFERROR(_xlfn.XLOOKUP(BC202,Щиты[Щит],Щиты[Руст, кВт]),0),IF(BK202=1,IFERROR(_xlfn.XLOOKUP(A202,Щиты[Щит],Щиты[Руст, кВт]),0),IF(BJ202&gt;0,ROUND(BJ202*MAX(1,N(D202)),3),""))))</f>
        <v/>
      </c>
      <c r="BM202">
        <f t="shared" si="381"/>
        <v>0.36</v>
      </c>
      <c r="BN202" s="6">
        <f>IF(B202="","",IF(BC202&lt;&gt;"",IFERROR(_xlfn.XLOOKUP(BC202,Щиты[Щит],Щиты[Руст, кВт]),0),N(BM202)))</f>
        <v>0.36</v>
      </c>
      <c r="BO202" t="str">
        <f>IF(B202="","",IFERROR(IF(VLOOKUP(AX202,Потребители_обозначение,8,FALSE)=0,"",VLOOKUP(AX202,Потребители_обозначение,8,FALSE)),""))</f>
        <v/>
      </c>
      <c r="BP202">
        <f t="shared" si="382"/>
        <v>230</v>
      </c>
      <c r="BQ202">
        <f>IF(B202="","",IF(BC202&lt;&gt;"",3,IFERROR(IF(N(VLOOKUP(AX202,Потребители_обозначение,9,FALSE))=0,1,VLOOKUP(AX202,Потребители_обозначение,9,FALSE)),1)))</f>
        <v>1</v>
      </c>
      <c r="BR202">
        <f t="shared" si="383"/>
        <v>1</v>
      </c>
      <c r="BS202" t="str">
        <f>IF(B202="","",_xlfn.LET(_xlpm.bc,IFERROR(IF(VLOOKUP(AX202,Потребители_обозначение,6,FALSE)=0,"",VLOOKUP(AX202,Потребители_обозначение,6,FALSE)&amp;""),""),IF(AND(FK202="да",OR(_xlpm.bc="",_xlpm.bc="мс")),Марка_пож,IF(AND(_xlpm.bc="",BC202&lt;&gt;""),"мс",_xlpm.bc))))</f>
        <v/>
      </c>
      <c r="BT202" t="str">
        <f t="shared" si="384"/>
        <v>мс</v>
      </c>
      <c r="BU202">
        <f>IF(B202="","",_xlfn.LET(_xlpm.cc,IFERROR(N(VLOOKUP(AX202,Потребители_обозначение,7,FALSE)),0),IF(_xlpm.cc&gt;0,_xlpm.cc,IF(BT202="","",IF(N(BR202)=3,5,3)))))</f>
        <v>3</v>
      </c>
      <c r="BV202">
        <f t="shared" si="385"/>
        <v>3</v>
      </c>
      <c r="BW202">
        <f>IFERROR(N(VLOOKUP(AX202,Потребители_обозначение,10,FALSE)),0)</f>
        <v>0</v>
      </c>
      <c r="BX202">
        <f>IFERROR(VLOOKUP(AX202,Потребители_обозначение,5,FALSE),0)</f>
        <v>1</v>
      </c>
      <c r="BY202" s="6" cm="1">
        <f t="array" ref="BY202">IF(B202="","",IF(BC202&lt;&gt;"",IFERROR(_xlfn.XLOOKUP(BC202,Щиты[Щит],Щиты[cos φ]),0.95),IF(BK202=1,IFERROR(_xlfn.XLOOKUP(A202,Щиты[Щит],Щиты[cos φ]),0.95),IF(ISNUMBER(Z202),Z202,IFERROR(IF(BX202=2,_xlfn.IFS(BR202=3,VLOOKUP(BN202,Справочная_двигатели,8,FALSE),BR202=1,VLOOKUP(BN202,Справочная_двигатели,10,TRUE)),IF(AND(Методика="нормы 2026",EQ202="Сил"),0.8,0.95)),0.95)))))</f>
        <v>0.95</v>
      </c>
      <c r="BZ202">
        <f t="shared" si="386"/>
        <v>0</v>
      </c>
      <c r="CA202">
        <f t="shared" si="387"/>
        <v>1</v>
      </c>
      <c r="CB202">
        <f t="shared" si="388"/>
        <v>0</v>
      </c>
      <c r="CC202">
        <f t="shared" si="389"/>
        <v>0</v>
      </c>
      <c r="CD202">
        <f t="shared" si="390"/>
        <v>0</v>
      </c>
      <c r="CE202">
        <f t="shared" si="391"/>
        <v>0</v>
      </c>
      <c r="CF202">
        <f t="shared" si="392"/>
        <v>0</v>
      </c>
      <c r="CG202">
        <f>IF(AX202="",0,_xlfn.LET(_xlpm.v,IFERROR(VLOOKUP(B202,УГО_спр,3,FALSE),IFERROR(VLOOKUP(AX202,УГО_спр,3,FALSE),IFERROR(VLOOKUP(LEFT(AX202,2),УГО_спр,3,FALSE),""))),IF(_xlpm.v="да",30,IF(ISNUMBER(_xlpm.v),_xlpm.v,0))))</f>
        <v>30</v>
      </c>
      <c r="CH202">
        <f t="shared" si="393"/>
        <v>30</v>
      </c>
      <c r="CI202" t="str">
        <f>_xlfn.LET(_xlpm.k,IFERROR(_xlfn.XLOOKUP(AX202,Коды_код,Коды_утечка)&amp;"",""),IF(_xlpm.k="","дифавтомат",_xlpm.k))</f>
        <v>дифавтомат</v>
      </c>
      <c r="CJ202">
        <f t="shared" si="394"/>
        <v>30</v>
      </c>
      <c r="CK202">
        <f t="shared" si="395"/>
        <v>30</v>
      </c>
      <c r="CL202">
        <f>IF(B202="",0,IFERROR(--VLOOKUP(B202,УГО_спр,4,FALSE),IFERROR(--VLOOKUP(AX202,УГО_спр,4,FALSE),IFERROR(--VLOOKUP(LEFT(AX202,2),УГО_спр,4,FALSE),0))))</f>
        <v>16</v>
      </c>
      <c r="CM202" t="str">
        <f>IF(B202="","",IFERROR(_xlfn.XLOOKUP(AX202,Коды_код,Коды_апп)&amp;"",""))</f>
        <v/>
      </c>
      <c r="CN202" t="str">
        <f t="shared" si="396"/>
        <v/>
      </c>
      <c r="CO202" t="str" cm="1">
        <f t="array" ref="CO202">IF(TRIM(CN202&amp;"")="","",IFERROR(TRIM(INDEX(_xlfn.TEXTSPLIT(CN202&amp;";;;",";"),1)),""))</f>
        <v/>
      </c>
      <c r="CP202" t="str" cm="1">
        <f t="array" ref="CP202">IF(TRIM(CN202&amp;"")="","",IFERROR(TRIM(INDEX(_xlfn.TEXTSPLIT(CN202&amp;";;;",";"),2)),""))</f>
        <v/>
      </c>
      <c r="CQ202" t="str" cm="1">
        <f t="array" ref="CQ202">IF(TRIM(CN202&amp;"")="","",IFERROR(TRIM(INDEX(_xlfn.TEXTSPLIT(CN202&amp;";;;",";"),3)),""))</f>
        <v/>
      </c>
      <c r="CR202">
        <f t="shared" si="397"/>
        <v>0</v>
      </c>
      <c r="CS202" t="str">
        <f>IF(B202="","",_xlfn.LET(_xlpm.t,LOWER(AV202&amp;""),IF(ISNUMBER(SEARCH("dim",_xlpm.t)),"DIM",IF(ISNUMBER(SEARCH("dali",_xlpm.t)),"DALI",IF(OR(ISNUMBER(SEARCH("relay",_xlpm.t)),ISNUMBER(SEARCH("реле",_xlpm.t))),"Relay",IF(ISNUMBER(SEARCH("кнопк",_xlpm.t)),"",IFERROR(_xlfn.XLOOKUP(AX202,Коды_код,Коды_упр)&amp;"","")))))))</f>
        <v/>
      </c>
      <c r="CT202" t="str">
        <f t="shared" si="398"/>
        <v/>
      </c>
      <c r="CU202">
        <f>IF(B202="","",_xlfn.LET(_xlpm.ig,N(P202)+IF(AF202="вручную",0,N(CB202)),_xlpm.n0,IFERROR(VLOOKUP(_xlpm.ig,Автомат_номиналы,2,TRUE),0),_xlpm.mn,MAX(CL202,IF(AF202="вручную",0,N(CE202))),MAX(_xlpm.n0,_xlpm.mn,IF(CR202=1,Мин_автомат_БП,0))))</f>
        <v>16</v>
      </c>
      <c r="CV202">
        <f t="shared" si="399"/>
        <v>1</v>
      </c>
      <c r="CW202" t="str">
        <f t="shared" si="400"/>
        <v>2P</v>
      </c>
      <c r="CX202" t="str">
        <f>_xlfn.LET(_xlpm.cc,UPPER(TRIM(IFERROR(_xlfn.XLOOKUP(AX202,Коды_код,Коды_хар)&amp;"",""))),IF(OR(_xlpm.cc="B",_xlpm.cc="В"),"B",IF(_xlpm.cc="D","D","С")))</f>
        <v>С</v>
      </c>
      <c r="CY202" t="str">
        <f t="shared" si="401"/>
        <v>2P С16А 30мА</v>
      </c>
      <c r="CZ202" t="str">
        <f t="shared" si="402"/>
        <v>2P С16А 30мА</v>
      </c>
      <c r="DA202" t="str">
        <f t="shared" si="403"/>
        <v>2P С16А 30мА</v>
      </c>
      <c r="DB202" cm="1">
        <f t="array" ref="DB202">IF(DA202="","",_xlfn.LET(_xlpm.t,SUBSTITUTE(SUBSTITUTE(SUBSTITUTE(UPPER(DA202),"С","C"),"А","A"),"В","B"),_xlpm.tk,_xlfn.TEXTSPLIT(_xlpm.t,"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2" t="str">
        <f t="shared" si="404"/>
        <v>ok</v>
      </c>
      <c r="DD202">
        <f t="shared" si="405"/>
        <v>16</v>
      </c>
      <c r="DE202" t="str">
        <f t="shared" si="406"/>
        <v>2P С16А 30мА</v>
      </c>
      <c r="DF202">
        <f t="shared" si="407"/>
        <v>30</v>
      </c>
      <c r="DG202">
        <f t="shared" si="408"/>
        <v>1</v>
      </c>
      <c r="DH202">
        <f t="shared" si="409"/>
        <v>0</v>
      </c>
      <c r="DI202">
        <f t="shared" si="410"/>
        <v>1.6408902387494626</v>
      </c>
      <c r="DJ202">
        <f t="shared" si="411"/>
        <v>1</v>
      </c>
      <c r="DK202">
        <f>IF(ISNUMBER(AL202),AL202,К_прокл)</f>
        <v>1</v>
      </c>
      <c r="DL202">
        <f t="shared" si="412"/>
        <v>2</v>
      </c>
      <c r="DM202">
        <f>IFERROR(N(VLOOKUP(BT202,Кабель_обозначение,3,FALSE)),1)</f>
        <v>1</v>
      </c>
      <c r="DN202">
        <f>IFERROR(N(_xlfn.XLOOKUP(A202,Щиты[Щит],Щиты[ΔU до шин, %])),0)</f>
        <v>0.43</v>
      </c>
      <c r="DO202" t="str">
        <f>IFERROR(_xlfn.XLOOKUP(A202,Щиты[Щит],Щиты[Zпетли на шинах, Ом]),"")</f>
        <v/>
      </c>
      <c r="DP202">
        <f>IFERROR(N(_xlfn.XLOOKUP(A202,Щиты[Щит],Щиты[ΔU до шин (подбор), %])),0)</f>
        <v>0.43</v>
      </c>
      <c r="DQ202" t="str">
        <f>IFERROR(_xlfn.XLOOKUP(A202,Щиты[Щит],Щиты[Zпетли на шинах (подбор), Ом]),"")</f>
        <v/>
      </c>
      <c r="DR202" t="str">
        <f t="shared" si="413"/>
        <v/>
      </c>
      <c r="DS202">
        <f t="shared" si="414"/>
        <v>26</v>
      </c>
      <c r="DT202">
        <f t="shared" si="415"/>
        <v>2</v>
      </c>
      <c r="DU202">
        <f t="shared" si="416"/>
        <v>0.31</v>
      </c>
      <c r="DV202" s="6">
        <f>IF(B202="","",IF(IFERROR(VLOOKUP(AX202,УГО_спр,2,FALSE),"")="Светильник",3,4)+IF(Методика="нормы 2026",MIN(0.5,MAX(0,N(Q202)-100)*0.005),0))</f>
        <v>4</v>
      </c>
      <c r="DW202" cm="1">
        <f t="array" ref="DW202">IF(OR(B202="",BT202="",DM202&lt;&gt;1),"",_xlfn.LET(_xlpm.sz,Iдоп_S,_xlpm.t_,CHOOSE(DL202,Iдоп_1ж,Iдоп_2ж,Iдоп_3ж)*DJ202*DK202,_xlpm.inn,N(DD202),_xlpm.smin,MAX(1.5,BW202),_xlpm.L_,N(Q202)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202)*(_xlpm.rho*_xlpm.L_/_xlpm.sz*N(BY202)+_xlpm.xx*_xlpm.L_*N(DU202)/1000)*N(P202)/((Uн_лин/SQRT(3))*1000)*100,999),_xlpm.kz,IF(OR(DG202=1,NOT(ISNUMBER(DQ202)),_xlpm.L_=0,_xlpm.inn=0),1,IFERROR(--(c_min*(Uн_лин*1000/SQRT(3))/(DQ202+2*ρкз_Cu*_xlpm.L_/_xlpm.sz)&gt;=GY202*_xlpm.inn),0)),_xlpm.ok,IFERROR((_xlpm.sz&gt;=_xlpm.smin)*(_xlpm.t_&gt;=_xlpm.inn)*IF(_xlpm.L_&gt;0,(_xlpm.du_+DP202&lt;=DV202+0.00001),1)*_xlpm.kz,0),_xlpm.r_,_xlfn._xlws.FILTER(_xlpm.sz,_xlpm.ok,"не подобрано"),INDEX(_xlpm.r_,1)))</f>
        <v>1.5</v>
      </c>
      <c r="DX202">
        <f t="shared" si="417"/>
        <v>2.5</v>
      </c>
      <c r="DY202" cm="1">
        <f t="array" ref="DY202">IF(OR(B202="",BT202="",DM202&lt;&gt;1),"",_xlfn.LET(_xlpm.sz,Iдоп_S,_xlpm.t_,CHOOSE(DL202,Iдоп_1ж,Iдоп_2ж,Iдоп_3ж)*DJ202*DK202,_xlpm.ok,IFERROR((_xlpm.sz&gt;=MAX(1.5,BW202))*(_xlpm.t_&gt;=N(DD202)),0),_xlpm.r_,_xlfn._xlws.FILTER(_xlpm.sz,_xlpm.ok,""),INDEX(_xlpm.r_,1)))</f>
        <v>1.5</v>
      </c>
      <c r="DZ202" s="6" cm="1">
        <f t="array" ref="DZ202">IFERROR(ROUNDUP(N(DT202)*(_xlfn.XLOOKUP(DY202,INDEX(Кабель_сопротивление,0,1),INDEX(Кабель_сопротивление,0,3))*N(Q202)/DY202*N(BY202)+_xlfn.XLOOKUP(DY202,INDEX(Кабель_сопротивление,0,1),INDEX(Кабель_сопротивление,0,2))*N(Q202)*N(DU202)/1000)*N(P202)/((Uн_лин/SQRT(3))*1000)*100,2),"")</f>
        <v>1.2</v>
      </c>
      <c r="EA202">
        <f>IFERROR(2*ρкз_Cu*N(Q202)/DY202,"")</f>
        <v>2.0689333333333333</v>
      </c>
      <c r="EB202">
        <f>IFERROR(VLOOKUP(DX202,Кабель_сопротивление,3,FALSE),"")</f>
        <v>2.2499999999999999E-2</v>
      </c>
      <c r="EC202">
        <f>IFERROR(VLOOKUP(DX202,Кабель_сопротивление,2,FALSE),"")</f>
        <v>0.1</v>
      </c>
      <c r="ED202">
        <f t="shared" si="418"/>
        <v>45</v>
      </c>
      <c r="EE202">
        <f t="shared" si="419"/>
        <v>0</v>
      </c>
      <c r="EF202">
        <f t="shared" si="420"/>
        <v>1.6614965383676776</v>
      </c>
      <c r="EG202" s="6">
        <f>IFERROR(ROUNDUP(EF202/((Uн_лин/SQRT(3))*1000)*100,2),"")</f>
        <v>0.72</v>
      </c>
      <c r="EH202" t="str">
        <f>IFERROR(VLOOKUP(BT202,Кабель_обозначение,2,FALSE),"")</f>
        <v>ВВГнг(А)-LS</v>
      </c>
      <c r="EI202" t="str">
        <f t="shared" si="421"/>
        <v>ВВГнг(А)-LS (3х2,5)</v>
      </c>
      <c r="EJ202" t="str">
        <f t="shared" si="422"/>
        <v>ВВГнг(А)-LS (3х2,5)
L=59-0,72%</v>
      </c>
      <c r="EK202">
        <f>IFERROR(2*ρкз_Cu*Q202/DX202,"")</f>
        <v>1.24136</v>
      </c>
      <c r="EL202">
        <f t="shared" si="423"/>
        <v>0.41300000000000009</v>
      </c>
      <c r="EM202" s="6" t="str">
        <f>IFERROR(IF(OR(B202="",NOT(ISNUMBER(DX202)),N(Q202)=0),"",_xlfn.XLOOKUP(A202,Щиты[Щит],Щиты[Zпетли на шинах, Ом])+EK202),"")</f>
        <v/>
      </c>
      <c r="EN202" s="6" t="str">
        <f>IF(ISNUMBER(EM202),c_min*(Uн_лин*1000/SQRT(3))/EM202,"")</f>
        <v/>
      </c>
      <c r="EO202" s="6" t="str">
        <f>IFERROR(IF(OR(B202="",NOT(ISNUMBER(DX202))),"",1.05*(Uн_лин*1000/SQRT(3))/(_xlfn.XLOOKUP(A202,Щиты[Щит],Щиты[Zmax на шинах, Ом])+EL202)/1000),"")</f>
        <v/>
      </c>
      <c r="EP202" s="6" t="str">
        <f>IF(B202="","",IF(ISNUMBER(Y202),"Сил",IF(IFERROR(_xlfn.XLOOKUP(AX202,Коды_код,Коды_группа)&amp;"","")="","Быт",_xlfn.XLOOKUP(AX202,Коды_код,Коды_группа)&amp;"")))</f>
        <v>Быт</v>
      </c>
      <c r="EQ202" s="6" t="str">
        <f t="shared" si="424"/>
        <v>Быт</v>
      </c>
      <c r="ER202" s="6">
        <f>IF(EQ202="Щит","щит",IF(EQ202="","",IF(EQ202="Быт",IFERROR(_xlfn.XLOOKUP(A202,Щиты[Щит],Щиты[Кс быт]),1),IF(EQ202="Сил",IF(ISNUMBER(Y202),Y202,IF(Методика="нормы 2026",IFERROR(_xlfn.XLOOKUP(A202,Щиты[Щит],Щиты[Кс силовых (табл. 7.5)]),1),1)),IF(OR(EQ202="Пост",EQ202="Отоп"),1,IF(EQ202="ВНГ",0.7,0))))))</f>
        <v>0.79799999999999993</v>
      </c>
      <c r="ES202">
        <f t="shared" si="425"/>
        <v>1</v>
      </c>
      <c r="ET202">
        <f t="shared" si="426"/>
        <v>0.36</v>
      </c>
      <c r="EU202">
        <f t="shared" si="427"/>
        <v>0.36</v>
      </c>
      <c r="EV202">
        <f t="shared" si="428"/>
        <v>0</v>
      </c>
      <c r="EW202">
        <f t="shared" si="429"/>
        <v>0</v>
      </c>
      <c r="EX202">
        <f t="shared" si="430"/>
        <v>0</v>
      </c>
      <c r="EY202">
        <f t="shared" si="431"/>
        <v>0</v>
      </c>
      <c r="EZ202">
        <f t="shared" si="432"/>
        <v>0.36</v>
      </c>
      <c r="FA202">
        <f t="shared" si="433"/>
        <v>0.34199999999999997</v>
      </c>
      <c r="FB202">
        <f t="shared" si="434"/>
        <v>0.36</v>
      </c>
      <c r="FC202" t="str">
        <f t="shared" si="435"/>
        <v>L3</v>
      </c>
      <c r="FD202" t="str">
        <f>IF(B202="","",IF(CA202=0,IF(AW202=1,"",FF201),IF(OR(N(CV202)&gt;=3,N(BR202)&gt;=3),"L1,L2,L3",IFERROR(_xlfn.TEXTBEFORE(_xlfn.TEXTAFTER(_xlfn.XLOOKUP(A202,Щиты[Щит],Щиты[_фазы авто]),";"&amp;AW202&amp;":"),";"),"L1"))))</f>
        <v>L1</v>
      </c>
      <c r="FE202" t="str">
        <f t="shared" si="436"/>
        <v>L3</v>
      </c>
      <c r="FF202" t="str">
        <f t="shared" si="437"/>
        <v>L3</v>
      </c>
      <c r="FG202" cm="1">
        <f t="array" ref="FG202">IFERROR(IF(BX202=2,_xlfn.IFS(BR202=3,VLOOKUP(BN202,Справочная_двигатели,3,FALSE),BR202=1,VLOOKUP(BN202,Справочная_двигатели,5,TRUE)),0),0)</f>
        <v>0</v>
      </c>
      <c r="FH202">
        <f>IFERROR(IF(BX202=3,VLOOKUP(BN202,Справочная_ЛЭД,2,TRUE),0),0)</f>
        <v>0</v>
      </c>
      <c r="FI202" s="6">
        <f t="shared" si="438"/>
        <v>0</v>
      </c>
      <c r="FJ202" t="str" cm="1">
        <f t="array" ref="FJ202">IF(B202="","",IFERROR(INDEX({"I особая","I","II","III"},MATCH(TRIM(AC202&amp;""),{"I особая","I","II","III"},0)),"III"))</f>
        <v>II</v>
      </c>
      <c r="FK202" t="str">
        <f>IF(B202="","",IF(TRIM(AD202&amp;"")&lt;&gt;"",IF(LOWER(TRIM(AD202&amp;""))="да","да","нет"),IF(IFERROR(_xlfn.XLOOKUP(AX202,Коды_код,Коды_пожарная),"")="да","да","нет")))</f>
        <v>нет</v>
      </c>
      <c r="FL202" t="str">
        <f t="shared" si="439"/>
        <v/>
      </c>
      <c r="FM202" t="str">
        <f t="shared" si="440"/>
        <v>основная</v>
      </c>
      <c r="FN202">
        <f t="shared" si="441"/>
        <v>1</v>
      </c>
      <c r="FO202" t="str" cm="1">
        <f t="array" ref="FO202">IF(B202="","",_xlfn.LET(_xlpm.t,IFERROR(_xlfn.XLOOKUP(1,(Шины[Шина]=FM202)*(((Шины[Щит]=A202)+(Шины[Щит]=""))&gt;0),Шины[Тип]),"")&amp;"",IF(_xlpm.t&lt;&gt;"",_xlpm.t,IF(ISNUMBER(SEARCH("ИБП",FM202)),"ИБП",IF(ISNUMBER(SEARCH("ДГУ",FM202)),"ДГУ","Ввод "&amp;FN202)))))</f>
        <v>Ввод 1</v>
      </c>
      <c r="FP202" t="str">
        <f t="shared" si="442"/>
        <v>Ввод 1</v>
      </c>
      <c r="FQ202" t="str">
        <f>IF(B202="","",IF(OR(FO202="ИБП",FO202="ДГУ"),"I особая",IF(FO202="Одиночная","III",_xlfn.XLOOKUP(A202,Щиты[Щит],Щиты[Категория шины «Ввод»],"III"))))</f>
        <v>II</v>
      </c>
      <c r="FR202">
        <f>IF(B202="",0,IFERROR(MATCH(FJ202,{"III","II","I","I особая"},0),1))</f>
        <v>2</v>
      </c>
      <c r="FS202">
        <f t="shared" si="443"/>
        <v>2</v>
      </c>
      <c r="FT202" t="str">
        <f>IF(B202="","",IF(FR202&gt;IFERROR(MATCH(FQ202,{"III","II","I","I особая"},0),1),"НЕ ОБЕСПЕЧЕНА","ОК"))</f>
        <v>ОК</v>
      </c>
      <c r="FU202" t="str">
        <f>IF(A202="","",_xlfn.XLOOKUP(A202,Щиты[Щит],Щиты[Путь],""))</f>
        <v>|ГРЩ-ЖД|ЩР-01|</v>
      </c>
      <c r="FV202" t="str">
        <f>IF(B202="","",IF(AE202&lt;&gt;"",AE202,IF(IFERROR(_xlfn.XLOOKUP(AX202,Коды_код,Коды_вид)&amp;"","")="","Прочее",_xlfn.XLOOKUP(AX202,Коды_код,Коды_вид)&amp;"")))</f>
        <v>Розеточная сеть и бытовые приборы</v>
      </c>
      <c r="FW202">
        <f>IF(BH202="","",INT((BH202-1)/Столбцов_на_лист)+1)</f>
        <v>3</v>
      </c>
      <c r="FX202" t="str">
        <f t="shared" si="444"/>
        <v>ВВГнг(А)-LS (3х2,5) L=59-0,72%</v>
      </c>
      <c r="FY202">
        <f t="shared" si="445"/>
        <v>0.36</v>
      </c>
      <c r="FZ202">
        <f t="shared" si="446"/>
        <v>1.65</v>
      </c>
      <c r="GA202">
        <f t="shared" si="447"/>
        <v>1</v>
      </c>
      <c r="GB202">
        <f t="shared" si="448"/>
        <v>0</v>
      </c>
      <c r="GC202">
        <f t="shared" si="449"/>
        <v>1</v>
      </c>
      <c r="GD202">
        <f>IF(BH202="","",IF(AND(CA202=1,GC202=1),COUNTIFS(A$3:A202,A202,CA$3:CA202,1,GC$3:GC202,1),IF(OR(OR(AW202=1,A202&lt;&gt;A201),AF202="вручную",GC202=0),"",IF(AW202=1,"",GE201))))</f>
        <v>18</v>
      </c>
      <c r="GE202">
        <f t="shared" si="450"/>
        <v>18</v>
      </c>
      <c r="GF202">
        <f>IF(B202="","",IFERROR(LOOKUP(INDEX(CHOOSE(DL202,Iдоп_1ж,Iдоп_2ж,Iдоп_3ж),MATCH(DX202,Iдоп_S,0))*DJ202*DK202,{6,10,16,20,25,32,40,50,63,80,100,125,160,200,250,315,400,500,630}),""))</f>
        <v>25</v>
      </c>
      <c r="GG202" t="str">
        <f t="shared" si="451"/>
        <v>QFD18</v>
      </c>
      <c r="GH202" t="str">
        <f t="shared" si="452"/>
        <v>QFD18</v>
      </c>
      <c r="GI202" t="str">
        <f t="shared" si="453"/>
        <v/>
      </c>
      <c r="GJ202">
        <f t="shared" si="454"/>
        <v>0</v>
      </c>
      <c r="GK202" t="str">
        <f>IF(OR(AG202="",AG202="-"),"",IFERROR(VLOOKUP(AG202,Модули_спр,2,FALSE),"R"))</f>
        <v/>
      </c>
      <c r="GL202" t="str">
        <f>IF(GK202="","",GK202&amp;"."&amp;COUNTIFS(A$3:A202,A202,GK$3:GK202,GK202))</f>
        <v/>
      </c>
      <c r="GM202" t="str">
        <f t="shared" si="455"/>
        <v/>
      </c>
      <c r="GN202" t="str">
        <f t="shared" si="456"/>
        <v/>
      </c>
      <c r="GO202" t="str">
        <f t="shared" si="457"/>
        <v/>
      </c>
      <c r="GP202" t="str">
        <f t="shared" si="458"/>
        <v/>
      </c>
      <c r="GQ202">
        <f t="shared" si="459"/>
        <v>1</v>
      </c>
      <c r="GR202" t="str">
        <f>IF(GQ202=1,"XT"&amp;COUNTIFS(A$3:A202,A202,GQ$3:GQ202,1),"")</f>
        <v>XT18</v>
      </c>
      <c r="GS202" t="str">
        <f t="shared" si="460"/>
        <v/>
      </c>
      <c r="GT202" t="str">
        <f t="shared" si="461"/>
        <v>QFD18</v>
      </c>
      <c r="GU202" t="str">
        <f t="shared" si="462"/>
        <v/>
      </c>
      <c r="GV202" t="str">
        <f t="shared" si="463"/>
        <v>ok</v>
      </c>
      <c r="GW202" t="str">
        <f>IF(OR(GO202="",GM202=""),"",IF(GO202&gt;IFERROR(VLOOKUP(GN202,Модули_спр,3,FALSE),99),"ЛИШНИЙ КАНАЛ",IF(AND(AH202&lt;&gt;"=",COUNTIFS(Линии[_модуль гр.],GM202,Линии[Канал (итог)],GO202,Линии[Канал],"&lt;&gt;=",Линии[Щит],A202)&gt;1),"ДУБЛЬ КАНАЛА","")))</f>
        <v/>
      </c>
      <c r="GX202" s="6" t="str">
        <f t="shared" si="464"/>
        <v/>
      </c>
      <c r="GY202">
        <f t="shared" si="465"/>
        <v>10</v>
      </c>
      <c r="GZ202" t="str">
        <f t="shared" si="466"/>
        <v/>
      </c>
      <c r="HA202" t="str">
        <f>IF(AND(B202="",GT202=""),"",_xlfn.TEXTJOIN("; ",TRUE,IF(AND(B202&lt;&gt;"",FE202=""),"нет фазы",""),IF(AND(B202&lt;&gt;"",N(FY202)=0,EQ202&lt;&gt;"Нет"),"нет мощности",""),IF(AND(GS202&lt;&gt;"",COUNTIFS(Линии[Щит],A202,Линии[Клемма (итог)],GS202)&gt;1),"дубль клеммы "&amp;GS202,""),IF(AND(GV202&lt;&gt;"",GV202&lt;&gt;"ok"),GV202,""),IF(GW202&lt;&gt;"",GW202,""),IF(AND(N(BV202)&gt;=4,N(BR202)=1),BV202&amp;" жил на 1 фазе",""),IF(AND(AX202="R",CA202=1,OR(N(CK202)=0,N(CK202)&gt;30)),"розетка без дифзащиты до 30 мА",""),IFERROR(IF(AND(ISNUMBER(R202),R202&gt;DV202),"потери "&amp;FIXED(R202,1)&amp;" % &gt; "&amp;DV202&amp;" %",""),""),IFERROR(IF(LEFT(GZ202,4)="мало","Iкз мало — отключение &gt; 0,4 с",""),""),IF(AND(B202&lt;&gt;"",BH202=""),"не на схеме",""),IF(AND(CA202=0,B202&lt;&gt;"",FE202&lt;&gt;"",IF(AW202=1,"",FF201)&lt;&gt;"",FE202&lt;&gt;IF(AW202=1,"",FF201)),"фаза не как у автомата группы ("&amp;IF(AW202=1,"",FF201)&amp;")","")))</f>
        <v/>
      </c>
      <c r="HB202" s="6">
        <f>IF(OR(CA202=0,DA202=""),"",_xlfn.LET(_xlpm.t,IFERROR(_xlfn.XLOOKUP(DA202,Каталог!$U$4:$U$500,Каталог!$G$4:$G$500),""),_xlpm.k,SEARCH("кА",_xlpm.t),IFERROR(--TRIM(RIGHT(SUBSTITUTE(MID(_xlpm.t,MAX(1,_xlpm.k-4),_xlpm.k-MAX(1,_xlpm.k-4))," ",REPT(" ",9)),5)),"")))</f>
        <v>6</v>
      </c>
      <c r="HC202" t="str">
        <f>IF(OR(HB202="",CA202=0),"",IF(_xlfn.XLOOKUP(A202,Щиты[Щит],Щиты[Iкз max на шинах, кА],"")="","",IF(HB202&lt;_xlfn.XLOOKUP(A202,Щиты[Щит],Щиты[Iкз max на шинах, кА]),"Icu "&amp;HB202&amp;" кА &lt; Iкз max","ok")))</f>
        <v/>
      </c>
      <c r="HD202" t="str">
        <f t="shared" si="467"/>
        <v/>
      </c>
      <c r="HE202" t="str">
        <f t="shared" si="468"/>
        <v>QFD18</v>
      </c>
      <c r="HF202" t="str">
        <f t="shared" si="469"/>
        <v>QFD18|кабель ВВГнг(А)-LS (3х2,5) → Розеточная группа, пом. 009A</v>
      </c>
      <c r="HG202" t="str" cm="1">
        <f t="array" ref="HG202">IF(HF202="","",_xlfn.LET(_xlpm.nd,_xlfn.TEXTSPLIT(HF202,"|"),IF(COLUMNS(_xlpm.nd)&gt;1,A202&amp;"¦"&amp;INDEX(_xlpm.nd,1)&amp;"¦"&amp;INDEX(_xlpm.nd,2),"")))</f>
        <v>ЩР-01¦QFD18¦кабель ВВГнг(А)-LS (3х2,5) → Розеточная группа, пом. 009A</v>
      </c>
      <c r="HH202" t="str">
        <f t="shared" si="470"/>
        <v>R.0.009A.2¦Розеточная группа, пом. 009A</v>
      </c>
      <c r="HI202" t="str" cm="1">
        <f t="array" ref="HI202">IF(HF202="","",_xlfn.LET(_xlpm.nd,_xlfn.TEXTSPLIT(HF202,"|"),IF(COLUMNS(_xlpm.nd)&gt;2,A202&amp;"¦"&amp;INDEX(_xlpm.nd,2)&amp;"¦"&amp;INDEX(_xlpm.nd,3),"")))</f>
        <v/>
      </c>
      <c r="HJ202" t="str">
        <f t="shared" si="471"/>
        <v/>
      </c>
      <c r="HK202" t="str" cm="1">
        <f t="array" ref="HK202">IF(HF202="","",_xlfn.LET(_xlpm.nd,_xlfn.TEXTSPLIT(HF202,"|"),IF(COLUMNS(_xlpm.nd)&gt;3,A202&amp;"¦"&amp;INDEX(_xlpm.nd,3)&amp;"¦"&amp;INDEX(_xlpm.nd,4),"")))</f>
        <v/>
      </c>
      <c r="HL202" t="str">
        <f t="shared" si="472"/>
        <v/>
      </c>
      <c r="HM202" t="str" cm="1">
        <f t="array" ref="HM202">IF(HF202="","",_xlfn.LET(_xlpm.nd,_xlfn.TEXTSPLIT(HF202,"|"),IF(COLUMNS(_xlpm.nd)&gt;4,A202&amp;"¦"&amp;INDEX(_xlpm.nd,4)&amp;"¦"&amp;INDEX(_xlpm.nd,5),"")))</f>
        <v/>
      </c>
      <c r="HN202" t="str">
        <f t="shared" si="473"/>
        <v/>
      </c>
      <c r="HO202" t="str" cm="1">
        <f t="array" ref="HO202">IF(HF202="","",_xlfn.LET(_xlpm.nd,_xlfn.TEXTSPLIT(HF202,"|"),IF(COLUMNS(_xlpm.nd)&gt;5,A202&amp;"¦"&amp;INDEX(_xlpm.nd,5)&amp;"¦"&amp;INDEX(_xlpm.nd,6),"")))</f>
        <v/>
      </c>
      <c r="HP202" t="str">
        <f t="shared" si="474"/>
        <v/>
      </c>
      <c r="HQ202" t="str" cm="1">
        <f t="array" ref="HQ202">IF(HF202="","",_xlfn.LET(_xlpm.nd,_xlfn.TEXTSPLIT(HF202,"|"),IF(COLUMNS(_xlpm.nd)&gt;6,A202&amp;"¦"&amp;INDEX(_xlpm.nd,6)&amp;"¦"&amp;INDEX(_xlpm.nd,7),"")))</f>
        <v/>
      </c>
      <c r="HR202" t="str">
        <f t="shared" si="475"/>
        <v/>
      </c>
      <c r="HS202" t="str">
        <f t="shared" si="476"/>
        <v/>
      </c>
      <c r="HT202" t="str">
        <f t="shared" si="477"/>
        <v>QFD18</v>
      </c>
      <c r="HU202">
        <f t="shared" si="478"/>
        <v>0</v>
      </c>
      <c r="HV202">
        <f t="shared" si="479"/>
        <v>1</v>
      </c>
      <c r="HW202" t="str">
        <f t="shared" si="480"/>
        <v/>
      </c>
      <c r="HX202" t="str">
        <f t="shared" si="481"/>
        <v/>
      </c>
      <c r="HY202" t="str">
        <f t="shared" si="482"/>
        <v/>
      </c>
      <c r="HZ202" t="str">
        <f t="shared" si="483"/>
        <v/>
      </c>
      <c r="IA202" t="str">
        <f>IF(B202="","",IFERROR(VLOOKUP(B202,УГО_спр,2,FALSE),IFERROR(VLOOKUP(AX202,УГО_спр,2,FALSE),IFERROR(VLOOKUP(LEFT(AX202,2),УГО_спр,2,FALSE),""))))</f>
        <v>Розетка</v>
      </c>
      <c r="IB202" t="str">
        <f>IF(B202="","",IF(OR(IA202="",IA202=0),"BOX",IFERROR(IF(VLOOKUP(IA202,УГО_блоки,3,FALSE)&amp;""&lt;&gt;"",VLOOKUP(IA202,УГО_блоки,3,FALSE),VLOOKUP(IA202,УГО_блоки,2,FALSE)),IA202)))</f>
        <v>SOCKET</v>
      </c>
      <c r="IC202">
        <f t="shared" si="484"/>
        <v>1</v>
      </c>
      <c r="ID202" t="str">
        <f>IF(DA202="","",IF(COUNTIF(DA$3:DA202,DA202)=1,MAX(ID$2:ID201)+1,""))</f>
        <v/>
      </c>
      <c r="IE202" t="str">
        <f>IF(CO202="","",IF(COUNTIF(CO$3:CO202,CO202)+COUNTIF(CP$2:CP201,CO202)+COUNTIF(CQ$2:CQ201,CO202)=1,MAX(IE$2:IG201)+1,""))</f>
        <v/>
      </c>
      <c r="IF202" t="str">
        <f>IF(CP202="","",IF(COUNTIF(CO$3:CO202,CP202)+COUNTIF(CP$3:CP202,CP202)+COUNTIF(CQ$2:CQ201,CP202)=1,MAX(IE$2:IG201,IE202)+1,""))</f>
        <v/>
      </c>
      <c r="IG202" t="str">
        <f>IF(CQ202="","",IF(COUNTIF(CO$3:CO202,CQ202)+COUNTIF(CP$3:CP202,CQ202)+COUNTIF(CQ$3:CQ202,CQ202)=1,MAX(IE$2:IG201,IE202,IF202)+1,""))</f>
        <v/>
      </c>
      <c r="IH202" t="str">
        <f t="shared" si="485"/>
        <v>3х2,5</v>
      </c>
      <c r="II202" t="str">
        <f>IF(IH202="","",IF(COUNTIF(IH$3:IH202,IH202)=1,MAX(II$2:II201)+1,""))</f>
        <v/>
      </c>
      <c r="IJ202" t="str">
        <f>IF(GL202="","",COUNTIF(GL$3:GL202,"?*"))</f>
        <v/>
      </c>
      <c r="IK202" t="str">
        <f>IF(OR(GL202="",GN202=""),"",IF(COUNTIFS(GL$3:GL202,"?*",GN$3:GN202,GN202)=1,MAX(IK$2:IK201)+1,""))</f>
        <v/>
      </c>
      <c r="IL202">
        <f t="shared" si="486"/>
        <v>0</v>
      </c>
      <c r="IM202">
        <f>IF(B202="","",COUNTIF(B$3:B202,"?*"))</f>
        <v>200</v>
      </c>
      <c r="IN202">
        <f>IF(GQ202&lt;&gt;1,0,_xlfn.LET(_xlpm.k,MAX(IFERROR(--VLOOKUP(B202,УГО_спр,5,FALSE),0),IFERROR(--VLOOKUP(AX202,УГО_спр,5,FALSE),0),IFERROR(--VLOOKUP(LEFT(AX202,2),УГО_спр,5,FALSE),0)),IF(_xlpm.k&gt;0,_xlpm.k,IF(IFERROR(--LEFT(SUBSTITUTE(IH202,"x","х"),FIND("х",SUBSTITUTE(IH202,"x","х"))-1),3)&gt;3,Каталог!$S$9,1))))</f>
        <v>1</v>
      </c>
      <c r="IO202">
        <f t="shared" si="487"/>
        <v>0</v>
      </c>
      <c r="IP202" t="str">
        <f t="shared" si="488"/>
        <v>авто</v>
      </c>
      <c r="IQ202">
        <f t="shared" si="489"/>
        <v>30</v>
      </c>
      <c r="IR202">
        <f t="shared" si="490"/>
        <v>1</v>
      </c>
      <c r="IS202">
        <f t="shared" si="491"/>
        <v>1</v>
      </c>
    </row>
    <row r="203" spans="1:253" x14ac:dyDescent="0.3">
      <c r="A203" t="s">
        <v>757</v>
      </c>
      <c r="B203" t="s">
        <v>1469</v>
      </c>
      <c r="C203" t="str">
        <f>Линии[[#This Row],[_авто наименование]]</f>
        <v>Розеточная группа, пом. 010A</v>
      </c>
      <c r="D203">
        <v>1</v>
      </c>
      <c r="E203">
        <v>0.06</v>
      </c>
      <c r="G203" t="str">
        <f>Линии[[#This Row],[_авто автомат]]</f>
        <v>2P С16А 30мА</v>
      </c>
      <c r="H203">
        <f>Линии[[#This Row],[_авто утечка]]</f>
        <v>30</v>
      </c>
      <c r="I203" t="str">
        <f>Линии[[#This Row],[_авто управление]]</f>
        <v/>
      </c>
      <c r="J203" t="str">
        <f>Линии[[#This Row],[_авто аппараты]]</f>
        <v/>
      </c>
      <c r="K203">
        <v>2.5</v>
      </c>
      <c r="L203">
        <v>27</v>
      </c>
      <c r="M203">
        <v>3</v>
      </c>
      <c r="N203" t="s">
        <v>486</v>
      </c>
      <c r="O203" t="str">
        <f t="shared" si="369"/>
        <v/>
      </c>
      <c r="P203" s="6" cm="1">
        <f t="array" ref="P203">IF(B203="","",IF(BC203&lt;&gt;"",IFERROR(_xlfn.XLOOKUP(BC203,Щиты[Щит],Щиты[Iр, А]),""),IF(BK203=1,IFERROR(_xlfn.XLOOKUP(A203,Щиты[Щит],Щиты[Iр, А]),""),IFERROR(_xlfn.IFS(BR203=1,BN203/((Uн_лин/SQRT(3))*BY203),BR203=3,BN203/(SQRT(3)*Uн_лин*BY203)),""))))</f>
        <v>0.27348170645824377</v>
      </c>
      <c r="Q203" s="7">
        <f>IF(B203="","",IFERROR(IF(VLOOKUP(AX203,Потребители_обозначение,4,FALSE)=1,VLOOKUP(AX203,Потребители_обозначение,3,FALSE)*(D203*2-1)+DS203+VLOOKUP(AZ203,Этаж_обозначение,3,FALSE)+VLOOKUP(AZ203,Этаж_обозначение,4,FALSE),VLOOKUP(AX203,Потребители_обозначение,3,FALSE)*(D203*2-1)+DS203),DS203))</f>
        <v>30</v>
      </c>
      <c r="R203" s="6">
        <f t="shared" si="370"/>
        <v>0.5</v>
      </c>
      <c r="S203" t="str">
        <f t="shared" si="371"/>
        <v>ВВГнг(А)-LS (3х2,5)</v>
      </c>
      <c r="T203" t="str">
        <f>IF(BH203="","",IF(BI203="вводной узел","узел ","")&amp;"л."&amp;(INT((BH203-1)/Столбцов_на_лист)+1)&amp;" / "&amp;(MOD(BH203-1,Столбцов_на_лист)+1))</f>
        <v>л.3 / 4</v>
      </c>
      <c r="V203">
        <v>1</v>
      </c>
      <c r="W203">
        <v>230</v>
      </c>
      <c r="X203" t="s">
        <v>564</v>
      </c>
      <c r="AC203" t="s">
        <v>815</v>
      </c>
      <c r="AE203" t="s">
        <v>563</v>
      </c>
      <c r="AI203">
        <v>38</v>
      </c>
      <c r="AJ203" t="s">
        <v>11</v>
      </c>
      <c r="AK203">
        <v>3</v>
      </c>
      <c r="AM203">
        <v>13</v>
      </c>
      <c r="AN203">
        <v>17</v>
      </c>
      <c r="AO203">
        <v>0</v>
      </c>
      <c r="AW203" cm="1">
        <f t="array" ref="AW203">ROW()-ROW(Линии[#Headers])</f>
        <v>201</v>
      </c>
      <c r="AX203" s="6" t="str">
        <f t="shared" si="372"/>
        <v>R</v>
      </c>
      <c r="AY203" t="str">
        <f t="shared" si="373"/>
        <v>0.010A.1</v>
      </c>
      <c r="AZ203" t="str">
        <f t="shared" si="374"/>
        <v>0</v>
      </c>
      <c r="BA203" t="str">
        <f t="shared" si="375"/>
        <v>010A.1</v>
      </c>
      <c r="BB203" t="str">
        <f t="shared" si="376"/>
        <v>010A</v>
      </c>
      <c r="BC203" t="str">
        <f>IF(U203&lt;&gt;"",U203,IF(AND(B203&lt;&gt;"",B203&lt;&gt;A203,ISNUMBER(_xlfn.XMATCH(B203,Щиты[Щит]))),B203,""))</f>
        <v/>
      </c>
      <c r="BD203" t="str" cm="1">
        <f t="array" ref="BD203">IF(B203="","",IF(BC203&lt;&gt;"","Щит "&amp;BC203,_xlfn.LET(_xlpm.nm,IFERROR(_xlfn.XLOOKUP(AX203,Коды_код,Коды_имя)&amp;"",""),_xlpm.md,IFERROR(N(_xlfn.XLOOKUP(AX203,Коды_код,Коды_режим)),1),_xlpm.ex,IF(Имя_режим="по экспликации",IFERROR(_xlfn.XLOOKUP(AZ203&amp;"|"&amp;BB203,Экспликация[Этаж]&amp;"|"&amp;Экспликация[Помещение],Экспликация[Название])&amp;"",""),""),_xlpm.rm,IF(BB203="","",IF(_xlpm.ex&lt;&gt;"",". "&amp;_xlpm.ex&amp;IF(Имя_пом="нет"," ("&amp;BB203&amp;")"," (пом. "&amp;BB203&amp;")"),IF(Имя_пом="нет"," ",", пом. ")&amp;BB203)),IF(_xlpm.nm="","",IF(_xlpm.md=2,_xlpm.nm&amp;" шлейф "&amp;AZ203,_xlpm.nm&amp;_xlpm.rm)))))</f>
        <v>Розеточная группа, пом. 010A</v>
      </c>
      <c r="BE203" t="str">
        <f t="shared" si="377"/>
        <v>Розеточная группа, пом. 010A</v>
      </c>
      <c r="BF203">
        <f>IFERROR(_xlfn.XMATCH(A203,Щиты[Щит]),0)</f>
        <v>9</v>
      </c>
      <c r="BG203">
        <f>_xlfn.LET(_xlpm.k,IFERROR(_xlfn.XLOOKUP(A203,Щиты[Щит],Щиты[Листов под вводной узел]),""),IF(_xlpm.k="",1,N(_xlpm.k))*Столбцов_на_лист)</f>
        <v>17</v>
      </c>
      <c r="BH203">
        <f t="shared" si="378"/>
        <v>38</v>
      </c>
      <c r="BI203" t="str">
        <f t="shared" si="379"/>
        <v>линии</v>
      </c>
      <c r="BJ203" s="6">
        <f>IFERROR(N(_xlfn.XLOOKUP(AX203,Коды_код,Коды_квт)),0)</f>
        <v>0</v>
      </c>
      <c r="BK203">
        <f t="shared" si="380"/>
        <v>0</v>
      </c>
      <c r="BL203" t="str">
        <f>IF(B203="","",IF(BC203&lt;&gt;"",IFERROR(_xlfn.XLOOKUP(BC203,Щиты[Щит],Щиты[Руст, кВт]),0),IF(BK203=1,IFERROR(_xlfn.XLOOKUP(A203,Щиты[Щит],Щиты[Руст, кВт]),0),IF(BJ203&gt;0,ROUND(BJ203*MAX(1,N(D203)),3),""))))</f>
        <v/>
      </c>
      <c r="BM203">
        <f t="shared" si="381"/>
        <v>0.06</v>
      </c>
      <c r="BN203" s="6">
        <f>IF(B203="","",IF(BC203&lt;&gt;"",IFERROR(_xlfn.XLOOKUP(BC203,Щиты[Щит],Щиты[Руст, кВт]),0),N(BM203)))</f>
        <v>0.06</v>
      </c>
      <c r="BO203" t="str">
        <f>IF(B203="","",IFERROR(IF(VLOOKUP(AX203,Потребители_обозначение,8,FALSE)=0,"",VLOOKUP(AX203,Потребители_обозначение,8,FALSE)),""))</f>
        <v/>
      </c>
      <c r="BP203">
        <f t="shared" si="382"/>
        <v>230</v>
      </c>
      <c r="BQ203">
        <f>IF(B203="","",IF(BC203&lt;&gt;"",3,IFERROR(IF(N(VLOOKUP(AX203,Потребители_обозначение,9,FALSE))=0,1,VLOOKUP(AX203,Потребители_обозначение,9,FALSE)),1)))</f>
        <v>1</v>
      </c>
      <c r="BR203">
        <f t="shared" si="383"/>
        <v>1</v>
      </c>
      <c r="BS203" t="str">
        <f>IF(B203="","",_xlfn.LET(_xlpm.bc,IFERROR(IF(VLOOKUP(AX203,Потребители_обозначение,6,FALSE)=0,"",VLOOKUP(AX203,Потребители_обозначение,6,FALSE)&amp;""),""),IF(AND(FK203="да",OR(_xlpm.bc="",_xlpm.bc="мс")),Марка_пож,IF(AND(_xlpm.bc="",BC203&lt;&gt;""),"мс",_xlpm.bc))))</f>
        <v/>
      </c>
      <c r="BT203" t="str">
        <f t="shared" si="384"/>
        <v>мс</v>
      </c>
      <c r="BU203">
        <f>IF(B203="","",_xlfn.LET(_xlpm.cc,IFERROR(N(VLOOKUP(AX203,Потребители_обозначение,7,FALSE)),0),IF(_xlpm.cc&gt;0,_xlpm.cc,IF(BT203="","",IF(N(BR203)=3,5,3)))))</f>
        <v>3</v>
      </c>
      <c r="BV203">
        <f t="shared" si="385"/>
        <v>3</v>
      </c>
      <c r="BW203">
        <f>IFERROR(N(VLOOKUP(AX203,Потребители_обозначение,10,FALSE)),0)</f>
        <v>0</v>
      </c>
      <c r="BX203">
        <f>IFERROR(VLOOKUP(AX203,Потребители_обозначение,5,FALSE),0)</f>
        <v>1</v>
      </c>
      <c r="BY203" s="6" cm="1">
        <f t="array" ref="BY203">IF(B203="","",IF(BC203&lt;&gt;"",IFERROR(_xlfn.XLOOKUP(BC203,Щиты[Щит],Щиты[cos φ]),0.95),IF(BK203=1,IFERROR(_xlfn.XLOOKUP(A203,Щиты[Щит],Щиты[cos φ]),0.95),IF(ISNUMBER(Z203),Z203,IFERROR(IF(BX203=2,_xlfn.IFS(BR203=3,VLOOKUP(BN203,Справочная_двигатели,8,FALSE),BR203=1,VLOOKUP(BN203,Справочная_двигатели,10,TRUE)),IF(AND(Методика="нормы 2026",EQ203="Сил"),0.8,0.95)),0.95)))))</f>
        <v>0.95</v>
      </c>
      <c r="BZ203">
        <f t="shared" si="386"/>
        <v>0</v>
      </c>
      <c r="CA203">
        <f t="shared" si="387"/>
        <v>1</v>
      </c>
      <c r="CB203">
        <f t="shared" si="388"/>
        <v>0</v>
      </c>
      <c r="CC203">
        <f t="shared" si="389"/>
        <v>0</v>
      </c>
      <c r="CD203">
        <f t="shared" si="390"/>
        <v>0</v>
      </c>
      <c r="CE203">
        <f t="shared" si="391"/>
        <v>0</v>
      </c>
      <c r="CF203">
        <f t="shared" si="392"/>
        <v>0</v>
      </c>
      <c r="CG203">
        <f>IF(AX203="",0,_xlfn.LET(_xlpm.v,IFERROR(VLOOKUP(B203,УГО_спр,3,FALSE),IFERROR(VLOOKUP(AX203,УГО_спр,3,FALSE),IFERROR(VLOOKUP(LEFT(AX203,2),УГО_спр,3,FALSE),""))),IF(_xlpm.v="да",30,IF(ISNUMBER(_xlpm.v),_xlpm.v,0))))</f>
        <v>30</v>
      </c>
      <c r="CH203">
        <f t="shared" si="393"/>
        <v>30</v>
      </c>
      <c r="CI203" t="str">
        <f>_xlfn.LET(_xlpm.k,IFERROR(_xlfn.XLOOKUP(AX203,Коды_код,Коды_утечка)&amp;"",""),IF(_xlpm.k="","дифавтомат",_xlpm.k))</f>
        <v>дифавтомат</v>
      </c>
      <c r="CJ203">
        <f t="shared" si="394"/>
        <v>30</v>
      </c>
      <c r="CK203">
        <f t="shared" si="395"/>
        <v>30</v>
      </c>
      <c r="CL203">
        <f>IF(B203="",0,IFERROR(--VLOOKUP(B203,УГО_спр,4,FALSE),IFERROR(--VLOOKUP(AX203,УГО_спр,4,FALSE),IFERROR(--VLOOKUP(LEFT(AX203,2),УГО_спр,4,FALSE),0))))</f>
        <v>16</v>
      </c>
      <c r="CM203" t="str">
        <f>IF(B203="","",IFERROR(_xlfn.XLOOKUP(AX203,Коды_код,Коды_апп)&amp;"",""))</f>
        <v/>
      </c>
      <c r="CN203" t="str">
        <f t="shared" si="396"/>
        <v/>
      </c>
      <c r="CO203" t="str" cm="1">
        <f t="array" ref="CO203">IF(TRIM(CN203&amp;"")="","",IFERROR(TRIM(INDEX(_xlfn.TEXTSPLIT(CN203&amp;";;;",";"),1)),""))</f>
        <v/>
      </c>
      <c r="CP203" t="str" cm="1">
        <f t="array" ref="CP203">IF(TRIM(CN203&amp;"")="","",IFERROR(TRIM(INDEX(_xlfn.TEXTSPLIT(CN203&amp;";;;",";"),2)),""))</f>
        <v/>
      </c>
      <c r="CQ203" t="str" cm="1">
        <f t="array" ref="CQ203">IF(TRIM(CN203&amp;"")="","",IFERROR(TRIM(INDEX(_xlfn.TEXTSPLIT(CN203&amp;";;;",";"),3)),""))</f>
        <v/>
      </c>
      <c r="CR203">
        <f t="shared" si="397"/>
        <v>0</v>
      </c>
      <c r="CS203" t="str">
        <f>IF(B203="","",_xlfn.LET(_xlpm.t,LOWER(AV203&amp;""),IF(ISNUMBER(SEARCH("dim",_xlpm.t)),"DIM",IF(ISNUMBER(SEARCH("dali",_xlpm.t)),"DALI",IF(OR(ISNUMBER(SEARCH("relay",_xlpm.t)),ISNUMBER(SEARCH("реле",_xlpm.t))),"Relay",IF(ISNUMBER(SEARCH("кнопк",_xlpm.t)),"",IFERROR(_xlfn.XLOOKUP(AX203,Коды_код,Коды_упр)&amp;"","")))))))</f>
        <v/>
      </c>
      <c r="CT203" t="str">
        <f t="shared" si="398"/>
        <v/>
      </c>
      <c r="CU203">
        <f>IF(B203="","",_xlfn.LET(_xlpm.ig,N(P203)+IF(AF203="вручную",0,N(CB203)),_xlpm.n0,IFERROR(VLOOKUP(_xlpm.ig,Автомат_номиналы,2,TRUE),0),_xlpm.mn,MAX(CL203,IF(AF203="вручную",0,N(CE203))),MAX(_xlpm.n0,_xlpm.mn,IF(CR203=1,Мин_автомат_БП,0))))</f>
        <v>16</v>
      </c>
      <c r="CV203">
        <f t="shared" si="399"/>
        <v>1</v>
      </c>
      <c r="CW203" t="str">
        <f t="shared" si="400"/>
        <v>2P</v>
      </c>
      <c r="CX203" t="str">
        <f>_xlfn.LET(_xlpm.cc,UPPER(TRIM(IFERROR(_xlfn.XLOOKUP(AX203,Коды_код,Коды_хар)&amp;"",""))),IF(OR(_xlpm.cc="B",_xlpm.cc="В"),"B",IF(_xlpm.cc="D","D","С")))</f>
        <v>С</v>
      </c>
      <c r="CY203" t="str">
        <f t="shared" si="401"/>
        <v>2P С16А 30мА</v>
      </c>
      <c r="CZ203" t="str">
        <f t="shared" si="402"/>
        <v>2P С16А 30мА</v>
      </c>
      <c r="DA203" t="str">
        <f t="shared" si="403"/>
        <v>2P С16А 30мА</v>
      </c>
      <c r="DB203" cm="1">
        <f t="array" ref="DB203">IF(DA203="","",_xlfn.LET(_xlpm.t,SUBSTITUTE(SUBSTITUTE(SUBSTITUTE(UPPER(DA203),"С","C"),"А","A"),"В","B"),_xlpm.tk,_xlfn.TEXTSPLIT(_xlpm.t,"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3" t="str">
        <f t="shared" si="404"/>
        <v>ok</v>
      </c>
      <c r="DD203">
        <f t="shared" si="405"/>
        <v>16</v>
      </c>
      <c r="DE203" t="str">
        <f t="shared" si="406"/>
        <v>2P С16А 30мА</v>
      </c>
      <c r="DF203">
        <f t="shared" si="407"/>
        <v>30</v>
      </c>
      <c r="DG203">
        <f t="shared" si="408"/>
        <v>1</v>
      </c>
      <c r="DH203">
        <f t="shared" si="409"/>
        <v>0</v>
      </c>
      <c r="DI203">
        <f t="shared" si="410"/>
        <v>0.27348170645824377</v>
      </c>
      <c r="DJ203">
        <f t="shared" si="411"/>
        <v>1</v>
      </c>
      <c r="DK203">
        <f>IF(ISNUMBER(AL203),AL203,К_прокл)</f>
        <v>1</v>
      </c>
      <c r="DL203">
        <f t="shared" si="412"/>
        <v>2</v>
      </c>
      <c r="DM203">
        <f>IFERROR(N(VLOOKUP(BT203,Кабель_обозначение,3,FALSE)),1)</f>
        <v>1</v>
      </c>
      <c r="DN203">
        <f>IFERROR(N(_xlfn.XLOOKUP(A203,Щиты[Щит],Щиты[ΔU до шин, %])),0)</f>
        <v>0.43</v>
      </c>
      <c r="DO203" t="str">
        <f>IFERROR(_xlfn.XLOOKUP(A203,Щиты[Щит],Щиты[Zпетли на шинах, Ом]),"")</f>
        <v/>
      </c>
      <c r="DP203">
        <f>IFERROR(N(_xlfn.XLOOKUP(A203,Щиты[Щит],Щиты[ΔU до шин (подбор), %])),0)</f>
        <v>0.43</v>
      </c>
      <c r="DQ203" t="str">
        <f>IFERROR(_xlfn.XLOOKUP(A203,Щиты[Щит],Щиты[Zпетли на шинах (подбор), Ом]),"")</f>
        <v/>
      </c>
      <c r="DR203" t="str">
        <f t="shared" si="413"/>
        <v/>
      </c>
      <c r="DS203">
        <f t="shared" si="414"/>
        <v>27</v>
      </c>
      <c r="DT203">
        <f t="shared" si="415"/>
        <v>2</v>
      </c>
      <c r="DU203">
        <f t="shared" si="416"/>
        <v>0.31</v>
      </c>
      <c r="DV203" s="6">
        <f>IF(B203="","",IF(IFERROR(VLOOKUP(AX203,УГО_спр,2,FALSE),"")="Светильник",3,4)+IF(Методика="нормы 2026",MIN(0.5,MAX(0,N(Q203)-100)*0.005),0))</f>
        <v>4</v>
      </c>
      <c r="DW203" cm="1">
        <f t="array" ref="DW203">IF(OR(B203="",BT203="",DM203&lt;&gt;1),"",_xlfn.LET(_xlpm.sz,Iдоп_S,_xlpm.t_,CHOOSE(DL203,Iдоп_1ж,Iдоп_2ж,Iдоп_3ж)*DJ203*DK203,_xlpm.inn,N(DD203),_xlpm.smin,MAX(1.5,BW203),_xlpm.L_,N(Q203)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203)*(_xlpm.rho*_xlpm.L_/_xlpm.sz*N(BY203)+_xlpm.xx*_xlpm.L_*N(DU203)/1000)*N(P203)/((Uн_лин/SQRT(3))*1000)*100,999),_xlpm.kz,IF(OR(DG203=1,NOT(ISNUMBER(DQ203)),_xlpm.L_=0,_xlpm.inn=0),1,IFERROR(--(c_min*(Uн_лин*1000/SQRT(3))/(DQ203+2*ρкз_Cu*_xlpm.L_/_xlpm.sz)&gt;=GY203*_xlpm.inn),0)),_xlpm.ok,IFERROR((_xlpm.sz&gt;=_xlpm.smin)*(_xlpm.t_&gt;=_xlpm.inn)*IF(_xlpm.L_&gt;0,(_xlpm.du_+DP203&lt;=DV203+0.00001),1)*_xlpm.kz,0),_xlpm.r_,_xlfn._xlws.FILTER(_xlpm.sz,_xlpm.ok,"не подобрано"),INDEX(_xlpm.r_,1)))</f>
        <v>1.5</v>
      </c>
      <c r="DX203">
        <f t="shared" si="417"/>
        <v>2.5</v>
      </c>
      <c r="DY203" cm="1">
        <f t="array" ref="DY203">IF(OR(B203="",BT203="",DM203&lt;&gt;1),"",_xlfn.LET(_xlpm.sz,Iдоп_S,_xlpm.t_,CHOOSE(DL203,Iдоп_1ж,Iдоп_2ж,Iдоп_3ж)*DJ203*DK203,_xlpm.ok,IFERROR((_xlpm.sz&gt;=MAX(1.5,BW203))*(_xlpm.t_&gt;=N(DD203)),0),_xlpm.r_,_xlfn._xlws.FILTER(_xlpm.sz,_xlpm.ok,""),INDEX(_xlpm.r_,1)))</f>
        <v>1.5</v>
      </c>
      <c r="DZ203" s="6" cm="1">
        <f t="array" ref="DZ203">IFERROR(ROUNDUP(N(DT203)*(_xlfn.XLOOKUP(DY203,INDEX(Кабель_сопротивление,0,1),INDEX(Кабель_сопротивление,0,3))*N(Q203)/DY203*N(BY203)+_xlfn.XLOOKUP(DY203,INDEX(Кабель_сопротивление,0,1),INDEX(Кабель_сопротивление,0,2))*N(Q203)*N(DU203)/1000)*N(P203)/((Uн_лин/SQRT(3))*1000)*100,2),"")</f>
        <v>0.11</v>
      </c>
      <c r="EA203">
        <f>IFERROR(2*ρкз_Cu*N(Q203)/DY203,"")</f>
        <v>1.052</v>
      </c>
      <c r="EB203">
        <f>IFERROR(VLOOKUP(DX203,Кабель_сопротивление,3,FALSE),"")</f>
        <v>2.2499999999999999E-2</v>
      </c>
      <c r="EC203">
        <f>IFERROR(VLOOKUP(DX203,Кабель_сопротивление,2,FALSE),"")</f>
        <v>0.1</v>
      </c>
      <c r="ED203">
        <f t="shared" si="418"/>
        <v>17</v>
      </c>
      <c r="EE203">
        <f t="shared" si="419"/>
        <v>0</v>
      </c>
      <c r="EF203">
        <f t="shared" si="420"/>
        <v>0.14080479138709134</v>
      </c>
      <c r="EG203" s="6">
        <f>IFERROR(ROUNDUP(EF203/((Uн_лин/SQRT(3))*1000)*100,2),"")</f>
        <v>6.9999999999999993E-2</v>
      </c>
      <c r="EH203" t="str">
        <f>IFERROR(VLOOKUP(BT203,Кабель_обозначение,2,FALSE),"")</f>
        <v>ВВГнг(А)-LS</v>
      </c>
      <c r="EI203" t="str">
        <f t="shared" si="421"/>
        <v>ВВГнг(А)-LS (3х2,5)</v>
      </c>
      <c r="EJ203" t="str">
        <f t="shared" si="422"/>
        <v>ВВГнг(А)-LS (3х2,5)
L=30-0,07%</v>
      </c>
      <c r="EK203">
        <f>IFERROR(2*ρкз_Cu*Q203/DX203,"")</f>
        <v>0.63119999999999998</v>
      </c>
      <c r="EL203">
        <f t="shared" si="423"/>
        <v>0.21000000000000002</v>
      </c>
      <c r="EM203" s="6" t="str">
        <f>IFERROR(IF(OR(B203="",NOT(ISNUMBER(DX203)),N(Q203)=0),"",_xlfn.XLOOKUP(A203,Щиты[Щит],Щиты[Zпетли на шинах, Ом])+EK203),"")</f>
        <v/>
      </c>
      <c r="EN203" s="6" t="str">
        <f>IF(ISNUMBER(EM203),c_min*(Uн_лин*1000/SQRT(3))/EM203,"")</f>
        <v/>
      </c>
      <c r="EO203" s="6" t="str">
        <f>IFERROR(IF(OR(B203="",NOT(ISNUMBER(DX203))),"",1.05*(Uн_лин*1000/SQRT(3))/(_xlfn.XLOOKUP(A203,Щиты[Щит],Щиты[Zmax на шинах, Ом])+EL203)/1000),"")</f>
        <v/>
      </c>
      <c r="EP203" s="6" t="str">
        <f>IF(B203="","",IF(ISNUMBER(Y203),"Сил",IF(IFERROR(_xlfn.XLOOKUP(AX203,Коды_код,Коды_группа)&amp;"","")="","Быт",_xlfn.XLOOKUP(AX203,Коды_код,Коды_группа)&amp;"")))</f>
        <v>Быт</v>
      </c>
      <c r="EQ203" s="6" t="str">
        <f t="shared" si="424"/>
        <v>Быт</v>
      </c>
      <c r="ER203" s="6">
        <f>IF(EQ203="Щит","щит",IF(EQ203="","",IF(EQ203="Быт",IFERROR(_xlfn.XLOOKUP(A203,Щиты[Щит],Щиты[Кс быт]),1),IF(EQ203="Сил",IF(ISNUMBER(Y203),Y203,IF(Методика="нормы 2026",IFERROR(_xlfn.XLOOKUP(A203,Щиты[Щит],Щиты[Кс силовых (табл. 7.5)]),1),1)),IF(OR(EQ203="Пост",EQ203="Отоп"),1,IF(EQ203="ВНГ",0.7,0))))))</f>
        <v>0.79799999999999993</v>
      </c>
      <c r="ES203">
        <f t="shared" si="425"/>
        <v>1</v>
      </c>
      <c r="ET203">
        <f t="shared" si="426"/>
        <v>0.06</v>
      </c>
      <c r="EU203">
        <f t="shared" si="427"/>
        <v>0.06</v>
      </c>
      <c r="EV203">
        <f t="shared" si="428"/>
        <v>0</v>
      </c>
      <c r="EW203">
        <f t="shared" si="429"/>
        <v>0</v>
      </c>
      <c r="EX203">
        <f t="shared" si="430"/>
        <v>0</v>
      </c>
      <c r="EY203">
        <f t="shared" si="431"/>
        <v>0</v>
      </c>
      <c r="EZ203">
        <f t="shared" si="432"/>
        <v>0.06</v>
      </c>
      <c r="FA203">
        <f t="shared" si="433"/>
        <v>5.6999999999999995E-2</v>
      </c>
      <c r="FB203">
        <f t="shared" si="434"/>
        <v>0.06</v>
      </c>
      <c r="FC203" t="str">
        <f t="shared" si="435"/>
        <v>L3</v>
      </c>
      <c r="FD203" t="str">
        <f>IF(B203="","",IF(CA203=0,IF(AW203=1,"",FF202),IF(OR(N(CV203)&gt;=3,N(BR203)&gt;=3),"L1,L2,L3",IFERROR(_xlfn.TEXTBEFORE(_xlfn.TEXTAFTER(_xlfn.XLOOKUP(A203,Щиты[Щит],Щиты[_фазы авто]),";"&amp;AW203&amp;":"),";"),"L1"))))</f>
        <v>L1</v>
      </c>
      <c r="FE203" t="str">
        <f t="shared" si="436"/>
        <v>L3</v>
      </c>
      <c r="FF203" t="str">
        <f t="shared" si="437"/>
        <v>L3</v>
      </c>
      <c r="FG203" cm="1">
        <f t="array" ref="FG203">IFERROR(IF(BX203=2,_xlfn.IFS(BR203=3,VLOOKUP(BN203,Справочная_двигатели,3,FALSE),BR203=1,VLOOKUP(BN203,Справочная_двигатели,5,TRUE)),0),0)</f>
        <v>0</v>
      </c>
      <c r="FH203">
        <f>IFERROR(IF(BX203=3,VLOOKUP(BN203,Справочная_ЛЭД,2,TRUE),0),0)</f>
        <v>0</v>
      </c>
      <c r="FI203" s="6">
        <f t="shared" si="438"/>
        <v>0</v>
      </c>
      <c r="FJ203" t="str" cm="1">
        <f t="array" ref="FJ203">IF(B203="","",IFERROR(INDEX({"I особая","I","II","III"},MATCH(TRIM(AC203&amp;""),{"I особая","I","II","III"},0)),"III"))</f>
        <v>II</v>
      </c>
      <c r="FK203" t="str">
        <f>IF(B203="","",IF(TRIM(AD203&amp;"")&lt;&gt;"",IF(LOWER(TRIM(AD203&amp;""))="да","да","нет"),IF(IFERROR(_xlfn.XLOOKUP(AX203,Коды_код,Коды_пожарная),"")="да","да","нет")))</f>
        <v>нет</v>
      </c>
      <c r="FL203" t="str">
        <f t="shared" si="439"/>
        <v/>
      </c>
      <c r="FM203" t="str">
        <f t="shared" si="440"/>
        <v>основная</v>
      </c>
      <c r="FN203">
        <f t="shared" si="441"/>
        <v>1</v>
      </c>
      <c r="FO203" t="str" cm="1">
        <f t="array" ref="FO203">IF(B203="","",_xlfn.LET(_xlpm.t,IFERROR(_xlfn.XLOOKUP(1,(Шины[Шина]=FM203)*(((Шины[Щит]=A203)+(Шины[Щит]=""))&gt;0),Шины[Тип]),"")&amp;"",IF(_xlpm.t&lt;&gt;"",_xlpm.t,IF(ISNUMBER(SEARCH("ИБП",FM203)),"ИБП",IF(ISNUMBER(SEARCH("ДГУ",FM203)),"ДГУ","Ввод "&amp;FN203)))))</f>
        <v>Ввод 1</v>
      </c>
      <c r="FP203" t="str">
        <f t="shared" si="442"/>
        <v>Ввод 1</v>
      </c>
      <c r="FQ203" t="str">
        <f>IF(B203="","",IF(OR(FO203="ИБП",FO203="ДГУ"),"I особая",IF(FO203="Одиночная","III",_xlfn.XLOOKUP(A203,Щиты[Щит],Щиты[Категория шины «Ввод»],"III"))))</f>
        <v>II</v>
      </c>
      <c r="FR203">
        <f>IF(B203="",0,IFERROR(MATCH(FJ203,{"III","II","I","I особая"},0),1))</f>
        <v>2</v>
      </c>
      <c r="FS203">
        <f t="shared" si="443"/>
        <v>2</v>
      </c>
      <c r="FT203" t="str">
        <f>IF(B203="","",IF(FR203&gt;IFERROR(MATCH(FQ203,{"III","II","I","I особая"},0),1),"НЕ ОБЕСПЕЧЕНА","ОК"))</f>
        <v>ОК</v>
      </c>
      <c r="FU203" t="str">
        <f>IF(A203="","",_xlfn.XLOOKUP(A203,Щиты[Щит],Щиты[Путь],""))</f>
        <v>|ГРЩ-ЖД|ЩР-01|</v>
      </c>
      <c r="FV203" t="str">
        <f>IF(B203="","",IF(AE203&lt;&gt;"",AE203,IF(IFERROR(_xlfn.XLOOKUP(AX203,Коды_код,Коды_вид)&amp;"","")="","Прочее",_xlfn.XLOOKUP(AX203,Коды_код,Коды_вид)&amp;"")))</f>
        <v>Розеточная сеть и бытовые приборы</v>
      </c>
      <c r="FW203">
        <f>IF(BH203="","",INT((BH203-1)/Столбцов_на_лист)+1)</f>
        <v>3</v>
      </c>
      <c r="FX203" t="str">
        <f t="shared" si="444"/>
        <v>ВВГнг(А)-LS (3х2,5) L=30-0,07%</v>
      </c>
      <c r="FY203">
        <f t="shared" si="445"/>
        <v>0.06</v>
      </c>
      <c r="FZ203">
        <f t="shared" si="446"/>
        <v>0.28000000000000003</v>
      </c>
      <c r="GA203">
        <f t="shared" si="447"/>
        <v>1</v>
      </c>
      <c r="GB203">
        <f t="shared" si="448"/>
        <v>0</v>
      </c>
      <c r="GC203">
        <f t="shared" si="449"/>
        <v>1</v>
      </c>
      <c r="GD203">
        <f>IF(BH203="","",IF(AND(CA203=1,GC203=1),COUNTIFS(A$3:A203,A203,CA$3:CA203,1,GC$3:GC203,1),IF(OR(OR(AW203=1,A203&lt;&gt;A202),AF203="вручную",GC203=0),"",IF(AW203=1,"",GE202))))</f>
        <v>19</v>
      </c>
      <c r="GE203">
        <f t="shared" si="450"/>
        <v>19</v>
      </c>
      <c r="GF203">
        <f>IF(B203="","",IFERROR(LOOKUP(INDEX(CHOOSE(DL203,Iдоп_1ж,Iдоп_2ж,Iдоп_3ж),MATCH(DX203,Iдоп_S,0))*DJ203*DK203,{6,10,16,20,25,32,40,50,63,80,100,125,160,200,250,315,400,500,630}),""))</f>
        <v>25</v>
      </c>
      <c r="GG203" t="str">
        <f t="shared" si="451"/>
        <v>QFD19</v>
      </c>
      <c r="GH203" t="str">
        <f t="shared" si="452"/>
        <v>QFD19</v>
      </c>
      <c r="GI203" t="str">
        <f t="shared" si="453"/>
        <v/>
      </c>
      <c r="GJ203">
        <f t="shared" si="454"/>
        <v>0</v>
      </c>
      <c r="GK203" t="str">
        <f>IF(OR(AG203="",AG203="-"),"",IFERROR(VLOOKUP(AG203,Модули_спр,2,FALSE),"R"))</f>
        <v/>
      </c>
      <c r="GL203" t="str">
        <f>IF(GK203="","",GK203&amp;"."&amp;COUNTIFS(A$3:A203,A203,GK$3:GK203,GK203))</f>
        <v/>
      </c>
      <c r="GM203" t="str">
        <f t="shared" si="455"/>
        <v/>
      </c>
      <c r="GN203" t="str">
        <f t="shared" si="456"/>
        <v/>
      </c>
      <c r="GO203" t="str">
        <f t="shared" si="457"/>
        <v/>
      </c>
      <c r="GP203" t="str">
        <f t="shared" si="458"/>
        <v/>
      </c>
      <c r="GQ203">
        <f t="shared" si="459"/>
        <v>1</v>
      </c>
      <c r="GR203" t="str">
        <f>IF(GQ203=1,"XT"&amp;COUNTIFS(A$3:A203,A203,GQ$3:GQ203,1),"")</f>
        <v>XT19</v>
      </c>
      <c r="GS203" t="str">
        <f t="shared" si="460"/>
        <v/>
      </c>
      <c r="GT203" t="str">
        <f t="shared" si="461"/>
        <v>QFD19</v>
      </c>
      <c r="GU203" t="str">
        <f t="shared" si="462"/>
        <v/>
      </c>
      <c r="GV203" t="str">
        <f t="shared" si="463"/>
        <v>ok</v>
      </c>
      <c r="GW203" t="str">
        <f>IF(OR(GO203="",GM203=""),"",IF(GO203&gt;IFERROR(VLOOKUP(GN203,Модули_спр,3,FALSE),99),"ЛИШНИЙ КАНАЛ",IF(AND(AH203&lt;&gt;"=",COUNTIFS(Линии[_модуль гр.],GM203,Линии[Канал (итог)],GO203,Линии[Канал],"&lt;&gt;=",Линии[Щит],A203)&gt;1),"ДУБЛЬ КАНАЛА","")))</f>
        <v/>
      </c>
      <c r="GX203" s="6" t="str">
        <f t="shared" si="464"/>
        <v/>
      </c>
      <c r="GY203">
        <f t="shared" si="465"/>
        <v>10</v>
      </c>
      <c r="GZ203" t="str">
        <f t="shared" si="466"/>
        <v/>
      </c>
      <c r="HA203" t="str">
        <f>IF(AND(B203="",GT203=""),"",_xlfn.TEXTJOIN("; ",TRUE,IF(AND(B203&lt;&gt;"",FE203=""),"нет фазы",""),IF(AND(B203&lt;&gt;"",N(FY203)=0,EQ203&lt;&gt;"Нет"),"нет мощности",""),IF(AND(GS203&lt;&gt;"",COUNTIFS(Линии[Щит],A203,Линии[Клемма (итог)],GS203)&gt;1),"дубль клеммы "&amp;GS203,""),IF(AND(GV203&lt;&gt;"",GV203&lt;&gt;"ok"),GV203,""),IF(GW203&lt;&gt;"",GW203,""),IF(AND(N(BV203)&gt;=4,N(BR203)=1),BV203&amp;" жил на 1 фазе",""),IF(AND(AX203="R",CA203=1,OR(N(CK203)=0,N(CK203)&gt;30)),"розетка без дифзащиты до 30 мА",""),IFERROR(IF(AND(ISNUMBER(R203),R203&gt;DV203),"потери "&amp;FIXED(R203,1)&amp;" % &gt; "&amp;DV203&amp;" %",""),""),IFERROR(IF(LEFT(GZ203,4)="мало","Iкз мало — отключение &gt; 0,4 с",""),""),IF(AND(B203&lt;&gt;"",BH203=""),"не на схеме",""),IF(AND(CA203=0,B203&lt;&gt;"",FE203&lt;&gt;"",IF(AW203=1,"",FF202)&lt;&gt;"",FE203&lt;&gt;IF(AW203=1,"",FF202)),"фаза не как у автомата группы ("&amp;IF(AW203=1,"",FF202)&amp;")","")))</f>
        <v/>
      </c>
      <c r="HB203" s="6">
        <f>IF(OR(CA203=0,DA203=""),"",_xlfn.LET(_xlpm.t,IFERROR(_xlfn.XLOOKUP(DA203,Каталог!$U$4:$U$500,Каталог!$G$4:$G$500),""),_xlpm.k,SEARCH("кА",_xlpm.t),IFERROR(--TRIM(RIGHT(SUBSTITUTE(MID(_xlpm.t,MAX(1,_xlpm.k-4),_xlpm.k-MAX(1,_xlpm.k-4))," ",REPT(" ",9)),5)),"")))</f>
        <v>6</v>
      </c>
      <c r="HC203" t="str">
        <f>IF(OR(HB203="",CA203=0),"",IF(_xlfn.XLOOKUP(A203,Щиты[Щит],Щиты[Iкз max на шинах, кА],"")="","",IF(HB203&lt;_xlfn.XLOOKUP(A203,Щиты[Щит],Щиты[Iкз max на шинах, кА]),"Icu "&amp;HB203&amp;" кА &lt; Iкз max","ok")))</f>
        <v/>
      </c>
      <c r="HD203" t="str">
        <f t="shared" si="467"/>
        <v/>
      </c>
      <c r="HE203" t="str">
        <f t="shared" si="468"/>
        <v>QFD19</v>
      </c>
      <c r="HF203" t="str">
        <f t="shared" si="469"/>
        <v>QFD19|кабель ВВГнг(А)-LS (3х2,5) → Розеточная группа, пом. 010A</v>
      </c>
      <c r="HG203" t="str" cm="1">
        <f t="array" ref="HG203">IF(HF203="","",_xlfn.LET(_xlpm.nd,_xlfn.TEXTSPLIT(HF203,"|"),IF(COLUMNS(_xlpm.nd)&gt;1,A203&amp;"¦"&amp;INDEX(_xlpm.nd,1)&amp;"¦"&amp;INDEX(_xlpm.nd,2),"")))</f>
        <v>ЩР-01¦QFD19¦кабель ВВГнг(А)-LS (3х2,5) → Розеточная группа, пом. 010A</v>
      </c>
      <c r="HH203" t="str">
        <f t="shared" si="470"/>
        <v>R.0.010A.1¦Розеточная группа, пом. 010A</v>
      </c>
      <c r="HI203" t="str" cm="1">
        <f t="array" ref="HI203">IF(HF203="","",_xlfn.LET(_xlpm.nd,_xlfn.TEXTSPLIT(HF203,"|"),IF(COLUMNS(_xlpm.nd)&gt;2,A203&amp;"¦"&amp;INDEX(_xlpm.nd,2)&amp;"¦"&amp;INDEX(_xlpm.nd,3),"")))</f>
        <v/>
      </c>
      <c r="HJ203" t="str">
        <f t="shared" si="471"/>
        <v/>
      </c>
      <c r="HK203" t="str" cm="1">
        <f t="array" ref="HK203">IF(HF203="","",_xlfn.LET(_xlpm.nd,_xlfn.TEXTSPLIT(HF203,"|"),IF(COLUMNS(_xlpm.nd)&gt;3,A203&amp;"¦"&amp;INDEX(_xlpm.nd,3)&amp;"¦"&amp;INDEX(_xlpm.nd,4),"")))</f>
        <v/>
      </c>
      <c r="HL203" t="str">
        <f t="shared" si="472"/>
        <v/>
      </c>
      <c r="HM203" t="str" cm="1">
        <f t="array" ref="HM203">IF(HF203="","",_xlfn.LET(_xlpm.nd,_xlfn.TEXTSPLIT(HF203,"|"),IF(COLUMNS(_xlpm.nd)&gt;4,A203&amp;"¦"&amp;INDEX(_xlpm.nd,4)&amp;"¦"&amp;INDEX(_xlpm.nd,5),"")))</f>
        <v/>
      </c>
      <c r="HN203" t="str">
        <f t="shared" si="473"/>
        <v/>
      </c>
      <c r="HO203" t="str" cm="1">
        <f t="array" ref="HO203">IF(HF203="","",_xlfn.LET(_xlpm.nd,_xlfn.TEXTSPLIT(HF203,"|"),IF(COLUMNS(_xlpm.nd)&gt;5,A203&amp;"¦"&amp;INDEX(_xlpm.nd,5)&amp;"¦"&amp;INDEX(_xlpm.nd,6),"")))</f>
        <v/>
      </c>
      <c r="HP203" t="str">
        <f t="shared" si="474"/>
        <v/>
      </c>
      <c r="HQ203" t="str" cm="1">
        <f t="array" ref="HQ203">IF(HF203="","",_xlfn.LET(_xlpm.nd,_xlfn.TEXTSPLIT(HF203,"|"),IF(COLUMNS(_xlpm.nd)&gt;6,A203&amp;"¦"&amp;INDEX(_xlpm.nd,6)&amp;"¦"&amp;INDEX(_xlpm.nd,7),"")))</f>
        <v/>
      </c>
      <c r="HR203" t="str">
        <f t="shared" si="475"/>
        <v/>
      </c>
      <c r="HS203" t="str">
        <f t="shared" si="476"/>
        <v/>
      </c>
      <c r="HT203" t="str">
        <f t="shared" si="477"/>
        <v>QFD19</v>
      </c>
      <c r="HU203">
        <f t="shared" si="478"/>
        <v>0</v>
      </c>
      <c r="HV203">
        <f t="shared" si="479"/>
        <v>1</v>
      </c>
      <c r="HW203" t="str">
        <f t="shared" si="480"/>
        <v/>
      </c>
      <c r="HX203" t="str">
        <f t="shared" si="481"/>
        <v/>
      </c>
      <c r="HY203" t="str">
        <f t="shared" si="482"/>
        <v/>
      </c>
      <c r="HZ203" t="str">
        <f t="shared" si="483"/>
        <v/>
      </c>
      <c r="IA203" t="str">
        <f>IF(B203="","",IFERROR(VLOOKUP(B203,УГО_спр,2,FALSE),IFERROR(VLOOKUP(AX203,УГО_спр,2,FALSE),IFERROR(VLOOKUP(LEFT(AX203,2),УГО_спр,2,FALSE),""))))</f>
        <v>Розетка</v>
      </c>
      <c r="IB203" t="str">
        <f>IF(B203="","",IF(OR(IA203="",IA203=0),"BOX",IFERROR(IF(VLOOKUP(IA203,УГО_блоки,3,FALSE)&amp;""&lt;&gt;"",VLOOKUP(IA203,УГО_блоки,3,FALSE),VLOOKUP(IA203,УГО_блоки,2,FALSE)),IA203)))</f>
        <v>SOCKET</v>
      </c>
      <c r="IC203">
        <f t="shared" si="484"/>
        <v>1</v>
      </c>
      <c r="ID203" t="str">
        <f>IF(DA203="","",IF(COUNTIF(DA$3:DA203,DA203)=1,MAX(ID$2:ID202)+1,""))</f>
        <v/>
      </c>
      <c r="IE203" t="str">
        <f>IF(CO203="","",IF(COUNTIF(CO$3:CO203,CO203)+COUNTIF(CP$2:CP202,CO203)+COUNTIF(CQ$2:CQ202,CO203)=1,MAX(IE$2:IG202)+1,""))</f>
        <v/>
      </c>
      <c r="IF203" t="str">
        <f>IF(CP203="","",IF(COUNTIF(CO$3:CO203,CP203)+COUNTIF(CP$3:CP203,CP203)+COUNTIF(CQ$2:CQ202,CP203)=1,MAX(IE$2:IG202,IE203)+1,""))</f>
        <v/>
      </c>
      <c r="IG203" t="str">
        <f>IF(CQ203="","",IF(COUNTIF(CO$3:CO203,CQ203)+COUNTIF(CP$3:CP203,CQ203)+COUNTIF(CQ$3:CQ203,CQ203)=1,MAX(IE$2:IG202,IE203,IF203)+1,""))</f>
        <v/>
      </c>
      <c r="IH203" t="str">
        <f t="shared" si="485"/>
        <v>3х2,5</v>
      </c>
      <c r="II203" t="str">
        <f>IF(IH203="","",IF(COUNTIF(IH$3:IH203,IH203)=1,MAX(II$2:II202)+1,""))</f>
        <v/>
      </c>
      <c r="IJ203" t="str">
        <f>IF(GL203="","",COUNTIF(GL$3:GL203,"?*"))</f>
        <v/>
      </c>
      <c r="IK203" t="str">
        <f>IF(OR(GL203="",GN203=""),"",IF(COUNTIFS(GL$3:GL203,"?*",GN$3:GN203,GN203)=1,MAX(IK$2:IK202)+1,""))</f>
        <v/>
      </c>
      <c r="IL203">
        <f t="shared" si="486"/>
        <v>0</v>
      </c>
      <c r="IM203">
        <f>IF(B203="","",COUNTIF(B$3:B203,"?*"))</f>
        <v>201</v>
      </c>
      <c r="IN203">
        <f>IF(GQ203&lt;&gt;1,0,_xlfn.LET(_xlpm.k,MAX(IFERROR(--VLOOKUP(B203,УГО_спр,5,FALSE),0),IFERROR(--VLOOKUP(AX203,УГО_спр,5,FALSE),0),IFERROR(--VLOOKUP(LEFT(AX203,2),УГО_спр,5,FALSE),0)),IF(_xlpm.k&gt;0,_xlpm.k,IF(IFERROR(--LEFT(SUBSTITUTE(IH203,"x","х"),FIND("х",SUBSTITUTE(IH203,"x","х"))-1),3)&gt;3,Каталог!$S$9,1))))</f>
        <v>1</v>
      </c>
      <c r="IO203">
        <f t="shared" si="487"/>
        <v>0</v>
      </c>
      <c r="IP203" t="str">
        <f t="shared" si="488"/>
        <v>авто</v>
      </c>
      <c r="IQ203">
        <f t="shared" si="489"/>
        <v>30</v>
      </c>
      <c r="IR203">
        <f t="shared" si="490"/>
        <v>1</v>
      </c>
      <c r="IS203">
        <f t="shared" si="491"/>
        <v>1</v>
      </c>
    </row>
    <row r="204" spans="1:253" x14ac:dyDescent="0.3">
      <c r="A204" t="s">
        <v>757</v>
      </c>
      <c r="B204" t="s">
        <v>1470</v>
      </c>
      <c r="C204" t="str">
        <f>Линии[[#This Row],[_авто наименование]]</f>
        <v>Розеточная группа, пом. 011</v>
      </c>
      <c r="D204">
        <v>1</v>
      </c>
      <c r="E204">
        <v>0.06</v>
      </c>
      <c r="G204" t="str">
        <f>Линии[[#This Row],[_авто автомат]]</f>
        <v>2P С16А 30мА</v>
      </c>
      <c r="H204">
        <f>Линии[[#This Row],[_авто утечка]]</f>
        <v>30</v>
      </c>
      <c r="I204" t="str">
        <f>Линии[[#This Row],[_авто управление]]</f>
        <v/>
      </c>
      <c r="J204" t="str">
        <f>Линии[[#This Row],[_авто аппараты]]</f>
        <v/>
      </c>
      <c r="K204">
        <v>2.5</v>
      </c>
      <c r="L204">
        <v>22</v>
      </c>
      <c r="M204">
        <v>1</v>
      </c>
      <c r="N204" t="s">
        <v>486</v>
      </c>
      <c r="O204" t="str">
        <f t="shared" si="369"/>
        <v/>
      </c>
      <c r="P204" s="6" cm="1">
        <f t="array" ref="P204">IF(B204="","",IF(BC204&lt;&gt;"",IFERROR(_xlfn.XLOOKUP(BC204,Щиты[Щит],Щиты[Iр, А]),""),IF(BK204=1,IFERROR(_xlfn.XLOOKUP(A204,Щиты[Щит],Щиты[Iр, А]),""),IFERROR(_xlfn.IFS(BR204=1,BN204/((Uн_лин/SQRT(3))*BY204),BR204=3,BN204/(SQRT(3)*Uн_лин*BY204)),""))))</f>
        <v>0.27348170645824377</v>
      </c>
      <c r="Q204" s="7">
        <f>IF(B204="","",IFERROR(IF(VLOOKUP(AX204,Потребители_обозначение,4,FALSE)=1,VLOOKUP(AX204,Потребители_обозначение,3,FALSE)*(D204*2-1)+DS204+VLOOKUP(AZ204,Этаж_обозначение,3,FALSE)+VLOOKUP(AZ204,Этаж_обозначение,4,FALSE),VLOOKUP(AX204,Потребители_обозначение,3,FALSE)*(D204*2-1)+DS204),DS204))</f>
        <v>25</v>
      </c>
      <c r="R204" s="6">
        <f t="shared" si="370"/>
        <v>0.49</v>
      </c>
      <c r="S204" t="str">
        <f t="shared" si="371"/>
        <v>ВВГнг(А)-LS (3х2,5)</v>
      </c>
      <c r="T204" t="str">
        <f>IF(BH204="","",IF(BI204="вводной узел","узел ","")&amp;"л."&amp;(INT((BH204-1)/Столбцов_на_лист)+1)&amp;" / "&amp;(MOD(BH204-1,Столбцов_на_лист)+1))</f>
        <v>л.3 / 5</v>
      </c>
      <c r="V204">
        <v>1</v>
      </c>
      <c r="W204">
        <v>230</v>
      </c>
      <c r="X204" t="s">
        <v>564</v>
      </c>
      <c r="AC204" t="s">
        <v>815</v>
      </c>
      <c r="AE204" t="s">
        <v>563</v>
      </c>
      <c r="AI204">
        <v>39</v>
      </c>
      <c r="AJ204" t="s">
        <v>11</v>
      </c>
      <c r="AK204">
        <v>3</v>
      </c>
      <c r="AM204">
        <v>8</v>
      </c>
      <c r="AN204">
        <v>17</v>
      </c>
      <c r="AO204">
        <v>0</v>
      </c>
      <c r="AW204" cm="1">
        <f t="array" ref="AW204">ROW()-ROW(Линии[#Headers])</f>
        <v>202</v>
      </c>
      <c r="AX204" s="6" t="str">
        <f t="shared" si="372"/>
        <v>R</v>
      </c>
      <c r="AY204" t="str">
        <f t="shared" si="373"/>
        <v>0.011.1A</v>
      </c>
      <c r="AZ204" t="str">
        <f t="shared" si="374"/>
        <v>0</v>
      </c>
      <c r="BA204" t="str">
        <f t="shared" si="375"/>
        <v>011.1A</v>
      </c>
      <c r="BB204" t="str">
        <f t="shared" si="376"/>
        <v>011</v>
      </c>
      <c r="BC204" t="str">
        <f>IF(U204&lt;&gt;"",U204,IF(AND(B204&lt;&gt;"",B204&lt;&gt;A204,ISNUMBER(_xlfn.XMATCH(B204,Щиты[Щит]))),B204,""))</f>
        <v/>
      </c>
      <c r="BD204" t="str" cm="1">
        <f t="array" ref="BD204">IF(B204="","",IF(BC204&lt;&gt;"","Щит "&amp;BC204,_xlfn.LET(_xlpm.nm,IFERROR(_xlfn.XLOOKUP(AX204,Коды_код,Коды_имя)&amp;"",""),_xlpm.md,IFERROR(N(_xlfn.XLOOKUP(AX204,Коды_код,Коды_режим)),1),_xlpm.ex,IF(Имя_режим="по экспликации",IFERROR(_xlfn.XLOOKUP(AZ204&amp;"|"&amp;BB204,Экспликация[Этаж]&amp;"|"&amp;Экспликация[Помещение],Экспликация[Название])&amp;"",""),""),_xlpm.rm,IF(BB204="","",IF(_xlpm.ex&lt;&gt;"",". "&amp;_xlpm.ex&amp;IF(Имя_пом="нет"," ("&amp;BB204&amp;")"," (пом. "&amp;BB204&amp;")"),IF(Имя_пом="нет"," ",", пом. ")&amp;BB204)),IF(_xlpm.nm="","",IF(_xlpm.md=2,_xlpm.nm&amp;" шлейф "&amp;AZ204,_xlpm.nm&amp;_xlpm.rm)))))</f>
        <v>Розеточная группа, пом. 011</v>
      </c>
      <c r="BE204" t="str">
        <f t="shared" si="377"/>
        <v>Розеточная группа, пом. 011</v>
      </c>
      <c r="BF204">
        <f>IFERROR(_xlfn.XMATCH(A204,Щиты[Щит]),0)</f>
        <v>9</v>
      </c>
      <c r="BG204">
        <f>_xlfn.LET(_xlpm.k,IFERROR(_xlfn.XLOOKUP(A204,Щиты[Щит],Щиты[Листов под вводной узел]),""),IF(_xlpm.k="",1,N(_xlpm.k))*Столбцов_на_лист)</f>
        <v>17</v>
      </c>
      <c r="BH204">
        <f t="shared" si="378"/>
        <v>39</v>
      </c>
      <c r="BI204" t="str">
        <f t="shared" si="379"/>
        <v>линии</v>
      </c>
      <c r="BJ204" s="6">
        <f>IFERROR(N(_xlfn.XLOOKUP(AX204,Коды_код,Коды_квт)),0)</f>
        <v>0</v>
      </c>
      <c r="BK204">
        <f t="shared" si="380"/>
        <v>0</v>
      </c>
      <c r="BL204" t="str">
        <f>IF(B204="","",IF(BC204&lt;&gt;"",IFERROR(_xlfn.XLOOKUP(BC204,Щиты[Щит],Щиты[Руст, кВт]),0),IF(BK204=1,IFERROR(_xlfn.XLOOKUP(A204,Щиты[Щит],Щиты[Руст, кВт]),0),IF(BJ204&gt;0,ROUND(BJ204*MAX(1,N(D204)),3),""))))</f>
        <v/>
      </c>
      <c r="BM204">
        <f t="shared" si="381"/>
        <v>0.06</v>
      </c>
      <c r="BN204" s="6">
        <f>IF(B204="","",IF(BC204&lt;&gt;"",IFERROR(_xlfn.XLOOKUP(BC204,Щиты[Щит],Щиты[Руст, кВт]),0),N(BM204)))</f>
        <v>0.06</v>
      </c>
      <c r="BO204" t="str">
        <f>IF(B204="","",IFERROR(IF(VLOOKUP(AX204,Потребители_обозначение,8,FALSE)=0,"",VLOOKUP(AX204,Потребители_обозначение,8,FALSE)),""))</f>
        <v/>
      </c>
      <c r="BP204">
        <f t="shared" si="382"/>
        <v>230</v>
      </c>
      <c r="BQ204">
        <f>IF(B204="","",IF(BC204&lt;&gt;"",3,IFERROR(IF(N(VLOOKUP(AX204,Потребители_обозначение,9,FALSE))=0,1,VLOOKUP(AX204,Потребители_обозначение,9,FALSE)),1)))</f>
        <v>1</v>
      </c>
      <c r="BR204">
        <f t="shared" si="383"/>
        <v>1</v>
      </c>
      <c r="BS204" t="str">
        <f>IF(B204="","",_xlfn.LET(_xlpm.bc,IFERROR(IF(VLOOKUP(AX204,Потребители_обозначение,6,FALSE)=0,"",VLOOKUP(AX204,Потребители_обозначение,6,FALSE)&amp;""),""),IF(AND(FK204="да",OR(_xlpm.bc="",_xlpm.bc="мс")),Марка_пож,IF(AND(_xlpm.bc="",BC204&lt;&gt;""),"мс",_xlpm.bc))))</f>
        <v/>
      </c>
      <c r="BT204" t="str">
        <f t="shared" si="384"/>
        <v>мс</v>
      </c>
      <c r="BU204">
        <f>IF(B204="","",_xlfn.LET(_xlpm.cc,IFERROR(N(VLOOKUP(AX204,Потребители_обозначение,7,FALSE)),0),IF(_xlpm.cc&gt;0,_xlpm.cc,IF(BT204="","",IF(N(BR204)=3,5,3)))))</f>
        <v>3</v>
      </c>
      <c r="BV204">
        <f t="shared" si="385"/>
        <v>3</v>
      </c>
      <c r="BW204">
        <f>IFERROR(N(VLOOKUP(AX204,Потребители_обозначение,10,FALSE)),0)</f>
        <v>0</v>
      </c>
      <c r="BX204">
        <f>IFERROR(VLOOKUP(AX204,Потребители_обозначение,5,FALSE),0)</f>
        <v>1</v>
      </c>
      <c r="BY204" s="6" cm="1">
        <f t="array" ref="BY204">IF(B204="","",IF(BC204&lt;&gt;"",IFERROR(_xlfn.XLOOKUP(BC204,Щиты[Щит],Щиты[cos φ]),0.95),IF(BK204=1,IFERROR(_xlfn.XLOOKUP(A204,Щиты[Щит],Щиты[cos φ]),0.95),IF(ISNUMBER(Z204),Z204,IFERROR(IF(BX204=2,_xlfn.IFS(BR204=3,VLOOKUP(BN204,Справочная_двигатели,8,FALSE),BR204=1,VLOOKUP(BN204,Справочная_двигатели,10,TRUE)),IF(AND(Методика="нормы 2026",EQ204="Сил"),0.8,0.95)),0.95)))))</f>
        <v>0.95</v>
      </c>
      <c r="BZ204">
        <f t="shared" si="386"/>
        <v>0</v>
      </c>
      <c r="CA204">
        <f t="shared" si="387"/>
        <v>1</v>
      </c>
      <c r="CB204">
        <f t="shared" si="388"/>
        <v>0</v>
      </c>
      <c r="CC204">
        <f t="shared" si="389"/>
        <v>0</v>
      </c>
      <c r="CD204">
        <f t="shared" si="390"/>
        <v>0</v>
      </c>
      <c r="CE204">
        <f t="shared" si="391"/>
        <v>0</v>
      </c>
      <c r="CF204">
        <f t="shared" si="392"/>
        <v>0</v>
      </c>
      <c r="CG204">
        <f>IF(AX204="",0,_xlfn.LET(_xlpm.v,IFERROR(VLOOKUP(B204,УГО_спр,3,FALSE),IFERROR(VLOOKUP(AX204,УГО_спр,3,FALSE),IFERROR(VLOOKUP(LEFT(AX204,2),УГО_спр,3,FALSE),""))),IF(_xlpm.v="да",30,IF(ISNUMBER(_xlpm.v),_xlpm.v,0))))</f>
        <v>30</v>
      </c>
      <c r="CH204">
        <f t="shared" si="393"/>
        <v>30</v>
      </c>
      <c r="CI204" t="str">
        <f>_xlfn.LET(_xlpm.k,IFERROR(_xlfn.XLOOKUP(AX204,Коды_код,Коды_утечка)&amp;"",""),IF(_xlpm.k="","дифавтомат",_xlpm.k))</f>
        <v>дифавтомат</v>
      </c>
      <c r="CJ204">
        <f t="shared" si="394"/>
        <v>30</v>
      </c>
      <c r="CK204">
        <f t="shared" si="395"/>
        <v>30</v>
      </c>
      <c r="CL204">
        <f>IF(B204="",0,IFERROR(--VLOOKUP(B204,УГО_спр,4,FALSE),IFERROR(--VLOOKUP(AX204,УГО_спр,4,FALSE),IFERROR(--VLOOKUP(LEFT(AX204,2),УГО_спр,4,FALSE),0))))</f>
        <v>16</v>
      </c>
      <c r="CM204" t="str">
        <f>IF(B204="","",IFERROR(_xlfn.XLOOKUP(AX204,Коды_код,Коды_апп)&amp;"",""))</f>
        <v/>
      </c>
      <c r="CN204" t="str">
        <f t="shared" si="396"/>
        <v/>
      </c>
      <c r="CO204" t="str" cm="1">
        <f t="array" ref="CO204">IF(TRIM(CN204&amp;"")="","",IFERROR(TRIM(INDEX(_xlfn.TEXTSPLIT(CN204&amp;";;;",";"),1)),""))</f>
        <v/>
      </c>
      <c r="CP204" t="str" cm="1">
        <f t="array" ref="CP204">IF(TRIM(CN204&amp;"")="","",IFERROR(TRIM(INDEX(_xlfn.TEXTSPLIT(CN204&amp;";;;",";"),2)),""))</f>
        <v/>
      </c>
      <c r="CQ204" t="str" cm="1">
        <f t="array" ref="CQ204">IF(TRIM(CN204&amp;"")="","",IFERROR(TRIM(INDEX(_xlfn.TEXTSPLIT(CN204&amp;";;;",";"),3)),""))</f>
        <v/>
      </c>
      <c r="CR204">
        <f t="shared" si="397"/>
        <v>0</v>
      </c>
      <c r="CS204" t="str">
        <f>IF(B204="","",_xlfn.LET(_xlpm.t,LOWER(AV204&amp;""),IF(ISNUMBER(SEARCH("dim",_xlpm.t)),"DIM",IF(ISNUMBER(SEARCH("dali",_xlpm.t)),"DALI",IF(OR(ISNUMBER(SEARCH("relay",_xlpm.t)),ISNUMBER(SEARCH("реле",_xlpm.t))),"Relay",IF(ISNUMBER(SEARCH("кнопк",_xlpm.t)),"",IFERROR(_xlfn.XLOOKUP(AX204,Коды_код,Коды_упр)&amp;"","")))))))</f>
        <v/>
      </c>
      <c r="CT204" t="str">
        <f t="shared" si="398"/>
        <v/>
      </c>
      <c r="CU204">
        <f>IF(B204="","",_xlfn.LET(_xlpm.ig,N(P204)+IF(AF204="вручную",0,N(CB204)),_xlpm.n0,IFERROR(VLOOKUP(_xlpm.ig,Автомат_номиналы,2,TRUE),0),_xlpm.mn,MAX(CL204,IF(AF204="вручную",0,N(CE204))),MAX(_xlpm.n0,_xlpm.mn,IF(CR204=1,Мин_автомат_БП,0))))</f>
        <v>16</v>
      </c>
      <c r="CV204">
        <f t="shared" si="399"/>
        <v>1</v>
      </c>
      <c r="CW204" t="str">
        <f t="shared" si="400"/>
        <v>2P</v>
      </c>
      <c r="CX204" t="str">
        <f>_xlfn.LET(_xlpm.cc,UPPER(TRIM(IFERROR(_xlfn.XLOOKUP(AX204,Коды_код,Коды_хар)&amp;"",""))),IF(OR(_xlpm.cc="B",_xlpm.cc="В"),"B",IF(_xlpm.cc="D","D","С")))</f>
        <v>С</v>
      </c>
      <c r="CY204" t="str">
        <f t="shared" si="401"/>
        <v>2P С16А 30мА</v>
      </c>
      <c r="CZ204" t="str">
        <f t="shared" si="402"/>
        <v>2P С16А 30мА</v>
      </c>
      <c r="DA204" t="str">
        <f t="shared" si="403"/>
        <v>2P С16А 30мА</v>
      </c>
      <c r="DB204" cm="1">
        <f t="array" ref="DB204">IF(DA204="","",_xlfn.LET(_xlpm.t,SUBSTITUTE(SUBSTITUTE(SUBSTITUTE(UPPER(DA204),"С","C"),"А","A"),"В","B"),_xlpm.tk,_xlfn.TEXTSPLIT(_xlpm.t,"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4" t="str">
        <f t="shared" si="404"/>
        <v>ok</v>
      </c>
      <c r="DD204">
        <f t="shared" si="405"/>
        <v>16</v>
      </c>
      <c r="DE204" t="str">
        <f t="shared" si="406"/>
        <v>2P С16А 30мА</v>
      </c>
      <c r="DF204">
        <f t="shared" si="407"/>
        <v>30</v>
      </c>
      <c r="DG204">
        <f t="shared" si="408"/>
        <v>1</v>
      </c>
      <c r="DH204">
        <f t="shared" si="409"/>
        <v>0</v>
      </c>
      <c r="DI204">
        <f t="shared" si="410"/>
        <v>0.27348170645824377</v>
      </c>
      <c r="DJ204">
        <f t="shared" si="411"/>
        <v>1</v>
      </c>
      <c r="DK204">
        <f>IF(ISNUMBER(AL204),AL204,К_прокл)</f>
        <v>1</v>
      </c>
      <c r="DL204">
        <f t="shared" si="412"/>
        <v>2</v>
      </c>
      <c r="DM204">
        <f>IFERROR(N(VLOOKUP(BT204,Кабель_обозначение,3,FALSE)),1)</f>
        <v>1</v>
      </c>
      <c r="DN204">
        <f>IFERROR(N(_xlfn.XLOOKUP(A204,Щиты[Щит],Щиты[ΔU до шин, %])),0)</f>
        <v>0.43</v>
      </c>
      <c r="DO204" t="str">
        <f>IFERROR(_xlfn.XLOOKUP(A204,Щиты[Щит],Щиты[Zпетли на шинах, Ом]),"")</f>
        <v/>
      </c>
      <c r="DP204">
        <f>IFERROR(N(_xlfn.XLOOKUP(A204,Щиты[Щит],Щиты[ΔU до шин (подбор), %])),0)</f>
        <v>0.43</v>
      </c>
      <c r="DQ204" t="str">
        <f>IFERROR(_xlfn.XLOOKUP(A204,Щиты[Щит],Щиты[Zпетли на шинах (подбор), Ом]),"")</f>
        <v/>
      </c>
      <c r="DR204" t="str">
        <f t="shared" si="413"/>
        <v/>
      </c>
      <c r="DS204">
        <f t="shared" si="414"/>
        <v>22</v>
      </c>
      <c r="DT204">
        <f t="shared" si="415"/>
        <v>2</v>
      </c>
      <c r="DU204">
        <f t="shared" si="416"/>
        <v>0.31</v>
      </c>
      <c r="DV204" s="6">
        <f>IF(B204="","",IF(IFERROR(VLOOKUP(AX204,УГО_спр,2,FALSE),"")="Светильник",3,4)+IF(Методика="нормы 2026",MIN(0.5,MAX(0,N(Q204)-100)*0.005),0))</f>
        <v>4</v>
      </c>
      <c r="DW204" cm="1">
        <f t="array" ref="DW204">IF(OR(B204="",BT204="",DM204&lt;&gt;1),"",_xlfn.LET(_xlpm.sz,Iдоп_S,_xlpm.t_,CHOOSE(DL204,Iдоп_1ж,Iдоп_2ж,Iдоп_3ж)*DJ204*DK204,_xlpm.inn,N(DD204),_xlpm.smin,MAX(1.5,BW204),_xlpm.L_,N(Q204)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204)*(_xlpm.rho*_xlpm.L_/_xlpm.sz*N(BY204)+_xlpm.xx*_xlpm.L_*N(DU204)/1000)*N(P204)/((Uн_лин/SQRT(3))*1000)*100,999),_xlpm.kz,IF(OR(DG204=1,NOT(ISNUMBER(DQ204)),_xlpm.L_=0,_xlpm.inn=0),1,IFERROR(--(c_min*(Uн_лин*1000/SQRT(3))/(DQ204+2*ρкз_Cu*_xlpm.L_/_xlpm.sz)&gt;=GY204*_xlpm.inn),0)),_xlpm.ok,IFERROR((_xlpm.sz&gt;=_xlpm.smin)*(_xlpm.t_&gt;=_xlpm.inn)*IF(_xlpm.L_&gt;0,(_xlpm.du_+DP204&lt;=DV204+0.00001),1)*_xlpm.kz,0),_xlpm.r_,_xlfn._xlws.FILTER(_xlpm.sz,_xlpm.ok,"не подобрано"),INDEX(_xlpm.r_,1)))</f>
        <v>1.5</v>
      </c>
      <c r="DX204">
        <f t="shared" si="417"/>
        <v>2.5</v>
      </c>
      <c r="DY204" cm="1">
        <f t="array" ref="DY204">IF(OR(B204="",BT204="",DM204&lt;&gt;1),"",_xlfn.LET(_xlpm.sz,Iдоп_S,_xlpm.t_,CHOOSE(DL204,Iдоп_1ж,Iдоп_2ж,Iдоп_3ж)*DJ204*DK204,_xlpm.ok,IFERROR((_xlpm.sz&gt;=MAX(1.5,BW204))*(_xlpm.t_&gt;=N(DD204)),0),_xlpm.r_,_xlfn._xlws.FILTER(_xlpm.sz,_xlpm.ok,""),INDEX(_xlpm.r_,1)))</f>
        <v>1.5</v>
      </c>
      <c r="DZ204" s="6" cm="1">
        <f t="array" ref="DZ204">IFERROR(ROUNDUP(N(DT204)*(_xlfn.XLOOKUP(DY204,INDEX(Кабель_сопротивление,0,1),INDEX(Кабель_сопротивление,0,3))*N(Q204)/DY204*N(BY204)+_xlfn.XLOOKUP(DY204,INDEX(Кабель_сопротивление,0,1),INDEX(Кабель_сопротивление,0,2))*N(Q204)*N(DU204)/1000)*N(P204)/((Uн_лин/SQRT(3))*1000)*100,2),"")</f>
        <v>0.09</v>
      </c>
      <c r="EA204">
        <f>IFERROR(2*ρкз_Cu*N(Q204)/DY204,"")</f>
        <v>0.87666666666666659</v>
      </c>
      <c r="EB204">
        <f>IFERROR(VLOOKUP(DX204,Кабель_сопротивление,3,FALSE),"")</f>
        <v>2.2499999999999999E-2</v>
      </c>
      <c r="EC204">
        <f>IFERROR(VLOOKUP(DX204,Кабель_сопротивление,2,FALSE),"")</f>
        <v>0.1</v>
      </c>
      <c r="ED204">
        <f t="shared" si="418"/>
        <v>17</v>
      </c>
      <c r="EE204">
        <f t="shared" si="419"/>
        <v>0</v>
      </c>
      <c r="EF204">
        <f t="shared" si="420"/>
        <v>0.11733732615590949</v>
      </c>
      <c r="EG204" s="6">
        <f>IFERROR(ROUNDUP(EF204/((Uн_лин/SQRT(3))*1000)*100,2),"")</f>
        <v>6.0000000000000005E-2</v>
      </c>
      <c r="EH204" t="str">
        <f>IFERROR(VLOOKUP(BT204,Кабель_обозначение,2,FALSE),"")</f>
        <v>ВВГнг(А)-LS</v>
      </c>
      <c r="EI204" t="str">
        <f t="shared" si="421"/>
        <v>ВВГнг(А)-LS (3х2,5)</v>
      </c>
      <c r="EJ204" t="str">
        <f t="shared" si="422"/>
        <v>ВВГнг(А)-LS (3х2,5)
L=25-0,06%</v>
      </c>
      <c r="EK204">
        <f>IFERROR(2*ρкз_Cu*Q204/DX204,"")</f>
        <v>0.52600000000000002</v>
      </c>
      <c r="EL204">
        <f t="shared" si="423"/>
        <v>0.17500000000000002</v>
      </c>
      <c r="EM204" s="6" t="str">
        <f>IFERROR(IF(OR(B204="",NOT(ISNUMBER(DX204)),N(Q204)=0),"",_xlfn.XLOOKUP(A204,Щиты[Щит],Щиты[Zпетли на шинах, Ом])+EK204),"")</f>
        <v/>
      </c>
      <c r="EN204" s="6" t="str">
        <f>IF(ISNUMBER(EM204),c_min*(Uн_лин*1000/SQRT(3))/EM204,"")</f>
        <v/>
      </c>
      <c r="EO204" s="6" t="str">
        <f>IFERROR(IF(OR(B204="",NOT(ISNUMBER(DX204))),"",1.05*(Uн_лин*1000/SQRT(3))/(_xlfn.XLOOKUP(A204,Щиты[Щит],Щиты[Zmax на шинах, Ом])+EL204)/1000),"")</f>
        <v/>
      </c>
      <c r="EP204" s="6" t="str">
        <f>IF(B204="","",IF(ISNUMBER(Y204),"Сил",IF(IFERROR(_xlfn.XLOOKUP(AX204,Коды_код,Коды_группа)&amp;"","")="","Быт",_xlfn.XLOOKUP(AX204,Коды_код,Коды_группа)&amp;"")))</f>
        <v>Быт</v>
      </c>
      <c r="EQ204" s="6" t="str">
        <f t="shared" si="424"/>
        <v>Быт</v>
      </c>
      <c r="ER204" s="6">
        <f>IF(EQ204="Щит","щит",IF(EQ204="","",IF(EQ204="Быт",IFERROR(_xlfn.XLOOKUP(A204,Щиты[Щит],Щиты[Кс быт]),1),IF(EQ204="Сил",IF(ISNUMBER(Y204),Y204,IF(Методика="нормы 2026",IFERROR(_xlfn.XLOOKUP(A204,Щиты[Щит],Щиты[Кс силовых (табл. 7.5)]),1),1)),IF(OR(EQ204="Пост",EQ204="Отоп"),1,IF(EQ204="ВНГ",0.7,0))))))</f>
        <v>0.79799999999999993</v>
      </c>
      <c r="ES204">
        <f t="shared" si="425"/>
        <v>1</v>
      </c>
      <c r="ET204">
        <f t="shared" si="426"/>
        <v>0.06</v>
      </c>
      <c r="EU204">
        <f t="shared" si="427"/>
        <v>0.06</v>
      </c>
      <c r="EV204">
        <f t="shared" si="428"/>
        <v>0</v>
      </c>
      <c r="EW204">
        <f t="shared" si="429"/>
        <v>0</v>
      </c>
      <c r="EX204">
        <f t="shared" si="430"/>
        <v>0</v>
      </c>
      <c r="EY204">
        <f t="shared" si="431"/>
        <v>0</v>
      </c>
      <c r="EZ204">
        <f t="shared" si="432"/>
        <v>0.06</v>
      </c>
      <c r="FA204">
        <f t="shared" si="433"/>
        <v>5.6999999999999995E-2</v>
      </c>
      <c r="FB204">
        <f t="shared" si="434"/>
        <v>0.06</v>
      </c>
      <c r="FC204" t="str">
        <f t="shared" si="435"/>
        <v>L1</v>
      </c>
      <c r="FD204" t="str">
        <f>IF(B204="","",IF(CA204=0,IF(AW204=1,"",FF203),IF(OR(N(CV204)&gt;=3,N(BR204)&gt;=3),"L1,L2,L3",IFERROR(_xlfn.TEXTBEFORE(_xlfn.TEXTAFTER(_xlfn.XLOOKUP(A204,Щиты[Щит],Щиты[_фазы авто]),";"&amp;AW204&amp;":"),";"),"L1"))))</f>
        <v>L1</v>
      </c>
      <c r="FE204" t="str">
        <f t="shared" si="436"/>
        <v>L1</v>
      </c>
      <c r="FF204" t="str">
        <f t="shared" si="437"/>
        <v>L1</v>
      </c>
      <c r="FG204" cm="1">
        <f t="array" ref="FG204">IFERROR(IF(BX204=2,_xlfn.IFS(BR204=3,VLOOKUP(BN204,Справочная_двигатели,3,FALSE),BR204=1,VLOOKUP(BN204,Справочная_двигатели,5,TRUE)),0),0)</f>
        <v>0</v>
      </c>
      <c r="FH204">
        <f>IFERROR(IF(BX204=3,VLOOKUP(BN204,Справочная_ЛЭД,2,TRUE),0),0)</f>
        <v>0</v>
      </c>
      <c r="FI204" s="6">
        <f t="shared" si="438"/>
        <v>0</v>
      </c>
      <c r="FJ204" t="str" cm="1">
        <f t="array" ref="FJ204">IF(B204="","",IFERROR(INDEX({"I особая","I","II","III"},MATCH(TRIM(AC204&amp;""),{"I особая","I","II","III"},0)),"III"))</f>
        <v>II</v>
      </c>
      <c r="FK204" t="str">
        <f>IF(B204="","",IF(TRIM(AD204&amp;"")&lt;&gt;"",IF(LOWER(TRIM(AD204&amp;""))="да","да","нет"),IF(IFERROR(_xlfn.XLOOKUP(AX204,Коды_код,Коды_пожарная),"")="да","да","нет")))</f>
        <v>нет</v>
      </c>
      <c r="FL204" t="str">
        <f t="shared" si="439"/>
        <v/>
      </c>
      <c r="FM204" t="str">
        <f t="shared" si="440"/>
        <v>основная</v>
      </c>
      <c r="FN204">
        <f t="shared" si="441"/>
        <v>1</v>
      </c>
      <c r="FO204" t="str" cm="1">
        <f t="array" ref="FO204">IF(B204="","",_xlfn.LET(_xlpm.t,IFERROR(_xlfn.XLOOKUP(1,(Шины[Шина]=FM204)*(((Шины[Щит]=A204)+(Шины[Щит]=""))&gt;0),Шины[Тип]),"")&amp;"",IF(_xlpm.t&lt;&gt;"",_xlpm.t,IF(ISNUMBER(SEARCH("ИБП",FM204)),"ИБП",IF(ISNUMBER(SEARCH("ДГУ",FM204)),"ДГУ","Ввод "&amp;FN204)))))</f>
        <v>Ввод 1</v>
      </c>
      <c r="FP204" t="str">
        <f t="shared" si="442"/>
        <v>Ввод 1</v>
      </c>
      <c r="FQ204" t="str">
        <f>IF(B204="","",IF(OR(FO204="ИБП",FO204="ДГУ"),"I особая",IF(FO204="Одиночная","III",_xlfn.XLOOKUP(A204,Щиты[Щит],Щиты[Категория шины «Ввод»],"III"))))</f>
        <v>II</v>
      </c>
      <c r="FR204">
        <f>IF(B204="",0,IFERROR(MATCH(FJ204,{"III","II","I","I особая"},0),1))</f>
        <v>2</v>
      </c>
      <c r="FS204">
        <f t="shared" si="443"/>
        <v>2</v>
      </c>
      <c r="FT204" t="str">
        <f>IF(B204="","",IF(FR204&gt;IFERROR(MATCH(FQ204,{"III","II","I","I особая"},0),1),"НЕ ОБЕСПЕЧЕНА","ОК"))</f>
        <v>ОК</v>
      </c>
      <c r="FU204" t="str">
        <f>IF(A204="","",_xlfn.XLOOKUP(A204,Щиты[Щит],Щиты[Путь],""))</f>
        <v>|ГРЩ-ЖД|ЩР-01|</v>
      </c>
      <c r="FV204" t="str">
        <f>IF(B204="","",IF(AE204&lt;&gt;"",AE204,IF(IFERROR(_xlfn.XLOOKUP(AX204,Коды_код,Коды_вид)&amp;"","")="","Прочее",_xlfn.XLOOKUP(AX204,Коды_код,Коды_вид)&amp;"")))</f>
        <v>Розеточная сеть и бытовые приборы</v>
      </c>
      <c r="FW204">
        <f>IF(BH204="","",INT((BH204-1)/Столбцов_на_лист)+1)</f>
        <v>3</v>
      </c>
      <c r="FX204" t="str">
        <f t="shared" si="444"/>
        <v>ВВГнг(А)-LS (3х2,5) L=25-0,06%</v>
      </c>
      <c r="FY204">
        <f t="shared" si="445"/>
        <v>0.06</v>
      </c>
      <c r="FZ204">
        <f t="shared" si="446"/>
        <v>0.28000000000000003</v>
      </c>
      <c r="GA204">
        <f t="shared" si="447"/>
        <v>1</v>
      </c>
      <c r="GB204">
        <f t="shared" si="448"/>
        <v>0</v>
      </c>
      <c r="GC204">
        <f t="shared" si="449"/>
        <v>1</v>
      </c>
      <c r="GD204">
        <f>IF(BH204="","",IF(AND(CA204=1,GC204=1),COUNTIFS(A$3:A204,A204,CA$3:CA204,1,GC$3:GC204,1),IF(OR(OR(AW204=1,A204&lt;&gt;A203),AF204="вручную",GC204=0),"",IF(AW204=1,"",GE203))))</f>
        <v>20</v>
      </c>
      <c r="GE204">
        <f t="shared" si="450"/>
        <v>20</v>
      </c>
      <c r="GF204">
        <f>IF(B204="","",IFERROR(LOOKUP(INDEX(CHOOSE(DL204,Iдоп_1ж,Iдоп_2ж,Iдоп_3ж),MATCH(DX204,Iдоп_S,0))*DJ204*DK204,{6,10,16,20,25,32,40,50,63,80,100,125,160,200,250,315,400,500,630}),""))</f>
        <v>25</v>
      </c>
      <c r="GG204" t="str">
        <f t="shared" si="451"/>
        <v>QFD20</v>
      </c>
      <c r="GH204" t="str">
        <f t="shared" si="452"/>
        <v>QFD20</v>
      </c>
      <c r="GI204" t="str">
        <f t="shared" si="453"/>
        <v/>
      </c>
      <c r="GJ204">
        <f t="shared" si="454"/>
        <v>0</v>
      </c>
      <c r="GK204" t="str">
        <f>IF(OR(AG204="",AG204="-"),"",IFERROR(VLOOKUP(AG204,Модули_спр,2,FALSE),"R"))</f>
        <v/>
      </c>
      <c r="GL204" t="str">
        <f>IF(GK204="","",GK204&amp;"."&amp;COUNTIFS(A$3:A204,A204,GK$3:GK204,GK204))</f>
        <v/>
      </c>
      <c r="GM204" t="str">
        <f t="shared" si="455"/>
        <v/>
      </c>
      <c r="GN204" t="str">
        <f t="shared" si="456"/>
        <v/>
      </c>
      <c r="GO204" t="str">
        <f t="shared" si="457"/>
        <v/>
      </c>
      <c r="GP204" t="str">
        <f t="shared" si="458"/>
        <v/>
      </c>
      <c r="GQ204">
        <f t="shared" si="459"/>
        <v>1</v>
      </c>
      <c r="GR204" t="str">
        <f>IF(GQ204=1,"XT"&amp;COUNTIFS(A$3:A204,A204,GQ$3:GQ204,1),"")</f>
        <v>XT20</v>
      </c>
      <c r="GS204" t="str">
        <f t="shared" si="460"/>
        <v/>
      </c>
      <c r="GT204" t="str">
        <f t="shared" si="461"/>
        <v>QFD20</v>
      </c>
      <c r="GU204" t="str">
        <f t="shared" si="462"/>
        <v/>
      </c>
      <c r="GV204" t="str">
        <f t="shared" si="463"/>
        <v>ok</v>
      </c>
      <c r="GW204" t="str">
        <f>IF(OR(GO204="",GM204=""),"",IF(GO204&gt;IFERROR(VLOOKUP(GN204,Модули_спр,3,FALSE),99),"ЛИШНИЙ КАНАЛ",IF(AND(AH204&lt;&gt;"=",COUNTIFS(Линии[_модуль гр.],GM204,Линии[Канал (итог)],GO204,Линии[Канал],"&lt;&gt;=",Линии[Щит],A204)&gt;1),"ДУБЛЬ КАНАЛА","")))</f>
        <v/>
      </c>
      <c r="GX204" s="6" t="str">
        <f t="shared" si="464"/>
        <v/>
      </c>
      <c r="GY204">
        <f t="shared" si="465"/>
        <v>10</v>
      </c>
      <c r="GZ204" t="str">
        <f t="shared" si="466"/>
        <v/>
      </c>
      <c r="HA204" t="str">
        <f>IF(AND(B204="",GT204=""),"",_xlfn.TEXTJOIN("; ",TRUE,IF(AND(B204&lt;&gt;"",FE204=""),"нет фазы",""),IF(AND(B204&lt;&gt;"",N(FY204)=0,EQ204&lt;&gt;"Нет"),"нет мощности",""),IF(AND(GS204&lt;&gt;"",COUNTIFS(Линии[Щит],A204,Линии[Клемма (итог)],GS204)&gt;1),"дубль клеммы "&amp;GS204,""),IF(AND(GV204&lt;&gt;"",GV204&lt;&gt;"ok"),GV204,""),IF(GW204&lt;&gt;"",GW204,""),IF(AND(N(BV204)&gt;=4,N(BR204)=1),BV204&amp;" жил на 1 фазе",""),IF(AND(AX204="R",CA204=1,OR(N(CK204)=0,N(CK204)&gt;30)),"розетка без дифзащиты до 30 мА",""),IFERROR(IF(AND(ISNUMBER(R204),R204&gt;DV204),"потери "&amp;FIXED(R204,1)&amp;" % &gt; "&amp;DV204&amp;" %",""),""),IFERROR(IF(LEFT(GZ204,4)="мало","Iкз мало — отключение &gt; 0,4 с",""),""),IF(AND(B204&lt;&gt;"",BH204=""),"не на схеме",""),IF(AND(CA204=0,B204&lt;&gt;"",FE204&lt;&gt;"",IF(AW204=1,"",FF203)&lt;&gt;"",FE204&lt;&gt;IF(AW204=1,"",FF203)),"фаза не как у автомата группы ("&amp;IF(AW204=1,"",FF203)&amp;")","")))</f>
        <v/>
      </c>
      <c r="HB204" s="6">
        <f>IF(OR(CA204=0,DA204=""),"",_xlfn.LET(_xlpm.t,IFERROR(_xlfn.XLOOKUP(DA204,Каталог!$U$4:$U$500,Каталог!$G$4:$G$500),""),_xlpm.k,SEARCH("кА",_xlpm.t),IFERROR(--TRIM(RIGHT(SUBSTITUTE(MID(_xlpm.t,MAX(1,_xlpm.k-4),_xlpm.k-MAX(1,_xlpm.k-4))," ",REPT(" ",9)),5)),"")))</f>
        <v>6</v>
      </c>
      <c r="HC204" t="str">
        <f>IF(OR(HB204="",CA204=0),"",IF(_xlfn.XLOOKUP(A204,Щиты[Щит],Щиты[Iкз max на шинах, кА],"")="","",IF(HB204&lt;_xlfn.XLOOKUP(A204,Щиты[Щит],Щиты[Iкз max на шинах, кА]),"Icu "&amp;HB204&amp;" кА &lt; Iкз max","ok")))</f>
        <v/>
      </c>
      <c r="HD204" t="str">
        <f t="shared" si="467"/>
        <v/>
      </c>
      <c r="HE204" t="str">
        <f t="shared" si="468"/>
        <v>QFD20</v>
      </c>
      <c r="HF204" t="str">
        <f t="shared" si="469"/>
        <v>QFD20|кабель ВВГнг(А)-LS (3х2,5) → Розеточная группа, пом. 011</v>
      </c>
      <c r="HG204" t="str" cm="1">
        <f t="array" ref="HG204">IF(HF204="","",_xlfn.LET(_xlpm.nd,_xlfn.TEXTSPLIT(HF204,"|"),IF(COLUMNS(_xlpm.nd)&gt;1,A204&amp;"¦"&amp;INDEX(_xlpm.nd,1)&amp;"¦"&amp;INDEX(_xlpm.nd,2),"")))</f>
        <v>ЩР-01¦QFD20¦кабель ВВГнг(А)-LS (3х2,5) → Розеточная группа, пом. 011</v>
      </c>
      <c r="HH204" t="str">
        <f t="shared" si="470"/>
        <v>R.0.011.1A¦Розеточная группа, пом. 011</v>
      </c>
      <c r="HI204" t="str" cm="1">
        <f t="array" ref="HI204">IF(HF204="","",_xlfn.LET(_xlpm.nd,_xlfn.TEXTSPLIT(HF204,"|"),IF(COLUMNS(_xlpm.nd)&gt;2,A204&amp;"¦"&amp;INDEX(_xlpm.nd,2)&amp;"¦"&amp;INDEX(_xlpm.nd,3),"")))</f>
        <v/>
      </c>
      <c r="HJ204" t="str">
        <f t="shared" si="471"/>
        <v/>
      </c>
      <c r="HK204" t="str" cm="1">
        <f t="array" ref="HK204">IF(HF204="","",_xlfn.LET(_xlpm.nd,_xlfn.TEXTSPLIT(HF204,"|"),IF(COLUMNS(_xlpm.nd)&gt;3,A204&amp;"¦"&amp;INDEX(_xlpm.nd,3)&amp;"¦"&amp;INDEX(_xlpm.nd,4),"")))</f>
        <v/>
      </c>
      <c r="HL204" t="str">
        <f t="shared" si="472"/>
        <v/>
      </c>
      <c r="HM204" t="str" cm="1">
        <f t="array" ref="HM204">IF(HF204="","",_xlfn.LET(_xlpm.nd,_xlfn.TEXTSPLIT(HF204,"|"),IF(COLUMNS(_xlpm.nd)&gt;4,A204&amp;"¦"&amp;INDEX(_xlpm.nd,4)&amp;"¦"&amp;INDEX(_xlpm.nd,5),"")))</f>
        <v/>
      </c>
      <c r="HN204" t="str">
        <f t="shared" si="473"/>
        <v/>
      </c>
      <c r="HO204" t="str" cm="1">
        <f t="array" ref="HO204">IF(HF204="","",_xlfn.LET(_xlpm.nd,_xlfn.TEXTSPLIT(HF204,"|"),IF(COLUMNS(_xlpm.nd)&gt;5,A204&amp;"¦"&amp;INDEX(_xlpm.nd,5)&amp;"¦"&amp;INDEX(_xlpm.nd,6),"")))</f>
        <v/>
      </c>
      <c r="HP204" t="str">
        <f t="shared" si="474"/>
        <v/>
      </c>
      <c r="HQ204" t="str" cm="1">
        <f t="array" ref="HQ204">IF(HF204="","",_xlfn.LET(_xlpm.nd,_xlfn.TEXTSPLIT(HF204,"|"),IF(COLUMNS(_xlpm.nd)&gt;6,A204&amp;"¦"&amp;INDEX(_xlpm.nd,6)&amp;"¦"&amp;INDEX(_xlpm.nd,7),"")))</f>
        <v/>
      </c>
      <c r="HR204" t="str">
        <f t="shared" si="475"/>
        <v/>
      </c>
      <c r="HS204" t="str">
        <f t="shared" si="476"/>
        <v/>
      </c>
      <c r="HT204" t="str">
        <f t="shared" si="477"/>
        <v>QFD20</v>
      </c>
      <c r="HU204">
        <f t="shared" si="478"/>
        <v>0</v>
      </c>
      <c r="HV204">
        <f t="shared" si="479"/>
        <v>1</v>
      </c>
      <c r="HW204" t="str">
        <f t="shared" si="480"/>
        <v/>
      </c>
      <c r="HX204" t="str">
        <f t="shared" si="481"/>
        <v/>
      </c>
      <c r="HY204" t="str">
        <f t="shared" si="482"/>
        <v/>
      </c>
      <c r="HZ204" t="str">
        <f t="shared" si="483"/>
        <v/>
      </c>
      <c r="IA204" t="str">
        <f>IF(B204="","",IFERROR(VLOOKUP(B204,УГО_спр,2,FALSE),IFERROR(VLOOKUP(AX204,УГО_спр,2,FALSE),IFERROR(VLOOKUP(LEFT(AX204,2),УГО_спр,2,FALSE),""))))</f>
        <v>Розетка</v>
      </c>
      <c r="IB204" t="str">
        <f>IF(B204="","",IF(OR(IA204="",IA204=0),"BOX",IFERROR(IF(VLOOKUP(IA204,УГО_блоки,3,FALSE)&amp;""&lt;&gt;"",VLOOKUP(IA204,УГО_блоки,3,FALSE),VLOOKUP(IA204,УГО_блоки,2,FALSE)),IA204)))</f>
        <v>SOCKET</v>
      </c>
      <c r="IC204">
        <f t="shared" si="484"/>
        <v>1</v>
      </c>
      <c r="ID204" t="str">
        <f>IF(DA204="","",IF(COUNTIF(DA$3:DA204,DA204)=1,MAX(ID$2:ID203)+1,""))</f>
        <v/>
      </c>
      <c r="IE204" t="str">
        <f>IF(CO204="","",IF(COUNTIF(CO$3:CO204,CO204)+COUNTIF(CP$2:CP203,CO204)+COUNTIF(CQ$2:CQ203,CO204)=1,MAX(IE$2:IG203)+1,""))</f>
        <v/>
      </c>
      <c r="IF204" t="str">
        <f>IF(CP204="","",IF(COUNTIF(CO$3:CO204,CP204)+COUNTIF(CP$3:CP204,CP204)+COUNTIF(CQ$2:CQ203,CP204)=1,MAX(IE$2:IG203,IE204)+1,""))</f>
        <v/>
      </c>
      <c r="IG204" t="str">
        <f>IF(CQ204="","",IF(COUNTIF(CO$3:CO204,CQ204)+COUNTIF(CP$3:CP204,CQ204)+COUNTIF(CQ$3:CQ204,CQ204)=1,MAX(IE$2:IG203,IE204,IF204)+1,""))</f>
        <v/>
      </c>
      <c r="IH204" t="str">
        <f t="shared" si="485"/>
        <v>3х2,5</v>
      </c>
      <c r="II204" t="str">
        <f>IF(IH204="","",IF(COUNTIF(IH$3:IH204,IH204)=1,MAX(II$2:II203)+1,""))</f>
        <v/>
      </c>
      <c r="IJ204" t="str">
        <f>IF(GL204="","",COUNTIF(GL$3:GL204,"?*"))</f>
        <v/>
      </c>
      <c r="IK204" t="str">
        <f>IF(OR(GL204="",GN204=""),"",IF(COUNTIFS(GL$3:GL204,"?*",GN$3:GN204,GN204)=1,MAX(IK$2:IK203)+1,""))</f>
        <v/>
      </c>
      <c r="IL204">
        <f t="shared" si="486"/>
        <v>0</v>
      </c>
      <c r="IM204">
        <f>IF(B204="","",COUNTIF(B$3:B204,"?*"))</f>
        <v>202</v>
      </c>
      <c r="IN204">
        <f>IF(GQ204&lt;&gt;1,0,_xlfn.LET(_xlpm.k,MAX(IFERROR(--VLOOKUP(B204,УГО_спр,5,FALSE),0),IFERROR(--VLOOKUP(AX204,УГО_спр,5,FALSE),0),IFERROR(--VLOOKUP(LEFT(AX204,2),УГО_спр,5,FALSE),0)),IF(_xlpm.k&gt;0,_xlpm.k,IF(IFERROR(--LEFT(SUBSTITUTE(IH204,"x","х"),FIND("х",SUBSTITUTE(IH204,"x","х"))-1),3)&gt;3,Каталог!$S$9,1))))</f>
        <v>1</v>
      </c>
      <c r="IO204">
        <f t="shared" si="487"/>
        <v>0</v>
      </c>
      <c r="IP204" t="str">
        <f t="shared" si="488"/>
        <v>авто</v>
      </c>
      <c r="IQ204">
        <f t="shared" si="489"/>
        <v>30</v>
      </c>
      <c r="IR204">
        <f t="shared" si="490"/>
        <v>1</v>
      </c>
      <c r="IS204">
        <f t="shared" si="491"/>
        <v>1</v>
      </c>
    </row>
    <row r="205" spans="1:253" x14ac:dyDescent="0.3">
      <c r="A205" t="s">
        <v>757</v>
      </c>
      <c r="B205" t="s">
        <v>1471</v>
      </c>
      <c r="C205" t="str">
        <f>Линии[[#This Row],[_авто наименование]]</f>
        <v>Розеточная группа, пом. 011Б</v>
      </c>
      <c r="D205">
        <v>1</v>
      </c>
      <c r="E205">
        <v>0.06</v>
      </c>
      <c r="G205" t="str">
        <f>Линии[[#This Row],[_авто автомат]]</f>
        <v>2P С16А 30мА</v>
      </c>
      <c r="H205">
        <f>Линии[[#This Row],[_авто утечка]]</f>
        <v>30</v>
      </c>
      <c r="I205" t="str">
        <f>Линии[[#This Row],[_авто управление]]</f>
        <v/>
      </c>
      <c r="J205" t="str">
        <f>Линии[[#This Row],[_авто аппараты]]</f>
        <v/>
      </c>
      <c r="K205">
        <v>2.5</v>
      </c>
      <c r="L205">
        <v>28</v>
      </c>
      <c r="M205">
        <v>2</v>
      </c>
      <c r="N205" t="s">
        <v>486</v>
      </c>
      <c r="O205" t="str">
        <f t="shared" si="369"/>
        <v/>
      </c>
      <c r="P205" s="6" cm="1">
        <f t="array" ref="P205">IF(B205="","",IF(BC205&lt;&gt;"",IFERROR(_xlfn.XLOOKUP(BC205,Щиты[Щит],Щиты[Iр, А]),""),IF(BK205=1,IFERROR(_xlfn.XLOOKUP(A205,Щиты[Щит],Щиты[Iр, А]),""),IFERROR(_xlfn.IFS(BR205=1,BN205/((Uн_лин/SQRT(3))*BY205),BR205=3,BN205/(SQRT(3)*Uн_лин*BY205)),""))))</f>
        <v>0.27348170645824377</v>
      </c>
      <c r="Q205" s="7">
        <f>IF(B205="","",IFERROR(IF(VLOOKUP(AX205,Потребители_обозначение,4,FALSE)=1,VLOOKUP(AX205,Потребители_обозначение,3,FALSE)*(D205*2-1)+DS205+VLOOKUP(AZ205,Этаж_обозначение,3,FALSE)+VLOOKUP(AZ205,Этаж_обозначение,4,FALSE),VLOOKUP(AX205,Потребители_обозначение,3,FALSE)*(D205*2-1)+DS205),DS205))</f>
        <v>31</v>
      </c>
      <c r="R205" s="6">
        <f t="shared" si="370"/>
        <v>0.5</v>
      </c>
      <c r="S205" t="str">
        <f t="shared" si="371"/>
        <v>ВВГнг(А)-LS (3х2,5)</v>
      </c>
      <c r="T205" t="str">
        <f>IF(BH205="","",IF(BI205="вводной узел","узел ","")&amp;"л."&amp;(INT((BH205-1)/Столбцов_на_лист)+1)&amp;" / "&amp;(MOD(BH205-1,Столбцов_на_лист)+1))</f>
        <v>л.3 / 6</v>
      </c>
      <c r="V205">
        <v>1</v>
      </c>
      <c r="W205">
        <v>230</v>
      </c>
      <c r="X205" t="s">
        <v>564</v>
      </c>
      <c r="AC205" t="s">
        <v>815</v>
      </c>
      <c r="AE205" t="s">
        <v>563</v>
      </c>
      <c r="AI205">
        <v>40</v>
      </c>
      <c r="AJ205" t="s">
        <v>11</v>
      </c>
      <c r="AK205">
        <v>3</v>
      </c>
      <c r="AM205">
        <v>17</v>
      </c>
      <c r="AN205">
        <v>14</v>
      </c>
      <c r="AO205">
        <v>0</v>
      </c>
      <c r="AW205" cm="1">
        <f t="array" ref="AW205">ROW()-ROW(Линии[#Headers])</f>
        <v>203</v>
      </c>
      <c r="AX205" s="6" t="str">
        <f t="shared" si="372"/>
        <v>R</v>
      </c>
      <c r="AY205" t="str">
        <f t="shared" si="373"/>
        <v>0.011Б.1</v>
      </c>
      <c r="AZ205" t="str">
        <f t="shared" si="374"/>
        <v>0</v>
      </c>
      <c r="BA205" t="str">
        <f t="shared" si="375"/>
        <v>011Б.1</v>
      </c>
      <c r="BB205" t="str">
        <f t="shared" si="376"/>
        <v>011Б</v>
      </c>
      <c r="BC205" t="str">
        <f>IF(U205&lt;&gt;"",U205,IF(AND(B205&lt;&gt;"",B205&lt;&gt;A205,ISNUMBER(_xlfn.XMATCH(B205,Щиты[Щит]))),B205,""))</f>
        <v/>
      </c>
      <c r="BD205" t="str" cm="1">
        <f t="array" ref="BD205">IF(B205="","",IF(BC205&lt;&gt;"","Щит "&amp;BC205,_xlfn.LET(_xlpm.nm,IFERROR(_xlfn.XLOOKUP(AX205,Коды_код,Коды_имя)&amp;"",""),_xlpm.md,IFERROR(N(_xlfn.XLOOKUP(AX205,Коды_код,Коды_режим)),1),_xlpm.ex,IF(Имя_режим="по экспликации",IFERROR(_xlfn.XLOOKUP(AZ205&amp;"|"&amp;BB205,Экспликация[Этаж]&amp;"|"&amp;Экспликация[Помещение],Экспликация[Название])&amp;"",""),""),_xlpm.rm,IF(BB205="","",IF(_xlpm.ex&lt;&gt;"",". "&amp;_xlpm.ex&amp;IF(Имя_пом="нет"," ("&amp;BB205&amp;")"," (пом. "&amp;BB205&amp;")"),IF(Имя_пом="нет"," ",", пом. ")&amp;BB205)),IF(_xlpm.nm="","",IF(_xlpm.md=2,_xlpm.nm&amp;" шлейф "&amp;AZ205,_xlpm.nm&amp;_xlpm.rm)))))</f>
        <v>Розеточная группа, пом. 011Б</v>
      </c>
      <c r="BE205" t="str">
        <f t="shared" si="377"/>
        <v>Розеточная группа, пом. 011Б</v>
      </c>
      <c r="BF205">
        <f>IFERROR(_xlfn.XMATCH(A205,Щиты[Щит]),0)</f>
        <v>9</v>
      </c>
      <c r="BG205">
        <f>_xlfn.LET(_xlpm.k,IFERROR(_xlfn.XLOOKUP(A205,Щиты[Щит],Щиты[Листов под вводной узел]),""),IF(_xlpm.k="",1,N(_xlpm.k))*Столбцов_на_лист)</f>
        <v>17</v>
      </c>
      <c r="BH205">
        <f t="shared" si="378"/>
        <v>40</v>
      </c>
      <c r="BI205" t="str">
        <f t="shared" si="379"/>
        <v>линии</v>
      </c>
      <c r="BJ205" s="6">
        <f>IFERROR(N(_xlfn.XLOOKUP(AX205,Коды_код,Коды_квт)),0)</f>
        <v>0</v>
      </c>
      <c r="BK205">
        <f t="shared" si="380"/>
        <v>0</v>
      </c>
      <c r="BL205" t="str">
        <f>IF(B205="","",IF(BC205&lt;&gt;"",IFERROR(_xlfn.XLOOKUP(BC205,Щиты[Щит],Щиты[Руст, кВт]),0),IF(BK205=1,IFERROR(_xlfn.XLOOKUP(A205,Щиты[Щит],Щиты[Руст, кВт]),0),IF(BJ205&gt;0,ROUND(BJ205*MAX(1,N(D205)),3),""))))</f>
        <v/>
      </c>
      <c r="BM205">
        <f t="shared" si="381"/>
        <v>0.06</v>
      </c>
      <c r="BN205" s="6">
        <f>IF(B205="","",IF(BC205&lt;&gt;"",IFERROR(_xlfn.XLOOKUP(BC205,Щиты[Щит],Щиты[Руст, кВт]),0),N(BM205)))</f>
        <v>0.06</v>
      </c>
      <c r="BO205" t="str">
        <f>IF(B205="","",IFERROR(IF(VLOOKUP(AX205,Потребители_обозначение,8,FALSE)=0,"",VLOOKUP(AX205,Потребители_обозначение,8,FALSE)),""))</f>
        <v/>
      </c>
      <c r="BP205">
        <f t="shared" si="382"/>
        <v>230</v>
      </c>
      <c r="BQ205">
        <f>IF(B205="","",IF(BC205&lt;&gt;"",3,IFERROR(IF(N(VLOOKUP(AX205,Потребители_обозначение,9,FALSE))=0,1,VLOOKUP(AX205,Потребители_обозначение,9,FALSE)),1)))</f>
        <v>1</v>
      </c>
      <c r="BR205">
        <f t="shared" si="383"/>
        <v>1</v>
      </c>
      <c r="BS205" t="str">
        <f>IF(B205="","",_xlfn.LET(_xlpm.bc,IFERROR(IF(VLOOKUP(AX205,Потребители_обозначение,6,FALSE)=0,"",VLOOKUP(AX205,Потребители_обозначение,6,FALSE)&amp;""),""),IF(AND(FK205="да",OR(_xlpm.bc="",_xlpm.bc="мс")),Марка_пож,IF(AND(_xlpm.bc="",BC205&lt;&gt;""),"мс",_xlpm.bc))))</f>
        <v/>
      </c>
      <c r="BT205" t="str">
        <f t="shared" si="384"/>
        <v>мс</v>
      </c>
      <c r="BU205">
        <f>IF(B205="","",_xlfn.LET(_xlpm.cc,IFERROR(N(VLOOKUP(AX205,Потребители_обозначение,7,FALSE)),0),IF(_xlpm.cc&gt;0,_xlpm.cc,IF(BT205="","",IF(N(BR205)=3,5,3)))))</f>
        <v>3</v>
      </c>
      <c r="BV205">
        <f t="shared" si="385"/>
        <v>3</v>
      </c>
      <c r="BW205">
        <f>IFERROR(N(VLOOKUP(AX205,Потребители_обозначение,10,FALSE)),0)</f>
        <v>0</v>
      </c>
      <c r="BX205">
        <f>IFERROR(VLOOKUP(AX205,Потребители_обозначение,5,FALSE),0)</f>
        <v>1</v>
      </c>
      <c r="BY205" s="6" cm="1">
        <f t="array" ref="BY205">IF(B205="","",IF(BC205&lt;&gt;"",IFERROR(_xlfn.XLOOKUP(BC205,Щиты[Щит],Щиты[cos φ]),0.95),IF(BK205=1,IFERROR(_xlfn.XLOOKUP(A205,Щиты[Щит],Щиты[cos φ]),0.95),IF(ISNUMBER(Z205),Z205,IFERROR(IF(BX205=2,_xlfn.IFS(BR205=3,VLOOKUP(BN205,Справочная_двигатели,8,FALSE),BR205=1,VLOOKUP(BN205,Справочная_двигатели,10,TRUE)),IF(AND(Методика="нормы 2026",EQ205="Сил"),0.8,0.95)),0.95)))))</f>
        <v>0.95</v>
      </c>
      <c r="BZ205">
        <f t="shared" si="386"/>
        <v>0</v>
      </c>
      <c r="CA205">
        <f t="shared" si="387"/>
        <v>1</v>
      </c>
      <c r="CB205">
        <f t="shared" si="388"/>
        <v>0</v>
      </c>
      <c r="CC205">
        <f t="shared" si="389"/>
        <v>0</v>
      </c>
      <c r="CD205">
        <f t="shared" si="390"/>
        <v>0</v>
      </c>
      <c r="CE205">
        <f t="shared" si="391"/>
        <v>0</v>
      </c>
      <c r="CF205">
        <f t="shared" si="392"/>
        <v>0</v>
      </c>
      <c r="CG205">
        <f>IF(AX205="",0,_xlfn.LET(_xlpm.v,IFERROR(VLOOKUP(B205,УГО_спр,3,FALSE),IFERROR(VLOOKUP(AX205,УГО_спр,3,FALSE),IFERROR(VLOOKUP(LEFT(AX205,2),УГО_спр,3,FALSE),""))),IF(_xlpm.v="да",30,IF(ISNUMBER(_xlpm.v),_xlpm.v,0))))</f>
        <v>30</v>
      </c>
      <c r="CH205">
        <f t="shared" si="393"/>
        <v>30</v>
      </c>
      <c r="CI205" t="str">
        <f>_xlfn.LET(_xlpm.k,IFERROR(_xlfn.XLOOKUP(AX205,Коды_код,Коды_утечка)&amp;"",""),IF(_xlpm.k="","дифавтомат",_xlpm.k))</f>
        <v>дифавтомат</v>
      </c>
      <c r="CJ205">
        <f t="shared" si="394"/>
        <v>30</v>
      </c>
      <c r="CK205">
        <f t="shared" si="395"/>
        <v>30</v>
      </c>
      <c r="CL205">
        <f>IF(B205="",0,IFERROR(--VLOOKUP(B205,УГО_спр,4,FALSE),IFERROR(--VLOOKUP(AX205,УГО_спр,4,FALSE),IFERROR(--VLOOKUP(LEFT(AX205,2),УГО_спр,4,FALSE),0))))</f>
        <v>16</v>
      </c>
      <c r="CM205" t="str">
        <f>IF(B205="","",IFERROR(_xlfn.XLOOKUP(AX205,Коды_код,Коды_апп)&amp;"",""))</f>
        <v/>
      </c>
      <c r="CN205" t="str">
        <f t="shared" si="396"/>
        <v/>
      </c>
      <c r="CO205" t="str" cm="1">
        <f t="array" ref="CO205">IF(TRIM(CN205&amp;"")="","",IFERROR(TRIM(INDEX(_xlfn.TEXTSPLIT(CN205&amp;";;;",";"),1)),""))</f>
        <v/>
      </c>
      <c r="CP205" t="str" cm="1">
        <f t="array" ref="CP205">IF(TRIM(CN205&amp;"")="","",IFERROR(TRIM(INDEX(_xlfn.TEXTSPLIT(CN205&amp;";;;",";"),2)),""))</f>
        <v/>
      </c>
      <c r="CQ205" t="str" cm="1">
        <f t="array" ref="CQ205">IF(TRIM(CN205&amp;"")="","",IFERROR(TRIM(INDEX(_xlfn.TEXTSPLIT(CN205&amp;";;;",";"),3)),""))</f>
        <v/>
      </c>
      <c r="CR205">
        <f t="shared" si="397"/>
        <v>0</v>
      </c>
      <c r="CS205" t="str">
        <f>IF(B205="","",_xlfn.LET(_xlpm.t,LOWER(AV205&amp;""),IF(ISNUMBER(SEARCH("dim",_xlpm.t)),"DIM",IF(ISNUMBER(SEARCH("dali",_xlpm.t)),"DALI",IF(OR(ISNUMBER(SEARCH("relay",_xlpm.t)),ISNUMBER(SEARCH("реле",_xlpm.t))),"Relay",IF(ISNUMBER(SEARCH("кнопк",_xlpm.t)),"",IFERROR(_xlfn.XLOOKUP(AX205,Коды_код,Коды_упр)&amp;"","")))))))</f>
        <v/>
      </c>
      <c r="CT205" t="str">
        <f t="shared" si="398"/>
        <v/>
      </c>
      <c r="CU205">
        <f>IF(B205="","",_xlfn.LET(_xlpm.ig,N(P205)+IF(AF205="вручную",0,N(CB205)),_xlpm.n0,IFERROR(VLOOKUP(_xlpm.ig,Автомат_номиналы,2,TRUE),0),_xlpm.mn,MAX(CL205,IF(AF205="вручную",0,N(CE205))),MAX(_xlpm.n0,_xlpm.mn,IF(CR205=1,Мин_автомат_БП,0))))</f>
        <v>16</v>
      </c>
      <c r="CV205">
        <f t="shared" si="399"/>
        <v>1</v>
      </c>
      <c r="CW205" t="str">
        <f t="shared" si="400"/>
        <v>2P</v>
      </c>
      <c r="CX205" t="str">
        <f>_xlfn.LET(_xlpm.cc,UPPER(TRIM(IFERROR(_xlfn.XLOOKUP(AX205,Коды_код,Коды_хар)&amp;"",""))),IF(OR(_xlpm.cc="B",_xlpm.cc="В"),"B",IF(_xlpm.cc="D","D","С")))</f>
        <v>С</v>
      </c>
      <c r="CY205" t="str">
        <f t="shared" si="401"/>
        <v>2P С16А 30мА</v>
      </c>
      <c r="CZ205" t="str">
        <f t="shared" si="402"/>
        <v>2P С16А 30мА</v>
      </c>
      <c r="DA205" t="str">
        <f t="shared" si="403"/>
        <v>2P С16А 30мА</v>
      </c>
      <c r="DB205" cm="1">
        <f t="array" ref="DB205">IF(DA205="","",_xlfn.LET(_xlpm.t,SUBSTITUTE(SUBSTITUTE(SUBSTITUTE(UPPER(DA205),"С","C"),"А","A"),"В","B"),_xlpm.tk,_xlfn.TEXTSPLIT(_xlpm.t,"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5" t="str">
        <f t="shared" si="404"/>
        <v>ok</v>
      </c>
      <c r="DD205">
        <f t="shared" si="405"/>
        <v>16</v>
      </c>
      <c r="DE205" t="str">
        <f t="shared" si="406"/>
        <v>2P С16А 30мА</v>
      </c>
      <c r="DF205">
        <f t="shared" si="407"/>
        <v>30</v>
      </c>
      <c r="DG205">
        <f t="shared" si="408"/>
        <v>1</v>
      </c>
      <c r="DH205">
        <f t="shared" si="409"/>
        <v>0</v>
      </c>
      <c r="DI205">
        <f t="shared" si="410"/>
        <v>0.27348170645824377</v>
      </c>
      <c r="DJ205">
        <f t="shared" si="411"/>
        <v>1</v>
      </c>
      <c r="DK205">
        <f>IF(ISNUMBER(AL205),AL205,К_прокл)</f>
        <v>1</v>
      </c>
      <c r="DL205">
        <f t="shared" si="412"/>
        <v>2</v>
      </c>
      <c r="DM205">
        <f>IFERROR(N(VLOOKUP(BT205,Кабель_обозначение,3,FALSE)),1)</f>
        <v>1</v>
      </c>
      <c r="DN205">
        <f>IFERROR(N(_xlfn.XLOOKUP(A205,Щиты[Щит],Щиты[ΔU до шин, %])),0)</f>
        <v>0.43</v>
      </c>
      <c r="DO205" t="str">
        <f>IFERROR(_xlfn.XLOOKUP(A205,Щиты[Щит],Щиты[Zпетли на шинах, Ом]),"")</f>
        <v/>
      </c>
      <c r="DP205">
        <f>IFERROR(N(_xlfn.XLOOKUP(A205,Щиты[Щит],Щиты[ΔU до шин (подбор), %])),0)</f>
        <v>0.43</v>
      </c>
      <c r="DQ205" t="str">
        <f>IFERROR(_xlfn.XLOOKUP(A205,Щиты[Щит],Щиты[Zпетли на шинах (подбор), Ом]),"")</f>
        <v/>
      </c>
      <c r="DR205" t="str">
        <f t="shared" si="413"/>
        <v/>
      </c>
      <c r="DS205">
        <f t="shared" si="414"/>
        <v>28</v>
      </c>
      <c r="DT205">
        <f t="shared" si="415"/>
        <v>2</v>
      </c>
      <c r="DU205">
        <f t="shared" si="416"/>
        <v>0.31</v>
      </c>
      <c r="DV205" s="6">
        <f>IF(B205="","",IF(IFERROR(VLOOKUP(AX205,УГО_спр,2,FALSE),"")="Светильник",3,4)+IF(Методика="нормы 2026",MIN(0.5,MAX(0,N(Q205)-100)*0.005),0))</f>
        <v>4</v>
      </c>
      <c r="DW205" cm="1">
        <f t="array" ref="DW205">IF(OR(B205="",BT205="",DM205&lt;&gt;1),"",_xlfn.LET(_xlpm.sz,Iдоп_S,_xlpm.t_,CHOOSE(DL205,Iдоп_1ж,Iдоп_2ж,Iдоп_3ж)*DJ205*DK205,_xlpm.inn,N(DD205),_xlpm.smin,MAX(1.5,BW205),_xlpm.L_,N(Q205)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205)*(_xlpm.rho*_xlpm.L_/_xlpm.sz*N(BY205)+_xlpm.xx*_xlpm.L_*N(DU205)/1000)*N(P205)/((Uн_лин/SQRT(3))*1000)*100,999),_xlpm.kz,IF(OR(DG205=1,NOT(ISNUMBER(DQ205)),_xlpm.L_=0,_xlpm.inn=0),1,IFERROR(--(c_min*(Uн_лин*1000/SQRT(3))/(DQ205+2*ρкз_Cu*_xlpm.L_/_xlpm.sz)&gt;=GY205*_xlpm.inn),0)),_xlpm.ok,IFERROR((_xlpm.sz&gt;=_xlpm.smin)*(_xlpm.t_&gt;=_xlpm.inn)*IF(_xlpm.L_&gt;0,(_xlpm.du_+DP205&lt;=DV205+0.00001),1)*_xlpm.kz,0),_xlpm.r_,_xlfn._xlws.FILTER(_xlpm.sz,_xlpm.ok,"не подобрано"),INDEX(_xlpm.r_,1)))</f>
        <v>1.5</v>
      </c>
      <c r="DX205">
        <f t="shared" si="417"/>
        <v>2.5</v>
      </c>
      <c r="DY205" cm="1">
        <f t="array" ref="DY205">IF(OR(B205="",BT205="",DM205&lt;&gt;1),"",_xlfn.LET(_xlpm.sz,Iдоп_S,_xlpm.t_,CHOOSE(DL205,Iдоп_1ж,Iдоп_2ж,Iдоп_3ж)*DJ205*DK205,_xlpm.ok,IFERROR((_xlpm.sz&gt;=MAX(1.5,BW205))*(_xlpm.t_&gt;=N(DD205)),0),_xlpm.r_,_xlfn._xlws.FILTER(_xlpm.sz,_xlpm.ok,""),INDEX(_xlpm.r_,1)))</f>
        <v>1.5</v>
      </c>
      <c r="DZ205" s="6" cm="1">
        <f t="array" ref="DZ205">IFERROR(ROUNDUP(N(DT205)*(_xlfn.XLOOKUP(DY205,INDEX(Кабель_сопротивление,0,1),INDEX(Кабель_сопротивление,0,3))*N(Q205)/DY205*N(BY205)+_xlfn.XLOOKUP(DY205,INDEX(Кабель_сопротивление,0,1),INDEX(Кабель_сопротивление,0,2))*N(Q205)*N(DU205)/1000)*N(P205)/((Uн_лин/SQRT(3))*1000)*100,2),"")</f>
        <v>0.11</v>
      </c>
      <c r="EA205">
        <f>IFERROR(2*ρкз_Cu*N(Q205)/DY205,"")</f>
        <v>1.0870666666666666</v>
      </c>
      <c r="EB205">
        <f>IFERROR(VLOOKUP(DX205,Кабель_сопротивление,3,FALSE),"")</f>
        <v>2.2499999999999999E-2</v>
      </c>
      <c r="EC205">
        <f>IFERROR(VLOOKUP(DX205,Кабель_сопротивление,2,FALSE),"")</f>
        <v>0.1</v>
      </c>
      <c r="ED205">
        <f t="shared" si="418"/>
        <v>14</v>
      </c>
      <c r="EE205">
        <f t="shared" si="419"/>
        <v>0</v>
      </c>
      <c r="EF205">
        <f t="shared" si="420"/>
        <v>0.14549828443332777</v>
      </c>
      <c r="EG205" s="6">
        <f>IFERROR(ROUNDUP(EF205/((Uн_лин/SQRT(3))*1000)*100,2),"")</f>
        <v>6.9999999999999993E-2</v>
      </c>
      <c r="EH205" t="str">
        <f>IFERROR(VLOOKUP(BT205,Кабель_обозначение,2,FALSE),"")</f>
        <v>ВВГнг(А)-LS</v>
      </c>
      <c r="EI205" t="str">
        <f t="shared" si="421"/>
        <v>ВВГнг(А)-LS (3х2,5)</v>
      </c>
      <c r="EJ205" t="str">
        <f t="shared" si="422"/>
        <v>ВВГнг(А)-LS (3х2,5)
L=31-0,07%</v>
      </c>
      <c r="EK205">
        <f>IFERROR(2*ρкз_Cu*Q205/DX205,"")</f>
        <v>0.65224000000000004</v>
      </c>
      <c r="EL205">
        <f t="shared" si="423"/>
        <v>0.21700000000000003</v>
      </c>
      <c r="EM205" s="6" t="str">
        <f>IFERROR(IF(OR(B205="",NOT(ISNUMBER(DX205)),N(Q205)=0),"",_xlfn.XLOOKUP(A205,Щиты[Щит],Щиты[Zпетли на шинах, Ом])+EK205),"")</f>
        <v/>
      </c>
      <c r="EN205" s="6" t="str">
        <f>IF(ISNUMBER(EM205),c_min*(Uн_лин*1000/SQRT(3))/EM205,"")</f>
        <v/>
      </c>
      <c r="EO205" s="6" t="str">
        <f>IFERROR(IF(OR(B205="",NOT(ISNUMBER(DX205))),"",1.05*(Uн_лин*1000/SQRT(3))/(_xlfn.XLOOKUP(A205,Щиты[Щит],Щиты[Zmax на шинах, Ом])+EL205)/1000),"")</f>
        <v/>
      </c>
      <c r="EP205" s="6" t="str">
        <f>IF(B205="","",IF(ISNUMBER(Y205),"Сил",IF(IFERROR(_xlfn.XLOOKUP(AX205,Коды_код,Коды_группа)&amp;"","")="","Быт",_xlfn.XLOOKUP(AX205,Коды_код,Коды_группа)&amp;"")))</f>
        <v>Быт</v>
      </c>
      <c r="EQ205" s="6" t="str">
        <f t="shared" si="424"/>
        <v>Быт</v>
      </c>
      <c r="ER205" s="6">
        <f>IF(EQ205="Щит","щит",IF(EQ205="","",IF(EQ205="Быт",IFERROR(_xlfn.XLOOKUP(A205,Щиты[Щит],Щиты[Кс быт]),1),IF(EQ205="Сил",IF(ISNUMBER(Y205),Y205,IF(Методика="нормы 2026",IFERROR(_xlfn.XLOOKUP(A205,Щиты[Щит],Щиты[Кс силовых (табл. 7.5)]),1),1)),IF(OR(EQ205="Пост",EQ205="Отоп"),1,IF(EQ205="ВНГ",0.7,0))))))</f>
        <v>0.79799999999999993</v>
      </c>
      <c r="ES205">
        <f t="shared" si="425"/>
        <v>1</v>
      </c>
      <c r="ET205">
        <f t="shared" si="426"/>
        <v>0.06</v>
      </c>
      <c r="EU205">
        <f t="shared" si="427"/>
        <v>0.06</v>
      </c>
      <c r="EV205">
        <f t="shared" si="428"/>
        <v>0</v>
      </c>
      <c r="EW205">
        <f t="shared" si="429"/>
        <v>0</v>
      </c>
      <c r="EX205">
        <f t="shared" si="430"/>
        <v>0</v>
      </c>
      <c r="EY205">
        <f t="shared" si="431"/>
        <v>0</v>
      </c>
      <c r="EZ205">
        <f t="shared" si="432"/>
        <v>0.06</v>
      </c>
      <c r="FA205">
        <f t="shared" si="433"/>
        <v>5.6999999999999995E-2</v>
      </c>
      <c r="FB205">
        <f t="shared" si="434"/>
        <v>0.06</v>
      </c>
      <c r="FC205" t="str">
        <f t="shared" si="435"/>
        <v>L2</v>
      </c>
      <c r="FD205" t="str">
        <f>IF(B205="","",IF(CA205=0,IF(AW205=1,"",FF204),IF(OR(N(CV205)&gt;=3,N(BR205)&gt;=3),"L1,L2,L3",IFERROR(_xlfn.TEXTBEFORE(_xlfn.TEXTAFTER(_xlfn.XLOOKUP(A205,Щиты[Щит],Щиты[_фазы авто]),";"&amp;AW205&amp;":"),";"),"L1"))))</f>
        <v>L1</v>
      </c>
      <c r="FE205" t="str">
        <f t="shared" si="436"/>
        <v>L2</v>
      </c>
      <c r="FF205" t="str">
        <f t="shared" si="437"/>
        <v>L2</v>
      </c>
      <c r="FG205" cm="1">
        <f t="array" ref="FG205">IFERROR(IF(BX205=2,_xlfn.IFS(BR205=3,VLOOKUP(BN205,Справочная_двигатели,3,FALSE),BR205=1,VLOOKUP(BN205,Справочная_двигатели,5,TRUE)),0),0)</f>
        <v>0</v>
      </c>
      <c r="FH205">
        <f>IFERROR(IF(BX205=3,VLOOKUP(BN205,Справочная_ЛЭД,2,TRUE),0),0)</f>
        <v>0</v>
      </c>
      <c r="FI205" s="6">
        <f t="shared" si="438"/>
        <v>0</v>
      </c>
      <c r="FJ205" t="str" cm="1">
        <f t="array" ref="FJ205">IF(B205="","",IFERROR(INDEX({"I особая","I","II","III"},MATCH(TRIM(AC205&amp;""),{"I особая","I","II","III"},0)),"III"))</f>
        <v>II</v>
      </c>
      <c r="FK205" t="str">
        <f>IF(B205="","",IF(TRIM(AD205&amp;"")&lt;&gt;"",IF(LOWER(TRIM(AD205&amp;""))="да","да","нет"),IF(IFERROR(_xlfn.XLOOKUP(AX205,Коды_код,Коды_пожарная),"")="да","да","нет")))</f>
        <v>нет</v>
      </c>
      <c r="FL205" t="str">
        <f t="shared" si="439"/>
        <v/>
      </c>
      <c r="FM205" t="str">
        <f t="shared" si="440"/>
        <v>основная</v>
      </c>
      <c r="FN205">
        <f t="shared" si="441"/>
        <v>1</v>
      </c>
      <c r="FO205" t="str" cm="1">
        <f t="array" ref="FO205">IF(B205="","",_xlfn.LET(_xlpm.t,IFERROR(_xlfn.XLOOKUP(1,(Шины[Шина]=FM205)*(((Шины[Щит]=A205)+(Шины[Щит]=""))&gt;0),Шины[Тип]),"")&amp;"",IF(_xlpm.t&lt;&gt;"",_xlpm.t,IF(ISNUMBER(SEARCH("ИБП",FM205)),"ИБП",IF(ISNUMBER(SEARCH("ДГУ",FM205)),"ДГУ","Ввод "&amp;FN205)))))</f>
        <v>Ввод 1</v>
      </c>
      <c r="FP205" t="str">
        <f t="shared" si="442"/>
        <v>Ввод 1</v>
      </c>
      <c r="FQ205" t="str">
        <f>IF(B205="","",IF(OR(FO205="ИБП",FO205="ДГУ"),"I особая",IF(FO205="Одиночная","III",_xlfn.XLOOKUP(A205,Щиты[Щит],Щиты[Категория шины «Ввод»],"III"))))</f>
        <v>II</v>
      </c>
      <c r="FR205">
        <f>IF(B205="",0,IFERROR(MATCH(FJ205,{"III","II","I","I особая"},0),1))</f>
        <v>2</v>
      </c>
      <c r="FS205">
        <f t="shared" si="443"/>
        <v>2</v>
      </c>
      <c r="FT205" t="str">
        <f>IF(B205="","",IF(FR205&gt;IFERROR(MATCH(FQ205,{"III","II","I","I особая"},0),1),"НЕ ОБЕСПЕЧЕНА","ОК"))</f>
        <v>ОК</v>
      </c>
      <c r="FU205" t="str">
        <f>IF(A205="","",_xlfn.XLOOKUP(A205,Щиты[Щит],Щиты[Путь],""))</f>
        <v>|ГРЩ-ЖД|ЩР-01|</v>
      </c>
      <c r="FV205" t="str">
        <f>IF(B205="","",IF(AE205&lt;&gt;"",AE205,IF(IFERROR(_xlfn.XLOOKUP(AX205,Коды_код,Коды_вид)&amp;"","")="","Прочее",_xlfn.XLOOKUP(AX205,Коды_код,Коды_вид)&amp;"")))</f>
        <v>Розеточная сеть и бытовые приборы</v>
      </c>
      <c r="FW205">
        <f>IF(BH205="","",INT((BH205-1)/Столбцов_на_лист)+1)</f>
        <v>3</v>
      </c>
      <c r="FX205" t="str">
        <f t="shared" si="444"/>
        <v>ВВГнг(А)-LS (3х2,5) L=31-0,07%</v>
      </c>
      <c r="FY205">
        <f t="shared" si="445"/>
        <v>0.06</v>
      </c>
      <c r="FZ205">
        <f t="shared" si="446"/>
        <v>0.28000000000000003</v>
      </c>
      <c r="GA205">
        <f t="shared" si="447"/>
        <v>1</v>
      </c>
      <c r="GB205">
        <f t="shared" si="448"/>
        <v>0</v>
      </c>
      <c r="GC205">
        <f t="shared" si="449"/>
        <v>1</v>
      </c>
      <c r="GD205">
        <f>IF(BH205="","",IF(AND(CA205=1,GC205=1),COUNTIFS(A$3:A205,A205,CA$3:CA205,1,GC$3:GC205,1),IF(OR(OR(AW205=1,A205&lt;&gt;A204),AF205="вручную",GC205=0),"",IF(AW205=1,"",GE204))))</f>
        <v>21</v>
      </c>
      <c r="GE205">
        <f t="shared" si="450"/>
        <v>21</v>
      </c>
      <c r="GF205">
        <f>IF(B205="","",IFERROR(LOOKUP(INDEX(CHOOSE(DL205,Iдоп_1ж,Iдоп_2ж,Iдоп_3ж),MATCH(DX205,Iдоп_S,0))*DJ205*DK205,{6,10,16,20,25,32,40,50,63,80,100,125,160,200,250,315,400,500,630}),""))</f>
        <v>25</v>
      </c>
      <c r="GG205" t="str">
        <f t="shared" si="451"/>
        <v>QFD21</v>
      </c>
      <c r="GH205" t="str">
        <f t="shared" si="452"/>
        <v>QFD21</v>
      </c>
      <c r="GI205" t="str">
        <f t="shared" si="453"/>
        <v/>
      </c>
      <c r="GJ205">
        <f t="shared" si="454"/>
        <v>0</v>
      </c>
      <c r="GK205" t="str">
        <f>IF(OR(AG205="",AG205="-"),"",IFERROR(VLOOKUP(AG205,Модули_спр,2,FALSE),"R"))</f>
        <v/>
      </c>
      <c r="GL205" t="str">
        <f>IF(GK205="","",GK205&amp;"."&amp;COUNTIFS(A$3:A205,A205,GK$3:GK205,GK205))</f>
        <v/>
      </c>
      <c r="GM205" t="str">
        <f t="shared" si="455"/>
        <v/>
      </c>
      <c r="GN205" t="str">
        <f t="shared" si="456"/>
        <v/>
      </c>
      <c r="GO205" t="str">
        <f t="shared" si="457"/>
        <v/>
      </c>
      <c r="GP205" t="str">
        <f t="shared" si="458"/>
        <v/>
      </c>
      <c r="GQ205">
        <f t="shared" si="459"/>
        <v>1</v>
      </c>
      <c r="GR205" t="str">
        <f>IF(GQ205=1,"XT"&amp;COUNTIFS(A$3:A205,A205,GQ$3:GQ205,1),"")</f>
        <v>XT21</v>
      </c>
      <c r="GS205" t="str">
        <f t="shared" si="460"/>
        <v/>
      </c>
      <c r="GT205" t="str">
        <f t="shared" si="461"/>
        <v>QFD21</v>
      </c>
      <c r="GU205" t="str">
        <f t="shared" si="462"/>
        <v/>
      </c>
      <c r="GV205" t="str">
        <f t="shared" si="463"/>
        <v>ok</v>
      </c>
      <c r="GW205" t="str">
        <f>IF(OR(GO205="",GM205=""),"",IF(GO205&gt;IFERROR(VLOOKUP(GN205,Модули_спр,3,FALSE),99),"ЛИШНИЙ КАНАЛ",IF(AND(AH205&lt;&gt;"=",COUNTIFS(Линии[_модуль гр.],GM205,Линии[Канал (итог)],GO205,Линии[Канал],"&lt;&gt;=",Линии[Щит],A205)&gt;1),"ДУБЛЬ КАНАЛА","")))</f>
        <v/>
      </c>
      <c r="GX205" s="6" t="str">
        <f t="shared" si="464"/>
        <v/>
      </c>
      <c r="GY205">
        <f t="shared" si="465"/>
        <v>10</v>
      </c>
      <c r="GZ205" t="str">
        <f t="shared" si="466"/>
        <v/>
      </c>
      <c r="HA205" t="str">
        <f>IF(AND(B205="",GT205=""),"",_xlfn.TEXTJOIN("; ",TRUE,IF(AND(B205&lt;&gt;"",FE205=""),"нет фазы",""),IF(AND(B205&lt;&gt;"",N(FY205)=0,EQ205&lt;&gt;"Нет"),"нет мощности",""),IF(AND(GS205&lt;&gt;"",COUNTIFS(Линии[Щит],A205,Линии[Клемма (итог)],GS205)&gt;1),"дубль клеммы "&amp;GS205,""),IF(AND(GV205&lt;&gt;"",GV205&lt;&gt;"ok"),GV205,""),IF(GW205&lt;&gt;"",GW205,""),IF(AND(N(BV205)&gt;=4,N(BR205)=1),BV205&amp;" жил на 1 фазе",""),IF(AND(AX205="R",CA205=1,OR(N(CK205)=0,N(CK205)&gt;30)),"розетка без дифзащиты до 30 мА",""),IFERROR(IF(AND(ISNUMBER(R205),R205&gt;DV205),"потери "&amp;FIXED(R205,1)&amp;" % &gt; "&amp;DV205&amp;" %",""),""),IFERROR(IF(LEFT(GZ205,4)="мало","Iкз мало — отключение &gt; 0,4 с",""),""),IF(AND(B205&lt;&gt;"",BH205=""),"не на схеме",""),IF(AND(CA205=0,B205&lt;&gt;"",FE205&lt;&gt;"",IF(AW205=1,"",FF204)&lt;&gt;"",FE205&lt;&gt;IF(AW205=1,"",FF204)),"фаза не как у автомата группы ("&amp;IF(AW205=1,"",FF204)&amp;")","")))</f>
        <v/>
      </c>
      <c r="HB205" s="6">
        <f>IF(OR(CA205=0,DA205=""),"",_xlfn.LET(_xlpm.t,IFERROR(_xlfn.XLOOKUP(DA205,Каталог!$U$4:$U$500,Каталог!$G$4:$G$500),""),_xlpm.k,SEARCH("кА",_xlpm.t),IFERROR(--TRIM(RIGHT(SUBSTITUTE(MID(_xlpm.t,MAX(1,_xlpm.k-4),_xlpm.k-MAX(1,_xlpm.k-4))," ",REPT(" ",9)),5)),"")))</f>
        <v>6</v>
      </c>
      <c r="HC205" t="str">
        <f>IF(OR(HB205="",CA205=0),"",IF(_xlfn.XLOOKUP(A205,Щиты[Щит],Щиты[Iкз max на шинах, кА],"")="","",IF(HB205&lt;_xlfn.XLOOKUP(A205,Щиты[Щит],Щиты[Iкз max на шинах, кА]),"Icu "&amp;HB205&amp;" кА &lt; Iкз max","ok")))</f>
        <v/>
      </c>
      <c r="HD205" t="str">
        <f t="shared" si="467"/>
        <v/>
      </c>
      <c r="HE205" t="str">
        <f t="shared" si="468"/>
        <v>QFD21</v>
      </c>
      <c r="HF205" t="str">
        <f t="shared" si="469"/>
        <v>QFD21|кабель ВВГнг(А)-LS (3х2,5) → Розеточная группа, пом. 011Б</v>
      </c>
      <c r="HG205" t="str" cm="1">
        <f t="array" ref="HG205">IF(HF205="","",_xlfn.LET(_xlpm.nd,_xlfn.TEXTSPLIT(HF205,"|"),IF(COLUMNS(_xlpm.nd)&gt;1,A205&amp;"¦"&amp;INDEX(_xlpm.nd,1)&amp;"¦"&amp;INDEX(_xlpm.nd,2),"")))</f>
        <v>ЩР-01¦QFD21¦кабель ВВГнг(А)-LS (3х2,5) → Розеточная группа, пом. 011Б</v>
      </c>
      <c r="HH205" t="str">
        <f t="shared" si="470"/>
        <v>R.0.011Б.1¦Розеточная группа, пом. 011Б</v>
      </c>
      <c r="HI205" t="str" cm="1">
        <f t="array" ref="HI205">IF(HF205="","",_xlfn.LET(_xlpm.nd,_xlfn.TEXTSPLIT(HF205,"|"),IF(COLUMNS(_xlpm.nd)&gt;2,A205&amp;"¦"&amp;INDEX(_xlpm.nd,2)&amp;"¦"&amp;INDEX(_xlpm.nd,3),"")))</f>
        <v/>
      </c>
      <c r="HJ205" t="str">
        <f t="shared" si="471"/>
        <v/>
      </c>
      <c r="HK205" t="str" cm="1">
        <f t="array" ref="HK205">IF(HF205="","",_xlfn.LET(_xlpm.nd,_xlfn.TEXTSPLIT(HF205,"|"),IF(COLUMNS(_xlpm.nd)&gt;3,A205&amp;"¦"&amp;INDEX(_xlpm.nd,3)&amp;"¦"&amp;INDEX(_xlpm.nd,4),"")))</f>
        <v/>
      </c>
      <c r="HL205" t="str">
        <f t="shared" si="472"/>
        <v/>
      </c>
      <c r="HM205" t="str" cm="1">
        <f t="array" ref="HM205">IF(HF205="","",_xlfn.LET(_xlpm.nd,_xlfn.TEXTSPLIT(HF205,"|"),IF(COLUMNS(_xlpm.nd)&gt;4,A205&amp;"¦"&amp;INDEX(_xlpm.nd,4)&amp;"¦"&amp;INDEX(_xlpm.nd,5),"")))</f>
        <v/>
      </c>
      <c r="HN205" t="str">
        <f t="shared" si="473"/>
        <v/>
      </c>
      <c r="HO205" t="str" cm="1">
        <f t="array" ref="HO205">IF(HF205="","",_xlfn.LET(_xlpm.nd,_xlfn.TEXTSPLIT(HF205,"|"),IF(COLUMNS(_xlpm.nd)&gt;5,A205&amp;"¦"&amp;INDEX(_xlpm.nd,5)&amp;"¦"&amp;INDEX(_xlpm.nd,6),"")))</f>
        <v/>
      </c>
      <c r="HP205" t="str">
        <f t="shared" si="474"/>
        <v/>
      </c>
      <c r="HQ205" t="str" cm="1">
        <f t="array" ref="HQ205">IF(HF205="","",_xlfn.LET(_xlpm.nd,_xlfn.TEXTSPLIT(HF205,"|"),IF(COLUMNS(_xlpm.nd)&gt;6,A205&amp;"¦"&amp;INDEX(_xlpm.nd,6)&amp;"¦"&amp;INDEX(_xlpm.nd,7),"")))</f>
        <v/>
      </c>
      <c r="HR205" t="str">
        <f t="shared" si="475"/>
        <v/>
      </c>
      <c r="HS205" t="str">
        <f t="shared" si="476"/>
        <v/>
      </c>
      <c r="HT205" t="str">
        <f t="shared" si="477"/>
        <v>QFD21</v>
      </c>
      <c r="HU205">
        <f t="shared" si="478"/>
        <v>0</v>
      </c>
      <c r="HV205">
        <f t="shared" si="479"/>
        <v>1</v>
      </c>
      <c r="HW205" t="str">
        <f t="shared" si="480"/>
        <v/>
      </c>
      <c r="HX205" t="str">
        <f t="shared" si="481"/>
        <v/>
      </c>
      <c r="HY205" t="str">
        <f t="shared" si="482"/>
        <v/>
      </c>
      <c r="HZ205" t="str">
        <f t="shared" si="483"/>
        <v/>
      </c>
      <c r="IA205" t="str">
        <f>IF(B205="","",IFERROR(VLOOKUP(B205,УГО_спр,2,FALSE),IFERROR(VLOOKUP(AX205,УГО_спр,2,FALSE),IFERROR(VLOOKUP(LEFT(AX205,2),УГО_спр,2,FALSE),""))))</f>
        <v>Розетка</v>
      </c>
      <c r="IB205" t="str">
        <f>IF(B205="","",IF(OR(IA205="",IA205=0),"BOX",IFERROR(IF(VLOOKUP(IA205,УГО_блоки,3,FALSE)&amp;""&lt;&gt;"",VLOOKUP(IA205,УГО_блоки,3,FALSE),VLOOKUP(IA205,УГО_блоки,2,FALSE)),IA205)))</f>
        <v>SOCKET</v>
      </c>
      <c r="IC205">
        <f t="shared" si="484"/>
        <v>1</v>
      </c>
      <c r="ID205" t="str">
        <f>IF(DA205="","",IF(COUNTIF(DA$3:DA205,DA205)=1,MAX(ID$2:ID204)+1,""))</f>
        <v/>
      </c>
      <c r="IE205" t="str">
        <f>IF(CO205="","",IF(COUNTIF(CO$3:CO205,CO205)+COUNTIF(CP$2:CP204,CO205)+COUNTIF(CQ$2:CQ204,CO205)=1,MAX(IE$2:IG204)+1,""))</f>
        <v/>
      </c>
      <c r="IF205" t="str">
        <f>IF(CP205="","",IF(COUNTIF(CO$3:CO205,CP205)+COUNTIF(CP$3:CP205,CP205)+COUNTIF(CQ$2:CQ204,CP205)=1,MAX(IE$2:IG204,IE205)+1,""))</f>
        <v/>
      </c>
      <c r="IG205" t="str">
        <f>IF(CQ205="","",IF(COUNTIF(CO$3:CO205,CQ205)+COUNTIF(CP$3:CP205,CQ205)+COUNTIF(CQ$3:CQ205,CQ205)=1,MAX(IE$2:IG204,IE205,IF205)+1,""))</f>
        <v/>
      </c>
      <c r="IH205" t="str">
        <f t="shared" si="485"/>
        <v>3х2,5</v>
      </c>
      <c r="II205" t="str">
        <f>IF(IH205="","",IF(COUNTIF(IH$3:IH205,IH205)=1,MAX(II$2:II204)+1,""))</f>
        <v/>
      </c>
      <c r="IJ205" t="str">
        <f>IF(GL205="","",COUNTIF(GL$3:GL205,"?*"))</f>
        <v/>
      </c>
      <c r="IK205" t="str">
        <f>IF(OR(GL205="",GN205=""),"",IF(COUNTIFS(GL$3:GL205,"?*",GN$3:GN205,GN205)=1,MAX(IK$2:IK204)+1,""))</f>
        <v/>
      </c>
      <c r="IL205">
        <f t="shared" si="486"/>
        <v>0</v>
      </c>
      <c r="IM205">
        <f>IF(B205="","",COUNTIF(B$3:B205,"?*"))</f>
        <v>203</v>
      </c>
      <c r="IN205">
        <f>IF(GQ205&lt;&gt;1,0,_xlfn.LET(_xlpm.k,MAX(IFERROR(--VLOOKUP(B205,УГО_спр,5,FALSE),0),IFERROR(--VLOOKUP(AX205,УГО_спр,5,FALSE),0),IFERROR(--VLOOKUP(LEFT(AX205,2),УГО_спр,5,FALSE),0)),IF(_xlpm.k&gt;0,_xlpm.k,IF(IFERROR(--LEFT(SUBSTITUTE(IH205,"x","х"),FIND("х",SUBSTITUTE(IH205,"x","х"))-1),3)&gt;3,Каталог!$S$9,1))))</f>
        <v>1</v>
      </c>
      <c r="IO205">
        <f t="shared" si="487"/>
        <v>0</v>
      </c>
      <c r="IP205" t="str">
        <f t="shared" si="488"/>
        <v>авто</v>
      </c>
      <c r="IQ205">
        <f t="shared" si="489"/>
        <v>30</v>
      </c>
      <c r="IR205">
        <f t="shared" si="490"/>
        <v>1</v>
      </c>
      <c r="IS205">
        <f t="shared" si="491"/>
        <v>1</v>
      </c>
    </row>
    <row r="206" spans="1:253" x14ac:dyDescent="0.3">
      <c r="A206" t="s">
        <v>757</v>
      </c>
      <c r="B206" t="s">
        <v>1472</v>
      </c>
      <c r="C206" t="str">
        <f>Линии[[#This Row],[_авто наименование]]</f>
        <v>Розеточная группа, пом. 012A</v>
      </c>
      <c r="D206">
        <v>5</v>
      </c>
      <c r="E206">
        <v>0.3</v>
      </c>
      <c r="G206" t="str">
        <f>Линии[[#This Row],[_авто автомат]]</f>
        <v>2P С16А 30мА</v>
      </c>
      <c r="H206">
        <f>Линии[[#This Row],[_авто утечка]]</f>
        <v>30</v>
      </c>
      <c r="I206" t="str">
        <f>Линии[[#This Row],[_авто управление]]</f>
        <v/>
      </c>
      <c r="J206" t="str">
        <f>Линии[[#This Row],[_авто аппараты]]</f>
        <v/>
      </c>
      <c r="K206">
        <v>2.5</v>
      </c>
      <c r="L206">
        <v>52</v>
      </c>
      <c r="M206">
        <v>3</v>
      </c>
      <c r="N206" t="s">
        <v>486</v>
      </c>
      <c r="O206" t="str">
        <f t="shared" si="369"/>
        <v/>
      </c>
      <c r="P206" s="6" cm="1">
        <f t="array" ref="P206">IF(B206="","",IF(BC206&lt;&gt;"",IFERROR(_xlfn.XLOOKUP(BC206,Щиты[Щит],Щиты[Iр, А]),""),IF(BK206=1,IFERROR(_xlfn.XLOOKUP(A206,Щиты[Щит],Щиты[Iр, А]),""),IFERROR(_xlfn.IFS(BR206=1,BN206/((Uн_лин/SQRT(3))*BY206),BR206=3,BN206/(SQRT(3)*Uн_лин*BY206)),""))))</f>
        <v>1.3674085322912188</v>
      </c>
      <c r="Q206" s="7">
        <f>IF(B206="","",IFERROR(IF(VLOOKUP(AX206,Потребители_обозначение,4,FALSE)=1,VLOOKUP(AX206,Потребители_обозначение,3,FALSE)*(D206*2-1)+DS206+VLOOKUP(AZ206,Этаж_обозначение,3,FALSE)+VLOOKUP(AZ206,Этаж_обозначение,4,FALSE),VLOOKUP(AX206,Потребители_обозначение,3,FALSE)*(D206*2-1)+DS206),DS206))</f>
        <v>79</v>
      </c>
      <c r="R206" s="6">
        <f t="shared" si="370"/>
        <v>1.24</v>
      </c>
      <c r="S206" t="str">
        <f t="shared" si="371"/>
        <v>ВВГнг(А)-LS (3х2,5)</v>
      </c>
      <c r="T206" t="str">
        <f>IF(BH206="","",IF(BI206="вводной узел","узел ","")&amp;"л."&amp;(INT((BH206-1)/Столбцов_на_лист)+1)&amp;" / "&amp;(MOD(BH206-1,Столбцов_на_лист)+1))</f>
        <v>л.3 / 7</v>
      </c>
      <c r="V206">
        <v>1</v>
      </c>
      <c r="W206">
        <v>230</v>
      </c>
      <c r="X206" t="s">
        <v>564</v>
      </c>
      <c r="AC206" t="s">
        <v>815</v>
      </c>
      <c r="AE206" t="s">
        <v>563</v>
      </c>
      <c r="AI206">
        <v>41</v>
      </c>
      <c r="AJ206" t="s">
        <v>11</v>
      </c>
      <c r="AK206">
        <v>3</v>
      </c>
      <c r="AM206">
        <v>48</v>
      </c>
      <c r="AN206">
        <v>31</v>
      </c>
      <c r="AO206">
        <v>0</v>
      </c>
      <c r="AW206" cm="1">
        <f t="array" ref="AW206">ROW()-ROW(Линии[#Headers])</f>
        <v>204</v>
      </c>
      <c r="AX206" s="6" t="str">
        <f t="shared" si="372"/>
        <v>R</v>
      </c>
      <c r="AY206" t="str">
        <f t="shared" si="373"/>
        <v>0.012A.1</v>
      </c>
      <c r="AZ206" t="str">
        <f t="shared" si="374"/>
        <v>0</v>
      </c>
      <c r="BA206" t="str">
        <f t="shared" si="375"/>
        <v>012A.1</v>
      </c>
      <c r="BB206" t="str">
        <f t="shared" si="376"/>
        <v>012A</v>
      </c>
      <c r="BC206" t="str">
        <f>IF(U206&lt;&gt;"",U206,IF(AND(B206&lt;&gt;"",B206&lt;&gt;A206,ISNUMBER(_xlfn.XMATCH(B206,Щиты[Щит]))),B206,""))</f>
        <v/>
      </c>
      <c r="BD206" t="str" cm="1">
        <f t="array" ref="BD206">IF(B206="","",IF(BC206&lt;&gt;"","Щит "&amp;BC206,_xlfn.LET(_xlpm.nm,IFERROR(_xlfn.XLOOKUP(AX206,Коды_код,Коды_имя)&amp;"",""),_xlpm.md,IFERROR(N(_xlfn.XLOOKUP(AX206,Коды_код,Коды_режим)),1),_xlpm.ex,IF(Имя_режим="по экспликации",IFERROR(_xlfn.XLOOKUP(AZ206&amp;"|"&amp;BB206,Экспликация[Этаж]&amp;"|"&amp;Экспликация[Помещение],Экспликация[Название])&amp;"",""),""),_xlpm.rm,IF(BB206="","",IF(_xlpm.ex&lt;&gt;"",". "&amp;_xlpm.ex&amp;IF(Имя_пом="нет"," ("&amp;BB206&amp;")"," (пом. "&amp;BB206&amp;")"),IF(Имя_пом="нет"," ",", пом. ")&amp;BB206)),IF(_xlpm.nm="","",IF(_xlpm.md=2,_xlpm.nm&amp;" шлейф "&amp;AZ206,_xlpm.nm&amp;_xlpm.rm)))))</f>
        <v>Розеточная группа, пом. 012A</v>
      </c>
      <c r="BE206" t="str">
        <f t="shared" si="377"/>
        <v>Розеточная группа, пом. 012A</v>
      </c>
      <c r="BF206">
        <f>IFERROR(_xlfn.XMATCH(A206,Щиты[Щит]),0)</f>
        <v>9</v>
      </c>
      <c r="BG206">
        <f>_xlfn.LET(_xlpm.k,IFERROR(_xlfn.XLOOKUP(A206,Щиты[Щит],Щиты[Листов под вводной узел]),""),IF(_xlpm.k="",1,N(_xlpm.k))*Столбцов_на_лист)</f>
        <v>17</v>
      </c>
      <c r="BH206">
        <f t="shared" si="378"/>
        <v>41</v>
      </c>
      <c r="BI206" t="str">
        <f t="shared" si="379"/>
        <v>линии</v>
      </c>
      <c r="BJ206" s="6">
        <f>IFERROR(N(_xlfn.XLOOKUP(AX206,Коды_код,Коды_квт)),0)</f>
        <v>0</v>
      </c>
      <c r="BK206">
        <f t="shared" si="380"/>
        <v>0</v>
      </c>
      <c r="BL206" t="str">
        <f>IF(B206="","",IF(BC206&lt;&gt;"",IFERROR(_xlfn.XLOOKUP(BC206,Щиты[Щит],Щиты[Руст, кВт]),0),IF(BK206=1,IFERROR(_xlfn.XLOOKUP(A206,Щиты[Щит],Щиты[Руст, кВт]),0),IF(BJ206&gt;0,ROUND(BJ206*MAX(1,N(D206)),3),""))))</f>
        <v/>
      </c>
      <c r="BM206">
        <f t="shared" si="381"/>
        <v>0.3</v>
      </c>
      <c r="BN206" s="6">
        <f>IF(B206="","",IF(BC206&lt;&gt;"",IFERROR(_xlfn.XLOOKUP(BC206,Щиты[Щит],Щиты[Руст, кВт]),0),N(BM206)))</f>
        <v>0.3</v>
      </c>
      <c r="BO206" t="str">
        <f>IF(B206="","",IFERROR(IF(VLOOKUP(AX206,Потребители_обозначение,8,FALSE)=0,"",VLOOKUP(AX206,Потребители_обозначение,8,FALSE)),""))</f>
        <v/>
      </c>
      <c r="BP206">
        <f t="shared" si="382"/>
        <v>230</v>
      </c>
      <c r="BQ206">
        <f>IF(B206="","",IF(BC206&lt;&gt;"",3,IFERROR(IF(N(VLOOKUP(AX206,Потребители_обозначение,9,FALSE))=0,1,VLOOKUP(AX206,Потребители_обозначение,9,FALSE)),1)))</f>
        <v>1</v>
      </c>
      <c r="BR206">
        <f t="shared" si="383"/>
        <v>1</v>
      </c>
      <c r="BS206" t="str">
        <f>IF(B206="","",_xlfn.LET(_xlpm.bc,IFERROR(IF(VLOOKUP(AX206,Потребители_обозначение,6,FALSE)=0,"",VLOOKUP(AX206,Потребители_обозначение,6,FALSE)&amp;""),""),IF(AND(FK206="да",OR(_xlpm.bc="",_xlpm.bc="мс")),Марка_пож,IF(AND(_xlpm.bc="",BC206&lt;&gt;""),"мс",_xlpm.bc))))</f>
        <v/>
      </c>
      <c r="BT206" t="str">
        <f t="shared" si="384"/>
        <v>мс</v>
      </c>
      <c r="BU206">
        <f>IF(B206="","",_xlfn.LET(_xlpm.cc,IFERROR(N(VLOOKUP(AX206,Потребители_обозначение,7,FALSE)),0),IF(_xlpm.cc&gt;0,_xlpm.cc,IF(BT206="","",IF(N(BR206)=3,5,3)))))</f>
        <v>3</v>
      </c>
      <c r="BV206">
        <f t="shared" si="385"/>
        <v>3</v>
      </c>
      <c r="BW206">
        <f>IFERROR(N(VLOOKUP(AX206,Потребители_обозначение,10,FALSE)),0)</f>
        <v>0</v>
      </c>
      <c r="BX206">
        <f>IFERROR(VLOOKUP(AX206,Потребители_обозначение,5,FALSE),0)</f>
        <v>1</v>
      </c>
      <c r="BY206" s="6" cm="1">
        <f t="array" ref="BY206">IF(B206="","",IF(BC206&lt;&gt;"",IFERROR(_xlfn.XLOOKUP(BC206,Щиты[Щит],Щиты[cos φ]),0.95),IF(BK206=1,IFERROR(_xlfn.XLOOKUP(A206,Щиты[Щит],Щиты[cos φ]),0.95),IF(ISNUMBER(Z206),Z206,IFERROR(IF(BX206=2,_xlfn.IFS(BR206=3,VLOOKUP(BN206,Справочная_двигатели,8,FALSE),BR206=1,VLOOKUP(BN206,Справочная_двигатели,10,TRUE)),IF(AND(Методика="нормы 2026",EQ206="Сил"),0.8,0.95)),0.95)))))</f>
        <v>0.95</v>
      </c>
      <c r="BZ206">
        <f t="shared" si="386"/>
        <v>0</v>
      </c>
      <c r="CA206">
        <f t="shared" si="387"/>
        <v>1</v>
      </c>
      <c r="CB206">
        <f t="shared" si="388"/>
        <v>0</v>
      </c>
      <c r="CC206">
        <f t="shared" si="389"/>
        <v>0</v>
      </c>
      <c r="CD206">
        <f t="shared" si="390"/>
        <v>0</v>
      </c>
      <c r="CE206">
        <f t="shared" si="391"/>
        <v>0</v>
      </c>
      <c r="CF206">
        <f t="shared" si="392"/>
        <v>0</v>
      </c>
      <c r="CG206">
        <f>IF(AX206="",0,_xlfn.LET(_xlpm.v,IFERROR(VLOOKUP(B206,УГО_спр,3,FALSE),IFERROR(VLOOKUP(AX206,УГО_спр,3,FALSE),IFERROR(VLOOKUP(LEFT(AX206,2),УГО_спр,3,FALSE),""))),IF(_xlpm.v="да",30,IF(ISNUMBER(_xlpm.v),_xlpm.v,0))))</f>
        <v>30</v>
      </c>
      <c r="CH206">
        <f t="shared" si="393"/>
        <v>30</v>
      </c>
      <c r="CI206" t="str">
        <f>_xlfn.LET(_xlpm.k,IFERROR(_xlfn.XLOOKUP(AX206,Коды_код,Коды_утечка)&amp;"",""),IF(_xlpm.k="","дифавтомат",_xlpm.k))</f>
        <v>дифавтомат</v>
      </c>
      <c r="CJ206">
        <f t="shared" si="394"/>
        <v>30</v>
      </c>
      <c r="CK206">
        <f t="shared" si="395"/>
        <v>30</v>
      </c>
      <c r="CL206">
        <f>IF(B206="",0,IFERROR(--VLOOKUP(B206,УГО_спр,4,FALSE),IFERROR(--VLOOKUP(AX206,УГО_спр,4,FALSE),IFERROR(--VLOOKUP(LEFT(AX206,2),УГО_спр,4,FALSE),0))))</f>
        <v>16</v>
      </c>
      <c r="CM206" t="str">
        <f>IF(B206="","",IFERROR(_xlfn.XLOOKUP(AX206,Коды_код,Коды_апп)&amp;"",""))</f>
        <v/>
      </c>
      <c r="CN206" t="str">
        <f t="shared" si="396"/>
        <v/>
      </c>
      <c r="CO206" t="str" cm="1">
        <f t="array" ref="CO206">IF(TRIM(CN206&amp;"")="","",IFERROR(TRIM(INDEX(_xlfn.TEXTSPLIT(CN206&amp;";;;",";"),1)),""))</f>
        <v/>
      </c>
      <c r="CP206" t="str" cm="1">
        <f t="array" ref="CP206">IF(TRIM(CN206&amp;"")="","",IFERROR(TRIM(INDEX(_xlfn.TEXTSPLIT(CN206&amp;";;;",";"),2)),""))</f>
        <v/>
      </c>
      <c r="CQ206" t="str" cm="1">
        <f t="array" ref="CQ206">IF(TRIM(CN206&amp;"")="","",IFERROR(TRIM(INDEX(_xlfn.TEXTSPLIT(CN206&amp;";;;",";"),3)),""))</f>
        <v/>
      </c>
      <c r="CR206">
        <f t="shared" si="397"/>
        <v>0</v>
      </c>
      <c r="CS206" t="str">
        <f>IF(B206="","",_xlfn.LET(_xlpm.t,LOWER(AV206&amp;""),IF(ISNUMBER(SEARCH("dim",_xlpm.t)),"DIM",IF(ISNUMBER(SEARCH("dali",_xlpm.t)),"DALI",IF(OR(ISNUMBER(SEARCH("relay",_xlpm.t)),ISNUMBER(SEARCH("реле",_xlpm.t))),"Relay",IF(ISNUMBER(SEARCH("кнопк",_xlpm.t)),"",IFERROR(_xlfn.XLOOKUP(AX206,Коды_код,Коды_упр)&amp;"","")))))))</f>
        <v/>
      </c>
      <c r="CT206" t="str">
        <f t="shared" si="398"/>
        <v/>
      </c>
      <c r="CU206">
        <f>IF(B206="","",_xlfn.LET(_xlpm.ig,N(P206)+IF(AF206="вручную",0,N(CB206)),_xlpm.n0,IFERROR(VLOOKUP(_xlpm.ig,Автомат_номиналы,2,TRUE),0),_xlpm.mn,MAX(CL206,IF(AF206="вручную",0,N(CE206))),MAX(_xlpm.n0,_xlpm.mn,IF(CR206=1,Мин_автомат_БП,0))))</f>
        <v>16</v>
      </c>
      <c r="CV206">
        <f t="shared" si="399"/>
        <v>1</v>
      </c>
      <c r="CW206" t="str">
        <f t="shared" si="400"/>
        <v>2P</v>
      </c>
      <c r="CX206" t="str">
        <f>_xlfn.LET(_xlpm.cc,UPPER(TRIM(IFERROR(_xlfn.XLOOKUP(AX206,Коды_код,Коды_хар)&amp;"",""))),IF(OR(_xlpm.cc="B",_xlpm.cc="В"),"B",IF(_xlpm.cc="D","D","С")))</f>
        <v>С</v>
      </c>
      <c r="CY206" t="str">
        <f t="shared" si="401"/>
        <v>2P С16А 30мА</v>
      </c>
      <c r="CZ206" t="str">
        <f t="shared" si="402"/>
        <v>2P С16А 30мА</v>
      </c>
      <c r="DA206" t="str">
        <f t="shared" si="403"/>
        <v>2P С16А 30мА</v>
      </c>
      <c r="DB206" cm="1">
        <f t="array" ref="DB206">IF(DA206="","",_xlfn.LET(_xlpm.t,SUBSTITUTE(SUBSTITUTE(SUBSTITUTE(UPPER(DA206),"С","C"),"А","A"),"В","B"),_xlpm.tk,_xlfn.TEXTSPLIT(_xlpm.t,"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6" t="str">
        <f t="shared" si="404"/>
        <v>ok</v>
      </c>
      <c r="DD206">
        <f t="shared" si="405"/>
        <v>16</v>
      </c>
      <c r="DE206" t="str">
        <f t="shared" si="406"/>
        <v>2P С16А 30мА</v>
      </c>
      <c r="DF206">
        <f t="shared" si="407"/>
        <v>30</v>
      </c>
      <c r="DG206">
        <f t="shared" si="408"/>
        <v>1</v>
      </c>
      <c r="DH206">
        <f t="shared" si="409"/>
        <v>0</v>
      </c>
      <c r="DI206">
        <f t="shared" si="410"/>
        <v>1.3674085322912188</v>
      </c>
      <c r="DJ206">
        <f t="shared" si="411"/>
        <v>1</v>
      </c>
      <c r="DK206">
        <f>IF(ISNUMBER(AL206),AL206,К_прокл)</f>
        <v>1</v>
      </c>
      <c r="DL206">
        <f t="shared" si="412"/>
        <v>2</v>
      </c>
      <c r="DM206">
        <f>IFERROR(N(VLOOKUP(BT206,Кабель_обозначение,3,FALSE)),1)</f>
        <v>1</v>
      </c>
      <c r="DN206">
        <f>IFERROR(N(_xlfn.XLOOKUP(A206,Щиты[Щит],Щиты[ΔU до шин, %])),0)</f>
        <v>0.43</v>
      </c>
      <c r="DO206" t="str">
        <f>IFERROR(_xlfn.XLOOKUP(A206,Щиты[Щит],Щиты[Zпетли на шинах, Ом]),"")</f>
        <v/>
      </c>
      <c r="DP206">
        <f>IFERROR(N(_xlfn.XLOOKUP(A206,Щиты[Щит],Щиты[ΔU до шин (подбор), %])),0)</f>
        <v>0.43</v>
      </c>
      <c r="DQ206" t="str">
        <f>IFERROR(_xlfn.XLOOKUP(A206,Щиты[Щит],Щиты[Zпетли на шинах (подбор), Ом]),"")</f>
        <v/>
      </c>
      <c r="DR206" t="str">
        <f t="shared" si="413"/>
        <v/>
      </c>
      <c r="DS206">
        <f t="shared" si="414"/>
        <v>52</v>
      </c>
      <c r="DT206">
        <f t="shared" si="415"/>
        <v>2</v>
      </c>
      <c r="DU206">
        <f t="shared" si="416"/>
        <v>0.31</v>
      </c>
      <c r="DV206" s="6">
        <f>IF(B206="","",IF(IFERROR(VLOOKUP(AX206,УГО_спр,2,FALSE),"")="Светильник",3,4)+IF(Методика="нормы 2026",MIN(0.5,MAX(0,N(Q206)-100)*0.005),0))</f>
        <v>4</v>
      </c>
      <c r="DW206" cm="1">
        <f t="array" ref="DW206">IF(OR(B206="",BT206="",DM206&lt;&gt;1),"",_xlfn.LET(_xlpm.sz,Iдоп_S,_xlpm.t_,CHOOSE(DL206,Iдоп_1ж,Iдоп_2ж,Iдоп_3ж)*DJ206*DK206,_xlpm.inn,N(DD206),_xlpm.smin,MAX(1.5,BW206),_xlpm.L_,N(Q206)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206)*(_xlpm.rho*_xlpm.L_/_xlpm.sz*N(BY206)+_xlpm.xx*_xlpm.L_*N(DU206)/1000)*N(P206)/((Uн_лин/SQRT(3))*1000)*100,999),_xlpm.kz,IF(OR(DG206=1,NOT(ISNUMBER(DQ206)),_xlpm.L_=0,_xlpm.inn=0),1,IFERROR(--(c_min*(Uн_лин*1000/SQRT(3))/(DQ206+2*ρкз_Cu*_xlpm.L_/_xlpm.sz)&gt;=GY206*_xlpm.inn),0)),_xlpm.ok,IFERROR((_xlpm.sz&gt;=_xlpm.smin)*(_xlpm.t_&gt;=_xlpm.inn)*IF(_xlpm.L_&gt;0,(_xlpm.du_+DP206&lt;=DV206+0.00001),1)*_xlpm.kz,0),_xlpm.r_,_xlfn._xlws.FILTER(_xlpm.sz,_xlpm.ok,"не подобрано"),INDEX(_xlpm.r_,1)))</f>
        <v>1.5</v>
      </c>
      <c r="DX206">
        <f t="shared" si="417"/>
        <v>2.5</v>
      </c>
      <c r="DY206" cm="1">
        <f t="array" ref="DY206">IF(OR(B206="",BT206="",DM206&lt;&gt;1),"",_xlfn.LET(_xlpm.sz,Iдоп_S,_xlpm.t_,CHOOSE(DL206,Iдоп_1ж,Iдоп_2ж,Iдоп_3ж)*DJ206*DK206,_xlpm.ok,IFERROR((_xlpm.sz&gt;=MAX(1.5,BW206))*(_xlpm.t_&gt;=N(DD206)),0),_xlpm.r_,_xlfn._xlws.FILTER(_xlpm.sz,_xlpm.ok,""),INDEX(_xlpm.r_,1)))</f>
        <v>1.5</v>
      </c>
      <c r="DZ206" s="6" cm="1">
        <f t="array" ref="DZ206">IFERROR(ROUNDUP(N(DT206)*(_xlfn.XLOOKUP(DY206,INDEX(Кабель_сопротивление,0,1),INDEX(Кабель_сопротивление,0,3))*N(Q206)/DY206*N(BY206)+_xlfn.XLOOKUP(DY206,INDEX(Кабель_сопротивление,0,1),INDEX(Кабель_сопротивление,0,2))*N(Q206)*N(DU206)/1000)*N(P206)/((Uн_лин/SQRT(3))*1000)*100,2),"")</f>
        <v>1.34</v>
      </c>
      <c r="EA206">
        <f>IFERROR(2*ρкз_Cu*N(Q206)/DY206,"")</f>
        <v>2.7702666666666667</v>
      </c>
      <c r="EB206">
        <f>IFERROR(VLOOKUP(DX206,Кабель_сопротивление,3,FALSE),"")</f>
        <v>2.2499999999999999E-2</v>
      </c>
      <c r="EC206">
        <f>IFERROR(VLOOKUP(DX206,Кабель_сопротивление,2,FALSE),"")</f>
        <v>0.1</v>
      </c>
      <c r="ED206">
        <f t="shared" si="418"/>
        <v>31</v>
      </c>
      <c r="EE206">
        <f t="shared" si="419"/>
        <v>0</v>
      </c>
      <c r="EF206">
        <f t="shared" si="420"/>
        <v>1.8539297532633696</v>
      </c>
      <c r="EG206" s="6">
        <f>IFERROR(ROUNDUP(EF206/((Uн_лин/SQRT(3))*1000)*100,2),"")</f>
        <v>0.81</v>
      </c>
      <c r="EH206" t="str">
        <f>IFERROR(VLOOKUP(BT206,Кабель_обозначение,2,FALSE),"")</f>
        <v>ВВГнг(А)-LS</v>
      </c>
      <c r="EI206" t="str">
        <f t="shared" si="421"/>
        <v>ВВГнг(А)-LS (3х2,5)</v>
      </c>
      <c r="EJ206" t="str">
        <f t="shared" si="422"/>
        <v>ВВГнг(А)-LS (3х2,5)
L=79-0,81%</v>
      </c>
      <c r="EK206">
        <f>IFERROR(2*ρкз_Cu*Q206/DX206,"")</f>
        <v>1.6621600000000001</v>
      </c>
      <c r="EL206">
        <f t="shared" si="423"/>
        <v>0.55300000000000005</v>
      </c>
      <c r="EM206" s="6" t="str">
        <f>IFERROR(IF(OR(B206="",NOT(ISNUMBER(DX206)),N(Q206)=0),"",_xlfn.XLOOKUP(A206,Щиты[Щит],Щиты[Zпетли на шинах, Ом])+EK206),"")</f>
        <v/>
      </c>
      <c r="EN206" s="6" t="str">
        <f>IF(ISNUMBER(EM206),c_min*(Uн_лин*1000/SQRT(3))/EM206,"")</f>
        <v/>
      </c>
      <c r="EO206" s="6" t="str">
        <f>IFERROR(IF(OR(B206="",NOT(ISNUMBER(DX206))),"",1.05*(Uн_лин*1000/SQRT(3))/(_xlfn.XLOOKUP(A206,Щиты[Щит],Щиты[Zmax на шинах, Ом])+EL206)/1000),"")</f>
        <v/>
      </c>
      <c r="EP206" s="6" t="str">
        <f>IF(B206="","",IF(ISNUMBER(Y206),"Сил",IF(IFERROR(_xlfn.XLOOKUP(AX206,Коды_код,Коды_группа)&amp;"","")="","Быт",_xlfn.XLOOKUP(AX206,Коды_код,Коды_группа)&amp;"")))</f>
        <v>Быт</v>
      </c>
      <c r="EQ206" s="6" t="str">
        <f t="shared" si="424"/>
        <v>Быт</v>
      </c>
      <c r="ER206" s="6">
        <f>IF(EQ206="Щит","щит",IF(EQ206="","",IF(EQ206="Быт",IFERROR(_xlfn.XLOOKUP(A206,Щиты[Щит],Щиты[Кс быт]),1),IF(EQ206="Сил",IF(ISNUMBER(Y206),Y206,IF(Методика="нормы 2026",IFERROR(_xlfn.XLOOKUP(A206,Щиты[Щит],Щиты[Кс силовых (табл. 7.5)]),1),1)),IF(OR(EQ206="Пост",EQ206="Отоп"),1,IF(EQ206="ВНГ",0.7,0))))))</f>
        <v>0.79799999999999993</v>
      </c>
      <c r="ES206">
        <f t="shared" si="425"/>
        <v>1</v>
      </c>
      <c r="ET206">
        <f t="shared" si="426"/>
        <v>0.3</v>
      </c>
      <c r="EU206">
        <f t="shared" si="427"/>
        <v>0.3</v>
      </c>
      <c r="EV206">
        <f t="shared" si="428"/>
        <v>0</v>
      </c>
      <c r="EW206">
        <f t="shared" si="429"/>
        <v>0</v>
      </c>
      <c r="EX206">
        <f t="shared" si="430"/>
        <v>0</v>
      </c>
      <c r="EY206">
        <f t="shared" si="431"/>
        <v>0</v>
      </c>
      <c r="EZ206">
        <f t="shared" si="432"/>
        <v>0.3</v>
      </c>
      <c r="FA206">
        <f t="shared" si="433"/>
        <v>0.28499999999999998</v>
      </c>
      <c r="FB206">
        <f t="shared" si="434"/>
        <v>0.3</v>
      </c>
      <c r="FC206" t="str">
        <f t="shared" si="435"/>
        <v>L3</v>
      </c>
      <c r="FD206" t="str">
        <f>IF(B206="","",IF(CA206=0,IF(AW206=1,"",FF205),IF(OR(N(CV206)&gt;=3,N(BR206)&gt;=3),"L1,L2,L3",IFERROR(_xlfn.TEXTBEFORE(_xlfn.TEXTAFTER(_xlfn.XLOOKUP(A206,Щиты[Щит],Щиты[_фазы авто]),";"&amp;AW206&amp;":"),";"),"L1"))))</f>
        <v>L1</v>
      </c>
      <c r="FE206" t="str">
        <f t="shared" si="436"/>
        <v>L3</v>
      </c>
      <c r="FF206" t="str">
        <f t="shared" si="437"/>
        <v>L3</v>
      </c>
      <c r="FG206" cm="1">
        <f t="array" ref="FG206">IFERROR(IF(BX206=2,_xlfn.IFS(BR206=3,VLOOKUP(BN206,Справочная_двигатели,3,FALSE),BR206=1,VLOOKUP(BN206,Справочная_двигатели,5,TRUE)),0),0)</f>
        <v>0</v>
      </c>
      <c r="FH206">
        <f>IFERROR(IF(BX206=3,VLOOKUP(BN206,Справочная_ЛЭД,2,TRUE),0),0)</f>
        <v>0</v>
      </c>
      <c r="FI206" s="6">
        <f t="shared" si="438"/>
        <v>0</v>
      </c>
      <c r="FJ206" t="str" cm="1">
        <f t="array" ref="FJ206">IF(B206="","",IFERROR(INDEX({"I особая","I","II","III"},MATCH(TRIM(AC206&amp;""),{"I особая","I","II","III"},0)),"III"))</f>
        <v>II</v>
      </c>
      <c r="FK206" t="str">
        <f>IF(B206="","",IF(TRIM(AD206&amp;"")&lt;&gt;"",IF(LOWER(TRIM(AD206&amp;""))="да","да","нет"),IF(IFERROR(_xlfn.XLOOKUP(AX206,Коды_код,Коды_пожарная),"")="да","да","нет")))</f>
        <v>нет</v>
      </c>
      <c r="FL206" t="str">
        <f t="shared" si="439"/>
        <v/>
      </c>
      <c r="FM206" t="str">
        <f t="shared" si="440"/>
        <v>основная</v>
      </c>
      <c r="FN206">
        <f t="shared" si="441"/>
        <v>1</v>
      </c>
      <c r="FO206" t="str" cm="1">
        <f t="array" ref="FO206">IF(B206="","",_xlfn.LET(_xlpm.t,IFERROR(_xlfn.XLOOKUP(1,(Шины[Шина]=FM206)*(((Шины[Щит]=A206)+(Шины[Щит]=""))&gt;0),Шины[Тип]),"")&amp;"",IF(_xlpm.t&lt;&gt;"",_xlpm.t,IF(ISNUMBER(SEARCH("ИБП",FM206)),"ИБП",IF(ISNUMBER(SEARCH("ДГУ",FM206)),"ДГУ","Ввод "&amp;FN206)))))</f>
        <v>Ввод 1</v>
      </c>
      <c r="FP206" t="str">
        <f t="shared" si="442"/>
        <v>Ввод 1</v>
      </c>
      <c r="FQ206" t="str">
        <f>IF(B206="","",IF(OR(FO206="ИБП",FO206="ДГУ"),"I особая",IF(FO206="Одиночная","III",_xlfn.XLOOKUP(A206,Щиты[Щит],Щиты[Категория шины «Ввод»],"III"))))</f>
        <v>II</v>
      </c>
      <c r="FR206">
        <f>IF(B206="",0,IFERROR(MATCH(FJ206,{"III","II","I","I особая"},0),1))</f>
        <v>2</v>
      </c>
      <c r="FS206">
        <f t="shared" si="443"/>
        <v>2</v>
      </c>
      <c r="FT206" t="str">
        <f>IF(B206="","",IF(FR206&gt;IFERROR(MATCH(FQ206,{"III","II","I","I особая"},0),1),"НЕ ОБЕСПЕЧЕНА","ОК"))</f>
        <v>ОК</v>
      </c>
      <c r="FU206" t="str">
        <f>IF(A206="","",_xlfn.XLOOKUP(A206,Щиты[Щит],Щиты[Путь],""))</f>
        <v>|ГРЩ-ЖД|ЩР-01|</v>
      </c>
      <c r="FV206" t="str">
        <f>IF(B206="","",IF(AE206&lt;&gt;"",AE206,IF(IFERROR(_xlfn.XLOOKUP(AX206,Коды_код,Коды_вид)&amp;"","")="","Прочее",_xlfn.XLOOKUP(AX206,Коды_код,Коды_вид)&amp;"")))</f>
        <v>Розеточная сеть и бытовые приборы</v>
      </c>
      <c r="FW206">
        <f>IF(BH206="","",INT((BH206-1)/Столбцов_на_лист)+1)</f>
        <v>3</v>
      </c>
      <c r="FX206" t="str">
        <f t="shared" si="444"/>
        <v>ВВГнг(А)-LS (3х2,5) L=79-0,81%</v>
      </c>
      <c r="FY206">
        <f t="shared" si="445"/>
        <v>0.3</v>
      </c>
      <c r="FZ206">
        <f t="shared" si="446"/>
        <v>1.37</v>
      </c>
      <c r="GA206">
        <f t="shared" si="447"/>
        <v>1</v>
      </c>
      <c r="GB206">
        <f t="shared" si="448"/>
        <v>0</v>
      </c>
      <c r="GC206">
        <f t="shared" si="449"/>
        <v>1</v>
      </c>
      <c r="GD206">
        <f>IF(BH206="","",IF(AND(CA206=1,GC206=1),COUNTIFS(A$3:A206,A206,CA$3:CA206,1,GC$3:GC206,1),IF(OR(OR(AW206=1,A206&lt;&gt;A205),AF206="вручную",GC206=0),"",IF(AW206=1,"",GE205))))</f>
        <v>22</v>
      </c>
      <c r="GE206">
        <f t="shared" si="450"/>
        <v>22</v>
      </c>
      <c r="GF206">
        <f>IF(B206="","",IFERROR(LOOKUP(INDEX(CHOOSE(DL206,Iдоп_1ж,Iдоп_2ж,Iдоп_3ж),MATCH(DX206,Iдоп_S,0))*DJ206*DK206,{6,10,16,20,25,32,40,50,63,80,100,125,160,200,250,315,400,500,630}),""))</f>
        <v>25</v>
      </c>
      <c r="GG206" t="str">
        <f t="shared" si="451"/>
        <v>QFD22</v>
      </c>
      <c r="GH206" t="str">
        <f t="shared" si="452"/>
        <v>QFD22</v>
      </c>
      <c r="GI206" t="str">
        <f t="shared" si="453"/>
        <v/>
      </c>
      <c r="GJ206">
        <f t="shared" si="454"/>
        <v>0</v>
      </c>
      <c r="GK206" t="str">
        <f>IF(OR(AG206="",AG206="-"),"",IFERROR(VLOOKUP(AG206,Модули_спр,2,FALSE),"R"))</f>
        <v/>
      </c>
      <c r="GL206" t="str">
        <f>IF(GK206="","",GK206&amp;"."&amp;COUNTIFS(A$3:A206,A206,GK$3:GK206,GK206))</f>
        <v/>
      </c>
      <c r="GM206" t="str">
        <f t="shared" si="455"/>
        <v/>
      </c>
      <c r="GN206" t="str">
        <f t="shared" si="456"/>
        <v/>
      </c>
      <c r="GO206" t="str">
        <f t="shared" si="457"/>
        <v/>
      </c>
      <c r="GP206" t="str">
        <f t="shared" si="458"/>
        <v/>
      </c>
      <c r="GQ206">
        <f t="shared" si="459"/>
        <v>1</v>
      </c>
      <c r="GR206" t="str">
        <f>IF(GQ206=1,"XT"&amp;COUNTIFS(A$3:A206,A206,GQ$3:GQ206,1),"")</f>
        <v>XT22</v>
      </c>
      <c r="GS206" t="str">
        <f t="shared" si="460"/>
        <v/>
      </c>
      <c r="GT206" t="str">
        <f t="shared" si="461"/>
        <v>QFD22</v>
      </c>
      <c r="GU206" t="str">
        <f t="shared" si="462"/>
        <v/>
      </c>
      <c r="GV206" t="str">
        <f t="shared" si="463"/>
        <v>ok</v>
      </c>
      <c r="GW206" t="str">
        <f>IF(OR(GO206="",GM206=""),"",IF(GO206&gt;IFERROR(VLOOKUP(GN206,Модули_спр,3,FALSE),99),"ЛИШНИЙ КАНАЛ",IF(AND(AH206&lt;&gt;"=",COUNTIFS(Линии[_модуль гр.],GM206,Линии[Канал (итог)],GO206,Линии[Канал],"&lt;&gt;=",Линии[Щит],A206)&gt;1),"ДУБЛЬ КАНАЛА","")))</f>
        <v/>
      </c>
      <c r="GX206" s="6" t="str">
        <f t="shared" si="464"/>
        <v/>
      </c>
      <c r="GY206">
        <f t="shared" si="465"/>
        <v>10</v>
      </c>
      <c r="GZ206" t="str">
        <f t="shared" si="466"/>
        <v/>
      </c>
      <c r="HA206" t="str">
        <f>IF(AND(B206="",GT206=""),"",_xlfn.TEXTJOIN("; ",TRUE,IF(AND(B206&lt;&gt;"",FE206=""),"нет фазы",""),IF(AND(B206&lt;&gt;"",N(FY206)=0,EQ206&lt;&gt;"Нет"),"нет мощности",""),IF(AND(GS206&lt;&gt;"",COUNTIFS(Линии[Щит],A206,Линии[Клемма (итог)],GS206)&gt;1),"дубль клеммы "&amp;GS206,""),IF(AND(GV206&lt;&gt;"",GV206&lt;&gt;"ok"),GV206,""),IF(GW206&lt;&gt;"",GW206,""),IF(AND(N(BV206)&gt;=4,N(BR206)=1),BV206&amp;" жил на 1 фазе",""),IF(AND(AX206="R",CA206=1,OR(N(CK206)=0,N(CK206)&gt;30)),"розетка без дифзащиты до 30 мА",""),IFERROR(IF(AND(ISNUMBER(R206),R206&gt;DV206),"потери "&amp;FIXED(R206,1)&amp;" % &gt; "&amp;DV206&amp;" %",""),""),IFERROR(IF(LEFT(GZ206,4)="мало","Iкз мало — отключение &gt; 0,4 с",""),""),IF(AND(B206&lt;&gt;"",BH206=""),"не на схеме",""),IF(AND(CA206=0,B206&lt;&gt;"",FE206&lt;&gt;"",IF(AW206=1,"",FF205)&lt;&gt;"",FE206&lt;&gt;IF(AW206=1,"",FF205)),"фаза не как у автомата группы ("&amp;IF(AW206=1,"",FF205)&amp;")","")))</f>
        <v/>
      </c>
      <c r="HB206" s="6">
        <f>IF(OR(CA206=0,DA206=""),"",_xlfn.LET(_xlpm.t,IFERROR(_xlfn.XLOOKUP(DA206,Каталог!$U$4:$U$500,Каталог!$G$4:$G$500),""),_xlpm.k,SEARCH("кА",_xlpm.t),IFERROR(--TRIM(RIGHT(SUBSTITUTE(MID(_xlpm.t,MAX(1,_xlpm.k-4),_xlpm.k-MAX(1,_xlpm.k-4))," ",REPT(" ",9)),5)),"")))</f>
        <v>6</v>
      </c>
      <c r="HC206" t="str">
        <f>IF(OR(HB206="",CA206=0),"",IF(_xlfn.XLOOKUP(A206,Щиты[Щит],Щиты[Iкз max на шинах, кА],"")="","",IF(HB206&lt;_xlfn.XLOOKUP(A206,Щиты[Щит],Щиты[Iкз max на шинах, кА]),"Icu "&amp;HB206&amp;" кА &lt; Iкз max","ok")))</f>
        <v/>
      </c>
      <c r="HD206" t="str">
        <f t="shared" si="467"/>
        <v/>
      </c>
      <c r="HE206" t="str">
        <f t="shared" si="468"/>
        <v>QFD22</v>
      </c>
      <c r="HF206" t="str">
        <f t="shared" si="469"/>
        <v>QFD22|кабель ВВГнг(А)-LS (3х2,5) → Розеточная группа, пом. 012A</v>
      </c>
      <c r="HG206" t="str" cm="1">
        <f t="array" ref="HG206">IF(HF206="","",_xlfn.LET(_xlpm.nd,_xlfn.TEXTSPLIT(HF206,"|"),IF(COLUMNS(_xlpm.nd)&gt;1,A206&amp;"¦"&amp;INDEX(_xlpm.nd,1)&amp;"¦"&amp;INDEX(_xlpm.nd,2),"")))</f>
        <v>ЩР-01¦QFD22¦кабель ВВГнг(А)-LS (3х2,5) → Розеточная группа, пом. 012A</v>
      </c>
      <c r="HH206" t="str">
        <f t="shared" si="470"/>
        <v>R.0.012A.1¦Розеточная группа, пом. 012A</v>
      </c>
      <c r="HI206" t="str" cm="1">
        <f t="array" ref="HI206">IF(HF206="","",_xlfn.LET(_xlpm.nd,_xlfn.TEXTSPLIT(HF206,"|"),IF(COLUMNS(_xlpm.nd)&gt;2,A206&amp;"¦"&amp;INDEX(_xlpm.nd,2)&amp;"¦"&amp;INDEX(_xlpm.nd,3),"")))</f>
        <v/>
      </c>
      <c r="HJ206" t="str">
        <f t="shared" si="471"/>
        <v/>
      </c>
      <c r="HK206" t="str" cm="1">
        <f t="array" ref="HK206">IF(HF206="","",_xlfn.LET(_xlpm.nd,_xlfn.TEXTSPLIT(HF206,"|"),IF(COLUMNS(_xlpm.nd)&gt;3,A206&amp;"¦"&amp;INDEX(_xlpm.nd,3)&amp;"¦"&amp;INDEX(_xlpm.nd,4),"")))</f>
        <v/>
      </c>
      <c r="HL206" t="str">
        <f t="shared" si="472"/>
        <v/>
      </c>
      <c r="HM206" t="str" cm="1">
        <f t="array" ref="HM206">IF(HF206="","",_xlfn.LET(_xlpm.nd,_xlfn.TEXTSPLIT(HF206,"|"),IF(COLUMNS(_xlpm.nd)&gt;4,A206&amp;"¦"&amp;INDEX(_xlpm.nd,4)&amp;"¦"&amp;INDEX(_xlpm.nd,5),"")))</f>
        <v/>
      </c>
      <c r="HN206" t="str">
        <f t="shared" si="473"/>
        <v/>
      </c>
      <c r="HO206" t="str" cm="1">
        <f t="array" ref="HO206">IF(HF206="","",_xlfn.LET(_xlpm.nd,_xlfn.TEXTSPLIT(HF206,"|"),IF(COLUMNS(_xlpm.nd)&gt;5,A206&amp;"¦"&amp;INDEX(_xlpm.nd,5)&amp;"¦"&amp;INDEX(_xlpm.nd,6),"")))</f>
        <v/>
      </c>
      <c r="HP206" t="str">
        <f t="shared" si="474"/>
        <v/>
      </c>
      <c r="HQ206" t="str" cm="1">
        <f t="array" ref="HQ206">IF(HF206="","",_xlfn.LET(_xlpm.nd,_xlfn.TEXTSPLIT(HF206,"|"),IF(COLUMNS(_xlpm.nd)&gt;6,A206&amp;"¦"&amp;INDEX(_xlpm.nd,6)&amp;"¦"&amp;INDEX(_xlpm.nd,7),"")))</f>
        <v/>
      </c>
      <c r="HR206" t="str">
        <f t="shared" si="475"/>
        <v/>
      </c>
      <c r="HS206" t="str">
        <f t="shared" si="476"/>
        <v/>
      </c>
      <c r="HT206" t="str">
        <f t="shared" si="477"/>
        <v>QFD22</v>
      </c>
      <c r="HU206">
        <f t="shared" si="478"/>
        <v>0</v>
      </c>
      <c r="HV206">
        <f t="shared" si="479"/>
        <v>1</v>
      </c>
      <c r="HW206" t="str">
        <f t="shared" si="480"/>
        <v/>
      </c>
      <c r="HX206" t="str">
        <f t="shared" si="481"/>
        <v/>
      </c>
      <c r="HY206" t="str">
        <f t="shared" si="482"/>
        <v/>
      </c>
      <c r="HZ206" t="str">
        <f t="shared" si="483"/>
        <v/>
      </c>
      <c r="IA206" t="str">
        <f>IF(B206="","",IFERROR(VLOOKUP(B206,УГО_спр,2,FALSE),IFERROR(VLOOKUP(AX206,УГО_спр,2,FALSE),IFERROR(VLOOKUP(LEFT(AX206,2),УГО_спр,2,FALSE),""))))</f>
        <v>Розетка</v>
      </c>
      <c r="IB206" t="str">
        <f>IF(B206="","",IF(OR(IA206="",IA206=0),"BOX",IFERROR(IF(VLOOKUP(IA206,УГО_блоки,3,FALSE)&amp;""&lt;&gt;"",VLOOKUP(IA206,УГО_блоки,3,FALSE),VLOOKUP(IA206,УГО_блоки,2,FALSE)),IA206)))</f>
        <v>SOCKET</v>
      </c>
      <c r="IC206">
        <f t="shared" si="484"/>
        <v>1</v>
      </c>
      <c r="ID206" t="str">
        <f>IF(DA206="","",IF(COUNTIF(DA$3:DA206,DA206)=1,MAX(ID$2:ID205)+1,""))</f>
        <v/>
      </c>
      <c r="IE206" t="str">
        <f>IF(CO206="","",IF(COUNTIF(CO$3:CO206,CO206)+COUNTIF(CP$2:CP205,CO206)+COUNTIF(CQ$2:CQ205,CO206)=1,MAX(IE$2:IG205)+1,""))</f>
        <v/>
      </c>
      <c r="IF206" t="str">
        <f>IF(CP206="","",IF(COUNTIF(CO$3:CO206,CP206)+COUNTIF(CP$3:CP206,CP206)+COUNTIF(CQ$2:CQ205,CP206)=1,MAX(IE$2:IG205,IE206)+1,""))</f>
        <v/>
      </c>
      <c r="IG206" t="str">
        <f>IF(CQ206="","",IF(COUNTIF(CO$3:CO206,CQ206)+COUNTIF(CP$3:CP206,CQ206)+COUNTIF(CQ$3:CQ206,CQ206)=1,MAX(IE$2:IG205,IE206,IF206)+1,""))</f>
        <v/>
      </c>
      <c r="IH206" t="str">
        <f t="shared" si="485"/>
        <v>3х2,5</v>
      </c>
      <c r="II206" t="str">
        <f>IF(IH206="","",IF(COUNTIF(IH$3:IH206,IH206)=1,MAX(II$2:II205)+1,""))</f>
        <v/>
      </c>
      <c r="IJ206" t="str">
        <f>IF(GL206="","",COUNTIF(GL$3:GL206,"?*"))</f>
        <v/>
      </c>
      <c r="IK206" t="str">
        <f>IF(OR(GL206="",GN206=""),"",IF(COUNTIFS(GL$3:GL206,"?*",GN$3:GN206,GN206)=1,MAX(IK$2:IK205)+1,""))</f>
        <v/>
      </c>
      <c r="IL206">
        <f t="shared" si="486"/>
        <v>0</v>
      </c>
      <c r="IM206">
        <f>IF(B206="","",COUNTIF(B$3:B206,"?*"))</f>
        <v>204</v>
      </c>
      <c r="IN206">
        <f>IF(GQ206&lt;&gt;1,0,_xlfn.LET(_xlpm.k,MAX(IFERROR(--VLOOKUP(B206,УГО_спр,5,FALSE),0),IFERROR(--VLOOKUP(AX206,УГО_спр,5,FALSE),0),IFERROR(--VLOOKUP(LEFT(AX206,2),УГО_спр,5,FALSE),0)),IF(_xlpm.k&gt;0,_xlpm.k,IF(IFERROR(--LEFT(SUBSTITUTE(IH206,"x","х"),FIND("х",SUBSTITUTE(IH206,"x","х"))-1),3)&gt;3,Каталог!$S$9,1))))</f>
        <v>1</v>
      </c>
      <c r="IO206">
        <f t="shared" si="487"/>
        <v>0</v>
      </c>
      <c r="IP206" t="str">
        <f t="shared" si="488"/>
        <v>авто</v>
      </c>
      <c r="IQ206">
        <f t="shared" si="489"/>
        <v>30</v>
      </c>
      <c r="IR206">
        <f t="shared" si="490"/>
        <v>1</v>
      </c>
      <c r="IS206">
        <f t="shared" si="491"/>
        <v>1</v>
      </c>
    </row>
    <row r="207" spans="1:253" x14ac:dyDescent="0.3">
      <c r="A207" t="s">
        <v>757</v>
      </c>
      <c r="B207" t="s">
        <v>1473</v>
      </c>
      <c r="C207" t="str">
        <f>Линии[[#This Row],[_авто наименование]]</f>
        <v>Розеточная группа, пом. 013A</v>
      </c>
      <c r="D207">
        <v>2</v>
      </c>
      <c r="E207">
        <v>0.12</v>
      </c>
      <c r="G207" t="str">
        <f>Линии[[#This Row],[_авто автомат]]</f>
        <v>2P С16А 30мА</v>
      </c>
      <c r="H207">
        <f>Линии[[#This Row],[_авто утечка]]</f>
        <v>30</v>
      </c>
      <c r="I207" t="str">
        <f>Линии[[#This Row],[_авто управление]]</f>
        <v/>
      </c>
      <c r="J207" t="str">
        <f>Линии[[#This Row],[_авто аппараты]]</f>
        <v/>
      </c>
      <c r="K207">
        <v>2.5</v>
      </c>
      <c r="L207">
        <v>54</v>
      </c>
      <c r="M207">
        <v>3</v>
      </c>
      <c r="N207" t="s">
        <v>486</v>
      </c>
      <c r="O207" t="str">
        <f t="shared" si="369"/>
        <v/>
      </c>
      <c r="P207" s="6" cm="1">
        <f t="array" ref="P207">IF(B207="","",IF(BC207&lt;&gt;"",IFERROR(_xlfn.XLOOKUP(BC207,Щиты[Щит],Щиты[Iр, А]),""),IF(BK207=1,IFERROR(_xlfn.XLOOKUP(A207,Щиты[Щит],Щиты[Iр, А]),""),IFERROR(_xlfn.IFS(BR207=1,BN207/((Uн_лин/SQRT(3))*BY207),BR207=3,BN207/(SQRT(3)*Uн_лин*BY207)),""))))</f>
        <v>0.54696341291648753</v>
      </c>
      <c r="Q207" s="7">
        <f>IF(B207="","",IFERROR(IF(VLOOKUP(AX207,Потребители_обозначение,4,FALSE)=1,VLOOKUP(AX207,Потребители_обозначение,3,FALSE)*(D207*2-1)+DS207+VLOOKUP(AZ207,Этаж_обозначение,3,FALSE)+VLOOKUP(AZ207,Этаж_обозначение,4,FALSE),VLOOKUP(AX207,Потребители_обозначение,3,FALSE)*(D207*2-1)+DS207),DS207))</f>
        <v>63</v>
      </c>
      <c r="R207" s="6">
        <f t="shared" si="370"/>
        <v>0.69</v>
      </c>
      <c r="S207" t="str">
        <f t="shared" si="371"/>
        <v>ВВГнг(А)-LS (3х2,5)</v>
      </c>
      <c r="T207" t="str">
        <f>IF(BH207="","",IF(BI207="вводной узел","узел ","")&amp;"л."&amp;(INT((BH207-1)/Столбцов_на_лист)+1)&amp;" / "&amp;(MOD(BH207-1,Столбцов_на_лист)+1))</f>
        <v>л.3 / 8</v>
      </c>
      <c r="V207">
        <v>1</v>
      </c>
      <c r="W207">
        <v>230</v>
      </c>
      <c r="X207" t="s">
        <v>564</v>
      </c>
      <c r="AC207" t="s">
        <v>815</v>
      </c>
      <c r="AE207" t="s">
        <v>563</v>
      </c>
      <c r="AI207">
        <v>42</v>
      </c>
      <c r="AJ207" t="s">
        <v>11</v>
      </c>
      <c r="AK207">
        <v>3</v>
      </c>
      <c r="AM207">
        <v>40</v>
      </c>
      <c r="AN207">
        <v>23</v>
      </c>
      <c r="AO207">
        <v>8</v>
      </c>
      <c r="AW207" cm="1">
        <f t="array" ref="AW207">ROW()-ROW(Линии[#Headers])</f>
        <v>205</v>
      </c>
      <c r="AX207" s="6" t="str">
        <f t="shared" si="372"/>
        <v>R</v>
      </c>
      <c r="AY207" t="str">
        <f t="shared" si="373"/>
        <v>0.013A.1</v>
      </c>
      <c r="AZ207" t="str">
        <f t="shared" si="374"/>
        <v>0</v>
      </c>
      <c r="BA207" t="str">
        <f t="shared" si="375"/>
        <v>013A.1</v>
      </c>
      <c r="BB207" t="str">
        <f t="shared" si="376"/>
        <v>013A</v>
      </c>
      <c r="BC207" t="str">
        <f>IF(U207&lt;&gt;"",U207,IF(AND(B207&lt;&gt;"",B207&lt;&gt;A207,ISNUMBER(_xlfn.XMATCH(B207,Щиты[Щит]))),B207,""))</f>
        <v/>
      </c>
      <c r="BD207" t="str" cm="1">
        <f t="array" ref="BD207">IF(B207="","",IF(BC207&lt;&gt;"","Щит "&amp;BC207,_xlfn.LET(_xlpm.nm,IFERROR(_xlfn.XLOOKUP(AX207,Коды_код,Коды_имя)&amp;"",""),_xlpm.md,IFERROR(N(_xlfn.XLOOKUP(AX207,Коды_код,Коды_режим)),1),_xlpm.ex,IF(Имя_режим="по экспликации",IFERROR(_xlfn.XLOOKUP(AZ207&amp;"|"&amp;BB207,Экспликация[Этаж]&amp;"|"&amp;Экспликация[Помещение],Экспликация[Название])&amp;"",""),""),_xlpm.rm,IF(BB207="","",IF(_xlpm.ex&lt;&gt;"",". "&amp;_xlpm.ex&amp;IF(Имя_пом="нет"," ("&amp;BB207&amp;")"," (пом. "&amp;BB207&amp;")"),IF(Имя_пом="нет"," ",", пом. ")&amp;BB207)),IF(_xlpm.nm="","",IF(_xlpm.md=2,_xlpm.nm&amp;" шлейф "&amp;AZ207,_xlpm.nm&amp;_xlpm.rm)))))</f>
        <v>Розеточная группа, пом. 013A</v>
      </c>
      <c r="BE207" t="str">
        <f t="shared" si="377"/>
        <v>Розеточная группа, пом. 013A</v>
      </c>
      <c r="BF207">
        <f>IFERROR(_xlfn.XMATCH(A207,Щиты[Щит]),0)</f>
        <v>9</v>
      </c>
      <c r="BG207">
        <f>_xlfn.LET(_xlpm.k,IFERROR(_xlfn.XLOOKUP(A207,Щиты[Щит],Щиты[Листов под вводной узел]),""),IF(_xlpm.k="",1,N(_xlpm.k))*Столбцов_на_лист)</f>
        <v>17</v>
      </c>
      <c r="BH207">
        <f t="shared" si="378"/>
        <v>42</v>
      </c>
      <c r="BI207" t="str">
        <f t="shared" si="379"/>
        <v>линии</v>
      </c>
      <c r="BJ207" s="6">
        <f>IFERROR(N(_xlfn.XLOOKUP(AX207,Коды_код,Коды_квт)),0)</f>
        <v>0</v>
      </c>
      <c r="BK207">
        <f t="shared" si="380"/>
        <v>0</v>
      </c>
      <c r="BL207" t="str">
        <f>IF(B207="","",IF(BC207&lt;&gt;"",IFERROR(_xlfn.XLOOKUP(BC207,Щиты[Щит],Щиты[Руст, кВт]),0),IF(BK207=1,IFERROR(_xlfn.XLOOKUP(A207,Щиты[Щит],Щиты[Руст, кВт]),0),IF(BJ207&gt;0,ROUND(BJ207*MAX(1,N(D207)),3),""))))</f>
        <v/>
      </c>
      <c r="BM207">
        <f t="shared" si="381"/>
        <v>0.12</v>
      </c>
      <c r="BN207" s="6">
        <f>IF(B207="","",IF(BC207&lt;&gt;"",IFERROR(_xlfn.XLOOKUP(BC207,Щиты[Щит],Щиты[Руст, кВт]),0),N(BM207)))</f>
        <v>0.12</v>
      </c>
      <c r="BO207" t="str">
        <f>IF(B207="","",IFERROR(IF(VLOOKUP(AX207,Потребители_обозначение,8,FALSE)=0,"",VLOOKUP(AX207,Потребители_обозначение,8,FALSE)),""))</f>
        <v/>
      </c>
      <c r="BP207">
        <f t="shared" si="382"/>
        <v>230</v>
      </c>
      <c r="BQ207">
        <f>IF(B207="","",IF(BC207&lt;&gt;"",3,IFERROR(IF(N(VLOOKUP(AX207,Потребители_обозначение,9,FALSE))=0,1,VLOOKUP(AX207,Потребители_обозначение,9,FALSE)),1)))</f>
        <v>1</v>
      </c>
      <c r="BR207">
        <f t="shared" si="383"/>
        <v>1</v>
      </c>
      <c r="BS207" t="str">
        <f>IF(B207="","",_xlfn.LET(_xlpm.bc,IFERROR(IF(VLOOKUP(AX207,Потребители_обозначение,6,FALSE)=0,"",VLOOKUP(AX207,Потребители_обозначение,6,FALSE)&amp;""),""),IF(AND(FK207="да",OR(_xlpm.bc="",_xlpm.bc="мс")),Марка_пож,IF(AND(_xlpm.bc="",BC207&lt;&gt;""),"мс",_xlpm.bc))))</f>
        <v/>
      </c>
      <c r="BT207" t="str">
        <f t="shared" si="384"/>
        <v>мс</v>
      </c>
      <c r="BU207">
        <f>IF(B207="","",_xlfn.LET(_xlpm.cc,IFERROR(N(VLOOKUP(AX207,Потребители_обозначение,7,FALSE)),0),IF(_xlpm.cc&gt;0,_xlpm.cc,IF(BT207="","",IF(N(BR207)=3,5,3)))))</f>
        <v>3</v>
      </c>
      <c r="BV207">
        <f t="shared" si="385"/>
        <v>3</v>
      </c>
      <c r="BW207">
        <f>IFERROR(N(VLOOKUP(AX207,Потребители_обозначение,10,FALSE)),0)</f>
        <v>0</v>
      </c>
      <c r="BX207">
        <f>IFERROR(VLOOKUP(AX207,Потребители_обозначение,5,FALSE),0)</f>
        <v>1</v>
      </c>
      <c r="BY207" s="6" cm="1">
        <f t="array" ref="BY207">IF(B207="","",IF(BC207&lt;&gt;"",IFERROR(_xlfn.XLOOKUP(BC207,Щиты[Щит],Щиты[cos φ]),0.95),IF(BK207=1,IFERROR(_xlfn.XLOOKUP(A207,Щиты[Щит],Щиты[cos φ]),0.95),IF(ISNUMBER(Z207),Z207,IFERROR(IF(BX207=2,_xlfn.IFS(BR207=3,VLOOKUP(BN207,Справочная_двигатели,8,FALSE),BR207=1,VLOOKUP(BN207,Справочная_двигатели,10,TRUE)),IF(AND(Методика="нормы 2026",EQ207="Сил"),0.8,0.95)),0.95)))))</f>
        <v>0.95</v>
      </c>
      <c r="BZ207">
        <f t="shared" si="386"/>
        <v>0</v>
      </c>
      <c r="CA207">
        <f t="shared" si="387"/>
        <v>1</v>
      </c>
      <c r="CB207">
        <f t="shared" si="388"/>
        <v>0</v>
      </c>
      <c r="CC207">
        <f t="shared" si="389"/>
        <v>0</v>
      </c>
      <c r="CD207">
        <f t="shared" si="390"/>
        <v>0</v>
      </c>
      <c r="CE207">
        <f t="shared" si="391"/>
        <v>0</v>
      </c>
      <c r="CF207">
        <f t="shared" si="392"/>
        <v>0</v>
      </c>
      <c r="CG207">
        <f>IF(AX207="",0,_xlfn.LET(_xlpm.v,IFERROR(VLOOKUP(B207,УГО_спр,3,FALSE),IFERROR(VLOOKUP(AX207,УГО_спр,3,FALSE),IFERROR(VLOOKUP(LEFT(AX207,2),УГО_спр,3,FALSE),""))),IF(_xlpm.v="да",30,IF(ISNUMBER(_xlpm.v),_xlpm.v,0))))</f>
        <v>30</v>
      </c>
      <c r="CH207">
        <f t="shared" si="393"/>
        <v>30</v>
      </c>
      <c r="CI207" t="str">
        <f>_xlfn.LET(_xlpm.k,IFERROR(_xlfn.XLOOKUP(AX207,Коды_код,Коды_утечка)&amp;"",""),IF(_xlpm.k="","дифавтомат",_xlpm.k))</f>
        <v>дифавтомат</v>
      </c>
      <c r="CJ207">
        <f t="shared" si="394"/>
        <v>30</v>
      </c>
      <c r="CK207">
        <f t="shared" si="395"/>
        <v>30</v>
      </c>
      <c r="CL207">
        <f>IF(B207="",0,IFERROR(--VLOOKUP(B207,УГО_спр,4,FALSE),IFERROR(--VLOOKUP(AX207,УГО_спр,4,FALSE),IFERROR(--VLOOKUP(LEFT(AX207,2),УГО_спр,4,FALSE),0))))</f>
        <v>16</v>
      </c>
      <c r="CM207" t="str">
        <f>IF(B207="","",IFERROR(_xlfn.XLOOKUP(AX207,Коды_код,Коды_апп)&amp;"",""))</f>
        <v/>
      </c>
      <c r="CN207" t="str">
        <f t="shared" si="396"/>
        <v/>
      </c>
      <c r="CO207" t="str" cm="1">
        <f t="array" ref="CO207">IF(TRIM(CN207&amp;"")="","",IFERROR(TRIM(INDEX(_xlfn.TEXTSPLIT(CN207&amp;";;;",";"),1)),""))</f>
        <v/>
      </c>
      <c r="CP207" t="str" cm="1">
        <f t="array" ref="CP207">IF(TRIM(CN207&amp;"")="","",IFERROR(TRIM(INDEX(_xlfn.TEXTSPLIT(CN207&amp;";;;",";"),2)),""))</f>
        <v/>
      </c>
      <c r="CQ207" t="str" cm="1">
        <f t="array" ref="CQ207">IF(TRIM(CN207&amp;"")="","",IFERROR(TRIM(INDEX(_xlfn.TEXTSPLIT(CN207&amp;";;;",";"),3)),""))</f>
        <v/>
      </c>
      <c r="CR207">
        <f t="shared" si="397"/>
        <v>0</v>
      </c>
      <c r="CS207" t="str">
        <f>IF(B207="","",_xlfn.LET(_xlpm.t,LOWER(AV207&amp;""),IF(ISNUMBER(SEARCH("dim",_xlpm.t)),"DIM",IF(ISNUMBER(SEARCH("dali",_xlpm.t)),"DALI",IF(OR(ISNUMBER(SEARCH("relay",_xlpm.t)),ISNUMBER(SEARCH("реле",_xlpm.t))),"Relay",IF(ISNUMBER(SEARCH("кнопк",_xlpm.t)),"",IFERROR(_xlfn.XLOOKUP(AX207,Коды_код,Коды_упр)&amp;"","")))))))</f>
        <v/>
      </c>
      <c r="CT207" t="str">
        <f t="shared" si="398"/>
        <v/>
      </c>
      <c r="CU207">
        <f>IF(B207="","",_xlfn.LET(_xlpm.ig,N(P207)+IF(AF207="вручную",0,N(CB207)),_xlpm.n0,IFERROR(VLOOKUP(_xlpm.ig,Автомат_номиналы,2,TRUE),0),_xlpm.mn,MAX(CL207,IF(AF207="вручную",0,N(CE207))),MAX(_xlpm.n0,_xlpm.mn,IF(CR207=1,Мин_автомат_БП,0))))</f>
        <v>16</v>
      </c>
      <c r="CV207">
        <f t="shared" si="399"/>
        <v>1</v>
      </c>
      <c r="CW207" t="str">
        <f t="shared" si="400"/>
        <v>2P</v>
      </c>
      <c r="CX207" t="str">
        <f>_xlfn.LET(_xlpm.cc,UPPER(TRIM(IFERROR(_xlfn.XLOOKUP(AX207,Коды_код,Коды_хар)&amp;"",""))),IF(OR(_xlpm.cc="B",_xlpm.cc="В"),"B",IF(_xlpm.cc="D","D","С")))</f>
        <v>С</v>
      </c>
      <c r="CY207" t="str">
        <f t="shared" si="401"/>
        <v>2P С16А 30мА</v>
      </c>
      <c r="CZ207" t="str">
        <f t="shared" si="402"/>
        <v>2P С16А 30мА</v>
      </c>
      <c r="DA207" t="str">
        <f t="shared" si="403"/>
        <v>2P С16А 30мА</v>
      </c>
      <c r="DB207" cm="1">
        <f t="array" ref="DB207">IF(DA207="","",_xlfn.LET(_xlpm.t,SUBSTITUTE(SUBSTITUTE(SUBSTITUTE(UPPER(DA207),"С","C"),"А","A"),"В","B"),_xlpm.tk,_xlfn.TEXTSPLIT(_xlpm.t,"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7" t="str">
        <f t="shared" si="404"/>
        <v>ok</v>
      </c>
      <c r="DD207">
        <f t="shared" si="405"/>
        <v>16</v>
      </c>
      <c r="DE207" t="str">
        <f t="shared" si="406"/>
        <v>2P С16А 30мА</v>
      </c>
      <c r="DF207">
        <f t="shared" si="407"/>
        <v>30</v>
      </c>
      <c r="DG207">
        <f t="shared" si="408"/>
        <v>1</v>
      </c>
      <c r="DH207">
        <f t="shared" si="409"/>
        <v>0</v>
      </c>
      <c r="DI207">
        <f t="shared" si="410"/>
        <v>0.54696341291648753</v>
      </c>
      <c r="DJ207">
        <f t="shared" si="411"/>
        <v>1</v>
      </c>
      <c r="DK207">
        <f>IF(ISNUMBER(AL207),AL207,К_прокл)</f>
        <v>1</v>
      </c>
      <c r="DL207">
        <f t="shared" si="412"/>
        <v>2</v>
      </c>
      <c r="DM207">
        <f>IFERROR(N(VLOOKUP(BT207,Кабель_обозначение,3,FALSE)),1)</f>
        <v>1</v>
      </c>
      <c r="DN207">
        <f>IFERROR(N(_xlfn.XLOOKUP(A207,Щиты[Щит],Щиты[ΔU до шин, %])),0)</f>
        <v>0.43</v>
      </c>
      <c r="DO207" t="str">
        <f>IFERROR(_xlfn.XLOOKUP(A207,Щиты[Щит],Щиты[Zпетли на шинах, Ом]),"")</f>
        <v/>
      </c>
      <c r="DP207">
        <f>IFERROR(N(_xlfn.XLOOKUP(A207,Щиты[Щит],Щиты[ΔU до шин (подбор), %])),0)</f>
        <v>0.43</v>
      </c>
      <c r="DQ207" t="str">
        <f>IFERROR(_xlfn.XLOOKUP(A207,Щиты[Щит],Щиты[Zпетли на шинах (подбор), Ом]),"")</f>
        <v/>
      </c>
      <c r="DR207" t="str">
        <f t="shared" si="413"/>
        <v/>
      </c>
      <c r="DS207">
        <f t="shared" si="414"/>
        <v>54</v>
      </c>
      <c r="DT207">
        <f t="shared" si="415"/>
        <v>2</v>
      </c>
      <c r="DU207">
        <f t="shared" si="416"/>
        <v>0.31</v>
      </c>
      <c r="DV207" s="6">
        <f>IF(B207="","",IF(IFERROR(VLOOKUP(AX207,УГО_спр,2,FALSE),"")="Светильник",3,4)+IF(Методика="нормы 2026",MIN(0.5,MAX(0,N(Q207)-100)*0.005),0))</f>
        <v>4</v>
      </c>
      <c r="DW207" cm="1">
        <f t="array" ref="DW207">IF(OR(B207="",BT207="",DM207&lt;&gt;1),"",_xlfn.LET(_xlpm.sz,Iдоп_S,_xlpm.t_,CHOOSE(DL207,Iдоп_1ж,Iдоп_2ж,Iдоп_3ж)*DJ207*DK207,_xlpm.inn,N(DD207),_xlpm.smin,MAX(1.5,BW207),_xlpm.L_,N(Q207)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207)*(_xlpm.rho*_xlpm.L_/_xlpm.sz*N(BY207)+_xlpm.xx*_xlpm.L_*N(DU207)/1000)*N(P207)/((Uн_лин/SQRT(3))*1000)*100,999),_xlpm.kz,IF(OR(DG207=1,NOT(ISNUMBER(DQ207)),_xlpm.L_=0,_xlpm.inn=0),1,IFERROR(--(c_min*(Uн_лин*1000/SQRT(3))/(DQ207+2*ρкз_Cu*_xlpm.L_/_xlpm.sz)&gt;=GY207*_xlpm.inn),0)),_xlpm.ok,IFERROR((_xlpm.sz&gt;=_xlpm.smin)*(_xlpm.t_&gt;=_xlpm.inn)*IF(_xlpm.L_&gt;0,(_xlpm.du_+DP207&lt;=DV207+0.00001),1)*_xlpm.kz,0),_xlpm.r_,_xlfn._xlws.FILTER(_xlpm.sz,_xlpm.ok,"не подобрано"),INDEX(_xlpm.r_,1)))</f>
        <v>1.5</v>
      </c>
      <c r="DX207">
        <f t="shared" si="417"/>
        <v>2.5</v>
      </c>
      <c r="DY207" cm="1">
        <f t="array" ref="DY207">IF(OR(B207="",BT207="",DM207&lt;&gt;1),"",_xlfn.LET(_xlpm.sz,Iдоп_S,_xlpm.t_,CHOOSE(DL207,Iдоп_1ж,Iдоп_2ж,Iдоп_3ж)*DJ207*DK207,_xlpm.ok,IFERROR((_xlpm.sz&gt;=MAX(1.5,BW207))*(_xlpm.t_&gt;=N(DD207)),0),_xlpm.r_,_xlfn._xlws.FILTER(_xlpm.sz,_xlpm.ok,""),INDEX(_xlpm.r_,1)))</f>
        <v>1.5</v>
      </c>
      <c r="DZ207" s="6" cm="1">
        <f t="array" ref="DZ207">IFERROR(ROUNDUP(N(DT207)*(_xlfn.XLOOKUP(DY207,INDEX(Кабель_сопротивление,0,1),INDEX(Кабель_сопротивление,0,3))*N(Q207)/DY207*N(BY207)+_xlfn.XLOOKUP(DY207,INDEX(Кабель_сопротивление,0,1),INDEX(Кабель_сопротивление,0,2))*N(Q207)*N(DU207)/1000)*N(P207)/((Uн_лин/SQRT(3))*1000)*100,2),"")</f>
        <v>0.43</v>
      </c>
      <c r="EA207">
        <f>IFERROR(2*ρкз_Cu*N(Q207)/DY207,"")</f>
        <v>2.2092000000000001</v>
      </c>
      <c r="EB207">
        <f>IFERROR(VLOOKUP(DX207,Кабель_сопротивление,3,FALSE),"")</f>
        <v>2.2499999999999999E-2</v>
      </c>
      <c r="EC207">
        <f>IFERROR(VLOOKUP(DX207,Кабель_сопротивление,2,FALSE),"")</f>
        <v>0.1</v>
      </c>
      <c r="ED207">
        <f t="shared" si="418"/>
        <v>23</v>
      </c>
      <c r="EE207">
        <f t="shared" si="419"/>
        <v>8</v>
      </c>
      <c r="EF207">
        <f t="shared" si="420"/>
        <v>0.59138012382578375</v>
      </c>
      <c r="EG207" s="6">
        <f>IFERROR(ROUNDUP(EF207/((Uн_лин/SQRT(3))*1000)*100,2),"")</f>
        <v>0.26</v>
      </c>
      <c r="EH207" t="str">
        <f>IFERROR(VLOOKUP(BT207,Кабель_обозначение,2,FALSE),"")</f>
        <v>ВВГнг(А)-LS</v>
      </c>
      <c r="EI207" t="str">
        <f t="shared" si="421"/>
        <v>ВВГнг(А)-LS (3х2,5)</v>
      </c>
      <c r="EJ207" t="str">
        <f t="shared" si="422"/>
        <v>ВВГнг(А)-LS (3х2,5)
L=63-0,26%</v>
      </c>
      <c r="EK207">
        <f>IFERROR(2*ρкз_Cu*Q207/DX207,"")</f>
        <v>1.32552</v>
      </c>
      <c r="EL207">
        <f t="shared" si="423"/>
        <v>0.441</v>
      </c>
      <c r="EM207" s="6" t="str">
        <f>IFERROR(IF(OR(B207="",NOT(ISNUMBER(DX207)),N(Q207)=0),"",_xlfn.XLOOKUP(A207,Щиты[Щит],Щиты[Zпетли на шинах, Ом])+EK207),"")</f>
        <v/>
      </c>
      <c r="EN207" s="6" t="str">
        <f>IF(ISNUMBER(EM207),c_min*(Uн_лин*1000/SQRT(3))/EM207,"")</f>
        <v/>
      </c>
      <c r="EO207" s="6" t="str">
        <f>IFERROR(IF(OR(B207="",NOT(ISNUMBER(DX207))),"",1.05*(Uн_лин*1000/SQRT(3))/(_xlfn.XLOOKUP(A207,Щиты[Щит],Щиты[Zmax на шинах, Ом])+EL207)/1000),"")</f>
        <v/>
      </c>
      <c r="EP207" s="6" t="str">
        <f>IF(B207="","",IF(ISNUMBER(Y207),"Сил",IF(IFERROR(_xlfn.XLOOKUP(AX207,Коды_код,Коды_группа)&amp;"","")="","Быт",_xlfn.XLOOKUP(AX207,Коды_код,Коды_группа)&amp;"")))</f>
        <v>Быт</v>
      </c>
      <c r="EQ207" s="6" t="str">
        <f t="shared" si="424"/>
        <v>Быт</v>
      </c>
      <c r="ER207" s="6">
        <f>IF(EQ207="Щит","щит",IF(EQ207="","",IF(EQ207="Быт",IFERROR(_xlfn.XLOOKUP(A207,Щиты[Щит],Щиты[Кс быт]),1),IF(EQ207="Сил",IF(ISNUMBER(Y207),Y207,IF(Методика="нормы 2026",IFERROR(_xlfn.XLOOKUP(A207,Щиты[Щит],Щиты[Кс силовых (табл. 7.5)]),1),1)),IF(OR(EQ207="Пост",EQ207="Отоп"),1,IF(EQ207="ВНГ",0.7,0))))))</f>
        <v>0.79799999999999993</v>
      </c>
      <c r="ES207">
        <f t="shared" si="425"/>
        <v>1</v>
      </c>
      <c r="ET207">
        <f t="shared" si="426"/>
        <v>0.12</v>
      </c>
      <c r="EU207">
        <f t="shared" si="427"/>
        <v>0.12</v>
      </c>
      <c r="EV207">
        <f t="shared" si="428"/>
        <v>0</v>
      </c>
      <c r="EW207">
        <f t="shared" si="429"/>
        <v>0</v>
      </c>
      <c r="EX207">
        <f t="shared" si="430"/>
        <v>0</v>
      </c>
      <c r="EY207">
        <f t="shared" si="431"/>
        <v>0</v>
      </c>
      <c r="EZ207">
        <f t="shared" si="432"/>
        <v>0.12</v>
      </c>
      <c r="FA207">
        <f t="shared" si="433"/>
        <v>0.11399999999999999</v>
      </c>
      <c r="FB207">
        <f t="shared" si="434"/>
        <v>0.12</v>
      </c>
      <c r="FC207" t="str">
        <f t="shared" si="435"/>
        <v>L3</v>
      </c>
      <c r="FD207" t="str">
        <f>IF(B207="","",IF(CA207=0,IF(AW207=1,"",FF206),IF(OR(N(CV207)&gt;=3,N(BR207)&gt;=3),"L1,L2,L3",IFERROR(_xlfn.TEXTBEFORE(_xlfn.TEXTAFTER(_xlfn.XLOOKUP(A207,Щиты[Щит],Щиты[_фазы авто]),";"&amp;AW207&amp;":"),";"),"L1"))))</f>
        <v>L1</v>
      </c>
      <c r="FE207" t="str">
        <f t="shared" si="436"/>
        <v>L3</v>
      </c>
      <c r="FF207" t="str">
        <f t="shared" si="437"/>
        <v>L3</v>
      </c>
      <c r="FG207" cm="1">
        <f t="array" ref="FG207">IFERROR(IF(BX207=2,_xlfn.IFS(BR207=3,VLOOKUP(BN207,Справочная_двигатели,3,FALSE),BR207=1,VLOOKUP(BN207,Справочная_двигатели,5,TRUE)),0),0)</f>
        <v>0</v>
      </c>
      <c r="FH207">
        <f>IFERROR(IF(BX207=3,VLOOKUP(BN207,Справочная_ЛЭД,2,TRUE),0),0)</f>
        <v>0</v>
      </c>
      <c r="FI207" s="6">
        <f t="shared" si="438"/>
        <v>0</v>
      </c>
      <c r="FJ207" t="str" cm="1">
        <f t="array" ref="FJ207">IF(B207="","",IFERROR(INDEX({"I особая","I","II","III"},MATCH(TRIM(AC207&amp;""),{"I особая","I","II","III"},0)),"III"))</f>
        <v>II</v>
      </c>
      <c r="FK207" t="str">
        <f>IF(B207="","",IF(TRIM(AD207&amp;"")&lt;&gt;"",IF(LOWER(TRIM(AD207&amp;""))="да","да","нет"),IF(IFERROR(_xlfn.XLOOKUP(AX207,Коды_код,Коды_пожарная),"")="да","да","нет")))</f>
        <v>нет</v>
      </c>
      <c r="FL207" t="str">
        <f t="shared" si="439"/>
        <v/>
      </c>
      <c r="FM207" t="str">
        <f t="shared" si="440"/>
        <v>основная</v>
      </c>
      <c r="FN207">
        <f t="shared" si="441"/>
        <v>1</v>
      </c>
      <c r="FO207" t="str" cm="1">
        <f t="array" ref="FO207">IF(B207="","",_xlfn.LET(_xlpm.t,IFERROR(_xlfn.XLOOKUP(1,(Шины[Шина]=FM207)*(((Шины[Щит]=A207)+(Шины[Щит]=""))&gt;0),Шины[Тип]),"")&amp;"",IF(_xlpm.t&lt;&gt;"",_xlpm.t,IF(ISNUMBER(SEARCH("ИБП",FM207)),"ИБП",IF(ISNUMBER(SEARCH("ДГУ",FM207)),"ДГУ","Ввод "&amp;FN207)))))</f>
        <v>Ввод 1</v>
      </c>
      <c r="FP207" t="str">
        <f t="shared" si="442"/>
        <v>Ввод 1</v>
      </c>
      <c r="FQ207" t="str">
        <f>IF(B207="","",IF(OR(FO207="ИБП",FO207="ДГУ"),"I особая",IF(FO207="Одиночная","III",_xlfn.XLOOKUP(A207,Щиты[Щит],Щиты[Категория шины «Ввод»],"III"))))</f>
        <v>II</v>
      </c>
      <c r="FR207">
        <f>IF(B207="",0,IFERROR(MATCH(FJ207,{"III","II","I","I особая"},0),1))</f>
        <v>2</v>
      </c>
      <c r="FS207">
        <f t="shared" si="443"/>
        <v>2</v>
      </c>
      <c r="FT207" t="str">
        <f>IF(B207="","",IF(FR207&gt;IFERROR(MATCH(FQ207,{"III","II","I","I особая"},0),1),"НЕ ОБЕСПЕЧЕНА","ОК"))</f>
        <v>ОК</v>
      </c>
      <c r="FU207" t="str">
        <f>IF(A207="","",_xlfn.XLOOKUP(A207,Щиты[Щит],Щиты[Путь],""))</f>
        <v>|ГРЩ-ЖД|ЩР-01|</v>
      </c>
      <c r="FV207" t="str">
        <f>IF(B207="","",IF(AE207&lt;&gt;"",AE207,IF(IFERROR(_xlfn.XLOOKUP(AX207,Коды_код,Коды_вид)&amp;"","")="","Прочее",_xlfn.XLOOKUP(AX207,Коды_код,Коды_вид)&amp;"")))</f>
        <v>Розеточная сеть и бытовые приборы</v>
      </c>
      <c r="FW207">
        <f>IF(BH207="","",INT((BH207-1)/Столбцов_на_лист)+1)</f>
        <v>3</v>
      </c>
      <c r="FX207" t="str">
        <f t="shared" si="444"/>
        <v>ВВГнг(А)-LS (3х2,5) L=63-0,26%</v>
      </c>
      <c r="FY207">
        <f t="shared" si="445"/>
        <v>0.12</v>
      </c>
      <c r="FZ207">
        <f t="shared" si="446"/>
        <v>0.55000000000000004</v>
      </c>
      <c r="GA207">
        <f t="shared" si="447"/>
        <v>1</v>
      </c>
      <c r="GB207">
        <f t="shared" si="448"/>
        <v>0</v>
      </c>
      <c r="GC207">
        <f t="shared" si="449"/>
        <v>1</v>
      </c>
      <c r="GD207">
        <f>IF(BH207="","",IF(AND(CA207=1,GC207=1),COUNTIFS(A$3:A207,A207,CA$3:CA207,1,GC$3:GC207,1),IF(OR(OR(AW207=1,A207&lt;&gt;A206),AF207="вручную",GC207=0),"",IF(AW207=1,"",GE206))))</f>
        <v>23</v>
      </c>
      <c r="GE207">
        <f t="shared" si="450"/>
        <v>23</v>
      </c>
      <c r="GF207">
        <f>IF(B207="","",IFERROR(LOOKUP(INDEX(CHOOSE(DL207,Iдоп_1ж,Iдоп_2ж,Iдоп_3ж),MATCH(DX207,Iдоп_S,0))*DJ207*DK207,{6,10,16,20,25,32,40,50,63,80,100,125,160,200,250,315,400,500,630}),""))</f>
        <v>25</v>
      </c>
      <c r="GG207" t="str">
        <f t="shared" si="451"/>
        <v>QFD23</v>
      </c>
      <c r="GH207" t="str">
        <f t="shared" si="452"/>
        <v>QFD23</v>
      </c>
      <c r="GI207" t="str">
        <f t="shared" si="453"/>
        <v/>
      </c>
      <c r="GJ207">
        <f t="shared" si="454"/>
        <v>0</v>
      </c>
      <c r="GK207" t="str">
        <f>IF(OR(AG207="",AG207="-"),"",IFERROR(VLOOKUP(AG207,Модули_спр,2,FALSE),"R"))</f>
        <v/>
      </c>
      <c r="GL207" t="str">
        <f>IF(GK207="","",GK207&amp;"."&amp;COUNTIFS(A$3:A207,A207,GK$3:GK207,GK207))</f>
        <v/>
      </c>
      <c r="GM207" t="str">
        <f t="shared" si="455"/>
        <v/>
      </c>
      <c r="GN207" t="str">
        <f t="shared" si="456"/>
        <v/>
      </c>
      <c r="GO207" t="str">
        <f t="shared" si="457"/>
        <v/>
      </c>
      <c r="GP207" t="str">
        <f t="shared" si="458"/>
        <v/>
      </c>
      <c r="GQ207">
        <f t="shared" si="459"/>
        <v>1</v>
      </c>
      <c r="GR207" t="str">
        <f>IF(GQ207=1,"XT"&amp;COUNTIFS(A$3:A207,A207,GQ$3:GQ207,1),"")</f>
        <v>XT23</v>
      </c>
      <c r="GS207" t="str">
        <f t="shared" si="460"/>
        <v/>
      </c>
      <c r="GT207" t="str">
        <f t="shared" si="461"/>
        <v>QFD23</v>
      </c>
      <c r="GU207" t="str">
        <f t="shared" si="462"/>
        <v/>
      </c>
      <c r="GV207" t="str">
        <f t="shared" si="463"/>
        <v>ok</v>
      </c>
      <c r="GW207" t="str">
        <f>IF(OR(GO207="",GM207=""),"",IF(GO207&gt;IFERROR(VLOOKUP(GN207,Модули_спр,3,FALSE),99),"ЛИШНИЙ КАНАЛ",IF(AND(AH207&lt;&gt;"=",COUNTIFS(Линии[_модуль гр.],GM207,Линии[Канал (итог)],GO207,Линии[Канал],"&lt;&gt;=",Линии[Щит],A207)&gt;1),"ДУБЛЬ КАНАЛА","")))</f>
        <v/>
      </c>
      <c r="GX207" s="6" t="str">
        <f t="shared" si="464"/>
        <v/>
      </c>
      <c r="GY207">
        <f t="shared" si="465"/>
        <v>10</v>
      </c>
      <c r="GZ207" t="str">
        <f t="shared" si="466"/>
        <v/>
      </c>
      <c r="HA207" t="str">
        <f>IF(AND(B207="",GT207=""),"",_xlfn.TEXTJOIN("; ",TRUE,IF(AND(B207&lt;&gt;"",FE207=""),"нет фазы",""),IF(AND(B207&lt;&gt;"",N(FY207)=0,EQ207&lt;&gt;"Нет"),"нет мощности",""),IF(AND(GS207&lt;&gt;"",COUNTIFS(Линии[Щит],A207,Линии[Клемма (итог)],GS207)&gt;1),"дубль клеммы "&amp;GS207,""),IF(AND(GV207&lt;&gt;"",GV207&lt;&gt;"ok"),GV207,""),IF(GW207&lt;&gt;"",GW207,""),IF(AND(N(BV207)&gt;=4,N(BR207)=1),BV207&amp;" жил на 1 фазе",""),IF(AND(AX207="R",CA207=1,OR(N(CK207)=0,N(CK207)&gt;30)),"розетка без дифзащиты до 30 мА",""),IFERROR(IF(AND(ISNUMBER(R207),R207&gt;DV207),"потери "&amp;FIXED(R207,1)&amp;" % &gt; "&amp;DV207&amp;" %",""),""),IFERROR(IF(LEFT(GZ207,4)="мало","Iкз мало — отключение &gt; 0,4 с",""),""),IF(AND(B207&lt;&gt;"",BH207=""),"не на схеме",""),IF(AND(CA207=0,B207&lt;&gt;"",FE207&lt;&gt;"",IF(AW207=1,"",FF206)&lt;&gt;"",FE207&lt;&gt;IF(AW207=1,"",FF206)),"фаза не как у автомата группы ("&amp;IF(AW207=1,"",FF206)&amp;")","")))</f>
        <v/>
      </c>
      <c r="HB207" s="6">
        <f>IF(OR(CA207=0,DA207=""),"",_xlfn.LET(_xlpm.t,IFERROR(_xlfn.XLOOKUP(DA207,Каталог!$U$4:$U$500,Каталог!$G$4:$G$500),""),_xlpm.k,SEARCH("кА",_xlpm.t),IFERROR(--TRIM(RIGHT(SUBSTITUTE(MID(_xlpm.t,MAX(1,_xlpm.k-4),_xlpm.k-MAX(1,_xlpm.k-4))," ",REPT(" ",9)),5)),"")))</f>
        <v>6</v>
      </c>
      <c r="HC207" t="str">
        <f>IF(OR(HB207="",CA207=0),"",IF(_xlfn.XLOOKUP(A207,Щиты[Щит],Щиты[Iкз max на шинах, кА],"")="","",IF(HB207&lt;_xlfn.XLOOKUP(A207,Щиты[Щит],Щиты[Iкз max на шинах, кА]),"Icu "&amp;HB207&amp;" кА &lt; Iкз max","ok")))</f>
        <v/>
      </c>
      <c r="HD207" t="str">
        <f t="shared" si="467"/>
        <v/>
      </c>
      <c r="HE207" t="str">
        <f t="shared" si="468"/>
        <v>QFD23</v>
      </c>
      <c r="HF207" t="str">
        <f t="shared" si="469"/>
        <v>QFD23|кабель ВВГнг(А)-LS (3х2,5) → Розеточная группа, пом. 013A</v>
      </c>
      <c r="HG207" t="str" cm="1">
        <f t="array" ref="HG207">IF(HF207="","",_xlfn.LET(_xlpm.nd,_xlfn.TEXTSPLIT(HF207,"|"),IF(COLUMNS(_xlpm.nd)&gt;1,A207&amp;"¦"&amp;INDEX(_xlpm.nd,1)&amp;"¦"&amp;INDEX(_xlpm.nd,2),"")))</f>
        <v>ЩР-01¦QFD23¦кабель ВВГнг(А)-LS (3х2,5) → Розеточная группа, пом. 013A</v>
      </c>
      <c r="HH207" t="str">
        <f t="shared" si="470"/>
        <v>R.0.013A.1¦Розеточная группа, пом. 013A</v>
      </c>
      <c r="HI207" t="str" cm="1">
        <f t="array" ref="HI207">IF(HF207="","",_xlfn.LET(_xlpm.nd,_xlfn.TEXTSPLIT(HF207,"|"),IF(COLUMNS(_xlpm.nd)&gt;2,A207&amp;"¦"&amp;INDEX(_xlpm.nd,2)&amp;"¦"&amp;INDEX(_xlpm.nd,3),"")))</f>
        <v/>
      </c>
      <c r="HJ207" t="str">
        <f t="shared" si="471"/>
        <v/>
      </c>
      <c r="HK207" t="str" cm="1">
        <f t="array" ref="HK207">IF(HF207="","",_xlfn.LET(_xlpm.nd,_xlfn.TEXTSPLIT(HF207,"|"),IF(COLUMNS(_xlpm.nd)&gt;3,A207&amp;"¦"&amp;INDEX(_xlpm.nd,3)&amp;"¦"&amp;INDEX(_xlpm.nd,4),"")))</f>
        <v/>
      </c>
      <c r="HL207" t="str">
        <f t="shared" si="472"/>
        <v/>
      </c>
      <c r="HM207" t="str" cm="1">
        <f t="array" ref="HM207">IF(HF207="","",_xlfn.LET(_xlpm.nd,_xlfn.TEXTSPLIT(HF207,"|"),IF(COLUMNS(_xlpm.nd)&gt;4,A207&amp;"¦"&amp;INDEX(_xlpm.nd,4)&amp;"¦"&amp;INDEX(_xlpm.nd,5),"")))</f>
        <v/>
      </c>
      <c r="HN207" t="str">
        <f t="shared" si="473"/>
        <v/>
      </c>
      <c r="HO207" t="str" cm="1">
        <f t="array" ref="HO207">IF(HF207="","",_xlfn.LET(_xlpm.nd,_xlfn.TEXTSPLIT(HF207,"|"),IF(COLUMNS(_xlpm.nd)&gt;5,A207&amp;"¦"&amp;INDEX(_xlpm.nd,5)&amp;"¦"&amp;INDEX(_xlpm.nd,6),"")))</f>
        <v/>
      </c>
      <c r="HP207" t="str">
        <f t="shared" si="474"/>
        <v/>
      </c>
      <c r="HQ207" t="str" cm="1">
        <f t="array" ref="HQ207">IF(HF207="","",_xlfn.LET(_xlpm.nd,_xlfn.TEXTSPLIT(HF207,"|"),IF(COLUMNS(_xlpm.nd)&gt;6,A207&amp;"¦"&amp;INDEX(_xlpm.nd,6)&amp;"¦"&amp;INDEX(_xlpm.nd,7),"")))</f>
        <v/>
      </c>
      <c r="HR207" t="str">
        <f t="shared" si="475"/>
        <v/>
      </c>
      <c r="HS207" t="str">
        <f t="shared" si="476"/>
        <v/>
      </c>
      <c r="HT207" t="str">
        <f t="shared" si="477"/>
        <v>QFD23</v>
      </c>
      <c r="HU207">
        <f t="shared" si="478"/>
        <v>0</v>
      </c>
      <c r="HV207">
        <f t="shared" si="479"/>
        <v>1</v>
      </c>
      <c r="HW207" t="str">
        <f t="shared" si="480"/>
        <v/>
      </c>
      <c r="HX207" t="str">
        <f t="shared" si="481"/>
        <v/>
      </c>
      <c r="HY207" t="str">
        <f t="shared" si="482"/>
        <v/>
      </c>
      <c r="HZ207" t="str">
        <f t="shared" si="483"/>
        <v/>
      </c>
      <c r="IA207" t="str">
        <f>IF(B207="","",IFERROR(VLOOKUP(B207,УГО_спр,2,FALSE),IFERROR(VLOOKUP(AX207,УГО_спр,2,FALSE),IFERROR(VLOOKUP(LEFT(AX207,2),УГО_спр,2,FALSE),""))))</f>
        <v>Розетка</v>
      </c>
      <c r="IB207" t="str">
        <f>IF(B207="","",IF(OR(IA207="",IA207=0),"BOX",IFERROR(IF(VLOOKUP(IA207,УГО_блоки,3,FALSE)&amp;""&lt;&gt;"",VLOOKUP(IA207,УГО_блоки,3,FALSE),VLOOKUP(IA207,УГО_блоки,2,FALSE)),IA207)))</f>
        <v>SOCKET</v>
      </c>
      <c r="IC207">
        <f t="shared" si="484"/>
        <v>1</v>
      </c>
      <c r="ID207" t="str">
        <f>IF(DA207="","",IF(COUNTIF(DA$3:DA207,DA207)=1,MAX(ID$2:ID206)+1,""))</f>
        <v/>
      </c>
      <c r="IE207" t="str">
        <f>IF(CO207="","",IF(COUNTIF(CO$3:CO207,CO207)+COUNTIF(CP$2:CP206,CO207)+COUNTIF(CQ$2:CQ206,CO207)=1,MAX(IE$2:IG206)+1,""))</f>
        <v/>
      </c>
      <c r="IF207" t="str">
        <f>IF(CP207="","",IF(COUNTIF(CO$3:CO207,CP207)+COUNTIF(CP$3:CP207,CP207)+COUNTIF(CQ$2:CQ206,CP207)=1,MAX(IE$2:IG206,IE207)+1,""))</f>
        <v/>
      </c>
      <c r="IG207" t="str">
        <f>IF(CQ207="","",IF(COUNTIF(CO$3:CO207,CQ207)+COUNTIF(CP$3:CP207,CQ207)+COUNTIF(CQ$3:CQ207,CQ207)=1,MAX(IE$2:IG206,IE207,IF207)+1,""))</f>
        <v/>
      </c>
      <c r="IH207" t="str">
        <f t="shared" si="485"/>
        <v>3х2,5</v>
      </c>
      <c r="II207" t="str">
        <f>IF(IH207="","",IF(COUNTIF(IH$3:IH207,IH207)=1,MAX(II$2:II206)+1,""))</f>
        <v/>
      </c>
      <c r="IJ207" t="str">
        <f>IF(GL207="","",COUNTIF(GL$3:GL207,"?*"))</f>
        <v/>
      </c>
      <c r="IK207" t="str">
        <f>IF(OR(GL207="",GN207=""),"",IF(COUNTIFS(GL$3:GL207,"?*",GN$3:GN207,GN207)=1,MAX(IK$2:IK206)+1,""))</f>
        <v/>
      </c>
      <c r="IL207">
        <f t="shared" si="486"/>
        <v>0</v>
      </c>
      <c r="IM207">
        <f>IF(B207="","",COUNTIF(B$3:B207,"?*"))</f>
        <v>205</v>
      </c>
      <c r="IN207">
        <f>IF(GQ207&lt;&gt;1,0,_xlfn.LET(_xlpm.k,MAX(IFERROR(--VLOOKUP(B207,УГО_спр,5,FALSE),0),IFERROR(--VLOOKUP(AX207,УГО_спр,5,FALSE),0),IFERROR(--VLOOKUP(LEFT(AX207,2),УГО_спр,5,FALSE),0)),IF(_xlpm.k&gt;0,_xlpm.k,IF(IFERROR(--LEFT(SUBSTITUTE(IH207,"x","х"),FIND("х",SUBSTITUTE(IH207,"x","х"))-1),3)&gt;3,Каталог!$S$9,1))))</f>
        <v>1</v>
      </c>
      <c r="IO207">
        <f t="shared" si="487"/>
        <v>0</v>
      </c>
      <c r="IP207" t="str">
        <f t="shared" si="488"/>
        <v>авто</v>
      </c>
      <c r="IQ207">
        <f t="shared" si="489"/>
        <v>30</v>
      </c>
      <c r="IR207">
        <f t="shared" si="490"/>
        <v>1</v>
      </c>
      <c r="IS207">
        <f t="shared" si="491"/>
        <v>1</v>
      </c>
    </row>
    <row r="208" spans="1:253" x14ac:dyDescent="0.3">
      <c r="A208" t="s">
        <v>757</v>
      </c>
      <c r="B208" t="s">
        <v>1474</v>
      </c>
      <c r="C208" t="str">
        <f>Линии[[#This Row],[_авто наименование]]</f>
        <v>Розеточная группа, пом. 013Б</v>
      </c>
      <c r="D208">
        <v>1</v>
      </c>
      <c r="E208">
        <v>0.06</v>
      </c>
      <c r="G208" t="str">
        <f>Линии[[#This Row],[_авто автомат]]</f>
        <v>2P С16А 30мА</v>
      </c>
      <c r="H208">
        <f>Линии[[#This Row],[_авто утечка]]</f>
        <v>30</v>
      </c>
      <c r="I208" t="str">
        <f>Линии[[#This Row],[_авто управление]]</f>
        <v/>
      </c>
      <c r="J208" t="str">
        <f>Линии[[#This Row],[_авто аппараты]]</f>
        <v/>
      </c>
      <c r="K208">
        <v>2.5</v>
      </c>
      <c r="L208">
        <v>54</v>
      </c>
      <c r="M208">
        <v>3</v>
      </c>
      <c r="N208" t="str">
        <f>Линии[[#This Row],[_авто клемма]]</f>
        <v>XT24</v>
      </c>
      <c r="O208" t="str">
        <f t="shared" si="369"/>
        <v/>
      </c>
      <c r="P208" s="6" cm="1">
        <f t="array" ref="P208">IF(B208="","",IF(BC208&lt;&gt;"",IFERROR(_xlfn.XLOOKUP(BC208,Щиты[Щит],Щиты[Iр, А]),""),IF(BK208=1,IFERROR(_xlfn.XLOOKUP(A208,Щиты[Щит],Щиты[Iр, А]),""),IFERROR(_xlfn.IFS(BR208=1,BN208/((Uн_лин/SQRT(3))*BY208),BR208=3,BN208/(SQRT(3)*Uн_лин*BY208)),""))))</f>
        <v>0.27348170645824377</v>
      </c>
      <c r="Q208" s="7">
        <f>IF(B208="","",IFERROR(IF(VLOOKUP(AX208,Потребители_обозначение,4,FALSE)=1,VLOOKUP(AX208,Потребители_обозначение,3,FALSE)*(D208*2-1)+DS208+VLOOKUP(AZ208,Этаж_обозначение,3,FALSE)+VLOOKUP(AZ208,Этаж_обозначение,4,FALSE),VLOOKUP(AX208,Потребители_обозначение,3,FALSE)*(D208*2-1)+DS208),DS208))</f>
        <v>57</v>
      </c>
      <c r="R208" s="6">
        <f t="shared" si="370"/>
        <v>0.55000000000000004</v>
      </c>
      <c r="S208" t="str">
        <f t="shared" si="371"/>
        <v>ВВГнг(А)-LS (3х2,5)</v>
      </c>
      <c r="T208" t="str">
        <f>IF(BH208="","",IF(BI208="вводной узел","узел ","")&amp;"л."&amp;(INT((BH208-1)/Столбцов_на_лист)+1)&amp;" / "&amp;(MOD(BH208-1,Столбцов_на_лист)+1))</f>
        <v>л.3 / 11</v>
      </c>
      <c r="V208">
        <v>1</v>
      </c>
      <c r="W208">
        <v>230</v>
      </c>
      <c r="X208" t="s">
        <v>564</v>
      </c>
      <c r="AC208" t="s">
        <v>815</v>
      </c>
      <c r="AE208" t="s">
        <v>563</v>
      </c>
      <c r="AI208">
        <v>45</v>
      </c>
      <c r="AJ208" t="s">
        <v>11</v>
      </c>
      <c r="AK208">
        <v>3</v>
      </c>
      <c r="AM208">
        <v>40</v>
      </c>
      <c r="AN208">
        <v>13</v>
      </c>
      <c r="AO208">
        <v>4</v>
      </c>
      <c r="AW208" cm="1">
        <f t="array" ref="AW208">ROW()-ROW(Линии[#Headers])</f>
        <v>206</v>
      </c>
      <c r="AX208" s="6" t="str">
        <f t="shared" si="372"/>
        <v>R</v>
      </c>
      <c r="AY208" t="str">
        <f t="shared" si="373"/>
        <v>0.013Б.1</v>
      </c>
      <c r="AZ208" t="str">
        <f t="shared" si="374"/>
        <v>0</v>
      </c>
      <c r="BA208" t="str">
        <f t="shared" si="375"/>
        <v>013Б.1</v>
      </c>
      <c r="BB208" t="str">
        <f t="shared" si="376"/>
        <v>013Б</v>
      </c>
      <c r="BC208" t="str">
        <f>IF(U208&lt;&gt;"",U208,IF(AND(B208&lt;&gt;"",B208&lt;&gt;A208,ISNUMBER(_xlfn.XMATCH(B208,Щиты[Щит]))),B208,""))</f>
        <v/>
      </c>
      <c r="BD208" t="str" cm="1">
        <f t="array" ref="BD208">IF(B208="","",IF(BC208&lt;&gt;"","Щит "&amp;BC208,_xlfn.LET(_xlpm.nm,IFERROR(_xlfn.XLOOKUP(AX208,Коды_код,Коды_имя)&amp;"",""),_xlpm.md,IFERROR(N(_xlfn.XLOOKUP(AX208,Коды_код,Коды_режим)),1),_xlpm.ex,IF(Имя_режим="по экспликации",IFERROR(_xlfn.XLOOKUP(AZ208&amp;"|"&amp;BB208,Экспликация[Этаж]&amp;"|"&amp;Экспликация[Помещение],Экспликация[Название])&amp;"",""),""),_xlpm.rm,IF(BB208="","",IF(_xlpm.ex&lt;&gt;"",". "&amp;_xlpm.ex&amp;IF(Имя_пом="нет"," ("&amp;BB208&amp;")"," (пом. "&amp;BB208&amp;")"),IF(Имя_пом="нет"," ",", пом. ")&amp;BB208)),IF(_xlpm.nm="","",IF(_xlpm.md=2,_xlpm.nm&amp;" шлейф "&amp;AZ208,_xlpm.nm&amp;_xlpm.rm)))))</f>
        <v>Розеточная группа, пом. 013Б</v>
      </c>
      <c r="BE208" t="str">
        <f t="shared" si="377"/>
        <v>Розеточная группа, пом. 013Б</v>
      </c>
      <c r="BF208">
        <f>IFERROR(_xlfn.XMATCH(A208,Щиты[Щит]),0)</f>
        <v>9</v>
      </c>
      <c r="BG208">
        <f>_xlfn.LET(_xlpm.k,IFERROR(_xlfn.XLOOKUP(A208,Щиты[Щит],Щиты[Листов под вводной узел]),""),IF(_xlpm.k="",1,N(_xlpm.k))*Столбцов_на_лист)</f>
        <v>17</v>
      </c>
      <c r="BH208">
        <f t="shared" si="378"/>
        <v>45</v>
      </c>
      <c r="BI208" t="str">
        <f t="shared" si="379"/>
        <v>линии</v>
      </c>
      <c r="BJ208" s="6">
        <f>IFERROR(N(_xlfn.XLOOKUP(AX208,Коды_код,Коды_квт)),0)</f>
        <v>0</v>
      </c>
      <c r="BK208">
        <f t="shared" si="380"/>
        <v>0</v>
      </c>
      <c r="BL208" t="str">
        <f>IF(B208="","",IF(BC208&lt;&gt;"",IFERROR(_xlfn.XLOOKUP(BC208,Щиты[Щит],Щиты[Руст, кВт]),0),IF(BK208=1,IFERROR(_xlfn.XLOOKUP(A208,Щиты[Щит],Щиты[Руст, кВт]),0),IF(BJ208&gt;0,ROUND(BJ208*MAX(1,N(D208)),3),""))))</f>
        <v/>
      </c>
      <c r="BM208">
        <f t="shared" si="381"/>
        <v>0.06</v>
      </c>
      <c r="BN208" s="6">
        <f>IF(B208="","",IF(BC208&lt;&gt;"",IFERROR(_xlfn.XLOOKUP(BC208,Щиты[Щит],Щиты[Руст, кВт]),0),N(BM208)))</f>
        <v>0.06</v>
      </c>
      <c r="BO208" t="str">
        <f>IF(B208="","",IFERROR(IF(VLOOKUP(AX208,Потребители_обозначение,8,FALSE)=0,"",VLOOKUP(AX208,Потребители_обозначение,8,FALSE)),""))</f>
        <v/>
      </c>
      <c r="BP208">
        <f t="shared" si="382"/>
        <v>230</v>
      </c>
      <c r="BQ208">
        <f>IF(B208="","",IF(BC208&lt;&gt;"",3,IFERROR(IF(N(VLOOKUP(AX208,Потребители_обозначение,9,FALSE))=0,1,VLOOKUP(AX208,Потребители_обозначение,9,FALSE)),1)))</f>
        <v>1</v>
      </c>
      <c r="BR208">
        <f t="shared" si="383"/>
        <v>1</v>
      </c>
      <c r="BS208" t="str">
        <f>IF(B208="","",_xlfn.LET(_xlpm.bc,IFERROR(IF(VLOOKUP(AX208,Потребители_обозначение,6,FALSE)=0,"",VLOOKUP(AX208,Потребители_обозначение,6,FALSE)&amp;""),""),IF(AND(FK208="да",OR(_xlpm.bc="",_xlpm.bc="мс")),Марка_пож,IF(AND(_xlpm.bc="",BC208&lt;&gt;""),"мс",_xlpm.bc))))</f>
        <v/>
      </c>
      <c r="BT208" t="str">
        <f t="shared" si="384"/>
        <v>мс</v>
      </c>
      <c r="BU208">
        <f>IF(B208="","",_xlfn.LET(_xlpm.cc,IFERROR(N(VLOOKUP(AX208,Потребители_обозначение,7,FALSE)),0),IF(_xlpm.cc&gt;0,_xlpm.cc,IF(BT208="","",IF(N(BR208)=3,5,3)))))</f>
        <v>3</v>
      </c>
      <c r="BV208">
        <f t="shared" si="385"/>
        <v>3</v>
      </c>
      <c r="BW208">
        <f>IFERROR(N(VLOOKUP(AX208,Потребители_обозначение,10,FALSE)),0)</f>
        <v>0</v>
      </c>
      <c r="BX208">
        <f>IFERROR(VLOOKUP(AX208,Потребители_обозначение,5,FALSE),0)</f>
        <v>1</v>
      </c>
      <c r="BY208" s="6" cm="1">
        <f t="array" ref="BY208">IF(B208="","",IF(BC208&lt;&gt;"",IFERROR(_xlfn.XLOOKUP(BC208,Щиты[Щит],Щиты[cos φ]),0.95),IF(BK208=1,IFERROR(_xlfn.XLOOKUP(A208,Щиты[Щит],Щиты[cos φ]),0.95),IF(ISNUMBER(Z208),Z208,IFERROR(IF(BX208=2,_xlfn.IFS(BR208=3,VLOOKUP(BN208,Справочная_двигатели,8,FALSE),BR208=1,VLOOKUP(BN208,Справочная_двигатели,10,TRUE)),IF(AND(Методика="нормы 2026",EQ208="Сил"),0.8,0.95)),0.95)))))</f>
        <v>0.95</v>
      </c>
      <c r="BZ208">
        <f t="shared" si="386"/>
        <v>0</v>
      </c>
      <c r="CA208">
        <f t="shared" si="387"/>
        <v>1</v>
      </c>
      <c r="CB208">
        <f t="shared" si="388"/>
        <v>0</v>
      </c>
      <c r="CC208">
        <f t="shared" si="389"/>
        <v>0</v>
      </c>
      <c r="CD208">
        <f t="shared" si="390"/>
        <v>0</v>
      </c>
      <c r="CE208">
        <f t="shared" si="391"/>
        <v>0</v>
      </c>
      <c r="CF208">
        <f t="shared" si="392"/>
        <v>0</v>
      </c>
      <c r="CG208">
        <f>IF(AX208="",0,_xlfn.LET(_xlpm.v,IFERROR(VLOOKUP(B208,УГО_спр,3,FALSE),IFERROR(VLOOKUP(AX208,УГО_спр,3,FALSE),IFERROR(VLOOKUP(LEFT(AX208,2),УГО_спр,3,FALSE),""))),IF(_xlpm.v="да",30,IF(ISNUMBER(_xlpm.v),_xlpm.v,0))))</f>
        <v>30</v>
      </c>
      <c r="CH208">
        <f t="shared" si="393"/>
        <v>30</v>
      </c>
      <c r="CI208" t="str">
        <f>_xlfn.LET(_xlpm.k,IFERROR(_xlfn.XLOOKUP(AX208,Коды_код,Коды_утечка)&amp;"",""),IF(_xlpm.k="","дифавтомат",_xlpm.k))</f>
        <v>дифавтомат</v>
      </c>
      <c r="CJ208">
        <f t="shared" si="394"/>
        <v>30</v>
      </c>
      <c r="CK208">
        <f t="shared" si="395"/>
        <v>30</v>
      </c>
      <c r="CL208">
        <f>IF(B208="",0,IFERROR(--VLOOKUP(B208,УГО_спр,4,FALSE),IFERROR(--VLOOKUP(AX208,УГО_спр,4,FALSE),IFERROR(--VLOOKUP(LEFT(AX208,2),УГО_спр,4,FALSE),0))))</f>
        <v>16</v>
      </c>
      <c r="CM208" t="str">
        <f>IF(B208="","",IFERROR(_xlfn.XLOOKUP(AX208,Коды_код,Коды_апп)&amp;"",""))</f>
        <v/>
      </c>
      <c r="CN208" t="str">
        <f t="shared" si="396"/>
        <v/>
      </c>
      <c r="CO208" t="str" cm="1">
        <f t="array" ref="CO208">IF(TRIM(CN208&amp;"")="","",IFERROR(TRIM(INDEX(_xlfn.TEXTSPLIT(CN208&amp;";;;",";"),1)),""))</f>
        <v/>
      </c>
      <c r="CP208" t="str" cm="1">
        <f t="array" ref="CP208">IF(TRIM(CN208&amp;"")="","",IFERROR(TRIM(INDEX(_xlfn.TEXTSPLIT(CN208&amp;";;;",";"),2)),""))</f>
        <v/>
      </c>
      <c r="CQ208" t="str" cm="1">
        <f t="array" ref="CQ208">IF(TRIM(CN208&amp;"")="","",IFERROR(TRIM(INDEX(_xlfn.TEXTSPLIT(CN208&amp;";;;",";"),3)),""))</f>
        <v/>
      </c>
      <c r="CR208">
        <f t="shared" si="397"/>
        <v>0</v>
      </c>
      <c r="CS208" t="str">
        <f>IF(B208="","",_xlfn.LET(_xlpm.t,LOWER(AV208&amp;""),IF(ISNUMBER(SEARCH("dim",_xlpm.t)),"DIM",IF(ISNUMBER(SEARCH("dali",_xlpm.t)),"DALI",IF(OR(ISNUMBER(SEARCH("relay",_xlpm.t)),ISNUMBER(SEARCH("реле",_xlpm.t))),"Relay",IF(ISNUMBER(SEARCH("кнопк",_xlpm.t)),"",IFERROR(_xlfn.XLOOKUP(AX208,Коды_код,Коды_упр)&amp;"","")))))))</f>
        <v/>
      </c>
      <c r="CT208" t="str">
        <f t="shared" si="398"/>
        <v/>
      </c>
      <c r="CU208">
        <f>IF(B208="","",_xlfn.LET(_xlpm.ig,N(P208)+IF(AF208="вручную",0,N(CB208)),_xlpm.n0,IFERROR(VLOOKUP(_xlpm.ig,Автомат_номиналы,2,TRUE),0),_xlpm.mn,MAX(CL208,IF(AF208="вручную",0,N(CE208))),MAX(_xlpm.n0,_xlpm.mn,IF(CR208=1,Мин_автомат_БП,0))))</f>
        <v>16</v>
      </c>
      <c r="CV208">
        <f t="shared" si="399"/>
        <v>1</v>
      </c>
      <c r="CW208" t="str">
        <f t="shared" si="400"/>
        <v>2P</v>
      </c>
      <c r="CX208" t="str">
        <f>_xlfn.LET(_xlpm.cc,UPPER(TRIM(IFERROR(_xlfn.XLOOKUP(AX208,Коды_код,Коды_хар)&amp;"",""))),IF(OR(_xlpm.cc="B",_xlpm.cc="В"),"B",IF(_xlpm.cc="D","D","С")))</f>
        <v>С</v>
      </c>
      <c r="CY208" t="str">
        <f t="shared" si="401"/>
        <v>2P С16А 30мА</v>
      </c>
      <c r="CZ208" t="str">
        <f t="shared" si="402"/>
        <v>2P С16А 30мА</v>
      </c>
      <c r="DA208" t="str">
        <f t="shared" si="403"/>
        <v>2P С16А 30мА</v>
      </c>
      <c r="DB208" cm="1">
        <f t="array" ref="DB208">IF(DA208="","",_xlfn.LET(_xlpm.t,SUBSTITUTE(SUBSTITUTE(SUBSTITUTE(UPPER(DA208),"С","C"),"А","A"),"В","B"),_xlpm.tk,_xlfn.TEXTSPLIT(_xlpm.t,"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8" t="str">
        <f t="shared" si="404"/>
        <v>ok</v>
      </c>
      <c r="DD208">
        <f t="shared" si="405"/>
        <v>16</v>
      </c>
      <c r="DE208" t="str">
        <f t="shared" si="406"/>
        <v>2P С16А 30мА</v>
      </c>
      <c r="DF208">
        <f t="shared" si="407"/>
        <v>30</v>
      </c>
      <c r="DG208">
        <f t="shared" si="408"/>
        <v>1</v>
      </c>
      <c r="DH208">
        <f t="shared" si="409"/>
        <v>0</v>
      </c>
      <c r="DI208">
        <f t="shared" si="410"/>
        <v>0.27348170645824377</v>
      </c>
      <c r="DJ208">
        <f t="shared" si="411"/>
        <v>1</v>
      </c>
      <c r="DK208">
        <f>IF(ISNUMBER(AL208),AL208,К_прокл)</f>
        <v>1</v>
      </c>
      <c r="DL208">
        <f t="shared" si="412"/>
        <v>2</v>
      </c>
      <c r="DM208">
        <f>IFERROR(N(VLOOKUP(BT208,Кабель_обозначение,3,FALSE)),1)</f>
        <v>1</v>
      </c>
      <c r="DN208">
        <f>IFERROR(N(_xlfn.XLOOKUP(A208,Щиты[Щит],Щиты[ΔU до шин, %])),0)</f>
        <v>0.43</v>
      </c>
      <c r="DO208" t="str">
        <f>IFERROR(_xlfn.XLOOKUP(A208,Щиты[Щит],Щиты[Zпетли на шинах, Ом]),"")</f>
        <v/>
      </c>
      <c r="DP208">
        <f>IFERROR(N(_xlfn.XLOOKUP(A208,Щиты[Щит],Щиты[ΔU до шин (подбор), %])),0)</f>
        <v>0.43</v>
      </c>
      <c r="DQ208" t="str">
        <f>IFERROR(_xlfn.XLOOKUP(A208,Щиты[Щит],Щиты[Zпетли на шинах (подбор), Ом]),"")</f>
        <v/>
      </c>
      <c r="DR208" t="str">
        <f t="shared" si="413"/>
        <v/>
      </c>
      <c r="DS208">
        <f t="shared" si="414"/>
        <v>54</v>
      </c>
      <c r="DT208">
        <f t="shared" si="415"/>
        <v>2</v>
      </c>
      <c r="DU208">
        <f t="shared" si="416"/>
        <v>0.31</v>
      </c>
      <c r="DV208" s="6">
        <f>IF(B208="","",IF(IFERROR(VLOOKUP(AX208,УГО_спр,2,FALSE),"")="Светильник",3,4)+IF(Методика="нормы 2026",MIN(0.5,MAX(0,N(Q208)-100)*0.005),0))</f>
        <v>4</v>
      </c>
      <c r="DW208" cm="1">
        <f t="array" ref="DW208">IF(OR(B208="",BT208="",DM208&lt;&gt;1),"",_xlfn.LET(_xlpm.sz,Iдоп_S,_xlpm.t_,CHOOSE(DL208,Iдоп_1ж,Iдоп_2ж,Iдоп_3ж)*DJ208*DK208,_xlpm.inn,N(DD208),_xlpm.smin,MAX(1.5,BW208),_xlpm.L_,N(Q208)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208)*(_xlpm.rho*_xlpm.L_/_xlpm.sz*N(BY208)+_xlpm.xx*_xlpm.L_*N(DU208)/1000)*N(P208)/((Uн_лин/SQRT(3))*1000)*100,999),_xlpm.kz,IF(OR(DG208=1,NOT(ISNUMBER(DQ208)),_xlpm.L_=0,_xlpm.inn=0),1,IFERROR(--(c_min*(Uн_лин*1000/SQRT(3))/(DQ208+2*ρкз_Cu*_xlpm.L_/_xlpm.sz)&gt;=GY208*_xlpm.inn),0)),_xlpm.ok,IFERROR((_xlpm.sz&gt;=_xlpm.smin)*(_xlpm.t_&gt;=_xlpm.inn)*IF(_xlpm.L_&gt;0,(_xlpm.du_+DP208&lt;=DV208+0.00001),1)*_xlpm.kz,0),_xlpm.r_,_xlfn._xlws.FILTER(_xlpm.sz,_xlpm.ok,"не подобрано"),INDEX(_xlpm.r_,1)))</f>
        <v>1.5</v>
      </c>
      <c r="DX208">
        <f t="shared" si="417"/>
        <v>2.5</v>
      </c>
      <c r="DY208" cm="1">
        <f t="array" ref="DY208">IF(OR(B208="",BT208="",DM208&lt;&gt;1),"",_xlfn.LET(_xlpm.sz,Iдоп_S,_xlpm.t_,CHOOSE(DL208,Iдоп_1ж,Iдоп_2ж,Iдоп_3ж)*DJ208*DK208,_xlpm.ok,IFERROR((_xlpm.sz&gt;=MAX(1.5,BW208))*(_xlpm.t_&gt;=N(DD208)),0),_xlpm.r_,_xlfn._xlws.FILTER(_xlpm.sz,_xlpm.ok,""),INDEX(_xlpm.r_,1)))</f>
        <v>1.5</v>
      </c>
      <c r="DZ208" s="6" cm="1">
        <f t="array" ref="DZ208">IFERROR(ROUNDUP(N(DT208)*(_xlfn.XLOOKUP(DY208,INDEX(Кабель_сопротивление,0,1),INDEX(Кабель_сопротивление,0,3))*N(Q208)/DY208*N(BY208)+_xlfn.XLOOKUP(DY208,INDEX(Кабель_сопротивление,0,1),INDEX(Кабель_сопротивление,0,2))*N(Q208)*N(DU208)/1000)*N(P208)/((Uн_лин/SQRT(3))*1000)*100,2),"")</f>
        <v>0.2</v>
      </c>
      <c r="EA208">
        <f>IFERROR(2*ρкз_Cu*N(Q208)/DY208,"")</f>
        <v>1.9988000000000001</v>
      </c>
      <c r="EB208">
        <f>IFERROR(VLOOKUP(DX208,Кабель_сопротивление,3,FALSE),"")</f>
        <v>2.2499999999999999E-2</v>
      </c>
      <c r="EC208">
        <f>IFERROR(VLOOKUP(DX208,Кабель_сопротивление,2,FALSE),"")</f>
        <v>0.1</v>
      </c>
      <c r="ED208">
        <f t="shared" si="418"/>
        <v>13</v>
      </c>
      <c r="EE208">
        <f t="shared" si="419"/>
        <v>4</v>
      </c>
      <c r="EF208">
        <f t="shared" si="420"/>
        <v>0.26752910363547366</v>
      </c>
      <c r="EG208" s="6">
        <f>IFERROR(ROUNDUP(EF208/((Uн_лин/SQRT(3))*1000)*100,2),"")</f>
        <v>0.12</v>
      </c>
      <c r="EH208" t="str">
        <f>IFERROR(VLOOKUP(BT208,Кабель_обозначение,2,FALSE),"")</f>
        <v>ВВГнг(А)-LS</v>
      </c>
      <c r="EI208" t="str">
        <f t="shared" si="421"/>
        <v>ВВГнг(А)-LS (3х2,5)</v>
      </c>
      <c r="EJ208" t="str">
        <f t="shared" si="422"/>
        <v>ВВГнг(А)-LS (3х2,5)
L=57-0,12%</v>
      </c>
      <c r="EK208">
        <f>IFERROR(2*ρкз_Cu*Q208/DX208,"")</f>
        <v>1.1992800000000001</v>
      </c>
      <c r="EL208">
        <f t="shared" si="423"/>
        <v>0.39900000000000002</v>
      </c>
      <c r="EM208" s="6" t="str">
        <f>IFERROR(IF(OR(B208="",NOT(ISNUMBER(DX208)),N(Q208)=0),"",_xlfn.XLOOKUP(A208,Щиты[Щит],Щиты[Zпетли на шинах, Ом])+EK208),"")</f>
        <v/>
      </c>
      <c r="EN208" s="6" t="str">
        <f>IF(ISNUMBER(EM208),c_min*(Uн_лин*1000/SQRT(3))/EM208,"")</f>
        <v/>
      </c>
      <c r="EO208" s="6" t="str">
        <f>IFERROR(IF(OR(B208="",NOT(ISNUMBER(DX208))),"",1.05*(Uн_лин*1000/SQRT(3))/(_xlfn.XLOOKUP(A208,Щиты[Щит],Щиты[Zmax на шинах, Ом])+EL208)/1000),"")</f>
        <v/>
      </c>
      <c r="EP208" s="6" t="str">
        <f>IF(B208="","",IF(ISNUMBER(Y208),"Сил",IF(IFERROR(_xlfn.XLOOKUP(AX208,Коды_код,Коды_группа)&amp;"","")="","Быт",_xlfn.XLOOKUP(AX208,Коды_код,Коды_группа)&amp;"")))</f>
        <v>Быт</v>
      </c>
      <c r="EQ208" s="6" t="str">
        <f t="shared" si="424"/>
        <v>Быт</v>
      </c>
      <c r="ER208" s="6">
        <f>IF(EQ208="Щит","щит",IF(EQ208="","",IF(EQ208="Быт",IFERROR(_xlfn.XLOOKUP(A208,Щиты[Щит],Щиты[Кс быт]),1),IF(EQ208="Сил",IF(ISNUMBER(Y208),Y208,IF(Методика="нормы 2026",IFERROR(_xlfn.XLOOKUP(A208,Щиты[Щит],Щиты[Кс силовых (табл. 7.5)]),1),1)),IF(OR(EQ208="Пост",EQ208="Отоп"),1,IF(EQ208="ВНГ",0.7,0))))))</f>
        <v>0.79799999999999993</v>
      </c>
      <c r="ES208">
        <f t="shared" si="425"/>
        <v>1</v>
      </c>
      <c r="ET208">
        <f t="shared" si="426"/>
        <v>0.06</v>
      </c>
      <c r="EU208">
        <f t="shared" si="427"/>
        <v>0.06</v>
      </c>
      <c r="EV208">
        <f t="shared" si="428"/>
        <v>0</v>
      </c>
      <c r="EW208">
        <f t="shared" si="429"/>
        <v>0</v>
      </c>
      <c r="EX208">
        <f t="shared" si="430"/>
        <v>0</v>
      </c>
      <c r="EY208">
        <f t="shared" si="431"/>
        <v>0</v>
      </c>
      <c r="EZ208">
        <f t="shared" si="432"/>
        <v>0.06</v>
      </c>
      <c r="FA208">
        <f t="shared" si="433"/>
        <v>5.6999999999999995E-2</v>
      </c>
      <c r="FB208">
        <f t="shared" si="434"/>
        <v>0.06</v>
      </c>
      <c r="FC208" t="str">
        <f t="shared" si="435"/>
        <v>L3</v>
      </c>
      <c r="FD208" t="str">
        <f>IF(B208="","",IF(CA208=0,IF(AW208=1,"",FF207),IF(OR(N(CV208)&gt;=3,N(BR208)&gt;=3),"L1,L2,L3",IFERROR(_xlfn.TEXTBEFORE(_xlfn.TEXTAFTER(_xlfn.XLOOKUP(A208,Щиты[Щит],Щиты[_фазы авто]),";"&amp;AW208&amp;":"),";"),"L1"))))</f>
        <v>L1</v>
      </c>
      <c r="FE208" t="str">
        <f t="shared" si="436"/>
        <v>L3</v>
      </c>
      <c r="FF208" t="str">
        <f t="shared" si="437"/>
        <v>L3</v>
      </c>
      <c r="FG208" cm="1">
        <f t="array" ref="FG208">IFERROR(IF(BX208=2,_xlfn.IFS(BR208=3,VLOOKUP(BN208,Справочная_двигатели,3,FALSE),BR208=1,VLOOKUP(BN208,Справочная_двигатели,5,TRUE)),0),0)</f>
        <v>0</v>
      </c>
      <c r="FH208">
        <f>IFERROR(IF(BX208=3,VLOOKUP(BN208,Справочная_ЛЭД,2,TRUE),0),0)</f>
        <v>0</v>
      </c>
      <c r="FI208" s="6">
        <f t="shared" si="438"/>
        <v>0</v>
      </c>
      <c r="FJ208" t="str" cm="1">
        <f t="array" ref="FJ208">IF(B208="","",IFERROR(INDEX({"I особая","I","II","III"},MATCH(TRIM(AC208&amp;""),{"I особая","I","II","III"},0)),"III"))</f>
        <v>II</v>
      </c>
      <c r="FK208" t="str">
        <f>IF(B208="","",IF(TRIM(AD208&amp;"")&lt;&gt;"",IF(LOWER(TRIM(AD208&amp;""))="да","да","нет"),IF(IFERROR(_xlfn.XLOOKUP(AX208,Коды_код,Коды_пожарная),"")="да","да","нет")))</f>
        <v>нет</v>
      </c>
      <c r="FL208" t="str">
        <f t="shared" si="439"/>
        <v/>
      </c>
      <c r="FM208" t="str">
        <f t="shared" si="440"/>
        <v>основная</v>
      </c>
      <c r="FN208">
        <f t="shared" si="441"/>
        <v>1</v>
      </c>
      <c r="FO208" t="str" cm="1">
        <f t="array" ref="FO208">IF(B208="","",_xlfn.LET(_xlpm.t,IFERROR(_xlfn.XLOOKUP(1,(Шины[Шина]=FM208)*(((Шины[Щит]=A208)+(Шины[Щит]=""))&gt;0),Шины[Тип]),"")&amp;"",IF(_xlpm.t&lt;&gt;"",_xlpm.t,IF(ISNUMBER(SEARCH("ИБП",FM208)),"ИБП",IF(ISNUMBER(SEARCH("ДГУ",FM208)),"ДГУ","Ввод "&amp;FN208)))))</f>
        <v>Ввод 1</v>
      </c>
      <c r="FP208" t="str">
        <f t="shared" si="442"/>
        <v>Ввод 1</v>
      </c>
      <c r="FQ208" t="str">
        <f>IF(B208="","",IF(OR(FO208="ИБП",FO208="ДГУ"),"I особая",IF(FO208="Одиночная","III",_xlfn.XLOOKUP(A208,Щиты[Щит],Щиты[Категория шины «Ввод»],"III"))))</f>
        <v>II</v>
      </c>
      <c r="FR208">
        <f>IF(B208="",0,IFERROR(MATCH(FJ208,{"III","II","I","I особая"},0),1))</f>
        <v>2</v>
      </c>
      <c r="FS208">
        <f t="shared" si="443"/>
        <v>2</v>
      </c>
      <c r="FT208" t="str">
        <f>IF(B208="","",IF(FR208&gt;IFERROR(MATCH(FQ208,{"III","II","I","I особая"},0),1),"НЕ ОБЕСПЕЧЕНА","ОК"))</f>
        <v>ОК</v>
      </c>
      <c r="FU208" t="str">
        <f>IF(A208="","",_xlfn.XLOOKUP(A208,Щиты[Щит],Щиты[Путь],""))</f>
        <v>|ГРЩ-ЖД|ЩР-01|</v>
      </c>
      <c r="FV208" t="str">
        <f>IF(B208="","",IF(AE208&lt;&gt;"",AE208,IF(IFERROR(_xlfn.XLOOKUP(AX208,Коды_код,Коды_вид)&amp;"","")="","Прочее",_xlfn.XLOOKUP(AX208,Коды_код,Коды_вид)&amp;"")))</f>
        <v>Розеточная сеть и бытовые приборы</v>
      </c>
      <c r="FW208">
        <f>IF(BH208="","",INT((BH208-1)/Столбцов_на_лист)+1)</f>
        <v>3</v>
      </c>
      <c r="FX208" t="str">
        <f t="shared" si="444"/>
        <v>ВВГнг(А)-LS (3х2,5) L=57-0,12%</v>
      </c>
      <c r="FY208">
        <f t="shared" si="445"/>
        <v>0.06</v>
      </c>
      <c r="FZ208">
        <f t="shared" si="446"/>
        <v>0.28000000000000003</v>
      </c>
      <c r="GA208">
        <f t="shared" si="447"/>
        <v>1</v>
      </c>
      <c r="GB208">
        <f t="shared" si="448"/>
        <v>0</v>
      </c>
      <c r="GC208">
        <f t="shared" si="449"/>
        <v>1</v>
      </c>
      <c r="GD208">
        <f>IF(BH208="","",IF(AND(CA208=1,GC208=1),COUNTIFS(A$3:A208,A208,CA$3:CA208,1,GC$3:GC208,1),IF(OR(OR(AW208=1,A208&lt;&gt;A207),AF208="вручную",GC208=0),"",IF(AW208=1,"",GE207))))</f>
        <v>24</v>
      </c>
      <c r="GE208">
        <f t="shared" si="450"/>
        <v>24</v>
      </c>
      <c r="GF208">
        <f>IF(B208="","",IFERROR(LOOKUP(INDEX(CHOOSE(DL208,Iдоп_1ж,Iдоп_2ж,Iдоп_3ж),MATCH(DX208,Iдоп_S,0))*DJ208*DK208,{6,10,16,20,25,32,40,50,63,80,100,125,160,200,250,315,400,500,630}),""))</f>
        <v>25</v>
      </c>
      <c r="GG208" t="str">
        <f t="shared" si="451"/>
        <v>QFD24</v>
      </c>
      <c r="GH208" t="str">
        <f t="shared" si="452"/>
        <v>QFD24</v>
      </c>
      <c r="GI208" t="str">
        <f t="shared" si="453"/>
        <v/>
      </c>
      <c r="GJ208">
        <f t="shared" si="454"/>
        <v>0</v>
      </c>
      <c r="GK208" t="str">
        <f>IF(OR(AG208="",AG208="-"),"",IFERROR(VLOOKUP(AG208,Модули_спр,2,FALSE),"R"))</f>
        <v/>
      </c>
      <c r="GL208" t="str">
        <f>IF(GK208="","",GK208&amp;"."&amp;COUNTIFS(A$3:A208,A208,GK$3:GK208,GK208))</f>
        <v/>
      </c>
      <c r="GM208" t="str">
        <f t="shared" si="455"/>
        <v/>
      </c>
      <c r="GN208" t="str">
        <f t="shared" si="456"/>
        <v/>
      </c>
      <c r="GO208" t="str">
        <f t="shared" si="457"/>
        <v/>
      </c>
      <c r="GP208" t="str">
        <f t="shared" si="458"/>
        <v/>
      </c>
      <c r="GQ208">
        <f t="shared" si="459"/>
        <v>1</v>
      </c>
      <c r="GR208" t="str">
        <f>IF(GQ208=1,"XT"&amp;COUNTIFS(A$3:A208,A208,GQ$3:GQ208,1),"")</f>
        <v>XT24</v>
      </c>
      <c r="GS208" t="str">
        <f t="shared" si="460"/>
        <v>XT24</v>
      </c>
      <c r="GT208" t="str">
        <f t="shared" si="461"/>
        <v>QFD24</v>
      </c>
      <c r="GU208" t="str">
        <f t="shared" si="462"/>
        <v/>
      </c>
      <c r="GV208" t="str">
        <f t="shared" si="463"/>
        <v>ok</v>
      </c>
      <c r="GW208" t="str">
        <f>IF(OR(GO208="",GM208=""),"",IF(GO208&gt;IFERROR(VLOOKUP(GN208,Модули_спр,3,FALSE),99),"ЛИШНИЙ КАНАЛ",IF(AND(AH208&lt;&gt;"=",COUNTIFS(Линии[_модуль гр.],GM208,Линии[Канал (итог)],GO208,Линии[Канал],"&lt;&gt;=",Линии[Щит],A208)&gt;1),"ДУБЛЬ КАНАЛА","")))</f>
        <v/>
      </c>
      <c r="GX208" s="6" t="str">
        <f t="shared" si="464"/>
        <v/>
      </c>
      <c r="GY208">
        <f t="shared" si="465"/>
        <v>10</v>
      </c>
      <c r="GZ208" t="str">
        <f t="shared" si="466"/>
        <v/>
      </c>
      <c r="HA208" t="str">
        <f>IF(AND(B208="",GT208=""),"",_xlfn.TEXTJOIN("; ",TRUE,IF(AND(B208&lt;&gt;"",FE208=""),"нет фазы",""),IF(AND(B208&lt;&gt;"",N(FY208)=0,EQ208&lt;&gt;"Нет"),"нет мощности",""),IF(AND(GS208&lt;&gt;"",COUNTIFS(Линии[Щит],A208,Линии[Клемма (итог)],GS208)&gt;1),"дубль клеммы "&amp;GS208,""),IF(AND(GV208&lt;&gt;"",GV208&lt;&gt;"ok"),GV208,""),IF(GW208&lt;&gt;"",GW208,""),IF(AND(N(BV208)&gt;=4,N(BR208)=1),BV208&amp;" жил на 1 фазе",""),IF(AND(AX208="R",CA208=1,OR(N(CK208)=0,N(CK208)&gt;30)),"розетка без дифзащиты до 30 мА",""),IFERROR(IF(AND(ISNUMBER(R208),R208&gt;DV208),"потери "&amp;FIXED(R208,1)&amp;" % &gt; "&amp;DV208&amp;" %",""),""),IFERROR(IF(LEFT(GZ208,4)="мало","Iкз мало — отключение &gt; 0,4 с",""),""),IF(AND(B208&lt;&gt;"",BH208=""),"не на схеме",""),IF(AND(CA208=0,B208&lt;&gt;"",FE208&lt;&gt;"",IF(AW208=1,"",FF207)&lt;&gt;"",FE208&lt;&gt;IF(AW208=1,"",FF207)),"фаза не как у автомата группы ("&amp;IF(AW208=1,"",FF207)&amp;")","")))</f>
        <v/>
      </c>
      <c r="HB208" s="6">
        <f>IF(OR(CA208=0,DA208=""),"",_xlfn.LET(_xlpm.t,IFERROR(_xlfn.XLOOKUP(DA208,Каталог!$U$4:$U$500,Каталог!$G$4:$G$500),""),_xlpm.k,SEARCH("кА",_xlpm.t),IFERROR(--TRIM(RIGHT(SUBSTITUTE(MID(_xlpm.t,MAX(1,_xlpm.k-4),_xlpm.k-MAX(1,_xlpm.k-4))," ",REPT(" ",9)),5)),"")))</f>
        <v>6</v>
      </c>
      <c r="HC208" t="str">
        <f>IF(OR(HB208="",CA208=0),"",IF(_xlfn.XLOOKUP(A208,Щиты[Щит],Щиты[Iкз max на шинах, кА],"")="","",IF(HB208&lt;_xlfn.XLOOKUP(A208,Щиты[Щит],Щиты[Iкз max на шинах, кА]),"Icu "&amp;HB208&amp;" кА &lt; Iкз max","ok")))</f>
        <v/>
      </c>
      <c r="HD208" t="str">
        <f t="shared" si="467"/>
        <v/>
      </c>
      <c r="HE208" t="str">
        <f t="shared" si="468"/>
        <v>QFD24|XT24</v>
      </c>
      <c r="HF208" t="str">
        <f t="shared" si="469"/>
        <v>QFD24|XT24|кабель ВВГнг(А)-LS (3х2,5) → Розеточная группа, пом. 013Б</v>
      </c>
      <c r="HG208" t="str" cm="1">
        <f t="array" ref="HG208">IF(HF208="","",_xlfn.LET(_xlpm.nd,_xlfn.TEXTSPLIT(HF208,"|"),IF(COLUMNS(_xlpm.nd)&gt;1,A208&amp;"¦"&amp;INDEX(_xlpm.nd,1)&amp;"¦"&amp;INDEX(_xlpm.nd,2),"")))</f>
        <v>ЩР-01¦QFD24¦XT24</v>
      </c>
      <c r="HH208" t="str">
        <f t="shared" si="470"/>
        <v>R.0.013Б.1¦Розеточная группа, пом. 013Б</v>
      </c>
      <c r="HI208" t="str" cm="1">
        <f t="array" ref="HI208">IF(HF208="","",_xlfn.LET(_xlpm.nd,_xlfn.TEXTSPLIT(HF208,"|"),IF(COLUMNS(_xlpm.nd)&gt;2,A208&amp;"¦"&amp;INDEX(_xlpm.nd,2)&amp;"¦"&amp;INDEX(_xlpm.nd,3),"")))</f>
        <v>ЩР-01¦XT24¦кабель ВВГнг(А)-LS (3х2,5) → Розеточная группа, пом. 013Б</v>
      </c>
      <c r="HJ208" t="str">
        <f t="shared" si="471"/>
        <v>R.0.013Б.1¦Розеточная группа, пом. 013Б</v>
      </c>
      <c r="HK208" t="str" cm="1">
        <f t="array" ref="HK208">IF(HF208="","",_xlfn.LET(_xlpm.nd,_xlfn.TEXTSPLIT(HF208,"|"),IF(COLUMNS(_xlpm.nd)&gt;3,A208&amp;"¦"&amp;INDEX(_xlpm.nd,3)&amp;"¦"&amp;INDEX(_xlpm.nd,4),"")))</f>
        <v/>
      </c>
      <c r="HL208" t="str">
        <f t="shared" si="472"/>
        <v/>
      </c>
      <c r="HM208" t="str" cm="1">
        <f t="array" ref="HM208">IF(HF208="","",_xlfn.LET(_xlpm.nd,_xlfn.TEXTSPLIT(HF208,"|"),IF(COLUMNS(_xlpm.nd)&gt;4,A208&amp;"¦"&amp;INDEX(_xlpm.nd,4)&amp;"¦"&amp;INDEX(_xlpm.nd,5),"")))</f>
        <v/>
      </c>
      <c r="HN208" t="str">
        <f t="shared" si="473"/>
        <v/>
      </c>
      <c r="HO208" t="str" cm="1">
        <f t="array" ref="HO208">IF(HF208="","",_xlfn.LET(_xlpm.nd,_xlfn.TEXTSPLIT(HF208,"|"),IF(COLUMNS(_xlpm.nd)&gt;5,A208&amp;"¦"&amp;INDEX(_xlpm.nd,5)&amp;"¦"&amp;INDEX(_xlpm.nd,6),"")))</f>
        <v/>
      </c>
      <c r="HP208" t="str">
        <f t="shared" si="474"/>
        <v/>
      </c>
      <c r="HQ208" t="str" cm="1">
        <f t="array" ref="HQ208">IF(HF208="","",_xlfn.LET(_xlpm.nd,_xlfn.TEXTSPLIT(HF208,"|"),IF(COLUMNS(_xlpm.nd)&gt;6,A208&amp;"¦"&amp;INDEX(_xlpm.nd,6)&amp;"¦"&amp;INDEX(_xlpm.nd,7),"")))</f>
        <v/>
      </c>
      <c r="HR208" t="str">
        <f t="shared" si="475"/>
        <v/>
      </c>
      <c r="HS208" t="str">
        <f t="shared" si="476"/>
        <v/>
      </c>
      <c r="HT208" t="str">
        <f t="shared" si="477"/>
        <v>QFD24 → XT24</v>
      </c>
      <c r="HU208">
        <f t="shared" si="478"/>
        <v>0</v>
      </c>
      <c r="HV208">
        <f t="shared" si="479"/>
        <v>1</v>
      </c>
      <c r="HW208" t="str">
        <f t="shared" si="480"/>
        <v/>
      </c>
      <c r="HX208" t="str">
        <f t="shared" si="481"/>
        <v/>
      </c>
      <c r="HY208" t="str">
        <f t="shared" si="482"/>
        <v/>
      </c>
      <c r="HZ208" t="str">
        <f t="shared" si="483"/>
        <v/>
      </c>
      <c r="IA208" t="str">
        <f>IF(B208="","",IFERROR(VLOOKUP(B208,УГО_спр,2,FALSE),IFERROR(VLOOKUP(AX208,УГО_спр,2,FALSE),IFERROR(VLOOKUP(LEFT(AX208,2),УГО_спр,2,FALSE),""))))</f>
        <v>Розетка</v>
      </c>
      <c r="IB208" t="str">
        <f>IF(B208="","",IF(OR(IA208="",IA208=0),"BOX",IFERROR(IF(VLOOKUP(IA208,УГО_блоки,3,FALSE)&amp;""&lt;&gt;"",VLOOKUP(IA208,УГО_блоки,3,FALSE),VLOOKUP(IA208,УГО_блоки,2,FALSE)),IA208)))</f>
        <v>SOCKET</v>
      </c>
      <c r="IC208">
        <f t="shared" si="484"/>
        <v>1</v>
      </c>
      <c r="ID208" t="str">
        <f>IF(DA208="","",IF(COUNTIF(DA$3:DA208,DA208)=1,MAX(ID$2:ID207)+1,""))</f>
        <v/>
      </c>
      <c r="IE208" t="str">
        <f>IF(CO208="","",IF(COUNTIF(CO$3:CO208,CO208)+COUNTIF(CP$2:CP207,CO208)+COUNTIF(CQ$2:CQ207,CO208)=1,MAX(IE$2:IG207)+1,""))</f>
        <v/>
      </c>
      <c r="IF208" t="str">
        <f>IF(CP208="","",IF(COUNTIF(CO$3:CO208,CP208)+COUNTIF(CP$3:CP208,CP208)+COUNTIF(CQ$2:CQ207,CP208)=1,MAX(IE$2:IG207,IE208)+1,""))</f>
        <v/>
      </c>
      <c r="IG208" t="str">
        <f>IF(CQ208="","",IF(COUNTIF(CO$3:CO208,CQ208)+COUNTIF(CP$3:CP208,CQ208)+COUNTIF(CQ$3:CQ208,CQ208)=1,MAX(IE$2:IG207,IE208,IF208)+1,""))</f>
        <v/>
      </c>
      <c r="IH208" t="str">
        <f t="shared" si="485"/>
        <v>3х2,5</v>
      </c>
      <c r="II208" t="str">
        <f>IF(IH208="","",IF(COUNTIF(IH$3:IH208,IH208)=1,MAX(II$2:II207)+1,""))</f>
        <v/>
      </c>
      <c r="IJ208" t="str">
        <f>IF(GL208="","",COUNTIF(GL$3:GL208,"?*"))</f>
        <v/>
      </c>
      <c r="IK208" t="str">
        <f>IF(OR(GL208="",GN208=""),"",IF(COUNTIFS(GL$3:GL208,"?*",GN$3:GN208,GN208)=1,MAX(IK$2:IK207)+1,""))</f>
        <v/>
      </c>
      <c r="IL208">
        <f t="shared" si="486"/>
        <v>0</v>
      </c>
      <c r="IM208">
        <f>IF(B208="","",COUNTIF(B$3:B208,"?*"))</f>
        <v>206</v>
      </c>
      <c r="IN208">
        <f>IF(GQ208&lt;&gt;1,0,_xlfn.LET(_xlpm.k,MAX(IFERROR(--VLOOKUP(B208,УГО_спр,5,FALSE),0),IFERROR(--VLOOKUP(AX208,УГО_спр,5,FALSE),0),IFERROR(--VLOOKUP(LEFT(AX208,2),УГО_спр,5,FALSE),0)),IF(_xlpm.k&gt;0,_xlpm.k,IF(IFERROR(--LEFT(SUBSTITUTE(IH208,"x","х"),FIND("х",SUBSTITUTE(IH208,"x","х"))-1),3)&gt;3,Каталог!$S$9,1))))</f>
        <v>1</v>
      </c>
      <c r="IO208">
        <f t="shared" si="487"/>
        <v>0</v>
      </c>
      <c r="IP208" t="str">
        <f t="shared" si="488"/>
        <v>авто</v>
      </c>
      <c r="IQ208">
        <f t="shared" si="489"/>
        <v>30</v>
      </c>
      <c r="IR208">
        <f t="shared" si="490"/>
        <v>1</v>
      </c>
      <c r="IS208">
        <f t="shared" si="491"/>
        <v>1</v>
      </c>
    </row>
    <row r="209" spans="1:253" x14ac:dyDescent="0.3">
      <c r="A209" t="s">
        <v>757</v>
      </c>
      <c r="B209" t="s">
        <v>1475</v>
      </c>
      <c r="C209" t="str">
        <f>Линии[[#This Row],[_авто наименование]]</f>
        <v>Розеточная группа, пом. 013Б</v>
      </c>
      <c r="D209">
        <v>2</v>
      </c>
      <c r="E209">
        <v>0.12</v>
      </c>
      <c r="G209" t="str">
        <f>Линии[[#This Row],[_авто автомат]]</f>
        <v>2P С16А 30мА</v>
      </c>
      <c r="H209">
        <f>Линии[[#This Row],[_авто утечка]]</f>
        <v>30</v>
      </c>
      <c r="I209" t="str">
        <f>Линии[[#This Row],[_авто управление]]</f>
        <v/>
      </c>
      <c r="J209" t="str">
        <f>Линии[[#This Row],[_авто аппараты]]</f>
        <v/>
      </c>
      <c r="K209">
        <v>2.5</v>
      </c>
      <c r="L209">
        <v>42</v>
      </c>
      <c r="M209">
        <v>2</v>
      </c>
      <c r="N209" t="str">
        <f>Линии[[#This Row],[_авто клемма]]</f>
        <v>XT25</v>
      </c>
      <c r="O209" t="str">
        <f t="shared" si="369"/>
        <v/>
      </c>
      <c r="P209" s="6" cm="1">
        <f t="array" ref="P209">IF(B209="","",IF(BC209&lt;&gt;"",IFERROR(_xlfn.XLOOKUP(BC209,Щиты[Щит],Щиты[Iр, А]),""),IF(BK209=1,IFERROR(_xlfn.XLOOKUP(A209,Щиты[Щит],Щиты[Iр, А]),""),IFERROR(_xlfn.IFS(BR209=1,BN209/((Uн_лин/SQRT(3))*BY209),BR209=3,BN209/(SQRT(3)*Uн_лин*BY209)),""))))</f>
        <v>0.54696341291648753</v>
      </c>
      <c r="Q209" s="7">
        <f>IF(B209="","",IFERROR(IF(VLOOKUP(AX209,Потребители_обозначение,4,FALSE)=1,VLOOKUP(AX209,Потребители_обозначение,3,FALSE)*(D209*2-1)+DS209+VLOOKUP(AZ209,Этаж_обозначение,3,FALSE)+VLOOKUP(AZ209,Этаж_обозначение,4,FALSE),VLOOKUP(AX209,Потребители_обозначение,3,FALSE)*(D209*2-1)+DS209),DS209))</f>
        <v>51</v>
      </c>
      <c r="R209" s="6">
        <f t="shared" si="370"/>
        <v>0.64</v>
      </c>
      <c r="S209" t="str">
        <f t="shared" si="371"/>
        <v>ВВГнг(А)-LS (3х2,5)</v>
      </c>
      <c r="T209" t="str">
        <f>IF(BH209="","",IF(BI209="вводной узел","узел ","")&amp;"л."&amp;(INT((BH209-1)/Столбцов_на_лист)+1)&amp;" / "&amp;(MOD(BH209-1,Столбцов_на_лист)+1))</f>
        <v>л.3 / 12</v>
      </c>
      <c r="V209">
        <v>1</v>
      </c>
      <c r="W209">
        <v>230</v>
      </c>
      <c r="X209" t="s">
        <v>564</v>
      </c>
      <c r="AC209" t="s">
        <v>815</v>
      </c>
      <c r="AE209" t="s">
        <v>563</v>
      </c>
      <c r="AI209">
        <v>46</v>
      </c>
      <c r="AJ209" t="s">
        <v>11</v>
      </c>
      <c r="AK209">
        <v>3</v>
      </c>
      <c r="AM209">
        <v>33</v>
      </c>
      <c r="AN209">
        <v>18</v>
      </c>
      <c r="AO209">
        <v>0</v>
      </c>
      <c r="AW209" cm="1">
        <f t="array" ref="AW209">ROW()-ROW(Линии[#Headers])</f>
        <v>207</v>
      </c>
      <c r="AX209" s="6" t="str">
        <f t="shared" si="372"/>
        <v>R</v>
      </c>
      <c r="AY209" t="str">
        <f t="shared" si="373"/>
        <v>0.013Б.2</v>
      </c>
      <c r="AZ209" t="str">
        <f t="shared" si="374"/>
        <v>0</v>
      </c>
      <c r="BA209" t="str">
        <f t="shared" si="375"/>
        <v>013Б.2</v>
      </c>
      <c r="BB209" t="str">
        <f t="shared" si="376"/>
        <v>013Б</v>
      </c>
      <c r="BC209" t="str">
        <f>IF(U209&lt;&gt;"",U209,IF(AND(B209&lt;&gt;"",B209&lt;&gt;A209,ISNUMBER(_xlfn.XMATCH(B209,Щиты[Щит]))),B209,""))</f>
        <v/>
      </c>
      <c r="BD209" t="str" cm="1">
        <f t="array" ref="BD209">IF(B209="","",IF(BC209&lt;&gt;"","Щит "&amp;BC209,_xlfn.LET(_xlpm.nm,IFERROR(_xlfn.XLOOKUP(AX209,Коды_код,Коды_имя)&amp;"",""),_xlpm.md,IFERROR(N(_xlfn.XLOOKUP(AX209,Коды_код,Коды_режим)),1),_xlpm.ex,IF(Имя_режим="по экспликации",IFERROR(_xlfn.XLOOKUP(AZ209&amp;"|"&amp;BB209,Экспликация[Этаж]&amp;"|"&amp;Экспликация[Помещение],Экспликация[Название])&amp;"",""),""),_xlpm.rm,IF(BB209="","",IF(_xlpm.ex&lt;&gt;"",". "&amp;_xlpm.ex&amp;IF(Имя_пом="нет"," ("&amp;BB209&amp;")"," (пом. "&amp;BB209&amp;")"),IF(Имя_пом="нет"," ",", пом. ")&amp;BB209)),IF(_xlpm.nm="","",IF(_xlpm.md=2,_xlpm.nm&amp;" шлейф "&amp;AZ209,_xlpm.nm&amp;_xlpm.rm)))))</f>
        <v>Розеточная группа, пом. 013Б</v>
      </c>
      <c r="BE209" t="str">
        <f t="shared" si="377"/>
        <v>Розеточная группа, пом. 013Б</v>
      </c>
      <c r="BF209">
        <f>IFERROR(_xlfn.XMATCH(A209,Щиты[Щит]),0)</f>
        <v>9</v>
      </c>
      <c r="BG209">
        <f>_xlfn.LET(_xlpm.k,IFERROR(_xlfn.XLOOKUP(A209,Щиты[Щит],Щиты[Листов под вводной узел]),""),IF(_xlpm.k="",1,N(_xlpm.k))*Столбцов_на_лист)</f>
        <v>17</v>
      </c>
      <c r="BH209">
        <f t="shared" si="378"/>
        <v>46</v>
      </c>
      <c r="BI209" t="str">
        <f t="shared" si="379"/>
        <v>линии</v>
      </c>
      <c r="BJ209" s="6">
        <f>IFERROR(N(_xlfn.XLOOKUP(AX209,Коды_код,Коды_квт)),0)</f>
        <v>0</v>
      </c>
      <c r="BK209">
        <f t="shared" si="380"/>
        <v>0</v>
      </c>
      <c r="BL209" t="str">
        <f>IF(B209="","",IF(BC209&lt;&gt;"",IFERROR(_xlfn.XLOOKUP(BC209,Щиты[Щит],Щиты[Руст, кВт]),0),IF(BK209=1,IFERROR(_xlfn.XLOOKUP(A209,Щиты[Щит],Щиты[Руст, кВт]),0),IF(BJ209&gt;0,ROUND(BJ209*MAX(1,N(D209)),3),""))))</f>
        <v/>
      </c>
      <c r="BM209">
        <f t="shared" si="381"/>
        <v>0.12</v>
      </c>
      <c r="BN209" s="6">
        <f>IF(B209="","",IF(BC209&lt;&gt;"",IFERROR(_xlfn.XLOOKUP(BC209,Щиты[Щит],Щиты[Руст, кВт]),0),N(BM209)))</f>
        <v>0.12</v>
      </c>
      <c r="BO209" t="str">
        <f>IF(B209="","",IFERROR(IF(VLOOKUP(AX209,Потребители_обозначение,8,FALSE)=0,"",VLOOKUP(AX209,Потребители_обозначение,8,FALSE)),""))</f>
        <v/>
      </c>
      <c r="BP209">
        <f t="shared" si="382"/>
        <v>230</v>
      </c>
      <c r="BQ209">
        <f>IF(B209="","",IF(BC209&lt;&gt;"",3,IFERROR(IF(N(VLOOKUP(AX209,Потребители_обозначение,9,FALSE))=0,1,VLOOKUP(AX209,Потребители_обозначение,9,FALSE)),1)))</f>
        <v>1</v>
      </c>
      <c r="BR209">
        <f t="shared" si="383"/>
        <v>1</v>
      </c>
      <c r="BS209" t="str">
        <f>IF(B209="","",_xlfn.LET(_xlpm.bc,IFERROR(IF(VLOOKUP(AX209,Потребители_обозначение,6,FALSE)=0,"",VLOOKUP(AX209,Потребители_обозначение,6,FALSE)&amp;""),""),IF(AND(FK209="да",OR(_xlpm.bc="",_xlpm.bc="мс")),Марка_пож,IF(AND(_xlpm.bc="",BC209&lt;&gt;""),"мс",_xlpm.bc))))</f>
        <v/>
      </c>
      <c r="BT209" t="str">
        <f t="shared" si="384"/>
        <v>мс</v>
      </c>
      <c r="BU209">
        <f>IF(B209="","",_xlfn.LET(_xlpm.cc,IFERROR(N(VLOOKUP(AX209,Потребители_обозначение,7,FALSE)),0),IF(_xlpm.cc&gt;0,_xlpm.cc,IF(BT209="","",IF(N(BR209)=3,5,3)))))</f>
        <v>3</v>
      </c>
      <c r="BV209">
        <f t="shared" si="385"/>
        <v>3</v>
      </c>
      <c r="BW209">
        <f>IFERROR(N(VLOOKUP(AX209,Потребители_обозначение,10,FALSE)),0)</f>
        <v>0</v>
      </c>
      <c r="BX209">
        <f>IFERROR(VLOOKUP(AX209,Потребители_обозначение,5,FALSE),0)</f>
        <v>1</v>
      </c>
      <c r="BY209" s="6" cm="1">
        <f t="array" ref="BY209">IF(B209="","",IF(BC209&lt;&gt;"",IFERROR(_xlfn.XLOOKUP(BC209,Щиты[Щит],Щиты[cos φ]),0.95),IF(BK209=1,IFERROR(_xlfn.XLOOKUP(A209,Щиты[Щит],Щиты[cos φ]),0.95),IF(ISNUMBER(Z209),Z209,IFERROR(IF(BX209=2,_xlfn.IFS(BR209=3,VLOOKUP(BN209,Справочная_двигатели,8,FALSE),BR209=1,VLOOKUP(BN209,Справочная_двигатели,10,TRUE)),IF(AND(Методика="нормы 2026",EQ209="Сил"),0.8,0.95)),0.95)))))</f>
        <v>0.95</v>
      </c>
      <c r="BZ209">
        <f t="shared" si="386"/>
        <v>0</v>
      </c>
      <c r="CA209">
        <f t="shared" si="387"/>
        <v>1</v>
      </c>
      <c r="CB209">
        <f t="shared" si="388"/>
        <v>0</v>
      </c>
      <c r="CC209">
        <f t="shared" si="389"/>
        <v>0</v>
      </c>
      <c r="CD209">
        <f t="shared" si="390"/>
        <v>0</v>
      </c>
      <c r="CE209">
        <f t="shared" si="391"/>
        <v>0</v>
      </c>
      <c r="CF209">
        <f t="shared" si="392"/>
        <v>0</v>
      </c>
      <c r="CG209">
        <f>IF(AX209="",0,_xlfn.LET(_xlpm.v,IFERROR(VLOOKUP(B209,УГО_спр,3,FALSE),IFERROR(VLOOKUP(AX209,УГО_спр,3,FALSE),IFERROR(VLOOKUP(LEFT(AX209,2),УГО_спр,3,FALSE),""))),IF(_xlpm.v="да",30,IF(ISNUMBER(_xlpm.v),_xlpm.v,0))))</f>
        <v>30</v>
      </c>
      <c r="CH209">
        <f t="shared" si="393"/>
        <v>30</v>
      </c>
      <c r="CI209" t="str">
        <f>_xlfn.LET(_xlpm.k,IFERROR(_xlfn.XLOOKUP(AX209,Коды_код,Коды_утечка)&amp;"",""),IF(_xlpm.k="","дифавтомат",_xlpm.k))</f>
        <v>дифавтомат</v>
      </c>
      <c r="CJ209">
        <f t="shared" si="394"/>
        <v>30</v>
      </c>
      <c r="CK209">
        <f t="shared" si="395"/>
        <v>30</v>
      </c>
      <c r="CL209">
        <f>IF(B209="",0,IFERROR(--VLOOKUP(B209,УГО_спр,4,FALSE),IFERROR(--VLOOKUP(AX209,УГО_спр,4,FALSE),IFERROR(--VLOOKUP(LEFT(AX209,2),УГО_спр,4,FALSE),0))))</f>
        <v>16</v>
      </c>
      <c r="CM209" t="str">
        <f>IF(B209="","",IFERROR(_xlfn.XLOOKUP(AX209,Коды_код,Коды_апп)&amp;"",""))</f>
        <v/>
      </c>
      <c r="CN209" t="str">
        <f t="shared" si="396"/>
        <v/>
      </c>
      <c r="CO209" t="str" cm="1">
        <f t="array" ref="CO209">IF(TRIM(CN209&amp;"")="","",IFERROR(TRIM(INDEX(_xlfn.TEXTSPLIT(CN209&amp;";;;",";"),1)),""))</f>
        <v/>
      </c>
      <c r="CP209" t="str" cm="1">
        <f t="array" ref="CP209">IF(TRIM(CN209&amp;"")="","",IFERROR(TRIM(INDEX(_xlfn.TEXTSPLIT(CN209&amp;";;;",";"),2)),""))</f>
        <v/>
      </c>
      <c r="CQ209" t="str" cm="1">
        <f t="array" ref="CQ209">IF(TRIM(CN209&amp;"")="","",IFERROR(TRIM(INDEX(_xlfn.TEXTSPLIT(CN209&amp;";;;",";"),3)),""))</f>
        <v/>
      </c>
      <c r="CR209">
        <f t="shared" si="397"/>
        <v>0</v>
      </c>
      <c r="CS209" t="str">
        <f>IF(B209="","",_xlfn.LET(_xlpm.t,LOWER(AV209&amp;""),IF(ISNUMBER(SEARCH("dim",_xlpm.t)),"DIM",IF(ISNUMBER(SEARCH("dali",_xlpm.t)),"DALI",IF(OR(ISNUMBER(SEARCH("relay",_xlpm.t)),ISNUMBER(SEARCH("реле",_xlpm.t))),"Relay",IF(ISNUMBER(SEARCH("кнопк",_xlpm.t)),"",IFERROR(_xlfn.XLOOKUP(AX209,Коды_код,Коды_упр)&amp;"","")))))))</f>
        <v/>
      </c>
      <c r="CT209" t="str">
        <f t="shared" si="398"/>
        <v/>
      </c>
      <c r="CU209">
        <f>IF(B209="","",_xlfn.LET(_xlpm.ig,N(P209)+IF(AF209="вручную",0,N(CB209)),_xlpm.n0,IFERROR(VLOOKUP(_xlpm.ig,Автомат_номиналы,2,TRUE),0),_xlpm.mn,MAX(CL209,IF(AF209="вручную",0,N(CE209))),MAX(_xlpm.n0,_xlpm.mn,IF(CR209=1,Мин_автомат_БП,0))))</f>
        <v>16</v>
      </c>
      <c r="CV209">
        <f t="shared" si="399"/>
        <v>1</v>
      </c>
      <c r="CW209" t="str">
        <f t="shared" si="400"/>
        <v>2P</v>
      </c>
      <c r="CX209" t="str">
        <f>_xlfn.LET(_xlpm.cc,UPPER(TRIM(IFERROR(_xlfn.XLOOKUP(AX209,Коды_код,Коды_хар)&amp;"",""))),IF(OR(_xlpm.cc="B",_xlpm.cc="В"),"B",IF(_xlpm.cc="D","D","С")))</f>
        <v>С</v>
      </c>
      <c r="CY209" t="str">
        <f t="shared" si="401"/>
        <v>2P С16А 30мА</v>
      </c>
      <c r="CZ209" t="str">
        <f t="shared" si="402"/>
        <v>2P С16А 30мА</v>
      </c>
      <c r="DA209" t="str">
        <f t="shared" si="403"/>
        <v>2P С16А 30мА</v>
      </c>
      <c r="DB209" cm="1">
        <f t="array" ref="DB209">IF(DA209="","",_xlfn.LET(_xlpm.t,SUBSTITUTE(SUBSTITUTE(SUBSTITUTE(UPPER(DA209),"С","C"),"А","A"),"В","B"),_xlpm.tk,_xlfn.TEXTSPLIT(_xlpm.t,"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9" t="str">
        <f t="shared" si="404"/>
        <v>ok</v>
      </c>
      <c r="DD209">
        <f t="shared" si="405"/>
        <v>16</v>
      </c>
      <c r="DE209" t="str">
        <f t="shared" si="406"/>
        <v>2P С16А 30мА</v>
      </c>
      <c r="DF209">
        <f t="shared" si="407"/>
        <v>30</v>
      </c>
      <c r="DG209">
        <f t="shared" si="408"/>
        <v>1</v>
      </c>
      <c r="DH209">
        <f t="shared" si="409"/>
        <v>0</v>
      </c>
      <c r="DI209">
        <f t="shared" si="410"/>
        <v>0.54696341291648753</v>
      </c>
      <c r="DJ209">
        <f t="shared" si="411"/>
        <v>1</v>
      </c>
      <c r="DK209">
        <f>IF(ISNUMBER(AL209),AL209,К_прокл)</f>
        <v>1</v>
      </c>
      <c r="DL209">
        <f t="shared" si="412"/>
        <v>2</v>
      </c>
      <c r="DM209">
        <f>IFERROR(N(VLOOKUP(BT209,Кабель_обозначение,3,FALSE)),1)</f>
        <v>1</v>
      </c>
      <c r="DN209">
        <f>IFERROR(N(_xlfn.XLOOKUP(A209,Щиты[Щит],Щиты[ΔU до шин, %])),0)</f>
        <v>0.43</v>
      </c>
      <c r="DO209" t="str">
        <f>IFERROR(_xlfn.XLOOKUP(A209,Щиты[Щит],Щиты[Zпетли на шинах, Ом]),"")</f>
        <v/>
      </c>
      <c r="DP209">
        <f>IFERROR(N(_xlfn.XLOOKUP(A209,Щиты[Щит],Щиты[ΔU до шин (подбор), %])),0)</f>
        <v>0.43</v>
      </c>
      <c r="DQ209" t="str">
        <f>IFERROR(_xlfn.XLOOKUP(A209,Щиты[Щит],Щиты[Zпетли на шинах (подбор), Ом]),"")</f>
        <v/>
      </c>
      <c r="DR209" t="str">
        <f t="shared" si="413"/>
        <v/>
      </c>
      <c r="DS209">
        <f t="shared" si="414"/>
        <v>42</v>
      </c>
      <c r="DT209">
        <f t="shared" si="415"/>
        <v>2</v>
      </c>
      <c r="DU209">
        <f t="shared" si="416"/>
        <v>0.31</v>
      </c>
      <c r="DV209" s="6">
        <f>IF(B209="","",IF(IFERROR(VLOOKUP(AX209,УГО_спр,2,FALSE),"")="Светильник",3,4)+IF(Методика="нормы 2026",MIN(0.5,MAX(0,N(Q209)-100)*0.005),0))</f>
        <v>4</v>
      </c>
      <c r="DW209" cm="1">
        <f t="array" ref="DW209">IF(OR(B209="",BT209="",DM209&lt;&gt;1),"",_xlfn.LET(_xlpm.sz,Iдоп_S,_xlpm.t_,CHOOSE(DL209,Iдоп_1ж,Iдоп_2ж,Iдоп_3ж)*DJ209*DK209,_xlpm.inn,N(DD209),_xlpm.smin,MAX(1.5,BW209),_xlpm.L_,N(Q209)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209)*(_xlpm.rho*_xlpm.L_/_xlpm.sz*N(BY209)+_xlpm.xx*_xlpm.L_*N(DU209)/1000)*N(P209)/((Uн_лин/SQRT(3))*1000)*100,999),_xlpm.kz,IF(OR(DG209=1,NOT(ISNUMBER(DQ209)),_xlpm.L_=0,_xlpm.inn=0),1,IFERROR(--(c_min*(Uн_лин*1000/SQRT(3))/(DQ209+2*ρкз_Cu*_xlpm.L_/_xlpm.sz)&gt;=GY209*_xlpm.inn),0)),_xlpm.ok,IFERROR((_xlpm.sz&gt;=_xlpm.smin)*(_xlpm.t_&gt;=_xlpm.inn)*IF(_xlpm.L_&gt;0,(_xlpm.du_+DP209&lt;=DV209+0.00001),1)*_xlpm.kz,0),_xlpm.r_,_xlfn._xlws.FILTER(_xlpm.sz,_xlpm.ok,"не подобрано"),INDEX(_xlpm.r_,1)))</f>
        <v>1.5</v>
      </c>
      <c r="DX209">
        <f t="shared" si="417"/>
        <v>2.5</v>
      </c>
      <c r="DY209" cm="1">
        <f t="array" ref="DY209">IF(OR(B209="",BT209="",DM209&lt;&gt;1),"",_xlfn.LET(_xlpm.sz,Iдоп_S,_xlpm.t_,CHOOSE(DL209,Iдоп_1ж,Iдоп_2ж,Iдоп_3ж)*DJ209*DK209,_xlpm.ok,IFERROR((_xlpm.sz&gt;=MAX(1.5,BW209))*(_xlpm.t_&gt;=N(DD209)),0),_xlpm.r_,_xlfn._xlws.FILTER(_xlpm.sz,_xlpm.ok,""),INDEX(_xlpm.r_,1)))</f>
        <v>1.5</v>
      </c>
      <c r="DZ209" s="6" cm="1">
        <f t="array" ref="DZ209">IFERROR(ROUNDUP(N(DT209)*(_xlfn.XLOOKUP(DY209,INDEX(Кабель_сопротивление,0,1),INDEX(Кабель_сопротивление,0,3))*N(Q209)/DY209*N(BY209)+_xlfn.XLOOKUP(DY209,INDEX(Кабель_сопротивление,0,1),INDEX(Кабель_сопротивление,0,2))*N(Q209)*N(DU209)/1000)*N(P209)/((Uн_лин/SQRT(3))*1000)*100,2),"")</f>
        <v>0.35000000000000003</v>
      </c>
      <c r="EA209">
        <f>IFERROR(2*ρкз_Cu*N(Q209)/DY209,"")</f>
        <v>1.7884</v>
      </c>
      <c r="EB209">
        <f>IFERROR(VLOOKUP(DX209,Кабель_сопротивление,3,FALSE),"")</f>
        <v>2.2499999999999999E-2</v>
      </c>
      <c r="EC209">
        <f>IFERROR(VLOOKUP(DX209,Кабель_сопротивление,2,FALSE),"")</f>
        <v>0.1</v>
      </c>
      <c r="ED209">
        <f t="shared" si="418"/>
        <v>18</v>
      </c>
      <c r="EE209">
        <f t="shared" si="419"/>
        <v>0</v>
      </c>
      <c r="EF209">
        <f t="shared" si="420"/>
        <v>0.47873629071611062</v>
      </c>
      <c r="EG209" s="6">
        <f>IFERROR(ROUNDUP(EF209/((Uн_лин/SQRT(3))*1000)*100,2),"")</f>
        <v>0.21000000000000002</v>
      </c>
      <c r="EH209" t="str">
        <f>IFERROR(VLOOKUP(BT209,Кабель_обозначение,2,FALSE),"")</f>
        <v>ВВГнг(А)-LS</v>
      </c>
      <c r="EI209" t="str">
        <f t="shared" si="421"/>
        <v>ВВГнг(А)-LS (3х2,5)</v>
      </c>
      <c r="EJ209" t="str">
        <f t="shared" si="422"/>
        <v>ВВГнг(А)-LS (3х2,5)
L=51-0,21%</v>
      </c>
      <c r="EK209">
        <f>IFERROR(2*ρкз_Cu*Q209/DX209,"")</f>
        <v>1.07304</v>
      </c>
      <c r="EL209">
        <f t="shared" si="423"/>
        <v>0.35700000000000004</v>
      </c>
      <c r="EM209" s="6" t="str">
        <f>IFERROR(IF(OR(B209="",NOT(ISNUMBER(DX209)),N(Q209)=0),"",_xlfn.XLOOKUP(A209,Щиты[Щит],Щиты[Zпетли на шинах, Ом])+EK209),"")</f>
        <v/>
      </c>
      <c r="EN209" s="6" t="str">
        <f>IF(ISNUMBER(EM209),c_min*(Uн_лин*1000/SQRT(3))/EM209,"")</f>
        <v/>
      </c>
      <c r="EO209" s="6" t="str">
        <f>IFERROR(IF(OR(B209="",NOT(ISNUMBER(DX209))),"",1.05*(Uн_лин*1000/SQRT(3))/(_xlfn.XLOOKUP(A209,Щиты[Щит],Щиты[Zmax на шинах, Ом])+EL209)/1000),"")</f>
        <v/>
      </c>
      <c r="EP209" s="6" t="str">
        <f>IF(B209="","",IF(ISNUMBER(Y209),"Сил",IF(IFERROR(_xlfn.XLOOKUP(AX209,Коды_код,Коды_группа)&amp;"","")="","Быт",_xlfn.XLOOKUP(AX209,Коды_код,Коды_группа)&amp;"")))</f>
        <v>Быт</v>
      </c>
      <c r="EQ209" s="6" t="str">
        <f t="shared" si="424"/>
        <v>Быт</v>
      </c>
      <c r="ER209" s="6">
        <f>IF(EQ209="Щит","щит",IF(EQ209="","",IF(EQ209="Быт",IFERROR(_xlfn.XLOOKUP(A209,Щиты[Щит],Щиты[Кс быт]),1),IF(EQ209="Сил",IF(ISNUMBER(Y209),Y209,IF(Методика="нормы 2026",IFERROR(_xlfn.XLOOKUP(A209,Щиты[Щит],Щиты[Кс силовых (табл. 7.5)]),1),1)),IF(OR(EQ209="Пост",EQ209="Отоп"),1,IF(EQ209="ВНГ",0.7,0))))))</f>
        <v>0.79799999999999993</v>
      </c>
      <c r="ES209">
        <f t="shared" si="425"/>
        <v>1</v>
      </c>
      <c r="ET209">
        <f t="shared" si="426"/>
        <v>0.12</v>
      </c>
      <c r="EU209">
        <f t="shared" si="427"/>
        <v>0.12</v>
      </c>
      <c r="EV209">
        <f t="shared" si="428"/>
        <v>0</v>
      </c>
      <c r="EW209">
        <f t="shared" si="429"/>
        <v>0</v>
      </c>
      <c r="EX209">
        <f t="shared" si="430"/>
        <v>0</v>
      </c>
      <c r="EY209">
        <f t="shared" si="431"/>
        <v>0</v>
      </c>
      <c r="EZ209">
        <f t="shared" si="432"/>
        <v>0.12</v>
      </c>
      <c r="FA209">
        <f t="shared" si="433"/>
        <v>0.11399999999999999</v>
      </c>
      <c r="FB209">
        <f t="shared" si="434"/>
        <v>0.12</v>
      </c>
      <c r="FC209" t="str">
        <f t="shared" si="435"/>
        <v>L2</v>
      </c>
      <c r="FD209" t="str">
        <f>IF(B209="","",IF(CA209=0,IF(AW209=1,"",FF208),IF(OR(N(CV209)&gt;=3,N(BR209)&gt;=3),"L1,L2,L3",IFERROR(_xlfn.TEXTBEFORE(_xlfn.TEXTAFTER(_xlfn.XLOOKUP(A209,Щиты[Щит],Щиты[_фазы авто]),";"&amp;AW209&amp;":"),";"),"L1"))))</f>
        <v>L1</v>
      </c>
      <c r="FE209" t="str">
        <f t="shared" si="436"/>
        <v>L2</v>
      </c>
      <c r="FF209" t="str">
        <f t="shared" si="437"/>
        <v>L2</v>
      </c>
      <c r="FG209" cm="1">
        <f t="array" ref="FG209">IFERROR(IF(BX209=2,_xlfn.IFS(BR209=3,VLOOKUP(BN209,Справочная_двигатели,3,FALSE),BR209=1,VLOOKUP(BN209,Справочная_двигатели,5,TRUE)),0),0)</f>
        <v>0</v>
      </c>
      <c r="FH209">
        <f>IFERROR(IF(BX209=3,VLOOKUP(BN209,Справочная_ЛЭД,2,TRUE),0),0)</f>
        <v>0</v>
      </c>
      <c r="FI209" s="6">
        <f t="shared" si="438"/>
        <v>0</v>
      </c>
      <c r="FJ209" t="str" cm="1">
        <f t="array" ref="FJ209">IF(B209="","",IFERROR(INDEX({"I особая","I","II","III"},MATCH(TRIM(AC209&amp;""),{"I особая","I","II","III"},0)),"III"))</f>
        <v>II</v>
      </c>
      <c r="FK209" t="str">
        <f>IF(B209="","",IF(TRIM(AD209&amp;"")&lt;&gt;"",IF(LOWER(TRIM(AD209&amp;""))="да","да","нет"),IF(IFERROR(_xlfn.XLOOKUP(AX209,Коды_код,Коды_пожарная),"")="да","да","нет")))</f>
        <v>нет</v>
      </c>
      <c r="FL209" t="str">
        <f t="shared" si="439"/>
        <v/>
      </c>
      <c r="FM209" t="str">
        <f t="shared" si="440"/>
        <v>основная</v>
      </c>
      <c r="FN209">
        <f t="shared" si="441"/>
        <v>1</v>
      </c>
      <c r="FO209" t="str" cm="1">
        <f t="array" ref="FO209">IF(B209="","",_xlfn.LET(_xlpm.t,IFERROR(_xlfn.XLOOKUP(1,(Шины[Шина]=FM209)*(((Шины[Щит]=A209)+(Шины[Щит]=""))&gt;0),Шины[Тип]),"")&amp;"",IF(_xlpm.t&lt;&gt;"",_xlpm.t,IF(ISNUMBER(SEARCH("ИБП",FM209)),"ИБП",IF(ISNUMBER(SEARCH("ДГУ",FM209)),"ДГУ","Ввод "&amp;FN209)))))</f>
        <v>Ввод 1</v>
      </c>
      <c r="FP209" t="str">
        <f t="shared" si="442"/>
        <v>Ввод 1</v>
      </c>
      <c r="FQ209" t="str">
        <f>IF(B209="","",IF(OR(FO209="ИБП",FO209="ДГУ"),"I особая",IF(FO209="Одиночная","III",_xlfn.XLOOKUP(A209,Щиты[Щит],Щиты[Категория шины «Ввод»],"III"))))</f>
        <v>II</v>
      </c>
      <c r="FR209">
        <f>IF(B209="",0,IFERROR(MATCH(FJ209,{"III","II","I","I особая"},0),1))</f>
        <v>2</v>
      </c>
      <c r="FS209">
        <f t="shared" si="443"/>
        <v>2</v>
      </c>
      <c r="FT209" t="str">
        <f>IF(B209="","",IF(FR209&gt;IFERROR(MATCH(FQ209,{"III","II","I","I особая"},0),1),"НЕ ОБЕСПЕЧЕНА","ОК"))</f>
        <v>ОК</v>
      </c>
      <c r="FU209" t="str">
        <f>IF(A209="","",_xlfn.XLOOKUP(A209,Щиты[Щит],Щиты[Путь],""))</f>
        <v>|ГРЩ-ЖД|ЩР-01|</v>
      </c>
      <c r="FV209" t="str">
        <f>IF(B209="","",IF(AE209&lt;&gt;"",AE209,IF(IFERROR(_xlfn.XLOOKUP(AX209,Коды_код,Коды_вид)&amp;"","")="","Прочее",_xlfn.XLOOKUP(AX209,Коды_код,Коды_вид)&amp;"")))</f>
        <v>Розеточная сеть и бытовые приборы</v>
      </c>
      <c r="FW209">
        <f>IF(BH209="","",INT((BH209-1)/Столбцов_на_лист)+1)</f>
        <v>3</v>
      </c>
      <c r="FX209" t="str">
        <f t="shared" si="444"/>
        <v>ВВГнг(А)-LS (3х2,5) L=51-0,21%</v>
      </c>
      <c r="FY209">
        <f t="shared" si="445"/>
        <v>0.12</v>
      </c>
      <c r="FZ209">
        <f t="shared" si="446"/>
        <v>0.55000000000000004</v>
      </c>
      <c r="GA209">
        <f t="shared" si="447"/>
        <v>1</v>
      </c>
      <c r="GB209">
        <f t="shared" si="448"/>
        <v>0</v>
      </c>
      <c r="GC209">
        <f t="shared" si="449"/>
        <v>1</v>
      </c>
      <c r="GD209">
        <f>IF(BH209="","",IF(AND(CA209=1,GC209=1),COUNTIFS(A$3:A209,A209,CA$3:CA209,1,GC$3:GC209,1),IF(OR(OR(AW209=1,A209&lt;&gt;A208),AF209="вручную",GC209=0),"",IF(AW209=1,"",GE208))))</f>
        <v>25</v>
      </c>
      <c r="GE209">
        <f t="shared" si="450"/>
        <v>25</v>
      </c>
      <c r="GF209">
        <f>IF(B209="","",IFERROR(LOOKUP(INDEX(CHOOSE(DL209,Iдоп_1ж,Iдоп_2ж,Iдоп_3ж),MATCH(DX209,Iдоп_S,0))*DJ209*DK209,{6,10,16,20,25,32,40,50,63,80,100,125,160,200,250,315,400,500,630}),""))</f>
        <v>25</v>
      </c>
      <c r="GG209" t="str">
        <f t="shared" si="451"/>
        <v>QFD25</v>
      </c>
      <c r="GH209" t="str">
        <f t="shared" si="452"/>
        <v>QFD25</v>
      </c>
      <c r="GI209" t="str">
        <f t="shared" si="453"/>
        <v/>
      </c>
      <c r="GJ209">
        <f t="shared" si="454"/>
        <v>0</v>
      </c>
      <c r="GK209" t="str">
        <f>IF(OR(AG209="",AG209="-"),"",IFERROR(VLOOKUP(AG209,Модули_спр,2,FALSE),"R"))</f>
        <v/>
      </c>
      <c r="GL209" t="str">
        <f>IF(GK209="","",GK209&amp;"."&amp;COUNTIFS(A$3:A209,A209,GK$3:GK209,GK209))</f>
        <v/>
      </c>
      <c r="GM209" t="str">
        <f t="shared" si="455"/>
        <v/>
      </c>
      <c r="GN209" t="str">
        <f t="shared" si="456"/>
        <v/>
      </c>
      <c r="GO209" t="str">
        <f t="shared" si="457"/>
        <v/>
      </c>
      <c r="GP209" t="str">
        <f t="shared" si="458"/>
        <v/>
      </c>
      <c r="GQ209">
        <f t="shared" si="459"/>
        <v>1</v>
      </c>
      <c r="GR209" t="str">
        <f>IF(GQ209=1,"XT"&amp;COUNTIFS(A$3:A209,A209,GQ$3:GQ209,1),"")</f>
        <v>XT25</v>
      </c>
      <c r="GS209" t="str">
        <f t="shared" si="460"/>
        <v>XT25</v>
      </c>
      <c r="GT209" t="str">
        <f t="shared" si="461"/>
        <v>QFD25</v>
      </c>
      <c r="GU209" t="str">
        <f t="shared" si="462"/>
        <v/>
      </c>
      <c r="GV209" t="str">
        <f t="shared" si="463"/>
        <v>ok</v>
      </c>
      <c r="GW209" t="str">
        <f>IF(OR(GO209="",GM209=""),"",IF(GO209&gt;IFERROR(VLOOKUP(GN209,Модули_спр,3,FALSE),99),"ЛИШНИЙ КАНАЛ",IF(AND(AH209&lt;&gt;"=",COUNTIFS(Линии[_модуль гр.],GM209,Линии[Канал (итог)],GO209,Линии[Канал],"&lt;&gt;=",Линии[Щит],A209)&gt;1),"ДУБЛЬ КАНАЛА","")))</f>
        <v/>
      </c>
      <c r="GX209" s="6" t="str">
        <f t="shared" si="464"/>
        <v/>
      </c>
      <c r="GY209">
        <f t="shared" si="465"/>
        <v>10</v>
      </c>
      <c r="GZ209" t="str">
        <f t="shared" si="466"/>
        <v/>
      </c>
      <c r="HA209" t="str">
        <f>IF(AND(B209="",GT209=""),"",_xlfn.TEXTJOIN("; ",TRUE,IF(AND(B209&lt;&gt;"",FE209=""),"нет фазы",""),IF(AND(B209&lt;&gt;"",N(FY209)=0,EQ209&lt;&gt;"Нет"),"нет мощности",""),IF(AND(GS209&lt;&gt;"",COUNTIFS(Линии[Щит],A209,Линии[Клемма (итог)],GS209)&gt;1),"дубль клеммы "&amp;GS209,""),IF(AND(GV209&lt;&gt;"",GV209&lt;&gt;"ok"),GV209,""),IF(GW209&lt;&gt;"",GW209,""),IF(AND(N(BV209)&gt;=4,N(BR209)=1),BV209&amp;" жил на 1 фазе",""),IF(AND(AX209="R",CA209=1,OR(N(CK209)=0,N(CK209)&gt;30)),"розетка без дифзащиты до 30 мА",""),IFERROR(IF(AND(ISNUMBER(R209),R209&gt;DV209),"потери "&amp;FIXED(R209,1)&amp;" % &gt; "&amp;DV209&amp;" %",""),""),IFERROR(IF(LEFT(GZ209,4)="мало","Iкз мало — отключение &gt; 0,4 с",""),""),IF(AND(B209&lt;&gt;"",BH209=""),"не на схеме",""),IF(AND(CA209=0,B209&lt;&gt;"",FE209&lt;&gt;"",IF(AW209=1,"",FF208)&lt;&gt;"",FE209&lt;&gt;IF(AW209=1,"",FF208)),"фаза не как у автомата группы ("&amp;IF(AW209=1,"",FF208)&amp;")","")))</f>
        <v/>
      </c>
      <c r="HB209" s="6">
        <f>IF(OR(CA209=0,DA209=""),"",_xlfn.LET(_xlpm.t,IFERROR(_xlfn.XLOOKUP(DA209,Каталог!$U$4:$U$500,Каталог!$G$4:$G$500),""),_xlpm.k,SEARCH("кА",_xlpm.t),IFERROR(--TRIM(RIGHT(SUBSTITUTE(MID(_xlpm.t,MAX(1,_xlpm.k-4),_xlpm.k-MAX(1,_xlpm.k-4))," ",REPT(" ",9)),5)),"")))</f>
        <v>6</v>
      </c>
      <c r="HC209" t="str">
        <f>IF(OR(HB209="",CA209=0),"",IF(_xlfn.XLOOKUP(A209,Щиты[Щит],Щиты[Iкз max на шинах, кА],"")="","",IF(HB209&lt;_xlfn.XLOOKUP(A209,Щиты[Щит],Щиты[Iкз max на шинах, кА]),"Icu "&amp;HB209&amp;" кА &lt; Iкз max","ok")))</f>
        <v/>
      </c>
      <c r="HD209" t="str">
        <f t="shared" si="467"/>
        <v/>
      </c>
      <c r="HE209" t="str">
        <f t="shared" si="468"/>
        <v>QFD25|XT25</v>
      </c>
      <c r="HF209" t="str">
        <f t="shared" si="469"/>
        <v>QFD25|XT25|кабель ВВГнг(А)-LS (3х2,5) → Розеточная группа, пом. 013Б</v>
      </c>
      <c r="HG209" t="str" cm="1">
        <f t="array" ref="HG209">IF(HF209="","",_xlfn.LET(_xlpm.nd,_xlfn.TEXTSPLIT(HF209,"|"),IF(COLUMNS(_xlpm.nd)&gt;1,A209&amp;"¦"&amp;INDEX(_xlpm.nd,1)&amp;"¦"&amp;INDEX(_xlpm.nd,2),"")))</f>
        <v>ЩР-01¦QFD25¦XT25</v>
      </c>
      <c r="HH209" t="str">
        <f t="shared" si="470"/>
        <v>R.0.013Б.2¦Розеточная группа, пом. 013Б</v>
      </c>
      <c r="HI209" t="str" cm="1">
        <f t="array" ref="HI209">IF(HF209="","",_xlfn.LET(_xlpm.nd,_xlfn.TEXTSPLIT(HF209,"|"),IF(COLUMNS(_xlpm.nd)&gt;2,A209&amp;"¦"&amp;INDEX(_xlpm.nd,2)&amp;"¦"&amp;INDEX(_xlpm.nd,3),"")))</f>
        <v>ЩР-01¦XT25¦кабель ВВГнг(А)-LS (3х2,5) → Розеточная группа, пом. 013Б</v>
      </c>
      <c r="HJ209" t="str">
        <f t="shared" si="471"/>
        <v>R.0.013Б.2¦Розеточная группа, пом. 013Б</v>
      </c>
      <c r="HK209" t="str" cm="1">
        <f t="array" ref="HK209">IF(HF209="","",_xlfn.LET(_xlpm.nd,_xlfn.TEXTSPLIT(HF209,"|"),IF(COLUMNS(_xlpm.nd)&gt;3,A209&amp;"¦"&amp;INDEX(_xlpm.nd,3)&amp;"¦"&amp;INDEX(_xlpm.nd,4),"")))</f>
        <v/>
      </c>
      <c r="HL209" t="str">
        <f t="shared" si="472"/>
        <v/>
      </c>
      <c r="HM209" t="str" cm="1">
        <f t="array" ref="HM209">IF(HF209="","",_xlfn.LET(_xlpm.nd,_xlfn.TEXTSPLIT(HF209,"|"),IF(COLUMNS(_xlpm.nd)&gt;4,A209&amp;"¦"&amp;INDEX(_xlpm.nd,4)&amp;"¦"&amp;INDEX(_xlpm.nd,5),"")))</f>
        <v/>
      </c>
      <c r="HN209" t="str">
        <f t="shared" si="473"/>
        <v/>
      </c>
      <c r="HO209" t="str" cm="1">
        <f t="array" ref="HO209">IF(HF209="","",_xlfn.LET(_xlpm.nd,_xlfn.TEXTSPLIT(HF209,"|"),IF(COLUMNS(_xlpm.nd)&gt;5,A209&amp;"¦"&amp;INDEX(_xlpm.nd,5)&amp;"¦"&amp;INDEX(_xlpm.nd,6),"")))</f>
        <v/>
      </c>
      <c r="HP209" t="str">
        <f t="shared" si="474"/>
        <v/>
      </c>
      <c r="HQ209" t="str" cm="1">
        <f t="array" ref="HQ209">IF(HF209="","",_xlfn.LET(_xlpm.nd,_xlfn.TEXTSPLIT(HF209,"|"),IF(COLUMNS(_xlpm.nd)&gt;6,A209&amp;"¦"&amp;INDEX(_xlpm.nd,6)&amp;"¦"&amp;INDEX(_xlpm.nd,7),"")))</f>
        <v/>
      </c>
      <c r="HR209" t="str">
        <f t="shared" si="475"/>
        <v/>
      </c>
      <c r="HS209" t="str">
        <f t="shared" si="476"/>
        <v/>
      </c>
      <c r="HT209" t="str">
        <f t="shared" si="477"/>
        <v>QFD25 → XT25</v>
      </c>
      <c r="HU209">
        <f t="shared" si="478"/>
        <v>0</v>
      </c>
      <c r="HV209">
        <f t="shared" si="479"/>
        <v>1</v>
      </c>
      <c r="HW209" t="str">
        <f t="shared" si="480"/>
        <v/>
      </c>
      <c r="HX209" t="str">
        <f t="shared" si="481"/>
        <v/>
      </c>
      <c r="HY209" t="str">
        <f t="shared" si="482"/>
        <v/>
      </c>
      <c r="HZ209" t="str">
        <f t="shared" si="483"/>
        <v/>
      </c>
      <c r="IA209" t="str">
        <f>IF(B209="","",IFERROR(VLOOKUP(B209,УГО_спр,2,FALSE),IFERROR(VLOOKUP(AX209,УГО_спр,2,FALSE),IFERROR(VLOOKUP(LEFT(AX209,2),УГО_спр,2,FALSE),""))))</f>
        <v>Розетка</v>
      </c>
      <c r="IB209" t="str">
        <f>IF(B209="","",IF(OR(IA209="",IA209=0),"BOX",IFERROR(IF(VLOOKUP(IA209,УГО_блоки,3,FALSE)&amp;""&lt;&gt;"",VLOOKUP(IA209,УГО_блоки,3,FALSE),VLOOKUP(IA209,УГО_блоки,2,FALSE)),IA209)))</f>
        <v>SOCKET</v>
      </c>
      <c r="IC209">
        <f t="shared" si="484"/>
        <v>1</v>
      </c>
      <c r="ID209" t="str">
        <f>IF(DA209="","",IF(COUNTIF(DA$3:DA209,DA209)=1,MAX(ID$2:ID208)+1,""))</f>
        <v/>
      </c>
      <c r="IE209" t="str">
        <f>IF(CO209="","",IF(COUNTIF(CO$3:CO209,CO209)+COUNTIF(CP$2:CP208,CO209)+COUNTIF(CQ$2:CQ208,CO209)=1,MAX(IE$2:IG208)+1,""))</f>
        <v/>
      </c>
      <c r="IF209" t="str">
        <f>IF(CP209="","",IF(COUNTIF(CO$3:CO209,CP209)+COUNTIF(CP$3:CP209,CP209)+COUNTIF(CQ$2:CQ208,CP209)=1,MAX(IE$2:IG208,IE209)+1,""))</f>
        <v/>
      </c>
      <c r="IG209" t="str">
        <f>IF(CQ209="","",IF(COUNTIF(CO$3:CO209,CQ209)+COUNTIF(CP$3:CP209,CQ209)+COUNTIF(CQ$3:CQ209,CQ209)=1,MAX(IE$2:IG208,IE209,IF209)+1,""))</f>
        <v/>
      </c>
      <c r="IH209" t="str">
        <f t="shared" si="485"/>
        <v>3х2,5</v>
      </c>
      <c r="II209" t="str">
        <f>IF(IH209="","",IF(COUNTIF(IH$3:IH209,IH209)=1,MAX(II$2:II208)+1,""))</f>
        <v/>
      </c>
      <c r="IJ209" t="str">
        <f>IF(GL209="","",COUNTIF(GL$3:GL209,"?*"))</f>
        <v/>
      </c>
      <c r="IK209" t="str">
        <f>IF(OR(GL209="",GN209=""),"",IF(COUNTIFS(GL$3:GL209,"?*",GN$3:GN209,GN209)=1,MAX(IK$2:IK208)+1,""))</f>
        <v/>
      </c>
      <c r="IL209">
        <f t="shared" si="486"/>
        <v>0</v>
      </c>
      <c r="IM209">
        <f>IF(B209="","",COUNTIF(B$3:B209,"?*"))</f>
        <v>207</v>
      </c>
      <c r="IN209">
        <f>IF(GQ209&lt;&gt;1,0,_xlfn.LET(_xlpm.k,MAX(IFERROR(--VLOOKUP(B209,УГО_спр,5,FALSE),0),IFERROR(--VLOOKUP(AX209,УГО_спр,5,FALSE),0),IFERROR(--VLOOKUP(LEFT(AX209,2),УГО_спр,5,FALSE),0)),IF(_xlpm.k&gt;0,_xlpm.k,IF(IFERROR(--LEFT(SUBSTITUTE(IH209,"x","х"),FIND("х",SUBSTITUTE(IH209,"x","х"))-1),3)&gt;3,Каталог!$S$9,1))))</f>
        <v>1</v>
      </c>
      <c r="IO209">
        <f t="shared" si="487"/>
        <v>0</v>
      </c>
      <c r="IP209" t="str">
        <f t="shared" si="488"/>
        <v>авто</v>
      </c>
      <c r="IQ209">
        <f t="shared" si="489"/>
        <v>30</v>
      </c>
      <c r="IR209">
        <f t="shared" si="490"/>
        <v>1</v>
      </c>
      <c r="IS209">
        <f t="shared" si="491"/>
        <v>1</v>
      </c>
    </row>
    <row r="210" spans="1:253" x14ac:dyDescent="0.3">
      <c r="A210" t="s">
        <v>757</v>
      </c>
      <c r="B210" t="s">
        <v>1476</v>
      </c>
      <c r="C210" t="s">
        <v>1659</v>
      </c>
      <c r="D210">
        <v>1</v>
      </c>
      <c r="E210">
        <v>0.3</v>
      </c>
      <c r="G210" t="str">
        <f>Линии[[#This Row],[_авто автомат]]</f>
        <v>2P С16А 30мА</v>
      </c>
      <c r="H210">
        <f>Линии[[#This Row],[_авто утечка]]</f>
        <v>30</v>
      </c>
      <c r="I210" t="str">
        <f>Линии[[#This Row],[_авто управление]]</f>
        <v/>
      </c>
      <c r="J210" t="str">
        <f>Линии[[#This Row],[_авто аппараты]]</f>
        <v/>
      </c>
      <c r="K210">
        <v>2.5</v>
      </c>
      <c r="L210">
        <v>48</v>
      </c>
      <c r="M210">
        <v>3</v>
      </c>
      <c r="N210" t="s">
        <v>486</v>
      </c>
      <c r="O210" t="str">
        <f t="shared" si="369"/>
        <v/>
      </c>
      <c r="P210" s="6" cm="1">
        <f t="array" ref="P210">IF(B210="","",IF(BC210&lt;&gt;"",IFERROR(_xlfn.XLOOKUP(BC210,Щиты[Щит],Щиты[Iр, А]),""),IF(BK210=1,IFERROR(_xlfn.XLOOKUP(A210,Щиты[Щит],Щиты[Iр, А]),""),IFERROR(_xlfn.IFS(BR210=1,BN210/((Uн_лин/SQRT(3))*BY210),BR210=3,BN210/(SQRT(3)*Uн_лин*BY210)),""))))</f>
        <v>1.3674085322912188</v>
      </c>
      <c r="Q210" s="7">
        <f>IF(B210="","",IFERROR(IF(VLOOKUP(AX210,Потребители_обозначение,4,FALSE)=1,VLOOKUP(AX210,Потребители_обозначение,3,FALSE)*(D210*2-1)+DS210+VLOOKUP(AZ210,Этаж_обозначение,3,FALSE)+VLOOKUP(AZ210,Этаж_обозначение,4,FALSE),VLOOKUP(AX210,Потребители_обозначение,3,FALSE)*(D210*2-1)+DS210),DS210))</f>
        <v>51</v>
      </c>
      <c r="R210" s="6">
        <f t="shared" si="370"/>
        <v>0.95</v>
      </c>
      <c r="S210" t="str">
        <f t="shared" si="371"/>
        <v>ВВГнг(А)-LS (3х2,5)</v>
      </c>
      <c r="T210" t="str">
        <f>IF(BH210="","",IF(BI210="вводной узел","узел ","")&amp;"л."&amp;(INT((BH210-1)/Столбцов_на_лист)+1)&amp;" / "&amp;(MOD(BH210-1,Столбцов_на_лист)+1))</f>
        <v>л.3 / 13</v>
      </c>
      <c r="V210">
        <v>1</v>
      </c>
      <c r="W210">
        <v>230</v>
      </c>
      <c r="X210" t="s">
        <v>564</v>
      </c>
      <c r="AC210" t="s">
        <v>815</v>
      </c>
      <c r="AE210" t="s">
        <v>563</v>
      </c>
      <c r="AI210">
        <v>47</v>
      </c>
      <c r="AJ210" t="s">
        <v>11</v>
      </c>
      <c r="AK210">
        <v>3</v>
      </c>
      <c r="AM210">
        <v>36</v>
      </c>
      <c r="AN210">
        <v>15</v>
      </c>
      <c r="AO210">
        <v>0</v>
      </c>
      <c r="AW210" cm="1">
        <f t="array" ref="AW210">ROW()-ROW(Линии[#Headers])</f>
        <v>208</v>
      </c>
      <c r="AX210" s="6" t="str">
        <f t="shared" si="372"/>
        <v>R</v>
      </c>
      <c r="AY210" t="str">
        <f t="shared" si="373"/>
        <v>0.013Б.3</v>
      </c>
      <c r="AZ210" t="str">
        <f t="shared" si="374"/>
        <v>0</v>
      </c>
      <c r="BA210" t="str">
        <f t="shared" si="375"/>
        <v>013Б.3</v>
      </c>
      <c r="BB210" t="str">
        <f t="shared" si="376"/>
        <v>013Б</v>
      </c>
      <c r="BC210" t="str">
        <f>IF(U210&lt;&gt;"",U210,IF(AND(B210&lt;&gt;"",B210&lt;&gt;A210,ISNUMBER(_xlfn.XMATCH(B210,Щиты[Щит]))),B210,""))</f>
        <v/>
      </c>
      <c r="BD210" t="str" cm="1">
        <f t="array" ref="BD210">IF(B210="","",IF(BC210&lt;&gt;"","Щит "&amp;BC210,_xlfn.LET(_xlpm.nm,IFERROR(_xlfn.XLOOKUP(AX210,Коды_код,Коды_имя)&amp;"",""),_xlpm.md,IFERROR(N(_xlfn.XLOOKUP(AX210,Коды_код,Коды_режим)),1),_xlpm.ex,IF(Имя_режим="по экспликации",IFERROR(_xlfn.XLOOKUP(AZ210&amp;"|"&amp;BB210,Экспликация[Этаж]&amp;"|"&amp;Экспликация[Помещение],Экспликация[Название])&amp;"",""),""),_xlpm.rm,IF(BB210="","",IF(_xlpm.ex&lt;&gt;"",". "&amp;_xlpm.ex&amp;IF(Имя_пом="нет"," ("&amp;BB210&amp;")"," (пом. "&amp;BB210&amp;")"),IF(Имя_пом="нет"," ",", пом. ")&amp;BB210)),IF(_xlpm.nm="","",IF(_xlpm.md=2,_xlpm.nm&amp;" шлейф "&amp;AZ210,_xlpm.nm&amp;_xlpm.rm)))))</f>
        <v>Розеточная группа, пом. 013Б</v>
      </c>
      <c r="BE210" t="str">
        <f t="shared" si="377"/>
        <v>Розеточная группа Цокольный этаж Пом. №013Б Полотенцесушитель</v>
      </c>
      <c r="BF210">
        <f>IFERROR(_xlfn.XMATCH(A210,Щиты[Щит]),0)</f>
        <v>9</v>
      </c>
      <c r="BG210">
        <f>_xlfn.LET(_xlpm.k,IFERROR(_xlfn.XLOOKUP(A210,Щиты[Щит],Щиты[Листов под вводной узел]),""),IF(_xlpm.k="",1,N(_xlpm.k))*Столбцов_на_лист)</f>
        <v>17</v>
      </c>
      <c r="BH210">
        <f t="shared" si="378"/>
        <v>47</v>
      </c>
      <c r="BI210" t="str">
        <f t="shared" si="379"/>
        <v>линии</v>
      </c>
      <c r="BJ210" s="6">
        <f>IFERROR(N(_xlfn.XLOOKUP(AX210,Коды_код,Коды_квт)),0)</f>
        <v>0</v>
      </c>
      <c r="BK210">
        <f t="shared" si="380"/>
        <v>0</v>
      </c>
      <c r="BL210" t="str">
        <f>IF(B210="","",IF(BC210&lt;&gt;"",IFERROR(_xlfn.XLOOKUP(BC210,Щиты[Щит],Щиты[Руст, кВт]),0),IF(BK210=1,IFERROR(_xlfn.XLOOKUP(A210,Щиты[Щит],Щиты[Руст, кВт]),0),IF(BJ210&gt;0,ROUND(BJ210*MAX(1,N(D210)),3),""))))</f>
        <v/>
      </c>
      <c r="BM210">
        <f t="shared" si="381"/>
        <v>0.3</v>
      </c>
      <c r="BN210" s="6">
        <f>IF(B210="","",IF(BC210&lt;&gt;"",IFERROR(_xlfn.XLOOKUP(BC210,Щиты[Щит],Щиты[Руст, кВт]),0),N(BM210)))</f>
        <v>0.3</v>
      </c>
      <c r="BO210" t="str">
        <f>IF(B210="","",IFERROR(IF(VLOOKUP(AX210,Потребители_обозначение,8,FALSE)=0,"",VLOOKUP(AX210,Потребители_обозначение,8,FALSE)),""))</f>
        <v/>
      </c>
      <c r="BP210">
        <f t="shared" si="382"/>
        <v>230</v>
      </c>
      <c r="BQ210">
        <f>IF(B210="","",IF(BC210&lt;&gt;"",3,IFERROR(IF(N(VLOOKUP(AX210,Потребители_обозначение,9,FALSE))=0,1,VLOOKUP(AX210,Потребители_обозначение,9,FALSE)),1)))</f>
        <v>1</v>
      </c>
      <c r="BR210">
        <f t="shared" si="383"/>
        <v>1</v>
      </c>
      <c r="BS210" t="str">
        <f>IF(B210="","",_xlfn.LET(_xlpm.bc,IFERROR(IF(VLOOKUP(AX210,Потребители_обозначение,6,FALSE)=0,"",VLOOKUP(AX210,Потребители_обозначение,6,FALSE)&amp;""),""),IF(AND(FK210="да",OR(_xlpm.bc="",_xlpm.bc="мс")),Марка_пож,IF(AND(_xlpm.bc="",BC210&lt;&gt;""),"мс",_xlpm.bc))))</f>
        <v/>
      </c>
      <c r="BT210" t="str">
        <f t="shared" si="384"/>
        <v>мс</v>
      </c>
      <c r="BU210">
        <f>IF(B210="","",_xlfn.LET(_xlpm.cc,IFERROR(N(VLOOKUP(AX210,Потребители_обозначение,7,FALSE)),0),IF(_xlpm.cc&gt;0,_xlpm.cc,IF(BT210="","",IF(N(BR210)=3,5,3)))))</f>
        <v>3</v>
      </c>
      <c r="BV210">
        <f t="shared" si="385"/>
        <v>3</v>
      </c>
      <c r="BW210">
        <f>IFERROR(N(VLOOKUP(AX210,Потребители_обозначение,10,FALSE)),0)</f>
        <v>0</v>
      </c>
      <c r="BX210">
        <f>IFERROR(VLOOKUP(AX210,Потребители_обозначение,5,FALSE),0)</f>
        <v>1</v>
      </c>
      <c r="BY210" s="6" cm="1">
        <f t="array" ref="BY210">IF(B210="","",IF(BC210&lt;&gt;"",IFERROR(_xlfn.XLOOKUP(BC210,Щиты[Щит],Щиты[cos φ]),0.95),IF(BK210=1,IFERROR(_xlfn.XLOOKUP(A210,Щиты[Щит],Щиты[cos φ]),0.95),IF(ISNUMBER(Z210),Z210,IFERROR(IF(BX210=2,_xlfn.IFS(BR210=3,VLOOKUP(BN210,Справочная_двигатели,8,FALSE),BR210=1,VLOOKUP(BN210,Справочная_двигатели,10,TRUE)),IF(AND(Методика="нормы 2026",EQ210="Сил"),0.8,0.95)),0.95)))))</f>
        <v>0.95</v>
      </c>
      <c r="BZ210">
        <f t="shared" si="386"/>
        <v>0</v>
      </c>
      <c r="CA210">
        <f t="shared" si="387"/>
        <v>1</v>
      </c>
      <c r="CB210">
        <f t="shared" si="388"/>
        <v>0</v>
      </c>
      <c r="CC210">
        <f t="shared" si="389"/>
        <v>0</v>
      </c>
      <c r="CD210">
        <f t="shared" si="390"/>
        <v>0</v>
      </c>
      <c r="CE210">
        <f t="shared" si="391"/>
        <v>0</v>
      </c>
      <c r="CF210">
        <f t="shared" si="392"/>
        <v>0</v>
      </c>
      <c r="CG210">
        <f>IF(AX210="",0,_xlfn.LET(_xlpm.v,IFERROR(VLOOKUP(B210,УГО_спр,3,FALSE),IFERROR(VLOOKUP(AX210,УГО_спр,3,FALSE),IFERROR(VLOOKUP(LEFT(AX210,2),УГО_спр,3,FALSE),""))),IF(_xlpm.v="да",30,IF(ISNUMBER(_xlpm.v),_xlpm.v,0))))</f>
        <v>30</v>
      </c>
      <c r="CH210">
        <f t="shared" si="393"/>
        <v>30</v>
      </c>
      <c r="CI210" t="str">
        <f>_xlfn.LET(_xlpm.k,IFERROR(_xlfn.XLOOKUP(AX210,Коды_код,Коды_утечка)&amp;"",""),IF(_xlpm.k="","дифавтомат",_xlpm.k))</f>
        <v>дифавтомат</v>
      </c>
      <c r="CJ210">
        <f t="shared" si="394"/>
        <v>30</v>
      </c>
      <c r="CK210">
        <f t="shared" si="395"/>
        <v>30</v>
      </c>
      <c r="CL210">
        <f>IF(B210="",0,IFERROR(--VLOOKUP(B210,УГО_спр,4,FALSE),IFERROR(--VLOOKUP(AX210,УГО_спр,4,FALSE),IFERROR(--VLOOKUP(LEFT(AX210,2),УГО_спр,4,FALSE),0))))</f>
        <v>16</v>
      </c>
      <c r="CM210" t="str">
        <f>IF(B210="","",IFERROR(_xlfn.XLOOKUP(AX210,Коды_код,Коды_апп)&amp;"",""))</f>
        <v/>
      </c>
      <c r="CN210" t="str">
        <f t="shared" si="396"/>
        <v/>
      </c>
      <c r="CO210" t="str" cm="1">
        <f t="array" ref="CO210">IF(TRIM(CN210&amp;"")="","",IFERROR(TRIM(INDEX(_xlfn.TEXTSPLIT(CN210&amp;";;;",";"),1)),""))</f>
        <v/>
      </c>
      <c r="CP210" t="str" cm="1">
        <f t="array" ref="CP210">IF(TRIM(CN210&amp;"")="","",IFERROR(TRIM(INDEX(_xlfn.TEXTSPLIT(CN210&amp;";;;",";"),2)),""))</f>
        <v/>
      </c>
      <c r="CQ210" t="str" cm="1">
        <f t="array" ref="CQ210">IF(TRIM(CN210&amp;"")="","",IFERROR(TRIM(INDEX(_xlfn.TEXTSPLIT(CN210&amp;";;;",";"),3)),""))</f>
        <v/>
      </c>
      <c r="CR210">
        <f t="shared" si="397"/>
        <v>0</v>
      </c>
      <c r="CS210" t="str">
        <f>IF(B210="","",_xlfn.LET(_xlpm.t,LOWER(AV210&amp;""),IF(ISNUMBER(SEARCH("dim",_xlpm.t)),"DIM",IF(ISNUMBER(SEARCH("dali",_xlpm.t)),"DALI",IF(OR(ISNUMBER(SEARCH("relay",_xlpm.t)),ISNUMBER(SEARCH("реле",_xlpm.t))),"Relay",IF(ISNUMBER(SEARCH("кнопк",_xlpm.t)),"",IFERROR(_xlfn.XLOOKUP(AX210,Коды_код,Коды_упр)&amp;"","")))))))</f>
        <v/>
      </c>
      <c r="CT210" t="str">
        <f t="shared" si="398"/>
        <v/>
      </c>
      <c r="CU210">
        <f>IF(B210="","",_xlfn.LET(_xlpm.ig,N(P210)+IF(AF210="вручную",0,N(CB210)),_xlpm.n0,IFERROR(VLOOKUP(_xlpm.ig,Автомат_номиналы,2,TRUE),0),_xlpm.mn,MAX(CL210,IF(AF210="вручную",0,N(CE210))),MAX(_xlpm.n0,_xlpm.mn,IF(CR210=1,Мин_автомат_БП,0))))</f>
        <v>16</v>
      </c>
      <c r="CV210">
        <f t="shared" si="399"/>
        <v>1</v>
      </c>
      <c r="CW210" t="str">
        <f t="shared" si="400"/>
        <v>2P</v>
      </c>
      <c r="CX210" t="str">
        <f>_xlfn.LET(_xlpm.cc,UPPER(TRIM(IFERROR(_xlfn.XLOOKUP(AX210,Коды_код,Коды_хар)&amp;"",""))),IF(OR(_xlpm.cc="B",_xlpm.cc="В"),"B",IF(_xlpm.cc="D","D","С")))</f>
        <v>С</v>
      </c>
      <c r="CY210" t="str">
        <f t="shared" si="401"/>
        <v>2P С16А 30мА</v>
      </c>
      <c r="CZ210" t="str">
        <f t="shared" si="402"/>
        <v>2P С16А 30мА</v>
      </c>
      <c r="DA210" t="str">
        <f t="shared" si="403"/>
        <v>2P С16А 30мА</v>
      </c>
      <c r="DB210" cm="1">
        <f t="array" ref="DB210">IF(DA210="","",_xlfn.LET(_xlpm.t,SUBSTITUTE(SUBSTITUTE(SUBSTITUTE(UPPER(DA210),"С","C"),"А","A"),"В","B"),_xlpm.tk,_xlfn.TEXTSPLIT(_xlpm.t,"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0" t="str">
        <f t="shared" si="404"/>
        <v>ok</v>
      </c>
      <c r="DD210">
        <f t="shared" si="405"/>
        <v>16</v>
      </c>
      <c r="DE210" t="str">
        <f t="shared" si="406"/>
        <v>2P С16А 30мА</v>
      </c>
      <c r="DF210">
        <f t="shared" si="407"/>
        <v>30</v>
      </c>
      <c r="DG210">
        <f t="shared" si="408"/>
        <v>1</v>
      </c>
      <c r="DH210">
        <f t="shared" si="409"/>
        <v>0</v>
      </c>
      <c r="DI210">
        <f t="shared" si="410"/>
        <v>1.3674085322912188</v>
      </c>
      <c r="DJ210">
        <f t="shared" si="411"/>
        <v>1</v>
      </c>
      <c r="DK210">
        <f>IF(ISNUMBER(AL210),AL210,К_прокл)</f>
        <v>1</v>
      </c>
      <c r="DL210">
        <f t="shared" si="412"/>
        <v>2</v>
      </c>
      <c r="DM210">
        <f>IFERROR(N(VLOOKUP(BT210,Кабель_обозначение,3,FALSE)),1)</f>
        <v>1</v>
      </c>
      <c r="DN210">
        <f>IFERROR(N(_xlfn.XLOOKUP(A210,Щиты[Щит],Щиты[ΔU до шин, %])),0)</f>
        <v>0.43</v>
      </c>
      <c r="DO210" t="str">
        <f>IFERROR(_xlfn.XLOOKUP(A210,Щиты[Щит],Щиты[Zпетли на шинах, Ом]),"")</f>
        <v/>
      </c>
      <c r="DP210">
        <f>IFERROR(N(_xlfn.XLOOKUP(A210,Щиты[Щит],Щиты[ΔU до шин (подбор), %])),0)</f>
        <v>0.43</v>
      </c>
      <c r="DQ210" t="str">
        <f>IFERROR(_xlfn.XLOOKUP(A210,Щиты[Щит],Щиты[Zпетли на шинах (подбор), Ом]),"")</f>
        <v/>
      </c>
      <c r="DR210" t="str">
        <f t="shared" si="413"/>
        <v/>
      </c>
      <c r="DS210">
        <f t="shared" si="414"/>
        <v>48</v>
      </c>
      <c r="DT210">
        <f t="shared" si="415"/>
        <v>2</v>
      </c>
      <c r="DU210">
        <f t="shared" si="416"/>
        <v>0.31</v>
      </c>
      <c r="DV210" s="6">
        <f>IF(B210="","",IF(IFERROR(VLOOKUP(AX210,УГО_спр,2,FALSE),"")="Светильник",3,4)+IF(Методика="нормы 2026",MIN(0.5,MAX(0,N(Q210)-100)*0.005),0))</f>
        <v>4</v>
      </c>
      <c r="DW210" cm="1">
        <f t="array" ref="DW210">IF(OR(B210="",BT210="",DM210&lt;&gt;1),"",_xlfn.LET(_xlpm.sz,Iдоп_S,_xlpm.t_,CHOOSE(DL210,Iдоп_1ж,Iдоп_2ж,Iдоп_3ж)*DJ210*DK210,_xlpm.inn,N(DD210),_xlpm.smin,MAX(1.5,BW210),_xlpm.L_,N(Q210)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210)*(_xlpm.rho*_xlpm.L_/_xlpm.sz*N(BY210)+_xlpm.xx*_xlpm.L_*N(DU210)/1000)*N(P210)/((Uн_лин/SQRT(3))*1000)*100,999),_xlpm.kz,IF(OR(DG210=1,NOT(ISNUMBER(DQ210)),_xlpm.L_=0,_xlpm.inn=0),1,IFERROR(--(c_min*(Uн_лин*1000/SQRT(3))/(DQ210+2*ρкз_Cu*_xlpm.L_/_xlpm.sz)&gt;=GY210*_xlpm.inn),0)),_xlpm.ok,IFERROR((_xlpm.sz&gt;=_xlpm.smin)*(_xlpm.t_&gt;=_xlpm.inn)*IF(_xlpm.L_&gt;0,(_xlpm.du_+DP210&lt;=DV210+0.00001),1)*_xlpm.kz,0),_xlpm.r_,_xlfn._xlws.FILTER(_xlpm.sz,_xlpm.ok,"не подобрано"),INDEX(_xlpm.r_,1)))</f>
        <v>1.5</v>
      </c>
      <c r="DX210">
        <f t="shared" si="417"/>
        <v>2.5</v>
      </c>
      <c r="DY210" cm="1">
        <f t="array" ref="DY210">IF(OR(B210="",BT210="",DM210&lt;&gt;1),"",_xlfn.LET(_xlpm.sz,Iдоп_S,_xlpm.t_,CHOOSE(DL210,Iдоп_1ж,Iдоп_2ж,Iдоп_3ж)*DJ210*DK210,_xlpm.ok,IFERROR((_xlpm.sz&gt;=MAX(1.5,BW210))*(_xlpm.t_&gt;=N(DD210)),0),_xlpm.r_,_xlfn._xlws.FILTER(_xlpm.sz,_xlpm.ok,""),INDEX(_xlpm.r_,1)))</f>
        <v>1.5</v>
      </c>
      <c r="DZ210" s="6" cm="1">
        <f t="array" ref="DZ210">IFERROR(ROUNDUP(N(DT210)*(_xlfn.XLOOKUP(DY210,INDEX(Кабель_сопротивление,0,1),INDEX(Кабель_сопротивление,0,3))*N(Q210)/DY210*N(BY210)+_xlfn.XLOOKUP(DY210,INDEX(Кабель_сопротивление,0,1),INDEX(Кабель_сопротивление,0,2))*N(Q210)*N(DU210)/1000)*N(P210)/((Uн_лин/SQRT(3))*1000)*100,2),"")</f>
        <v>0.87</v>
      </c>
      <c r="EA210">
        <f>IFERROR(2*ρкз_Cu*N(Q210)/DY210,"")</f>
        <v>1.7884</v>
      </c>
      <c r="EB210">
        <f>IFERROR(VLOOKUP(DX210,Кабель_сопротивление,3,FALSE),"")</f>
        <v>2.2499999999999999E-2</v>
      </c>
      <c r="EC210">
        <f>IFERROR(VLOOKUP(DX210,Кабель_сопротивление,2,FALSE),"")</f>
        <v>0.1</v>
      </c>
      <c r="ED210">
        <f t="shared" si="418"/>
        <v>15</v>
      </c>
      <c r="EE210">
        <f t="shared" si="419"/>
        <v>0</v>
      </c>
      <c r="EF210">
        <f t="shared" si="420"/>
        <v>1.1968407267902765</v>
      </c>
      <c r="EG210" s="6">
        <f>IFERROR(ROUNDUP(EF210/((Uн_лин/SQRT(3))*1000)*100,2),"")</f>
        <v>0.52</v>
      </c>
      <c r="EH210" t="str">
        <f>IFERROR(VLOOKUP(BT210,Кабель_обозначение,2,FALSE),"")</f>
        <v>ВВГнг(А)-LS</v>
      </c>
      <c r="EI210" t="str">
        <f t="shared" si="421"/>
        <v>ВВГнг(А)-LS (3х2,5)</v>
      </c>
      <c r="EJ210" t="str">
        <f t="shared" si="422"/>
        <v>ВВГнг(А)-LS (3х2,5)
L=51-0,52%</v>
      </c>
      <c r="EK210">
        <f>IFERROR(2*ρкз_Cu*Q210/DX210,"")</f>
        <v>1.07304</v>
      </c>
      <c r="EL210">
        <f t="shared" si="423"/>
        <v>0.35700000000000004</v>
      </c>
      <c r="EM210" s="6" t="str">
        <f>IFERROR(IF(OR(B210="",NOT(ISNUMBER(DX210)),N(Q210)=0),"",_xlfn.XLOOKUP(A210,Щиты[Щит],Щиты[Zпетли на шинах, Ом])+EK210),"")</f>
        <v/>
      </c>
      <c r="EN210" s="6" t="str">
        <f>IF(ISNUMBER(EM210),c_min*(Uн_лин*1000/SQRT(3))/EM210,"")</f>
        <v/>
      </c>
      <c r="EO210" s="6" t="str">
        <f>IFERROR(IF(OR(B210="",NOT(ISNUMBER(DX210))),"",1.05*(Uн_лин*1000/SQRT(3))/(_xlfn.XLOOKUP(A210,Щиты[Щит],Щиты[Zmax на шинах, Ом])+EL210)/1000),"")</f>
        <v/>
      </c>
      <c r="EP210" s="6" t="str">
        <f>IF(B210="","",IF(ISNUMBER(Y210),"Сил",IF(IFERROR(_xlfn.XLOOKUP(AX210,Коды_код,Коды_группа)&amp;"","")="","Быт",_xlfn.XLOOKUP(AX210,Коды_код,Коды_группа)&amp;"")))</f>
        <v>Быт</v>
      </c>
      <c r="EQ210" s="6" t="str">
        <f t="shared" si="424"/>
        <v>Быт</v>
      </c>
      <c r="ER210" s="6">
        <f>IF(EQ210="Щит","щит",IF(EQ210="","",IF(EQ210="Быт",IFERROR(_xlfn.XLOOKUP(A210,Щиты[Щит],Щиты[Кс быт]),1),IF(EQ210="Сил",IF(ISNUMBER(Y210),Y210,IF(Методика="нормы 2026",IFERROR(_xlfn.XLOOKUP(A210,Щиты[Щит],Щиты[Кс силовых (табл. 7.5)]),1),1)),IF(OR(EQ210="Пост",EQ210="Отоп"),1,IF(EQ210="ВНГ",0.7,0))))))</f>
        <v>0.79799999999999993</v>
      </c>
      <c r="ES210">
        <f t="shared" si="425"/>
        <v>1</v>
      </c>
      <c r="ET210">
        <f t="shared" si="426"/>
        <v>0.3</v>
      </c>
      <c r="EU210">
        <f t="shared" si="427"/>
        <v>0.3</v>
      </c>
      <c r="EV210">
        <f t="shared" si="428"/>
        <v>0</v>
      </c>
      <c r="EW210">
        <f t="shared" si="429"/>
        <v>0</v>
      </c>
      <c r="EX210">
        <f t="shared" si="430"/>
        <v>0</v>
      </c>
      <c r="EY210">
        <f t="shared" si="431"/>
        <v>0</v>
      </c>
      <c r="EZ210">
        <f t="shared" si="432"/>
        <v>0.3</v>
      </c>
      <c r="FA210">
        <f t="shared" si="433"/>
        <v>0.28499999999999998</v>
      </c>
      <c r="FB210">
        <f t="shared" si="434"/>
        <v>0.3</v>
      </c>
      <c r="FC210" t="str">
        <f t="shared" si="435"/>
        <v>L3</v>
      </c>
      <c r="FD210" t="str">
        <f>IF(B210="","",IF(CA210=0,IF(AW210=1,"",FF209),IF(OR(N(CV210)&gt;=3,N(BR210)&gt;=3),"L1,L2,L3",IFERROR(_xlfn.TEXTBEFORE(_xlfn.TEXTAFTER(_xlfn.XLOOKUP(A210,Щиты[Щит],Щиты[_фазы авто]),";"&amp;AW210&amp;":"),";"),"L1"))))</f>
        <v>L1</v>
      </c>
      <c r="FE210" t="str">
        <f t="shared" si="436"/>
        <v>L3</v>
      </c>
      <c r="FF210" t="str">
        <f t="shared" si="437"/>
        <v>L3</v>
      </c>
      <c r="FG210" cm="1">
        <f t="array" ref="FG210">IFERROR(IF(BX210=2,_xlfn.IFS(BR210=3,VLOOKUP(BN210,Справочная_двигатели,3,FALSE),BR210=1,VLOOKUP(BN210,Справочная_двигатели,5,TRUE)),0),0)</f>
        <v>0</v>
      </c>
      <c r="FH210">
        <f>IFERROR(IF(BX210=3,VLOOKUP(BN210,Справочная_ЛЭД,2,TRUE),0),0)</f>
        <v>0</v>
      </c>
      <c r="FI210" s="6">
        <f t="shared" si="438"/>
        <v>0</v>
      </c>
      <c r="FJ210" t="str" cm="1">
        <f t="array" ref="FJ210">IF(B210="","",IFERROR(INDEX({"I особая","I","II","III"},MATCH(TRIM(AC210&amp;""),{"I особая","I","II","III"},0)),"III"))</f>
        <v>II</v>
      </c>
      <c r="FK210" t="str">
        <f>IF(B210="","",IF(TRIM(AD210&amp;"")&lt;&gt;"",IF(LOWER(TRIM(AD210&amp;""))="да","да","нет"),IF(IFERROR(_xlfn.XLOOKUP(AX210,Коды_код,Коды_пожарная),"")="да","да","нет")))</f>
        <v>нет</v>
      </c>
      <c r="FL210" t="str">
        <f t="shared" si="439"/>
        <v/>
      </c>
      <c r="FM210" t="str">
        <f t="shared" si="440"/>
        <v>основная</v>
      </c>
      <c r="FN210">
        <f t="shared" si="441"/>
        <v>1</v>
      </c>
      <c r="FO210" t="str" cm="1">
        <f t="array" ref="FO210">IF(B210="","",_xlfn.LET(_xlpm.t,IFERROR(_xlfn.XLOOKUP(1,(Шины[Шина]=FM210)*(((Шины[Щит]=A210)+(Шины[Щит]=""))&gt;0),Шины[Тип]),"")&amp;"",IF(_xlpm.t&lt;&gt;"",_xlpm.t,IF(ISNUMBER(SEARCH("ИБП",FM210)),"ИБП",IF(ISNUMBER(SEARCH("ДГУ",FM210)),"ДГУ","Ввод "&amp;FN210)))))</f>
        <v>Ввод 1</v>
      </c>
      <c r="FP210" t="str">
        <f t="shared" si="442"/>
        <v>Ввод 1</v>
      </c>
      <c r="FQ210" t="str">
        <f>IF(B210="","",IF(OR(FO210="ИБП",FO210="ДГУ"),"I особая",IF(FO210="Одиночная","III",_xlfn.XLOOKUP(A210,Щиты[Щит],Щиты[Категория шины «Ввод»],"III"))))</f>
        <v>II</v>
      </c>
      <c r="FR210">
        <f>IF(B210="",0,IFERROR(MATCH(FJ210,{"III","II","I","I особая"},0),1))</f>
        <v>2</v>
      </c>
      <c r="FS210">
        <f t="shared" si="443"/>
        <v>2</v>
      </c>
      <c r="FT210" t="str">
        <f>IF(B210="","",IF(FR210&gt;IFERROR(MATCH(FQ210,{"III","II","I","I особая"},0),1),"НЕ ОБЕСПЕЧЕНА","ОК"))</f>
        <v>ОК</v>
      </c>
      <c r="FU210" t="str">
        <f>IF(A210="","",_xlfn.XLOOKUP(A210,Щиты[Щит],Щиты[Путь],""))</f>
        <v>|ГРЩ-ЖД|ЩР-01|</v>
      </c>
      <c r="FV210" t="str">
        <f>IF(B210="","",IF(AE210&lt;&gt;"",AE210,IF(IFERROR(_xlfn.XLOOKUP(AX210,Коды_код,Коды_вид)&amp;"","")="","Прочее",_xlfn.XLOOKUP(AX210,Коды_код,Коды_вид)&amp;"")))</f>
        <v>Розеточная сеть и бытовые приборы</v>
      </c>
      <c r="FW210">
        <f>IF(BH210="","",INT((BH210-1)/Столбцов_на_лист)+1)</f>
        <v>3</v>
      </c>
      <c r="FX210" t="str">
        <f t="shared" si="444"/>
        <v>ВВГнг(А)-LS (3х2,5) L=51-0,52%</v>
      </c>
      <c r="FY210">
        <f t="shared" si="445"/>
        <v>0.3</v>
      </c>
      <c r="FZ210">
        <f t="shared" si="446"/>
        <v>1.37</v>
      </c>
      <c r="GA210">
        <f t="shared" si="447"/>
        <v>1</v>
      </c>
      <c r="GB210">
        <f t="shared" si="448"/>
        <v>0</v>
      </c>
      <c r="GC210">
        <f t="shared" si="449"/>
        <v>1</v>
      </c>
      <c r="GD210">
        <f>IF(BH210="","",IF(AND(CA210=1,GC210=1),COUNTIFS(A$3:A210,A210,CA$3:CA210,1,GC$3:GC210,1),IF(OR(OR(AW210=1,A210&lt;&gt;A209),AF210="вручную",GC210=0),"",IF(AW210=1,"",GE209))))</f>
        <v>26</v>
      </c>
      <c r="GE210">
        <f t="shared" si="450"/>
        <v>26</v>
      </c>
      <c r="GF210">
        <f>IF(B210="","",IFERROR(LOOKUP(INDEX(CHOOSE(DL210,Iдоп_1ж,Iдоп_2ж,Iдоп_3ж),MATCH(DX210,Iдоп_S,0))*DJ210*DK210,{6,10,16,20,25,32,40,50,63,80,100,125,160,200,250,315,400,500,630}),""))</f>
        <v>25</v>
      </c>
      <c r="GG210" t="str">
        <f t="shared" si="451"/>
        <v>QFD26</v>
      </c>
      <c r="GH210" t="str">
        <f t="shared" si="452"/>
        <v>QFD26</v>
      </c>
      <c r="GI210" t="str">
        <f t="shared" si="453"/>
        <v/>
      </c>
      <c r="GJ210">
        <f t="shared" si="454"/>
        <v>0</v>
      </c>
      <c r="GK210" t="str">
        <f>IF(OR(AG210="",AG210="-"),"",IFERROR(VLOOKUP(AG210,Модули_спр,2,FALSE),"R"))</f>
        <v/>
      </c>
      <c r="GL210" t="str">
        <f>IF(GK210="","",GK210&amp;"."&amp;COUNTIFS(A$3:A210,A210,GK$3:GK210,GK210))</f>
        <v/>
      </c>
      <c r="GM210" t="str">
        <f t="shared" si="455"/>
        <v/>
      </c>
      <c r="GN210" t="str">
        <f t="shared" si="456"/>
        <v/>
      </c>
      <c r="GO210" t="str">
        <f t="shared" si="457"/>
        <v/>
      </c>
      <c r="GP210" t="str">
        <f t="shared" si="458"/>
        <v/>
      </c>
      <c r="GQ210">
        <f t="shared" si="459"/>
        <v>1</v>
      </c>
      <c r="GR210" t="str">
        <f>IF(GQ210=1,"XT"&amp;COUNTIFS(A$3:A210,A210,GQ$3:GQ210,1),"")</f>
        <v>XT26</v>
      </c>
      <c r="GS210" t="str">
        <f t="shared" si="460"/>
        <v/>
      </c>
      <c r="GT210" t="str">
        <f t="shared" si="461"/>
        <v>QFD26</v>
      </c>
      <c r="GU210" t="str">
        <f t="shared" si="462"/>
        <v/>
      </c>
      <c r="GV210" t="str">
        <f t="shared" si="463"/>
        <v>ok</v>
      </c>
      <c r="GW210" t="str">
        <f>IF(OR(GO210="",GM210=""),"",IF(GO210&gt;IFERROR(VLOOKUP(GN210,Модули_спр,3,FALSE),99),"ЛИШНИЙ КАНАЛ",IF(AND(AH210&lt;&gt;"=",COUNTIFS(Линии[_модуль гр.],GM210,Линии[Канал (итог)],GO210,Линии[Канал],"&lt;&gt;=",Линии[Щит],A210)&gt;1),"ДУБЛЬ КАНАЛА","")))</f>
        <v/>
      </c>
      <c r="GX210" s="6" t="str">
        <f t="shared" si="464"/>
        <v/>
      </c>
      <c r="GY210">
        <f t="shared" si="465"/>
        <v>10</v>
      </c>
      <c r="GZ210" t="str">
        <f t="shared" si="466"/>
        <v/>
      </c>
      <c r="HA210" t="str">
        <f>IF(AND(B210="",GT210=""),"",_xlfn.TEXTJOIN("; ",TRUE,IF(AND(B210&lt;&gt;"",FE210=""),"нет фазы",""),IF(AND(B210&lt;&gt;"",N(FY210)=0,EQ210&lt;&gt;"Нет"),"нет мощности",""),IF(AND(GS210&lt;&gt;"",COUNTIFS(Линии[Щит],A210,Линии[Клемма (итог)],GS210)&gt;1),"дубль клеммы "&amp;GS210,""),IF(AND(GV210&lt;&gt;"",GV210&lt;&gt;"ok"),GV210,""),IF(GW210&lt;&gt;"",GW210,""),IF(AND(N(BV210)&gt;=4,N(BR210)=1),BV210&amp;" жил на 1 фазе",""),IF(AND(AX210="R",CA210=1,OR(N(CK210)=0,N(CK210)&gt;30)),"розетка без дифзащиты до 30 мА",""),IFERROR(IF(AND(ISNUMBER(R210),R210&gt;DV210),"потери "&amp;FIXED(R210,1)&amp;" % &gt; "&amp;DV210&amp;" %",""),""),IFERROR(IF(LEFT(GZ210,4)="мало","Iкз мало — отключение &gt; 0,4 с",""),""),IF(AND(B210&lt;&gt;"",BH210=""),"не на схеме",""),IF(AND(CA210=0,B210&lt;&gt;"",FE210&lt;&gt;"",IF(AW210=1,"",FF209)&lt;&gt;"",FE210&lt;&gt;IF(AW210=1,"",FF209)),"фаза не как у автомата группы ("&amp;IF(AW210=1,"",FF209)&amp;")","")))</f>
        <v/>
      </c>
      <c r="HB210" s="6">
        <f>IF(OR(CA210=0,DA210=""),"",_xlfn.LET(_xlpm.t,IFERROR(_xlfn.XLOOKUP(DA210,Каталог!$U$4:$U$500,Каталог!$G$4:$G$500),""),_xlpm.k,SEARCH("кА",_xlpm.t),IFERROR(--TRIM(RIGHT(SUBSTITUTE(MID(_xlpm.t,MAX(1,_xlpm.k-4),_xlpm.k-MAX(1,_xlpm.k-4))," ",REPT(" ",9)),5)),"")))</f>
        <v>6</v>
      </c>
      <c r="HC210" t="str">
        <f>IF(OR(HB210="",CA210=0),"",IF(_xlfn.XLOOKUP(A210,Щиты[Щит],Щиты[Iкз max на шинах, кА],"")="","",IF(HB210&lt;_xlfn.XLOOKUP(A210,Щиты[Щит],Щиты[Iкз max на шинах, кА]),"Icu "&amp;HB210&amp;" кА &lt; Iкз max","ok")))</f>
        <v/>
      </c>
      <c r="HD210" t="str">
        <f t="shared" si="467"/>
        <v/>
      </c>
      <c r="HE210" t="str">
        <f t="shared" si="468"/>
        <v>QFD26</v>
      </c>
      <c r="HF210" t="str">
        <f t="shared" si="469"/>
        <v>QFD26|кабель ВВГнг(А)-LS (3х2,5) → Розеточная группа Цокольный этаж Пом. №013Б Полотенцесушитель</v>
      </c>
      <c r="HG210" t="str" cm="1">
        <f t="array" ref="HG210">IF(HF210="","",_xlfn.LET(_xlpm.nd,_xlfn.TEXTSPLIT(HF210,"|"),IF(COLUMNS(_xlpm.nd)&gt;1,A210&amp;"¦"&amp;INDEX(_xlpm.nd,1)&amp;"¦"&amp;INDEX(_xlpm.nd,2),"")))</f>
        <v>ЩР-01¦QFD26¦кабель ВВГнг(А)-LS (3х2,5) → Розеточная группа Цокольный этаж Пом. №013Б Полотенцесушитель</v>
      </c>
      <c r="HH210" t="str">
        <f t="shared" si="470"/>
        <v>R.0.013Б.3¦Розеточная группа Цокольный этаж Пом. №013Б Полотенцесушитель</v>
      </c>
      <c r="HI210" t="str" cm="1">
        <f t="array" ref="HI210">IF(HF210="","",_xlfn.LET(_xlpm.nd,_xlfn.TEXTSPLIT(HF210,"|"),IF(COLUMNS(_xlpm.nd)&gt;2,A210&amp;"¦"&amp;INDEX(_xlpm.nd,2)&amp;"¦"&amp;INDEX(_xlpm.nd,3),"")))</f>
        <v/>
      </c>
      <c r="HJ210" t="str">
        <f t="shared" si="471"/>
        <v/>
      </c>
      <c r="HK210" t="str" cm="1">
        <f t="array" ref="HK210">IF(HF210="","",_xlfn.LET(_xlpm.nd,_xlfn.TEXTSPLIT(HF210,"|"),IF(COLUMNS(_xlpm.nd)&gt;3,A210&amp;"¦"&amp;INDEX(_xlpm.nd,3)&amp;"¦"&amp;INDEX(_xlpm.nd,4),"")))</f>
        <v/>
      </c>
      <c r="HL210" t="str">
        <f t="shared" si="472"/>
        <v/>
      </c>
      <c r="HM210" t="str" cm="1">
        <f t="array" ref="HM210">IF(HF210="","",_xlfn.LET(_xlpm.nd,_xlfn.TEXTSPLIT(HF210,"|"),IF(COLUMNS(_xlpm.nd)&gt;4,A210&amp;"¦"&amp;INDEX(_xlpm.nd,4)&amp;"¦"&amp;INDEX(_xlpm.nd,5),"")))</f>
        <v/>
      </c>
      <c r="HN210" t="str">
        <f t="shared" si="473"/>
        <v/>
      </c>
      <c r="HO210" t="str" cm="1">
        <f t="array" ref="HO210">IF(HF210="","",_xlfn.LET(_xlpm.nd,_xlfn.TEXTSPLIT(HF210,"|"),IF(COLUMNS(_xlpm.nd)&gt;5,A210&amp;"¦"&amp;INDEX(_xlpm.nd,5)&amp;"¦"&amp;INDEX(_xlpm.nd,6),"")))</f>
        <v/>
      </c>
      <c r="HP210" t="str">
        <f t="shared" si="474"/>
        <v/>
      </c>
      <c r="HQ210" t="str" cm="1">
        <f t="array" ref="HQ210">IF(HF210="","",_xlfn.LET(_xlpm.nd,_xlfn.TEXTSPLIT(HF210,"|"),IF(COLUMNS(_xlpm.nd)&gt;6,A210&amp;"¦"&amp;INDEX(_xlpm.nd,6)&amp;"¦"&amp;INDEX(_xlpm.nd,7),"")))</f>
        <v/>
      </c>
      <c r="HR210" t="str">
        <f t="shared" si="475"/>
        <v/>
      </c>
      <c r="HS210" t="str">
        <f t="shared" si="476"/>
        <v/>
      </c>
      <c r="HT210" t="str">
        <f t="shared" si="477"/>
        <v>QFD26</v>
      </c>
      <c r="HU210">
        <f t="shared" si="478"/>
        <v>0</v>
      </c>
      <c r="HV210">
        <f t="shared" si="479"/>
        <v>1</v>
      </c>
      <c r="HW210" t="str">
        <f t="shared" si="480"/>
        <v/>
      </c>
      <c r="HX210" t="str">
        <f t="shared" si="481"/>
        <v/>
      </c>
      <c r="HY210" t="str">
        <f t="shared" si="482"/>
        <v/>
      </c>
      <c r="HZ210" t="str">
        <f t="shared" si="483"/>
        <v/>
      </c>
      <c r="IA210" t="str">
        <f>IF(B210="","",IFERROR(VLOOKUP(B210,УГО_спр,2,FALSE),IFERROR(VLOOKUP(AX210,УГО_спр,2,FALSE),IFERROR(VLOOKUP(LEFT(AX210,2),УГО_спр,2,FALSE),""))))</f>
        <v>Розетка</v>
      </c>
      <c r="IB210" t="str">
        <f>IF(B210="","",IF(OR(IA210="",IA210=0),"BOX",IFERROR(IF(VLOOKUP(IA210,УГО_блоки,3,FALSE)&amp;""&lt;&gt;"",VLOOKUP(IA210,УГО_блоки,3,FALSE),VLOOKUP(IA210,УГО_блоки,2,FALSE)),IA210)))</f>
        <v>SOCKET</v>
      </c>
      <c r="IC210">
        <f t="shared" si="484"/>
        <v>1</v>
      </c>
      <c r="ID210" t="str">
        <f>IF(DA210="","",IF(COUNTIF(DA$3:DA210,DA210)=1,MAX(ID$2:ID209)+1,""))</f>
        <v/>
      </c>
      <c r="IE210" t="str">
        <f>IF(CO210="","",IF(COUNTIF(CO$3:CO210,CO210)+COUNTIF(CP$2:CP209,CO210)+COUNTIF(CQ$2:CQ209,CO210)=1,MAX(IE$2:IG209)+1,""))</f>
        <v/>
      </c>
      <c r="IF210" t="str">
        <f>IF(CP210="","",IF(COUNTIF(CO$3:CO210,CP210)+COUNTIF(CP$3:CP210,CP210)+COUNTIF(CQ$2:CQ209,CP210)=1,MAX(IE$2:IG209,IE210)+1,""))</f>
        <v/>
      </c>
      <c r="IG210" t="str">
        <f>IF(CQ210="","",IF(COUNTIF(CO$3:CO210,CQ210)+COUNTIF(CP$3:CP210,CQ210)+COUNTIF(CQ$3:CQ210,CQ210)=1,MAX(IE$2:IG209,IE210,IF210)+1,""))</f>
        <v/>
      </c>
      <c r="IH210" t="str">
        <f t="shared" si="485"/>
        <v>3х2,5</v>
      </c>
      <c r="II210" t="str">
        <f>IF(IH210="","",IF(COUNTIF(IH$3:IH210,IH210)=1,MAX(II$2:II209)+1,""))</f>
        <v/>
      </c>
      <c r="IJ210" t="str">
        <f>IF(GL210="","",COUNTIF(GL$3:GL210,"?*"))</f>
        <v/>
      </c>
      <c r="IK210" t="str">
        <f>IF(OR(GL210="",GN210=""),"",IF(COUNTIFS(GL$3:GL210,"?*",GN$3:GN210,GN210)=1,MAX(IK$2:IK209)+1,""))</f>
        <v/>
      </c>
      <c r="IL210">
        <f t="shared" si="486"/>
        <v>0</v>
      </c>
      <c r="IM210">
        <f>IF(B210="","",COUNTIF(B$3:B210,"?*"))</f>
        <v>208</v>
      </c>
      <c r="IN210">
        <f>IF(GQ210&lt;&gt;1,0,_xlfn.LET(_xlpm.k,MAX(IFERROR(--VLOOKUP(B210,УГО_спр,5,FALSE),0),IFERROR(--VLOOKUP(AX210,УГО_спр,5,FALSE),0),IFERROR(--VLOOKUP(LEFT(AX210,2),УГО_спр,5,FALSE),0)),IF(_xlpm.k&gt;0,_xlpm.k,IF(IFERROR(--LEFT(SUBSTITUTE(IH210,"x","х"),FIND("х",SUBSTITUTE(IH210,"x","х"))-1),3)&gt;3,Каталог!$S$9,1))))</f>
        <v>1</v>
      </c>
      <c r="IO210">
        <f t="shared" si="487"/>
        <v>0</v>
      </c>
      <c r="IP210" t="str">
        <f t="shared" si="488"/>
        <v>авто</v>
      </c>
      <c r="IQ210">
        <f t="shared" si="489"/>
        <v>30</v>
      </c>
      <c r="IR210">
        <f t="shared" si="490"/>
        <v>1</v>
      </c>
      <c r="IS210">
        <f t="shared" si="491"/>
        <v>1</v>
      </c>
    </row>
    <row r="211" spans="1:253" x14ac:dyDescent="0.3">
      <c r="A211" t="s">
        <v>757</v>
      </c>
      <c r="B211" t="s">
        <v>1477</v>
      </c>
      <c r="C211" t="s">
        <v>1660</v>
      </c>
      <c r="D211">
        <v>1</v>
      </c>
      <c r="E211">
        <v>2.2000000000000002</v>
      </c>
      <c r="G211" t="str">
        <f>Линии[[#This Row],[_авто автомат]]</f>
        <v>2P С16А 30мА</v>
      </c>
      <c r="H211">
        <f>Линии[[#This Row],[_авто утечка]]</f>
        <v>30</v>
      </c>
      <c r="I211" t="str">
        <f>Линии[[#This Row],[_авто управление]]</f>
        <v/>
      </c>
      <c r="J211" t="str">
        <f>Линии[[#This Row],[_авто аппараты]]</f>
        <v/>
      </c>
      <c r="K211">
        <v>2.5</v>
      </c>
      <c r="L211">
        <v>55</v>
      </c>
      <c r="M211">
        <v>2</v>
      </c>
      <c r="N211" t="s">
        <v>486</v>
      </c>
      <c r="O211" t="str">
        <f t="shared" si="369"/>
        <v>потери 4,8 % &gt; 4 %</v>
      </c>
      <c r="P211" s="6" cm="1">
        <f t="array" ref="P211">IF(B211="","",IF(BC211&lt;&gt;"",IFERROR(_xlfn.XLOOKUP(BC211,Щиты[Щит],Щиты[Iр, А]),""),IF(BK211=1,IFERROR(_xlfn.XLOOKUP(A211,Щиты[Щит],Щиты[Iр, А]),""),IFERROR(_xlfn.IFS(BR211=1,BN211/((Uн_лин/SQRT(3))*BY211),BR211=3,BN211/(SQRT(3)*Uн_лин*BY211)),""))))</f>
        <v>10.027662570135606</v>
      </c>
      <c r="Q211" s="7">
        <f>IF(B211="","",IFERROR(IF(VLOOKUP(AX211,Потребители_обозначение,4,FALSE)=1,VLOOKUP(AX211,Потребители_обозначение,3,FALSE)*(D211*2-1)+DS211+VLOOKUP(AZ211,Этаж_обозначение,3,FALSE)+VLOOKUP(AZ211,Этаж_обозначение,4,FALSE),VLOOKUP(AX211,Потребители_обозначение,3,FALSE)*(D211*2-1)+DS211),DS211))</f>
        <v>58</v>
      </c>
      <c r="R211" s="6">
        <f t="shared" si="370"/>
        <v>4.76</v>
      </c>
      <c r="S211" t="str">
        <f t="shared" si="371"/>
        <v>ВВГнг(А)-LS (3х2,5)</v>
      </c>
      <c r="T211" t="str">
        <f>IF(BH211="","",IF(BI211="вводной узел","узел ","")&amp;"л."&amp;(INT((BH211-1)/Столбцов_на_лист)+1)&amp;" / "&amp;(MOD(BH211-1,Столбцов_на_лист)+1))</f>
        <v>л.3 / 14</v>
      </c>
      <c r="V211">
        <v>1</v>
      </c>
      <c r="W211">
        <v>230</v>
      </c>
      <c r="X211" t="s">
        <v>564</v>
      </c>
      <c r="AC211" t="s">
        <v>815</v>
      </c>
      <c r="AE211" t="s">
        <v>563</v>
      </c>
      <c r="AI211">
        <v>48</v>
      </c>
      <c r="AJ211" t="s">
        <v>11</v>
      </c>
      <c r="AK211">
        <v>3</v>
      </c>
      <c r="AM211">
        <v>44</v>
      </c>
      <c r="AN211">
        <v>14</v>
      </c>
      <c r="AO211">
        <v>0</v>
      </c>
      <c r="AW211" cm="1">
        <f t="array" ref="AW211">ROW()-ROW(Линии[#Headers])</f>
        <v>209</v>
      </c>
      <c r="AX211" s="6" t="str">
        <f t="shared" si="372"/>
        <v>R</v>
      </c>
      <c r="AY211" t="str">
        <f t="shared" si="373"/>
        <v>0.013Б.4</v>
      </c>
      <c r="AZ211" t="str">
        <f t="shared" si="374"/>
        <v>0</v>
      </c>
      <c r="BA211" t="str">
        <f t="shared" si="375"/>
        <v>013Б.4</v>
      </c>
      <c r="BB211" t="str">
        <f t="shared" si="376"/>
        <v>013Б</v>
      </c>
      <c r="BC211" t="str">
        <f>IF(U211&lt;&gt;"",U211,IF(AND(B211&lt;&gt;"",B211&lt;&gt;A211,ISNUMBER(_xlfn.XMATCH(B211,Щиты[Щит]))),B211,""))</f>
        <v/>
      </c>
      <c r="BD211" t="str" cm="1">
        <f t="array" ref="BD211">IF(B211="","",IF(BC211&lt;&gt;"","Щит "&amp;BC211,_xlfn.LET(_xlpm.nm,IFERROR(_xlfn.XLOOKUP(AX211,Коды_код,Коды_имя)&amp;"",""),_xlpm.md,IFERROR(N(_xlfn.XLOOKUP(AX211,Коды_код,Коды_режим)),1),_xlpm.ex,IF(Имя_режим="по экспликации",IFERROR(_xlfn.XLOOKUP(AZ211&amp;"|"&amp;BB211,Экспликация[Этаж]&amp;"|"&amp;Экспликация[Помещение],Экспликация[Название])&amp;"",""),""),_xlpm.rm,IF(BB211="","",IF(_xlpm.ex&lt;&gt;"",". "&amp;_xlpm.ex&amp;IF(Имя_пом="нет"," ("&amp;BB211&amp;")"," (пом. "&amp;BB211&amp;")"),IF(Имя_пом="нет"," ",", пом. ")&amp;BB211)),IF(_xlpm.nm="","",IF(_xlpm.md=2,_xlpm.nm&amp;" шлейф "&amp;AZ211,_xlpm.nm&amp;_xlpm.rm)))))</f>
        <v>Розеточная группа, пом. 013Б</v>
      </c>
      <c r="BE211" t="str">
        <f t="shared" si="377"/>
        <v>Розеточная группа Цокольный этаж Пом. №013Б Сушильная машина</v>
      </c>
      <c r="BF211">
        <f>IFERROR(_xlfn.XMATCH(A211,Щиты[Щит]),0)</f>
        <v>9</v>
      </c>
      <c r="BG211">
        <f>_xlfn.LET(_xlpm.k,IFERROR(_xlfn.XLOOKUP(A211,Щиты[Щит],Щиты[Листов под вводной узел]),""),IF(_xlpm.k="",1,N(_xlpm.k))*Столбцов_на_лист)</f>
        <v>17</v>
      </c>
      <c r="BH211">
        <f t="shared" si="378"/>
        <v>48</v>
      </c>
      <c r="BI211" t="str">
        <f t="shared" si="379"/>
        <v>линии</v>
      </c>
      <c r="BJ211" s="6">
        <f>IFERROR(N(_xlfn.XLOOKUP(AX211,Коды_код,Коды_квт)),0)</f>
        <v>0</v>
      </c>
      <c r="BK211">
        <f t="shared" si="380"/>
        <v>0</v>
      </c>
      <c r="BL211" t="str">
        <f>IF(B211="","",IF(BC211&lt;&gt;"",IFERROR(_xlfn.XLOOKUP(BC211,Щиты[Щит],Щиты[Руст, кВт]),0),IF(BK211=1,IFERROR(_xlfn.XLOOKUP(A211,Щиты[Щит],Щиты[Руст, кВт]),0),IF(BJ211&gt;0,ROUND(BJ211*MAX(1,N(D211)),3),""))))</f>
        <v/>
      </c>
      <c r="BM211">
        <f t="shared" si="381"/>
        <v>2.2000000000000002</v>
      </c>
      <c r="BN211" s="6">
        <f>IF(B211="","",IF(BC211&lt;&gt;"",IFERROR(_xlfn.XLOOKUP(BC211,Щиты[Щит],Щиты[Руст, кВт]),0),N(BM211)))</f>
        <v>2.2000000000000002</v>
      </c>
      <c r="BO211" t="str">
        <f>IF(B211="","",IFERROR(IF(VLOOKUP(AX211,Потребители_обозначение,8,FALSE)=0,"",VLOOKUP(AX211,Потребители_обозначение,8,FALSE)),""))</f>
        <v/>
      </c>
      <c r="BP211">
        <f t="shared" si="382"/>
        <v>230</v>
      </c>
      <c r="BQ211">
        <f>IF(B211="","",IF(BC211&lt;&gt;"",3,IFERROR(IF(N(VLOOKUP(AX211,Потребители_обозначение,9,FALSE))=0,1,VLOOKUP(AX211,Потребители_обозначение,9,FALSE)),1)))</f>
        <v>1</v>
      </c>
      <c r="BR211">
        <f t="shared" si="383"/>
        <v>1</v>
      </c>
      <c r="BS211" t="str">
        <f>IF(B211="","",_xlfn.LET(_xlpm.bc,IFERROR(IF(VLOOKUP(AX211,Потребители_обозначение,6,FALSE)=0,"",VLOOKUP(AX211,Потребители_обозначение,6,FALSE)&amp;""),""),IF(AND(FK211="да",OR(_xlpm.bc="",_xlpm.bc="мс")),Марка_пож,IF(AND(_xlpm.bc="",BC211&lt;&gt;""),"мс",_xlpm.bc))))</f>
        <v/>
      </c>
      <c r="BT211" t="str">
        <f t="shared" si="384"/>
        <v>мс</v>
      </c>
      <c r="BU211">
        <f>IF(B211="","",_xlfn.LET(_xlpm.cc,IFERROR(N(VLOOKUP(AX211,Потребители_обозначение,7,FALSE)),0),IF(_xlpm.cc&gt;0,_xlpm.cc,IF(BT211="","",IF(N(BR211)=3,5,3)))))</f>
        <v>3</v>
      </c>
      <c r="BV211">
        <f t="shared" si="385"/>
        <v>3</v>
      </c>
      <c r="BW211">
        <f>IFERROR(N(VLOOKUP(AX211,Потребители_обозначение,10,FALSE)),0)</f>
        <v>0</v>
      </c>
      <c r="BX211">
        <f>IFERROR(VLOOKUP(AX211,Потребители_обозначение,5,FALSE),0)</f>
        <v>1</v>
      </c>
      <c r="BY211" s="6" cm="1">
        <f t="array" ref="BY211">IF(B211="","",IF(BC211&lt;&gt;"",IFERROR(_xlfn.XLOOKUP(BC211,Щиты[Щит],Щиты[cos φ]),0.95),IF(BK211=1,IFERROR(_xlfn.XLOOKUP(A211,Щиты[Щит],Щиты[cos φ]),0.95),IF(ISNUMBER(Z211),Z211,IFERROR(IF(BX211=2,_xlfn.IFS(BR211=3,VLOOKUP(BN211,Справочная_двигатели,8,FALSE),BR211=1,VLOOKUP(BN211,Справочная_двигатели,10,TRUE)),IF(AND(Методика="нормы 2026",EQ211="Сил"),0.8,0.95)),0.95)))))</f>
        <v>0.95</v>
      </c>
      <c r="BZ211">
        <f t="shared" si="386"/>
        <v>0</v>
      </c>
      <c r="CA211">
        <f t="shared" si="387"/>
        <v>1</v>
      </c>
      <c r="CB211">
        <f t="shared" si="388"/>
        <v>0</v>
      </c>
      <c r="CC211">
        <f t="shared" si="389"/>
        <v>0</v>
      </c>
      <c r="CD211">
        <f t="shared" si="390"/>
        <v>0</v>
      </c>
      <c r="CE211">
        <f t="shared" si="391"/>
        <v>0</v>
      </c>
      <c r="CF211">
        <f t="shared" si="392"/>
        <v>0</v>
      </c>
      <c r="CG211">
        <f>IF(AX211="",0,_xlfn.LET(_xlpm.v,IFERROR(VLOOKUP(B211,УГО_спр,3,FALSE),IFERROR(VLOOKUP(AX211,УГО_спр,3,FALSE),IFERROR(VLOOKUP(LEFT(AX211,2),УГО_спр,3,FALSE),""))),IF(_xlpm.v="да",30,IF(ISNUMBER(_xlpm.v),_xlpm.v,0))))</f>
        <v>30</v>
      </c>
      <c r="CH211">
        <f t="shared" si="393"/>
        <v>30</v>
      </c>
      <c r="CI211" t="str">
        <f>_xlfn.LET(_xlpm.k,IFERROR(_xlfn.XLOOKUP(AX211,Коды_код,Коды_утечка)&amp;"",""),IF(_xlpm.k="","дифавтомат",_xlpm.k))</f>
        <v>дифавтомат</v>
      </c>
      <c r="CJ211">
        <f t="shared" si="394"/>
        <v>30</v>
      </c>
      <c r="CK211">
        <f t="shared" si="395"/>
        <v>30</v>
      </c>
      <c r="CL211">
        <f>IF(B211="",0,IFERROR(--VLOOKUP(B211,УГО_спр,4,FALSE),IFERROR(--VLOOKUP(AX211,УГО_спр,4,FALSE),IFERROR(--VLOOKUP(LEFT(AX211,2),УГО_спр,4,FALSE),0))))</f>
        <v>16</v>
      </c>
      <c r="CM211" t="str">
        <f>IF(B211="","",IFERROR(_xlfn.XLOOKUP(AX211,Коды_код,Коды_апп)&amp;"",""))</f>
        <v/>
      </c>
      <c r="CN211" t="str">
        <f t="shared" si="396"/>
        <v/>
      </c>
      <c r="CO211" t="str" cm="1">
        <f t="array" ref="CO211">IF(TRIM(CN211&amp;"")="","",IFERROR(TRIM(INDEX(_xlfn.TEXTSPLIT(CN211&amp;";;;",";"),1)),""))</f>
        <v/>
      </c>
      <c r="CP211" t="str" cm="1">
        <f t="array" ref="CP211">IF(TRIM(CN211&amp;"")="","",IFERROR(TRIM(INDEX(_xlfn.TEXTSPLIT(CN211&amp;";;;",";"),2)),""))</f>
        <v/>
      </c>
      <c r="CQ211" t="str" cm="1">
        <f t="array" ref="CQ211">IF(TRIM(CN211&amp;"")="","",IFERROR(TRIM(INDEX(_xlfn.TEXTSPLIT(CN211&amp;";;;",";"),3)),""))</f>
        <v/>
      </c>
      <c r="CR211">
        <f t="shared" si="397"/>
        <v>0</v>
      </c>
      <c r="CS211" t="str">
        <f>IF(B211="","",_xlfn.LET(_xlpm.t,LOWER(AV211&amp;""),IF(ISNUMBER(SEARCH("dim",_xlpm.t)),"DIM",IF(ISNUMBER(SEARCH("dali",_xlpm.t)),"DALI",IF(OR(ISNUMBER(SEARCH("relay",_xlpm.t)),ISNUMBER(SEARCH("реле",_xlpm.t))),"Relay",IF(ISNUMBER(SEARCH("кнопк",_xlpm.t)),"",IFERROR(_xlfn.XLOOKUP(AX211,Коды_код,Коды_упр)&amp;"","")))))))</f>
        <v/>
      </c>
      <c r="CT211" t="str">
        <f t="shared" si="398"/>
        <v/>
      </c>
      <c r="CU211">
        <f>IF(B211="","",_xlfn.LET(_xlpm.ig,N(P211)+IF(AF211="вручную",0,N(CB211)),_xlpm.n0,IFERROR(VLOOKUP(_xlpm.ig,Автомат_номиналы,2,TRUE),0),_xlpm.mn,MAX(CL211,IF(AF211="вручную",0,N(CE211))),MAX(_xlpm.n0,_xlpm.mn,IF(CR211=1,Мин_автомат_БП,0))))</f>
        <v>16</v>
      </c>
      <c r="CV211">
        <f t="shared" si="399"/>
        <v>1</v>
      </c>
      <c r="CW211" t="str">
        <f t="shared" si="400"/>
        <v>2P</v>
      </c>
      <c r="CX211" t="str">
        <f>_xlfn.LET(_xlpm.cc,UPPER(TRIM(IFERROR(_xlfn.XLOOKUP(AX211,Коды_код,Коды_хар)&amp;"",""))),IF(OR(_xlpm.cc="B",_xlpm.cc="В"),"B",IF(_xlpm.cc="D","D","С")))</f>
        <v>С</v>
      </c>
      <c r="CY211" t="str">
        <f t="shared" si="401"/>
        <v>2P С16А 30мА</v>
      </c>
      <c r="CZ211" t="str">
        <f t="shared" si="402"/>
        <v>2P С16А 30мА</v>
      </c>
      <c r="DA211" t="str">
        <f t="shared" si="403"/>
        <v>2P С16А 30мА</v>
      </c>
      <c r="DB211" cm="1">
        <f t="array" ref="DB211">IF(DA211="","",_xlfn.LET(_xlpm.t,SUBSTITUTE(SUBSTITUTE(SUBSTITUTE(UPPER(DA211),"С","C"),"А","A"),"В","B"),_xlpm.tk,_xlfn.TEXTSPLIT(_xlpm.t,"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1" t="str">
        <f t="shared" si="404"/>
        <v>ok</v>
      </c>
      <c r="DD211">
        <f t="shared" si="405"/>
        <v>16</v>
      </c>
      <c r="DE211" t="str">
        <f t="shared" si="406"/>
        <v>2P С16А 30мА</v>
      </c>
      <c r="DF211">
        <f t="shared" si="407"/>
        <v>30</v>
      </c>
      <c r="DG211">
        <f t="shared" si="408"/>
        <v>1</v>
      </c>
      <c r="DH211">
        <f t="shared" si="409"/>
        <v>0</v>
      </c>
      <c r="DI211">
        <f t="shared" si="410"/>
        <v>10.027662570135606</v>
      </c>
      <c r="DJ211">
        <f t="shared" si="411"/>
        <v>1</v>
      </c>
      <c r="DK211">
        <f>IF(ISNUMBER(AL211),AL211,К_прокл)</f>
        <v>1</v>
      </c>
      <c r="DL211">
        <f t="shared" si="412"/>
        <v>2</v>
      </c>
      <c r="DM211">
        <f>IFERROR(N(VLOOKUP(BT211,Кабель_обозначение,3,FALSE)),1)</f>
        <v>1</v>
      </c>
      <c r="DN211">
        <f>IFERROR(N(_xlfn.XLOOKUP(A211,Щиты[Щит],Щиты[ΔU до шин, %])),0)</f>
        <v>0.43</v>
      </c>
      <c r="DO211" t="str">
        <f>IFERROR(_xlfn.XLOOKUP(A211,Щиты[Щит],Щиты[Zпетли на шинах, Ом]),"")</f>
        <v/>
      </c>
      <c r="DP211">
        <f>IFERROR(N(_xlfn.XLOOKUP(A211,Щиты[Щит],Щиты[ΔU до шин (подбор), %])),0)</f>
        <v>0.43</v>
      </c>
      <c r="DQ211" t="str">
        <f>IFERROR(_xlfn.XLOOKUP(A211,Щиты[Щит],Щиты[Zпетли на шинах (подбор), Ом]),"")</f>
        <v/>
      </c>
      <c r="DR211" t="str">
        <f t="shared" si="413"/>
        <v/>
      </c>
      <c r="DS211">
        <f t="shared" si="414"/>
        <v>55</v>
      </c>
      <c r="DT211">
        <f t="shared" si="415"/>
        <v>2</v>
      </c>
      <c r="DU211">
        <f t="shared" si="416"/>
        <v>0.31</v>
      </c>
      <c r="DV211" s="6">
        <f>IF(B211="","",IF(IFERROR(VLOOKUP(AX211,УГО_спр,2,FALSE),"")="Светильник",3,4)+IF(Методика="нормы 2026",MIN(0.5,MAX(0,N(Q211)-100)*0.005),0))</f>
        <v>4</v>
      </c>
      <c r="DW211" cm="1">
        <f t="array" ref="DW211">IF(OR(B211="",BT211="",DM211&lt;&gt;1),"",_xlfn.LET(_xlpm.sz,Iдоп_S,_xlpm.t_,CHOOSE(DL211,Iдоп_1ж,Iдоп_2ж,Iдоп_3ж)*DJ211*DK211,_xlpm.inn,N(DD211),_xlpm.smin,MAX(1.5,BW211),_xlpm.L_,N(Q211)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211)*(_xlpm.rho*_xlpm.L_/_xlpm.sz*N(BY211)+_xlpm.xx*_xlpm.L_*N(DU211)/1000)*N(P211)/((Uн_лин/SQRT(3))*1000)*100,999),_xlpm.kz,IF(OR(DG211=1,NOT(ISNUMBER(DQ211)),_xlpm.L_=0,_xlpm.inn=0),1,IFERROR(--(c_min*(Uн_лин*1000/SQRT(3))/(DQ211+2*ρкз_Cu*_xlpm.L_/_xlpm.sz)&gt;=GY211*_xlpm.inn),0)),_xlpm.ok,IFERROR((_xlpm.sz&gt;=_xlpm.smin)*(_xlpm.t_&gt;=_xlpm.inn)*IF(_xlpm.L_&gt;0,(_xlpm.du_+DP211&lt;=DV211+0.00001),1)*_xlpm.kz,0),_xlpm.r_,_xlfn._xlws.FILTER(_xlpm.sz,_xlpm.ok,"не подобрано"),INDEX(_xlpm.r_,1)))</f>
        <v>4</v>
      </c>
      <c r="DX211">
        <f t="shared" si="417"/>
        <v>2.5</v>
      </c>
      <c r="DY211" cm="1">
        <f t="array" ref="DY211">IF(OR(B211="",BT211="",DM211&lt;&gt;1),"",_xlfn.LET(_xlpm.sz,Iдоп_S,_xlpm.t_,CHOOSE(DL211,Iдоп_1ж,Iдоп_2ж,Iдоп_3ж)*DJ211*DK211,_xlpm.ok,IFERROR((_xlpm.sz&gt;=MAX(1.5,BW211))*(_xlpm.t_&gt;=N(DD211)),0),_xlpm.r_,_xlfn._xlws.FILTER(_xlpm.sz,_xlpm.ok,""),INDEX(_xlpm.r_,1)))</f>
        <v>1.5</v>
      </c>
      <c r="DZ211" s="6" cm="1">
        <f t="array" ref="DZ211">IFERROR(ROUNDUP(N(DT211)*(_xlfn.XLOOKUP(DY211,INDEX(Кабель_сопротивление,0,1),INDEX(Кабель_сопротивление,0,3))*N(Q211)/DY211*N(BY211)+_xlfn.XLOOKUP(DY211,INDEX(Кабель_сопротивление,0,1),INDEX(Кабель_сопротивление,0,2))*N(Q211)*N(DU211)/1000)*N(P211)/((Uн_лин/SQRT(3))*1000)*100,2),"")</f>
        <v>7.2</v>
      </c>
      <c r="EA211">
        <f>IFERROR(2*ρкз_Cu*N(Q211)/DY211,"")</f>
        <v>2.0338666666666669</v>
      </c>
      <c r="EB211">
        <f>IFERROR(VLOOKUP(DX211,Кабель_сопротивление,3,FALSE),"")</f>
        <v>2.2499999999999999E-2</v>
      </c>
      <c r="EC211">
        <f>IFERROR(VLOOKUP(DX211,Кабель_сопротивление,2,FALSE),"")</f>
        <v>0.1</v>
      </c>
      <c r="ED211">
        <f t="shared" si="418"/>
        <v>14</v>
      </c>
      <c r="EE211">
        <f t="shared" si="419"/>
        <v>0</v>
      </c>
      <c r="EF211">
        <f t="shared" si="420"/>
        <v>9.9814952116627023</v>
      </c>
      <c r="EG211" s="6">
        <f>IFERROR(ROUNDUP(EF211/((Uн_лин/SQRT(3))*1000)*100,2),"")</f>
        <v>4.33</v>
      </c>
      <c r="EH211" t="str">
        <f>IFERROR(VLOOKUP(BT211,Кабель_обозначение,2,FALSE),"")</f>
        <v>ВВГнг(А)-LS</v>
      </c>
      <c r="EI211" t="str">
        <f t="shared" si="421"/>
        <v>ВВГнг(А)-LS (3х2,5)</v>
      </c>
      <c r="EJ211" t="str">
        <f t="shared" si="422"/>
        <v>ВВГнг(А)-LS (3х2,5)
L=58-4,33%</v>
      </c>
      <c r="EK211">
        <f>IFERROR(2*ρкз_Cu*Q211/DX211,"")</f>
        <v>1.2203200000000001</v>
      </c>
      <c r="EL211">
        <f t="shared" si="423"/>
        <v>0.40600000000000003</v>
      </c>
      <c r="EM211" s="6" t="str">
        <f>IFERROR(IF(OR(B211="",NOT(ISNUMBER(DX211)),N(Q211)=0),"",_xlfn.XLOOKUP(A211,Щиты[Щит],Щиты[Zпетли на шинах, Ом])+EK211),"")</f>
        <v/>
      </c>
      <c r="EN211" s="6" t="str">
        <f>IF(ISNUMBER(EM211),c_min*(Uн_лин*1000/SQRT(3))/EM211,"")</f>
        <v/>
      </c>
      <c r="EO211" s="6" t="str">
        <f>IFERROR(IF(OR(B211="",NOT(ISNUMBER(DX211))),"",1.05*(Uн_лин*1000/SQRT(3))/(_xlfn.XLOOKUP(A211,Щиты[Щит],Щиты[Zmax на шинах, Ом])+EL211)/1000),"")</f>
        <v/>
      </c>
      <c r="EP211" s="6" t="str">
        <f>IF(B211="","",IF(ISNUMBER(Y211),"Сил",IF(IFERROR(_xlfn.XLOOKUP(AX211,Коды_код,Коды_группа)&amp;"","")="","Быт",_xlfn.XLOOKUP(AX211,Коды_код,Коды_группа)&amp;"")))</f>
        <v>Быт</v>
      </c>
      <c r="EQ211" s="6" t="str">
        <f t="shared" si="424"/>
        <v>Быт</v>
      </c>
      <c r="ER211" s="6">
        <f>IF(EQ211="Щит","щит",IF(EQ211="","",IF(EQ211="Быт",IFERROR(_xlfn.XLOOKUP(A211,Щиты[Щит],Щиты[Кс быт]),1),IF(EQ211="Сил",IF(ISNUMBER(Y211),Y211,IF(Методика="нормы 2026",IFERROR(_xlfn.XLOOKUP(A211,Щиты[Щит],Щиты[Кс силовых (табл. 7.5)]),1),1)),IF(OR(EQ211="Пост",EQ211="Отоп"),1,IF(EQ211="ВНГ",0.7,0))))))</f>
        <v>0.79799999999999993</v>
      </c>
      <c r="ES211">
        <f t="shared" si="425"/>
        <v>1</v>
      </c>
      <c r="ET211">
        <f t="shared" si="426"/>
        <v>2.2000000000000002</v>
      </c>
      <c r="EU211">
        <f t="shared" si="427"/>
        <v>2.2000000000000002</v>
      </c>
      <c r="EV211">
        <f t="shared" si="428"/>
        <v>0</v>
      </c>
      <c r="EW211">
        <f t="shared" si="429"/>
        <v>0</v>
      </c>
      <c r="EX211">
        <f t="shared" si="430"/>
        <v>0</v>
      </c>
      <c r="EY211">
        <f t="shared" si="431"/>
        <v>0</v>
      </c>
      <c r="EZ211">
        <f t="shared" si="432"/>
        <v>2.2000000000000002</v>
      </c>
      <c r="FA211">
        <f t="shared" si="433"/>
        <v>2.09</v>
      </c>
      <c r="FB211">
        <f t="shared" si="434"/>
        <v>2.2000000000000002</v>
      </c>
      <c r="FC211" t="str">
        <f t="shared" si="435"/>
        <v>L2</v>
      </c>
      <c r="FD211" t="str">
        <f>IF(B211="","",IF(CA211=0,IF(AW211=1,"",FF210),IF(OR(N(CV211)&gt;=3,N(BR211)&gt;=3),"L1,L2,L3",IFERROR(_xlfn.TEXTBEFORE(_xlfn.TEXTAFTER(_xlfn.XLOOKUP(A211,Щиты[Щит],Щиты[_фазы авто]),";"&amp;AW211&amp;":"),";"),"L1"))))</f>
        <v>L1</v>
      </c>
      <c r="FE211" t="str">
        <f t="shared" si="436"/>
        <v>L2</v>
      </c>
      <c r="FF211" t="str">
        <f t="shared" si="437"/>
        <v>L2</v>
      </c>
      <c r="FG211" cm="1">
        <f t="array" ref="FG211">IFERROR(IF(BX211=2,_xlfn.IFS(BR211=3,VLOOKUP(BN211,Справочная_двигатели,3,FALSE),BR211=1,VLOOKUP(BN211,Справочная_двигатели,5,TRUE)),0),0)</f>
        <v>0</v>
      </c>
      <c r="FH211">
        <f>IFERROR(IF(BX211=3,VLOOKUP(BN211,Справочная_ЛЭД,2,TRUE),0),0)</f>
        <v>0</v>
      </c>
      <c r="FI211" s="6">
        <f t="shared" si="438"/>
        <v>0</v>
      </c>
      <c r="FJ211" t="str" cm="1">
        <f t="array" ref="FJ211">IF(B211="","",IFERROR(INDEX({"I особая","I","II","III"},MATCH(TRIM(AC211&amp;""),{"I особая","I","II","III"},0)),"III"))</f>
        <v>II</v>
      </c>
      <c r="FK211" t="str">
        <f>IF(B211="","",IF(TRIM(AD211&amp;"")&lt;&gt;"",IF(LOWER(TRIM(AD211&amp;""))="да","да","нет"),IF(IFERROR(_xlfn.XLOOKUP(AX211,Коды_код,Коды_пожарная),"")="да","да","нет")))</f>
        <v>нет</v>
      </c>
      <c r="FL211" t="str">
        <f t="shared" si="439"/>
        <v/>
      </c>
      <c r="FM211" t="str">
        <f t="shared" si="440"/>
        <v>основная</v>
      </c>
      <c r="FN211">
        <f t="shared" si="441"/>
        <v>1</v>
      </c>
      <c r="FO211" t="str" cm="1">
        <f t="array" ref="FO211">IF(B211="","",_xlfn.LET(_xlpm.t,IFERROR(_xlfn.XLOOKUP(1,(Шины[Шина]=FM211)*(((Шины[Щит]=A211)+(Шины[Щит]=""))&gt;0),Шины[Тип]),"")&amp;"",IF(_xlpm.t&lt;&gt;"",_xlpm.t,IF(ISNUMBER(SEARCH("ИБП",FM211)),"ИБП",IF(ISNUMBER(SEARCH("ДГУ",FM211)),"ДГУ","Ввод "&amp;FN211)))))</f>
        <v>Ввод 1</v>
      </c>
      <c r="FP211" t="str">
        <f t="shared" si="442"/>
        <v>Ввод 1</v>
      </c>
      <c r="FQ211" t="str">
        <f>IF(B211="","",IF(OR(FO211="ИБП",FO211="ДГУ"),"I особая",IF(FO211="Одиночная","III",_xlfn.XLOOKUP(A211,Щиты[Щит],Щиты[Категория шины «Ввод»],"III"))))</f>
        <v>II</v>
      </c>
      <c r="FR211">
        <f>IF(B211="",0,IFERROR(MATCH(FJ211,{"III","II","I","I особая"},0),1))</f>
        <v>2</v>
      </c>
      <c r="FS211">
        <f t="shared" si="443"/>
        <v>2</v>
      </c>
      <c r="FT211" t="str">
        <f>IF(B211="","",IF(FR211&gt;IFERROR(MATCH(FQ211,{"III","II","I","I особая"},0),1),"НЕ ОБЕСПЕЧЕНА","ОК"))</f>
        <v>ОК</v>
      </c>
      <c r="FU211" t="str">
        <f>IF(A211="","",_xlfn.XLOOKUP(A211,Щиты[Щит],Щиты[Путь],""))</f>
        <v>|ГРЩ-ЖД|ЩР-01|</v>
      </c>
      <c r="FV211" t="str">
        <f>IF(B211="","",IF(AE211&lt;&gt;"",AE211,IF(IFERROR(_xlfn.XLOOKUP(AX211,Коды_код,Коды_вид)&amp;"","")="","Прочее",_xlfn.XLOOKUP(AX211,Коды_код,Коды_вид)&amp;"")))</f>
        <v>Розеточная сеть и бытовые приборы</v>
      </c>
      <c r="FW211">
        <f>IF(BH211="","",INT((BH211-1)/Столбцов_на_лист)+1)</f>
        <v>3</v>
      </c>
      <c r="FX211" t="str">
        <f t="shared" si="444"/>
        <v>ВВГнг(А)-LS (3х2,5) L=58-4,33%</v>
      </c>
      <c r="FY211">
        <f t="shared" si="445"/>
        <v>2.2000000000000002</v>
      </c>
      <c r="FZ211">
        <f t="shared" si="446"/>
        <v>10.029999999999999</v>
      </c>
      <c r="GA211">
        <f t="shared" si="447"/>
        <v>1</v>
      </c>
      <c r="GB211">
        <f t="shared" si="448"/>
        <v>0</v>
      </c>
      <c r="GC211">
        <f t="shared" si="449"/>
        <v>1</v>
      </c>
      <c r="GD211">
        <f>IF(BH211="","",IF(AND(CA211=1,GC211=1),COUNTIFS(A$3:A211,A211,CA$3:CA211,1,GC$3:GC211,1),IF(OR(OR(AW211=1,A211&lt;&gt;A210),AF211="вручную",GC211=0),"",IF(AW211=1,"",GE210))))</f>
        <v>27</v>
      </c>
      <c r="GE211">
        <f t="shared" si="450"/>
        <v>27</v>
      </c>
      <c r="GF211">
        <f>IF(B211="","",IFERROR(LOOKUP(INDEX(CHOOSE(DL211,Iдоп_1ж,Iдоп_2ж,Iдоп_3ж),MATCH(DX211,Iдоп_S,0))*DJ211*DK211,{6,10,16,20,25,32,40,50,63,80,100,125,160,200,250,315,400,500,630}),""))</f>
        <v>25</v>
      </c>
      <c r="GG211" t="str">
        <f t="shared" si="451"/>
        <v>QFD27</v>
      </c>
      <c r="GH211" t="str">
        <f t="shared" si="452"/>
        <v>QFD27</v>
      </c>
      <c r="GI211" t="str">
        <f t="shared" si="453"/>
        <v/>
      </c>
      <c r="GJ211">
        <f t="shared" si="454"/>
        <v>0</v>
      </c>
      <c r="GK211" t="str">
        <f>IF(OR(AG211="",AG211="-"),"",IFERROR(VLOOKUP(AG211,Модули_спр,2,FALSE),"R"))</f>
        <v/>
      </c>
      <c r="GL211" t="str">
        <f>IF(GK211="","",GK211&amp;"."&amp;COUNTIFS(A$3:A211,A211,GK$3:GK211,GK211))</f>
        <v/>
      </c>
      <c r="GM211" t="str">
        <f t="shared" si="455"/>
        <v/>
      </c>
      <c r="GN211" t="str">
        <f t="shared" si="456"/>
        <v/>
      </c>
      <c r="GO211" t="str">
        <f t="shared" si="457"/>
        <v/>
      </c>
      <c r="GP211" t="str">
        <f t="shared" si="458"/>
        <v/>
      </c>
      <c r="GQ211">
        <f t="shared" si="459"/>
        <v>1</v>
      </c>
      <c r="GR211" t="str">
        <f>IF(GQ211=1,"XT"&amp;COUNTIFS(A$3:A211,A211,GQ$3:GQ211,1),"")</f>
        <v>XT27</v>
      </c>
      <c r="GS211" t="str">
        <f t="shared" si="460"/>
        <v/>
      </c>
      <c r="GT211" t="str">
        <f t="shared" si="461"/>
        <v>QFD27</v>
      </c>
      <c r="GU211" t="str">
        <f t="shared" si="462"/>
        <v/>
      </c>
      <c r="GV211" t="str">
        <f t="shared" si="463"/>
        <v>ok</v>
      </c>
      <c r="GW211" t="str">
        <f>IF(OR(GO211="",GM211=""),"",IF(GO211&gt;IFERROR(VLOOKUP(GN211,Модули_спр,3,FALSE),99),"ЛИШНИЙ КАНАЛ",IF(AND(AH211&lt;&gt;"=",COUNTIFS(Линии[_модуль гр.],GM211,Линии[Канал (итог)],GO211,Линии[Канал],"&lt;&gt;=",Линии[Щит],A211)&gt;1),"ДУБЛЬ КАНАЛА","")))</f>
        <v/>
      </c>
      <c r="GX211" s="6" t="str">
        <f t="shared" si="464"/>
        <v/>
      </c>
      <c r="GY211">
        <f t="shared" si="465"/>
        <v>10</v>
      </c>
      <c r="GZ211" t="str">
        <f t="shared" si="466"/>
        <v/>
      </c>
      <c r="HA211" t="str">
        <f>IF(AND(B211="",GT211=""),"",_xlfn.TEXTJOIN("; ",TRUE,IF(AND(B211&lt;&gt;"",FE211=""),"нет фазы",""),IF(AND(B211&lt;&gt;"",N(FY211)=0,EQ211&lt;&gt;"Нет"),"нет мощности",""),IF(AND(GS211&lt;&gt;"",COUNTIFS(Линии[Щит],A211,Линии[Клемма (итог)],GS211)&gt;1),"дубль клеммы "&amp;GS211,""),IF(AND(GV211&lt;&gt;"",GV211&lt;&gt;"ok"),GV211,""),IF(GW211&lt;&gt;"",GW211,""),IF(AND(N(BV211)&gt;=4,N(BR211)=1),BV211&amp;" жил на 1 фазе",""),IF(AND(AX211="R",CA211=1,OR(N(CK211)=0,N(CK211)&gt;30)),"розетка без дифзащиты до 30 мА",""),IFERROR(IF(AND(ISNUMBER(R211),R211&gt;DV211),"потери "&amp;FIXED(R211,1)&amp;" % &gt; "&amp;DV211&amp;" %",""),""),IFERROR(IF(LEFT(GZ211,4)="мало","Iкз мало — отключение &gt; 0,4 с",""),""),IF(AND(B211&lt;&gt;"",BH211=""),"не на схеме",""),IF(AND(CA211=0,B211&lt;&gt;"",FE211&lt;&gt;"",IF(AW211=1,"",FF210)&lt;&gt;"",FE211&lt;&gt;IF(AW211=1,"",FF210)),"фаза не как у автомата группы ("&amp;IF(AW211=1,"",FF210)&amp;")","")))</f>
        <v>потери 4,8 % &gt; 4 %</v>
      </c>
      <c r="HB211" s="6">
        <f>IF(OR(CA211=0,DA211=""),"",_xlfn.LET(_xlpm.t,IFERROR(_xlfn.XLOOKUP(DA211,Каталог!$U$4:$U$500,Каталог!$G$4:$G$500),""),_xlpm.k,SEARCH("кА",_xlpm.t),IFERROR(--TRIM(RIGHT(SUBSTITUTE(MID(_xlpm.t,MAX(1,_xlpm.k-4),_xlpm.k-MAX(1,_xlpm.k-4))," ",REPT(" ",9)),5)),"")))</f>
        <v>6</v>
      </c>
      <c r="HC211" t="str">
        <f>IF(OR(HB211="",CA211=0),"",IF(_xlfn.XLOOKUP(A211,Щиты[Щит],Щиты[Iкз max на шинах, кА],"")="","",IF(HB211&lt;_xlfn.XLOOKUP(A211,Щиты[Щит],Щиты[Iкз max на шинах, кА]),"Icu "&amp;HB211&amp;" кА &lt; Iкз max","ok")))</f>
        <v/>
      </c>
      <c r="HD211" t="str">
        <f t="shared" si="467"/>
        <v/>
      </c>
      <c r="HE211" t="str">
        <f t="shared" si="468"/>
        <v>QFD27</v>
      </c>
      <c r="HF211" t="str">
        <f t="shared" si="469"/>
        <v>QFD27|кабель ВВГнг(А)-LS (3х2,5) → Розеточная группа Цокольный этаж Пом. №013Б Сушильная машина</v>
      </c>
      <c r="HG211" t="str" cm="1">
        <f t="array" ref="HG211">IF(HF211="","",_xlfn.LET(_xlpm.nd,_xlfn.TEXTSPLIT(HF211,"|"),IF(COLUMNS(_xlpm.nd)&gt;1,A211&amp;"¦"&amp;INDEX(_xlpm.nd,1)&amp;"¦"&amp;INDEX(_xlpm.nd,2),"")))</f>
        <v>ЩР-01¦QFD27¦кабель ВВГнг(А)-LS (3х2,5) → Розеточная группа Цокольный этаж Пом. №013Б Сушильная машина</v>
      </c>
      <c r="HH211" t="str">
        <f t="shared" si="470"/>
        <v>R.0.013Б.4¦Розеточная группа Цокольный этаж Пом. №013Б Сушильная машина</v>
      </c>
      <c r="HI211" t="str" cm="1">
        <f t="array" ref="HI211">IF(HF211="","",_xlfn.LET(_xlpm.nd,_xlfn.TEXTSPLIT(HF211,"|"),IF(COLUMNS(_xlpm.nd)&gt;2,A211&amp;"¦"&amp;INDEX(_xlpm.nd,2)&amp;"¦"&amp;INDEX(_xlpm.nd,3),"")))</f>
        <v/>
      </c>
      <c r="HJ211" t="str">
        <f t="shared" si="471"/>
        <v/>
      </c>
      <c r="HK211" t="str" cm="1">
        <f t="array" ref="HK211">IF(HF211="","",_xlfn.LET(_xlpm.nd,_xlfn.TEXTSPLIT(HF211,"|"),IF(COLUMNS(_xlpm.nd)&gt;3,A211&amp;"¦"&amp;INDEX(_xlpm.nd,3)&amp;"¦"&amp;INDEX(_xlpm.nd,4),"")))</f>
        <v/>
      </c>
      <c r="HL211" t="str">
        <f t="shared" si="472"/>
        <v/>
      </c>
      <c r="HM211" t="str" cm="1">
        <f t="array" ref="HM211">IF(HF211="","",_xlfn.LET(_xlpm.nd,_xlfn.TEXTSPLIT(HF211,"|"),IF(COLUMNS(_xlpm.nd)&gt;4,A211&amp;"¦"&amp;INDEX(_xlpm.nd,4)&amp;"¦"&amp;INDEX(_xlpm.nd,5),"")))</f>
        <v/>
      </c>
      <c r="HN211" t="str">
        <f t="shared" si="473"/>
        <v/>
      </c>
      <c r="HO211" t="str" cm="1">
        <f t="array" ref="HO211">IF(HF211="","",_xlfn.LET(_xlpm.nd,_xlfn.TEXTSPLIT(HF211,"|"),IF(COLUMNS(_xlpm.nd)&gt;5,A211&amp;"¦"&amp;INDEX(_xlpm.nd,5)&amp;"¦"&amp;INDEX(_xlpm.nd,6),"")))</f>
        <v/>
      </c>
      <c r="HP211" t="str">
        <f t="shared" si="474"/>
        <v/>
      </c>
      <c r="HQ211" t="str" cm="1">
        <f t="array" ref="HQ211">IF(HF211="","",_xlfn.LET(_xlpm.nd,_xlfn.TEXTSPLIT(HF211,"|"),IF(COLUMNS(_xlpm.nd)&gt;6,A211&amp;"¦"&amp;INDEX(_xlpm.nd,6)&amp;"¦"&amp;INDEX(_xlpm.nd,7),"")))</f>
        <v/>
      </c>
      <c r="HR211" t="str">
        <f t="shared" si="475"/>
        <v/>
      </c>
      <c r="HS211" t="str">
        <f t="shared" si="476"/>
        <v/>
      </c>
      <c r="HT211" t="str">
        <f t="shared" si="477"/>
        <v>QFD27</v>
      </c>
      <c r="HU211">
        <f t="shared" si="478"/>
        <v>0</v>
      </c>
      <c r="HV211">
        <f t="shared" si="479"/>
        <v>1</v>
      </c>
      <c r="HW211" t="str">
        <f t="shared" si="480"/>
        <v/>
      </c>
      <c r="HX211" t="str">
        <f t="shared" si="481"/>
        <v/>
      </c>
      <c r="HY211" t="str">
        <f t="shared" si="482"/>
        <v/>
      </c>
      <c r="HZ211" t="str">
        <f t="shared" si="483"/>
        <v/>
      </c>
      <c r="IA211" t="str">
        <f>IF(B211="","",IFERROR(VLOOKUP(B211,УГО_спр,2,FALSE),IFERROR(VLOOKUP(AX211,УГО_спр,2,FALSE),IFERROR(VLOOKUP(LEFT(AX211,2),УГО_спр,2,FALSE),""))))</f>
        <v>Розетка</v>
      </c>
      <c r="IB211" t="str">
        <f>IF(B211="","",IF(OR(IA211="",IA211=0),"BOX",IFERROR(IF(VLOOKUP(IA211,УГО_блоки,3,FALSE)&amp;""&lt;&gt;"",VLOOKUP(IA211,УГО_блоки,3,FALSE),VLOOKUP(IA211,УГО_блоки,2,FALSE)),IA211)))</f>
        <v>SOCKET</v>
      </c>
      <c r="IC211">
        <f t="shared" si="484"/>
        <v>1</v>
      </c>
      <c r="ID211" t="str">
        <f>IF(DA211="","",IF(COUNTIF(DA$3:DA211,DA211)=1,MAX(ID$2:ID210)+1,""))</f>
        <v/>
      </c>
      <c r="IE211" t="str">
        <f>IF(CO211="","",IF(COUNTIF(CO$3:CO211,CO211)+COUNTIF(CP$2:CP210,CO211)+COUNTIF(CQ$2:CQ210,CO211)=1,MAX(IE$2:IG210)+1,""))</f>
        <v/>
      </c>
      <c r="IF211" t="str">
        <f>IF(CP211="","",IF(COUNTIF(CO$3:CO211,CP211)+COUNTIF(CP$3:CP211,CP211)+COUNTIF(CQ$2:CQ210,CP211)=1,MAX(IE$2:IG210,IE211)+1,""))</f>
        <v/>
      </c>
      <c r="IG211" t="str">
        <f>IF(CQ211="","",IF(COUNTIF(CO$3:CO211,CQ211)+COUNTIF(CP$3:CP211,CQ211)+COUNTIF(CQ$3:CQ211,CQ211)=1,MAX(IE$2:IG210,IE211,IF211)+1,""))</f>
        <v/>
      </c>
      <c r="IH211" t="str">
        <f t="shared" si="485"/>
        <v>3х2,5</v>
      </c>
      <c r="II211" t="str">
        <f>IF(IH211="","",IF(COUNTIF(IH$3:IH211,IH211)=1,MAX(II$2:II210)+1,""))</f>
        <v/>
      </c>
      <c r="IJ211" t="str">
        <f>IF(GL211="","",COUNTIF(GL$3:GL211,"?*"))</f>
        <v/>
      </c>
      <c r="IK211" t="str">
        <f>IF(OR(GL211="",GN211=""),"",IF(COUNTIFS(GL$3:GL211,"?*",GN$3:GN211,GN211)=1,MAX(IK$2:IK210)+1,""))</f>
        <v/>
      </c>
      <c r="IL211">
        <f t="shared" si="486"/>
        <v>1</v>
      </c>
      <c r="IM211">
        <f>IF(B211="","",COUNTIF(B$3:B211,"?*"))</f>
        <v>209</v>
      </c>
      <c r="IN211">
        <f>IF(GQ211&lt;&gt;1,0,_xlfn.LET(_xlpm.k,MAX(IFERROR(--VLOOKUP(B211,УГО_спр,5,FALSE),0),IFERROR(--VLOOKUP(AX211,УГО_спр,5,FALSE),0),IFERROR(--VLOOKUP(LEFT(AX211,2),УГО_спр,5,FALSE),0)),IF(_xlpm.k&gt;0,_xlpm.k,IF(IFERROR(--LEFT(SUBSTITUTE(IH211,"x","х"),FIND("х",SUBSTITUTE(IH211,"x","х"))-1),3)&gt;3,Каталог!$S$9,1))))</f>
        <v>1</v>
      </c>
      <c r="IO211">
        <f t="shared" si="487"/>
        <v>0</v>
      </c>
      <c r="IP211" t="str">
        <f t="shared" si="488"/>
        <v>авто</v>
      </c>
      <c r="IQ211">
        <f t="shared" si="489"/>
        <v>30</v>
      </c>
      <c r="IR211">
        <f t="shared" si="490"/>
        <v>1</v>
      </c>
      <c r="IS211">
        <f t="shared" si="491"/>
        <v>1</v>
      </c>
    </row>
    <row r="212" spans="1:253" x14ac:dyDescent="0.3">
      <c r="A212" t="s">
        <v>757</v>
      </c>
      <c r="B212" t="s">
        <v>1478</v>
      </c>
      <c r="C212" t="str">
        <f>Линии[[#This Row],[_авто наименование]]</f>
        <v>Розеточная группа, пом. 015A</v>
      </c>
      <c r="D212">
        <v>2</v>
      </c>
      <c r="E212">
        <v>0.12</v>
      </c>
      <c r="G212" t="str">
        <f>Линии[[#This Row],[_авто автомат]]</f>
        <v>2P С16А 30мА</v>
      </c>
      <c r="H212">
        <f>Линии[[#This Row],[_авто утечка]]</f>
        <v>30</v>
      </c>
      <c r="I212" t="str">
        <f>Линии[[#This Row],[_авто управление]]</f>
        <v/>
      </c>
      <c r="J212" t="str">
        <f>Линии[[#This Row],[_авто аппараты]]</f>
        <v/>
      </c>
      <c r="K212">
        <v>2.5</v>
      </c>
      <c r="L212">
        <v>63</v>
      </c>
      <c r="M212">
        <v>1</v>
      </c>
      <c r="N212" t="s">
        <v>486</v>
      </c>
      <c r="O212" t="str">
        <f t="shared" si="369"/>
        <v/>
      </c>
      <c r="P212" s="6" cm="1">
        <f t="array" ref="P212">IF(B212="","",IF(BC212&lt;&gt;"",IFERROR(_xlfn.XLOOKUP(BC212,Щиты[Щит],Щиты[Iр, А]),""),IF(BK212=1,IFERROR(_xlfn.XLOOKUP(A212,Щиты[Щит],Щиты[Iр, А]),""),IFERROR(_xlfn.IFS(BR212=1,BN212/((Uн_лин/SQRT(3))*BY212),BR212=3,BN212/(SQRT(3)*Uн_лин*BY212)),""))))</f>
        <v>0.54696341291648753</v>
      </c>
      <c r="Q212" s="7">
        <f>IF(B212="","",IFERROR(IF(VLOOKUP(AX212,Потребители_обозначение,4,FALSE)=1,VLOOKUP(AX212,Потребители_обозначение,3,FALSE)*(D212*2-1)+DS212+VLOOKUP(AZ212,Этаж_обозначение,3,FALSE)+VLOOKUP(AZ212,Этаж_обозначение,4,FALSE),VLOOKUP(AX212,Потребители_обозначение,3,FALSE)*(D212*2-1)+DS212),DS212))</f>
        <v>72</v>
      </c>
      <c r="R212" s="6">
        <f t="shared" si="370"/>
        <v>0.73</v>
      </c>
      <c r="S212" t="str">
        <f t="shared" si="371"/>
        <v>ВВГнг(А)-LS (3х2,5)</v>
      </c>
      <c r="T212" t="str">
        <f>IF(BH212="","",IF(BI212="вводной узел","узел ","")&amp;"л."&amp;(INT((BH212-1)/Столбцов_на_лист)+1)&amp;" / "&amp;(MOD(BH212-1,Столбцов_на_лист)+1))</f>
        <v>л.3 / 15</v>
      </c>
      <c r="V212">
        <v>1</v>
      </c>
      <c r="W212">
        <v>230</v>
      </c>
      <c r="X212" t="s">
        <v>564</v>
      </c>
      <c r="AC212" t="s">
        <v>815</v>
      </c>
      <c r="AE212" t="s">
        <v>563</v>
      </c>
      <c r="AI212">
        <v>49</v>
      </c>
      <c r="AJ212" t="s">
        <v>11</v>
      </c>
      <c r="AK212">
        <v>3</v>
      </c>
      <c r="AM212">
        <v>50</v>
      </c>
      <c r="AN212">
        <v>17</v>
      </c>
      <c r="AO212">
        <v>5</v>
      </c>
      <c r="AW212" cm="1">
        <f t="array" ref="AW212">ROW()-ROW(Линии[#Headers])</f>
        <v>210</v>
      </c>
      <c r="AX212" s="6" t="str">
        <f t="shared" si="372"/>
        <v>R</v>
      </c>
      <c r="AY212" t="str">
        <f t="shared" si="373"/>
        <v>0.015A.1</v>
      </c>
      <c r="AZ212" t="str">
        <f t="shared" si="374"/>
        <v>0</v>
      </c>
      <c r="BA212" t="str">
        <f t="shared" si="375"/>
        <v>015A.1</v>
      </c>
      <c r="BB212" t="str">
        <f t="shared" si="376"/>
        <v>015A</v>
      </c>
      <c r="BC212" t="str">
        <f>IF(U212&lt;&gt;"",U212,IF(AND(B212&lt;&gt;"",B212&lt;&gt;A212,ISNUMBER(_xlfn.XMATCH(B212,Щиты[Щит]))),B212,""))</f>
        <v/>
      </c>
      <c r="BD212" t="str" cm="1">
        <f t="array" ref="BD212">IF(B212="","",IF(BC212&lt;&gt;"","Щит "&amp;BC212,_xlfn.LET(_xlpm.nm,IFERROR(_xlfn.XLOOKUP(AX212,Коды_код,Коды_имя)&amp;"",""),_xlpm.md,IFERROR(N(_xlfn.XLOOKUP(AX212,Коды_код,Коды_режим)),1),_xlpm.ex,IF(Имя_режим="по экспликации",IFERROR(_xlfn.XLOOKUP(AZ212&amp;"|"&amp;BB212,Экспликация[Этаж]&amp;"|"&amp;Экспликация[Помещение],Экспликация[Название])&amp;"",""),""),_xlpm.rm,IF(BB212="","",IF(_xlpm.ex&lt;&gt;"",". "&amp;_xlpm.ex&amp;IF(Имя_пом="нет"," ("&amp;BB212&amp;")"," (пом. "&amp;BB212&amp;")"),IF(Имя_пом="нет"," ",", пом. ")&amp;BB212)),IF(_xlpm.nm="","",IF(_xlpm.md=2,_xlpm.nm&amp;" шлейф "&amp;AZ212,_xlpm.nm&amp;_xlpm.rm)))))</f>
        <v>Розеточная группа, пом. 015A</v>
      </c>
      <c r="BE212" t="str">
        <f t="shared" si="377"/>
        <v>Розеточная группа, пом. 015A</v>
      </c>
      <c r="BF212">
        <f>IFERROR(_xlfn.XMATCH(A212,Щиты[Щит]),0)</f>
        <v>9</v>
      </c>
      <c r="BG212">
        <f>_xlfn.LET(_xlpm.k,IFERROR(_xlfn.XLOOKUP(A212,Щиты[Щит],Щиты[Листов под вводной узел]),""),IF(_xlpm.k="",1,N(_xlpm.k))*Столбцов_на_лист)</f>
        <v>17</v>
      </c>
      <c r="BH212">
        <f t="shared" si="378"/>
        <v>49</v>
      </c>
      <c r="BI212" t="str">
        <f t="shared" si="379"/>
        <v>линии</v>
      </c>
      <c r="BJ212" s="6">
        <f>IFERROR(N(_xlfn.XLOOKUP(AX212,Коды_код,Коды_квт)),0)</f>
        <v>0</v>
      </c>
      <c r="BK212">
        <f t="shared" si="380"/>
        <v>0</v>
      </c>
      <c r="BL212" t="str">
        <f>IF(B212="","",IF(BC212&lt;&gt;"",IFERROR(_xlfn.XLOOKUP(BC212,Щиты[Щит],Щиты[Руст, кВт]),0),IF(BK212=1,IFERROR(_xlfn.XLOOKUP(A212,Щиты[Щит],Щиты[Руст, кВт]),0),IF(BJ212&gt;0,ROUND(BJ212*MAX(1,N(D212)),3),""))))</f>
        <v/>
      </c>
      <c r="BM212">
        <f t="shared" si="381"/>
        <v>0.12</v>
      </c>
      <c r="BN212" s="6">
        <f>IF(B212="","",IF(BC212&lt;&gt;"",IFERROR(_xlfn.XLOOKUP(BC212,Щиты[Щит],Щиты[Руст, кВт]),0),N(BM212)))</f>
        <v>0.12</v>
      </c>
      <c r="BO212" t="str">
        <f>IF(B212="","",IFERROR(IF(VLOOKUP(AX212,Потребители_обозначение,8,FALSE)=0,"",VLOOKUP(AX212,Потребители_обозначение,8,FALSE)),""))</f>
        <v/>
      </c>
      <c r="BP212">
        <f t="shared" si="382"/>
        <v>230</v>
      </c>
      <c r="BQ212">
        <f>IF(B212="","",IF(BC212&lt;&gt;"",3,IFERROR(IF(N(VLOOKUP(AX212,Потребители_обозначение,9,FALSE))=0,1,VLOOKUP(AX212,Потребители_обозначение,9,FALSE)),1)))</f>
        <v>1</v>
      </c>
      <c r="BR212">
        <f t="shared" si="383"/>
        <v>1</v>
      </c>
      <c r="BS212" t="str">
        <f>IF(B212="","",_xlfn.LET(_xlpm.bc,IFERROR(IF(VLOOKUP(AX212,Потребители_обозначение,6,FALSE)=0,"",VLOOKUP(AX212,Потребители_обозначение,6,FALSE)&amp;""),""),IF(AND(FK212="да",OR(_xlpm.bc="",_xlpm.bc="мс")),Марка_пож,IF(AND(_xlpm.bc="",BC212&lt;&gt;""),"мс",_xlpm.bc))))</f>
        <v/>
      </c>
      <c r="BT212" t="str">
        <f t="shared" si="384"/>
        <v>мс</v>
      </c>
      <c r="BU212">
        <f>IF(B212="","",_xlfn.LET(_xlpm.cc,IFERROR(N(VLOOKUP(AX212,Потребители_обозначение,7,FALSE)),0),IF(_xlpm.cc&gt;0,_xlpm.cc,IF(BT212="","",IF(N(BR212)=3,5,3)))))</f>
        <v>3</v>
      </c>
      <c r="BV212">
        <f t="shared" si="385"/>
        <v>3</v>
      </c>
      <c r="BW212">
        <f>IFERROR(N(VLOOKUP(AX212,Потребители_обозначение,10,FALSE)),0)</f>
        <v>0</v>
      </c>
      <c r="BX212">
        <f>IFERROR(VLOOKUP(AX212,Потребители_обозначение,5,FALSE),0)</f>
        <v>1</v>
      </c>
      <c r="BY212" s="6" cm="1">
        <f t="array" ref="BY212">IF(B212="","",IF(BC212&lt;&gt;"",IFERROR(_xlfn.XLOOKUP(BC212,Щиты[Щит],Щиты[cos φ]),0.95),IF(BK212=1,IFERROR(_xlfn.XLOOKUP(A212,Щиты[Щит],Щиты[cos φ]),0.95),IF(ISNUMBER(Z212),Z212,IFERROR(IF(BX212=2,_xlfn.IFS(BR212=3,VLOOKUP(BN212,Справочная_двигатели,8,FALSE),BR212=1,VLOOKUP(BN212,Справочная_двигатели,10,TRUE)),IF(AND(Методика="нормы 2026",EQ212="Сил"),0.8,0.95)),0.95)))))</f>
        <v>0.95</v>
      </c>
      <c r="BZ212">
        <f t="shared" si="386"/>
        <v>0</v>
      </c>
      <c r="CA212">
        <f t="shared" si="387"/>
        <v>1</v>
      </c>
      <c r="CB212">
        <f t="shared" si="388"/>
        <v>0</v>
      </c>
      <c r="CC212">
        <f t="shared" si="389"/>
        <v>0</v>
      </c>
      <c r="CD212">
        <f t="shared" si="390"/>
        <v>0</v>
      </c>
      <c r="CE212">
        <f t="shared" si="391"/>
        <v>0</v>
      </c>
      <c r="CF212">
        <f t="shared" si="392"/>
        <v>0</v>
      </c>
      <c r="CG212">
        <f>IF(AX212="",0,_xlfn.LET(_xlpm.v,IFERROR(VLOOKUP(B212,УГО_спр,3,FALSE),IFERROR(VLOOKUP(AX212,УГО_спр,3,FALSE),IFERROR(VLOOKUP(LEFT(AX212,2),УГО_спр,3,FALSE),""))),IF(_xlpm.v="да",30,IF(ISNUMBER(_xlpm.v),_xlpm.v,0))))</f>
        <v>30</v>
      </c>
      <c r="CH212">
        <f t="shared" si="393"/>
        <v>30</v>
      </c>
      <c r="CI212" t="str">
        <f>_xlfn.LET(_xlpm.k,IFERROR(_xlfn.XLOOKUP(AX212,Коды_код,Коды_утечка)&amp;"",""),IF(_xlpm.k="","дифавтомат",_xlpm.k))</f>
        <v>дифавтомат</v>
      </c>
      <c r="CJ212">
        <f t="shared" si="394"/>
        <v>30</v>
      </c>
      <c r="CK212">
        <f t="shared" si="395"/>
        <v>30</v>
      </c>
      <c r="CL212">
        <f>IF(B212="",0,IFERROR(--VLOOKUP(B212,УГО_спр,4,FALSE),IFERROR(--VLOOKUP(AX212,УГО_спр,4,FALSE),IFERROR(--VLOOKUP(LEFT(AX212,2),УГО_спр,4,FALSE),0))))</f>
        <v>16</v>
      </c>
      <c r="CM212" t="str">
        <f>IF(B212="","",IFERROR(_xlfn.XLOOKUP(AX212,Коды_код,Коды_апп)&amp;"",""))</f>
        <v/>
      </c>
      <c r="CN212" t="str">
        <f t="shared" si="396"/>
        <v/>
      </c>
      <c r="CO212" t="str" cm="1">
        <f t="array" ref="CO212">IF(TRIM(CN212&amp;"")="","",IFERROR(TRIM(INDEX(_xlfn.TEXTSPLIT(CN212&amp;";;;",";"),1)),""))</f>
        <v/>
      </c>
      <c r="CP212" t="str" cm="1">
        <f t="array" ref="CP212">IF(TRIM(CN212&amp;"")="","",IFERROR(TRIM(INDEX(_xlfn.TEXTSPLIT(CN212&amp;";;;",";"),2)),""))</f>
        <v/>
      </c>
      <c r="CQ212" t="str" cm="1">
        <f t="array" ref="CQ212">IF(TRIM(CN212&amp;"")="","",IFERROR(TRIM(INDEX(_xlfn.TEXTSPLIT(CN212&amp;";;;",";"),3)),""))</f>
        <v/>
      </c>
      <c r="CR212">
        <f t="shared" si="397"/>
        <v>0</v>
      </c>
      <c r="CS212" t="str">
        <f>IF(B212="","",_xlfn.LET(_xlpm.t,LOWER(AV212&amp;""),IF(ISNUMBER(SEARCH("dim",_xlpm.t)),"DIM",IF(ISNUMBER(SEARCH("dali",_xlpm.t)),"DALI",IF(OR(ISNUMBER(SEARCH("relay",_xlpm.t)),ISNUMBER(SEARCH("реле",_xlpm.t))),"Relay",IF(ISNUMBER(SEARCH("кнопк",_xlpm.t)),"",IFERROR(_xlfn.XLOOKUP(AX212,Коды_код,Коды_упр)&amp;"","")))))))</f>
        <v/>
      </c>
      <c r="CT212" t="str">
        <f t="shared" si="398"/>
        <v/>
      </c>
      <c r="CU212">
        <f>IF(B212="","",_xlfn.LET(_xlpm.ig,N(P212)+IF(AF212="вручную",0,N(CB212)),_xlpm.n0,IFERROR(VLOOKUP(_xlpm.ig,Автомат_номиналы,2,TRUE),0),_xlpm.mn,MAX(CL212,IF(AF212="вручную",0,N(CE212))),MAX(_xlpm.n0,_xlpm.mn,IF(CR212=1,Мин_автомат_БП,0))))</f>
        <v>16</v>
      </c>
      <c r="CV212">
        <f t="shared" si="399"/>
        <v>1</v>
      </c>
      <c r="CW212" t="str">
        <f t="shared" si="400"/>
        <v>2P</v>
      </c>
      <c r="CX212" t="str">
        <f>_xlfn.LET(_xlpm.cc,UPPER(TRIM(IFERROR(_xlfn.XLOOKUP(AX212,Коды_код,Коды_хар)&amp;"",""))),IF(OR(_xlpm.cc="B",_xlpm.cc="В"),"B",IF(_xlpm.cc="D","D","С")))</f>
        <v>С</v>
      </c>
      <c r="CY212" t="str">
        <f t="shared" si="401"/>
        <v>2P С16А 30мА</v>
      </c>
      <c r="CZ212" t="str">
        <f t="shared" si="402"/>
        <v>2P С16А 30мА</v>
      </c>
      <c r="DA212" t="str">
        <f t="shared" si="403"/>
        <v>2P С16А 30мА</v>
      </c>
      <c r="DB212" cm="1">
        <f t="array" ref="DB212">IF(DA212="","",_xlfn.LET(_xlpm.t,SUBSTITUTE(SUBSTITUTE(SUBSTITUTE(UPPER(DA212),"С","C"),"А","A"),"В","B"),_xlpm.tk,_xlfn.TEXTSPLIT(_xlpm.t,"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2" t="str">
        <f t="shared" si="404"/>
        <v>ok</v>
      </c>
      <c r="DD212">
        <f t="shared" si="405"/>
        <v>16</v>
      </c>
      <c r="DE212" t="str">
        <f t="shared" si="406"/>
        <v>2P С16А 30мА</v>
      </c>
      <c r="DF212">
        <f t="shared" si="407"/>
        <v>30</v>
      </c>
      <c r="DG212">
        <f t="shared" si="408"/>
        <v>1</v>
      </c>
      <c r="DH212">
        <f t="shared" si="409"/>
        <v>0</v>
      </c>
      <c r="DI212">
        <f t="shared" si="410"/>
        <v>0.54696341291648753</v>
      </c>
      <c r="DJ212">
        <f t="shared" si="411"/>
        <v>1</v>
      </c>
      <c r="DK212">
        <f>IF(ISNUMBER(AL212),AL212,К_прокл)</f>
        <v>1</v>
      </c>
      <c r="DL212">
        <f t="shared" si="412"/>
        <v>2</v>
      </c>
      <c r="DM212">
        <f>IFERROR(N(VLOOKUP(BT212,Кабель_обозначение,3,FALSE)),1)</f>
        <v>1</v>
      </c>
      <c r="DN212">
        <f>IFERROR(N(_xlfn.XLOOKUP(A212,Щиты[Щит],Щиты[ΔU до шин, %])),0)</f>
        <v>0.43</v>
      </c>
      <c r="DO212" t="str">
        <f>IFERROR(_xlfn.XLOOKUP(A212,Щиты[Щит],Щиты[Zпетли на шинах, Ом]),"")</f>
        <v/>
      </c>
      <c r="DP212">
        <f>IFERROR(N(_xlfn.XLOOKUP(A212,Щиты[Щит],Щиты[ΔU до шин (подбор), %])),0)</f>
        <v>0.43</v>
      </c>
      <c r="DQ212" t="str">
        <f>IFERROR(_xlfn.XLOOKUP(A212,Щиты[Щит],Щиты[Zпетли на шинах (подбор), Ом]),"")</f>
        <v/>
      </c>
      <c r="DR212" t="str">
        <f t="shared" si="413"/>
        <v/>
      </c>
      <c r="DS212">
        <f t="shared" si="414"/>
        <v>63</v>
      </c>
      <c r="DT212">
        <f t="shared" si="415"/>
        <v>2</v>
      </c>
      <c r="DU212">
        <f t="shared" si="416"/>
        <v>0.31</v>
      </c>
      <c r="DV212" s="6">
        <f>IF(B212="","",IF(IFERROR(VLOOKUP(AX212,УГО_спр,2,FALSE),"")="Светильник",3,4)+IF(Методика="нормы 2026",MIN(0.5,MAX(0,N(Q212)-100)*0.005),0))</f>
        <v>4</v>
      </c>
      <c r="DW212" cm="1">
        <f t="array" ref="DW212">IF(OR(B212="",BT212="",DM212&lt;&gt;1),"",_xlfn.LET(_xlpm.sz,Iдоп_S,_xlpm.t_,CHOOSE(DL212,Iдоп_1ж,Iдоп_2ж,Iдоп_3ж)*DJ212*DK212,_xlpm.inn,N(DD212),_xlpm.smin,MAX(1.5,BW212),_xlpm.L_,N(Q212)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212)*(_xlpm.rho*_xlpm.L_/_xlpm.sz*N(BY212)+_xlpm.xx*_xlpm.L_*N(DU212)/1000)*N(P212)/((Uн_лин/SQRT(3))*1000)*100,999),_xlpm.kz,IF(OR(DG212=1,NOT(ISNUMBER(DQ212)),_xlpm.L_=0,_xlpm.inn=0),1,IFERROR(--(c_min*(Uн_лин*1000/SQRT(3))/(DQ212+2*ρкз_Cu*_xlpm.L_/_xlpm.sz)&gt;=GY212*_xlpm.inn),0)),_xlpm.ok,IFERROR((_xlpm.sz&gt;=_xlpm.smin)*(_xlpm.t_&gt;=_xlpm.inn)*IF(_xlpm.L_&gt;0,(_xlpm.du_+DP212&lt;=DV212+0.00001),1)*_xlpm.kz,0),_xlpm.r_,_xlfn._xlws.FILTER(_xlpm.sz,_xlpm.ok,"не подобрано"),INDEX(_xlpm.r_,1)))</f>
        <v>1.5</v>
      </c>
      <c r="DX212">
        <f t="shared" si="417"/>
        <v>2.5</v>
      </c>
      <c r="DY212" cm="1">
        <f t="array" ref="DY212">IF(OR(B212="",BT212="",DM212&lt;&gt;1),"",_xlfn.LET(_xlpm.sz,Iдоп_S,_xlpm.t_,CHOOSE(DL212,Iдоп_1ж,Iдоп_2ж,Iдоп_3ж)*DJ212*DK212,_xlpm.ok,IFERROR((_xlpm.sz&gt;=MAX(1.5,BW212))*(_xlpm.t_&gt;=N(DD212)),0),_xlpm.r_,_xlfn._xlws.FILTER(_xlpm.sz,_xlpm.ok,""),INDEX(_xlpm.r_,1)))</f>
        <v>1.5</v>
      </c>
      <c r="DZ212" s="6" cm="1">
        <f t="array" ref="DZ212">IFERROR(ROUNDUP(N(DT212)*(_xlfn.XLOOKUP(DY212,INDEX(Кабель_сопротивление,0,1),INDEX(Кабель_сопротивление,0,3))*N(Q212)/DY212*N(BY212)+_xlfn.XLOOKUP(DY212,INDEX(Кабель_сопротивление,0,1),INDEX(Кабель_сопротивление,0,2))*N(Q212)*N(DU212)/1000)*N(P212)/((Uн_лин/SQRT(3))*1000)*100,2),"")</f>
        <v>0.49</v>
      </c>
      <c r="EA212">
        <f>IFERROR(2*ρкз_Cu*N(Q212)/DY212,"")</f>
        <v>2.5247999999999999</v>
      </c>
      <c r="EB212">
        <f>IFERROR(VLOOKUP(DX212,Кабель_сопротивление,3,FALSE),"")</f>
        <v>2.2499999999999999E-2</v>
      </c>
      <c r="EC212">
        <f>IFERROR(VLOOKUP(DX212,Кабель_сопротивление,2,FALSE),"")</f>
        <v>0.1</v>
      </c>
      <c r="ED212">
        <f t="shared" si="418"/>
        <v>17</v>
      </c>
      <c r="EE212">
        <f t="shared" si="419"/>
        <v>5</v>
      </c>
      <c r="EF212">
        <f t="shared" si="420"/>
        <v>0.67586299865803856</v>
      </c>
      <c r="EG212" s="6">
        <f>IFERROR(ROUNDUP(EF212/((Uн_лин/SQRT(3))*1000)*100,2),"")</f>
        <v>0.3</v>
      </c>
      <c r="EH212" t="str">
        <f>IFERROR(VLOOKUP(BT212,Кабель_обозначение,2,FALSE),"")</f>
        <v>ВВГнг(А)-LS</v>
      </c>
      <c r="EI212" t="str">
        <f t="shared" si="421"/>
        <v>ВВГнг(А)-LS (3х2,5)</v>
      </c>
      <c r="EJ212" t="str">
        <f t="shared" si="422"/>
        <v>ВВГнг(А)-LS (3х2,5)
L=72-0,3%</v>
      </c>
      <c r="EK212">
        <f>IFERROR(2*ρкз_Cu*Q212/DX212,"")</f>
        <v>1.51488</v>
      </c>
      <c r="EL212">
        <f t="shared" si="423"/>
        <v>0.50400000000000011</v>
      </c>
      <c r="EM212" s="6" t="str">
        <f>IFERROR(IF(OR(B212="",NOT(ISNUMBER(DX212)),N(Q212)=0),"",_xlfn.XLOOKUP(A212,Щиты[Щит],Щиты[Zпетли на шинах, Ом])+EK212),"")</f>
        <v/>
      </c>
      <c r="EN212" s="6" t="str">
        <f>IF(ISNUMBER(EM212),c_min*(Uн_лин*1000/SQRT(3))/EM212,"")</f>
        <v/>
      </c>
      <c r="EO212" s="6" t="str">
        <f>IFERROR(IF(OR(B212="",NOT(ISNUMBER(DX212))),"",1.05*(Uн_лин*1000/SQRT(3))/(_xlfn.XLOOKUP(A212,Щиты[Щит],Щиты[Zmax на шинах, Ом])+EL212)/1000),"")</f>
        <v/>
      </c>
      <c r="EP212" s="6" t="str">
        <f>IF(B212="","",IF(ISNUMBER(Y212),"Сил",IF(IFERROR(_xlfn.XLOOKUP(AX212,Коды_код,Коды_группа)&amp;"","")="","Быт",_xlfn.XLOOKUP(AX212,Коды_код,Коды_группа)&amp;"")))</f>
        <v>Быт</v>
      </c>
      <c r="EQ212" s="6" t="str">
        <f t="shared" si="424"/>
        <v>Быт</v>
      </c>
      <c r="ER212" s="6">
        <f>IF(EQ212="Щит","щит",IF(EQ212="","",IF(EQ212="Быт",IFERROR(_xlfn.XLOOKUP(A212,Щиты[Щит],Щиты[Кс быт]),1),IF(EQ212="Сил",IF(ISNUMBER(Y212),Y212,IF(Методика="нормы 2026",IFERROR(_xlfn.XLOOKUP(A212,Щиты[Щит],Щиты[Кс силовых (табл. 7.5)]),1),1)),IF(OR(EQ212="Пост",EQ212="Отоп"),1,IF(EQ212="ВНГ",0.7,0))))))</f>
        <v>0.79799999999999993</v>
      </c>
      <c r="ES212">
        <f t="shared" si="425"/>
        <v>1</v>
      </c>
      <c r="ET212">
        <f t="shared" si="426"/>
        <v>0.12</v>
      </c>
      <c r="EU212">
        <f t="shared" si="427"/>
        <v>0.12</v>
      </c>
      <c r="EV212">
        <f t="shared" si="428"/>
        <v>0</v>
      </c>
      <c r="EW212">
        <f t="shared" si="429"/>
        <v>0</v>
      </c>
      <c r="EX212">
        <f t="shared" si="430"/>
        <v>0</v>
      </c>
      <c r="EY212">
        <f t="shared" si="431"/>
        <v>0</v>
      </c>
      <c r="EZ212">
        <f t="shared" si="432"/>
        <v>0.12</v>
      </c>
      <c r="FA212">
        <f t="shared" si="433"/>
        <v>0.11399999999999999</v>
      </c>
      <c r="FB212">
        <f t="shared" si="434"/>
        <v>0.12</v>
      </c>
      <c r="FC212" t="str">
        <f t="shared" si="435"/>
        <v>L1</v>
      </c>
      <c r="FD212" t="str">
        <f>IF(B212="","",IF(CA212=0,IF(AW212=1,"",FF211),IF(OR(N(CV212)&gt;=3,N(BR212)&gt;=3),"L1,L2,L3",IFERROR(_xlfn.TEXTBEFORE(_xlfn.TEXTAFTER(_xlfn.XLOOKUP(A212,Щиты[Щит],Щиты[_фазы авто]),";"&amp;AW212&amp;":"),";"),"L1"))))</f>
        <v>L1</v>
      </c>
      <c r="FE212" t="str">
        <f t="shared" si="436"/>
        <v>L1</v>
      </c>
      <c r="FF212" t="str">
        <f t="shared" si="437"/>
        <v>L1</v>
      </c>
      <c r="FG212" cm="1">
        <f t="array" ref="FG212">IFERROR(IF(BX212=2,_xlfn.IFS(BR212=3,VLOOKUP(BN212,Справочная_двигатели,3,FALSE),BR212=1,VLOOKUP(BN212,Справочная_двигатели,5,TRUE)),0),0)</f>
        <v>0</v>
      </c>
      <c r="FH212">
        <f>IFERROR(IF(BX212=3,VLOOKUP(BN212,Справочная_ЛЭД,2,TRUE),0),0)</f>
        <v>0</v>
      </c>
      <c r="FI212" s="6">
        <f t="shared" si="438"/>
        <v>0</v>
      </c>
      <c r="FJ212" t="str" cm="1">
        <f t="array" ref="FJ212">IF(B212="","",IFERROR(INDEX({"I особая","I","II","III"},MATCH(TRIM(AC212&amp;""),{"I особая","I","II","III"},0)),"III"))</f>
        <v>II</v>
      </c>
      <c r="FK212" t="str">
        <f>IF(B212="","",IF(TRIM(AD212&amp;"")&lt;&gt;"",IF(LOWER(TRIM(AD212&amp;""))="да","да","нет"),IF(IFERROR(_xlfn.XLOOKUP(AX212,Коды_код,Коды_пожарная),"")="да","да","нет")))</f>
        <v>нет</v>
      </c>
      <c r="FL212" t="str">
        <f t="shared" si="439"/>
        <v/>
      </c>
      <c r="FM212" t="str">
        <f t="shared" si="440"/>
        <v>основная</v>
      </c>
      <c r="FN212">
        <f t="shared" si="441"/>
        <v>1</v>
      </c>
      <c r="FO212" t="str" cm="1">
        <f t="array" ref="FO212">IF(B212="","",_xlfn.LET(_xlpm.t,IFERROR(_xlfn.XLOOKUP(1,(Шины[Шина]=FM212)*(((Шины[Щит]=A212)+(Шины[Щит]=""))&gt;0),Шины[Тип]),"")&amp;"",IF(_xlpm.t&lt;&gt;"",_xlpm.t,IF(ISNUMBER(SEARCH("ИБП",FM212)),"ИБП",IF(ISNUMBER(SEARCH("ДГУ",FM212)),"ДГУ","Ввод "&amp;FN212)))))</f>
        <v>Ввод 1</v>
      </c>
      <c r="FP212" t="str">
        <f t="shared" si="442"/>
        <v>Ввод 1</v>
      </c>
      <c r="FQ212" t="str">
        <f>IF(B212="","",IF(OR(FO212="ИБП",FO212="ДГУ"),"I особая",IF(FO212="Одиночная","III",_xlfn.XLOOKUP(A212,Щиты[Щит],Щиты[Категория шины «Ввод»],"III"))))</f>
        <v>II</v>
      </c>
      <c r="FR212">
        <f>IF(B212="",0,IFERROR(MATCH(FJ212,{"III","II","I","I особая"},0),1))</f>
        <v>2</v>
      </c>
      <c r="FS212">
        <f t="shared" si="443"/>
        <v>2</v>
      </c>
      <c r="FT212" t="str">
        <f>IF(B212="","",IF(FR212&gt;IFERROR(MATCH(FQ212,{"III","II","I","I особая"},0),1),"НЕ ОБЕСПЕЧЕНА","ОК"))</f>
        <v>ОК</v>
      </c>
      <c r="FU212" t="str">
        <f>IF(A212="","",_xlfn.XLOOKUP(A212,Щиты[Щит],Щиты[Путь],""))</f>
        <v>|ГРЩ-ЖД|ЩР-01|</v>
      </c>
      <c r="FV212" t="str">
        <f>IF(B212="","",IF(AE212&lt;&gt;"",AE212,IF(IFERROR(_xlfn.XLOOKUP(AX212,Коды_код,Коды_вид)&amp;"","")="","Прочее",_xlfn.XLOOKUP(AX212,Коды_код,Коды_вид)&amp;"")))</f>
        <v>Розеточная сеть и бытовые приборы</v>
      </c>
      <c r="FW212">
        <f>IF(BH212="","",INT((BH212-1)/Столбцов_на_лист)+1)</f>
        <v>3</v>
      </c>
      <c r="FX212" t="str">
        <f t="shared" si="444"/>
        <v>ВВГнг(А)-LS (3х2,5) L=72-0,3%</v>
      </c>
      <c r="FY212">
        <f t="shared" si="445"/>
        <v>0.12</v>
      </c>
      <c r="FZ212">
        <f t="shared" si="446"/>
        <v>0.55000000000000004</v>
      </c>
      <c r="GA212">
        <f t="shared" si="447"/>
        <v>1</v>
      </c>
      <c r="GB212">
        <f t="shared" si="448"/>
        <v>0</v>
      </c>
      <c r="GC212">
        <f t="shared" si="449"/>
        <v>1</v>
      </c>
      <c r="GD212">
        <f>IF(BH212="","",IF(AND(CA212=1,GC212=1),COUNTIFS(A$3:A212,A212,CA$3:CA212,1,GC$3:GC212,1),IF(OR(OR(AW212=1,A212&lt;&gt;A211),AF212="вручную",GC212=0),"",IF(AW212=1,"",GE211))))</f>
        <v>28</v>
      </c>
      <c r="GE212">
        <f t="shared" si="450"/>
        <v>28</v>
      </c>
      <c r="GF212">
        <f>IF(B212="","",IFERROR(LOOKUP(INDEX(CHOOSE(DL212,Iдоп_1ж,Iдоп_2ж,Iдоп_3ж),MATCH(DX212,Iдоп_S,0))*DJ212*DK212,{6,10,16,20,25,32,40,50,63,80,100,125,160,200,250,315,400,500,630}),""))</f>
        <v>25</v>
      </c>
      <c r="GG212" t="str">
        <f t="shared" si="451"/>
        <v>QFD28</v>
      </c>
      <c r="GH212" t="str">
        <f t="shared" si="452"/>
        <v>QFD28</v>
      </c>
      <c r="GI212" t="str">
        <f t="shared" si="453"/>
        <v/>
      </c>
      <c r="GJ212">
        <f t="shared" si="454"/>
        <v>0</v>
      </c>
      <c r="GK212" t="str">
        <f>IF(OR(AG212="",AG212="-"),"",IFERROR(VLOOKUP(AG212,Модули_спр,2,FALSE),"R"))</f>
        <v/>
      </c>
      <c r="GL212" t="str">
        <f>IF(GK212="","",GK212&amp;"."&amp;COUNTIFS(A$3:A212,A212,GK$3:GK212,GK212))</f>
        <v/>
      </c>
      <c r="GM212" t="str">
        <f t="shared" si="455"/>
        <v/>
      </c>
      <c r="GN212" t="str">
        <f t="shared" si="456"/>
        <v/>
      </c>
      <c r="GO212" t="str">
        <f t="shared" si="457"/>
        <v/>
      </c>
      <c r="GP212" t="str">
        <f t="shared" si="458"/>
        <v/>
      </c>
      <c r="GQ212">
        <f t="shared" si="459"/>
        <v>1</v>
      </c>
      <c r="GR212" t="str">
        <f>IF(GQ212=1,"XT"&amp;COUNTIFS(A$3:A212,A212,GQ$3:GQ212,1),"")</f>
        <v>XT28</v>
      </c>
      <c r="GS212" t="str">
        <f t="shared" si="460"/>
        <v/>
      </c>
      <c r="GT212" t="str">
        <f t="shared" si="461"/>
        <v>QFD28</v>
      </c>
      <c r="GU212" t="str">
        <f t="shared" si="462"/>
        <v/>
      </c>
      <c r="GV212" t="str">
        <f t="shared" si="463"/>
        <v>ok</v>
      </c>
      <c r="GW212" t="str">
        <f>IF(OR(GO212="",GM212=""),"",IF(GO212&gt;IFERROR(VLOOKUP(GN212,Модули_спр,3,FALSE),99),"ЛИШНИЙ КАНАЛ",IF(AND(AH212&lt;&gt;"=",COUNTIFS(Линии[_модуль гр.],GM212,Линии[Канал (итог)],GO212,Линии[Канал],"&lt;&gt;=",Линии[Щит],A212)&gt;1),"ДУБЛЬ КАНАЛА","")))</f>
        <v/>
      </c>
      <c r="GX212" s="6" t="str">
        <f t="shared" si="464"/>
        <v/>
      </c>
      <c r="GY212">
        <f t="shared" si="465"/>
        <v>10</v>
      </c>
      <c r="GZ212" t="str">
        <f t="shared" si="466"/>
        <v/>
      </c>
      <c r="HA212" t="str">
        <f>IF(AND(B212="",GT212=""),"",_xlfn.TEXTJOIN("; ",TRUE,IF(AND(B212&lt;&gt;"",FE212=""),"нет фазы",""),IF(AND(B212&lt;&gt;"",N(FY212)=0,EQ212&lt;&gt;"Нет"),"нет мощности",""),IF(AND(GS212&lt;&gt;"",COUNTIFS(Линии[Щит],A212,Линии[Клемма (итог)],GS212)&gt;1),"дубль клеммы "&amp;GS212,""),IF(AND(GV212&lt;&gt;"",GV212&lt;&gt;"ok"),GV212,""),IF(GW212&lt;&gt;"",GW212,""),IF(AND(N(BV212)&gt;=4,N(BR212)=1),BV212&amp;" жил на 1 фазе",""),IF(AND(AX212="R",CA212=1,OR(N(CK212)=0,N(CK212)&gt;30)),"розетка без дифзащиты до 30 мА",""),IFERROR(IF(AND(ISNUMBER(R212),R212&gt;DV212),"потери "&amp;FIXED(R212,1)&amp;" % &gt; "&amp;DV212&amp;" %",""),""),IFERROR(IF(LEFT(GZ212,4)="мало","Iкз мало — отключение &gt; 0,4 с",""),""),IF(AND(B212&lt;&gt;"",BH212=""),"не на схеме",""),IF(AND(CA212=0,B212&lt;&gt;"",FE212&lt;&gt;"",IF(AW212=1,"",FF211)&lt;&gt;"",FE212&lt;&gt;IF(AW212=1,"",FF211)),"фаза не как у автомата группы ("&amp;IF(AW212=1,"",FF211)&amp;")","")))</f>
        <v/>
      </c>
      <c r="HB212" s="6">
        <f>IF(OR(CA212=0,DA212=""),"",_xlfn.LET(_xlpm.t,IFERROR(_xlfn.XLOOKUP(DA212,Каталог!$U$4:$U$500,Каталог!$G$4:$G$500),""),_xlpm.k,SEARCH("кА",_xlpm.t),IFERROR(--TRIM(RIGHT(SUBSTITUTE(MID(_xlpm.t,MAX(1,_xlpm.k-4),_xlpm.k-MAX(1,_xlpm.k-4))," ",REPT(" ",9)),5)),"")))</f>
        <v>6</v>
      </c>
      <c r="HC212" t="str">
        <f>IF(OR(HB212="",CA212=0),"",IF(_xlfn.XLOOKUP(A212,Щиты[Щит],Щиты[Iкз max на шинах, кА],"")="","",IF(HB212&lt;_xlfn.XLOOKUP(A212,Щиты[Щит],Щиты[Iкз max на шинах, кА]),"Icu "&amp;HB212&amp;" кА &lt; Iкз max","ok")))</f>
        <v/>
      </c>
      <c r="HD212" t="str">
        <f t="shared" si="467"/>
        <v/>
      </c>
      <c r="HE212" t="str">
        <f t="shared" si="468"/>
        <v>QFD28</v>
      </c>
      <c r="HF212" t="str">
        <f t="shared" si="469"/>
        <v>QFD28|кабель ВВГнг(А)-LS (3х2,5) → Розеточная группа, пом. 015A</v>
      </c>
      <c r="HG212" t="str" cm="1">
        <f t="array" ref="HG212">IF(HF212="","",_xlfn.LET(_xlpm.nd,_xlfn.TEXTSPLIT(HF212,"|"),IF(COLUMNS(_xlpm.nd)&gt;1,A212&amp;"¦"&amp;INDEX(_xlpm.nd,1)&amp;"¦"&amp;INDEX(_xlpm.nd,2),"")))</f>
        <v>ЩР-01¦QFD28¦кабель ВВГнг(А)-LS (3х2,5) → Розеточная группа, пом. 015A</v>
      </c>
      <c r="HH212" t="str">
        <f t="shared" si="470"/>
        <v>R.0.015A.1¦Розеточная группа, пом. 015A</v>
      </c>
      <c r="HI212" t="str" cm="1">
        <f t="array" ref="HI212">IF(HF212="","",_xlfn.LET(_xlpm.nd,_xlfn.TEXTSPLIT(HF212,"|"),IF(COLUMNS(_xlpm.nd)&gt;2,A212&amp;"¦"&amp;INDEX(_xlpm.nd,2)&amp;"¦"&amp;INDEX(_xlpm.nd,3),"")))</f>
        <v/>
      </c>
      <c r="HJ212" t="str">
        <f t="shared" si="471"/>
        <v/>
      </c>
      <c r="HK212" t="str" cm="1">
        <f t="array" ref="HK212">IF(HF212="","",_xlfn.LET(_xlpm.nd,_xlfn.TEXTSPLIT(HF212,"|"),IF(COLUMNS(_xlpm.nd)&gt;3,A212&amp;"¦"&amp;INDEX(_xlpm.nd,3)&amp;"¦"&amp;INDEX(_xlpm.nd,4),"")))</f>
        <v/>
      </c>
      <c r="HL212" t="str">
        <f t="shared" si="472"/>
        <v/>
      </c>
      <c r="HM212" t="str" cm="1">
        <f t="array" ref="HM212">IF(HF212="","",_xlfn.LET(_xlpm.nd,_xlfn.TEXTSPLIT(HF212,"|"),IF(COLUMNS(_xlpm.nd)&gt;4,A212&amp;"¦"&amp;INDEX(_xlpm.nd,4)&amp;"¦"&amp;INDEX(_xlpm.nd,5),"")))</f>
        <v/>
      </c>
      <c r="HN212" t="str">
        <f t="shared" si="473"/>
        <v/>
      </c>
      <c r="HO212" t="str" cm="1">
        <f t="array" ref="HO212">IF(HF212="","",_xlfn.LET(_xlpm.nd,_xlfn.TEXTSPLIT(HF212,"|"),IF(COLUMNS(_xlpm.nd)&gt;5,A212&amp;"¦"&amp;INDEX(_xlpm.nd,5)&amp;"¦"&amp;INDEX(_xlpm.nd,6),"")))</f>
        <v/>
      </c>
      <c r="HP212" t="str">
        <f t="shared" si="474"/>
        <v/>
      </c>
      <c r="HQ212" t="str" cm="1">
        <f t="array" ref="HQ212">IF(HF212="","",_xlfn.LET(_xlpm.nd,_xlfn.TEXTSPLIT(HF212,"|"),IF(COLUMNS(_xlpm.nd)&gt;6,A212&amp;"¦"&amp;INDEX(_xlpm.nd,6)&amp;"¦"&amp;INDEX(_xlpm.nd,7),"")))</f>
        <v/>
      </c>
      <c r="HR212" t="str">
        <f t="shared" si="475"/>
        <v/>
      </c>
      <c r="HS212" t="str">
        <f t="shared" si="476"/>
        <v/>
      </c>
      <c r="HT212" t="str">
        <f t="shared" si="477"/>
        <v>QFD28</v>
      </c>
      <c r="HU212">
        <f t="shared" si="478"/>
        <v>0</v>
      </c>
      <c r="HV212">
        <f t="shared" si="479"/>
        <v>1</v>
      </c>
      <c r="HW212" t="str">
        <f t="shared" si="480"/>
        <v/>
      </c>
      <c r="HX212" t="str">
        <f t="shared" si="481"/>
        <v/>
      </c>
      <c r="HY212" t="str">
        <f t="shared" si="482"/>
        <v/>
      </c>
      <c r="HZ212" t="str">
        <f t="shared" si="483"/>
        <v/>
      </c>
      <c r="IA212" t="str">
        <f>IF(B212="","",IFERROR(VLOOKUP(B212,УГО_спр,2,FALSE),IFERROR(VLOOKUP(AX212,УГО_спр,2,FALSE),IFERROR(VLOOKUP(LEFT(AX212,2),УГО_спр,2,FALSE),""))))</f>
        <v>Розетка</v>
      </c>
      <c r="IB212" t="str">
        <f>IF(B212="","",IF(OR(IA212="",IA212=0),"BOX",IFERROR(IF(VLOOKUP(IA212,УГО_блоки,3,FALSE)&amp;""&lt;&gt;"",VLOOKUP(IA212,УГО_блоки,3,FALSE),VLOOKUP(IA212,УГО_блоки,2,FALSE)),IA212)))</f>
        <v>SOCKET</v>
      </c>
      <c r="IC212">
        <f t="shared" si="484"/>
        <v>1</v>
      </c>
      <c r="ID212" t="str">
        <f>IF(DA212="","",IF(COUNTIF(DA$3:DA212,DA212)=1,MAX(ID$2:ID211)+1,""))</f>
        <v/>
      </c>
      <c r="IE212" t="str">
        <f>IF(CO212="","",IF(COUNTIF(CO$3:CO212,CO212)+COUNTIF(CP$2:CP211,CO212)+COUNTIF(CQ$2:CQ211,CO212)=1,MAX(IE$2:IG211)+1,""))</f>
        <v/>
      </c>
      <c r="IF212" t="str">
        <f>IF(CP212="","",IF(COUNTIF(CO$3:CO212,CP212)+COUNTIF(CP$3:CP212,CP212)+COUNTIF(CQ$2:CQ211,CP212)=1,MAX(IE$2:IG211,IE212)+1,""))</f>
        <v/>
      </c>
      <c r="IG212" t="str">
        <f>IF(CQ212="","",IF(COUNTIF(CO$3:CO212,CQ212)+COUNTIF(CP$3:CP212,CQ212)+COUNTIF(CQ$3:CQ212,CQ212)=1,MAX(IE$2:IG211,IE212,IF212)+1,""))</f>
        <v/>
      </c>
      <c r="IH212" t="str">
        <f t="shared" si="485"/>
        <v>3х2,5</v>
      </c>
      <c r="II212" t="str">
        <f>IF(IH212="","",IF(COUNTIF(IH$3:IH212,IH212)=1,MAX(II$2:II211)+1,""))</f>
        <v/>
      </c>
      <c r="IJ212" t="str">
        <f>IF(GL212="","",COUNTIF(GL$3:GL212,"?*"))</f>
        <v/>
      </c>
      <c r="IK212" t="str">
        <f>IF(OR(GL212="",GN212=""),"",IF(COUNTIFS(GL$3:GL212,"?*",GN$3:GN212,GN212)=1,MAX(IK$2:IK211)+1,""))</f>
        <v/>
      </c>
      <c r="IL212">
        <f t="shared" si="486"/>
        <v>0</v>
      </c>
      <c r="IM212">
        <f>IF(B212="","",COUNTIF(B$3:B212,"?*"))</f>
        <v>210</v>
      </c>
      <c r="IN212">
        <f>IF(GQ212&lt;&gt;1,0,_xlfn.LET(_xlpm.k,MAX(IFERROR(--VLOOKUP(B212,УГО_спр,5,FALSE),0),IFERROR(--VLOOKUP(AX212,УГО_спр,5,FALSE),0),IFERROR(--VLOOKUP(LEFT(AX212,2),УГО_спр,5,FALSE),0)),IF(_xlpm.k&gt;0,_xlpm.k,IF(IFERROR(--LEFT(SUBSTITUTE(IH212,"x","х"),FIND("х",SUBSTITUTE(IH212,"x","х"))-1),3)&gt;3,Каталог!$S$9,1))))</f>
        <v>1</v>
      </c>
      <c r="IO212">
        <f t="shared" si="487"/>
        <v>0</v>
      </c>
      <c r="IP212" t="str">
        <f t="shared" si="488"/>
        <v>авто</v>
      </c>
      <c r="IQ212">
        <f t="shared" si="489"/>
        <v>30</v>
      </c>
      <c r="IR212">
        <f t="shared" si="490"/>
        <v>1</v>
      </c>
      <c r="IS212">
        <f t="shared" si="491"/>
        <v>1</v>
      </c>
    </row>
    <row r="213" spans="1:253" x14ac:dyDescent="0.3">
      <c r="A213" t="s">
        <v>757</v>
      </c>
      <c r="B213" t="s">
        <v>1479</v>
      </c>
      <c r="C213" t="str">
        <f>Линии[[#This Row],[_авто наименование]]</f>
        <v>Розеточная группа, пом. 017A</v>
      </c>
      <c r="D213">
        <v>4</v>
      </c>
      <c r="E213">
        <v>0.24</v>
      </c>
      <c r="G213" t="str">
        <f>Линии[[#This Row],[_авто автомат]]</f>
        <v>2P С16А 30мА</v>
      </c>
      <c r="H213">
        <f>Линии[[#This Row],[_авто утечка]]</f>
        <v>30</v>
      </c>
      <c r="I213" t="str">
        <f>Линии[[#This Row],[_авто управление]]</f>
        <v/>
      </c>
      <c r="J213" t="str">
        <f>Линии[[#This Row],[_авто аппараты]]</f>
        <v/>
      </c>
      <c r="K213">
        <v>2.5</v>
      </c>
      <c r="L213">
        <v>63</v>
      </c>
      <c r="M213">
        <v>1</v>
      </c>
      <c r="N213" t="s">
        <v>486</v>
      </c>
      <c r="O213" t="str">
        <f t="shared" si="369"/>
        <v/>
      </c>
      <c r="P213" s="6" cm="1">
        <f t="array" ref="P213">IF(B213="","",IF(BC213&lt;&gt;"",IFERROR(_xlfn.XLOOKUP(BC213,Щиты[Щит],Щиты[Iр, А]),""),IF(BK213=1,IFERROR(_xlfn.XLOOKUP(A213,Щиты[Щит],Щиты[Iр, А]),""),IFERROR(_xlfn.IFS(BR213=1,BN213/((Uн_лин/SQRT(3))*BY213),BR213=3,BN213/(SQRT(3)*Uн_лин*BY213)),""))))</f>
        <v>1.0939268258329751</v>
      </c>
      <c r="Q213" s="7">
        <f>IF(B213="","",IFERROR(IF(VLOOKUP(AX213,Потребители_обозначение,4,FALSE)=1,VLOOKUP(AX213,Потребители_обозначение,3,FALSE)*(D213*2-1)+DS213+VLOOKUP(AZ213,Этаж_обозначение,3,FALSE)+VLOOKUP(AZ213,Этаж_обозначение,4,FALSE),VLOOKUP(AX213,Потребители_обозначение,3,FALSE)*(D213*2-1)+DS213),DS213))</f>
        <v>84</v>
      </c>
      <c r="R213" s="6">
        <f t="shared" si="370"/>
        <v>1.1200000000000001</v>
      </c>
      <c r="S213" t="str">
        <f t="shared" si="371"/>
        <v>ВВГнг(А)-LS (3х2,5)</v>
      </c>
      <c r="T213" t="str">
        <f>IF(BH213="","",IF(BI213="вводной узел","узел ","")&amp;"л."&amp;(INT((BH213-1)/Столбцов_на_лист)+1)&amp;" / "&amp;(MOD(BH213-1,Столбцов_на_лист)+1))</f>
        <v>л.3 / 16</v>
      </c>
      <c r="V213">
        <v>1</v>
      </c>
      <c r="W213">
        <v>230</v>
      </c>
      <c r="X213" t="s">
        <v>564</v>
      </c>
      <c r="AC213" t="s">
        <v>815</v>
      </c>
      <c r="AE213" t="s">
        <v>563</v>
      </c>
      <c r="AI213">
        <v>50</v>
      </c>
      <c r="AJ213" t="s">
        <v>11</v>
      </c>
      <c r="AK213">
        <v>3</v>
      </c>
      <c r="AM213">
        <v>45</v>
      </c>
      <c r="AN213">
        <v>30</v>
      </c>
      <c r="AO213">
        <v>9</v>
      </c>
      <c r="AW213" cm="1">
        <f t="array" ref="AW213">ROW()-ROW(Линии[#Headers])</f>
        <v>211</v>
      </c>
      <c r="AX213" s="6" t="str">
        <f t="shared" si="372"/>
        <v>R</v>
      </c>
      <c r="AY213" t="str">
        <f t="shared" si="373"/>
        <v>0.017A.1</v>
      </c>
      <c r="AZ213" t="str">
        <f t="shared" si="374"/>
        <v>0</v>
      </c>
      <c r="BA213" t="str">
        <f t="shared" si="375"/>
        <v>017A.1</v>
      </c>
      <c r="BB213" t="str">
        <f t="shared" si="376"/>
        <v>017A</v>
      </c>
      <c r="BC213" t="str">
        <f>IF(U213&lt;&gt;"",U213,IF(AND(B213&lt;&gt;"",B213&lt;&gt;A213,ISNUMBER(_xlfn.XMATCH(B213,Щиты[Щит]))),B213,""))</f>
        <v/>
      </c>
      <c r="BD213" t="str" cm="1">
        <f t="array" ref="BD213">IF(B213="","",IF(BC213&lt;&gt;"","Щит "&amp;BC213,_xlfn.LET(_xlpm.nm,IFERROR(_xlfn.XLOOKUP(AX213,Коды_код,Коды_имя)&amp;"",""),_xlpm.md,IFERROR(N(_xlfn.XLOOKUP(AX213,Коды_код,Коды_режим)),1),_xlpm.ex,IF(Имя_режим="по экспликации",IFERROR(_xlfn.XLOOKUP(AZ213&amp;"|"&amp;BB213,Экспликация[Этаж]&amp;"|"&amp;Экспликация[Помещение],Экспликация[Название])&amp;"",""),""),_xlpm.rm,IF(BB213="","",IF(_xlpm.ex&lt;&gt;"",". "&amp;_xlpm.ex&amp;IF(Имя_пом="нет"," ("&amp;BB213&amp;")"," (пом. "&amp;BB213&amp;")"),IF(Имя_пом="нет"," ",", пом. ")&amp;BB213)),IF(_xlpm.nm="","",IF(_xlpm.md=2,_xlpm.nm&amp;" шлейф "&amp;AZ213,_xlpm.nm&amp;_xlpm.rm)))))</f>
        <v>Розеточная группа, пом. 017A</v>
      </c>
      <c r="BE213" t="str">
        <f t="shared" si="377"/>
        <v>Розеточная группа, пом. 017A</v>
      </c>
      <c r="BF213">
        <f>IFERROR(_xlfn.XMATCH(A213,Щиты[Щит]),0)</f>
        <v>9</v>
      </c>
      <c r="BG213">
        <f>_xlfn.LET(_xlpm.k,IFERROR(_xlfn.XLOOKUP(A213,Щиты[Щит],Щиты[Листов под вводной узел]),""),IF(_xlpm.k="",1,N(_xlpm.k))*Столбцов_на_лист)</f>
        <v>17</v>
      </c>
      <c r="BH213">
        <f t="shared" si="378"/>
        <v>50</v>
      </c>
      <c r="BI213" t="str">
        <f t="shared" si="379"/>
        <v>линии</v>
      </c>
      <c r="BJ213" s="6">
        <f>IFERROR(N(_xlfn.XLOOKUP(AX213,Коды_код,Коды_квт)),0)</f>
        <v>0</v>
      </c>
      <c r="BK213">
        <f t="shared" si="380"/>
        <v>0</v>
      </c>
      <c r="BL213" t="str">
        <f>IF(B213="","",IF(BC213&lt;&gt;"",IFERROR(_xlfn.XLOOKUP(BC213,Щиты[Щит],Щиты[Руст, кВт]),0),IF(BK213=1,IFERROR(_xlfn.XLOOKUP(A213,Щиты[Щит],Щиты[Руст, кВт]),0),IF(BJ213&gt;0,ROUND(BJ213*MAX(1,N(D213)),3),""))))</f>
        <v/>
      </c>
      <c r="BM213">
        <f t="shared" si="381"/>
        <v>0.24</v>
      </c>
      <c r="BN213" s="6">
        <f>IF(B213="","",IF(BC213&lt;&gt;"",IFERROR(_xlfn.XLOOKUP(BC213,Щиты[Щит],Щиты[Руст, кВт]),0),N(BM213)))</f>
        <v>0.24</v>
      </c>
      <c r="BO213" t="str">
        <f>IF(B213="","",IFERROR(IF(VLOOKUP(AX213,Потребители_обозначение,8,FALSE)=0,"",VLOOKUP(AX213,Потребители_обозначение,8,FALSE)),""))</f>
        <v/>
      </c>
      <c r="BP213">
        <f t="shared" si="382"/>
        <v>230</v>
      </c>
      <c r="BQ213">
        <f>IF(B213="","",IF(BC213&lt;&gt;"",3,IFERROR(IF(N(VLOOKUP(AX213,Потребители_обозначение,9,FALSE))=0,1,VLOOKUP(AX213,Потребители_обозначение,9,FALSE)),1)))</f>
        <v>1</v>
      </c>
      <c r="BR213">
        <f t="shared" si="383"/>
        <v>1</v>
      </c>
      <c r="BS213" t="str">
        <f>IF(B213="","",_xlfn.LET(_xlpm.bc,IFERROR(IF(VLOOKUP(AX213,Потребители_обозначение,6,FALSE)=0,"",VLOOKUP(AX213,Потребители_обозначение,6,FALSE)&amp;""),""),IF(AND(FK213="да",OR(_xlpm.bc="",_xlpm.bc="мс")),Марка_пож,IF(AND(_xlpm.bc="",BC213&lt;&gt;""),"мс",_xlpm.bc))))</f>
        <v/>
      </c>
      <c r="BT213" t="str">
        <f t="shared" si="384"/>
        <v>мс</v>
      </c>
      <c r="BU213">
        <f>IF(B213="","",_xlfn.LET(_xlpm.cc,IFERROR(N(VLOOKUP(AX213,Потребители_обозначение,7,FALSE)),0),IF(_xlpm.cc&gt;0,_xlpm.cc,IF(BT213="","",IF(N(BR213)=3,5,3)))))</f>
        <v>3</v>
      </c>
      <c r="BV213">
        <f t="shared" si="385"/>
        <v>3</v>
      </c>
      <c r="BW213">
        <f>IFERROR(N(VLOOKUP(AX213,Потребители_обозначение,10,FALSE)),0)</f>
        <v>0</v>
      </c>
      <c r="BX213">
        <f>IFERROR(VLOOKUP(AX213,Потребители_обозначение,5,FALSE),0)</f>
        <v>1</v>
      </c>
      <c r="BY213" s="6" cm="1">
        <f t="array" ref="BY213">IF(B213="","",IF(BC213&lt;&gt;"",IFERROR(_xlfn.XLOOKUP(BC213,Щиты[Щит],Щиты[cos φ]),0.95),IF(BK213=1,IFERROR(_xlfn.XLOOKUP(A213,Щиты[Щит],Щиты[cos φ]),0.95),IF(ISNUMBER(Z213),Z213,IFERROR(IF(BX213=2,_xlfn.IFS(BR213=3,VLOOKUP(BN213,Справочная_двигатели,8,FALSE),BR213=1,VLOOKUP(BN213,Справочная_двигатели,10,TRUE)),IF(AND(Методика="нормы 2026",EQ213="Сил"),0.8,0.95)),0.95)))))</f>
        <v>0.95</v>
      </c>
      <c r="BZ213">
        <f t="shared" si="386"/>
        <v>0</v>
      </c>
      <c r="CA213">
        <f t="shared" si="387"/>
        <v>1</v>
      </c>
      <c r="CB213">
        <f t="shared" si="388"/>
        <v>0</v>
      </c>
      <c r="CC213">
        <f t="shared" si="389"/>
        <v>0</v>
      </c>
      <c r="CD213">
        <f t="shared" si="390"/>
        <v>0</v>
      </c>
      <c r="CE213">
        <f t="shared" si="391"/>
        <v>0</v>
      </c>
      <c r="CF213">
        <f t="shared" si="392"/>
        <v>0</v>
      </c>
      <c r="CG213">
        <f>IF(AX213="",0,_xlfn.LET(_xlpm.v,IFERROR(VLOOKUP(B213,УГО_спр,3,FALSE),IFERROR(VLOOKUP(AX213,УГО_спр,3,FALSE),IFERROR(VLOOKUP(LEFT(AX213,2),УГО_спр,3,FALSE),""))),IF(_xlpm.v="да",30,IF(ISNUMBER(_xlpm.v),_xlpm.v,0))))</f>
        <v>30</v>
      </c>
      <c r="CH213">
        <f t="shared" si="393"/>
        <v>30</v>
      </c>
      <c r="CI213" t="str">
        <f>_xlfn.LET(_xlpm.k,IFERROR(_xlfn.XLOOKUP(AX213,Коды_код,Коды_утечка)&amp;"",""),IF(_xlpm.k="","дифавтомат",_xlpm.k))</f>
        <v>дифавтомат</v>
      </c>
      <c r="CJ213">
        <f t="shared" si="394"/>
        <v>30</v>
      </c>
      <c r="CK213">
        <f t="shared" si="395"/>
        <v>30</v>
      </c>
      <c r="CL213">
        <f>IF(B213="",0,IFERROR(--VLOOKUP(B213,УГО_спр,4,FALSE),IFERROR(--VLOOKUP(AX213,УГО_спр,4,FALSE),IFERROR(--VLOOKUP(LEFT(AX213,2),УГО_спр,4,FALSE),0))))</f>
        <v>16</v>
      </c>
      <c r="CM213" t="str">
        <f>IF(B213="","",IFERROR(_xlfn.XLOOKUP(AX213,Коды_код,Коды_апп)&amp;"",""))</f>
        <v/>
      </c>
      <c r="CN213" t="str">
        <f t="shared" si="396"/>
        <v/>
      </c>
      <c r="CO213" t="str" cm="1">
        <f t="array" ref="CO213">IF(TRIM(CN213&amp;"")="","",IFERROR(TRIM(INDEX(_xlfn.TEXTSPLIT(CN213&amp;";;;",";"),1)),""))</f>
        <v/>
      </c>
      <c r="CP213" t="str" cm="1">
        <f t="array" ref="CP213">IF(TRIM(CN213&amp;"")="","",IFERROR(TRIM(INDEX(_xlfn.TEXTSPLIT(CN213&amp;";;;",";"),2)),""))</f>
        <v/>
      </c>
      <c r="CQ213" t="str" cm="1">
        <f t="array" ref="CQ213">IF(TRIM(CN213&amp;"")="","",IFERROR(TRIM(INDEX(_xlfn.TEXTSPLIT(CN213&amp;";;;",";"),3)),""))</f>
        <v/>
      </c>
      <c r="CR213">
        <f t="shared" si="397"/>
        <v>0</v>
      </c>
      <c r="CS213" t="str">
        <f>IF(B213="","",_xlfn.LET(_xlpm.t,LOWER(AV213&amp;""),IF(ISNUMBER(SEARCH("dim",_xlpm.t)),"DIM",IF(ISNUMBER(SEARCH("dali",_xlpm.t)),"DALI",IF(OR(ISNUMBER(SEARCH("relay",_xlpm.t)),ISNUMBER(SEARCH("реле",_xlpm.t))),"Relay",IF(ISNUMBER(SEARCH("кнопк",_xlpm.t)),"",IFERROR(_xlfn.XLOOKUP(AX213,Коды_код,Коды_упр)&amp;"","")))))))</f>
        <v/>
      </c>
      <c r="CT213" t="str">
        <f t="shared" si="398"/>
        <v/>
      </c>
      <c r="CU213">
        <f>IF(B213="","",_xlfn.LET(_xlpm.ig,N(P213)+IF(AF213="вручную",0,N(CB213)),_xlpm.n0,IFERROR(VLOOKUP(_xlpm.ig,Автомат_номиналы,2,TRUE),0),_xlpm.mn,MAX(CL213,IF(AF213="вручную",0,N(CE213))),MAX(_xlpm.n0,_xlpm.mn,IF(CR213=1,Мин_автомат_БП,0))))</f>
        <v>16</v>
      </c>
      <c r="CV213">
        <f t="shared" si="399"/>
        <v>1</v>
      </c>
      <c r="CW213" t="str">
        <f t="shared" si="400"/>
        <v>2P</v>
      </c>
      <c r="CX213" t="str">
        <f>_xlfn.LET(_xlpm.cc,UPPER(TRIM(IFERROR(_xlfn.XLOOKUP(AX213,Коды_код,Коды_хар)&amp;"",""))),IF(OR(_xlpm.cc="B",_xlpm.cc="В"),"B",IF(_xlpm.cc="D","D","С")))</f>
        <v>С</v>
      </c>
      <c r="CY213" t="str">
        <f t="shared" si="401"/>
        <v>2P С16А 30мА</v>
      </c>
      <c r="CZ213" t="str">
        <f t="shared" si="402"/>
        <v>2P С16А 30мА</v>
      </c>
      <c r="DA213" t="str">
        <f t="shared" si="403"/>
        <v>2P С16А 30мА</v>
      </c>
      <c r="DB213" cm="1">
        <f t="array" ref="DB213">IF(DA213="","",_xlfn.LET(_xlpm.t,SUBSTITUTE(SUBSTITUTE(SUBSTITUTE(UPPER(DA213),"С","C"),"А","A"),"В","B"),_xlpm.tk,_xlfn.TEXTSPLIT(_xlpm.t,"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3" t="str">
        <f t="shared" si="404"/>
        <v>ok</v>
      </c>
      <c r="DD213">
        <f t="shared" si="405"/>
        <v>16</v>
      </c>
      <c r="DE213" t="str">
        <f t="shared" si="406"/>
        <v>2P С16А 30мА</v>
      </c>
      <c r="DF213">
        <f t="shared" si="407"/>
        <v>30</v>
      </c>
      <c r="DG213">
        <f t="shared" si="408"/>
        <v>1</v>
      </c>
      <c r="DH213">
        <f t="shared" si="409"/>
        <v>0</v>
      </c>
      <c r="DI213">
        <f t="shared" si="410"/>
        <v>1.0939268258329751</v>
      </c>
      <c r="DJ213">
        <f t="shared" si="411"/>
        <v>1</v>
      </c>
      <c r="DK213">
        <f>IF(ISNUMBER(AL213),AL213,К_прокл)</f>
        <v>1</v>
      </c>
      <c r="DL213">
        <f t="shared" si="412"/>
        <v>2</v>
      </c>
      <c r="DM213">
        <f>IFERROR(N(VLOOKUP(BT213,Кабель_обозначение,3,FALSE)),1)</f>
        <v>1</v>
      </c>
      <c r="DN213">
        <f>IFERROR(N(_xlfn.XLOOKUP(A213,Щиты[Щит],Щиты[ΔU до шин, %])),0)</f>
        <v>0.43</v>
      </c>
      <c r="DO213" t="str">
        <f>IFERROR(_xlfn.XLOOKUP(A213,Щиты[Щит],Щиты[Zпетли на шинах, Ом]),"")</f>
        <v/>
      </c>
      <c r="DP213">
        <f>IFERROR(N(_xlfn.XLOOKUP(A213,Щиты[Щит],Щиты[ΔU до шин (подбор), %])),0)</f>
        <v>0.43</v>
      </c>
      <c r="DQ213" t="str">
        <f>IFERROR(_xlfn.XLOOKUP(A213,Щиты[Щит],Щиты[Zпетли на шинах (подбор), Ом]),"")</f>
        <v/>
      </c>
      <c r="DR213" t="str">
        <f t="shared" si="413"/>
        <v/>
      </c>
      <c r="DS213">
        <f t="shared" si="414"/>
        <v>63</v>
      </c>
      <c r="DT213">
        <f t="shared" si="415"/>
        <v>2</v>
      </c>
      <c r="DU213">
        <f t="shared" si="416"/>
        <v>0.31</v>
      </c>
      <c r="DV213" s="6">
        <f>IF(B213="","",IF(IFERROR(VLOOKUP(AX213,УГО_спр,2,FALSE),"")="Светильник",3,4)+IF(Методика="нормы 2026",MIN(0.5,MAX(0,N(Q213)-100)*0.005),0))</f>
        <v>4</v>
      </c>
      <c r="DW213" cm="1">
        <f t="array" ref="DW213">IF(OR(B213="",BT213="",DM213&lt;&gt;1),"",_xlfn.LET(_xlpm.sz,Iдоп_S,_xlpm.t_,CHOOSE(DL213,Iдоп_1ж,Iдоп_2ж,Iдоп_3ж)*DJ213*DK213,_xlpm.inn,N(DD213),_xlpm.smin,MAX(1.5,BW213),_xlpm.L_,N(Q213)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213)*(_xlpm.rho*_xlpm.L_/_xlpm.sz*N(BY213)+_xlpm.xx*_xlpm.L_*N(DU213)/1000)*N(P213)/((Uн_лин/SQRT(3))*1000)*100,999),_xlpm.kz,IF(OR(DG213=1,NOT(ISNUMBER(DQ213)),_xlpm.L_=0,_xlpm.inn=0),1,IFERROR(--(c_min*(Uн_лин*1000/SQRT(3))/(DQ213+2*ρкз_Cu*_xlpm.L_/_xlpm.sz)&gt;=GY213*_xlpm.inn),0)),_xlpm.ok,IFERROR((_xlpm.sz&gt;=_xlpm.smin)*(_xlpm.t_&gt;=_xlpm.inn)*IF(_xlpm.L_&gt;0,(_xlpm.du_+DP213&lt;=DV213+0.00001),1)*_xlpm.kz,0),_xlpm.r_,_xlfn._xlws.FILTER(_xlpm.sz,_xlpm.ok,"не подобрано"),INDEX(_xlpm.r_,1)))</f>
        <v>1.5</v>
      </c>
      <c r="DX213">
        <f t="shared" si="417"/>
        <v>2.5</v>
      </c>
      <c r="DY213" cm="1">
        <f t="array" ref="DY213">IF(OR(B213="",BT213="",DM213&lt;&gt;1),"",_xlfn.LET(_xlpm.sz,Iдоп_S,_xlpm.t_,CHOOSE(DL213,Iдоп_1ж,Iдоп_2ж,Iдоп_3ж)*DJ213*DK213,_xlpm.ok,IFERROR((_xlpm.sz&gt;=MAX(1.5,BW213))*(_xlpm.t_&gt;=N(DD213)),0),_xlpm.r_,_xlfn._xlws.FILTER(_xlpm.sz,_xlpm.ok,""),INDEX(_xlpm.r_,1)))</f>
        <v>1.5</v>
      </c>
      <c r="DZ213" s="6" cm="1">
        <f t="array" ref="DZ213">IFERROR(ROUNDUP(N(DT213)*(_xlfn.XLOOKUP(DY213,INDEX(Кабель_сопротивление,0,1),INDEX(Кабель_сопротивление,0,3))*N(Q213)/DY213*N(BY213)+_xlfn.XLOOKUP(DY213,INDEX(Кабель_сопротивление,0,1),INDEX(Кабель_сопротивление,0,2))*N(Q213)*N(DU213)/1000)*N(P213)/((Uн_лин/SQRT(3))*1000)*100,2),"")</f>
        <v>1.1399999999999999</v>
      </c>
      <c r="EA213">
        <f>IFERROR(2*ρкз_Cu*N(Q213)/DY213,"")</f>
        <v>2.9456000000000002</v>
      </c>
      <c r="EB213">
        <f>IFERROR(VLOOKUP(DX213,Кабель_сопротивление,3,FALSE),"")</f>
        <v>2.2499999999999999E-2</v>
      </c>
      <c r="EC213">
        <f>IFERROR(VLOOKUP(DX213,Кабель_сопротивление,2,FALSE),"")</f>
        <v>0.1</v>
      </c>
      <c r="ED213">
        <f t="shared" si="418"/>
        <v>30</v>
      </c>
      <c r="EE213">
        <f t="shared" si="419"/>
        <v>9</v>
      </c>
      <c r="EF213">
        <f t="shared" si="420"/>
        <v>1.5770136635354235</v>
      </c>
      <c r="EG213" s="6">
        <f>IFERROR(ROUNDUP(EF213/((Uн_лин/SQRT(3))*1000)*100,2),"")</f>
        <v>0.69000000000000006</v>
      </c>
      <c r="EH213" t="str">
        <f>IFERROR(VLOOKUP(BT213,Кабель_обозначение,2,FALSE),"")</f>
        <v>ВВГнг(А)-LS</v>
      </c>
      <c r="EI213" t="str">
        <f t="shared" si="421"/>
        <v>ВВГнг(А)-LS (3х2,5)</v>
      </c>
      <c r="EJ213" t="str">
        <f t="shared" si="422"/>
        <v>ВВГнг(А)-LS (3х2,5)
L=84-0,69%</v>
      </c>
      <c r="EK213">
        <f>IFERROR(2*ρкз_Cu*Q213/DX213,"")</f>
        <v>1.76736</v>
      </c>
      <c r="EL213">
        <f t="shared" si="423"/>
        <v>0.58800000000000008</v>
      </c>
      <c r="EM213" s="6" t="str">
        <f>IFERROR(IF(OR(B213="",NOT(ISNUMBER(DX213)),N(Q213)=0),"",_xlfn.XLOOKUP(A213,Щиты[Щит],Щиты[Zпетли на шинах, Ом])+EK213),"")</f>
        <v/>
      </c>
      <c r="EN213" s="6" t="str">
        <f>IF(ISNUMBER(EM213),c_min*(Uн_лин*1000/SQRT(3))/EM213,"")</f>
        <v/>
      </c>
      <c r="EO213" s="6" t="str">
        <f>IFERROR(IF(OR(B213="",NOT(ISNUMBER(DX213))),"",1.05*(Uн_лин*1000/SQRT(3))/(_xlfn.XLOOKUP(A213,Щиты[Щит],Щиты[Zmax на шинах, Ом])+EL213)/1000),"")</f>
        <v/>
      </c>
      <c r="EP213" s="6" t="str">
        <f>IF(B213="","",IF(ISNUMBER(Y213),"Сил",IF(IFERROR(_xlfn.XLOOKUP(AX213,Коды_код,Коды_группа)&amp;"","")="","Быт",_xlfn.XLOOKUP(AX213,Коды_код,Коды_группа)&amp;"")))</f>
        <v>Быт</v>
      </c>
      <c r="EQ213" s="6" t="str">
        <f t="shared" si="424"/>
        <v>Быт</v>
      </c>
      <c r="ER213" s="6">
        <f>IF(EQ213="Щит","щит",IF(EQ213="","",IF(EQ213="Быт",IFERROR(_xlfn.XLOOKUP(A213,Щиты[Щит],Щиты[Кс быт]),1),IF(EQ213="Сил",IF(ISNUMBER(Y213),Y213,IF(Методика="нормы 2026",IFERROR(_xlfn.XLOOKUP(A213,Щиты[Щит],Щиты[Кс силовых (табл. 7.5)]),1),1)),IF(OR(EQ213="Пост",EQ213="Отоп"),1,IF(EQ213="ВНГ",0.7,0))))))</f>
        <v>0.79799999999999993</v>
      </c>
      <c r="ES213">
        <f t="shared" si="425"/>
        <v>1</v>
      </c>
      <c r="ET213">
        <f t="shared" si="426"/>
        <v>0.24</v>
      </c>
      <c r="EU213">
        <f t="shared" si="427"/>
        <v>0.24</v>
      </c>
      <c r="EV213">
        <f t="shared" si="428"/>
        <v>0</v>
      </c>
      <c r="EW213">
        <f t="shared" si="429"/>
        <v>0</v>
      </c>
      <c r="EX213">
        <f t="shared" si="430"/>
        <v>0</v>
      </c>
      <c r="EY213">
        <f t="shared" si="431"/>
        <v>0</v>
      </c>
      <c r="EZ213">
        <f t="shared" si="432"/>
        <v>0.24</v>
      </c>
      <c r="FA213">
        <f t="shared" si="433"/>
        <v>0.22799999999999998</v>
      </c>
      <c r="FB213">
        <f t="shared" si="434"/>
        <v>0.24</v>
      </c>
      <c r="FC213" t="str">
        <f t="shared" si="435"/>
        <v>L1</v>
      </c>
      <c r="FD213" t="str">
        <f>IF(B213="","",IF(CA213=0,IF(AW213=1,"",FF212),IF(OR(N(CV213)&gt;=3,N(BR213)&gt;=3),"L1,L2,L3",IFERROR(_xlfn.TEXTBEFORE(_xlfn.TEXTAFTER(_xlfn.XLOOKUP(A213,Щиты[Щит],Щиты[_фазы авто]),";"&amp;AW213&amp;":"),";"),"L1"))))</f>
        <v>L1</v>
      </c>
      <c r="FE213" t="str">
        <f t="shared" si="436"/>
        <v>L1</v>
      </c>
      <c r="FF213" t="str">
        <f t="shared" si="437"/>
        <v>L1</v>
      </c>
      <c r="FG213" cm="1">
        <f t="array" ref="FG213">IFERROR(IF(BX213=2,_xlfn.IFS(BR213=3,VLOOKUP(BN213,Справочная_двигатели,3,FALSE),BR213=1,VLOOKUP(BN213,Справочная_двигатели,5,TRUE)),0),0)</f>
        <v>0</v>
      </c>
      <c r="FH213">
        <f>IFERROR(IF(BX213=3,VLOOKUP(BN213,Справочная_ЛЭД,2,TRUE),0),0)</f>
        <v>0</v>
      </c>
      <c r="FI213" s="6">
        <f t="shared" si="438"/>
        <v>0</v>
      </c>
      <c r="FJ213" t="str" cm="1">
        <f t="array" ref="FJ213">IF(B213="","",IFERROR(INDEX({"I особая","I","II","III"},MATCH(TRIM(AC213&amp;""),{"I особая","I","II","III"},0)),"III"))</f>
        <v>II</v>
      </c>
      <c r="FK213" t="str">
        <f>IF(B213="","",IF(TRIM(AD213&amp;"")&lt;&gt;"",IF(LOWER(TRIM(AD213&amp;""))="да","да","нет"),IF(IFERROR(_xlfn.XLOOKUP(AX213,Коды_код,Коды_пожарная),"")="да","да","нет")))</f>
        <v>нет</v>
      </c>
      <c r="FL213" t="str">
        <f t="shared" si="439"/>
        <v/>
      </c>
      <c r="FM213" t="str">
        <f t="shared" si="440"/>
        <v>основная</v>
      </c>
      <c r="FN213">
        <f t="shared" si="441"/>
        <v>1</v>
      </c>
      <c r="FO213" t="str" cm="1">
        <f t="array" ref="FO213">IF(B213="","",_xlfn.LET(_xlpm.t,IFERROR(_xlfn.XLOOKUP(1,(Шины[Шина]=FM213)*(((Шины[Щит]=A213)+(Шины[Щит]=""))&gt;0),Шины[Тип]),"")&amp;"",IF(_xlpm.t&lt;&gt;"",_xlpm.t,IF(ISNUMBER(SEARCH("ИБП",FM213)),"ИБП",IF(ISNUMBER(SEARCH("ДГУ",FM213)),"ДГУ","Ввод "&amp;FN213)))))</f>
        <v>Ввод 1</v>
      </c>
      <c r="FP213" t="str">
        <f t="shared" si="442"/>
        <v>Ввод 1</v>
      </c>
      <c r="FQ213" t="str">
        <f>IF(B213="","",IF(OR(FO213="ИБП",FO213="ДГУ"),"I особая",IF(FO213="Одиночная","III",_xlfn.XLOOKUP(A213,Щиты[Щит],Щиты[Категория шины «Ввод»],"III"))))</f>
        <v>II</v>
      </c>
      <c r="FR213">
        <f>IF(B213="",0,IFERROR(MATCH(FJ213,{"III","II","I","I особая"},0),1))</f>
        <v>2</v>
      </c>
      <c r="FS213">
        <f t="shared" si="443"/>
        <v>2</v>
      </c>
      <c r="FT213" t="str">
        <f>IF(B213="","",IF(FR213&gt;IFERROR(MATCH(FQ213,{"III","II","I","I особая"},0),1),"НЕ ОБЕСПЕЧЕНА","ОК"))</f>
        <v>ОК</v>
      </c>
      <c r="FU213" t="str">
        <f>IF(A213="","",_xlfn.XLOOKUP(A213,Щиты[Щит],Щиты[Путь],""))</f>
        <v>|ГРЩ-ЖД|ЩР-01|</v>
      </c>
      <c r="FV213" t="str">
        <f>IF(B213="","",IF(AE213&lt;&gt;"",AE213,IF(IFERROR(_xlfn.XLOOKUP(AX213,Коды_код,Коды_вид)&amp;"","")="","Прочее",_xlfn.XLOOKUP(AX213,Коды_код,Коды_вид)&amp;"")))</f>
        <v>Розеточная сеть и бытовые приборы</v>
      </c>
      <c r="FW213">
        <f>IF(BH213="","",INT((BH213-1)/Столбцов_на_лист)+1)</f>
        <v>3</v>
      </c>
      <c r="FX213" t="str">
        <f t="shared" si="444"/>
        <v>ВВГнг(А)-LS (3х2,5) L=84-0,69%</v>
      </c>
      <c r="FY213">
        <f t="shared" si="445"/>
        <v>0.24</v>
      </c>
      <c r="FZ213">
        <f t="shared" si="446"/>
        <v>1.1000000000000001</v>
      </c>
      <c r="GA213">
        <f t="shared" si="447"/>
        <v>1</v>
      </c>
      <c r="GB213">
        <f t="shared" si="448"/>
        <v>0</v>
      </c>
      <c r="GC213">
        <f t="shared" si="449"/>
        <v>1</v>
      </c>
      <c r="GD213">
        <f>IF(BH213="","",IF(AND(CA213=1,GC213=1),COUNTIFS(A$3:A213,A213,CA$3:CA213,1,GC$3:GC213,1),IF(OR(OR(AW213=1,A213&lt;&gt;A212),AF213="вручную",GC213=0),"",IF(AW213=1,"",GE212))))</f>
        <v>29</v>
      </c>
      <c r="GE213">
        <f t="shared" si="450"/>
        <v>29</v>
      </c>
      <c r="GF213">
        <f>IF(B213="","",IFERROR(LOOKUP(INDEX(CHOOSE(DL213,Iдоп_1ж,Iдоп_2ж,Iдоп_3ж),MATCH(DX213,Iдоп_S,0))*DJ213*DK213,{6,10,16,20,25,32,40,50,63,80,100,125,160,200,250,315,400,500,630}),""))</f>
        <v>25</v>
      </c>
      <c r="GG213" t="str">
        <f t="shared" si="451"/>
        <v>QFD29</v>
      </c>
      <c r="GH213" t="str">
        <f t="shared" si="452"/>
        <v>QFD29</v>
      </c>
      <c r="GI213" t="str">
        <f t="shared" si="453"/>
        <v/>
      </c>
      <c r="GJ213">
        <f t="shared" si="454"/>
        <v>0</v>
      </c>
      <c r="GK213" t="str">
        <f>IF(OR(AG213="",AG213="-"),"",IFERROR(VLOOKUP(AG213,Модули_спр,2,FALSE),"R"))</f>
        <v/>
      </c>
      <c r="GL213" t="str">
        <f>IF(GK213="","",GK213&amp;"."&amp;COUNTIFS(A$3:A213,A213,GK$3:GK213,GK213))</f>
        <v/>
      </c>
      <c r="GM213" t="str">
        <f t="shared" si="455"/>
        <v/>
      </c>
      <c r="GN213" t="str">
        <f t="shared" si="456"/>
        <v/>
      </c>
      <c r="GO213" t="str">
        <f t="shared" si="457"/>
        <v/>
      </c>
      <c r="GP213" t="str">
        <f t="shared" si="458"/>
        <v/>
      </c>
      <c r="GQ213">
        <f t="shared" si="459"/>
        <v>1</v>
      </c>
      <c r="GR213" t="str">
        <f>IF(GQ213=1,"XT"&amp;COUNTIFS(A$3:A213,A213,GQ$3:GQ213,1),"")</f>
        <v>XT29</v>
      </c>
      <c r="GS213" t="str">
        <f t="shared" si="460"/>
        <v/>
      </c>
      <c r="GT213" t="str">
        <f t="shared" si="461"/>
        <v>QFD29</v>
      </c>
      <c r="GU213" t="str">
        <f t="shared" si="462"/>
        <v/>
      </c>
      <c r="GV213" t="str">
        <f t="shared" si="463"/>
        <v>ok</v>
      </c>
      <c r="GW213" t="str">
        <f>IF(OR(GO213="",GM213=""),"",IF(GO213&gt;IFERROR(VLOOKUP(GN213,Модули_спр,3,FALSE),99),"ЛИШНИЙ КАНАЛ",IF(AND(AH213&lt;&gt;"=",COUNTIFS(Линии[_модуль гр.],GM213,Линии[Канал (итог)],GO213,Линии[Канал],"&lt;&gt;=",Линии[Щит],A213)&gt;1),"ДУБЛЬ КАНАЛА","")))</f>
        <v/>
      </c>
      <c r="GX213" s="6" t="str">
        <f t="shared" si="464"/>
        <v/>
      </c>
      <c r="GY213">
        <f t="shared" si="465"/>
        <v>10</v>
      </c>
      <c r="GZ213" t="str">
        <f t="shared" si="466"/>
        <v/>
      </c>
      <c r="HA213" t="str">
        <f>IF(AND(B213="",GT213=""),"",_xlfn.TEXTJOIN("; ",TRUE,IF(AND(B213&lt;&gt;"",FE213=""),"нет фазы",""),IF(AND(B213&lt;&gt;"",N(FY213)=0,EQ213&lt;&gt;"Нет"),"нет мощности",""),IF(AND(GS213&lt;&gt;"",COUNTIFS(Линии[Щит],A213,Линии[Клемма (итог)],GS213)&gt;1),"дубль клеммы "&amp;GS213,""),IF(AND(GV213&lt;&gt;"",GV213&lt;&gt;"ok"),GV213,""),IF(GW213&lt;&gt;"",GW213,""),IF(AND(N(BV213)&gt;=4,N(BR213)=1),BV213&amp;" жил на 1 фазе",""),IF(AND(AX213="R",CA213=1,OR(N(CK213)=0,N(CK213)&gt;30)),"розетка без дифзащиты до 30 мА",""),IFERROR(IF(AND(ISNUMBER(R213),R213&gt;DV213),"потери "&amp;FIXED(R213,1)&amp;" % &gt; "&amp;DV213&amp;" %",""),""),IFERROR(IF(LEFT(GZ213,4)="мало","Iкз мало — отключение &gt; 0,4 с",""),""),IF(AND(B213&lt;&gt;"",BH213=""),"не на схеме",""),IF(AND(CA213=0,B213&lt;&gt;"",FE213&lt;&gt;"",IF(AW213=1,"",FF212)&lt;&gt;"",FE213&lt;&gt;IF(AW213=1,"",FF212)),"фаза не как у автомата группы ("&amp;IF(AW213=1,"",FF212)&amp;")","")))</f>
        <v/>
      </c>
      <c r="HB213" s="6">
        <f>IF(OR(CA213=0,DA213=""),"",_xlfn.LET(_xlpm.t,IFERROR(_xlfn.XLOOKUP(DA213,Каталог!$U$4:$U$500,Каталог!$G$4:$G$500),""),_xlpm.k,SEARCH("кА",_xlpm.t),IFERROR(--TRIM(RIGHT(SUBSTITUTE(MID(_xlpm.t,MAX(1,_xlpm.k-4),_xlpm.k-MAX(1,_xlpm.k-4))," ",REPT(" ",9)),5)),"")))</f>
        <v>6</v>
      </c>
      <c r="HC213" t="str">
        <f>IF(OR(HB213="",CA213=0),"",IF(_xlfn.XLOOKUP(A213,Щиты[Щит],Щиты[Iкз max на шинах, кА],"")="","",IF(HB213&lt;_xlfn.XLOOKUP(A213,Щиты[Щит],Щиты[Iкз max на шинах, кА]),"Icu "&amp;HB213&amp;" кА &lt; Iкз max","ok")))</f>
        <v/>
      </c>
      <c r="HD213" t="str">
        <f t="shared" si="467"/>
        <v/>
      </c>
      <c r="HE213" t="str">
        <f t="shared" si="468"/>
        <v>QFD29</v>
      </c>
      <c r="HF213" t="str">
        <f t="shared" si="469"/>
        <v>QFD29|кабель ВВГнг(А)-LS (3х2,5) → Розеточная группа, пом. 017A</v>
      </c>
      <c r="HG213" t="str" cm="1">
        <f t="array" ref="HG213">IF(HF213="","",_xlfn.LET(_xlpm.nd,_xlfn.TEXTSPLIT(HF213,"|"),IF(COLUMNS(_xlpm.nd)&gt;1,A213&amp;"¦"&amp;INDEX(_xlpm.nd,1)&amp;"¦"&amp;INDEX(_xlpm.nd,2),"")))</f>
        <v>ЩР-01¦QFD29¦кабель ВВГнг(А)-LS (3х2,5) → Розеточная группа, пом. 017A</v>
      </c>
      <c r="HH213" t="str">
        <f t="shared" si="470"/>
        <v>R.0.017A.1¦Розеточная группа, пом. 017A</v>
      </c>
      <c r="HI213" t="str" cm="1">
        <f t="array" ref="HI213">IF(HF213="","",_xlfn.LET(_xlpm.nd,_xlfn.TEXTSPLIT(HF213,"|"),IF(COLUMNS(_xlpm.nd)&gt;2,A213&amp;"¦"&amp;INDEX(_xlpm.nd,2)&amp;"¦"&amp;INDEX(_xlpm.nd,3),"")))</f>
        <v/>
      </c>
      <c r="HJ213" t="str">
        <f t="shared" si="471"/>
        <v/>
      </c>
      <c r="HK213" t="str" cm="1">
        <f t="array" ref="HK213">IF(HF213="","",_xlfn.LET(_xlpm.nd,_xlfn.TEXTSPLIT(HF213,"|"),IF(COLUMNS(_xlpm.nd)&gt;3,A213&amp;"¦"&amp;INDEX(_xlpm.nd,3)&amp;"¦"&amp;INDEX(_xlpm.nd,4),"")))</f>
        <v/>
      </c>
      <c r="HL213" t="str">
        <f t="shared" si="472"/>
        <v/>
      </c>
      <c r="HM213" t="str" cm="1">
        <f t="array" ref="HM213">IF(HF213="","",_xlfn.LET(_xlpm.nd,_xlfn.TEXTSPLIT(HF213,"|"),IF(COLUMNS(_xlpm.nd)&gt;4,A213&amp;"¦"&amp;INDEX(_xlpm.nd,4)&amp;"¦"&amp;INDEX(_xlpm.nd,5),"")))</f>
        <v/>
      </c>
      <c r="HN213" t="str">
        <f t="shared" si="473"/>
        <v/>
      </c>
      <c r="HO213" t="str" cm="1">
        <f t="array" ref="HO213">IF(HF213="","",_xlfn.LET(_xlpm.nd,_xlfn.TEXTSPLIT(HF213,"|"),IF(COLUMNS(_xlpm.nd)&gt;5,A213&amp;"¦"&amp;INDEX(_xlpm.nd,5)&amp;"¦"&amp;INDEX(_xlpm.nd,6),"")))</f>
        <v/>
      </c>
      <c r="HP213" t="str">
        <f t="shared" si="474"/>
        <v/>
      </c>
      <c r="HQ213" t="str" cm="1">
        <f t="array" ref="HQ213">IF(HF213="","",_xlfn.LET(_xlpm.nd,_xlfn.TEXTSPLIT(HF213,"|"),IF(COLUMNS(_xlpm.nd)&gt;6,A213&amp;"¦"&amp;INDEX(_xlpm.nd,6)&amp;"¦"&amp;INDEX(_xlpm.nd,7),"")))</f>
        <v/>
      </c>
      <c r="HR213" t="str">
        <f t="shared" si="475"/>
        <v/>
      </c>
      <c r="HS213" t="str">
        <f t="shared" si="476"/>
        <v/>
      </c>
      <c r="HT213" t="str">
        <f t="shared" si="477"/>
        <v>QFD29</v>
      </c>
      <c r="HU213">
        <f t="shared" si="478"/>
        <v>0</v>
      </c>
      <c r="HV213">
        <f t="shared" si="479"/>
        <v>1</v>
      </c>
      <c r="HW213" t="str">
        <f t="shared" si="480"/>
        <v/>
      </c>
      <c r="HX213" t="str">
        <f t="shared" si="481"/>
        <v/>
      </c>
      <c r="HY213" t="str">
        <f t="shared" si="482"/>
        <v/>
      </c>
      <c r="HZ213" t="str">
        <f t="shared" si="483"/>
        <v/>
      </c>
      <c r="IA213" t="str">
        <f>IF(B213="","",IFERROR(VLOOKUP(B213,УГО_спр,2,FALSE),IFERROR(VLOOKUP(AX213,УГО_спр,2,FALSE),IFERROR(VLOOKUP(LEFT(AX213,2),УГО_спр,2,FALSE),""))))</f>
        <v>Розетка</v>
      </c>
      <c r="IB213" t="str">
        <f>IF(B213="","",IF(OR(IA213="",IA213=0),"BOX",IFERROR(IF(VLOOKUP(IA213,УГО_блоки,3,FALSE)&amp;""&lt;&gt;"",VLOOKUP(IA213,УГО_блоки,3,FALSE),VLOOKUP(IA213,УГО_блоки,2,FALSE)),IA213)))</f>
        <v>SOCKET</v>
      </c>
      <c r="IC213">
        <f t="shared" si="484"/>
        <v>1</v>
      </c>
      <c r="ID213" t="str">
        <f>IF(DA213="","",IF(COUNTIF(DA$3:DA213,DA213)=1,MAX(ID$2:ID212)+1,""))</f>
        <v/>
      </c>
      <c r="IE213" t="str">
        <f>IF(CO213="","",IF(COUNTIF(CO$3:CO213,CO213)+COUNTIF(CP$2:CP212,CO213)+COUNTIF(CQ$2:CQ212,CO213)=1,MAX(IE$2:IG212)+1,""))</f>
        <v/>
      </c>
      <c r="IF213" t="str">
        <f>IF(CP213="","",IF(COUNTIF(CO$3:CO213,CP213)+COUNTIF(CP$3:CP213,CP213)+COUNTIF(CQ$2:CQ212,CP213)=1,MAX(IE$2:IG212,IE213)+1,""))</f>
        <v/>
      </c>
      <c r="IG213" t="str">
        <f>IF(CQ213="","",IF(COUNTIF(CO$3:CO213,CQ213)+COUNTIF(CP$3:CP213,CQ213)+COUNTIF(CQ$3:CQ213,CQ213)=1,MAX(IE$2:IG212,IE213,IF213)+1,""))</f>
        <v/>
      </c>
      <c r="IH213" t="str">
        <f t="shared" si="485"/>
        <v>3х2,5</v>
      </c>
      <c r="II213" t="str">
        <f>IF(IH213="","",IF(COUNTIF(IH$3:IH213,IH213)=1,MAX(II$2:II212)+1,""))</f>
        <v/>
      </c>
      <c r="IJ213" t="str">
        <f>IF(GL213="","",COUNTIF(GL$3:GL213,"?*"))</f>
        <v/>
      </c>
      <c r="IK213" t="str">
        <f>IF(OR(GL213="",GN213=""),"",IF(COUNTIFS(GL$3:GL213,"?*",GN$3:GN213,GN213)=1,MAX(IK$2:IK212)+1,""))</f>
        <v/>
      </c>
      <c r="IL213">
        <f t="shared" si="486"/>
        <v>0</v>
      </c>
      <c r="IM213">
        <f>IF(B213="","",COUNTIF(B$3:B213,"?*"))</f>
        <v>211</v>
      </c>
      <c r="IN213">
        <f>IF(GQ213&lt;&gt;1,0,_xlfn.LET(_xlpm.k,MAX(IFERROR(--VLOOKUP(B213,УГО_спр,5,FALSE),0),IFERROR(--VLOOKUP(AX213,УГО_спр,5,FALSE),0),IFERROR(--VLOOKUP(LEFT(AX213,2),УГО_спр,5,FALSE),0)),IF(_xlpm.k&gt;0,_xlpm.k,IF(IFERROR(--LEFT(SUBSTITUTE(IH213,"x","х"),FIND("х",SUBSTITUTE(IH213,"x","х"))-1),3)&gt;3,Каталог!$S$9,1))))</f>
        <v>1</v>
      </c>
      <c r="IO213">
        <f t="shared" si="487"/>
        <v>0</v>
      </c>
      <c r="IP213" t="str">
        <f t="shared" si="488"/>
        <v>авто</v>
      </c>
      <c r="IQ213">
        <f t="shared" si="489"/>
        <v>30</v>
      </c>
      <c r="IR213">
        <f t="shared" si="490"/>
        <v>1</v>
      </c>
      <c r="IS213">
        <f t="shared" si="491"/>
        <v>1</v>
      </c>
    </row>
    <row r="214" spans="1:253" x14ac:dyDescent="0.3">
      <c r="A214" t="s">
        <v>757</v>
      </c>
      <c r="B214" t="s">
        <v>1480</v>
      </c>
      <c r="C214" t="str">
        <f>Линии[[#This Row],[_авто наименование]]</f>
        <v>Розеточная группа, пом. 018A</v>
      </c>
      <c r="D214">
        <v>1</v>
      </c>
      <c r="E214">
        <v>0.06</v>
      </c>
      <c r="G214" t="str">
        <f>Линии[[#This Row],[_авто автомат]]</f>
        <v>2P С16А 30мА</v>
      </c>
      <c r="H214">
        <f>Линии[[#This Row],[_авто утечка]]</f>
        <v>30</v>
      </c>
      <c r="I214" t="str">
        <f>Линии[[#This Row],[_авто управление]]</f>
        <v/>
      </c>
      <c r="J214" t="str">
        <f>Линии[[#This Row],[_авто аппараты]]</f>
        <v/>
      </c>
      <c r="K214">
        <v>2.5</v>
      </c>
      <c r="L214">
        <v>53</v>
      </c>
      <c r="M214">
        <v>1</v>
      </c>
      <c r="N214" t="s">
        <v>486</v>
      </c>
      <c r="O214" t="str">
        <f t="shared" si="369"/>
        <v/>
      </c>
      <c r="P214" s="6" cm="1">
        <f t="array" ref="P214">IF(B214="","",IF(BC214&lt;&gt;"",IFERROR(_xlfn.XLOOKUP(BC214,Щиты[Щит],Щиты[Iр, А]),""),IF(BK214=1,IFERROR(_xlfn.XLOOKUP(A214,Щиты[Щит],Щиты[Iр, А]),""),IFERROR(_xlfn.IFS(BR214=1,BN214/((Uн_лин/SQRT(3))*BY214),BR214=3,BN214/(SQRT(3)*Uн_лин*BY214)),""))))</f>
        <v>0.27348170645824377</v>
      </c>
      <c r="Q214" s="7">
        <f>IF(B214="","",IFERROR(IF(VLOOKUP(AX214,Потребители_обозначение,4,FALSE)=1,VLOOKUP(AX214,Потребители_обозначение,3,FALSE)*(D214*2-1)+DS214+VLOOKUP(AZ214,Этаж_обозначение,3,FALSE)+VLOOKUP(AZ214,Этаж_обозначение,4,FALSE),VLOOKUP(AX214,Потребители_обозначение,3,FALSE)*(D214*2-1)+DS214),DS214))</f>
        <v>56</v>
      </c>
      <c r="R214" s="6">
        <f t="shared" si="370"/>
        <v>0.55000000000000004</v>
      </c>
      <c r="S214" t="str">
        <f t="shared" si="371"/>
        <v>ВВГнг(А)-LS (3х2,5)</v>
      </c>
      <c r="T214" t="str">
        <f>IF(BH214="","",IF(BI214="вводной узел","узел ","")&amp;"л."&amp;(INT((BH214-1)/Столбцов_на_лист)+1)&amp;" / "&amp;(MOD(BH214-1,Столбцов_на_лист)+1))</f>
        <v>л.3 / 17</v>
      </c>
      <c r="V214">
        <v>1</v>
      </c>
      <c r="W214">
        <v>230</v>
      </c>
      <c r="X214" t="s">
        <v>564</v>
      </c>
      <c r="AC214" t="s">
        <v>815</v>
      </c>
      <c r="AE214" t="s">
        <v>563</v>
      </c>
      <c r="AI214">
        <v>51</v>
      </c>
      <c r="AJ214" t="s">
        <v>11</v>
      </c>
      <c r="AK214">
        <v>3</v>
      </c>
      <c r="AM214">
        <v>43</v>
      </c>
      <c r="AN214">
        <v>13</v>
      </c>
      <c r="AO214">
        <v>0</v>
      </c>
      <c r="AW214" cm="1">
        <f t="array" ref="AW214">ROW()-ROW(Линии[#Headers])</f>
        <v>212</v>
      </c>
      <c r="AX214" s="6" t="str">
        <f t="shared" si="372"/>
        <v>R</v>
      </c>
      <c r="AY214" t="str">
        <f t="shared" si="373"/>
        <v>0.018A.1</v>
      </c>
      <c r="AZ214" t="str">
        <f t="shared" si="374"/>
        <v>0</v>
      </c>
      <c r="BA214" t="str">
        <f t="shared" si="375"/>
        <v>018A.1</v>
      </c>
      <c r="BB214" t="str">
        <f t="shared" si="376"/>
        <v>018A</v>
      </c>
      <c r="BC214" t="str">
        <f>IF(U214&lt;&gt;"",U214,IF(AND(B214&lt;&gt;"",B214&lt;&gt;A214,ISNUMBER(_xlfn.XMATCH(B214,Щиты[Щит]))),B214,""))</f>
        <v/>
      </c>
      <c r="BD214" t="str" cm="1">
        <f t="array" ref="BD214">IF(B214="","",IF(BC214&lt;&gt;"","Щит "&amp;BC214,_xlfn.LET(_xlpm.nm,IFERROR(_xlfn.XLOOKUP(AX214,Коды_код,Коды_имя)&amp;"",""),_xlpm.md,IFERROR(N(_xlfn.XLOOKUP(AX214,Коды_код,Коды_режим)),1),_xlpm.ex,IF(Имя_режим="по экспликации",IFERROR(_xlfn.XLOOKUP(AZ214&amp;"|"&amp;BB214,Экспликация[Этаж]&amp;"|"&amp;Экспликация[Помещение],Экспликация[Название])&amp;"",""),""),_xlpm.rm,IF(BB214="","",IF(_xlpm.ex&lt;&gt;"",". "&amp;_xlpm.ex&amp;IF(Имя_пом="нет"," ("&amp;BB214&amp;")"," (пом. "&amp;BB214&amp;")"),IF(Имя_пом="нет"," ",", пом. ")&amp;BB214)),IF(_xlpm.nm="","",IF(_xlpm.md=2,_xlpm.nm&amp;" шлейф "&amp;AZ214,_xlpm.nm&amp;_xlpm.rm)))))</f>
        <v>Розеточная группа, пом. 018A</v>
      </c>
      <c r="BE214" t="str">
        <f t="shared" si="377"/>
        <v>Розеточная группа, пом. 018A</v>
      </c>
      <c r="BF214">
        <f>IFERROR(_xlfn.XMATCH(A214,Щиты[Щит]),0)</f>
        <v>9</v>
      </c>
      <c r="BG214">
        <f>_xlfn.LET(_xlpm.k,IFERROR(_xlfn.XLOOKUP(A214,Щиты[Щит],Щиты[Листов под вводной узел]),""),IF(_xlpm.k="",1,N(_xlpm.k))*Столбцов_на_лист)</f>
        <v>17</v>
      </c>
      <c r="BH214">
        <f t="shared" si="378"/>
        <v>51</v>
      </c>
      <c r="BI214" t="str">
        <f t="shared" si="379"/>
        <v>линии</v>
      </c>
      <c r="BJ214" s="6">
        <f>IFERROR(N(_xlfn.XLOOKUP(AX214,Коды_код,Коды_квт)),0)</f>
        <v>0</v>
      </c>
      <c r="BK214">
        <f t="shared" si="380"/>
        <v>0</v>
      </c>
      <c r="BL214" t="str">
        <f>IF(B214="","",IF(BC214&lt;&gt;"",IFERROR(_xlfn.XLOOKUP(BC214,Щиты[Щит],Щиты[Руст, кВт]),0),IF(BK214=1,IFERROR(_xlfn.XLOOKUP(A214,Щиты[Щит],Щиты[Руст, кВт]),0),IF(BJ214&gt;0,ROUND(BJ214*MAX(1,N(D214)),3),""))))</f>
        <v/>
      </c>
      <c r="BM214">
        <f t="shared" si="381"/>
        <v>0.06</v>
      </c>
      <c r="BN214" s="6">
        <f>IF(B214="","",IF(BC214&lt;&gt;"",IFERROR(_xlfn.XLOOKUP(BC214,Щиты[Щит],Щиты[Руст, кВт]),0),N(BM214)))</f>
        <v>0.06</v>
      </c>
      <c r="BO214" t="str">
        <f>IF(B214="","",IFERROR(IF(VLOOKUP(AX214,Потребители_обозначение,8,FALSE)=0,"",VLOOKUP(AX214,Потребители_обозначение,8,FALSE)),""))</f>
        <v/>
      </c>
      <c r="BP214">
        <f t="shared" si="382"/>
        <v>230</v>
      </c>
      <c r="BQ214">
        <f>IF(B214="","",IF(BC214&lt;&gt;"",3,IFERROR(IF(N(VLOOKUP(AX214,Потребители_обозначение,9,FALSE))=0,1,VLOOKUP(AX214,Потребители_обозначение,9,FALSE)),1)))</f>
        <v>1</v>
      </c>
      <c r="BR214">
        <f t="shared" si="383"/>
        <v>1</v>
      </c>
      <c r="BS214" t="str">
        <f>IF(B214="","",_xlfn.LET(_xlpm.bc,IFERROR(IF(VLOOKUP(AX214,Потребители_обозначение,6,FALSE)=0,"",VLOOKUP(AX214,Потребители_обозначение,6,FALSE)&amp;""),""),IF(AND(FK214="да",OR(_xlpm.bc="",_xlpm.bc="мс")),Марка_пож,IF(AND(_xlpm.bc="",BC214&lt;&gt;""),"мс",_xlpm.bc))))</f>
        <v/>
      </c>
      <c r="BT214" t="str">
        <f t="shared" si="384"/>
        <v>мс</v>
      </c>
      <c r="BU214">
        <f>IF(B214="","",_xlfn.LET(_xlpm.cc,IFERROR(N(VLOOKUP(AX214,Потребители_обозначение,7,FALSE)),0),IF(_xlpm.cc&gt;0,_xlpm.cc,IF(BT214="","",IF(N(BR214)=3,5,3)))))</f>
        <v>3</v>
      </c>
      <c r="BV214">
        <f t="shared" si="385"/>
        <v>3</v>
      </c>
      <c r="BW214">
        <f>IFERROR(N(VLOOKUP(AX214,Потребители_обозначение,10,FALSE)),0)</f>
        <v>0</v>
      </c>
      <c r="BX214">
        <f>IFERROR(VLOOKUP(AX214,Потребители_обозначение,5,FALSE),0)</f>
        <v>1</v>
      </c>
      <c r="BY214" s="6" cm="1">
        <f t="array" ref="BY214">IF(B214="","",IF(BC214&lt;&gt;"",IFERROR(_xlfn.XLOOKUP(BC214,Щиты[Щит],Щиты[cos φ]),0.95),IF(BK214=1,IFERROR(_xlfn.XLOOKUP(A214,Щиты[Щит],Щиты[cos φ]),0.95),IF(ISNUMBER(Z214),Z214,IFERROR(IF(BX214=2,_xlfn.IFS(BR214=3,VLOOKUP(BN214,Справочная_двигатели,8,FALSE),BR214=1,VLOOKUP(BN214,Справочная_двигатели,10,TRUE)),IF(AND(Методика="нормы 2026",EQ214="Сил"),0.8,0.95)),0.95)))))</f>
        <v>0.95</v>
      </c>
      <c r="BZ214">
        <f t="shared" si="386"/>
        <v>0</v>
      </c>
      <c r="CA214">
        <f t="shared" si="387"/>
        <v>1</v>
      </c>
      <c r="CB214">
        <f t="shared" si="388"/>
        <v>0</v>
      </c>
      <c r="CC214">
        <f t="shared" si="389"/>
        <v>0</v>
      </c>
      <c r="CD214">
        <f t="shared" si="390"/>
        <v>0</v>
      </c>
      <c r="CE214">
        <f t="shared" si="391"/>
        <v>0</v>
      </c>
      <c r="CF214">
        <f t="shared" si="392"/>
        <v>0</v>
      </c>
      <c r="CG214">
        <f>IF(AX214="",0,_xlfn.LET(_xlpm.v,IFERROR(VLOOKUP(B214,УГО_спр,3,FALSE),IFERROR(VLOOKUP(AX214,УГО_спр,3,FALSE),IFERROR(VLOOKUP(LEFT(AX214,2),УГО_спр,3,FALSE),""))),IF(_xlpm.v="да",30,IF(ISNUMBER(_xlpm.v),_xlpm.v,0))))</f>
        <v>30</v>
      </c>
      <c r="CH214">
        <f t="shared" si="393"/>
        <v>30</v>
      </c>
      <c r="CI214" t="str">
        <f>_xlfn.LET(_xlpm.k,IFERROR(_xlfn.XLOOKUP(AX214,Коды_код,Коды_утечка)&amp;"",""),IF(_xlpm.k="","дифавтомат",_xlpm.k))</f>
        <v>дифавтомат</v>
      </c>
      <c r="CJ214">
        <f t="shared" si="394"/>
        <v>30</v>
      </c>
      <c r="CK214">
        <f t="shared" si="395"/>
        <v>30</v>
      </c>
      <c r="CL214">
        <f>IF(B214="",0,IFERROR(--VLOOKUP(B214,УГО_спр,4,FALSE),IFERROR(--VLOOKUP(AX214,УГО_спр,4,FALSE),IFERROR(--VLOOKUP(LEFT(AX214,2),УГО_спр,4,FALSE),0))))</f>
        <v>16</v>
      </c>
      <c r="CM214" t="str">
        <f>IF(B214="","",IFERROR(_xlfn.XLOOKUP(AX214,Коды_код,Коды_апп)&amp;"",""))</f>
        <v/>
      </c>
      <c r="CN214" t="str">
        <f t="shared" si="396"/>
        <v/>
      </c>
      <c r="CO214" t="str" cm="1">
        <f t="array" ref="CO214">IF(TRIM(CN214&amp;"")="","",IFERROR(TRIM(INDEX(_xlfn.TEXTSPLIT(CN214&amp;";;;",";"),1)),""))</f>
        <v/>
      </c>
      <c r="CP214" t="str" cm="1">
        <f t="array" ref="CP214">IF(TRIM(CN214&amp;"")="","",IFERROR(TRIM(INDEX(_xlfn.TEXTSPLIT(CN214&amp;";;;",";"),2)),""))</f>
        <v/>
      </c>
      <c r="CQ214" t="str" cm="1">
        <f t="array" ref="CQ214">IF(TRIM(CN214&amp;"")="","",IFERROR(TRIM(INDEX(_xlfn.TEXTSPLIT(CN214&amp;";;;",";"),3)),""))</f>
        <v/>
      </c>
      <c r="CR214">
        <f t="shared" si="397"/>
        <v>0</v>
      </c>
      <c r="CS214" t="str">
        <f>IF(B214="","",_xlfn.LET(_xlpm.t,LOWER(AV214&amp;""),IF(ISNUMBER(SEARCH("dim",_xlpm.t)),"DIM",IF(ISNUMBER(SEARCH("dali",_xlpm.t)),"DALI",IF(OR(ISNUMBER(SEARCH("relay",_xlpm.t)),ISNUMBER(SEARCH("реле",_xlpm.t))),"Relay",IF(ISNUMBER(SEARCH("кнопк",_xlpm.t)),"",IFERROR(_xlfn.XLOOKUP(AX214,Коды_код,Коды_упр)&amp;"","")))))))</f>
        <v/>
      </c>
      <c r="CT214" t="str">
        <f t="shared" si="398"/>
        <v/>
      </c>
      <c r="CU214">
        <f>IF(B214="","",_xlfn.LET(_xlpm.ig,N(P214)+IF(AF214="вручную",0,N(CB214)),_xlpm.n0,IFERROR(VLOOKUP(_xlpm.ig,Автомат_номиналы,2,TRUE),0),_xlpm.mn,MAX(CL214,IF(AF214="вручную",0,N(CE214))),MAX(_xlpm.n0,_xlpm.mn,IF(CR214=1,Мин_автомат_БП,0))))</f>
        <v>16</v>
      </c>
      <c r="CV214">
        <f t="shared" si="399"/>
        <v>1</v>
      </c>
      <c r="CW214" t="str">
        <f t="shared" si="400"/>
        <v>2P</v>
      </c>
      <c r="CX214" t="str">
        <f>_xlfn.LET(_xlpm.cc,UPPER(TRIM(IFERROR(_xlfn.XLOOKUP(AX214,Коды_код,Коды_хар)&amp;"",""))),IF(OR(_xlpm.cc="B",_xlpm.cc="В"),"B",IF(_xlpm.cc="D","D","С")))</f>
        <v>С</v>
      </c>
      <c r="CY214" t="str">
        <f t="shared" si="401"/>
        <v>2P С16А 30мА</v>
      </c>
      <c r="CZ214" t="str">
        <f t="shared" si="402"/>
        <v>2P С16А 30мА</v>
      </c>
      <c r="DA214" t="str">
        <f t="shared" si="403"/>
        <v>2P С16А 30мА</v>
      </c>
      <c r="DB214" cm="1">
        <f t="array" ref="DB214">IF(DA214="","",_xlfn.LET(_xlpm.t,SUBSTITUTE(SUBSTITUTE(SUBSTITUTE(UPPER(DA214),"С","C"),"А","A"),"В","B"),_xlpm.tk,_xlfn.TEXTSPLIT(_xlpm.t,"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4" t="str">
        <f t="shared" si="404"/>
        <v>ok</v>
      </c>
      <c r="DD214">
        <f t="shared" si="405"/>
        <v>16</v>
      </c>
      <c r="DE214" t="str">
        <f t="shared" si="406"/>
        <v>2P С16А 30мА</v>
      </c>
      <c r="DF214">
        <f t="shared" si="407"/>
        <v>30</v>
      </c>
      <c r="DG214">
        <f t="shared" si="408"/>
        <v>1</v>
      </c>
      <c r="DH214">
        <f t="shared" si="409"/>
        <v>0</v>
      </c>
      <c r="DI214">
        <f t="shared" si="410"/>
        <v>0.27348170645824377</v>
      </c>
      <c r="DJ214">
        <f t="shared" si="411"/>
        <v>1</v>
      </c>
      <c r="DK214">
        <f>IF(ISNUMBER(AL214),AL214,К_прокл)</f>
        <v>1</v>
      </c>
      <c r="DL214">
        <f t="shared" si="412"/>
        <v>2</v>
      </c>
      <c r="DM214">
        <f>IFERROR(N(VLOOKUP(BT214,Кабель_обозначение,3,FALSE)),1)</f>
        <v>1</v>
      </c>
      <c r="DN214">
        <f>IFERROR(N(_xlfn.XLOOKUP(A214,Щиты[Щит],Щиты[ΔU до шин, %])),0)</f>
        <v>0.43</v>
      </c>
      <c r="DO214" t="str">
        <f>IFERROR(_xlfn.XLOOKUP(A214,Щиты[Щит],Щиты[Zпетли на шинах, Ом]),"")</f>
        <v/>
      </c>
      <c r="DP214">
        <f>IFERROR(N(_xlfn.XLOOKUP(A214,Щиты[Щит],Щиты[ΔU до шин (подбор), %])),0)</f>
        <v>0.43</v>
      </c>
      <c r="DQ214" t="str">
        <f>IFERROR(_xlfn.XLOOKUP(A214,Щиты[Щит],Щиты[Zпетли на шинах (подбор), Ом]),"")</f>
        <v/>
      </c>
      <c r="DR214" t="str">
        <f t="shared" si="413"/>
        <v/>
      </c>
      <c r="DS214">
        <f t="shared" si="414"/>
        <v>53</v>
      </c>
      <c r="DT214">
        <f t="shared" si="415"/>
        <v>2</v>
      </c>
      <c r="DU214">
        <f t="shared" si="416"/>
        <v>0.31</v>
      </c>
      <c r="DV214" s="6">
        <f>IF(B214="","",IF(IFERROR(VLOOKUP(AX214,УГО_спр,2,FALSE),"")="Светильник",3,4)+IF(Методика="нормы 2026",MIN(0.5,MAX(0,N(Q214)-100)*0.005),0))</f>
        <v>4</v>
      </c>
      <c r="DW214" cm="1">
        <f t="array" ref="DW214">IF(OR(B214="",BT214="",DM214&lt;&gt;1),"",_xlfn.LET(_xlpm.sz,Iдоп_S,_xlpm.t_,CHOOSE(DL214,Iдоп_1ж,Iдоп_2ж,Iдоп_3ж)*DJ214*DK214,_xlpm.inn,N(DD214),_xlpm.smin,MAX(1.5,BW214),_xlpm.L_,N(Q214)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214)*(_xlpm.rho*_xlpm.L_/_xlpm.sz*N(BY214)+_xlpm.xx*_xlpm.L_*N(DU214)/1000)*N(P214)/((Uн_лин/SQRT(3))*1000)*100,999),_xlpm.kz,IF(OR(DG214=1,NOT(ISNUMBER(DQ214)),_xlpm.L_=0,_xlpm.inn=0),1,IFERROR(--(c_min*(Uн_лин*1000/SQRT(3))/(DQ214+2*ρкз_Cu*_xlpm.L_/_xlpm.sz)&gt;=GY214*_xlpm.inn),0)),_xlpm.ok,IFERROR((_xlpm.sz&gt;=_xlpm.smin)*(_xlpm.t_&gt;=_xlpm.inn)*IF(_xlpm.L_&gt;0,(_xlpm.du_+DP214&lt;=DV214+0.00001),1)*_xlpm.kz,0),_xlpm.r_,_xlfn._xlws.FILTER(_xlpm.sz,_xlpm.ok,"не подобрано"),INDEX(_xlpm.r_,1)))</f>
        <v>1.5</v>
      </c>
      <c r="DX214">
        <f t="shared" si="417"/>
        <v>2.5</v>
      </c>
      <c r="DY214" cm="1">
        <f t="array" ref="DY214">IF(OR(B214="",BT214="",DM214&lt;&gt;1),"",_xlfn.LET(_xlpm.sz,Iдоп_S,_xlpm.t_,CHOOSE(DL214,Iдоп_1ж,Iдоп_2ж,Iдоп_3ж)*DJ214*DK214,_xlpm.ok,IFERROR((_xlpm.sz&gt;=MAX(1.5,BW214))*(_xlpm.t_&gt;=N(DD214)),0),_xlpm.r_,_xlfn._xlws.FILTER(_xlpm.sz,_xlpm.ok,""),INDEX(_xlpm.r_,1)))</f>
        <v>1.5</v>
      </c>
      <c r="DZ214" s="6" cm="1">
        <f t="array" ref="DZ214">IFERROR(ROUNDUP(N(DT214)*(_xlfn.XLOOKUP(DY214,INDEX(Кабель_сопротивление,0,1),INDEX(Кабель_сопротивление,0,3))*N(Q214)/DY214*N(BY214)+_xlfn.XLOOKUP(DY214,INDEX(Кабель_сопротивление,0,1),INDEX(Кабель_сопротивление,0,2))*N(Q214)*N(DU214)/1000)*N(P214)/((Uн_лин/SQRT(3))*1000)*100,2),"")</f>
        <v>0.19</v>
      </c>
      <c r="EA214">
        <f>IFERROR(2*ρкз_Cu*N(Q214)/DY214,"")</f>
        <v>1.9637333333333336</v>
      </c>
      <c r="EB214">
        <f>IFERROR(VLOOKUP(DX214,Кабель_сопротивление,3,FALSE),"")</f>
        <v>2.2499999999999999E-2</v>
      </c>
      <c r="EC214">
        <f>IFERROR(VLOOKUP(DX214,Кабель_сопротивление,2,FALSE),"")</f>
        <v>0.1</v>
      </c>
      <c r="ED214">
        <f t="shared" si="418"/>
        <v>13</v>
      </c>
      <c r="EE214">
        <f t="shared" si="419"/>
        <v>0</v>
      </c>
      <c r="EF214">
        <f t="shared" si="420"/>
        <v>0.26283561058923727</v>
      </c>
      <c r="EG214" s="6">
        <f>IFERROR(ROUNDUP(EF214/((Uн_лин/SQRT(3))*1000)*100,2),"")</f>
        <v>0.12</v>
      </c>
      <c r="EH214" t="str">
        <f>IFERROR(VLOOKUP(BT214,Кабель_обозначение,2,FALSE),"")</f>
        <v>ВВГнг(А)-LS</v>
      </c>
      <c r="EI214" t="str">
        <f t="shared" si="421"/>
        <v>ВВГнг(А)-LS (3х2,5)</v>
      </c>
      <c r="EJ214" t="str">
        <f t="shared" si="422"/>
        <v>ВВГнг(А)-LS (3х2,5)
L=56-0,12%</v>
      </c>
      <c r="EK214">
        <f>IFERROR(2*ρкз_Cu*Q214/DX214,"")</f>
        <v>1.1782400000000002</v>
      </c>
      <c r="EL214">
        <f t="shared" si="423"/>
        <v>0.39200000000000002</v>
      </c>
      <c r="EM214" s="6" t="str">
        <f>IFERROR(IF(OR(B214="",NOT(ISNUMBER(DX214)),N(Q214)=0),"",_xlfn.XLOOKUP(A214,Щиты[Щит],Щиты[Zпетли на шинах, Ом])+EK214),"")</f>
        <v/>
      </c>
      <c r="EN214" s="6" t="str">
        <f>IF(ISNUMBER(EM214),c_min*(Uн_лин*1000/SQRT(3))/EM214,"")</f>
        <v/>
      </c>
      <c r="EO214" s="6" t="str">
        <f>IFERROR(IF(OR(B214="",NOT(ISNUMBER(DX214))),"",1.05*(Uн_лин*1000/SQRT(3))/(_xlfn.XLOOKUP(A214,Щиты[Щит],Щиты[Zmax на шинах, Ом])+EL214)/1000),"")</f>
        <v/>
      </c>
      <c r="EP214" s="6" t="str">
        <f>IF(B214="","",IF(ISNUMBER(Y214),"Сил",IF(IFERROR(_xlfn.XLOOKUP(AX214,Коды_код,Коды_группа)&amp;"","")="","Быт",_xlfn.XLOOKUP(AX214,Коды_код,Коды_группа)&amp;"")))</f>
        <v>Быт</v>
      </c>
      <c r="EQ214" s="6" t="str">
        <f t="shared" si="424"/>
        <v>Быт</v>
      </c>
      <c r="ER214" s="6">
        <f>IF(EQ214="Щит","щит",IF(EQ214="","",IF(EQ214="Быт",IFERROR(_xlfn.XLOOKUP(A214,Щиты[Щит],Щиты[Кс быт]),1),IF(EQ214="Сил",IF(ISNUMBER(Y214),Y214,IF(Методика="нормы 2026",IFERROR(_xlfn.XLOOKUP(A214,Щиты[Щит],Щиты[Кс силовых (табл. 7.5)]),1),1)),IF(OR(EQ214="Пост",EQ214="Отоп"),1,IF(EQ214="ВНГ",0.7,0))))))</f>
        <v>0.79799999999999993</v>
      </c>
      <c r="ES214">
        <f t="shared" si="425"/>
        <v>1</v>
      </c>
      <c r="ET214">
        <f t="shared" si="426"/>
        <v>0.06</v>
      </c>
      <c r="EU214">
        <f t="shared" si="427"/>
        <v>0.06</v>
      </c>
      <c r="EV214">
        <f t="shared" si="428"/>
        <v>0</v>
      </c>
      <c r="EW214">
        <f t="shared" si="429"/>
        <v>0</v>
      </c>
      <c r="EX214">
        <f t="shared" si="430"/>
        <v>0</v>
      </c>
      <c r="EY214">
        <f t="shared" si="431"/>
        <v>0</v>
      </c>
      <c r="EZ214">
        <f t="shared" si="432"/>
        <v>0.06</v>
      </c>
      <c r="FA214">
        <f t="shared" si="433"/>
        <v>5.6999999999999995E-2</v>
      </c>
      <c r="FB214">
        <f t="shared" si="434"/>
        <v>0.06</v>
      </c>
      <c r="FC214" t="str">
        <f t="shared" si="435"/>
        <v>L1</v>
      </c>
      <c r="FD214" t="str">
        <f>IF(B214="","",IF(CA214=0,IF(AW214=1,"",FF213),IF(OR(N(CV214)&gt;=3,N(BR214)&gt;=3),"L1,L2,L3",IFERROR(_xlfn.TEXTBEFORE(_xlfn.TEXTAFTER(_xlfn.XLOOKUP(A214,Щиты[Щит],Щиты[_фазы авто]),";"&amp;AW214&amp;":"),";"),"L1"))))</f>
        <v>L1</v>
      </c>
      <c r="FE214" t="str">
        <f t="shared" si="436"/>
        <v>L1</v>
      </c>
      <c r="FF214" t="str">
        <f t="shared" si="437"/>
        <v>L1</v>
      </c>
      <c r="FG214" cm="1">
        <f t="array" ref="FG214">IFERROR(IF(BX214=2,_xlfn.IFS(BR214=3,VLOOKUP(BN214,Справочная_двигатели,3,FALSE),BR214=1,VLOOKUP(BN214,Справочная_двигатели,5,TRUE)),0),0)</f>
        <v>0</v>
      </c>
      <c r="FH214">
        <f>IFERROR(IF(BX214=3,VLOOKUP(BN214,Справочная_ЛЭД,2,TRUE),0),0)</f>
        <v>0</v>
      </c>
      <c r="FI214" s="6">
        <f t="shared" si="438"/>
        <v>0</v>
      </c>
      <c r="FJ214" t="str" cm="1">
        <f t="array" ref="FJ214">IF(B214="","",IFERROR(INDEX({"I особая","I","II","III"},MATCH(TRIM(AC214&amp;""),{"I особая","I","II","III"},0)),"III"))</f>
        <v>II</v>
      </c>
      <c r="FK214" t="str">
        <f>IF(B214="","",IF(TRIM(AD214&amp;"")&lt;&gt;"",IF(LOWER(TRIM(AD214&amp;""))="да","да","нет"),IF(IFERROR(_xlfn.XLOOKUP(AX214,Коды_код,Коды_пожарная),"")="да","да","нет")))</f>
        <v>нет</v>
      </c>
      <c r="FL214" t="str">
        <f t="shared" si="439"/>
        <v/>
      </c>
      <c r="FM214" t="str">
        <f t="shared" si="440"/>
        <v>основная</v>
      </c>
      <c r="FN214">
        <f t="shared" si="441"/>
        <v>1</v>
      </c>
      <c r="FO214" t="str" cm="1">
        <f t="array" ref="FO214">IF(B214="","",_xlfn.LET(_xlpm.t,IFERROR(_xlfn.XLOOKUP(1,(Шины[Шина]=FM214)*(((Шины[Щит]=A214)+(Шины[Щит]=""))&gt;0),Шины[Тип]),"")&amp;"",IF(_xlpm.t&lt;&gt;"",_xlpm.t,IF(ISNUMBER(SEARCH("ИБП",FM214)),"ИБП",IF(ISNUMBER(SEARCH("ДГУ",FM214)),"ДГУ","Ввод "&amp;FN214)))))</f>
        <v>Ввод 1</v>
      </c>
      <c r="FP214" t="str">
        <f t="shared" si="442"/>
        <v>Ввод 1</v>
      </c>
      <c r="FQ214" t="str">
        <f>IF(B214="","",IF(OR(FO214="ИБП",FO214="ДГУ"),"I особая",IF(FO214="Одиночная","III",_xlfn.XLOOKUP(A214,Щиты[Щит],Щиты[Категория шины «Ввод»],"III"))))</f>
        <v>II</v>
      </c>
      <c r="FR214">
        <f>IF(B214="",0,IFERROR(MATCH(FJ214,{"III","II","I","I особая"},0),1))</f>
        <v>2</v>
      </c>
      <c r="FS214">
        <f t="shared" si="443"/>
        <v>2</v>
      </c>
      <c r="FT214" t="str">
        <f>IF(B214="","",IF(FR214&gt;IFERROR(MATCH(FQ214,{"III","II","I","I особая"},0),1),"НЕ ОБЕСПЕЧЕНА","ОК"))</f>
        <v>ОК</v>
      </c>
      <c r="FU214" t="str">
        <f>IF(A214="","",_xlfn.XLOOKUP(A214,Щиты[Щит],Щиты[Путь],""))</f>
        <v>|ГРЩ-ЖД|ЩР-01|</v>
      </c>
      <c r="FV214" t="str">
        <f>IF(B214="","",IF(AE214&lt;&gt;"",AE214,IF(IFERROR(_xlfn.XLOOKUP(AX214,Коды_код,Коды_вид)&amp;"","")="","Прочее",_xlfn.XLOOKUP(AX214,Коды_код,Коды_вид)&amp;"")))</f>
        <v>Розеточная сеть и бытовые приборы</v>
      </c>
      <c r="FW214">
        <f>IF(BH214="","",INT((BH214-1)/Столбцов_на_лист)+1)</f>
        <v>3</v>
      </c>
      <c r="FX214" t="str">
        <f t="shared" si="444"/>
        <v>ВВГнг(А)-LS (3х2,5) L=56-0,12%</v>
      </c>
      <c r="FY214">
        <f t="shared" si="445"/>
        <v>0.06</v>
      </c>
      <c r="FZ214">
        <f t="shared" si="446"/>
        <v>0.28000000000000003</v>
      </c>
      <c r="GA214">
        <f t="shared" si="447"/>
        <v>1</v>
      </c>
      <c r="GB214">
        <f t="shared" si="448"/>
        <v>0</v>
      </c>
      <c r="GC214">
        <f t="shared" si="449"/>
        <v>1</v>
      </c>
      <c r="GD214">
        <f>IF(BH214="","",IF(AND(CA214=1,GC214=1),COUNTIFS(A$3:A214,A214,CA$3:CA214,1,GC$3:GC214,1),IF(OR(OR(AW214=1,A214&lt;&gt;A213),AF214="вручную",GC214=0),"",IF(AW214=1,"",GE213))))</f>
        <v>30</v>
      </c>
      <c r="GE214">
        <f t="shared" si="450"/>
        <v>30</v>
      </c>
      <c r="GF214">
        <f>IF(B214="","",IFERROR(LOOKUP(INDEX(CHOOSE(DL214,Iдоп_1ж,Iдоп_2ж,Iдоп_3ж),MATCH(DX214,Iдоп_S,0))*DJ214*DK214,{6,10,16,20,25,32,40,50,63,80,100,125,160,200,250,315,400,500,630}),""))</f>
        <v>25</v>
      </c>
      <c r="GG214" t="str">
        <f t="shared" si="451"/>
        <v>QFD30</v>
      </c>
      <c r="GH214" t="str">
        <f t="shared" si="452"/>
        <v>QFD30</v>
      </c>
      <c r="GI214" t="str">
        <f t="shared" si="453"/>
        <v/>
      </c>
      <c r="GJ214">
        <f t="shared" si="454"/>
        <v>0</v>
      </c>
      <c r="GK214" t="str">
        <f>IF(OR(AG214="",AG214="-"),"",IFERROR(VLOOKUP(AG214,Модули_спр,2,FALSE),"R"))</f>
        <v/>
      </c>
      <c r="GL214" t="str">
        <f>IF(GK214="","",GK214&amp;"."&amp;COUNTIFS(A$3:A214,A214,GK$3:GK214,GK214))</f>
        <v/>
      </c>
      <c r="GM214" t="str">
        <f t="shared" si="455"/>
        <v/>
      </c>
      <c r="GN214" t="str">
        <f t="shared" si="456"/>
        <v/>
      </c>
      <c r="GO214" t="str">
        <f t="shared" si="457"/>
        <v/>
      </c>
      <c r="GP214" t="str">
        <f t="shared" si="458"/>
        <v/>
      </c>
      <c r="GQ214">
        <f t="shared" si="459"/>
        <v>1</v>
      </c>
      <c r="GR214" t="str">
        <f>IF(GQ214=1,"XT"&amp;COUNTIFS(A$3:A214,A214,GQ$3:GQ214,1),"")</f>
        <v>XT30</v>
      </c>
      <c r="GS214" t="str">
        <f t="shared" si="460"/>
        <v/>
      </c>
      <c r="GT214" t="str">
        <f t="shared" si="461"/>
        <v>QFD30</v>
      </c>
      <c r="GU214" t="str">
        <f t="shared" si="462"/>
        <v/>
      </c>
      <c r="GV214" t="str">
        <f t="shared" si="463"/>
        <v>ok</v>
      </c>
      <c r="GW214" t="str">
        <f>IF(OR(GO214="",GM214=""),"",IF(GO214&gt;IFERROR(VLOOKUP(GN214,Модули_спр,3,FALSE),99),"ЛИШНИЙ КАНАЛ",IF(AND(AH214&lt;&gt;"=",COUNTIFS(Линии[_модуль гр.],GM214,Линии[Канал (итог)],GO214,Линии[Канал],"&lt;&gt;=",Линии[Щит],A214)&gt;1),"ДУБЛЬ КАНАЛА","")))</f>
        <v/>
      </c>
      <c r="GX214" s="6" t="str">
        <f t="shared" si="464"/>
        <v/>
      </c>
      <c r="GY214">
        <f t="shared" si="465"/>
        <v>10</v>
      </c>
      <c r="GZ214" t="str">
        <f t="shared" si="466"/>
        <v/>
      </c>
      <c r="HA214" t="str">
        <f>IF(AND(B214="",GT214=""),"",_xlfn.TEXTJOIN("; ",TRUE,IF(AND(B214&lt;&gt;"",FE214=""),"нет фазы",""),IF(AND(B214&lt;&gt;"",N(FY214)=0,EQ214&lt;&gt;"Нет"),"нет мощности",""),IF(AND(GS214&lt;&gt;"",COUNTIFS(Линии[Щит],A214,Линии[Клемма (итог)],GS214)&gt;1),"дубль клеммы "&amp;GS214,""),IF(AND(GV214&lt;&gt;"",GV214&lt;&gt;"ok"),GV214,""),IF(GW214&lt;&gt;"",GW214,""),IF(AND(N(BV214)&gt;=4,N(BR214)=1),BV214&amp;" жил на 1 фазе",""),IF(AND(AX214="R",CA214=1,OR(N(CK214)=0,N(CK214)&gt;30)),"розетка без дифзащиты до 30 мА",""),IFERROR(IF(AND(ISNUMBER(R214),R214&gt;DV214),"потери "&amp;FIXED(R214,1)&amp;" % &gt; "&amp;DV214&amp;" %",""),""),IFERROR(IF(LEFT(GZ214,4)="мало","Iкз мало — отключение &gt; 0,4 с",""),""),IF(AND(B214&lt;&gt;"",BH214=""),"не на схеме",""),IF(AND(CA214=0,B214&lt;&gt;"",FE214&lt;&gt;"",IF(AW214=1,"",FF213)&lt;&gt;"",FE214&lt;&gt;IF(AW214=1,"",FF213)),"фаза не как у автомата группы ("&amp;IF(AW214=1,"",FF213)&amp;")","")))</f>
        <v/>
      </c>
      <c r="HB214" s="6">
        <f>IF(OR(CA214=0,DA214=""),"",_xlfn.LET(_xlpm.t,IFERROR(_xlfn.XLOOKUP(DA214,Каталог!$U$4:$U$500,Каталог!$G$4:$G$500),""),_xlpm.k,SEARCH("кА",_xlpm.t),IFERROR(--TRIM(RIGHT(SUBSTITUTE(MID(_xlpm.t,MAX(1,_xlpm.k-4),_xlpm.k-MAX(1,_xlpm.k-4))," ",REPT(" ",9)),5)),"")))</f>
        <v>6</v>
      </c>
      <c r="HC214" t="str">
        <f>IF(OR(HB214="",CA214=0),"",IF(_xlfn.XLOOKUP(A214,Щиты[Щит],Щиты[Iкз max на шинах, кА],"")="","",IF(HB214&lt;_xlfn.XLOOKUP(A214,Щиты[Щит],Щиты[Iкз max на шинах, кА]),"Icu "&amp;HB214&amp;" кА &lt; Iкз max","ok")))</f>
        <v/>
      </c>
      <c r="HD214" t="str">
        <f t="shared" si="467"/>
        <v/>
      </c>
      <c r="HE214" t="str">
        <f t="shared" si="468"/>
        <v>QFD30</v>
      </c>
      <c r="HF214" t="str">
        <f t="shared" si="469"/>
        <v>QFD30|кабель ВВГнг(А)-LS (3х2,5) → Розеточная группа, пом. 018A</v>
      </c>
      <c r="HG214" t="str" cm="1">
        <f t="array" ref="HG214">IF(HF214="","",_xlfn.LET(_xlpm.nd,_xlfn.TEXTSPLIT(HF214,"|"),IF(COLUMNS(_xlpm.nd)&gt;1,A214&amp;"¦"&amp;INDEX(_xlpm.nd,1)&amp;"¦"&amp;INDEX(_xlpm.nd,2),"")))</f>
        <v>ЩР-01¦QFD30¦кабель ВВГнг(А)-LS (3х2,5) → Розеточная группа, пом. 018A</v>
      </c>
      <c r="HH214" t="str">
        <f t="shared" si="470"/>
        <v>R.0.018A.1¦Розеточная группа, пом. 018A</v>
      </c>
      <c r="HI214" t="str" cm="1">
        <f t="array" ref="HI214">IF(HF214="","",_xlfn.LET(_xlpm.nd,_xlfn.TEXTSPLIT(HF214,"|"),IF(COLUMNS(_xlpm.nd)&gt;2,A214&amp;"¦"&amp;INDEX(_xlpm.nd,2)&amp;"¦"&amp;INDEX(_xlpm.nd,3),"")))</f>
        <v/>
      </c>
      <c r="HJ214" t="str">
        <f t="shared" si="471"/>
        <v/>
      </c>
      <c r="HK214" t="str" cm="1">
        <f t="array" ref="HK214">IF(HF214="","",_xlfn.LET(_xlpm.nd,_xlfn.TEXTSPLIT(HF214,"|"),IF(COLUMNS(_xlpm.nd)&gt;3,A214&amp;"¦"&amp;INDEX(_xlpm.nd,3)&amp;"¦"&amp;INDEX(_xlpm.nd,4),"")))</f>
        <v/>
      </c>
      <c r="HL214" t="str">
        <f t="shared" si="472"/>
        <v/>
      </c>
      <c r="HM214" t="str" cm="1">
        <f t="array" ref="HM214">IF(HF214="","",_xlfn.LET(_xlpm.nd,_xlfn.TEXTSPLIT(HF214,"|"),IF(COLUMNS(_xlpm.nd)&gt;4,A214&amp;"¦"&amp;INDEX(_xlpm.nd,4)&amp;"¦"&amp;INDEX(_xlpm.nd,5),"")))</f>
        <v/>
      </c>
      <c r="HN214" t="str">
        <f t="shared" si="473"/>
        <v/>
      </c>
      <c r="HO214" t="str" cm="1">
        <f t="array" ref="HO214">IF(HF214="","",_xlfn.LET(_xlpm.nd,_xlfn.TEXTSPLIT(HF214,"|"),IF(COLUMNS(_xlpm.nd)&gt;5,A214&amp;"¦"&amp;INDEX(_xlpm.nd,5)&amp;"¦"&amp;INDEX(_xlpm.nd,6),"")))</f>
        <v/>
      </c>
      <c r="HP214" t="str">
        <f t="shared" si="474"/>
        <v/>
      </c>
      <c r="HQ214" t="str" cm="1">
        <f t="array" ref="HQ214">IF(HF214="","",_xlfn.LET(_xlpm.nd,_xlfn.TEXTSPLIT(HF214,"|"),IF(COLUMNS(_xlpm.nd)&gt;6,A214&amp;"¦"&amp;INDEX(_xlpm.nd,6)&amp;"¦"&amp;INDEX(_xlpm.nd,7),"")))</f>
        <v/>
      </c>
      <c r="HR214" t="str">
        <f t="shared" si="475"/>
        <v/>
      </c>
      <c r="HS214" t="str">
        <f t="shared" si="476"/>
        <v/>
      </c>
      <c r="HT214" t="str">
        <f t="shared" si="477"/>
        <v>QFD30</v>
      </c>
      <c r="HU214">
        <f t="shared" si="478"/>
        <v>0</v>
      </c>
      <c r="HV214">
        <f t="shared" si="479"/>
        <v>1</v>
      </c>
      <c r="HW214" t="str">
        <f t="shared" si="480"/>
        <v/>
      </c>
      <c r="HX214" t="str">
        <f t="shared" si="481"/>
        <v/>
      </c>
      <c r="HY214" t="str">
        <f t="shared" si="482"/>
        <v/>
      </c>
      <c r="HZ214" t="str">
        <f t="shared" si="483"/>
        <v/>
      </c>
      <c r="IA214" t="str">
        <f>IF(B214="","",IFERROR(VLOOKUP(B214,УГО_спр,2,FALSE),IFERROR(VLOOKUP(AX214,УГО_спр,2,FALSE),IFERROR(VLOOKUP(LEFT(AX214,2),УГО_спр,2,FALSE),""))))</f>
        <v>Розетка</v>
      </c>
      <c r="IB214" t="str">
        <f>IF(B214="","",IF(OR(IA214="",IA214=0),"BOX",IFERROR(IF(VLOOKUP(IA214,УГО_блоки,3,FALSE)&amp;""&lt;&gt;"",VLOOKUP(IA214,УГО_блоки,3,FALSE),VLOOKUP(IA214,УГО_блоки,2,FALSE)),IA214)))</f>
        <v>SOCKET</v>
      </c>
      <c r="IC214">
        <f t="shared" si="484"/>
        <v>1</v>
      </c>
      <c r="ID214" t="str">
        <f>IF(DA214="","",IF(COUNTIF(DA$3:DA214,DA214)=1,MAX(ID$2:ID213)+1,""))</f>
        <v/>
      </c>
      <c r="IE214" t="str">
        <f>IF(CO214="","",IF(COUNTIF(CO$3:CO214,CO214)+COUNTIF(CP$2:CP213,CO214)+COUNTIF(CQ$2:CQ213,CO214)=1,MAX(IE$2:IG213)+1,""))</f>
        <v/>
      </c>
      <c r="IF214" t="str">
        <f>IF(CP214="","",IF(COUNTIF(CO$3:CO214,CP214)+COUNTIF(CP$3:CP214,CP214)+COUNTIF(CQ$2:CQ213,CP214)=1,MAX(IE$2:IG213,IE214)+1,""))</f>
        <v/>
      </c>
      <c r="IG214" t="str">
        <f>IF(CQ214="","",IF(COUNTIF(CO$3:CO214,CQ214)+COUNTIF(CP$3:CP214,CQ214)+COUNTIF(CQ$3:CQ214,CQ214)=1,MAX(IE$2:IG213,IE214,IF214)+1,""))</f>
        <v/>
      </c>
      <c r="IH214" t="str">
        <f t="shared" si="485"/>
        <v>3х2,5</v>
      </c>
      <c r="II214" t="str">
        <f>IF(IH214="","",IF(COUNTIF(IH$3:IH214,IH214)=1,MAX(II$2:II213)+1,""))</f>
        <v/>
      </c>
      <c r="IJ214" t="str">
        <f>IF(GL214="","",COUNTIF(GL$3:GL214,"?*"))</f>
        <v/>
      </c>
      <c r="IK214" t="str">
        <f>IF(OR(GL214="",GN214=""),"",IF(COUNTIFS(GL$3:GL214,"?*",GN$3:GN214,GN214)=1,MAX(IK$2:IK213)+1,""))</f>
        <v/>
      </c>
      <c r="IL214">
        <f t="shared" si="486"/>
        <v>0</v>
      </c>
      <c r="IM214">
        <f>IF(B214="","",COUNTIF(B$3:B214,"?*"))</f>
        <v>212</v>
      </c>
      <c r="IN214">
        <f>IF(GQ214&lt;&gt;1,0,_xlfn.LET(_xlpm.k,MAX(IFERROR(--VLOOKUP(B214,УГО_спр,5,FALSE),0),IFERROR(--VLOOKUP(AX214,УГО_спр,5,FALSE),0),IFERROR(--VLOOKUP(LEFT(AX214,2),УГО_спр,5,FALSE),0)),IF(_xlpm.k&gt;0,_xlpm.k,IF(IFERROR(--LEFT(SUBSTITUTE(IH214,"x","х"),FIND("х",SUBSTITUTE(IH214,"x","х"))-1),3)&gt;3,Каталог!$S$9,1))))</f>
        <v>1</v>
      </c>
      <c r="IO214">
        <f t="shared" si="487"/>
        <v>0</v>
      </c>
      <c r="IP214" t="str">
        <f t="shared" si="488"/>
        <v>авто</v>
      </c>
      <c r="IQ214">
        <f t="shared" si="489"/>
        <v>30</v>
      </c>
      <c r="IR214">
        <f t="shared" si="490"/>
        <v>1</v>
      </c>
      <c r="IS214">
        <f t="shared" si="491"/>
        <v>1</v>
      </c>
    </row>
    <row r="215" spans="1:253" x14ac:dyDescent="0.3">
      <c r="A215" t="s">
        <v>757</v>
      </c>
      <c r="B215" t="s">
        <v>1481</v>
      </c>
      <c r="C215" t="str">
        <f>Линии[[#This Row],[_авто наименование]]</f>
        <v>Розеточная группа, пом. 018Б</v>
      </c>
      <c r="D215">
        <v>1</v>
      </c>
      <c r="E215">
        <v>0.06</v>
      </c>
      <c r="G215" t="str">
        <f>Линии[[#This Row],[_авто автомат]]</f>
        <v>2P С16А 30мА</v>
      </c>
      <c r="H215">
        <f>Линии[[#This Row],[_авто утечка]]</f>
        <v>30</v>
      </c>
      <c r="I215" t="str">
        <f>Линии[[#This Row],[_авто управление]]</f>
        <v/>
      </c>
      <c r="J215" t="str">
        <f>Линии[[#This Row],[_авто аппараты]]</f>
        <v/>
      </c>
      <c r="K215">
        <v>2.5</v>
      </c>
      <c r="L215">
        <v>30</v>
      </c>
      <c r="M215">
        <v>2</v>
      </c>
      <c r="N215" t="s">
        <v>486</v>
      </c>
      <c r="O215" t="str">
        <f t="shared" si="369"/>
        <v/>
      </c>
      <c r="P215" s="6" cm="1">
        <f t="array" ref="P215">IF(B215="","",IF(BC215&lt;&gt;"",IFERROR(_xlfn.XLOOKUP(BC215,Щиты[Щит],Щиты[Iр, А]),""),IF(BK215=1,IFERROR(_xlfn.XLOOKUP(A215,Щиты[Щит],Щиты[Iр, А]),""),IFERROR(_xlfn.IFS(BR215=1,BN215/((Uн_лин/SQRT(3))*BY215),BR215=3,BN215/(SQRT(3)*Uн_лин*BY215)),""))))</f>
        <v>0.27348170645824377</v>
      </c>
      <c r="Q215" s="7">
        <f>IF(B215="","",IFERROR(IF(VLOOKUP(AX215,Потребители_обозначение,4,FALSE)=1,VLOOKUP(AX215,Потребители_обозначение,3,FALSE)*(D215*2-1)+DS215+VLOOKUP(AZ215,Этаж_обозначение,3,FALSE)+VLOOKUP(AZ215,Этаж_обозначение,4,FALSE),VLOOKUP(AX215,Потребители_обозначение,3,FALSE)*(D215*2-1)+DS215),DS215))</f>
        <v>33</v>
      </c>
      <c r="R215" s="6">
        <f t="shared" si="370"/>
        <v>0.5</v>
      </c>
      <c r="S215" t="str">
        <f t="shared" si="371"/>
        <v>ВВГнг(А)-LS (3х2,5)</v>
      </c>
      <c r="T215" t="str">
        <f>IF(BH215="","",IF(BI215="вводной узел","узел ","")&amp;"л."&amp;(INT((BH215-1)/Столбцов_на_лист)+1)&amp;" / "&amp;(MOD(BH215-1,Столбцов_на_лист)+1))</f>
        <v>л.4 / 1</v>
      </c>
      <c r="V215">
        <v>1</v>
      </c>
      <c r="W215">
        <v>230</v>
      </c>
      <c r="X215" t="s">
        <v>564</v>
      </c>
      <c r="AC215" t="s">
        <v>815</v>
      </c>
      <c r="AE215" t="s">
        <v>563</v>
      </c>
      <c r="AI215">
        <v>52</v>
      </c>
      <c r="AJ215" t="s">
        <v>11</v>
      </c>
      <c r="AK215">
        <v>3</v>
      </c>
      <c r="AM215">
        <v>24</v>
      </c>
      <c r="AN215">
        <v>9</v>
      </c>
      <c r="AO215">
        <v>0</v>
      </c>
      <c r="AW215" cm="1">
        <f t="array" ref="AW215">ROW()-ROW(Линии[#Headers])</f>
        <v>213</v>
      </c>
      <c r="AX215" s="6" t="str">
        <f t="shared" si="372"/>
        <v>R</v>
      </c>
      <c r="AY215" t="str">
        <f t="shared" si="373"/>
        <v>0.018Б.1</v>
      </c>
      <c r="AZ215" t="str">
        <f t="shared" si="374"/>
        <v>0</v>
      </c>
      <c r="BA215" t="str">
        <f t="shared" si="375"/>
        <v>018Б.1</v>
      </c>
      <c r="BB215" t="str">
        <f t="shared" si="376"/>
        <v>018Б</v>
      </c>
      <c r="BC215" t="str">
        <f>IF(U215&lt;&gt;"",U215,IF(AND(B215&lt;&gt;"",B215&lt;&gt;A215,ISNUMBER(_xlfn.XMATCH(B215,Щиты[Щит]))),B215,""))</f>
        <v/>
      </c>
      <c r="BD215" t="str" cm="1">
        <f t="array" ref="BD215">IF(B215="","",IF(BC215&lt;&gt;"","Щит "&amp;BC215,_xlfn.LET(_xlpm.nm,IFERROR(_xlfn.XLOOKUP(AX215,Коды_код,Коды_имя)&amp;"",""),_xlpm.md,IFERROR(N(_xlfn.XLOOKUP(AX215,Коды_код,Коды_режим)),1),_xlpm.ex,IF(Имя_режим="по экспликации",IFERROR(_xlfn.XLOOKUP(AZ215&amp;"|"&amp;BB215,Экспликация[Этаж]&amp;"|"&amp;Экспликация[Помещение],Экспликация[Название])&amp;"",""),""),_xlpm.rm,IF(BB215="","",IF(_xlpm.ex&lt;&gt;"",". "&amp;_xlpm.ex&amp;IF(Имя_пом="нет"," ("&amp;BB215&amp;")"," (пом. "&amp;BB215&amp;")"),IF(Имя_пом="нет"," ",", пом. ")&amp;BB215)),IF(_xlpm.nm="","",IF(_xlpm.md=2,_xlpm.nm&amp;" шлейф "&amp;AZ215,_xlpm.nm&amp;_xlpm.rm)))))</f>
        <v>Розеточная группа, пом. 018Б</v>
      </c>
      <c r="BE215" t="str">
        <f t="shared" si="377"/>
        <v>Розеточная группа, пом. 018Б</v>
      </c>
      <c r="BF215">
        <f>IFERROR(_xlfn.XMATCH(A215,Щиты[Щит]),0)</f>
        <v>9</v>
      </c>
      <c r="BG215">
        <f>_xlfn.LET(_xlpm.k,IFERROR(_xlfn.XLOOKUP(A215,Щиты[Щит],Щиты[Листов под вводной узел]),""),IF(_xlpm.k="",1,N(_xlpm.k))*Столбцов_на_лист)</f>
        <v>17</v>
      </c>
      <c r="BH215">
        <f t="shared" si="378"/>
        <v>52</v>
      </c>
      <c r="BI215" t="str">
        <f t="shared" si="379"/>
        <v>линии</v>
      </c>
      <c r="BJ215" s="6">
        <f>IFERROR(N(_xlfn.XLOOKUP(AX215,Коды_код,Коды_квт)),0)</f>
        <v>0</v>
      </c>
      <c r="BK215">
        <f t="shared" si="380"/>
        <v>0</v>
      </c>
      <c r="BL215" t="str">
        <f>IF(B215="","",IF(BC215&lt;&gt;"",IFERROR(_xlfn.XLOOKUP(BC215,Щиты[Щит],Щиты[Руст, кВт]),0),IF(BK215=1,IFERROR(_xlfn.XLOOKUP(A215,Щиты[Щит],Щиты[Руст, кВт]),0),IF(BJ215&gt;0,ROUND(BJ215*MAX(1,N(D215)),3),""))))</f>
        <v/>
      </c>
      <c r="BM215">
        <f t="shared" si="381"/>
        <v>0.06</v>
      </c>
      <c r="BN215" s="6">
        <f>IF(B215="","",IF(BC215&lt;&gt;"",IFERROR(_xlfn.XLOOKUP(BC215,Щиты[Щит],Щиты[Руст, кВт]),0),N(BM215)))</f>
        <v>0.06</v>
      </c>
      <c r="BO215" t="str">
        <f>IF(B215="","",IFERROR(IF(VLOOKUP(AX215,Потребители_обозначение,8,FALSE)=0,"",VLOOKUP(AX215,Потребители_обозначение,8,FALSE)),""))</f>
        <v/>
      </c>
      <c r="BP215">
        <f t="shared" si="382"/>
        <v>230</v>
      </c>
      <c r="BQ215">
        <f>IF(B215="","",IF(BC215&lt;&gt;"",3,IFERROR(IF(N(VLOOKUP(AX215,Потребители_обозначение,9,FALSE))=0,1,VLOOKUP(AX215,Потребители_обозначение,9,FALSE)),1)))</f>
        <v>1</v>
      </c>
      <c r="BR215">
        <f t="shared" si="383"/>
        <v>1</v>
      </c>
      <c r="BS215" t="str">
        <f>IF(B215="","",_xlfn.LET(_xlpm.bc,IFERROR(IF(VLOOKUP(AX215,Потребители_обозначение,6,FALSE)=0,"",VLOOKUP(AX215,Потребители_обозначение,6,FALSE)&amp;""),""),IF(AND(FK215="да",OR(_xlpm.bc="",_xlpm.bc="мс")),Марка_пож,IF(AND(_xlpm.bc="",BC215&lt;&gt;""),"мс",_xlpm.bc))))</f>
        <v/>
      </c>
      <c r="BT215" t="str">
        <f t="shared" si="384"/>
        <v>мс</v>
      </c>
      <c r="BU215">
        <f>IF(B215="","",_xlfn.LET(_xlpm.cc,IFERROR(N(VLOOKUP(AX215,Потребители_обозначение,7,FALSE)),0),IF(_xlpm.cc&gt;0,_xlpm.cc,IF(BT215="","",IF(N(BR215)=3,5,3)))))</f>
        <v>3</v>
      </c>
      <c r="BV215">
        <f t="shared" si="385"/>
        <v>3</v>
      </c>
      <c r="BW215">
        <f>IFERROR(N(VLOOKUP(AX215,Потребители_обозначение,10,FALSE)),0)</f>
        <v>0</v>
      </c>
      <c r="BX215">
        <f>IFERROR(VLOOKUP(AX215,Потребители_обозначение,5,FALSE),0)</f>
        <v>1</v>
      </c>
      <c r="BY215" s="6" cm="1">
        <f t="array" ref="BY215">IF(B215="","",IF(BC215&lt;&gt;"",IFERROR(_xlfn.XLOOKUP(BC215,Щиты[Щит],Щиты[cos φ]),0.95),IF(BK215=1,IFERROR(_xlfn.XLOOKUP(A215,Щиты[Щит],Щиты[cos φ]),0.95),IF(ISNUMBER(Z215),Z215,IFERROR(IF(BX215=2,_xlfn.IFS(BR215=3,VLOOKUP(BN215,Справочная_двигатели,8,FALSE),BR215=1,VLOOKUP(BN215,Справочная_двигатели,10,TRUE)),IF(AND(Методика="нормы 2026",EQ215="Сил"),0.8,0.95)),0.95)))))</f>
        <v>0.95</v>
      </c>
      <c r="BZ215">
        <f t="shared" si="386"/>
        <v>0</v>
      </c>
      <c r="CA215">
        <f t="shared" si="387"/>
        <v>1</v>
      </c>
      <c r="CB215">
        <f t="shared" si="388"/>
        <v>0</v>
      </c>
      <c r="CC215">
        <f t="shared" si="389"/>
        <v>0</v>
      </c>
      <c r="CD215">
        <f t="shared" si="390"/>
        <v>0</v>
      </c>
      <c r="CE215">
        <f t="shared" si="391"/>
        <v>0</v>
      </c>
      <c r="CF215">
        <f t="shared" si="392"/>
        <v>0</v>
      </c>
      <c r="CG215">
        <f>IF(AX215="",0,_xlfn.LET(_xlpm.v,IFERROR(VLOOKUP(B215,УГО_спр,3,FALSE),IFERROR(VLOOKUP(AX215,УГО_спр,3,FALSE),IFERROR(VLOOKUP(LEFT(AX215,2),УГО_спр,3,FALSE),""))),IF(_xlpm.v="да",30,IF(ISNUMBER(_xlpm.v),_xlpm.v,0))))</f>
        <v>30</v>
      </c>
      <c r="CH215">
        <f t="shared" si="393"/>
        <v>30</v>
      </c>
      <c r="CI215" t="str">
        <f>_xlfn.LET(_xlpm.k,IFERROR(_xlfn.XLOOKUP(AX215,Коды_код,Коды_утечка)&amp;"",""),IF(_xlpm.k="","дифавтомат",_xlpm.k))</f>
        <v>дифавтомат</v>
      </c>
      <c r="CJ215">
        <f t="shared" si="394"/>
        <v>30</v>
      </c>
      <c r="CK215">
        <f t="shared" si="395"/>
        <v>30</v>
      </c>
      <c r="CL215">
        <f>IF(B215="",0,IFERROR(--VLOOKUP(B215,УГО_спр,4,FALSE),IFERROR(--VLOOKUP(AX215,УГО_спр,4,FALSE),IFERROR(--VLOOKUP(LEFT(AX215,2),УГО_спр,4,FALSE),0))))</f>
        <v>16</v>
      </c>
      <c r="CM215" t="str">
        <f>IF(B215="","",IFERROR(_xlfn.XLOOKUP(AX215,Коды_код,Коды_апп)&amp;"",""))</f>
        <v/>
      </c>
      <c r="CN215" t="str">
        <f t="shared" si="396"/>
        <v/>
      </c>
      <c r="CO215" t="str" cm="1">
        <f t="array" ref="CO215">IF(TRIM(CN215&amp;"")="","",IFERROR(TRIM(INDEX(_xlfn.TEXTSPLIT(CN215&amp;";;;",";"),1)),""))</f>
        <v/>
      </c>
      <c r="CP215" t="str" cm="1">
        <f t="array" ref="CP215">IF(TRIM(CN215&amp;"")="","",IFERROR(TRIM(INDEX(_xlfn.TEXTSPLIT(CN215&amp;";;;",";"),2)),""))</f>
        <v/>
      </c>
      <c r="CQ215" t="str" cm="1">
        <f t="array" ref="CQ215">IF(TRIM(CN215&amp;"")="","",IFERROR(TRIM(INDEX(_xlfn.TEXTSPLIT(CN215&amp;";;;",";"),3)),""))</f>
        <v/>
      </c>
      <c r="CR215">
        <f t="shared" si="397"/>
        <v>0</v>
      </c>
      <c r="CS215" t="str">
        <f>IF(B215="","",_xlfn.LET(_xlpm.t,LOWER(AV215&amp;""),IF(ISNUMBER(SEARCH("dim",_xlpm.t)),"DIM",IF(ISNUMBER(SEARCH("dali",_xlpm.t)),"DALI",IF(OR(ISNUMBER(SEARCH("relay",_xlpm.t)),ISNUMBER(SEARCH("реле",_xlpm.t))),"Relay",IF(ISNUMBER(SEARCH("кнопк",_xlpm.t)),"",IFERROR(_xlfn.XLOOKUP(AX215,Коды_код,Коды_упр)&amp;"","")))))))</f>
        <v/>
      </c>
      <c r="CT215" t="str">
        <f t="shared" si="398"/>
        <v/>
      </c>
      <c r="CU215">
        <f>IF(B215="","",_xlfn.LET(_xlpm.ig,N(P215)+IF(AF215="вручную",0,N(CB215)),_xlpm.n0,IFERROR(VLOOKUP(_xlpm.ig,Автомат_номиналы,2,TRUE),0),_xlpm.mn,MAX(CL215,IF(AF215="вручную",0,N(CE215))),MAX(_xlpm.n0,_xlpm.mn,IF(CR215=1,Мин_автомат_БП,0))))</f>
        <v>16</v>
      </c>
      <c r="CV215">
        <f t="shared" si="399"/>
        <v>1</v>
      </c>
      <c r="CW215" t="str">
        <f t="shared" si="400"/>
        <v>2P</v>
      </c>
      <c r="CX215" t="str">
        <f>_xlfn.LET(_xlpm.cc,UPPER(TRIM(IFERROR(_xlfn.XLOOKUP(AX215,Коды_код,Коды_хар)&amp;"",""))),IF(OR(_xlpm.cc="B",_xlpm.cc="В"),"B",IF(_xlpm.cc="D","D","С")))</f>
        <v>С</v>
      </c>
      <c r="CY215" t="str">
        <f t="shared" si="401"/>
        <v>2P С16А 30мА</v>
      </c>
      <c r="CZ215" t="str">
        <f t="shared" si="402"/>
        <v>2P С16А 30мА</v>
      </c>
      <c r="DA215" t="str">
        <f t="shared" si="403"/>
        <v>2P С16А 30мА</v>
      </c>
      <c r="DB215" cm="1">
        <f t="array" ref="DB215">IF(DA215="","",_xlfn.LET(_xlpm.t,SUBSTITUTE(SUBSTITUTE(SUBSTITUTE(UPPER(DA215),"С","C"),"А","A"),"В","B"),_xlpm.tk,_xlfn.TEXTSPLIT(_xlpm.t,"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5" t="str">
        <f t="shared" si="404"/>
        <v>ok</v>
      </c>
      <c r="DD215">
        <f t="shared" si="405"/>
        <v>16</v>
      </c>
      <c r="DE215" t="str">
        <f t="shared" si="406"/>
        <v>2P С16А 30мА</v>
      </c>
      <c r="DF215">
        <f t="shared" si="407"/>
        <v>30</v>
      </c>
      <c r="DG215">
        <f t="shared" si="408"/>
        <v>1</v>
      </c>
      <c r="DH215">
        <f t="shared" si="409"/>
        <v>0</v>
      </c>
      <c r="DI215">
        <f t="shared" si="410"/>
        <v>0.27348170645824377</v>
      </c>
      <c r="DJ215">
        <f t="shared" si="411"/>
        <v>1</v>
      </c>
      <c r="DK215">
        <f>IF(ISNUMBER(AL215),AL215,К_прокл)</f>
        <v>1</v>
      </c>
      <c r="DL215">
        <f t="shared" si="412"/>
        <v>2</v>
      </c>
      <c r="DM215">
        <f>IFERROR(N(VLOOKUP(BT215,Кабель_обозначение,3,FALSE)),1)</f>
        <v>1</v>
      </c>
      <c r="DN215">
        <f>IFERROR(N(_xlfn.XLOOKUP(A215,Щиты[Щит],Щиты[ΔU до шин, %])),0)</f>
        <v>0.43</v>
      </c>
      <c r="DO215" t="str">
        <f>IFERROR(_xlfn.XLOOKUP(A215,Щиты[Щит],Щиты[Zпетли на шинах, Ом]),"")</f>
        <v/>
      </c>
      <c r="DP215">
        <f>IFERROR(N(_xlfn.XLOOKUP(A215,Щиты[Щит],Щиты[ΔU до шин (подбор), %])),0)</f>
        <v>0.43</v>
      </c>
      <c r="DQ215" t="str">
        <f>IFERROR(_xlfn.XLOOKUP(A215,Щиты[Щит],Щиты[Zпетли на шинах (подбор), Ом]),"")</f>
        <v/>
      </c>
      <c r="DR215" t="str">
        <f t="shared" si="413"/>
        <v/>
      </c>
      <c r="DS215">
        <f t="shared" si="414"/>
        <v>30</v>
      </c>
      <c r="DT215">
        <f t="shared" si="415"/>
        <v>2</v>
      </c>
      <c r="DU215">
        <f t="shared" si="416"/>
        <v>0.31</v>
      </c>
      <c r="DV215" s="6">
        <f>IF(B215="","",IF(IFERROR(VLOOKUP(AX215,УГО_спр,2,FALSE),"")="Светильник",3,4)+IF(Методика="нормы 2026",MIN(0.5,MAX(0,N(Q215)-100)*0.005),0))</f>
        <v>4</v>
      </c>
      <c r="DW215" cm="1">
        <f t="array" ref="DW215">IF(OR(B215="",BT215="",DM215&lt;&gt;1),"",_xlfn.LET(_xlpm.sz,Iдоп_S,_xlpm.t_,CHOOSE(DL215,Iдоп_1ж,Iдоп_2ж,Iдоп_3ж)*DJ215*DK215,_xlpm.inn,N(DD215),_xlpm.smin,MAX(1.5,BW215),_xlpm.L_,N(Q215)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215)*(_xlpm.rho*_xlpm.L_/_xlpm.sz*N(BY215)+_xlpm.xx*_xlpm.L_*N(DU215)/1000)*N(P215)/((Uн_лин/SQRT(3))*1000)*100,999),_xlpm.kz,IF(OR(DG215=1,NOT(ISNUMBER(DQ215)),_xlpm.L_=0,_xlpm.inn=0),1,IFERROR(--(c_min*(Uн_лин*1000/SQRT(3))/(DQ215+2*ρкз_Cu*_xlpm.L_/_xlpm.sz)&gt;=GY215*_xlpm.inn),0)),_xlpm.ok,IFERROR((_xlpm.sz&gt;=_xlpm.smin)*(_xlpm.t_&gt;=_xlpm.inn)*IF(_xlpm.L_&gt;0,(_xlpm.du_+DP215&lt;=DV215+0.00001),1)*_xlpm.kz,0),_xlpm.r_,_xlfn._xlws.FILTER(_xlpm.sz,_xlpm.ok,"не подобрано"),INDEX(_xlpm.r_,1)))</f>
        <v>1.5</v>
      </c>
      <c r="DX215">
        <f t="shared" si="417"/>
        <v>2.5</v>
      </c>
      <c r="DY215" cm="1">
        <f t="array" ref="DY215">IF(OR(B215="",BT215="",DM215&lt;&gt;1),"",_xlfn.LET(_xlpm.sz,Iдоп_S,_xlpm.t_,CHOOSE(DL215,Iдоп_1ж,Iдоп_2ж,Iдоп_3ж)*DJ215*DK215,_xlpm.ok,IFERROR((_xlpm.sz&gt;=MAX(1.5,BW215))*(_xlpm.t_&gt;=N(DD215)),0),_xlpm.r_,_xlfn._xlws.FILTER(_xlpm.sz,_xlpm.ok,""),INDEX(_xlpm.r_,1)))</f>
        <v>1.5</v>
      </c>
      <c r="DZ215" s="6" cm="1">
        <f t="array" ref="DZ215">IFERROR(ROUNDUP(N(DT215)*(_xlfn.XLOOKUP(DY215,INDEX(Кабель_сопротивление,0,1),INDEX(Кабель_сопротивление,0,3))*N(Q215)/DY215*N(BY215)+_xlfn.XLOOKUP(DY215,INDEX(Кабель_сопротивление,0,1),INDEX(Кабель_сопротивление,0,2))*N(Q215)*N(DU215)/1000)*N(P215)/((Uн_лин/SQRT(3))*1000)*100,2),"")</f>
        <v>0.12</v>
      </c>
      <c r="EA215">
        <f>IFERROR(2*ρкз_Cu*N(Q215)/DY215,"")</f>
        <v>1.1572</v>
      </c>
      <c r="EB215">
        <f>IFERROR(VLOOKUP(DX215,Кабель_сопротивление,3,FALSE),"")</f>
        <v>2.2499999999999999E-2</v>
      </c>
      <c r="EC215">
        <f>IFERROR(VLOOKUP(DX215,Кабель_сопротивление,2,FALSE),"")</f>
        <v>0.1</v>
      </c>
      <c r="ED215">
        <f t="shared" si="418"/>
        <v>9</v>
      </c>
      <c r="EE215">
        <f t="shared" si="419"/>
        <v>0</v>
      </c>
      <c r="EF215">
        <f t="shared" si="420"/>
        <v>0.15488527052580051</v>
      </c>
      <c r="EG215" s="6">
        <f>IFERROR(ROUNDUP(EF215/((Uн_лин/SQRT(3))*1000)*100,2),"")</f>
        <v>6.9999999999999993E-2</v>
      </c>
      <c r="EH215" t="str">
        <f>IFERROR(VLOOKUP(BT215,Кабель_обозначение,2,FALSE),"")</f>
        <v>ВВГнг(А)-LS</v>
      </c>
      <c r="EI215" t="str">
        <f t="shared" si="421"/>
        <v>ВВГнг(А)-LS (3х2,5)</v>
      </c>
      <c r="EJ215" t="str">
        <f t="shared" si="422"/>
        <v>ВВГнг(А)-LS (3х2,5)
L=33-0,07%</v>
      </c>
      <c r="EK215">
        <f>IFERROR(2*ρкз_Cu*Q215/DX215,"")</f>
        <v>0.69432000000000005</v>
      </c>
      <c r="EL215">
        <f t="shared" si="423"/>
        <v>0.23100000000000001</v>
      </c>
      <c r="EM215" s="6" t="str">
        <f>IFERROR(IF(OR(B215="",NOT(ISNUMBER(DX215)),N(Q215)=0),"",_xlfn.XLOOKUP(A215,Щиты[Щит],Щиты[Zпетли на шинах, Ом])+EK215),"")</f>
        <v/>
      </c>
      <c r="EN215" s="6" t="str">
        <f>IF(ISNUMBER(EM215),c_min*(Uн_лин*1000/SQRT(3))/EM215,"")</f>
        <v/>
      </c>
      <c r="EO215" s="6" t="str">
        <f>IFERROR(IF(OR(B215="",NOT(ISNUMBER(DX215))),"",1.05*(Uн_лин*1000/SQRT(3))/(_xlfn.XLOOKUP(A215,Щиты[Щит],Щиты[Zmax на шинах, Ом])+EL215)/1000),"")</f>
        <v/>
      </c>
      <c r="EP215" s="6" t="str">
        <f>IF(B215="","",IF(ISNUMBER(Y215),"Сил",IF(IFERROR(_xlfn.XLOOKUP(AX215,Коды_код,Коды_группа)&amp;"","")="","Быт",_xlfn.XLOOKUP(AX215,Коды_код,Коды_группа)&amp;"")))</f>
        <v>Быт</v>
      </c>
      <c r="EQ215" s="6" t="str">
        <f t="shared" si="424"/>
        <v>Быт</v>
      </c>
      <c r="ER215" s="6">
        <f>IF(EQ215="Щит","щит",IF(EQ215="","",IF(EQ215="Быт",IFERROR(_xlfn.XLOOKUP(A215,Щиты[Щит],Щиты[Кс быт]),1),IF(EQ215="Сил",IF(ISNUMBER(Y215),Y215,IF(Методика="нормы 2026",IFERROR(_xlfn.XLOOKUP(A215,Щиты[Щит],Щиты[Кс силовых (табл. 7.5)]),1),1)),IF(OR(EQ215="Пост",EQ215="Отоп"),1,IF(EQ215="ВНГ",0.7,0))))))</f>
        <v>0.79799999999999993</v>
      </c>
      <c r="ES215">
        <f t="shared" si="425"/>
        <v>1</v>
      </c>
      <c r="ET215">
        <f t="shared" si="426"/>
        <v>0.06</v>
      </c>
      <c r="EU215">
        <f t="shared" si="427"/>
        <v>0.06</v>
      </c>
      <c r="EV215">
        <f t="shared" si="428"/>
        <v>0</v>
      </c>
      <c r="EW215">
        <f t="shared" si="429"/>
        <v>0</v>
      </c>
      <c r="EX215">
        <f t="shared" si="430"/>
        <v>0</v>
      </c>
      <c r="EY215">
        <f t="shared" si="431"/>
        <v>0</v>
      </c>
      <c r="EZ215">
        <f t="shared" si="432"/>
        <v>0.06</v>
      </c>
      <c r="FA215">
        <f t="shared" si="433"/>
        <v>5.6999999999999995E-2</v>
      </c>
      <c r="FB215">
        <f t="shared" si="434"/>
        <v>0.06</v>
      </c>
      <c r="FC215" t="str">
        <f t="shared" si="435"/>
        <v>L2</v>
      </c>
      <c r="FD215" t="str">
        <f>IF(B215="","",IF(CA215=0,IF(AW215=1,"",FF214),IF(OR(N(CV215)&gt;=3,N(BR215)&gt;=3),"L1,L2,L3",IFERROR(_xlfn.TEXTBEFORE(_xlfn.TEXTAFTER(_xlfn.XLOOKUP(A215,Щиты[Щит],Щиты[_фазы авто]),";"&amp;AW215&amp;":"),";"),"L1"))))</f>
        <v>L1</v>
      </c>
      <c r="FE215" t="str">
        <f t="shared" si="436"/>
        <v>L2</v>
      </c>
      <c r="FF215" t="str">
        <f t="shared" si="437"/>
        <v>L2</v>
      </c>
      <c r="FG215" cm="1">
        <f t="array" ref="FG215">IFERROR(IF(BX215=2,_xlfn.IFS(BR215=3,VLOOKUP(BN215,Справочная_двигатели,3,FALSE),BR215=1,VLOOKUP(BN215,Справочная_двигатели,5,TRUE)),0),0)</f>
        <v>0</v>
      </c>
      <c r="FH215">
        <f>IFERROR(IF(BX215=3,VLOOKUP(BN215,Справочная_ЛЭД,2,TRUE),0),0)</f>
        <v>0</v>
      </c>
      <c r="FI215" s="6">
        <f t="shared" si="438"/>
        <v>0</v>
      </c>
      <c r="FJ215" t="str" cm="1">
        <f t="array" ref="FJ215">IF(B215="","",IFERROR(INDEX({"I особая","I","II","III"},MATCH(TRIM(AC215&amp;""),{"I особая","I","II","III"},0)),"III"))</f>
        <v>II</v>
      </c>
      <c r="FK215" t="str">
        <f>IF(B215="","",IF(TRIM(AD215&amp;"")&lt;&gt;"",IF(LOWER(TRIM(AD215&amp;""))="да","да","нет"),IF(IFERROR(_xlfn.XLOOKUP(AX215,Коды_код,Коды_пожарная),"")="да","да","нет")))</f>
        <v>нет</v>
      </c>
      <c r="FL215" t="str">
        <f t="shared" si="439"/>
        <v/>
      </c>
      <c r="FM215" t="str">
        <f t="shared" si="440"/>
        <v>основная</v>
      </c>
      <c r="FN215">
        <f t="shared" si="441"/>
        <v>1</v>
      </c>
      <c r="FO215" t="str" cm="1">
        <f t="array" ref="FO215">IF(B215="","",_xlfn.LET(_xlpm.t,IFERROR(_xlfn.XLOOKUP(1,(Шины[Шина]=FM215)*(((Шины[Щит]=A215)+(Шины[Щит]=""))&gt;0),Шины[Тип]),"")&amp;"",IF(_xlpm.t&lt;&gt;"",_xlpm.t,IF(ISNUMBER(SEARCH("ИБП",FM215)),"ИБП",IF(ISNUMBER(SEARCH("ДГУ",FM215)),"ДГУ","Ввод "&amp;FN215)))))</f>
        <v>Ввод 1</v>
      </c>
      <c r="FP215" t="str">
        <f t="shared" si="442"/>
        <v>Ввод 1</v>
      </c>
      <c r="FQ215" t="str">
        <f>IF(B215="","",IF(OR(FO215="ИБП",FO215="ДГУ"),"I особая",IF(FO215="Одиночная","III",_xlfn.XLOOKUP(A215,Щиты[Щит],Щиты[Категория шины «Ввод»],"III"))))</f>
        <v>II</v>
      </c>
      <c r="FR215">
        <f>IF(B215="",0,IFERROR(MATCH(FJ215,{"III","II","I","I особая"},0),1))</f>
        <v>2</v>
      </c>
      <c r="FS215">
        <f t="shared" si="443"/>
        <v>2</v>
      </c>
      <c r="FT215" t="str">
        <f>IF(B215="","",IF(FR215&gt;IFERROR(MATCH(FQ215,{"III","II","I","I особая"},0),1),"НЕ ОБЕСПЕЧЕНА","ОК"))</f>
        <v>ОК</v>
      </c>
      <c r="FU215" t="str">
        <f>IF(A215="","",_xlfn.XLOOKUP(A215,Щиты[Щит],Щиты[Путь],""))</f>
        <v>|ГРЩ-ЖД|ЩР-01|</v>
      </c>
      <c r="FV215" t="str">
        <f>IF(B215="","",IF(AE215&lt;&gt;"",AE215,IF(IFERROR(_xlfn.XLOOKUP(AX215,Коды_код,Коды_вид)&amp;"","")="","Прочее",_xlfn.XLOOKUP(AX215,Коды_код,Коды_вид)&amp;"")))</f>
        <v>Розеточная сеть и бытовые приборы</v>
      </c>
      <c r="FW215">
        <f>IF(BH215="","",INT((BH215-1)/Столбцов_на_лист)+1)</f>
        <v>4</v>
      </c>
      <c r="FX215" t="str">
        <f t="shared" si="444"/>
        <v>ВВГнг(А)-LS (3х2,5) L=33-0,07%</v>
      </c>
      <c r="FY215">
        <f t="shared" si="445"/>
        <v>0.06</v>
      </c>
      <c r="FZ215">
        <f t="shared" si="446"/>
        <v>0.28000000000000003</v>
      </c>
      <c r="GA215">
        <f t="shared" si="447"/>
        <v>1</v>
      </c>
      <c r="GB215">
        <f t="shared" si="448"/>
        <v>0</v>
      </c>
      <c r="GC215">
        <f t="shared" si="449"/>
        <v>1</v>
      </c>
      <c r="GD215">
        <f>IF(BH215="","",IF(AND(CA215=1,GC215=1),COUNTIFS(A$3:A215,A215,CA$3:CA215,1,GC$3:GC215,1),IF(OR(OR(AW215=1,A215&lt;&gt;A214),AF215="вручную",GC215=0),"",IF(AW215=1,"",GE214))))</f>
        <v>31</v>
      </c>
      <c r="GE215">
        <f t="shared" si="450"/>
        <v>31</v>
      </c>
      <c r="GF215">
        <f>IF(B215="","",IFERROR(LOOKUP(INDEX(CHOOSE(DL215,Iдоп_1ж,Iдоп_2ж,Iдоп_3ж),MATCH(DX215,Iдоп_S,0))*DJ215*DK215,{6,10,16,20,25,32,40,50,63,80,100,125,160,200,250,315,400,500,630}),""))</f>
        <v>25</v>
      </c>
      <c r="GG215" t="str">
        <f t="shared" si="451"/>
        <v>QFD31</v>
      </c>
      <c r="GH215" t="str">
        <f t="shared" si="452"/>
        <v>QFD31</v>
      </c>
      <c r="GI215" t="str">
        <f t="shared" si="453"/>
        <v/>
      </c>
      <c r="GJ215">
        <f t="shared" si="454"/>
        <v>0</v>
      </c>
      <c r="GK215" t="str">
        <f>IF(OR(AG215="",AG215="-"),"",IFERROR(VLOOKUP(AG215,Модули_спр,2,FALSE),"R"))</f>
        <v/>
      </c>
      <c r="GL215" t="str">
        <f>IF(GK215="","",GK215&amp;"."&amp;COUNTIFS(A$3:A215,A215,GK$3:GK215,GK215))</f>
        <v/>
      </c>
      <c r="GM215" t="str">
        <f t="shared" si="455"/>
        <v/>
      </c>
      <c r="GN215" t="str">
        <f t="shared" si="456"/>
        <v/>
      </c>
      <c r="GO215" t="str">
        <f t="shared" si="457"/>
        <v/>
      </c>
      <c r="GP215" t="str">
        <f t="shared" si="458"/>
        <v/>
      </c>
      <c r="GQ215">
        <f t="shared" si="459"/>
        <v>1</v>
      </c>
      <c r="GR215" t="str">
        <f>IF(GQ215=1,"XT"&amp;COUNTIFS(A$3:A215,A215,GQ$3:GQ215,1),"")</f>
        <v>XT31</v>
      </c>
      <c r="GS215" t="str">
        <f t="shared" si="460"/>
        <v/>
      </c>
      <c r="GT215" t="str">
        <f t="shared" si="461"/>
        <v>QFD31</v>
      </c>
      <c r="GU215" t="str">
        <f t="shared" si="462"/>
        <v/>
      </c>
      <c r="GV215" t="str">
        <f t="shared" si="463"/>
        <v>ok</v>
      </c>
      <c r="GW215" t="str">
        <f>IF(OR(GO215="",GM215=""),"",IF(GO215&gt;IFERROR(VLOOKUP(GN215,Модули_спр,3,FALSE),99),"ЛИШНИЙ КАНАЛ",IF(AND(AH215&lt;&gt;"=",COUNTIFS(Линии[_модуль гр.],GM215,Линии[Канал (итог)],GO215,Линии[Канал],"&lt;&gt;=",Линии[Щит],A215)&gt;1),"ДУБЛЬ КАНАЛА","")))</f>
        <v/>
      </c>
      <c r="GX215" s="6" t="str">
        <f t="shared" si="464"/>
        <v/>
      </c>
      <c r="GY215">
        <f t="shared" si="465"/>
        <v>10</v>
      </c>
      <c r="GZ215" t="str">
        <f t="shared" si="466"/>
        <v/>
      </c>
      <c r="HA215" t="str">
        <f>IF(AND(B215="",GT215=""),"",_xlfn.TEXTJOIN("; ",TRUE,IF(AND(B215&lt;&gt;"",FE215=""),"нет фазы",""),IF(AND(B215&lt;&gt;"",N(FY215)=0,EQ215&lt;&gt;"Нет"),"нет мощности",""),IF(AND(GS215&lt;&gt;"",COUNTIFS(Линии[Щит],A215,Линии[Клемма (итог)],GS215)&gt;1),"дубль клеммы "&amp;GS215,""),IF(AND(GV215&lt;&gt;"",GV215&lt;&gt;"ok"),GV215,""),IF(GW215&lt;&gt;"",GW215,""),IF(AND(N(BV215)&gt;=4,N(BR215)=1),BV215&amp;" жил на 1 фазе",""),IF(AND(AX215="R",CA215=1,OR(N(CK215)=0,N(CK215)&gt;30)),"розетка без дифзащиты до 30 мА",""),IFERROR(IF(AND(ISNUMBER(R215),R215&gt;DV215),"потери "&amp;FIXED(R215,1)&amp;" % &gt; "&amp;DV215&amp;" %",""),""),IFERROR(IF(LEFT(GZ215,4)="мало","Iкз мало — отключение &gt; 0,4 с",""),""),IF(AND(B215&lt;&gt;"",BH215=""),"не на схеме",""),IF(AND(CA215=0,B215&lt;&gt;"",FE215&lt;&gt;"",IF(AW215=1,"",FF214)&lt;&gt;"",FE215&lt;&gt;IF(AW215=1,"",FF214)),"фаза не как у автомата группы ("&amp;IF(AW215=1,"",FF214)&amp;")","")))</f>
        <v/>
      </c>
      <c r="HB215" s="6">
        <f>IF(OR(CA215=0,DA215=""),"",_xlfn.LET(_xlpm.t,IFERROR(_xlfn.XLOOKUP(DA215,Каталог!$U$4:$U$500,Каталог!$G$4:$G$500),""),_xlpm.k,SEARCH("кА",_xlpm.t),IFERROR(--TRIM(RIGHT(SUBSTITUTE(MID(_xlpm.t,MAX(1,_xlpm.k-4),_xlpm.k-MAX(1,_xlpm.k-4))," ",REPT(" ",9)),5)),"")))</f>
        <v>6</v>
      </c>
      <c r="HC215" t="str">
        <f>IF(OR(HB215="",CA215=0),"",IF(_xlfn.XLOOKUP(A215,Щиты[Щит],Щиты[Iкз max на шинах, кА],"")="","",IF(HB215&lt;_xlfn.XLOOKUP(A215,Щиты[Щит],Щиты[Iкз max на шинах, кА]),"Icu "&amp;HB215&amp;" кА &lt; Iкз max","ok")))</f>
        <v/>
      </c>
      <c r="HD215" t="str">
        <f t="shared" si="467"/>
        <v/>
      </c>
      <c r="HE215" t="str">
        <f t="shared" si="468"/>
        <v>QFD31</v>
      </c>
      <c r="HF215" t="str">
        <f t="shared" si="469"/>
        <v>QFD31|кабель ВВГнг(А)-LS (3х2,5) → Розеточная группа, пом. 018Б</v>
      </c>
      <c r="HG215" t="str" cm="1">
        <f t="array" ref="HG215">IF(HF215="","",_xlfn.LET(_xlpm.nd,_xlfn.TEXTSPLIT(HF215,"|"),IF(COLUMNS(_xlpm.nd)&gt;1,A215&amp;"¦"&amp;INDEX(_xlpm.nd,1)&amp;"¦"&amp;INDEX(_xlpm.nd,2),"")))</f>
        <v>ЩР-01¦QFD31¦кабель ВВГнг(А)-LS (3х2,5) → Розеточная группа, пом. 018Б</v>
      </c>
      <c r="HH215" t="str">
        <f t="shared" si="470"/>
        <v>R.0.018Б.1¦Розеточная группа, пом. 018Б</v>
      </c>
      <c r="HI215" t="str" cm="1">
        <f t="array" ref="HI215">IF(HF215="","",_xlfn.LET(_xlpm.nd,_xlfn.TEXTSPLIT(HF215,"|"),IF(COLUMNS(_xlpm.nd)&gt;2,A215&amp;"¦"&amp;INDEX(_xlpm.nd,2)&amp;"¦"&amp;INDEX(_xlpm.nd,3),"")))</f>
        <v/>
      </c>
      <c r="HJ215" t="str">
        <f t="shared" si="471"/>
        <v/>
      </c>
      <c r="HK215" t="str" cm="1">
        <f t="array" ref="HK215">IF(HF215="","",_xlfn.LET(_xlpm.nd,_xlfn.TEXTSPLIT(HF215,"|"),IF(COLUMNS(_xlpm.nd)&gt;3,A215&amp;"¦"&amp;INDEX(_xlpm.nd,3)&amp;"¦"&amp;INDEX(_xlpm.nd,4),"")))</f>
        <v/>
      </c>
      <c r="HL215" t="str">
        <f t="shared" si="472"/>
        <v/>
      </c>
      <c r="HM215" t="str" cm="1">
        <f t="array" ref="HM215">IF(HF215="","",_xlfn.LET(_xlpm.nd,_xlfn.TEXTSPLIT(HF215,"|"),IF(COLUMNS(_xlpm.nd)&gt;4,A215&amp;"¦"&amp;INDEX(_xlpm.nd,4)&amp;"¦"&amp;INDEX(_xlpm.nd,5),"")))</f>
        <v/>
      </c>
      <c r="HN215" t="str">
        <f t="shared" si="473"/>
        <v/>
      </c>
      <c r="HO215" t="str" cm="1">
        <f t="array" ref="HO215">IF(HF215="","",_xlfn.LET(_xlpm.nd,_xlfn.TEXTSPLIT(HF215,"|"),IF(COLUMNS(_xlpm.nd)&gt;5,A215&amp;"¦"&amp;INDEX(_xlpm.nd,5)&amp;"¦"&amp;INDEX(_xlpm.nd,6),"")))</f>
        <v/>
      </c>
      <c r="HP215" t="str">
        <f t="shared" si="474"/>
        <v/>
      </c>
      <c r="HQ215" t="str" cm="1">
        <f t="array" ref="HQ215">IF(HF215="","",_xlfn.LET(_xlpm.nd,_xlfn.TEXTSPLIT(HF215,"|"),IF(COLUMNS(_xlpm.nd)&gt;6,A215&amp;"¦"&amp;INDEX(_xlpm.nd,6)&amp;"¦"&amp;INDEX(_xlpm.nd,7),"")))</f>
        <v/>
      </c>
      <c r="HR215" t="str">
        <f t="shared" si="475"/>
        <v/>
      </c>
      <c r="HS215" t="str">
        <f t="shared" si="476"/>
        <v/>
      </c>
      <c r="HT215" t="str">
        <f t="shared" si="477"/>
        <v>QFD31</v>
      </c>
      <c r="HU215">
        <f t="shared" si="478"/>
        <v>0</v>
      </c>
      <c r="HV215">
        <f t="shared" si="479"/>
        <v>1</v>
      </c>
      <c r="HW215" t="str">
        <f t="shared" si="480"/>
        <v/>
      </c>
      <c r="HX215" t="str">
        <f t="shared" si="481"/>
        <v/>
      </c>
      <c r="HY215" t="str">
        <f t="shared" si="482"/>
        <v/>
      </c>
      <c r="HZ215" t="str">
        <f t="shared" si="483"/>
        <v/>
      </c>
      <c r="IA215" t="str">
        <f>IF(B215="","",IFERROR(VLOOKUP(B215,УГО_спр,2,FALSE),IFERROR(VLOOKUP(AX215,УГО_спр,2,FALSE),IFERROR(VLOOKUP(LEFT(AX215,2),УГО_спр,2,FALSE),""))))</f>
        <v>Розетка</v>
      </c>
      <c r="IB215" t="str">
        <f>IF(B215="","",IF(OR(IA215="",IA215=0),"BOX",IFERROR(IF(VLOOKUP(IA215,УГО_блоки,3,FALSE)&amp;""&lt;&gt;"",VLOOKUP(IA215,УГО_блоки,3,FALSE),VLOOKUP(IA215,УГО_блоки,2,FALSE)),IA215)))</f>
        <v>SOCKET</v>
      </c>
      <c r="IC215">
        <f t="shared" si="484"/>
        <v>1</v>
      </c>
      <c r="ID215" t="str">
        <f>IF(DA215="","",IF(COUNTIF(DA$3:DA215,DA215)=1,MAX(ID$2:ID214)+1,""))</f>
        <v/>
      </c>
      <c r="IE215" t="str">
        <f>IF(CO215="","",IF(COUNTIF(CO$3:CO215,CO215)+COUNTIF(CP$2:CP214,CO215)+COUNTIF(CQ$2:CQ214,CO215)=1,MAX(IE$2:IG214)+1,""))</f>
        <v/>
      </c>
      <c r="IF215" t="str">
        <f>IF(CP215="","",IF(COUNTIF(CO$3:CO215,CP215)+COUNTIF(CP$3:CP215,CP215)+COUNTIF(CQ$2:CQ214,CP215)=1,MAX(IE$2:IG214,IE215)+1,""))</f>
        <v/>
      </c>
      <c r="IG215" t="str">
        <f>IF(CQ215="","",IF(COUNTIF(CO$3:CO215,CQ215)+COUNTIF(CP$3:CP215,CQ215)+COUNTIF(CQ$3:CQ215,CQ215)=1,MAX(IE$2:IG214,IE215,IF215)+1,""))</f>
        <v/>
      </c>
      <c r="IH215" t="str">
        <f t="shared" si="485"/>
        <v>3х2,5</v>
      </c>
      <c r="II215" t="str">
        <f>IF(IH215="","",IF(COUNTIF(IH$3:IH215,IH215)=1,MAX(II$2:II214)+1,""))</f>
        <v/>
      </c>
      <c r="IJ215" t="str">
        <f>IF(GL215="","",COUNTIF(GL$3:GL215,"?*"))</f>
        <v/>
      </c>
      <c r="IK215" t="str">
        <f>IF(OR(GL215="",GN215=""),"",IF(COUNTIFS(GL$3:GL215,"?*",GN$3:GN215,GN215)=1,MAX(IK$2:IK214)+1,""))</f>
        <v/>
      </c>
      <c r="IL215">
        <f t="shared" si="486"/>
        <v>0</v>
      </c>
      <c r="IM215">
        <f>IF(B215="","",COUNTIF(B$3:B215,"?*"))</f>
        <v>213</v>
      </c>
      <c r="IN215">
        <f>IF(GQ215&lt;&gt;1,0,_xlfn.LET(_xlpm.k,MAX(IFERROR(--VLOOKUP(B215,УГО_спр,5,FALSE),0),IFERROR(--VLOOKUP(AX215,УГО_спр,5,FALSE),0),IFERROR(--VLOOKUP(LEFT(AX215,2),УГО_спр,5,FALSE),0)),IF(_xlpm.k&gt;0,_xlpm.k,IF(IFERROR(--LEFT(SUBSTITUTE(IH215,"x","х"),FIND("х",SUBSTITUTE(IH215,"x","х"))-1),3)&gt;3,Каталог!$S$9,1))))</f>
        <v>1</v>
      </c>
      <c r="IO215">
        <f t="shared" si="487"/>
        <v>0</v>
      </c>
      <c r="IP215" t="str">
        <f t="shared" si="488"/>
        <v>авто</v>
      </c>
      <c r="IQ215">
        <f t="shared" si="489"/>
        <v>30</v>
      </c>
      <c r="IR215">
        <f t="shared" si="490"/>
        <v>1</v>
      </c>
      <c r="IS215">
        <f t="shared" si="491"/>
        <v>1</v>
      </c>
    </row>
    <row r="216" spans="1:253" x14ac:dyDescent="0.3">
      <c r="A216" t="s">
        <v>757</v>
      </c>
      <c r="B216" t="s">
        <v>1482</v>
      </c>
      <c r="C216" t="str">
        <f>Линии[[#This Row],[_авто наименование]]</f>
        <v>Розеточная группа, пом. 021A</v>
      </c>
      <c r="D216">
        <v>4</v>
      </c>
      <c r="E216">
        <v>0.24</v>
      </c>
      <c r="G216" t="str">
        <f>Линии[[#This Row],[_авто автомат]]</f>
        <v>2P С16А 30мА</v>
      </c>
      <c r="H216">
        <f>Линии[[#This Row],[_авто утечка]]</f>
        <v>30</v>
      </c>
      <c r="I216" t="str">
        <f>Линии[[#This Row],[_авто управление]]</f>
        <v/>
      </c>
      <c r="J216" t="str">
        <f>Линии[[#This Row],[_авто аппараты]]</f>
        <v/>
      </c>
      <c r="K216">
        <v>2.5</v>
      </c>
      <c r="L216">
        <v>51</v>
      </c>
      <c r="M216">
        <v>3</v>
      </c>
      <c r="N216" t="s">
        <v>486</v>
      </c>
      <c r="O216" t="str">
        <f t="shared" si="369"/>
        <v/>
      </c>
      <c r="P216" s="6" cm="1">
        <f t="array" ref="P216">IF(B216="","",IF(BC216&lt;&gt;"",IFERROR(_xlfn.XLOOKUP(BC216,Щиты[Щит],Щиты[Iр, А]),""),IF(BK216=1,IFERROR(_xlfn.XLOOKUP(A216,Щиты[Щит],Щиты[Iр, А]),""),IFERROR(_xlfn.IFS(BR216=1,BN216/((Uн_лин/SQRT(3))*BY216),BR216=3,BN216/(SQRT(3)*Uн_лин*BY216)),""))))</f>
        <v>1.0939268258329751</v>
      </c>
      <c r="Q216" s="7">
        <f>IF(B216="","",IFERROR(IF(VLOOKUP(AX216,Потребители_обозначение,4,FALSE)=1,VLOOKUP(AX216,Потребители_обозначение,3,FALSE)*(D216*2-1)+DS216+VLOOKUP(AZ216,Этаж_обозначение,3,FALSE)+VLOOKUP(AZ216,Этаж_обозначение,4,FALSE),VLOOKUP(AX216,Потребители_обозначение,3,FALSE)*(D216*2-1)+DS216),DS216))</f>
        <v>72</v>
      </c>
      <c r="R216" s="6">
        <f t="shared" si="370"/>
        <v>1.02</v>
      </c>
      <c r="S216" t="str">
        <f t="shared" si="371"/>
        <v>ВВГнг(А)-LS (3х2,5)</v>
      </c>
      <c r="T216" t="str">
        <f>IF(BH216="","",IF(BI216="вводной узел","узел ","")&amp;"л."&amp;(INT((BH216-1)/Столбцов_на_лист)+1)&amp;" / "&amp;(MOD(BH216-1,Столбцов_на_лист)+1))</f>
        <v>л.4 / 2</v>
      </c>
      <c r="V216">
        <v>1</v>
      </c>
      <c r="W216">
        <v>230</v>
      </c>
      <c r="X216" t="s">
        <v>564</v>
      </c>
      <c r="AC216" t="s">
        <v>815</v>
      </c>
      <c r="AE216" t="s">
        <v>563</v>
      </c>
      <c r="AI216">
        <v>53</v>
      </c>
      <c r="AJ216" t="s">
        <v>11</v>
      </c>
      <c r="AK216">
        <v>3</v>
      </c>
      <c r="AM216">
        <v>49</v>
      </c>
      <c r="AN216">
        <v>14</v>
      </c>
      <c r="AO216">
        <v>9</v>
      </c>
      <c r="AW216" cm="1">
        <f t="array" ref="AW216">ROW()-ROW(Линии[#Headers])</f>
        <v>214</v>
      </c>
      <c r="AX216" s="6" t="str">
        <f t="shared" si="372"/>
        <v>R</v>
      </c>
      <c r="AY216" t="str">
        <f t="shared" si="373"/>
        <v>0.021A.1</v>
      </c>
      <c r="AZ216" t="str">
        <f t="shared" si="374"/>
        <v>0</v>
      </c>
      <c r="BA216" t="str">
        <f t="shared" si="375"/>
        <v>021A.1</v>
      </c>
      <c r="BB216" t="str">
        <f t="shared" si="376"/>
        <v>021A</v>
      </c>
      <c r="BC216" t="str">
        <f>IF(U216&lt;&gt;"",U216,IF(AND(B216&lt;&gt;"",B216&lt;&gt;A216,ISNUMBER(_xlfn.XMATCH(B216,Щиты[Щит]))),B216,""))</f>
        <v/>
      </c>
      <c r="BD216" t="str" cm="1">
        <f t="array" ref="BD216">IF(B216="","",IF(BC216&lt;&gt;"","Щит "&amp;BC216,_xlfn.LET(_xlpm.nm,IFERROR(_xlfn.XLOOKUP(AX216,Коды_код,Коды_имя)&amp;"",""),_xlpm.md,IFERROR(N(_xlfn.XLOOKUP(AX216,Коды_код,Коды_режим)),1),_xlpm.ex,IF(Имя_режим="по экспликации",IFERROR(_xlfn.XLOOKUP(AZ216&amp;"|"&amp;BB216,Экспликация[Этаж]&amp;"|"&amp;Экспликация[Помещение],Экспликация[Название])&amp;"",""),""),_xlpm.rm,IF(BB216="","",IF(_xlpm.ex&lt;&gt;"",". "&amp;_xlpm.ex&amp;IF(Имя_пом="нет"," ("&amp;BB216&amp;")"," (пом. "&amp;BB216&amp;")"),IF(Имя_пом="нет"," ",", пом. ")&amp;BB216)),IF(_xlpm.nm="","",IF(_xlpm.md=2,_xlpm.nm&amp;" шлейф "&amp;AZ216,_xlpm.nm&amp;_xlpm.rm)))))</f>
        <v>Розеточная группа, пом. 021A</v>
      </c>
      <c r="BE216" t="str">
        <f t="shared" si="377"/>
        <v>Розеточная группа, пом. 021A</v>
      </c>
      <c r="BF216">
        <f>IFERROR(_xlfn.XMATCH(A216,Щиты[Щит]),0)</f>
        <v>9</v>
      </c>
      <c r="BG216">
        <f>_xlfn.LET(_xlpm.k,IFERROR(_xlfn.XLOOKUP(A216,Щиты[Щит],Щиты[Листов под вводной узел]),""),IF(_xlpm.k="",1,N(_xlpm.k))*Столбцов_на_лист)</f>
        <v>17</v>
      </c>
      <c r="BH216">
        <f t="shared" si="378"/>
        <v>53</v>
      </c>
      <c r="BI216" t="str">
        <f t="shared" si="379"/>
        <v>линии</v>
      </c>
      <c r="BJ216" s="6">
        <f>IFERROR(N(_xlfn.XLOOKUP(AX216,Коды_код,Коды_квт)),0)</f>
        <v>0</v>
      </c>
      <c r="BK216">
        <f t="shared" si="380"/>
        <v>0</v>
      </c>
      <c r="BL216" t="str">
        <f>IF(B216="","",IF(BC216&lt;&gt;"",IFERROR(_xlfn.XLOOKUP(BC216,Щиты[Щит],Щиты[Руст, кВт]),0),IF(BK216=1,IFERROR(_xlfn.XLOOKUP(A216,Щиты[Щит],Щиты[Руст, кВт]),0),IF(BJ216&gt;0,ROUND(BJ216*MAX(1,N(D216)),3),""))))</f>
        <v/>
      </c>
      <c r="BM216">
        <f t="shared" si="381"/>
        <v>0.24</v>
      </c>
      <c r="BN216" s="6">
        <f>IF(B216="","",IF(BC216&lt;&gt;"",IFERROR(_xlfn.XLOOKUP(BC216,Щиты[Щит],Щиты[Руст, кВт]),0),N(BM216)))</f>
        <v>0.24</v>
      </c>
      <c r="BO216" t="str">
        <f>IF(B216="","",IFERROR(IF(VLOOKUP(AX216,Потребители_обозначение,8,FALSE)=0,"",VLOOKUP(AX216,Потребители_обозначение,8,FALSE)),""))</f>
        <v/>
      </c>
      <c r="BP216">
        <f t="shared" si="382"/>
        <v>230</v>
      </c>
      <c r="BQ216">
        <f>IF(B216="","",IF(BC216&lt;&gt;"",3,IFERROR(IF(N(VLOOKUP(AX216,Потребители_обозначение,9,FALSE))=0,1,VLOOKUP(AX216,Потребители_обозначение,9,FALSE)),1)))</f>
        <v>1</v>
      </c>
      <c r="BR216">
        <f t="shared" si="383"/>
        <v>1</v>
      </c>
      <c r="BS216" t="str">
        <f>IF(B216="","",_xlfn.LET(_xlpm.bc,IFERROR(IF(VLOOKUP(AX216,Потребители_обозначение,6,FALSE)=0,"",VLOOKUP(AX216,Потребители_обозначение,6,FALSE)&amp;""),""),IF(AND(FK216="да",OR(_xlpm.bc="",_xlpm.bc="мс")),Марка_пож,IF(AND(_xlpm.bc="",BC216&lt;&gt;""),"мс",_xlpm.bc))))</f>
        <v/>
      </c>
      <c r="BT216" t="str">
        <f t="shared" si="384"/>
        <v>мс</v>
      </c>
      <c r="BU216">
        <f>IF(B216="","",_xlfn.LET(_xlpm.cc,IFERROR(N(VLOOKUP(AX216,Потребители_обозначение,7,FALSE)),0),IF(_xlpm.cc&gt;0,_xlpm.cc,IF(BT216="","",IF(N(BR216)=3,5,3)))))</f>
        <v>3</v>
      </c>
      <c r="BV216">
        <f t="shared" si="385"/>
        <v>3</v>
      </c>
      <c r="BW216">
        <f>IFERROR(N(VLOOKUP(AX216,Потребители_обозначение,10,FALSE)),0)</f>
        <v>0</v>
      </c>
      <c r="BX216">
        <f>IFERROR(VLOOKUP(AX216,Потребители_обозначение,5,FALSE),0)</f>
        <v>1</v>
      </c>
      <c r="BY216" s="6" cm="1">
        <f t="array" ref="BY216">IF(B216="","",IF(BC216&lt;&gt;"",IFERROR(_xlfn.XLOOKUP(BC216,Щиты[Щит],Щиты[cos φ]),0.95),IF(BK216=1,IFERROR(_xlfn.XLOOKUP(A216,Щиты[Щит],Щиты[cos φ]),0.95),IF(ISNUMBER(Z216),Z216,IFERROR(IF(BX216=2,_xlfn.IFS(BR216=3,VLOOKUP(BN216,Справочная_двигатели,8,FALSE),BR216=1,VLOOKUP(BN216,Справочная_двигатели,10,TRUE)),IF(AND(Методика="нормы 2026",EQ216="Сил"),0.8,0.95)),0.95)))))</f>
        <v>0.95</v>
      </c>
      <c r="BZ216">
        <f t="shared" si="386"/>
        <v>0</v>
      </c>
      <c r="CA216">
        <f t="shared" si="387"/>
        <v>1</v>
      </c>
      <c r="CB216">
        <f t="shared" si="388"/>
        <v>0</v>
      </c>
      <c r="CC216">
        <f t="shared" si="389"/>
        <v>0</v>
      </c>
      <c r="CD216">
        <f t="shared" si="390"/>
        <v>0</v>
      </c>
      <c r="CE216">
        <f t="shared" si="391"/>
        <v>0</v>
      </c>
      <c r="CF216">
        <f t="shared" si="392"/>
        <v>0</v>
      </c>
      <c r="CG216">
        <f>IF(AX216="",0,_xlfn.LET(_xlpm.v,IFERROR(VLOOKUP(B216,УГО_спр,3,FALSE),IFERROR(VLOOKUP(AX216,УГО_спр,3,FALSE),IFERROR(VLOOKUP(LEFT(AX216,2),УГО_спр,3,FALSE),""))),IF(_xlpm.v="да",30,IF(ISNUMBER(_xlpm.v),_xlpm.v,0))))</f>
        <v>30</v>
      </c>
      <c r="CH216">
        <f t="shared" si="393"/>
        <v>30</v>
      </c>
      <c r="CI216" t="str">
        <f>_xlfn.LET(_xlpm.k,IFERROR(_xlfn.XLOOKUP(AX216,Коды_код,Коды_утечка)&amp;"",""),IF(_xlpm.k="","дифавтомат",_xlpm.k))</f>
        <v>дифавтомат</v>
      </c>
      <c r="CJ216">
        <f t="shared" si="394"/>
        <v>30</v>
      </c>
      <c r="CK216">
        <f t="shared" si="395"/>
        <v>30</v>
      </c>
      <c r="CL216">
        <f>IF(B216="",0,IFERROR(--VLOOKUP(B216,УГО_спр,4,FALSE),IFERROR(--VLOOKUP(AX216,УГО_спр,4,FALSE),IFERROR(--VLOOKUP(LEFT(AX216,2),УГО_спр,4,FALSE),0))))</f>
        <v>16</v>
      </c>
      <c r="CM216" t="str">
        <f>IF(B216="","",IFERROR(_xlfn.XLOOKUP(AX216,Коды_код,Коды_апп)&amp;"",""))</f>
        <v/>
      </c>
      <c r="CN216" t="str">
        <f t="shared" si="396"/>
        <v/>
      </c>
      <c r="CO216" t="str" cm="1">
        <f t="array" ref="CO216">IF(TRIM(CN216&amp;"")="","",IFERROR(TRIM(INDEX(_xlfn.TEXTSPLIT(CN216&amp;";;;",";"),1)),""))</f>
        <v/>
      </c>
      <c r="CP216" t="str" cm="1">
        <f t="array" ref="CP216">IF(TRIM(CN216&amp;"")="","",IFERROR(TRIM(INDEX(_xlfn.TEXTSPLIT(CN216&amp;";;;",";"),2)),""))</f>
        <v/>
      </c>
      <c r="CQ216" t="str" cm="1">
        <f t="array" ref="CQ216">IF(TRIM(CN216&amp;"")="","",IFERROR(TRIM(INDEX(_xlfn.TEXTSPLIT(CN216&amp;";;;",";"),3)),""))</f>
        <v/>
      </c>
      <c r="CR216">
        <f t="shared" si="397"/>
        <v>0</v>
      </c>
      <c r="CS216" t="str">
        <f>IF(B216="","",_xlfn.LET(_xlpm.t,LOWER(AV216&amp;""),IF(ISNUMBER(SEARCH("dim",_xlpm.t)),"DIM",IF(ISNUMBER(SEARCH("dali",_xlpm.t)),"DALI",IF(OR(ISNUMBER(SEARCH("relay",_xlpm.t)),ISNUMBER(SEARCH("реле",_xlpm.t))),"Relay",IF(ISNUMBER(SEARCH("кнопк",_xlpm.t)),"",IFERROR(_xlfn.XLOOKUP(AX216,Коды_код,Коды_упр)&amp;"","")))))))</f>
        <v/>
      </c>
      <c r="CT216" t="str">
        <f t="shared" si="398"/>
        <v/>
      </c>
      <c r="CU216">
        <f>IF(B216="","",_xlfn.LET(_xlpm.ig,N(P216)+IF(AF216="вручную",0,N(CB216)),_xlpm.n0,IFERROR(VLOOKUP(_xlpm.ig,Автомат_номиналы,2,TRUE),0),_xlpm.mn,MAX(CL216,IF(AF216="вручную",0,N(CE216))),MAX(_xlpm.n0,_xlpm.mn,IF(CR216=1,Мин_автомат_БП,0))))</f>
        <v>16</v>
      </c>
      <c r="CV216">
        <f t="shared" si="399"/>
        <v>1</v>
      </c>
      <c r="CW216" t="str">
        <f t="shared" si="400"/>
        <v>2P</v>
      </c>
      <c r="CX216" t="str">
        <f>_xlfn.LET(_xlpm.cc,UPPER(TRIM(IFERROR(_xlfn.XLOOKUP(AX216,Коды_код,Коды_хар)&amp;"",""))),IF(OR(_xlpm.cc="B",_xlpm.cc="В"),"B",IF(_xlpm.cc="D","D","С")))</f>
        <v>С</v>
      </c>
      <c r="CY216" t="str">
        <f t="shared" si="401"/>
        <v>2P С16А 30мА</v>
      </c>
      <c r="CZ216" t="str">
        <f t="shared" si="402"/>
        <v>2P С16А 30мА</v>
      </c>
      <c r="DA216" t="str">
        <f t="shared" si="403"/>
        <v>2P С16А 30мА</v>
      </c>
      <c r="DB216" cm="1">
        <f t="array" ref="DB216">IF(DA216="","",_xlfn.LET(_xlpm.t,SUBSTITUTE(SUBSTITUTE(SUBSTITUTE(UPPER(DA216),"С","C"),"А","A"),"В","B"),_xlpm.tk,_xlfn.TEXTSPLIT(_xlpm.t,"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6" t="str">
        <f t="shared" si="404"/>
        <v>ok</v>
      </c>
      <c r="DD216">
        <f t="shared" si="405"/>
        <v>16</v>
      </c>
      <c r="DE216" t="str">
        <f t="shared" si="406"/>
        <v>2P С16А 30мА</v>
      </c>
      <c r="DF216">
        <f t="shared" si="407"/>
        <v>30</v>
      </c>
      <c r="DG216">
        <f t="shared" si="408"/>
        <v>1</v>
      </c>
      <c r="DH216">
        <f t="shared" si="409"/>
        <v>0</v>
      </c>
      <c r="DI216">
        <f t="shared" si="410"/>
        <v>1.0939268258329751</v>
      </c>
      <c r="DJ216">
        <f t="shared" si="411"/>
        <v>1</v>
      </c>
      <c r="DK216">
        <f>IF(ISNUMBER(AL216),AL216,К_прокл)</f>
        <v>1</v>
      </c>
      <c r="DL216">
        <f t="shared" si="412"/>
        <v>2</v>
      </c>
      <c r="DM216">
        <f>IFERROR(N(VLOOKUP(BT216,Кабель_обозначение,3,FALSE)),1)</f>
        <v>1</v>
      </c>
      <c r="DN216">
        <f>IFERROR(N(_xlfn.XLOOKUP(A216,Щиты[Щит],Щиты[ΔU до шин, %])),0)</f>
        <v>0.43</v>
      </c>
      <c r="DO216" t="str">
        <f>IFERROR(_xlfn.XLOOKUP(A216,Щиты[Щит],Щиты[Zпетли на шинах, Ом]),"")</f>
        <v/>
      </c>
      <c r="DP216">
        <f>IFERROR(N(_xlfn.XLOOKUP(A216,Щиты[Щит],Щиты[ΔU до шин (подбор), %])),0)</f>
        <v>0.43</v>
      </c>
      <c r="DQ216" t="str">
        <f>IFERROR(_xlfn.XLOOKUP(A216,Щиты[Щит],Щиты[Zпетли на шинах (подбор), Ом]),"")</f>
        <v/>
      </c>
      <c r="DR216" t="str">
        <f t="shared" si="413"/>
        <v/>
      </c>
      <c r="DS216">
        <f t="shared" si="414"/>
        <v>51</v>
      </c>
      <c r="DT216">
        <f t="shared" si="415"/>
        <v>2</v>
      </c>
      <c r="DU216">
        <f t="shared" si="416"/>
        <v>0.31</v>
      </c>
      <c r="DV216" s="6">
        <f>IF(B216="","",IF(IFERROR(VLOOKUP(AX216,УГО_спр,2,FALSE),"")="Светильник",3,4)+IF(Методика="нормы 2026",MIN(0.5,MAX(0,N(Q216)-100)*0.005),0))</f>
        <v>4</v>
      </c>
      <c r="DW216" cm="1">
        <f t="array" ref="DW216">IF(OR(B216="",BT216="",DM216&lt;&gt;1),"",_xlfn.LET(_xlpm.sz,Iдоп_S,_xlpm.t_,CHOOSE(DL216,Iдоп_1ж,Iдоп_2ж,Iдоп_3ж)*DJ216*DK216,_xlpm.inn,N(DD216),_xlpm.smin,MAX(1.5,BW216),_xlpm.L_,N(Q216)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216)*(_xlpm.rho*_xlpm.L_/_xlpm.sz*N(BY216)+_xlpm.xx*_xlpm.L_*N(DU216)/1000)*N(P216)/((Uн_лин/SQRT(3))*1000)*100,999),_xlpm.kz,IF(OR(DG216=1,NOT(ISNUMBER(DQ216)),_xlpm.L_=0,_xlpm.inn=0),1,IFERROR(--(c_min*(Uн_лин*1000/SQRT(3))/(DQ216+2*ρкз_Cu*_xlpm.L_/_xlpm.sz)&gt;=GY216*_xlpm.inn),0)),_xlpm.ok,IFERROR((_xlpm.sz&gt;=_xlpm.smin)*(_xlpm.t_&gt;=_xlpm.inn)*IF(_xlpm.L_&gt;0,(_xlpm.du_+DP216&lt;=DV216+0.00001),1)*_xlpm.kz,0),_xlpm.r_,_xlfn._xlws.FILTER(_xlpm.sz,_xlpm.ok,"не подобрано"),INDEX(_xlpm.r_,1)))</f>
        <v>1.5</v>
      </c>
      <c r="DX216">
        <f t="shared" si="417"/>
        <v>2.5</v>
      </c>
      <c r="DY216" cm="1">
        <f t="array" ref="DY216">IF(OR(B216="",BT216="",DM216&lt;&gt;1),"",_xlfn.LET(_xlpm.sz,Iдоп_S,_xlpm.t_,CHOOSE(DL216,Iдоп_1ж,Iдоп_2ж,Iдоп_3ж)*DJ216*DK216,_xlpm.ok,IFERROR((_xlpm.sz&gt;=MAX(1.5,BW216))*(_xlpm.t_&gt;=N(DD216)),0),_xlpm.r_,_xlfn._xlws.FILTER(_xlpm.sz,_xlpm.ok,""),INDEX(_xlpm.r_,1)))</f>
        <v>1.5</v>
      </c>
      <c r="DZ216" s="6" cm="1">
        <f t="array" ref="DZ216">IFERROR(ROUNDUP(N(DT216)*(_xlfn.XLOOKUP(DY216,INDEX(Кабель_сопротивление,0,1),INDEX(Кабель_сопротивление,0,3))*N(Q216)/DY216*N(BY216)+_xlfn.XLOOKUP(DY216,INDEX(Кабель_сопротивление,0,1),INDEX(Кабель_сопротивление,0,2))*N(Q216)*N(DU216)/1000)*N(P216)/((Uн_лин/SQRT(3))*1000)*100,2),"")</f>
        <v>0.98</v>
      </c>
      <c r="EA216">
        <f>IFERROR(2*ρкз_Cu*N(Q216)/DY216,"")</f>
        <v>2.5247999999999999</v>
      </c>
      <c r="EB216">
        <f>IFERROR(VLOOKUP(DX216,Кабель_сопротивление,3,FALSE),"")</f>
        <v>2.2499999999999999E-2</v>
      </c>
      <c r="EC216">
        <f>IFERROR(VLOOKUP(DX216,Кабель_сопротивление,2,FALSE),"")</f>
        <v>0.1</v>
      </c>
      <c r="ED216">
        <f t="shared" si="418"/>
        <v>14</v>
      </c>
      <c r="EE216">
        <f t="shared" si="419"/>
        <v>9</v>
      </c>
      <c r="EF216">
        <f t="shared" si="420"/>
        <v>1.3517259973160771</v>
      </c>
      <c r="EG216" s="6">
        <f>IFERROR(ROUNDUP(EF216/((Uн_лин/SQRT(3))*1000)*100,2),"")</f>
        <v>0.59</v>
      </c>
      <c r="EH216" t="str">
        <f>IFERROR(VLOOKUP(BT216,Кабель_обозначение,2,FALSE),"")</f>
        <v>ВВГнг(А)-LS</v>
      </c>
      <c r="EI216" t="str">
        <f t="shared" si="421"/>
        <v>ВВГнг(А)-LS (3х2,5)</v>
      </c>
      <c r="EJ216" t="str">
        <f t="shared" si="422"/>
        <v>ВВГнг(А)-LS (3х2,5)
L=72-0,59%</v>
      </c>
      <c r="EK216">
        <f>IFERROR(2*ρкз_Cu*Q216/DX216,"")</f>
        <v>1.51488</v>
      </c>
      <c r="EL216">
        <f t="shared" si="423"/>
        <v>0.50400000000000011</v>
      </c>
      <c r="EM216" s="6" t="str">
        <f>IFERROR(IF(OR(B216="",NOT(ISNUMBER(DX216)),N(Q216)=0),"",_xlfn.XLOOKUP(A216,Щиты[Щит],Щиты[Zпетли на шинах, Ом])+EK216),"")</f>
        <v/>
      </c>
      <c r="EN216" s="6" t="str">
        <f>IF(ISNUMBER(EM216),c_min*(Uн_лин*1000/SQRT(3))/EM216,"")</f>
        <v/>
      </c>
      <c r="EO216" s="6" t="str">
        <f>IFERROR(IF(OR(B216="",NOT(ISNUMBER(DX216))),"",1.05*(Uн_лин*1000/SQRT(3))/(_xlfn.XLOOKUP(A216,Щиты[Щит],Щиты[Zmax на шинах, Ом])+EL216)/1000),"")</f>
        <v/>
      </c>
      <c r="EP216" s="6" t="str">
        <f>IF(B216="","",IF(ISNUMBER(Y216),"Сил",IF(IFERROR(_xlfn.XLOOKUP(AX216,Коды_код,Коды_группа)&amp;"","")="","Быт",_xlfn.XLOOKUP(AX216,Коды_код,Коды_группа)&amp;"")))</f>
        <v>Быт</v>
      </c>
      <c r="EQ216" s="6" t="str">
        <f t="shared" si="424"/>
        <v>Быт</v>
      </c>
      <c r="ER216" s="6">
        <f>IF(EQ216="Щит","щит",IF(EQ216="","",IF(EQ216="Быт",IFERROR(_xlfn.XLOOKUP(A216,Щиты[Щит],Щиты[Кс быт]),1),IF(EQ216="Сил",IF(ISNUMBER(Y216),Y216,IF(Методика="нормы 2026",IFERROR(_xlfn.XLOOKUP(A216,Щиты[Щит],Щиты[Кс силовых (табл. 7.5)]),1),1)),IF(OR(EQ216="Пост",EQ216="Отоп"),1,IF(EQ216="ВНГ",0.7,0))))))</f>
        <v>0.79799999999999993</v>
      </c>
      <c r="ES216">
        <f t="shared" si="425"/>
        <v>1</v>
      </c>
      <c r="ET216">
        <f t="shared" si="426"/>
        <v>0.24</v>
      </c>
      <c r="EU216">
        <f t="shared" si="427"/>
        <v>0.24</v>
      </c>
      <c r="EV216">
        <f t="shared" si="428"/>
        <v>0</v>
      </c>
      <c r="EW216">
        <f t="shared" si="429"/>
        <v>0</v>
      </c>
      <c r="EX216">
        <f t="shared" si="430"/>
        <v>0</v>
      </c>
      <c r="EY216">
        <f t="shared" si="431"/>
        <v>0</v>
      </c>
      <c r="EZ216">
        <f t="shared" si="432"/>
        <v>0.24</v>
      </c>
      <c r="FA216">
        <f t="shared" si="433"/>
        <v>0.22799999999999998</v>
      </c>
      <c r="FB216">
        <f t="shared" si="434"/>
        <v>0.24</v>
      </c>
      <c r="FC216" t="str">
        <f t="shared" si="435"/>
        <v>L3</v>
      </c>
      <c r="FD216" t="str">
        <f>IF(B216="","",IF(CA216=0,IF(AW216=1,"",FF215),IF(OR(N(CV216)&gt;=3,N(BR216)&gt;=3),"L1,L2,L3",IFERROR(_xlfn.TEXTBEFORE(_xlfn.TEXTAFTER(_xlfn.XLOOKUP(A216,Щиты[Щит],Щиты[_фазы авто]),";"&amp;AW216&amp;":"),";"),"L1"))))</f>
        <v>L1</v>
      </c>
      <c r="FE216" t="str">
        <f t="shared" si="436"/>
        <v>L3</v>
      </c>
      <c r="FF216" t="str">
        <f t="shared" si="437"/>
        <v>L3</v>
      </c>
      <c r="FG216" cm="1">
        <f t="array" ref="FG216">IFERROR(IF(BX216=2,_xlfn.IFS(BR216=3,VLOOKUP(BN216,Справочная_двигатели,3,FALSE),BR216=1,VLOOKUP(BN216,Справочная_двигатели,5,TRUE)),0),0)</f>
        <v>0</v>
      </c>
      <c r="FH216">
        <f>IFERROR(IF(BX216=3,VLOOKUP(BN216,Справочная_ЛЭД,2,TRUE),0),0)</f>
        <v>0</v>
      </c>
      <c r="FI216" s="6">
        <f t="shared" si="438"/>
        <v>0</v>
      </c>
      <c r="FJ216" t="str" cm="1">
        <f t="array" ref="FJ216">IF(B216="","",IFERROR(INDEX({"I особая","I","II","III"},MATCH(TRIM(AC216&amp;""),{"I особая","I","II","III"},0)),"III"))</f>
        <v>II</v>
      </c>
      <c r="FK216" t="str">
        <f>IF(B216="","",IF(TRIM(AD216&amp;"")&lt;&gt;"",IF(LOWER(TRIM(AD216&amp;""))="да","да","нет"),IF(IFERROR(_xlfn.XLOOKUP(AX216,Коды_код,Коды_пожарная),"")="да","да","нет")))</f>
        <v>нет</v>
      </c>
      <c r="FL216" t="str">
        <f t="shared" si="439"/>
        <v/>
      </c>
      <c r="FM216" t="str">
        <f t="shared" si="440"/>
        <v>основная</v>
      </c>
      <c r="FN216">
        <f t="shared" si="441"/>
        <v>1</v>
      </c>
      <c r="FO216" t="str" cm="1">
        <f t="array" ref="FO216">IF(B216="","",_xlfn.LET(_xlpm.t,IFERROR(_xlfn.XLOOKUP(1,(Шины[Шина]=FM216)*(((Шины[Щит]=A216)+(Шины[Щит]=""))&gt;0),Шины[Тип]),"")&amp;"",IF(_xlpm.t&lt;&gt;"",_xlpm.t,IF(ISNUMBER(SEARCH("ИБП",FM216)),"ИБП",IF(ISNUMBER(SEARCH("ДГУ",FM216)),"ДГУ","Ввод "&amp;FN216)))))</f>
        <v>Ввод 1</v>
      </c>
      <c r="FP216" t="str">
        <f t="shared" si="442"/>
        <v>Ввод 1</v>
      </c>
      <c r="FQ216" t="str">
        <f>IF(B216="","",IF(OR(FO216="ИБП",FO216="ДГУ"),"I особая",IF(FO216="Одиночная","III",_xlfn.XLOOKUP(A216,Щиты[Щит],Щиты[Категория шины «Ввод»],"III"))))</f>
        <v>II</v>
      </c>
      <c r="FR216">
        <f>IF(B216="",0,IFERROR(MATCH(FJ216,{"III","II","I","I особая"},0),1))</f>
        <v>2</v>
      </c>
      <c r="FS216">
        <f t="shared" si="443"/>
        <v>2</v>
      </c>
      <c r="FT216" t="str">
        <f>IF(B216="","",IF(FR216&gt;IFERROR(MATCH(FQ216,{"III","II","I","I особая"},0),1),"НЕ ОБЕСПЕЧЕНА","ОК"))</f>
        <v>ОК</v>
      </c>
      <c r="FU216" t="str">
        <f>IF(A216="","",_xlfn.XLOOKUP(A216,Щиты[Щит],Щиты[Путь],""))</f>
        <v>|ГРЩ-ЖД|ЩР-01|</v>
      </c>
      <c r="FV216" t="str">
        <f>IF(B216="","",IF(AE216&lt;&gt;"",AE216,IF(IFERROR(_xlfn.XLOOKUP(AX216,Коды_код,Коды_вид)&amp;"","")="","Прочее",_xlfn.XLOOKUP(AX216,Коды_код,Коды_вид)&amp;"")))</f>
        <v>Розеточная сеть и бытовые приборы</v>
      </c>
      <c r="FW216">
        <f>IF(BH216="","",INT((BH216-1)/Столбцов_на_лист)+1)</f>
        <v>4</v>
      </c>
      <c r="FX216" t="str">
        <f t="shared" si="444"/>
        <v>ВВГнг(А)-LS (3х2,5) L=72-0,59%</v>
      </c>
      <c r="FY216">
        <f t="shared" si="445"/>
        <v>0.24</v>
      </c>
      <c r="FZ216">
        <f t="shared" si="446"/>
        <v>1.1000000000000001</v>
      </c>
      <c r="GA216">
        <f t="shared" si="447"/>
        <v>1</v>
      </c>
      <c r="GB216">
        <f t="shared" si="448"/>
        <v>0</v>
      </c>
      <c r="GC216">
        <f t="shared" si="449"/>
        <v>1</v>
      </c>
      <c r="GD216">
        <f>IF(BH216="","",IF(AND(CA216=1,GC216=1),COUNTIFS(A$3:A216,A216,CA$3:CA216,1,GC$3:GC216,1),IF(OR(OR(AW216=1,A216&lt;&gt;A215),AF216="вручную",GC216=0),"",IF(AW216=1,"",GE215))))</f>
        <v>32</v>
      </c>
      <c r="GE216">
        <f t="shared" si="450"/>
        <v>32</v>
      </c>
      <c r="GF216">
        <f>IF(B216="","",IFERROR(LOOKUP(INDEX(CHOOSE(DL216,Iдоп_1ж,Iдоп_2ж,Iдоп_3ж),MATCH(DX216,Iдоп_S,0))*DJ216*DK216,{6,10,16,20,25,32,40,50,63,80,100,125,160,200,250,315,400,500,630}),""))</f>
        <v>25</v>
      </c>
      <c r="GG216" t="str">
        <f t="shared" si="451"/>
        <v>QFD32</v>
      </c>
      <c r="GH216" t="str">
        <f t="shared" si="452"/>
        <v>QFD32</v>
      </c>
      <c r="GI216" t="str">
        <f t="shared" si="453"/>
        <v/>
      </c>
      <c r="GJ216">
        <f t="shared" si="454"/>
        <v>0</v>
      </c>
      <c r="GK216" t="str">
        <f>IF(OR(AG216="",AG216="-"),"",IFERROR(VLOOKUP(AG216,Модули_спр,2,FALSE),"R"))</f>
        <v/>
      </c>
      <c r="GL216" t="str">
        <f>IF(GK216="","",GK216&amp;"."&amp;COUNTIFS(A$3:A216,A216,GK$3:GK216,GK216))</f>
        <v/>
      </c>
      <c r="GM216" t="str">
        <f t="shared" si="455"/>
        <v/>
      </c>
      <c r="GN216" t="str">
        <f t="shared" si="456"/>
        <v/>
      </c>
      <c r="GO216" t="str">
        <f t="shared" si="457"/>
        <v/>
      </c>
      <c r="GP216" t="str">
        <f t="shared" si="458"/>
        <v/>
      </c>
      <c r="GQ216">
        <f t="shared" si="459"/>
        <v>1</v>
      </c>
      <c r="GR216" t="str">
        <f>IF(GQ216=1,"XT"&amp;COUNTIFS(A$3:A216,A216,GQ$3:GQ216,1),"")</f>
        <v>XT32</v>
      </c>
      <c r="GS216" t="str">
        <f t="shared" si="460"/>
        <v/>
      </c>
      <c r="GT216" t="str">
        <f t="shared" si="461"/>
        <v>QFD32</v>
      </c>
      <c r="GU216" t="str">
        <f t="shared" si="462"/>
        <v/>
      </c>
      <c r="GV216" t="str">
        <f t="shared" si="463"/>
        <v>ok</v>
      </c>
      <c r="GW216" t="str">
        <f>IF(OR(GO216="",GM216=""),"",IF(GO216&gt;IFERROR(VLOOKUP(GN216,Модули_спр,3,FALSE),99),"ЛИШНИЙ КАНАЛ",IF(AND(AH216&lt;&gt;"=",COUNTIFS(Линии[_модуль гр.],GM216,Линии[Канал (итог)],GO216,Линии[Канал],"&lt;&gt;=",Линии[Щит],A216)&gt;1),"ДУБЛЬ КАНАЛА","")))</f>
        <v/>
      </c>
      <c r="GX216" s="6" t="str">
        <f t="shared" si="464"/>
        <v/>
      </c>
      <c r="GY216">
        <f t="shared" si="465"/>
        <v>10</v>
      </c>
      <c r="GZ216" t="str">
        <f t="shared" si="466"/>
        <v/>
      </c>
      <c r="HA216" t="str">
        <f>IF(AND(B216="",GT216=""),"",_xlfn.TEXTJOIN("; ",TRUE,IF(AND(B216&lt;&gt;"",FE216=""),"нет фазы",""),IF(AND(B216&lt;&gt;"",N(FY216)=0,EQ216&lt;&gt;"Нет"),"нет мощности",""),IF(AND(GS216&lt;&gt;"",COUNTIFS(Линии[Щит],A216,Линии[Клемма (итог)],GS216)&gt;1),"дубль клеммы "&amp;GS216,""),IF(AND(GV216&lt;&gt;"",GV216&lt;&gt;"ok"),GV216,""),IF(GW216&lt;&gt;"",GW216,""),IF(AND(N(BV216)&gt;=4,N(BR216)=1),BV216&amp;" жил на 1 фазе",""),IF(AND(AX216="R",CA216=1,OR(N(CK216)=0,N(CK216)&gt;30)),"розетка без дифзащиты до 30 мА",""),IFERROR(IF(AND(ISNUMBER(R216),R216&gt;DV216),"потери "&amp;FIXED(R216,1)&amp;" % &gt; "&amp;DV216&amp;" %",""),""),IFERROR(IF(LEFT(GZ216,4)="мало","Iкз мало — отключение &gt; 0,4 с",""),""),IF(AND(B216&lt;&gt;"",BH216=""),"не на схеме",""),IF(AND(CA216=0,B216&lt;&gt;"",FE216&lt;&gt;"",IF(AW216=1,"",FF215)&lt;&gt;"",FE216&lt;&gt;IF(AW216=1,"",FF215)),"фаза не как у автомата группы ("&amp;IF(AW216=1,"",FF215)&amp;")","")))</f>
        <v/>
      </c>
      <c r="HB216" s="6">
        <f>IF(OR(CA216=0,DA216=""),"",_xlfn.LET(_xlpm.t,IFERROR(_xlfn.XLOOKUP(DA216,Каталог!$U$4:$U$500,Каталог!$G$4:$G$500),""),_xlpm.k,SEARCH("кА",_xlpm.t),IFERROR(--TRIM(RIGHT(SUBSTITUTE(MID(_xlpm.t,MAX(1,_xlpm.k-4),_xlpm.k-MAX(1,_xlpm.k-4))," ",REPT(" ",9)),5)),"")))</f>
        <v>6</v>
      </c>
      <c r="HC216" t="str">
        <f>IF(OR(HB216="",CA216=0),"",IF(_xlfn.XLOOKUP(A216,Щиты[Щит],Щиты[Iкз max на шинах, кА],"")="","",IF(HB216&lt;_xlfn.XLOOKUP(A216,Щиты[Щит],Щиты[Iкз max на шинах, кА]),"Icu "&amp;HB216&amp;" кА &lt; Iкз max","ok")))</f>
        <v/>
      </c>
      <c r="HD216" t="str">
        <f t="shared" si="467"/>
        <v/>
      </c>
      <c r="HE216" t="str">
        <f t="shared" si="468"/>
        <v>QFD32</v>
      </c>
      <c r="HF216" t="str">
        <f t="shared" si="469"/>
        <v>QFD32|кабель ВВГнг(А)-LS (3х2,5) → Розеточная группа, пом. 021A</v>
      </c>
      <c r="HG216" t="str" cm="1">
        <f t="array" ref="HG216">IF(HF216="","",_xlfn.LET(_xlpm.nd,_xlfn.TEXTSPLIT(HF216,"|"),IF(COLUMNS(_xlpm.nd)&gt;1,A216&amp;"¦"&amp;INDEX(_xlpm.nd,1)&amp;"¦"&amp;INDEX(_xlpm.nd,2),"")))</f>
        <v>ЩР-01¦QFD32¦кабель ВВГнг(А)-LS (3х2,5) → Розеточная группа, пом. 021A</v>
      </c>
      <c r="HH216" t="str">
        <f t="shared" si="470"/>
        <v>R.0.021A.1¦Розеточная группа, пом. 021A</v>
      </c>
      <c r="HI216" t="str" cm="1">
        <f t="array" ref="HI216">IF(HF216="","",_xlfn.LET(_xlpm.nd,_xlfn.TEXTSPLIT(HF216,"|"),IF(COLUMNS(_xlpm.nd)&gt;2,A216&amp;"¦"&amp;INDEX(_xlpm.nd,2)&amp;"¦"&amp;INDEX(_xlpm.nd,3),"")))</f>
        <v/>
      </c>
      <c r="HJ216" t="str">
        <f t="shared" si="471"/>
        <v/>
      </c>
      <c r="HK216" t="str" cm="1">
        <f t="array" ref="HK216">IF(HF216="","",_xlfn.LET(_xlpm.nd,_xlfn.TEXTSPLIT(HF216,"|"),IF(COLUMNS(_xlpm.nd)&gt;3,A216&amp;"¦"&amp;INDEX(_xlpm.nd,3)&amp;"¦"&amp;INDEX(_xlpm.nd,4),"")))</f>
        <v/>
      </c>
      <c r="HL216" t="str">
        <f t="shared" si="472"/>
        <v/>
      </c>
      <c r="HM216" t="str" cm="1">
        <f t="array" ref="HM216">IF(HF216="","",_xlfn.LET(_xlpm.nd,_xlfn.TEXTSPLIT(HF216,"|"),IF(COLUMNS(_xlpm.nd)&gt;4,A216&amp;"¦"&amp;INDEX(_xlpm.nd,4)&amp;"¦"&amp;INDEX(_xlpm.nd,5),"")))</f>
        <v/>
      </c>
      <c r="HN216" t="str">
        <f t="shared" si="473"/>
        <v/>
      </c>
      <c r="HO216" t="str" cm="1">
        <f t="array" ref="HO216">IF(HF216="","",_xlfn.LET(_xlpm.nd,_xlfn.TEXTSPLIT(HF216,"|"),IF(COLUMNS(_xlpm.nd)&gt;5,A216&amp;"¦"&amp;INDEX(_xlpm.nd,5)&amp;"¦"&amp;INDEX(_xlpm.nd,6),"")))</f>
        <v/>
      </c>
      <c r="HP216" t="str">
        <f t="shared" si="474"/>
        <v/>
      </c>
      <c r="HQ216" t="str" cm="1">
        <f t="array" ref="HQ216">IF(HF216="","",_xlfn.LET(_xlpm.nd,_xlfn.TEXTSPLIT(HF216,"|"),IF(COLUMNS(_xlpm.nd)&gt;6,A216&amp;"¦"&amp;INDEX(_xlpm.nd,6)&amp;"¦"&amp;INDEX(_xlpm.nd,7),"")))</f>
        <v/>
      </c>
      <c r="HR216" t="str">
        <f t="shared" si="475"/>
        <v/>
      </c>
      <c r="HS216" t="str">
        <f t="shared" si="476"/>
        <v/>
      </c>
      <c r="HT216" t="str">
        <f t="shared" si="477"/>
        <v>QFD32</v>
      </c>
      <c r="HU216">
        <f t="shared" si="478"/>
        <v>0</v>
      </c>
      <c r="HV216">
        <f t="shared" si="479"/>
        <v>1</v>
      </c>
      <c r="HW216" t="str">
        <f t="shared" si="480"/>
        <v/>
      </c>
      <c r="HX216" t="str">
        <f t="shared" si="481"/>
        <v/>
      </c>
      <c r="HY216" t="str">
        <f t="shared" si="482"/>
        <v/>
      </c>
      <c r="HZ216" t="str">
        <f t="shared" si="483"/>
        <v/>
      </c>
      <c r="IA216" t="str">
        <f>IF(B216="","",IFERROR(VLOOKUP(B216,УГО_спр,2,FALSE),IFERROR(VLOOKUP(AX216,УГО_спр,2,FALSE),IFERROR(VLOOKUP(LEFT(AX216,2),УГО_спр,2,FALSE),""))))</f>
        <v>Розетка</v>
      </c>
      <c r="IB216" t="str">
        <f>IF(B216="","",IF(OR(IA216="",IA216=0),"BOX",IFERROR(IF(VLOOKUP(IA216,УГО_блоки,3,FALSE)&amp;""&lt;&gt;"",VLOOKUP(IA216,УГО_блоки,3,FALSE),VLOOKUP(IA216,УГО_блоки,2,FALSE)),IA216)))</f>
        <v>SOCKET</v>
      </c>
      <c r="IC216">
        <f t="shared" si="484"/>
        <v>1</v>
      </c>
      <c r="ID216" t="str">
        <f>IF(DA216="","",IF(COUNTIF(DA$3:DA216,DA216)=1,MAX(ID$2:ID215)+1,""))</f>
        <v/>
      </c>
      <c r="IE216" t="str">
        <f>IF(CO216="","",IF(COUNTIF(CO$3:CO216,CO216)+COUNTIF(CP$2:CP215,CO216)+COUNTIF(CQ$2:CQ215,CO216)=1,MAX(IE$2:IG215)+1,""))</f>
        <v/>
      </c>
      <c r="IF216" t="str">
        <f>IF(CP216="","",IF(COUNTIF(CO$3:CO216,CP216)+COUNTIF(CP$3:CP216,CP216)+COUNTIF(CQ$2:CQ215,CP216)=1,MAX(IE$2:IG215,IE216)+1,""))</f>
        <v/>
      </c>
      <c r="IG216" t="str">
        <f>IF(CQ216="","",IF(COUNTIF(CO$3:CO216,CQ216)+COUNTIF(CP$3:CP216,CQ216)+COUNTIF(CQ$3:CQ216,CQ216)=1,MAX(IE$2:IG215,IE216,IF216)+1,""))</f>
        <v/>
      </c>
      <c r="IH216" t="str">
        <f t="shared" si="485"/>
        <v>3х2,5</v>
      </c>
      <c r="II216" t="str">
        <f>IF(IH216="","",IF(COUNTIF(IH$3:IH216,IH216)=1,MAX(II$2:II215)+1,""))</f>
        <v/>
      </c>
      <c r="IJ216" t="str">
        <f>IF(GL216="","",COUNTIF(GL$3:GL216,"?*"))</f>
        <v/>
      </c>
      <c r="IK216" t="str">
        <f>IF(OR(GL216="",GN216=""),"",IF(COUNTIFS(GL$3:GL216,"?*",GN$3:GN216,GN216)=1,MAX(IK$2:IK215)+1,""))</f>
        <v/>
      </c>
      <c r="IL216">
        <f t="shared" si="486"/>
        <v>0</v>
      </c>
      <c r="IM216">
        <f>IF(B216="","",COUNTIF(B$3:B216,"?*"))</f>
        <v>214</v>
      </c>
      <c r="IN216">
        <f>IF(GQ216&lt;&gt;1,0,_xlfn.LET(_xlpm.k,MAX(IFERROR(--VLOOKUP(B216,УГО_спр,5,FALSE),0),IFERROR(--VLOOKUP(AX216,УГО_спр,5,FALSE),0),IFERROR(--VLOOKUP(LEFT(AX216,2),УГО_спр,5,FALSE),0)),IF(_xlpm.k&gt;0,_xlpm.k,IF(IFERROR(--LEFT(SUBSTITUTE(IH216,"x","х"),FIND("х",SUBSTITUTE(IH216,"x","х"))-1),3)&gt;3,Каталог!$S$9,1))))</f>
        <v>1</v>
      </c>
      <c r="IO216">
        <f t="shared" si="487"/>
        <v>0</v>
      </c>
      <c r="IP216" t="str">
        <f t="shared" si="488"/>
        <v>авто</v>
      </c>
      <c r="IQ216">
        <f t="shared" si="489"/>
        <v>30</v>
      </c>
      <c r="IR216">
        <f t="shared" si="490"/>
        <v>1</v>
      </c>
      <c r="IS216">
        <f t="shared" si="491"/>
        <v>1</v>
      </c>
    </row>
    <row r="217" spans="1:253" x14ac:dyDescent="0.3">
      <c r="A217" t="s">
        <v>757</v>
      </c>
      <c r="B217" t="s">
        <v>1483</v>
      </c>
      <c r="C217" t="str">
        <f>Линии[[#This Row],[_авто наименование]]</f>
        <v>Розеточная группа, пом. 022</v>
      </c>
      <c r="D217">
        <v>1</v>
      </c>
      <c r="E217">
        <v>0.06</v>
      </c>
      <c r="G217" t="str">
        <f>Линии[[#This Row],[_авто автомат]]</f>
        <v>2P С16А 30мА</v>
      </c>
      <c r="H217">
        <f>Линии[[#This Row],[_авто утечка]]</f>
        <v>30</v>
      </c>
      <c r="I217" t="str">
        <f>Линии[[#This Row],[_авто управление]]</f>
        <v/>
      </c>
      <c r="J217" t="str">
        <f>Линии[[#This Row],[_авто аппараты]]</f>
        <v/>
      </c>
      <c r="K217">
        <v>2.5</v>
      </c>
      <c r="L217">
        <v>51</v>
      </c>
      <c r="M217">
        <v>3</v>
      </c>
      <c r="N217" t="s">
        <v>486</v>
      </c>
      <c r="O217" t="str">
        <f t="shared" si="369"/>
        <v/>
      </c>
      <c r="P217" s="6" cm="1">
        <f t="array" ref="P217">IF(B217="","",IF(BC217&lt;&gt;"",IFERROR(_xlfn.XLOOKUP(BC217,Щиты[Щит],Щиты[Iр, А]),""),IF(BK217=1,IFERROR(_xlfn.XLOOKUP(A217,Щиты[Щит],Щиты[Iр, А]),""),IFERROR(_xlfn.IFS(BR217=1,BN217/((Uн_лин/SQRT(3))*BY217),BR217=3,BN217/(SQRT(3)*Uн_лин*BY217)),""))))</f>
        <v>0.27348170645824377</v>
      </c>
      <c r="Q217" s="7">
        <f>IF(B217="","",IFERROR(IF(VLOOKUP(AX217,Потребители_обозначение,4,FALSE)=1,VLOOKUP(AX217,Потребители_обозначение,3,FALSE)*(D217*2-1)+DS217+VLOOKUP(AZ217,Этаж_обозначение,3,FALSE)+VLOOKUP(AZ217,Этаж_обозначение,4,FALSE),VLOOKUP(AX217,Потребители_обозначение,3,FALSE)*(D217*2-1)+DS217),DS217))</f>
        <v>54</v>
      </c>
      <c r="R217" s="6">
        <f t="shared" si="370"/>
        <v>0.54</v>
      </c>
      <c r="S217" t="str">
        <f t="shared" si="371"/>
        <v>ВВГнг(А)-LS (3х2,5)</v>
      </c>
      <c r="T217" t="str">
        <f>IF(BH217="","",IF(BI217="вводной узел","узел ","")&amp;"л."&amp;(INT((BH217-1)/Столбцов_на_лист)+1)&amp;" / "&amp;(MOD(BH217-1,Столбцов_на_лист)+1))</f>
        <v>л.4 / 3</v>
      </c>
      <c r="V217">
        <v>1</v>
      </c>
      <c r="W217">
        <v>230</v>
      </c>
      <c r="X217" t="s">
        <v>564</v>
      </c>
      <c r="AC217" t="s">
        <v>815</v>
      </c>
      <c r="AE217" t="s">
        <v>563</v>
      </c>
      <c r="AI217">
        <v>54</v>
      </c>
      <c r="AJ217" t="s">
        <v>11</v>
      </c>
      <c r="AK217">
        <v>3</v>
      </c>
      <c r="AM217">
        <v>44</v>
      </c>
      <c r="AN217">
        <v>7</v>
      </c>
      <c r="AO217">
        <v>0</v>
      </c>
      <c r="AW217" cm="1">
        <f t="array" ref="AW217">ROW()-ROW(Линии[#Headers])</f>
        <v>215</v>
      </c>
      <c r="AX217" s="6" t="str">
        <f t="shared" si="372"/>
        <v>R</v>
      </c>
      <c r="AY217" t="str">
        <f t="shared" si="373"/>
        <v>0.022.1</v>
      </c>
      <c r="AZ217" t="str">
        <f t="shared" si="374"/>
        <v>0</v>
      </c>
      <c r="BA217" t="str">
        <f t="shared" si="375"/>
        <v>022.1</v>
      </c>
      <c r="BB217" t="str">
        <f t="shared" si="376"/>
        <v>022</v>
      </c>
      <c r="BC217" t="str">
        <f>IF(U217&lt;&gt;"",U217,IF(AND(B217&lt;&gt;"",B217&lt;&gt;A217,ISNUMBER(_xlfn.XMATCH(B217,Щиты[Щит]))),B217,""))</f>
        <v/>
      </c>
      <c r="BD217" t="str" cm="1">
        <f t="array" ref="BD217">IF(B217="","",IF(BC217&lt;&gt;"","Щит "&amp;BC217,_xlfn.LET(_xlpm.nm,IFERROR(_xlfn.XLOOKUP(AX217,Коды_код,Коды_имя)&amp;"",""),_xlpm.md,IFERROR(N(_xlfn.XLOOKUP(AX217,Коды_код,Коды_режим)),1),_xlpm.ex,IF(Имя_режим="по экспликации",IFERROR(_xlfn.XLOOKUP(AZ217&amp;"|"&amp;BB217,Экспликация[Этаж]&amp;"|"&amp;Экспликация[Помещение],Экспликация[Название])&amp;"",""),""),_xlpm.rm,IF(BB217="","",IF(_xlpm.ex&lt;&gt;"",". "&amp;_xlpm.ex&amp;IF(Имя_пом="нет"," ("&amp;BB217&amp;")"," (пом. "&amp;BB217&amp;")"),IF(Имя_пом="нет"," ",", пом. ")&amp;BB217)),IF(_xlpm.nm="","",IF(_xlpm.md=2,_xlpm.nm&amp;" шлейф "&amp;AZ217,_xlpm.nm&amp;_xlpm.rm)))))</f>
        <v>Розеточная группа, пом. 022</v>
      </c>
      <c r="BE217" t="str">
        <f t="shared" si="377"/>
        <v>Розеточная группа, пом. 022</v>
      </c>
      <c r="BF217">
        <f>IFERROR(_xlfn.XMATCH(A217,Щиты[Щит]),0)</f>
        <v>9</v>
      </c>
      <c r="BG217">
        <f>_xlfn.LET(_xlpm.k,IFERROR(_xlfn.XLOOKUP(A217,Щиты[Щит],Щиты[Листов под вводной узел]),""),IF(_xlpm.k="",1,N(_xlpm.k))*Столбцов_на_лист)</f>
        <v>17</v>
      </c>
      <c r="BH217">
        <f t="shared" si="378"/>
        <v>54</v>
      </c>
      <c r="BI217" t="str">
        <f t="shared" si="379"/>
        <v>линии</v>
      </c>
      <c r="BJ217" s="6">
        <f>IFERROR(N(_xlfn.XLOOKUP(AX217,Коды_код,Коды_квт)),0)</f>
        <v>0</v>
      </c>
      <c r="BK217">
        <f t="shared" si="380"/>
        <v>0</v>
      </c>
      <c r="BL217" t="str">
        <f>IF(B217="","",IF(BC217&lt;&gt;"",IFERROR(_xlfn.XLOOKUP(BC217,Щиты[Щит],Щиты[Руст, кВт]),0),IF(BK217=1,IFERROR(_xlfn.XLOOKUP(A217,Щиты[Щит],Щиты[Руст, кВт]),0),IF(BJ217&gt;0,ROUND(BJ217*MAX(1,N(D217)),3),""))))</f>
        <v/>
      </c>
      <c r="BM217">
        <f t="shared" si="381"/>
        <v>0.06</v>
      </c>
      <c r="BN217" s="6">
        <f>IF(B217="","",IF(BC217&lt;&gt;"",IFERROR(_xlfn.XLOOKUP(BC217,Щиты[Щит],Щиты[Руст, кВт]),0),N(BM217)))</f>
        <v>0.06</v>
      </c>
      <c r="BO217" t="str">
        <f>IF(B217="","",IFERROR(IF(VLOOKUP(AX217,Потребители_обозначение,8,FALSE)=0,"",VLOOKUP(AX217,Потребители_обозначение,8,FALSE)),""))</f>
        <v/>
      </c>
      <c r="BP217">
        <f t="shared" si="382"/>
        <v>230</v>
      </c>
      <c r="BQ217">
        <f>IF(B217="","",IF(BC217&lt;&gt;"",3,IFERROR(IF(N(VLOOKUP(AX217,Потребители_обозначение,9,FALSE))=0,1,VLOOKUP(AX217,Потребители_обозначение,9,FALSE)),1)))</f>
        <v>1</v>
      </c>
      <c r="BR217">
        <f t="shared" si="383"/>
        <v>1</v>
      </c>
      <c r="BS217" t="str">
        <f>IF(B217="","",_xlfn.LET(_xlpm.bc,IFERROR(IF(VLOOKUP(AX217,Потребители_обозначение,6,FALSE)=0,"",VLOOKUP(AX217,Потребители_обозначение,6,FALSE)&amp;""),""),IF(AND(FK217="да",OR(_xlpm.bc="",_xlpm.bc="мс")),Марка_пож,IF(AND(_xlpm.bc="",BC217&lt;&gt;""),"мс",_xlpm.bc))))</f>
        <v/>
      </c>
      <c r="BT217" t="str">
        <f t="shared" si="384"/>
        <v>мс</v>
      </c>
      <c r="BU217">
        <f>IF(B217="","",_xlfn.LET(_xlpm.cc,IFERROR(N(VLOOKUP(AX217,Потребители_обозначение,7,FALSE)),0),IF(_xlpm.cc&gt;0,_xlpm.cc,IF(BT217="","",IF(N(BR217)=3,5,3)))))</f>
        <v>3</v>
      </c>
      <c r="BV217">
        <f t="shared" si="385"/>
        <v>3</v>
      </c>
      <c r="BW217">
        <f>IFERROR(N(VLOOKUP(AX217,Потребители_обозначение,10,FALSE)),0)</f>
        <v>0</v>
      </c>
      <c r="BX217">
        <f>IFERROR(VLOOKUP(AX217,Потребители_обозначение,5,FALSE),0)</f>
        <v>1</v>
      </c>
      <c r="BY217" s="6" cm="1">
        <f t="array" ref="BY217">IF(B217="","",IF(BC217&lt;&gt;"",IFERROR(_xlfn.XLOOKUP(BC217,Щиты[Щит],Щиты[cos φ]),0.95),IF(BK217=1,IFERROR(_xlfn.XLOOKUP(A217,Щиты[Щит],Щиты[cos φ]),0.95),IF(ISNUMBER(Z217),Z217,IFERROR(IF(BX217=2,_xlfn.IFS(BR217=3,VLOOKUP(BN217,Справочная_двигатели,8,FALSE),BR217=1,VLOOKUP(BN217,Справочная_двигатели,10,TRUE)),IF(AND(Методика="нормы 2026",EQ217="Сил"),0.8,0.95)),0.95)))))</f>
        <v>0.95</v>
      </c>
      <c r="BZ217">
        <f t="shared" si="386"/>
        <v>0</v>
      </c>
      <c r="CA217">
        <f t="shared" si="387"/>
        <v>1</v>
      </c>
      <c r="CB217">
        <f t="shared" si="388"/>
        <v>0</v>
      </c>
      <c r="CC217">
        <f t="shared" si="389"/>
        <v>0</v>
      </c>
      <c r="CD217">
        <f t="shared" si="390"/>
        <v>0</v>
      </c>
      <c r="CE217">
        <f t="shared" si="391"/>
        <v>0</v>
      </c>
      <c r="CF217">
        <f t="shared" si="392"/>
        <v>0</v>
      </c>
      <c r="CG217">
        <f>IF(AX217="",0,_xlfn.LET(_xlpm.v,IFERROR(VLOOKUP(B217,УГО_спр,3,FALSE),IFERROR(VLOOKUP(AX217,УГО_спр,3,FALSE),IFERROR(VLOOKUP(LEFT(AX217,2),УГО_спр,3,FALSE),""))),IF(_xlpm.v="да",30,IF(ISNUMBER(_xlpm.v),_xlpm.v,0))))</f>
        <v>30</v>
      </c>
      <c r="CH217">
        <f t="shared" si="393"/>
        <v>30</v>
      </c>
      <c r="CI217" t="str">
        <f>_xlfn.LET(_xlpm.k,IFERROR(_xlfn.XLOOKUP(AX217,Коды_код,Коды_утечка)&amp;"",""),IF(_xlpm.k="","дифавтомат",_xlpm.k))</f>
        <v>дифавтомат</v>
      </c>
      <c r="CJ217">
        <f t="shared" si="394"/>
        <v>30</v>
      </c>
      <c r="CK217">
        <f t="shared" si="395"/>
        <v>30</v>
      </c>
      <c r="CL217">
        <f>IF(B217="",0,IFERROR(--VLOOKUP(B217,УГО_спр,4,FALSE),IFERROR(--VLOOKUP(AX217,УГО_спр,4,FALSE),IFERROR(--VLOOKUP(LEFT(AX217,2),УГО_спр,4,FALSE),0))))</f>
        <v>16</v>
      </c>
      <c r="CM217" t="str">
        <f>IF(B217="","",IFERROR(_xlfn.XLOOKUP(AX217,Коды_код,Коды_апп)&amp;"",""))</f>
        <v/>
      </c>
      <c r="CN217" t="str">
        <f t="shared" si="396"/>
        <v/>
      </c>
      <c r="CO217" t="str" cm="1">
        <f t="array" ref="CO217">IF(TRIM(CN217&amp;"")="","",IFERROR(TRIM(INDEX(_xlfn.TEXTSPLIT(CN217&amp;";;;",";"),1)),""))</f>
        <v/>
      </c>
      <c r="CP217" t="str" cm="1">
        <f t="array" ref="CP217">IF(TRIM(CN217&amp;"")="","",IFERROR(TRIM(INDEX(_xlfn.TEXTSPLIT(CN217&amp;";;;",";"),2)),""))</f>
        <v/>
      </c>
      <c r="CQ217" t="str" cm="1">
        <f t="array" ref="CQ217">IF(TRIM(CN217&amp;"")="","",IFERROR(TRIM(INDEX(_xlfn.TEXTSPLIT(CN217&amp;";;;",";"),3)),""))</f>
        <v/>
      </c>
      <c r="CR217">
        <f t="shared" si="397"/>
        <v>0</v>
      </c>
      <c r="CS217" t="str">
        <f>IF(B217="","",_xlfn.LET(_xlpm.t,LOWER(AV217&amp;""),IF(ISNUMBER(SEARCH("dim",_xlpm.t)),"DIM",IF(ISNUMBER(SEARCH("dali",_xlpm.t)),"DALI",IF(OR(ISNUMBER(SEARCH("relay",_xlpm.t)),ISNUMBER(SEARCH("реле",_xlpm.t))),"Relay",IF(ISNUMBER(SEARCH("кнопк",_xlpm.t)),"",IFERROR(_xlfn.XLOOKUP(AX217,Коды_код,Коды_упр)&amp;"","")))))))</f>
        <v/>
      </c>
      <c r="CT217" t="str">
        <f t="shared" si="398"/>
        <v/>
      </c>
      <c r="CU217">
        <f>IF(B217="","",_xlfn.LET(_xlpm.ig,N(P217)+IF(AF217="вручную",0,N(CB217)),_xlpm.n0,IFERROR(VLOOKUP(_xlpm.ig,Автомат_номиналы,2,TRUE),0),_xlpm.mn,MAX(CL217,IF(AF217="вручную",0,N(CE217))),MAX(_xlpm.n0,_xlpm.mn,IF(CR217=1,Мин_автомат_БП,0))))</f>
        <v>16</v>
      </c>
      <c r="CV217">
        <f t="shared" si="399"/>
        <v>1</v>
      </c>
      <c r="CW217" t="str">
        <f t="shared" si="400"/>
        <v>2P</v>
      </c>
      <c r="CX217" t="str">
        <f>_xlfn.LET(_xlpm.cc,UPPER(TRIM(IFERROR(_xlfn.XLOOKUP(AX217,Коды_код,Коды_хар)&amp;"",""))),IF(OR(_xlpm.cc="B",_xlpm.cc="В"),"B",IF(_xlpm.cc="D","D","С")))</f>
        <v>С</v>
      </c>
      <c r="CY217" t="str">
        <f t="shared" si="401"/>
        <v>2P С16А 30мА</v>
      </c>
      <c r="CZ217" t="str">
        <f t="shared" si="402"/>
        <v>2P С16А 30мА</v>
      </c>
      <c r="DA217" t="str">
        <f t="shared" si="403"/>
        <v>2P С16А 30мА</v>
      </c>
      <c r="DB217" cm="1">
        <f t="array" ref="DB217">IF(DA217="","",_xlfn.LET(_xlpm.t,SUBSTITUTE(SUBSTITUTE(SUBSTITUTE(UPPER(DA217),"С","C"),"А","A"),"В","B"),_xlpm.tk,_xlfn.TEXTSPLIT(_xlpm.t,"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7" t="str">
        <f t="shared" si="404"/>
        <v>ok</v>
      </c>
      <c r="DD217">
        <f t="shared" si="405"/>
        <v>16</v>
      </c>
      <c r="DE217" t="str">
        <f t="shared" si="406"/>
        <v>2P С16А 30мА</v>
      </c>
      <c r="DF217">
        <f t="shared" si="407"/>
        <v>30</v>
      </c>
      <c r="DG217">
        <f t="shared" si="408"/>
        <v>1</v>
      </c>
      <c r="DH217">
        <f t="shared" si="409"/>
        <v>0</v>
      </c>
      <c r="DI217">
        <f t="shared" si="410"/>
        <v>0.27348170645824377</v>
      </c>
      <c r="DJ217">
        <f t="shared" si="411"/>
        <v>1</v>
      </c>
      <c r="DK217">
        <f>IF(ISNUMBER(AL217),AL217,К_прокл)</f>
        <v>1</v>
      </c>
      <c r="DL217">
        <f t="shared" si="412"/>
        <v>2</v>
      </c>
      <c r="DM217">
        <f>IFERROR(N(VLOOKUP(BT217,Кабель_обозначение,3,FALSE)),1)</f>
        <v>1</v>
      </c>
      <c r="DN217">
        <f>IFERROR(N(_xlfn.XLOOKUP(A217,Щиты[Щит],Щиты[ΔU до шин, %])),0)</f>
        <v>0.43</v>
      </c>
      <c r="DO217" t="str">
        <f>IFERROR(_xlfn.XLOOKUP(A217,Щиты[Щит],Щиты[Zпетли на шинах, Ом]),"")</f>
        <v/>
      </c>
      <c r="DP217">
        <f>IFERROR(N(_xlfn.XLOOKUP(A217,Щиты[Щит],Щиты[ΔU до шин (подбор), %])),0)</f>
        <v>0.43</v>
      </c>
      <c r="DQ217" t="str">
        <f>IFERROR(_xlfn.XLOOKUP(A217,Щиты[Щит],Щиты[Zпетли на шинах (подбор), Ом]),"")</f>
        <v/>
      </c>
      <c r="DR217" t="str">
        <f t="shared" si="413"/>
        <v/>
      </c>
      <c r="DS217">
        <f t="shared" si="414"/>
        <v>51</v>
      </c>
      <c r="DT217">
        <f t="shared" si="415"/>
        <v>2</v>
      </c>
      <c r="DU217">
        <f t="shared" si="416"/>
        <v>0.31</v>
      </c>
      <c r="DV217" s="6">
        <f>IF(B217="","",IF(IFERROR(VLOOKUP(AX217,УГО_спр,2,FALSE),"")="Светильник",3,4)+IF(Методика="нормы 2026",MIN(0.5,MAX(0,N(Q217)-100)*0.005),0))</f>
        <v>4</v>
      </c>
      <c r="DW217" cm="1">
        <f t="array" ref="DW217">IF(OR(B217="",BT217="",DM217&lt;&gt;1),"",_xlfn.LET(_xlpm.sz,Iдоп_S,_xlpm.t_,CHOOSE(DL217,Iдоп_1ж,Iдоп_2ж,Iдоп_3ж)*DJ217*DK217,_xlpm.inn,N(DD217),_xlpm.smin,MAX(1.5,BW217),_xlpm.L_,N(Q217)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217)*(_xlpm.rho*_xlpm.L_/_xlpm.sz*N(BY217)+_xlpm.xx*_xlpm.L_*N(DU217)/1000)*N(P217)/((Uн_лин/SQRT(3))*1000)*100,999),_xlpm.kz,IF(OR(DG217=1,NOT(ISNUMBER(DQ217)),_xlpm.L_=0,_xlpm.inn=0),1,IFERROR(--(c_min*(Uн_лин*1000/SQRT(3))/(DQ217+2*ρкз_Cu*_xlpm.L_/_xlpm.sz)&gt;=GY217*_xlpm.inn),0)),_xlpm.ok,IFERROR((_xlpm.sz&gt;=_xlpm.smin)*(_xlpm.t_&gt;=_xlpm.inn)*IF(_xlpm.L_&gt;0,(_xlpm.du_+DP217&lt;=DV217+0.00001),1)*_xlpm.kz,0),_xlpm.r_,_xlfn._xlws.FILTER(_xlpm.sz,_xlpm.ok,"не подобрано"),INDEX(_xlpm.r_,1)))</f>
        <v>1.5</v>
      </c>
      <c r="DX217">
        <f t="shared" si="417"/>
        <v>2.5</v>
      </c>
      <c r="DY217" cm="1">
        <f t="array" ref="DY217">IF(OR(B217="",BT217="",DM217&lt;&gt;1),"",_xlfn.LET(_xlpm.sz,Iдоп_S,_xlpm.t_,CHOOSE(DL217,Iдоп_1ж,Iдоп_2ж,Iдоп_3ж)*DJ217*DK217,_xlpm.ok,IFERROR((_xlpm.sz&gt;=MAX(1.5,BW217))*(_xlpm.t_&gt;=N(DD217)),0),_xlpm.r_,_xlfn._xlws.FILTER(_xlpm.sz,_xlpm.ok,""),INDEX(_xlpm.r_,1)))</f>
        <v>1.5</v>
      </c>
      <c r="DZ217" s="6" cm="1">
        <f t="array" ref="DZ217">IFERROR(ROUNDUP(N(DT217)*(_xlfn.XLOOKUP(DY217,INDEX(Кабель_сопротивление,0,1),INDEX(Кабель_сопротивление,0,3))*N(Q217)/DY217*N(BY217)+_xlfn.XLOOKUP(DY217,INDEX(Кабель_сопротивление,0,1),INDEX(Кабель_сопротивление,0,2))*N(Q217)*N(DU217)/1000)*N(P217)/((Uн_лин/SQRT(3))*1000)*100,2),"")</f>
        <v>0.19</v>
      </c>
      <c r="EA217">
        <f>IFERROR(2*ρкз_Cu*N(Q217)/DY217,"")</f>
        <v>1.8936000000000002</v>
      </c>
      <c r="EB217">
        <f>IFERROR(VLOOKUP(DX217,Кабель_сопротивление,3,FALSE),"")</f>
        <v>2.2499999999999999E-2</v>
      </c>
      <c r="EC217">
        <f>IFERROR(VLOOKUP(DX217,Кабель_сопротивление,2,FALSE),"")</f>
        <v>0.1</v>
      </c>
      <c r="ED217">
        <f t="shared" si="418"/>
        <v>7</v>
      </c>
      <c r="EE217">
        <f t="shared" si="419"/>
        <v>0</v>
      </c>
      <c r="EF217">
        <f t="shared" si="420"/>
        <v>0.25344862449676442</v>
      </c>
      <c r="EG217" s="6">
        <f>IFERROR(ROUNDUP(EF217/((Uн_лин/SQRT(3))*1000)*100,2),"")</f>
        <v>0.11</v>
      </c>
      <c r="EH217" t="str">
        <f>IFERROR(VLOOKUP(BT217,Кабель_обозначение,2,FALSE),"")</f>
        <v>ВВГнг(А)-LS</v>
      </c>
      <c r="EI217" t="str">
        <f t="shared" si="421"/>
        <v>ВВГнг(А)-LS (3х2,5)</v>
      </c>
      <c r="EJ217" t="str">
        <f t="shared" si="422"/>
        <v>ВВГнг(А)-LS (3х2,5)
L=54-0,11%</v>
      </c>
      <c r="EK217">
        <f>IFERROR(2*ρкз_Cu*Q217/DX217,"")</f>
        <v>1.1361600000000001</v>
      </c>
      <c r="EL217">
        <f t="shared" si="423"/>
        <v>0.378</v>
      </c>
      <c r="EM217" s="6" t="str">
        <f>IFERROR(IF(OR(B217="",NOT(ISNUMBER(DX217)),N(Q217)=0),"",_xlfn.XLOOKUP(A217,Щиты[Щит],Щиты[Zпетли на шинах, Ом])+EK217),"")</f>
        <v/>
      </c>
      <c r="EN217" s="6" t="str">
        <f>IF(ISNUMBER(EM217),c_min*(Uн_лин*1000/SQRT(3))/EM217,"")</f>
        <v/>
      </c>
      <c r="EO217" s="6" t="str">
        <f>IFERROR(IF(OR(B217="",NOT(ISNUMBER(DX217))),"",1.05*(Uн_лин*1000/SQRT(3))/(_xlfn.XLOOKUP(A217,Щиты[Щит],Щиты[Zmax на шинах, Ом])+EL217)/1000),"")</f>
        <v/>
      </c>
      <c r="EP217" s="6" t="str">
        <f>IF(B217="","",IF(ISNUMBER(Y217),"Сил",IF(IFERROR(_xlfn.XLOOKUP(AX217,Коды_код,Коды_группа)&amp;"","")="","Быт",_xlfn.XLOOKUP(AX217,Коды_код,Коды_группа)&amp;"")))</f>
        <v>Быт</v>
      </c>
      <c r="EQ217" s="6" t="str">
        <f t="shared" si="424"/>
        <v>Быт</v>
      </c>
      <c r="ER217" s="6">
        <f>IF(EQ217="Щит","щит",IF(EQ217="","",IF(EQ217="Быт",IFERROR(_xlfn.XLOOKUP(A217,Щиты[Щит],Щиты[Кс быт]),1),IF(EQ217="Сил",IF(ISNUMBER(Y217),Y217,IF(Методика="нормы 2026",IFERROR(_xlfn.XLOOKUP(A217,Щиты[Щит],Щиты[Кс силовых (табл. 7.5)]),1),1)),IF(OR(EQ217="Пост",EQ217="Отоп"),1,IF(EQ217="ВНГ",0.7,0))))))</f>
        <v>0.79799999999999993</v>
      </c>
      <c r="ES217">
        <f t="shared" si="425"/>
        <v>1</v>
      </c>
      <c r="ET217">
        <f t="shared" si="426"/>
        <v>0.06</v>
      </c>
      <c r="EU217">
        <f t="shared" si="427"/>
        <v>0.06</v>
      </c>
      <c r="EV217">
        <f t="shared" si="428"/>
        <v>0</v>
      </c>
      <c r="EW217">
        <f t="shared" si="429"/>
        <v>0</v>
      </c>
      <c r="EX217">
        <f t="shared" si="430"/>
        <v>0</v>
      </c>
      <c r="EY217">
        <f t="shared" si="431"/>
        <v>0</v>
      </c>
      <c r="EZ217">
        <f t="shared" si="432"/>
        <v>0.06</v>
      </c>
      <c r="FA217">
        <f t="shared" si="433"/>
        <v>5.6999999999999995E-2</v>
      </c>
      <c r="FB217">
        <f t="shared" si="434"/>
        <v>0.06</v>
      </c>
      <c r="FC217" t="str">
        <f t="shared" si="435"/>
        <v>L3</v>
      </c>
      <c r="FD217" t="str">
        <f>IF(B217="","",IF(CA217=0,IF(AW217=1,"",FF216),IF(OR(N(CV217)&gt;=3,N(BR217)&gt;=3),"L1,L2,L3",IFERROR(_xlfn.TEXTBEFORE(_xlfn.TEXTAFTER(_xlfn.XLOOKUP(A217,Щиты[Щит],Щиты[_фазы авто]),";"&amp;AW217&amp;":"),";"),"L1"))))</f>
        <v>L1</v>
      </c>
      <c r="FE217" t="str">
        <f t="shared" si="436"/>
        <v>L3</v>
      </c>
      <c r="FF217" t="str">
        <f t="shared" si="437"/>
        <v>L3</v>
      </c>
      <c r="FG217" cm="1">
        <f t="array" ref="FG217">IFERROR(IF(BX217=2,_xlfn.IFS(BR217=3,VLOOKUP(BN217,Справочная_двигатели,3,FALSE),BR217=1,VLOOKUP(BN217,Справочная_двигатели,5,TRUE)),0),0)</f>
        <v>0</v>
      </c>
      <c r="FH217">
        <f>IFERROR(IF(BX217=3,VLOOKUP(BN217,Справочная_ЛЭД,2,TRUE),0),0)</f>
        <v>0</v>
      </c>
      <c r="FI217" s="6">
        <f t="shared" si="438"/>
        <v>0</v>
      </c>
      <c r="FJ217" t="str" cm="1">
        <f t="array" ref="FJ217">IF(B217="","",IFERROR(INDEX({"I особая","I","II","III"},MATCH(TRIM(AC217&amp;""),{"I особая","I","II","III"},0)),"III"))</f>
        <v>II</v>
      </c>
      <c r="FK217" t="str">
        <f>IF(B217="","",IF(TRIM(AD217&amp;"")&lt;&gt;"",IF(LOWER(TRIM(AD217&amp;""))="да","да","нет"),IF(IFERROR(_xlfn.XLOOKUP(AX217,Коды_код,Коды_пожарная),"")="да","да","нет")))</f>
        <v>нет</v>
      </c>
      <c r="FL217" t="str">
        <f t="shared" si="439"/>
        <v/>
      </c>
      <c r="FM217" t="str">
        <f t="shared" si="440"/>
        <v>основная</v>
      </c>
      <c r="FN217">
        <f t="shared" si="441"/>
        <v>1</v>
      </c>
      <c r="FO217" t="str" cm="1">
        <f t="array" ref="FO217">IF(B217="","",_xlfn.LET(_xlpm.t,IFERROR(_xlfn.XLOOKUP(1,(Шины[Шина]=FM217)*(((Шины[Щит]=A217)+(Шины[Щит]=""))&gt;0),Шины[Тип]),"")&amp;"",IF(_xlpm.t&lt;&gt;"",_xlpm.t,IF(ISNUMBER(SEARCH("ИБП",FM217)),"ИБП",IF(ISNUMBER(SEARCH("ДГУ",FM217)),"ДГУ","Ввод "&amp;FN217)))))</f>
        <v>Ввод 1</v>
      </c>
      <c r="FP217" t="str">
        <f t="shared" si="442"/>
        <v>Ввод 1</v>
      </c>
      <c r="FQ217" t="str">
        <f>IF(B217="","",IF(OR(FO217="ИБП",FO217="ДГУ"),"I особая",IF(FO217="Одиночная","III",_xlfn.XLOOKUP(A217,Щиты[Щит],Щиты[Категория шины «Ввод»],"III"))))</f>
        <v>II</v>
      </c>
      <c r="FR217">
        <f>IF(B217="",0,IFERROR(MATCH(FJ217,{"III","II","I","I особая"},0),1))</f>
        <v>2</v>
      </c>
      <c r="FS217">
        <f t="shared" si="443"/>
        <v>2</v>
      </c>
      <c r="FT217" t="str">
        <f>IF(B217="","",IF(FR217&gt;IFERROR(MATCH(FQ217,{"III","II","I","I особая"},0),1),"НЕ ОБЕСПЕЧЕНА","ОК"))</f>
        <v>ОК</v>
      </c>
      <c r="FU217" t="str">
        <f>IF(A217="","",_xlfn.XLOOKUP(A217,Щиты[Щит],Щиты[Путь],""))</f>
        <v>|ГРЩ-ЖД|ЩР-01|</v>
      </c>
      <c r="FV217" t="str">
        <f>IF(B217="","",IF(AE217&lt;&gt;"",AE217,IF(IFERROR(_xlfn.XLOOKUP(AX217,Коды_код,Коды_вид)&amp;"","")="","Прочее",_xlfn.XLOOKUP(AX217,Коды_код,Коды_вид)&amp;"")))</f>
        <v>Розеточная сеть и бытовые приборы</v>
      </c>
      <c r="FW217">
        <f>IF(BH217="","",INT((BH217-1)/Столбцов_на_лист)+1)</f>
        <v>4</v>
      </c>
      <c r="FX217" t="str">
        <f t="shared" si="444"/>
        <v>ВВГнг(А)-LS (3х2,5) L=54-0,11%</v>
      </c>
      <c r="FY217">
        <f t="shared" si="445"/>
        <v>0.06</v>
      </c>
      <c r="FZ217">
        <f t="shared" si="446"/>
        <v>0.28000000000000003</v>
      </c>
      <c r="GA217">
        <f t="shared" si="447"/>
        <v>1</v>
      </c>
      <c r="GB217">
        <f t="shared" si="448"/>
        <v>0</v>
      </c>
      <c r="GC217">
        <f t="shared" si="449"/>
        <v>1</v>
      </c>
      <c r="GD217">
        <f>IF(BH217="","",IF(AND(CA217=1,GC217=1),COUNTIFS(A$3:A217,A217,CA$3:CA217,1,GC$3:GC217,1),IF(OR(OR(AW217=1,A217&lt;&gt;A216),AF217="вручную",GC217=0),"",IF(AW217=1,"",GE216))))</f>
        <v>33</v>
      </c>
      <c r="GE217">
        <f t="shared" si="450"/>
        <v>33</v>
      </c>
      <c r="GF217">
        <f>IF(B217="","",IFERROR(LOOKUP(INDEX(CHOOSE(DL217,Iдоп_1ж,Iдоп_2ж,Iдоп_3ж),MATCH(DX217,Iдоп_S,0))*DJ217*DK217,{6,10,16,20,25,32,40,50,63,80,100,125,160,200,250,315,400,500,630}),""))</f>
        <v>25</v>
      </c>
      <c r="GG217" t="str">
        <f t="shared" si="451"/>
        <v>QFD33</v>
      </c>
      <c r="GH217" t="str">
        <f t="shared" si="452"/>
        <v>QFD33</v>
      </c>
      <c r="GI217" t="str">
        <f t="shared" si="453"/>
        <v/>
      </c>
      <c r="GJ217">
        <f t="shared" si="454"/>
        <v>0</v>
      </c>
      <c r="GK217" t="str">
        <f>IF(OR(AG217="",AG217="-"),"",IFERROR(VLOOKUP(AG217,Модули_спр,2,FALSE),"R"))</f>
        <v/>
      </c>
      <c r="GL217" t="str">
        <f>IF(GK217="","",GK217&amp;"."&amp;COUNTIFS(A$3:A217,A217,GK$3:GK217,GK217))</f>
        <v/>
      </c>
      <c r="GM217" t="str">
        <f t="shared" si="455"/>
        <v/>
      </c>
      <c r="GN217" t="str">
        <f t="shared" si="456"/>
        <v/>
      </c>
      <c r="GO217" t="str">
        <f t="shared" si="457"/>
        <v/>
      </c>
      <c r="GP217" t="str">
        <f t="shared" si="458"/>
        <v/>
      </c>
      <c r="GQ217">
        <f t="shared" si="459"/>
        <v>1</v>
      </c>
      <c r="GR217" t="str">
        <f>IF(GQ217=1,"XT"&amp;COUNTIFS(A$3:A217,A217,GQ$3:GQ217,1),"")</f>
        <v>XT33</v>
      </c>
      <c r="GS217" t="str">
        <f t="shared" si="460"/>
        <v/>
      </c>
      <c r="GT217" t="str">
        <f t="shared" si="461"/>
        <v>QFD33</v>
      </c>
      <c r="GU217" t="str">
        <f t="shared" si="462"/>
        <v/>
      </c>
      <c r="GV217" t="str">
        <f t="shared" si="463"/>
        <v>ok</v>
      </c>
      <c r="GW217" t="str">
        <f>IF(OR(GO217="",GM217=""),"",IF(GO217&gt;IFERROR(VLOOKUP(GN217,Модули_спр,3,FALSE),99),"ЛИШНИЙ КАНАЛ",IF(AND(AH217&lt;&gt;"=",COUNTIFS(Линии[_модуль гр.],GM217,Линии[Канал (итог)],GO217,Линии[Канал],"&lt;&gt;=",Линии[Щит],A217)&gt;1),"ДУБЛЬ КАНАЛА","")))</f>
        <v/>
      </c>
      <c r="GX217" s="6" t="str">
        <f t="shared" si="464"/>
        <v/>
      </c>
      <c r="GY217">
        <f t="shared" si="465"/>
        <v>10</v>
      </c>
      <c r="GZ217" t="str">
        <f t="shared" si="466"/>
        <v/>
      </c>
      <c r="HA217" t="str">
        <f>IF(AND(B217="",GT217=""),"",_xlfn.TEXTJOIN("; ",TRUE,IF(AND(B217&lt;&gt;"",FE217=""),"нет фазы",""),IF(AND(B217&lt;&gt;"",N(FY217)=0,EQ217&lt;&gt;"Нет"),"нет мощности",""),IF(AND(GS217&lt;&gt;"",COUNTIFS(Линии[Щит],A217,Линии[Клемма (итог)],GS217)&gt;1),"дубль клеммы "&amp;GS217,""),IF(AND(GV217&lt;&gt;"",GV217&lt;&gt;"ok"),GV217,""),IF(GW217&lt;&gt;"",GW217,""),IF(AND(N(BV217)&gt;=4,N(BR217)=1),BV217&amp;" жил на 1 фазе",""),IF(AND(AX217="R",CA217=1,OR(N(CK217)=0,N(CK217)&gt;30)),"розетка без дифзащиты до 30 мА",""),IFERROR(IF(AND(ISNUMBER(R217),R217&gt;DV217),"потери "&amp;FIXED(R217,1)&amp;" % &gt; "&amp;DV217&amp;" %",""),""),IFERROR(IF(LEFT(GZ217,4)="мало","Iкз мало — отключение &gt; 0,4 с",""),""),IF(AND(B217&lt;&gt;"",BH217=""),"не на схеме",""),IF(AND(CA217=0,B217&lt;&gt;"",FE217&lt;&gt;"",IF(AW217=1,"",FF216)&lt;&gt;"",FE217&lt;&gt;IF(AW217=1,"",FF216)),"фаза не как у автомата группы ("&amp;IF(AW217=1,"",FF216)&amp;")","")))</f>
        <v/>
      </c>
      <c r="HB217" s="6">
        <f>IF(OR(CA217=0,DA217=""),"",_xlfn.LET(_xlpm.t,IFERROR(_xlfn.XLOOKUP(DA217,Каталог!$U$4:$U$500,Каталог!$G$4:$G$500),""),_xlpm.k,SEARCH("кА",_xlpm.t),IFERROR(--TRIM(RIGHT(SUBSTITUTE(MID(_xlpm.t,MAX(1,_xlpm.k-4),_xlpm.k-MAX(1,_xlpm.k-4))," ",REPT(" ",9)),5)),"")))</f>
        <v>6</v>
      </c>
      <c r="HC217" t="str">
        <f>IF(OR(HB217="",CA217=0),"",IF(_xlfn.XLOOKUP(A217,Щиты[Щит],Щиты[Iкз max на шинах, кА],"")="","",IF(HB217&lt;_xlfn.XLOOKUP(A217,Щиты[Щит],Щиты[Iкз max на шинах, кА]),"Icu "&amp;HB217&amp;" кА &lt; Iкз max","ok")))</f>
        <v/>
      </c>
      <c r="HD217" t="str">
        <f t="shared" si="467"/>
        <v/>
      </c>
      <c r="HE217" t="str">
        <f t="shared" si="468"/>
        <v>QFD33</v>
      </c>
      <c r="HF217" t="str">
        <f t="shared" si="469"/>
        <v>QFD33|кабель ВВГнг(А)-LS (3х2,5) → Розеточная группа, пом. 022</v>
      </c>
      <c r="HG217" t="str" cm="1">
        <f t="array" ref="HG217">IF(HF217="","",_xlfn.LET(_xlpm.nd,_xlfn.TEXTSPLIT(HF217,"|"),IF(COLUMNS(_xlpm.nd)&gt;1,A217&amp;"¦"&amp;INDEX(_xlpm.nd,1)&amp;"¦"&amp;INDEX(_xlpm.nd,2),"")))</f>
        <v>ЩР-01¦QFD33¦кабель ВВГнг(А)-LS (3х2,5) → Розеточная группа, пом. 022</v>
      </c>
      <c r="HH217" t="str">
        <f t="shared" si="470"/>
        <v>R.0.022.1¦Розеточная группа, пом. 022</v>
      </c>
      <c r="HI217" t="str" cm="1">
        <f t="array" ref="HI217">IF(HF217="","",_xlfn.LET(_xlpm.nd,_xlfn.TEXTSPLIT(HF217,"|"),IF(COLUMNS(_xlpm.nd)&gt;2,A217&amp;"¦"&amp;INDEX(_xlpm.nd,2)&amp;"¦"&amp;INDEX(_xlpm.nd,3),"")))</f>
        <v/>
      </c>
      <c r="HJ217" t="str">
        <f t="shared" si="471"/>
        <v/>
      </c>
      <c r="HK217" t="str" cm="1">
        <f t="array" ref="HK217">IF(HF217="","",_xlfn.LET(_xlpm.nd,_xlfn.TEXTSPLIT(HF217,"|"),IF(COLUMNS(_xlpm.nd)&gt;3,A217&amp;"¦"&amp;INDEX(_xlpm.nd,3)&amp;"¦"&amp;INDEX(_xlpm.nd,4),"")))</f>
        <v/>
      </c>
      <c r="HL217" t="str">
        <f t="shared" si="472"/>
        <v/>
      </c>
      <c r="HM217" t="str" cm="1">
        <f t="array" ref="HM217">IF(HF217="","",_xlfn.LET(_xlpm.nd,_xlfn.TEXTSPLIT(HF217,"|"),IF(COLUMNS(_xlpm.nd)&gt;4,A217&amp;"¦"&amp;INDEX(_xlpm.nd,4)&amp;"¦"&amp;INDEX(_xlpm.nd,5),"")))</f>
        <v/>
      </c>
      <c r="HN217" t="str">
        <f t="shared" si="473"/>
        <v/>
      </c>
      <c r="HO217" t="str" cm="1">
        <f t="array" ref="HO217">IF(HF217="","",_xlfn.LET(_xlpm.nd,_xlfn.TEXTSPLIT(HF217,"|"),IF(COLUMNS(_xlpm.nd)&gt;5,A217&amp;"¦"&amp;INDEX(_xlpm.nd,5)&amp;"¦"&amp;INDEX(_xlpm.nd,6),"")))</f>
        <v/>
      </c>
      <c r="HP217" t="str">
        <f t="shared" si="474"/>
        <v/>
      </c>
      <c r="HQ217" t="str" cm="1">
        <f t="array" ref="HQ217">IF(HF217="","",_xlfn.LET(_xlpm.nd,_xlfn.TEXTSPLIT(HF217,"|"),IF(COLUMNS(_xlpm.nd)&gt;6,A217&amp;"¦"&amp;INDEX(_xlpm.nd,6)&amp;"¦"&amp;INDEX(_xlpm.nd,7),"")))</f>
        <v/>
      </c>
      <c r="HR217" t="str">
        <f t="shared" si="475"/>
        <v/>
      </c>
      <c r="HS217" t="str">
        <f t="shared" si="476"/>
        <v/>
      </c>
      <c r="HT217" t="str">
        <f t="shared" si="477"/>
        <v>QFD33</v>
      </c>
      <c r="HU217">
        <f t="shared" si="478"/>
        <v>0</v>
      </c>
      <c r="HV217">
        <f t="shared" si="479"/>
        <v>1</v>
      </c>
      <c r="HW217" t="str">
        <f t="shared" si="480"/>
        <v/>
      </c>
      <c r="HX217" t="str">
        <f t="shared" si="481"/>
        <v/>
      </c>
      <c r="HY217" t="str">
        <f t="shared" si="482"/>
        <v/>
      </c>
      <c r="HZ217" t="str">
        <f t="shared" si="483"/>
        <v/>
      </c>
      <c r="IA217" t="str">
        <f>IF(B217="","",IFERROR(VLOOKUP(B217,УГО_спр,2,FALSE),IFERROR(VLOOKUP(AX217,УГО_спр,2,FALSE),IFERROR(VLOOKUP(LEFT(AX217,2),УГО_спр,2,FALSE),""))))</f>
        <v>Розетка</v>
      </c>
      <c r="IB217" t="str">
        <f>IF(B217="","",IF(OR(IA217="",IA217=0),"BOX",IFERROR(IF(VLOOKUP(IA217,УГО_блоки,3,FALSE)&amp;""&lt;&gt;"",VLOOKUP(IA217,УГО_блоки,3,FALSE),VLOOKUP(IA217,УГО_блоки,2,FALSE)),IA217)))</f>
        <v>SOCKET</v>
      </c>
      <c r="IC217">
        <f t="shared" si="484"/>
        <v>1</v>
      </c>
      <c r="ID217" t="str">
        <f>IF(DA217="","",IF(COUNTIF(DA$3:DA217,DA217)=1,MAX(ID$2:ID216)+1,""))</f>
        <v/>
      </c>
      <c r="IE217" t="str">
        <f>IF(CO217="","",IF(COUNTIF(CO$3:CO217,CO217)+COUNTIF(CP$2:CP216,CO217)+COUNTIF(CQ$2:CQ216,CO217)=1,MAX(IE$2:IG216)+1,""))</f>
        <v/>
      </c>
      <c r="IF217" t="str">
        <f>IF(CP217="","",IF(COUNTIF(CO$3:CO217,CP217)+COUNTIF(CP$3:CP217,CP217)+COUNTIF(CQ$2:CQ216,CP217)=1,MAX(IE$2:IG216,IE217)+1,""))</f>
        <v/>
      </c>
      <c r="IG217" t="str">
        <f>IF(CQ217="","",IF(COUNTIF(CO$3:CO217,CQ217)+COUNTIF(CP$3:CP217,CQ217)+COUNTIF(CQ$3:CQ217,CQ217)=1,MAX(IE$2:IG216,IE217,IF217)+1,""))</f>
        <v/>
      </c>
      <c r="IH217" t="str">
        <f t="shared" si="485"/>
        <v>3х2,5</v>
      </c>
      <c r="II217" t="str">
        <f>IF(IH217="","",IF(COUNTIF(IH$3:IH217,IH217)=1,MAX(II$2:II216)+1,""))</f>
        <v/>
      </c>
      <c r="IJ217" t="str">
        <f>IF(GL217="","",COUNTIF(GL$3:GL217,"?*"))</f>
        <v/>
      </c>
      <c r="IK217" t="str">
        <f>IF(OR(GL217="",GN217=""),"",IF(COUNTIFS(GL$3:GL217,"?*",GN$3:GN217,GN217)=1,MAX(IK$2:IK216)+1,""))</f>
        <v/>
      </c>
      <c r="IL217">
        <f t="shared" si="486"/>
        <v>0</v>
      </c>
      <c r="IM217">
        <f>IF(B217="","",COUNTIF(B$3:B217,"?*"))</f>
        <v>215</v>
      </c>
      <c r="IN217">
        <f>IF(GQ217&lt;&gt;1,0,_xlfn.LET(_xlpm.k,MAX(IFERROR(--VLOOKUP(B217,УГО_спр,5,FALSE),0),IFERROR(--VLOOKUP(AX217,УГО_спр,5,FALSE),0),IFERROR(--VLOOKUP(LEFT(AX217,2),УГО_спр,5,FALSE),0)),IF(_xlpm.k&gt;0,_xlpm.k,IF(IFERROR(--LEFT(SUBSTITUTE(IH217,"x","х"),FIND("х",SUBSTITUTE(IH217,"x","х"))-1),3)&gt;3,Каталог!$S$9,1))))</f>
        <v>1</v>
      </c>
      <c r="IO217">
        <f t="shared" si="487"/>
        <v>0</v>
      </c>
      <c r="IP217" t="str">
        <f t="shared" si="488"/>
        <v>авто</v>
      </c>
      <c r="IQ217">
        <f t="shared" si="489"/>
        <v>30</v>
      </c>
      <c r="IR217">
        <f t="shared" si="490"/>
        <v>1</v>
      </c>
      <c r="IS217">
        <f t="shared" si="491"/>
        <v>1</v>
      </c>
    </row>
    <row r="218" spans="1:253" x14ac:dyDescent="0.3">
      <c r="A218" t="s">
        <v>757</v>
      </c>
      <c r="B218" t="s">
        <v>1484</v>
      </c>
      <c r="C218" t="str">
        <f>Линии[[#This Row],[_авто наименование]]</f>
        <v>Розеточная группа, пом. 012A</v>
      </c>
      <c r="D218">
        <v>3</v>
      </c>
      <c r="E218">
        <v>0.18</v>
      </c>
      <c r="G218" t="str">
        <f>Линии[[#This Row],[_авто автомат]]</f>
        <v>2P С16А 30мА</v>
      </c>
      <c r="H218">
        <f>Линии[[#This Row],[_авто утечка]]</f>
        <v>30</v>
      </c>
      <c r="I218" t="str">
        <f>Линии[[#This Row],[_авто управление]]</f>
        <v/>
      </c>
      <c r="J218" t="str">
        <f>Линии[[#This Row],[_авто аппараты]]</f>
        <v/>
      </c>
      <c r="K218">
        <v>2.5</v>
      </c>
      <c r="L218">
        <v>48</v>
      </c>
      <c r="M218">
        <v>1</v>
      </c>
      <c r="N218" t="s">
        <v>486</v>
      </c>
      <c r="O218" t="str">
        <f t="shared" si="369"/>
        <v/>
      </c>
      <c r="P218" s="6" cm="1">
        <f t="array" ref="P218">IF(B218="","",IF(BC218&lt;&gt;"",IFERROR(_xlfn.XLOOKUP(BC218,Щиты[Щит],Щиты[Iр, А]),""),IF(BK218=1,IFERROR(_xlfn.XLOOKUP(A218,Щиты[Щит],Щиты[Iр, А]),""),IFERROR(_xlfn.IFS(BR218=1,BN218/((Uн_лин/SQRT(3))*BY218),BR218=3,BN218/(SQRT(3)*Uн_лин*BY218)),""))))</f>
        <v>0.8204451193747313</v>
      </c>
      <c r="Q218" s="7">
        <f>IF(B218="","",IFERROR(IF(VLOOKUP(AX218,Потребители_обозначение,4,FALSE)=1,VLOOKUP(AX218,Потребители_обозначение,3,FALSE)*(D218*2-1)+DS218+VLOOKUP(AZ218,Этаж_обозначение,3,FALSE)+VLOOKUP(AZ218,Этаж_обозначение,4,FALSE),VLOOKUP(AX218,Потребители_обозначение,3,FALSE)*(D218*2-1)+DS218),DS218))</f>
        <v>63</v>
      </c>
      <c r="R218" s="6">
        <f t="shared" si="370"/>
        <v>0.82000000000000006</v>
      </c>
      <c r="S218" t="str">
        <f t="shared" si="371"/>
        <v>ВВГнг(А)-LS (3х2,5)</v>
      </c>
      <c r="T218" t="str">
        <f>IF(BH218="","",IF(BI218="вводной узел","узел ","")&amp;"л."&amp;(INT((BH218-1)/Столбцов_на_лист)+1)&amp;" / "&amp;(MOD(BH218-1,Столбцов_на_лист)+1))</f>
        <v>л.4 / 4</v>
      </c>
      <c r="V218">
        <v>1</v>
      </c>
      <c r="W218">
        <v>230</v>
      </c>
      <c r="X218" t="s">
        <v>564</v>
      </c>
      <c r="AC218" t="s">
        <v>815</v>
      </c>
      <c r="AE218" t="s">
        <v>563</v>
      </c>
      <c r="AI218">
        <v>55</v>
      </c>
      <c r="AJ218" t="s">
        <v>11</v>
      </c>
      <c r="AK218">
        <v>3</v>
      </c>
      <c r="AM218">
        <v>9</v>
      </c>
      <c r="AN218">
        <v>54</v>
      </c>
      <c r="AW218" cm="1">
        <f t="array" ref="AW218">ROW()-ROW(Линии[#Headers])</f>
        <v>216</v>
      </c>
      <c r="AX218" s="6" t="str">
        <f t="shared" si="372"/>
        <v>R</v>
      </c>
      <c r="AY218" t="str">
        <f t="shared" si="373"/>
        <v>0.012A.2</v>
      </c>
      <c r="AZ218" t="str">
        <f t="shared" si="374"/>
        <v>0</v>
      </c>
      <c r="BA218" t="str">
        <f t="shared" si="375"/>
        <v>012A.2</v>
      </c>
      <c r="BB218" t="str">
        <f t="shared" si="376"/>
        <v>012A</v>
      </c>
      <c r="BC218" t="str">
        <f>IF(U218&lt;&gt;"",U218,IF(AND(B218&lt;&gt;"",B218&lt;&gt;A218,ISNUMBER(_xlfn.XMATCH(B218,Щиты[Щит]))),B218,""))</f>
        <v/>
      </c>
      <c r="BD218" t="str" cm="1">
        <f t="array" ref="BD218">IF(B218="","",IF(BC218&lt;&gt;"","Щит "&amp;BC218,_xlfn.LET(_xlpm.nm,IFERROR(_xlfn.XLOOKUP(AX218,Коды_код,Коды_имя)&amp;"",""),_xlpm.md,IFERROR(N(_xlfn.XLOOKUP(AX218,Коды_код,Коды_режим)),1),_xlpm.ex,IF(Имя_режим="по экспликации",IFERROR(_xlfn.XLOOKUP(AZ218&amp;"|"&amp;BB218,Экспликация[Этаж]&amp;"|"&amp;Экспликация[Помещение],Экспликация[Название])&amp;"",""),""),_xlpm.rm,IF(BB218="","",IF(_xlpm.ex&lt;&gt;"",". "&amp;_xlpm.ex&amp;IF(Имя_пом="нет"," ("&amp;BB218&amp;")"," (пом. "&amp;BB218&amp;")"),IF(Имя_пом="нет"," ",", пом. ")&amp;BB218)),IF(_xlpm.nm="","",IF(_xlpm.md=2,_xlpm.nm&amp;" шлейф "&amp;AZ218,_xlpm.nm&amp;_xlpm.rm)))))</f>
        <v>Розеточная группа, пом. 012A</v>
      </c>
      <c r="BE218" t="str">
        <f t="shared" si="377"/>
        <v>Розеточная группа, пом. 012A</v>
      </c>
      <c r="BF218">
        <f>IFERROR(_xlfn.XMATCH(A218,Щиты[Щит]),0)</f>
        <v>9</v>
      </c>
      <c r="BG218">
        <f>_xlfn.LET(_xlpm.k,IFERROR(_xlfn.XLOOKUP(A218,Щиты[Щит],Щиты[Листов под вводной узел]),""),IF(_xlpm.k="",1,N(_xlpm.k))*Столбцов_на_лист)</f>
        <v>17</v>
      </c>
      <c r="BH218">
        <f t="shared" si="378"/>
        <v>55</v>
      </c>
      <c r="BI218" t="str">
        <f t="shared" si="379"/>
        <v>линии</v>
      </c>
      <c r="BJ218" s="6">
        <f>IFERROR(N(_xlfn.XLOOKUP(AX218,Коды_код,Коды_квт)),0)</f>
        <v>0</v>
      </c>
      <c r="BK218">
        <f t="shared" si="380"/>
        <v>0</v>
      </c>
      <c r="BL218" t="str">
        <f>IF(B218="","",IF(BC218&lt;&gt;"",IFERROR(_xlfn.XLOOKUP(BC218,Щиты[Щит],Щиты[Руст, кВт]),0),IF(BK218=1,IFERROR(_xlfn.XLOOKUP(A218,Щиты[Щит],Щиты[Руст, кВт]),0),IF(BJ218&gt;0,ROUND(BJ218*MAX(1,N(D218)),3),""))))</f>
        <v/>
      </c>
      <c r="BM218">
        <f t="shared" si="381"/>
        <v>0.18</v>
      </c>
      <c r="BN218" s="6">
        <f>IF(B218="","",IF(BC218&lt;&gt;"",IFERROR(_xlfn.XLOOKUP(BC218,Щиты[Щит],Щиты[Руст, кВт]),0),N(BM218)))</f>
        <v>0.18</v>
      </c>
      <c r="BO218" t="str">
        <f>IF(B218="","",IFERROR(IF(VLOOKUP(AX218,Потребители_обозначение,8,FALSE)=0,"",VLOOKUP(AX218,Потребители_обозначение,8,FALSE)),""))</f>
        <v/>
      </c>
      <c r="BP218">
        <f t="shared" si="382"/>
        <v>230</v>
      </c>
      <c r="BQ218">
        <f>IF(B218="","",IF(BC218&lt;&gt;"",3,IFERROR(IF(N(VLOOKUP(AX218,Потребители_обозначение,9,FALSE))=0,1,VLOOKUP(AX218,Потребители_обозначение,9,FALSE)),1)))</f>
        <v>1</v>
      </c>
      <c r="BR218">
        <f t="shared" si="383"/>
        <v>1</v>
      </c>
      <c r="BS218" t="str">
        <f>IF(B218="","",_xlfn.LET(_xlpm.bc,IFERROR(IF(VLOOKUP(AX218,Потребители_обозначение,6,FALSE)=0,"",VLOOKUP(AX218,Потребители_обозначение,6,FALSE)&amp;""),""),IF(AND(FK218="да",OR(_xlpm.bc="",_xlpm.bc="мс")),Марка_пож,IF(AND(_xlpm.bc="",BC218&lt;&gt;""),"мс",_xlpm.bc))))</f>
        <v/>
      </c>
      <c r="BT218" t="str">
        <f t="shared" si="384"/>
        <v>мс</v>
      </c>
      <c r="BU218">
        <f>IF(B218="","",_xlfn.LET(_xlpm.cc,IFERROR(N(VLOOKUP(AX218,Потребители_обозначение,7,FALSE)),0),IF(_xlpm.cc&gt;0,_xlpm.cc,IF(BT218="","",IF(N(BR218)=3,5,3)))))</f>
        <v>3</v>
      </c>
      <c r="BV218">
        <f t="shared" si="385"/>
        <v>3</v>
      </c>
      <c r="BW218">
        <f>IFERROR(N(VLOOKUP(AX218,Потребители_обозначение,10,FALSE)),0)</f>
        <v>0</v>
      </c>
      <c r="BX218">
        <f>IFERROR(VLOOKUP(AX218,Потребители_обозначение,5,FALSE),0)</f>
        <v>1</v>
      </c>
      <c r="BY218" s="6" cm="1">
        <f t="array" ref="BY218">IF(B218="","",IF(BC218&lt;&gt;"",IFERROR(_xlfn.XLOOKUP(BC218,Щиты[Щит],Щиты[cos φ]),0.95),IF(BK218=1,IFERROR(_xlfn.XLOOKUP(A218,Щиты[Щит],Щиты[cos φ]),0.95),IF(ISNUMBER(Z218),Z218,IFERROR(IF(BX218=2,_xlfn.IFS(BR218=3,VLOOKUP(BN218,Справочная_двигатели,8,FALSE),BR218=1,VLOOKUP(BN218,Справочная_двигатели,10,TRUE)),IF(AND(Методика="нормы 2026",EQ218="Сил"),0.8,0.95)),0.95)))))</f>
        <v>0.95</v>
      </c>
      <c r="BZ218">
        <f t="shared" si="386"/>
        <v>0</v>
      </c>
      <c r="CA218">
        <f t="shared" si="387"/>
        <v>1</v>
      </c>
      <c r="CB218">
        <f t="shared" si="388"/>
        <v>0</v>
      </c>
      <c r="CC218">
        <f t="shared" si="389"/>
        <v>0</v>
      </c>
      <c r="CD218">
        <f t="shared" si="390"/>
        <v>0</v>
      </c>
      <c r="CE218">
        <f t="shared" si="391"/>
        <v>0</v>
      </c>
      <c r="CF218">
        <f t="shared" si="392"/>
        <v>0</v>
      </c>
      <c r="CG218">
        <f>IF(AX218="",0,_xlfn.LET(_xlpm.v,IFERROR(VLOOKUP(B218,УГО_спр,3,FALSE),IFERROR(VLOOKUP(AX218,УГО_спр,3,FALSE),IFERROR(VLOOKUP(LEFT(AX218,2),УГО_спр,3,FALSE),""))),IF(_xlpm.v="да",30,IF(ISNUMBER(_xlpm.v),_xlpm.v,0))))</f>
        <v>30</v>
      </c>
      <c r="CH218">
        <f t="shared" si="393"/>
        <v>30</v>
      </c>
      <c r="CI218" t="str">
        <f>_xlfn.LET(_xlpm.k,IFERROR(_xlfn.XLOOKUP(AX218,Коды_код,Коды_утечка)&amp;"",""),IF(_xlpm.k="","дифавтомат",_xlpm.k))</f>
        <v>дифавтомат</v>
      </c>
      <c r="CJ218">
        <f t="shared" si="394"/>
        <v>30</v>
      </c>
      <c r="CK218">
        <f t="shared" si="395"/>
        <v>30</v>
      </c>
      <c r="CL218">
        <f>IF(B218="",0,IFERROR(--VLOOKUP(B218,УГО_спр,4,FALSE),IFERROR(--VLOOKUP(AX218,УГО_спр,4,FALSE),IFERROR(--VLOOKUP(LEFT(AX218,2),УГО_спр,4,FALSE),0))))</f>
        <v>16</v>
      </c>
      <c r="CM218" t="str">
        <f>IF(B218="","",IFERROR(_xlfn.XLOOKUP(AX218,Коды_код,Коды_апп)&amp;"",""))</f>
        <v/>
      </c>
      <c r="CN218" t="str">
        <f t="shared" si="396"/>
        <v/>
      </c>
      <c r="CO218" t="str" cm="1">
        <f t="array" ref="CO218">IF(TRIM(CN218&amp;"")="","",IFERROR(TRIM(INDEX(_xlfn.TEXTSPLIT(CN218&amp;";;;",";"),1)),""))</f>
        <v/>
      </c>
      <c r="CP218" t="str" cm="1">
        <f t="array" ref="CP218">IF(TRIM(CN218&amp;"")="","",IFERROR(TRIM(INDEX(_xlfn.TEXTSPLIT(CN218&amp;";;;",";"),2)),""))</f>
        <v/>
      </c>
      <c r="CQ218" t="str" cm="1">
        <f t="array" ref="CQ218">IF(TRIM(CN218&amp;"")="","",IFERROR(TRIM(INDEX(_xlfn.TEXTSPLIT(CN218&amp;";;;",";"),3)),""))</f>
        <v/>
      </c>
      <c r="CR218">
        <f t="shared" si="397"/>
        <v>0</v>
      </c>
      <c r="CS218" t="str">
        <f>IF(B218="","",_xlfn.LET(_xlpm.t,LOWER(AV218&amp;""),IF(ISNUMBER(SEARCH("dim",_xlpm.t)),"DIM",IF(ISNUMBER(SEARCH("dali",_xlpm.t)),"DALI",IF(OR(ISNUMBER(SEARCH("relay",_xlpm.t)),ISNUMBER(SEARCH("реле",_xlpm.t))),"Relay",IF(ISNUMBER(SEARCH("кнопк",_xlpm.t)),"",IFERROR(_xlfn.XLOOKUP(AX218,Коды_код,Коды_упр)&amp;"","")))))))</f>
        <v/>
      </c>
      <c r="CT218" t="str">
        <f t="shared" si="398"/>
        <v/>
      </c>
      <c r="CU218">
        <f>IF(B218="","",_xlfn.LET(_xlpm.ig,N(P218)+IF(AF218="вручную",0,N(CB218)),_xlpm.n0,IFERROR(VLOOKUP(_xlpm.ig,Автомат_номиналы,2,TRUE),0),_xlpm.mn,MAX(CL218,IF(AF218="вручную",0,N(CE218))),MAX(_xlpm.n0,_xlpm.mn,IF(CR218=1,Мин_автомат_БП,0))))</f>
        <v>16</v>
      </c>
      <c r="CV218">
        <f t="shared" si="399"/>
        <v>1</v>
      </c>
      <c r="CW218" t="str">
        <f t="shared" si="400"/>
        <v>2P</v>
      </c>
      <c r="CX218" t="str">
        <f>_xlfn.LET(_xlpm.cc,UPPER(TRIM(IFERROR(_xlfn.XLOOKUP(AX218,Коды_код,Коды_хар)&amp;"",""))),IF(OR(_xlpm.cc="B",_xlpm.cc="В"),"B",IF(_xlpm.cc="D","D","С")))</f>
        <v>С</v>
      </c>
      <c r="CY218" t="str">
        <f t="shared" si="401"/>
        <v>2P С16А 30мА</v>
      </c>
      <c r="CZ218" t="str">
        <f t="shared" si="402"/>
        <v>2P С16А 30мА</v>
      </c>
      <c r="DA218" t="str">
        <f t="shared" si="403"/>
        <v>2P С16А 30мА</v>
      </c>
      <c r="DB218" cm="1">
        <f t="array" ref="DB218">IF(DA218="","",_xlfn.LET(_xlpm.t,SUBSTITUTE(SUBSTITUTE(SUBSTITUTE(UPPER(DA218),"С","C"),"А","A"),"В","B"),_xlpm.tk,_xlfn.TEXTSPLIT(_xlpm.t,"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8" t="str">
        <f t="shared" si="404"/>
        <v>ok</v>
      </c>
      <c r="DD218">
        <f t="shared" si="405"/>
        <v>16</v>
      </c>
      <c r="DE218" t="str">
        <f t="shared" si="406"/>
        <v>2P С16А 30мА</v>
      </c>
      <c r="DF218">
        <f t="shared" si="407"/>
        <v>30</v>
      </c>
      <c r="DG218">
        <f t="shared" si="408"/>
        <v>1</v>
      </c>
      <c r="DH218">
        <f t="shared" si="409"/>
        <v>0</v>
      </c>
      <c r="DI218">
        <f t="shared" si="410"/>
        <v>0.8204451193747313</v>
      </c>
      <c r="DJ218">
        <f t="shared" si="411"/>
        <v>1</v>
      </c>
      <c r="DK218">
        <f>IF(ISNUMBER(AL218),AL218,К_прокл)</f>
        <v>1</v>
      </c>
      <c r="DL218">
        <f t="shared" si="412"/>
        <v>2</v>
      </c>
      <c r="DM218">
        <f>IFERROR(N(VLOOKUP(BT218,Кабель_обозначение,3,FALSE)),1)</f>
        <v>1</v>
      </c>
      <c r="DN218">
        <f>IFERROR(N(_xlfn.XLOOKUP(A218,Щиты[Щит],Щиты[ΔU до шин, %])),0)</f>
        <v>0.43</v>
      </c>
      <c r="DO218" t="str">
        <f>IFERROR(_xlfn.XLOOKUP(A218,Щиты[Щит],Щиты[Zпетли на шинах, Ом]),"")</f>
        <v/>
      </c>
      <c r="DP218">
        <f>IFERROR(N(_xlfn.XLOOKUP(A218,Щиты[Щит],Щиты[ΔU до шин (подбор), %])),0)</f>
        <v>0.43</v>
      </c>
      <c r="DQ218" t="str">
        <f>IFERROR(_xlfn.XLOOKUP(A218,Щиты[Щит],Щиты[Zпетли на шинах (подбор), Ом]),"")</f>
        <v/>
      </c>
      <c r="DR218" t="str">
        <f t="shared" si="413"/>
        <v/>
      </c>
      <c r="DS218">
        <f t="shared" si="414"/>
        <v>48</v>
      </c>
      <c r="DT218">
        <f t="shared" si="415"/>
        <v>2</v>
      </c>
      <c r="DU218">
        <f t="shared" si="416"/>
        <v>0.31</v>
      </c>
      <c r="DV218" s="6">
        <f>IF(B218="","",IF(IFERROR(VLOOKUP(AX218,УГО_спр,2,FALSE),"")="Светильник",3,4)+IF(Методика="нормы 2026",MIN(0.5,MAX(0,N(Q218)-100)*0.005),0))</f>
        <v>4</v>
      </c>
      <c r="DW218" cm="1">
        <f t="array" ref="DW218">IF(OR(B218="",BT218="",DM218&lt;&gt;1),"",_xlfn.LET(_xlpm.sz,Iдоп_S,_xlpm.t_,CHOOSE(DL218,Iдоп_1ж,Iдоп_2ж,Iдоп_3ж)*DJ218*DK218,_xlpm.inn,N(DD218),_xlpm.smin,MAX(1.5,BW218),_xlpm.L_,N(Q218)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218)*(_xlpm.rho*_xlpm.L_/_xlpm.sz*N(BY218)+_xlpm.xx*_xlpm.L_*N(DU218)/1000)*N(P218)/((Uн_лин/SQRT(3))*1000)*100,999),_xlpm.kz,IF(OR(DG218=1,NOT(ISNUMBER(DQ218)),_xlpm.L_=0,_xlpm.inn=0),1,IFERROR(--(c_min*(Uн_лин*1000/SQRT(3))/(DQ218+2*ρкз_Cu*_xlpm.L_/_xlpm.sz)&gt;=GY218*_xlpm.inn),0)),_xlpm.ok,IFERROR((_xlpm.sz&gt;=_xlpm.smin)*(_xlpm.t_&gt;=_xlpm.inn)*IF(_xlpm.L_&gt;0,(_xlpm.du_+DP218&lt;=DV218+0.00001),1)*_xlpm.kz,0),_xlpm.r_,_xlfn._xlws.FILTER(_xlpm.sz,_xlpm.ok,"не подобрано"),INDEX(_xlpm.r_,1)))</f>
        <v>1.5</v>
      </c>
      <c r="DX218">
        <f t="shared" si="417"/>
        <v>2.5</v>
      </c>
      <c r="DY218" cm="1">
        <f t="array" ref="DY218">IF(OR(B218="",BT218="",DM218&lt;&gt;1),"",_xlfn.LET(_xlpm.sz,Iдоп_S,_xlpm.t_,CHOOSE(DL218,Iдоп_1ж,Iдоп_2ж,Iдоп_3ж)*DJ218*DK218,_xlpm.ok,IFERROR((_xlpm.sz&gt;=MAX(1.5,BW218))*(_xlpm.t_&gt;=N(DD218)),0),_xlpm.r_,_xlfn._xlws.FILTER(_xlpm.sz,_xlpm.ok,""),INDEX(_xlpm.r_,1)))</f>
        <v>1.5</v>
      </c>
      <c r="DZ218" s="6" cm="1">
        <f t="array" ref="DZ218">IFERROR(ROUNDUP(N(DT218)*(_xlfn.XLOOKUP(DY218,INDEX(Кабель_сопротивление,0,1),INDEX(Кабель_сопротивление,0,3))*N(Q218)/DY218*N(BY218)+_xlfn.XLOOKUP(DY218,INDEX(Кабель_сопротивление,0,1),INDEX(Кабель_сопротивление,0,2))*N(Q218)*N(DU218)/1000)*N(P218)/((Uн_лин/SQRT(3))*1000)*100,2),"")</f>
        <v>0.64</v>
      </c>
      <c r="EA218">
        <f>IFERROR(2*ρкз_Cu*N(Q218)/DY218,"")</f>
        <v>2.2092000000000001</v>
      </c>
      <c r="EB218">
        <f>IFERROR(VLOOKUP(DX218,Кабель_сопротивление,3,FALSE),"")</f>
        <v>2.2499999999999999E-2</v>
      </c>
      <c r="EC218">
        <f>IFERROR(VLOOKUP(DX218,Кабель_сопротивление,2,FALSE),"")</f>
        <v>0.1</v>
      </c>
      <c r="ED218">
        <f t="shared" si="418"/>
        <v>54</v>
      </c>
      <c r="EE218" t="str">
        <f t="shared" si="419"/>
        <v/>
      </c>
      <c r="EF218">
        <f t="shared" si="420"/>
        <v>0.88707018573867569</v>
      </c>
      <c r="EG218" s="6">
        <f>IFERROR(ROUNDUP(EF218/((Uн_лин/SQRT(3))*1000)*100,2),"")</f>
        <v>0.39</v>
      </c>
      <c r="EH218" t="str">
        <f>IFERROR(VLOOKUP(BT218,Кабель_обозначение,2,FALSE),"")</f>
        <v>ВВГнг(А)-LS</v>
      </c>
      <c r="EI218" t="str">
        <f t="shared" si="421"/>
        <v>ВВГнг(А)-LS (3х2,5)</v>
      </c>
      <c r="EJ218" t="str">
        <f t="shared" si="422"/>
        <v>ВВГнг(А)-LS (3х2,5)
L=63-0,39%</v>
      </c>
      <c r="EK218">
        <f>IFERROR(2*ρкз_Cu*Q218/DX218,"")</f>
        <v>1.32552</v>
      </c>
      <c r="EL218">
        <f t="shared" si="423"/>
        <v>0.441</v>
      </c>
      <c r="EM218" s="6" t="str">
        <f>IFERROR(IF(OR(B218="",NOT(ISNUMBER(DX218)),N(Q218)=0),"",_xlfn.XLOOKUP(A218,Щиты[Щит],Щиты[Zпетли на шинах, Ом])+EK218),"")</f>
        <v/>
      </c>
      <c r="EN218" s="6" t="str">
        <f>IF(ISNUMBER(EM218),c_min*(Uн_лин*1000/SQRT(3))/EM218,"")</f>
        <v/>
      </c>
      <c r="EO218" s="6" t="str">
        <f>IFERROR(IF(OR(B218="",NOT(ISNUMBER(DX218))),"",1.05*(Uн_лин*1000/SQRT(3))/(_xlfn.XLOOKUP(A218,Щиты[Щит],Щиты[Zmax на шинах, Ом])+EL218)/1000),"")</f>
        <v/>
      </c>
      <c r="EP218" s="6" t="str">
        <f>IF(B218="","",IF(ISNUMBER(Y218),"Сил",IF(IFERROR(_xlfn.XLOOKUP(AX218,Коды_код,Коды_группа)&amp;"","")="","Быт",_xlfn.XLOOKUP(AX218,Коды_код,Коды_группа)&amp;"")))</f>
        <v>Быт</v>
      </c>
      <c r="EQ218" s="6" t="str">
        <f t="shared" si="424"/>
        <v>Быт</v>
      </c>
      <c r="ER218" s="6">
        <f>IF(EQ218="Щит","щит",IF(EQ218="","",IF(EQ218="Быт",IFERROR(_xlfn.XLOOKUP(A218,Щиты[Щит],Щиты[Кс быт]),1),IF(EQ218="Сил",IF(ISNUMBER(Y218),Y218,IF(Методика="нормы 2026",IFERROR(_xlfn.XLOOKUP(A218,Щиты[Щит],Щиты[Кс силовых (табл. 7.5)]),1),1)),IF(OR(EQ218="Пост",EQ218="Отоп"),1,IF(EQ218="ВНГ",0.7,0))))))</f>
        <v>0.79799999999999993</v>
      </c>
      <c r="ES218">
        <f t="shared" si="425"/>
        <v>1</v>
      </c>
      <c r="ET218">
        <f t="shared" si="426"/>
        <v>0.18</v>
      </c>
      <c r="EU218">
        <f t="shared" si="427"/>
        <v>0.18</v>
      </c>
      <c r="EV218">
        <f t="shared" si="428"/>
        <v>0</v>
      </c>
      <c r="EW218">
        <f t="shared" si="429"/>
        <v>0</v>
      </c>
      <c r="EX218">
        <f t="shared" si="430"/>
        <v>0</v>
      </c>
      <c r="EY218">
        <f t="shared" si="431"/>
        <v>0</v>
      </c>
      <c r="EZ218">
        <f t="shared" si="432"/>
        <v>0.18</v>
      </c>
      <c r="FA218">
        <f t="shared" si="433"/>
        <v>0.17099999999999999</v>
      </c>
      <c r="FB218">
        <f t="shared" si="434"/>
        <v>0.18</v>
      </c>
      <c r="FC218" t="str">
        <f t="shared" si="435"/>
        <v>L1</v>
      </c>
      <c r="FD218" t="str">
        <f>IF(B218="","",IF(CA218=0,IF(AW218=1,"",FF217),IF(OR(N(CV218)&gt;=3,N(BR218)&gt;=3),"L1,L2,L3",IFERROR(_xlfn.TEXTBEFORE(_xlfn.TEXTAFTER(_xlfn.XLOOKUP(A218,Щиты[Щит],Щиты[_фазы авто]),";"&amp;AW218&amp;":"),";"),"L1"))))</f>
        <v>L1</v>
      </c>
      <c r="FE218" t="str">
        <f t="shared" si="436"/>
        <v>L1</v>
      </c>
      <c r="FF218" t="str">
        <f t="shared" si="437"/>
        <v>L1</v>
      </c>
      <c r="FG218" cm="1">
        <f t="array" ref="FG218">IFERROR(IF(BX218=2,_xlfn.IFS(BR218=3,VLOOKUP(BN218,Справочная_двигатели,3,FALSE),BR218=1,VLOOKUP(BN218,Справочная_двигатели,5,TRUE)),0),0)</f>
        <v>0</v>
      </c>
      <c r="FH218">
        <f>IFERROR(IF(BX218=3,VLOOKUP(BN218,Справочная_ЛЭД,2,TRUE),0),0)</f>
        <v>0</v>
      </c>
      <c r="FI218" s="6">
        <f t="shared" si="438"/>
        <v>0</v>
      </c>
      <c r="FJ218" t="str" cm="1">
        <f t="array" ref="FJ218">IF(B218="","",IFERROR(INDEX({"I особая","I","II","III"},MATCH(TRIM(AC218&amp;""),{"I особая","I","II","III"},0)),"III"))</f>
        <v>II</v>
      </c>
      <c r="FK218" t="str">
        <f>IF(B218="","",IF(TRIM(AD218&amp;"")&lt;&gt;"",IF(LOWER(TRIM(AD218&amp;""))="да","да","нет"),IF(IFERROR(_xlfn.XLOOKUP(AX218,Коды_код,Коды_пожарная),"")="да","да","нет")))</f>
        <v>нет</v>
      </c>
      <c r="FL218" t="str">
        <f t="shared" si="439"/>
        <v/>
      </c>
      <c r="FM218" t="str">
        <f t="shared" si="440"/>
        <v>основная</v>
      </c>
      <c r="FN218">
        <f t="shared" si="441"/>
        <v>1</v>
      </c>
      <c r="FO218" t="str" cm="1">
        <f t="array" ref="FO218">IF(B218="","",_xlfn.LET(_xlpm.t,IFERROR(_xlfn.XLOOKUP(1,(Шины[Шина]=FM218)*(((Шины[Щит]=A218)+(Шины[Щит]=""))&gt;0),Шины[Тип]),"")&amp;"",IF(_xlpm.t&lt;&gt;"",_xlpm.t,IF(ISNUMBER(SEARCH("ИБП",FM218)),"ИБП",IF(ISNUMBER(SEARCH("ДГУ",FM218)),"ДГУ","Ввод "&amp;FN218)))))</f>
        <v>Ввод 1</v>
      </c>
      <c r="FP218" t="str">
        <f t="shared" si="442"/>
        <v>Ввод 1</v>
      </c>
      <c r="FQ218" t="str">
        <f>IF(B218="","",IF(OR(FO218="ИБП",FO218="ДГУ"),"I особая",IF(FO218="Одиночная","III",_xlfn.XLOOKUP(A218,Щиты[Щит],Щиты[Категория шины «Ввод»],"III"))))</f>
        <v>II</v>
      </c>
      <c r="FR218">
        <f>IF(B218="",0,IFERROR(MATCH(FJ218,{"III","II","I","I особая"},0),1))</f>
        <v>2</v>
      </c>
      <c r="FS218">
        <f t="shared" si="443"/>
        <v>2</v>
      </c>
      <c r="FT218" t="str">
        <f>IF(B218="","",IF(FR218&gt;IFERROR(MATCH(FQ218,{"III","II","I","I особая"},0),1),"НЕ ОБЕСПЕЧЕНА","ОК"))</f>
        <v>ОК</v>
      </c>
      <c r="FU218" t="str">
        <f>IF(A218="","",_xlfn.XLOOKUP(A218,Щиты[Щит],Щиты[Путь],""))</f>
        <v>|ГРЩ-ЖД|ЩР-01|</v>
      </c>
      <c r="FV218" t="str">
        <f>IF(B218="","",IF(AE218&lt;&gt;"",AE218,IF(IFERROR(_xlfn.XLOOKUP(AX218,Коды_код,Коды_вид)&amp;"","")="","Прочее",_xlfn.XLOOKUP(AX218,Коды_код,Коды_вид)&amp;"")))</f>
        <v>Розеточная сеть и бытовые приборы</v>
      </c>
      <c r="FW218">
        <f>IF(BH218="","",INT((BH218-1)/Столбцов_на_лист)+1)</f>
        <v>4</v>
      </c>
      <c r="FX218" t="str">
        <f t="shared" si="444"/>
        <v>ВВГнг(А)-LS (3х2,5) L=63-0,39%</v>
      </c>
      <c r="FY218">
        <f t="shared" si="445"/>
        <v>0.18</v>
      </c>
      <c r="FZ218">
        <f t="shared" si="446"/>
        <v>0.83</v>
      </c>
      <c r="GA218">
        <f t="shared" si="447"/>
        <v>1</v>
      </c>
      <c r="GB218">
        <f t="shared" si="448"/>
        <v>0</v>
      </c>
      <c r="GC218">
        <f t="shared" si="449"/>
        <v>1</v>
      </c>
      <c r="GD218">
        <f>IF(BH218="","",IF(AND(CA218=1,GC218=1),COUNTIFS(A$3:A218,A218,CA$3:CA218,1,GC$3:GC218,1),IF(OR(OR(AW218=1,A218&lt;&gt;A217),AF218="вручную",GC218=0),"",IF(AW218=1,"",GE217))))</f>
        <v>34</v>
      </c>
      <c r="GE218">
        <f t="shared" si="450"/>
        <v>34</v>
      </c>
      <c r="GF218">
        <f>IF(B218="","",IFERROR(LOOKUP(INDEX(CHOOSE(DL218,Iдоп_1ж,Iдоп_2ж,Iдоп_3ж),MATCH(DX218,Iдоп_S,0))*DJ218*DK218,{6,10,16,20,25,32,40,50,63,80,100,125,160,200,250,315,400,500,630}),""))</f>
        <v>25</v>
      </c>
      <c r="GG218" t="str">
        <f t="shared" si="451"/>
        <v>QFD34</v>
      </c>
      <c r="GH218" t="str">
        <f t="shared" si="452"/>
        <v>QFD34</v>
      </c>
      <c r="GI218" t="str">
        <f t="shared" si="453"/>
        <v/>
      </c>
      <c r="GJ218">
        <f t="shared" si="454"/>
        <v>0</v>
      </c>
      <c r="GK218" t="str">
        <f>IF(OR(AG218="",AG218="-"),"",IFERROR(VLOOKUP(AG218,Модули_спр,2,FALSE),"R"))</f>
        <v/>
      </c>
      <c r="GL218" t="str">
        <f>IF(GK218="","",GK218&amp;"."&amp;COUNTIFS(A$3:A218,A218,GK$3:GK218,GK218))</f>
        <v/>
      </c>
      <c r="GM218" t="str">
        <f t="shared" si="455"/>
        <v/>
      </c>
      <c r="GN218" t="str">
        <f t="shared" si="456"/>
        <v/>
      </c>
      <c r="GO218" t="str">
        <f t="shared" si="457"/>
        <v/>
      </c>
      <c r="GP218" t="str">
        <f t="shared" si="458"/>
        <v/>
      </c>
      <c r="GQ218">
        <f t="shared" si="459"/>
        <v>1</v>
      </c>
      <c r="GR218" t="str">
        <f>IF(GQ218=1,"XT"&amp;COUNTIFS(A$3:A218,A218,GQ$3:GQ218,1),"")</f>
        <v>XT34</v>
      </c>
      <c r="GS218" t="str">
        <f t="shared" si="460"/>
        <v/>
      </c>
      <c r="GT218" t="str">
        <f t="shared" si="461"/>
        <v>QFD34</v>
      </c>
      <c r="GU218" t="str">
        <f t="shared" si="462"/>
        <v/>
      </c>
      <c r="GV218" t="str">
        <f t="shared" si="463"/>
        <v>ok</v>
      </c>
      <c r="GW218" t="str">
        <f>IF(OR(GO218="",GM218=""),"",IF(GO218&gt;IFERROR(VLOOKUP(GN218,Модули_спр,3,FALSE),99),"ЛИШНИЙ КАНАЛ",IF(AND(AH218&lt;&gt;"=",COUNTIFS(Линии[_модуль гр.],GM218,Линии[Канал (итог)],GO218,Линии[Канал],"&lt;&gt;=",Линии[Щит],A218)&gt;1),"ДУБЛЬ КАНАЛА","")))</f>
        <v/>
      </c>
      <c r="GX218" s="6" t="str">
        <f t="shared" si="464"/>
        <v/>
      </c>
      <c r="GY218">
        <f t="shared" si="465"/>
        <v>10</v>
      </c>
      <c r="GZ218" t="str">
        <f t="shared" si="466"/>
        <v/>
      </c>
      <c r="HA218" t="str">
        <f>IF(AND(B218="",GT218=""),"",_xlfn.TEXTJOIN("; ",TRUE,IF(AND(B218&lt;&gt;"",FE218=""),"нет фазы",""),IF(AND(B218&lt;&gt;"",N(FY218)=0,EQ218&lt;&gt;"Нет"),"нет мощности",""),IF(AND(GS218&lt;&gt;"",COUNTIFS(Линии[Щит],A218,Линии[Клемма (итог)],GS218)&gt;1),"дубль клеммы "&amp;GS218,""),IF(AND(GV218&lt;&gt;"",GV218&lt;&gt;"ok"),GV218,""),IF(GW218&lt;&gt;"",GW218,""),IF(AND(N(BV218)&gt;=4,N(BR218)=1),BV218&amp;" жил на 1 фазе",""),IF(AND(AX218="R",CA218=1,OR(N(CK218)=0,N(CK218)&gt;30)),"розетка без дифзащиты до 30 мА",""),IFERROR(IF(AND(ISNUMBER(R218),R218&gt;DV218),"потери "&amp;FIXED(R218,1)&amp;" % &gt; "&amp;DV218&amp;" %",""),""),IFERROR(IF(LEFT(GZ218,4)="мало","Iкз мало — отключение &gt; 0,4 с",""),""),IF(AND(B218&lt;&gt;"",BH218=""),"не на схеме",""),IF(AND(CA218=0,B218&lt;&gt;"",FE218&lt;&gt;"",IF(AW218=1,"",FF217)&lt;&gt;"",FE218&lt;&gt;IF(AW218=1,"",FF217)),"фаза не как у автомата группы ("&amp;IF(AW218=1,"",FF217)&amp;")","")))</f>
        <v/>
      </c>
      <c r="HB218" s="6">
        <f>IF(OR(CA218=0,DA218=""),"",_xlfn.LET(_xlpm.t,IFERROR(_xlfn.XLOOKUP(DA218,Каталог!$U$4:$U$500,Каталог!$G$4:$G$500),""),_xlpm.k,SEARCH("кА",_xlpm.t),IFERROR(--TRIM(RIGHT(SUBSTITUTE(MID(_xlpm.t,MAX(1,_xlpm.k-4),_xlpm.k-MAX(1,_xlpm.k-4))," ",REPT(" ",9)),5)),"")))</f>
        <v>6</v>
      </c>
      <c r="HC218" t="str">
        <f>IF(OR(HB218="",CA218=0),"",IF(_xlfn.XLOOKUP(A218,Щиты[Щит],Щиты[Iкз max на шинах, кА],"")="","",IF(HB218&lt;_xlfn.XLOOKUP(A218,Щиты[Щит],Щиты[Iкз max на шинах, кА]),"Icu "&amp;HB218&amp;" кА &lt; Iкз max","ok")))</f>
        <v/>
      </c>
      <c r="HD218" t="str">
        <f t="shared" si="467"/>
        <v/>
      </c>
      <c r="HE218" t="str">
        <f t="shared" si="468"/>
        <v>QFD34</v>
      </c>
      <c r="HF218" t="str">
        <f t="shared" si="469"/>
        <v>QFD34|кабель ВВГнг(А)-LS (3х2,5) → Розеточная группа, пом. 012A</v>
      </c>
      <c r="HG218" t="str" cm="1">
        <f t="array" ref="HG218">IF(HF218="","",_xlfn.LET(_xlpm.nd,_xlfn.TEXTSPLIT(HF218,"|"),IF(COLUMNS(_xlpm.nd)&gt;1,A218&amp;"¦"&amp;INDEX(_xlpm.nd,1)&amp;"¦"&amp;INDEX(_xlpm.nd,2),"")))</f>
        <v>ЩР-01¦QFD34¦кабель ВВГнг(А)-LS (3х2,5) → Розеточная группа, пом. 012A</v>
      </c>
      <c r="HH218" t="str">
        <f t="shared" si="470"/>
        <v>R.0.012A.2¦Розеточная группа, пом. 012A</v>
      </c>
      <c r="HI218" t="str" cm="1">
        <f t="array" ref="HI218">IF(HF218="","",_xlfn.LET(_xlpm.nd,_xlfn.TEXTSPLIT(HF218,"|"),IF(COLUMNS(_xlpm.nd)&gt;2,A218&amp;"¦"&amp;INDEX(_xlpm.nd,2)&amp;"¦"&amp;INDEX(_xlpm.nd,3),"")))</f>
        <v/>
      </c>
      <c r="HJ218" t="str">
        <f t="shared" si="471"/>
        <v/>
      </c>
      <c r="HK218" t="str" cm="1">
        <f t="array" ref="HK218">IF(HF218="","",_xlfn.LET(_xlpm.nd,_xlfn.TEXTSPLIT(HF218,"|"),IF(COLUMNS(_xlpm.nd)&gt;3,A218&amp;"¦"&amp;INDEX(_xlpm.nd,3)&amp;"¦"&amp;INDEX(_xlpm.nd,4),"")))</f>
        <v/>
      </c>
      <c r="HL218" t="str">
        <f t="shared" si="472"/>
        <v/>
      </c>
      <c r="HM218" t="str" cm="1">
        <f t="array" ref="HM218">IF(HF218="","",_xlfn.LET(_xlpm.nd,_xlfn.TEXTSPLIT(HF218,"|"),IF(COLUMNS(_xlpm.nd)&gt;4,A218&amp;"¦"&amp;INDEX(_xlpm.nd,4)&amp;"¦"&amp;INDEX(_xlpm.nd,5),"")))</f>
        <v/>
      </c>
      <c r="HN218" t="str">
        <f t="shared" si="473"/>
        <v/>
      </c>
      <c r="HO218" t="str" cm="1">
        <f t="array" ref="HO218">IF(HF218="","",_xlfn.LET(_xlpm.nd,_xlfn.TEXTSPLIT(HF218,"|"),IF(COLUMNS(_xlpm.nd)&gt;5,A218&amp;"¦"&amp;INDEX(_xlpm.nd,5)&amp;"¦"&amp;INDEX(_xlpm.nd,6),"")))</f>
        <v/>
      </c>
      <c r="HP218" t="str">
        <f t="shared" si="474"/>
        <v/>
      </c>
      <c r="HQ218" t="str" cm="1">
        <f t="array" ref="HQ218">IF(HF218="","",_xlfn.LET(_xlpm.nd,_xlfn.TEXTSPLIT(HF218,"|"),IF(COLUMNS(_xlpm.nd)&gt;6,A218&amp;"¦"&amp;INDEX(_xlpm.nd,6)&amp;"¦"&amp;INDEX(_xlpm.nd,7),"")))</f>
        <v/>
      </c>
      <c r="HR218" t="str">
        <f t="shared" si="475"/>
        <v/>
      </c>
      <c r="HS218" t="str">
        <f t="shared" si="476"/>
        <v/>
      </c>
      <c r="HT218" t="str">
        <f t="shared" si="477"/>
        <v>QFD34</v>
      </c>
      <c r="HU218">
        <f t="shared" si="478"/>
        <v>0</v>
      </c>
      <c r="HV218">
        <f t="shared" si="479"/>
        <v>1</v>
      </c>
      <c r="HW218" t="str">
        <f t="shared" si="480"/>
        <v/>
      </c>
      <c r="HX218" t="str">
        <f t="shared" si="481"/>
        <v/>
      </c>
      <c r="HY218" t="str">
        <f t="shared" si="482"/>
        <v/>
      </c>
      <c r="HZ218" t="str">
        <f t="shared" si="483"/>
        <v/>
      </c>
      <c r="IA218" t="str">
        <f>IF(B218="","",IFERROR(VLOOKUP(B218,УГО_спр,2,FALSE),IFERROR(VLOOKUP(AX218,УГО_спр,2,FALSE),IFERROR(VLOOKUP(LEFT(AX218,2),УГО_спр,2,FALSE),""))))</f>
        <v>Розетка</v>
      </c>
      <c r="IB218" t="str">
        <f>IF(B218="","",IF(OR(IA218="",IA218=0),"BOX",IFERROR(IF(VLOOKUP(IA218,УГО_блоки,3,FALSE)&amp;""&lt;&gt;"",VLOOKUP(IA218,УГО_блоки,3,FALSE),VLOOKUP(IA218,УГО_блоки,2,FALSE)),IA218)))</f>
        <v>SOCKET</v>
      </c>
      <c r="IC218">
        <f t="shared" si="484"/>
        <v>1</v>
      </c>
      <c r="ID218" t="str">
        <f>IF(DA218="","",IF(COUNTIF(DA$3:DA218,DA218)=1,MAX(ID$2:ID217)+1,""))</f>
        <v/>
      </c>
      <c r="IE218" t="str">
        <f>IF(CO218="","",IF(COUNTIF(CO$3:CO218,CO218)+COUNTIF(CP$2:CP217,CO218)+COUNTIF(CQ$2:CQ217,CO218)=1,MAX(IE$2:IG217)+1,""))</f>
        <v/>
      </c>
      <c r="IF218" t="str">
        <f>IF(CP218="","",IF(COUNTIF(CO$3:CO218,CP218)+COUNTIF(CP$3:CP218,CP218)+COUNTIF(CQ$2:CQ217,CP218)=1,MAX(IE$2:IG217,IE218)+1,""))</f>
        <v/>
      </c>
      <c r="IG218" t="str">
        <f>IF(CQ218="","",IF(COUNTIF(CO$3:CO218,CQ218)+COUNTIF(CP$3:CP218,CQ218)+COUNTIF(CQ$3:CQ218,CQ218)=1,MAX(IE$2:IG217,IE218,IF218)+1,""))</f>
        <v/>
      </c>
      <c r="IH218" t="str">
        <f t="shared" si="485"/>
        <v>3х2,5</v>
      </c>
      <c r="II218" t="str">
        <f>IF(IH218="","",IF(COUNTIF(IH$3:IH218,IH218)=1,MAX(II$2:II217)+1,""))</f>
        <v/>
      </c>
      <c r="IJ218" t="str">
        <f>IF(GL218="","",COUNTIF(GL$3:GL218,"?*"))</f>
        <v/>
      </c>
      <c r="IK218" t="str">
        <f>IF(OR(GL218="",GN218=""),"",IF(COUNTIFS(GL$3:GL218,"?*",GN$3:GN218,GN218)=1,MAX(IK$2:IK217)+1,""))</f>
        <v/>
      </c>
      <c r="IL218">
        <f t="shared" si="486"/>
        <v>0</v>
      </c>
      <c r="IM218">
        <f>IF(B218="","",COUNTIF(B$3:B218,"?*"))</f>
        <v>216</v>
      </c>
      <c r="IN218">
        <f>IF(GQ218&lt;&gt;1,0,_xlfn.LET(_xlpm.k,MAX(IFERROR(--VLOOKUP(B218,УГО_спр,5,FALSE),0),IFERROR(--VLOOKUP(AX218,УГО_спр,5,FALSE),0),IFERROR(--VLOOKUP(LEFT(AX218,2),УГО_спр,5,FALSE),0)),IF(_xlpm.k&gt;0,_xlpm.k,IF(IFERROR(--LEFT(SUBSTITUTE(IH218,"x","х"),FIND("х",SUBSTITUTE(IH218,"x","х"))-1),3)&gt;3,Каталог!$S$9,1))))</f>
        <v>1</v>
      </c>
      <c r="IO218">
        <f t="shared" si="487"/>
        <v>0</v>
      </c>
      <c r="IP218" t="str">
        <f t="shared" si="488"/>
        <v>авто</v>
      </c>
      <c r="IQ218">
        <f t="shared" si="489"/>
        <v>30</v>
      </c>
      <c r="IR218">
        <f t="shared" si="490"/>
        <v>1</v>
      </c>
      <c r="IS218">
        <f t="shared" si="491"/>
        <v>1</v>
      </c>
    </row>
    <row r="219" spans="1:253" x14ac:dyDescent="0.3">
      <c r="A219" t="s">
        <v>757</v>
      </c>
      <c r="B219" t="s">
        <v>1485</v>
      </c>
      <c r="C219" t="str">
        <f>Линии[[#This Row],[_авто наименование]]</f>
        <v>Розеточная группа, пом. 020A</v>
      </c>
      <c r="D219">
        <v>1</v>
      </c>
      <c r="E219">
        <v>0.06</v>
      </c>
      <c r="G219" t="str">
        <f>Линии[[#This Row],[_авто автомат]]</f>
        <v>2P С16А 30мА</v>
      </c>
      <c r="H219">
        <f>Линии[[#This Row],[_авто утечка]]</f>
        <v>30</v>
      </c>
      <c r="I219" t="str">
        <f>Линии[[#This Row],[_авто управление]]</f>
        <v/>
      </c>
      <c r="J219" t="str">
        <f>Линии[[#This Row],[_авто аппараты]]</f>
        <v/>
      </c>
      <c r="K219">
        <v>2.5</v>
      </c>
      <c r="L219">
        <v>48</v>
      </c>
      <c r="M219">
        <v>1</v>
      </c>
      <c r="N219" t="s">
        <v>486</v>
      </c>
      <c r="O219" t="str">
        <f t="shared" si="369"/>
        <v/>
      </c>
      <c r="P219" s="6" cm="1">
        <f t="array" ref="P219">IF(B219="","",IF(BC219&lt;&gt;"",IFERROR(_xlfn.XLOOKUP(BC219,Щиты[Щит],Щиты[Iр, А]),""),IF(BK219=1,IFERROR(_xlfn.XLOOKUP(A219,Щиты[Щит],Щиты[Iр, А]),""),IFERROR(_xlfn.IFS(BR219=1,BN219/((Uн_лин/SQRT(3))*BY219),BR219=3,BN219/(SQRT(3)*Uн_лин*BY219)),""))))</f>
        <v>0.27348170645824377</v>
      </c>
      <c r="Q219" s="7">
        <f>IF(B219="","",IFERROR(IF(VLOOKUP(AX219,Потребители_обозначение,4,FALSE)=1,VLOOKUP(AX219,Потребители_обозначение,3,FALSE)*(D219*2-1)+DS219+VLOOKUP(AZ219,Этаж_обозначение,3,FALSE)+VLOOKUP(AZ219,Этаж_обозначение,4,FALSE),VLOOKUP(AX219,Потребители_обозначение,3,FALSE)*(D219*2-1)+DS219),DS219))</f>
        <v>51</v>
      </c>
      <c r="R219" s="6">
        <f t="shared" si="370"/>
        <v>0.54</v>
      </c>
      <c r="S219" t="str">
        <f t="shared" si="371"/>
        <v>ВВГнг(А)-LS (3х2,5)</v>
      </c>
      <c r="T219" t="str">
        <f>IF(BH219="","",IF(BI219="вводной узел","узел ","")&amp;"л."&amp;(INT((BH219-1)/Столбцов_на_лист)+1)&amp;" / "&amp;(MOD(BH219-1,Столбцов_на_лист)+1))</f>
        <v>л.4 / 5</v>
      </c>
      <c r="V219">
        <v>1</v>
      </c>
      <c r="W219">
        <v>230</v>
      </c>
      <c r="X219" t="s">
        <v>564</v>
      </c>
      <c r="AC219" t="s">
        <v>815</v>
      </c>
      <c r="AE219" t="s">
        <v>563</v>
      </c>
      <c r="AI219">
        <v>56</v>
      </c>
      <c r="AJ219" t="s">
        <v>11</v>
      </c>
      <c r="AK219">
        <v>3</v>
      </c>
      <c r="AM219">
        <v>44</v>
      </c>
      <c r="AN219">
        <v>7</v>
      </c>
      <c r="AO219">
        <v>0</v>
      </c>
      <c r="AW219" cm="1">
        <f t="array" ref="AW219">ROW()-ROW(Линии[#Headers])</f>
        <v>217</v>
      </c>
      <c r="AX219" s="6" t="str">
        <f t="shared" si="372"/>
        <v>R</v>
      </c>
      <c r="AY219" t="str">
        <f t="shared" si="373"/>
        <v>0.020A.1</v>
      </c>
      <c r="AZ219" t="str">
        <f t="shared" si="374"/>
        <v>0</v>
      </c>
      <c r="BA219" t="str">
        <f t="shared" si="375"/>
        <v>020A.1</v>
      </c>
      <c r="BB219" t="str">
        <f t="shared" si="376"/>
        <v>020A</v>
      </c>
      <c r="BC219" t="str">
        <f>IF(U219&lt;&gt;"",U219,IF(AND(B219&lt;&gt;"",B219&lt;&gt;A219,ISNUMBER(_xlfn.XMATCH(B219,Щиты[Щит]))),B219,""))</f>
        <v/>
      </c>
      <c r="BD219" t="str" cm="1">
        <f t="array" ref="BD219">IF(B219="","",IF(BC219&lt;&gt;"","Щит "&amp;BC219,_xlfn.LET(_xlpm.nm,IFERROR(_xlfn.XLOOKUP(AX219,Коды_код,Коды_имя)&amp;"",""),_xlpm.md,IFERROR(N(_xlfn.XLOOKUP(AX219,Коды_код,Коды_режим)),1),_xlpm.ex,IF(Имя_режим="по экспликации",IFERROR(_xlfn.XLOOKUP(AZ219&amp;"|"&amp;BB219,Экспликация[Этаж]&amp;"|"&amp;Экспликация[Помещение],Экспликация[Название])&amp;"",""),""),_xlpm.rm,IF(BB219="","",IF(_xlpm.ex&lt;&gt;"",". "&amp;_xlpm.ex&amp;IF(Имя_пом="нет"," ("&amp;BB219&amp;")"," (пом. "&amp;BB219&amp;")"),IF(Имя_пом="нет"," ",", пом. ")&amp;BB219)),IF(_xlpm.nm="","",IF(_xlpm.md=2,_xlpm.nm&amp;" шлейф "&amp;AZ219,_xlpm.nm&amp;_xlpm.rm)))))</f>
        <v>Розеточная группа, пом. 020A</v>
      </c>
      <c r="BE219" t="str">
        <f t="shared" si="377"/>
        <v>Розеточная группа, пом. 020A</v>
      </c>
      <c r="BF219">
        <f>IFERROR(_xlfn.XMATCH(A219,Щиты[Щит]),0)</f>
        <v>9</v>
      </c>
      <c r="BG219">
        <f>_xlfn.LET(_xlpm.k,IFERROR(_xlfn.XLOOKUP(A219,Щиты[Щит],Щиты[Листов под вводной узел]),""),IF(_xlpm.k="",1,N(_xlpm.k))*Столбцов_на_лист)</f>
        <v>17</v>
      </c>
      <c r="BH219">
        <f t="shared" si="378"/>
        <v>56</v>
      </c>
      <c r="BI219" t="str">
        <f t="shared" si="379"/>
        <v>линии</v>
      </c>
      <c r="BJ219" s="6">
        <f>IFERROR(N(_xlfn.XLOOKUP(AX219,Коды_код,Коды_квт)),0)</f>
        <v>0</v>
      </c>
      <c r="BK219">
        <f t="shared" si="380"/>
        <v>0</v>
      </c>
      <c r="BL219" t="str">
        <f>IF(B219="","",IF(BC219&lt;&gt;"",IFERROR(_xlfn.XLOOKUP(BC219,Щиты[Щит],Щиты[Руст, кВт]),0),IF(BK219=1,IFERROR(_xlfn.XLOOKUP(A219,Щиты[Щит],Щиты[Руст, кВт]),0),IF(BJ219&gt;0,ROUND(BJ219*MAX(1,N(D219)),3),""))))</f>
        <v/>
      </c>
      <c r="BM219">
        <f t="shared" si="381"/>
        <v>0.06</v>
      </c>
      <c r="BN219" s="6">
        <f>IF(B219="","",IF(BC219&lt;&gt;"",IFERROR(_xlfn.XLOOKUP(BC219,Щиты[Щит],Щиты[Руст, кВт]),0),N(BM219)))</f>
        <v>0.06</v>
      </c>
      <c r="BO219" t="str">
        <f>IF(B219="","",IFERROR(IF(VLOOKUP(AX219,Потребители_обозначение,8,FALSE)=0,"",VLOOKUP(AX219,Потребители_обозначение,8,FALSE)),""))</f>
        <v/>
      </c>
      <c r="BP219">
        <f t="shared" si="382"/>
        <v>230</v>
      </c>
      <c r="BQ219">
        <f>IF(B219="","",IF(BC219&lt;&gt;"",3,IFERROR(IF(N(VLOOKUP(AX219,Потребители_обозначение,9,FALSE))=0,1,VLOOKUP(AX219,Потребители_обозначение,9,FALSE)),1)))</f>
        <v>1</v>
      </c>
      <c r="BR219">
        <f t="shared" si="383"/>
        <v>1</v>
      </c>
      <c r="BS219" t="str">
        <f>IF(B219="","",_xlfn.LET(_xlpm.bc,IFERROR(IF(VLOOKUP(AX219,Потребители_обозначение,6,FALSE)=0,"",VLOOKUP(AX219,Потребители_обозначение,6,FALSE)&amp;""),""),IF(AND(FK219="да",OR(_xlpm.bc="",_xlpm.bc="мс")),Марка_пож,IF(AND(_xlpm.bc="",BC219&lt;&gt;""),"мс",_xlpm.bc))))</f>
        <v/>
      </c>
      <c r="BT219" t="str">
        <f t="shared" si="384"/>
        <v>мс</v>
      </c>
      <c r="BU219">
        <f>IF(B219="","",_xlfn.LET(_xlpm.cc,IFERROR(N(VLOOKUP(AX219,Потребители_обозначение,7,FALSE)),0),IF(_xlpm.cc&gt;0,_xlpm.cc,IF(BT219="","",IF(N(BR219)=3,5,3)))))</f>
        <v>3</v>
      </c>
      <c r="BV219">
        <f t="shared" si="385"/>
        <v>3</v>
      </c>
      <c r="BW219">
        <f>IFERROR(N(VLOOKUP(AX219,Потребители_обозначение,10,FALSE)),0)</f>
        <v>0</v>
      </c>
      <c r="BX219">
        <f>IFERROR(VLOOKUP(AX219,Потребители_обозначение,5,FALSE),0)</f>
        <v>1</v>
      </c>
      <c r="BY219" s="6" cm="1">
        <f t="array" ref="BY219">IF(B219="","",IF(BC219&lt;&gt;"",IFERROR(_xlfn.XLOOKUP(BC219,Щиты[Щит],Щиты[cos φ]),0.95),IF(BK219=1,IFERROR(_xlfn.XLOOKUP(A219,Щиты[Щит],Щиты[cos φ]),0.95),IF(ISNUMBER(Z219),Z219,IFERROR(IF(BX219=2,_xlfn.IFS(BR219=3,VLOOKUP(BN219,Справочная_двигатели,8,FALSE),BR219=1,VLOOKUP(BN219,Справочная_двигатели,10,TRUE)),IF(AND(Методика="нормы 2026",EQ219="Сил"),0.8,0.95)),0.95)))))</f>
        <v>0.95</v>
      </c>
      <c r="BZ219">
        <f t="shared" si="386"/>
        <v>0</v>
      </c>
      <c r="CA219">
        <f t="shared" si="387"/>
        <v>1</v>
      </c>
      <c r="CB219">
        <f t="shared" si="388"/>
        <v>0</v>
      </c>
      <c r="CC219">
        <f t="shared" si="389"/>
        <v>0</v>
      </c>
      <c r="CD219">
        <f t="shared" si="390"/>
        <v>0</v>
      </c>
      <c r="CE219">
        <f t="shared" si="391"/>
        <v>0</v>
      </c>
      <c r="CF219">
        <f t="shared" si="392"/>
        <v>0</v>
      </c>
      <c r="CG219">
        <f>IF(AX219="",0,_xlfn.LET(_xlpm.v,IFERROR(VLOOKUP(B219,УГО_спр,3,FALSE),IFERROR(VLOOKUP(AX219,УГО_спр,3,FALSE),IFERROR(VLOOKUP(LEFT(AX219,2),УГО_спр,3,FALSE),""))),IF(_xlpm.v="да",30,IF(ISNUMBER(_xlpm.v),_xlpm.v,0))))</f>
        <v>30</v>
      </c>
      <c r="CH219">
        <f t="shared" si="393"/>
        <v>30</v>
      </c>
      <c r="CI219" t="str">
        <f>_xlfn.LET(_xlpm.k,IFERROR(_xlfn.XLOOKUP(AX219,Коды_код,Коды_утечка)&amp;"",""),IF(_xlpm.k="","дифавтомат",_xlpm.k))</f>
        <v>дифавтомат</v>
      </c>
      <c r="CJ219">
        <f t="shared" si="394"/>
        <v>30</v>
      </c>
      <c r="CK219">
        <f t="shared" si="395"/>
        <v>30</v>
      </c>
      <c r="CL219">
        <f>IF(B219="",0,IFERROR(--VLOOKUP(B219,УГО_спр,4,FALSE),IFERROR(--VLOOKUP(AX219,УГО_спр,4,FALSE),IFERROR(--VLOOKUP(LEFT(AX219,2),УГО_спр,4,FALSE),0))))</f>
        <v>16</v>
      </c>
      <c r="CM219" t="str">
        <f>IF(B219="","",IFERROR(_xlfn.XLOOKUP(AX219,Коды_код,Коды_апп)&amp;"",""))</f>
        <v/>
      </c>
      <c r="CN219" t="str">
        <f t="shared" si="396"/>
        <v/>
      </c>
      <c r="CO219" t="str" cm="1">
        <f t="array" ref="CO219">IF(TRIM(CN219&amp;"")="","",IFERROR(TRIM(INDEX(_xlfn.TEXTSPLIT(CN219&amp;";;;",";"),1)),""))</f>
        <v/>
      </c>
      <c r="CP219" t="str" cm="1">
        <f t="array" ref="CP219">IF(TRIM(CN219&amp;"")="","",IFERROR(TRIM(INDEX(_xlfn.TEXTSPLIT(CN219&amp;";;;",";"),2)),""))</f>
        <v/>
      </c>
      <c r="CQ219" t="str" cm="1">
        <f t="array" ref="CQ219">IF(TRIM(CN219&amp;"")="","",IFERROR(TRIM(INDEX(_xlfn.TEXTSPLIT(CN219&amp;";;;",";"),3)),""))</f>
        <v/>
      </c>
      <c r="CR219">
        <f t="shared" si="397"/>
        <v>0</v>
      </c>
      <c r="CS219" t="str">
        <f>IF(B219="","",_xlfn.LET(_xlpm.t,LOWER(AV219&amp;""),IF(ISNUMBER(SEARCH("dim",_xlpm.t)),"DIM",IF(ISNUMBER(SEARCH("dali",_xlpm.t)),"DALI",IF(OR(ISNUMBER(SEARCH("relay",_xlpm.t)),ISNUMBER(SEARCH("реле",_xlpm.t))),"Relay",IF(ISNUMBER(SEARCH("кнопк",_xlpm.t)),"",IFERROR(_xlfn.XLOOKUP(AX219,Коды_код,Коды_упр)&amp;"","")))))))</f>
        <v/>
      </c>
      <c r="CT219" t="str">
        <f t="shared" si="398"/>
        <v/>
      </c>
      <c r="CU219">
        <f>IF(B219="","",_xlfn.LET(_xlpm.ig,N(P219)+IF(AF219="вручную",0,N(CB219)),_xlpm.n0,IFERROR(VLOOKUP(_xlpm.ig,Автомат_номиналы,2,TRUE),0),_xlpm.mn,MAX(CL219,IF(AF219="вручную",0,N(CE219))),MAX(_xlpm.n0,_xlpm.mn,IF(CR219=1,Мин_автомат_БП,0))))</f>
        <v>16</v>
      </c>
      <c r="CV219">
        <f t="shared" si="399"/>
        <v>1</v>
      </c>
      <c r="CW219" t="str">
        <f t="shared" si="400"/>
        <v>2P</v>
      </c>
      <c r="CX219" t="str">
        <f>_xlfn.LET(_xlpm.cc,UPPER(TRIM(IFERROR(_xlfn.XLOOKUP(AX219,Коды_код,Коды_хар)&amp;"",""))),IF(OR(_xlpm.cc="B",_xlpm.cc="В"),"B",IF(_xlpm.cc="D","D","С")))</f>
        <v>С</v>
      </c>
      <c r="CY219" t="str">
        <f t="shared" si="401"/>
        <v>2P С16А 30мА</v>
      </c>
      <c r="CZ219" t="str">
        <f t="shared" si="402"/>
        <v>2P С16А 30мА</v>
      </c>
      <c r="DA219" t="str">
        <f t="shared" si="403"/>
        <v>2P С16А 30мА</v>
      </c>
      <c r="DB219" cm="1">
        <f t="array" ref="DB219">IF(DA219="","",_xlfn.LET(_xlpm.t,SUBSTITUTE(SUBSTITUTE(SUBSTITUTE(UPPER(DA219),"С","C"),"А","A"),"В","B"),_xlpm.tk,_xlfn.TEXTSPLIT(_xlpm.t,"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9" t="str">
        <f t="shared" si="404"/>
        <v>ok</v>
      </c>
      <c r="DD219">
        <f t="shared" si="405"/>
        <v>16</v>
      </c>
      <c r="DE219" t="str">
        <f t="shared" si="406"/>
        <v>2P С16А 30мА</v>
      </c>
      <c r="DF219">
        <f t="shared" si="407"/>
        <v>30</v>
      </c>
      <c r="DG219">
        <f t="shared" si="408"/>
        <v>1</v>
      </c>
      <c r="DH219">
        <f t="shared" si="409"/>
        <v>0</v>
      </c>
      <c r="DI219">
        <f t="shared" si="410"/>
        <v>0.27348170645824377</v>
      </c>
      <c r="DJ219">
        <f t="shared" si="411"/>
        <v>1</v>
      </c>
      <c r="DK219">
        <f>IF(ISNUMBER(AL219),AL219,К_прокл)</f>
        <v>1</v>
      </c>
      <c r="DL219">
        <f t="shared" si="412"/>
        <v>2</v>
      </c>
      <c r="DM219">
        <f>IFERROR(N(VLOOKUP(BT219,Кабель_обозначение,3,FALSE)),1)</f>
        <v>1</v>
      </c>
      <c r="DN219">
        <f>IFERROR(N(_xlfn.XLOOKUP(A219,Щиты[Щит],Щиты[ΔU до шин, %])),0)</f>
        <v>0.43</v>
      </c>
      <c r="DO219" t="str">
        <f>IFERROR(_xlfn.XLOOKUP(A219,Щиты[Щит],Щиты[Zпетли на шинах, Ом]),"")</f>
        <v/>
      </c>
      <c r="DP219">
        <f>IFERROR(N(_xlfn.XLOOKUP(A219,Щиты[Щит],Щиты[ΔU до шин (подбор), %])),0)</f>
        <v>0.43</v>
      </c>
      <c r="DQ219" t="str">
        <f>IFERROR(_xlfn.XLOOKUP(A219,Щиты[Щит],Щиты[Zпетли на шинах (подбор), Ом]),"")</f>
        <v/>
      </c>
      <c r="DR219" t="str">
        <f t="shared" si="413"/>
        <v/>
      </c>
      <c r="DS219">
        <f t="shared" si="414"/>
        <v>48</v>
      </c>
      <c r="DT219">
        <f t="shared" si="415"/>
        <v>2</v>
      </c>
      <c r="DU219">
        <f t="shared" si="416"/>
        <v>0.31</v>
      </c>
      <c r="DV219" s="6">
        <f>IF(B219="","",IF(IFERROR(VLOOKUP(AX219,УГО_спр,2,FALSE),"")="Светильник",3,4)+IF(Методика="нормы 2026",MIN(0.5,MAX(0,N(Q219)-100)*0.005),0))</f>
        <v>4</v>
      </c>
      <c r="DW219" cm="1">
        <f t="array" ref="DW219">IF(OR(B219="",BT219="",DM219&lt;&gt;1),"",_xlfn.LET(_xlpm.sz,Iдоп_S,_xlpm.t_,CHOOSE(DL219,Iдоп_1ж,Iдоп_2ж,Iдоп_3ж)*DJ219*DK219,_xlpm.inn,N(DD219),_xlpm.smin,MAX(1.5,BW219),_xlpm.L_,N(Q219)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219)*(_xlpm.rho*_xlpm.L_/_xlpm.sz*N(BY219)+_xlpm.xx*_xlpm.L_*N(DU219)/1000)*N(P219)/((Uн_лин/SQRT(3))*1000)*100,999),_xlpm.kz,IF(OR(DG219=1,NOT(ISNUMBER(DQ219)),_xlpm.L_=0,_xlpm.inn=0),1,IFERROR(--(c_min*(Uн_лин*1000/SQRT(3))/(DQ219+2*ρкз_Cu*_xlpm.L_/_xlpm.sz)&gt;=GY219*_xlpm.inn),0)),_xlpm.ok,IFERROR((_xlpm.sz&gt;=_xlpm.smin)*(_xlpm.t_&gt;=_xlpm.inn)*IF(_xlpm.L_&gt;0,(_xlpm.du_+DP219&lt;=DV219+0.00001),1)*_xlpm.kz,0),_xlpm.r_,_xlfn._xlws.FILTER(_xlpm.sz,_xlpm.ok,"не подобрано"),INDEX(_xlpm.r_,1)))</f>
        <v>1.5</v>
      </c>
      <c r="DX219">
        <f t="shared" si="417"/>
        <v>2.5</v>
      </c>
      <c r="DY219" cm="1">
        <f t="array" ref="DY219">IF(OR(B219="",BT219="",DM219&lt;&gt;1),"",_xlfn.LET(_xlpm.sz,Iдоп_S,_xlpm.t_,CHOOSE(DL219,Iдоп_1ж,Iдоп_2ж,Iдоп_3ж)*DJ219*DK219,_xlpm.ok,IFERROR((_xlpm.sz&gt;=MAX(1.5,BW219))*(_xlpm.t_&gt;=N(DD219)),0),_xlpm.r_,_xlfn._xlws.FILTER(_xlpm.sz,_xlpm.ok,""),INDEX(_xlpm.r_,1)))</f>
        <v>1.5</v>
      </c>
      <c r="DZ219" s="6" cm="1">
        <f t="array" ref="DZ219">IFERROR(ROUNDUP(N(DT219)*(_xlfn.XLOOKUP(DY219,INDEX(Кабель_сопротивление,0,1),INDEX(Кабель_сопротивление,0,3))*N(Q219)/DY219*N(BY219)+_xlfn.XLOOKUP(DY219,INDEX(Кабель_сопротивление,0,1),INDEX(Кабель_сопротивление,0,2))*N(Q219)*N(DU219)/1000)*N(P219)/((Uн_лин/SQRT(3))*1000)*100,2),"")</f>
        <v>0.18000000000000002</v>
      </c>
      <c r="EA219">
        <f>IFERROR(2*ρкз_Cu*N(Q219)/DY219,"")</f>
        <v>1.7884</v>
      </c>
      <c r="EB219">
        <f>IFERROR(VLOOKUP(DX219,Кабель_сопротивление,3,FALSE),"")</f>
        <v>2.2499999999999999E-2</v>
      </c>
      <c r="EC219">
        <f>IFERROR(VLOOKUP(DX219,Кабель_сопротивление,2,FALSE),"")</f>
        <v>0.1</v>
      </c>
      <c r="ED219">
        <f t="shared" si="418"/>
        <v>7</v>
      </c>
      <c r="EE219">
        <f t="shared" si="419"/>
        <v>0</v>
      </c>
      <c r="EF219">
        <f t="shared" si="420"/>
        <v>0.23936814535805531</v>
      </c>
      <c r="EG219" s="6">
        <f>IFERROR(ROUNDUP(EF219/((Uн_лин/SQRT(3))*1000)*100,2),"")</f>
        <v>0.11</v>
      </c>
      <c r="EH219" t="str">
        <f>IFERROR(VLOOKUP(BT219,Кабель_обозначение,2,FALSE),"")</f>
        <v>ВВГнг(А)-LS</v>
      </c>
      <c r="EI219" t="str">
        <f t="shared" si="421"/>
        <v>ВВГнг(А)-LS (3х2,5)</v>
      </c>
      <c r="EJ219" t="str">
        <f t="shared" si="422"/>
        <v>ВВГнг(А)-LS (3х2,5)
L=51-0,11%</v>
      </c>
      <c r="EK219">
        <f>IFERROR(2*ρкз_Cu*Q219/DX219,"")</f>
        <v>1.07304</v>
      </c>
      <c r="EL219">
        <f t="shared" si="423"/>
        <v>0.35700000000000004</v>
      </c>
      <c r="EM219" s="6" t="str">
        <f>IFERROR(IF(OR(B219="",NOT(ISNUMBER(DX219)),N(Q219)=0),"",_xlfn.XLOOKUP(A219,Щиты[Щит],Щиты[Zпетли на шинах, Ом])+EK219),"")</f>
        <v/>
      </c>
      <c r="EN219" s="6" t="str">
        <f>IF(ISNUMBER(EM219),c_min*(Uн_лин*1000/SQRT(3))/EM219,"")</f>
        <v/>
      </c>
      <c r="EO219" s="6" t="str">
        <f>IFERROR(IF(OR(B219="",NOT(ISNUMBER(DX219))),"",1.05*(Uн_лин*1000/SQRT(3))/(_xlfn.XLOOKUP(A219,Щиты[Щит],Щиты[Zmax на шинах, Ом])+EL219)/1000),"")</f>
        <v/>
      </c>
      <c r="EP219" s="6" t="str">
        <f>IF(B219="","",IF(ISNUMBER(Y219),"Сил",IF(IFERROR(_xlfn.XLOOKUP(AX219,Коды_код,Коды_группа)&amp;"","")="","Быт",_xlfn.XLOOKUP(AX219,Коды_код,Коды_группа)&amp;"")))</f>
        <v>Быт</v>
      </c>
      <c r="EQ219" s="6" t="str">
        <f t="shared" si="424"/>
        <v>Быт</v>
      </c>
      <c r="ER219" s="6">
        <f>IF(EQ219="Щит","щит",IF(EQ219="","",IF(EQ219="Быт",IFERROR(_xlfn.XLOOKUP(A219,Щиты[Щит],Щиты[Кс быт]),1),IF(EQ219="Сил",IF(ISNUMBER(Y219),Y219,IF(Методика="нормы 2026",IFERROR(_xlfn.XLOOKUP(A219,Щиты[Щит],Щиты[Кс силовых (табл. 7.5)]),1),1)),IF(OR(EQ219="Пост",EQ219="Отоп"),1,IF(EQ219="ВНГ",0.7,0))))))</f>
        <v>0.79799999999999993</v>
      </c>
      <c r="ES219">
        <f t="shared" si="425"/>
        <v>1</v>
      </c>
      <c r="ET219">
        <f t="shared" si="426"/>
        <v>0.06</v>
      </c>
      <c r="EU219">
        <f t="shared" si="427"/>
        <v>0.06</v>
      </c>
      <c r="EV219">
        <f t="shared" si="428"/>
        <v>0</v>
      </c>
      <c r="EW219">
        <f t="shared" si="429"/>
        <v>0</v>
      </c>
      <c r="EX219">
        <f t="shared" si="430"/>
        <v>0</v>
      </c>
      <c r="EY219">
        <f t="shared" si="431"/>
        <v>0</v>
      </c>
      <c r="EZ219">
        <f t="shared" si="432"/>
        <v>0.06</v>
      </c>
      <c r="FA219">
        <f t="shared" si="433"/>
        <v>5.6999999999999995E-2</v>
      </c>
      <c r="FB219">
        <f t="shared" si="434"/>
        <v>0.06</v>
      </c>
      <c r="FC219" t="str">
        <f t="shared" si="435"/>
        <v>L1</v>
      </c>
      <c r="FD219" t="str">
        <f>IF(B219="","",IF(CA219=0,IF(AW219=1,"",FF218),IF(OR(N(CV219)&gt;=3,N(BR219)&gt;=3),"L1,L2,L3",IFERROR(_xlfn.TEXTBEFORE(_xlfn.TEXTAFTER(_xlfn.XLOOKUP(A219,Щиты[Щит],Щиты[_фазы авто]),";"&amp;AW219&amp;":"),";"),"L1"))))</f>
        <v>L1</v>
      </c>
      <c r="FE219" t="str">
        <f t="shared" si="436"/>
        <v>L1</v>
      </c>
      <c r="FF219" t="str">
        <f t="shared" si="437"/>
        <v>L1</v>
      </c>
      <c r="FG219" cm="1">
        <f t="array" ref="FG219">IFERROR(IF(BX219=2,_xlfn.IFS(BR219=3,VLOOKUP(BN219,Справочная_двигатели,3,FALSE),BR219=1,VLOOKUP(BN219,Справочная_двигатели,5,TRUE)),0),0)</f>
        <v>0</v>
      </c>
      <c r="FH219">
        <f>IFERROR(IF(BX219=3,VLOOKUP(BN219,Справочная_ЛЭД,2,TRUE),0),0)</f>
        <v>0</v>
      </c>
      <c r="FI219" s="6">
        <f t="shared" si="438"/>
        <v>0</v>
      </c>
      <c r="FJ219" t="str" cm="1">
        <f t="array" ref="FJ219">IF(B219="","",IFERROR(INDEX({"I особая","I","II","III"},MATCH(TRIM(AC219&amp;""),{"I особая","I","II","III"},0)),"III"))</f>
        <v>II</v>
      </c>
      <c r="FK219" t="str">
        <f>IF(B219="","",IF(TRIM(AD219&amp;"")&lt;&gt;"",IF(LOWER(TRIM(AD219&amp;""))="да","да","нет"),IF(IFERROR(_xlfn.XLOOKUP(AX219,Коды_код,Коды_пожарная),"")="да","да","нет")))</f>
        <v>нет</v>
      </c>
      <c r="FL219" t="str">
        <f t="shared" si="439"/>
        <v/>
      </c>
      <c r="FM219" t="str">
        <f t="shared" si="440"/>
        <v>основная</v>
      </c>
      <c r="FN219">
        <f t="shared" si="441"/>
        <v>1</v>
      </c>
      <c r="FO219" t="str" cm="1">
        <f t="array" ref="FO219">IF(B219="","",_xlfn.LET(_xlpm.t,IFERROR(_xlfn.XLOOKUP(1,(Шины[Шина]=FM219)*(((Шины[Щит]=A219)+(Шины[Щит]=""))&gt;0),Шины[Тип]),"")&amp;"",IF(_xlpm.t&lt;&gt;"",_xlpm.t,IF(ISNUMBER(SEARCH("ИБП",FM219)),"ИБП",IF(ISNUMBER(SEARCH("ДГУ",FM219)),"ДГУ","Ввод "&amp;FN219)))))</f>
        <v>Ввод 1</v>
      </c>
      <c r="FP219" t="str">
        <f t="shared" si="442"/>
        <v>Ввод 1</v>
      </c>
      <c r="FQ219" t="str">
        <f>IF(B219="","",IF(OR(FO219="ИБП",FO219="ДГУ"),"I особая",IF(FO219="Одиночная","III",_xlfn.XLOOKUP(A219,Щиты[Щит],Щиты[Категория шины «Ввод»],"III"))))</f>
        <v>II</v>
      </c>
      <c r="FR219">
        <f>IF(B219="",0,IFERROR(MATCH(FJ219,{"III","II","I","I особая"},0),1))</f>
        <v>2</v>
      </c>
      <c r="FS219">
        <f t="shared" si="443"/>
        <v>2</v>
      </c>
      <c r="FT219" t="str">
        <f>IF(B219="","",IF(FR219&gt;IFERROR(MATCH(FQ219,{"III","II","I","I особая"},0),1),"НЕ ОБЕСПЕЧЕНА","ОК"))</f>
        <v>ОК</v>
      </c>
      <c r="FU219" t="str">
        <f>IF(A219="","",_xlfn.XLOOKUP(A219,Щиты[Щит],Щиты[Путь],""))</f>
        <v>|ГРЩ-ЖД|ЩР-01|</v>
      </c>
      <c r="FV219" t="str">
        <f>IF(B219="","",IF(AE219&lt;&gt;"",AE219,IF(IFERROR(_xlfn.XLOOKUP(AX219,Коды_код,Коды_вид)&amp;"","")="","Прочее",_xlfn.XLOOKUP(AX219,Коды_код,Коды_вид)&amp;"")))</f>
        <v>Розеточная сеть и бытовые приборы</v>
      </c>
      <c r="FW219">
        <f>IF(BH219="","",INT((BH219-1)/Столбцов_на_лист)+1)</f>
        <v>4</v>
      </c>
      <c r="FX219" t="str">
        <f t="shared" si="444"/>
        <v>ВВГнг(А)-LS (3х2,5) L=51-0,11%</v>
      </c>
      <c r="FY219">
        <f t="shared" si="445"/>
        <v>0.06</v>
      </c>
      <c r="FZ219">
        <f t="shared" si="446"/>
        <v>0.28000000000000003</v>
      </c>
      <c r="GA219">
        <f t="shared" si="447"/>
        <v>1</v>
      </c>
      <c r="GB219">
        <f t="shared" si="448"/>
        <v>0</v>
      </c>
      <c r="GC219">
        <f t="shared" si="449"/>
        <v>1</v>
      </c>
      <c r="GD219">
        <f>IF(BH219="","",IF(AND(CA219=1,GC219=1),COUNTIFS(A$3:A219,A219,CA$3:CA219,1,GC$3:GC219,1),IF(OR(OR(AW219=1,A219&lt;&gt;A218),AF219="вручную",GC219=0),"",IF(AW219=1,"",GE218))))</f>
        <v>35</v>
      </c>
      <c r="GE219">
        <f t="shared" si="450"/>
        <v>35</v>
      </c>
      <c r="GF219">
        <f>IF(B219="","",IFERROR(LOOKUP(INDEX(CHOOSE(DL219,Iдоп_1ж,Iдоп_2ж,Iдоп_3ж),MATCH(DX219,Iдоп_S,0))*DJ219*DK219,{6,10,16,20,25,32,40,50,63,80,100,125,160,200,250,315,400,500,630}),""))</f>
        <v>25</v>
      </c>
      <c r="GG219" t="str">
        <f t="shared" si="451"/>
        <v>QFD35</v>
      </c>
      <c r="GH219" t="str">
        <f t="shared" si="452"/>
        <v>QFD35</v>
      </c>
      <c r="GI219" t="str">
        <f t="shared" si="453"/>
        <v/>
      </c>
      <c r="GJ219">
        <f t="shared" si="454"/>
        <v>0</v>
      </c>
      <c r="GK219" t="str">
        <f>IF(OR(AG219="",AG219="-"),"",IFERROR(VLOOKUP(AG219,Модули_спр,2,FALSE),"R"))</f>
        <v/>
      </c>
      <c r="GL219" t="str">
        <f>IF(GK219="","",GK219&amp;"."&amp;COUNTIFS(A$3:A219,A219,GK$3:GK219,GK219))</f>
        <v/>
      </c>
      <c r="GM219" t="str">
        <f t="shared" si="455"/>
        <v/>
      </c>
      <c r="GN219" t="str">
        <f t="shared" si="456"/>
        <v/>
      </c>
      <c r="GO219" t="str">
        <f t="shared" si="457"/>
        <v/>
      </c>
      <c r="GP219" t="str">
        <f t="shared" si="458"/>
        <v/>
      </c>
      <c r="GQ219">
        <f t="shared" si="459"/>
        <v>1</v>
      </c>
      <c r="GR219" t="str">
        <f>IF(GQ219=1,"XT"&amp;COUNTIFS(A$3:A219,A219,GQ$3:GQ219,1),"")</f>
        <v>XT35</v>
      </c>
      <c r="GS219" t="str">
        <f t="shared" si="460"/>
        <v/>
      </c>
      <c r="GT219" t="str">
        <f t="shared" si="461"/>
        <v>QFD35</v>
      </c>
      <c r="GU219" t="str">
        <f t="shared" si="462"/>
        <v/>
      </c>
      <c r="GV219" t="str">
        <f t="shared" si="463"/>
        <v>ok</v>
      </c>
      <c r="GW219" t="str">
        <f>IF(OR(GO219="",GM219=""),"",IF(GO219&gt;IFERROR(VLOOKUP(GN219,Модули_спр,3,FALSE),99),"ЛИШНИЙ КАНАЛ",IF(AND(AH219&lt;&gt;"=",COUNTIFS(Линии[_модуль гр.],GM219,Линии[Канал (итог)],GO219,Линии[Канал],"&lt;&gt;=",Линии[Щит],A219)&gt;1),"ДУБЛЬ КАНАЛА","")))</f>
        <v/>
      </c>
      <c r="GX219" s="6" t="str">
        <f t="shared" si="464"/>
        <v/>
      </c>
      <c r="GY219">
        <f t="shared" si="465"/>
        <v>10</v>
      </c>
      <c r="GZ219" t="str">
        <f t="shared" si="466"/>
        <v/>
      </c>
      <c r="HA219" t="str">
        <f>IF(AND(B219="",GT219=""),"",_xlfn.TEXTJOIN("; ",TRUE,IF(AND(B219&lt;&gt;"",FE219=""),"нет фазы",""),IF(AND(B219&lt;&gt;"",N(FY219)=0,EQ219&lt;&gt;"Нет"),"нет мощности",""),IF(AND(GS219&lt;&gt;"",COUNTIFS(Линии[Щит],A219,Линии[Клемма (итог)],GS219)&gt;1),"дубль клеммы "&amp;GS219,""),IF(AND(GV219&lt;&gt;"",GV219&lt;&gt;"ok"),GV219,""),IF(GW219&lt;&gt;"",GW219,""),IF(AND(N(BV219)&gt;=4,N(BR219)=1),BV219&amp;" жил на 1 фазе",""),IF(AND(AX219="R",CA219=1,OR(N(CK219)=0,N(CK219)&gt;30)),"розетка без дифзащиты до 30 мА",""),IFERROR(IF(AND(ISNUMBER(R219),R219&gt;DV219),"потери "&amp;FIXED(R219,1)&amp;" % &gt; "&amp;DV219&amp;" %",""),""),IFERROR(IF(LEFT(GZ219,4)="мало","Iкз мало — отключение &gt; 0,4 с",""),""),IF(AND(B219&lt;&gt;"",BH219=""),"не на схеме",""),IF(AND(CA219=0,B219&lt;&gt;"",FE219&lt;&gt;"",IF(AW219=1,"",FF218)&lt;&gt;"",FE219&lt;&gt;IF(AW219=1,"",FF218)),"фаза не как у автомата группы ("&amp;IF(AW219=1,"",FF218)&amp;")","")))</f>
        <v/>
      </c>
      <c r="HB219" s="6">
        <f>IF(OR(CA219=0,DA219=""),"",_xlfn.LET(_xlpm.t,IFERROR(_xlfn.XLOOKUP(DA219,Каталог!$U$4:$U$500,Каталог!$G$4:$G$500),""),_xlpm.k,SEARCH("кА",_xlpm.t),IFERROR(--TRIM(RIGHT(SUBSTITUTE(MID(_xlpm.t,MAX(1,_xlpm.k-4),_xlpm.k-MAX(1,_xlpm.k-4))," ",REPT(" ",9)),5)),"")))</f>
        <v>6</v>
      </c>
      <c r="HC219" t="str">
        <f>IF(OR(HB219="",CA219=0),"",IF(_xlfn.XLOOKUP(A219,Щиты[Щит],Щиты[Iкз max на шинах, кА],"")="","",IF(HB219&lt;_xlfn.XLOOKUP(A219,Щиты[Щит],Щиты[Iкз max на шинах, кА]),"Icu "&amp;HB219&amp;" кА &lt; Iкз max","ok")))</f>
        <v/>
      </c>
      <c r="HD219" t="str">
        <f t="shared" si="467"/>
        <v/>
      </c>
      <c r="HE219" t="str">
        <f t="shared" si="468"/>
        <v>QFD35</v>
      </c>
      <c r="HF219" t="str">
        <f t="shared" si="469"/>
        <v>QFD35|кабель ВВГнг(А)-LS (3х2,5) → Розеточная группа, пом. 020A</v>
      </c>
      <c r="HG219" t="str" cm="1">
        <f t="array" ref="HG219">IF(HF219="","",_xlfn.LET(_xlpm.nd,_xlfn.TEXTSPLIT(HF219,"|"),IF(COLUMNS(_xlpm.nd)&gt;1,A219&amp;"¦"&amp;INDEX(_xlpm.nd,1)&amp;"¦"&amp;INDEX(_xlpm.nd,2),"")))</f>
        <v>ЩР-01¦QFD35¦кабель ВВГнг(А)-LS (3х2,5) → Розеточная группа, пом. 020A</v>
      </c>
      <c r="HH219" t="str">
        <f t="shared" si="470"/>
        <v>R.0.020A.1¦Розеточная группа, пом. 020A</v>
      </c>
      <c r="HI219" t="str" cm="1">
        <f t="array" ref="HI219">IF(HF219="","",_xlfn.LET(_xlpm.nd,_xlfn.TEXTSPLIT(HF219,"|"),IF(COLUMNS(_xlpm.nd)&gt;2,A219&amp;"¦"&amp;INDEX(_xlpm.nd,2)&amp;"¦"&amp;INDEX(_xlpm.nd,3),"")))</f>
        <v/>
      </c>
      <c r="HJ219" t="str">
        <f t="shared" si="471"/>
        <v/>
      </c>
      <c r="HK219" t="str" cm="1">
        <f t="array" ref="HK219">IF(HF219="","",_xlfn.LET(_xlpm.nd,_xlfn.TEXTSPLIT(HF219,"|"),IF(COLUMNS(_xlpm.nd)&gt;3,A219&amp;"¦"&amp;INDEX(_xlpm.nd,3)&amp;"¦"&amp;INDEX(_xlpm.nd,4),"")))</f>
        <v/>
      </c>
      <c r="HL219" t="str">
        <f t="shared" si="472"/>
        <v/>
      </c>
      <c r="HM219" t="str" cm="1">
        <f t="array" ref="HM219">IF(HF219="","",_xlfn.LET(_xlpm.nd,_xlfn.TEXTSPLIT(HF219,"|"),IF(COLUMNS(_xlpm.nd)&gt;4,A219&amp;"¦"&amp;INDEX(_xlpm.nd,4)&amp;"¦"&amp;INDEX(_xlpm.nd,5),"")))</f>
        <v/>
      </c>
      <c r="HN219" t="str">
        <f t="shared" si="473"/>
        <v/>
      </c>
      <c r="HO219" t="str" cm="1">
        <f t="array" ref="HO219">IF(HF219="","",_xlfn.LET(_xlpm.nd,_xlfn.TEXTSPLIT(HF219,"|"),IF(COLUMNS(_xlpm.nd)&gt;5,A219&amp;"¦"&amp;INDEX(_xlpm.nd,5)&amp;"¦"&amp;INDEX(_xlpm.nd,6),"")))</f>
        <v/>
      </c>
      <c r="HP219" t="str">
        <f t="shared" si="474"/>
        <v/>
      </c>
      <c r="HQ219" t="str" cm="1">
        <f t="array" ref="HQ219">IF(HF219="","",_xlfn.LET(_xlpm.nd,_xlfn.TEXTSPLIT(HF219,"|"),IF(COLUMNS(_xlpm.nd)&gt;6,A219&amp;"¦"&amp;INDEX(_xlpm.nd,6)&amp;"¦"&amp;INDEX(_xlpm.nd,7),"")))</f>
        <v/>
      </c>
      <c r="HR219" t="str">
        <f t="shared" si="475"/>
        <v/>
      </c>
      <c r="HS219" t="str">
        <f t="shared" si="476"/>
        <v/>
      </c>
      <c r="HT219" t="str">
        <f t="shared" si="477"/>
        <v>QFD35</v>
      </c>
      <c r="HU219">
        <f t="shared" si="478"/>
        <v>0</v>
      </c>
      <c r="HV219">
        <f t="shared" si="479"/>
        <v>1</v>
      </c>
      <c r="HW219" t="str">
        <f t="shared" si="480"/>
        <v/>
      </c>
      <c r="HX219" t="str">
        <f t="shared" si="481"/>
        <v/>
      </c>
      <c r="HY219" t="str">
        <f t="shared" si="482"/>
        <v/>
      </c>
      <c r="HZ219" t="str">
        <f t="shared" si="483"/>
        <v/>
      </c>
      <c r="IA219" t="str">
        <f>IF(B219="","",IFERROR(VLOOKUP(B219,УГО_спр,2,FALSE),IFERROR(VLOOKUP(AX219,УГО_спр,2,FALSE),IFERROR(VLOOKUP(LEFT(AX219,2),УГО_спр,2,FALSE),""))))</f>
        <v>Розетка</v>
      </c>
      <c r="IB219" t="str">
        <f>IF(B219="","",IF(OR(IA219="",IA219=0),"BOX",IFERROR(IF(VLOOKUP(IA219,УГО_блоки,3,FALSE)&amp;""&lt;&gt;"",VLOOKUP(IA219,УГО_блоки,3,FALSE),VLOOKUP(IA219,УГО_блоки,2,FALSE)),IA219)))</f>
        <v>SOCKET</v>
      </c>
      <c r="IC219">
        <f t="shared" si="484"/>
        <v>1</v>
      </c>
      <c r="ID219" t="str">
        <f>IF(DA219="","",IF(COUNTIF(DA$3:DA219,DA219)=1,MAX(ID$2:ID218)+1,""))</f>
        <v/>
      </c>
      <c r="IE219" t="str">
        <f>IF(CO219="","",IF(COUNTIF(CO$3:CO219,CO219)+COUNTIF(CP$2:CP218,CO219)+COUNTIF(CQ$2:CQ218,CO219)=1,MAX(IE$2:IG218)+1,""))</f>
        <v/>
      </c>
      <c r="IF219" t="str">
        <f>IF(CP219="","",IF(COUNTIF(CO$3:CO219,CP219)+COUNTIF(CP$3:CP219,CP219)+COUNTIF(CQ$2:CQ218,CP219)=1,MAX(IE$2:IG218,IE219)+1,""))</f>
        <v/>
      </c>
      <c r="IG219" t="str">
        <f>IF(CQ219="","",IF(COUNTIF(CO$3:CO219,CQ219)+COUNTIF(CP$3:CP219,CQ219)+COUNTIF(CQ$3:CQ219,CQ219)=1,MAX(IE$2:IG218,IE219,IF219)+1,""))</f>
        <v/>
      </c>
      <c r="IH219" t="str">
        <f t="shared" si="485"/>
        <v>3х2,5</v>
      </c>
      <c r="II219" t="str">
        <f>IF(IH219="","",IF(COUNTIF(IH$3:IH219,IH219)=1,MAX(II$2:II218)+1,""))</f>
        <v/>
      </c>
      <c r="IJ219" t="str">
        <f>IF(GL219="","",COUNTIF(GL$3:GL219,"?*"))</f>
        <v/>
      </c>
      <c r="IK219" t="str">
        <f>IF(OR(GL219="",GN219=""),"",IF(COUNTIFS(GL$3:GL219,"?*",GN$3:GN219,GN219)=1,MAX(IK$2:IK218)+1,""))</f>
        <v/>
      </c>
      <c r="IL219">
        <f t="shared" si="486"/>
        <v>0</v>
      </c>
      <c r="IM219">
        <f>IF(B219="","",COUNTIF(B$3:B219,"?*"))</f>
        <v>217</v>
      </c>
      <c r="IN219">
        <f>IF(GQ219&lt;&gt;1,0,_xlfn.LET(_xlpm.k,MAX(IFERROR(--VLOOKUP(B219,УГО_спр,5,FALSE),0),IFERROR(--VLOOKUP(AX219,УГО_спр,5,FALSE),0),IFERROR(--VLOOKUP(LEFT(AX219,2),УГО_спр,5,FALSE),0)),IF(_xlpm.k&gt;0,_xlpm.k,IF(IFERROR(--LEFT(SUBSTITUTE(IH219,"x","х"),FIND("х",SUBSTITUTE(IH219,"x","х"))-1),3)&gt;3,Каталог!$S$9,1))))</f>
        <v>1</v>
      </c>
      <c r="IO219">
        <f t="shared" si="487"/>
        <v>0</v>
      </c>
      <c r="IP219" t="str">
        <f t="shared" si="488"/>
        <v>авто</v>
      </c>
      <c r="IQ219">
        <f t="shared" si="489"/>
        <v>30</v>
      </c>
      <c r="IR219">
        <f t="shared" si="490"/>
        <v>1</v>
      </c>
      <c r="IS219">
        <f t="shared" si="491"/>
        <v>1</v>
      </c>
    </row>
    <row r="220" spans="1:253" x14ac:dyDescent="0.3">
      <c r="A220" t="s">
        <v>757</v>
      </c>
      <c r="B220" t="s">
        <v>1486</v>
      </c>
      <c r="C220" t="s">
        <v>1661</v>
      </c>
      <c r="D220">
        <v>1</v>
      </c>
      <c r="E220">
        <v>4.625</v>
      </c>
      <c r="G220">
        <v>25</v>
      </c>
      <c r="H220" t="str">
        <f>Линии[[#This Row],[_авто утечка]]</f>
        <v/>
      </c>
      <c r="I220" t="str">
        <f>Линии[[#This Row],[_авто управление]]</f>
        <v/>
      </c>
      <c r="J220" t="str">
        <f>Линии[[#This Row],[_авто аппараты]]</f>
        <v/>
      </c>
      <c r="K220">
        <v>6</v>
      </c>
      <c r="L220">
        <v>22</v>
      </c>
      <c r="M220">
        <v>1</v>
      </c>
      <c r="N220" t="str">
        <f>Линии[[#This Row],[_авто клемма]]</f>
        <v>XT36</v>
      </c>
      <c r="O220" t="str">
        <f t="shared" si="369"/>
        <v/>
      </c>
      <c r="P220" s="6" cm="1">
        <f t="array" ref="P220">IF(B220="","",IF(BC220&lt;&gt;"",IFERROR(_xlfn.XLOOKUP(BC220,Щиты[Щит],Щиты[Iр, А]),""),IF(BK220=1,IFERROR(_xlfn.XLOOKUP(A220,Щиты[Щит],Щиты[Iр, А]),""),IFERROR(_xlfn.IFS(BR220=1,BN220/((Uн_лин/SQRT(3))*BY220),BR220=3,BN220/(SQRT(3)*Uн_лин*BY220)),""))))</f>
        <v>21.080881539489624</v>
      </c>
      <c r="Q220" s="7">
        <f>IF(B220="","",IFERROR(IF(VLOOKUP(AX220,Потребители_обозначение,4,FALSE)=1,VLOOKUP(AX220,Потребители_обозначение,3,FALSE)*(D220*2-1)+DS220+VLOOKUP(AZ220,Этаж_обозначение,3,FALSE)+VLOOKUP(AZ220,Этаж_обозначение,4,FALSE),VLOOKUP(AX220,Потребители_обозначение,3,FALSE)*(D220*2-1)+DS220),DS220))</f>
        <v>22</v>
      </c>
      <c r="R220" s="6">
        <f t="shared" si="370"/>
        <v>1.88</v>
      </c>
      <c r="S220" t="str">
        <f t="shared" si="371"/>
        <v>ВВГнг(А)-LS (3х6)</v>
      </c>
      <c r="T220" t="str">
        <f>IF(BH220="","",IF(BI220="вводной узел","узел ","")&amp;"л."&amp;(INT((BH220-1)/Столбцов_на_лист)+1)&amp;" / "&amp;(MOD(BH220-1,Столбцов_на_лист)+1))</f>
        <v>л.4 / 11</v>
      </c>
      <c r="V220">
        <v>1</v>
      </c>
      <c r="W220">
        <v>230</v>
      </c>
      <c r="X220" t="s">
        <v>575</v>
      </c>
      <c r="AC220" t="s">
        <v>815</v>
      </c>
      <c r="AE220" t="s">
        <v>574</v>
      </c>
      <c r="AI220">
        <v>62</v>
      </c>
      <c r="AJ220" t="s">
        <v>11</v>
      </c>
      <c r="AK220">
        <v>3</v>
      </c>
      <c r="AM220">
        <v>6</v>
      </c>
      <c r="AN220">
        <v>8</v>
      </c>
      <c r="AW220" cm="1">
        <f t="array" ref="AW220">ROW()-ROW(Линии[#Headers])</f>
        <v>218</v>
      </c>
      <c r="AX220" s="6" t="str">
        <f t="shared" si="372"/>
        <v>ШТК-1</v>
      </c>
      <c r="AY220" t="str">
        <f t="shared" si="373"/>
        <v/>
      </c>
      <c r="AZ220" t="str">
        <f t="shared" si="374"/>
        <v/>
      </c>
      <c r="BA220" t="str">
        <f t="shared" si="375"/>
        <v/>
      </c>
      <c r="BB220" t="str">
        <f t="shared" si="376"/>
        <v/>
      </c>
      <c r="BC220" t="str">
        <f>IF(U220&lt;&gt;"",U220,IF(AND(B220&lt;&gt;"",B220&lt;&gt;A220,ISNUMBER(_xlfn.XMATCH(B220,Щиты[Щит]))),B220,""))</f>
        <v/>
      </c>
      <c r="BD220" t="str" cm="1">
        <f t="array" ref="BD220">IF(B220="","",IF(BC220&lt;&gt;"","Щит "&amp;BC220,_xlfn.LET(_xlpm.nm,IFERROR(_xlfn.XLOOKUP(AX220,Коды_код,Коды_имя)&amp;"",""),_xlpm.md,IFERROR(N(_xlfn.XLOOKUP(AX220,Коды_код,Коды_режим)),1),_xlpm.ex,IF(Имя_режим="по экспликации",IFERROR(_xlfn.XLOOKUP(AZ220&amp;"|"&amp;BB220,Экспликация[Этаж]&amp;"|"&amp;Экспликация[Помещение],Экспликация[Название])&amp;"",""),""),_xlpm.rm,IF(BB220="","",IF(_xlpm.ex&lt;&gt;"",". "&amp;_xlpm.ex&amp;IF(Имя_пом="нет"," ("&amp;BB220&amp;")"," (пом. "&amp;BB220&amp;")"),IF(Имя_пом="нет"," ",", пом. ")&amp;BB220)),IF(_xlpm.nm="","",IF(_xlpm.md=2,_xlpm.nm&amp;" шлейф "&amp;AZ220,_xlpm.nm&amp;_xlpm.rm)))))</f>
        <v/>
      </c>
      <c r="BE220" t="str">
        <f t="shared" si="377"/>
        <v>Шкаф телекоммуникационный ШТК-2 Цокольный этаж Пом. №002Т</v>
      </c>
      <c r="BF220">
        <f>IFERROR(_xlfn.XMATCH(A220,Щиты[Щит]),0)</f>
        <v>9</v>
      </c>
      <c r="BG220">
        <f>_xlfn.LET(_xlpm.k,IFERROR(_xlfn.XLOOKUP(A220,Щиты[Щит],Щиты[Листов под вводной узел]),""),IF(_xlpm.k="",1,N(_xlpm.k))*Столбцов_на_лист)</f>
        <v>17</v>
      </c>
      <c r="BH220">
        <f t="shared" si="378"/>
        <v>62</v>
      </c>
      <c r="BI220" t="str">
        <f t="shared" si="379"/>
        <v>линии</v>
      </c>
      <c r="BJ220" s="6">
        <f>IFERROR(N(_xlfn.XLOOKUP(AX220,Коды_код,Коды_квт)),0)</f>
        <v>0</v>
      </c>
      <c r="BK220">
        <f t="shared" si="380"/>
        <v>0</v>
      </c>
      <c r="BL220" t="str">
        <f>IF(B220="","",IF(BC220&lt;&gt;"",IFERROR(_xlfn.XLOOKUP(BC220,Щиты[Щит],Щиты[Руст, кВт]),0),IF(BK220=1,IFERROR(_xlfn.XLOOKUP(A220,Щиты[Щит],Щиты[Руст, кВт]),0),IF(BJ220&gt;0,ROUND(BJ220*MAX(1,N(D220)),3),""))))</f>
        <v/>
      </c>
      <c r="BM220">
        <f t="shared" si="381"/>
        <v>4.625</v>
      </c>
      <c r="BN220" s="6">
        <f>IF(B220="","",IF(BC220&lt;&gt;"",IFERROR(_xlfn.XLOOKUP(BC220,Щиты[Щит],Щиты[Руст, кВт]),0),N(BM220)))</f>
        <v>4.625</v>
      </c>
      <c r="BO220" t="str">
        <f>IF(B220="","",IFERROR(IF(VLOOKUP(AX220,Потребители_обозначение,8,FALSE)=0,"",VLOOKUP(AX220,Потребители_обозначение,8,FALSE)),""))</f>
        <v/>
      </c>
      <c r="BP220">
        <f t="shared" si="382"/>
        <v>230</v>
      </c>
      <c r="BQ220">
        <f>IF(B220="","",IF(BC220&lt;&gt;"",3,IFERROR(IF(N(VLOOKUP(AX220,Потребители_обозначение,9,FALSE))=0,1,VLOOKUP(AX220,Потребители_обозначение,9,FALSE)),1)))</f>
        <v>1</v>
      </c>
      <c r="BR220">
        <f t="shared" si="383"/>
        <v>1</v>
      </c>
      <c r="BS220" t="str">
        <f>IF(B220="","",_xlfn.LET(_xlpm.bc,IFERROR(IF(VLOOKUP(AX220,Потребители_обозначение,6,FALSE)=0,"",VLOOKUP(AX220,Потребители_обозначение,6,FALSE)&amp;""),""),IF(AND(FK220="да",OR(_xlpm.bc="",_xlpm.bc="мс")),Марка_пож,IF(AND(_xlpm.bc="",BC220&lt;&gt;""),"мс",_xlpm.bc))))</f>
        <v/>
      </c>
      <c r="BT220" t="str">
        <f t="shared" si="384"/>
        <v>мс</v>
      </c>
      <c r="BU220">
        <f>IF(B220="","",_xlfn.LET(_xlpm.cc,IFERROR(N(VLOOKUP(AX220,Потребители_обозначение,7,FALSE)),0),IF(_xlpm.cc&gt;0,_xlpm.cc,IF(BT220="","",IF(N(BR220)=3,5,3)))))</f>
        <v>3</v>
      </c>
      <c r="BV220">
        <f t="shared" si="385"/>
        <v>3</v>
      </c>
      <c r="BW220">
        <f>IFERROR(N(VLOOKUP(AX220,Потребители_обозначение,10,FALSE)),0)</f>
        <v>0</v>
      </c>
      <c r="BX220">
        <f>IFERROR(VLOOKUP(AX220,Потребители_обозначение,5,FALSE),0)</f>
        <v>0</v>
      </c>
      <c r="BY220" s="6" cm="1">
        <f t="array" ref="BY220">IF(B220="","",IF(BC220&lt;&gt;"",IFERROR(_xlfn.XLOOKUP(BC220,Щиты[Щит],Щиты[cos φ]),0.95),IF(BK220=1,IFERROR(_xlfn.XLOOKUP(A220,Щиты[Щит],Щиты[cos φ]),0.95),IF(ISNUMBER(Z220),Z220,IFERROR(IF(BX220=2,_xlfn.IFS(BR220=3,VLOOKUP(BN220,Справочная_двигатели,8,FALSE),BR220=1,VLOOKUP(BN220,Справочная_двигатели,10,TRUE)),IF(AND(Методика="нормы 2026",EQ220="Сил"),0.8,0.95)),0.95)))))</f>
        <v>0.95</v>
      </c>
      <c r="BZ220">
        <f t="shared" si="386"/>
        <v>0</v>
      </c>
      <c r="CA220">
        <f t="shared" si="387"/>
        <v>1</v>
      </c>
      <c r="CB220">
        <f t="shared" si="388"/>
        <v>0</v>
      </c>
      <c r="CC220">
        <f t="shared" si="389"/>
        <v>0</v>
      </c>
      <c r="CD220">
        <f t="shared" si="390"/>
        <v>0</v>
      </c>
      <c r="CE220">
        <f t="shared" si="391"/>
        <v>0</v>
      </c>
      <c r="CF220">
        <f t="shared" si="392"/>
        <v>0</v>
      </c>
      <c r="CG220">
        <f>IF(AX220="",0,_xlfn.LET(_xlpm.v,IFERROR(VLOOKUP(B220,УГО_спр,3,FALSE),IFERROR(VLOOKUP(AX220,УГО_спр,3,FALSE),IFERROR(VLOOKUP(LEFT(AX220,2),УГО_спр,3,FALSE),""))),IF(_xlpm.v="да",30,IF(ISNUMBER(_xlpm.v),_xlpm.v,0))))</f>
        <v>0</v>
      </c>
      <c r="CH220" t="str">
        <f t="shared" si="393"/>
        <v/>
      </c>
      <c r="CI220" t="str">
        <f>_xlfn.LET(_xlpm.k,IFERROR(_xlfn.XLOOKUP(AX220,Коды_код,Коды_утечка)&amp;"",""),IF(_xlpm.k="","дифавтомат",_xlpm.k))</f>
        <v>дифавтомат</v>
      </c>
      <c r="CJ220">
        <f t="shared" si="394"/>
        <v>0</v>
      </c>
      <c r="CK220">
        <f t="shared" si="395"/>
        <v>0</v>
      </c>
      <c r="CL220">
        <f>IF(B220="",0,IFERROR(--VLOOKUP(B220,УГО_спр,4,FALSE),IFERROR(--VLOOKUP(AX220,УГО_спр,4,FALSE),IFERROR(--VLOOKUP(LEFT(AX220,2),УГО_спр,4,FALSE),0))))</f>
        <v>0</v>
      </c>
      <c r="CM220" t="str">
        <f>IF(B220="","",IFERROR(_xlfn.XLOOKUP(AX220,Коды_код,Коды_апп)&amp;"",""))</f>
        <v/>
      </c>
      <c r="CN220" t="str">
        <f t="shared" si="396"/>
        <v/>
      </c>
      <c r="CO220" t="str" cm="1">
        <f t="array" ref="CO220">IF(TRIM(CN220&amp;"")="","",IFERROR(TRIM(INDEX(_xlfn.TEXTSPLIT(CN220&amp;";;;",";"),1)),""))</f>
        <v/>
      </c>
      <c r="CP220" t="str" cm="1">
        <f t="array" ref="CP220">IF(TRIM(CN220&amp;"")="","",IFERROR(TRIM(INDEX(_xlfn.TEXTSPLIT(CN220&amp;";;;",";"),2)),""))</f>
        <v/>
      </c>
      <c r="CQ220" t="str" cm="1">
        <f t="array" ref="CQ220">IF(TRIM(CN220&amp;"")="","",IFERROR(TRIM(INDEX(_xlfn.TEXTSPLIT(CN220&amp;";;;",";"),3)),""))</f>
        <v/>
      </c>
      <c r="CR220">
        <f t="shared" si="397"/>
        <v>0</v>
      </c>
      <c r="CS220" t="str">
        <f>IF(B220="","",_xlfn.LET(_xlpm.t,LOWER(AV220&amp;""),IF(ISNUMBER(SEARCH("dim",_xlpm.t)),"DIM",IF(ISNUMBER(SEARCH("dali",_xlpm.t)),"DALI",IF(OR(ISNUMBER(SEARCH("relay",_xlpm.t)),ISNUMBER(SEARCH("реле",_xlpm.t))),"Relay",IF(ISNUMBER(SEARCH("кнопк",_xlpm.t)),"",IFERROR(_xlfn.XLOOKUP(AX220,Коды_код,Коды_упр)&amp;"","")))))))</f>
        <v/>
      </c>
      <c r="CT220" t="str">
        <f t="shared" si="398"/>
        <v/>
      </c>
      <c r="CU220">
        <f>IF(B220="","",_xlfn.LET(_xlpm.ig,N(P220)+IF(AF220="вручную",0,N(CB220)),_xlpm.n0,IFERROR(VLOOKUP(_xlpm.ig,Автомат_номиналы,2,TRUE),0),_xlpm.mn,MAX(CL220,IF(AF220="вручную",0,N(CE220))),MAX(_xlpm.n0,_xlpm.mn,IF(CR220=1,Мин_автомат_БП,0))))</f>
        <v>25</v>
      </c>
      <c r="CV220">
        <f t="shared" si="399"/>
        <v>1</v>
      </c>
      <c r="CW220" t="str">
        <f t="shared" si="400"/>
        <v>1P</v>
      </c>
      <c r="CX220" t="str">
        <f>_xlfn.LET(_xlpm.cc,UPPER(TRIM(IFERROR(_xlfn.XLOOKUP(AX220,Коды_код,Коды_хар)&amp;"",""))),IF(OR(_xlpm.cc="B",_xlpm.cc="В"),"B",IF(_xlpm.cc="D","D","С")))</f>
        <v>С</v>
      </c>
      <c r="CY220" t="str">
        <f t="shared" si="401"/>
        <v>1P С25А</v>
      </c>
      <c r="CZ220">
        <f t="shared" si="402"/>
        <v>25</v>
      </c>
      <c r="DA220" t="str">
        <f t="shared" si="403"/>
        <v>1P С25А</v>
      </c>
      <c r="DB220" cm="1">
        <f t="array" ref="DB220">IF(DA220="","",_xlfn.LET(_xlpm.t,SUBSTITUTE(SUBSTITUTE(SUBSTITUTE(UPPER(DA220),"С","C"),"А","A"),"В","B"),_xlpm.tk,_xlfn.TEXTSPLIT(_xlpm.t,"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220" t="str">
        <f t="shared" si="404"/>
        <v>ok</v>
      </c>
      <c r="DD220">
        <f t="shared" si="405"/>
        <v>25</v>
      </c>
      <c r="DE220" t="str">
        <f t="shared" si="406"/>
        <v>1P С25А</v>
      </c>
      <c r="DF220">
        <f t="shared" si="407"/>
        <v>0</v>
      </c>
      <c r="DG220">
        <f t="shared" si="408"/>
        <v>0</v>
      </c>
      <c r="DH220">
        <f t="shared" si="409"/>
        <v>0</v>
      </c>
      <c r="DI220">
        <f t="shared" si="410"/>
        <v>21.080881539489624</v>
      </c>
      <c r="DJ220">
        <f t="shared" si="411"/>
        <v>1</v>
      </c>
      <c r="DK220">
        <f>IF(ISNUMBER(AL220),AL220,К_прокл)</f>
        <v>1</v>
      </c>
      <c r="DL220">
        <f t="shared" si="412"/>
        <v>2</v>
      </c>
      <c r="DM220">
        <f>IFERROR(N(VLOOKUP(BT220,Кабель_обозначение,3,FALSE)),1)</f>
        <v>1</v>
      </c>
      <c r="DN220">
        <f>IFERROR(N(_xlfn.XLOOKUP(A220,Щиты[Щит],Щиты[ΔU до шин, %])),0)</f>
        <v>0.43</v>
      </c>
      <c r="DO220" t="str">
        <f>IFERROR(_xlfn.XLOOKUP(A220,Щиты[Щит],Щиты[Zпетли на шинах, Ом]),"")</f>
        <v/>
      </c>
      <c r="DP220">
        <f>IFERROR(N(_xlfn.XLOOKUP(A220,Щиты[Щит],Щиты[ΔU до шин (подбор), %])),0)</f>
        <v>0.43</v>
      </c>
      <c r="DQ220" t="str">
        <f>IFERROR(_xlfn.XLOOKUP(A220,Щиты[Щит],Щиты[Zпетли на шинах (подбор), Ом]),"")</f>
        <v/>
      </c>
      <c r="DR220" t="str">
        <f t="shared" si="413"/>
        <v/>
      </c>
      <c r="DS220">
        <f t="shared" si="414"/>
        <v>22</v>
      </c>
      <c r="DT220">
        <f t="shared" si="415"/>
        <v>2</v>
      </c>
      <c r="DU220">
        <f t="shared" si="416"/>
        <v>0.31</v>
      </c>
      <c r="DV220" s="6">
        <f>IF(B220="","",IF(IFERROR(VLOOKUP(AX220,УГО_спр,2,FALSE),"")="Светильник",3,4)+IF(Методика="нормы 2026",MIN(0.5,MAX(0,N(Q220)-100)*0.005),0))</f>
        <v>4</v>
      </c>
      <c r="DW220" cm="1">
        <f t="array" ref="DW220">IF(OR(B220="",BT220="",DM220&lt;&gt;1),"",_xlfn.LET(_xlpm.sz,Iдоп_S,_xlpm.t_,CHOOSE(DL220,Iдоп_1ж,Iдоп_2ж,Iдоп_3ж)*DJ220*DK220,_xlpm.inn,N(DD220),_xlpm.smin,MAX(1.5,BW220),_xlpm.L_,N(Q220)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220)*(_xlpm.rho*_xlpm.L_/_xlpm.sz*N(BY220)+_xlpm.xx*_xlpm.L_*N(DU220)/1000)*N(P220)/((Uн_лин/SQRT(3))*1000)*100,999),_xlpm.kz,IF(OR(DG220=1,NOT(ISNUMBER(DQ220)),_xlpm.L_=0,_xlpm.inn=0),1,IFERROR(--(c_min*(Uн_лин*1000/SQRT(3))/(DQ220+2*ρкз_Cu*_xlpm.L_/_xlpm.sz)&gt;=GY220*_xlpm.inn),0)),_xlpm.ok,IFERROR((_xlpm.sz&gt;=_xlpm.smin)*(_xlpm.t_&gt;=_xlpm.inn)*IF(_xlpm.L_&gt;0,(_xlpm.du_+DP220&lt;=DV220+0.00001),1)*_xlpm.kz,0),_xlpm.r_,_xlfn._xlws.FILTER(_xlpm.sz,_xlpm.ok,"не подобрано"),INDEX(_xlpm.r_,1)))</f>
        <v>2.5</v>
      </c>
      <c r="DX220">
        <f t="shared" si="417"/>
        <v>6</v>
      </c>
      <c r="DY220" cm="1">
        <f t="array" ref="DY220">IF(OR(B220="",BT220="",DM220&lt;&gt;1),"",_xlfn.LET(_xlpm.sz,Iдоп_S,_xlpm.t_,CHOOSE(DL220,Iдоп_1ж,Iдоп_2ж,Iдоп_3ж)*DJ220*DK220,_xlpm.ok,IFERROR((_xlpm.sz&gt;=MAX(1.5,BW220))*(_xlpm.t_&gt;=N(DD220)),0),_xlpm.r_,_xlfn._xlws.FILTER(_xlpm.sz,_xlpm.ok,""),INDEX(_xlpm.r_,1)))</f>
        <v>2.5</v>
      </c>
      <c r="DZ220" s="6" cm="1">
        <f t="array" ref="DZ220">IFERROR(ROUNDUP(N(DT220)*(_xlfn.XLOOKUP(DY220,INDEX(Кабель_сопротивление,0,1),INDEX(Кабель_сопротивление,0,3))*N(Q220)/DY220*N(BY220)+_xlfn.XLOOKUP(DY220,INDEX(Кабель_сопротивление,0,1),INDEX(Кабель_сопротивление,0,2))*N(Q220)*N(DU220)/1000)*N(P220)/((Uн_лин/SQRT(3))*1000)*100,2),"")</f>
        <v>3.4499999999999997</v>
      </c>
      <c r="EA220">
        <f>IFERROR(2*ρкз_Cu*N(Q220)/DY220,"")</f>
        <v>0.46288000000000001</v>
      </c>
      <c r="EB220">
        <f>IFERROR(VLOOKUP(DX220,Кабель_сопротивление,3,FALSE),"")</f>
        <v>2.2499999999999999E-2</v>
      </c>
      <c r="EC220">
        <f>IFERROR(VLOOKUP(DX220,Кабель_сопротивление,2,FALSE),"")</f>
        <v>0.09</v>
      </c>
      <c r="ED220">
        <f t="shared" si="418"/>
        <v>8</v>
      </c>
      <c r="EE220" t="str">
        <f t="shared" si="419"/>
        <v/>
      </c>
      <c r="EF220">
        <f t="shared" si="420"/>
        <v>3.330307071492876</v>
      </c>
      <c r="EG220" s="6">
        <f>IFERROR(ROUNDUP(EF220/((Uн_лин/SQRT(3))*1000)*100,2),"")</f>
        <v>1.45</v>
      </c>
      <c r="EH220" t="str">
        <f>IFERROR(VLOOKUP(BT220,Кабель_обозначение,2,FALSE),"")</f>
        <v>ВВГнг(А)-LS</v>
      </c>
      <c r="EI220" t="str">
        <f t="shared" si="421"/>
        <v>ВВГнг(А)-LS (3х6)</v>
      </c>
      <c r="EJ220" t="str">
        <f t="shared" si="422"/>
        <v>ВВГнг(А)-LS (3х6)
L=22-1,45%</v>
      </c>
      <c r="EK220">
        <f>IFERROR(2*ρкз_Cu*Q220/DX220,"")</f>
        <v>0.19286666666666666</v>
      </c>
      <c r="EL220">
        <f t="shared" si="423"/>
        <v>6.4166666666666664E-2</v>
      </c>
      <c r="EM220" s="6" t="str">
        <f>IFERROR(IF(OR(B220="",NOT(ISNUMBER(DX220)),N(Q220)=0),"",_xlfn.XLOOKUP(A220,Щиты[Щит],Щиты[Zпетли на шинах, Ом])+EK220),"")</f>
        <v/>
      </c>
      <c r="EN220" s="6" t="str">
        <f>IF(ISNUMBER(EM220),c_min*(Uн_лин*1000/SQRT(3))/EM220,"")</f>
        <v/>
      </c>
      <c r="EO220" s="6" t="str">
        <f>IFERROR(IF(OR(B220="",NOT(ISNUMBER(DX220))),"",1.05*(Uн_лин*1000/SQRT(3))/(_xlfn.XLOOKUP(A220,Щиты[Щит],Щиты[Zmax на шинах, Ом])+EL220)/1000),"")</f>
        <v/>
      </c>
      <c r="EP220" s="6" t="str">
        <f>IF(B220="","",IF(ISNUMBER(Y220),"Сил",IF(IFERROR(_xlfn.XLOOKUP(AX220,Коды_код,Коды_группа)&amp;"","")="","Быт",_xlfn.XLOOKUP(AX220,Коды_код,Коды_группа)&amp;"")))</f>
        <v>Быт</v>
      </c>
      <c r="EQ220" s="6" t="str">
        <f t="shared" si="424"/>
        <v>Пост</v>
      </c>
      <c r="ER220" s="6">
        <f>IF(EQ220="Щит","щит",IF(EQ220="","",IF(EQ220="Быт",IFERROR(_xlfn.XLOOKUP(A220,Щиты[Щит],Щиты[Кс быт]),1),IF(EQ220="Сил",IF(ISNUMBER(Y220),Y220,IF(Методика="нормы 2026",IFERROR(_xlfn.XLOOKUP(A220,Щиты[Щит],Щиты[Кс силовых (табл. 7.5)]),1),1)),IF(OR(EQ220="Пост",EQ220="Отоп"),1,IF(EQ220="ВНГ",0.7,0))))))</f>
        <v>1</v>
      </c>
      <c r="ES220">
        <f t="shared" si="425"/>
        <v>1</v>
      </c>
      <c r="ET220">
        <f t="shared" si="426"/>
        <v>4.625</v>
      </c>
      <c r="EU220">
        <f t="shared" si="427"/>
        <v>0</v>
      </c>
      <c r="EV220">
        <f t="shared" si="428"/>
        <v>0</v>
      </c>
      <c r="EW220">
        <f t="shared" si="429"/>
        <v>4.625</v>
      </c>
      <c r="EX220">
        <f t="shared" si="430"/>
        <v>0</v>
      </c>
      <c r="EY220">
        <f t="shared" si="431"/>
        <v>0</v>
      </c>
      <c r="EZ220">
        <f t="shared" si="432"/>
        <v>4.625</v>
      </c>
      <c r="FA220">
        <f t="shared" si="433"/>
        <v>4.3937499999999998</v>
      </c>
      <c r="FB220">
        <f t="shared" si="434"/>
        <v>4.625</v>
      </c>
      <c r="FC220" t="str">
        <f t="shared" si="435"/>
        <v>L1</v>
      </c>
      <c r="FD220" t="str">
        <f>IF(B220="","",IF(CA220=0,IF(AW220=1,"",FF219),IF(OR(N(CV220)&gt;=3,N(BR220)&gt;=3),"L1,L2,L3",IFERROR(_xlfn.TEXTBEFORE(_xlfn.TEXTAFTER(_xlfn.XLOOKUP(A220,Щиты[Щит],Щиты[_фазы авто]),";"&amp;AW220&amp;":"),";"),"L1"))))</f>
        <v>L1</v>
      </c>
      <c r="FE220" t="str">
        <f t="shared" si="436"/>
        <v>L1</v>
      </c>
      <c r="FF220" t="str">
        <f t="shared" si="437"/>
        <v>L1</v>
      </c>
      <c r="FG220" cm="1">
        <f t="array" ref="FG220">IFERROR(IF(BX220=2,_xlfn.IFS(BR220=3,VLOOKUP(BN220,Справочная_двигатели,3,FALSE),BR220=1,VLOOKUP(BN220,Справочная_двигатели,5,TRUE)),0),0)</f>
        <v>0</v>
      </c>
      <c r="FH220">
        <f>IFERROR(IF(BX220=3,VLOOKUP(BN220,Справочная_ЛЭД,2,TRUE),0),0)</f>
        <v>0</v>
      </c>
      <c r="FI220" s="6">
        <f t="shared" si="438"/>
        <v>0</v>
      </c>
      <c r="FJ220" t="str" cm="1">
        <f t="array" ref="FJ220">IF(B220="","",IFERROR(INDEX({"I особая","I","II","III"},MATCH(TRIM(AC220&amp;""),{"I особая","I","II","III"},0)),"III"))</f>
        <v>II</v>
      </c>
      <c r="FK220" t="str">
        <f>IF(B220="","",IF(TRIM(AD220&amp;"")&lt;&gt;"",IF(LOWER(TRIM(AD220&amp;""))="да","да","нет"),IF(IFERROR(_xlfn.XLOOKUP(AX220,Коды_код,Коды_пожарная),"")="да","да","нет")))</f>
        <v>нет</v>
      </c>
      <c r="FL220" t="str">
        <f t="shared" si="439"/>
        <v/>
      </c>
      <c r="FM220" t="str">
        <f t="shared" si="440"/>
        <v>основная</v>
      </c>
      <c r="FN220">
        <f t="shared" si="441"/>
        <v>1</v>
      </c>
      <c r="FO220" t="str" cm="1">
        <f t="array" ref="FO220">IF(B220="","",_xlfn.LET(_xlpm.t,IFERROR(_xlfn.XLOOKUP(1,(Шины[Шина]=FM220)*(((Шины[Щит]=A220)+(Шины[Щит]=""))&gt;0),Шины[Тип]),"")&amp;"",IF(_xlpm.t&lt;&gt;"",_xlpm.t,IF(ISNUMBER(SEARCH("ИБП",FM220)),"ИБП",IF(ISNUMBER(SEARCH("ДГУ",FM220)),"ДГУ","Ввод "&amp;FN220)))))</f>
        <v>Ввод 1</v>
      </c>
      <c r="FP220" t="str">
        <f t="shared" si="442"/>
        <v>Ввод 1</v>
      </c>
      <c r="FQ220" t="str">
        <f>IF(B220="","",IF(OR(FO220="ИБП",FO220="ДГУ"),"I особая",IF(FO220="Одиночная","III",_xlfn.XLOOKUP(A220,Щиты[Щит],Щиты[Категория шины «Ввод»],"III"))))</f>
        <v>II</v>
      </c>
      <c r="FR220">
        <f>IF(B220="",0,IFERROR(MATCH(FJ220,{"III","II","I","I особая"},0),1))</f>
        <v>2</v>
      </c>
      <c r="FS220">
        <f t="shared" si="443"/>
        <v>2</v>
      </c>
      <c r="FT220" t="str">
        <f>IF(B220="","",IF(FR220&gt;IFERROR(MATCH(FQ220,{"III","II","I","I особая"},0),1),"НЕ ОБЕСПЕЧЕНА","ОК"))</f>
        <v>ОК</v>
      </c>
      <c r="FU220" t="str">
        <f>IF(A220="","",_xlfn.XLOOKUP(A220,Щиты[Щит],Щиты[Путь],""))</f>
        <v>|ГРЩ-ЖД|ЩР-01|</v>
      </c>
      <c r="FV220" t="str">
        <f>IF(B220="","",IF(AE220&lt;&gt;"",AE220,IF(IFERROR(_xlfn.XLOOKUP(AX220,Коды_код,Коды_вид)&amp;"","")="","Прочее",_xlfn.XLOOKUP(AX220,Коды_код,Коды_вид)&amp;"")))</f>
        <v>Слаботочные системы, автоматизация, KNX</v>
      </c>
      <c r="FW220">
        <f>IF(BH220="","",INT((BH220-1)/Столбцов_на_лист)+1)</f>
        <v>4</v>
      </c>
      <c r="FX220" t="str">
        <f t="shared" si="444"/>
        <v>ВВГнг(А)-LS (3х6) L=22-1,45%</v>
      </c>
      <c r="FY220">
        <f t="shared" si="445"/>
        <v>4.625</v>
      </c>
      <c r="FZ220">
        <f t="shared" si="446"/>
        <v>21.09</v>
      </c>
      <c r="GA220">
        <f t="shared" si="447"/>
        <v>1</v>
      </c>
      <c r="GB220">
        <f t="shared" si="448"/>
        <v>0</v>
      </c>
      <c r="GC220">
        <f t="shared" si="449"/>
        <v>1</v>
      </c>
      <c r="GD220">
        <f>IF(BH220="","",IF(AND(CA220=1,GC220=1),COUNTIFS(A$3:A220,A220,CA$3:CA220,1,GC$3:GC220,1),IF(OR(OR(AW220=1,A220&lt;&gt;A219),AF220="вручную",GC220=0),"",IF(AW220=1,"",GE219))))</f>
        <v>36</v>
      </c>
      <c r="GE220">
        <f t="shared" si="450"/>
        <v>36</v>
      </c>
      <c r="GF220">
        <f>IF(B220="","",IFERROR(LOOKUP(INDEX(CHOOSE(DL220,Iдоп_1ж,Iдоп_2ж,Iдоп_3ж),MATCH(DX220,Iдоп_S,0))*DJ220*DK220,{6,10,16,20,25,32,40,50,63,80,100,125,160,200,250,315,400,500,630}),""))</f>
        <v>50</v>
      </c>
      <c r="GG220" t="str">
        <f t="shared" si="451"/>
        <v>QF36</v>
      </c>
      <c r="GH220" t="str">
        <f t="shared" si="452"/>
        <v>QF36</v>
      </c>
      <c r="GI220" t="str">
        <f t="shared" si="453"/>
        <v/>
      </c>
      <c r="GJ220">
        <f t="shared" si="454"/>
        <v>0</v>
      </c>
      <c r="GK220" t="str">
        <f>IF(OR(AG220="",AG220="-"),"",IFERROR(VLOOKUP(AG220,Модули_спр,2,FALSE),"R"))</f>
        <v/>
      </c>
      <c r="GL220" t="str">
        <f>IF(GK220="","",GK220&amp;"."&amp;COUNTIFS(A$3:A220,A220,GK$3:GK220,GK220))</f>
        <v/>
      </c>
      <c r="GM220" t="str">
        <f t="shared" si="455"/>
        <v/>
      </c>
      <c r="GN220" t="str">
        <f t="shared" si="456"/>
        <v/>
      </c>
      <c r="GO220" t="str">
        <f t="shared" si="457"/>
        <v/>
      </c>
      <c r="GP220" t="str">
        <f t="shared" si="458"/>
        <v/>
      </c>
      <c r="GQ220">
        <f t="shared" si="459"/>
        <v>1</v>
      </c>
      <c r="GR220" t="str">
        <f>IF(GQ220=1,"XT"&amp;COUNTIFS(A$3:A220,A220,GQ$3:GQ220,1),"")</f>
        <v>XT36</v>
      </c>
      <c r="GS220" t="str">
        <f t="shared" si="460"/>
        <v>XT36</v>
      </c>
      <c r="GT220" t="str">
        <f t="shared" si="461"/>
        <v>QF36</v>
      </c>
      <c r="GU220" t="str">
        <f t="shared" si="462"/>
        <v/>
      </c>
      <c r="GV220" t="str">
        <f t="shared" si="463"/>
        <v>ok</v>
      </c>
      <c r="GW220" t="str">
        <f>IF(OR(GO220="",GM220=""),"",IF(GO220&gt;IFERROR(VLOOKUP(GN220,Модули_спр,3,FALSE),99),"ЛИШНИЙ КАНАЛ",IF(AND(AH220&lt;&gt;"=",COUNTIFS(Линии[_модуль гр.],GM220,Линии[Канал (итог)],GO220,Линии[Канал],"&lt;&gt;=",Линии[Щит],A220)&gt;1),"ДУБЛЬ КАНАЛА","")))</f>
        <v/>
      </c>
      <c r="GX220" s="6" t="str">
        <f t="shared" si="464"/>
        <v/>
      </c>
      <c r="GY220">
        <f t="shared" si="465"/>
        <v>10</v>
      </c>
      <c r="GZ220" t="str">
        <f t="shared" si="466"/>
        <v/>
      </c>
      <c r="HA220" t="str">
        <f>IF(AND(B220="",GT220=""),"",_xlfn.TEXTJOIN("; ",TRUE,IF(AND(B220&lt;&gt;"",FE220=""),"нет фазы",""),IF(AND(B220&lt;&gt;"",N(FY220)=0,EQ220&lt;&gt;"Нет"),"нет мощности",""),IF(AND(GS220&lt;&gt;"",COUNTIFS(Линии[Щит],A220,Линии[Клемма (итог)],GS220)&gt;1),"дубль клеммы "&amp;GS220,""),IF(AND(GV220&lt;&gt;"",GV220&lt;&gt;"ok"),GV220,""),IF(GW220&lt;&gt;"",GW220,""),IF(AND(N(BV220)&gt;=4,N(BR220)=1),BV220&amp;" жил на 1 фазе",""),IF(AND(AX220="R",CA220=1,OR(N(CK220)=0,N(CK220)&gt;30)),"розетка без дифзащиты до 30 мА",""),IFERROR(IF(AND(ISNUMBER(R220),R220&gt;DV220),"потери "&amp;FIXED(R220,1)&amp;" % &gt; "&amp;DV220&amp;" %",""),""),IFERROR(IF(LEFT(GZ220,4)="мало","Iкз мало — отключение &gt; 0,4 с",""),""),IF(AND(B220&lt;&gt;"",BH220=""),"не на схеме",""),IF(AND(CA220=0,B220&lt;&gt;"",FE220&lt;&gt;"",IF(AW220=1,"",FF219)&lt;&gt;"",FE220&lt;&gt;IF(AW220=1,"",FF219)),"фаза не как у автомата группы ("&amp;IF(AW220=1,"",FF219)&amp;")","")))</f>
        <v/>
      </c>
      <c r="HB220" s="6" t="str">
        <f>IF(OR(CA220=0,DA220=""),"",_xlfn.LET(_xlpm.t,IFERROR(_xlfn.XLOOKUP(DA220,Каталог!$U$4:$U$500,Каталог!$G$4:$G$500),""),_xlpm.k,SEARCH("кА",_xlpm.t),IFERROR(--TRIM(RIGHT(SUBSTITUTE(MID(_xlpm.t,MAX(1,_xlpm.k-4),_xlpm.k-MAX(1,_xlpm.k-4))," ",REPT(" ",9)),5)),"")))</f>
        <v/>
      </c>
      <c r="HC220" t="str">
        <f>IF(OR(HB220="",CA220=0),"",IF(_xlfn.XLOOKUP(A220,Щиты[Щит],Щиты[Iкз max на шинах, кА],"")="","",IF(HB220&lt;_xlfn.XLOOKUP(A220,Щиты[Щит],Щиты[Iкз max на шинах, кА]),"Icu "&amp;HB220&amp;" кА &lt; Iкз max","ok")))</f>
        <v/>
      </c>
      <c r="HD220" t="str">
        <f t="shared" si="467"/>
        <v/>
      </c>
      <c r="HE220" t="str">
        <f t="shared" si="468"/>
        <v>QF36|XT36</v>
      </c>
      <c r="HF220" t="str">
        <f t="shared" si="469"/>
        <v>QF36|XT36|кабель ВВГнг(А)-LS (3х6) → Шкаф телекоммуникационный ШТК-2 Цокольный этаж Пом. №002Т</v>
      </c>
      <c r="HG220" t="str" cm="1">
        <f t="array" ref="HG220">IF(HF220="","",_xlfn.LET(_xlpm.nd,_xlfn.TEXTSPLIT(HF220,"|"),IF(COLUMNS(_xlpm.nd)&gt;1,A220&amp;"¦"&amp;INDEX(_xlpm.nd,1)&amp;"¦"&amp;INDEX(_xlpm.nd,2),"")))</f>
        <v>ЩР-01¦QF36¦XT36</v>
      </c>
      <c r="HH220" t="str">
        <f t="shared" si="470"/>
        <v>ШТК-1¦Шкаф телекоммуникационный ШТК-2 Цокольный этаж Пом. №002Т</v>
      </c>
      <c r="HI220" t="str" cm="1">
        <f t="array" ref="HI220">IF(HF220="","",_xlfn.LET(_xlpm.nd,_xlfn.TEXTSPLIT(HF220,"|"),IF(COLUMNS(_xlpm.nd)&gt;2,A220&amp;"¦"&amp;INDEX(_xlpm.nd,2)&amp;"¦"&amp;INDEX(_xlpm.nd,3),"")))</f>
        <v>ЩР-01¦XT36¦кабель ВВГнг(А)-LS (3х6) → Шкаф телекоммуникационный ШТК-2 Цокольный этаж Пом. №002Т</v>
      </c>
      <c r="HJ220" t="str">
        <f t="shared" si="471"/>
        <v>ШТК-1¦Шкаф телекоммуникационный ШТК-2 Цокольный этаж Пом. №002Т</v>
      </c>
      <c r="HK220" t="str" cm="1">
        <f t="array" ref="HK220">IF(HF220="","",_xlfn.LET(_xlpm.nd,_xlfn.TEXTSPLIT(HF220,"|"),IF(COLUMNS(_xlpm.nd)&gt;3,A220&amp;"¦"&amp;INDEX(_xlpm.nd,3)&amp;"¦"&amp;INDEX(_xlpm.nd,4),"")))</f>
        <v/>
      </c>
      <c r="HL220" t="str">
        <f t="shared" si="472"/>
        <v/>
      </c>
      <c r="HM220" t="str" cm="1">
        <f t="array" ref="HM220">IF(HF220="","",_xlfn.LET(_xlpm.nd,_xlfn.TEXTSPLIT(HF220,"|"),IF(COLUMNS(_xlpm.nd)&gt;4,A220&amp;"¦"&amp;INDEX(_xlpm.nd,4)&amp;"¦"&amp;INDEX(_xlpm.nd,5),"")))</f>
        <v/>
      </c>
      <c r="HN220" t="str">
        <f t="shared" si="473"/>
        <v/>
      </c>
      <c r="HO220" t="str" cm="1">
        <f t="array" ref="HO220">IF(HF220="","",_xlfn.LET(_xlpm.nd,_xlfn.TEXTSPLIT(HF220,"|"),IF(COLUMNS(_xlpm.nd)&gt;5,A220&amp;"¦"&amp;INDEX(_xlpm.nd,5)&amp;"¦"&amp;INDEX(_xlpm.nd,6),"")))</f>
        <v/>
      </c>
      <c r="HP220" t="str">
        <f t="shared" si="474"/>
        <v/>
      </c>
      <c r="HQ220" t="str" cm="1">
        <f t="array" ref="HQ220">IF(HF220="","",_xlfn.LET(_xlpm.nd,_xlfn.TEXTSPLIT(HF220,"|"),IF(COLUMNS(_xlpm.nd)&gt;6,A220&amp;"¦"&amp;INDEX(_xlpm.nd,6)&amp;"¦"&amp;INDEX(_xlpm.nd,7),"")))</f>
        <v/>
      </c>
      <c r="HR220" t="str">
        <f t="shared" si="475"/>
        <v/>
      </c>
      <c r="HS220" t="str">
        <f t="shared" si="476"/>
        <v/>
      </c>
      <c r="HT220" t="str">
        <f t="shared" si="477"/>
        <v>QF36 → XT36</v>
      </c>
      <c r="HU220">
        <f t="shared" si="478"/>
        <v>0</v>
      </c>
      <c r="HV220">
        <f t="shared" si="479"/>
        <v>0</v>
      </c>
      <c r="HW220" t="str">
        <f t="shared" si="480"/>
        <v/>
      </c>
      <c r="HX220" t="str">
        <f t="shared" si="481"/>
        <v/>
      </c>
      <c r="HY220" t="str">
        <f t="shared" si="482"/>
        <v/>
      </c>
      <c r="HZ220" t="str">
        <f t="shared" si="483"/>
        <v/>
      </c>
      <c r="IA220" t="str">
        <f>IF(B220="","",IFERROR(VLOOKUP(B220,УГО_спр,2,FALSE),IFERROR(VLOOKUP(AX220,УГО_спр,2,FALSE),IFERROR(VLOOKUP(LEFT(AX220,2),УГО_спр,2,FALSE),""))))</f>
        <v/>
      </c>
      <c r="IB220" t="str">
        <f>IF(B220="","",IF(OR(IA220="",IA220=0),"BOX",IFERROR(IF(VLOOKUP(IA220,УГО_блоки,3,FALSE)&amp;""&lt;&gt;"",VLOOKUP(IA220,УГО_блоки,3,FALSE),VLOOKUP(IA220,УГО_блоки,2,FALSE)),IA220)))</f>
        <v>BOX</v>
      </c>
      <c r="IC220">
        <f t="shared" si="484"/>
        <v>1</v>
      </c>
      <c r="ID220" t="str">
        <f>IF(DA220="","",IF(COUNTIF(DA$3:DA220,DA220)=1,MAX(ID$2:ID219)+1,""))</f>
        <v/>
      </c>
      <c r="IE220" t="str">
        <f>IF(CO220="","",IF(COUNTIF(CO$3:CO220,CO220)+COUNTIF(CP$2:CP219,CO220)+COUNTIF(CQ$2:CQ219,CO220)=1,MAX(IE$2:IG219)+1,""))</f>
        <v/>
      </c>
      <c r="IF220" t="str">
        <f>IF(CP220="","",IF(COUNTIF(CO$3:CO220,CP220)+COUNTIF(CP$3:CP220,CP220)+COUNTIF(CQ$2:CQ219,CP220)=1,MAX(IE$2:IG219,IE220)+1,""))</f>
        <v/>
      </c>
      <c r="IG220" t="str">
        <f>IF(CQ220="","",IF(COUNTIF(CO$3:CO220,CQ220)+COUNTIF(CP$3:CP220,CQ220)+COUNTIF(CQ$3:CQ220,CQ220)=1,MAX(IE$2:IG219,IE220,IF220)+1,""))</f>
        <v/>
      </c>
      <c r="IH220" t="str">
        <f t="shared" si="485"/>
        <v>3х6</v>
      </c>
      <c r="II220" t="str">
        <f>IF(IH220="","",IF(COUNTIF(IH$3:IH220,IH220)=1,MAX(II$2:II219)+1,""))</f>
        <v/>
      </c>
      <c r="IJ220" t="str">
        <f>IF(GL220="","",COUNTIF(GL$3:GL220,"?*"))</f>
        <v/>
      </c>
      <c r="IK220" t="str">
        <f>IF(OR(GL220="",GN220=""),"",IF(COUNTIFS(GL$3:GL220,"?*",GN$3:GN220,GN220)=1,MAX(IK$2:IK219)+1,""))</f>
        <v/>
      </c>
      <c r="IL220">
        <f t="shared" si="486"/>
        <v>0</v>
      </c>
      <c r="IM220">
        <f>IF(B220="","",COUNTIF(B$3:B220,"?*"))</f>
        <v>218</v>
      </c>
      <c r="IN220">
        <f>IF(GQ220&lt;&gt;1,0,_xlfn.LET(_xlpm.k,MAX(IFERROR(--VLOOKUP(B220,УГО_спр,5,FALSE),0),IFERROR(--VLOOKUP(AX220,УГО_спр,5,FALSE),0),IFERROR(--VLOOKUP(LEFT(AX220,2),УГО_спр,5,FALSE),0)),IF(_xlpm.k&gt;0,_xlpm.k,IF(IFERROR(--LEFT(SUBSTITUTE(IH220,"x","х"),FIND("х",SUBSTITUTE(IH220,"x","х"))-1),3)&gt;3,Каталог!$S$9,1))))</f>
        <v>1</v>
      </c>
      <c r="IO220">
        <f t="shared" si="487"/>
        <v>0</v>
      </c>
      <c r="IP220" t="str">
        <f t="shared" si="488"/>
        <v>авто</v>
      </c>
      <c r="IQ220" t="str">
        <f t="shared" si="489"/>
        <v/>
      </c>
      <c r="IR220">
        <f t="shared" si="490"/>
        <v>0</v>
      </c>
      <c r="IS220">
        <f t="shared" si="491"/>
        <v>1</v>
      </c>
    </row>
    <row r="221" spans="1:253" x14ac:dyDescent="0.3">
      <c r="A221" t="s">
        <v>757</v>
      </c>
      <c r="B221" t="s">
        <v>1487</v>
      </c>
      <c r="C221" t="s">
        <v>1662</v>
      </c>
      <c r="D221">
        <v>1</v>
      </c>
      <c r="E221">
        <v>2.7</v>
      </c>
      <c r="G221">
        <v>16</v>
      </c>
      <c r="H221" t="str">
        <f>Линии[[#This Row],[_авто утечка]]</f>
        <v/>
      </c>
      <c r="I221" t="str">
        <f>Линии[[#This Row],[_авто управление]]</f>
        <v/>
      </c>
      <c r="J221" t="str">
        <f>Линии[[#This Row],[_авто аппараты]]</f>
        <v/>
      </c>
      <c r="K221">
        <v>2.5</v>
      </c>
      <c r="L221">
        <v>22</v>
      </c>
      <c r="M221">
        <v>2</v>
      </c>
      <c r="N221" t="str">
        <f>Линии[[#This Row],[_авто клемма]]</f>
        <v>XT37</v>
      </c>
      <c r="O221" t="str">
        <f t="shared" si="369"/>
        <v/>
      </c>
      <c r="P221" s="6" cm="1">
        <f t="array" ref="P221">IF(B221="","",IF(BC221&lt;&gt;"",IFERROR(_xlfn.XLOOKUP(BC221,Щиты[Щит],Щиты[Iр, А]),""),IF(BK221=1,IFERROR(_xlfn.XLOOKUP(A221,Щиты[Щит],Щиты[Iр, А]),""),IFERROR(_xlfn.IFS(BR221=1,BN221/((Uн_лин/SQRT(3))*BY221),BR221=3,BN221/(SQRT(3)*Uн_лин*BY221)),""))))</f>
        <v>12.306676790620971</v>
      </c>
      <c r="Q221" s="7">
        <f>IF(B221="","",IFERROR(IF(VLOOKUP(AX221,Потребители_обозначение,4,FALSE)=1,VLOOKUP(AX221,Потребители_обозначение,3,FALSE)*(D221*2-1)+DS221+VLOOKUP(AZ221,Этаж_обозначение,3,FALSE)+VLOOKUP(AZ221,Этаж_обозначение,4,FALSE),VLOOKUP(AX221,Потребители_обозначение,3,FALSE)*(D221*2-1)+DS221),DS221))</f>
        <v>25</v>
      </c>
      <c r="R221" s="6">
        <f t="shared" si="370"/>
        <v>2.7199999999999998</v>
      </c>
      <c r="S221" t="str">
        <f t="shared" si="371"/>
        <v>ВВГнг(А)-LS (3х2,5)</v>
      </c>
      <c r="T221" t="str">
        <f>IF(BH221="","",IF(BI221="вводной узел","узел ","")&amp;"л."&amp;(INT((BH221-1)/Столбцов_на_лист)+1)&amp;" / "&amp;(MOD(BH221-1,Столбцов_на_лист)+1))</f>
        <v>л.4 / 12</v>
      </c>
      <c r="V221">
        <v>1</v>
      </c>
      <c r="W221">
        <v>230</v>
      </c>
      <c r="X221" t="s">
        <v>575</v>
      </c>
      <c r="AC221" t="s">
        <v>815</v>
      </c>
      <c r="AE221" t="s">
        <v>574</v>
      </c>
      <c r="AI221">
        <v>63</v>
      </c>
      <c r="AJ221" t="s">
        <v>11</v>
      </c>
      <c r="AK221">
        <v>3</v>
      </c>
      <c r="AM221">
        <v>6</v>
      </c>
      <c r="AN221">
        <v>8</v>
      </c>
      <c r="AW221" cm="1">
        <f t="array" ref="AW221">ROW()-ROW(Линии[#Headers])</f>
        <v>219</v>
      </c>
      <c r="AX221" s="6" t="str">
        <f t="shared" si="372"/>
        <v>ШТК-СОТ</v>
      </c>
      <c r="AY221" t="str">
        <f t="shared" si="373"/>
        <v>0</v>
      </c>
      <c r="AZ221" t="str">
        <f t="shared" si="374"/>
        <v>0</v>
      </c>
      <c r="BA221" t="str">
        <f t="shared" si="375"/>
        <v/>
      </c>
      <c r="BB221" t="str">
        <f t="shared" si="376"/>
        <v/>
      </c>
      <c r="BC221" t="str">
        <f>IF(U221&lt;&gt;"",U221,IF(AND(B221&lt;&gt;"",B221&lt;&gt;A221,ISNUMBER(_xlfn.XMATCH(B221,Щиты[Щит]))),B221,""))</f>
        <v/>
      </c>
      <c r="BD221" t="str" cm="1">
        <f t="array" ref="BD221">IF(B221="","",IF(BC221&lt;&gt;"","Щит "&amp;BC221,_xlfn.LET(_xlpm.nm,IFERROR(_xlfn.XLOOKUP(AX221,Коды_код,Коды_имя)&amp;"",""),_xlpm.md,IFERROR(N(_xlfn.XLOOKUP(AX221,Коды_код,Коды_режим)),1),_xlpm.ex,IF(Имя_режим="по экспликации",IFERROR(_xlfn.XLOOKUP(AZ221&amp;"|"&amp;BB221,Экспликация[Этаж]&amp;"|"&amp;Экспликация[Помещение],Экспликация[Название])&amp;"",""),""),_xlpm.rm,IF(BB221="","",IF(_xlpm.ex&lt;&gt;"",". "&amp;_xlpm.ex&amp;IF(Имя_пом="нет"," ("&amp;BB221&amp;")"," (пом. "&amp;BB221&amp;")"),IF(Имя_пом="нет"," ",", пом. ")&amp;BB221)),IF(_xlpm.nm="","",IF(_xlpm.md=2,_xlpm.nm&amp;" шлейф "&amp;AZ221,_xlpm.nm&amp;_xlpm.rm)))))</f>
        <v>Шкаф телекоммуникационный СОТ шлейф 0</v>
      </c>
      <c r="BE221" t="str">
        <f t="shared" si="377"/>
        <v>Шкаф телекоммуникационный ШТК-СОТ.0 Цокольный этаж Пом. №002Т</v>
      </c>
      <c r="BF221">
        <f>IFERROR(_xlfn.XMATCH(A221,Щиты[Щит]),0)</f>
        <v>9</v>
      </c>
      <c r="BG221">
        <f>_xlfn.LET(_xlpm.k,IFERROR(_xlfn.XLOOKUP(A221,Щиты[Щит],Щиты[Листов под вводной узел]),""),IF(_xlpm.k="",1,N(_xlpm.k))*Столбцов_на_лист)</f>
        <v>17</v>
      </c>
      <c r="BH221">
        <f t="shared" si="378"/>
        <v>63</v>
      </c>
      <c r="BI221" t="str">
        <f t="shared" si="379"/>
        <v>линии</v>
      </c>
      <c r="BJ221" s="6">
        <f>IFERROR(N(_xlfn.XLOOKUP(AX221,Коды_код,Коды_квт)),0)</f>
        <v>0</v>
      </c>
      <c r="BK221">
        <f t="shared" si="380"/>
        <v>0</v>
      </c>
      <c r="BL221" t="str">
        <f>IF(B221="","",IF(BC221&lt;&gt;"",IFERROR(_xlfn.XLOOKUP(BC221,Щиты[Щит],Щиты[Руст, кВт]),0),IF(BK221=1,IFERROR(_xlfn.XLOOKUP(A221,Щиты[Щит],Щиты[Руст, кВт]),0),IF(BJ221&gt;0,ROUND(BJ221*MAX(1,N(D221)),3),""))))</f>
        <v/>
      </c>
      <c r="BM221">
        <f t="shared" si="381"/>
        <v>2.7</v>
      </c>
      <c r="BN221" s="6">
        <f>IF(B221="","",IF(BC221&lt;&gt;"",IFERROR(_xlfn.XLOOKUP(BC221,Щиты[Щит],Щиты[Руст, кВт]),0),N(BM221)))</f>
        <v>2.7</v>
      </c>
      <c r="BO221" t="str">
        <f>IF(B221="","",IFERROR(IF(VLOOKUP(AX221,Потребители_обозначение,8,FALSE)=0,"",VLOOKUP(AX221,Потребители_обозначение,8,FALSE)),""))</f>
        <v/>
      </c>
      <c r="BP221">
        <f t="shared" si="382"/>
        <v>230</v>
      </c>
      <c r="BQ221">
        <f>IF(B221="","",IF(BC221&lt;&gt;"",3,IFERROR(IF(N(VLOOKUP(AX221,Потребители_обозначение,9,FALSE))=0,1,VLOOKUP(AX221,Потребители_обозначение,9,FALSE)),1)))</f>
        <v>1</v>
      </c>
      <c r="BR221">
        <f t="shared" si="383"/>
        <v>1</v>
      </c>
      <c r="BS221" t="str">
        <f>IF(B221="","",_xlfn.LET(_xlpm.bc,IFERROR(IF(VLOOKUP(AX221,Потребители_обозначение,6,FALSE)=0,"",VLOOKUP(AX221,Потребители_обозначение,6,FALSE)&amp;""),""),IF(AND(FK221="да",OR(_xlpm.bc="",_xlpm.bc="мс")),Марка_пож,IF(AND(_xlpm.bc="",BC221&lt;&gt;""),"мс",_xlpm.bc))))</f>
        <v/>
      </c>
      <c r="BT221" t="str">
        <f t="shared" si="384"/>
        <v>мс</v>
      </c>
      <c r="BU221">
        <f>IF(B221="","",_xlfn.LET(_xlpm.cc,IFERROR(N(VLOOKUP(AX221,Потребители_обозначение,7,FALSE)),0),IF(_xlpm.cc&gt;0,_xlpm.cc,IF(BT221="","",IF(N(BR221)=3,5,3)))))</f>
        <v>3</v>
      </c>
      <c r="BV221">
        <f t="shared" si="385"/>
        <v>3</v>
      </c>
      <c r="BW221">
        <f>IFERROR(N(VLOOKUP(AX221,Потребители_обозначение,10,FALSE)),0)</f>
        <v>0</v>
      </c>
      <c r="BX221">
        <f>IFERROR(VLOOKUP(AX221,Потребители_обозначение,5,FALSE),0)</f>
        <v>1</v>
      </c>
      <c r="BY221" s="6" cm="1">
        <f t="array" ref="BY221">IF(B221="","",IF(BC221&lt;&gt;"",IFERROR(_xlfn.XLOOKUP(BC221,Щиты[Щит],Щиты[cos φ]),0.95),IF(BK221=1,IFERROR(_xlfn.XLOOKUP(A221,Щиты[Щит],Щиты[cos φ]),0.95),IF(ISNUMBER(Z221),Z221,IFERROR(IF(BX221=2,_xlfn.IFS(BR221=3,VLOOKUP(BN221,Справочная_двигатели,8,FALSE),BR221=1,VLOOKUP(BN221,Справочная_двигатели,10,TRUE)),IF(AND(Методика="нормы 2026",EQ221="Сил"),0.8,0.95)),0.95)))))</f>
        <v>0.95</v>
      </c>
      <c r="BZ221">
        <f t="shared" si="386"/>
        <v>0</v>
      </c>
      <c r="CA221">
        <f t="shared" si="387"/>
        <v>1</v>
      </c>
      <c r="CB221">
        <f t="shared" si="388"/>
        <v>0</v>
      </c>
      <c r="CC221">
        <f t="shared" si="389"/>
        <v>0</v>
      </c>
      <c r="CD221">
        <f t="shared" si="390"/>
        <v>0</v>
      </c>
      <c r="CE221">
        <f t="shared" si="391"/>
        <v>0</v>
      </c>
      <c r="CF221">
        <f t="shared" si="392"/>
        <v>0</v>
      </c>
      <c r="CG221">
        <f>IF(AX221="",0,_xlfn.LET(_xlpm.v,IFERROR(VLOOKUP(B221,УГО_спр,3,FALSE),IFERROR(VLOOKUP(AX221,УГО_спр,3,FALSE),IFERROR(VLOOKUP(LEFT(AX221,2),УГО_спр,3,FALSE),""))),IF(_xlpm.v="да",30,IF(ISNUMBER(_xlpm.v),_xlpm.v,0))))</f>
        <v>0</v>
      </c>
      <c r="CH221" t="str">
        <f t="shared" si="393"/>
        <v/>
      </c>
      <c r="CI221" t="str">
        <f>_xlfn.LET(_xlpm.k,IFERROR(_xlfn.XLOOKUP(AX221,Коды_код,Коды_утечка)&amp;"",""),IF(_xlpm.k="","дифавтомат",_xlpm.k))</f>
        <v>дифавтомат</v>
      </c>
      <c r="CJ221">
        <f t="shared" si="394"/>
        <v>0</v>
      </c>
      <c r="CK221">
        <f t="shared" si="395"/>
        <v>0</v>
      </c>
      <c r="CL221">
        <f>IF(B221="",0,IFERROR(--VLOOKUP(B221,УГО_спр,4,FALSE),IFERROR(--VLOOKUP(AX221,УГО_спр,4,FALSE),IFERROR(--VLOOKUP(LEFT(AX221,2),УГО_спр,4,FALSE),0))))</f>
        <v>0</v>
      </c>
      <c r="CM221" t="str">
        <f>IF(B221="","",IFERROR(_xlfn.XLOOKUP(AX221,Коды_код,Коды_апп)&amp;"",""))</f>
        <v/>
      </c>
      <c r="CN221" t="str">
        <f t="shared" si="396"/>
        <v/>
      </c>
      <c r="CO221" t="str" cm="1">
        <f t="array" ref="CO221">IF(TRIM(CN221&amp;"")="","",IFERROR(TRIM(INDEX(_xlfn.TEXTSPLIT(CN221&amp;";;;",";"),1)),""))</f>
        <v/>
      </c>
      <c r="CP221" t="str" cm="1">
        <f t="array" ref="CP221">IF(TRIM(CN221&amp;"")="","",IFERROR(TRIM(INDEX(_xlfn.TEXTSPLIT(CN221&amp;";;;",";"),2)),""))</f>
        <v/>
      </c>
      <c r="CQ221" t="str" cm="1">
        <f t="array" ref="CQ221">IF(TRIM(CN221&amp;"")="","",IFERROR(TRIM(INDEX(_xlfn.TEXTSPLIT(CN221&amp;";;;",";"),3)),""))</f>
        <v/>
      </c>
      <c r="CR221">
        <f t="shared" si="397"/>
        <v>0</v>
      </c>
      <c r="CS221" t="str">
        <f>IF(B221="","",_xlfn.LET(_xlpm.t,LOWER(AV221&amp;""),IF(ISNUMBER(SEARCH("dim",_xlpm.t)),"DIM",IF(ISNUMBER(SEARCH("dali",_xlpm.t)),"DALI",IF(OR(ISNUMBER(SEARCH("relay",_xlpm.t)),ISNUMBER(SEARCH("реле",_xlpm.t))),"Relay",IF(ISNUMBER(SEARCH("кнопк",_xlpm.t)),"",IFERROR(_xlfn.XLOOKUP(AX221,Коды_код,Коды_упр)&amp;"","")))))))</f>
        <v/>
      </c>
      <c r="CT221" t="str">
        <f t="shared" si="398"/>
        <v/>
      </c>
      <c r="CU221">
        <f>IF(B221="","",_xlfn.LET(_xlpm.ig,N(P221)+IF(AF221="вручную",0,N(CB221)),_xlpm.n0,IFERROR(VLOOKUP(_xlpm.ig,Автомат_номиналы,2,TRUE),0),_xlpm.mn,MAX(CL221,IF(AF221="вручную",0,N(CE221))),MAX(_xlpm.n0,_xlpm.mn,IF(CR221=1,Мин_автомат_БП,0))))</f>
        <v>16</v>
      </c>
      <c r="CV221">
        <f t="shared" si="399"/>
        <v>1</v>
      </c>
      <c r="CW221" t="str">
        <f t="shared" si="400"/>
        <v>1P</v>
      </c>
      <c r="CX221" t="str">
        <f>_xlfn.LET(_xlpm.cc,UPPER(TRIM(IFERROR(_xlfn.XLOOKUP(AX221,Коды_код,Коды_хар)&amp;"",""))),IF(OR(_xlpm.cc="B",_xlpm.cc="В"),"B",IF(_xlpm.cc="D","D","С")))</f>
        <v>С</v>
      </c>
      <c r="CY221" t="str">
        <f t="shared" si="401"/>
        <v>1P С16А</v>
      </c>
      <c r="CZ221">
        <f t="shared" si="402"/>
        <v>16</v>
      </c>
      <c r="DA221" t="str">
        <f t="shared" si="403"/>
        <v>1P С16А</v>
      </c>
      <c r="DB221" cm="1">
        <f t="array" ref="DB221">IF(DA221="","",_xlfn.LET(_xlpm.t,SUBSTITUTE(SUBSTITUTE(SUBSTITUTE(UPPER(DA221),"С","C"),"А","A"),"В","B"),_xlpm.tk,_xlfn.TEXTSPLIT(_xlpm.t,"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1" t="str">
        <f t="shared" si="404"/>
        <v>ok</v>
      </c>
      <c r="DD221">
        <f t="shared" si="405"/>
        <v>16</v>
      </c>
      <c r="DE221" t="str">
        <f t="shared" si="406"/>
        <v>1P С16А</v>
      </c>
      <c r="DF221">
        <f t="shared" si="407"/>
        <v>0</v>
      </c>
      <c r="DG221">
        <f t="shared" si="408"/>
        <v>0</v>
      </c>
      <c r="DH221">
        <f t="shared" si="409"/>
        <v>0</v>
      </c>
      <c r="DI221">
        <f t="shared" si="410"/>
        <v>12.306676790620971</v>
      </c>
      <c r="DJ221">
        <f t="shared" si="411"/>
        <v>1</v>
      </c>
      <c r="DK221">
        <f>IF(ISNUMBER(AL221),AL221,К_прокл)</f>
        <v>1</v>
      </c>
      <c r="DL221">
        <f t="shared" si="412"/>
        <v>2</v>
      </c>
      <c r="DM221">
        <f>IFERROR(N(VLOOKUP(BT221,Кабель_обозначение,3,FALSE)),1)</f>
        <v>1</v>
      </c>
      <c r="DN221">
        <f>IFERROR(N(_xlfn.XLOOKUP(A221,Щиты[Щит],Щиты[ΔU до шин, %])),0)</f>
        <v>0.43</v>
      </c>
      <c r="DO221" t="str">
        <f>IFERROR(_xlfn.XLOOKUP(A221,Щиты[Щит],Щиты[Zпетли на шинах, Ом]),"")</f>
        <v/>
      </c>
      <c r="DP221">
        <f>IFERROR(N(_xlfn.XLOOKUP(A221,Щиты[Щит],Щиты[ΔU до шин (подбор), %])),0)</f>
        <v>0.43</v>
      </c>
      <c r="DQ221" t="str">
        <f>IFERROR(_xlfn.XLOOKUP(A221,Щиты[Щит],Щиты[Zпетли на шинах (подбор), Ом]),"")</f>
        <v/>
      </c>
      <c r="DR221" t="str">
        <f t="shared" si="413"/>
        <v/>
      </c>
      <c r="DS221">
        <f t="shared" si="414"/>
        <v>22</v>
      </c>
      <c r="DT221">
        <f t="shared" si="415"/>
        <v>2</v>
      </c>
      <c r="DU221">
        <f t="shared" si="416"/>
        <v>0.31</v>
      </c>
      <c r="DV221" s="6">
        <f>IF(B221="","",IF(IFERROR(VLOOKUP(AX221,УГО_спр,2,FALSE),"")="Светильник",3,4)+IF(Методика="нормы 2026",MIN(0.5,MAX(0,N(Q221)-100)*0.005),0))</f>
        <v>4</v>
      </c>
      <c r="DW221" cm="1">
        <f t="array" ref="DW221">IF(OR(B221="",BT221="",DM221&lt;&gt;1),"",_xlfn.LET(_xlpm.sz,Iдоп_S,_xlpm.t_,CHOOSE(DL221,Iдоп_1ж,Iдоп_2ж,Iдоп_3ж)*DJ221*DK221,_xlpm.inn,N(DD221),_xlpm.smin,MAX(1.5,BW221),_xlpm.L_,N(Q221)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221)*(_xlpm.rho*_xlpm.L_/_xlpm.sz*N(BY221)+_xlpm.xx*_xlpm.L_*N(DU221)/1000)*N(P221)/((Uн_лин/SQRT(3))*1000)*100,999),_xlpm.kz,IF(OR(DG221=1,NOT(ISNUMBER(DQ221)),_xlpm.L_=0,_xlpm.inn=0),1,IFERROR(--(c_min*(Uн_лин*1000/SQRT(3))/(DQ221+2*ρкз_Cu*_xlpm.L_/_xlpm.sz)&gt;=GY221*_xlpm.inn),0)),_xlpm.ok,IFERROR((_xlpm.sz&gt;=_xlpm.smin)*(_xlpm.t_&gt;=_xlpm.inn)*IF(_xlpm.L_&gt;0,(_xlpm.du_+DP221&lt;=DV221+0.00001),1)*_xlpm.kz,0),_xlpm.r_,_xlfn._xlws.FILTER(_xlpm.sz,_xlpm.ok,"не подобрано"),INDEX(_xlpm.r_,1)))</f>
        <v>2.5</v>
      </c>
      <c r="DX221">
        <f t="shared" si="417"/>
        <v>2.5</v>
      </c>
      <c r="DY221" cm="1">
        <f t="array" ref="DY221">IF(OR(B221="",BT221="",DM221&lt;&gt;1),"",_xlfn.LET(_xlpm.sz,Iдоп_S,_xlpm.t_,CHOOSE(DL221,Iдоп_1ж,Iдоп_2ж,Iдоп_3ж)*DJ221*DK221,_xlpm.ok,IFERROR((_xlpm.sz&gt;=MAX(1.5,BW221))*(_xlpm.t_&gt;=N(DD221)),0),_xlpm.r_,_xlfn._xlws.FILTER(_xlpm.sz,_xlpm.ok,""),INDEX(_xlpm.r_,1)))</f>
        <v>1.5</v>
      </c>
      <c r="DZ221" s="6" cm="1">
        <f t="array" ref="DZ221">IFERROR(ROUNDUP(N(DT221)*(_xlfn.XLOOKUP(DY221,INDEX(Кабель_сопротивление,0,1),INDEX(Кабель_сопротивление,0,3))*N(Q221)/DY221*N(BY221)+_xlfn.XLOOKUP(DY221,INDEX(Кабель_сопротивление,0,1),INDEX(Кабель_сопротивление,0,2))*N(Q221)*N(DU221)/1000)*N(P221)/((Uн_лин/SQRT(3))*1000)*100,2),"")</f>
        <v>3.8099999999999996</v>
      </c>
      <c r="EA221">
        <f>IFERROR(2*ρкз_Cu*N(Q221)/DY221,"")</f>
        <v>0.87666666666666659</v>
      </c>
      <c r="EB221">
        <f>IFERROR(VLOOKUP(DX221,Кабель_сопротивление,3,FALSE),"")</f>
        <v>2.2499999999999999E-2</v>
      </c>
      <c r="EC221">
        <f>IFERROR(VLOOKUP(DX221,Кабель_сопротивление,2,FALSE),"")</f>
        <v>0.1</v>
      </c>
      <c r="ED221">
        <f t="shared" si="418"/>
        <v>8</v>
      </c>
      <c r="EE221" t="str">
        <f t="shared" si="419"/>
        <v/>
      </c>
      <c r="EF221">
        <f t="shared" si="420"/>
        <v>5.2801796770159273</v>
      </c>
      <c r="EG221" s="6">
        <f>IFERROR(ROUNDUP(EF221/((Uн_лин/SQRT(3))*1000)*100,2),"")</f>
        <v>2.2899999999999996</v>
      </c>
      <c r="EH221" t="str">
        <f>IFERROR(VLOOKUP(BT221,Кабель_обозначение,2,FALSE),"")</f>
        <v>ВВГнг(А)-LS</v>
      </c>
      <c r="EI221" t="str">
        <f t="shared" si="421"/>
        <v>ВВГнг(А)-LS (3х2,5)</v>
      </c>
      <c r="EJ221" t="str">
        <f t="shared" si="422"/>
        <v>ВВГнг(А)-LS (3х2,5)
L=25-2,29%</v>
      </c>
      <c r="EK221">
        <f>IFERROR(2*ρкз_Cu*Q221/DX221,"")</f>
        <v>0.52600000000000002</v>
      </c>
      <c r="EL221">
        <f t="shared" si="423"/>
        <v>0.17500000000000002</v>
      </c>
      <c r="EM221" s="6" t="str">
        <f>IFERROR(IF(OR(B221="",NOT(ISNUMBER(DX221)),N(Q221)=0),"",_xlfn.XLOOKUP(A221,Щиты[Щит],Щиты[Zпетли на шинах, Ом])+EK221),"")</f>
        <v/>
      </c>
      <c r="EN221" s="6" t="str">
        <f>IF(ISNUMBER(EM221),c_min*(Uн_лин*1000/SQRT(3))/EM221,"")</f>
        <v/>
      </c>
      <c r="EO221" s="6" t="str">
        <f>IFERROR(IF(OR(B221="",NOT(ISNUMBER(DX221))),"",1.05*(Uн_лин*1000/SQRT(3))/(_xlfn.XLOOKUP(A221,Щиты[Щит],Щиты[Zmax на шинах, Ом])+EL221)/1000),"")</f>
        <v/>
      </c>
      <c r="EP221" s="6" t="str">
        <f>IF(B221="","",IF(ISNUMBER(Y221),"Сил",IF(IFERROR(_xlfn.XLOOKUP(AX221,Коды_код,Коды_группа)&amp;"","")="","Быт",_xlfn.XLOOKUP(AX221,Коды_код,Коды_группа)&amp;"")))</f>
        <v>Быт</v>
      </c>
      <c r="EQ221" s="6" t="str">
        <f t="shared" si="424"/>
        <v>Пост</v>
      </c>
      <c r="ER221" s="6">
        <f>IF(EQ221="Щит","щит",IF(EQ221="","",IF(EQ221="Быт",IFERROR(_xlfn.XLOOKUP(A221,Щиты[Щит],Щиты[Кс быт]),1),IF(EQ221="Сил",IF(ISNUMBER(Y221),Y221,IF(Методика="нормы 2026",IFERROR(_xlfn.XLOOKUP(A221,Щиты[Щит],Щиты[Кс силовых (табл. 7.5)]),1),1)),IF(OR(EQ221="Пост",EQ221="Отоп"),1,IF(EQ221="ВНГ",0.7,0))))))</f>
        <v>1</v>
      </c>
      <c r="ES221">
        <f t="shared" si="425"/>
        <v>1</v>
      </c>
      <c r="ET221">
        <f t="shared" si="426"/>
        <v>2.7</v>
      </c>
      <c r="EU221">
        <f t="shared" si="427"/>
        <v>0</v>
      </c>
      <c r="EV221">
        <f t="shared" si="428"/>
        <v>0</v>
      </c>
      <c r="EW221">
        <f t="shared" si="429"/>
        <v>2.7</v>
      </c>
      <c r="EX221">
        <f t="shared" si="430"/>
        <v>0</v>
      </c>
      <c r="EY221">
        <f t="shared" si="431"/>
        <v>0</v>
      </c>
      <c r="EZ221">
        <f t="shared" si="432"/>
        <v>2.7</v>
      </c>
      <c r="FA221">
        <f t="shared" si="433"/>
        <v>2.5649999999999999</v>
      </c>
      <c r="FB221">
        <f t="shared" si="434"/>
        <v>2.7</v>
      </c>
      <c r="FC221" t="str">
        <f t="shared" si="435"/>
        <v>L2</v>
      </c>
      <c r="FD221" t="str">
        <f>IF(B221="","",IF(CA221=0,IF(AW221=1,"",FF220),IF(OR(N(CV221)&gt;=3,N(BR221)&gt;=3),"L1,L2,L3",IFERROR(_xlfn.TEXTBEFORE(_xlfn.TEXTAFTER(_xlfn.XLOOKUP(A221,Щиты[Щит],Щиты[_фазы авто]),";"&amp;AW221&amp;":"),";"),"L1"))))</f>
        <v>L1</v>
      </c>
      <c r="FE221" t="str">
        <f t="shared" si="436"/>
        <v>L2</v>
      </c>
      <c r="FF221" t="str">
        <f t="shared" si="437"/>
        <v>L2</v>
      </c>
      <c r="FG221" cm="1">
        <f t="array" ref="FG221">IFERROR(IF(BX221=2,_xlfn.IFS(BR221=3,VLOOKUP(BN221,Справочная_двигатели,3,FALSE),BR221=1,VLOOKUP(BN221,Справочная_двигатели,5,TRUE)),0),0)</f>
        <v>0</v>
      </c>
      <c r="FH221">
        <f>IFERROR(IF(BX221=3,VLOOKUP(BN221,Справочная_ЛЭД,2,TRUE),0),0)</f>
        <v>0</v>
      </c>
      <c r="FI221" s="6">
        <f t="shared" si="438"/>
        <v>0</v>
      </c>
      <c r="FJ221" t="str" cm="1">
        <f t="array" ref="FJ221">IF(B221="","",IFERROR(INDEX({"I особая","I","II","III"},MATCH(TRIM(AC221&amp;""),{"I особая","I","II","III"},0)),"III"))</f>
        <v>II</v>
      </c>
      <c r="FK221" t="str">
        <f>IF(B221="","",IF(TRIM(AD221&amp;"")&lt;&gt;"",IF(LOWER(TRIM(AD221&amp;""))="да","да","нет"),IF(IFERROR(_xlfn.XLOOKUP(AX221,Коды_код,Коды_пожарная),"")="да","да","нет")))</f>
        <v>нет</v>
      </c>
      <c r="FL221" t="str">
        <f t="shared" si="439"/>
        <v/>
      </c>
      <c r="FM221" t="str">
        <f t="shared" si="440"/>
        <v>основная</v>
      </c>
      <c r="FN221">
        <f t="shared" si="441"/>
        <v>1</v>
      </c>
      <c r="FO221" t="str" cm="1">
        <f t="array" ref="FO221">IF(B221="","",_xlfn.LET(_xlpm.t,IFERROR(_xlfn.XLOOKUP(1,(Шины[Шина]=FM221)*(((Шины[Щит]=A221)+(Шины[Щит]=""))&gt;0),Шины[Тип]),"")&amp;"",IF(_xlpm.t&lt;&gt;"",_xlpm.t,IF(ISNUMBER(SEARCH("ИБП",FM221)),"ИБП",IF(ISNUMBER(SEARCH("ДГУ",FM221)),"ДГУ","Ввод "&amp;FN221)))))</f>
        <v>Ввод 1</v>
      </c>
      <c r="FP221" t="str">
        <f t="shared" si="442"/>
        <v>Ввод 1</v>
      </c>
      <c r="FQ221" t="str">
        <f>IF(B221="","",IF(OR(FO221="ИБП",FO221="ДГУ"),"I особая",IF(FO221="Одиночная","III",_xlfn.XLOOKUP(A221,Щиты[Щит],Щиты[Категория шины «Ввод»],"III"))))</f>
        <v>II</v>
      </c>
      <c r="FR221">
        <f>IF(B221="",0,IFERROR(MATCH(FJ221,{"III","II","I","I особая"},0),1))</f>
        <v>2</v>
      </c>
      <c r="FS221">
        <f t="shared" si="443"/>
        <v>2</v>
      </c>
      <c r="FT221" t="str">
        <f>IF(B221="","",IF(FR221&gt;IFERROR(MATCH(FQ221,{"III","II","I","I особая"},0),1),"НЕ ОБЕСПЕЧЕНА","ОК"))</f>
        <v>ОК</v>
      </c>
      <c r="FU221" t="str">
        <f>IF(A221="","",_xlfn.XLOOKUP(A221,Щиты[Щит],Щиты[Путь],""))</f>
        <v>|ГРЩ-ЖД|ЩР-01|</v>
      </c>
      <c r="FV221" t="str">
        <f>IF(B221="","",IF(AE221&lt;&gt;"",AE221,IF(IFERROR(_xlfn.XLOOKUP(AX221,Коды_код,Коды_вид)&amp;"","")="","Прочее",_xlfn.XLOOKUP(AX221,Коды_код,Коды_вид)&amp;"")))</f>
        <v>Слаботочные системы, автоматизация, KNX</v>
      </c>
      <c r="FW221">
        <f>IF(BH221="","",INT((BH221-1)/Столбцов_на_лист)+1)</f>
        <v>4</v>
      </c>
      <c r="FX221" t="str">
        <f t="shared" si="444"/>
        <v>ВВГнг(А)-LS (3х2,5) L=25-2,29%</v>
      </c>
      <c r="FY221">
        <f t="shared" si="445"/>
        <v>2.7</v>
      </c>
      <c r="FZ221">
        <f t="shared" si="446"/>
        <v>12.31</v>
      </c>
      <c r="GA221">
        <f t="shared" si="447"/>
        <v>1</v>
      </c>
      <c r="GB221">
        <f t="shared" si="448"/>
        <v>0</v>
      </c>
      <c r="GC221">
        <f t="shared" si="449"/>
        <v>1</v>
      </c>
      <c r="GD221">
        <f>IF(BH221="","",IF(AND(CA221=1,GC221=1),COUNTIFS(A$3:A221,A221,CA$3:CA221,1,GC$3:GC221,1),IF(OR(OR(AW221=1,A221&lt;&gt;A220),AF221="вручную",GC221=0),"",IF(AW221=1,"",GE220))))</f>
        <v>37</v>
      </c>
      <c r="GE221">
        <f t="shared" si="450"/>
        <v>37</v>
      </c>
      <c r="GF221">
        <f>IF(B221="","",IFERROR(LOOKUP(INDEX(CHOOSE(DL221,Iдоп_1ж,Iдоп_2ж,Iдоп_3ж),MATCH(DX221,Iдоп_S,0))*DJ221*DK221,{6,10,16,20,25,32,40,50,63,80,100,125,160,200,250,315,400,500,630}),""))</f>
        <v>25</v>
      </c>
      <c r="GG221" t="str">
        <f t="shared" si="451"/>
        <v>QF37</v>
      </c>
      <c r="GH221" t="str">
        <f t="shared" si="452"/>
        <v>QF37</v>
      </c>
      <c r="GI221" t="str">
        <f t="shared" si="453"/>
        <v/>
      </c>
      <c r="GJ221">
        <f t="shared" si="454"/>
        <v>0</v>
      </c>
      <c r="GK221" t="str">
        <f>IF(OR(AG221="",AG221="-"),"",IFERROR(VLOOKUP(AG221,Модули_спр,2,FALSE),"R"))</f>
        <v/>
      </c>
      <c r="GL221" t="str">
        <f>IF(GK221="","",GK221&amp;"."&amp;COUNTIFS(A$3:A221,A221,GK$3:GK221,GK221))</f>
        <v/>
      </c>
      <c r="GM221" t="str">
        <f t="shared" si="455"/>
        <v/>
      </c>
      <c r="GN221" t="str">
        <f t="shared" si="456"/>
        <v/>
      </c>
      <c r="GO221" t="str">
        <f t="shared" si="457"/>
        <v/>
      </c>
      <c r="GP221" t="str">
        <f t="shared" si="458"/>
        <v/>
      </c>
      <c r="GQ221">
        <f t="shared" si="459"/>
        <v>1</v>
      </c>
      <c r="GR221" t="str">
        <f>IF(GQ221=1,"XT"&amp;COUNTIFS(A$3:A221,A221,GQ$3:GQ221,1),"")</f>
        <v>XT37</v>
      </c>
      <c r="GS221" t="str">
        <f t="shared" si="460"/>
        <v>XT37</v>
      </c>
      <c r="GT221" t="str">
        <f t="shared" si="461"/>
        <v>QF37</v>
      </c>
      <c r="GU221" t="str">
        <f t="shared" si="462"/>
        <v/>
      </c>
      <c r="GV221" t="str">
        <f t="shared" si="463"/>
        <v>ok</v>
      </c>
      <c r="GW221" t="str">
        <f>IF(OR(GO221="",GM221=""),"",IF(GO221&gt;IFERROR(VLOOKUP(GN221,Модули_спр,3,FALSE),99),"ЛИШНИЙ КАНАЛ",IF(AND(AH221&lt;&gt;"=",COUNTIFS(Линии[_модуль гр.],GM221,Линии[Канал (итог)],GO221,Линии[Канал],"&lt;&gt;=",Линии[Щит],A221)&gt;1),"ДУБЛЬ КАНАЛА","")))</f>
        <v/>
      </c>
      <c r="GX221" s="6" t="str">
        <f t="shared" si="464"/>
        <v/>
      </c>
      <c r="GY221">
        <f t="shared" si="465"/>
        <v>10</v>
      </c>
      <c r="GZ221" t="str">
        <f t="shared" si="466"/>
        <v/>
      </c>
      <c r="HA221" t="str">
        <f>IF(AND(B221="",GT221=""),"",_xlfn.TEXTJOIN("; ",TRUE,IF(AND(B221&lt;&gt;"",FE221=""),"нет фазы",""),IF(AND(B221&lt;&gt;"",N(FY221)=0,EQ221&lt;&gt;"Нет"),"нет мощности",""),IF(AND(GS221&lt;&gt;"",COUNTIFS(Линии[Щит],A221,Линии[Клемма (итог)],GS221)&gt;1),"дубль клеммы "&amp;GS221,""),IF(AND(GV221&lt;&gt;"",GV221&lt;&gt;"ok"),GV221,""),IF(GW221&lt;&gt;"",GW221,""),IF(AND(N(BV221)&gt;=4,N(BR221)=1),BV221&amp;" жил на 1 фазе",""),IF(AND(AX221="R",CA221=1,OR(N(CK221)=0,N(CK221)&gt;30)),"розетка без дифзащиты до 30 мА",""),IFERROR(IF(AND(ISNUMBER(R221),R221&gt;DV221),"потери "&amp;FIXED(R221,1)&amp;" % &gt; "&amp;DV221&amp;" %",""),""),IFERROR(IF(LEFT(GZ221,4)="мало","Iкз мало — отключение &gt; 0,4 с",""),""),IF(AND(B221&lt;&gt;"",BH221=""),"не на схеме",""),IF(AND(CA221=0,B221&lt;&gt;"",FE221&lt;&gt;"",IF(AW221=1,"",FF220)&lt;&gt;"",FE221&lt;&gt;IF(AW221=1,"",FF220)),"фаза не как у автомата группы ("&amp;IF(AW221=1,"",FF220)&amp;")","")))</f>
        <v/>
      </c>
      <c r="HB221" s="6">
        <f>IF(OR(CA221=0,DA221=""),"",_xlfn.LET(_xlpm.t,IFERROR(_xlfn.XLOOKUP(DA221,Каталог!$U$4:$U$500,Каталог!$G$4:$G$500),""),_xlpm.k,SEARCH("кА",_xlpm.t),IFERROR(--TRIM(RIGHT(SUBSTITUTE(MID(_xlpm.t,MAX(1,_xlpm.k-4),_xlpm.k-MAX(1,_xlpm.k-4))," ",REPT(" ",9)),5)),"")))</f>
        <v>6</v>
      </c>
      <c r="HC221" t="str">
        <f>IF(OR(HB221="",CA221=0),"",IF(_xlfn.XLOOKUP(A221,Щиты[Щит],Щиты[Iкз max на шинах, кА],"")="","",IF(HB221&lt;_xlfn.XLOOKUP(A221,Щиты[Щит],Щиты[Iкз max на шинах, кА]),"Icu "&amp;HB221&amp;" кА &lt; Iкз max","ok")))</f>
        <v/>
      </c>
      <c r="HD221" t="str">
        <f t="shared" si="467"/>
        <v/>
      </c>
      <c r="HE221" t="str">
        <f t="shared" si="468"/>
        <v>QF37|XT37</v>
      </c>
      <c r="HF221" t="str">
        <f t="shared" si="469"/>
        <v>QF37|XT37|кабель ВВГнг(А)-LS (3х2,5) → Шкаф телекоммуникационный ШТК-СОТ.0 Цокольный этаж Пом. №002Т</v>
      </c>
      <c r="HG221" t="str" cm="1">
        <f t="array" ref="HG221">IF(HF221="","",_xlfn.LET(_xlpm.nd,_xlfn.TEXTSPLIT(HF221,"|"),IF(COLUMNS(_xlpm.nd)&gt;1,A221&amp;"¦"&amp;INDEX(_xlpm.nd,1)&amp;"¦"&amp;INDEX(_xlpm.nd,2),"")))</f>
        <v>ЩР-01¦QF37¦XT37</v>
      </c>
      <c r="HH221" t="str">
        <f t="shared" si="470"/>
        <v>ШТК-СОТ.0¦Шкаф телекоммуникационный ШТК-СОТ.0 Цокольный этаж Пом. №002Т</v>
      </c>
      <c r="HI221" t="str" cm="1">
        <f t="array" ref="HI221">IF(HF221="","",_xlfn.LET(_xlpm.nd,_xlfn.TEXTSPLIT(HF221,"|"),IF(COLUMNS(_xlpm.nd)&gt;2,A221&amp;"¦"&amp;INDEX(_xlpm.nd,2)&amp;"¦"&amp;INDEX(_xlpm.nd,3),"")))</f>
        <v>ЩР-01¦XT37¦кабель ВВГнг(А)-LS (3х2,5) → Шкаф телекоммуникационный ШТК-СОТ.0 Цокольный этаж Пом. №002Т</v>
      </c>
      <c r="HJ221" t="str">
        <f t="shared" si="471"/>
        <v>ШТК-СОТ.0¦Шкаф телекоммуникационный ШТК-СОТ.0 Цокольный этаж Пом. №002Т</v>
      </c>
      <c r="HK221" t="str" cm="1">
        <f t="array" ref="HK221">IF(HF221="","",_xlfn.LET(_xlpm.nd,_xlfn.TEXTSPLIT(HF221,"|"),IF(COLUMNS(_xlpm.nd)&gt;3,A221&amp;"¦"&amp;INDEX(_xlpm.nd,3)&amp;"¦"&amp;INDEX(_xlpm.nd,4),"")))</f>
        <v/>
      </c>
      <c r="HL221" t="str">
        <f t="shared" si="472"/>
        <v/>
      </c>
      <c r="HM221" t="str" cm="1">
        <f t="array" ref="HM221">IF(HF221="","",_xlfn.LET(_xlpm.nd,_xlfn.TEXTSPLIT(HF221,"|"),IF(COLUMNS(_xlpm.nd)&gt;4,A221&amp;"¦"&amp;INDEX(_xlpm.nd,4)&amp;"¦"&amp;INDEX(_xlpm.nd,5),"")))</f>
        <v/>
      </c>
      <c r="HN221" t="str">
        <f t="shared" si="473"/>
        <v/>
      </c>
      <c r="HO221" t="str" cm="1">
        <f t="array" ref="HO221">IF(HF221="","",_xlfn.LET(_xlpm.nd,_xlfn.TEXTSPLIT(HF221,"|"),IF(COLUMNS(_xlpm.nd)&gt;5,A221&amp;"¦"&amp;INDEX(_xlpm.nd,5)&amp;"¦"&amp;INDEX(_xlpm.nd,6),"")))</f>
        <v/>
      </c>
      <c r="HP221" t="str">
        <f t="shared" si="474"/>
        <v/>
      </c>
      <c r="HQ221" t="str" cm="1">
        <f t="array" ref="HQ221">IF(HF221="","",_xlfn.LET(_xlpm.nd,_xlfn.TEXTSPLIT(HF221,"|"),IF(COLUMNS(_xlpm.nd)&gt;6,A221&amp;"¦"&amp;INDEX(_xlpm.nd,6)&amp;"¦"&amp;INDEX(_xlpm.nd,7),"")))</f>
        <v/>
      </c>
      <c r="HR221" t="str">
        <f t="shared" si="475"/>
        <v/>
      </c>
      <c r="HS221" t="str">
        <f t="shared" si="476"/>
        <v/>
      </c>
      <c r="HT221" t="str">
        <f t="shared" si="477"/>
        <v>QF37 → XT37</v>
      </c>
      <c r="HU221">
        <f t="shared" si="478"/>
        <v>0</v>
      </c>
      <c r="HV221">
        <f t="shared" si="479"/>
        <v>0</v>
      </c>
      <c r="HW221" t="str">
        <f t="shared" si="480"/>
        <v/>
      </c>
      <c r="HX221" t="str">
        <f t="shared" si="481"/>
        <v/>
      </c>
      <c r="HY221" t="str">
        <f t="shared" si="482"/>
        <v/>
      </c>
      <c r="HZ221" t="str">
        <f t="shared" si="483"/>
        <v/>
      </c>
      <c r="IA221">
        <f>IF(B221="","",IFERROR(VLOOKUP(B221,УГО_спр,2,FALSE),IFERROR(VLOOKUP(AX221,УГО_спр,2,FALSE),IFERROR(VLOOKUP(LEFT(AX221,2),УГО_спр,2,FALSE),""))))</f>
        <v>0</v>
      </c>
      <c r="IB221" t="str">
        <f>IF(B221="","",IF(OR(IA221="",IA221=0),"BOX",IFERROR(IF(VLOOKUP(IA221,УГО_блоки,3,FALSE)&amp;""&lt;&gt;"",VLOOKUP(IA221,УГО_блоки,3,FALSE),VLOOKUP(IA221,УГО_блоки,2,FALSE)),IA221)))</f>
        <v>BOX</v>
      </c>
      <c r="IC221">
        <f t="shared" si="484"/>
        <v>1</v>
      </c>
      <c r="ID221" t="str">
        <f>IF(DA221="","",IF(COUNTIF(DA$3:DA221,DA221)=1,MAX(ID$2:ID220)+1,""))</f>
        <v/>
      </c>
      <c r="IE221" t="str">
        <f>IF(CO221="","",IF(COUNTIF(CO$3:CO221,CO221)+COUNTIF(CP$2:CP220,CO221)+COUNTIF(CQ$2:CQ220,CO221)=1,MAX(IE$2:IG220)+1,""))</f>
        <v/>
      </c>
      <c r="IF221" t="str">
        <f>IF(CP221="","",IF(COUNTIF(CO$3:CO221,CP221)+COUNTIF(CP$3:CP221,CP221)+COUNTIF(CQ$2:CQ220,CP221)=1,MAX(IE$2:IG220,IE221)+1,""))</f>
        <v/>
      </c>
      <c r="IG221" t="str">
        <f>IF(CQ221="","",IF(COUNTIF(CO$3:CO221,CQ221)+COUNTIF(CP$3:CP221,CQ221)+COUNTIF(CQ$3:CQ221,CQ221)=1,MAX(IE$2:IG220,IE221,IF221)+1,""))</f>
        <v/>
      </c>
      <c r="IH221" t="str">
        <f t="shared" si="485"/>
        <v>3х2,5</v>
      </c>
      <c r="II221" t="str">
        <f>IF(IH221="","",IF(COUNTIF(IH$3:IH221,IH221)=1,MAX(II$2:II220)+1,""))</f>
        <v/>
      </c>
      <c r="IJ221" t="str">
        <f>IF(GL221="","",COUNTIF(GL$3:GL221,"?*"))</f>
        <v/>
      </c>
      <c r="IK221" t="str">
        <f>IF(OR(GL221="",GN221=""),"",IF(COUNTIFS(GL$3:GL221,"?*",GN$3:GN221,GN221)=1,MAX(IK$2:IK220)+1,""))</f>
        <v/>
      </c>
      <c r="IL221">
        <f t="shared" si="486"/>
        <v>0</v>
      </c>
      <c r="IM221">
        <f>IF(B221="","",COUNTIF(B$3:B221,"?*"))</f>
        <v>219</v>
      </c>
      <c r="IN221">
        <f>IF(GQ221&lt;&gt;1,0,_xlfn.LET(_xlpm.k,MAX(IFERROR(--VLOOKUP(B221,УГО_спр,5,FALSE),0),IFERROR(--VLOOKUP(AX221,УГО_спр,5,FALSE),0),IFERROR(--VLOOKUP(LEFT(AX221,2),УГО_спр,5,FALSE),0)),IF(_xlpm.k&gt;0,_xlpm.k,IF(IFERROR(--LEFT(SUBSTITUTE(IH221,"x","х"),FIND("х",SUBSTITUTE(IH221,"x","х"))-1),3)&gt;3,Каталог!$S$9,1))))</f>
        <v>1</v>
      </c>
      <c r="IO221">
        <f t="shared" si="487"/>
        <v>0</v>
      </c>
      <c r="IP221" t="str">
        <f t="shared" si="488"/>
        <v>авто</v>
      </c>
      <c r="IQ221" t="str">
        <f t="shared" si="489"/>
        <v/>
      </c>
      <c r="IR221">
        <f t="shared" si="490"/>
        <v>0</v>
      </c>
      <c r="IS221">
        <f t="shared" si="491"/>
        <v>1</v>
      </c>
    </row>
    <row r="222" spans="1:253" x14ac:dyDescent="0.3">
      <c r="A222" t="s">
        <v>757</v>
      </c>
      <c r="B222" t="s">
        <v>1488</v>
      </c>
      <c r="C222" t="s">
        <v>1663</v>
      </c>
      <c r="D222">
        <v>1</v>
      </c>
      <c r="E222">
        <v>2.7</v>
      </c>
      <c r="G222">
        <v>16</v>
      </c>
      <c r="H222" t="str">
        <f>Линии[[#This Row],[_авто утечка]]</f>
        <v/>
      </c>
      <c r="I222" t="str">
        <f>Линии[[#This Row],[_авто управление]]</f>
        <v/>
      </c>
      <c r="J222" t="str">
        <f>Линии[[#This Row],[_авто аппараты]]</f>
        <v/>
      </c>
      <c r="K222">
        <v>2.5</v>
      </c>
      <c r="L222">
        <v>24</v>
      </c>
      <c r="M222">
        <v>3</v>
      </c>
      <c r="N222" t="str">
        <f>Линии[[#This Row],[_авто клемма]]</f>
        <v>XT38</v>
      </c>
      <c r="O222" t="str">
        <f t="shared" si="369"/>
        <v/>
      </c>
      <c r="P222" s="6" cm="1">
        <f t="array" ref="P222">IF(B222="","",IF(BC222&lt;&gt;"",IFERROR(_xlfn.XLOOKUP(BC222,Щиты[Щит],Щиты[Iр, А]),""),IF(BK222=1,IFERROR(_xlfn.XLOOKUP(A222,Щиты[Щит],Щиты[Iр, А]),""),IFERROR(_xlfn.IFS(BR222=1,BN222/((Uн_лин/SQRT(3))*BY222),BR222=3,BN222/(SQRT(3)*Uн_лин*BY222)),""))))</f>
        <v>12.306676790620971</v>
      </c>
      <c r="Q222" s="7">
        <f>IF(B222="","",IFERROR(IF(VLOOKUP(AX222,Потребители_обозначение,4,FALSE)=1,VLOOKUP(AX222,Потребители_обозначение,3,FALSE)*(D222*2-1)+DS222+VLOOKUP(AZ222,Этаж_обозначение,3,FALSE)+VLOOKUP(AZ222,Этаж_обозначение,4,FALSE),VLOOKUP(AX222,Потребители_обозначение,3,FALSE)*(D222*2-1)+DS222),DS222))</f>
        <v>27</v>
      </c>
      <c r="R222" s="6">
        <f t="shared" si="370"/>
        <v>2.9</v>
      </c>
      <c r="S222" t="str">
        <f t="shared" si="371"/>
        <v>ВВГнг(А)-LS (3х2,5)</v>
      </c>
      <c r="T222" t="str">
        <f>IF(BH222="","",IF(BI222="вводной узел","узел ","")&amp;"л."&amp;(INT((BH222-1)/Столбцов_на_лист)+1)&amp;" / "&amp;(MOD(BH222-1,Столбцов_на_лист)+1))</f>
        <v>л.4 / 13</v>
      </c>
      <c r="V222">
        <v>1</v>
      </c>
      <c r="W222">
        <v>230</v>
      </c>
      <c r="X222" t="s">
        <v>575</v>
      </c>
      <c r="AC222" t="s">
        <v>815</v>
      </c>
      <c r="AE222" t="s">
        <v>574</v>
      </c>
      <c r="AI222">
        <v>64</v>
      </c>
      <c r="AJ222" t="s">
        <v>11</v>
      </c>
      <c r="AK222">
        <v>3</v>
      </c>
      <c r="AM222">
        <v>8</v>
      </c>
      <c r="AN222">
        <v>11</v>
      </c>
      <c r="AW222" cm="1">
        <f t="array" ref="AW222">ROW()-ROW(Линии[#Headers])</f>
        <v>220</v>
      </c>
      <c r="AX222" s="6" t="str">
        <f t="shared" si="372"/>
        <v>ШТК-ЛВС</v>
      </c>
      <c r="AY222" t="str">
        <f t="shared" si="373"/>
        <v>0</v>
      </c>
      <c r="AZ222" t="str">
        <f t="shared" si="374"/>
        <v>0</v>
      </c>
      <c r="BA222" t="str">
        <f t="shared" si="375"/>
        <v/>
      </c>
      <c r="BB222" t="str">
        <f t="shared" si="376"/>
        <v/>
      </c>
      <c r="BC222" t="str">
        <f>IF(U222&lt;&gt;"",U222,IF(AND(B222&lt;&gt;"",B222&lt;&gt;A222,ISNUMBER(_xlfn.XMATCH(B222,Щиты[Щит]))),B222,""))</f>
        <v/>
      </c>
      <c r="BD222" t="str" cm="1">
        <f t="array" ref="BD222">IF(B222="","",IF(BC222&lt;&gt;"","Щит "&amp;BC222,_xlfn.LET(_xlpm.nm,IFERROR(_xlfn.XLOOKUP(AX222,Коды_код,Коды_имя)&amp;"",""),_xlpm.md,IFERROR(N(_xlfn.XLOOKUP(AX222,Коды_код,Коды_режим)),1),_xlpm.ex,IF(Имя_режим="по экспликации",IFERROR(_xlfn.XLOOKUP(AZ222&amp;"|"&amp;BB222,Экспликация[Этаж]&amp;"|"&amp;Экспликация[Помещение],Экспликация[Название])&amp;"",""),""),_xlpm.rm,IF(BB222="","",IF(_xlpm.ex&lt;&gt;"",". "&amp;_xlpm.ex&amp;IF(Имя_пом="нет"," ("&amp;BB222&amp;")"," (пом. "&amp;BB222&amp;")"),IF(Имя_пом="нет"," ",", пом. ")&amp;BB222)),IF(_xlpm.nm="","",IF(_xlpm.md=2,_xlpm.nm&amp;" шлейф "&amp;AZ222,_xlpm.nm&amp;_xlpm.rm)))))</f>
        <v>Шкаф телекоммуникационный ЛВС шлейф 0</v>
      </c>
      <c r="BE222" t="str">
        <f t="shared" si="377"/>
        <v>Шкаф телекоммуникационный ШТК-ЛВС.0 Цокольный этаж Пом. №002Т</v>
      </c>
      <c r="BF222">
        <f>IFERROR(_xlfn.XMATCH(A222,Щиты[Щит]),0)</f>
        <v>9</v>
      </c>
      <c r="BG222">
        <f>_xlfn.LET(_xlpm.k,IFERROR(_xlfn.XLOOKUP(A222,Щиты[Щит],Щиты[Листов под вводной узел]),""),IF(_xlpm.k="",1,N(_xlpm.k))*Столбцов_на_лист)</f>
        <v>17</v>
      </c>
      <c r="BH222">
        <f t="shared" si="378"/>
        <v>64</v>
      </c>
      <c r="BI222" t="str">
        <f t="shared" si="379"/>
        <v>линии</v>
      </c>
      <c r="BJ222" s="6">
        <f>IFERROR(N(_xlfn.XLOOKUP(AX222,Коды_код,Коды_квт)),0)</f>
        <v>0</v>
      </c>
      <c r="BK222">
        <f t="shared" si="380"/>
        <v>0</v>
      </c>
      <c r="BL222" t="str">
        <f>IF(B222="","",IF(BC222&lt;&gt;"",IFERROR(_xlfn.XLOOKUP(BC222,Щиты[Щит],Щиты[Руст, кВт]),0),IF(BK222=1,IFERROR(_xlfn.XLOOKUP(A222,Щиты[Щит],Щиты[Руст, кВт]),0),IF(BJ222&gt;0,ROUND(BJ222*MAX(1,N(D222)),3),""))))</f>
        <v/>
      </c>
      <c r="BM222">
        <f t="shared" si="381"/>
        <v>2.7</v>
      </c>
      <c r="BN222" s="6">
        <f>IF(B222="","",IF(BC222&lt;&gt;"",IFERROR(_xlfn.XLOOKUP(BC222,Щиты[Щит],Щиты[Руст, кВт]),0),N(BM222)))</f>
        <v>2.7</v>
      </c>
      <c r="BO222" t="str">
        <f>IF(B222="","",IFERROR(IF(VLOOKUP(AX222,Потребители_обозначение,8,FALSE)=0,"",VLOOKUP(AX222,Потребители_обозначение,8,FALSE)),""))</f>
        <v/>
      </c>
      <c r="BP222">
        <f t="shared" si="382"/>
        <v>230</v>
      </c>
      <c r="BQ222">
        <f>IF(B222="","",IF(BC222&lt;&gt;"",3,IFERROR(IF(N(VLOOKUP(AX222,Потребители_обозначение,9,FALSE))=0,1,VLOOKUP(AX222,Потребители_обозначение,9,FALSE)),1)))</f>
        <v>1</v>
      </c>
      <c r="BR222">
        <f t="shared" si="383"/>
        <v>1</v>
      </c>
      <c r="BS222" t="str">
        <f>IF(B222="","",_xlfn.LET(_xlpm.bc,IFERROR(IF(VLOOKUP(AX222,Потребители_обозначение,6,FALSE)=0,"",VLOOKUP(AX222,Потребители_обозначение,6,FALSE)&amp;""),""),IF(AND(FK222="да",OR(_xlpm.bc="",_xlpm.bc="мс")),Марка_пож,IF(AND(_xlpm.bc="",BC222&lt;&gt;""),"мс",_xlpm.bc))))</f>
        <v/>
      </c>
      <c r="BT222" t="str">
        <f t="shared" si="384"/>
        <v>мс</v>
      </c>
      <c r="BU222">
        <f>IF(B222="","",_xlfn.LET(_xlpm.cc,IFERROR(N(VLOOKUP(AX222,Потребители_обозначение,7,FALSE)),0),IF(_xlpm.cc&gt;0,_xlpm.cc,IF(BT222="","",IF(N(BR222)=3,5,3)))))</f>
        <v>3</v>
      </c>
      <c r="BV222">
        <f t="shared" si="385"/>
        <v>3</v>
      </c>
      <c r="BW222">
        <f>IFERROR(N(VLOOKUP(AX222,Потребители_обозначение,10,FALSE)),0)</f>
        <v>0</v>
      </c>
      <c r="BX222">
        <f>IFERROR(VLOOKUP(AX222,Потребители_обозначение,5,FALSE),0)</f>
        <v>1</v>
      </c>
      <c r="BY222" s="6" cm="1">
        <f t="array" ref="BY222">IF(B222="","",IF(BC222&lt;&gt;"",IFERROR(_xlfn.XLOOKUP(BC222,Щиты[Щит],Щиты[cos φ]),0.95),IF(BK222=1,IFERROR(_xlfn.XLOOKUP(A222,Щиты[Щит],Щиты[cos φ]),0.95),IF(ISNUMBER(Z222),Z222,IFERROR(IF(BX222=2,_xlfn.IFS(BR222=3,VLOOKUP(BN222,Справочная_двигатели,8,FALSE),BR222=1,VLOOKUP(BN222,Справочная_двигатели,10,TRUE)),IF(AND(Методика="нормы 2026",EQ222="Сил"),0.8,0.95)),0.95)))))</f>
        <v>0.95</v>
      </c>
      <c r="BZ222">
        <f t="shared" si="386"/>
        <v>0</v>
      </c>
      <c r="CA222">
        <f t="shared" si="387"/>
        <v>1</v>
      </c>
      <c r="CB222">
        <f t="shared" si="388"/>
        <v>0</v>
      </c>
      <c r="CC222">
        <f t="shared" si="389"/>
        <v>0</v>
      </c>
      <c r="CD222">
        <f t="shared" si="390"/>
        <v>0</v>
      </c>
      <c r="CE222">
        <f t="shared" si="391"/>
        <v>0</v>
      </c>
      <c r="CF222">
        <f t="shared" si="392"/>
        <v>0</v>
      </c>
      <c r="CG222">
        <f>IF(AX222="",0,_xlfn.LET(_xlpm.v,IFERROR(VLOOKUP(B222,УГО_спр,3,FALSE),IFERROR(VLOOKUP(AX222,УГО_спр,3,FALSE),IFERROR(VLOOKUP(LEFT(AX222,2),УГО_спр,3,FALSE),""))),IF(_xlpm.v="да",30,IF(ISNUMBER(_xlpm.v),_xlpm.v,0))))</f>
        <v>0</v>
      </c>
      <c r="CH222" t="str">
        <f t="shared" si="393"/>
        <v/>
      </c>
      <c r="CI222" t="str">
        <f>_xlfn.LET(_xlpm.k,IFERROR(_xlfn.XLOOKUP(AX222,Коды_код,Коды_утечка)&amp;"",""),IF(_xlpm.k="","дифавтомат",_xlpm.k))</f>
        <v>дифавтомат</v>
      </c>
      <c r="CJ222">
        <f t="shared" si="394"/>
        <v>0</v>
      </c>
      <c r="CK222">
        <f t="shared" si="395"/>
        <v>0</v>
      </c>
      <c r="CL222">
        <f>IF(B222="",0,IFERROR(--VLOOKUP(B222,УГО_спр,4,FALSE),IFERROR(--VLOOKUP(AX222,УГО_спр,4,FALSE),IFERROR(--VLOOKUP(LEFT(AX222,2),УГО_спр,4,FALSE),0))))</f>
        <v>0</v>
      </c>
      <c r="CM222" t="str">
        <f>IF(B222="","",IFERROR(_xlfn.XLOOKUP(AX222,Коды_код,Коды_апп)&amp;"",""))</f>
        <v/>
      </c>
      <c r="CN222" t="str">
        <f t="shared" si="396"/>
        <v/>
      </c>
      <c r="CO222" t="str" cm="1">
        <f t="array" ref="CO222">IF(TRIM(CN222&amp;"")="","",IFERROR(TRIM(INDEX(_xlfn.TEXTSPLIT(CN222&amp;";;;",";"),1)),""))</f>
        <v/>
      </c>
      <c r="CP222" t="str" cm="1">
        <f t="array" ref="CP222">IF(TRIM(CN222&amp;"")="","",IFERROR(TRIM(INDEX(_xlfn.TEXTSPLIT(CN222&amp;";;;",";"),2)),""))</f>
        <v/>
      </c>
      <c r="CQ222" t="str" cm="1">
        <f t="array" ref="CQ222">IF(TRIM(CN222&amp;"")="","",IFERROR(TRIM(INDEX(_xlfn.TEXTSPLIT(CN222&amp;";;;",";"),3)),""))</f>
        <v/>
      </c>
      <c r="CR222">
        <f t="shared" si="397"/>
        <v>0</v>
      </c>
      <c r="CS222" t="str">
        <f>IF(B222="","",_xlfn.LET(_xlpm.t,LOWER(AV222&amp;""),IF(ISNUMBER(SEARCH("dim",_xlpm.t)),"DIM",IF(ISNUMBER(SEARCH("dali",_xlpm.t)),"DALI",IF(OR(ISNUMBER(SEARCH("relay",_xlpm.t)),ISNUMBER(SEARCH("реле",_xlpm.t))),"Relay",IF(ISNUMBER(SEARCH("кнопк",_xlpm.t)),"",IFERROR(_xlfn.XLOOKUP(AX222,Коды_код,Коды_упр)&amp;"","")))))))</f>
        <v/>
      </c>
      <c r="CT222" t="str">
        <f t="shared" si="398"/>
        <v/>
      </c>
      <c r="CU222">
        <f>IF(B222="","",_xlfn.LET(_xlpm.ig,N(P222)+IF(AF222="вручную",0,N(CB222)),_xlpm.n0,IFERROR(VLOOKUP(_xlpm.ig,Автомат_номиналы,2,TRUE),0),_xlpm.mn,MAX(CL222,IF(AF222="вручную",0,N(CE222))),MAX(_xlpm.n0,_xlpm.mn,IF(CR222=1,Мин_автомат_БП,0))))</f>
        <v>16</v>
      </c>
      <c r="CV222">
        <f t="shared" si="399"/>
        <v>1</v>
      </c>
      <c r="CW222" t="str">
        <f t="shared" si="400"/>
        <v>1P</v>
      </c>
      <c r="CX222" t="str">
        <f>_xlfn.LET(_xlpm.cc,UPPER(TRIM(IFERROR(_xlfn.XLOOKUP(AX222,Коды_код,Коды_хар)&amp;"",""))),IF(OR(_xlpm.cc="B",_xlpm.cc="В"),"B",IF(_xlpm.cc="D","D","С")))</f>
        <v>С</v>
      </c>
      <c r="CY222" t="str">
        <f t="shared" si="401"/>
        <v>1P С16А</v>
      </c>
      <c r="CZ222">
        <f t="shared" si="402"/>
        <v>16</v>
      </c>
      <c r="DA222" t="str">
        <f t="shared" si="403"/>
        <v>1P С16А</v>
      </c>
      <c r="DB222" cm="1">
        <f t="array" ref="DB222">IF(DA222="","",_xlfn.LET(_xlpm.t,SUBSTITUTE(SUBSTITUTE(SUBSTITUTE(UPPER(DA222),"С","C"),"А","A"),"В","B"),_xlpm.tk,_xlfn.TEXTSPLIT(_xlpm.t,"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2" t="str">
        <f t="shared" si="404"/>
        <v>ok</v>
      </c>
      <c r="DD222">
        <f t="shared" si="405"/>
        <v>16</v>
      </c>
      <c r="DE222" t="str">
        <f t="shared" si="406"/>
        <v>1P С16А</v>
      </c>
      <c r="DF222">
        <f t="shared" si="407"/>
        <v>0</v>
      </c>
      <c r="DG222">
        <f t="shared" si="408"/>
        <v>0</v>
      </c>
      <c r="DH222">
        <f t="shared" si="409"/>
        <v>0</v>
      </c>
      <c r="DI222">
        <f t="shared" si="410"/>
        <v>12.306676790620971</v>
      </c>
      <c r="DJ222">
        <f t="shared" si="411"/>
        <v>1</v>
      </c>
      <c r="DK222">
        <f>IF(ISNUMBER(AL222),AL222,К_прокл)</f>
        <v>1</v>
      </c>
      <c r="DL222">
        <f t="shared" si="412"/>
        <v>2</v>
      </c>
      <c r="DM222">
        <f>IFERROR(N(VLOOKUP(BT222,Кабель_обозначение,3,FALSE)),1)</f>
        <v>1</v>
      </c>
      <c r="DN222">
        <f>IFERROR(N(_xlfn.XLOOKUP(A222,Щиты[Щит],Щиты[ΔU до шин, %])),0)</f>
        <v>0.43</v>
      </c>
      <c r="DO222" t="str">
        <f>IFERROR(_xlfn.XLOOKUP(A222,Щиты[Щит],Щиты[Zпетли на шинах, Ом]),"")</f>
        <v/>
      </c>
      <c r="DP222">
        <f>IFERROR(N(_xlfn.XLOOKUP(A222,Щиты[Щит],Щиты[ΔU до шин (подбор), %])),0)</f>
        <v>0.43</v>
      </c>
      <c r="DQ222" t="str">
        <f>IFERROR(_xlfn.XLOOKUP(A222,Щиты[Щит],Щиты[Zпетли на шинах (подбор), Ом]),"")</f>
        <v/>
      </c>
      <c r="DR222" t="str">
        <f t="shared" si="413"/>
        <v/>
      </c>
      <c r="DS222">
        <f t="shared" si="414"/>
        <v>24</v>
      </c>
      <c r="DT222">
        <f t="shared" si="415"/>
        <v>2</v>
      </c>
      <c r="DU222">
        <f t="shared" si="416"/>
        <v>0.31</v>
      </c>
      <c r="DV222" s="6">
        <f>IF(B222="","",IF(IFERROR(VLOOKUP(AX222,УГО_спр,2,FALSE),"")="Светильник",3,4)+IF(Методика="нормы 2026",MIN(0.5,MAX(0,N(Q222)-100)*0.005),0))</f>
        <v>4</v>
      </c>
      <c r="DW222" cm="1">
        <f t="array" ref="DW222">IF(OR(B222="",BT222="",DM222&lt;&gt;1),"",_xlfn.LET(_xlpm.sz,Iдоп_S,_xlpm.t_,CHOOSE(DL222,Iдоп_1ж,Iдоп_2ж,Iдоп_3ж)*DJ222*DK222,_xlpm.inn,N(DD222),_xlpm.smin,MAX(1.5,BW222),_xlpm.L_,N(Q222)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222)*(_xlpm.rho*_xlpm.L_/_xlpm.sz*N(BY222)+_xlpm.xx*_xlpm.L_*N(DU222)/1000)*N(P222)/((Uн_лин/SQRT(3))*1000)*100,999),_xlpm.kz,IF(OR(DG222=1,NOT(ISNUMBER(DQ222)),_xlpm.L_=0,_xlpm.inn=0),1,IFERROR(--(c_min*(Uн_лин*1000/SQRT(3))/(DQ222+2*ρкз_Cu*_xlpm.L_/_xlpm.sz)&gt;=GY222*_xlpm.inn),0)),_xlpm.ok,IFERROR((_xlpm.sz&gt;=_xlpm.smin)*(_xlpm.t_&gt;=_xlpm.inn)*IF(_xlpm.L_&gt;0,(_xlpm.du_+DP222&lt;=DV222+0.00001),1)*_xlpm.kz,0),_xlpm.r_,_xlfn._xlws.FILTER(_xlpm.sz,_xlpm.ok,"не подобрано"),INDEX(_xlpm.r_,1)))</f>
        <v>2.5</v>
      </c>
      <c r="DX222">
        <f t="shared" si="417"/>
        <v>2.5</v>
      </c>
      <c r="DY222" cm="1">
        <f t="array" ref="DY222">IF(OR(B222="",BT222="",DM222&lt;&gt;1),"",_xlfn.LET(_xlpm.sz,Iдоп_S,_xlpm.t_,CHOOSE(DL222,Iдоп_1ж,Iдоп_2ж,Iдоп_3ж)*DJ222*DK222,_xlpm.ok,IFERROR((_xlpm.sz&gt;=MAX(1.5,BW222))*(_xlpm.t_&gt;=N(DD222)),0),_xlpm.r_,_xlfn._xlws.FILTER(_xlpm.sz,_xlpm.ok,""),INDEX(_xlpm.r_,1)))</f>
        <v>1.5</v>
      </c>
      <c r="DZ222" s="6" cm="1">
        <f t="array" ref="DZ222">IFERROR(ROUNDUP(N(DT222)*(_xlfn.XLOOKUP(DY222,INDEX(Кабель_сопротивление,0,1),INDEX(Кабель_сопротивление,0,3))*N(Q222)/DY222*N(BY222)+_xlfn.XLOOKUP(DY222,INDEX(Кабель_сопротивление,0,1),INDEX(Кабель_сопротивление,0,2))*N(Q222)*N(DU222)/1000)*N(P222)/((Uн_лин/SQRT(3))*1000)*100,2),"")</f>
        <v>4.12</v>
      </c>
      <c r="EA222">
        <f>IFERROR(2*ρкз_Cu*N(Q222)/DY222,"")</f>
        <v>0.94680000000000009</v>
      </c>
      <c r="EB222">
        <f>IFERROR(VLOOKUP(DX222,Кабель_сопротивление,3,FALSE),"")</f>
        <v>2.2499999999999999E-2</v>
      </c>
      <c r="EC222">
        <f>IFERROR(VLOOKUP(DX222,Кабель_сопротивление,2,FALSE),"")</f>
        <v>0.1</v>
      </c>
      <c r="ED222">
        <f t="shared" si="418"/>
        <v>11</v>
      </c>
      <c r="EE222" t="str">
        <f t="shared" si="419"/>
        <v/>
      </c>
      <c r="EF222">
        <f t="shared" si="420"/>
        <v>5.7025940511772006</v>
      </c>
      <c r="EG222" s="6">
        <f>IFERROR(ROUNDUP(EF222/((Uн_лин/SQRT(3))*1000)*100,2),"")</f>
        <v>2.4699999999999998</v>
      </c>
      <c r="EH222" t="str">
        <f>IFERROR(VLOOKUP(BT222,Кабель_обозначение,2,FALSE),"")</f>
        <v>ВВГнг(А)-LS</v>
      </c>
      <c r="EI222" t="str">
        <f t="shared" si="421"/>
        <v>ВВГнг(А)-LS (3х2,5)</v>
      </c>
      <c r="EJ222" t="str">
        <f t="shared" si="422"/>
        <v>ВВГнг(А)-LS (3х2,5)
L=27-2,47%</v>
      </c>
      <c r="EK222">
        <f>IFERROR(2*ρкз_Cu*Q222/DX222,"")</f>
        <v>0.56808000000000003</v>
      </c>
      <c r="EL222">
        <f t="shared" si="423"/>
        <v>0.189</v>
      </c>
      <c r="EM222" s="6" t="str">
        <f>IFERROR(IF(OR(B222="",NOT(ISNUMBER(DX222)),N(Q222)=0),"",_xlfn.XLOOKUP(A222,Щиты[Щит],Щиты[Zпетли на шинах, Ом])+EK222),"")</f>
        <v/>
      </c>
      <c r="EN222" s="6" t="str">
        <f>IF(ISNUMBER(EM222),c_min*(Uн_лин*1000/SQRT(3))/EM222,"")</f>
        <v/>
      </c>
      <c r="EO222" s="6" t="str">
        <f>IFERROR(IF(OR(B222="",NOT(ISNUMBER(DX222))),"",1.05*(Uн_лин*1000/SQRT(3))/(_xlfn.XLOOKUP(A222,Щиты[Щит],Щиты[Zmax на шинах, Ом])+EL222)/1000),"")</f>
        <v/>
      </c>
      <c r="EP222" s="6" t="str">
        <f>IF(B222="","",IF(ISNUMBER(Y222),"Сил",IF(IFERROR(_xlfn.XLOOKUP(AX222,Коды_код,Коды_группа)&amp;"","")="","Быт",_xlfn.XLOOKUP(AX222,Коды_код,Коды_группа)&amp;"")))</f>
        <v>Быт</v>
      </c>
      <c r="EQ222" s="6" t="str">
        <f t="shared" si="424"/>
        <v>Пост</v>
      </c>
      <c r="ER222" s="6">
        <f>IF(EQ222="Щит","щит",IF(EQ222="","",IF(EQ222="Быт",IFERROR(_xlfn.XLOOKUP(A222,Щиты[Щит],Щиты[Кс быт]),1),IF(EQ222="Сил",IF(ISNUMBER(Y222),Y222,IF(Методика="нормы 2026",IFERROR(_xlfn.XLOOKUP(A222,Щиты[Щит],Щиты[Кс силовых (табл. 7.5)]),1),1)),IF(OR(EQ222="Пост",EQ222="Отоп"),1,IF(EQ222="ВНГ",0.7,0))))))</f>
        <v>1</v>
      </c>
      <c r="ES222">
        <f t="shared" si="425"/>
        <v>1</v>
      </c>
      <c r="ET222">
        <f t="shared" si="426"/>
        <v>2.7</v>
      </c>
      <c r="EU222">
        <f t="shared" si="427"/>
        <v>0</v>
      </c>
      <c r="EV222">
        <f t="shared" si="428"/>
        <v>0</v>
      </c>
      <c r="EW222">
        <f t="shared" si="429"/>
        <v>2.7</v>
      </c>
      <c r="EX222">
        <f t="shared" si="430"/>
        <v>0</v>
      </c>
      <c r="EY222">
        <f t="shared" si="431"/>
        <v>0</v>
      </c>
      <c r="EZ222">
        <f t="shared" si="432"/>
        <v>2.7</v>
      </c>
      <c r="FA222">
        <f t="shared" si="433"/>
        <v>2.5649999999999999</v>
      </c>
      <c r="FB222">
        <f t="shared" si="434"/>
        <v>2.7</v>
      </c>
      <c r="FC222" t="str">
        <f t="shared" si="435"/>
        <v>L3</v>
      </c>
      <c r="FD222" t="str">
        <f>IF(B222="","",IF(CA222=0,IF(AW222=1,"",FF221),IF(OR(N(CV222)&gt;=3,N(BR222)&gt;=3),"L1,L2,L3",IFERROR(_xlfn.TEXTBEFORE(_xlfn.TEXTAFTER(_xlfn.XLOOKUP(A222,Щиты[Щит],Щиты[_фазы авто]),";"&amp;AW222&amp;":"),";"),"L1"))))</f>
        <v>L1</v>
      </c>
      <c r="FE222" t="str">
        <f t="shared" si="436"/>
        <v>L3</v>
      </c>
      <c r="FF222" t="str">
        <f t="shared" si="437"/>
        <v>L3</v>
      </c>
      <c r="FG222" cm="1">
        <f t="array" ref="FG222">IFERROR(IF(BX222=2,_xlfn.IFS(BR222=3,VLOOKUP(BN222,Справочная_двигатели,3,FALSE),BR222=1,VLOOKUP(BN222,Справочная_двигатели,5,TRUE)),0),0)</f>
        <v>0</v>
      </c>
      <c r="FH222">
        <f>IFERROR(IF(BX222=3,VLOOKUP(BN222,Справочная_ЛЭД,2,TRUE),0),0)</f>
        <v>0</v>
      </c>
      <c r="FI222" s="6">
        <f t="shared" si="438"/>
        <v>0</v>
      </c>
      <c r="FJ222" t="str" cm="1">
        <f t="array" ref="FJ222">IF(B222="","",IFERROR(INDEX({"I особая","I","II","III"},MATCH(TRIM(AC222&amp;""),{"I особая","I","II","III"},0)),"III"))</f>
        <v>II</v>
      </c>
      <c r="FK222" t="str">
        <f>IF(B222="","",IF(TRIM(AD222&amp;"")&lt;&gt;"",IF(LOWER(TRIM(AD222&amp;""))="да","да","нет"),IF(IFERROR(_xlfn.XLOOKUP(AX222,Коды_код,Коды_пожарная),"")="да","да","нет")))</f>
        <v>нет</v>
      </c>
      <c r="FL222" t="str">
        <f t="shared" si="439"/>
        <v/>
      </c>
      <c r="FM222" t="str">
        <f t="shared" si="440"/>
        <v>основная</v>
      </c>
      <c r="FN222">
        <f t="shared" si="441"/>
        <v>1</v>
      </c>
      <c r="FO222" t="str" cm="1">
        <f t="array" ref="FO222">IF(B222="","",_xlfn.LET(_xlpm.t,IFERROR(_xlfn.XLOOKUP(1,(Шины[Шина]=FM222)*(((Шины[Щит]=A222)+(Шины[Щит]=""))&gt;0),Шины[Тип]),"")&amp;"",IF(_xlpm.t&lt;&gt;"",_xlpm.t,IF(ISNUMBER(SEARCH("ИБП",FM222)),"ИБП",IF(ISNUMBER(SEARCH("ДГУ",FM222)),"ДГУ","Ввод "&amp;FN222)))))</f>
        <v>Ввод 1</v>
      </c>
      <c r="FP222" t="str">
        <f t="shared" si="442"/>
        <v>Ввод 1</v>
      </c>
      <c r="FQ222" t="str">
        <f>IF(B222="","",IF(OR(FO222="ИБП",FO222="ДГУ"),"I особая",IF(FO222="Одиночная","III",_xlfn.XLOOKUP(A222,Щиты[Щит],Щиты[Категория шины «Ввод»],"III"))))</f>
        <v>II</v>
      </c>
      <c r="FR222">
        <f>IF(B222="",0,IFERROR(MATCH(FJ222,{"III","II","I","I особая"},0),1))</f>
        <v>2</v>
      </c>
      <c r="FS222">
        <f t="shared" si="443"/>
        <v>2</v>
      </c>
      <c r="FT222" t="str">
        <f>IF(B222="","",IF(FR222&gt;IFERROR(MATCH(FQ222,{"III","II","I","I особая"},0),1),"НЕ ОБЕСПЕЧЕНА","ОК"))</f>
        <v>ОК</v>
      </c>
      <c r="FU222" t="str">
        <f>IF(A222="","",_xlfn.XLOOKUP(A222,Щиты[Щит],Щиты[Путь],""))</f>
        <v>|ГРЩ-ЖД|ЩР-01|</v>
      </c>
      <c r="FV222" t="str">
        <f>IF(B222="","",IF(AE222&lt;&gt;"",AE222,IF(IFERROR(_xlfn.XLOOKUP(AX222,Коды_код,Коды_вид)&amp;"","")="","Прочее",_xlfn.XLOOKUP(AX222,Коды_код,Коды_вид)&amp;"")))</f>
        <v>Слаботочные системы, автоматизация, KNX</v>
      </c>
      <c r="FW222">
        <f>IF(BH222="","",INT((BH222-1)/Столбцов_на_лист)+1)</f>
        <v>4</v>
      </c>
      <c r="FX222" t="str">
        <f t="shared" si="444"/>
        <v>ВВГнг(А)-LS (3х2,5) L=27-2,47%</v>
      </c>
      <c r="FY222">
        <f t="shared" si="445"/>
        <v>2.7</v>
      </c>
      <c r="FZ222">
        <f t="shared" si="446"/>
        <v>12.31</v>
      </c>
      <c r="GA222">
        <f t="shared" si="447"/>
        <v>1</v>
      </c>
      <c r="GB222">
        <f t="shared" si="448"/>
        <v>0</v>
      </c>
      <c r="GC222">
        <f t="shared" si="449"/>
        <v>1</v>
      </c>
      <c r="GD222">
        <f>IF(BH222="","",IF(AND(CA222=1,GC222=1),COUNTIFS(A$3:A222,A222,CA$3:CA222,1,GC$3:GC222,1),IF(OR(OR(AW222=1,A222&lt;&gt;A221),AF222="вручную",GC222=0),"",IF(AW222=1,"",GE221))))</f>
        <v>38</v>
      </c>
      <c r="GE222">
        <f t="shared" si="450"/>
        <v>38</v>
      </c>
      <c r="GF222">
        <f>IF(B222="","",IFERROR(LOOKUP(INDEX(CHOOSE(DL222,Iдоп_1ж,Iдоп_2ж,Iдоп_3ж),MATCH(DX222,Iдоп_S,0))*DJ222*DK222,{6,10,16,20,25,32,40,50,63,80,100,125,160,200,250,315,400,500,630}),""))</f>
        <v>25</v>
      </c>
      <c r="GG222" t="str">
        <f t="shared" si="451"/>
        <v>QF38</v>
      </c>
      <c r="GH222" t="str">
        <f t="shared" si="452"/>
        <v>QF38</v>
      </c>
      <c r="GI222" t="str">
        <f t="shared" si="453"/>
        <v/>
      </c>
      <c r="GJ222">
        <f t="shared" si="454"/>
        <v>0</v>
      </c>
      <c r="GK222" t="str">
        <f>IF(OR(AG222="",AG222="-"),"",IFERROR(VLOOKUP(AG222,Модули_спр,2,FALSE),"R"))</f>
        <v/>
      </c>
      <c r="GL222" t="str">
        <f>IF(GK222="","",GK222&amp;"."&amp;COUNTIFS(A$3:A222,A222,GK$3:GK222,GK222))</f>
        <v/>
      </c>
      <c r="GM222" t="str">
        <f t="shared" si="455"/>
        <v/>
      </c>
      <c r="GN222" t="str">
        <f t="shared" si="456"/>
        <v/>
      </c>
      <c r="GO222" t="str">
        <f t="shared" si="457"/>
        <v/>
      </c>
      <c r="GP222" t="str">
        <f t="shared" si="458"/>
        <v/>
      </c>
      <c r="GQ222">
        <f t="shared" si="459"/>
        <v>1</v>
      </c>
      <c r="GR222" t="str">
        <f>IF(GQ222=1,"XT"&amp;COUNTIFS(A$3:A222,A222,GQ$3:GQ222,1),"")</f>
        <v>XT38</v>
      </c>
      <c r="GS222" t="str">
        <f t="shared" si="460"/>
        <v>XT38</v>
      </c>
      <c r="GT222" t="str">
        <f t="shared" si="461"/>
        <v>QF38</v>
      </c>
      <c r="GU222" t="str">
        <f t="shared" si="462"/>
        <v/>
      </c>
      <c r="GV222" t="str">
        <f t="shared" si="463"/>
        <v>ok</v>
      </c>
      <c r="GW222" t="str">
        <f>IF(OR(GO222="",GM222=""),"",IF(GO222&gt;IFERROR(VLOOKUP(GN222,Модули_спр,3,FALSE),99),"ЛИШНИЙ КАНАЛ",IF(AND(AH222&lt;&gt;"=",COUNTIFS(Линии[_модуль гр.],GM222,Линии[Канал (итог)],GO222,Линии[Канал],"&lt;&gt;=",Линии[Щит],A222)&gt;1),"ДУБЛЬ КАНАЛА","")))</f>
        <v/>
      </c>
      <c r="GX222" s="6" t="str">
        <f t="shared" si="464"/>
        <v/>
      </c>
      <c r="GY222">
        <f t="shared" si="465"/>
        <v>10</v>
      </c>
      <c r="GZ222" t="str">
        <f t="shared" si="466"/>
        <v/>
      </c>
      <c r="HA222" t="str">
        <f>IF(AND(B222="",GT222=""),"",_xlfn.TEXTJOIN("; ",TRUE,IF(AND(B222&lt;&gt;"",FE222=""),"нет фазы",""),IF(AND(B222&lt;&gt;"",N(FY222)=0,EQ222&lt;&gt;"Нет"),"нет мощности",""),IF(AND(GS222&lt;&gt;"",COUNTIFS(Линии[Щит],A222,Линии[Клемма (итог)],GS222)&gt;1),"дубль клеммы "&amp;GS222,""),IF(AND(GV222&lt;&gt;"",GV222&lt;&gt;"ok"),GV222,""),IF(GW222&lt;&gt;"",GW222,""),IF(AND(N(BV222)&gt;=4,N(BR222)=1),BV222&amp;" жил на 1 фазе",""),IF(AND(AX222="R",CA222=1,OR(N(CK222)=0,N(CK222)&gt;30)),"розетка без дифзащиты до 30 мА",""),IFERROR(IF(AND(ISNUMBER(R222),R222&gt;DV222),"потери "&amp;FIXED(R222,1)&amp;" % &gt; "&amp;DV222&amp;" %",""),""),IFERROR(IF(LEFT(GZ222,4)="мало","Iкз мало — отключение &gt; 0,4 с",""),""),IF(AND(B222&lt;&gt;"",BH222=""),"не на схеме",""),IF(AND(CA222=0,B222&lt;&gt;"",FE222&lt;&gt;"",IF(AW222=1,"",FF221)&lt;&gt;"",FE222&lt;&gt;IF(AW222=1,"",FF221)),"фаза не как у автомата группы ("&amp;IF(AW222=1,"",FF221)&amp;")","")))</f>
        <v/>
      </c>
      <c r="HB222" s="6">
        <f>IF(OR(CA222=0,DA222=""),"",_xlfn.LET(_xlpm.t,IFERROR(_xlfn.XLOOKUP(DA222,Каталог!$U$4:$U$500,Каталог!$G$4:$G$500),""),_xlpm.k,SEARCH("кА",_xlpm.t),IFERROR(--TRIM(RIGHT(SUBSTITUTE(MID(_xlpm.t,MAX(1,_xlpm.k-4),_xlpm.k-MAX(1,_xlpm.k-4))," ",REPT(" ",9)),5)),"")))</f>
        <v>6</v>
      </c>
      <c r="HC222" t="str">
        <f>IF(OR(HB222="",CA222=0),"",IF(_xlfn.XLOOKUP(A222,Щиты[Щит],Щиты[Iкз max на шинах, кА],"")="","",IF(HB222&lt;_xlfn.XLOOKUP(A222,Щиты[Щит],Щиты[Iкз max на шинах, кА]),"Icu "&amp;HB222&amp;" кА &lt; Iкз max","ok")))</f>
        <v/>
      </c>
      <c r="HD222" t="str">
        <f t="shared" si="467"/>
        <v/>
      </c>
      <c r="HE222" t="str">
        <f t="shared" si="468"/>
        <v>QF38|XT38</v>
      </c>
      <c r="HF222" t="str">
        <f t="shared" si="469"/>
        <v>QF38|XT38|кабель ВВГнг(А)-LS (3х2,5) → Шкаф телекоммуникационный ШТК-ЛВС.0 Цокольный этаж Пом. №002Т</v>
      </c>
      <c r="HG222" t="str" cm="1">
        <f t="array" ref="HG222">IF(HF222="","",_xlfn.LET(_xlpm.nd,_xlfn.TEXTSPLIT(HF222,"|"),IF(COLUMNS(_xlpm.nd)&gt;1,A222&amp;"¦"&amp;INDEX(_xlpm.nd,1)&amp;"¦"&amp;INDEX(_xlpm.nd,2),"")))</f>
        <v>ЩР-01¦QF38¦XT38</v>
      </c>
      <c r="HH222" t="str">
        <f t="shared" si="470"/>
        <v>ШТК-ЛВС.0¦Шкаф телекоммуникационный ШТК-ЛВС.0 Цокольный этаж Пом. №002Т</v>
      </c>
      <c r="HI222" t="str" cm="1">
        <f t="array" ref="HI222">IF(HF222="","",_xlfn.LET(_xlpm.nd,_xlfn.TEXTSPLIT(HF222,"|"),IF(COLUMNS(_xlpm.nd)&gt;2,A222&amp;"¦"&amp;INDEX(_xlpm.nd,2)&amp;"¦"&amp;INDEX(_xlpm.nd,3),"")))</f>
        <v>ЩР-01¦XT38¦кабель ВВГнг(А)-LS (3х2,5) → Шкаф телекоммуникационный ШТК-ЛВС.0 Цокольный этаж Пом. №002Т</v>
      </c>
      <c r="HJ222" t="str">
        <f t="shared" si="471"/>
        <v>ШТК-ЛВС.0¦Шкаф телекоммуникационный ШТК-ЛВС.0 Цокольный этаж Пом. №002Т</v>
      </c>
      <c r="HK222" t="str" cm="1">
        <f t="array" ref="HK222">IF(HF222="","",_xlfn.LET(_xlpm.nd,_xlfn.TEXTSPLIT(HF222,"|"),IF(COLUMNS(_xlpm.nd)&gt;3,A222&amp;"¦"&amp;INDEX(_xlpm.nd,3)&amp;"¦"&amp;INDEX(_xlpm.nd,4),"")))</f>
        <v/>
      </c>
      <c r="HL222" t="str">
        <f t="shared" si="472"/>
        <v/>
      </c>
      <c r="HM222" t="str" cm="1">
        <f t="array" ref="HM222">IF(HF222="","",_xlfn.LET(_xlpm.nd,_xlfn.TEXTSPLIT(HF222,"|"),IF(COLUMNS(_xlpm.nd)&gt;4,A222&amp;"¦"&amp;INDEX(_xlpm.nd,4)&amp;"¦"&amp;INDEX(_xlpm.nd,5),"")))</f>
        <v/>
      </c>
      <c r="HN222" t="str">
        <f t="shared" si="473"/>
        <v/>
      </c>
      <c r="HO222" t="str" cm="1">
        <f t="array" ref="HO222">IF(HF222="","",_xlfn.LET(_xlpm.nd,_xlfn.TEXTSPLIT(HF222,"|"),IF(COLUMNS(_xlpm.nd)&gt;5,A222&amp;"¦"&amp;INDEX(_xlpm.nd,5)&amp;"¦"&amp;INDEX(_xlpm.nd,6),"")))</f>
        <v/>
      </c>
      <c r="HP222" t="str">
        <f t="shared" si="474"/>
        <v/>
      </c>
      <c r="HQ222" t="str" cm="1">
        <f t="array" ref="HQ222">IF(HF222="","",_xlfn.LET(_xlpm.nd,_xlfn.TEXTSPLIT(HF222,"|"),IF(COLUMNS(_xlpm.nd)&gt;6,A222&amp;"¦"&amp;INDEX(_xlpm.nd,6)&amp;"¦"&amp;INDEX(_xlpm.nd,7),"")))</f>
        <v/>
      </c>
      <c r="HR222" t="str">
        <f t="shared" si="475"/>
        <v/>
      </c>
      <c r="HS222" t="str">
        <f t="shared" si="476"/>
        <v/>
      </c>
      <c r="HT222" t="str">
        <f t="shared" si="477"/>
        <v>QF38 → XT38</v>
      </c>
      <c r="HU222">
        <f t="shared" si="478"/>
        <v>0</v>
      </c>
      <c r="HV222">
        <f t="shared" si="479"/>
        <v>0</v>
      </c>
      <c r="HW222" t="str">
        <f t="shared" si="480"/>
        <v/>
      </c>
      <c r="HX222" t="str">
        <f t="shared" si="481"/>
        <v/>
      </c>
      <c r="HY222" t="str">
        <f t="shared" si="482"/>
        <v/>
      </c>
      <c r="HZ222" t="str">
        <f t="shared" si="483"/>
        <v/>
      </c>
      <c r="IA222">
        <f>IF(B222="","",IFERROR(VLOOKUP(B222,УГО_спр,2,FALSE),IFERROR(VLOOKUP(AX222,УГО_спр,2,FALSE),IFERROR(VLOOKUP(LEFT(AX222,2),УГО_спр,2,FALSE),""))))</f>
        <v>0</v>
      </c>
      <c r="IB222" t="str">
        <f>IF(B222="","",IF(OR(IA222="",IA222=0),"BOX",IFERROR(IF(VLOOKUP(IA222,УГО_блоки,3,FALSE)&amp;""&lt;&gt;"",VLOOKUP(IA222,УГО_блоки,3,FALSE),VLOOKUP(IA222,УГО_блоки,2,FALSE)),IA222)))</f>
        <v>BOX</v>
      </c>
      <c r="IC222">
        <f t="shared" si="484"/>
        <v>1</v>
      </c>
      <c r="ID222" t="str">
        <f>IF(DA222="","",IF(COUNTIF(DA$3:DA222,DA222)=1,MAX(ID$2:ID221)+1,""))</f>
        <v/>
      </c>
      <c r="IE222" t="str">
        <f>IF(CO222="","",IF(COUNTIF(CO$3:CO222,CO222)+COUNTIF(CP$2:CP221,CO222)+COUNTIF(CQ$2:CQ221,CO222)=1,MAX(IE$2:IG221)+1,""))</f>
        <v/>
      </c>
      <c r="IF222" t="str">
        <f>IF(CP222="","",IF(COUNTIF(CO$3:CO222,CP222)+COUNTIF(CP$3:CP222,CP222)+COUNTIF(CQ$2:CQ221,CP222)=1,MAX(IE$2:IG221,IE222)+1,""))</f>
        <v/>
      </c>
      <c r="IG222" t="str">
        <f>IF(CQ222="","",IF(COUNTIF(CO$3:CO222,CQ222)+COUNTIF(CP$3:CP222,CQ222)+COUNTIF(CQ$3:CQ222,CQ222)=1,MAX(IE$2:IG221,IE222,IF222)+1,""))</f>
        <v/>
      </c>
      <c r="IH222" t="str">
        <f t="shared" si="485"/>
        <v>3х2,5</v>
      </c>
      <c r="II222" t="str">
        <f>IF(IH222="","",IF(COUNTIF(IH$3:IH222,IH222)=1,MAX(II$2:II221)+1,""))</f>
        <v/>
      </c>
      <c r="IJ222" t="str">
        <f>IF(GL222="","",COUNTIF(GL$3:GL222,"?*"))</f>
        <v/>
      </c>
      <c r="IK222" t="str">
        <f>IF(OR(GL222="",GN222=""),"",IF(COUNTIFS(GL$3:GL222,"?*",GN$3:GN222,GN222)=1,MAX(IK$2:IK221)+1,""))</f>
        <v/>
      </c>
      <c r="IL222">
        <f t="shared" si="486"/>
        <v>0</v>
      </c>
      <c r="IM222">
        <f>IF(B222="","",COUNTIF(B$3:B222,"?*"))</f>
        <v>220</v>
      </c>
      <c r="IN222">
        <f>IF(GQ222&lt;&gt;1,0,_xlfn.LET(_xlpm.k,MAX(IFERROR(--VLOOKUP(B222,УГО_спр,5,FALSE),0),IFERROR(--VLOOKUP(AX222,УГО_спр,5,FALSE),0),IFERROR(--VLOOKUP(LEFT(AX222,2),УГО_спр,5,FALSE),0)),IF(_xlpm.k&gt;0,_xlpm.k,IF(IFERROR(--LEFT(SUBSTITUTE(IH222,"x","х"),FIND("х",SUBSTITUTE(IH222,"x","х"))-1),3)&gt;3,Каталог!$S$9,1))))</f>
        <v>1</v>
      </c>
      <c r="IO222">
        <f t="shared" si="487"/>
        <v>0</v>
      </c>
      <c r="IP222" t="str">
        <f t="shared" si="488"/>
        <v>авто</v>
      </c>
      <c r="IQ222" t="str">
        <f t="shared" si="489"/>
        <v/>
      </c>
      <c r="IR222">
        <f t="shared" si="490"/>
        <v>0</v>
      </c>
      <c r="IS222">
        <f t="shared" si="491"/>
        <v>1</v>
      </c>
    </row>
    <row r="223" spans="1:253" x14ac:dyDescent="0.3">
      <c r="A223" t="s">
        <v>757</v>
      </c>
      <c r="B223" t="s">
        <v>1489</v>
      </c>
      <c r="C223" t="s">
        <v>1664</v>
      </c>
      <c r="D223">
        <v>1</v>
      </c>
      <c r="E223">
        <v>0.3</v>
      </c>
      <c r="G223">
        <v>16</v>
      </c>
      <c r="H223" t="str">
        <f>Линии[[#This Row],[_авто утечка]]</f>
        <v/>
      </c>
      <c r="I223" t="str">
        <f>Линии[[#This Row],[_авто управление]]</f>
        <v/>
      </c>
      <c r="J223" t="str">
        <f>Линии[[#This Row],[_авто аппараты]]</f>
        <v/>
      </c>
      <c r="K223">
        <v>2.5</v>
      </c>
      <c r="L223">
        <v>12</v>
      </c>
      <c r="M223">
        <v>1</v>
      </c>
      <c r="N223" t="str">
        <f>Линии[[#This Row],[_авто клемма]]</f>
        <v>XT39</v>
      </c>
      <c r="O223" t="str">
        <f t="shared" si="369"/>
        <v/>
      </c>
      <c r="P223" s="6" cm="1">
        <f t="array" ref="P223">IF(B223="","",IF(BC223&lt;&gt;"",IFERROR(_xlfn.XLOOKUP(BC223,Щиты[Щит],Щиты[Iр, А]),""),IF(BK223=1,IFERROR(_xlfn.XLOOKUP(A223,Щиты[Щит],Щиты[Iр, А]),""),IFERROR(_xlfn.IFS(BR223=1,BN223/((Uн_лин/SQRT(3))*BY223),BR223=3,BN223/(SQRT(3)*Uн_лин*BY223)),""))))</f>
        <v>1.3674085322912188</v>
      </c>
      <c r="Q223" s="7">
        <f>IF(B223="","",IFERROR(IF(VLOOKUP(AX223,Потребители_обозначение,4,FALSE)=1,VLOOKUP(AX223,Потребители_обозначение,3,FALSE)*(D223*2-1)+DS223+VLOOKUP(AZ223,Этаж_обозначение,3,FALSE)+VLOOKUP(AZ223,Этаж_обозначение,4,FALSE),VLOOKUP(AX223,Потребители_обозначение,3,FALSE)*(D223*2-1)+DS223),DS223))</f>
        <v>12</v>
      </c>
      <c r="R223" s="6">
        <f t="shared" si="370"/>
        <v>0.56000000000000005</v>
      </c>
      <c r="S223" t="str">
        <f t="shared" si="371"/>
        <v>ВВГнг(А)-LS (3х2,5)</v>
      </c>
      <c r="T223" t="str">
        <f>IF(BH223="","",IF(BI223="вводной узел","узел ","")&amp;"л."&amp;(INT((BH223-1)/Столбцов_на_лист)+1)&amp;" / "&amp;(MOD(BH223-1,Столбцов_на_лист)+1))</f>
        <v>л.4 / 15</v>
      </c>
      <c r="V223">
        <v>1</v>
      </c>
      <c r="W223">
        <v>230</v>
      </c>
      <c r="X223" t="s">
        <v>575</v>
      </c>
      <c r="AC223" t="s">
        <v>815</v>
      </c>
      <c r="AE223" t="s">
        <v>579</v>
      </c>
      <c r="AI223">
        <v>66</v>
      </c>
      <c r="AJ223" t="s">
        <v>11</v>
      </c>
      <c r="AK223">
        <v>3</v>
      </c>
      <c r="AN223">
        <v>12</v>
      </c>
      <c r="AW223" cm="1">
        <f t="array" ref="AW223">ROW()-ROW(Линии[#Headers])</f>
        <v>221</v>
      </c>
      <c r="AX223" s="6" t="str">
        <f t="shared" si="372"/>
        <v>ЩДК-01</v>
      </c>
      <c r="AY223" t="str">
        <f t="shared" si="373"/>
        <v/>
      </c>
      <c r="AZ223" t="str">
        <f t="shared" si="374"/>
        <v/>
      </c>
      <c r="BA223" t="str">
        <f t="shared" si="375"/>
        <v/>
      </c>
      <c r="BB223" t="str">
        <f t="shared" si="376"/>
        <v/>
      </c>
      <c r="BC223" t="str">
        <f>IF(U223&lt;&gt;"",U223,IF(AND(B223&lt;&gt;"",B223&lt;&gt;A223,ISNUMBER(_xlfn.XMATCH(B223,Щиты[Щит]))),B223,""))</f>
        <v/>
      </c>
      <c r="BD223" t="str" cm="1">
        <f t="array" ref="BD223">IF(B223="","",IF(BC223&lt;&gt;"","Щит "&amp;BC223,_xlfn.LET(_xlpm.nm,IFERROR(_xlfn.XLOOKUP(AX223,Коды_код,Коды_имя)&amp;"",""),_xlpm.md,IFERROR(N(_xlfn.XLOOKUP(AX223,Коды_код,Коды_режим)),1),_xlpm.ex,IF(Имя_режим="по экспликации",IFERROR(_xlfn.XLOOKUP(AZ223&amp;"|"&amp;BB223,Экспликация[Этаж]&amp;"|"&amp;Экспликация[Помещение],Экспликация[Название])&amp;"",""),""),_xlpm.rm,IF(BB223="","",IF(_xlpm.ex&lt;&gt;"",". "&amp;_xlpm.ex&amp;IF(Имя_пом="нет"," ("&amp;BB223&amp;")"," (пом. "&amp;BB223&amp;")"),IF(Имя_пом="нет"," ",", пом. ")&amp;BB223)),IF(_xlpm.nm="","",IF(_xlpm.md=2,_xlpm.nm&amp;" шлейф "&amp;AZ223,_xlpm.nm&amp;_xlpm.rm)))))</f>
        <v/>
      </c>
      <c r="BE223" t="str">
        <f t="shared" si="377"/>
        <v>Щит контроля доступа ШДК-01 Цокольный этаж Пом. №001Т</v>
      </c>
      <c r="BF223">
        <f>IFERROR(_xlfn.XMATCH(A223,Щиты[Щит]),0)</f>
        <v>9</v>
      </c>
      <c r="BG223">
        <f>_xlfn.LET(_xlpm.k,IFERROR(_xlfn.XLOOKUP(A223,Щиты[Щит],Щиты[Листов под вводной узел]),""),IF(_xlpm.k="",1,N(_xlpm.k))*Столбцов_на_лист)</f>
        <v>17</v>
      </c>
      <c r="BH223">
        <f t="shared" si="378"/>
        <v>66</v>
      </c>
      <c r="BI223" t="str">
        <f t="shared" si="379"/>
        <v>линии</v>
      </c>
      <c r="BJ223" s="6">
        <f>IFERROR(N(_xlfn.XLOOKUP(AX223,Коды_код,Коды_квт)),0)</f>
        <v>0</v>
      </c>
      <c r="BK223">
        <f t="shared" si="380"/>
        <v>0</v>
      </c>
      <c r="BL223" t="str">
        <f>IF(B223="","",IF(BC223&lt;&gt;"",IFERROR(_xlfn.XLOOKUP(BC223,Щиты[Щит],Щиты[Руст, кВт]),0),IF(BK223=1,IFERROR(_xlfn.XLOOKUP(A223,Щиты[Щит],Щиты[Руст, кВт]),0),IF(BJ223&gt;0,ROUND(BJ223*MAX(1,N(D223)),3),""))))</f>
        <v/>
      </c>
      <c r="BM223">
        <f t="shared" si="381"/>
        <v>0.3</v>
      </c>
      <c r="BN223" s="6">
        <f>IF(B223="","",IF(BC223&lt;&gt;"",IFERROR(_xlfn.XLOOKUP(BC223,Щиты[Щит],Щиты[Руст, кВт]),0),N(BM223)))</f>
        <v>0.3</v>
      </c>
      <c r="BO223" t="str">
        <f>IF(B223="","",IFERROR(IF(VLOOKUP(AX223,Потребители_обозначение,8,FALSE)=0,"",VLOOKUP(AX223,Потребители_обозначение,8,FALSE)),""))</f>
        <v/>
      </c>
      <c r="BP223">
        <f t="shared" si="382"/>
        <v>230</v>
      </c>
      <c r="BQ223">
        <f>IF(B223="","",IF(BC223&lt;&gt;"",3,IFERROR(IF(N(VLOOKUP(AX223,Потребители_обозначение,9,FALSE))=0,1,VLOOKUP(AX223,Потребители_обозначение,9,FALSE)),1)))</f>
        <v>1</v>
      </c>
      <c r="BR223">
        <f t="shared" si="383"/>
        <v>1</v>
      </c>
      <c r="BS223" t="str">
        <f>IF(B223="","",_xlfn.LET(_xlpm.bc,IFERROR(IF(VLOOKUP(AX223,Потребители_обозначение,6,FALSE)=0,"",VLOOKUP(AX223,Потребители_обозначение,6,FALSE)&amp;""),""),IF(AND(FK223="да",OR(_xlpm.bc="",_xlpm.bc="мс")),Марка_пож,IF(AND(_xlpm.bc="",BC223&lt;&gt;""),"мс",_xlpm.bc))))</f>
        <v/>
      </c>
      <c r="BT223" t="str">
        <f t="shared" si="384"/>
        <v>мс</v>
      </c>
      <c r="BU223">
        <f>IF(B223="","",_xlfn.LET(_xlpm.cc,IFERROR(N(VLOOKUP(AX223,Потребители_обозначение,7,FALSE)),0),IF(_xlpm.cc&gt;0,_xlpm.cc,IF(BT223="","",IF(N(BR223)=3,5,3)))))</f>
        <v>3</v>
      </c>
      <c r="BV223">
        <f t="shared" si="385"/>
        <v>3</v>
      </c>
      <c r="BW223">
        <f>IFERROR(N(VLOOKUP(AX223,Потребители_обозначение,10,FALSE)),0)</f>
        <v>0</v>
      </c>
      <c r="BX223">
        <f>IFERROR(VLOOKUP(AX223,Потребители_обозначение,5,FALSE),0)</f>
        <v>0</v>
      </c>
      <c r="BY223" s="6" cm="1">
        <f t="array" ref="BY223">IF(B223="","",IF(BC223&lt;&gt;"",IFERROR(_xlfn.XLOOKUP(BC223,Щиты[Щит],Щиты[cos φ]),0.95),IF(BK223=1,IFERROR(_xlfn.XLOOKUP(A223,Щиты[Щит],Щиты[cos φ]),0.95),IF(ISNUMBER(Z223),Z223,IFERROR(IF(BX223=2,_xlfn.IFS(BR223=3,VLOOKUP(BN223,Справочная_двигатели,8,FALSE),BR223=1,VLOOKUP(BN223,Справочная_двигатели,10,TRUE)),IF(AND(Методика="нормы 2026",EQ223="Сил"),0.8,0.95)),0.95)))))</f>
        <v>0.95</v>
      </c>
      <c r="BZ223">
        <f t="shared" si="386"/>
        <v>0</v>
      </c>
      <c r="CA223">
        <f t="shared" si="387"/>
        <v>1</v>
      </c>
      <c r="CB223">
        <f t="shared" si="388"/>
        <v>0</v>
      </c>
      <c r="CC223">
        <f t="shared" si="389"/>
        <v>0</v>
      </c>
      <c r="CD223">
        <f t="shared" si="390"/>
        <v>0</v>
      </c>
      <c r="CE223">
        <f t="shared" si="391"/>
        <v>0</v>
      </c>
      <c r="CF223">
        <f t="shared" si="392"/>
        <v>0</v>
      </c>
      <c r="CG223">
        <f>IF(AX223="",0,_xlfn.LET(_xlpm.v,IFERROR(VLOOKUP(B223,УГО_спр,3,FALSE),IFERROR(VLOOKUP(AX223,УГО_спр,3,FALSE),IFERROR(VLOOKUP(LEFT(AX223,2),УГО_спр,3,FALSE),""))),IF(_xlpm.v="да",30,IF(ISNUMBER(_xlpm.v),_xlpm.v,0))))</f>
        <v>0</v>
      </c>
      <c r="CH223" t="str">
        <f t="shared" si="393"/>
        <v/>
      </c>
      <c r="CI223" t="str">
        <f>_xlfn.LET(_xlpm.k,IFERROR(_xlfn.XLOOKUP(AX223,Коды_код,Коды_утечка)&amp;"",""),IF(_xlpm.k="","дифавтомат",_xlpm.k))</f>
        <v>дифавтомат</v>
      </c>
      <c r="CJ223">
        <f t="shared" si="394"/>
        <v>0</v>
      </c>
      <c r="CK223">
        <f t="shared" si="395"/>
        <v>0</v>
      </c>
      <c r="CL223">
        <f>IF(B223="",0,IFERROR(--VLOOKUP(B223,УГО_спр,4,FALSE),IFERROR(--VLOOKUP(AX223,УГО_спр,4,FALSE),IFERROR(--VLOOKUP(LEFT(AX223,2),УГО_спр,4,FALSE),0))))</f>
        <v>0</v>
      </c>
      <c r="CM223" t="str">
        <f>IF(B223="","",IFERROR(_xlfn.XLOOKUP(AX223,Коды_код,Коды_апп)&amp;"",""))</f>
        <v/>
      </c>
      <c r="CN223" t="str">
        <f t="shared" si="396"/>
        <v/>
      </c>
      <c r="CO223" t="str" cm="1">
        <f t="array" ref="CO223">IF(TRIM(CN223&amp;"")="","",IFERROR(TRIM(INDEX(_xlfn.TEXTSPLIT(CN223&amp;";;;",";"),1)),""))</f>
        <v/>
      </c>
      <c r="CP223" t="str" cm="1">
        <f t="array" ref="CP223">IF(TRIM(CN223&amp;"")="","",IFERROR(TRIM(INDEX(_xlfn.TEXTSPLIT(CN223&amp;";;;",";"),2)),""))</f>
        <v/>
      </c>
      <c r="CQ223" t="str" cm="1">
        <f t="array" ref="CQ223">IF(TRIM(CN223&amp;"")="","",IFERROR(TRIM(INDEX(_xlfn.TEXTSPLIT(CN223&amp;";;;",";"),3)),""))</f>
        <v/>
      </c>
      <c r="CR223">
        <f t="shared" si="397"/>
        <v>0</v>
      </c>
      <c r="CS223" t="str">
        <f>IF(B223="","",_xlfn.LET(_xlpm.t,LOWER(AV223&amp;""),IF(ISNUMBER(SEARCH("dim",_xlpm.t)),"DIM",IF(ISNUMBER(SEARCH("dali",_xlpm.t)),"DALI",IF(OR(ISNUMBER(SEARCH("relay",_xlpm.t)),ISNUMBER(SEARCH("реле",_xlpm.t))),"Relay",IF(ISNUMBER(SEARCH("кнопк",_xlpm.t)),"",IFERROR(_xlfn.XLOOKUP(AX223,Коды_код,Коды_упр)&amp;"","")))))))</f>
        <v/>
      </c>
      <c r="CT223" t="str">
        <f t="shared" si="398"/>
        <v/>
      </c>
      <c r="CU223">
        <f>IF(B223="","",_xlfn.LET(_xlpm.ig,N(P223)+IF(AF223="вручную",0,N(CB223)),_xlpm.n0,IFERROR(VLOOKUP(_xlpm.ig,Автомат_номиналы,2,TRUE),0),_xlpm.mn,MAX(CL223,IF(AF223="вручную",0,N(CE223))),MAX(_xlpm.n0,_xlpm.mn,IF(CR223=1,Мин_автомат_БП,0))))</f>
        <v>6</v>
      </c>
      <c r="CV223">
        <f t="shared" si="399"/>
        <v>1</v>
      </c>
      <c r="CW223" t="str">
        <f t="shared" si="400"/>
        <v>1P</v>
      </c>
      <c r="CX223" t="str">
        <f>_xlfn.LET(_xlpm.cc,UPPER(TRIM(IFERROR(_xlfn.XLOOKUP(AX223,Коды_код,Коды_хар)&amp;"",""))),IF(OR(_xlpm.cc="B",_xlpm.cc="В"),"B",IF(_xlpm.cc="D","D","С")))</f>
        <v>С</v>
      </c>
      <c r="CY223" t="str">
        <f t="shared" si="401"/>
        <v>1P С6А</v>
      </c>
      <c r="CZ223">
        <f t="shared" si="402"/>
        <v>16</v>
      </c>
      <c r="DA223" t="str">
        <f t="shared" si="403"/>
        <v>1P С16А</v>
      </c>
      <c r="DB223" cm="1">
        <f t="array" ref="DB223">IF(DA223="","",_xlfn.LET(_xlpm.t,SUBSTITUTE(SUBSTITUTE(SUBSTITUTE(UPPER(DA223),"С","C"),"А","A"),"В","B"),_xlpm.tk,_xlfn.TEXTSPLIT(_xlpm.t,"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3" t="str">
        <f t="shared" si="404"/>
        <v>ok</v>
      </c>
      <c r="DD223">
        <f t="shared" si="405"/>
        <v>16</v>
      </c>
      <c r="DE223" t="str">
        <f t="shared" si="406"/>
        <v>1P С16А</v>
      </c>
      <c r="DF223">
        <f t="shared" si="407"/>
        <v>0</v>
      </c>
      <c r="DG223">
        <f t="shared" si="408"/>
        <v>0</v>
      </c>
      <c r="DH223">
        <f t="shared" si="409"/>
        <v>0</v>
      </c>
      <c r="DI223">
        <f t="shared" si="410"/>
        <v>1.3674085322912188</v>
      </c>
      <c r="DJ223">
        <f t="shared" si="411"/>
        <v>1</v>
      </c>
      <c r="DK223">
        <f>IF(ISNUMBER(AL223),AL223,К_прокл)</f>
        <v>1</v>
      </c>
      <c r="DL223">
        <f t="shared" si="412"/>
        <v>2</v>
      </c>
      <c r="DM223">
        <f>IFERROR(N(VLOOKUP(BT223,Кабель_обозначение,3,FALSE)),1)</f>
        <v>1</v>
      </c>
      <c r="DN223">
        <f>IFERROR(N(_xlfn.XLOOKUP(A223,Щиты[Щит],Щиты[ΔU до шин, %])),0)</f>
        <v>0.43</v>
      </c>
      <c r="DO223" t="str">
        <f>IFERROR(_xlfn.XLOOKUP(A223,Щиты[Щит],Щиты[Zпетли на шинах, Ом]),"")</f>
        <v/>
      </c>
      <c r="DP223">
        <f>IFERROR(N(_xlfn.XLOOKUP(A223,Щиты[Щит],Щиты[ΔU до шин (подбор), %])),0)</f>
        <v>0.43</v>
      </c>
      <c r="DQ223" t="str">
        <f>IFERROR(_xlfn.XLOOKUP(A223,Щиты[Щит],Щиты[Zпетли на шинах (подбор), Ом]),"")</f>
        <v/>
      </c>
      <c r="DR223" t="str">
        <f t="shared" si="413"/>
        <v/>
      </c>
      <c r="DS223">
        <f t="shared" si="414"/>
        <v>12</v>
      </c>
      <c r="DT223">
        <f t="shared" si="415"/>
        <v>2</v>
      </c>
      <c r="DU223">
        <f t="shared" si="416"/>
        <v>0.31</v>
      </c>
      <c r="DV223" s="6">
        <f>IF(B223="","",IF(IFERROR(VLOOKUP(AX223,УГО_спр,2,FALSE),"")="Светильник",3,4)+IF(Методика="нормы 2026",MIN(0.5,MAX(0,N(Q223)-100)*0.005),0))</f>
        <v>4</v>
      </c>
      <c r="DW223" cm="1">
        <f t="array" ref="DW223">IF(OR(B223="",BT223="",DM223&lt;&gt;1),"",_xlfn.LET(_xlpm.sz,Iдоп_S,_xlpm.t_,CHOOSE(DL223,Iдоп_1ж,Iдоп_2ж,Iдоп_3ж)*DJ223*DK223,_xlpm.inn,N(DD223),_xlpm.smin,MAX(1.5,BW223),_xlpm.L_,N(Q223)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223)*(_xlpm.rho*_xlpm.L_/_xlpm.sz*N(BY223)+_xlpm.xx*_xlpm.L_*N(DU223)/1000)*N(P223)/((Uн_лин/SQRT(3))*1000)*100,999),_xlpm.kz,IF(OR(DG223=1,NOT(ISNUMBER(DQ223)),_xlpm.L_=0,_xlpm.inn=0),1,IFERROR(--(c_min*(Uн_лин*1000/SQRT(3))/(DQ223+2*ρкз_Cu*_xlpm.L_/_xlpm.sz)&gt;=GY223*_xlpm.inn),0)),_xlpm.ok,IFERROR((_xlpm.sz&gt;=_xlpm.smin)*(_xlpm.t_&gt;=_xlpm.inn)*IF(_xlpm.L_&gt;0,(_xlpm.du_+DP223&lt;=DV223+0.00001),1)*_xlpm.kz,0),_xlpm.r_,_xlfn._xlws.FILTER(_xlpm.sz,_xlpm.ok,"не подобрано"),INDEX(_xlpm.r_,1)))</f>
        <v>1.5</v>
      </c>
      <c r="DX223">
        <f t="shared" si="417"/>
        <v>2.5</v>
      </c>
      <c r="DY223" cm="1">
        <f t="array" ref="DY223">IF(OR(B223="",BT223="",DM223&lt;&gt;1),"",_xlfn.LET(_xlpm.sz,Iдоп_S,_xlpm.t_,CHOOSE(DL223,Iдоп_1ж,Iдоп_2ж,Iдоп_3ж)*DJ223*DK223,_xlpm.ok,IFERROR((_xlpm.sz&gt;=MAX(1.5,BW223))*(_xlpm.t_&gt;=N(DD223)),0),_xlpm.r_,_xlfn._xlws.FILTER(_xlpm.sz,_xlpm.ok,""),INDEX(_xlpm.r_,1)))</f>
        <v>1.5</v>
      </c>
      <c r="DZ223" s="6" cm="1">
        <f t="array" ref="DZ223">IFERROR(ROUNDUP(N(DT223)*(_xlfn.XLOOKUP(DY223,INDEX(Кабель_сопротивление,0,1),INDEX(Кабель_сопротивление,0,3))*N(Q223)/DY223*N(BY223)+_xlfn.XLOOKUP(DY223,INDEX(Кабель_сопротивление,0,1),INDEX(Кабель_сопротивление,0,2))*N(Q223)*N(DU223)/1000)*N(P223)/((Uн_лин/SQRT(3))*1000)*100,2),"")</f>
        <v>0.21000000000000002</v>
      </c>
      <c r="EA223">
        <f>IFERROR(2*ρкз_Cu*N(Q223)/DY223,"")</f>
        <v>0.42080000000000001</v>
      </c>
      <c r="EB223">
        <f>IFERROR(VLOOKUP(DX223,Кабель_сопротивление,3,FALSE),"")</f>
        <v>2.2499999999999999E-2</v>
      </c>
      <c r="EC223">
        <f>IFERROR(VLOOKUP(DX223,Кабель_сопротивление,2,FALSE),"")</f>
        <v>0.1</v>
      </c>
      <c r="ED223">
        <f t="shared" si="418"/>
        <v>12</v>
      </c>
      <c r="EE223" t="str">
        <f t="shared" si="419"/>
        <v/>
      </c>
      <c r="EF223">
        <f t="shared" si="420"/>
        <v>0.2816095827741828</v>
      </c>
      <c r="EG223" s="6">
        <f>IFERROR(ROUNDUP(EF223/((Uн_лин/SQRT(3))*1000)*100,2),"")</f>
        <v>0.13</v>
      </c>
      <c r="EH223" t="str">
        <f>IFERROR(VLOOKUP(BT223,Кабель_обозначение,2,FALSE),"")</f>
        <v>ВВГнг(А)-LS</v>
      </c>
      <c r="EI223" t="str">
        <f t="shared" si="421"/>
        <v>ВВГнг(А)-LS (3х2,5)</v>
      </c>
      <c r="EJ223" t="str">
        <f t="shared" si="422"/>
        <v>ВВГнг(А)-LS (3х2,5)
L=12-0,13%</v>
      </c>
      <c r="EK223">
        <f>IFERROR(2*ρкз_Cu*Q223/DX223,"")</f>
        <v>0.25247999999999998</v>
      </c>
      <c r="EL223">
        <f t="shared" si="423"/>
        <v>8.4000000000000005E-2</v>
      </c>
      <c r="EM223" s="6" t="str">
        <f>IFERROR(IF(OR(B223="",NOT(ISNUMBER(DX223)),N(Q223)=0),"",_xlfn.XLOOKUP(A223,Щиты[Щит],Щиты[Zпетли на шинах, Ом])+EK223),"")</f>
        <v/>
      </c>
      <c r="EN223" s="6" t="str">
        <f>IF(ISNUMBER(EM223),c_min*(Uн_лин*1000/SQRT(3))/EM223,"")</f>
        <v/>
      </c>
      <c r="EO223" s="6" t="str">
        <f>IFERROR(IF(OR(B223="",NOT(ISNUMBER(DX223))),"",1.05*(Uн_лин*1000/SQRT(3))/(_xlfn.XLOOKUP(A223,Щиты[Щит],Щиты[Zmax на шинах, Ом])+EL223)/1000),"")</f>
        <v/>
      </c>
      <c r="EP223" s="6" t="str">
        <f>IF(B223="","",IF(ISNUMBER(Y223),"Сил",IF(IFERROR(_xlfn.XLOOKUP(AX223,Коды_код,Коды_группа)&amp;"","")="","Быт",_xlfn.XLOOKUP(AX223,Коды_код,Коды_группа)&amp;"")))</f>
        <v>Быт</v>
      </c>
      <c r="EQ223" s="6" t="str">
        <f t="shared" si="424"/>
        <v>Пост</v>
      </c>
      <c r="ER223" s="6">
        <f>IF(EQ223="Щит","щит",IF(EQ223="","",IF(EQ223="Быт",IFERROR(_xlfn.XLOOKUP(A223,Щиты[Щит],Щиты[Кс быт]),1),IF(EQ223="Сил",IF(ISNUMBER(Y223),Y223,IF(Методика="нормы 2026",IFERROR(_xlfn.XLOOKUP(A223,Щиты[Щит],Щиты[Кс силовых (табл. 7.5)]),1),1)),IF(OR(EQ223="Пост",EQ223="Отоп"),1,IF(EQ223="ВНГ",0.7,0))))))</f>
        <v>1</v>
      </c>
      <c r="ES223">
        <f t="shared" si="425"/>
        <v>1</v>
      </c>
      <c r="ET223">
        <f t="shared" si="426"/>
        <v>0.3</v>
      </c>
      <c r="EU223">
        <f t="shared" si="427"/>
        <v>0</v>
      </c>
      <c r="EV223">
        <f t="shared" si="428"/>
        <v>0</v>
      </c>
      <c r="EW223">
        <f t="shared" si="429"/>
        <v>0.3</v>
      </c>
      <c r="EX223">
        <f t="shared" si="430"/>
        <v>0</v>
      </c>
      <c r="EY223">
        <f t="shared" si="431"/>
        <v>0</v>
      </c>
      <c r="EZ223">
        <f t="shared" si="432"/>
        <v>0.3</v>
      </c>
      <c r="FA223">
        <f t="shared" si="433"/>
        <v>0.28499999999999998</v>
      </c>
      <c r="FB223">
        <f t="shared" si="434"/>
        <v>0.3</v>
      </c>
      <c r="FC223" t="str">
        <f t="shared" si="435"/>
        <v>L1</v>
      </c>
      <c r="FD223" t="str">
        <f>IF(B223="","",IF(CA223=0,IF(AW223=1,"",FF222),IF(OR(N(CV223)&gt;=3,N(BR223)&gt;=3),"L1,L2,L3",IFERROR(_xlfn.TEXTBEFORE(_xlfn.TEXTAFTER(_xlfn.XLOOKUP(A223,Щиты[Щит],Щиты[_фазы авто]),";"&amp;AW223&amp;":"),";"),"L1"))))</f>
        <v>L1</v>
      </c>
      <c r="FE223" t="str">
        <f t="shared" si="436"/>
        <v>L1</v>
      </c>
      <c r="FF223" t="str">
        <f t="shared" si="437"/>
        <v>L1</v>
      </c>
      <c r="FG223" cm="1">
        <f t="array" ref="FG223">IFERROR(IF(BX223=2,_xlfn.IFS(BR223=3,VLOOKUP(BN223,Справочная_двигатели,3,FALSE),BR223=1,VLOOKUP(BN223,Справочная_двигатели,5,TRUE)),0),0)</f>
        <v>0</v>
      </c>
      <c r="FH223">
        <f>IFERROR(IF(BX223=3,VLOOKUP(BN223,Справочная_ЛЭД,2,TRUE),0),0)</f>
        <v>0</v>
      </c>
      <c r="FI223" s="6">
        <f t="shared" si="438"/>
        <v>0</v>
      </c>
      <c r="FJ223" t="str" cm="1">
        <f t="array" ref="FJ223">IF(B223="","",IFERROR(INDEX({"I особая","I","II","III"},MATCH(TRIM(AC223&amp;""),{"I особая","I","II","III"},0)),"III"))</f>
        <v>II</v>
      </c>
      <c r="FK223" t="str">
        <f>IF(B223="","",IF(TRIM(AD223&amp;"")&lt;&gt;"",IF(LOWER(TRIM(AD223&amp;""))="да","да","нет"),IF(IFERROR(_xlfn.XLOOKUP(AX223,Коды_код,Коды_пожарная),"")="да","да","нет")))</f>
        <v>нет</v>
      </c>
      <c r="FL223" t="str">
        <f t="shared" si="439"/>
        <v/>
      </c>
      <c r="FM223" t="str">
        <f t="shared" si="440"/>
        <v>основная</v>
      </c>
      <c r="FN223">
        <f t="shared" si="441"/>
        <v>1</v>
      </c>
      <c r="FO223" t="str" cm="1">
        <f t="array" ref="FO223">IF(B223="","",_xlfn.LET(_xlpm.t,IFERROR(_xlfn.XLOOKUP(1,(Шины[Шина]=FM223)*(((Шины[Щит]=A223)+(Шины[Щит]=""))&gt;0),Шины[Тип]),"")&amp;"",IF(_xlpm.t&lt;&gt;"",_xlpm.t,IF(ISNUMBER(SEARCH("ИБП",FM223)),"ИБП",IF(ISNUMBER(SEARCH("ДГУ",FM223)),"ДГУ","Ввод "&amp;FN223)))))</f>
        <v>Ввод 1</v>
      </c>
      <c r="FP223" t="str">
        <f t="shared" si="442"/>
        <v>Ввод 1</v>
      </c>
      <c r="FQ223" t="str">
        <f>IF(B223="","",IF(OR(FO223="ИБП",FO223="ДГУ"),"I особая",IF(FO223="Одиночная","III",_xlfn.XLOOKUP(A223,Щиты[Щит],Щиты[Категория шины «Ввод»],"III"))))</f>
        <v>II</v>
      </c>
      <c r="FR223">
        <f>IF(B223="",0,IFERROR(MATCH(FJ223,{"III","II","I","I особая"},0),1))</f>
        <v>2</v>
      </c>
      <c r="FS223">
        <f t="shared" si="443"/>
        <v>2</v>
      </c>
      <c r="FT223" t="str">
        <f>IF(B223="","",IF(FR223&gt;IFERROR(MATCH(FQ223,{"III","II","I","I особая"},0),1),"НЕ ОБЕСПЕЧЕНА","ОК"))</f>
        <v>ОК</v>
      </c>
      <c r="FU223" t="str">
        <f>IF(A223="","",_xlfn.XLOOKUP(A223,Щиты[Щит],Щиты[Путь],""))</f>
        <v>|ГРЩ-ЖД|ЩР-01|</v>
      </c>
      <c r="FV223" t="str">
        <f>IF(B223="","",IF(AE223&lt;&gt;"",AE223,IF(IFERROR(_xlfn.XLOOKUP(AX223,Коды_код,Коды_вид)&amp;"","")="","Прочее",_xlfn.XLOOKUP(AX223,Коды_код,Коды_вид)&amp;"")))</f>
        <v>Системы безопасности и связи</v>
      </c>
      <c r="FW223">
        <f>IF(BH223="","",INT((BH223-1)/Столбцов_на_лист)+1)</f>
        <v>4</v>
      </c>
      <c r="FX223" t="str">
        <f t="shared" si="444"/>
        <v>ВВГнг(А)-LS (3х2,5) L=12-0,13%</v>
      </c>
      <c r="FY223">
        <f t="shared" si="445"/>
        <v>0.3</v>
      </c>
      <c r="FZ223">
        <f t="shared" si="446"/>
        <v>1.37</v>
      </c>
      <c r="GA223">
        <f t="shared" si="447"/>
        <v>1</v>
      </c>
      <c r="GB223">
        <f t="shared" si="448"/>
        <v>0</v>
      </c>
      <c r="GC223">
        <f t="shared" si="449"/>
        <v>1</v>
      </c>
      <c r="GD223">
        <f>IF(BH223="","",IF(AND(CA223=1,GC223=1),COUNTIFS(A$3:A223,A223,CA$3:CA223,1,GC$3:GC223,1),IF(OR(OR(AW223=1,A223&lt;&gt;A222),AF223="вручную",GC223=0),"",IF(AW223=1,"",GE222))))</f>
        <v>39</v>
      </c>
      <c r="GE223">
        <f t="shared" si="450"/>
        <v>39</v>
      </c>
      <c r="GF223">
        <f>IF(B223="","",IFERROR(LOOKUP(INDEX(CHOOSE(DL223,Iдоп_1ж,Iдоп_2ж,Iдоп_3ж),MATCH(DX223,Iдоп_S,0))*DJ223*DK223,{6,10,16,20,25,32,40,50,63,80,100,125,160,200,250,315,400,500,630}),""))</f>
        <v>25</v>
      </c>
      <c r="GG223" t="str">
        <f t="shared" si="451"/>
        <v>QF39</v>
      </c>
      <c r="GH223" t="str">
        <f t="shared" si="452"/>
        <v>QF39</v>
      </c>
      <c r="GI223" t="str">
        <f t="shared" si="453"/>
        <v/>
      </c>
      <c r="GJ223">
        <f t="shared" si="454"/>
        <v>0</v>
      </c>
      <c r="GK223" t="str">
        <f>IF(OR(AG223="",AG223="-"),"",IFERROR(VLOOKUP(AG223,Модули_спр,2,FALSE),"R"))</f>
        <v/>
      </c>
      <c r="GL223" t="str">
        <f>IF(GK223="","",GK223&amp;"."&amp;COUNTIFS(A$3:A223,A223,GK$3:GK223,GK223))</f>
        <v/>
      </c>
      <c r="GM223" t="str">
        <f t="shared" si="455"/>
        <v/>
      </c>
      <c r="GN223" t="str">
        <f t="shared" si="456"/>
        <v/>
      </c>
      <c r="GO223" t="str">
        <f t="shared" si="457"/>
        <v/>
      </c>
      <c r="GP223" t="str">
        <f t="shared" si="458"/>
        <v/>
      </c>
      <c r="GQ223">
        <f t="shared" si="459"/>
        <v>1</v>
      </c>
      <c r="GR223" t="str">
        <f>IF(GQ223=1,"XT"&amp;COUNTIFS(A$3:A223,A223,GQ$3:GQ223,1),"")</f>
        <v>XT39</v>
      </c>
      <c r="GS223" t="str">
        <f t="shared" si="460"/>
        <v>XT39</v>
      </c>
      <c r="GT223" t="str">
        <f t="shared" si="461"/>
        <v>QF39</v>
      </c>
      <c r="GU223" t="str">
        <f t="shared" si="462"/>
        <v/>
      </c>
      <c r="GV223" t="str">
        <f t="shared" si="463"/>
        <v>ok</v>
      </c>
      <c r="GW223" t="str">
        <f>IF(OR(GO223="",GM223=""),"",IF(GO223&gt;IFERROR(VLOOKUP(GN223,Модули_спр,3,FALSE),99),"ЛИШНИЙ КАНАЛ",IF(AND(AH223&lt;&gt;"=",COUNTIFS(Линии[_модуль гр.],GM223,Линии[Канал (итог)],GO223,Линии[Канал],"&lt;&gt;=",Линии[Щит],A223)&gt;1),"ДУБЛЬ КАНАЛА","")))</f>
        <v/>
      </c>
      <c r="GX223" s="6" t="str">
        <f t="shared" si="464"/>
        <v/>
      </c>
      <c r="GY223">
        <f t="shared" si="465"/>
        <v>10</v>
      </c>
      <c r="GZ223" t="str">
        <f t="shared" si="466"/>
        <v/>
      </c>
      <c r="HA223" t="str">
        <f>IF(AND(B223="",GT223=""),"",_xlfn.TEXTJOIN("; ",TRUE,IF(AND(B223&lt;&gt;"",FE223=""),"нет фазы",""),IF(AND(B223&lt;&gt;"",N(FY223)=0,EQ223&lt;&gt;"Нет"),"нет мощности",""),IF(AND(GS223&lt;&gt;"",COUNTIFS(Линии[Щит],A223,Линии[Клемма (итог)],GS223)&gt;1),"дубль клеммы "&amp;GS223,""),IF(AND(GV223&lt;&gt;"",GV223&lt;&gt;"ok"),GV223,""),IF(GW223&lt;&gt;"",GW223,""),IF(AND(N(BV223)&gt;=4,N(BR223)=1),BV223&amp;" жил на 1 фазе",""),IF(AND(AX223="R",CA223=1,OR(N(CK223)=0,N(CK223)&gt;30)),"розетка без дифзащиты до 30 мА",""),IFERROR(IF(AND(ISNUMBER(R223),R223&gt;DV223),"потери "&amp;FIXED(R223,1)&amp;" % &gt; "&amp;DV223&amp;" %",""),""),IFERROR(IF(LEFT(GZ223,4)="мало","Iкз мало — отключение &gt; 0,4 с",""),""),IF(AND(B223&lt;&gt;"",BH223=""),"не на схеме",""),IF(AND(CA223=0,B223&lt;&gt;"",FE223&lt;&gt;"",IF(AW223=1,"",FF222)&lt;&gt;"",FE223&lt;&gt;IF(AW223=1,"",FF222)),"фаза не как у автомата группы ("&amp;IF(AW223=1,"",FF222)&amp;")","")))</f>
        <v/>
      </c>
      <c r="HB223" s="6">
        <f>IF(OR(CA223=0,DA223=""),"",_xlfn.LET(_xlpm.t,IFERROR(_xlfn.XLOOKUP(DA223,Каталог!$U$4:$U$500,Каталог!$G$4:$G$500),""),_xlpm.k,SEARCH("кА",_xlpm.t),IFERROR(--TRIM(RIGHT(SUBSTITUTE(MID(_xlpm.t,MAX(1,_xlpm.k-4),_xlpm.k-MAX(1,_xlpm.k-4))," ",REPT(" ",9)),5)),"")))</f>
        <v>6</v>
      </c>
      <c r="HC223" t="str">
        <f>IF(OR(HB223="",CA223=0),"",IF(_xlfn.XLOOKUP(A223,Щиты[Щит],Щиты[Iкз max на шинах, кА],"")="","",IF(HB223&lt;_xlfn.XLOOKUP(A223,Щиты[Щит],Щиты[Iкз max на шинах, кА]),"Icu "&amp;HB223&amp;" кА &lt; Iкз max","ok")))</f>
        <v/>
      </c>
      <c r="HD223" t="str">
        <f t="shared" si="467"/>
        <v/>
      </c>
      <c r="HE223" t="str">
        <f t="shared" si="468"/>
        <v>QF39|XT39</v>
      </c>
      <c r="HF223" t="str">
        <f t="shared" si="469"/>
        <v>QF39|XT39|кабель ВВГнг(А)-LS (3х2,5) → Щит контроля доступа ШДК-01 Цокольный этаж Пом. №001Т</v>
      </c>
      <c r="HG223" t="str" cm="1">
        <f t="array" ref="HG223">IF(HF223="","",_xlfn.LET(_xlpm.nd,_xlfn.TEXTSPLIT(HF223,"|"),IF(COLUMNS(_xlpm.nd)&gt;1,A223&amp;"¦"&amp;INDEX(_xlpm.nd,1)&amp;"¦"&amp;INDEX(_xlpm.nd,2),"")))</f>
        <v>ЩР-01¦QF39¦XT39</v>
      </c>
      <c r="HH223" t="str">
        <f t="shared" si="470"/>
        <v>ЩДК-01¦Щит контроля доступа ШДК-01 Цокольный этаж Пом. №001Т</v>
      </c>
      <c r="HI223" t="str" cm="1">
        <f t="array" ref="HI223">IF(HF223="","",_xlfn.LET(_xlpm.nd,_xlfn.TEXTSPLIT(HF223,"|"),IF(COLUMNS(_xlpm.nd)&gt;2,A223&amp;"¦"&amp;INDEX(_xlpm.nd,2)&amp;"¦"&amp;INDEX(_xlpm.nd,3),"")))</f>
        <v>ЩР-01¦XT39¦кабель ВВГнг(А)-LS (3х2,5) → Щит контроля доступа ШДК-01 Цокольный этаж Пом. №001Т</v>
      </c>
      <c r="HJ223" t="str">
        <f t="shared" si="471"/>
        <v>ЩДК-01¦Щит контроля доступа ШДК-01 Цокольный этаж Пом. №001Т</v>
      </c>
      <c r="HK223" t="str" cm="1">
        <f t="array" ref="HK223">IF(HF223="","",_xlfn.LET(_xlpm.nd,_xlfn.TEXTSPLIT(HF223,"|"),IF(COLUMNS(_xlpm.nd)&gt;3,A223&amp;"¦"&amp;INDEX(_xlpm.nd,3)&amp;"¦"&amp;INDEX(_xlpm.nd,4),"")))</f>
        <v/>
      </c>
      <c r="HL223" t="str">
        <f t="shared" si="472"/>
        <v/>
      </c>
      <c r="HM223" t="str" cm="1">
        <f t="array" ref="HM223">IF(HF223="","",_xlfn.LET(_xlpm.nd,_xlfn.TEXTSPLIT(HF223,"|"),IF(COLUMNS(_xlpm.nd)&gt;4,A223&amp;"¦"&amp;INDEX(_xlpm.nd,4)&amp;"¦"&amp;INDEX(_xlpm.nd,5),"")))</f>
        <v/>
      </c>
      <c r="HN223" t="str">
        <f t="shared" si="473"/>
        <v/>
      </c>
      <c r="HO223" t="str" cm="1">
        <f t="array" ref="HO223">IF(HF223="","",_xlfn.LET(_xlpm.nd,_xlfn.TEXTSPLIT(HF223,"|"),IF(COLUMNS(_xlpm.nd)&gt;5,A223&amp;"¦"&amp;INDEX(_xlpm.nd,5)&amp;"¦"&amp;INDEX(_xlpm.nd,6),"")))</f>
        <v/>
      </c>
      <c r="HP223" t="str">
        <f t="shared" si="474"/>
        <v/>
      </c>
      <c r="HQ223" t="str" cm="1">
        <f t="array" ref="HQ223">IF(HF223="","",_xlfn.LET(_xlpm.nd,_xlfn.TEXTSPLIT(HF223,"|"),IF(COLUMNS(_xlpm.nd)&gt;6,A223&amp;"¦"&amp;INDEX(_xlpm.nd,6)&amp;"¦"&amp;INDEX(_xlpm.nd,7),"")))</f>
        <v/>
      </c>
      <c r="HR223" t="str">
        <f t="shared" si="475"/>
        <v/>
      </c>
      <c r="HS223" t="str">
        <f t="shared" si="476"/>
        <v/>
      </c>
      <c r="HT223" t="str">
        <f t="shared" si="477"/>
        <v>QF39 → XT39</v>
      </c>
      <c r="HU223">
        <f t="shared" si="478"/>
        <v>0</v>
      </c>
      <c r="HV223">
        <f t="shared" si="479"/>
        <v>0</v>
      </c>
      <c r="HW223" t="str">
        <f t="shared" si="480"/>
        <v/>
      </c>
      <c r="HX223" t="str">
        <f t="shared" si="481"/>
        <v/>
      </c>
      <c r="HY223" t="str">
        <f t="shared" si="482"/>
        <v/>
      </c>
      <c r="HZ223" t="str">
        <f t="shared" si="483"/>
        <v/>
      </c>
      <c r="IA223" t="str">
        <f>IF(B223="","",IFERROR(VLOOKUP(B223,УГО_спр,2,FALSE),IFERROR(VLOOKUP(AX223,УГО_спр,2,FALSE),IFERROR(VLOOKUP(LEFT(AX223,2),УГО_спр,2,FALSE),""))))</f>
        <v/>
      </c>
      <c r="IB223" t="str">
        <f>IF(B223="","",IF(OR(IA223="",IA223=0),"BOX",IFERROR(IF(VLOOKUP(IA223,УГО_блоки,3,FALSE)&amp;""&lt;&gt;"",VLOOKUP(IA223,УГО_блоки,3,FALSE),VLOOKUP(IA223,УГО_блоки,2,FALSE)),IA223)))</f>
        <v>BOX</v>
      </c>
      <c r="IC223">
        <f t="shared" si="484"/>
        <v>1</v>
      </c>
      <c r="ID223" t="str">
        <f>IF(DA223="","",IF(COUNTIF(DA$3:DA223,DA223)=1,MAX(ID$2:ID222)+1,""))</f>
        <v/>
      </c>
      <c r="IE223" t="str">
        <f>IF(CO223="","",IF(COUNTIF(CO$3:CO223,CO223)+COUNTIF(CP$2:CP222,CO223)+COUNTIF(CQ$2:CQ222,CO223)=1,MAX(IE$2:IG222)+1,""))</f>
        <v/>
      </c>
      <c r="IF223" t="str">
        <f>IF(CP223="","",IF(COUNTIF(CO$3:CO223,CP223)+COUNTIF(CP$3:CP223,CP223)+COUNTIF(CQ$2:CQ222,CP223)=1,MAX(IE$2:IG222,IE223)+1,""))</f>
        <v/>
      </c>
      <c r="IG223" t="str">
        <f>IF(CQ223="","",IF(COUNTIF(CO$3:CO223,CQ223)+COUNTIF(CP$3:CP223,CQ223)+COUNTIF(CQ$3:CQ223,CQ223)=1,MAX(IE$2:IG222,IE223,IF223)+1,""))</f>
        <v/>
      </c>
      <c r="IH223" t="str">
        <f t="shared" si="485"/>
        <v>3х2,5</v>
      </c>
      <c r="II223" t="str">
        <f>IF(IH223="","",IF(COUNTIF(IH$3:IH223,IH223)=1,MAX(II$2:II222)+1,""))</f>
        <v/>
      </c>
      <c r="IJ223" t="str">
        <f>IF(GL223="","",COUNTIF(GL$3:GL223,"?*"))</f>
        <v/>
      </c>
      <c r="IK223" t="str">
        <f>IF(OR(GL223="",GN223=""),"",IF(COUNTIFS(GL$3:GL223,"?*",GN$3:GN223,GN223)=1,MAX(IK$2:IK222)+1,""))</f>
        <v/>
      </c>
      <c r="IL223">
        <f t="shared" si="486"/>
        <v>0</v>
      </c>
      <c r="IM223">
        <f>IF(B223="","",COUNTIF(B$3:B223,"?*"))</f>
        <v>221</v>
      </c>
      <c r="IN223">
        <f>IF(GQ223&lt;&gt;1,0,_xlfn.LET(_xlpm.k,MAX(IFERROR(--VLOOKUP(B223,УГО_спр,5,FALSE),0),IFERROR(--VLOOKUP(AX223,УГО_спр,5,FALSE),0),IFERROR(--VLOOKUP(LEFT(AX223,2),УГО_спр,5,FALSE),0)),IF(_xlpm.k&gt;0,_xlpm.k,IF(IFERROR(--LEFT(SUBSTITUTE(IH223,"x","х"),FIND("х",SUBSTITUTE(IH223,"x","х"))-1),3)&gt;3,Каталог!$S$9,1))))</f>
        <v>1</v>
      </c>
      <c r="IO223">
        <f t="shared" si="487"/>
        <v>0</v>
      </c>
      <c r="IP223" t="str">
        <f t="shared" si="488"/>
        <v>авто</v>
      </c>
      <c r="IQ223" t="str">
        <f t="shared" si="489"/>
        <v/>
      </c>
      <c r="IR223">
        <f t="shared" si="490"/>
        <v>0</v>
      </c>
      <c r="IS223">
        <f t="shared" si="491"/>
        <v>1</v>
      </c>
    </row>
    <row r="224" spans="1:253" x14ac:dyDescent="0.3">
      <c r="A224" t="s">
        <v>759</v>
      </c>
      <c r="B224" t="s">
        <v>743</v>
      </c>
      <c r="C224" t="s">
        <v>55</v>
      </c>
      <c r="D224">
        <v>1</v>
      </c>
      <c r="E224" t="s">
        <v>16</v>
      </c>
      <c r="G224">
        <v>63</v>
      </c>
      <c r="H224" t="str">
        <f>Линии[[#This Row],[_авто утечка]]</f>
        <v/>
      </c>
      <c r="I224" t="str">
        <f>Линии[[#This Row],[_авто управление]]</f>
        <v/>
      </c>
      <c r="J224" t="str">
        <f>Линии[[#This Row],[_авто аппараты]]</f>
        <v/>
      </c>
      <c r="K224">
        <v>16</v>
      </c>
      <c r="L224" t="str">
        <f>Линии[[#This Row],[_авто длина по плану]]</f>
        <v/>
      </c>
      <c r="M224" t="str">
        <f>Линии[[#This Row],[_авто фаза]]</f>
        <v>L1,L2,L3</v>
      </c>
      <c r="N224" t="str">
        <f>Линии[[#This Row],[_авто клемма]]</f>
        <v/>
      </c>
      <c r="O224" t="str">
        <f t="shared" si="369"/>
        <v/>
      </c>
      <c r="P224" s="6" cm="1">
        <f t="array" ref="P224">IF(B224="","",IF(BC224&lt;&gt;"",IFERROR(_xlfn.XLOOKUP(BC224,Щиты[Щит],Щиты[Iр, А]),""),IF(BK224=1,IFERROR(_xlfn.XLOOKUP(A224,Щиты[Щит],Щиты[Iр, А]),""),IFERROR(_xlfn.IFS(BR224=1,BN224/((Uн_лин/SQRT(3))*BY224),BR224=3,BN224/(SQRT(3)*Uн_лин*BY224)),""))))</f>
        <v>30.958664828377682</v>
      </c>
      <c r="Q224" s="7" t="str">
        <f>IF(B224="","",IFERROR(IF(VLOOKUP(AX224,Потребители_обозначение,4,FALSE)=1,VLOOKUP(AX224,Потребители_обозначение,3,FALSE)*(D224*2-1)+DS224+VLOOKUP(AZ224,Этаж_обозначение,3,FALSE)+VLOOKUP(AZ224,Этаж_обозначение,4,FALSE),VLOOKUP(AX224,Потребители_обозначение,3,FALSE)*(D224*2-1)+DS224),DS224))</f>
        <v/>
      </c>
      <c r="R224" s="6" t="str">
        <f t="shared" si="370"/>
        <v/>
      </c>
      <c r="S224" t="str">
        <f t="shared" si="371"/>
        <v>ВВГнг(А)-LS (5х16)</v>
      </c>
      <c r="T224" t="str">
        <f>IF(BH224="","",IF(BI224="вводной узел","узел ","")&amp;"л."&amp;(INT((BH224-1)/Столбцов_на_лист)+1)&amp;" / "&amp;(MOD(BH224-1,Столбцов_на_лист)+1))</f>
        <v>узел л.1 / 2</v>
      </c>
      <c r="V224">
        <v>3</v>
      </c>
      <c r="W224">
        <v>400</v>
      </c>
      <c r="X224" t="s">
        <v>549</v>
      </c>
      <c r="AF224" t="s">
        <v>1303</v>
      </c>
      <c r="AI224">
        <v>2</v>
      </c>
      <c r="AJ224" t="s">
        <v>11</v>
      </c>
      <c r="AK224">
        <v>5</v>
      </c>
      <c r="AW224" cm="1">
        <f t="array" ref="AW224">ROW()-ROW(Линии[#Headers])</f>
        <v>222</v>
      </c>
      <c r="AX224" s="6" t="str">
        <f t="shared" si="372"/>
        <v>Ввод</v>
      </c>
      <c r="AY224" t="str">
        <f t="shared" si="373"/>
        <v>1</v>
      </c>
      <c r="AZ224" t="str">
        <f t="shared" si="374"/>
        <v>1</v>
      </c>
      <c r="BA224" t="str">
        <f t="shared" si="375"/>
        <v/>
      </c>
      <c r="BB224" t="str">
        <f t="shared" si="376"/>
        <v/>
      </c>
      <c r="BC224" t="str">
        <f>IF(U224&lt;&gt;"",U224,IF(AND(B224&lt;&gt;"",B224&lt;&gt;A224,ISNUMBER(_xlfn.XMATCH(B224,Щиты[Щит]))),B224,""))</f>
        <v/>
      </c>
      <c r="BD224" t="str" cm="1">
        <f t="array" ref="BD224">IF(B224="","",IF(BC224&lt;&gt;"","Щит "&amp;BC224,_xlfn.LET(_xlpm.nm,IFERROR(_xlfn.XLOOKUP(AX224,Коды_код,Коды_имя)&amp;"",""),_xlpm.md,IFERROR(N(_xlfn.XLOOKUP(AX224,Коды_код,Коды_режим)),1),_xlpm.ex,IF(Имя_режим="по экспликации",IFERROR(_xlfn.XLOOKUP(AZ224&amp;"|"&amp;BB224,Экспликация[Этаж]&amp;"|"&amp;Экспликация[Помещение],Экспликация[Название])&amp;"",""),""),_xlpm.rm,IF(BB224="","",IF(_xlpm.ex&lt;&gt;"",". "&amp;_xlpm.ex&amp;IF(Имя_пом="нет"," ("&amp;BB224&amp;")"," (пом. "&amp;BB224&amp;")"),IF(Имя_пом="нет"," ",", пом. ")&amp;BB224)),IF(_xlpm.nm="","",IF(_xlpm.md=2,_xlpm.nm&amp;" шлейф "&amp;AZ224,_xlpm.nm&amp;_xlpm.rm)))))</f>
        <v>Вводной кабель шлейф 1</v>
      </c>
      <c r="BE224" t="str">
        <f t="shared" si="377"/>
        <v>Ввод</v>
      </c>
      <c r="BF224">
        <f>IFERROR(_xlfn.XMATCH(A224,Щиты[Щит]),0)</f>
        <v>10</v>
      </c>
      <c r="BG224">
        <f>_xlfn.LET(_xlpm.k,IFERROR(_xlfn.XLOOKUP(A224,Щиты[Щит],Щиты[Листов под вводной узел]),""),IF(_xlpm.k="",1,N(_xlpm.k))*Столбцов_на_лист)</f>
        <v>17</v>
      </c>
      <c r="BH224">
        <f t="shared" si="378"/>
        <v>2</v>
      </c>
      <c r="BI224" t="str">
        <f t="shared" si="379"/>
        <v>вводной узел</v>
      </c>
      <c r="BJ224" s="6">
        <f>IFERROR(N(_xlfn.XLOOKUP(AX224,Коды_код,Коды_квт)),0)</f>
        <v>0</v>
      </c>
      <c r="BK224">
        <f t="shared" si="380"/>
        <v>1</v>
      </c>
      <c r="BL224">
        <f>IF(B224="","",IF(BC224&lt;&gt;"",IFERROR(_xlfn.XLOOKUP(BC224,Щиты[Щит],Щиты[Руст, кВт]),0),IF(BK224=1,IFERROR(_xlfn.XLOOKUP(A224,Щиты[Щит],Щиты[Руст, кВт]),0),IF(BJ224&gt;0,ROUND(BJ224*MAX(1,N(D224)),3),""))))</f>
        <v>34.840000000000003</v>
      </c>
      <c r="BM224" t="str">
        <f t="shared" si="381"/>
        <v>кВт</v>
      </c>
      <c r="BN224" s="6">
        <f>IF(B224="","",IF(BC224&lt;&gt;"",IFERROR(_xlfn.XLOOKUP(BC224,Щиты[Щит],Щиты[Руст, кВт]),0),N(BM224)))</f>
        <v>0</v>
      </c>
      <c r="BO224" t="str">
        <f>IF(B224="","",IFERROR(IF(VLOOKUP(AX224,Потребители_обозначение,8,FALSE)=0,"",VLOOKUP(AX224,Потребители_обозначение,8,FALSE)),""))</f>
        <v/>
      </c>
      <c r="BP224">
        <f t="shared" si="382"/>
        <v>400</v>
      </c>
      <c r="BQ224">
        <f>IF(B224="","",IF(BC224&lt;&gt;"",3,IFERROR(IF(N(VLOOKUP(AX224,Потребители_обозначение,9,FALSE))=0,1,VLOOKUP(AX224,Потребители_обозначение,9,FALSE)),1)))</f>
        <v>1</v>
      </c>
      <c r="BR224">
        <f t="shared" si="383"/>
        <v>3</v>
      </c>
      <c r="BS224" t="str">
        <f>IF(B224="","",_xlfn.LET(_xlpm.bc,IFERROR(IF(VLOOKUP(AX224,Потребители_обозначение,6,FALSE)=0,"",VLOOKUP(AX224,Потребители_обозначение,6,FALSE)&amp;""),""),IF(AND(FK224="да",OR(_xlpm.bc="",_xlpm.bc="мс")),Марка_пож,IF(AND(_xlpm.bc="",BC224&lt;&gt;""),"мс",_xlpm.bc))))</f>
        <v/>
      </c>
      <c r="BT224" t="str">
        <f t="shared" si="384"/>
        <v>мс</v>
      </c>
      <c r="BU224">
        <f>IF(B224="","",_xlfn.LET(_xlpm.cc,IFERROR(N(VLOOKUP(AX224,Потребители_обозначение,7,FALSE)),0),IF(_xlpm.cc&gt;0,_xlpm.cc,IF(BT224="","",IF(N(BR224)=3,5,3)))))</f>
        <v>5</v>
      </c>
      <c r="BV224">
        <f t="shared" si="385"/>
        <v>5</v>
      </c>
      <c r="BW224">
        <f>IFERROR(N(VLOOKUP(AX224,Потребители_обозначение,10,FALSE)),0)</f>
        <v>0</v>
      </c>
      <c r="BX224">
        <f>IFERROR(VLOOKUP(AX224,Потребители_обозначение,5,FALSE),0)</f>
        <v>1</v>
      </c>
      <c r="BY224" s="6" cm="1">
        <f t="array" ref="BY224">IF(B224="","",IF(BC224&lt;&gt;"",IFERROR(_xlfn.XLOOKUP(BC224,Щиты[Щит],Щиты[cos φ]),0.95),IF(BK224=1,IFERROR(_xlfn.XLOOKUP(A224,Щиты[Щит],Щиты[cos φ]),0.95),IF(ISNUMBER(Z224),Z224,IFERROR(IF(BX224=2,_xlfn.IFS(BR224=3,VLOOKUP(BN224,Справочная_двигатели,8,FALSE),BR224=1,VLOOKUP(BN224,Справочная_двигатели,10,TRUE)),IF(AND(Методика="нормы 2026",EQ224="Сил"),0.8,0.95)),0.95)))))</f>
        <v>0.94999999999999984</v>
      </c>
      <c r="BZ224">
        <f t="shared" si="386"/>
        <v>0</v>
      </c>
      <c r="CA224">
        <f t="shared" si="387"/>
        <v>1</v>
      </c>
      <c r="CB224">
        <f t="shared" si="388"/>
        <v>0</v>
      </c>
      <c r="CC224">
        <f t="shared" si="389"/>
        <v>0</v>
      </c>
      <c r="CD224">
        <f t="shared" si="390"/>
        <v>0</v>
      </c>
      <c r="CE224">
        <f t="shared" si="391"/>
        <v>0</v>
      </c>
      <c r="CF224">
        <f t="shared" si="392"/>
        <v>0</v>
      </c>
      <c r="CG224">
        <f>IF(AX224="",0,_xlfn.LET(_xlpm.v,IFERROR(VLOOKUP(B224,УГО_спр,3,FALSE),IFERROR(VLOOKUP(AX224,УГО_спр,3,FALSE),IFERROR(VLOOKUP(LEFT(AX224,2),УГО_спр,3,FALSE),""))),IF(_xlpm.v="да",30,IF(ISNUMBER(_xlpm.v),_xlpm.v,0))))</f>
        <v>0</v>
      </c>
      <c r="CH224" t="str">
        <f t="shared" si="393"/>
        <v/>
      </c>
      <c r="CI224" t="str">
        <f>_xlfn.LET(_xlpm.k,IFERROR(_xlfn.XLOOKUP(AX224,Коды_код,Коды_утечка)&amp;"",""),IF(_xlpm.k="","дифавтомат",_xlpm.k))</f>
        <v>дифавтомат</v>
      </c>
      <c r="CJ224">
        <f t="shared" si="394"/>
        <v>0</v>
      </c>
      <c r="CK224">
        <f t="shared" si="395"/>
        <v>0</v>
      </c>
      <c r="CL224">
        <f>IF(B224="",0,IFERROR(--VLOOKUP(B224,УГО_спр,4,FALSE),IFERROR(--VLOOKUP(AX224,УГО_спр,4,FALSE),IFERROR(--VLOOKUP(LEFT(AX224,2),УГО_спр,4,FALSE),0))))</f>
        <v>0</v>
      </c>
      <c r="CM224" t="str">
        <f>IF(B224="","",IFERROR(_xlfn.XLOOKUP(AX224,Коды_код,Коды_апп)&amp;"",""))</f>
        <v/>
      </c>
      <c r="CN224" t="str">
        <f t="shared" si="396"/>
        <v/>
      </c>
      <c r="CO224" t="str" cm="1">
        <f t="array" ref="CO224">IF(TRIM(CN224&amp;"")="","",IFERROR(TRIM(INDEX(_xlfn.TEXTSPLIT(CN224&amp;";;;",";"),1)),""))</f>
        <v/>
      </c>
      <c r="CP224" t="str" cm="1">
        <f t="array" ref="CP224">IF(TRIM(CN224&amp;"")="","",IFERROR(TRIM(INDEX(_xlfn.TEXTSPLIT(CN224&amp;";;;",";"),2)),""))</f>
        <v/>
      </c>
      <c r="CQ224" t="str" cm="1">
        <f t="array" ref="CQ224">IF(TRIM(CN224&amp;"")="","",IFERROR(TRIM(INDEX(_xlfn.TEXTSPLIT(CN224&amp;";;;",";"),3)),""))</f>
        <v/>
      </c>
      <c r="CR224">
        <f t="shared" si="397"/>
        <v>0</v>
      </c>
      <c r="CS224" t="str">
        <f>IF(B224="","",_xlfn.LET(_xlpm.t,LOWER(AV224&amp;""),IF(ISNUMBER(SEARCH("dim",_xlpm.t)),"DIM",IF(ISNUMBER(SEARCH("dali",_xlpm.t)),"DALI",IF(OR(ISNUMBER(SEARCH("relay",_xlpm.t)),ISNUMBER(SEARCH("реле",_xlpm.t))),"Relay",IF(ISNUMBER(SEARCH("кнопк",_xlpm.t)),"",IFERROR(_xlfn.XLOOKUP(AX224,Коды_код,Коды_упр)&amp;"","")))))))</f>
        <v/>
      </c>
      <c r="CT224" t="str">
        <f t="shared" si="398"/>
        <v/>
      </c>
      <c r="CU224">
        <f>IF(B224="","",_xlfn.LET(_xlpm.ig,N(P224)+IF(AF224="вручную",0,N(CB224)),_xlpm.n0,IFERROR(VLOOKUP(_xlpm.ig,Автомат_номиналы,2,TRUE),0),_xlpm.mn,MAX(CL224,IF(AF224="вручную",0,N(CE224))),MAX(_xlpm.n0,_xlpm.mn,IF(CR224=1,Мин_автомат_БП,0))))</f>
        <v>40</v>
      </c>
      <c r="CV224">
        <f t="shared" si="399"/>
        <v>3</v>
      </c>
      <c r="CW224" t="str">
        <f t="shared" si="400"/>
        <v>3P</v>
      </c>
      <c r="CX224" t="str">
        <f>_xlfn.LET(_xlpm.cc,UPPER(TRIM(IFERROR(_xlfn.XLOOKUP(AX224,Коды_код,Коды_хар)&amp;"",""))),IF(OR(_xlpm.cc="B",_xlpm.cc="В"),"B",IF(_xlpm.cc="D","D","С")))</f>
        <v>С</v>
      </c>
      <c r="CY224" t="str">
        <f t="shared" si="401"/>
        <v>3P С40А</v>
      </c>
      <c r="CZ224">
        <f t="shared" si="402"/>
        <v>63</v>
      </c>
      <c r="DA224" t="str">
        <f t="shared" si="403"/>
        <v>3P С63А</v>
      </c>
      <c r="DB224" cm="1">
        <f t="array" ref="DB224">IF(DA224="","",_xlfn.LET(_xlpm.t,SUBSTITUTE(SUBSTITUTE(SUBSTITUTE(UPPER(DA224),"С","C"),"А","A"),"В","B"),_xlpm.tk,_xlfn.TEXTSPLIT(_xlpm.t,"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224" t="str">
        <f t="shared" si="404"/>
        <v>узел</v>
      </c>
      <c r="DD224">
        <f t="shared" si="405"/>
        <v>63</v>
      </c>
      <c r="DE224" t="str">
        <f t="shared" si="406"/>
        <v>3P С63А</v>
      </c>
      <c r="DF224">
        <f t="shared" si="407"/>
        <v>0</v>
      </c>
      <c r="DG224">
        <f t="shared" si="408"/>
        <v>0</v>
      </c>
      <c r="DH224">
        <f t="shared" si="409"/>
        <v>0</v>
      </c>
      <c r="DI224">
        <f t="shared" si="410"/>
        <v>30.958664828377682</v>
      </c>
      <c r="DJ224">
        <f t="shared" si="411"/>
        <v>0.92</v>
      </c>
      <c r="DK224">
        <f>IF(ISNUMBER(AL224),AL224,К_прокл)</f>
        <v>1</v>
      </c>
      <c r="DL224">
        <f t="shared" si="412"/>
        <v>3</v>
      </c>
      <c r="DM224">
        <f>IFERROR(N(VLOOKUP(BT224,Кабель_обозначение,3,FALSE)),1)</f>
        <v>1</v>
      </c>
      <c r="DN224">
        <f>IFERROR(N(_xlfn.XLOOKUP(A224,Щиты[Щит],Щиты[ΔU до шин, %])),0)</f>
        <v>1.19</v>
      </c>
      <c r="DO224" t="str">
        <f>IFERROR(_xlfn.XLOOKUP(A224,Щиты[Щит],Щиты[Zпетли на шинах, Ом]),"")</f>
        <v/>
      </c>
      <c r="DP224">
        <f>IFERROR(N(_xlfn.XLOOKUP(A224,Щиты[Щит],Щиты[ΔU до шин (подбор), %])),0)</f>
        <v>1.19</v>
      </c>
      <c r="DQ224" t="str">
        <f>IFERROR(_xlfn.XLOOKUP(A224,Щиты[Щит],Щиты[Zпетли на шинах (подбор), Ом]),"")</f>
        <v/>
      </c>
      <c r="DR224" t="str">
        <f t="shared" si="413"/>
        <v/>
      </c>
      <c r="DS224" t="str">
        <f t="shared" si="414"/>
        <v/>
      </c>
      <c r="DT224">
        <f t="shared" si="415"/>
        <v>1</v>
      </c>
      <c r="DU224">
        <f t="shared" si="416"/>
        <v>0.31</v>
      </c>
      <c r="DV224" s="6">
        <f>IF(B224="","",IF(IFERROR(VLOOKUP(AX224,УГО_спр,2,FALSE),"")="Светильник",3,4)+IF(Методика="нормы 2026",MIN(0.5,MAX(0,N(Q224)-100)*0.005),0))</f>
        <v>4</v>
      </c>
      <c r="DW224" cm="1">
        <f t="array" ref="DW224">IF(OR(B224="",BT224="",DM224&lt;&gt;1),"",_xlfn.LET(_xlpm.sz,Iдоп_S,_xlpm.t_,CHOOSE(DL224,Iдоп_1ж,Iдоп_2ж,Iдоп_3ж)*DJ224*DK224,_xlpm.inn,N(DD224),_xlpm.smin,MAX(1.5,BW224),_xlpm.L_,N(Q224)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224)*(_xlpm.rho*_xlpm.L_/_xlpm.sz*N(BY224)+_xlpm.xx*_xlpm.L_*N(DU224)/1000)*N(P224)/((Uн_лин/SQRT(3))*1000)*100,999),_xlpm.kz,IF(OR(DG224=1,NOT(ISNUMBER(DQ224)),_xlpm.L_=0,_xlpm.inn=0),1,IFERROR(--(c_min*(Uн_лин*1000/SQRT(3))/(DQ224+2*ρкз_Cu*_xlpm.L_/_xlpm.sz)&gt;=GY224*_xlpm.inn),0)),_xlpm.ok,IFERROR((_xlpm.sz&gt;=_xlpm.smin)*(_xlpm.t_&gt;=_xlpm.inn)*IF(_xlpm.L_&gt;0,(_xlpm.du_+DP224&lt;=DV224+0.00001),1)*_xlpm.kz,0),_xlpm.r_,_xlfn._xlws.FILTER(_xlpm.sz,_xlpm.ok,"не подобрано"),INDEX(_xlpm.r_,1)))</f>
        <v>16</v>
      </c>
      <c r="DX224">
        <f t="shared" si="417"/>
        <v>16</v>
      </c>
      <c r="DY224" cm="1">
        <f t="array" ref="DY224">IF(OR(B224="",BT224="",DM224&lt;&gt;1),"",_xlfn.LET(_xlpm.sz,Iдоп_S,_xlpm.t_,CHOOSE(DL224,Iдоп_1ж,Iдоп_2ж,Iдоп_3ж)*DJ224*DK224,_xlpm.ok,IFERROR((_xlpm.sz&gt;=MAX(1.5,BW224))*(_xlpm.t_&gt;=N(DD224)),0),_xlpm.r_,_xlfn._xlws.FILTER(_xlpm.sz,_xlpm.ok,""),INDEX(_xlpm.r_,1)))</f>
        <v>16</v>
      </c>
      <c r="DZ224" s="6" cm="1">
        <f t="array" ref="DZ224">IFERROR(ROUNDUP(N(DT224)*(_xlfn.XLOOKUP(DY224,INDEX(Кабель_сопротивление,0,1),INDEX(Кабель_сопротивление,0,3))*N(Q224)/DY224*N(BY224)+_xlfn.XLOOKUP(DY224,INDEX(Кабель_сопротивление,0,1),INDEX(Кабель_сопротивление,0,2))*N(Q224)*N(DU224)/1000)*N(P224)/((Uн_лин/SQRT(3))*1000)*100,2),"")</f>
        <v>0</v>
      </c>
      <c r="EA224">
        <f>IFERROR(2*ρкз_Cu*N(Q224)/DY224,"")</f>
        <v>0</v>
      </c>
      <c r="EB224">
        <f>IFERROR(VLOOKUP(DX224,Кабель_сопротивление,3,FALSE),"")</f>
        <v>2.2499999999999999E-2</v>
      </c>
      <c r="EC224">
        <f>IFERROR(VLOOKUP(DX224,Кабель_сопротивление,2,FALSE),"")</f>
        <v>6.7500000000000004E-2</v>
      </c>
      <c r="ED224" t="str">
        <f t="shared" si="418"/>
        <v/>
      </c>
      <c r="EE224" t="str">
        <f t="shared" si="419"/>
        <v/>
      </c>
      <c r="EF224" t="str">
        <f t="shared" si="420"/>
        <v/>
      </c>
      <c r="EG224" s="6" t="str">
        <f>IFERROR(ROUNDUP(EF224/((Uн_лин/SQRT(3))*1000)*100,2),"")</f>
        <v/>
      </c>
      <c r="EH224" t="str">
        <f>IFERROR(VLOOKUP(BT224,Кабель_обозначение,2,FALSE),"")</f>
        <v>ВВГнг(А)-LS</v>
      </c>
      <c r="EI224" t="str">
        <f t="shared" si="421"/>
        <v>ВВГнг(А)-LS (5х16)</v>
      </c>
      <c r="EJ224" t="str">
        <f t="shared" si="422"/>
        <v/>
      </c>
      <c r="EK224" t="str">
        <f>IFERROR(2*ρкз_Cu*Q224/DX224,"")</f>
        <v/>
      </c>
      <c r="EL224">
        <f t="shared" si="423"/>
        <v>0</v>
      </c>
      <c r="EM224" s="6" t="str">
        <f>IFERROR(IF(OR(B224="",NOT(ISNUMBER(DX224)),N(Q224)=0),"",_xlfn.XLOOKUP(A224,Щиты[Щит],Щиты[Zпетли на шинах, Ом])+EK224),"")</f>
        <v/>
      </c>
      <c r="EN224" s="6" t="str">
        <f>IF(ISNUMBER(EM224),c_min*(Uн_лин*1000/SQRT(3))/EM224,"")</f>
        <v/>
      </c>
      <c r="EO224" s="6" t="str">
        <f>IFERROR(IF(OR(B224="",NOT(ISNUMBER(DX224))),"",1.05*(Uн_лин*1000/SQRT(3))/(_xlfn.XLOOKUP(A224,Щиты[Щит],Щиты[Zmax на шинах, Ом])+EL224)/1000),"")</f>
        <v/>
      </c>
      <c r="EP224" s="6" t="str">
        <f>IF(B224="","",IF(ISNUMBER(Y224),"Сил",IF(IFERROR(_xlfn.XLOOKUP(AX224,Коды_код,Коды_группа)&amp;"","")="","Быт",_xlfn.XLOOKUP(AX224,Коды_код,Коды_группа)&amp;"")))</f>
        <v>Быт</v>
      </c>
      <c r="EQ224" s="6" t="str">
        <f t="shared" si="424"/>
        <v>Нет</v>
      </c>
      <c r="ER224" s="6">
        <f>IF(EQ224="Щит","щит",IF(EQ224="","",IF(EQ224="Быт",IFERROR(_xlfn.XLOOKUP(A224,Щиты[Щит],Щиты[Кс быт]),1),IF(EQ224="Сил",IF(ISNUMBER(Y224),Y224,IF(Методика="нормы 2026",IFERROR(_xlfn.XLOOKUP(A224,Щиты[Щит],Щиты[Кс силовых (табл. 7.5)]),1),1)),IF(OR(EQ224="Пост",EQ224="Отоп"),1,IF(EQ224="ВНГ",0.7,0))))))</f>
        <v>0</v>
      </c>
      <c r="ES224">
        <f t="shared" si="425"/>
        <v>1</v>
      </c>
      <c r="ET224">
        <f t="shared" si="426"/>
        <v>0</v>
      </c>
      <c r="EU224">
        <f t="shared" si="427"/>
        <v>0</v>
      </c>
      <c r="EV224">
        <f t="shared" si="428"/>
        <v>0</v>
      </c>
      <c r="EW224">
        <f t="shared" si="429"/>
        <v>0</v>
      </c>
      <c r="EX224">
        <f t="shared" si="430"/>
        <v>0</v>
      </c>
      <c r="EY224">
        <f t="shared" si="431"/>
        <v>0</v>
      </c>
      <c r="EZ224">
        <f t="shared" si="432"/>
        <v>0</v>
      </c>
      <c r="FA224">
        <f t="shared" si="433"/>
        <v>0</v>
      </c>
      <c r="FB224">
        <f t="shared" si="434"/>
        <v>0</v>
      </c>
      <c r="FC224" t="str">
        <f t="shared" si="435"/>
        <v/>
      </c>
      <c r="FD224" t="str">
        <f>IF(B224="","",IF(CA224=0,IF(AW224=1,"",FF223),IF(OR(N(CV224)&gt;=3,N(BR224)&gt;=3),"L1,L2,L3",IFERROR(_xlfn.TEXTBEFORE(_xlfn.TEXTAFTER(_xlfn.XLOOKUP(A224,Щиты[Щит],Щиты[_фазы авто]),";"&amp;AW224&amp;":"),";"),"L1"))))</f>
        <v>L1,L2,L3</v>
      </c>
      <c r="FE224" t="str">
        <f t="shared" si="436"/>
        <v>L1,L2,L3</v>
      </c>
      <c r="FF224" t="str">
        <f t="shared" si="437"/>
        <v>L1,L2,L3</v>
      </c>
      <c r="FG224" cm="1">
        <f t="array" ref="FG224">IFERROR(IF(BX224=2,_xlfn.IFS(BR224=3,VLOOKUP(BN224,Справочная_двигатели,3,FALSE),BR224=1,VLOOKUP(BN224,Справочная_двигатели,5,TRUE)),0),0)</f>
        <v>0</v>
      </c>
      <c r="FH224">
        <f>IFERROR(IF(BX224=3,VLOOKUP(BN224,Справочная_ЛЭД,2,TRUE),0),0)</f>
        <v>0</v>
      </c>
      <c r="FI224" s="6">
        <f t="shared" si="438"/>
        <v>0</v>
      </c>
      <c r="FJ224" t="str" cm="1">
        <f t="array" ref="FJ224">IF(B224="","",IFERROR(INDEX({"I особая","I","II","III"},MATCH(TRIM(AC224&amp;""),{"I особая","I","II","III"},0)),"III"))</f>
        <v>III</v>
      </c>
      <c r="FK224" t="str">
        <f>IF(B224="","",IF(TRIM(AD224&amp;"")&lt;&gt;"",IF(LOWER(TRIM(AD224&amp;""))="да","да","нет"),IF(IFERROR(_xlfn.XLOOKUP(AX224,Коды_код,Коды_пожарная),"")="да","да","нет")))</f>
        <v>нет</v>
      </c>
      <c r="FL224" t="str">
        <f t="shared" si="439"/>
        <v/>
      </c>
      <c r="FM224" t="str">
        <f t="shared" si="440"/>
        <v>основная</v>
      </c>
      <c r="FN224">
        <f t="shared" si="441"/>
        <v>1</v>
      </c>
      <c r="FO224" t="str" cm="1">
        <f t="array" ref="FO224">IF(B224="","",_xlfn.LET(_xlpm.t,IFERROR(_xlfn.XLOOKUP(1,(Шины[Шина]=FM224)*(((Шины[Щит]=A224)+(Шины[Щит]=""))&gt;0),Шины[Тип]),"")&amp;"",IF(_xlpm.t&lt;&gt;"",_xlpm.t,IF(ISNUMBER(SEARCH("ИБП",FM224)),"ИБП",IF(ISNUMBER(SEARCH("ДГУ",FM224)),"ДГУ","Ввод "&amp;FN224)))))</f>
        <v>Ввод 1</v>
      </c>
      <c r="FP224" t="str">
        <f t="shared" si="442"/>
        <v>Ввод 1</v>
      </c>
      <c r="FQ224" t="str">
        <f>IF(B224="","",IF(OR(FO224="ИБП",FO224="ДГУ"),"I особая",IF(FO224="Одиночная","III",_xlfn.XLOOKUP(A224,Щиты[Щит],Щиты[Категория шины «Ввод»],"III"))))</f>
        <v>II</v>
      </c>
      <c r="FR224">
        <f>IF(B224="",0,IFERROR(MATCH(FJ224,{"III","II","I","I особая"},0),1))</f>
        <v>1</v>
      </c>
      <c r="FS224">
        <f t="shared" si="443"/>
        <v>1</v>
      </c>
      <c r="FT224" t="str">
        <f>IF(B224="","",IF(FR224&gt;IFERROR(MATCH(FQ224,{"III","II","I","I особая"},0),1),"НЕ ОБЕСПЕЧЕНА","ОК"))</f>
        <v>ОК</v>
      </c>
      <c r="FU224" t="str">
        <f>IF(A224="","",_xlfn.XLOOKUP(A224,Щиты[Щит],Щиты[Путь],""))</f>
        <v>|ГРЩ-ЖД|ЩР-1|</v>
      </c>
      <c r="FV224" t="str">
        <f>IF(B224="","",IF(AE224&lt;&gt;"",AE224,IF(IFERROR(_xlfn.XLOOKUP(AX224,Коды_код,Коды_вид)&amp;"","")="","Прочее",_xlfn.XLOOKUP(AX224,Коды_код,Коды_вид)&amp;"")))</f>
        <v>Прочее</v>
      </c>
      <c r="FW224">
        <f>IF(BH224="","",INT((BH224-1)/Столбцов_на_лист)+1)</f>
        <v>1</v>
      </c>
      <c r="FX224" t="str">
        <f t="shared" si="444"/>
        <v/>
      </c>
      <c r="FY224">
        <f t="shared" si="445"/>
        <v>0</v>
      </c>
      <c r="FZ224">
        <f t="shared" si="446"/>
        <v>30.96</v>
      </c>
      <c r="GA224">
        <f t="shared" si="447"/>
        <v>3</v>
      </c>
      <c r="GB224">
        <f t="shared" si="448"/>
        <v>0</v>
      </c>
      <c r="GC224">
        <f t="shared" si="449"/>
        <v>0</v>
      </c>
      <c r="GD224" t="str">
        <f>IF(BH224="","",IF(AND(CA224=1,GC224=1),COUNTIFS(A$3:A224,A224,CA$3:CA224,1,GC$3:GC224,1),IF(OR(OR(AW224=1,A224&lt;&gt;A223),AF224="вручную",GC224=0),"",IF(AW224=1,"",GE223))))</f>
        <v/>
      </c>
      <c r="GE224" t="str">
        <f t="shared" si="450"/>
        <v/>
      </c>
      <c r="GF224">
        <f>IF(B224="","",IFERROR(LOOKUP(INDEX(CHOOSE(DL224,Iдоп_1ж,Iдоп_2ж,Iдоп_3ж),MATCH(DX224,Iдоп_S,0))*DJ224*DK224,{6,10,16,20,25,32,40,50,63,80,100,125,160,200,250,315,400,500,630}),""))</f>
        <v>63</v>
      </c>
      <c r="GG224" t="str">
        <f t="shared" si="451"/>
        <v/>
      </c>
      <c r="GH224" t="str">
        <f t="shared" si="452"/>
        <v/>
      </c>
      <c r="GI224" t="str">
        <f t="shared" si="453"/>
        <v/>
      </c>
      <c r="GJ224">
        <f t="shared" si="454"/>
        <v>0</v>
      </c>
      <c r="GK224" t="str">
        <f>IF(OR(AG224="",AG224="-"),"",IFERROR(VLOOKUP(AG224,Модули_спр,2,FALSE),"R"))</f>
        <v/>
      </c>
      <c r="GL224" t="str">
        <f>IF(GK224="","",GK224&amp;"."&amp;COUNTIFS(A$3:A224,A224,GK$3:GK224,GK224))</f>
        <v/>
      </c>
      <c r="GM224" t="str">
        <f t="shared" si="455"/>
        <v/>
      </c>
      <c r="GN224" t="str">
        <f t="shared" si="456"/>
        <v/>
      </c>
      <c r="GO224" t="str">
        <f t="shared" si="457"/>
        <v/>
      </c>
      <c r="GP224" t="str">
        <f t="shared" si="458"/>
        <v/>
      </c>
      <c r="GQ224">
        <f t="shared" si="459"/>
        <v>0</v>
      </c>
      <c r="GR224" t="str">
        <f>IF(GQ224=1,"XT"&amp;COUNTIFS(A$3:A224,A224,GQ$3:GQ224,1),"")</f>
        <v/>
      </c>
      <c r="GS224" t="str">
        <f t="shared" si="460"/>
        <v/>
      </c>
      <c r="GT224" t="str">
        <f t="shared" si="461"/>
        <v/>
      </c>
      <c r="GU224" t="str">
        <f t="shared" si="462"/>
        <v/>
      </c>
      <c r="GV224" t="str">
        <f t="shared" si="463"/>
        <v>ok</v>
      </c>
      <c r="GW224" t="str">
        <f>IF(OR(GO224="",GM224=""),"",IF(GO224&gt;IFERROR(VLOOKUP(GN224,Модули_спр,3,FALSE),99),"ЛИШНИЙ КАНАЛ",IF(AND(AH224&lt;&gt;"=",COUNTIFS(Линии[_модуль гр.],GM224,Линии[Канал (итог)],GO224,Линии[Канал],"&lt;&gt;=",Линии[Щит],A224)&gt;1),"ДУБЛЬ КАНАЛА","")))</f>
        <v/>
      </c>
      <c r="GX224" s="6" t="str">
        <f t="shared" si="464"/>
        <v/>
      </c>
      <c r="GY224">
        <f t="shared" si="465"/>
        <v>10</v>
      </c>
      <c r="GZ224" t="str">
        <f t="shared" si="466"/>
        <v/>
      </c>
      <c r="HA224" t="str">
        <f>IF(AND(B224="",GT224=""),"",_xlfn.TEXTJOIN("; ",TRUE,IF(AND(B224&lt;&gt;"",FE224=""),"нет фазы",""),IF(AND(B224&lt;&gt;"",N(FY224)=0,EQ224&lt;&gt;"Нет"),"нет мощности",""),IF(AND(GS224&lt;&gt;"",COUNTIFS(Линии[Щит],A224,Линии[Клемма (итог)],GS224)&gt;1),"дубль клеммы "&amp;GS224,""),IF(AND(GV224&lt;&gt;"",GV224&lt;&gt;"ok"),GV224,""),IF(GW224&lt;&gt;"",GW224,""),IF(AND(N(BV224)&gt;=4,N(BR224)=1),BV224&amp;" жил на 1 фазе",""),IF(AND(AX224="R",CA224=1,OR(N(CK224)=0,N(CK224)&gt;30)),"розетка без дифзащиты до 30 мА",""),IFERROR(IF(AND(ISNUMBER(R224),R224&gt;DV224),"потери "&amp;FIXED(R224,1)&amp;" % &gt; "&amp;DV224&amp;" %",""),""),IFERROR(IF(LEFT(GZ224,4)="мало","Iкз мало — отключение &gt; 0,4 с",""),""),IF(AND(B224&lt;&gt;"",BH224=""),"не на схеме",""),IF(AND(CA224=0,B224&lt;&gt;"",FE224&lt;&gt;"",IF(AW224=1,"",FF223)&lt;&gt;"",FE224&lt;&gt;IF(AW224=1,"",FF223)),"фаза не как у автомата группы ("&amp;IF(AW224=1,"",FF223)&amp;")","")))</f>
        <v/>
      </c>
      <c r="HB224" s="6" t="str">
        <f>IF(OR(CA224=0,DA224=""),"",_xlfn.LET(_xlpm.t,IFERROR(_xlfn.XLOOKUP(DA224,Каталог!$U$4:$U$500,Каталог!$G$4:$G$500),""),_xlpm.k,SEARCH("кА",_xlpm.t),IFERROR(--TRIM(RIGHT(SUBSTITUTE(MID(_xlpm.t,MAX(1,_xlpm.k-4),_xlpm.k-MAX(1,_xlpm.k-4))," ",REPT(" ",9)),5)),"")))</f>
        <v/>
      </c>
      <c r="HC224" t="str">
        <f>IF(OR(HB224="",CA224=0),"",IF(_xlfn.XLOOKUP(A224,Щиты[Щит],Щиты[Iкз max на шинах, кА],"")="","",IF(HB224&lt;_xlfn.XLOOKUP(A224,Щиты[Щит],Щиты[Iкз max на шинах, кА]),"Icu "&amp;HB224&amp;" кА &lt; Iкз max","ok")))</f>
        <v/>
      </c>
      <c r="HD224" t="str">
        <f t="shared" si="467"/>
        <v/>
      </c>
      <c r="HE224" t="str">
        <f t="shared" si="468"/>
        <v/>
      </c>
      <c r="HF224" t="str">
        <f t="shared" si="469"/>
        <v/>
      </c>
      <c r="HG224" t="str" cm="1">
        <f t="array" ref="HG224">IF(HF224="","",_xlfn.LET(_xlpm.nd,_xlfn.TEXTSPLIT(HF224,"|"),IF(COLUMNS(_xlpm.nd)&gt;1,A224&amp;"¦"&amp;INDEX(_xlpm.nd,1)&amp;"¦"&amp;INDEX(_xlpm.nd,2),"")))</f>
        <v/>
      </c>
      <c r="HH224" t="str">
        <f t="shared" si="470"/>
        <v/>
      </c>
      <c r="HI224" t="str" cm="1">
        <f t="array" ref="HI224">IF(HF224="","",_xlfn.LET(_xlpm.nd,_xlfn.TEXTSPLIT(HF224,"|"),IF(COLUMNS(_xlpm.nd)&gt;2,A224&amp;"¦"&amp;INDEX(_xlpm.nd,2)&amp;"¦"&amp;INDEX(_xlpm.nd,3),"")))</f>
        <v/>
      </c>
      <c r="HJ224" t="str">
        <f t="shared" si="471"/>
        <v/>
      </c>
      <c r="HK224" t="str" cm="1">
        <f t="array" ref="HK224">IF(HF224="","",_xlfn.LET(_xlpm.nd,_xlfn.TEXTSPLIT(HF224,"|"),IF(COLUMNS(_xlpm.nd)&gt;3,A224&amp;"¦"&amp;INDEX(_xlpm.nd,3)&amp;"¦"&amp;INDEX(_xlpm.nd,4),"")))</f>
        <v/>
      </c>
      <c r="HL224" t="str">
        <f t="shared" si="472"/>
        <v/>
      </c>
      <c r="HM224" t="str" cm="1">
        <f t="array" ref="HM224">IF(HF224="","",_xlfn.LET(_xlpm.nd,_xlfn.TEXTSPLIT(HF224,"|"),IF(COLUMNS(_xlpm.nd)&gt;4,A224&amp;"¦"&amp;INDEX(_xlpm.nd,4)&amp;"¦"&amp;INDEX(_xlpm.nd,5),"")))</f>
        <v/>
      </c>
      <c r="HN224" t="str">
        <f t="shared" si="473"/>
        <v/>
      </c>
      <c r="HO224" t="str" cm="1">
        <f t="array" ref="HO224">IF(HF224="","",_xlfn.LET(_xlpm.nd,_xlfn.TEXTSPLIT(HF224,"|"),IF(COLUMNS(_xlpm.nd)&gt;5,A224&amp;"¦"&amp;INDEX(_xlpm.nd,5)&amp;"¦"&amp;INDEX(_xlpm.nd,6),"")))</f>
        <v/>
      </c>
      <c r="HP224" t="str">
        <f t="shared" si="474"/>
        <v/>
      </c>
      <c r="HQ224" t="str" cm="1">
        <f t="array" ref="HQ224">IF(HF224="","",_xlfn.LET(_xlpm.nd,_xlfn.TEXTSPLIT(HF224,"|"),IF(COLUMNS(_xlpm.nd)&gt;6,A224&amp;"¦"&amp;INDEX(_xlpm.nd,6)&amp;"¦"&amp;INDEX(_xlpm.nd,7),"")))</f>
        <v/>
      </c>
      <c r="HR224" t="str">
        <f t="shared" si="475"/>
        <v/>
      </c>
      <c r="HS224" t="str">
        <f t="shared" si="476"/>
        <v/>
      </c>
      <c r="HT224" t="str">
        <f t="shared" si="477"/>
        <v/>
      </c>
      <c r="HU224">
        <f t="shared" si="478"/>
        <v>0</v>
      </c>
      <c r="HV224">
        <f t="shared" si="479"/>
        <v>0</v>
      </c>
      <c r="HW224" t="str">
        <f t="shared" si="480"/>
        <v/>
      </c>
      <c r="HX224" t="str">
        <f t="shared" si="481"/>
        <v/>
      </c>
      <c r="HY224" t="str">
        <f t="shared" si="482"/>
        <v/>
      </c>
      <c r="HZ224" t="str">
        <f t="shared" si="483"/>
        <v/>
      </c>
      <c r="IA224">
        <f>IF(B224="","",IFERROR(VLOOKUP(B224,УГО_спр,2,FALSE),IFERROR(VLOOKUP(AX224,УГО_спр,2,FALSE),IFERROR(VLOOKUP(LEFT(AX224,2),УГО_спр,2,FALSE),""))))</f>
        <v>0</v>
      </c>
      <c r="IB224" t="str">
        <f>IF(B224="","",IF(OR(IA224="",IA224=0),"BOX",IFERROR(IF(VLOOKUP(IA224,УГО_блоки,3,FALSE)&amp;""&lt;&gt;"",VLOOKUP(IA224,УГО_блоки,3,FALSE),VLOOKUP(IA224,УГО_блоки,2,FALSE)),IA224)))</f>
        <v>BOX</v>
      </c>
      <c r="IC224">
        <f t="shared" si="484"/>
        <v>1</v>
      </c>
      <c r="ID224" t="str">
        <f>IF(DA224="","",IF(COUNTIF(DA$3:DA224,DA224)=1,MAX(ID$2:ID223)+1,""))</f>
        <v/>
      </c>
      <c r="IE224" t="str">
        <f>IF(CO224="","",IF(COUNTIF(CO$3:CO224,CO224)+COUNTIF(CP$2:CP223,CO224)+COUNTIF(CQ$2:CQ223,CO224)=1,MAX(IE$2:IG223)+1,""))</f>
        <v/>
      </c>
      <c r="IF224" t="str">
        <f>IF(CP224="","",IF(COUNTIF(CO$3:CO224,CP224)+COUNTIF(CP$3:CP224,CP224)+COUNTIF(CQ$2:CQ223,CP224)=1,MAX(IE$2:IG223,IE224)+1,""))</f>
        <v/>
      </c>
      <c r="IG224" t="str">
        <f>IF(CQ224="","",IF(COUNTIF(CO$3:CO224,CQ224)+COUNTIF(CP$3:CP224,CQ224)+COUNTIF(CQ$3:CQ224,CQ224)=1,MAX(IE$2:IG223,IE224,IF224)+1,""))</f>
        <v/>
      </c>
      <c r="IH224" t="str">
        <f t="shared" si="485"/>
        <v/>
      </c>
      <c r="II224" t="str">
        <f>IF(IH224="","",IF(COUNTIF(IH$3:IH224,IH224)=1,MAX(II$2:II223)+1,""))</f>
        <v/>
      </c>
      <c r="IJ224" t="str">
        <f>IF(GL224="","",COUNTIF(GL$3:GL224,"?*"))</f>
        <v/>
      </c>
      <c r="IK224" t="str">
        <f>IF(OR(GL224="",GN224=""),"",IF(COUNTIFS(GL$3:GL224,"?*",GN$3:GN224,GN224)=1,MAX(IK$2:IK223)+1,""))</f>
        <v/>
      </c>
      <c r="IL224">
        <f t="shared" si="486"/>
        <v>0</v>
      </c>
      <c r="IM224">
        <f>IF(B224="","",COUNTIF(B$3:B224,"?*"))</f>
        <v>222</v>
      </c>
      <c r="IN224">
        <f>IF(GQ224&lt;&gt;1,0,_xlfn.LET(_xlpm.k,MAX(IFERROR(--VLOOKUP(B224,УГО_спр,5,FALSE),0),IFERROR(--VLOOKUP(AX224,УГО_спр,5,FALSE),0),IFERROR(--VLOOKUP(LEFT(AX224,2),УГО_спр,5,FALSE),0)),IF(_xlpm.k&gt;0,_xlpm.k,IF(IFERROR(--LEFT(SUBSTITUTE(IH224,"x","х"),FIND("х",SUBSTITUTE(IH224,"x","х"))-1),3)&gt;3,Каталог!$S$9,1))))</f>
        <v>0</v>
      </c>
      <c r="IO224">
        <f t="shared" si="487"/>
        <v>0</v>
      </c>
      <c r="IP224" t="str">
        <f t="shared" si="488"/>
        <v>авто</v>
      </c>
      <c r="IQ224" t="str">
        <f t="shared" si="489"/>
        <v/>
      </c>
      <c r="IR224">
        <f t="shared" si="490"/>
        <v>0</v>
      </c>
      <c r="IS224">
        <f t="shared" si="491"/>
        <v>1</v>
      </c>
    </row>
    <row r="225" spans="1:253" x14ac:dyDescent="0.3">
      <c r="A225" t="s">
        <v>759</v>
      </c>
      <c r="B225" t="s">
        <v>1490</v>
      </c>
      <c r="C225" t="str">
        <f>Линии[[#This Row],[_авто наименование]]</f>
        <v>Розеточная группа, пом. 001A</v>
      </c>
      <c r="D225">
        <v>6</v>
      </c>
      <c r="E225">
        <v>0.36</v>
      </c>
      <c r="G225" t="str">
        <f>Линии[[#This Row],[_авто автомат]]</f>
        <v>2P С16А 30мА</v>
      </c>
      <c r="H225">
        <f>Линии[[#This Row],[_авто утечка]]</f>
        <v>30</v>
      </c>
      <c r="I225" t="str">
        <f>Линии[[#This Row],[_авто управление]]</f>
        <v/>
      </c>
      <c r="J225" t="str">
        <f>Линии[[#This Row],[_авто аппараты]]</f>
        <v/>
      </c>
      <c r="K225">
        <v>2.5</v>
      </c>
      <c r="L225">
        <v>48</v>
      </c>
      <c r="M225">
        <v>3</v>
      </c>
      <c r="N225" t="str">
        <f>Линии[[#This Row],[_авто клемма]]</f>
        <v>XT1</v>
      </c>
      <c r="O225" t="str">
        <f t="shared" si="369"/>
        <v/>
      </c>
      <c r="P225" s="6" cm="1">
        <f t="array" ref="P225">IF(B225="","",IF(BC225&lt;&gt;"",IFERROR(_xlfn.XLOOKUP(BC225,Щиты[Щит],Щиты[Iр, А]),""),IF(BK225=1,IFERROR(_xlfn.XLOOKUP(A225,Щиты[Щит],Щиты[Iр, А]),""),IFERROR(_xlfn.IFS(BR225=1,BN225/((Uн_лин/SQRT(3))*BY225),BR225=3,BN225/(SQRT(3)*Uн_лин*BY225)),""))))</f>
        <v>1.6408902387494626</v>
      </c>
      <c r="Q225" s="7">
        <f>IF(B225="","",IFERROR(IF(VLOOKUP(AX225,Потребители_обозначение,4,FALSE)=1,VLOOKUP(AX225,Потребители_обозначение,3,FALSE)*(D225*2-1)+DS225+VLOOKUP(AZ225,Этаж_обозначение,3,FALSE)+VLOOKUP(AZ225,Этаж_обозначение,4,FALSE),VLOOKUP(AX225,Потребители_обозначение,3,FALSE)*(D225*2-1)+DS225),DS225))</f>
        <v>81</v>
      </c>
      <c r="R225" s="6">
        <f t="shared" si="370"/>
        <v>2.1799999999999997</v>
      </c>
      <c r="S225" t="str">
        <f t="shared" si="371"/>
        <v>ВВГнг(А)-LS (3х2,5)</v>
      </c>
      <c r="T225" t="str">
        <f>IF(BH225="","",IF(BI225="вводной узел","узел ","")&amp;"л."&amp;(INT((BH225-1)/Столбцов_на_лист)+1)&amp;" / "&amp;(MOD(BH225-1,Столбцов_на_лист)+1))</f>
        <v>л.2 / 1</v>
      </c>
      <c r="V225">
        <v>1</v>
      </c>
      <c r="W225">
        <v>230</v>
      </c>
      <c r="X225" t="s">
        <v>564</v>
      </c>
      <c r="AC225" t="s">
        <v>815</v>
      </c>
      <c r="AE225" t="s">
        <v>563</v>
      </c>
      <c r="AI225">
        <v>18</v>
      </c>
      <c r="AJ225" t="s">
        <v>11</v>
      </c>
      <c r="AK225">
        <v>3</v>
      </c>
      <c r="AM225">
        <v>0</v>
      </c>
      <c r="AN225">
        <v>0</v>
      </c>
      <c r="AO225">
        <v>48</v>
      </c>
      <c r="AW225" cm="1">
        <f t="array" ref="AW225">ROW()-ROW(Линии[#Headers])</f>
        <v>223</v>
      </c>
      <c r="AX225" s="6" t="str">
        <f t="shared" si="372"/>
        <v>R</v>
      </c>
      <c r="AY225" t="str">
        <f t="shared" si="373"/>
        <v>1.001A.1</v>
      </c>
      <c r="AZ225" t="str">
        <f t="shared" si="374"/>
        <v>1</v>
      </c>
      <c r="BA225" t="str">
        <f t="shared" si="375"/>
        <v>001A.1</v>
      </c>
      <c r="BB225" t="str">
        <f t="shared" si="376"/>
        <v>001A</v>
      </c>
      <c r="BC225" t="str">
        <f>IF(U225&lt;&gt;"",U225,IF(AND(B225&lt;&gt;"",B225&lt;&gt;A225,ISNUMBER(_xlfn.XMATCH(B225,Щиты[Щит]))),B225,""))</f>
        <v/>
      </c>
      <c r="BD225" t="str" cm="1">
        <f t="array" ref="BD225">IF(B225="","",IF(BC225&lt;&gt;"","Щит "&amp;BC225,_xlfn.LET(_xlpm.nm,IFERROR(_xlfn.XLOOKUP(AX225,Коды_код,Коды_имя)&amp;"",""),_xlpm.md,IFERROR(N(_xlfn.XLOOKUP(AX225,Коды_код,Коды_режим)),1),_xlpm.ex,IF(Имя_режим="по экспликации",IFERROR(_xlfn.XLOOKUP(AZ225&amp;"|"&amp;BB225,Экспликация[Этаж]&amp;"|"&amp;Экспликация[Помещение],Экспликация[Название])&amp;"",""),""),_xlpm.rm,IF(BB225="","",IF(_xlpm.ex&lt;&gt;"",". "&amp;_xlpm.ex&amp;IF(Имя_пом="нет"," ("&amp;BB225&amp;")"," (пом. "&amp;BB225&amp;")"),IF(Имя_пом="нет"," ",", пом. ")&amp;BB225)),IF(_xlpm.nm="","",IF(_xlpm.md=2,_xlpm.nm&amp;" шлейф "&amp;AZ225,_xlpm.nm&amp;_xlpm.rm)))))</f>
        <v>Розеточная группа, пом. 001A</v>
      </c>
      <c r="BE225" t="str">
        <f t="shared" si="377"/>
        <v>Розеточная группа, пом. 001A</v>
      </c>
      <c r="BF225">
        <f>IFERROR(_xlfn.XMATCH(A225,Щиты[Щит]),0)</f>
        <v>10</v>
      </c>
      <c r="BG225">
        <f>_xlfn.LET(_xlpm.k,IFERROR(_xlfn.XLOOKUP(A225,Щиты[Щит],Щиты[Листов под вводной узел]),""),IF(_xlpm.k="",1,N(_xlpm.k))*Столбцов_на_лист)</f>
        <v>17</v>
      </c>
      <c r="BH225">
        <f t="shared" si="378"/>
        <v>18</v>
      </c>
      <c r="BI225" t="str">
        <f t="shared" si="379"/>
        <v>линии</v>
      </c>
      <c r="BJ225" s="6">
        <f>IFERROR(N(_xlfn.XLOOKUP(AX225,Коды_код,Коды_квт)),0)</f>
        <v>0</v>
      </c>
      <c r="BK225">
        <f t="shared" si="380"/>
        <v>0</v>
      </c>
      <c r="BL225" t="str">
        <f>IF(B225="","",IF(BC225&lt;&gt;"",IFERROR(_xlfn.XLOOKUP(BC225,Щиты[Щит],Щиты[Руст, кВт]),0),IF(BK225=1,IFERROR(_xlfn.XLOOKUP(A225,Щиты[Щит],Щиты[Руст, кВт]),0),IF(BJ225&gt;0,ROUND(BJ225*MAX(1,N(D225)),3),""))))</f>
        <v/>
      </c>
      <c r="BM225">
        <f t="shared" si="381"/>
        <v>0.36</v>
      </c>
      <c r="BN225" s="6">
        <f>IF(B225="","",IF(BC225&lt;&gt;"",IFERROR(_xlfn.XLOOKUP(BC225,Щиты[Щит],Щиты[Руст, кВт]),0),N(BM225)))</f>
        <v>0.36</v>
      </c>
      <c r="BO225" t="str">
        <f>IF(B225="","",IFERROR(IF(VLOOKUP(AX225,Потребители_обозначение,8,FALSE)=0,"",VLOOKUP(AX225,Потребители_обозначение,8,FALSE)),""))</f>
        <v/>
      </c>
      <c r="BP225">
        <f t="shared" si="382"/>
        <v>230</v>
      </c>
      <c r="BQ225">
        <f>IF(B225="","",IF(BC225&lt;&gt;"",3,IFERROR(IF(N(VLOOKUP(AX225,Потребители_обозначение,9,FALSE))=0,1,VLOOKUP(AX225,Потребители_обозначение,9,FALSE)),1)))</f>
        <v>1</v>
      </c>
      <c r="BR225">
        <f t="shared" si="383"/>
        <v>1</v>
      </c>
      <c r="BS225" t="str">
        <f>IF(B225="","",_xlfn.LET(_xlpm.bc,IFERROR(IF(VLOOKUP(AX225,Потребители_обозначение,6,FALSE)=0,"",VLOOKUP(AX225,Потребители_обозначение,6,FALSE)&amp;""),""),IF(AND(FK225="да",OR(_xlpm.bc="",_xlpm.bc="мс")),Марка_пож,IF(AND(_xlpm.bc="",BC225&lt;&gt;""),"мс",_xlpm.bc))))</f>
        <v/>
      </c>
      <c r="BT225" t="str">
        <f t="shared" si="384"/>
        <v>мс</v>
      </c>
      <c r="BU225">
        <f>IF(B225="","",_xlfn.LET(_xlpm.cc,IFERROR(N(VLOOKUP(AX225,Потребители_обозначение,7,FALSE)),0),IF(_xlpm.cc&gt;0,_xlpm.cc,IF(BT225="","",IF(N(BR225)=3,5,3)))))</f>
        <v>3</v>
      </c>
      <c r="BV225">
        <f t="shared" si="385"/>
        <v>3</v>
      </c>
      <c r="BW225">
        <f>IFERROR(N(VLOOKUP(AX225,Потребители_обозначение,10,FALSE)),0)</f>
        <v>0</v>
      </c>
      <c r="BX225">
        <f>IFERROR(VLOOKUP(AX225,Потребители_обозначение,5,FALSE),0)</f>
        <v>1</v>
      </c>
      <c r="BY225" s="6" cm="1">
        <f t="array" ref="BY225">IF(B225="","",IF(BC225&lt;&gt;"",IFERROR(_xlfn.XLOOKUP(BC225,Щиты[Щит],Щиты[cos φ]),0.95),IF(BK225=1,IFERROR(_xlfn.XLOOKUP(A225,Щиты[Щит],Щиты[cos φ]),0.95),IF(ISNUMBER(Z225),Z225,IFERROR(IF(BX225=2,_xlfn.IFS(BR225=3,VLOOKUP(BN225,Справочная_двигатели,8,FALSE),BR225=1,VLOOKUP(BN225,Справочная_двигатели,10,TRUE)),IF(AND(Методика="нормы 2026",EQ225="Сил"),0.8,0.95)),0.95)))))</f>
        <v>0.95</v>
      </c>
      <c r="BZ225">
        <f t="shared" si="386"/>
        <v>0</v>
      </c>
      <c r="CA225">
        <f t="shared" si="387"/>
        <v>1</v>
      </c>
      <c r="CB225">
        <f t="shared" si="388"/>
        <v>0</v>
      </c>
      <c r="CC225">
        <f t="shared" si="389"/>
        <v>0</v>
      </c>
      <c r="CD225">
        <f t="shared" si="390"/>
        <v>0</v>
      </c>
      <c r="CE225">
        <f t="shared" si="391"/>
        <v>0</v>
      </c>
      <c r="CF225">
        <f t="shared" si="392"/>
        <v>0</v>
      </c>
      <c r="CG225">
        <f>IF(AX225="",0,_xlfn.LET(_xlpm.v,IFERROR(VLOOKUP(B225,УГО_спр,3,FALSE),IFERROR(VLOOKUP(AX225,УГО_спр,3,FALSE),IFERROR(VLOOKUP(LEFT(AX225,2),УГО_спр,3,FALSE),""))),IF(_xlpm.v="да",30,IF(ISNUMBER(_xlpm.v),_xlpm.v,0))))</f>
        <v>30</v>
      </c>
      <c r="CH225">
        <f t="shared" si="393"/>
        <v>30</v>
      </c>
      <c r="CI225" t="str">
        <f>_xlfn.LET(_xlpm.k,IFERROR(_xlfn.XLOOKUP(AX225,Коды_код,Коды_утечка)&amp;"",""),IF(_xlpm.k="","дифавтомат",_xlpm.k))</f>
        <v>дифавтомат</v>
      </c>
      <c r="CJ225">
        <f t="shared" si="394"/>
        <v>30</v>
      </c>
      <c r="CK225">
        <f t="shared" si="395"/>
        <v>30</v>
      </c>
      <c r="CL225">
        <f>IF(B225="",0,IFERROR(--VLOOKUP(B225,УГО_спр,4,FALSE),IFERROR(--VLOOKUP(AX225,УГО_спр,4,FALSE),IFERROR(--VLOOKUP(LEFT(AX225,2),УГО_спр,4,FALSE),0))))</f>
        <v>16</v>
      </c>
      <c r="CM225" t="str">
        <f>IF(B225="","",IFERROR(_xlfn.XLOOKUP(AX225,Коды_код,Коды_апп)&amp;"",""))</f>
        <v/>
      </c>
      <c r="CN225" t="str">
        <f t="shared" si="396"/>
        <v/>
      </c>
      <c r="CO225" t="str" cm="1">
        <f t="array" ref="CO225">IF(TRIM(CN225&amp;"")="","",IFERROR(TRIM(INDEX(_xlfn.TEXTSPLIT(CN225&amp;";;;",";"),1)),""))</f>
        <v/>
      </c>
      <c r="CP225" t="str" cm="1">
        <f t="array" ref="CP225">IF(TRIM(CN225&amp;"")="","",IFERROR(TRIM(INDEX(_xlfn.TEXTSPLIT(CN225&amp;";;;",";"),2)),""))</f>
        <v/>
      </c>
      <c r="CQ225" t="str" cm="1">
        <f t="array" ref="CQ225">IF(TRIM(CN225&amp;"")="","",IFERROR(TRIM(INDEX(_xlfn.TEXTSPLIT(CN225&amp;";;;",";"),3)),""))</f>
        <v/>
      </c>
      <c r="CR225">
        <f t="shared" si="397"/>
        <v>0</v>
      </c>
      <c r="CS225" t="str">
        <f>IF(B225="","",_xlfn.LET(_xlpm.t,LOWER(AV225&amp;""),IF(ISNUMBER(SEARCH("dim",_xlpm.t)),"DIM",IF(ISNUMBER(SEARCH("dali",_xlpm.t)),"DALI",IF(OR(ISNUMBER(SEARCH("relay",_xlpm.t)),ISNUMBER(SEARCH("реле",_xlpm.t))),"Relay",IF(ISNUMBER(SEARCH("кнопк",_xlpm.t)),"",IFERROR(_xlfn.XLOOKUP(AX225,Коды_код,Коды_упр)&amp;"","")))))))</f>
        <v/>
      </c>
      <c r="CT225" t="str">
        <f t="shared" si="398"/>
        <v/>
      </c>
      <c r="CU225">
        <f>IF(B225="","",_xlfn.LET(_xlpm.ig,N(P225)+IF(AF225="вручную",0,N(CB225)),_xlpm.n0,IFERROR(VLOOKUP(_xlpm.ig,Автомат_номиналы,2,TRUE),0),_xlpm.mn,MAX(CL225,IF(AF225="вручную",0,N(CE225))),MAX(_xlpm.n0,_xlpm.mn,IF(CR225=1,Мин_автомат_БП,0))))</f>
        <v>16</v>
      </c>
      <c r="CV225">
        <f t="shared" si="399"/>
        <v>1</v>
      </c>
      <c r="CW225" t="str">
        <f t="shared" si="400"/>
        <v>2P</v>
      </c>
      <c r="CX225" t="str">
        <f>_xlfn.LET(_xlpm.cc,UPPER(TRIM(IFERROR(_xlfn.XLOOKUP(AX225,Коды_код,Коды_хар)&amp;"",""))),IF(OR(_xlpm.cc="B",_xlpm.cc="В"),"B",IF(_xlpm.cc="D","D","С")))</f>
        <v>С</v>
      </c>
      <c r="CY225" t="str">
        <f t="shared" si="401"/>
        <v>2P С16А 30мА</v>
      </c>
      <c r="CZ225" t="str">
        <f t="shared" si="402"/>
        <v>2P С16А 30мА</v>
      </c>
      <c r="DA225" t="str">
        <f t="shared" si="403"/>
        <v>2P С16А 30мА</v>
      </c>
      <c r="DB225" cm="1">
        <f t="array" ref="DB225">IF(DA225="","",_xlfn.LET(_xlpm.t,SUBSTITUTE(SUBSTITUTE(SUBSTITUTE(UPPER(DA225),"С","C"),"А","A"),"В","B"),_xlpm.tk,_xlfn.TEXTSPLIT(_xlpm.t,"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5" t="str">
        <f t="shared" si="404"/>
        <v>ok</v>
      </c>
      <c r="DD225">
        <f t="shared" si="405"/>
        <v>16</v>
      </c>
      <c r="DE225" t="str">
        <f t="shared" si="406"/>
        <v>2P С16А 30мА</v>
      </c>
      <c r="DF225">
        <f t="shared" si="407"/>
        <v>30</v>
      </c>
      <c r="DG225">
        <f t="shared" si="408"/>
        <v>1</v>
      </c>
      <c r="DH225">
        <f t="shared" si="409"/>
        <v>0</v>
      </c>
      <c r="DI225">
        <f t="shared" si="410"/>
        <v>1.6408902387494626</v>
      </c>
      <c r="DJ225">
        <f t="shared" si="411"/>
        <v>1</v>
      </c>
      <c r="DK225">
        <f>IF(ISNUMBER(AL225),AL225,К_прокл)</f>
        <v>1</v>
      </c>
      <c r="DL225">
        <f t="shared" si="412"/>
        <v>2</v>
      </c>
      <c r="DM225">
        <f>IFERROR(N(VLOOKUP(BT225,Кабель_обозначение,3,FALSE)),1)</f>
        <v>1</v>
      </c>
      <c r="DN225">
        <f>IFERROR(N(_xlfn.XLOOKUP(A225,Щиты[Щит],Щиты[ΔU до шин, %])),0)</f>
        <v>1.19</v>
      </c>
      <c r="DO225" t="str">
        <f>IFERROR(_xlfn.XLOOKUP(A225,Щиты[Щит],Щиты[Zпетли на шинах, Ом]),"")</f>
        <v/>
      </c>
      <c r="DP225">
        <f>IFERROR(N(_xlfn.XLOOKUP(A225,Щиты[Щит],Щиты[ΔU до шин (подбор), %])),0)</f>
        <v>1.19</v>
      </c>
      <c r="DQ225" t="str">
        <f>IFERROR(_xlfn.XLOOKUP(A225,Щиты[Щит],Щиты[Zпетли на шинах (подбор), Ом]),"")</f>
        <v/>
      </c>
      <c r="DR225" t="str">
        <f t="shared" si="413"/>
        <v/>
      </c>
      <c r="DS225">
        <f t="shared" si="414"/>
        <v>48</v>
      </c>
      <c r="DT225">
        <f t="shared" si="415"/>
        <v>2</v>
      </c>
      <c r="DU225">
        <f t="shared" si="416"/>
        <v>0.31</v>
      </c>
      <c r="DV225" s="6">
        <f>IF(B225="","",IF(IFERROR(VLOOKUP(AX225,УГО_спр,2,FALSE),"")="Светильник",3,4)+IF(Методика="нормы 2026",MIN(0.5,MAX(0,N(Q225)-100)*0.005),0))</f>
        <v>4</v>
      </c>
      <c r="DW225" cm="1">
        <f t="array" ref="DW225">IF(OR(B225="",BT225="",DM225&lt;&gt;1),"",_xlfn.LET(_xlpm.sz,Iдоп_S,_xlpm.t_,CHOOSE(DL225,Iдоп_1ж,Iдоп_2ж,Iдоп_3ж)*DJ225*DK225,_xlpm.inn,N(DD225),_xlpm.smin,MAX(1.5,BW225),_xlpm.L_,N(Q225)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225)*(_xlpm.rho*_xlpm.L_/_xlpm.sz*N(BY225)+_xlpm.xx*_xlpm.L_*N(DU225)/1000)*N(P225)/((Uн_лин/SQRT(3))*1000)*100,999),_xlpm.kz,IF(OR(DG225=1,NOT(ISNUMBER(DQ225)),_xlpm.L_=0,_xlpm.inn=0),1,IFERROR(--(c_min*(Uн_лин*1000/SQRT(3))/(DQ225+2*ρкз_Cu*_xlpm.L_/_xlpm.sz)&gt;=GY225*_xlpm.inn),0)),_xlpm.ok,IFERROR((_xlpm.sz&gt;=_xlpm.smin)*(_xlpm.t_&gt;=_xlpm.inn)*IF(_xlpm.L_&gt;0,(_xlpm.du_+DP225&lt;=DV225+0.00001),1)*_xlpm.kz,0),_xlpm.r_,_xlfn._xlws.FILTER(_xlpm.sz,_xlpm.ok,"не подобрано"),INDEX(_xlpm.r_,1)))</f>
        <v>1.5</v>
      </c>
      <c r="DX225">
        <f t="shared" si="417"/>
        <v>2.5</v>
      </c>
      <c r="DY225" cm="1">
        <f t="array" ref="DY225">IF(OR(B225="",BT225="",DM225&lt;&gt;1),"",_xlfn.LET(_xlpm.sz,Iдоп_S,_xlpm.t_,CHOOSE(DL225,Iдоп_1ж,Iдоп_2ж,Iдоп_3ж)*DJ225*DK225,_xlpm.ok,IFERROR((_xlpm.sz&gt;=MAX(1.5,BW225))*(_xlpm.t_&gt;=N(DD225)),0),_xlpm.r_,_xlfn._xlws.FILTER(_xlpm.sz,_xlpm.ok,""),INDEX(_xlpm.r_,1)))</f>
        <v>1.5</v>
      </c>
      <c r="DZ225" s="6" cm="1">
        <f t="array" ref="DZ225">IFERROR(ROUNDUP(N(DT225)*(_xlfn.XLOOKUP(DY225,INDEX(Кабель_сопротивление,0,1),INDEX(Кабель_сопротивление,0,3))*N(Q225)/DY225*N(BY225)+_xlfn.XLOOKUP(DY225,INDEX(Кабель_сопротивление,0,1),INDEX(Кабель_сопротивление,0,2))*N(Q225)*N(DU225)/1000)*N(P225)/((Uн_лин/SQRT(3))*1000)*100,2),"")</f>
        <v>1.65</v>
      </c>
      <c r="EA225">
        <f>IFERROR(2*ρкз_Cu*N(Q225)/DY225,"")</f>
        <v>2.8404000000000003</v>
      </c>
      <c r="EB225">
        <f>IFERROR(VLOOKUP(DX225,Кабель_сопротивление,3,FALSE),"")</f>
        <v>2.2499999999999999E-2</v>
      </c>
      <c r="EC225">
        <f>IFERROR(VLOOKUP(DX225,Кабель_сопротивление,2,FALSE),"")</f>
        <v>0.1</v>
      </c>
      <c r="ED225">
        <f t="shared" si="418"/>
        <v>0</v>
      </c>
      <c r="EE225">
        <f t="shared" si="419"/>
        <v>48</v>
      </c>
      <c r="EF225">
        <f t="shared" si="420"/>
        <v>2.2810376204708804</v>
      </c>
      <c r="EG225" s="6">
        <f>IFERROR(ROUNDUP(EF225/((Uн_лин/SQRT(3))*1000)*100,2),"")</f>
        <v>0.99</v>
      </c>
      <c r="EH225" t="str">
        <f>IFERROR(VLOOKUP(BT225,Кабель_обозначение,2,FALSE),"")</f>
        <v>ВВГнг(А)-LS</v>
      </c>
      <c r="EI225" t="str">
        <f t="shared" si="421"/>
        <v>ВВГнг(А)-LS (3х2,5)</v>
      </c>
      <c r="EJ225" t="str">
        <f t="shared" si="422"/>
        <v>ВВГнг(А)-LS (3х2,5)
L=81-0,99%</v>
      </c>
      <c r="EK225">
        <f>IFERROR(2*ρкз_Cu*Q225/DX225,"")</f>
        <v>1.70424</v>
      </c>
      <c r="EL225">
        <f t="shared" si="423"/>
        <v>0.56700000000000006</v>
      </c>
      <c r="EM225" s="6" t="str">
        <f>IFERROR(IF(OR(B225="",NOT(ISNUMBER(DX225)),N(Q225)=0),"",_xlfn.XLOOKUP(A225,Щиты[Щит],Щиты[Zпетли на шинах, Ом])+EK225),"")</f>
        <v/>
      </c>
      <c r="EN225" s="6" t="str">
        <f>IF(ISNUMBER(EM225),c_min*(Uн_лин*1000/SQRT(3))/EM225,"")</f>
        <v/>
      </c>
      <c r="EO225" s="6" t="str">
        <f>IFERROR(IF(OR(B225="",NOT(ISNUMBER(DX225))),"",1.05*(Uн_лин*1000/SQRT(3))/(_xlfn.XLOOKUP(A225,Щиты[Щит],Щиты[Zmax на шинах, Ом])+EL225)/1000),"")</f>
        <v/>
      </c>
      <c r="EP225" s="6" t="str">
        <f>IF(B225="","",IF(ISNUMBER(Y225),"Сил",IF(IFERROR(_xlfn.XLOOKUP(AX225,Коды_код,Коды_группа)&amp;"","")="","Быт",_xlfn.XLOOKUP(AX225,Коды_код,Коды_группа)&amp;"")))</f>
        <v>Быт</v>
      </c>
      <c r="EQ225" s="6" t="str">
        <f t="shared" si="424"/>
        <v>Быт</v>
      </c>
      <c r="ER225" s="6">
        <f>IF(EQ225="Щит","щит",IF(EQ225="","",IF(EQ225="Быт",IFERROR(_xlfn.XLOOKUP(A225,Щиты[Щит],Щиты[Кс быт]),1),IF(EQ225="Сил",IF(ISNUMBER(Y225),Y225,IF(Методика="нормы 2026",IFERROR(_xlfn.XLOOKUP(A225,Щиты[Щит],Щиты[Кс силовых (табл. 7.5)]),1),1)),IF(OR(EQ225="Пост",EQ225="Отоп"),1,IF(EQ225="ВНГ",0.7,0))))))</f>
        <v>0.57830000000000004</v>
      </c>
      <c r="ES225">
        <f t="shared" si="425"/>
        <v>1</v>
      </c>
      <c r="ET225">
        <f t="shared" si="426"/>
        <v>0.36</v>
      </c>
      <c r="EU225">
        <f t="shared" si="427"/>
        <v>0.36</v>
      </c>
      <c r="EV225">
        <f t="shared" si="428"/>
        <v>0</v>
      </c>
      <c r="EW225">
        <f t="shared" si="429"/>
        <v>0</v>
      </c>
      <c r="EX225">
        <f t="shared" si="430"/>
        <v>0</v>
      </c>
      <c r="EY225">
        <f t="shared" si="431"/>
        <v>0</v>
      </c>
      <c r="EZ225">
        <f t="shared" si="432"/>
        <v>0.36</v>
      </c>
      <c r="FA225">
        <f t="shared" si="433"/>
        <v>0.34199999999999997</v>
      </c>
      <c r="FB225">
        <f t="shared" si="434"/>
        <v>0.36</v>
      </c>
      <c r="FC225" t="str">
        <f t="shared" si="435"/>
        <v>L3</v>
      </c>
      <c r="FD225" t="str">
        <f>IF(B225="","",IF(CA225=0,IF(AW225=1,"",FF224),IF(OR(N(CV225)&gt;=3,N(BR225)&gt;=3),"L1,L2,L3",IFERROR(_xlfn.TEXTBEFORE(_xlfn.TEXTAFTER(_xlfn.XLOOKUP(A225,Щиты[Щит],Щиты[_фазы авто]),";"&amp;AW225&amp;":"),";"),"L1"))))</f>
        <v>L1</v>
      </c>
      <c r="FE225" t="str">
        <f t="shared" si="436"/>
        <v>L3</v>
      </c>
      <c r="FF225" t="str">
        <f t="shared" si="437"/>
        <v>L3</v>
      </c>
      <c r="FG225" cm="1">
        <f t="array" ref="FG225">IFERROR(IF(BX225=2,_xlfn.IFS(BR225=3,VLOOKUP(BN225,Справочная_двигатели,3,FALSE),BR225=1,VLOOKUP(BN225,Справочная_двигатели,5,TRUE)),0),0)</f>
        <v>0</v>
      </c>
      <c r="FH225">
        <f>IFERROR(IF(BX225=3,VLOOKUP(BN225,Справочная_ЛЭД,2,TRUE),0),0)</f>
        <v>0</v>
      </c>
      <c r="FI225" s="6">
        <f t="shared" si="438"/>
        <v>0</v>
      </c>
      <c r="FJ225" t="str" cm="1">
        <f t="array" ref="FJ225">IF(B225="","",IFERROR(INDEX({"I особая","I","II","III"},MATCH(TRIM(AC225&amp;""),{"I особая","I","II","III"},0)),"III"))</f>
        <v>II</v>
      </c>
      <c r="FK225" t="str">
        <f>IF(B225="","",IF(TRIM(AD225&amp;"")&lt;&gt;"",IF(LOWER(TRIM(AD225&amp;""))="да","да","нет"),IF(IFERROR(_xlfn.XLOOKUP(AX225,Коды_код,Коды_пожарная),"")="да","да","нет")))</f>
        <v>нет</v>
      </c>
      <c r="FL225" t="str">
        <f t="shared" si="439"/>
        <v/>
      </c>
      <c r="FM225" t="str">
        <f t="shared" si="440"/>
        <v>основная</v>
      </c>
      <c r="FN225">
        <f t="shared" si="441"/>
        <v>1</v>
      </c>
      <c r="FO225" t="str" cm="1">
        <f t="array" ref="FO225">IF(B225="","",_xlfn.LET(_xlpm.t,IFERROR(_xlfn.XLOOKUP(1,(Шины[Шина]=FM225)*(((Шины[Щит]=A225)+(Шины[Щит]=""))&gt;0),Шины[Тип]),"")&amp;"",IF(_xlpm.t&lt;&gt;"",_xlpm.t,IF(ISNUMBER(SEARCH("ИБП",FM225)),"ИБП",IF(ISNUMBER(SEARCH("ДГУ",FM225)),"ДГУ","Ввод "&amp;FN225)))))</f>
        <v>Ввод 1</v>
      </c>
      <c r="FP225" t="str">
        <f t="shared" si="442"/>
        <v>Ввод 1</v>
      </c>
      <c r="FQ225" t="str">
        <f>IF(B225="","",IF(OR(FO225="ИБП",FO225="ДГУ"),"I особая",IF(FO225="Одиночная","III",_xlfn.XLOOKUP(A225,Щиты[Щит],Щиты[Категория шины «Ввод»],"III"))))</f>
        <v>II</v>
      </c>
      <c r="FR225">
        <f>IF(B225="",0,IFERROR(MATCH(FJ225,{"III","II","I","I особая"},0),1))</f>
        <v>2</v>
      </c>
      <c r="FS225">
        <f t="shared" si="443"/>
        <v>2</v>
      </c>
      <c r="FT225" t="str">
        <f>IF(B225="","",IF(FR225&gt;IFERROR(MATCH(FQ225,{"III","II","I","I особая"},0),1),"НЕ ОБЕСПЕЧЕНА","ОК"))</f>
        <v>ОК</v>
      </c>
      <c r="FU225" t="str">
        <f>IF(A225="","",_xlfn.XLOOKUP(A225,Щиты[Щит],Щиты[Путь],""))</f>
        <v>|ГРЩ-ЖД|ЩР-1|</v>
      </c>
      <c r="FV225" t="str">
        <f>IF(B225="","",IF(AE225&lt;&gt;"",AE225,IF(IFERROR(_xlfn.XLOOKUP(AX225,Коды_код,Коды_вид)&amp;"","")="","Прочее",_xlfn.XLOOKUP(AX225,Коды_код,Коды_вид)&amp;"")))</f>
        <v>Розеточная сеть и бытовые приборы</v>
      </c>
      <c r="FW225">
        <f>IF(BH225="","",INT((BH225-1)/Столбцов_на_лист)+1)</f>
        <v>2</v>
      </c>
      <c r="FX225" t="str">
        <f t="shared" si="444"/>
        <v>ВВГнг(А)-LS (3х2,5) L=81-0,99%</v>
      </c>
      <c r="FY225">
        <f t="shared" si="445"/>
        <v>0.36</v>
      </c>
      <c r="FZ225">
        <f t="shared" si="446"/>
        <v>1.65</v>
      </c>
      <c r="GA225">
        <f t="shared" si="447"/>
        <v>1</v>
      </c>
      <c r="GB225">
        <f t="shared" si="448"/>
        <v>0</v>
      </c>
      <c r="GC225">
        <f t="shared" si="449"/>
        <v>1</v>
      </c>
      <c r="GD225">
        <f>IF(BH225="","",IF(AND(CA225=1,GC225=1),COUNTIFS(A$3:A225,A225,CA$3:CA225,1,GC$3:GC225,1),IF(OR(OR(AW225=1,A225&lt;&gt;A224),AF225="вручную",GC225=0),"",IF(AW225=1,"",GE224))))</f>
        <v>1</v>
      </c>
      <c r="GE225">
        <f t="shared" si="450"/>
        <v>1</v>
      </c>
      <c r="GF225">
        <f>IF(B225="","",IFERROR(LOOKUP(INDEX(CHOOSE(DL225,Iдоп_1ж,Iдоп_2ж,Iдоп_3ж),MATCH(DX225,Iдоп_S,0))*DJ225*DK225,{6,10,16,20,25,32,40,50,63,80,100,125,160,200,250,315,400,500,630}),""))</f>
        <v>25</v>
      </c>
      <c r="GG225" t="str">
        <f t="shared" si="451"/>
        <v>QFD1</v>
      </c>
      <c r="GH225" t="str">
        <f t="shared" si="452"/>
        <v>QFD1</v>
      </c>
      <c r="GI225" t="str">
        <f t="shared" si="453"/>
        <v/>
      </c>
      <c r="GJ225">
        <f t="shared" si="454"/>
        <v>0</v>
      </c>
      <c r="GK225" t="str">
        <f>IF(OR(AG225="",AG225="-"),"",IFERROR(VLOOKUP(AG225,Модули_спр,2,FALSE),"R"))</f>
        <v/>
      </c>
      <c r="GL225" t="str">
        <f>IF(GK225="","",GK225&amp;"."&amp;COUNTIFS(A$3:A225,A225,GK$3:GK225,GK225))</f>
        <v/>
      </c>
      <c r="GM225" t="str">
        <f t="shared" si="455"/>
        <v/>
      </c>
      <c r="GN225" t="str">
        <f t="shared" si="456"/>
        <v/>
      </c>
      <c r="GO225" t="str">
        <f t="shared" si="457"/>
        <v/>
      </c>
      <c r="GP225" t="str">
        <f t="shared" si="458"/>
        <v/>
      </c>
      <c r="GQ225">
        <f t="shared" si="459"/>
        <v>1</v>
      </c>
      <c r="GR225" t="str">
        <f>IF(GQ225=1,"XT"&amp;COUNTIFS(A$3:A225,A225,GQ$3:GQ225,1),"")</f>
        <v>XT1</v>
      </c>
      <c r="GS225" t="str">
        <f t="shared" si="460"/>
        <v>XT1</v>
      </c>
      <c r="GT225" t="str">
        <f t="shared" si="461"/>
        <v>QFD1</v>
      </c>
      <c r="GU225" t="str">
        <f t="shared" si="462"/>
        <v/>
      </c>
      <c r="GV225" t="str">
        <f t="shared" si="463"/>
        <v>ok</v>
      </c>
      <c r="GW225" t="str">
        <f>IF(OR(GO225="",GM225=""),"",IF(GO225&gt;IFERROR(VLOOKUP(GN225,Модули_спр,3,FALSE),99),"ЛИШНИЙ КАНАЛ",IF(AND(AH225&lt;&gt;"=",COUNTIFS(Линии[_модуль гр.],GM225,Линии[Канал (итог)],GO225,Линии[Канал],"&lt;&gt;=",Линии[Щит],A225)&gt;1),"ДУБЛЬ КАНАЛА","")))</f>
        <v/>
      </c>
      <c r="GX225" s="6" t="str">
        <f t="shared" si="464"/>
        <v/>
      </c>
      <c r="GY225">
        <f t="shared" si="465"/>
        <v>10</v>
      </c>
      <c r="GZ225" t="str">
        <f t="shared" si="466"/>
        <v/>
      </c>
      <c r="HA225" t="str">
        <f>IF(AND(B225="",GT225=""),"",_xlfn.TEXTJOIN("; ",TRUE,IF(AND(B225&lt;&gt;"",FE225=""),"нет фазы",""),IF(AND(B225&lt;&gt;"",N(FY225)=0,EQ225&lt;&gt;"Нет"),"нет мощности",""),IF(AND(GS225&lt;&gt;"",COUNTIFS(Линии[Щит],A225,Линии[Клемма (итог)],GS225)&gt;1),"дубль клеммы "&amp;GS225,""),IF(AND(GV225&lt;&gt;"",GV225&lt;&gt;"ok"),GV225,""),IF(GW225&lt;&gt;"",GW225,""),IF(AND(N(BV225)&gt;=4,N(BR225)=1),BV225&amp;" жил на 1 фазе",""),IF(AND(AX225="R",CA225=1,OR(N(CK225)=0,N(CK225)&gt;30)),"розетка без дифзащиты до 30 мА",""),IFERROR(IF(AND(ISNUMBER(R225),R225&gt;DV225),"потери "&amp;FIXED(R225,1)&amp;" % &gt; "&amp;DV225&amp;" %",""),""),IFERROR(IF(LEFT(GZ225,4)="мало","Iкз мало — отключение &gt; 0,4 с",""),""),IF(AND(B225&lt;&gt;"",BH225=""),"не на схеме",""),IF(AND(CA225=0,B225&lt;&gt;"",FE225&lt;&gt;"",IF(AW225=1,"",FF224)&lt;&gt;"",FE225&lt;&gt;IF(AW225=1,"",FF224)),"фаза не как у автомата группы ("&amp;IF(AW225=1,"",FF224)&amp;")","")))</f>
        <v/>
      </c>
      <c r="HB225" s="6">
        <f>IF(OR(CA225=0,DA225=""),"",_xlfn.LET(_xlpm.t,IFERROR(_xlfn.XLOOKUP(DA225,Каталог!$U$4:$U$500,Каталог!$G$4:$G$500),""),_xlpm.k,SEARCH("кА",_xlpm.t),IFERROR(--TRIM(RIGHT(SUBSTITUTE(MID(_xlpm.t,MAX(1,_xlpm.k-4),_xlpm.k-MAX(1,_xlpm.k-4))," ",REPT(" ",9)),5)),"")))</f>
        <v>6</v>
      </c>
      <c r="HC225" t="str">
        <f>IF(OR(HB225="",CA225=0),"",IF(_xlfn.XLOOKUP(A225,Щиты[Щит],Щиты[Iкз max на шинах, кА],"")="","",IF(HB225&lt;_xlfn.XLOOKUP(A225,Щиты[Щит],Щиты[Iкз max на шинах, кА]),"Icu "&amp;HB225&amp;" кА &lt; Iкз max","ok")))</f>
        <v/>
      </c>
      <c r="HD225" t="str">
        <f t="shared" si="467"/>
        <v/>
      </c>
      <c r="HE225" t="str">
        <f t="shared" si="468"/>
        <v>QFD1|XT1</v>
      </c>
      <c r="HF225" t="str">
        <f t="shared" si="469"/>
        <v>QFD1|XT1|кабель ВВГнг(А)-LS (3х2,5) → Розеточная группа, пом. 001A</v>
      </c>
      <c r="HG225" t="str" cm="1">
        <f t="array" ref="HG225">IF(HF225="","",_xlfn.LET(_xlpm.nd,_xlfn.TEXTSPLIT(HF225,"|"),IF(COLUMNS(_xlpm.nd)&gt;1,A225&amp;"¦"&amp;INDEX(_xlpm.nd,1)&amp;"¦"&amp;INDEX(_xlpm.nd,2),"")))</f>
        <v>ЩР-1¦QFD1¦XT1</v>
      </c>
      <c r="HH225" t="str">
        <f t="shared" si="470"/>
        <v>R.1.001A.1¦Розеточная группа, пом. 001A</v>
      </c>
      <c r="HI225" t="str" cm="1">
        <f t="array" ref="HI225">IF(HF225="","",_xlfn.LET(_xlpm.nd,_xlfn.TEXTSPLIT(HF225,"|"),IF(COLUMNS(_xlpm.nd)&gt;2,A225&amp;"¦"&amp;INDEX(_xlpm.nd,2)&amp;"¦"&amp;INDEX(_xlpm.nd,3),"")))</f>
        <v>ЩР-1¦XT1¦кабель ВВГнг(А)-LS (3х2,5) → Розеточная группа, пом. 001A</v>
      </c>
      <c r="HJ225" t="str">
        <f t="shared" si="471"/>
        <v>R.1.001A.1¦Розеточная группа, пом. 001A</v>
      </c>
      <c r="HK225" t="str" cm="1">
        <f t="array" ref="HK225">IF(HF225="","",_xlfn.LET(_xlpm.nd,_xlfn.TEXTSPLIT(HF225,"|"),IF(COLUMNS(_xlpm.nd)&gt;3,A225&amp;"¦"&amp;INDEX(_xlpm.nd,3)&amp;"¦"&amp;INDEX(_xlpm.nd,4),"")))</f>
        <v/>
      </c>
      <c r="HL225" t="str">
        <f t="shared" si="472"/>
        <v/>
      </c>
      <c r="HM225" t="str" cm="1">
        <f t="array" ref="HM225">IF(HF225="","",_xlfn.LET(_xlpm.nd,_xlfn.TEXTSPLIT(HF225,"|"),IF(COLUMNS(_xlpm.nd)&gt;4,A225&amp;"¦"&amp;INDEX(_xlpm.nd,4)&amp;"¦"&amp;INDEX(_xlpm.nd,5),"")))</f>
        <v/>
      </c>
      <c r="HN225" t="str">
        <f t="shared" si="473"/>
        <v/>
      </c>
      <c r="HO225" t="str" cm="1">
        <f t="array" ref="HO225">IF(HF225="","",_xlfn.LET(_xlpm.nd,_xlfn.TEXTSPLIT(HF225,"|"),IF(COLUMNS(_xlpm.nd)&gt;5,A225&amp;"¦"&amp;INDEX(_xlpm.nd,5)&amp;"¦"&amp;INDEX(_xlpm.nd,6),"")))</f>
        <v/>
      </c>
      <c r="HP225" t="str">
        <f t="shared" si="474"/>
        <v/>
      </c>
      <c r="HQ225" t="str" cm="1">
        <f t="array" ref="HQ225">IF(HF225="","",_xlfn.LET(_xlpm.nd,_xlfn.TEXTSPLIT(HF225,"|"),IF(COLUMNS(_xlpm.nd)&gt;6,A225&amp;"¦"&amp;INDEX(_xlpm.nd,6)&amp;"¦"&amp;INDEX(_xlpm.nd,7),"")))</f>
        <v/>
      </c>
      <c r="HR225" t="str">
        <f t="shared" si="475"/>
        <v/>
      </c>
      <c r="HS225" t="str">
        <f t="shared" si="476"/>
        <v/>
      </c>
      <c r="HT225" t="str">
        <f t="shared" si="477"/>
        <v>QFD1 → XT1</v>
      </c>
      <c r="HU225">
        <f t="shared" si="478"/>
        <v>0</v>
      </c>
      <c r="HV225">
        <f t="shared" si="479"/>
        <v>1</v>
      </c>
      <c r="HW225" t="str">
        <f t="shared" si="480"/>
        <v/>
      </c>
      <c r="HX225" t="str">
        <f t="shared" si="481"/>
        <v/>
      </c>
      <c r="HY225" t="str">
        <f t="shared" si="482"/>
        <v/>
      </c>
      <c r="HZ225" t="str">
        <f t="shared" si="483"/>
        <v/>
      </c>
      <c r="IA225" t="str">
        <f>IF(B225="","",IFERROR(VLOOKUP(B225,УГО_спр,2,FALSE),IFERROR(VLOOKUP(AX225,УГО_спр,2,FALSE),IFERROR(VLOOKUP(LEFT(AX225,2),УГО_спр,2,FALSE),""))))</f>
        <v>Розетка</v>
      </c>
      <c r="IB225" t="str">
        <f>IF(B225="","",IF(OR(IA225="",IA225=0),"BOX",IFERROR(IF(VLOOKUP(IA225,УГО_блоки,3,FALSE)&amp;""&lt;&gt;"",VLOOKUP(IA225,УГО_блоки,3,FALSE),VLOOKUP(IA225,УГО_блоки,2,FALSE)),IA225)))</f>
        <v>SOCKET</v>
      </c>
      <c r="IC225">
        <f t="shared" si="484"/>
        <v>1</v>
      </c>
      <c r="ID225" t="str">
        <f>IF(DA225="","",IF(COUNTIF(DA$3:DA225,DA225)=1,MAX(ID$2:ID224)+1,""))</f>
        <v/>
      </c>
      <c r="IE225" t="str">
        <f>IF(CO225="","",IF(COUNTIF(CO$3:CO225,CO225)+COUNTIF(CP$2:CP224,CO225)+COUNTIF(CQ$2:CQ224,CO225)=1,MAX(IE$2:IG224)+1,""))</f>
        <v/>
      </c>
      <c r="IF225" t="str">
        <f>IF(CP225="","",IF(COUNTIF(CO$3:CO225,CP225)+COUNTIF(CP$3:CP225,CP225)+COUNTIF(CQ$2:CQ224,CP225)=1,MAX(IE$2:IG224,IE225)+1,""))</f>
        <v/>
      </c>
      <c r="IG225" t="str">
        <f>IF(CQ225="","",IF(COUNTIF(CO$3:CO225,CQ225)+COUNTIF(CP$3:CP225,CQ225)+COUNTIF(CQ$3:CQ225,CQ225)=1,MAX(IE$2:IG224,IE225,IF225)+1,""))</f>
        <v/>
      </c>
      <c r="IH225" t="str">
        <f t="shared" si="485"/>
        <v>3х2,5</v>
      </c>
      <c r="II225" t="str">
        <f>IF(IH225="","",IF(COUNTIF(IH$3:IH225,IH225)=1,MAX(II$2:II224)+1,""))</f>
        <v/>
      </c>
      <c r="IJ225" t="str">
        <f>IF(GL225="","",COUNTIF(GL$3:GL225,"?*"))</f>
        <v/>
      </c>
      <c r="IK225" t="str">
        <f>IF(OR(GL225="",GN225=""),"",IF(COUNTIFS(GL$3:GL225,"?*",GN$3:GN225,GN225)=1,MAX(IK$2:IK224)+1,""))</f>
        <v/>
      </c>
      <c r="IL225">
        <f t="shared" si="486"/>
        <v>0</v>
      </c>
      <c r="IM225">
        <f>IF(B225="","",COUNTIF(B$3:B225,"?*"))</f>
        <v>223</v>
      </c>
      <c r="IN225">
        <f>IF(GQ225&lt;&gt;1,0,_xlfn.LET(_xlpm.k,MAX(IFERROR(--VLOOKUP(B225,УГО_спр,5,FALSE),0),IFERROR(--VLOOKUP(AX225,УГО_спр,5,FALSE),0),IFERROR(--VLOOKUP(LEFT(AX225,2),УГО_спр,5,FALSE),0)),IF(_xlpm.k&gt;0,_xlpm.k,IF(IFERROR(--LEFT(SUBSTITUTE(IH225,"x","х"),FIND("х",SUBSTITUTE(IH225,"x","х"))-1),3)&gt;3,Каталог!$S$9,1))))</f>
        <v>1</v>
      </c>
      <c r="IO225">
        <f t="shared" si="487"/>
        <v>0</v>
      </c>
      <c r="IP225" t="str">
        <f t="shared" si="488"/>
        <v>авто</v>
      </c>
      <c r="IQ225">
        <f t="shared" si="489"/>
        <v>30</v>
      </c>
      <c r="IR225">
        <f t="shared" si="490"/>
        <v>1</v>
      </c>
      <c r="IS225">
        <f t="shared" si="491"/>
        <v>1</v>
      </c>
    </row>
    <row r="226" spans="1:253" x14ac:dyDescent="0.3">
      <c r="A226" t="s">
        <v>759</v>
      </c>
      <c r="B226" t="s">
        <v>1491</v>
      </c>
      <c r="C226" t="s">
        <v>1665</v>
      </c>
      <c r="D226">
        <v>2</v>
      </c>
      <c r="E226">
        <v>0.12</v>
      </c>
      <c r="G226" t="str">
        <f>Линии[[#This Row],[_авто автомат]]</f>
        <v>2P С16А 30мА</v>
      </c>
      <c r="H226">
        <f>Линии[[#This Row],[_авто утечка]]</f>
        <v>30</v>
      </c>
      <c r="I226" t="str">
        <f>Линии[[#This Row],[_авто управление]]</f>
        <v/>
      </c>
      <c r="J226" t="str">
        <f>Линии[[#This Row],[_авто аппараты]]</f>
        <v/>
      </c>
      <c r="K226">
        <v>2.5</v>
      </c>
      <c r="L226">
        <v>64</v>
      </c>
      <c r="M226" t="str">
        <f>Линии[[#This Row],[_авто фаза]]</f>
        <v>L2</v>
      </c>
      <c r="N226" t="str">
        <f>Линии[[#This Row],[_авто клемма]]</f>
        <v>XT2</v>
      </c>
      <c r="O226" t="str">
        <f t="shared" si="369"/>
        <v/>
      </c>
      <c r="P226" s="6" cm="1">
        <f t="array" ref="P226">IF(B226="","",IF(BC226&lt;&gt;"",IFERROR(_xlfn.XLOOKUP(BC226,Щиты[Щит],Щиты[Iр, А]),""),IF(BK226=1,IFERROR(_xlfn.XLOOKUP(A226,Щиты[Щит],Щиты[Iр, А]),""),IFERROR(_xlfn.IFS(BR226=1,BN226/((Uн_лин/SQRT(3))*BY226),BR226=3,BN226/(SQRT(3)*Uн_лин*BY226)),""))))</f>
        <v>0.54696341291648753</v>
      </c>
      <c r="Q226" s="7">
        <f>IF(B226="","",IFERROR(IF(VLOOKUP(AX226,Потребители_обозначение,4,FALSE)=1,VLOOKUP(AX226,Потребители_обозначение,3,FALSE)*(D226*2-1)+DS226+VLOOKUP(AZ226,Этаж_обозначение,3,FALSE)+VLOOKUP(AZ226,Этаж_обозначение,4,FALSE),VLOOKUP(AX226,Потребители_обозначение,3,FALSE)*(D226*2-1)+DS226),DS226))</f>
        <v>73</v>
      </c>
      <c r="R226" s="6">
        <f t="shared" si="370"/>
        <v>1.49</v>
      </c>
      <c r="S226" t="str">
        <f t="shared" si="371"/>
        <v>ВВГнг(А)-LS (3х2,5)</v>
      </c>
      <c r="T226" t="str">
        <f>IF(BH226="","",IF(BI226="вводной узел","узел ","")&amp;"л."&amp;(INT((BH226-1)/Столбцов_на_лист)+1)&amp;" / "&amp;(MOD(BH226-1,Столбцов_на_лист)+1))</f>
        <v>л.2 / 2</v>
      </c>
      <c r="V226">
        <v>1</v>
      </c>
      <c r="W226">
        <v>230</v>
      </c>
      <c r="X226" t="s">
        <v>564</v>
      </c>
      <c r="AC226" t="s">
        <v>815</v>
      </c>
      <c r="AE226" t="s">
        <v>563</v>
      </c>
      <c r="AI226">
        <v>19</v>
      </c>
      <c r="AJ226" t="s">
        <v>11</v>
      </c>
      <c r="AK226">
        <v>3</v>
      </c>
      <c r="AM226">
        <v>28</v>
      </c>
      <c r="AN226">
        <v>1</v>
      </c>
      <c r="AO226">
        <v>0</v>
      </c>
      <c r="AW226" cm="1">
        <f t="array" ref="AW226">ROW()-ROW(Линии[#Headers])</f>
        <v>224</v>
      </c>
      <c r="AX226" s="6" t="str">
        <f t="shared" si="372"/>
        <v>R</v>
      </c>
      <c r="AY226" t="str">
        <f t="shared" si="373"/>
        <v>1.001Aб.1</v>
      </c>
      <c r="AZ226" t="str">
        <f t="shared" si="374"/>
        <v>1</v>
      </c>
      <c r="BA226" t="str">
        <f t="shared" si="375"/>
        <v>001Aб.1</v>
      </c>
      <c r="BB226" t="str">
        <f t="shared" si="376"/>
        <v>001Aб</v>
      </c>
      <c r="BC226" t="str">
        <f>IF(U226&lt;&gt;"",U226,IF(AND(B226&lt;&gt;"",B226&lt;&gt;A226,ISNUMBER(_xlfn.XMATCH(B226,Щиты[Щит]))),B226,""))</f>
        <v/>
      </c>
      <c r="BD226" t="str" cm="1">
        <f t="array" ref="BD226">IF(B226="","",IF(BC226&lt;&gt;"","Щит "&amp;BC226,_xlfn.LET(_xlpm.nm,IFERROR(_xlfn.XLOOKUP(AX226,Коды_код,Коды_имя)&amp;"",""),_xlpm.md,IFERROR(N(_xlfn.XLOOKUP(AX226,Коды_код,Коды_режим)),1),_xlpm.ex,IF(Имя_режим="по экспликации",IFERROR(_xlfn.XLOOKUP(AZ226&amp;"|"&amp;BB226,Экспликация[Этаж]&amp;"|"&amp;Экспликация[Помещение],Экспликация[Название])&amp;"",""),""),_xlpm.rm,IF(BB226="","",IF(_xlpm.ex&lt;&gt;"",". "&amp;_xlpm.ex&amp;IF(Имя_пом="нет"," ("&amp;BB226&amp;")"," (пом. "&amp;BB226&amp;")"),IF(Имя_пом="нет"," ",", пом. ")&amp;BB226)),IF(_xlpm.nm="","",IF(_xlpm.md=2,_xlpm.nm&amp;" шлейф "&amp;AZ226,_xlpm.nm&amp;_xlpm.rm)))))</f>
        <v>Розеточная группа, пом. 001Aб</v>
      </c>
      <c r="BE226" t="str">
        <f t="shared" si="377"/>
        <v>Розеточная группа Первый этаж Пом. №001Aб, 002Аб</v>
      </c>
      <c r="BF226">
        <f>IFERROR(_xlfn.XMATCH(A226,Щиты[Щит]),0)</f>
        <v>10</v>
      </c>
      <c r="BG226">
        <f>_xlfn.LET(_xlpm.k,IFERROR(_xlfn.XLOOKUP(A226,Щиты[Щит],Щиты[Листов под вводной узел]),""),IF(_xlpm.k="",1,N(_xlpm.k))*Столбцов_на_лист)</f>
        <v>17</v>
      </c>
      <c r="BH226">
        <f t="shared" si="378"/>
        <v>19</v>
      </c>
      <c r="BI226" t="str">
        <f t="shared" si="379"/>
        <v>линии</v>
      </c>
      <c r="BJ226" s="6">
        <f>IFERROR(N(_xlfn.XLOOKUP(AX226,Коды_код,Коды_квт)),0)</f>
        <v>0</v>
      </c>
      <c r="BK226">
        <f t="shared" si="380"/>
        <v>0</v>
      </c>
      <c r="BL226" t="str">
        <f>IF(B226="","",IF(BC226&lt;&gt;"",IFERROR(_xlfn.XLOOKUP(BC226,Щиты[Щит],Щиты[Руст, кВт]),0),IF(BK226=1,IFERROR(_xlfn.XLOOKUP(A226,Щиты[Щит],Щиты[Руст, кВт]),0),IF(BJ226&gt;0,ROUND(BJ226*MAX(1,N(D226)),3),""))))</f>
        <v/>
      </c>
      <c r="BM226">
        <f t="shared" si="381"/>
        <v>0.12</v>
      </c>
      <c r="BN226" s="6">
        <f>IF(B226="","",IF(BC226&lt;&gt;"",IFERROR(_xlfn.XLOOKUP(BC226,Щиты[Щит],Щиты[Руст, кВт]),0),N(BM226)))</f>
        <v>0.12</v>
      </c>
      <c r="BO226" t="str">
        <f>IF(B226="","",IFERROR(IF(VLOOKUP(AX226,Потребители_обозначение,8,FALSE)=0,"",VLOOKUP(AX226,Потребители_обозначение,8,FALSE)),""))</f>
        <v/>
      </c>
      <c r="BP226">
        <f t="shared" si="382"/>
        <v>230</v>
      </c>
      <c r="BQ226">
        <f>IF(B226="","",IF(BC226&lt;&gt;"",3,IFERROR(IF(N(VLOOKUP(AX226,Потребители_обозначение,9,FALSE))=0,1,VLOOKUP(AX226,Потребители_обозначение,9,FALSE)),1)))</f>
        <v>1</v>
      </c>
      <c r="BR226">
        <f t="shared" si="383"/>
        <v>1</v>
      </c>
      <c r="BS226" t="str">
        <f>IF(B226="","",_xlfn.LET(_xlpm.bc,IFERROR(IF(VLOOKUP(AX226,Потребители_обозначение,6,FALSE)=0,"",VLOOKUP(AX226,Потребители_обозначение,6,FALSE)&amp;""),""),IF(AND(FK226="да",OR(_xlpm.bc="",_xlpm.bc="мс")),Марка_пож,IF(AND(_xlpm.bc="",BC226&lt;&gt;""),"мс",_xlpm.bc))))</f>
        <v/>
      </c>
      <c r="BT226" t="str">
        <f t="shared" si="384"/>
        <v>мс</v>
      </c>
      <c r="BU226">
        <f>IF(B226="","",_xlfn.LET(_xlpm.cc,IFERROR(N(VLOOKUP(AX226,Потребители_обозначение,7,FALSE)),0),IF(_xlpm.cc&gt;0,_xlpm.cc,IF(BT226="","",IF(N(BR226)=3,5,3)))))</f>
        <v>3</v>
      </c>
      <c r="BV226">
        <f t="shared" si="385"/>
        <v>3</v>
      </c>
      <c r="BW226">
        <f>IFERROR(N(VLOOKUP(AX226,Потребители_обозначение,10,FALSE)),0)</f>
        <v>0</v>
      </c>
      <c r="BX226">
        <f>IFERROR(VLOOKUP(AX226,Потребители_обозначение,5,FALSE),0)</f>
        <v>1</v>
      </c>
      <c r="BY226" s="6" cm="1">
        <f t="array" ref="BY226">IF(B226="","",IF(BC226&lt;&gt;"",IFERROR(_xlfn.XLOOKUP(BC226,Щиты[Щит],Щиты[cos φ]),0.95),IF(BK226=1,IFERROR(_xlfn.XLOOKUP(A226,Щиты[Щит],Щиты[cos φ]),0.95),IF(ISNUMBER(Z226),Z226,IFERROR(IF(BX226=2,_xlfn.IFS(BR226=3,VLOOKUP(BN226,Справочная_двигатели,8,FALSE),BR226=1,VLOOKUP(BN226,Справочная_двигатели,10,TRUE)),IF(AND(Методика="нормы 2026",EQ226="Сил"),0.8,0.95)),0.95)))))</f>
        <v>0.95</v>
      </c>
      <c r="BZ226">
        <f t="shared" si="386"/>
        <v>0</v>
      </c>
      <c r="CA226">
        <f t="shared" si="387"/>
        <v>1</v>
      </c>
      <c r="CB226">
        <f t="shared" si="388"/>
        <v>0</v>
      </c>
      <c r="CC226">
        <f t="shared" si="389"/>
        <v>0</v>
      </c>
      <c r="CD226">
        <f t="shared" si="390"/>
        <v>0</v>
      </c>
      <c r="CE226">
        <f t="shared" si="391"/>
        <v>0</v>
      </c>
      <c r="CF226">
        <f t="shared" si="392"/>
        <v>0</v>
      </c>
      <c r="CG226">
        <f>IF(AX226="",0,_xlfn.LET(_xlpm.v,IFERROR(VLOOKUP(B226,УГО_спр,3,FALSE),IFERROR(VLOOKUP(AX226,УГО_спр,3,FALSE),IFERROR(VLOOKUP(LEFT(AX226,2),УГО_спр,3,FALSE),""))),IF(_xlpm.v="да",30,IF(ISNUMBER(_xlpm.v),_xlpm.v,0))))</f>
        <v>30</v>
      </c>
      <c r="CH226">
        <f t="shared" si="393"/>
        <v>30</v>
      </c>
      <c r="CI226" t="str">
        <f>_xlfn.LET(_xlpm.k,IFERROR(_xlfn.XLOOKUP(AX226,Коды_код,Коды_утечка)&amp;"",""),IF(_xlpm.k="","дифавтомат",_xlpm.k))</f>
        <v>дифавтомат</v>
      </c>
      <c r="CJ226">
        <f t="shared" si="394"/>
        <v>30</v>
      </c>
      <c r="CK226">
        <f t="shared" si="395"/>
        <v>30</v>
      </c>
      <c r="CL226">
        <f>IF(B226="",0,IFERROR(--VLOOKUP(B226,УГО_спр,4,FALSE),IFERROR(--VLOOKUP(AX226,УГО_спр,4,FALSE),IFERROR(--VLOOKUP(LEFT(AX226,2),УГО_спр,4,FALSE),0))))</f>
        <v>16</v>
      </c>
      <c r="CM226" t="str">
        <f>IF(B226="","",IFERROR(_xlfn.XLOOKUP(AX226,Коды_код,Коды_апп)&amp;"",""))</f>
        <v/>
      </c>
      <c r="CN226" t="str">
        <f t="shared" si="396"/>
        <v/>
      </c>
      <c r="CO226" t="str" cm="1">
        <f t="array" ref="CO226">IF(TRIM(CN226&amp;"")="","",IFERROR(TRIM(INDEX(_xlfn.TEXTSPLIT(CN226&amp;";;;",";"),1)),""))</f>
        <v/>
      </c>
      <c r="CP226" t="str" cm="1">
        <f t="array" ref="CP226">IF(TRIM(CN226&amp;"")="","",IFERROR(TRIM(INDEX(_xlfn.TEXTSPLIT(CN226&amp;";;;",";"),2)),""))</f>
        <v/>
      </c>
      <c r="CQ226" t="str" cm="1">
        <f t="array" ref="CQ226">IF(TRIM(CN226&amp;"")="","",IFERROR(TRIM(INDEX(_xlfn.TEXTSPLIT(CN226&amp;";;;",";"),3)),""))</f>
        <v/>
      </c>
      <c r="CR226">
        <f t="shared" si="397"/>
        <v>0</v>
      </c>
      <c r="CS226" t="str">
        <f>IF(B226="","",_xlfn.LET(_xlpm.t,LOWER(AV226&amp;""),IF(ISNUMBER(SEARCH("dim",_xlpm.t)),"DIM",IF(ISNUMBER(SEARCH("dali",_xlpm.t)),"DALI",IF(OR(ISNUMBER(SEARCH("relay",_xlpm.t)),ISNUMBER(SEARCH("реле",_xlpm.t))),"Relay",IF(ISNUMBER(SEARCH("кнопк",_xlpm.t)),"",IFERROR(_xlfn.XLOOKUP(AX226,Коды_код,Коды_упр)&amp;"","")))))))</f>
        <v/>
      </c>
      <c r="CT226" t="str">
        <f t="shared" si="398"/>
        <v/>
      </c>
      <c r="CU226">
        <f>IF(B226="","",_xlfn.LET(_xlpm.ig,N(P226)+IF(AF226="вручную",0,N(CB226)),_xlpm.n0,IFERROR(VLOOKUP(_xlpm.ig,Автомат_номиналы,2,TRUE),0),_xlpm.mn,MAX(CL226,IF(AF226="вручную",0,N(CE226))),MAX(_xlpm.n0,_xlpm.mn,IF(CR226=1,Мин_автомат_БП,0))))</f>
        <v>16</v>
      </c>
      <c r="CV226">
        <f t="shared" si="399"/>
        <v>1</v>
      </c>
      <c r="CW226" t="str">
        <f t="shared" si="400"/>
        <v>2P</v>
      </c>
      <c r="CX226" t="str">
        <f>_xlfn.LET(_xlpm.cc,UPPER(TRIM(IFERROR(_xlfn.XLOOKUP(AX226,Коды_код,Коды_хар)&amp;"",""))),IF(OR(_xlpm.cc="B",_xlpm.cc="В"),"B",IF(_xlpm.cc="D","D","С")))</f>
        <v>С</v>
      </c>
      <c r="CY226" t="str">
        <f t="shared" si="401"/>
        <v>2P С16А 30мА</v>
      </c>
      <c r="CZ226" t="str">
        <f t="shared" si="402"/>
        <v>2P С16А 30мА</v>
      </c>
      <c r="DA226" t="str">
        <f t="shared" si="403"/>
        <v>2P С16А 30мА</v>
      </c>
      <c r="DB226" cm="1">
        <f t="array" ref="DB226">IF(DA226="","",_xlfn.LET(_xlpm.t,SUBSTITUTE(SUBSTITUTE(SUBSTITUTE(UPPER(DA226),"С","C"),"А","A"),"В","B"),_xlpm.tk,_xlfn.TEXTSPLIT(_xlpm.t,"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6" t="str">
        <f t="shared" si="404"/>
        <v>ok</v>
      </c>
      <c r="DD226">
        <f t="shared" si="405"/>
        <v>16</v>
      </c>
      <c r="DE226" t="str">
        <f t="shared" si="406"/>
        <v>2P С16А 30мА</v>
      </c>
      <c r="DF226">
        <f t="shared" si="407"/>
        <v>30</v>
      </c>
      <c r="DG226">
        <f t="shared" si="408"/>
        <v>1</v>
      </c>
      <c r="DH226">
        <f t="shared" si="409"/>
        <v>0</v>
      </c>
      <c r="DI226">
        <f t="shared" si="410"/>
        <v>0.54696341291648753</v>
      </c>
      <c r="DJ226">
        <f t="shared" si="411"/>
        <v>1</v>
      </c>
      <c r="DK226">
        <f>IF(ISNUMBER(AL226),AL226,К_прокл)</f>
        <v>1</v>
      </c>
      <c r="DL226">
        <f t="shared" si="412"/>
        <v>2</v>
      </c>
      <c r="DM226">
        <f>IFERROR(N(VLOOKUP(BT226,Кабель_обозначение,3,FALSE)),1)</f>
        <v>1</v>
      </c>
      <c r="DN226">
        <f>IFERROR(N(_xlfn.XLOOKUP(A226,Щиты[Щит],Щиты[ΔU до шин, %])),0)</f>
        <v>1.19</v>
      </c>
      <c r="DO226" t="str">
        <f>IFERROR(_xlfn.XLOOKUP(A226,Щиты[Щит],Щиты[Zпетли на шинах, Ом]),"")</f>
        <v/>
      </c>
      <c r="DP226">
        <f>IFERROR(N(_xlfn.XLOOKUP(A226,Щиты[Щит],Щиты[ΔU до шин (подбор), %])),0)</f>
        <v>1.19</v>
      </c>
      <c r="DQ226" t="str">
        <f>IFERROR(_xlfn.XLOOKUP(A226,Щиты[Щит],Щиты[Zпетли на шинах (подбор), Ом]),"")</f>
        <v/>
      </c>
      <c r="DR226" t="str">
        <f t="shared" si="413"/>
        <v/>
      </c>
      <c r="DS226">
        <f t="shared" si="414"/>
        <v>64</v>
      </c>
      <c r="DT226">
        <f t="shared" si="415"/>
        <v>2</v>
      </c>
      <c r="DU226">
        <f t="shared" si="416"/>
        <v>0.31</v>
      </c>
      <c r="DV226" s="6">
        <f>IF(B226="","",IF(IFERROR(VLOOKUP(AX226,УГО_спр,2,FALSE),"")="Светильник",3,4)+IF(Методика="нормы 2026",MIN(0.5,MAX(0,N(Q226)-100)*0.005),0))</f>
        <v>4</v>
      </c>
      <c r="DW226" cm="1">
        <f t="array" ref="DW226">IF(OR(B226="",BT226="",DM226&lt;&gt;1),"",_xlfn.LET(_xlpm.sz,Iдоп_S,_xlpm.t_,CHOOSE(DL226,Iдоп_1ж,Iдоп_2ж,Iдоп_3ж)*DJ226*DK226,_xlpm.inn,N(DD226),_xlpm.smin,MAX(1.5,BW226),_xlpm.L_,N(Q226)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226)*(_xlpm.rho*_xlpm.L_/_xlpm.sz*N(BY226)+_xlpm.xx*_xlpm.L_*N(DU226)/1000)*N(P226)/((Uн_лин/SQRT(3))*1000)*100,999),_xlpm.kz,IF(OR(DG226=1,NOT(ISNUMBER(DQ226)),_xlpm.L_=0,_xlpm.inn=0),1,IFERROR(--(c_min*(Uн_лин*1000/SQRT(3))/(DQ226+2*ρкз_Cu*_xlpm.L_/_xlpm.sz)&gt;=GY226*_xlpm.inn),0)),_xlpm.ok,IFERROR((_xlpm.sz&gt;=_xlpm.smin)*(_xlpm.t_&gt;=_xlpm.inn)*IF(_xlpm.L_&gt;0,(_xlpm.du_+DP226&lt;=DV226+0.00001),1)*_xlpm.kz,0),_xlpm.r_,_xlfn._xlws.FILTER(_xlpm.sz,_xlpm.ok,"не подобрано"),INDEX(_xlpm.r_,1)))</f>
        <v>1.5</v>
      </c>
      <c r="DX226">
        <f t="shared" si="417"/>
        <v>2.5</v>
      </c>
      <c r="DY226" cm="1">
        <f t="array" ref="DY226">IF(OR(B226="",BT226="",DM226&lt;&gt;1),"",_xlfn.LET(_xlpm.sz,Iдоп_S,_xlpm.t_,CHOOSE(DL226,Iдоп_1ж,Iдоп_2ж,Iдоп_3ж)*DJ226*DK226,_xlpm.ok,IFERROR((_xlpm.sz&gt;=MAX(1.5,BW226))*(_xlpm.t_&gt;=N(DD226)),0),_xlpm.r_,_xlfn._xlws.FILTER(_xlpm.sz,_xlpm.ok,""),INDEX(_xlpm.r_,1)))</f>
        <v>1.5</v>
      </c>
      <c r="DZ226" s="6" cm="1">
        <f t="array" ref="DZ226">IFERROR(ROUNDUP(N(DT226)*(_xlfn.XLOOKUP(DY226,INDEX(Кабель_сопротивление,0,1),INDEX(Кабель_сопротивление,0,3))*N(Q226)/DY226*N(BY226)+_xlfn.XLOOKUP(DY226,INDEX(Кабель_сопротивление,0,1),INDEX(Кабель_сопротивление,0,2))*N(Q226)*N(DU226)/1000)*N(P226)/((Uн_лин/SQRT(3))*1000)*100,2),"")</f>
        <v>0.5</v>
      </c>
      <c r="EA226">
        <f>IFERROR(2*ρкз_Cu*N(Q226)/DY226,"")</f>
        <v>2.5598666666666667</v>
      </c>
      <c r="EB226">
        <f>IFERROR(VLOOKUP(DX226,Кабель_сопротивление,3,FALSE),"")</f>
        <v>2.2499999999999999E-2</v>
      </c>
      <c r="EC226">
        <f>IFERROR(VLOOKUP(DX226,Кабель_сопротивление,2,FALSE),"")</f>
        <v>0.1</v>
      </c>
      <c r="ED226">
        <f t="shared" si="418"/>
        <v>1</v>
      </c>
      <c r="EE226">
        <f t="shared" si="419"/>
        <v>0</v>
      </c>
      <c r="EF226">
        <f t="shared" si="420"/>
        <v>0.68524998475051124</v>
      </c>
      <c r="EG226" s="6">
        <f>IFERROR(ROUNDUP(EF226/((Uн_лин/SQRT(3))*1000)*100,2),"")</f>
        <v>0.3</v>
      </c>
      <c r="EH226" t="str">
        <f>IFERROR(VLOOKUP(BT226,Кабель_обозначение,2,FALSE),"")</f>
        <v>ВВГнг(А)-LS</v>
      </c>
      <c r="EI226" t="str">
        <f t="shared" si="421"/>
        <v>ВВГнг(А)-LS (3х2,5)</v>
      </c>
      <c r="EJ226" t="str">
        <f t="shared" si="422"/>
        <v>ВВГнг(А)-LS (3х2,5)
L=73-0,3%</v>
      </c>
      <c r="EK226">
        <f>IFERROR(2*ρкз_Cu*Q226/DX226,"")</f>
        <v>1.53592</v>
      </c>
      <c r="EL226">
        <f t="shared" si="423"/>
        <v>0.51100000000000001</v>
      </c>
      <c r="EM226" s="6" t="str">
        <f>IFERROR(IF(OR(B226="",NOT(ISNUMBER(DX226)),N(Q226)=0),"",_xlfn.XLOOKUP(A226,Щиты[Щит],Щиты[Zпетли на шинах, Ом])+EK226),"")</f>
        <v/>
      </c>
      <c r="EN226" s="6" t="str">
        <f>IF(ISNUMBER(EM226),c_min*(Uн_лин*1000/SQRT(3))/EM226,"")</f>
        <v/>
      </c>
      <c r="EO226" s="6" t="str">
        <f>IFERROR(IF(OR(B226="",NOT(ISNUMBER(DX226))),"",1.05*(Uн_лин*1000/SQRT(3))/(_xlfn.XLOOKUP(A226,Щиты[Щит],Щиты[Zmax на шинах, Ом])+EL226)/1000),"")</f>
        <v/>
      </c>
      <c r="EP226" s="6" t="str">
        <f>IF(B226="","",IF(ISNUMBER(Y226),"Сил",IF(IFERROR(_xlfn.XLOOKUP(AX226,Коды_код,Коды_группа)&amp;"","")="","Быт",_xlfn.XLOOKUP(AX226,Коды_код,Коды_группа)&amp;"")))</f>
        <v>Быт</v>
      </c>
      <c r="EQ226" s="6" t="str">
        <f t="shared" si="424"/>
        <v>Быт</v>
      </c>
      <c r="ER226" s="6">
        <f>IF(EQ226="Щит","щит",IF(EQ226="","",IF(EQ226="Быт",IFERROR(_xlfn.XLOOKUP(A226,Щиты[Щит],Щиты[Кс быт]),1),IF(EQ226="Сил",IF(ISNUMBER(Y226),Y226,IF(Методика="нормы 2026",IFERROR(_xlfn.XLOOKUP(A226,Щиты[Щит],Щиты[Кс силовых (табл. 7.5)]),1),1)),IF(OR(EQ226="Пост",EQ226="Отоп"),1,IF(EQ226="ВНГ",0.7,0))))))</f>
        <v>0.57830000000000004</v>
      </c>
      <c r="ES226">
        <f t="shared" si="425"/>
        <v>1</v>
      </c>
      <c r="ET226">
        <f t="shared" si="426"/>
        <v>0.12</v>
      </c>
      <c r="EU226">
        <f t="shared" si="427"/>
        <v>0.12</v>
      </c>
      <c r="EV226">
        <f t="shared" si="428"/>
        <v>0</v>
      </c>
      <c r="EW226">
        <f t="shared" si="429"/>
        <v>0</v>
      </c>
      <c r="EX226">
        <f t="shared" si="430"/>
        <v>0</v>
      </c>
      <c r="EY226">
        <f t="shared" si="431"/>
        <v>0</v>
      </c>
      <c r="EZ226">
        <f t="shared" si="432"/>
        <v>0.12</v>
      </c>
      <c r="FA226">
        <f t="shared" si="433"/>
        <v>0.11399999999999999</v>
      </c>
      <c r="FB226">
        <f t="shared" si="434"/>
        <v>0.12</v>
      </c>
      <c r="FC226" t="str">
        <f t="shared" si="435"/>
        <v/>
      </c>
      <c r="FD226" t="str">
        <f>IF(B226="","",IF(CA226=0,IF(AW226=1,"",FF225),IF(OR(N(CV226)&gt;=3,N(BR226)&gt;=3),"L1,L2,L3",IFERROR(_xlfn.TEXTBEFORE(_xlfn.TEXTAFTER(_xlfn.XLOOKUP(A226,Щиты[Щит],Щиты[_фазы авто]),";"&amp;AW226&amp;":"),";"),"L1"))))</f>
        <v>L2</v>
      </c>
      <c r="FE226" t="str">
        <f t="shared" si="436"/>
        <v>L2</v>
      </c>
      <c r="FF226" t="str">
        <f t="shared" si="437"/>
        <v>L2</v>
      </c>
      <c r="FG226" cm="1">
        <f t="array" ref="FG226">IFERROR(IF(BX226=2,_xlfn.IFS(BR226=3,VLOOKUP(BN226,Справочная_двигатели,3,FALSE),BR226=1,VLOOKUP(BN226,Справочная_двигатели,5,TRUE)),0),0)</f>
        <v>0</v>
      </c>
      <c r="FH226">
        <f>IFERROR(IF(BX226=3,VLOOKUP(BN226,Справочная_ЛЭД,2,TRUE),0),0)</f>
        <v>0</v>
      </c>
      <c r="FI226" s="6">
        <f t="shared" si="438"/>
        <v>0</v>
      </c>
      <c r="FJ226" t="str" cm="1">
        <f t="array" ref="FJ226">IF(B226="","",IFERROR(INDEX({"I особая","I","II","III"},MATCH(TRIM(AC226&amp;""),{"I особая","I","II","III"},0)),"III"))</f>
        <v>II</v>
      </c>
      <c r="FK226" t="str">
        <f>IF(B226="","",IF(TRIM(AD226&amp;"")&lt;&gt;"",IF(LOWER(TRIM(AD226&amp;""))="да","да","нет"),IF(IFERROR(_xlfn.XLOOKUP(AX226,Коды_код,Коды_пожарная),"")="да","да","нет")))</f>
        <v>нет</v>
      </c>
      <c r="FL226" t="str">
        <f t="shared" si="439"/>
        <v/>
      </c>
      <c r="FM226" t="str">
        <f t="shared" si="440"/>
        <v>основная</v>
      </c>
      <c r="FN226">
        <f t="shared" si="441"/>
        <v>1</v>
      </c>
      <c r="FO226" t="str" cm="1">
        <f t="array" ref="FO226">IF(B226="","",_xlfn.LET(_xlpm.t,IFERROR(_xlfn.XLOOKUP(1,(Шины[Шина]=FM226)*(((Шины[Щит]=A226)+(Шины[Щит]=""))&gt;0),Шины[Тип]),"")&amp;"",IF(_xlpm.t&lt;&gt;"",_xlpm.t,IF(ISNUMBER(SEARCH("ИБП",FM226)),"ИБП",IF(ISNUMBER(SEARCH("ДГУ",FM226)),"ДГУ","Ввод "&amp;FN226)))))</f>
        <v>Ввод 1</v>
      </c>
      <c r="FP226" t="str">
        <f t="shared" si="442"/>
        <v>Ввод 1</v>
      </c>
      <c r="FQ226" t="str">
        <f>IF(B226="","",IF(OR(FO226="ИБП",FO226="ДГУ"),"I особая",IF(FO226="Одиночная","III",_xlfn.XLOOKUP(A226,Щиты[Щит],Щиты[Категория шины «Ввод»],"III"))))</f>
        <v>II</v>
      </c>
      <c r="FR226">
        <f>IF(B226="",0,IFERROR(MATCH(FJ226,{"III","II","I","I особая"},0),1))</f>
        <v>2</v>
      </c>
      <c r="FS226">
        <f t="shared" si="443"/>
        <v>2</v>
      </c>
      <c r="FT226" t="str">
        <f>IF(B226="","",IF(FR226&gt;IFERROR(MATCH(FQ226,{"III","II","I","I особая"},0),1),"НЕ ОБЕСПЕЧЕНА","ОК"))</f>
        <v>ОК</v>
      </c>
      <c r="FU226" t="str">
        <f>IF(A226="","",_xlfn.XLOOKUP(A226,Щиты[Щит],Щиты[Путь],""))</f>
        <v>|ГРЩ-ЖД|ЩР-1|</v>
      </c>
      <c r="FV226" t="str">
        <f>IF(B226="","",IF(AE226&lt;&gt;"",AE226,IF(IFERROR(_xlfn.XLOOKUP(AX226,Коды_код,Коды_вид)&amp;"","")="","Прочее",_xlfn.XLOOKUP(AX226,Коды_код,Коды_вид)&amp;"")))</f>
        <v>Розеточная сеть и бытовые приборы</v>
      </c>
      <c r="FW226">
        <f>IF(BH226="","",INT((BH226-1)/Столбцов_на_лист)+1)</f>
        <v>2</v>
      </c>
      <c r="FX226" t="str">
        <f t="shared" si="444"/>
        <v>ВВГнг(А)-LS (3х2,5) L=73-0,3%</v>
      </c>
      <c r="FY226">
        <f t="shared" si="445"/>
        <v>0.12</v>
      </c>
      <c r="FZ226">
        <f t="shared" si="446"/>
        <v>0.55000000000000004</v>
      </c>
      <c r="GA226">
        <f t="shared" si="447"/>
        <v>1</v>
      </c>
      <c r="GB226">
        <f t="shared" si="448"/>
        <v>0</v>
      </c>
      <c r="GC226">
        <f t="shared" si="449"/>
        <v>1</v>
      </c>
      <c r="GD226">
        <f>IF(BH226="","",IF(AND(CA226=1,GC226=1),COUNTIFS(A$3:A226,A226,CA$3:CA226,1,GC$3:GC226,1),IF(OR(OR(AW226=1,A226&lt;&gt;A225),AF226="вручную",GC226=0),"",IF(AW226=1,"",GE225))))</f>
        <v>2</v>
      </c>
      <c r="GE226">
        <f t="shared" si="450"/>
        <v>2</v>
      </c>
      <c r="GF226">
        <f>IF(B226="","",IFERROR(LOOKUP(INDEX(CHOOSE(DL226,Iдоп_1ж,Iдоп_2ж,Iдоп_3ж),MATCH(DX226,Iдоп_S,0))*DJ226*DK226,{6,10,16,20,25,32,40,50,63,80,100,125,160,200,250,315,400,500,630}),""))</f>
        <v>25</v>
      </c>
      <c r="GG226" t="str">
        <f t="shared" si="451"/>
        <v>QFD2</v>
      </c>
      <c r="GH226" t="str">
        <f t="shared" si="452"/>
        <v>QFD2</v>
      </c>
      <c r="GI226" t="str">
        <f t="shared" si="453"/>
        <v/>
      </c>
      <c r="GJ226">
        <f t="shared" si="454"/>
        <v>0</v>
      </c>
      <c r="GK226" t="str">
        <f>IF(OR(AG226="",AG226="-"),"",IFERROR(VLOOKUP(AG226,Модули_спр,2,FALSE),"R"))</f>
        <v/>
      </c>
      <c r="GL226" t="str">
        <f>IF(GK226="","",GK226&amp;"."&amp;COUNTIFS(A$3:A226,A226,GK$3:GK226,GK226))</f>
        <v/>
      </c>
      <c r="GM226" t="str">
        <f t="shared" si="455"/>
        <v/>
      </c>
      <c r="GN226" t="str">
        <f t="shared" si="456"/>
        <v/>
      </c>
      <c r="GO226" t="str">
        <f t="shared" si="457"/>
        <v/>
      </c>
      <c r="GP226" t="str">
        <f t="shared" si="458"/>
        <v/>
      </c>
      <c r="GQ226">
        <f t="shared" si="459"/>
        <v>1</v>
      </c>
      <c r="GR226" t="str">
        <f>IF(GQ226=1,"XT"&amp;COUNTIFS(A$3:A226,A226,GQ$3:GQ226,1),"")</f>
        <v>XT2</v>
      </c>
      <c r="GS226" t="str">
        <f t="shared" si="460"/>
        <v>XT2</v>
      </c>
      <c r="GT226" t="str">
        <f t="shared" si="461"/>
        <v>QFD2</v>
      </c>
      <c r="GU226" t="str">
        <f t="shared" si="462"/>
        <v/>
      </c>
      <c r="GV226" t="str">
        <f t="shared" si="463"/>
        <v>ok</v>
      </c>
      <c r="GW226" t="str">
        <f>IF(OR(GO226="",GM226=""),"",IF(GO226&gt;IFERROR(VLOOKUP(GN226,Модули_спр,3,FALSE),99),"ЛИШНИЙ КАНАЛ",IF(AND(AH226&lt;&gt;"=",COUNTIFS(Линии[_модуль гр.],GM226,Линии[Канал (итог)],GO226,Линии[Канал],"&lt;&gt;=",Линии[Щит],A226)&gt;1),"ДУБЛЬ КАНАЛА","")))</f>
        <v/>
      </c>
      <c r="GX226" s="6" t="str">
        <f t="shared" si="464"/>
        <v/>
      </c>
      <c r="GY226">
        <f t="shared" si="465"/>
        <v>10</v>
      </c>
      <c r="GZ226" t="str">
        <f t="shared" si="466"/>
        <v/>
      </c>
      <c r="HA226" t="str">
        <f>IF(AND(B226="",GT226=""),"",_xlfn.TEXTJOIN("; ",TRUE,IF(AND(B226&lt;&gt;"",FE226=""),"нет фазы",""),IF(AND(B226&lt;&gt;"",N(FY226)=0,EQ226&lt;&gt;"Нет"),"нет мощности",""),IF(AND(GS226&lt;&gt;"",COUNTIFS(Линии[Щит],A226,Линии[Клемма (итог)],GS226)&gt;1),"дубль клеммы "&amp;GS226,""),IF(AND(GV226&lt;&gt;"",GV226&lt;&gt;"ok"),GV226,""),IF(GW226&lt;&gt;"",GW226,""),IF(AND(N(BV226)&gt;=4,N(BR226)=1),BV226&amp;" жил на 1 фазе",""),IF(AND(AX226="R",CA226=1,OR(N(CK226)=0,N(CK226)&gt;30)),"розетка без дифзащиты до 30 мА",""),IFERROR(IF(AND(ISNUMBER(R226),R226&gt;DV226),"потери "&amp;FIXED(R226,1)&amp;" % &gt; "&amp;DV226&amp;" %",""),""),IFERROR(IF(LEFT(GZ226,4)="мало","Iкз мало — отключение &gt; 0,4 с",""),""),IF(AND(B226&lt;&gt;"",BH226=""),"не на схеме",""),IF(AND(CA226=0,B226&lt;&gt;"",FE226&lt;&gt;"",IF(AW226=1,"",FF225)&lt;&gt;"",FE226&lt;&gt;IF(AW226=1,"",FF225)),"фаза не как у автомата группы ("&amp;IF(AW226=1,"",FF225)&amp;")","")))</f>
        <v/>
      </c>
      <c r="HB226" s="6">
        <f>IF(OR(CA226=0,DA226=""),"",_xlfn.LET(_xlpm.t,IFERROR(_xlfn.XLOOKUP(DA226,Каталог!$U$4:$U$500,Каталог!$G$4:$G$500),""),_xlpm.k,SEARCH("кА",_xlpm.t),IFERROR(--TRIM(RIGHT(SUBSTITUTE(MID(_xlpm.t,MAX(1,_xlpm.k-4),_xlpm.k-MAX(1,_xlpm.k-4))," ",REPT(" ",9)),5)),"")))</f>
        <v>6</v>
      </c>
      <c r="HC226" t="str">
        <f>IF(OR(HB226="",CA226=0),"",IF(_xlfn.XLOOKUP(A226,Щиты[Щит],Щиты[Iкз max на шинах, кА],"")="","",IF(HB226&lt;_xlfn.XLOOKUP(A226,Щиты[Щит],Щиты[Iкз max на шинах, кА]),"Icu "&amp;HB226&amp;" кА &lt; Iкз max","ok")))</f>
        <v/>
      </c>
      <c r="HD226" t="str">
        <f t="shared" si="467"/>
        <v/>
      </c>
      <c r="HE226" t="str">
        <f t="shared" si="468"/>
        <v>QFD2|XT2</v>
      </c>
      <c r="HF226" t="str">
        <f t="shared" si="469"/>
        <v>QFD2|XT2|кабель ВВГнг(А)-LS (3х2,5) → Розеточная группа Первый этаж Пом. №001Aб, 002Аб</v>
      </c>
      <c r="HG226" t="str" cm="1">
        <f t="array" ref="HG226">IF(HF226="","",_xlfn.LET(_xlpm.nd,_xlfn.TEXTSPLIT(HF226,"|"),IF(COLUMNS(_xlpm.nd)&gt;1,A226&amp;"¦"&amp;INDEX(_xlpm.nd,1)&amp;"¦"&amp;INDEX(_xlpm.nd,2),"")))</f>
        <v>ЩР-1¦QFD2¦XT2</v>
      </c>
      <c r="HH226" t="str">
        <f t="shared" si="470"/>
        <v>R.1.001Aб.1¦Розеточная группа Первый этаж Пом. №001Aб, 002Аб</v>
      </c>
      <c r="HI226" t="str" cm="1">
        <f t="array" ref="HI226">IF(HF226="","",_xlfn.LET(_xlpm.nd,_xlfn.TEXTSPLIT(HF226,"|"),IF(COLUMNS(_xlpm.nd)&gt;2,A226&amp;"¦"&amp;INDEX(_xlpm.nd,2)&amp;"¦"&amp;INDEX(_xlpm.nd,3),"")))</f>
        <v>ЩР-1¦XT2¦кабель ВВГнг(А)-LS (3х2,5) → Розеточная группа Первый этаж Пом. №001Aб, 002Аб</v>
      </c>
      <c r="HJ226" t="str">
        <f t="shared" si="471"/>
        <v>R.1.001Aб.1¦Розеточная группа Первый этаж Пом. №001Aб, 002Аб</v>
      </c>
      <c r="HK226" t="str" cm="1">
        <f t="array" ref="HK226">IF(HF226="","",_xlfn.LET(_xlpm.nd,_xlfn.TEXTSPLIT(HF226,"|"),IF(COLUMNS(_xlpm.nd)&gt;3,A226&amp;"¦"&amp;INDEX(_xlpm.nd,3)&amp;"¦"&amp;INDEX(_xlpm.nd,4),"")))</f>
        <v/>
      </c>
      <c r="HL226" t="str">
        <f t="shared" si="472"/>
        <v/>
      </c>
      <c r="HM226" t="str" cm="1">
        <f t="array" ref="HM226">IF(HF226="","",_xlfn.LET(_xlpm.nd,_xlfn.TEXTSPLIT(HF226,"|"),IF(COLUMNS(_xlpm.nd)&gt;4,A226&amp;"¦"&amp;INDEX(_xlpm.nd,4)&amp;"¦"&amp;INDEX(_xlpm.nd,5),"")))</f>
        <v/>
      </c>
      <c r="HN226" t="str">
        <f t="shared" si="473"/>
        <v/>
      </c>
      <c r="HO226" t="str" cm="1">
        <f t="array" ref="HO226">IF(HF226="","",_xlfn.LET(_xlpm.nd,_xlfn.TEXTSPLIT(HF226,"|"),IF(COLUMNS(_xlpm.nd)&gt;5,A226&amp;"¦"&amp;INDEX(_xlpm.nd,5)&amp;"¦"&amp;INDEX(_xlpm.nd,6),"")))</f>
        <v/>
      </c>
      <c r="HP226" t="str">
        <f t="shared" si="474"/>
        <v/>
      </c>
      <c r="HQ226" t="str" cm="1">
        <f t="array" ref="HQ226">IF(HF226="","",_xlfn.LET(_xlpm.nd,_xlfn.TEXTSPLIT(HF226,"|"),IF(COLUMNS(_xlpm.nd)&gt;6,A226&amp;"¦"&amp;INDEX(_xlpm.nd,6)&amp;"¦"&amp;INDEX(_xlpm.nd,7),"")))</f>
        <v/>
      </c>
      <c r="HR226" t="str">
        <f t="shared" si="475"/>
        <v/>
      </c>
      <c r="HS226" t="str">
        <f t="shared" si="476"/>
        <v/>
      </c>
      <c r="HT226" t="str">
        <f t="shared" si="477"/>
        <v>QFD2 → XT2</v>
      </c>
      <c r="HU226">
        <f t="shared" si="478"/>
        <v>0</v>
      </c>
      <c r="HV226">
        <f t="shared" si="479"/>
        <v>1</v>
      </c>
      <c r="HW226" t="str">
        <f t="shared" si="480"/>
        <v/>
      </c>
      <c r="HX226" t="str">
        <f t="shared" si="481"/>
        <v/>
      </c>
      <c r="HY226" t="str">
        <f t="shared" si="482"/>
        <v/>
      </c>
      <c r="HZ226" t="str">
        <f t="shared" si="483"/>
        <v/>
      </c>
      <c r="IA226" t="str">
        <f>IF(B226="","",IFERROR(VLOOKUP(B226,УГО_спр,2,FALSE),IFERROR(VLOOKUP(AX226,УГО_спр,2,FALSE),IFERROR(VLOOKUP(LEFT(AX226,2),УГО_спр,2,FALSE),""))))</f>
        <v>Розетка</v>
      </c>
      <c r="IB226" t="str">
        <f>IF(B226="","",IF(OR(IA226="",IA226=0),"BOX",IFERROR(IF(VLOOKUP(IA226,УГО_блоки,3,FALSE)&amp;""&lt;&gt;"",VLOOKUP(IA226,УГО_блоки,3,FALSE),VLOOKUP(IA226,УГО_блоки,2,FALSE)),IA226)))</f>
        <v>SOCKET</v>
      </c>
      <c r="IC226">
        <f t="shared" si="484"/>
        <v>1</v>
      </c>
      <c r="ID226" t="str">
        <f>IF(DA226="","",IF(COUNTIF(DA$3:DA226,DA226)=1,MAX(ID$2:ID225)+1,""))</f>
        <v/>
      </c>
      <c r="IE226" t="str">
        <f>IF(CO226="","",IF(COUNTIF(CO$3:CO226,CO226)+COUNTIF(CP$2:CP225,CO226)+COUNTIF(CQ$2:CQ225,CO226)=1,MAX(IE$2:IG225)+1,""))</f>
        <v/>
      </c>
      <c r="IF226" t="str">
        <f>IF(CP226="","",IF(COUNTIF(CO$3:CO226,CP226)+COUNTIF(CP$3:CP226,CP226)+COUNTIF(CQ$2:CQ225,CP226)=1,MAX(IE$2:IG225,IE226)+1,""))</f>
        <v/>
      </c>
      <c r="IG226" t="str">
        <f>IF(CQ226="","",IF(COUNTIF(CO$3:CO226,CQ226)+COUNTIF(CP$3:CP226,CQ226)+COUNTIF(CQ$3:CQ226,CQ226)=1,MAX(IE$2:IG225,IE226,IF226)+1,""))</f>
        <v/>
      </c>
      <c r="IH226" t="str">
        <f t="shared" si="485"/>
        <v>3х2,5</v>
      </c>
      <c r="II226" t="str">
        <f>IF(IH226="","",IF(COUNTIF(IH$3:IH226,IH226)=1,MAX(II$2:II225)+1,""))</f>
        <v/>
      </c>
      <c r="IJ226" t="str">
        <f>IF(GL226="","",COUNTIF(GL$3:GL226,"?*"))</f>
        <v/>
      </c>
      <c r="IK226" t="str">
        <f>IF(OR(GL226="",GN226=""),"",IF(COUNTIFS(GL$3:GL226,"?*",GN$3:GN226,GN226)=1,MAX(IK$2:IK225)+1,""))</f>
        <v/>
      </c>
      <c r="IL226">
        <f t="shared" si="486"/>
        <v>0</v>
      </c>
      <c r="IM226">
        <f>IF(B226="","",COUNTIF(B$3:B226,"?*"))</f>
        <v>224</v>
      </c>
      <c r="IN226">
        <f>IF(GQ226&lt;&gt;1,0,_xlfn.LET(_xlpm.k,MAX(IFERROR(--VLOOKUP(B226,УГО_спр,5,FALSE),0),IFERROR(--VLOOKUP(AX226,УГО_спр,5,FALSE),0),IFERROR(--VLOOKUP(LEFT(AX226,2),УГО_спр,5,FALSE),0)),IF(_xlpm.k&gt;0,_xlpm.k,IF(IFERROR(--LEFT(SUBSTITUTE(IH226,"x","х"),FIND("х",SUBSTITUTE(IH226,"x","х"))-1),3)&gt;3,Каталог!$S$9,1))))</f>
        <v>1</v>
      </c>
      <c r="IO226">
        <f t="shared" si="487"/>
        <v>0</v>
      </c>
      <c r="IP226" t="str">
        <f t="shared" si="488"/>
        <v>авто</v>
      </c>
      <c r="IQ226">
        <f t="shared" si="489"/>
        <v>30</v>
      </c>
      <c r="IR226">
        <f t="shared" si="490"/>
        <v>1</v>
      </c>
      <c r="IS226">
        <f t="shared" si="491"/>
        <v>1</v>
      </c>
    </row>
    <row r="227" spans="1:253" x14ac:dyDescent="0.3">
      <c r="A227" t="s">
        <v>759</v>
      </c>
      <c r="B227" t="s">
        <v>1492</v>
      </c>
      <c r="C227" t="str">
        <f>Линии[[#This Row],[_авто наименование]]</f>
        <v>Розеточная группа, пом. 001Г</v>
      </c>
      <c r="D227">
        <v>1</v>
      </c>
      <c r="E227">
        <v>0.12</v>
      </c>
      <c r="G227" t="str">
        <f>Линии[[#This Row],[_авто автомат]]</f>
        <v>2P С16А 30мА</v>
      </c>
      <c r="H227">
        <f>Линии[[#This Row],[_авто утечка]]</f>
        <v>30</v>
      </c>
      <c r="I227" t="str">
        <f>Линии[[#This Row],[_авто управление]]</f>
        <v/>
      </c>
      <c r="J227" t="str">
        <f>Линии[[#This Row],[_авто аппараты]]</f>
        <v/>
      </c>
      <c r="K227">
        <v>2.5</v>
      </c>
      <c r="L227">
        <v>56</v>
      </c>
      <c r="M227" t="str">
        <f>Линии[[#This Row],[_авто фаза]]</f>
        <v>L1</v>
      </c>
      <c r="N227" t="str">
        <f>Линии[[#This Row],[_авто клемма]]</f>
        <v>XT3</v>
      </c>
      <c r="O227" t="str">
        <f t="shared" si="369"/>
        <v/>
      </c>
      <c r="P227" s="6" cm="1">
        <f t="array" ref="P227">IF(B227="","",IF(BC227&lt;&gt;"",IFERROR(_xlfn.XLOOKUP(BC227,Щиты[Щит],Щиты[Iр, А]),""),IF(BK227=1,IFERROR(_xlfn.XLOOKUP(A227,Щиты[Щит],Щиты[Iр, А]),""),IFERROR(_xlfn.IFS(BR227=1,BN227/((Uн_лин/SQRT(3))*BY227),BR227=3,BN227/(SQRT(3)*Uн_лин*BY227)),""))))</f>
        <v>0.54696341291648753</v>
      </c>
      <c r="Q227" s="7">
        <f>IF(B227="","",IFERROR(IF(VLOOKUP(AX227,Потребители_обозначение,4,FALSE)=1,VLOOKUP(AX227,Потребители_обозначение,3,FALSE)*(D227*2-1)+DS227+VLOOKUP(AZ227,Этаж_обозначение,3,FALSE)+VLOOKUP(AZ227,Этаж_обозначение,4,FALSE),VLOOKUP(AX227,Потребители_обозначение,3,FALSE)*(D227*2-1)+DS227),DS227))</f>
        <v>59</v>
      </c>
      <c r="R227" s="6">
        <f t="shared" si="370"/>
        <v>1.43</v>
      </c>
      <c r="S227" t="str">
        <f t="shared" si="371"/>
        <v>ВВГнг(А)-LS (3х2,5)</v>
      </c>
      <c r="T227" t="str">
        <f>IF(BH227="","",IF(BI227="вводной узел","узел ","")&amp;"л."&amp;(INT((BH227-1)/Столбцов_на_лист)+1)&amp;" / "&amp;(MOD(BH227-1,Столбцов_на_лист)+1))</f>
        <v>л.2 / 3</v>
      </c>
      <c r="V227">
        <v>1</v>
      </c>
      <c r="W227">
        <v>230</v>
      </c>
      <c r="X227" t="s">
        <v>564</v>
      </c>
      <c r="AC227" t="s">
        <v>815</v>
      </c>
      <c r="AE227" t="s">
        <v>563</v>
      </c>
      <c r="AI227">
        <v>20</v>
      </c>
      <c r="AJ227" t="s">
        <v>11</v>
      </c>
      <c r="AK227">
        <v>3</v>
      </c>
      <c r="AM227">
        <v>12</v>
      </c>
      <c r="AN227">
        <v>15</v>
      </c>
      <c r="AO227">
        <v>32</v>
      </c>
      <c r="AW227" cm="1">
        <f t="array" ref="AW227">ROW()-ROW(Линии[#Headers])</f>
        <v>225</v>
      </c>
      <c r="AX227" s="6" t="str">
        <f t="shared" si="372"/>
        <v>R</v>
      </c>
      <c r="AY227" t="str">
        <f t="shared" si="373"/>
        <v>1.001Г.1</v>
      </c>
      <c r="AZ227" t="str">
        <f t="shared" si="374"/>
        <v>1</v>
      </c>
      <c r="BA227" t="str">
        <f t="shared" si="375"/>
        <v>001Г.1</v>
      </c>
      <c r="BB227" t="str">
        <f t="shared" si="376"/>
        <v>001Г</v>
      </c>
      <c r="BC227" t="str">
        <f>IF(U227&lt;&gt;"",U227,IF(AND(B227&lt;&gt;"",B227&lt;&gt;A227,ISNUMBER(_xlfn.XMATCH(B227,Щиты[Щит]))),B227,""))</f>
        <v/>
      </c>
      <c r="BD227" t="str" cm="1">
        <f t="array" ref="BD227">IF(B227="","",IF(BC227&lt;&gt;"","Щит "&amp;BC227,_xlfn.LET(_xlpm.nm,IFERROR(_xlfn.XLOOKUP(AX227,Коды_код,Коды_имя)&amp;"",""),_xlpm.md,IFERROR(N(_xlfn.XLOOKUP(AX227,Коды_код,Коды_режим)),1),_xlpm.ex,IF(Имя_режим="по экспликации",IFERROR(_xlfn.XLOOKUP(AZ227&amp;"|"&amp;BB227,Экспликация[Этаж]&amp;"|"&amp;Экспликация[Помещение],Экспликация[Название])&amp;"",""),""),_xlpm.rm,IF(BB227="","",IF(_xlpm.ex&lt;&gt;"",". "&amp;_xlpm.ex&amp;IF(Имя_пом="нет"," ("&amp;BB227&amp;")"," (пом. "&amp;BB227&amp;")"),IF(Имя_пом="нет"," ",", пом. ")&amp;BB227)),IF(_xlpm.nm="","",IF(_xlpm.md=2,_xlpm.nm&amp;" шлейф "&amp;AZ227,_xlpm.nm&amp;_xlpm.rm)))))</f>
        <v>Розеточная группа, пом. 001Г</v>
      </c>
      <c r="BE227" t="str">
        <f t="shared" si="377"/>
        <v>Розеточная группа, пом. 001Г</v>
      </c>
      <c r="BF227">
        <f>IFERROR(_xlfn.XMATCH(A227,Щиты[Щит]),0)</f>
        <v>10</v>
      </c>
      <c r="BG227">
        <f>_xlfn.LET(_xlpm.k,IFERROR(_xlfn.XLOOKUP(A227,Щиты[Щит],Щиты[Листов под вводной узел]),""),IF(_xlpm.k="",1,N(_xlpm.k))*Столбцов_на_лист)</f>
        <v>17</v>
      </c>
      <c r="BH227">
        <f t="shared" si="378"/>
        <v>20</v>
      </c>
      <c r="BI227" t="str">
        <f t="shared" si="379"/>
        <v>линии</v>
      </c>
      <c r="BJ227" s="6">
        <f>IFERROR(N(_xlfn.XLOOKUP(AX227,Коды_код,Коды_квт)),0)</f>
        <v>0</v>
      </c>
      <c r="BK227">
        <f t="shared" si="380"/>
        <v>0</v>
      </c>
      <c r="BL227" t="str">
        <f>IF(B227="","",IF(BC227&lt;&gt;"",IFERROR(_xlfn.XLOOKUP(BC227,Щиты[Щит],Щиты[Руст, кВт]),0),IF(BK227=1,IFERROR(_xlfn.XLOOKUP(A227,Щиты[Щит],Щиты[Руст, кВт]),0),IF(BJ227&gt;0,ROUND(BJ227*MAX(1,N(D227)),3),""))))</f>
        <v/>
      </c>
      <c r="BM227">
        <f t="shared" si="381"/>
        <v>0.12</v>
      </c>
      <c r="BN227" s="6">
        <f>IF(B227="","",IF(BC227&lt;&gt;"",IFERROR(_xlfn.XLOOKUP(BC227,Щиты[Щит],Щиты[Руст, кВт]),0),N(BM227)))</f>
        <v>0.12</v>
      </c>
      <c r="BO227" t="str">
        <f>IF(B227="","",IFERROR(IF(VLOOKUP(AX227,Потребители_обозначение,8,FALSE)=0,"",VLOOKUP(AX227,Потребители_обозначение,8,FALSE)),""))</f>
        <v/>
      </c>
      <c r="BP227">
        <f t="shared" si="382"/>
        <v>230</v>
      </c>
      <c r="BQ227">
        <f>IF(B227="","",IF(BC227&lt;&gt;"",3,IFERROR(IF(N(VLOOKUP(AX227,Потребители_обозначение,9,FALSE))=0,1,VLOOKUP(AX227,Потребители_обозначение,9,FALSE)),1)))</f>
        <v>1</v>
      </c>
      <c r="BR227">
        <f t="shared" si="383"/>
        <v>1</v>
      </c>
      <c r="BS227" t="str">
        <f>IF(B227="","",_xlfn.LET(_xlpm.bc,IFERROR(IF(VLOOKUP(AX227,Потребители_обозначение,6,FALSE)=0,"",VLOOKUP(AX227,Потребители_обозначение,6,FALSE)&amp;""),""),IF(AND(FK227="да",OR(_xlpm.bc="",_xlpm.bc="мс")),Марка_пож,IF(AND(_xlpm.bc="",BC227&lt;&gt;""),"мс",_xlpm.bc))))</f>
        <v/>
      </c>
      <c r="BT227" t="str">
        <f t="shared" si="384"/>
        <v>мс</v>
      </c>
      <c r="BU227">
        <f>IF(B227="","",_xlfn.LET(_xlpm.cc,IFERROR(N(VLOOKUP(AX227,Потребители_обозначение,7,FALSE)),0),IF(_xlpm.cc&gt;0,_xlpm.cc,IF(BT227="","",IF(N(BR227)=3,5,3)))))</f>
        <v>3</v>
      </c>
      <c r="BV227">
        <f t="shared" si="385"/>
        <v>3</v>
      </c>
      <c r="BW227">
        <f>IFERROR(N(VLOOKUP(AX227,Потребители_обозначение,10,FALSE)),0)</f>
        <v>0</v>
      </c>
      <c r="BX227">
        <f>IFERROR(VLOOKUP(AX227,Потребители_обозначение,5,FALSE),0)</f>
        <v>1</v>
      </c>
      <c r="BY227" s="6" cm="1">
        <f t="array" ref="BY227">IF(B227="","",IF(BC227&lt;&gt;"",IFERROR(_xlfn.XLOOKUP(BC227,Щиты[Щит],Щиты[cos φ]),0.95),IF(BK227=1,IFERROR(_xlfn.XLOOKUP(A227,Щиты[Щит],Щиты[cos φ]),0.95),IF(ISNUMBER(Z227),Z227,IFERROR(IF(BX227=2,_xlfn.IFS(BR227=3,VLOOKUP(BN227,Справочная_двигатели,8,FALSE),BR227=1,VLOOKUP(BN227,Справочная_двигатели,10,TRUE)),IF(AND(Методика="нормы 2026",EQ227="Сил"),0.8,0.95)),0.95)))))</f>
        <v>0.95</v>
      </c>
      <c r="BZ227">
        <f t="shared" si="386"/>
        <v>0</v>
      </c>
      <c r="CA227">
        <f t="shared" si="387"/>
        <v>1</v>
      </c>
      <c r="CB227">
        <f t="shared" si="388"/>
        <v>0</v>
      </c>
      <c r="CC227">
        <f t="shared" si="389"/>
        <v>0</v>
      </c>
      <c r="CD227">
        <f t="shared" si="390"/>
        <v>0</v>
      </c>
      <c r="CE227">
        <f t="shared" si="391"/>
        <v>0</v>
      </c>
      <c r="CF227">
        <f t="shared" si="392"/>
        <v>0</v>
      </c>
      <c r="CG227">
        <f>IF(AX227="",0,_xlfn.LET(_xlpm.v,IFERROR(VLOOKUP(B227,УГО_спр,3,FALSE),IFERROR(VLOOKUP(AX227,УГО_спр,3,FALSE),IFERROR(VLOOKUP(LEFT(AX227,2),УГО_спр,3,FALSE),""))),IF(_xlpm.v="да",30,IF(ISNUMBER(_xlpm.v),_xlpm.v,0))))</f>
        <v>30</v>
      </c>
      <c r="CH227">
        <f t="shared" si="393"/>
        <v>30</v>
      </c>
      <c r="CI227" t="str">
        <f>_xlfn.LET(_xlpm.k,IFERROR(_xlfn.XLOOKUP(AX227,Коды_код,Коды_утечка)&amp;"",""),IF(_xlpm.k="","дифавтомат",_xlpm.k))</f>
        <v>дифавтомат</v>
      </c>
      <c r="CJ227">
        <f t="shared" si="394"/>
        <v>30</v>
      </c>
      <c r="CK227">
        <f t="shared" si="395"/>
        <v>30</v>
      </c>
      <c r="CL227">
        <f>IF(B227="",0,IFERROR(--VLOOKUP(B227,УГО_спр,4,FALSE),IFERROR(--VLOOKUP(AX227,УГО_спр,4,FALSE),IFERROR(--VLOOKUP(LEFT(AX227,2),УГО_спр,4,FALSE),0))))</f>
        <v>16</v>
      </c>
      <c r="CM227" t="str">
        <f>IF(B227="","",IFERROR(_xlfn.XLOOKUP(AX227,Коды_код,Коды_апп)&amp;"",""))</f>
        <v/>
      </c>
      <c r="CN227" t="str">
        <f t="shared" si="396"/>
        <v/>
      </c>
      <c r="CO227" t="str" cm="1">
        <f t="array" ref="CO227">IF(TRIM(CN227&amp;"")="","",IFERROR(TRIM(INDEX(_xlfn.TEXTSPLIT(CN227&amp;";;;",";"),1)),""))</f>
        <v/>
      </c>
      <c r="CP227" t="str" cm="1">
        <f t="array" ref="CP227">IF(TRIM(CN227&amp;"")="","",IFERROR(TRIM(INDEX(_xlfn.TEXTSPLIT(CN227&amp;";;;",";"),2)),""))</f>
        <v/>
      </c>
      <c r="CQ227" t="str" cm="1">
        <f t="array" ref="CQ227">IF(TRIM(CN227&amp;"")="","",IFERROR(TRIM(INDEX(_xlfn.TEXTSPLIT(CN227&amp;";;;",";"),3)),""))</f>
        <v/>
      </c>
      <c r="CR227">
        <f t="shared" si="397"/>
        <v>0</v>
      </c>
      <c r="CS227" t="str">
        <f>IF(B227="","",_xlfn.LET(_xlpm.t,LOWER(AV227&amp;""),IF(ISNUMBER(SEARCH("dim",_xlpm.t)),"DIM",IF(ISNUMBER(SEARCH("dali",_xlpm.t)),"DALI",IF(OR(ISNUMBER(SEARCH("relay",_xlpm.t)),ISNUMBER(SEARCH("реле",_xlpm.t))),"Relay",IF(ISNUMBER(SEARCH("кнопк",_xlpm.t)),"",IFERROR(_xlfn.XLOOKUP(AX227,Коды_код,Коды_упр)&amp;"","")))))))</f>
        <v/>
      </c>
      <c r="CT227" t="str">
        <f t="shared" si="398"/>
        <v/>
      </c>
      <c r="CU227">
        <f>IF(B227="","",_xlfn.LET(_xlpm.ig,N(P227)+IF(AF227="вручную",0,N(CB227)),_xlpm.n0,IFERROR(VLOOKUP(_xlpm.ig,Автомат_номиналы,2,TRUE),0),_xlpm.mn,MAX(CL227,IF(AF227="вручную",0,N(CE227))),MAX(_xlpm.n0,_xlpm.mn,IF(CR227=1,Мин_автомат_БП,0))))</f>
        <v>16</v>
      </c>
      <c r="CV227">
        <f t="shared" si="399"/>
        <v>1</v>
      </c>
      <c r="CW227" t="str">
        <f t="shared" si="400"/>
        <v>2P</v>
      </c>
      <c r="CX227" t="str">
        <f>_xlfn.LET(_xlpm.cc,UPPER(TRIM(IFERROR(_xlfn.XLOOKUP(AX227,Коды_код,Коды_хар)&amp;"",""))),IF(OR(_xlpm.cc="B",_xlpm.cc="В"),"B",IF(_xlpm.cc="D","D","С")))</f>
        <v>С</v>
      </c>
      <c r="CY227" t="str">
        <f t="shared" si="401"/>
        <v>2P С16А 30мА</v>
      </c>
      <c r="CZ227" t="str">
        <f t="shared" si="402"/>
        <v>2P С16А 30мА</v>
      </c>
      <c r="DA227" t="str">
        <f t="shared" si="403"/>
        <v>2P С16А 30мА</v>
      </c>
      <c r="DB227" cm="1">
        <f t="array" ref="DB227">IF(DA227="","",_xlfn.LET(_xlpm.t,SUBSTITUTE(SUBSTITUTE(SUBSTITUTE(UPPER(DA227),"С","C"),"А","A"),"В","B"),_xlpm.tk,_xlfn.TEXTSPLIT(_xlpm.t,"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7" t="str">
        <f t="shared" si="404"/>
        <v>ok</v>
      </c>
      <c r="DD227">
        <f t="shared" si="405"/>
        <v>16</v>
      </c>
      <c r="DE227" t="str">
        <f t="shared" si="406"/>
        <v>2P С16А 30мА</v>
      </c>
      <c r="DF227">
        <f t="shared" si="407"/>
        <v>30</v>
      </c>
      <c r="DG227">
        <f t="shared" si="408"/>
        <v>1</v>
      </c>
      <c r="DH227">
        <f t="shared" si="409"/>
        <v>0</v>
      </c>
      <c r="DI227">
        <f t="shared" si="410"/>
        <v>0.54696341291648753</v>
      </c>
      <c r="DJ227">
        <f t="shared" si="411"/>
        <v>1</v>
      </c>
      <c r="DK227">
        <f>IF(ISNUMBER(AL227),AL227,К_прокл)</f>
        <v>1</v>
      </c>
      <c r="DL227">
        <f t="shared" si="412"/>
        <v>2</v>
      </c>
      <c r="DM227">
        <f>IFERROR(N(VLOOKUP(BT227,Кабель_обозначение,3,FALSE)),1)</f>
        <v>1</v>
      </c>
      <c r="DN227">
        <f>IFERROR(N(_xlfn.XLOOKUP(A227,Щиты[Щит],Щиты[ΔU до шин, %])),0)</f>
        <v>1.19</v>
      </c>
      <c r="DO227" t="str">
        <f>IFERROR(_xlfn.XLOOKUP(A227,Щиты[Щит],Щиты[Zпетли на шинах, Ом]),"")</f>
        <v/>
      </c>
      <c r="DP227">
        <f>IFERROR(N(_xlfn.XLOOKUP(A227,Щиты[Щит],Щиты[ΔU до шин (подбор), %])),0)</f>
        <v>1.19</v>
      </c>
      <c r="DQ227" t="str">
        <f>IFERROR(_xlfn.XLOOKUP(A227,Щиты[Щит],Щиты[Zпетли на шинах (подбор), Ом]),"")</f>
        <v/>
      </c>
      <c r="DR227" t="str">
        <f t="shared" si="413"/>
        <v/>
      </c>
      <c r="DS227">
        <f t="shared" si="414"/>
        <v>56</v>
      </c>
      <c r="DT227">
        <f t="shared" si="415"/>
        <v>2</v>
      </c>
      <c r="DU227">
        <f t="shared" si="416"/>
        <v>0.31</v>
      </c>
      <c r="DV227" s="6">
        <f>IF(B227="","",IF(IFERROR(VLOOKUP(AX227,УГО_спр,2,FALSE),"")="Светильник",3,4)+IF(Методика="нормы 2026",MIN(0.5,MAX(0,N(Q227)-100)*0.005),0))</f>
        <v>4</v>
      </c>
      <c r="DW227" cm="1">
        <f t="array" ref="DW227">IF(OR(B227="",BT227="",DM227&lt;&gt;1),"",_xlfn.LET(_xlpm.sz,Iдоп_S,_xlpm.t_,CHOOSE(DL227,Iдоп_1ж,Iдоп_2ж,Iдоп_3ж)*DJ227*DK227,_xlpm.inn,N(DD227),_xlpm.smin,MAX(1.5,BW227),_xlpm.L_,N(Q227)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227)*(_xlpm.rho*_xlpm.L_/_xlpm.sz*N(BY227)+_xlpm.xx*_xlpm.L_*N(DU227)/1000)*N(P227)/((Uн_лин/SQRT(3))*1000)*100,999),_xlpm.kz,IF(OR(DG227=1,NOT(ISNUMBER(DQ227)),_xlpm.L_=0,_xlpm.inn=0),1,IFERROR(--(c_min*(Uн_лин*1000/SQRT(3))/(DQ227+2*ρкз_Cu*_xlpm.L_/_xlpm.sz)&gt;=GY227*_xlpm.inn),0)),_xlpm.ok,IFERROR((_xlpm.sz&gt;=_xlpm.smin)*(_xlpm.t_&gt;=_xlpm.inn)*IF(_xlpm.L_&gt;0,(_xlpm.du_+DP227&lt;=DV227+0.00001),1)*_xlpm.kz,0),_xlpm.r_,_xlfn._xlws.FILTER(_xlpm.sz,_xlpm.ok,"не подобрано"),INDEX(_xlpm.r_,1)))</f>
        <v>1.5</v>
      </c>
      <c r="DX227">
        <f t="shared" si="417"/>
        <v>2.5</v>
      </c>
      <c r="DY227" cm="1">
        <f t="array" ref="DY227">IF(OR(B227="",BT227="",DM227&lt;&gt;1),"",_xlfn.LET(_xlpm.sz,Iдоп_S,_xlpm.t_,CHOOSE(DL227,Iдоп_1ж,Iдоп_2ж,Iдоп_3ж)*DJ227*DK227,_xlpm.ok,IFERROR((_xlpm.sz&gt;=MAX(1.5,BW227))*(_xlpm.t_&gt;=N(DD227)),0),_xlpm.r_,_xlfn._xlws.FILTER(_xlpm.sz,_xlpm.ok,""),INDEX(_xlpm.r_,1)))</f>
        <v>1.5</v>
      </c>
      <c r="DZ227" s="6" cm="1">
        <f t="array" ref="DZ227">IFERROR(ROUNDUP(N(DT227)*(_xlfn.XLOOKUP(DY227,INDEX(Кабель_сопротивление,0,1),INDEX(Кабель_сопротивление,0,3))*N(Q227)/DY227*N(BY227)+_xlfn.XLOOKUP(DY227,INDEX(Кабель_сопротивление,0,1),INDEX(Кабель_сопротивление,0,2))*N(Q227)*N(DU227)/1000)*N(P227)/((Uн_лин/SQRT(3))*1000)*100,2),"")</f>
        <v>0.4</v>
      </c>
      <c r="EA227">
        <f>IFERROR(2*ρкз_Cu*N(Q227)/DY227,"")</f>
        <v>2.0689333333333333</v>
      </c>
      <c r="EB227">
        <f>IFERROR(VLOOKUP(DX227,Кабель_сопротивление,3,FALSE),"")</f>
        <v>2.2499999999999999E-2</v>
      </c>
      <c r="EC227">
        <f>IFERROR(VLOOKUP(DX227,Кабель_сопротивление,2,FALSE),"")</f>
        <v>0.1</v>
      </c>
      <c r="ED227">
        <f t="shared" si="418"/>
        <v>15</v>
      </c>
      <c r="EE227">
        <f t="shared" si="419"/>
        <v>32</v>
      </c>
      <c r="EF227">
        <f t="shared" si="420"/>
        <v>0.55383217945589258</v>
      </c>
      <c r="EG227" s="6">
        <f>IFERROR(ROUNDUP(EF227/((Uн_лин/SQRT(3))*1000)*100,2),"")</f>
        <v>0.24000000000000002</v>
      </c>
      <c r="EH227" t="str">
        <f>IFERROR(VLOOKUP(BT227,Кабель_обозначение,2,FALSE),"")</f>
        <v>ВВГнг(А)-LS</v>
      </c>
      <c r="EI227" t="str">
        <f t="shared" si="421"/>
        <v>ВВГнг(А)-LS (3х2,5)</v>
      </c>
      <c r="EJ227" t="str">
        <f t="shared" si="422"/>
        <v>ВВГнг(А)-LS (3х2,5)
L=59-0,24%</v>
      </c>
      <c r="EK227">
        <f>IFERROR(2*ρкз_Cu*Q227/DX227,"")</f>
        <v>1.24136</v>
      </c>
      <c r="EL227">
        <f t="shared" si="423"/>
        <v>0.41300000000000009</v>
      </c>
      <c r="EM227" s="6" t="str">
        <f>IFERROR(IF(OR(B227="",NOT(ISNUMBER(DX227)),N(Q227)=0),"",_xlfn.XLOOKUP(A227,Щиты[Щит],Щиты[Zпетли на шинах, Ом])+EK227),"")</f>
        <v/>
      </c>
      <c r="EN227" s="6" t="str">
        <f>IF(ISNUMBER(EM227),c_min*(Uн_лин*1000/SQRT(3))/EM227,"")</f>
        <v/>
      </c>
      <c r="EO227" s="6" t="str">
        <f>IFERROR(IF(OR(B227="",NOT(ISNUMBER(DX227))),"",1.05*(Uн_лин*1000/SQRT(3))/(_xlfn.XLOOKUP(A227,Щиты[Щит],Щиты[Zmax на шинах, Ом])+EL227)/1000),"")</f>
        <v/>
      </c>
      <c r="EP227" s="6" t="str">
        <f>IF(B227="","",IF(ISNUMBER(Y227),"Сил",IF(IFERROR(_xlfn.XLOOKUP(AX227,Коды_код,Коды_группа)&amp;"","")="","Быт",_xlfn.XLOOKUP(AX227,Коды_код,Коды_группа)&amp;"")))</f>
        <v>Быт</v>
      </c>
      <c r="EQ227" s="6" t="str">
        <f t="shared" si="424"/>
        <v>Быт</v>
      </c>
      <c r="ER227" s="6">
        <f>IF(EQ227="Щит","щит",IF(EQ227="","",IF(EQ227="Быт",IFERROR(_xlfn.XLOOKUP(A227,Щиты[Щит],Щиты[Кс быт]),1),IF(EQ227="Сил",IF(ISNUMBER(Y227),Y227,IF(Методика="нормы 2026",IFERROR(_xlfn.XLOOKUP(A227,Щиты[Щит],Щиты[Кс силовых (табл. 7.5)]),1),1)),IF(OR(EQ227="Пост",EQ227="Отоп"),1,IF(EQ227="ВНГ",0.7,0))))))</f>
        <v>0.57830000000000004</v>
      </c>
      <c r="ES227">
        <f t="shared" si="425"/>
        <v>1</v>
      </c>
      <c r="ET227">
        <f t="shared" si="426"/>
        <v>0.12</v>
      </c>
      <c r="EU227">
        <f t="shared" si="427"/>
        <v>0.12</v>
      </c>
      <c r="EV227">
        <f t="shared" si="428"/>
        <v>0</v>
      </c>
      <c r="EW227">
        <f t="shared" si="429"/>
        <v>0</v>
      </c>
      <c r="EX227">
        <f t="shared" si="430"/>
        <v>0</v>
      </c>
      <c r="EY227">
        <f t="shared" si="431"/>
        <v>0</v>
      </c>
      <c r="EZ227">
        <f t="shared" si="432"/>
        <v>0.12</v>
      </c>
      <c r="FA227">
        <f t="shared" si="433"/>
        <v>0.11399999999999999</v>
      </c>
      <c r="FB227">
        <f t="shared" si="434"/>
        <v>0.12</v>
      </c>
      <c r="FC227" t="str">
        <f t="shared" si="435"/>
        <v/>
      </c>
      <c r="FD227" t="str">
        <f>IF(B227="","",IF(CA227=0,IF(AW227=1,"",FF226),IF(OR(N(CV227)&gt;=3,N(BR227)&gt;=3),"L1,L2,L3",IFERROR(_xlfn.TEXTBEFORE(_xlfn.TEXTAFTER(_xlfn.XLOOKUP(A227,Щиты[Щит],Щиты[_фазы авто]),";"&amp;AW227&amp;":"),";"),"L1"))))</f>
        <v>L1</v>
      </c>
      <c r="FE227" t="str">
        <f t="shared" si="436"/>
        <v>L1</v>
      </c>
      <c r="FF227" t="str">
        <f t="shared" si="437"/>
        <v>L1</v>
      </c>
      <c r="FG227" cm="1">
        <f t="array" ref="FG227">IFERROR(IF(BX227=2,_xlfn.IFS(BR227=3,VLOOKUP(BN227,Справочная_двигатели,3,FALSE),BR227=1,VLOOKUP(BN227,Справочная_двигатели,5,TRUE)),0),0)</f>
        <v>0</v>
      </c>
      <c r="FH227">
        <f>IFERROR(IF(BX227=3,VLOOKUP(BN227,Справочная_ЛЭД,2,TRUE),0),0)</f>
        <v>0</v>
      </c>
      <c r="FI227" s="6">
        <f t="shared" si="438"/>
        <v>0</v>
      </c>
      <c r="FJ227" t="str" cm="1">
        <f t="array" ref="FJ227">IF(B227="","",IFERROR(INDEX({"I особая","I","II","III"},MATCH(TRIM(AC227&amp;""),{"I особая","I","II","III"},0)),"III"))</f>
        <v>II</v>
      </c>
      <c r="FK227" t="str">
        <f>IF(B227="","",IF(TRIM(AD227&amp;"")&lt;&gt;"",IF(LOWER(TRIM(AD227&amp;""))="да","да","нет"),IF(IFERROR(_xlfn.XLOOKUP(AX227,Коды_код,Коды_пожарная),"")="да","да","нет")))</f>
        <v>нет</v>
      </c>
      <c r="FL227" t="str">
        <f t="shared" si="439"/>
        <v/>
      </c>
      <c r="FM227" t="str">
        <f t="shared" si="440"/>
        <v>основная</v>
      </c>
      <c r="FN227">
        <f t="shared" si="441"/>
        <v>1</v>
      </c>
      <c r="FO227" t="str" cm="1">
        <f t="array" ref="FO227">IF(B227="","",_xlfn.LET(_xlpm.t,IFERROR(_xlfn.XLOOKUP(1,(Шины[Шина]=FM227)*(((Шины[Щит]=A227)+(Шины[Щит]=""))&gt;0),Шины[Тип]),"")&amp;"",IF(_xlpm.t&lt;&gt;"",_xlpm.t,IF(ISNUMBER(SEARCH("ИБП",FM227)),"ИБП",IF(ISNUMBER(SEARCH("ДГУ",FM227)),"ДГУ","Ввод "&amp;FN227)))))</f>
        <v>Ввод 1</v>
      </c>
      <c r="FP227" t="str">
        <f t="shared" si="442"/>
        <v>Ввод 1</v>
      </c>
      <c r="FQ227" t="str">
        <f>IF(B227="","",IF(OR(FO227="ИБП",FO227="ДГУ"),"I особая",IF(FO227="Одиночная","III",_xlfn.XLOOKUP(A227,Щиты[Щит],Щиты[Категория шины «Ввод»],"III"))))</f>
        <v>II</v>
      </c>
      <c r="FR227">
        <f>IF(B227="",0,IFERROR(MATCH(FJ227,{"III","II","I","I особая"},0),1))</f>
        <v>2</v>
      </c>
      <c r="FS227">
        <f t="shared" si="443"/>
        <v>2</v>
      </c>
      <c r="FT227" t="str">
        <f>IF(B227="","",IF(FR227&gt;IFERROR(MATCH(FQ227,{"III","II","I","I особая"},0),1),"НЕ ОБЕСПЕЧЕНА","ОК"))</f>
        <v>ОК</v>
      </c>
      <c r="FU227" t="str">
        <f>IF(A227="","",_xlfn.XLOOKUP(A227,Щиты[Щит],Щиты[Путь],""))</f>
        <v>|ГРЩ-ЖД|ЩР-1|</v>
      </c>
      <c r="FV227" t="str">
        <f>IF(B227="","",IF(AE227&lt;&gt;"",AE227,IF(IFERROR(_xlfn.XLOOKUP(AX227,Коды_код,Коды_вид)&amp;"","")="","Прочее",_xlfn.XLOOKUP(AX227,Коды_код,Коды_вид)&amp;"")))</f>
        <v>Розеточная сеть и бытовые приборы</v>
      </c>
      <c r="FW227">
        <f>IF(BH227="","",INT((BH227-1)/Столбцов_на_лист)+1)</f>
        <v>2</v>
      </c>
      <c r="FX227" t="str">
        <f t="shared" si="444"/>
        <v>ВВГнг(А)-LS (3х2,5) L=59-0,24%</v>
      </c>
      <c r="FY227">
        <f t="shared" si="445"/>
        <v>0.12</v>
      </c>
      <c r="FZ227">
        <f t="shared" si="446"/>
        <v>0.55000000000000004</v>
      </c>
      <c r="GA227">
        <f t="shared" si="447"/>
        <v>1</v>
      </c>
      <c r="GB227">
        <f t="shared" si="448"/>
        <v>0</v>
      </c>
      <c r="GC227">
        <f t="shared" si="449"/>
        <v>1</v>
      </c>
      <c r="GD227">
        <f>IF(BH227="","",IF(AND(CA227=1,GC227=1),COUNTIFS(A$3:A227,A227,CA$3:CA227,1,GC$3:GC227,1),IF(OR(OR(AW227=1,A227&lt;&gt;A226),AF227="вручную",GC227=0),"",IF(AW227=1,"",GE226))))</f>
        <v>3</v>
      </c>
      <c r="GE227">
        <f t="shared" si="450"/>
        <v>3</v>
      </c>
      <c r="GF227">
        <f>IF(B227="","",IFERROR(LOOKUP(INDEX(CHOOSE(DL227,Iдоп_1ж,Iдоп_2ж,Iдоп_3ж),MATCH(DX227,Iдоп_S,0))*DJ227*DK227,{6,10,16,20,25,32,40,50,63,80,100,125,160,200,250,315,400,500,630}),""))</f>
        <v>25</v>
      </c>
      <c r="GG227" t="str">
        <f t="shared" si="451"/>
        <v>QFD3</v>
      </c>
      <c r="GH227" t="str">
        <f t="shared" si="452"/>
        <v>QFD3</v>
      </c>
      <c r="GI227" t="str">
        <f t="shared" si="453"/>
        <v/>
      </c>
      <c r="GJ227">
        <f t="shared" si="454"/>
        <v>0</v>
      </c>
      <c r="GK227" t="str">
        <f>IF(OR(AG227="",AG227="-"),"",IFERROR(VLOOKUP(AG227,Модули_спр,2,FALSE),"R"))</f>
        <v/>
      </c>
      <c r="GL227" t="str">
        <f>IF(GK227="","",GK227&amp;"."&amp;COUNTIFS(A$3:A227,A227,GK$3:GK227,GK227))</f>
        <v/>
      </c>
      <c r="GM227" t="str">
        <f t="shared" si="455"/>
        <v/>
      </c>
      <c r="GN227" t="str">
        <f t="shared" si="456"/>
        <v/>
      </c>
      <c r="GO227" t="str">
        <f t="shared" si="457"/>
        <v/>
      </c>
      <c r="GP227" t="str">
        <f t="shared" si="458"/>
        <v/>
      </c>
      <c r="GQ227">
        <f t="shared" si="459"/>
        <v>1</v>
      </c>
      <c r="GR227" t="str">
        <f>IF(GQ227=1,"XT"&amp;COUNTIFS(A$3:A227,A227,GQ$3:GQ227,1),"")</f>
        <v>XT3</v>
      </c>
      <c r="GS227" t="str">
        <f t="shared" si="460"/>
        <v>XT3</v>
      </c>
      <c r="GT227" t="str">
        <f t="shared" si="461"/>
        <v>QFD3</v>
      </c>
      <c r="GU227" t="str">
        <f t="shared" si="462"/>
        <v/>
      </c>
      <c r="GV227" t="str">
        <f t="shared" si="463"/>
        <v>ok</v>
      </c>
      <c r="GW227" t="str">
        <f>IF(OR(GO227="",GM227=""),"",IF(GO227&gt;IFERROR(VLOOKUP(GN227,Модули_спр,3,FALSE),99),"ЛИШНИЙ КАНАЛ",IF(AND(AH227&lt;&gt;"=",COUNTIFS(Линии[_модуль гр.],GM227,Линии[Канал (итог)],GO227,Линии[Канал],"&lt;&gt;=",Линии[Щит],A227)&gt;1),"ДУБЛЬ КАНАЛА","")))</f>
        <v/>
      </c>
      <c r="GX227" s="6" t="str">
        <f t="shared" si="464"/>
        <v/>
      </c>
      <c r="GY227">
        <f t="shared" si="465"/>
        <v>10</v>
      </c>
      <c r="GZ227" t="str">
        <f t="shared" si="466"/>
        <v/>
      </c>
      <c r="HA227" t="str">
        <f>IF(AND(B227="",GT227=""),"",_xlfn.TEXTJOIN("; ",TRUE,IF(AND(B227&lt;&gt;"",FE227=""),"нет фазы",""),IF(AND(B227&lt;&gt;"",N(FY227)=0,EQ227&lt;&gt;"Нет"),"нет мощности",""),IF(AND(GS227&lt;&gt;"",COUNTIFS(Линии[Щит],A227,Линии[Клемма (итог)],GS227)&gt;1),"дубль клеммы "&amp;GS227,""),IF(AND(GV227&lt;&gt;"",GV227&lt;&gt;"ok"),GV227,""),IF(GW227&lt;&gt;"",GW227,""),IF(AND(N(BV227)&gt;=4,N(BR227)=1),BV227&amp;" жил на 1 фазе",""),IF(AND(AX227="R",CA227=1,OR(N(CK227)=0,N(CK227)&gt;30)),"розетка без дифзащиты до 30 мА",""),IFERROR(IF(AND(ISNUMBER(R227),R227&gt;DV227),"потери "&amp;FIXED(R227,1)&amp;" % &gt; "&amp;DV227&amp;" %",""),""),IFERROR(IF(LEFT(GZ227,4)="мало","Iкз мало — отключение &gt; 0,4 с",""),""),IF(AND(B227&lt;&gt;"",BH227=""),"не на схеме",""),IF(AND(CA227=0,B227&lt;&gt;"",FE227&lt;&gt;"",IF(AW227=1,"",FF226)&lt;&gt;"",FE227&lt;&gt;IF(AW227=1,"",FF226)),"фаза не как у автомата группы ("&amp;IF(AW227=1,"",FF226)&amp;")","")))</f>
        <v/>
      </c>
      <c r="HB227" s="6">
        <f>IF(OR(CA227=0,DA227=""),"",_xlfn.LET(_xlpm.t,IFERROR(_xlfn.XLOOKUP(DA227,Каталог!$U$4:$U$500,Каталог!$G$4:$G$500),""),_xlpm.k,SEARCH("кА",_xlpm.t),IFERROR(--TRIM(RIGHT(SUBSTITUTE(MID(_xlpm.t,MAX(1,_xlpm.k-4),_xlpm.k-MAX(1,_xlpm.k-4))," ",REPT(" ",9)),5)),"")))</f>
        <v>6</v>
      </c>
      <c r="HC227" t="str">
        <f>IF(OR(HB227="",CA227=0),"",IF(_xlfn.XLOOKUP(A227,Щиты[Щит],Щиты[Iкз max на шинах, кА],"")="","",IF(HB227&lt;_xlfn.XLOOKUP(A227,Щиты[Щит],Щиты[Iкз max на шинах, кА]),"Icu "&amp;HB227&amp;" кА &lt; Iкз max","ok")))</f>
        <v/>
      </c>
      <c r="HD227" t="str">
        <f t="shared" si="467"/>
        <v/>
      </c>
      <c r="HE227" t="str">
        <f t="shared" si="468"/>
        <v>QFD3|XT3</v>
      </c>
      <c r="HF227" t="str">
        <f t="shared" si="469"/>
        <v>QFD3|XT3|кабель ВВГнг(А)-LS (3х2,5) → Розеточная группа, пом. 001Г</v>
      </c>
      <c r="HG227" t="str" cm="1">
        <f t="array" ref="HG227">IF(HF227="","",_xlfn.LET(_xlpm.nd,_xlfn.TEXTSPLIT(HF227,"|"),IF(COLUMNS(_xlpm.nd)&gt;1,A227&amp;"¦"&amp;INDEX(_xlpm.nd,1)&amp;"¦"&amp;INDEX(_xlpm.nd,2),"")))</f>
        <v>ЩР-1¦QFD3¦XT3</v>
      </c>
      <c r="HH227" t="str">
        <f t="shared" si="470"/>
        <v>R.1.001Г.1¦Розеточная группа, пом. 001Г</v>
      </c>
      <c r="HI227" t="str" cm="1">
        <f t="array" ref="HI227">IF(HF227="","",_xlfn.LET(_xlpm.nd,_xlfn.TEXTSPLIT(HF227,"|"),IF(COLUMNS(_xlpm.nd)&gt;2,A227&amp;"¦"&amp;INDEX(_xlpm.nd,2)&amp;"¦"&amp;INDEX(_xlpm.nd,3),"")))</f>
        <v>ЩР-1¦XT3¦кабель ВВГнг(А)-LS (3х2,5) → Розеточная группа, пом. 001Г</v>
      </c>
      <c r="HJ227" t="str">
        <f t="shared" si="471"/>
        <v>R.1.001Г.1¦Розеточная группа, пом. 001Г</v>
      </c>
      <c r="HK227" t="str" cm="1">
        <f t="array" ref="HK227">IF(HF227="","",_xlfn.LET(_xlpm.nd,_xlfn.TEXTSPLIT(HF227,"|"),IF(COLUMNS(_xlpm.nd)&gt;3,A227&amp;"¦"&amp;INDEX(_xlpm.nd,3)&amp;"¦"&amp;INDEX(_xlpm.nd,4),"")))</f>
        <v/>
      </c>
      <c r="HL227" t="str">
        <f t="shared" si="472"/>
        <v/>
      </c>
      <c r="HM227" t="str" cm="1">
        <f t="array" ref="HM227">IF(HF227="","",_xlfn.LET(_xlpm.nd,_xlfn.TEXTSPLIT(HF227,"|"),IF(COLUMNS(_xlpm.nd)&gt;4,A227&amp;"¦"&amp;INDEX(_xlpm.nd,4)&amp;"¦"&amp;INDEX(_xlpm.nd,5),"")))</f>
        <v/>
      </c>
      <c r="HN227" t="str">
        <f t="shared" si="473"/>
        <v/>
      </c>
      <c r="HO227" t="str" cm="1">
        <f t="array" ref="HO227">IF(HF227="","",_xlfn.LET(_xlpm.nd,_xlfn.TEXTSPLIT(HF227,"|"),IF(COLUMNS(_xlpm.nd)&gt;5,A227&amp;"¦"&amp;INDEX(_xlpm.nd,5)&amp;"¦"&amp;INDEX(_xlpm.nd,6),"")))</f>
        <v/>
      </c>
      <c r="HP227" t="str">
        <f t="shared" si="474"/>
        <v/>
      </c>
      <c r="HQ227" t="str" cm="1">
        <f t="array" ref="HQ227">IF(HF227="","",_xlfn.LET(_xlpm.nd,_xlfn.TEXTSPLIT(HF227,"|"),IF(COLUMNS(_xlpm.nd)&gt;6,A227&amp;"¦"&amp;INDEX(_xlpm.nd,6)&amp;"¦"&amp;INDEX(_xlpm.nd,7),"")))</f>
        <v/>
      </c>
      <c r="HR227" t="str">
        <f t="shared" si="475"/>
        <v/>
      </c>
      <c r="HS227" t="str">
        <f t="shared" si="476"/>
        <v/>
      </c>
      <c r="HT227" t="str">
        <f t="shared" si="477"/>
        <v>QFD3 → XT3</v>
      </c>
      <c r="HU227">
        <f t="shared" si="478"/>
        <v>0</v>
      </c>
      <c r="HV227">
        <f t="shared" si="479"/>
        <v>1</v>
      </c>
      <c r="HW227" t="str">
        <f t="shared" si="480"/>
        <v/>
      </c>
      <c r="HX227" t="str">
        <f t="shared" si="481"/>
        <v/>
      </c>
      <c r="HY227" t="str">
        <f t="shared" si="482"/>
        <v/>
      </c>
      <c r="HZ227" t="str">
        <f t="shared" si="483"/>
        <v/>
      </c>
      <c r="IA227" t="str">
        <f>IF(B227="","",IFERROR(VLOOKUP(B227,УГО_спр,2,FALSE),IFERROR(VLOOKUP(AX227,УГО_спр,2,FALSE),IFERROR(VLOOKUP(LEFT(AX227,2),УГО_спр,2,FALSE),""))))</f>
        <v>Розетка</v>
      </c>
      <c r="IB227" t="str">
        <f>IF(B227="","",IF(OR(IA227="",IA227=0),"BOX",IFERROR(IF(VLOOKUP(IA227,УГО_блоки,3,FALSE)&amp;""&lt;&gt;"",VLOOKUP(IA227,УГО_блоки,3,FALSE),VLOOKUP(IA227,УГО_блоки,2,FALSE)),IA227)))</f>
        <v>SOCKET</v>
      </c>
      <c r="IC227">
        <f t="shared" si="484"/>
        <v>1</v>
      </c>
      <c r="ID227" t="str">
        <f>IF(DA227="","",IF(COUNTIF(DA$3:DA227,DA227)=1,MAX(ID$2:ID226)+1,""))</f>
        <v/>
      </c>
      <c r="IE227" t="str">
        <f>IF(CO227="","",IF(COUNTIF(CO$3:CO227,CO227)+COUNTIF(CP$2:CP226,CO227)+COUNTIF(CQ$2:CQ226,CO227)=1,MAX(IE$2:IG226)+1,""))</f>
        <v/>
      </c>
      <c r="IF227" t="str">
        <f>IF(CP227="","",IF(COUNTIF(CO$3:CO227,CP227)+COUNTIF(CP$3:CP227,CP227)+COUNTIF(CQ$2:CQ226,CP227)=1,MAX(IE$2:IG226,IE227)+1,""))</f>
        <v/>
      </c>
      <c r="IG227" t="str">
        <f>IF(CQ227="","",IF(COUNTIF(CO$3:CO227,CQ227)+COUNTIF(CP$3:CP227,CQ227)+COUNTIF(CQ$3:CQ227,CQ227)=1,MAX(IE$2:IG226,IE227,IF227)+1,""))</f>
        <v/>
      </c>
      <c r="IH227" t="str">
        <f t="shared" si="485"/>
        <v>3х2,5</v>
      </c>
      <c r="II227" t="str">
        <f>IF(IH227="","",IF(COUNTIF(IH$3:IH227,IH227)=1,MAX(II$2:II226)+1,""))</f>
        <v/>
      </c>
      <c r="IJ227" t="str">
        <f>IF(GL227="","",COUNTIF(GL$3:GL227,"?*"))</f>
        <v/>
      </c>
      <c r="IK227" t="str">
        <f>IF(OR(GL227="",GN227=""),"",IF(COUNTIFS(GL$3:GL227,"?*",GN$3:GN227,GN227)=1,MAX(IK$2:IK226)+1,""))</f>
        <v/>
      </c>
      <c r="IL227">
        <f t="shared" si="486"/>
        <v>0</v>
      </c>
      <c r="IM227">
        <f>IF(B227="","",COUNTIF(B$3:B227,"?*"))</f>
        <v>225</v>
      </c>
      <c r="IN227">
        <f>IF(GQ227&lt;&gt;1,0,_xlfn.LET(_xlpm.k,MAX(IFERROR(--VLOOKUP(B227,УГО_спр,5,FALSE),0),IFERROR(--VLOOKUP(AX227,УГО_спр,5,FALSE),0),IFERROR(--VLOOKUP(LEFT(AX227,2),УГО_спр,5,FALSE),0)),IF(_xlpm.k&gt;0,_xlpm.k,IF(IFERROR(--LEFT(SUBSTITUTE(IH227,"x","х"),FIND("х",SUBSTITUTE(IH227,"x","х"))-1),3)&gt;3,Каталог!$S$9,1))))</f>
        <v>1</v>
      </c>
      <c r="IO227">
        <f t="shared" si="487"/>
        <v>0</v>
      </c>
      <c r="IP227" t="str">
        <f t="shared" si="488"/>
        <v>авто</v>
      </c>
      <c r="IQ227">
        <f t="shared" si="489"/>
        <v>30</v>
      </c>
      <c r="IR227">
        <f t="shared" si="490"/>
        <v>1</v>
      </c>
      <c r="IS227">
        <f t="shared" si="491"/>
        <v>1</v>
      </c>
    </row>
    <row r="228" spans="1:253" x14ac:dyDescent="0.3">
      <c r="A228" t="s">
        <v>759</v>
      </c>
      <c r="B228" t="s">
        <v>1493</v>
      </c>
      <c r="C228" t="s">
        <v>1666</v>
      </c>
      <c r="D228">
        <v>2</v>
      </c>
      <c r="E228">
        <v>0.18</v>
      </c>
      <c r="G228" t="str">
        <f>Линии[[#This Row],[_авто автомат]]</f>
        <v>2P С16А 30мА</v>
      </c>
      <c r="H228">
        <f>Линии[[#This Row],[_авто утечка]]</f>
        <v>30</v>
      </c>
      <c r="I228" t="str">
        <f>Линии[[#This Row],[_авто управление]]</f>
        <v/>
      </c>
      <c r="J228" t="str">
        <f>Линии[[#This Row],[_авто аппараты]]</f>
        <v/>
      </c>
      <c r="K228">
        <v>2.5</v>
      </c>
      <c r="L228">
        <v>57</v>
      </c>
      <c r="M228">
        <v>3</v>
      </c>
      <c r="N228" t="str">
        <f>Линии[[#This Row],[_авто клемма]]</f>
        <v>XT4</v>
      </c>
      <c r="O228" t="str">
        <f t="shared" si="369"/>
        <v/>
      </c>
      <c r="P228" s="6" cm="1">
        <f t="array" ref="P228">IF(B228="","",IF(BC228&lt;&gt;"",IFERROR(_xlfn.XLOOKUP(BC228,Щиты[Щит],Щиты[Iр, А]),""),IF(BK228=1,IFERROR(_xlfn.XLOOKUP(A228,Щиты[Щит],Щиты[Iр, А]),""),IFERROR(_xlfn.IFS(BR228=1,BN228/((Uн_лин/SQRT(3))*BY228),BR228=3,BN228/(SQRT(3)*Uн_лин*BY228)),""))))</f>
        <v>0.8204451193747313</v>
      </c>
      <c r="Q228" s="7">
        <f>IF(B228="","",IFERROR(IF(VLOOKUP(AX228,Потребители_обозначение,4,FALSE)=1,VLOOKUP(AX228,Потребители_обозначение,3,FALSE)*(D228*2-1)+DS228+VLOOKUP(AZ228,Этаж_обозначение,3,FALSE)+VLOOKUP(AZ228,Этаж_обозначение,4,FALSE),VLOOKUP(AX228,Потребители_обозначение,3,FALSE)*(D228*2-1)+DS228),DS228))</f>
        <v>66</v>
      </c>
      <c r="R228" s="6">
        <f t="shared" si="370"/>
        <v>1.6</v>
      </c>
      <c r="S228" t="str">
        <f t="shared" si="371"/>
        <v>ВВГнг(А)-LS (3х2,5)</v>
      </c>
      <c r="T228" t="str">
        <f>IF(BH228="","",IF(BI228="вводной узел","узел ","")&amp;"л."&amp;(INT((BH228-1)/Столбцов_на_лист)+1)&amp;" / "&amp;(MOD(BH228-1,Столбцов_на_лист)+1))</f>
        <v>л.2 / 4</v>
      </c>
      <c r="V228">
        <v>1</v>
      </c>
      <c r="W228">
        <v>230</v>
      </c>
      <c r="X228" t="s">
        <v>564</v>
      </c>
      <c r="AC228" t="s">
        <v>815</v>
      </c>
      <c r="AE228" t="s">
        <v>563</v>
      </c>
      <c r="AI228">
        <v>21</v>
      </c>
      <c r="AJ228" t="s">
        <v>11</v>
      </c>
      <c r="AK228">
        <v>3</v>
      </c>
      <c r="AM228">
        <v>28</v>
      </c>
      <c r="AN228">
        <v>38</v>
      </c>
      <c r="AO228">
        <v>0</v>
      </c>
      <c r="AW228" cm="1">
        <f t="array" ref="AW228">ROW()-ROW(Линии[#Headers])</f>
        <v>226</v>
      </c>
      <c r="AX228" s="6" t="str">
        <f t="shared" si="372"/>
        <v>R</v>
      </c>
      <c r="AY228" t="str">
        <f t="shared" si="373"/>
        <v>1.002A.1</v>
      </c>
      <c r="AZ228" t="str">
        <f t="shared" si="374"/>
        <v>1</v>
      </c>
      <c r="BA228" t="str">
        <f t="shared" si="375"/>
        <v>002A.1</v>
      </c>
      <c r="BB228" t="str">
        <f t="shared" si="376"/>
        <v>002A</v>
      </c>
      <c r="BC228" t="str">
        <f>IF(U228&lt;&gt;"",U228,IF(AND(B228&lt;&gt;"",B228&lt;&gt;A228,ISNUMBER(_xlfn.XMATCH(B228,Щиты[Щит]))),B228,""))</f>
        <v/>
      </c>
      <c r="BD228" t="str" cm="1">
        <f t="array" ref="BD228">IF(B228="","",IF(BC228&lt;&gt;"","Щит "&amp;BC228,_xlfn.LET(_xlpm.nm,IFERROR(_xlfn.XLOOKUP(AX228,Коды_код,Коды_имя)&amp;"",""),_xlpm.md,IFERROR(N(_xlfn.XLOOKUP(AX228,Коды_код,Коды_режим)),1),_xlpm.ex,IF(Имя_режим="по экспликации",IFERROR(_xlfn.XLOOKUP(AZ228&amp;"|"&amp;BB228,Экспликация[Этаж]&amp;"|"&amp;Экспликация[Помещение],Экспликация[Название])&amp;"",""),""),_xlpm.rm,IF(BB228="","",IF(_xlpm.ex&lt;&gt;"",". "&amp;_xlpm.ex&amp;IF(Имя_пом="нет"," ("&amp;BB228&amp;")"," (пом. "&amp;BB228&amp;")"),IF(Имя_пом="нет"," ",", пом. ")&amp;BB228)),IF(_xlpm.nm="","",IF(_xlpm.md=2,_xlpm.nm&amp;" шлейф "&amp;AZ228,_xlpm.nm&amp;_xlpm.rm)))))</f>
        <v>Розеточная группа, пом. 002A</v>
      </c>
      <c r="BE228" t="str">
        <f t="shared" si="377"/>
        <v>Розеточная группа Первый этаж Пом. №002A, 023А</v>
      </c>
      <c r="BF228">
        <f>IFERROR(_xlfn.XMATCH(A228,Щиты[Щит]),0)</f>
        <v>10</v>
      </c>
      <c r="BG228">
        <f>_xlfn.LET(_xlpm.k,IFERROR(_xlfn.XLOOKUP(A228,Щиты[Щит],Щиты[Листов под вводной узел]),""),IF(_xlpm.k="",1,N(_xlpm.k))*Столбцов_на_лист)</f>
        <v>17</v>
      </c>
      <c r="BH228">
        <f t="shared" si="378"/>
        <v>21</v>
      </c>
      <c r="BI228" t="str">
        <f t="shared" si="379"/>
        <v>линии</v>
      </c>
      <c r="BJ228" s="6">
        <f>IFERROR(N(_xlfn.XLOOKUP(AX228,Коды_код,Коды_квт)),0)</f>
        <v>0</v>
      </c>
      <c r="BK228">
        <f t="shared" si="380"/>
        <v>0</v>
      </c>
      <c r="BL228" t="str">
        <f>IF(B228="","",IF(BC228&lt;&gt;"",IFERROR(_xlfn.XLOOKUP(BC228,Щиты[Щит],Щиты[Руст, кВт]),0),IF(BK228=1,IFERROR(_xlfn.XLOOKUP(A228,Щиты[Щит],Щиты[Руст, кВт]),0),IF(BJ228&gt;0,ROUND(BJ228*MAX(1,N(D228)),3),""))))</f>
        <v/>
      </c>
      <c r="BM228">
        <f t="shared" si="381"/>
        <v>0.18</v>
      </c>
      <c r="BN228" s="6">
        <f>IF(B228="","",IF(BC228&lt;&gt;"",IFERROR(_xlfn.XLOOKUP(BC228,Щиты[Щит],Щиты[Руст, кВт]),0),N(BM228)))</f>
        <v>0.18</v>
      </c>
      <c r="BO228" t="str">
        <f>IF(B228="","",IFERROR(IF(VLOOKUP(AX228,Потребители_обозначение,8,FALSE)=0,"",VLOOKUP(AX228,Потребители_обозначение,8,FALSE)),""))</f>
        <v/>
      </c>
      <c r="BP228">
        <f t="shared" si="382"/>
        <v>230</v>
      </c>
      <c r="BQ228">
        <f>IF(B228="","",IF(BC228&lt;&gt;"",3,IFERROR(IF(N(VLOOKUP(AX228,Потребители_обозначение,9,FALSE))=0,1,VLOOKUP(AX228,Потребители_обозначение,9,FALSE)),1)))</f>
        <v>1</v>
      </c>
      <c r="BR228">
        <f t="shared" si="383"/>
        <v>1</v>
      </c>
      <c r="BS228" t="str">
        <f>IF(B228="","",_xlfn.LET(_xlpm.bc,IFERROR(IF(VLOOKUP(AX228,Потребители_обозначение,6,FALSE)=0,"",VLOOKUP(AX228,Потребители_обозначение,6,FALSE)&amp;""),""),IF(AND(FK228="да",OR(_xlpm.bc="",_xlpm.bc="мс")),Марка_пож,IF(AND(_xlpm.bc="",BC228&lt;&gt;""),"мс",_xlpm.bc))))</f>
        <v/>
      </c>
      <c r="BT228" t="str">
        <f t="shared" si="384"/>
        <v>мс</v>
      </c>
      <c r="BU228">
        <f>IF(B228="","",_xlfn.LET(_xlpm.cc,IFERROR(N(VLOOKUP(AX228,Потребители_обозначение,7,FALSE)),0),IF(_xlpm.cc&gt;0,_xlpm.cc,IF(BT228="","",IF(N(BR228)=3,5,3)))))</f>
        <v>3</v>
      </c>
      <c r="BV228">
        <f t="shared" si="385"/>
        <v>3</v>
      </c>
      <c r="BW228">
        <f>IFERROR(N(VLOOKUP(AX228,Потребители_обозначение,10,FALSE)),0)</f>
        <v>0</v>
      </c>
      <c r="BX228">
        <f>IFERROR(VLOOKUP(AX228,Потребители_обозначение,5,FALSE),0)</f>
        <v>1</v>
      </c>
      <c r="BY228" s="6" cm="1">
        <f t="array" ref="BY228">IF(B228="","",IF(BC228&lt;&gt;"",IFERROR(_xlfn.XLOOKUP(BC228,Щиты[Щит],Щиты[cos φ]),0.95),IF(BK228=1,IFERROR(_xlfn.XLOOKUP(A228,Щиты[Щит],Щиты[cos φ]),0.95),IF(ISNUMBER(Z228),Z228,IFERROR(IF(BX228=2,_xlfn.IFS(BR228=3,VLOOKUP(BN228,Справочная_двигатели,8,FALSE),BR228=1,VLOOKUP(BN228,Справочная_двигатели,10,TRUE)),IF(AND(Методика="нормы 2026",EQ228="Сил"),0.8,0.95)),0.95)))))</f>
        <v>0.95</v>
      </c>
      <c r="BZ228">
        <f t="shared" si="386"/>
        <v>0</v>
      </c>
      <c r="CA228">
        <f t="shared" si="387"/>
        <v>1</v>
      </c>
      <c r="CB228">
        <f t="shared" si="388"/>
        <v>0</v>
      </c>
      <c r="CC228">
        <f t="shared" si="389"/>
        <v>0</v>
      </c>
      <c r="CD228">
        <f t="shared" si="390"/>
        <v>0</v>
      </c>
      <c r="CE228">
        <f t="shared" si="391"/>
        <v>0</v>
      </c>
      <c r="CF228">
        <f t="shared" si="392"/>
        <v>0</v>
      </c>
      <c r="CG228">
        <f>IF(AX228="",0,_xlfn.LET(_xlpm.v,IFERROR(VLOOKUP(B228,УГО_спр,3,FALSE),IFERROR(VLOOKUP(AX228,УГО_спр,3,FALSE),IFERROR(VLOOKUP(LEFT(AX228,2),УГО_спр,3,FALSE),""))),IF(_xlpm.v="да",30,IF(ISNUMBER(_xlpm.v),_xlpm.v,0))))</f>
        <v>30</v>
      </c>
      <c r="CH228">
        <f t="shared" si="393"/>
        <v>30</v>
      </c>
      <c r="CI228" t="str">
        <f>_xlfn.LET(_xlpm.k,IFERROR(_xlfn.XLOOKUP(AX228,Коды_код,Коды_утечка)&amp;"",""),IF(_xlpm.k="","дифавтомат",_xlpm.k))</f>
        <v>дифавтомат</v>
      </c>
      <c r="CJ228">
        <f t="shared" si="394"/>
        <v>30</v>
      </c>
      <c r="CK228">
        <f t="shared" si="395"/>
        <v>30</v>
      </c>
      <c r="CL228">
        <f>IF(B228="",0,IFERROR(--VLOOKUP(B228,УГО_спр,4,FALSE),IFERROR(--VLOOKUP(AX228,УГО_спр,4,FALSE),IFERROR(--VLOOKUP(LEFT(AX228,2),УГО_спр,4,FALSE),0))))</f>
        <v>16</v>
      </c>
      <c r="CM228" t="str">
        <f>IF(B228="","",IFERROR(_xlfn.XLOOKUP(AX228,Коды_код,Коды_апп)&amp;"",""))</f>
        <v/>
      </c>
      <c r="CN228" t="str">
        <f t="shared" si="396"/>
        <v/>
      </c>
      <c r="CO228" t="str" cm="1">
        <f t="array" ref="CO228">IF(TRIM(CN228&amp;"")="","",IFERROR(TRIM(INDEX(_xlfn.TEXTSPLIT(CN228&amp;";;;",";"),1)),""))</f>
        <v/>
      </c>
      <c r="CP228" t="str" cm="1">
        <f t="array" ref="CP228">IF(TRIM(CN228&amp;"")="","",IFERROR(TRIM(INDEX(_xlfn.TEXTSPLIT(CN228&amp;";;;",";"),2)),""))</f>
        <v/>
      </c>
      <c r="CQ228" t="str" cm="1">
        <f t="array" ref="CQ228">IF(TRIM(CN228&amp;"")="","",IFERROR(TRIM(INDEX(_xlfn.TEXTSPLIT(CN228&amp;";;;",";"),3)),""))</f>
        <v/>
      </c>
      <c r="CR228">
        <f t="shared" si="397"/>
        <v>0</v>
      </c>
      <c r="CS228" t="str">
        <f>IF(B228="","",_xlfn.LET(_xlpm.t,LOWER(AV228&amp;""),IF(ISNUMBER(SEARCH("dim",_xlpm.t)),"DIM",IF(ISNUMBER(SEARCH("dali",_xlpm.t)),"DALI",IF(OR(ISNUMBER(SEARCH("relay",_xlpm.t)),ISNUMBER(SEARCH("реле",_xlpm.t))),"Relay",IF(ISNUMBER(SEARCH("кнопк",_xlpm.t)),"",IFERROR(_xlfn.XLOOKUP(AX228,Коды_код,Коды_упр)&amp;"","")))))))</f>
        <v/>
      </c>
      <c r="CT228" t="str">
        <f t="shared" si="398"/>
        <v/>
      </c>
      <c r="CU228">
        <f>IF(B228="","",_xlfn.LET(_xlpm.ig,N(P228)+IF(AF228="вручную",0,N(CB228)),_xlpm.n0,IFERROR(VLOOKUP(_xlpm.ig,Автомат_номиналы,2,TRUE),0),_xlpm.mn,MAX(CL228,IF(AF228="вручную",0,N(CE228))),MAX(_xlpm.n0,_xlpm.mn,IF(CR228=1,Мин_автомат_БП,0))))</f>
        <v>16</v>
      </c>
      <c r="CV228">
        <f t="shared" si="399"/>
        <v>1</v>
      </c>
      <c r="CW228" t="str">
        <f t="shared" si="400"/>
        <v>2P</v>
      </c>
      <c r="CX228" t="str">
        <f>_xlfn.LET(_xlpm.cc,UPPER(TRIM(IFERROR(_xlfn.XLOOKUP(AX228,Коды_код,Коды_хар)&amp;"",""))),IF(OR(_xlpm.cc="B",_xlpm.cc="В"),"B",IF(_xlpm.cc="D","D","С")))</f>
        <v>С</v>
      </c>
      <c r="CY228" t="str">
        <f t="shared" si="401"/>
        <v>2P С16А 30мА</v>
      </c>
      <c r="CZ228" t="str">
        <f t="shared" si="402"/>
        <v>2P С16А 30мА</v>
      </c>
      <c r="DA228" t="str">
        <f t="shared" si="403"/>
        <v>2P С16А 30мА</v>
      </c>
      <c r="DB228" cm="1">
        <f t="array" ref="DB228">IF(DA228="","",_xlfn.LET(_xlpm.t,SUBSTITUTE(SUBSTITUTE(SUBSTITUTE(UPPER(DA228),"С","C"),"А","A"),"В","B"),_xlpm.tk,_xlfn.TEXTSPLIT(_xlpm.t,"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8" t="str">
        <f t="shared" si="404"/>
        <v>ok</v>
      </c>
      <c r="DD228">
        <f t="shared" si="405"/>
        <v>16</v>
      </c>
      <c r="DE228" t="str">
        <f t="shared" si="406"/>
        <v>2P С16А 30мА</v>
      </c>
      <c r="DF228">
        <f t="shared" si="407"/>
        <v>30</v>
      </c>
      <c r="DG228">
        <f t="shared" si="408"/>
        <v>1</v>
      </c>
      <c r="DH228">
        <f t="shared" si="409"/>
        <v>0</v>
      </c>
      <c r="DI228">
        <f t="shared" si="410"/>
        <v>0.8204451193747313</v>
      </c>
      <c r="DJ228">
        <f t="shared" si="411"/>
        <v>1</v>
      </c>
      <c r="DK228">
        <f>IF(ISNUMBER(AL228),AL228,К_прокл)</f>
        <v>1</v>
      </c>
      <c r="DL228">
        <f t="shared" si="412"/>
        <v>2</v>
      </c>
      <c r="DM228">
        <f>IFERROR(N(VLOOKUP(BT228,Кабель_обозначение,3,FALSE)),1)</f>
        <v>1</v>
      </c>
      <c r="DN228">
        <f>IFERROR(N(_xlfn.XLOOKUP(A228,Щиты[Щит],Щиты[ΔU до шин, %])),0)</f>
        <v>1.19</v>
      </c>
      <c r="DO228" t="str">
        <f>IFERROR(_xlfn.XLOOKUP(A228,Щиты[Щит],Щиты[Zпетли на шинах, Ом]),"")</f>
        <v/>
      </c>
      <c r="DP228">
        <f>IFERROR(N(_xlfn.XLOOKUP(A228,Щиты[Щит],Щиты[ΔU до шин (подбор), %])),0)</f>
        <v>1.19</v>
      </c>
      <c r="DQ228" t="str">
        <f>IFERROR(_xlfn.XLOOKUP(A228,Щиты[Щит],Щиты[Zпетли на шинах (подбор), Ом]),"")</f>
        <v/>
      </c>
      <c r="DR228" t="str">
        <f t="shared" si="413"/>
        <v/>
      </c>
      <c r="DS228">
        <f t="shared" si="414"/>
        <v>57</v>
      </c>
      <c r="DT228">
        <f t="shared" si="415"/>
        <v>2</v>
      </c>
      <c r="DU228">
        <f t="shared" si="416"/>
        <v>0.31</v>
      </c>
      <c r="DV228" s="6">
        <f>IF(B228="","",IF(IFERROR(VLOOKUP(AX228,УГО_спр,2,FALSE),"")="Светильник",3,4)+IF(Методика="нормы 2026",MIN(0.5,MAX(0,N(Q228)-100)*0.005),0))</f>
        <v>4</v>
      </c>
      <c r="DW228" cm="1">
        <f t="array" ref="DW228">IF(OR(B228="",BT228="",DM228&lt;&gt;1),"",_xlfn.LET(_xlpm.sz,Iдоп_S,_xlpm.t_,CHOOSE(DL228,Iдоп_1ж,Iдоп_2ж,Iдоп_3ж)*DJ228*DK228,_xlpm.inn,N(DD228),_xlpm.smin,MAX(1.5,BW228),_xlpm.L_,N(Q228)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228)*(_xlpm.rho*_xlpm.L_/_xlpm.sz*N(BY228)+_xlpm.xx*_xlpm.L_*N(DU228)/1000)*N(P228)/((Uн_лин/SQRT(3))*1000)*100,999),_xlpm.kz,IF(OR(DG228=1,NOT(ISNUMBER(DQ228)),_xlpm.L_=0,_xlpm.inn=0),1,IFERROR(--(c_min*(Uн_лин*1000/SQRT(3))/(DQ228+2*ρкз_Cu*_xlpm.L_/_xlpm.sz)&gt;=GY228*_xlpm.inn),0)),_xlpm.ok,IFERROR((_xlpm.sz&gt;=_xlpm.smin)*(_xlpm.t_&gt;=_xlpm.inn)*IF(_xlpm.L_&gt;0,(_xlpm.du_+DP228&lt;=DV228+0.00001),1)*_xlpm.kz,0),_xlpm.r_,_xlfn._xlws.FILTER(_xlpm.sz,_xlpm.ok,"не подобрано"),INDEX(_xlpm.r_,1)))</f>
        <v>1.5</v>
      </c>
      <c r="DX228">
        <f t="shared" si="417"/>
        <v>2.5</v>
      </c>
      <c r="DY228" cm="1">
        <f t="array" ref="DY228">IF(OR(B228="",BT228="",DM228&lt;&gt;1),"",_xlfn.LET(_xlpm.sz,Iдоп_S,_xlpm.t_,CHOOSE(DL228,Iдоп_1ж,Iдоп_2ж,Iдоп_3ж)*DJ228*DK228,_xlpm.ok,IFERROR((_xlpm.sz&gt;=MAX(1.5,BW228))*(_xlpm.t_&gt;=N(DD228)),0),_xlpm.r_,_xlfn._xlws.FILTER(_xlpm.sz,_xlpm.ok,""),INDEX(_xlpm.r_,1)))</f>
        <v>1.5</v>
      </c>
      <c r="DZ228" s="6" cm="1">
        <f t="array" ref="DZ228">IFERROR(ROUNDUP(N(DT228)*(_xlfn.XLOOKUP(DY228,INDEX(Кабель_сопротивление,0,1),INDEX(Кабель_сопротивление,0,3))*N(Q228)/DY228*N(BY228)+_xlfn.XLOOKUP(DY228,INDEX(Кабель_сопротивление,0,1),INDEX(Кабель_сопротивление,0,2))*N(Q228)*N(DU228)/1000)*N(P228)/((Uн_лин/SQRT(3))*1000)*100,2),"")</f>
        <v>0.67</v>
      </c>
      <c r="EA228">
        <f>IFERROR(2*ρкз_Cu*N(Q228)/DY228,"")</f>
        <v>2.3144</v>
      </c>
      <c r="EB228">
        <f>IFERROR(VLOOKUP(DX228,Кабель_сопротивление,3,FALSE),"")</f>
        <v>2.2499999999999999E-2</v>
      </c>
      <c r="EC228">
        <f>IFERROR(VLOOKUP(DX228,Кабель_сопротивление,2,FALSE),"")</f>
        <v>0.1</v>
      </c>
      <c r="ED228">
        <f t="shared" si="418"/>
        <v>38</v>
      </c>
      <c r="EE228">
        <f t="shared" si="419"/>
        <v>0</v>
      </c>
      <c r="EF228">
        <f t="shared" si="420"/>
        <v>0.92931162315480298</v>
      </c>
      <c r="EG228" s="6">
        <f>IFERROR(ROUNDUP(EF228/((Uн_лин/SQRT(3))*1000)*100,2),"")</f>
        <v>0.41000000000000003</v>
      </c>
      <c r="EH228" t="str">
        <f>IFERROR(VLOOKUP(BT228,Кабель_обозначение,2,FALSE),"")</f>
        <v>ВВГнг(А)-LS</v>
      </c>
      <c r="EI228" t="str">
        <f t="shared" si="421"/>
        <v>ВВГнг(А)-LS (3х2,5)</v>
      </c>
      <c r="EJ228" t="str">
        <f t="shared" si="422"/>
        <v>ВВГнг(А)-LS (3х2,5)
L=66-0,41%</v>
      </c>
      <c r="EK228">
        <f>IFERROR(2*ρкз_Cu*Q228/DX228,"")</f>
        <v>1.3886400000000001</v>
      </c>
      <c r="EL228">
        <f t="shared" si="423"/>
        <v>0.46200000000000002</v>
      </c>
      <c r="EM228" s="6" t="str">
        <f>IFERROR(IF(OR(B228="",NOT(ISNUMBER(DX228)),N(Q228)=0),"",_xlfn.XLOOKUP(A228,Щиты[Щит],Щиты[Zпетли на шинах, Ом])+EK228),"")</f>
        <v/>
      </c>
      <c r="EN228" s="6" t="str">
        <f>IF(ISNUMBER(EM228),c_min*(Uн_лин*1000/SQRT(3))/EM228,"")</f>
        <v/>
      </c>
      <c r="EO228" s="6" t="str">
        <f>IFERROR(IF(OR(B228="",NOT(ISNUMBER(DX228))),"",1.05*(Uн_лин*1000/SQRT(3))/(_xlfn.XLOOKUP(A228,Щиты[Щит],Щиты[Zmax на шинах, Ом])+EL228)/1000),"")</f>
        <v/>
      </c>
      <c r="EP228" s="6" t="str">
        <f>IF(B228="","",IF(ISNUMBER(Y228),"Сил",IF(IFERROR(_xlfn.XLOOKUP(AX228,Коды_код,Коды_группа)&amp;"","")="","Быт",_xlfn.XLOOKUP(AX228,Коды_код,Коды_группа)&amp;"")))</f>
        <v>Быт</v>
      </c>
      <c r="EQ228" s="6" t="str">
        <f t="shared" si="424"/>
        <v>Быт</v>
      </c>
      <c r="ER228" s="6">
        <f>IF(EQ228="Щит","щит",IF(EQ228="","",IF(EQ228="Быт",IFERROR(_xlfn.XLOOKUP(A228,Щиты[Щит],Щиты[Кс быт]),1),IF(EQ228="Сил",IF(ISNUMBER(Y228),Y228,IF(Методика="нормы 2026",IFERROR(_xlfn.XLOOKUP(A228,Щиты[Щит],Щиты[Кс силовых (табл. 7.5)]),1),1)),IF(OR(EQ228="Пост",EQ228="Отоп"),1,IF(EQ228="ВНГ",0.7,0))))))</f>
        <v>0.57830000000000004</v>
      </c>
      <c r="ES228">
        <f t="shared" si="425"/>
        <v>1</v>
      </c>
      <c r="ET228">
        <f t="shared" si="426"/>
        <v>0.18</v>
      </c>
      <c r="EU228">
        <f t="shared" si="427"/>
        <v>0.18</v>
      </c>
      <c r="EV228">
        <f t="shared" si="428"/>
        <v>0</v>
      </c>
      <c r="EW228">
        <f t="shared" si="429"/>
        <v>0</v>
      </c>
      <c r="EX228">
        <f t="shared" si="430"/>
        <v>0</v>
      </c>
      <c r="EY228">
        <f t="shared" si="431"/>
        <v>0</v>
      </c>
      <c r="EZ228">
        <f t="shared" si="432"/>
        <v>0.18</v>
      </c>
      <c r="FA228">
        <f t="shared" si="433"/>
        <v>0.17099999999999999</v>
      </c>
      <c r="FB228">
        <f t="shared" si="434"/>
        <v>0.18</v>
      </c>
      <c r="FC228" t="str">
        <f t="shared" si="435"/>
        <v>L3</v>
      </c>
      <c r="FD228" t="str">
        <f>IF(B228="","",IF(CA228=0,IF(AW228=1,"",FF227),IF(OR(N(CV228)&gt;=3,N(BR228)&gt;=3),"L1,L2,L3",IFERROR(_xlfn.TEXTBEFORE(_xlfn.TEXTAFTER(_xlfn.XLOOKUP(A228,Щиты[Щит],Щиты[_фазы авто]),";"&amp;AW228&amp;":"),";"),"L1"))))</f>
        <v>L1</v>
      </c>
      <c r="FE228" t="str">
        <f t="shared" si="436"/>
        <v>L3</v>
      </c>
      <c r="FF228" t="str">
        <f t="shared" si="437"/>
        <v>L3</v>
      </c>
      <c r="FG228" cm="1">
        <f t="array" ref="FG228">IFERROR(IF(BX228=2,_xlfn.IFS(BR228=3,VLOOKUP(BN228,Справочная_двигатели,3,FALSE),BR228=1,VLOOKUP(BN228,Справочная_двигатели,5,TRUE)),0),0)</f>
        <v>0</v>
      </c>
      <c r="FH228">
        <f>IFERROR(IF(BX228=3,VLOOKUP(BN228,Справочная_ЛЭД,2,TRUE),0),0)</f>
        <v>0</v>
      </c>
      <c r="FI228" s="6">
        <f t="shared" si="438"/>
        <v>0</v>
      </c>
      <c r="FJ228" t="str" cm="1">
        <f t="array" ref="FJ228">IF(B228="","",IFERROR(INDEX({"I особая","I","II","III"},MATCH(TRIM(AC228&amp;""),{"I особая","I","II","III"},0)),"III"))</f>
        <v>II</v>
      </c>
      <c r="FK228" t="str">
        <f>IF(B228="","",IF(TRIM(AD228&amp;"")&lt;&gt;"",IF(LOWER(TRIM(AD228&amp;""))="да","да","нет"),IF(IFERROR(_xlfn.XLOOKUP(AX228,Коды_код,Коды_пожарная),"")="да","да","нет")))</f>
        <v>нет</v>
      </c>
      <c r="FL228" t="str">
        <f t="shared" si="439"/>
        <v/>
      </c>
      <c r="FM228" t="str">
        <f t="shared" si="440"/>
        <v>основная</v>
      </c>
      <c r="FN228">
        <f t="shared" si="441"/>
        <v>1</v>
      </c>
      <c r="FO228" t="str" cm="1">
        <f t="array" ref="FO228">IF(B228="","",_xlfn.LET(_xlpm.t,IFERROR(_xlfn.XLOOKUP(1,(Шины[Шина]=FM228)*(((Шины[Щит]=A228)+(Шины[Щит]=""))&gt;0),Шины[Тип]),"")&amp;"",IF(_xlpm.t&lt;&gt;"",_xlpm.t,IF(ISNUMBER(SEARCH("ИБП",FM228)),"ИБП",IF(ISNUMBER(SEARCH("ДГУ",FM228)),"ДГУ","Ввод "&amp;FN228)))))</f>
        <v>Ввод 1</v>
      </c>
      <c r="FP228" t="str">
        <f t="shared" si="442"/>
        <v>Ввод 1</v>
      </c>
      <c r="FQ228" t="str">
        <f>IF(B228="","",IF(OR(FO228="ИБП",FO228="ДГУ"),"I особая",IF(FO228="Одиночная","III",_xlfn.XLOOKUP(A228,Щиты[Щит],Щиты[Категория шины «Ввод»],"III"))))</f>
        <v>II</v>
      </c>
      <c r="FR228">
        <f>IF(B228="",0,IFERROR(MATCH(FJ228,{"III","II","I","I особая"},0),1))</f>
        <v>2</v>
      </c>
      <c r="FS228">
        <f t="shared" si="443"/>
        <v>2</v>
      </c>
      <c r="FT228" t="str">
        <f>IF(B228="","",IF(FR228&gt;IFERROR(MATCH(FQ228,{"III","II","I","I особая"},0),1),"НЕ ОБЕСПЕЧЕНА","ОК"))</f>
        <v>ОК</v>
      </c>
      <c r="FU228" t="str">
        <f>IF(A228="","",_xlfn.XLOOKUP(A228,Щиты[Щит],Щиты[Путь],""))</f>
        <v>|ГРЩ-ЖД|ЩР-1|</v>
      </c>
      <c r="FV228" t="str">
        <f>IF(B228="","",IF(AE228&lt;&gt;"",AE228,IF(IFERROR(_xlfn.XLOOKUP(AX228,Коды_код,Коды_вид)&amp;"","")="","Прочее",_xlfn.XLOOKUP(AX228,Коды_код,Коды_вид)&amp;"")))</f>
        <v>Розеточная сеть и бытовые приборы</v>
      </c>
      <c r="FW228">
        <f>IF(BH228="","",INT((BH228-1)/Столбцов_на_лист)+1)</f>
        <v>2</v>
      </c>
      <c r="FX228" t="str">
        <f t="shared" si="444"/>
        <v>ВВГнг(А)-LS (3х2,5) L=66-0,41%</v>
      </c>
      <c r="FY228">
        <f t="shared" si="445"/>
        <v>0.18</v>
      </c>
      <c r="FZ228">
        <f t="shared" si="446"/>
        <v>0.83</v>
      </c>
      <c r="GA228">
        <f t="shared" si="447"/>
        <v>1</v>
      </c>
      <c r="GB228">
        <f t="shared" si="448"/>
        <v>0</v>
      </c>
      <c r="GC228">
        <f t="shared" si="449"/>
        <v>1</v>
      </c>
      <c r="GD228">
        <f>IF(BH228="","",IF(AND(CA228=1,GC228=1),COUNTIFS(A$3:A228,A228,CA$3:CA228,1,GC$3:GC228,1),IF(OR(OR(AW228=1,A228&lt;&gt;A227),AF228="вручную",GC228=0),"",IF(AW228=1,"",GE227))))</f>
        <v>4</v>
      </c>
      <c r="GE228">
        <f t="shared" si="450"/>
        <v>4</v>
      </c>
      <c r="GF228">
        <f>IF(B228="","",IFERROR(LOOKUP(INDEX(CHOOSE(DL228,Iдоп_1ж,Iдоп_2ж,Iдоп_3ж),MATCH(DX228,Iдоп_S,0))*DJ228*DK228,{6,10,16,20,25,32,40,50,63,80,100,125,160,200,250,315,400,500,630}),""))</f>
        <v>25</v>
      </c>
      <c r="GG228" t="str">
        <f t="shared" si="451"/>
        <v>QFD4</v>
      </c>
      <c r="GH228" t="str">
        <f t="shared" si="452"/>
        <v>QFD4</v>
      </c>
      <c r="GI228" t="str">
        <f t="shared" si="453"/>
        <v/>
      </c>
      <c r="GJ228">
        <f t="shared" si="454"/>
        <v>0</v>
      </c>
      <c r="GK228" t="str">
        <f>IF(OR(AG228="",AG228="-"),"",IFERROR(VLOOKUP(AG228,Модули_спр,2,FALSE),"R"))</f>
        <v/>
      </c>
      <c r="GL228" t="str">
        <f>IF(GK228="","",GK228&amp;"."&amp;COUNTIFS(A$3:A228,A228,GK$3:GK228,GK228))</f>
        <v/>
      </c>
      <c r="GM228" t="str">
        <f t="shared" si="455"/>
        <v/>
      </c>
      <c r="GN228" t="str">
        <f t="shared" si="456"/>
        <v/>
      </c>
      <c r="GO228" t="str">
        <f t="shared" si="457"/>
        <v/>
      </c>
      <c r="GP228" t="str">
        <f t="shared" si="458"/>
        <v/>
      </c>
      <c r="GQ228">
        <f t="shared" si="459"/>
        <v>1</v>
      </c>
      <c r="GR228" t="str">
        <f>IF(GQ228=1,"XT"&amp;COUNTIFS(A$3:A228,A228,GQ$3:GQ228,1),"")</f>
        <v>XT4</v>
      </c>
      <c r="GS228" t="str">
        <f t="shared" si="460"/>
        <v>XT4</v>
      </c>
      <c r="GT228" t="str">
        <f t="shared" si="461"/>
        <v>QFD4</v>
      </c>
      <c r="GU228" t="str">
        <f t="shared" si="462"/>
        <v/>
      </c>
      <c r="GV228" t="str">
        <f t="shared" si="463"/>
        <v>ok</v>
      </c>
      <c r="GW228" t="str">
        <f>IF(OR(GO228="",GM228=""),"",IF(GO228&gt;IFERROR(VLOOKUP(GN228,Модули_спр,3,FALSE),99),"ЛИШНИЙ КАНАЛ",IF(AND(AH228&lt;&gt;"=",COUNTIFS(Линии[_модуль гр.],GM228,Линии[Канал (итог)],GO228,Линии[Канал],"&lt;&gt;=",Линии[Щит],A228)&gt;1),"ДУБЛЬ КАНАЛА","")))</f>
        <v/>
      </c>
      <c r="GX228" s="6" t="str">
        <f t="shared" si="464"/>
        <v/>
      </c>
      <c r="GY228">
        <f t="shared" si="465"/>
        <v>10</v>
      </c>
      <c r="GZ228" t="str">
        <f t="shared" si="466"/>
        <v/>
      </c>
      <c r="HA228" t="str">
        <f>IF(AND(B228="",GT228=""),"",_xlfn.TEXTJOIN("; ",TRUE,IF(AND(B228&lt;&gt;"",FE228=""),"нет фазы",""),IF(AND(B228&lt;&gt;"",N(FY228)=0,EQ228&lt;&gt;"Нет"),"нет мощности",""),IF(AND(GS228&lt;&gt;"",COUNTIFS(Линии[Щит],A228,Линии[Клемма (итог)],GS228)&gt;1),"дубль клеммы "&amp;GS228,""),IF(AND(GV228&lt;&gt;"",GV228&lt;&gt;"ok"),GV228,""),IF(GW228&lt;&gt;"",GW228,""),IF(AND(N(BV228)&gt;=4,N(BR228)=1),BV228&amp;" жил на 1 фазе",""),IF(AND(AX228="R",CA228=1,OR(N(CK228)=0,N(CK228)&gt;30)),"розетка без дифзащиты до 30 мА",""),IFERROR(IF(AND(ISNUMBER(R228),R228&gt;DV228),"потери "&amp;FIXED(R228,1)&amp;" % &gt; "&amp;DV228&amp;" %",""),""),IFERROR(IF(LEFT(GZ228,4)="мало","Iкз мало — отключение &gt; 0,4 с",""),""),IF(AND(B228&lt;&gt;"",BH228=""),"не на схеме",""),IF(AND(CA228=0,B228&lt;&gt;"",FE228&lt;&gt;"",IF(AW228=1,"",FF227)&lt;&gt;"",FE228&lt;&gt;IF(AW228=1,"",FF227)),"фаза не как у автомата группы ("&amp;IF(AW228=1,"",FF227)&amp;")","")))</f>
        <v/>
      </c>
      <c r="HB228" s="6">
        <f>IF(OR(CA228=0,DA228=""),"",_xlfn.LET(_xlpm.t,IFERROR(_xlfn.XLOOKUP(DA228,Каталог!$U$4:$U$500,Каталог!$G$4:$G$500),""),_xlpm.k,SEARCH("кА",_xlpm.t),IFERROR(--TRIM(RIGHT(SUBSTITUTE(MID(_xlpm.t,MAX(1,_xlpm.k-4),_xlpm.k-MAX(1,_xlpm.k-4))," ",REPT(" ",9)),5)),"")))</f>
        <v>6</v>
      </c>
      <c r="HC228" t="str">
        <f>IF(OR(HB228="",CA228=0),"",IF(_xlfn.XLOOKUP(A228,Щиты[Щит],Щиты[Iкз max на шинах, кА],"")="","",IF(HB228&lt;_xlfn.XLOOKUP(A228,Щиты[Щит],Щиты[Iкз max на шинах, кА]),"Icu "&amp;HB228&amp;" кА &lt; Iкз max","ok")))</f>
        <v/>
      </c>
      <c r="HD228" t="str">
        <f t="shared" si="467"/>
        <v/>
      </c>
      <c r="HE228" t="str">
        <f t="shared" si="468"/>
        <v>QFD4|XT4</v>
      </c>
      <c r="HF228" t="str">
        <f t="shared" si="469"/>
        <v>QFD4|XT4|кабель ВВГнг(А)-LS (3х2,5) → Розеточная группа Первый этаж Пом. №002A, 023А</v>
      </c>
      <c r="HG228" t="str" cm="1">
        <f t="array" ref="HG228">IF(HF228="","",_xlfn.LET(_xlpm.nd,_xlfn.TEXTSPLIT(HF228,"|"),IF(COLUMNS(_xlpm.nd)&gt;1,A228&amp;"¦"&amp;INDEX(_xlpm.nd,1)&amp;"¦"&amp;INDEX(_xlpm.nd,2),"")))</f>
        <v>ЩР-1¦QFD4¦XT4</v>
      </c>
      <c r="HH228" t="str">
        <f t="shared" si="470"/>
        <v>R.1.002A.1¦Розеточная группа Первый этаж Пом. №002A, 023А</v>
      </c>
      <c r="HI228" t="str" cm="1">
        <f t="array" ref="HI228">IF(HF228="","",_xlfn.LET(_xlpm.nd,_xlfn.TEXTSPLIT(HF228,"|"),IF(COLUMNS(_xlpm.nd)&gt;2,A228&amp;"¦"&amp;INDEX(_xlpm.nd,2)&amp;"¦"&amp;INDEX(_xlpm.nd,3),"")))</f>
        <v>ЩР-1¦XT4¦кабель ВВГнг(А)-LS (3х2,5) → Розеточная группа Первый этаж Пом. №002A, 023А</v>
      </c>
      <c r="HJ228" t="str">
        <f t="shared" si="471"/>
        <v>R.1.002A.1¦Розеточная группа Первый этаж Пом. №002A, 023А</v>
      </c>
      <c r="HK228" t="str" cm="1">
        <f t="array" ref="HK228">IF(HF228="","",_xlfn.LET(_xlpm.nd,_xlfn.TEXTSPLIT(HF228,"|"),IF(COLUMNS(_xlpm.nd)&gt;3,A228&amp;"¦"&amp;INDEX(_xlpm.nd,3)&amp;"¦"&amp;INDEX(_xlpm.nd,4),"")))</f>
        <v/>
      </c>
      <c r="HL228" t="str">
        <f t="shared" si="472"/>
        <v/>
      </c>
      <c r="HM228" t="str" cm="1">
        <f t="array" ref="HM228">IF(HF228="","",_xlfn.LET(_xlpm.nd,_xlfn.TEXTSPLIT(HF228,"|"),IF(COLUMNS(_xlpm.nd)&gt;4,A228&amp;"¦"&amp;INDEX(_xlpm.nd,4)&amp;"¦"&amp;INDEX(_xlpm.nd,5),"")))</f>
        <v/>
      </c>
      <c r="HN228" t="str">
        <f t="shared" si="473"/>
        <v/>
      </c>
      <c r="HO228" t="str" cm="1">
        <f t="array" ref="HO228">IF(HF228="","",_xlfn.LET(_xlpm.nd,_xlfn.TEXTSPLIT(HF228,"|"),IF(COLUMNS(_xlpm.nd)&gt;5,A228&amp;"¦"&amp;INDEX(_xlpm.nd,5)&amp;"¦"&amp;INDEX(_xlpm.nd,6),"")))</f>
        <v/>
      </c>
      <c r="HP228" t="str">
        <f t="shared" si="474"/>
        <v/>
      </c>
      <c r="HQ228" t="str" cm="1">
        <f t="array" ref="HQ228">IF(HF228="","",_xlfn.LET(_xlpm.nd,_xlfn.TEXTSPLIT(HF228,"|"),IF(COLUMNS(_xlpm.nd)&gt;6,A228&amp;"¦"&amp;INDEX(_xlpm.nd,6)&amp;"¦"&amp;INDEX(_xlpm.nd,7),"")))</f>
        <v/>
      </c>
      <c r="HR228" t="str">
        <f t="shared" si="475"/>
        <v/>
      </c>
      <c r="HS228" t="str">
        <f t="shared" si="476"/>
        <v/>
      </c>
      <c r="HT228" t="str">
        <f t="shared" si="477"/>
        <v>QFD4 → XT4</v>
      </c>
      <c r="HU228">
        <f t="shared" si="478"/>
        <v>0</v>
      </c>
      <c r="HV228">
        <f t="shared" si="479"/>
        <v>1</v>
      </c>
      <c r="HW228" t="str">
        <f t="shared" si="480"/>
        <v/>
      </c>
      <c r="HX228" t="str">
        <f t="shared" si="481"/>
        <v/>
      </c>
      <c r="HY228" t="str">
        <f t="shared" si="482"/>
        <v/>
      </c>
      <c r="HZ228" t="str">
        <f t="shared" si="483"/>
        <v/>
      </c>
      <c r="IA228" t="str">
        <f>IF(B228="","",IFERROR(VLOOKUP(B228,УГО_спр,2,FALSE),IFERROR(VLOOKUP(AX228,УГО_спр,2,FALSE),IFERROR(VLOOKUP(LEFT(AX228,2),УГО_спр,2,FALSE),""))))</f>
        <v>Розетка</v>
      </c>
      <c r="IB228" t="str">
        <f>IF(B228="","",IF(OR(IA228="",IA228=0),"BOX",IFERROR(IF(VLOOKUP(IA228,УГО_блоки,3,FALSE)&amp;""&lt;&gt;"",VLOOKUP(IA228,УГО_блоки,3,FALSE),VLOOKUP(IA228,УГО_блоки,2,FALSE)),IA228)))</f>
        <v>SOCKET</v>
      </c>
      <c r="IC228">
        <f t="shared" si="484"/>
        <v>1</v>
      </c>
      <c r="ID228" t="str">
        <f>IF(DA228="","",IF(COUNTIF(DA$3:DA228,DA228)=1,MAX(ID$2:ID227)+1,""))</f>
        <v/>
      </c>
      <c r="IE228" t="str">
        <f>IF(CO228="","",IF(COUNTIF(CO$3:CO228,CO228)+COUNTIF(CP$2:CP227,CO228)+COUNTIF(CQ$2:CQ227,CO228)=1,MAX(IE$2:IG227)+1,""))</f>
        <v/>
      </c>
      <c r="IF228" t="str">
        <f>IF(CP228="","",IF(COUNTIF(CO$3:CO228,CP228)+COUNTIF(CP$3:CP228,CP228)+COUNTIF(CQ$2:CQ227,CP228)=1,MAX(IE$2:IG227,IE228)+1,""))</f>
        <v/>
      </c>
      <c r="IG228" t="str">
        <f>IF(CQ228="","",IF(COUNTIF(CO$3:CO228,CQ228)+COUNTIF(CP$3:CP228,CQ228)+COUNTIF(CQ$3:CQ228,CQ228)=1,MAX(IE$2:IG227,IE228,IF228)+1,""))</f>
        <v/>
      </c>
      <c r="IH228" t="str">
        <f t="shared" si="485"/>
        <v>3х2,5</v>
      </c>
      <c r="II228" t="str">
        <f>IF(IH228="","",IF(COUNTIF(IH$3:IH228,IH228)=1,MAX(II$2:II227)+1,""))</f>
        <v/>
      </c>
      <c r="IJ228" t="str">
        <f>IF(GL228="","",COUNTIF(GL$3:GL228,"?*"))</f>
        <v/>
      </c>
      <c r="IK228" t="str">
        <f>IF(OR(GL228="",GN228=""),"",IF(COUNTIFS(GL$3:GL228,"?*",GN$3:GN228,GN228)=1,MAX(IK$2:IK227)+1,""))</f>
        <v/>
      </c>
      <c r="IL228">
        <f t="shared" si="486"/>
        <v>0</v>
      </c>
      <c r="IM228">
        <f>IF(B228="","",COUNTIF(B$3:B228,"?*"))</f>
        <v>226</v>
      </c>
      <c r="IN228">
        <f>IF(GQ228&lt;&gt;1,0,_xlfn.LET(_xlpm.k,MAX(IFERROR(--VLOOKUP(B228,УГО_спр,5,FALSE),0),IFERROR(--VLOOKUP(AX228,УГО_спр,5,FALSE),0),IFERROR(--VLOOKUP(LEFT(AX228,2),УГО_спр,5,FALSE),0)),IF(_xlpm.k&gt;0,_xlpm.k,IF(IFERROR(--LEFT(SUBSTITUTE(IH228,"x","х"),FIND("х",SUBSTITUTE(IH228,"x","х"))-1),3)&gt;3,Каталог!$S$9,1))))</f>
        <v>1</v>
      </c>
      <c r="IO228">
        <f t="shared" si="487"/>
        <v>0</v>
      </c>
      <c r="IP228" t="str">
        <f t="shared" si="488"/>
        <v>авто</v>
      </c>
      <c r="IQ228">
        <f t="shared" si="489"/>
        <v>30</v>
      </c>
      <c r="IR228">
        <f t="shared" si="490"/>
        <v>1</v>
      </c>
      <c r="IS228">
        <f t="shared" si="491"/>
        <v>1</v>
      </c>
    </row>
    <row r="229" spans="1:253" x14ac:dyDescent="0.3">
      <c r="A229" t="s">
        <v>759</v>
      </c>
      <c r="B229" t="s">
        <v>1494</v>
      </c>
      <c r="C229" t="str">
        <f>Линии[[#This Row],[_авто наименование]]</f>
        <v>Розеточная группа, пом. 002Aб</v>
      </c>
      <c r="D229">
        <v>3</v>
      </c>
      <c r="E229">
        <v>0.18</v>
      </c>
      <c r="G229" t="str">
        <f>Линии[[#This Row],[_авто автомат]]</f>
        <v>2P С16А 30мА</v>
      </c>
      <c r="H229">
        <f>Линии[[#This Row],[_авто утечка]]</f>
        <v>30</v>
      </c>
      <c r="I229" t="str">
        <f>Линии[[#This Row],[_авто управление]]</f>
        <v/>
      </c>
      <c r="J229" t="str">
        <f>Линии[[#This Row],[_авто аппараты]]</f>
        <v/>
      </c>
      <c r="K229">
        <v>2.5</v>
      </c>
      <c r="L229">
        <v>65</v>
      </c>
      <c r="M229" t="str">
        <f>Линии[[#This Row],[_авто фаза]]</f>
        <v>L1</v>
      </c>
      <c r="N229" t="str">
        <f>Линии[[#This Row],[_авто клемма]]</f>
        <v>XT5</v>
      </c>
      <c r="O229" t="str">
        <f t="shared" si="369"/>
        <v/>
      </c>
      <c r="P229" s="6" cm="1">
        <f t="array" ref="P229">IF(B229="","",IF(BC229&lt;&gt;"",IFERROR(_xlfn.XLOOKUP(BC229,Щиты[Щит],Щиты[Iр, А]),""),IF(BK229=1,IFERROR(_xlfn.XLOOKUP(A229,Щиты[Щит],Щиты[Iр, А]),""),IFERROR(_xlfn.IFS(BR229=1,BN229/((Uн_лин/SQRT(3))*BY229),BR229=3,BN229/(SQRT(3)*Uн_лин*BY229)),""))))</f>
        <v>0.8204451193747313</v>
      </c>
      <c r="Q229" s="7">
        <f>IF(B229="","",IFERROR(IF(VLOOKUP(AX229,Потребители_обозначение,4,FALSE)=1,VLOOKUP(AX229,Потребители_обозначение,3,FALSE)*(D229*2-1)+DS229+VLOOKUP(AZ229,Этаж_обозначение,3,FALSE)+VLOOKUP(AZ229,Этаж_обозначение,4,FALSE),VLOOKUP(AX229,Потребители_обозначение,3,FALSE)*(D229*2-1)+DS229),DS229))</f>
        <v>80</v>
      </c>
      <c r="R229" s="6">
        <f t="shared" si="370"/>
        <v>1.68</v>
      </c>
      <c r="S229" t="str">
        <f t="shared" si="371"/>
        <v>ВВГнг(А)-LS (3х2,5)</v>
      </c>
      <c r="T229" t="str">
        <f>IF(BH229="","",IF(BI229="вводной узел","узел ","")&amp;"л."&amp;(INT((BH229-1)/Столбцов_на_лист)+1)&amp;" / "&amp;(MOD(BH229-1,Столбцов_на_лист)+1))</f>
        <v>л.2 / 5</v>
      </c>
      <c r="V229">
        <v>1</v>
      </c>
      <c r="W229">
        <v>230</v>
      </c>
      <c r="X229" t="s">
        <v>564</v>
      </c>
      <c r="AC229" t="s">
        <v>815</v>
      </c>
      <c r="AE229" t="s">
        <v>563</v>
      </c>
      <c r="AI229">
        <v>22</v>
      </c>
      <c r="AJ229" t="s">
        <v>11</v>
      </c>
      <c r="AK229">
        <v>3</v>
      </c>
      <c r="AM229">
        <v>28</v>
      </c>
      <c r="AN229">
        <v>52</v>
      </c>
      <c r="AO229">
        <v>0</v>
      </c>
      <c r="AW229" cm="1">
        <f t="array" ref="AW229">ROW()-ROW(Линии[#Headers])</f>
        <v>227</v>
      </c>
      <c r="AX229" s="6" t="str">
        <f t="shared" si="372"/>
        <v>R</v>
      </c>
      <c r="AY229" t="str">
        <f t="shared" si="373"/>
        <v>1.002Aб.1</v>
      </c>
      <c r="AZ229" t="str">
        <f t="shared" si="374"/>
        <v>1</v>
      </c>
      <c r="BA229" t="str">
        <f t="shared" si="375"/>
        <v>002Aб.1</v>
      </c>
      <c r="BB229" t="str">
        <f t="shared" si="376"/>
        <v>002Aб</v>
      </c>
      <c r="BC229" t="str">
        <f>IF(U229&lt;&gt;"",U229,IF(AND(B229&lt;&gt;"",B229&lt;&gt;A229,ISNUMBER(_xlfn.XMATCH(B229,Щиты[Щит]))),B229,""))</f>
        <v/>
      </c>
      <c r="BD229" t="str" cm="1">
        <f t="array" ref="BD229">IF(B229="","",IF(BC229&lt;&gt;"","Щит "&amp;BC229,_xlfn.LET(_xlpm.nm,IFERROR(_xlfn.XLOOKUP(AX229,Коды_код,Коды_имя)&amp;"",""),_xlpm.md,IFERROR(N(_xlfn.XLOOKUP(AX229,Коды_код,Коды_режим)),1),_xlpm.ex,IF(Имя_режим="по экспликации",IFERROR(_xlfn.XLOOKUP(AZ229&amp;"|"&amp;BB229,Экспликация[Этаж]&amp;"|"&amp;Экспликация[Помещение],Экспликация[Название])&amp;"",""),""),_xlpm.rm,IF(BB229="","",IF(_xlpm.ex&lt;&gt;"",". "&amp;_xlpm.ex&amp;IF(Имя_пом="нет"," ("&amp;BB229&amp;")"," (пом. "&amp;BB229&amp;")"),IF(Имя_пом="нет"," ",", пом. ")&amp;BB229)),IF(_xlpm.nm="","",IF(_xlpm.md=2,_xlpm.nm&amp;" шлейф "&amp;AZ229,_xlpm.nm&amp;_xlpm.rm)))))</f>
        <v>Розеточная группа, пом. 002Aб</v>
      </c>
      <c r="BE229" t="str">
        <f t="shared" si="377"/>
        <v>Розеточная группа, пом. 002Aб</v>
      </c>
      <c r="BF229">
        <f>IFERROR(_xlfn.XMATCH(A229,Щиты[Щит]),0)</f>
        <v>10</v>
      </c>
      <c r="BG229">
        <f>_xlfn.LET(_xlpm.k,IFERROR(_xlfn.XLOOKUP(A229,Щиты[Щит],Щиты[Листов под вводной узел]),""),IF(_xlpm.k="",1,N(_xlpm.k))*Столбцов_на_лист)</f>
        <v>17</v>
      </c>
      <c r="BH229">
        <f t="shared" si="378"/>
        <v>22</v>
      </c>
      <c r="BI229" t="str">
        <f t="shared" si="379"/>
        <v>линии</v>
      </c>
      <c r="BJ229" s="6">
        <f>IFERROR(N(_xlfn.XLOOKUP(AX229,Коды_код,Коды_квт)),0)</f>
        <v>0</v>
      </c>
      <c r="BK229">
        <f t="shared" si="380"/>
        <v>0</v>
      </c>
      <c r="BL229" t="str">
        <f>IF(B229="","",IF(BC229&lt;&gt;"",IFERROR(_xlfn.XLOOKUP(BC229,Щиты[Щит],Щиты[Руст, кВт]),0),IF(BK229=1,IFERROR(_xlfn.XLOOKUP(A229,Щиты[Щит],Щиты[Руст, кВт]),0),IF(BJ229&gt;0,ROUND(BJ229*MAX(1,N(D229)),3),""))))</f>
        <v/>
      </c>
      <c r="BM229">
        <f t="shared" si="381"/>
        <v>0.18</v>
      </c>
      <c r="BN229" s="6">
        <f>IF(B229="","",IF(BC229&lt;&gt;"",IFERROR(_xlfn.XLOOKUP(BC229,Щиты[Щит],Щиты[Руст, кВт]),0),N(BM229)))</f>
        <v>0.18</v>
      </c>
      <c r="BO229" t="str">
        <f>IF(B229="","",IFERROR(IF(VLOOKUP(AX229,Потребители_обозначение,8,FALSE)=0,"",VLOOKUP(AX229,Потребители_обозначение,8,FALSE)),""))</f>
        <v/>
      </c>
      <c r="BP229">
        <f t="shared" si="382"/>
        <v>230</v>
      </c>
      <c r="BQ229">
        <f>IF(B229="","",IF(BC229&lt;&gt;"",3,IFERROR(IF(N(VLOOKUP(AX229,Потребители_обозначение,9,FALSE))=0,1,VLOOKUP(AX229,Потребители_обозначение,9,FALSE)),1)))</f>
        <v>1</v>
      </c>
      <c r="BR229">
        <f t="shared" si="383"/>
        <v>1</v>
      </c>
      <c r="BS229" t="str">
        <f>IF(B229="","",_xlfn.LET(_xlpm.bc,IFERROR(IF(VLOOKUP(AX229,Потребители_обозначение,6,FALSE)=0,"",VLOOKUP(AX229,Потребители_обозначение,6,FALSE)&amp;""),""),IF(AND(FK229="да",OR(_xlpm.bc="",_xlpm.bc="мс")),Марка_пож,IF(AND(_xlpm.bc="",BC229&lt;&gt;""),"мс",_xlpm.bc))))</f>
        <v/>
      </c>
      <c r="BT229" t="str">
        <f t="shared" si="384"/>
        <v>мс</v>
      </c>
      <c r="BU229">
        <f>IF(B229="","",_xlfn.LET(_xlpm.cc,IFERROR(N(VLOOKUP(AX229,Потребители_обозначение,7,FALSE)),0),IF(_xlpm.cc&gt;0,_xlpm.cc,IF(BT229="","",IF(N(BR229)=3,5,3)))))</f>
        <v>3</v>
      </c>
      <c r="BV229">
        <f t="shared" si="385"/>
        <v>3</v>
      </c>
      <c r="BW229">
        <f>IFERROR(N(VLOOKUP(AX229,Потребители_обозначение,10,FALSE)),0)</f>
        <v>0</v>
      </c>
      <c r="BX229">
        <f>IFERROR(VLOOKUP(AX229,Потребители_обозначение,5,FALSE),0)</f>
        <v>1</v>
      </c>
      <c r="BY229" s="6" cm="1">
        <f t="array" ref="BY229">IF(B229="","",IF(BC229&lt;&gt;"",IFERROR(_xlfn.XLOOKUP(BC229,Щиты[Щит],Щиты[cos φ]),0.95),IF(BK229=1,IFERROR(_xlfn.XLOOKUP(A229,Щиты[Щит],Щиты[cos φ]),0.95),IF(ISNUMBER(Z229),Z229,IFERROR(IF(BX229=2,_xlfn.IFS(BR229=3,VLOOKUP(BN229,Справочная_двигатели,8,FALSE),BR229=1,VLOOKUP(BN229,Справочная_двигатели,10,TRUE)),IF(AND(Методика="нормы 2026",EQ229="Сил"),0.8,0.95)),0.95)))))</f>
        <v>0.95</v>
      </c>
      <c r="BZ229">
        <f t="shared" si="386"/>
        <v>0</v>
      </c>
      <c r="CA229">
        <f t="shared" si="387"/>
        <v>1</v>
      </c>
      <c r="CB229">
        <f t="shared" si="388"/>
        <v>0</v>
      </c>
      <c r="CC229">
        <f t="shared" si="389"/>
        <v>0</v>
      </c>
      <c r="CD229">
        <f t="shared" si="390"/>
        <v>0</v>
      </c>
      <c r="CE229">
        <f t="shared" si="391"/>
        <v>0</v>
      </c>
      <c r="CF229">
        <f t="shared" si="392"/>
        <v>0</v>
      </c>
      <c r="CG229">
        <f>IF(AX229="",0,_xlfn.LET(_xlpm.v,IFERROR(VLOOKUP(B229,УГО_спр,3,FALSE),IFERROR(VLOOKUP(AX229,УГО_спр,3,FALSE),IFERROR(VLOOKUP(LEFT(AX229,2),УГО_спр,3,FALSE),""))),IF(_xlpm.v="да",30,IF(ISNUMBER(_xlpm.v),_xlpm.v,0))))</f>
        <v>30</v>
      </c>
      <c r="CH229">
        <f t="shared" si="393"/>
        <v>30</v>
      </c>
      <c r="CI229" t="str">
        <f>_xlfn.LET(_xlpm.k,IFERROR(_xlfn.XLOOKUP(AX229,Коды_код,Коды_утечка)&amp;"",""),IF(_xlpm.k="","дифавтомат",_xlpm.k))</f>
        <v>дифавтомат</v>
      </c>
      <c r="CJ229">
        <f t="shared" si="394"/>
        <v>30</v>
      </c>
      <c r="CK229">
        <f t="shared" si="395"/>
        <v>30</v>
      </c>
      <c r="CL229">
        <f>IF(B229="",0,IFERROR(--VLOOKUP(B229,УГО_спр,4,FALSE),IFERROR(--VLOOKUP(AX229,УГО_спр,4,FALSE),IFERROR(--VLOOKUP(LEFT(AX229,2),УГО_спр,4,FALSE),0))))</f>
        <v>16</v>
      </c>
      <c r="CM229" t="str">
        <f>IF(B229="","",IFERROR(_xlfn.XLOOKUP(AX229,Коды_код,Коды_апп)&amp;"",""))</f>
        <v/>
      </c>
      <c r="CN229" t="str">
        <f t="shared" si="396"/>
        <v/>
      </c>
      <c r="CO229" t="str" cm="1">
        <f t="array" ref="CO229">IF(TRIM(CN229&amp;"")="","",IFERROR(TRIM(INDEX(_xlfn.TEXTSPLIT(CN229&amp;";;;",";"),1)),""))</f>
        <v/>
      </c>
      <c r="CP229" t="str" cm="1">
        <f t="array" ref="CP229">IF(TRIM(CN229&amp;"")="","",IFERROR(TRIM(INDEX(_xlfn.TEXTSPLIT(CN229&amp;";;;",";"),2)),""))</f>
        <v/>
      </c>
      <c r="CQ229" t="str" cm="1">
        <f t="array" ref="CQ229">IF(TRIM(CN229&amp;"")="","",IFERROR(TRIM(INDEX(_xlfn.TEXTSPLIT(CN229&amp;";;;",";"),3)),""))</f>
        <v/>
      </c>
      <c r="CR229">
        <f t="shared" si="397"/>
        <v>0</v>
      </c>
      <c r="CS229" t="str">
        <f>IF(B229="","",_xlfn.LET(_xlpm.t,LOWER(AV229&amp;""),IF(ISNUMBER(SEARCH("dim",_xlpm.t)),"DIM",IF(ISNUMBER(SEARCH("dali",_xlpm.t)),"DALI",IF(OR(ISNUMBER(SEARCH("relay",_xlpm.t)),ISNUMBER(SEARCH("реле",_xlpm.t))),"Relay",IF(ISNUMBER(SEARCH("кнопк",_xlpm.t)),"",IFERROR(_xlfn.XLOOKUP(AX229,Коды_код,Коды_упр)&amp;"","")))))))</f>
        <v/>
      </c>
      <c r="CT229" t="str">
        <f t="shared" si="398"/>
        <v/>
      </c>
      <c r="CU229">
        <f>IF(B229="","",_xlfn.LET(_xlpm.ig,N(P229)+IF(AF229="вручную",0,N(CB229)),_xlpm.n0,IFERROR(VLOOKUP(_xlpm.ig,Автомат_номиналы,2,TRUE),0),_xlpm.mn,MAX(CL229,IF(AF229="вручную",0,N(CE229))),MAX(_xlpm.n0,_xlpm.mn,IF(CR229=1,Мин_автомат_БП,0))))</f>
        <v>16</v>
      </c>
      <c r="CV229">
        <f t="shared" si="399"/>
        <v>1</v>
      </c>
      <c r="CW229" t="str">
        <f t="shared" si="400"/>
        <v>2P</v>
      </c>
      <c r="CX229" t="str">
        <f>_xlfn.LET(_xlpm.cc,UPPER(TRIM(IFERROR(_xlfn.XLOOKUP(AX229,Коды_код,Коды_хар)&amp;"",""))),IF(OR(_xlpm.cc="B",_xlpm.cc="В"),"B",IF(_xlpm.cc="D","D","С")))</f>
        <v>С</v>
      </c>
      <c r="CY229" t="str">
        <f t="shared" si="401"/>
        <v>2P С16А 30мА</v>
      </c>
      <c r="CZ229" t="str">
        <f t="shared" si="402"/>
        <v>2P С16А 30мА</v>
      </c>
      <c r="DA229" t="str">
        <f t="shared" si="403"/>
        <v>2P С16А 30мА</v>
      </c>
      <c r="DB229" cm="1">
        <f t="array" ref="DB229">IF(DA229="","",_xlfn.LET(_xlpm.t,SUBSTITUTE(SUBSTITUTE(SUBSTITUTE(UPPER(DA229),"С","C"),"А","A"),"В","B"),_xlpm.tk,_xlfn.TEXTSPLIT(_xlpm.t,"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9" t="str">
        <f t="shared" si="404"/>
        <v>ok</v>
      </c>
      <c r="DD229">
        <f t="shared" si="405"/>
        <v>16</v>
      </c>
      <c r="DE229" t="str">
        <f t="shared" si="406"/>
        <v>2P С16А 30мА</v>
      </c>
      <c r="DF229">
        <f t="shared" si="407"/>
        <v>30</v>
      </c>
      <c r="DG229">
        <f t="shared" si="408"/>
        <v>1</v>
      </c>
      <c r="DH229">
        <f t="shared" si="409"/>
        <v>0</v>
      </c>
      <c r="DI229">
        <f t="shared" si="410"/>
        <v>0.8204451193747313</v>
      </c>
      <c r="DJ229">
        <f t="shared" si="411"/>
        <v>1</v>
      </c>
      <c r="DK229">
        <f>IF(ISNUMBER(AL229),AL229,К_прокл)</f>
        <v>1</v>
      </c>
      <c r="DL229">
        <f t="shared" si="412"/>
        <v>2</v>
      </c>
      <c r="DM229">
        <f>IFERROR(N(VLOOKUP(BT229,Кабель_обозначение,3,FALSE)),1)</f>
        <v>1</v>
      </c>
      <c r="DN229">
        <f>IFERROR(N(_xlfn.XLOOKUP(A229,Щиты[Щит],Щиты[ΔU до шин, %])),0)</f>
        <v>1.19</v>
      </c>
      <c r="DO229" t="str">
        <f>IFERROR(_xlfn.XLOOKUP(A229,Щиты[Щит],Щиты[Zпетли на шинах, Ом]),"")</f>
        <v/>
      </c>
      <c r="DP229">
        <f>IFERROR(N(_xlfn.XLOOKUP(A229,Щиты[Щит],Щиты[ΔU до шин (подбор), %])),0)</f>
        <v>1.19</v>
      </c>
      <c r="DQ229" t="str">
        <f>IFERROR(_xlfn.XLOOKUP(A229,Щиты[Щит],Щиты[Zпетли на шинах (подбор), Ом]),"")</f>
        <v/>
      </c>
      <c r="DR229" t="str">
        <f t="shared" si="413"/>
        <v/>
      </c>
      <c r="DS229">
        <f t="shared" si="414"/>
        <v>65</v>
      </c>
      <c r="DT229">
        <f t="shared" si="415"/>
        <v>2</v>
      </c>
      <c r="DU229">
        <f t="shared" si="416"/>
        <v>0.31</v>
      </c>
      <c r="DV229" s="6">
        <f>IF(B229="","",IF(IFERROR(VLOOKUP(AX229,УГО_спр,2,FALSE),"")="Светильник",3,4)+IF(Методика="нормы 2026",MIN(0.5,MAX(0,N(Q229)-100)*0.005),0))</f>
        <v>4</v>
      </c>
      <c r="DW229" cm="1">
        <f t="array" ref="DW229">IF(OR(B229="",BT229="",DM229&lt;&gt;1),"",_xlfn.LET(_xlpm.sz,Iдоп_S,_xlpm.t_,CHOOSE(DL229,Iдоп_1ж,Iдоп_2ж,Iдоп_3ж)*DJ229*DK229,_xlpm.inn,N(DD229),_xlpm.smin,MAX(1.5,BW229),_xlpm.L_,N(Q229)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229)*(_xlpm.rho*_xlpm.L_/_xlpm.sz*N(BY229)+_xlpm.xx*_xlpm.L_*N(DU229)/1000)*N(P229)/((Uн_лин/SQRT(3))*1000)*100,999),_xlpm.kz,IF(OR(DG229=1,NOT(ISNUMBER(DQ229)),_xlpm.L_=0,_xlpm.inn=0),1,IFERROR(--(c_min*(Uн_лин*1000/SQRT(3))/(DQ229+2*ρкз_Cu*_xlpm.L_/_xlpm.sz)&gt;=GY229*_xlpm.inn),0)),_xlpm.ok,IFERROR((_xlpm.sz&gt;=_xlpm.smin)*(_xlpm.t_&gt;=_xlpm.inn)*IF(_xlpm.L_&gt;0,(_xlpm.du_+DP229&lt;=DV229+0.00001),1)*_xlpm.kz,0),_xlpm.r_,_xlfn._xlws.FILTER(_xlpm.sz,_xlpm.ok,"не подобрано"),INDEX(_xlpm.r_,1)))</f>
        <v>1.5</v>
      </c>
      <c r="DX229">
        <f t="shared" si="417"/>
        <v>2.5</v>
      </c>
      <c r="DY229" cm="1">
        <f t="array" ref="DY229">IF(OR(B229="",BT229="",DM229&lt;&gt;1),"",_xlfn.LET(_xlpm.sz,Iдоп_S,_xlpm.t_,CHOOSE(DL229,Iдоп_1ж,Iдоп_2ж,Iдоп_3ж)*DJ229*DK229,_xlpm.ok,IFERROR((_xlpm.sz&gt;=MAX(1.5,BW229))*(_xlpm.t_&gt;=N(DD229)),0),_xlpm.r_,_xlfn._xlws.FILTER(_xlpm.sz,_xlpm.ok,""),INDEX(_xlpm.r_,1)))</f>
        <v>1.5</v>
      </c>
      <c r="DZ229" s="6" cm="1">
        <f t="array" ref="DZ229">IFERROR(ROUNDUP(N(DT229)*(_xlfn.XLOOKUP(DY229,INDEX(Кабель_сопротивление,0,1),INDEX(Кабель_сопротивление,0,3))*N(Q229)/DY229*N(BY229)+_xlfn.XLOOKUP(DY229,INDEX(Кабель_сопротивление,0,1),INDEX(Кабель_сопротивление,0,2))*N(Q229)*N(DU229)/1000)*N(P229)/((Uн_лин/SQRT(3))*1000)*100,2),"")</f>
        <v>0.82000000000000006</v>
      </c>
      <c r="EA229">
        <f>IFERROR(2*ρкз_Cu*N(Q229)/DY229,"")</f>
        <v>2.8053333333333335</v>
      </c>
      <c r="EB229">
        <f>IFERROR(VLOOKUP(DX229,Кабель_сопротивление,3,FALSE),"")</f>
        <v>2.2499999999999999E-2</v>
      </c>
      <c r="EC229">
        <f>IFERROR(VLOOKUP(DX229,Кабель_сопротивление,2,FALSE),"")</f>
        <v>0.1</v>
      </c>
      <c r="ED229">
        <f t="shared" si="418"/>
        <v>52</v>
      </c>
      <c r="EE229">
        <f t="shared" si="419"/>
        <v>0</v>
      </c>
      <c r="EF229">
        <f t="shared" si="420"/>
        <v>1.126438331096731</v>
      </c>
      <c r="EG229" s="6">
        <f>IFERROR(ROUNDUP(EF229/((Uн_лин/SQRT(3))*1000)*100,2),"")</f>
        <v>0.49</v>
      </c>
      <c r="EH229" t="str">
        <f>IFERROR(VLOOKUP(BT229,Кабель_обозначение,2,FALSE),"")</f>
        <v>ВВГнг(А)-LS</v>
      </c>
      <c r="EI229" t="str">
        <f t="shared" si="421"/>
        <v>ВВГнг(А)-LS (3х2,5)</v>
      </c>
      <c r="EJ229" t="str">
        <f t="shared" si="422"/>
        <v>ВВГнг(А)-LS (3х2,5)
L=80-0,49%</v>
      </c>
      <c r="EK229">
        <f>IFERROR(2*ρкз_Cu*Q229/DX229,"")</f>
        <v>1.6832</v>
      </c>
      <c r="EL229">
        <f t="shared" si="423"/>
        <v>0.56000000000000005</v>
      </c>
      <c r="EM229" s="6" t="str">
        <f>IFERROR(IF(OR(B229="",NOT(ISNUMBER(DX229)),N(Q229)=0),"",_xlfn.XLOOKUP(A229,Щиты[Щит],Щиты[Zпетли на шинах, Ом])+EK229),"")</f>
        <v/>
      </c>
      <c r="EN229" s="6" t="str">
        <f>IF(ISNUMBER(EM229),c_min*(Uн_лин*1000/SQRT(3))/EM229,"")</f>
        <v/>
      </c>
      <c r="EO229" s="6" t="str">
        <f>IFERROR(IF(OR(B229="",NOT(ISNUMBER(DX229))),"",1.05*(Uн_лин*1000/SQRT(3))/(_xlfn.XLOOKUP(A229,Щиты[Щит],Щиты[Zmax на шинах, Ом])+EL229)/1000),"")</f>
        <v/>
      </c>
      <c r="EP229" s="6" t="str">
        <f>IF(B229="","",IF(ISNUMBER(Y229),"Сил",IF(IFERROR(_xlfn.XLOOKUP(AX229,Коды_код,Коды_группа)&amp;"","")="","Быт",_xlfn.XLOOKUP(AX229,Коды_код,Коды_группа)&amp;"")))</f>
        <v>Быт</v>
      </c>
      <c r="EQ229" s="6" t="str">
        <f t="shared" si="424"/>
        <v>Быт</v>
      </c>
      <c r="ER229" s="6">
        <f>IF(EQ229="Щит","щит",IF(EQ229="","",IF(EQ229="Быт",IFERROR(_xlfn.XLOOKUP(A229,Щиты[Щит],Щиты[Кс быт]),1),IF(EQ229="Сил",IF(ISNUMBER(Y229),Y229,IF(Методика="нормы 2026",IFERROR(_xlfn.XLOOKUP(A229,Щиты[Щит],Щиты[Кс силовых (табл. 7.5)]),1),1)),IF(OR(EQ229="Пост",EQ229="Отоп"),1,IF(EQ229="ВНГ",0.7,0))))))</f>
        <v>0.57830000000000004</v>
      </c>
      <c r="ES229">
        <f t="shared" si="425"/>
        <v>1</v>
      </c>
      <c r="ET229">
        <f t="shared" si="426"/>
        <v>0.18</v>
      </c>
      <c r="EU229">
        <f t="shared" si="427"/>
        <v>0.18</v>
      </c>
      <c r="EV229">
        <f t="shared" si="428"/>
        <v>0</v>
      </c>
      <c r="EW229">
        <f t="shared" si="429"/>
        <v>0</v>
      </c>
      <c r="EX229">
        <f t="shared" si="430"/>
        <v>0</v>
      </c>
      <c r="EY229">
        <f t="shared" si="431"/>
        <v>0</v>
      </c>
      <c r="EZ229">
        <f t="shared" si="432"/>
        <v>0.18</v>
      </c>
      <c r="FA229">
        <f t="shared" si="433"/>
        <v>0.17099999999999999</v>
      </c>
      <c r="FB229">
        <f t="shared" si="434"/>
        <v>0.18</v>
      </c>
      <c r="FC229" t="str">
        <f t="shared" si="435"/>
        <v/>
      </c>
      <c r="FD229" t="str">
        <f>IF(B229="","",IF(CA229=0,IF(AW229=1,"",FF228),IF(OR(N(CV229)&gt;=3,N(BR229)&gt;=3),"L1,L2,L3",IFERROR(_xlfn.TEXTBEFORE(_xlfn.TEXTAFTER(_xlfn.XLOOKUP(A229,Щиты[Щит],Щиты[_фазы авто]),";"&amp;AW229&amp;":"),";"),"L1"))))</f>
        <v>L1</v>
      </c>
      <c r="FE229" t="str">
        <f t="shared" si="436"/>
        <v>L1</v>
      </c>
      <c r="FF229" t="str">
        <f t="shared" si="437"/>
        <v>L1</v>
      </c>
      <c r="FG229" cm="1">
        <f t="array" ref="FG229">IFERROR(IF(BX229=2,_xlfn.IFS(BR229=3,VLOOKUP(BN229,Справочная_двигатели,3,FALSE),BR229=1,VLOOKUP(BN229,Справочная_двигатели,5,TRUE)),0),0)</f>
        <v>0</v>
      </c>
      <c r="FH229">
        <f>IFERROR(IF(BX229=3,VLOOKUP(BN229,Справочная_ЛЭД,2,TRUE),0),0)</f>
        <v>0</v>
      </c>
      <c r="FI229" s="6">
        <f t="shared" si="438"/>
        <v>0</v>
      </c>
      <c r="FJ229" t="str" cm="1">
        <f t="array" ref="FJ229">IF(B229="","",IFERROR(INDEX({"I особая","I","II","III"},MATCH(TRIM(AC229&amp;""),{"I особая","I","II","III"},0)),"III"))</f>
        <v>II</v>
      </c>
      <c r="FK229" t="str">
        <f>IF(B229="","",IF(TRIM(AD229&amp;"")&lt;&gt;"",IF(LOWER(TRIM(AD229&amp;""))="да","да","нет"),IF(IFERROR(_xlfn.XLOOKUP(AX229,Коды_код,Коды_пожарная),"")="да","да","нет")))</f>
        <v>нет</v>
      </c>
      <c r="FL229" t="str">
        <f t="shared" si="439"/>
        <v/>
      </c>
      <c r="FM229" t="str">
        <f t="shared" si="440"/>
        <v>основная</v>
      </c>
      <c r="FN229">
        <f t="shared" si="441"/>
        <v>1</v>
      </c>
      <c r="FO229" t="str" cm="1">
        <f t="array" ref="FO229">IF(B229="","",_xlfn.LET(_xlpm.t,IFERROR(_xlfn.XLOOKUP(1,(Шины[Шина]=FM229)*(((Шины[Щит]=A229)+(Шины[Щит]=""))&gt;0),Шины[Тип]),"")&amp;"",IF(_xlpm.t&lt;&gt;"",_xlpm.t,IF(ISNUMBER(SEARCH("ИБП",FM229)),"ИБП",IF(ISNUMBER(SEARCH("ДГУ",FM229)),"ДГУ","Ввод "&amp;FN229)))))</f>
        <v>Ввод 1</v>
      </c>
      <c r="FP229" t="str">
        <f t="shared" si="442"/>
        <v>Ввод 1</v>
      </c>
      <c r="FQ229" t="str">
        <f>IF(B229="","",IF(OR(FO229="ИБП",FO229="ДГУ"),"I особая",IF(FO229="Одиночная","III",_xlfn.XLOOKUP(A229,Щиты[Щит],Щиты[Категория шины «Ввод»],"III"))))</f>
        <v>II</v>
      </c>
      <c r="FR229">
        <f>IF(B229="",0,IFERROR(MATCH(FJ229,{"III","II","I","I особая"},0),1))</f>
        <v>2</v>
      </c>
      <c r="FS229">
        <f t="shared" si="443"/>
        <v>2</v>
      </c>
      <c r="FT229" t="str">
        <f>IF(B229="","",IF(FR229&gt;IFERROR(MATCH(FQ229,{"III","II","I","I особая"},0),1),"НЕ ОБЕСПЕЧЕНА","ОК"))</f>
        <v>ОК</v>
      </c>
      <c r="FU229" t="str">
        <f>IF(A229="","",_xlfn.XLOOKUP(A229,Щиты[Щит],Щиты[Путь],""))</f>
        <v>|ГРЩ-ЖД|ЩР-1|</v>
      </c>
      <c r="FV229" t="str">
        <f>IF(B229="","",IF(AE229&lt;&gt;"",AE229,IF(IFERROR(_xlfn.XLOOKUP(AX229,Коды_код,Коды_вид)&amp;"","")="","Прочее",_xlfn.XLOOKUP(AX229,Коды_код,Коды_вид)&amp;"")))</f>
        <v>Розеточная сеть и бытовые приборы</v>
      </c>
      <c r="FW229">
        <f>IF(BH229="","",INT((BH229-1)/Столбцов_на_лист)+1)</f>
        <v>2</v>
      </c>
      <c r="FX229" t="str">
        <f t="shared" si="444"/>
        <v>ВВГнг(А)-LS (3х2,5) L=80-0,49%</v>
      </c>
      <c r="FY229">
        <f t="shared" si="445"/>
        <v>0.18</v>
      </c>
      <c r="FZ229">
        <f t="shared" si="446"/>
        <v>0.83</v>
      </c>
      <c r="GA229">
        <f t="shared" si="447"/>
        <v>1</v>
      </c>
      <c r="GB229">
        <f t="shared" si="448"/>
        <v>0</v>
      </c>
      <c r="GC229">
        <f t="shared" si="449"/>
        <v>1</v>
      </c>
      <c r="GD229">
        <f>IF(BH229="","",IF(AND(CA229=1,GC229=1),COUNTIFS(A$3:A229,A229,CA$3:CA229,1,GC$3:GC229,1),IF(OR(OR(AW229=1,A229&lt;&gt;A228),AF229="вручную",GC229=0),"",IF(AW229=1,"",GE228))))</f>
        <v>5</v>
      </c>
      <c r="GE229">
        <f t="shared" si="450"/>
        <v>5</v>
      </c>
      <c r="GF229">
        <f>IF(B229="","",IFERROR(LOOKUP(INDEX(CHOOSE(DL229,Iдоп_1ж,Iдоп_2ж,Iдоп_3ж),MATCH(DX229,Iдоп_S,0))*DJ229*DK229,{6,10,16,20,25,32,40,50,63,80,100,125,160,200,250,315,400,500,630}),""))</f>
        <v>25</v>
      </c>
      <c r="GG229" t="str">
        <f t="shared" si="451"/>
        <v>QFD5</v>
      </c>
      <c r="GH229" t="str">
        <f t="shared" si="452"/>
        <v>QFD5</v>
      </c>
      <c r="GI229" t="str">
        <f t="shared" si="453"/>
        <v/>
      </c>
      <c r="GJ229">
        <f t="shared" si="454"/>
        <v>0</v>
      </c>
      <c r="GK229" t="str">
        <f>IF(OR(AG229="",AG229="-"),"",IFERROR(VLOOKUP(AG229,Модули_спр,2,FALSE),"R"))</f>
        <v/>
      </c>
      <c r="GL229" t="str">
        <f>IF(GK229="","",GK229&amp;"."&amp;COUNTIFS(A$3:A229,A229,GK$3:GK229,GK229))</f>
        <v/>
      </c>
      <c r="GM229" t="str">
        <f t="shared" si="455"/>
        <v/>
      </c>
      <c r="GN229" t="str">
        <f t="shared" si="456"/>
        <v/>
      </c>
      <c r="GO229" t="str">
        <f t="shared" si="457"/>
        <v/>
      </c>
      <c r="GP229" t="str">
        <f t="shared" si="458"/>
        <v/>
      </c>
      <c r="GQ229">
        <f t="shared" si="459"/>
        <v>1</v>
      </c>
      <c r="GR229" t="str">
        <f>IF(GQ229=1,"XT"&amp;COUNTIFS(A$3:A229,A229,GQ$3:GQ229,1),"")</f>
        <v>XT5</v>
      </c>
      <c r="GS229" t="str">
        <f t="shared" si="460"/>
        <v>XT5</v>
      </c>
      <c r="GT229" t="str">
        <f t="shared" si="461"/>
        <v>QFD5</v>
      </c>
      <c r="GU229" t="str">
        <f t="shared" si="462"/>
        <v/>
      </c>
      <c r="GV229" t="str">
        <f t="shared" si="463"/>
        <v>ok</v>
      </c>
      <c r="GW229" t="str">
        <f>IF(OR(GO229="",GM229=""),"",IF(GO229&gt;IFERROR(VLOOKUP(GN229,Модули_спр,3,FALSE),99),"ЛИШНИЙ КАНАЛ",IF(AND(AH229&lt;&gt;"=",COUNTIFS(Линии[_модуль гр.],GM229,Линии[Канал (итог)],GO229,Линии[Канал],"&lt;&gt;=",Линии[Щит],A229)&gt;1),"ДУБЛЬ КАНАЛА","")))</f>
        <v/>
      </c>
      <c r="GX229" s="6" t="str">
        <f t="shared" si="464"/>
        <v/>
      </c>
      <c r="GY229">
        <f t="shared" si="465"/>
        <v>10</v>
      </c>
      <c r="GZ229" t="str">
        <f t="shared" si="466"/>
        <v/>
      </c>
      <c r="HA229" t="str">
        <f>IF(AND(B229="",GT229=""),"",_xlfn.TEXTJOIN("; ",TRUE,IF(AND(B229&lt;&gt;"",FE229=""),"нет фазы",""),IF(AND(B229&lt;&gt;"",N(FY229)=0,EQ229&lt;&gt;"Нет"),"нет мощности",""),IF(AND(GS229&lt;&gt;"",COUNTIFS(Линии[Щит],A229,Линии[Клемма (итог)],GS229)&gt;1),"дубль клеммы "&amp;GS229,""),IF(AND(GV229&lt;&gt;"",GV229&lt;&gt;"ok"),GV229,""),IF(GW229&lt;&gt;"",GW229,""),IF(AND(N(BV229)&gt;=4,N(BR229)=1),BV229&amp;" жил на 1 фазе",""),IF(AND(AX229="R",CA229=1,OR(N(CK229)=0,N(CK229)&gt;30)),"розетка без дифзащиты до 30 мА",""),IFERROR(IF(AND(ISNUMBER(R229),R229&gt;DV229),"потери "&amp;FIXED(R229,1)&amp;" % &gt; "&amp;DV229&amp;" %",""),""),IFERROR(IF(LEFT(GZ229,4)="мало","Iкз мало — отключение &gt; 0,4 с",""),""),IF(AND(B229&lt;&gt;"",BH229=""),"не на схеме",""),IF(AND(CA229=0,B229&lt;&gt;"",FE229&lt;&gt;"",IF(AW229=1,"",FF228)&lt;&gt;"",FE229&lt;&gt;IF(AW229=1,"",FF228)),"фаза не как у автомата группы ("&amp;IF(AW229=1,"",FF228)&amp;")","")))</f>
        <v/>
      </c>
      <c r="HB229" s="6">
        <f>IF(OR(CA229=0,DA229=""),"",_xlfn.LET(_xlpm.t,IFERROR(_xlfn.XLOOKUP(DA229,Каталог!$U$4:$U$500,Каталог!$G$4:$G$500),""),_xlpm.k,SEARCH("кА",_xlpm.t),IFERROR(--TRIM(RIGHT(SUBSTITUTE(MID(_xlpm.t,MAX(1,_xlpm.k-4),_xlpm.k-MAX(1,_xlpm.k-4))," ",REPT(" ",9)),5)),"")))</f>
        <v>6</v>
      </c>
      <c r="HC229" t="str">
        <f>IF(OR(HB229="",CA229=0),"",IF(_xlfn.XLOOKUP(A229,Щиты[Щит],Щиты[Iкз max на шинах, кА],"")="","",IF(HB229&lt;_xlfn.XLOOKUP(A229,Щиты[Щит],Щиты[Iкз max на шинах, кА]),"Icu "&amp;HB229&amp;" кА &lt; Iкз max","ok")))</f>
        <v/>
      </c>
      <c r="HD229" t="str">
        <f t="shared" si="467"/>
        <v/>
      </c>
      <c r="HE229" t="str">
        <f t="shared" si="468"/>
        <v>QFD5|XT5</v>
      </c>
      <c r="HF229" t="str">
        <f t="shared" si="469"/>
        <v>QFD5|XT5|кабель ВВГнг(А)-LS (3х2,5) → Розеточная группа, пом. 002Aб</v>
      </c>
      <c r="HG229" t="str" cm="1">
        <f t="array" ref="HG229">IF(HF229="","",_xlfn.LET(_xlpm.nd,_xlfn.TEXTSPLIT(HF229,"|"),IF(COLUMNS(_xlpm.nd)&gt;1,A229&amp;"¦"&amp;INDEX(_xlpm.nd,1)&amp;"¦"&amp;INDEX(_xlpm.nd,2),"")))</f>
        <v>ЩР-1¦QFD5¦XT5</v>
      </c>
      <c r="HH229" t="str">
        <f t="shared" si="470"/>
        <v>R.1.002Aб.1¦Розеточная группа, пом. 002Aб</v>
      </c>
      <c r="HI229" t="str" cm="1">
        <f t="array" ref="HI229">IF(HF229="","",_xlfn.LET(_xlpm.nd,_xlfn.TEXTSPLIT(HF229,"|"),IF(COLUMNS(_xlpm.nd)&gt;2,A229&amp;"¦"&amp;INDEX(_xlpm.nd,2)&amp;"¦"&amp;INDEX(_xlpm.nd,3),"")))</f>
        <v>ЩР-1¦XT5¦кабель ВВГнг(А)-LS (3х2,5) → Розеточная группа, пом. 002Aб</v>
      </c>
      <c r="HJ229" t="str">
        <f t="shared" si="471"/>
        <v>R.1.002Aб.1¦Розеточная группа, пом. 002Aб</v>
      </c>
      <c r="HK229" t="str" cm="1">
        <f t="array" ref="HK229">IF(HF229="","",_xlfn.LET(_xlpm.nd,_xlfn.TEXTSPLIT(HF229,"|"),IF(COLUMNS(_xlpm.nd)&gt;3,A229&amp;"¦"&amp;INDEX(_xlpm.nd,3)&amp;"¦"&amp;INDEX(_xlpm.nd,4),"")))</f>
        <v/>
      </c>
      <c r="HL229" t="str">
        <f t="shared" si="472"/>
        <v/>
      </c>
      <c r="HM229" t="str" cm="1">
        <f t="array" ref="HM229">IF(HF229="","",_xlfn.LET(_xlpm.nd,_xlfn.TEXTSPLIT(HF229,"|"),IF(COLUMNS(_xlpm.nd)&gt;4,A229&amp;"¦"&amp;INDEX(_xlpm.nd,4)&amp;"¦"&amp;INDEX(_xlpm.nd,5),"")))</f>
        <v/>
      </c>
      <c r="HN229" t="str">
        <f t="shared" si="473"/>
        <v/>
      </c>
      <c r="HO229" t="str" cm="1">
        <f t="array" ref="HO229">IF(HF229="","",_xlfn.LET(_xlpm.nd,_xlfn.TEXTSPLIT(HF229,"|"),IF(COLUMNS(_xlpm.nd)&gt;5,A229&amp;"¦"&amp;INDEX(_xlpm.nd,5)&amp;"¦"&amp;INDEX(_xlpm.nd,6),"")))</f>
        <v/>
      </c>
      <c r="HP229" t="str">
        <f t="shared" si="474"/>
        <v/>
      </c>
      <c r="HQ229" t="str" cm="1">
        <f t="array" ref="HQ229">IF(HF229="","",_xlfn.LET(_xlpm.nd,_xlfn.TEXTSPLIT(HF229,"|"),IF(COLUMNS(_xlpm.nd)&gt;6,A229&amp;"¦"&amp;INDEX(_xlpm.nd,6)&amp;"¦"&amp;INDEX(_xlpm.nd,7),"")))</f>
        <v/>
      </c>
      <c r="HR229" t="str">
        <f t="shared" si="475"/>
        <v/>
      </c>
      <c r="HS229" t="str">
        <f t="shared" si="476"/>
        <v/>
      </c>
      <c r="HT229" t="str">
        <f t="shared" si="477"/>
        <v>QFD5 → XT5</v>
      </c>
      <c r="HU229">
        <f t="shared" si="478"/>
        <v>0</v>
      </c>
      <c r="HV229">
        <f t="shared" si="479"/>
        <v>1</v>
      </c>
      <c r="HW229" t="str">
        <f t="shared" si="480"/>
        <v/>
      </c>
      <c r="HX229" t="str">
        <f t="shared" si="481"/>
        <v/>
      </c>
      <c r="HY229" t="str">
        <f t="shared" si="482"/>
        <v/>
      </c>
      <c r="HZ229" t="str">
        <f t="shared" si="483"/>
        <v/>
      </c>
      <c r="IA229" t="str">
        <f>IF(B229="","",IFERROR(VLOOKUP(B229,УГО_спр,2,FALSE),IFERROR(VLOOKUP(AX229,УГО_спр,2,FALSE),IFERROR(VLOOKUP(LEFT(AX229,2),УГО_спр,2,FALSE),""))))</f>
        <v>Розетка</v>
      </c>
      <c r="IB229" t="str">
        <f>IF(B229="","",IF(OR(IA229="",IA229=0),"BOX",IFERROR(IF(VLOOKUP(IA229,УГО_блоки,3,FALSE)&amp;""&lt;&gt;"",VLOOKUP(IA229,УГО_блоки,3,FALSE),VLOOKUP(IA229,УГО_блоки,2,FALSE)),IA229)))</f>
        <v>SOCKET</v>
      </c>
      <c r="IC229">
        <f t="shared" si="484"/>
        <v>1</v>
      </c>
      <c r="ID229" t="str">
        <f>IF(DA229="","",IF(COUNTIF(DA$3:DA229,DA229)=1,MAX(ID$2:ID228)+1,""))</f>
        <v/>
      </c>
      <c r="IE229" t="str">
        <f>IF(CO229="","",IF(COUNTIF(CO$3:CO229,CO229)+COUNTIF(CP$2:CP228,CO229)+COUNTIF(CQ$2:CQ228,CO229)=1,MAX(IE$2:IG228)+1,""))</f>
        <v/>
      </c>
      <c r="IF229" t="str">
        <f>IF(CP229="","",IF(COUNTIF(CO$3:CO229,CP229)+COUNTIF(CP$3:CP229,CP229)+COUNTIF(CQ$2:CQ228,CP229)=1,MAX(IE$2:IG228,IE229)+1,""))</f>
        <v/>
      </c>
      <c r="IG229" t="str">
        <f>IF(CQ229="","",IF(COUNTIF(CO$3:CO229,CQ229)+COUNTIF(CP$3:CP229,CQ229)+COUNTIF(CQ$3:CQ229,CQ229)=1,MAX(IE$2:IG228,IE229,IF229)+1,""))</f>
        <v/>
      </c>
      <c r="IH229" t="str">
        <f t="shared" si="485"/>
        <v>3х2,5</v>
      </c>
      <c r="II229" t="str">
        <f>IF(IH229="","",IF(COUNTIF(IH$3:IH229,IH229)=1,MAX(II$2:II228)+1,""))</f>
        <v/>
      </c>
      <c r="IJ229" t="str">
        <f>IF(GL229="","",COUNTIF(GL$3:GL229,"?*"))</f>
        <v/>
      </c>
      <c r="IK229" t="str">
        <f>IF(OR(GL229="",GN229=""),"",IF(COUNTIFS(GL$3:GL229,"?*",GN$3:GN229,GN229)=1,MAX(IK$2:IK228)+1,""))</f>
        <v/>
      </c>
      <c r="IL229">
        <f t="shared" si="486"/>
        <v>0</v>
      </c>
      <c r="IM229">
        <f>IF(B229="","",COUNTIF(B$3:B229,"?*"))</f>
        <v>227</v>
      </c>
      <c r="IN229">
        <f>IF(GQ229&lt;&gt;1,0,_xlfn.LET(_xlpm.k,MAX(IFERROR(--VLOOKUP(B229,УГО_спр,5,FALSE),0),IFERROR(--VLOOKUP(AX229,УГО_спр,5,FALSE),0),IFERROR(--VLOOKUP(LEFT(AX229,2),УГО_спр,5,FALSE),0)),IF(_xlpm.k&gt;0,_xlpm.k,IF(IFERROR(--LEFT(SUBSTITUTE(IH229,"x","х"),FIND("х",SUBSTITUTE(IH229,"x","х"))-1),3)&gt;3,Каталог!$S$9,1))))</f>
        <v>1</v>
      </c>
      <c r="IO229">
        <f t="shared" si="487"/>
        <v>0</v>
      </c>
      <c r="IP229" t="str">
        <f t="shared" si="488"/>
        <v>авто</v>
      </c>
      <c r="IQ229">
        <f t="shared" si="489"/>
        <v>30</v>
      </c>
      <c r="IR229">
        <f t="shared" si="490"/>
        <v>1</v>
      </c>
      <c r="IS229">
        <f t="shared" si="491"/>
        <v>1</v>
      </c>
    </row>
    <row r="230" spans="1:253" x14ac:dyDescent="0.3">
      <c r="A230" t="s">
        <v>759</v>
      </c>
      <c r="B230" t="s">
        <v>1495</v>
      </c>
      <c r="C230" t="s">
        <v>1667</v>
      </c>
      <c r="D230">
        <v>3</v>
      </c>
      <c r="E230">
        <v>0.23</v>
      </c>
      <c r="G230" t="str">
        <f>Линии[[#This Row],[_авто автомат]]</f>
        <v>2P С16А 30мА</v>
      </c>
      <c r="H230">
        <f>Линии[[#This Row],[_авто утечка]]</f>
        <v>30</v>
      </c>
      <c r="I230" t="str">
        <f>Линии[[#This Row],[_авто управление]]</f>
        <v/>
      </c>
      <c r="J230" t="str">
        <f>Линии[[#This Row],[_авто аппараты]]</f>
        <v/>
      </c>
      <c r="K230">
        <v>2.5</v>
      </c>
      <c r="L230">
        <v>15</v>
      </c>
      <c r="M230" t="str">
        <f>Линии[[#This Row],[_авто фаза]]</f>
        <v>L3</v>
      </c>
      <c r="N230" t="str">
        <f>Линии[[#This Row],[_авто клемма]]</f>
        <v>XT6</v>
      </c>
      <c r="O230" t="str">
        <f t="shared" si="369"/>
        <v/>
      </c>
      <c r="P230" s="6" cm="1">
        <f t="array" ref="P230">IF(B230="","",IF(BC230&lt;&gt;"",IFERROR(_xlfn.XLOOKUP(BC230,Щиты[Щит],Щиты[Iр, А]),""),IF(BK230=1,IFERROR(_xlfn.XLOOKUP(A230,Щиты[Щит],Щиты[Iр, А]),""),IFERROR(_xlfn.IFS(BR230=1,BN230/((Uн_лин/SQRT(3))*BY230),BR230=3,BN230/(SQRT(3)*Uн_лин*BY230)),""))))</f>
        <v>1.0483465414232678</v>
      </c>
      <c r="Q230" s="7">
        <f>IF(B230="","",IFERROR(IF(VLOOKUP(AX230,Потребители_обозначение,4,FALSE)=1,VLOOKUP(AX230,Потребители_обозначение,3,FALSE)*(D230*2-1)+DS230+VLOOKUP(AZ230,Этаж_обозначение,3,FALSE)+VLOOKUP(AZ230,Этаж_обозначение,4,FALSE),VLOOKUP(AX230,Потребители_обозначение,3,FALSE)*(D230*2-1)+DS230),DS230))</f>
        <v>30</v>
      </c>
      <c r="R230" s="6">
        <f t="shared" si="370"/>
        <v>1.43</v>
      </c>
      <c r="S230" t="str">
        <f t="shared" si="371"/>
        <v>ВВГнг(А)-LS (3х2,5)</v>
      </c>
      <c r="T230" t="str">
        <f>IF(BH230="","",IF(BI230="вводной узел","узел ","")&amp;"л."&amp;(INT((BH230-1)/Столбцов_на_лист)+1)&amp;" / "&amp;(MOD(BH230-1,Столбцов_на_лист)+1))</f>
        <v>л.2 / 6</v>
      </c>
      <c r="V230">
        <v>1</v>
      </c>
      <c r="W230">
        <v>230</v>
      </c>
      <c r="X230" t="s">
        <v>564</v>
      </c>
      <c r="AC230" t="s">
        <v>815</v>
      </c>
      <c r="AE230" t="s">
        <v>563</v>
      </c>
      <c r="AI230">
        <v>23</v>
      </c>
      <c r="AJ230" t="s">
        <v>11</v>
      </c>
      <c r="AK230">
        <v>3</v>
      </c>
      <c r="AM230">
        <v>0</v>
      </c>
      <c r="AN230">
        <v>15</v>
      </c>
      <c r="AO230">
        <v>0</v>
      </c>
      <c r="AW230" cm="1">
        <f t="array" ref="AW230">ROW()-ROW(Линии[#Headers])</f>
        <v>228</v>
      </c>
      <c r="AX230" s="6" t="str">
        <f t="shared" si="372"/>
        <v>R</v>
      </c>
      <c r="AY230" t="str">
        <f t="shared" si="373"/>
        <v>1.002Б.1</v>
      </c>
      <c r="AZ230" t="str">
        <f t="shared" si="374"/>
        <v>1</v>
      </c>
      <c r="BA230" t="str">
        <f t="shared" si="375"/>
        <v>002Б.1</v>
      </c>
      <c r="BB230" t="str">
        <f t="shared" si="376"/>
        <v>002Б</v>
      </c>
      <c r="BC230" t="str">
        <f>IF(U230&lt;&gt;"",U230,IF(AND(B230&lt;&gt;"",B230&lt;&gt;A230,ISNUMBER(_xlfn.XMATCH(B230,Щиты[Щит]))),B230,""))</f>
        <v/>
      </c>
      <c r="BD230" t="str" cm="1">
        <f t="array" ref="BD230">IF(B230="","",IF(BC230&lt;&gt;"","Щит "&amp;BC230,_xlfn.LET(_xlpm.nm,IFERROR(_xlfn.XLOOKUP(AX230,Коды_код,Коды_имя)&amp;"",""),_xlpm.md,IFERROR(N(_xlfn.XLOOKUP(AX230,Коды_код,Коды_режим)),1),_xlpm.ex,IF(Имя_режим="по экспликации",IFERROR(_xlfn.XLOOKUP(AZ230&amp;"|"&amp;BB230,Экспликация[Этаж]&amp;"|"&amp;Экспликация[Помещение],Экспликация[Название])&amp;"",""),""),_xlpm.rm,IF(BB230="","",IF(_xlpm.ex&lt;&gt;"",". "&amp;_xlpm.ex&amp;IF(Имя_пом="нет"," ("&amp;BB230&amp;")"," (пом. "&amp;BB230&amp;")"),IF(Имя_пом="нет"," ",", пом. ")&amp;BB230)),IF(_xlpm.nm="","",IF(_xlpm.md=2,_xlpm.nm&amp;" шлейф "&amp;AZ230,_xlpm.nm&amp;_xlpm.rm)))))</f>
        <v>Розеточная группа, пом. 002Б</v>
      </c>
      <c r="BE230" t="str">
        <f t="shared" si="377"/>
        <v>Розеточная группа Первый этаж Пом. №002Б Ледогенератор</v>
      </c>
      <c r="BF230">
        <f>IFERROR(_xlfn.XMATCH(A230,Щиты[Щит]),0)</f>
        <v>10</v>
      </c>
      <c r="BG230">
        <f>_xlfn.LET(_xlpm.k,IFERROR(_xlfn.XLOOKUP(A230,Щиты[Щит],Щиты[Листов под вводной узел]),""),IF(_xlpm.k="",1,N(_xlpm.k))*Столбцов_на_лист)</f>
        <v>17</v>
      </c>
      <c r="BH230">
        <f t="shared" si="378"/>
        <v>23</v>
      </c>
      <c r="BI230" t="str">
        <f t="shared" si="379"/>
        <v>линии</v>
      </c>
      <c r="BJ230" s="6">
        <f>IFERROR(N(_xlfn.XLOOKUP(AX230,Коды_код,Коды_квт)),0)</f>
        <v>0</v>
      </c>
      <c r="BK230">
        <f t="shared" si="380"/>
        <v>0</v>
      </c>
      <c r="BL230" t="str">
        <f>IF(B230="","",IF(BC230&lt;&gt;"",IFERROR(_xlfn.XLOOKUP(BC230,Щиты[Щит],Щиты[Руст, кВт]),0),IF(BK230=1,IFERROR(_xlfn.XLOOKUP(A230,Щиты[Щит],Щиты[Руст, кВт]),0),IF(BJ230&gt;0,ROUND(BJ230*MAX(1,N(D230)),3),""))))</f>
        <v/>
      </c>
      <c r="BM230">
        <f t="shared" si="381"/>
        <v>0.23</v>
      </c>
      <c r="BN230" s="6">
        <f>IF(B230="","",IF(BC230&lt;&gt;"",IFERROR(_xlfn.XLOOKUP(BC230,Щиты[Щит],Щиты[Руст, кВт]),0),N(BM230)))</f>
        <v>0.23</v>
      </c>
      <c r="BO230" t="str">
        <f>IF(B230="","",IFERROR(IF(VLOOKUP(AX230,Потребители_обозначение,8,FALSE)=0,"",VLOOKUP(AX230,Потребители_обозначение,8,FALSE)),""))</f>
        <v/>
      </c>
      <c r="BP230">
        <f t="shared" si="382"/>
        <v>230</v>
      </c>
      <c r="BQ230">
        <f>IF(B230="","",IF(BC230&lt;&gt;"",3,IFERROR(IF(N(VLOOKUP(AX230,Потребители_обозначение,9,FALSE))=0,1,VLOOKUP(AX230,Потребители_обозначение,9,FALSE)),1)))</f>
        <v>1</v>
      </c>
      <c r="BR230">
        <f t="shared" si="383"/>
        <v>1</v>
      </c>
      <c r="BS230" t="str">
        <f>IF(B230="","",_xlfn.LET(_xlpm.bc,IFERROR(IF(VLOOKUP(AX230,Потребители_обозначение,6,FALSE)=0,"",VLOOKUP(AX230,Потребители_обозначение,6,FALSE)&amp;""),""),IF(AND(FK230="да",OR(_xlpm.bc="",_xlpm.bc="мс")),Марка_пож,IF(AND(_xlpm.bc="",BC230&lt;&gt;""),"мс",_xlpm.bc))))</f>
        <v/>
      </c>
      <c r="BT230" t="str">
        <f t="shared" si="384"/>
        <v>мс</v>
      </c>
      <c r="BU230">
        <f>IF(B230="","",_xlfn.LET(_xlpm.cc,IFERROR(N(VLOOKUP(AX230,Потребители_обозначение,7,FALSE)),0),IF(_xlpm.cc&gt;0,_xlpm.cc,IF(BT230="","",IF(N(BR230)=3,5,3)))))</f>
        <v>3</v>
      </c>
      <c r="BV230">
        <f t="shared" si="385"/>
        <v>3</v>
      </c>
      <c r="BW230">
        <f>IFERROR(N(VLOOKUP(AX230,Потребители_обозначение,10,FALSE)),0)</f>
        <v>0</v>
      </c>
      <c r="BX230">
        <f>IFERROR(VLOOKUP(AX230,Потребители_обозначение,5,FALSE),0)</f>
        <v>1</v>
      </c>
      <c r="BY230" s="6" cm="1">
        <f t="array" ref="BY230">IF(B230="","",IF(BC230&lt;&gt;"",IFERROR(_xlfn.XLOOKUP(BC230,Щиты[Щит],Щиты[cos φ]),0.95),IF(BK230=1,IFERROR(_xlfn.XLOOKUP(A230,Щиты[Щит],Щиты[cos φ]),0.95),IF(ISNUMBER(Z230),Z230,IFERROR(IF(BX230=2,_xlfn.IFS(BR230=3,VLOOKUP(BN230,Справочная_двигатели,8,FALSE),BR230=1,VLOOKUP(BN230,Справочная_двигатели,10,TRUE)),IF(AND(Методика="нормы 2026",EQ230="Сил"),0.8,0.95)),0.95)))))</f>
        <v>0.95</v>
      </c>
      <c r="BZ230">
        <f t="shared" si="386"/>
        <v>0</v>
      </c>
      <c r="CA230">
        <f t="shared" si="387"/>
        <v>1</v>
      </c>
      <c r="CB230">
        <f t="shared" si="388"/>
        <v>0</v>
      </c>
      <c r="CC230">
        <f t="shared" si="389"/>
        <v>0</v>
      </c>
      <c r="CD230">
        <f t="shared" si="390"/>
        <v>0</v>
      </c>
      <c r="CE230">
        <f t="shared" si="391"/>
        <v>0</v>
      </c>
      <c r="CF230">
        <f t="shared" si="392"/>
        <v>0</v>
      </c>
      <c r="CG230">
        <f>IF(AX230="",0,_xlfn.LET(_xlpm.v,IFERROR(VLOOKUP(B230,УГО_спр,3,FALSE),IFERROR(VLOOKUP(AX230,УГО_спр,3,FALSE),IFERROR(VLOOKUP(LEFT(AX230,2),УГО_спр,3,FALSE),""))),IF(_xlpm.v="да",30,IF(ISNUMBER(_xlpm.v),_xlpm.v,0))))</f>
        <v>30</v>
      </c>
      <c r="CH230">
        <f t="shared" si="393"/>
        <v>30</v>
      </c>
      <c r="CI230" t="str">
        <f>_xlfn.LET(_xlpm.k,IFERROR(_xlfn.XLOOKUP(AX230,Коды_код,Коды_утечка)&amp;"",""),IF(_xlpm.k="","дифавтомат",_xlpm.k))</f>
        <v>дифавтомат</v>
      </c>
      <c r="CJ230">
        <f t="shared" si="394"/>
        <v>30</v>
      </c>
      <c r="CK230">
        <f t="shared" si="395"/>
        <v>30</v>
      </c>
      <c r="CL230">
        <f>IF(B230="",0,IFERROR(--VLOOKUP(B230,УГО_спр,4,FALSE),IFERROR(--VLOOKUP(AX230,УГО_спр,4,FALSE),IFERROR(--VLOOKUP(LEFT(AX230,2),УГО_спр,4,FALSE),0))))</f>
        <v>16</v>
      </c>
      <c r="CM230" t="str">
        <f>IF(B230="","",IFERROR(_xlfn.XLOOKUP(AX230,Коды_код,Коды_апп)&amp;"",""))</f>
        <v/>
      </c>
      <c r="CN230" t="str">
        <f t="shared" si="396"/>
        <v/>
      </c>
      <c r="CO230" t="str" cm="1">
        <f t="array" ref="CO230">IF(TRIM(CN230&amp;"")="","",IFERROR(TRIM(INDEX(_xlfn.TEXTSPLIT(CN230&amp;";;;",";"),1)),""))</f>
        <v/>
      </c>
      <c r="CP230" t="str" cm="1">
        <f t="array" ref="CP230">IF(TRIM(CN230&amp;"")="","",IFERROR(TRIM(INDEX(_xlfn.TEXTSPLIT(CN230&amp;";;;",";"),2)),""))</f>
        <v/>
      </c>
      <c r="CQ230" t="str" cm="1">
        <f t="array" ref="CQ230">IF(TRIM(CN230&amp;"")="","",IFERROR(TRIM(INDEX(_xlfn.TEXTSPLIT(CN230&amp;";;;",";"),3)),""))</f>
        <v/>
      </c>
      <c r="CR230">
        <f t="shared" si="397"/>
        <v>0</v>
      </c>
      <c r="CS230" t="str">
        <f>IF(B230="","",_xlfn.LET(_xlpm.t,LOWER(AV230&amp;""),IF(ISNUMBER(SEARCH("dim",_xlpm.t)),"DIM",IF(ISNUMBER(SEARCH("dali",_xlpm.t)),"DALI",IF(OR(ISNUMBER(SEARCH("relay",_xlpm.t)),ISNUMBER(SEARCH("реле",_xlpm.t))),"Relay",IF(ISNUMBER(SEARCH("кнопк",_xlpm.t)),"",IFERROR(_xlfn.XLOOKUP(AX230,Коды_код,Коды_упр)&amp;"","")))))))</f>
        <v/>
      </c>
      <c r="CT230" t="str">
        <f t="shared" si="398"/>
        <v/>
      </c>
      <c r="CU230">
        <f>IF(B230="","",_xlfn.LET(_xlpm.ig,N(P230)+IF(AF230="вручную",0,N(CB230)),_xlpm.n0,IFERROR(VLOOKUP(_xlpm.ig,Автомат_номиналы,2,TRUE),0),_xlpm.mn,MAX(CL230,IF(AF230="вручную",0,N(CE230))),MAX(_xlpm.n0,_xlpm.mn,IF(CR230=1,Мин_автомат_БП,0))))</f>
        <v>16</v>
      </c>
      <c r="CV230">
        <f t="shared" si="399"/>
        <v>1</v>
      </c>
      <c r="CW230" t="str">
        <f t="shared" si="400"/>
        <v>2P</v>
      </c>
      <c r="CX230" t="str">
        <f>_xlfn.LET(_xlpm.cc,UPPER(TRIM(IFERROR(_xlfn.XLOOKUP(AX230,Коды_код,Коды_хар)&amp;"",""))),IF(OR(_xlpm.cc="B",_xlpm.cc="В"),"B",IF(_xlpm.cc="D","D","С")))</f>
        <v>С</v>
      </c>
      <c r="CY230" t="str">
        <f t="shared" si="401"/>
        <v>2P С16А 30мА</v>
      </c>
      <c r="CZ230" t="str">
        <f t="shared" si="402"/>
        <v>2P С16А 30мА</v>
      </c>
      <c r="DA230" t="str">
        <f t="shared" si="403"/>
        <v>2P С16А 30мА</v>
      </c>
      <c r="DB230" cm="1">
        <f t="array" ref="DB230">IF(DA230="","",_xlfn.LET(_xlpm.t,SUBSTITUTE(SUBSTITUTE(SUBSTITUTE(UPPER(DA230),"С","C"),"А","A"),"В","B"),_xlpm.tk,_xlfn.TEXTSPLIT(_xlpm.t,"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0" t="str">
        <f t="shared" si="404"/>
        <v>ok</v>
      </c>
      <c r="DD230">
        <f t="shared" si="405"/>
        <v>16</v>
      </c>
      <c r="DE230" t="str">
        <f t="shared" si="406"/>
        <v>2P С16А 30мА</v>
      </c>
      <c r="DF230">
        <f t="shared" si="407"/>
        <v>30</v>
      </c>
      <c r="DG230">
        <f t="shared" si="408"/>
        <v>1</v>
      </c>
      <c r="DH230">
        <f t="shared" si="409"/>
        <v>0</v>
      </c>
      <c r="DI230">
        <f t="shared" si="410"/>
        <v>1.0483465414232678</v>
      </c>
      <c r="DJ230">
        <f t="shared" si="411"/>
        <v>1</v>
      </c>
      <c r="DK230">
        <f>IF(ISNUMBER(AL230),AL230,К_прокл)</f>
        <v>1</v>
      </c>
      <c r="DL230">
        <f t="shared" si="412"/>
        <v>2</v>
      </c>
      <c r="DM230">
        <f>IFERROR(N(VLOOKUP(BT230,Кабель_обозначение,3,FALSE)),1)</f>
        <v>1</v>
      </c>
      <c r="DN230">
        <f>IFERROR(N(_xlfn.XLOOKUP(A230,Щиты[Щит],Щиты[ΔU до шин, %])),0)</f>
        <v>1.19</v>
      </c>
      <c r="DO230" t="str">
        <f>IFERROR(_xlfn.XLOOKUP(A230,Щиты[Щит],Щиты[Zпетли на шинах, Ом]),"")</f>
        <v/>
      </c>
      <c r="DP230">
        <f>IFERROR(N(_xlfn.XLOOKUP(A230,Щиты[Щит],Щиты[ΔU до шин (подбор), %])),0)</f>
        <v>1.19</v>
      </c>
      <c r="DQ230" t="str">
        <f>IFERROR(_xlfn.XLOOKUP(A230,Щиты[Щит],Щиты[Zпетли на шинах (подбор), Ом]),"")</f>
        <v/>
      </c>
      <c r="DR230" t="str">
        <f t="shared" si="413"/>
        <v/>
      </c>
      <c r="DS230">
        <f t="shared" si="414"/>
        <v>15</v>
      </c>
      <c r="DT230">
        <f t="shared" si="415"/>
        <v>2</v>
      </c>
      <c r="DU230">
        <f t="shared" si="416"/>
        <v>0.31</v>
      </c>
      <c r="DV230" s="6">
        <f>IF(B230="","",IF(IFERROR(VLOOKUP(AX230,УГО_спр,2,FALSE),"")="Светильник",3,4)+IF(Методика="нормы 2026",MIN(0.5,MAX(0,N(Q230)-100)*0.005),0))</f>
        <v>4</v>
      </c>
      <c r="DW230" cm="1">
        <f t="array" ref="DW230">IF(OR(B230="",BT230="",DM230&lt;&gt;1),"",_xlfn.LET(_xlpm.sz,Iдоп_S,_xlpm.t_,CHOOSE(DL230,Iдоп_1ж,Iдоп_2ж,Iдоп_3ж)*DJ230*DK230,_xlpm.inn,N(DD230),_xlpm.smin,MAX(1.5,BW230),_xlpm.L_,N(Q230)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230)*(_xlpm.rho*_xlpm.L_/_xlpm.sz*N(BY230)+_xlpm.xx*_xlpm.L_*N(DU230)/1000)*N(P230)/((Uн_лин/SQRT(3))*1000)*100,999),_xlpm.kz,IF(OR(DG230=1,NOT(ISNUMBER(DQ230)),_xlpm.L_=0,_xlpm.inn=0),1,IFERROR(--(c_min*(Uн_лин*1000/SQRT(3))/(DQ230+2*ρкз_Cu*_xlpm.L_/_xlpm.sz)&gt;=GY230*_xlpm.inn),0)),_xlpm.ok,IFERROR((_xlpm.sz&gt;=_xlpm.smin)*(_xlpm.t_&gt;=_xlpm.inn)*IF(_xlpm.L_&gt;0,(_xlpm.du_+DP230&lt;=DV230+0.00001),1)*_xlpm.kz,0),_xlpm.r_,_xlfn._xlws.FILTER(_xlpm.sz,_xlpm.ok,"не подобрано"),INDEX(_xlpm.r_,1)))</f>
        <v>1.5</v>
      </c>
      <c r="DX230">
        <f t="shared" si="417"/>
        <v>2.5</v>
      </c>
      <c r="DY230" cm="1">
        <f t="array" ref="DY230">IF(OR(B230="",BT230="",DM230&lt;&gt;1),"",_xlfn.LET(_xlpm.sz,Iдоп_S,_xlpm.t_,CHOOSE(DL230,Iдоп_1ж,Iдоп_2ж,Iдоп_3ж)*DJ230*DK230,_xlpm.ok,IFERROR((_xlpm.sz&gt;=MAX(1.5,BW230))*(_xlpm.t_&gt;=N(DD230)),0),_xlpm.r_,_xlfn._xlws.FILTER(_xlpm.sz,_xlpm.ok,""),INDEX(_xlpm.r_,1)))</f>
        <v>1.5</v>
      </c>
      <c r="DZ230" s="6" cm="1">
        <f t="array" ref="DZ230">IFERROR(ROUNDUP(N(DT230)*(_xlfn.XLOOKUP(DY230,INDEX(Кабель_сопротивление,0,1),INDEX(Кабель_сопротивление,0,3))*N(Q230)/DY230*N(BY230)+_xlfn.XLOOKUP(DY230,INDEX(Кабель_сопротивление,0,1),INDEX(Кабель_сопротивление,0,2))*N(Q230)*N(DU230)/1000)*N(P230)/((Uн_лин/SQRT(3))*1000)*100,2),"")</f>
        <v>0.39</v>
      </c>
      <c r="EA230">
        <f>IFERROR(2*ρкз_Cu*N(Q230)/DY230,"")</f>
        <v>1.052</v>
      </c>
      <c r="EB230">
        <f>IFERROR(VLOOKUP(DX230,Кабель_сопротивление,3,FALSE),"")</f>
        <v>2.2499999999999999E-2</v>
      </c>
      <c r="EC230">
        <f>IFERROR(VLOOKUP(DX230,Кабель_сопротивление,2,FALSE),"")</f>
        <v>0.1</v>
      </c>
      <c r="ED230">
        <f t="shared" si="418"/>
        <v>15</v>
      </c>
      <c r="EE230">
        <f t="shared" si="419"/>
        <v>0</v>
      </c>
      <c r="EF230">
        <f t="shared" si="420"/>
        <v>0.53975170031718356</v>
      </c>
      <c r="EG230" s="6">
        <f>IFERROR(ROUNDUP(EF230/((Uн_лин/SQRT(3))*1000)*100,2),"")</f>
        <v>0.24000000000000002</v>
      </c>
      <c r="EH230" t="str">
        <f>IFERROR(VLOOKUP(BT230,Кабель_обозначение,2,FALSE),"")</f>
        <v>ВВГнг(А)-LS</v>
      </c>
      <c r="EI230" t="str">
        <f t="shared" si="421"/>
        <v>ВВГнг(А)-LS (3х2,5)</v>
      </c>
      <c r="EJ230" t="str">
        <f t="shared" si="422"/>
        <v>ВВГнг(А)-LS (3х2,5)
L=30-0,24%</v>
      </c>
      <c r="EK230">
        <f>IFERROR(2*ρкз_Cu*Q230/DX230,"")</f>
        <v>0.63119999999999998</v>
      </c>
      <c r="EL230">
        <f t="shared" si="423"/>
        <v>0.21000000000000002</v>
      </c>
      <c r="EM230" s="6" t="str">
        <f>IFERROR(IF(OR(B230="",NOT(ISNUMBER(DX230)),N(Q230)=0),"",_xlfn.XLOOKUP(A230,Щиты[Щит],Щиты[Zпетли на шинах, Ом])+EK230),"")</f>
        <v/>
      </c>
      <c r="EN230" s="6" t="str">
        <f>IF(ISNUMBER(EM230),c_min*(Uн_лин*1000/SQRT(3))/EM230,"")</f>
        <v/>
      </c>
      <c r="EO230" s="6" t="str">
        <f>IFERROR(IF(OR(B230="",NOT(ISNUMBER(DX230))),"",1.05*(Uн_лин*1000/SQRT(3))/(_xlfn.XLOOKUP(A230,Щиты[Щит],Щиты[Zmax на шинах, Ом])+EL230)/1000),"")</f>
        <v/>
      </c>
      <c r="EP230" s="6" t="str">
        <f>IF(B230="","",IF(ISNUMBER(Y230),"Сил",IF(IFERROR(_xlfn.XLOOKUP(AX230,Коды_код,Коды_группа)&amp;"","")="","Быт",_xlfn.XLOOKUP(AX230,Коды_код,Коды_группа)&amp;"")))</f>
        <v>Быт</v>
      </c>
      <c r="EQ230" s="6" t="str">
        <f t="shared" si="424"/>
        <v>Быт</v>
      </c>
      <c r="ER230" s="6">
        <f>IF(EQ230="Щит","щит",IF(EQ230="","",IF(EQ230="Быт",IFERROR(_xlfn.XLOOKUP(A230,Щиты[Щит],Щиты[Кс быт]),1),IF(EQ230="Сил",IF(ISNUMBER(Y230),Y230,IF(Методика="нормы 2026",IFERROR(_xlfn.XLOOKUP(A230,Щиты[Щит],Щиты[Кс силовых (табл. 7.5)]),1),1)),IF(OR(EQ230="Пост",EQ230="Отоп"),1,IF(EQ230="ВНГ",0.7,0))))))</f>
        <v>0.57830000000000004</v>
      </c>
      <c r="ES230">
        <f t="shared" si="425"/>
        <v>1</v>
      </c>
      <c r="ET230">
        <f t="shared" si="426"/>
        <v>0.23</v>
      </c>
      <c r="EU230">
        <f t="shared" si="427"/>
        <v>0.23</v>
      </c>
      <c r="EV230">
        <f t="shared" si="428"/>
        <v>0</v>
      </c>
      <c r="EW230">
        <f t="shared" si="429"/>
        <v>0</v>
      </c>
      <c r="EX230">
        <f t="shared" si="430"/>
        <v>0</v>
      </c>
      <c r="EY230">
        <f t="shared" si="431"/>
        <v>0</v>
      </c>
      <c r="EZ230">
        <f t="shared" si="432"/>
        <v>0.23</v>
      </c>
      <c r="FA230">
        <f t="shared" si="433"/>
        <v>0.2185</v>
      </c>
      <c r="FB230">
        <f t="shared" si="434"/>
        <v>0.23</v>
      </c>
      <c r="FC230" t="str">
        <f t="shared" si="435"/>
        <v/>
      </c>
      <c r="FD230" t="str">
        <f>IF(B230="","",IF(CA230=0,IF(AW230=1,"",FF229),IF(OR(N(CV230)&gt;=3,N(BR230)&gt;=3),"L1,L2,L3",IFERROR(_xlfn.TEXTBEFORE(_xlfn.TEXTAFTER(_xlfn.XLOOKUP(A230,Щиты[Щит],Щиты[_фазы авто]),";"&amp;AW230&amp;":"),";"),"L1"))))</f>
        <v>L3</v>
      </c>
      <c r="FE230" t="str">
        <f t="shared" si="436"/>
        <v>L3</v>
      </c>
      <c r="FF230" t="str">
        <f t="shared" si="437"/>
        <v>L3</v>
      </c>
      <c r="FG230" cm="1">
        <f t="array" ref="FG230">IFERROR(IF(BX230=2,_xlfn.IFS(BR230=3,VLOOKUP(BN230,Справочная_двигатели,3,FALSE),BR230=1,VLOOKUP(BN230,Справочная_двигатели,5,TRUE)),0),0)</f>
        <v>0</v>
      </c>
      <c r="FH230">
        <f>IFERROR(IF(BX230=3,VLOOKUP(BN230,Справочная_ЛЭД,2,TRUE),0),0)</f>
        <v>0</v>
      </c>
      <c r="FI230" s="6">
        <f t="shared" si="438"/>
        <v>0</v>
      </c>
      <c r="FJ230" t="str" cm="1">
        <f t="array" ref="FJ230">IF(B230="","",IFERROR(INDEX({"I особая","I","II","III"},MATCH(TRIM(AC230&amp;""),{"I особая","I","II","III"},0)),"III"))</f>
        <v>II</v>
      </c>
      <c r="FK230" t="str">
        <f>IF(B230="","",IF(TRIM(AD230&amp;"")&lt;&gt;"",IF(LOWER(TRIM(AD230&amp;""))="да","да","нет"),IF(IFERROR(_xlfn.XLOOKUP(AX230,Коды_код,Коды_пожарная),"")="да","да","нет")))</f>
        <v>нет</v>
      </c>
      <c r="FL230" t="str">
        <f t="shared" si="439"/>
        <v/>
      </c>
      <c r="FM230" t="str">
        <f t="shared" si="440"/>
        <v>основная</v>
      </c>
      <c r="FN230">
        <f t="shared" si="441"/>
        <v>1</v>
      </c>
      <c r="FO230" t="str" cm="1">
        <f t="array" ref="FO230">IF(B230="","",_xlfn.LET(_xlpm.t,IFERROR(_xlfn.XLOOKUP(1,(Шины[Шина]=FM230)*(((Шины[Щит]=A230)+(Шины[Щит]=""))&gt;0),Шины[Тип]),"")&amp;"",IF(_xlpm.t&lt;&gt;"",_xlpm.t,IF(ISNUMBER(SEARCH("ИБП",FM230)),"ИБП",IF(ISNUMBER(SEARCH("ДГУ",FM230)),"ДГУ","Ввод "&amp;FN230)))))</f>
        <v>Ввод 1</v>
      </c>
      <c r="FP230" t="str">
        <f t="shared" si="442"/>
        <v>Ввод 1</v>
      </c>
      <c r="FQ230" t="str">
        <f>IF(B230="","",IF(OR(FO230="ИБП",FO230="ДГУ"),"I особая",IF(FO230="Одиночная","III",_xlfn.XLOOKUP(A230,Щиты[Щит],Щиты[Категория шины «Ввод»],"III"))))</f>
        <v>II</v>
      </c>
      <c r="FR230">
        <f>IF(B230="",0,IFERROR(MATCH(FJ230,{"III","II","I","I особая"},0),1))</f>
        <v>2</v>
      </c>
      <c r="FS230">
        <f t="shared" si="443"/>
        <v>2</v>
      </c>
      <c r="FT230" t="str">
        <f>IF(B230="","",IF(FR230&gt;IFERROR(MATCH(FQ230,{"III","II","I","I особая"},0),1),"НЕ ОБЕСПЕЧЕНА","ОК"))</f>
        <v>ОК</v>
      </c>
      <c r="FU230" t="str">
        <f>IF(A230="","",_xlfn.XLOOKUP(A230,Щиты[Щит],Щиты[Путь],""))</f>
        <v>|ГРЩ-ЖД|ЩР-1|</v>
      </c>
      <c r="FV230" t="str">
        <f>IF(B230="","",IF(AE230&lt;&gt;"",AE230,IF(IFERROR(_xlfn.XLOOKUP(AX230,Коды_код,Коды_вид)&amp;"","")="","Прочее",_xlfn.XLOOKUP(AX230,Коды_код,Коды_вид)&amp;"")))</f>
        <v>Розеточная сеть и бытовые приборы</v>
      </c>
      <c r="FW230">
        <f>IF(BH230="","",INT((BH230-1)/Столбцов_на_лист)+1)</f>
        <v>2</v>
      </c>
      <c r="FX230" t="str">
        <f t="shared" si="444"/>
        <v>ВВГнг(А)-LS (3х2,5) L=30-0,24%</v>
      </c>
      <c r="FY230">
        <f t="shared" si="445"/>
        <v>0.23</v>
      </c>
      <c r="FZ230">
        <f t="shared" si="446"/>
        <v>1.05</v>
      </c>
      <c r="GA230">
        <f t="shared" si="447"/>
        <v>1</v>
      </c>
      <c r="GB230">
        <f t="shared" si="448"/>
        <v>0</v>
      </c>
      <c r="GC230">
        <f t="shared" si="449"/>
        <v>1</v>
      </c>
      <c r="GD230">
        <f>IF(BH230="","",IF(AND(CA230=1,GC230=1),COUNTIFS(A$3:A230,A230,CA$3:CA230,1,GC$3:GC230,1),IF(OR(OR(AW230=1,A230&lt;&gt;A229),AF230="вручную",GC230=0),"",IF(AW230=1,"",GE229))))</f>
        <v>6</v>
      </c>
      <c r="GE230">
        <f t="shared" si="450"/>
        <v>6</v>
      </c>
      <c r="GF230">
        <f>IF(B230="","",IFERROR(LOOKUP(INDEX(CHOOSE(DL230,Iдоп_1ж,Iдоп_2ж,Iдоп_3ж),MATCH(DX230,Iдоп_S,0))*DJ230*DK230,{6,10,16,20,25,32,40,50,63,80,100,125,160,200,250,315,400,500,630}),""))</f>
        <v>25</v>
      </c>
      <c r="GG230" t="str">
        <f t="shared" si="451"/>
        <v>QFD6</v>
      </c>
      <c r="GH230" t="str">
        <f t="shared" si="452"/>
        <v>QFD6</v>
      </c>
      <c r="GI230" t="str">
        <f t="shared" si="453"/>
        <v/>
      </c>
      <c r="GJ230">
        <f t="shared" si="454"/>
        <v>0</v>
      </c>
      <c r="GK230" t="str">
        <f>IF(OR(AG230="",AG230="-"),"",IFERROR(VLOOKUP(AG230,Модули_спр,2,FALSE),"R"))</f>
        <v/>
      </c>
      <c r="GL230" t="str">
        <f>IF(GK230="","",GK230&amp;"."&amp;COUNTIFS(A$3:A230,A230,GK$3:GK230,GK230))</f>
        <v/>
      </c>
      <c r="GM230" t="str">
        <f t="shared" si="455"/>
        <v/>
      </c>
      <c r="GN230" t="str">
        <f t="shared" si="456"/>
        <v/>
      </c>
      <c r="GO230" t="str">
        <f t="shared" si="457"/>
        <v/>
      </c>
      <c r="GP230" t="str">
        <f t="shared" si="458"/>
        <v/>
      </c>
      <c r="GQ230">
        <f t="shared" si="459"/>
        <v>1</v>
      </c>
      <c r="GR230" t="str">
        <f>IF(GQ230=1,"XT"&amp;COUNTIFS(A$3:A230,A230,GQ$3:GQ230,1),"")</f>
        <v>XT6</v>
      </c>
      <c r="GS230" t="str">
        <f t="shared" si="460"/>
        <v>XT6</v>
      </c>
      <c r="GT230" t="str">
        <f t="shared" si="461"/>
        <v>QFD6</v>
      </c>
      <c r="GU230" t="str">
        <f t="shared" si="462"/>
        <v/>
      </c>
      <c r="GV230" t="str">
        <f t="shared" si="463"/>
        <v>ok</v>
      </c>
      <c r="GW230" t="str">
        <f>IF(OR(GO230="",GM230=""),"",IF(GO230&gt;IFERROR(VLOOKUP(GN230,Модули_спр,3,FALSE),99),"ЛИШНИЙ КАНАЛ",IF(AND(AH230&lt;&gt;"=",COUNTIFS(Линии[_модуль гр.],GM230,Линии[Канал (итог)],GO230,Линии[Канал],"&lt;&gt;=",Линии[Щит],A230)&gt;1),"ДУБЛЬ КАНАЛА","")))</f>
        <v/>
      </c>
      <c r="GX230" s="6" t="str">
        <f t="shared" si="464"/>
        <v/>
      </c>
      <c r="GY230">
        <f t="shared" si="465"/>
        <v>10</v>
      </c>
      <c r="GZ230" t="str">
        <f t="shared" si="466"/>
        <v/>
      </c>
      <c r="HA230" t="str">
        <f>IF(AND(B230="",GT230=""),"",_xlfn.TEXTJOIN("; ",TRUE,IF(AND(B230&lt;&gt;"",FE230=""),"нет фазы",""),IF(AND(B230&lt;&gt;"",N(FY230)=0,EQ230&lt;&gt;"Нет"),"нет мощности",""),IF(AND(GS230&lt;&gt;"",COUNTIFS(Линии[Щит],A230,Линии[Клемма (итог)],GS230)&gt;1),"дубль клеммы "&amp;GS230,""),IF(AND(GV230&lt;&gt;"",GV230&lt;&gt;"ok"),GV230,""),IF(GW230&lt;&gt;"",GW230,""),IF(AND(N(BV230)&gt;=4,N(BR230)=1),BV230&amp;" жил на 1 фазе",""),IF(AND(AX230="R",CA230=1,OR(N(CK230)=0,N(CK230)&gt;30)),"розетка без дифзащиты до 30 мА",""),IFERROR(IF(AND(ISNUMBER(R230),R230&gt;DV230),"потери "&amp;FIXED(R230,1)&amp;" % &gt; "&amp;DV230&amp;" %",""),""),IFERROR(IF(LEFT(GZ230,4)="мало","Iкз мало — отключение &gt; 0,4 с",""),""),IF(AND(B230&lt;&gt;"",BH230=""),"не на схеме",""),IF(AND(CA230=0,B230&lt;&gt;"",FE230&lt;&gt;"",IF(AW230=1,"",FF229)&lt;&gt;"",FE230&lt;&gt;IF(AW230=1,"",FF229)),"фаза не как у автомата группы ("&amp;IF(AW230=1,"",FF229)&amp;")","")))</f>
        <v/>
      </c>
      <c r="HB230" s="6">
        <f>IF(OR(CA230=0,DA230=""),"",_xlfn.LET(_xlpm.t,IFERROR(_xlfn.XLOOKUP(DA230,Каталог!$U$4:$U$500,Каталог!$G$4:$G$500),""),_xlpm.k,SEARCH("кА",_xlpm.t),IFERROR(--TRIM(RIGHT(SUBSTITUTE(MID(_xlpm.t,MAX(1,_xlpm.k-4),_xlpm.k-MAX(1,_xlpm.k-4))," ",REPT(" ",9)),5)),"")))</f>
        <v>6</v>
      </c>
      <c r="HC230" t="str">
        <f>IF(OR(HB230="",CA230=0),"",IF(_xlfn.XLOOKUP(A230,Щиты[Щит],Щиты[Iкз max на шинах, кА],"")="","",IF(HB230&lt;_xlfn.XLOOKUP(A230,Щиты[Щит],Щиты[Iкз max на шинах, кА]),"Icu "&amp;HB230&amp;" кА &lt; Iкз max","ok")))</f>
        <v/>
      </c>
      <c r="HD230" t="str">
        <f t="shared" si="467"/>
        <v/>
      </c>
      <c r="HE230" t="str">
        <f t="shared" si="468"/>
        <v>QFD6|XT6</v>
      </c>
      <c r="HF230" t="str">
        <f t="shared" si="469"/>
        <v>QFD6|XT6|кабель ВВГнг(А)-LS (3х2,5) → Розеточная группа Первый этаж Пом. №002Б Ледогенератор</v>
      </c>
      <c r="HG230" t="str" cm="1">
        <f t="array" ref="HG230">IF(HF230="","",_xlfn.LET(_xlpm.nd,_xlfn.TEXTSPLIT(HF230,"|"),IF(COLUMNS(_xlpm.nd)&gt;1,A230&amp;"¦"&amp;INDEX(_xlpm.nd,1)&amp;"¦"&amp;INDEX(_xlpm.nd,2),"")))</f>
        <v>ЩР-1¦QFD6¦XT6</v>
      </c>
      <c r="HH230" t="str">
        <f t="shared" si="470"/>
        <v>R.1.002Б.1¦Розеточная группа Первый этаж Пом. №002Б Ледогенератор</v>
      </c>
      <c r="HI230" t="str" cm="1">
        <f t="array" ref="HI230">IF(HF230="","",_xlfn.LET(_xlpm.nd,_xlfn.TEXTSPLIT(HF230,"|"),IF(COLUMNS(_xlpm.nd)&gt;2,A230&amp;"¦"&amp;INDEX(_xlpm.nd,2)&amp;"¦"&amp;INDEX(_xlpm.nd,3),"")))</f>
        <v>ЩР-1¦XT6¦кабель ВВГнг(А)-LS (3х2,5) → Розеточная группа Первый этаж Пом. №002Б Ледогенератор</v>
      </c>
      <c r="HJ230" t="str">
        <f t="shared" si="471"/>
        <v>R.1.002Б.1¦Розеточная группа Первый этаж Пом. №002Б Ледогенератор</v>
      </c>
      <c r="HK230" t="str" cm="1">
        <f t="array" ref="HK230">IF(HF230="","",_xlfn.LET(_xlpm.nd,_xlfn.TEXTSPLIT(HF230,"|"),IF(COLUMNS(_xlpm.nd)&gt;3,A230&amp;"¦"&amp;INDEX(_xlpm.nd,3)&amp;"¦"&amp;INDEX(_xlpm.nd,4),"")))</f>
        <v/>
      </c>
      <c r="HL230" t="str">
        <f t="shared" si="472"/>
        <v/>
      </c>
      <c r="HM230" t="str" cm="1">
        <f t="array" ref="HM230">IF(HF230="","",_xlfn.LET(_xlpm.nd,_xlfn.TEXTSPLIT(HF230,"|"),IF(COLUMNS(_xlpm.nd)&gt;4,A230&amp;"¦"&amp;INDEX(_xlpm.nd,4)&amp;"¦"&amp;INDEX(_xlpm.nd,5),"")))</f>
        <v/>
      </c>
      <c r="HN230" t="str">
        <f t="shared" si="473"/>
        <v/>
      </c>
      <c r="HO230" t="str" cm="1">
        <f t="array" ref="HO230">IF(HF230="","",_xlfn.LET(_xlpm.nd,_xlfn.TEXTSPLIT(HF230,"|"),IF(COLUMNS(_xlpm.nd)&gt;5,A230&amp;"¦"&amp;INDEX(_xlpm.nd,5)&amp;"¦"&amp;INDEX(_xlpm.nd,6),"")))</f>
        <v/>
      </c>
      <c r="HP230" t="str">
        <f t="shared" si="474"/>
        <v/>
      </c>
      <c r="HQ230" t="str" cm="1">
        <f t="array" ref="HQ230">IF(HF230="","",_xlfn.LET(_xlpm.nd,_xlfn.TEXTSPLIT(HF230,"|"),IF(COLUMNS(_xlpm.nd)&gt;6,A230&amp;"¦"&amp;INDEX(_xlpm.nd,6)&amp;"¦"&amp;INDEX(_xlpm.nd,7),"")))</f>
        <v/>
      </c>
      <c r="HR230" t="str">
        <f t="shared" si="475"/>
        <v/>
      </c>
      <c r="HS230" t="str">
        <f t="shared" si="476"/>
        <v/>
      </c>
      <c r="HT230" t="str">
        <f t="shared" si="477"/>
        <v>QFD6 → XT6</v>
      </c>
      <c r="HU230">
        <f t="shared" si="478"/>
        <v>0</v>
      </c>
      <c r="HV230">
        <f t="shared" si="479"/>
        <v>1</v>
      </c>
      <c r="HW230" t="str">
        <f t="shared" si="480"/>
        <v/>
      </c>
      <c r="HX230" t="str">
        <f t="shared" si="481"/>
        <v/>
      </c>
      <c r="HY230" t="str">
        <f t="shared" si="482"/>
        <v/>
      </c>
      <c r="HZ230" t="str">
        <f t="shared" si="483"/>
        <v/>
      </c>
      <c r="IA230" t="str">
        <f>IF(B230="","",IFERROR(VLOOKUP(B230,УГО_спр,2,FALSE),IFERROR(VLOOKUP(AX230,УГО_спр,2,FALSE),IFERROR(VLOOKUP(LEFT(AX230,2),УГО_спр,2,FALSE),""))))</f>
        <v>Розетка</v>
      </c>
      <c r="IB230" t="str">
        <f>IF(B230="","",IF(OR(IA230="",IA230=0),"BOX",IFERROR(IF(VLOOKUP(IA230,УГО_блоки,3,FALSE)&amp;""&lt;&gt;"",VLOOKUP(IA230,УГО_блоки,3,FALSE),VLOOKUP(IA230,УГО_блоки,2,FALSE)),IA230)))</f>
        <v>SOCKET</v>
      </c>
      <c r="IC230">
        <f t="shared" si="484"/>
        <v>1</v>
      </c>
      <c r="ID230" t="str">
        <f>IF(DA230="","",IF(COUNTIF(DA$3:DA230,DA230)=1,MAX(ID$2:ID229)+1,""))</f>
        <v/>
      </c>
      <c r="IE230" t="str">
        <f>IF(CO230="","",IF(COUNTIF(CO$3:CO230,CO230)+COUNTIF(CP$2:CP229,CO230)+COUNTIF(CQ$2:CQ229,CO230)=1,MAX(IE$2:IG229)+1,""))</f>
        <v/>
      </c>
      <c r="IF230" t="str">
        <f>IF(CP230="","",IF(COUNTIF(CO$3:CO230,CP230)+COUNTIF(CP$3:CP230,CP230)+COUNTIF(CQ$2:CQ229,CP230)=1,MAX(IE$2:IG229,IE230)+1,""))</f>
        <v/>
      </c>
      <c r="IG230" t="str">
        <f>IF(CQ230="","",IF(COUNTIF(CO$3:CO230,CQ230)+COUNTIF(CP$3:CP230,CQ230)+COUNTIF(CQ$3:CQ230,CQ230)=1,MAX(IE$2:IG229,IE230,IF230)+1,""))</f>
        <v/>
      </c>
      <c r="IH230" t="str">
        <f t="shared" si="485"/>
        <v>3х2,5</v>
      </c>
      <c r="II230" t="str">
        <f>IF(IH230="","",IF(COUNTIF(IH$3:IH230,IH230)=1,MAX(II$2:II229)+1,""))</f>
        <v/>
      </c>
      <c r="IJ230" t="str">
        <f>IF(GL230="","",COUNTIF(GL$3:GL230,"?*"))</f>
        <v/>
      </c>
      <c r="IK230" t="str">
        <f>IF(OR(GL230="",GN230=""),"",IF(COUNTIFS(GL$3:GL230,"?*",GN$3:GN230,GN230)=1,MAX(IK$2:IK229)+1,""))</f>
        <v/>
      </c>
      <c r="IL230">
        <f t="shared" si="486"/>
        <v>0</v>
      </c>
      <c r="IM230">
        <f>IF(B230="","",COUNTIF(B$3:B230,"?*"))</f>
        <v>228</v>
      </c>
      <c r="IN230">
        <f>IF(GQ230&lt;&gt;1,0,_xlfn.LET(_xlpm.k,MAX(IFERROR(--VLOOKUP(B230,УГО_спр,5,FALSE),0),IFERROR(--VLOOKUP(AX230,УГО_спр,5,FALSE),0),IFERROR(--VLOOKUP(LEFT(AX230,2),УГО_спр,5,FALSE),0)),IF(_xlpm.k&gt;0,_xlpm.k,IF(IFERROR(--LEFT(SUBSTITUTE(IH230,"x","х"),FIND("х",SUBSTITUTE(IH230,"x","х"))-1),3)&gt;3,Каталог!$S$9,1))))</f>
        <v>1</v>
      </c>
      <c r="IO230">
        <f t="shared" si="487"/>
        <v>0</v>
      </c>
      <c r="IP230" t="str">
        <f t="shared" si="488"/>
        <v>авто</v>
      </c>
      <c r="IQ230">
        <f t="shared" si="489"/>
        <v>30</v>
      </c>
      <c r="IR230">
        <f t="shared" si="490"/>
        <v>1</v>
      </c>
      <c r="IS230">
        <f t="shared" si="491"/>
        <v>1</v>
      </c>
    </row>
    <row r="231" spans="1:253" x14ac:dyDescent="0.3">
      <c r="A231" t="s">
        <v>759</v>
      </c>
      <c r="B231" t="s">
        <v>1496</v>
      </c>
      <c r="C231" t="str">
        <f>Линии[[#This Row],[_авто наименование]]</f>
        <v>Розеточная группа, пом. 002Б</v>
      </c>
      <c r="D231">
        <v>3</v>
      </c>
      <c r="E231">
        <v>0.18</v>
      </c>
      <c r="G231" t="str">
        <f>Линии[[#This Row],[_авто автомат]]</f>
        <v>2P С16А 30мА</v>
      </c>
      <c r="H231">
        <f>Линии[[#This Row],[_авто утечка]]</f>
        <v>30</v>
      </c>
      <c r="I231" t="str">
        <f>Линии[[#This Row],[_авто управление]]</f>
        <v/>
      </c>
      <c r="J231" t="str">
        <f>Линии[[#This Row],[_авто аппараты]]</f>
        <v/>
      </c>
      <c r="K231">
        <v>2.5</v>
      </c>
      <c r="L231">
        <v>14</v>
      </c>
      <c r="M231" t="str">
        <f>Линии[[#This Row],[_авто фаза]]</f>
        <v>L3</v>
      </c>
      <c r="N231" t="str">
        <f>Линии[[#This Row],[_авто клемма]]</f>
        <v>XT7</v>
      </c>
      <c r="O231" t="str">
        <f t="shared" si="369"/>
        <v/>
      </c>
      <c r="P231" s="6" cm="1">
        <f t="array" ref="P231">IF(B231="","",IF(BC231&lt;&gt;"",IFERROR(_xlfn.XLOOKUP(BC231,Щиты[Щит],Щиты[Iр, А]),""),IF(BK231=1,IFERROR(_xlfn.XLOOKUP(A231,Щиты[Щит],Щиты[Iр, А]),""),IFERROR(_xlfn.IFS(BR231=1,BN231/((Uн_лин/SQRT(3))*BY231),BR231=3,BN231/(SQRT(3)*Uн_лин*BY231)),""))))</f>
        <v>0.8204451193747313</v>
      </c>
      <c r="Q231" s="7">
        <f>IF(B231="","",IFERROR(IF(VLOOKUP(AX231,Потребители_обозначение,4,FALSE)=1,VLOOKUP(AX231,Потребители_обозначение,3,FALSE)*(D231*2-1)+DS231+VLOOKUP(AZ231,Этаж_обозначение,3,FALSE)+VLOOKUP(AZ231,Этаж_обозначение,4,FALSE),VLOOKUP(AX231,Потребители_обозначение,3,FALSE)*(D231*2-1)+DS231),DS231))</f>
        <v>29</v>
      </c>
      <c r="R231" s="6">
        <f t="shared" si="370"/>
        <v>1.3699999999999999</v>
      </c>
      <c r="S231" t="str">
        <f t="shared" si="371"/>
        <v>ВВГнг(А)-LS (3х2,5)</v>
      </c>
      <c r="T231" t="str">
        <f>IF(BH231="","",IF(BI231="вводной узел","узел ","")&amp;"л."&amp;(INT((BH231-1)/Столбцов_на_лист)+1)&amp;" / "&amp;(MOD(BH231-1,Столбцов_на_лист)+1))</f>
        <v>л.2 / 7</v>
      </c>
      <c r="V231">
        <v>1</v>
      </c>
      <c r="W231">
        <v>230</v>
      </c>
      <c r="X231" t="s">
        <v>564</v>
      </c>
      <c r="AC231" t="s">
        <v>815</v>
      </c>
      <c r="AE231" t="s">
        <v>563</v>
      </c>
      <c r="AI231">
        <v>24</v>
      </c>
      <c r="AJ231" t="s">
        <v>11</v>
      </c>
      <c r="AK231">
        <v>3</v>
      </c>
      <c r="AN231">
        <v>14</v>
      </c>
      <c r="AO231">
        <v>0</v>
      </c>
      <c r="AW231" cm="1">
        <f t="array" ref="AW231">ROW()-ROW(Линии[#Headers])</f>
        <v>229</v>
      </c>
      <c r="AX231" s="6" t="str">
        <f t="shared" si="372"/>
        <v>R</v>
      </c>
      <c r="AY231" t="str">
        <f t="shared" si="373"/>
        <v>1.002Б.2</v>
      </c>
      <c r="AZ231" t="str">
        <f t="shared" si="374"/>
        <v>1</v>
      </c>
      <c r="BA231" t="str">
        <f t="shared" si="375"/>
        <v>002Б.2</v>
      </c>
      <c r="BB231" t="str">
        <f t="shared" si="376"/>
        <v>002Б</v>
      </c>
      <c r="BC231" t="str">
        <f>IF(U231&lt;&gt;"",U231,IF(AND(B231&lt;&gt;"",B231&lt;&gt;A231,ISNUMBER(_xlfn.XMATCH(B231,Щиты[Щит]))),B231,""))</f>
        <v/>
      </c>
      <c r="BD231" t="str" cm="1">
        <f t="array" ref="BD231">IF(B231="","",IF(BC231&lt;&gt;"","Щит "&amp;BC231,_xlfn.LET(_xlpm.nm,IFERROR(_xlfn.XLOOKUP(AX231,Коды_код,Коды_имя)&amp;"",""),_xlpm.md,IFERROR(N(_xlfn.XLOOKUP(AX231,Коды_код,Коды_режим)),1),_xlpm.ex,IF(Имя_режим="по экспликации",IFERROR(_xlfn.XLOOKUP(AZ231&amp;"|"&amp;BB231,Экспликация[Этаж]&amp;"|"&amp;Экспликация[Помещение],Экспликация[Название])&amp;"",""),""),_xlpm.rm,IF(BB231="","",IF(_xlpm.ex&lt;&gt;"",". "&amp;_xlpm.ex&amp;IF(Имя_пом="нет"," ("&amp;BB231&amp;")"," (пом. "&amp;BB231&amp;")"),IF(Имя_пом="нет"," ",", пом. ")&amp;BB231)),IF(_xlpm.nm="","",IF(_xlpm.md=2,_xlpm.nm&amp;" шлейф "&amp;AZ231,_xlpm.nm&amp;_xlpm.rm)))))</f>
        <v>Розеточная группа, пом. 002Б</v>
      </c>
      <c r="BE231" t="str">
        <f t="shared" si="377"/>
        <v>Розеточная группа, пом. 002Б</v>
      </c>
      <c r="BF231">
        <f>IFERROR(_xlfn.XMATCH(A231,Щиты[Щит]),0)</f>
        <v>10</v>
      </c>
      <c r="BG231">
        <f>_xlfn.LET(_xlpm.k,IFERROR(_xlfn.XLOOKUP(A231,Щиты[Щит],Щиты[Листов под вводной узел]),""),IF(_xlpm.k="",1,N(_xlpm.k))*Столбцов_на_лист)</f>
        <v>17</v>
      </c>
      <c r="BH231">
        <f t="shared" si="378"/>
        <v>24</v>
      </c>
      <c r="BI231" t="str">
        <f t="shared" si="379"/>
        <v>линии</v>
      </c>
      <c r="BJ231" s="6">
        <f>IFERROR(N(_xlfn.XLOOKUP(AX231,Коды_код,Коды_квт)),0)</f>
        <v>0</v>
      </c>
      <c r="BK231">
        <f t="shared" si="380"/>
        <v>0</v>
      </c>
      <c r="BL231" t="str">
        <f>IF(B231="","",IF(BC231&lt;&gt;"",IFERROR(_xlfn.XLOOKUP(BC231,Щиты[Щит],Щиты[Руст, кВт]),0),IF(BK231=1,IFERROR(_xlfn.XLOOKUP(A231,Щиты[Щит],Щиты[Руст, кВт]),0),IF(BJ231&gt;0,ROUND(BJ231*MAX(1,N(D231)),3),""))))</f>
        <v/>
      </c>
      <c r="BM231">
        <f t="shared" si="381"/>
        <v>0.18</v>
      </c>
      <c r="BN231" s="6">
        <f>IF(B231="","",IF(BC231&lt;&gt;"",IFERROR(_xlfn.XLOOKUP(BC231,Щиты[Щит],Щиты[Руст, кВт]),0),N(BM231)))</f>
        <v>0.18</v>
      </c>
      <c r="BO231" t="str">
        <f>IF(B231="","",IFERROR(IF(VLOOKUP(AX231,Потребители_обозначение,8,FALSE)=0,"",VLOOKUP(AX231,Потребители_обозначение,8,FALSE)),""))</f>
        <v/>
      </c>
      <c r="BP231">
        <f t="shared" si="382"/>
        <v>230</v>
      </c>
      <c r="BQ231">
        <f>IF(B231="","",IF(BC231&lt;&gt;"",3,IFERROR(IF(N(VLOOKUP(AX231,Потребители_обозначение,9,FALSE))=0,1,VLOOKUP(AX231,Потребители_обозначение,9,FALSE)),1)))</f>
        <v>1</v>
      </c>
      <c r="BR231">
        <f t="shared" si="383"/>
        <v>1</v>
      </c>
      <c r="BS231" t="str">
        <f>IF(B231="","",_xlfn.LET(_xlpm.bc,IFERROR(IF(VLOOKUP(AX231,Потребители_обозначение,6,FALSE)=0,"",VLOOKUP(AX231,Потребители_обозначение,6,FALSE)&amp;""),""),IF(AND(FK231="да",OR(_xlpm.bc="",_xlpm.bc="мс")),Марка_пож,IF(AND(_xlpm.bc="",BC231&lt;&gt;""),"мс",_xlpm.bc))))</f>
        <v/>
      </c>
      <c r="BT231" t="str">
        <f t="shared" si="384"/>
        <v>мс</v>
      </c>
      <c r="BU231">
        <f>IF(B231="","",_xlfn.LET(_xlpm.cc,IFERROR(N(VLOOKUP(AX231,Потребители_обозначение,7,FALSE)),0),IF(_xlpm.cc&gt;0,_xlpm.cc,IF(BT231="","",IF(N(BR231)=3,5,3)))))</f>
        <v>3</v>
      </c>
      <c r="BV231">
        <f t="shared" si="385"/>
        <v>3</v>
      </c>
      <c r="BW231">
        <f>IFERROR(N(VLOOKUP(AX231,Потребители_обозначение,10,FALSE)),0)</f>
        <v>0</v>
      </c>
      <c r="BX231">
        <f>IFERROR(VLOOKUP(AX231,Потребители_обозначение,5,FALSE),0)</f>
        <v>1</v>
      </c>
      <c r="BY231" s="6" cm="1">
        <f t="array" ref="BY231">IF(B231="","",IF(BC231&lt;&gt;"",IFERROR(_xlfn.XLOOKUP(BC231,Щиты[Щит],Щиты[cos φ]),0.95),IF(BK231=1,IFERROR(_xlfn.XLOOKUP(A231,Щиты[Щит],Щиты[cos φ]),0.95),IF(ISNUMBER(Z231),Z231,IFERROR(IF(BX231=2,_xlfn.IFS(BR231=3,VLOOKUP(BN231,Справочная_двигатели,8,FALSE),BR231=1,VLOOKUP(BN231,Справочная_двигатели,10,TRUE)),IF(AND(Методика="нормы 2026",EQ231="Сил"),0.8,0.95)),0.95)))))</f>
        <v>0.95</v>
      </c>
      <c r="BZ231">
        <f t="shared" si="386"/>
        <v>0</v>
      </c>
      <c r="CA231">
        <f t="shared" si="387"/>
        <v>1</v>
      </c>
      <c r="CB231">
        <f t="shared" si="388"/>
        <v>0</v>
      </c>
      <c r="CC231">
        <f t="shared" si="389"/>
        <v>0</v>
      </c>
      <c r="CD231">
        <f t="shared" si="390"/>
        <v>0</v>
      </c>
      <c r="CE231">
        <f t="shared" si="391"/>
        <v>0</v>
      </c>
      <c r="CF231">
        <f t="shared" si="392"/>
        <v>0</v>
      </c>
      <c r="CG231">
        <f>IF(AX231="",0,_xlfn.LET(_xlpm.v,IFERROR(VLOOKUP(B231,УГО_спр,3,FALSE),IFERROR(VLOOKUP(AX231,УГО_спр,3,FALSE),IFERROR(VLOOKUP(LEFT(AX231,2),УГО_спр,3,FALSE),""))),IF(_xlpm.v="да",30,IF(ISNUMBER(_xlpm.v),_xlpm.v,0))))</f>
        <v>30</v>
      </c>
      <c r="CH231">
        <f t="shared" si="393"/>
        <v>30</v>
      </c>
      <c r="CI231" t="str">
        <f>_xlfn.LET(_xlpm.k,IFERROR(_xlfn.XLOOKUP(AX231,Коды_код,Коды_утечка)&amp;"",""),IF(_xlpm.k="","дифавтомат",_xlpm.k))</f>
        <v>дифавтомат</v>
      </c>
      <c r="CJ231">
        <f t="shared" si="394"/>
        <v>30</v>
      </c>
      <c r="CK231">
        <f t="shared" si="395"/>
        <v>30</v>
      </c>
      <c r="CL231">
        <f>IF(B231="",0,IFERROR(--VLOOKUP(B231,УГО_спр,4,FALSE),IFERROR(--VLOOKUP(AX231,УГО_спр,4,FALSE),IFERROR(--VLOOKUP(LEFT(AX231,2),УГО_спр,4,FALSE),0))))</f>
        <v>16</v>
      </c>
      <c r="CM231" t="str">
        <f>IF(B231="","",IFERROR(_xlfn.XLOOKUP(AX231,Коды_код,Коды_апп)&amp;"",""))</f>
        <v/>
      </c>
      <c r="CN231" t="str">
        <f t="shared" si="396"/>
        <v/>
      </c>
      <c r="CO231" t="str" cm="1">
        <f t="array" ref="CO231">IF(TRIM(CN231&amp;"")="","",IFERROR(TRIM(INDEX(_xlfn.TEXTSPLIT(CN231&amp;";;;",";"),1)),""))</f>
        <v/>
      </c>
      <c r="CP231" t="str" cm="1">
        <f t="array" ref="CP231">IF(TRIM(CN231&amp;"")="","",IFERROR(TRIM(INDEX(_xlfn.TEXTSPLIT(CN231&amp;";;;",";"),2)),""))</f>
        <v/>
      </c>
      <c r="CQ231" t="str" cm="1">
        <f t="array" ref="CQ231">IF(TRIM(CN231&amp;"")="","",IFERROR(TRIM(INDEX(_xlfn.TEXTSPLIT(CN231&amp;";;;",";"),3)),""))</f>
        <v/>
      </c>
      <c r="CR231">
        <f t="shared" si="397"/>
        <v>0</v>
      </c>
      <c r="CS231" t="str">
        <f>IF(B231="","",_xlfn.LET(_xlpm.t,LOWER(AV231&amp;""),IF(ISNUMBER(SEARCH("dim",_xlpm.t)),"DIM",IF(ISNUMBER(SEARCH("dali",_xlpm.t)),"DALI",IF(OR(ISNUMBER(SEARCH("relay",_xlpm.t)),ISNUMBER(SEARCH("реле",_xlpm.t))),"Relay",IF(ISNUMBER(SEARCH("кнопк",_xlpm.t)),"",IFERROR(_xlfn.XLOOKUP(AX231,Коды_код,Коды_упр)&amp;"","")))))))</f>
        <v/>
      </c>
      <c r="CT231" t="str">
        <f t="shared" si="398"/>
        <v/>
      </c>
      <c r="CU231">
        <f>IF(B231="","",_xlfn.LET(_xlpm.ig,N(P231)+IF(AF231="вручную",0,N(CB231)),_xlpm.n0,IFERROR(VLOOKUP(_xlpm.ig,Автомат_номиналы,2,TRUE),0),_xlpm.mn,MAX(CL231,IF(AF231="вручную",0,N(CE231))),MAX(_xlpm.n0,_xlpm.mn,IF(CR231=1,Мин_автомат_БП,0))))</f>
        <v>16</v>
      </c>
      <c r="CV231">
        <f t="shared" si="399"/>
        <v>1</v>
      </c>
      <c r="CW231" t="str">
        <f t="shared" si="400"/>
        <v>2P</v>
      </c>
      <c r="CX231" t="str">
        <f>_xlfn.LET(_xlpm.cc,UPPER(TRIM(IFERROR(_xlfn.XLOOKUP(AX231,Коды_код,Коды_хар)&amp;"",""))),IF(OR(_xlpm.cc="B",_xlpm.cc="В"),"B",IF(_xlpm.cc="D","D","С")))</f>
        <v>С</v>
      </c>
      <c r="CY231" t="str">
        <f t="shared" si="401"/>
        <v>2P С16А 30мА</v>
      </c>
      <c r="CZ231" t="str">
        <f t="shared" si="402"/>
        <v>2P С16А 30мА</v>
      </c>
      <c r="DA231" t="str">
        <f t="shared" si="403"/>
        <v>2P С16А 30мА</v>
      </c>
      <c r="DB231" cm="1">
        <f t="array" ref="DB231">IF(DA231="","",_xlfn.LET(_xlpm.t,SUBSTITUTE(SUBSTITUTE(SUBSTITUTE(UPPER(DA231),"С","C"),"А","A"),"В","B"),_xlpm.tk,_xlfn.TEXTSPLIT(_xlpm.t,"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1" t="str">
        <f t="shared" si="404"/>
        <v>ok</v>
      </c>
      <c r="DD231">
        <f t="shared" si="405"/>
        <v>16</v>
      </c>
      <c r="DE231" t="str">
        <f t="shared" si="406"/>
        <v>2P С16А 30мА</v>
      </c>
      <c r="DF231">
        <f t="shared" si="407"/>
        <v>30</v>
      </c>
      <c r="DG231">
        <f t="shared" si="408"/>
        <v>1</v>
      </c>
      <c r="DH231">
        <f t="shared" si="409"/>
        <v>0</v>
      </c>
      <c r="DI231">
        <f t="shared" si="410"/>
        <v>0.8204451193747313</v>
      </c>
      <c r="DJ231">
        <f t="shared" si="411"/>
        <v>1</v>
      </c>
      <c r="DK231">
        <f>IF(ISNUMBER(AL231),AL231,К_прокл)</f>
        <v>1</v>
      </c>
      <c r="DL231">
        <f t="shared" si="412"/>
        <v>2</v>
      </c>
      <c r="DM231">
        <f>IFERROR(N(VLOOKUP(BT231,Кабель_обозначение,3,FALSE)),1)</f>
        <v>1</v>
      </c>
      <c r="DN231">
        <f>IFERROR(N(_xlfn.XLOOKUP(A231,Щиты[Щит],Щиты[ΔU до шин, %])),0)</f>
        <v>1.19</v>
      </c>
      <c r="DO231" t="str">
        <f>IFERROR(_xlfn.XLOOKUP(A231,Щиты[Щит],Щиты[Zпетли на шинах, Ом]),"")</f>
        <v/>
      </c>
      <c r="DP231">
        <f>IFERROR(N(_xlfn.XLOOKUP(A231,Щиты[Щит],Щиты[ΔU до шин (подбор), %])),0)</f>
        <v>1.19</v>
      </c>
      <c r="DQ231" t="str">
        <f>IFERROR(_xlfn.XLOOKUP(A231,Щиты[Щит],Щиты[Zпетли на шинах (подбор), Ом]),"")</f>
        <v/>
      </c>
      <c r="DR231" t="str">
        <f t="shared" si="413"/>
        <v/>
      </c>
      <c r="DS231">
        <f t="shared" si="414"/>
        <v>14</v>
      </c>
      <c r="DT231">
        <f t="shared" si="415"/>
        <v>2</v>
      </c>
      <c r="DU231">
        <f t="shared" si="416"/>
        <v>0.31</v>
      </c>
      <c r="DV231" s="6">
        <f>IF(B231="","",IF(IFERROR(VLOOKUP(AX231,УГО_спр,2,FALSE),"")="Светильник",3,4)+IF(Методика="нормы 2026",MIN(0.5,MAX(0,N(Q231)-100)*0.005),0))</f>
        <v>4</v>
      </c>
      <c r="DW231" cm="1">
        <f t="array" ref="DW231">IF(OR(B231="",BT231="",DM231&lt;&gt;1),"",_xlfn.LET(_xlpm.sz,Iдоп_S,_xlpm.t_,CHOOSE(DL231,Iдоп_1ж,Iдоп_2ж,Iдоп_3ж)*DJ231*DK231,_xlpm.inn,N(DD231),_xlpm.smin,MAX(1.5,BW231),_xlpm.L_,N(Q231)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231)*(_xlpm.rho*_xlpm.L_/_xlpm.sz*N(BY231)+_xlpm.xx*_xlpm.L_*N(DU231)/1000)*N(P231)/((Uн_лин/SQRT(3))*1000)*100,999),_xlpm.kz,IF(OR(DG231=1,NOT(ISNUMBER(DQ231)),_xlpm.L_=0,_xlpm.inn=0),1,IFERROR(--(c_min*(Uн_лин*1000/SQRT(3))/(DQ231+2*ρкз_Cu*_xlpm.L_/_xlpm.sz)&gt;=GY231*_xlpm.inn),0)),_xlpm.ok,IFERROR((_xlpm.sz&gt;=_xlpm.smin)*(_xlpm.t_&gt;=_xlpm.inn)*IF(_xlpm.L_&gt;0,(_xlpm.du_+DP231&lt;=DV231+0.00001),1)*_xlpm.kz,0),_xlpm.r_,_xlfn._xlws.FILTER(_xlpm.sz,_xlpm.ok,"не подобрано"),INDEX(_xlpm.r_,1)))</f>
        <v>1.5</v>
      </c>
      <c r="DX231">
        <f t="shared" si="417"/>
        <v>2.5</v>
      </c>
      <c r="DY231" cm="1">
        <f t="array" ref="DY231">IF(OR(B231="",BT231="",DM231&lt;&gt;1),"",_xlfn.LET(_xlpm.sz,Iдоп_S,_xlpm.t_,CHOOSE(DL231,Iдоп_1ж,Iдоп_2ж,Iдоп_3ж)*DJ231*DK231,_xlpm.ok,IFERROR((_xlpm.sz&gt;=MAX(1.5,BW231))*(_xlpm.t_&gt;=N(DD231)),0),_xlpm.r_,_xlfn._xlws.FILTER(_xlpm.sz,_xlpm.ok,""),INDEX(_xlpm.r_,1)))</f>
        <v>1.5</v>
      </c>
      <c r="DZ231" s="6" cm="1">
        <f t="array" ref="DZ231">IFERROR(ROUNDUP(N(DT231)*(_xlfn.XLOOKUP(DY231,INDEX(Кабель_сопротивление,0,1),INDEX(Кабель_сопротивление,0,3))*N(Q231)/DY231*N(BY231)+_xlfn.XLOOKUP(DY231,INDEX(Кабель_сопротивление,0,1),INDEX(Кабель_сопротивление,0,2))*N(Q231)*N(DU231)/1000)*N(P231)/((Uн_лин/SQRT(3))*1000)*100,2),"")</f>
        <v>0.3</v>
      </c>
      <c r="EA231">
        <f>IFERROR(2*ρкз_Cu*N(Q231)/DY231,"")</f>
        <v>1.0169333333333335</v>
      </c>
      <c r="EB231">
        <f>IFERROR(VLOOKUP(DX231,Кабель_сопротивление,3,FALSE),"")</f>
        <v>2.2499999999999999E-2</v>
      </c>
      <c r="EC231">
        <f>IFERROR(VLOOKUP(DX231,Кабель_сопротивление,2,FALSE),"")</f>
        <v>0.1</v>
      </c>
      <c r="ED231">
        <f t="shared" si="418"/>
        <v>14</v>
      </c>
      <c r="EE231">
        <f t="shared" si="419"/>
        <v>0</v>
      </c>
      <c r="EF231">
        <f t="shared" si="420"/>
        <v>0.40833389502256506</v>
      </c>
      <c r="EG231" s="6">
        <f>IFERROR(ROUNDUP(EF231/((Uн_лин/SQRT(3))*1000)*100,2),"")</f>
        <v>0.18000000000000002</v>
      </c>
      <c r="EH231" t="str">
        <f>IFERROR(VLOOKUP(BT231,Кабель_обозначение,2,FALSE),"")</f>
        <v>ВВГнг(А)-LS</v>
      </c>
      <c r="EI231" t="str">
        <f t="shared" si="421"/>
        <v>ВВГнг(А)-LS (3х2,5)</v>
      </c>
      <c r="EJ231" t="str">
        <f t="shared" si="422"/>
        <v>ВВГнг(А)-LS (3х2,5)
L=29-0,18%</v>
      </c>
      <c r="EK231">
        <f>IFERROR(2*ρкз_Cu*Q231/DX231,"")</f>
        <v>0.61016000000000004</v>
      </c>
      <c r="EL231">
        <f t="shared" si="423"/>
        <v>0.20300000000000001</v>
      </c>
      <c r="EM231" s="6" t="str">
        <f>IFERROR(IF(OR(B231="",NOT(ISNUMBER(DX231)),N(Q231)=0),"",_xlfn.XLOOKUP(A231,Щиты[Щит],Щиты[Zпетли на шинах, Ом])+EK231),"")</f>
        <v/>
      </c>
      <c r="EN231" s="6" t="str">
        <f>IF(ISNUMBER(EM231),c_min*(Uн_лин*1000/SQRT(3))/EM231,"")</f>
        <v/>
      </c>
      <c r="EO231" s="6" t="str">
        <f>IFERROR(IF(OR(B231="",NOT(ISNUMBER(DX231))),"",1.05*(Uн_лин*1000/SQRT(3))/(_xlfn.XLOOKUP(A231,Щиты[Щит],Щиты[Zmax на шинах, Ом])+EL231)/1000),"")</f>
        <v/>
      </c>
      <c r="EP231" s="6" t="str">
        <f>IF(B231="","",IF(ISNUMBER(Y231),"Сил",IF(IFERROR(_xlfn.XLOOKUP(AX231,Коды_код,Коды_группа)&amp;"","")="","Быт",_xlfn.XLOOKUP(AX231,Коды_код,Коды_группа)&amp;"")))</f>
        <v>Быт</v>
      </c>
      <c r="EQ231" s="6" t="str">
        <f t="shared" si="424"/>
        <v>Быт</v>
      </c>
      <c r="ER231" s="6">
        <f>IF(EQ231="Щит","щит",IF(EQ231="","",IF(EQ231="Быт",IFERROR(_xlfn.XLOOKUP(A231,Щиты[Щит],Щиты[Кс быт]),1),IF(EQ231="Сил",IF(ISNUMBER(Y231),Y231,IF(Методика="нормы 2026",IFERROR(_xlfn.XLOOKUP(A231,Щиты[Щит],Щиты[Кс силовых (табл. 7.5)]),1),1)),IF(OR(EQ231="Пост",EQ231="Отоп"),1,IF(EQ231="ВНГ",0.7,0))))))</f>
        <v>0.57830000000000004</v>
      </c>
      <c r="ES231">
        <f t="shared" si="425"/>
        <v>1</v>
      </c>
      <c r="ET231">
        <f t="shared" si="426"/>
        <v>0.18</v>
      </c>
      <c r="EU231">
        <f t="shared" si="427"/>
        <v>0.18</v>
      </c>
      <c r="EV231">
        <f t="shared" si="428"/>
        <v>0</v>
      </c>
      <c r="EW231">
        <f t="shared" si="429"/>
        <v>0</v>
      </c>
      <c r="EX231">
        <f t="shared" si="430"/>
        <v>0</v>
      </c>
      <c r="EY231">
        <f t="shared" si="431"/>
        <v>0</v>
      </c>
      <c r="EZ231">
        <f t="shared" si="432"/>
        <v>0.18</v>
      </c>
      <c r="FA231">
        <f t="shared" si="433"/>
        <v>0.17099999999999999</v>
      </c>
      <c r="FB231">
        <f t="shared" si="434"/>
        <v>0.18</v>
      </c>
      <c r="FC231" t="str">
        <f t="shared" si="435"/>
        <v/>
      </c>
      <c r="FD231" t="str">
        <f>IF(B231="","",IF(CA231=0,IF(AW231=1,"",FF230),IF(OR(N(CV231)&gt;=3,N(BR231)&gt;=3),"L1,L2,L3",IFERROR(_xlfn.TEXTBEFORE(_xlfn.TEXTAFTER(_xlfn.XLOOKUP(A231,Щиты[Щит],Щиты[_фазы авто]),";"&amp;AW231&amp;":"),";"),"L1"))))</f>
        <v>L3</v>
      </c>
      <c r="FE231" t="str">
        <f t="shared" si="436"/>
        <v>L3</v>
      </c>
      <c r="FF231" t="str">
        <f t="shared" si="437"/>
        <v>L3</v>
      </c>
      <c r="FG231" cm="1">
        <f t="array" ref="FG231">IFERROR(IF(BX231=2,_xlfn.IFS(BR231=3,VLOOKUP(BN231,Справочная_двигатели,3,FALSE),BR231=1,VLOOKUP(BN231,Справочная_двигатели,5,TRUE)),0),0)</f>
        <v>0</v>
      </c>
      <c r="FH231">
        <f>IFERROR(IF(BX231=3,VLOOKUP(BN231,Справочная_ЛЭД,2,TRUE),0),0)</f>
        <v>0</v>
      </c>
      <c r="FI231" s="6">
        <f t="shared" si="438"/>
        <v>0</v>
      </c>
      <c r="FJ231" t="str" cm="1">
        <f t="array" ref="FJ231">IF(B231="","",IFERROR(INDEX({"I особая","I","II","III"},MATCH(TRIM(AC231&amp;""),{"I особая","I","II","III"},0)),"III"))</f>
        <v>II</v>
      </c>
      <c r="FK231" t="str">
        <f>IF(B231="","",IF(TRIM(AD231&amp;"")&lt;&gt;"",IF(LOWER(TRIM(AD231&amp;""))="да","да","нет"),IF(IFERROR(_xlfn.XLOOKUP(AX231,Коды_код,Коды_пожарная),"")="да","да","нет")))</f>
        <v>нет</v>
      </c>
      <c r="FL231" t="str">
        <f t="shared" si="439"/>
        <v/>
      </c>
      <c r="FM231" t="str">
        <f t="shared" si="440"/>
        <v>основная</v>
      </c>
      <c r="FN231">
        <f t="shared" si="441"/>
        <v>1</v>
      </c>
      <c r="FO231" t="str" cm="1">
        <f t="array" ref="FO231">IF(B231="","",_xlfn.LET(_xlpm.t,IFERROR(_xlfn.XLOOKUP(1,(Шины[Шина]=FM231)*(((Шины[Щит]=A231)+(Шины[Щит]=""))&gt;0),Шины[Тип]),"")&amp;"",IF(_xlpm.t&lt;&gt;"",_xlpm.t,IF(ISNUMBER(SEARCH("ИБП",FM231)),"ИБП",IF(ISNUMBER(SEARCH("ДГУ",FM231)),"ДГУ","Ввод "&amp;FN231)))))</f>
        <v>Ввод 1</v>
      </c>
      <c r="FP231" t="str">
        <f t="shared" si="442"/>
        <v>Ввод 1</v>
      </c>
      <c r="FQ231" t="str">
        <f>IF(B231="","",IF(OR(FO231="ИБП",FO231="ДГУ"),"I особая",IF(FO231="Одиночная","III",_xlfn.XLOOKUP(A231,Щиты[Щит],Щиты[Категория шины «Ввод»],"III"))))</f>
        <v>II</v>
      </c>
      <c r="FR231">
        <f>IF(B231="",0,IFERROR(MATCH(FJ231,{"III","II","I","I особая"},0),1))</f>
        <v>2</v>
      </c>
      <c r="FS231">
        <f t="shared" si="443"/>
        <v>2</v>
      </c>
      <c r="FT231" t="str">
        <f>IF(B231="","",IF(FR231&gt;IFERROR(MATCH(FQ231,{"III","II","I","I особая"},0),1),"НЕ ОБЕСПЕЧЕНА","ОК"))</f>
        <v>ОК</v>
      </c>
      <c r="FU231" t="str">
        <f>IF(A231="","",_xlfn.XLOOKUP(A231,Щиты[Щит],Щиты[Путь],""))</f>
        <v>|ГРЩ-ЖД|ЩР-1|</v>
      </c>
      <c r="FV231" t="str">
        <f>IF(B231="","",IF(AE231&lt;&gt;"",AE231,IF(IFERROR(_xlfn.XLOOKUP(AX231,Коды_код,Коды_вид)&amp;"","")="","Прочее",_xlfn.XLOOKUP(AX231,Коды_код,Коды_вид)&amp;"")))</f>
        <v>Розеточная сеть и бытовые приборы</v>
      </c>
      <c r="FW231">
        <f>IF(BH231="","",INT((BH231-1)/Столбцов_на_лист)+1)</f>
        <v>2</v>
      </c>
      <c r="FX231" t="str">
        <f t="shared" si="444"/>
        <v>ВВГнг(А)-LS (3х2,5) L=29-0,18%</v>
      </c>
      <c r="FY231">
        <f t="shared" si="445"/>
        <v>0.18</v>
      </c>
      <c r="FZ231">
        <f t="shared" si="446"/>
        <v>0.83</v>
      </c>
      <c r="GA231">
        <f t="shared" si="447"/>
        <v>1</v>
      </c>
      <c r="GB231">
        <f t="shared" si="448"/>
        <v>0</v>
      </c>
      <c r="GC231">
        <f t="shared" si="449"/>
        <v>1</v>
      </c>
      <c r="GD231">
        <f>IF(BH231="","",IF(AND(CA231=1,GC231=1),COUNTIFS(A$3:A231,A231,CA$3:CA231,1,GC$3:GC231,1),IF(OR(OR(AW231=1,A231&lt;&gt;A230),AF231="вручную",GC231=0),"",IF(AW231=1,"",GE230))))</f>
        <v>7</v>
      </c>
      <c r="GE231">
        <f t="shared" si="450"/>
        <v>7</v>
      </c>
      <c r="GF231">
        <f>IF(B231="","",IFERROR(LOOKUP(INDEX(CHOOSE(DL231,Iдоп_1ж,Iдоп_2ж,Iдоп_3ж),MATCH(DX231,Iдоп_S,0))*DJ231*DK231,{6,10,16,20,25,32,40,50,63,80,100,125,160,200,250,315,400,500,630}),""))</f>
        <v>25</v>
      </c>
      <c r="GG231" t="str">
        <f t="shared" si="451"/>
        <v>QFD7</v>
      </c>
      <c r="GH231" t="str">
        <f t="shared" si="452"/>
        <v>QFD7</v>
      </c>
      <c r="GI231" t="str">
        <f t="shared" si="453"/>
        <v/>
      </c>
      <c r="GJ231">
        <f t="shared" si="454"/>
        <v>0</v>
      </c>
      <c r="GK231" t="str">
        <f>IF(OR(AG231="",AG231="-"),"",IFERROR(VLOOKUP(AG231,Модули_спр,2,FALSE),"R"))</f>
        <v/>
      </c>
      <c r="GL231" t="str">
        <f>IF(GK231="","",GK231&amp;"."&amp;COUNTIFS(A$3:A231,A231,GK$3:GK231,GK231))</f>
        <v/>
      </c>
      <c r="GM231" t="str">
        <f t="shared" si="455"/>
        <v/>
      </c>
      <c r="GN231" t="str">
        <f t="shared" si="456"/>
        <v/>
      </c>
      <c r="GO231" t="str">
        <f t="shared" si="457"/>
        <v/>
      </c>
      <c r="GP231" t="str">
        <f t="shared" si="458"/>
        <v/>
      </c>
      <c r="GQ231">
        <f t="shared" si="459"/>
        <v>1</v>
      </c>
      <c r="GR231" t="str">
        <f>IF(GQ231=1,"XT"&amp;COUNTIFS(A$3:A231,A231,GQ$3:GQ231,1),"")</f>
        <v>XT7</v>
      </c>
      <c r="GS231" t="str">
        <f t="shared" si="460"/>
        <v>XT7</v>
      </c>
      <c r="GT231" t="str">
        <f t="shared" si="461"/>
        <v>QFD7</v>
      </c>
      <c r="GU231" t="str">
        <f t="shared" si="462"/>
        <v/>
      </c>
      <c r="GV231" t="str">
        <f t="shared" si="463"/>
        <v>ok</v>
      </c>
      <c r="GW231" t="str">
        <f>IF(OR(GO231="",GM231=""),"",IF(GO231&gt;IFERROR(VLOOKUP(GN231,Модули_спр,3,FALSE),99),"ЛИШНИЙ КАНАЛ",IF(AND(AH231&lt;&gt;"=",COUNTIFS(Линии[_модуль гр.],GM231,Линии[Канал (итог)],GO231,Линии[Канал],"&lt;&gt;=",Линии[Щит],A231)&gt;1),"ДУБЛЬ КАНАЛА","")))</f>
        <v/>
      </c>
      <c r="GX231" s="6" t="str">
        <f t="shared" si="464"/>
        <v/>
      </c>
      <c r="GY231">
        <f t="shared" si="465"/>
        <v>10</v>
      </c>
      <c r="GZ231" t="str">
        <f t="shared" si="466"/>
        <v/>
      </c>
      <c r="HA231" t="str">
        <f>IF(AND(B231="",GT231=""),"",_xlfn.TEXTJOIN("; ",TRUE,IF(AND(B231&lt;&gt;"",FE231=""),"нет фазы",""),IF(AND(B231&lt;&gt;"",N(FY231)=0,EQ231&lt;&gt;"Нет"),"нет мощности",""),IF(AND(GS231&lt;&gt;"",COUNTIFS(Линии[Щит],A231,Линии[Клемма (итог)],GS231)&gt;1),"дубль клеммы "&amp;GS231,""),IF(AND(GV231&lt;&gt;"",GV231&lt;&gt;"ok"),GV231,""),IF(GW231&lt;&gt;"",GW231,""),IF(AND(N(BV231)&gt;=4,N(BR231)=1),BV231&amp;" жил на 1 фазе",""),IF(AND(AX231="R",CA231=1,OR(N(CK231)=0,N(CK231)&gt;30)),"розетка без дифзащиты до 30 мА",""),IFERROR(IF(AND(ISNUMBER(R231),R231&gt;DV231),"потери "&amp;FIXED(R231,1)&amp;" % &gt; "&amp;DV231&amp;" %",""),""),IFERROR(IF(LEFT(GZ231,4)="мало","Iкз мало — отключение &gt; 0,4 с",""),""),IF(AND(B231&lt;&gt;"",BH231=""),"не на схеме",""),IF(AND(CA231=0,B231&lt;&gt;"",FE231&lt;&gt;"",IF(AW231=1,"",FF230)&lt;&gt;"",FE231&lt;&gt;IF(AW231=1,"",FF230)),"фаза не как у автомата группы ("&amp;IF(AW231=1,"",FF230)&amp;")","")))</f>
        <v/>
      </c>
      <c r="HB231" s="6">
        <f>IF(OR(CA231=0,DA231=""),"",_xlfn.LET(_xlpm.t,IFERROR(_xlfn.XLOOKUP(DA231,Каталог!$U$4:$U$500,Каталог!$G$4:$G$500),""),_xlpm.k,SEARCH("кА",_xlpm.t),IFERROR(--TRIM(RIGHT(SUBSTITUTE(MID(_xlpm.t,MAX(1,_xlpm.k-4),_xlpm.k-MAX(1,_xlpm.k-4))," ",REPT(" ",9)),5)),"")))</f>
        <v>6</v>
      </c>
      <c r="HC231" t="str">
        <f>IF(OR(HB231="",CA231=0),"",IF(_xlfn.XLOOKUP(A231,Щиты[Щит],Щиты[Iкз max на шинах, кА],"")="","",IF(HB231&lt;_xlfn.XLOOKUP(A231,Щиты[Щит],Щиты[Iкз max на шинах, кА]),"Icu "&amp;HB231&amp;" кА &lt; Iкз max","ok")))</f>
        <v/>
      </c>
      <c r="HD231" t="str">
        <f t="shared" si="467"/>
        <v/>
      </c>
      <c r="HE231" t="str">
        <f t="shared" si="468"/>
        <v>QFD7|XT7</v>
      </c>
      <c r="HF231" t="str">
        <f t="shared" si="469"/>
        <v>QFD7|XT7|кабель ВВГнг(А)-LS (3х2,5) → Розеточная группа, пом. 002Б</v>
      </c>
      <c r="HG231" t="str" cm="1">
        <f t="array" ref="HG231">IF(HF231="","",_xlfn.LET(_xlpm.nd,_xlfn.TEXTSPLIT(HF231,"|"),IF(COLUMNS(_xlpm.nd)&gt;1,A231&amp;"¦"&amp;INDEX(_xlpm.nd,1)&amp;"¦"&amp;INDEX(_xlpm.nd,2),"")))</f>
        <v>ЩР-1¦QFD7¦XT7</v>
      </c>
      <c r="HH231" t="str">
        <f t="shared" si="470"/>
        <v>R.1.002Б.2¦Розеточная группа, пом. 002Б</v>
      </c>
      <c r="HI231" t="str" cm="1">
        <f t="array" ref="HI231">IF(HF231="","",_xlfn.LET(_xlpm.nd,_xlfn.TEXTSPLIT(HF231,"|"),IF(COLUMNS(_xlpm.nd)&gt;2,A231&amp;"¦"&amp;INDEX(_xlpm.nd,2)&amp;"¦"&amp;INDEX(_xlpm.nd,3),"")))</f>
        <v>ЩР-1¦XT7¦кабель ВВГнг(А)-LS (3х2,5) → Розеточная группа, пом. 002Б</v>
      </c>
      <c r="HJ231" t="str">
        <f t="shared" si="471"/>
        <v>R.1.002Б.2¦Розеточная группа, пом. 002Б</v>
      </c>
      <c r="HK231" t="str" cm="1">
        <f t="array" ref="HK231">IF(HF231="","",_xlfn.LET(_xlpm.nd,_xlfn.TEXTSPLIT(HF231,"|"),IF(COLUMNS(_xlpm.nd)&gt;3,A231&amp;"¦"&amp;INDEX(_xlpm.nd,3)&amp;"¦"&amp;INDEX(_xlpm.nd,4),"")))</f>
        <v/>
      </c>
      <c r="HL231" t="str">
        <f t="shared" si="472"/>
        <v/>
      </c>
      <c r="HM231" t="str" cm="1">
        <f t="array" ref="HM231">IF(HF231="","",_xlfn.LET(_xlpm.nd,_xlfn.TEXTSPLIT(HF231,"|"),IF(COLUMNS(_xlpm.nd)&gt;4,A231&amp;"¦"&amp;INDEX(_xlpm.nd,4)&amp;"¦"&amp;INDEX(_xlpm.nd,5),"")))</f>
        <v/>
      </c>
      <c r="HN231" t="str">
        <f t="shared" si="473"/>
        <v/>
      </c>
      <c r="HO231" t="str" cm="1">
        <f t="array" ref="HO231">IF(HF231="","",_xlfn.LET(_xlpm.nd,_xlfn.TEXTSPLIT(HF231,"|"),IF(COLUMNS(_xlpm.nd)&gt;5,A231&amp;"¦"&amp;INDEX(_xlpm.nd,5)&amp;"¦"&amp;INDEX(_xlpm.nd,6),"")))</f>
        <v/>
      </c>
      <c r="HP231" t="str">
        <f t="shared" si="474"/>
        <v/>
      </c>
      <c r="HQ231" t="str" cm="1">
        <f t="array" ref="HQ231">IF(HF231="","",_xlfn.LET(_xlpm.nd,_xlfn.TEXTSPLIT(HF231,"|"),IF(COLUMNS(_xlpm.nd)&gt;6,A231&amp;"¦"&amp;INDEX(_xlpm.nd,6)&amp;"¦"&amp;INDEX(_xlpm.nd,7),"")))</f>
        <v/>
      </c>
      <c r="HR231" t="str">
        <f t="shared" si="475"/>
        <v/>
      </c>
      <c r="HS231" t="str">
        <f t="shared" si="476"/>
        <v/>
      </c>
      <c r="HT231" t="str">
        <f t="shared" si="477"/>
        <v>QFD7 → XT7</v>
      </c>
      <c r="HU231">
        <f t="shared" si="478"/>
        <v>0</v>
      </c>
      <c r="HV231">
        <f t="shared" si="479"/>
        <v>1</v>
      </c>
      <c r="HW231" t="str">
        <f t="shared" si="480"/>
        <v/>
      </c>
      <c r="HX231" t="str">
        <f t="shared" si="481"/>
        <v/>
      </c>
      <c r="HY231" t="str">
        <f t="shared" si="482"/>
        <v/>
      </c>
      <c r="HZ231" t="str">
        <f t="shared" si="483"/>
        <v/>
      </c>
      <c r="IA231" t="str">
        <f>IF(B231="","",IFERROR(VLOOKUP(B231,УГО_спр,2,FALSE),IFERROR(VLOOKUP(AX231,УГО_спр,2,FALSE),IFERROR(VLOOKUP(LEFT(AX231,2),УГО_спр,2,FALSE),""))))</f>
        <v>Розетка</v>
      </c>
      <c r="IB231" t="str">
        <f>IF(B231="","",IF(OR(IA231="",IA231=0),"BOX",IFERROR(IF(VLOOKUP(IA231,УГО_блоки,3,FALSE)&amp;""&lt;&gt;"",VLOOKUP(IA231,УГО_блоки,3,FALSE),VLOOKUP(IA231,УГО_блоки,2,FALSE)),IA231)))</f>
        <v>SOCKET</v>
      </c>
      <c r="IC231">
        <f t="shared" si="484"/>
        <v>1</v>
      </c>
      <c r="ID231" t="str">
        <f>IF(DA231="","",IF(COUNTIF(DA$3:DA231,DA231)=1,MAX(ID$2:ID230)+1,""))</f>
        <v/>
      </c>
      <c r="IE231" t="str">
        <f>IF(CO231="","",IF(COUNTIF(CO$3:CO231,CO231)+COUNTIF(CP$2:CP230,CO231)+COUNTIF(CQ$2:CQ230,CO231)=1,MAX(IE$2:IG230)+1,""))</f>
        <v/>
      </c>
      <c r="IF231" t="str">
        <f>IF(CP231="","",IF(COUNTIF(CO$3:CO231,CP231)+COUNTIF(CP$3:CP231,CP231)+COUNTIF(CQ$2:CQ230,CP231)=1,MAX(IE$2:IG230,IE231)+1,""))</f>
        <v/>
      </c>
      <c r="IG231" t="str">
        <f>IF(CQ231="","",IF(COUNTIF(CO$3:CO231,CQ231)+COUNTIF(CP$3:CP231,CQ231)+COUNTIF(CQ$3:CQ231,CQ231)=1,MAX(IE$2:IG230,IE231,IF231)+1,""))</f>
        <v/>
      </c>
      <c r="IH231" t="str">
        <f t="shared" si="485"/>
        <v>3х2,5</v>
      </c>
      <c r="II231" t="str">
        <f>IF(IH231="","",IF(COUNTIF(IH$3:IH231,IH231)=1,MAX(II$2:II230)+1,""))</f>
        <v/>
      </c>
      <c r="IJ231" t="str">
        <f>IF(GL231="","",COUNTIF(GL$3:GL231,"?*"))</f>
        <v/>
      </c>
      <c r="IK231" t="str">
        <f>IF(OR(GL231="",GN231=""),"",IF(COUNTIFS(GL$3:GL231,"?*",GN$3:GN231,GN231)=1,MAX(IK$2:IK230)+1,""))</f>
        <v/>
      </c>
      <c r="IL231">
        <f t="shared" si="486"/>
        <v>0</v>
      </c>
      <c r="IM231">
        <f>IF(B231="","",COUNTIF(B$3:B231,"?*"))</f>
        <v>229</v>
      </c>
      <c r="IN231">
        <f>IF(GQ231&lt;&gt;1,0,_xlfn.LET(_xlpm.k,MAX(IFERROR(--VLOOKUP(B231,УГО_спр,5,FALSE),0),IFERROR(--VLOOKUP(AX231,УГО_спр,5,FALSE),0),IFERROR(--VLOOKUP(LEFT(AX231,2),УГО_спр,5,FALSE),0)),IF(_xlpm.k&gt;0,_xlpm.k,IF(IFERROR(--LEFT(SUBSTITUTE(IH231,"x","х"),FIND("х",SUBSTITUTE(IH231,"x","х"))-1),3)&gt;3,Каталог!$S$9,1))))</f>
        <v>1</v>
      </c>
      <c r="IO231">
        <f t="shared" si="487"/>
        <v>0</v>
      </c>
      <c r="IP231" t="str">
        <f t="shared" si="488"/>
        <v>авто</v>
      </c>
      <c r="IQ231">
        <f t="shared" si="489"/>
        <v>30</v>
      </c>
      <c r="IR231">
        <f t="shared" si="490"/>
        <v>1</v>
      </c>
      <c r="IS231">
        <f t="shared" si="491"/>
        <v>1</v>
      </c>
    </row>
    <row r="232" spans="1:253" x14ac:dyDescent="0.3">
      <c r="A232" t="s">
        <v>759</v>
      </c>
      <c r="B232" t="s">
        <v>1497</v>
      </c>
      <c r="C232" t="s">
        <v>1667</v>
      </c>
      <c r="D232">
        <v>3</v>
      </c>
      <c r="E232">
        <v>0.36</v>
      </c>
      <c r="G232" t="str">
        <f>Линии[[#This Row],[_авто автомат]]</f>
        <v>2P С16А 30мА</v>
      </c>
      <c r="H232">
        <f>Линии[[#This Row],[_авто утечка]]</f>
        <v>30</v>
      </c>
      <c r="I232" t="str">
        <f>Линии[[#This Row],[_авто управление]]</f>
        <v/>
      </c>
      <c r="J232" t="str">
        <f>Линии[[#This Row],[_авто аппараты]]</f>
        <v/>
      </c>
      <c r="K232">
        <v>2.5</v>
      </c>
      <c r="L232">
        <v>14</v>
      </c>
      <c r="M232" t="str">
        <f>Линии[[#This Row],[_авто фаза]]</f>
        <v>L3</v>
      </c>
      <c r="N232" t="str">
        <f>Линии[[#This Row],[_авто клемма]]</f>
        <v>XT8</v>
      </c>
      <c r="O232" t="str">
        <f t="shared" si="369"/>
        <v/>
      </c>
      <c r="P232" s="6" cm="1">
        <f t="array" ref="P232">IF(B232="","",IF(BC232&lt;&gt;"",IFERROR(_xlfn.XLOOKUP(BC232,Щиты[Щит],Щиты[Iр, А]),""),IF(BK232=1,IFERROR(_xlfn.XLOOKUP(A232,Щиты[Щит],Щиты[Iр, А]),""),IFERROR(_xlfn.IFS(BR232=1,BN232/((Uн_лин/SQRT(3))*BY232),BR232=3,BN232/(SQRT(3)*Uн_лин*BY232)),""))))</f>
        <v>1.6408902387494626</v>
      </c>
      <c r="Q232" s="7">
        <f>IF(B232="","",IFERROR(IF(VLOOKUP(AX232,Потребители_обозначение,4,FALSE)=1,VLOOKUP(AX232,Потребители_обозначение,3,FALSE)*(D232*2-1)+DS232+VLOOKUP(AZ232,Этаж_обозначение,3,FALSE)+VLOOKUP(AZ232,Этаж_обозначение,4,FALSE),VLOOKUP(AX232,Потребители_обозначение,3,FALSE)*(D232*2-1)+DS232),DS232))</f>
        <v>29</v>
      </c>
      <c r="R232" s="6">
        <f t="shared" si="370"/>
        <v>1.5499999999999998</v>
      </c>
      <c r="S232" t="str">
        <f t="shared" si="371"/>
        <v>ВВГнг(А)-LS (3х2,5)</v>
      </c>
      <c r="T232" t="str">
        <f>IF(BH232="","",IF(BI232="вводной узел","узел ","")&amp;"л."&amp;(INT((BH232-1)/Столбцов_на_лист)+1)&amp;" / "&amp;(MOD(BH232-1,Столбцов_на_лист)+1))</f>
        <v>л.2 / 8</v>
      </c>
      <c r="V232">
        <v>1</v>
      </c>
      <c r="W232">
        <v>230</v>
      </c>
      <c r="X232" t="s">
        <v>564</v>
      </c>
      <c r="AC232" t="s">
        <v>815</v>
      </c>
      <c r="AE232" t="s">
        <v>563</v>
      </c>
      <c r="AI232">
        <v>25</v>
      </c>
      <c r="AJ232" t="s">
        <v>11</v>
      </c>
      <c r="AK232">
        <v>3</v>
      </c>
      <c r="AM232">
        <v>0</v>
      </c>
      <c r="AN232">
        <v>14</v>
      </c>
      <c r="AO232">
        <v>0</v>
      </c>
      <c r="AW232" cm="1">
        <f t="array" ref="AW232">ROW()-ROW(Линии[#Headers])</f>
        <v>230</v>
      </c>
      <c r="AX232" s="6" t="str">
        <f t="shared" si="372"/>
        <v>R</v>
      </c>
      <c r="AY232" t="str">
        <f t="shared" si="373"/>
        <v>1.002Б.3</v>
      </c>
      <c r="AZ232" t="str">
        <f t="shared" si="374"/>
        <v>1</v>
      </c>
      <c r="BA232" t="str">
        <f t="shared" si="375"/>
        <v>002Б.3</v>
      </c>
      <c r="BB232" t="str">
        <f t="shared" si="376"/>
        <v>002Б</v>
      </c>
      <c r="BC232" t="str">
        <f>IF(U232&lt;&gt;"",U232,IF(AND(B232&lt;&gt;"",B232&lt;&gt;A232,ISNUMBER(_xlfn.XMATCH(B232,Щиты[Щит]))),B232,""))</f>
        <v/>
      </c>
      <c r="BD232" t="str" cm="1">
        <f t="array" ref="BD232">IF(B232="","",IF(BC232&lt;&gt;"","Щит "&amp;BC232,_xlfn.LET(_xlpm.nm,IFERROR(_xlfn.XLOOKUP(AX232,Коды_код,Коды_имя)&amp;"",""),_xlpm.md,IFERROR(N(_xlfn.XLOOKUP(AX232,Коды_код,Коды_режим)),1),_xlpm.ex,IF(Имя_режим="по экспликации",IFERROR(_xlfn.XLOOKUP(AZ232&amp;"|"&amp;BB232,Экспликация[Этаж]&amp;"|"&amp;Экспликация[Помещение],Экспликация[Название])&amp;"",""),""),_xlpm.rm,IF(BB232="","",IF(_xlpm.ex&lt;&gt;"",". "&amp;_xlpm.ex&amp;IF(Имя_пом="нет"," ("&amp;BB232&amp;")"," (пом. "&amp;BB232&amp;")"),IF(Имя_пом="нет"," ",", пом. ")&amp;BB232)),IF(_xlpm.nm="","",IF(_xlpm.md=2,_xlpm.nm&amp;" шлейф "&amp;AZ232,_xlpm.nm&amp;_xlpm.rm)))))</f>
        <v>Розеточная группа, пом. 002Б</v>
      </c>
      <c r="BE232" t="str">
        <f t="shared" si="377"/>
        <v>Розеточная группа Первый этаж Пом. №002Б Ледогенератор</v>
      </c>
      <c r="BF232">
        <f>IFERROR(_xlfn.XMATCH(A232,Щиты[Щит]),0)</f>
        <v>10</v>
      </c>
      <c r="BG232">
        <f>_xlfn.LET(_xlpm.k,IFERROR(_xlfn.XLOOKUP(A232,Щиты[Щит],Щиты[Листов под вводной узел]),""),IF(_xlpm.k="",1,N(_xlpm.k))*Столбцов_на_лист)</f>
        <v>17</v>
      </c>
      <c r="BH232">
        <f t="shared" si="378"/>
        <v>25</v>
      </c>
      <c r="BI232" t="str">
        <f t="shared" si="379"/>
        <v>линии</v>
      </c>
      <c r="BJ232" s="6">
        <f>IFERROR(N(_xlfn.XLOOKUP(AX232,Коды_код,Коды_квт)),0)</f>
        <v>0</v>
      </c>
      <c r="BK232">
        <f t="shared" si="380"/>
        <v>0</v>
      </c>
      <c r="BL232" t="str">
        <f>IF(B232="","",IF(BC232&lt;&gt;"",IFERROR(_xlfn.XLOOKUP(BC232,Щиты[Щит],Щиты[Руст, кВт]),0),IF(BK232=1,IFERROR(_xlfn.XLOOKUP(A232,Щиты[Щит],Щиты[Руст, кВт]),0),IF(BJ232&gt;0,ROUND(BJ232*MAX(1,N(D232)),3),""))))</f>
        <v/>
      </c>
      <c r="BM232">
        <f t="shared" si="381"/>
        <v>0.36</v>
      </c>
      <c r="BN232" s="6">
        <f>IF(B232="","",IF(BC232&lt;&gt;"",IFERROR(_xlfn.XLOOKUP(BC232,Щиты[Щит],Щиты[Руст, кВт]),0),N(BM232)))</f>
        <v>0.36</v>
      </c>
      <c r="BO232" t="str">
        <f>IF(B232="","",IFERROR(IF(VLOOKUP(AX232,Потребители_обозначение,8,FALSE)=0,"",VLOOKUP(AX232,Потребители_обозначение,8,FALSE)),""))</f>
        <v/>
      </c>
      <c r="BP232">
        <f t="shared" si="382"/>
        <v>230</v>
      </c>
      <c r="BQ232">
        <f>IF(B232="","",IF(BC232&lt;&gt;"",3,IFERROR(IF(N(VLOOKUP(AX232,Потребители_обозначение,9,FALSE))=0,1,VLOOKUP(AX232,Потребители_обозначение,9,FALSE)),1)))</f>
        <v>1</v>
      </c>
      <c r="BR232">
        <f t="shared" si="383"/>
        <v>1</v>
      </c>
      <c r="BS232" t="str">
        <f>IF(B232="","",_xlfn.LET(_xlpm.bc,IFERROR(IF(VLOOKUP(AX232,Потребители_обозначение,6,FALSE)=0,"",VLOOKUP(AX232,Потребители_обозначение,6,FALSE)&amp;""),""),IF(AND(FK232="да",OR(_xlpm.bc="",_xlpm.bc="мс")),Марка_пож,IF(AND(_xlpm.bc="",BC232&lt;&gt;""),"мс",_xlpm.bc))))</f>
        <v/>
      </c>
      <c r="BT232" t="str">
        <f t="shared" si="384"/>
        <v>мс</v>
      </c>
      <c r="BU232">
        <f>IF(B232="","",_xlfn.LET(_xlpm.cc,IFERROR(N(VLOOKUP(AX232,Потребители_обозначение,7,FALSE)),0),IF(_xlpm.cc&gt;0,_xlpm.cc,IF(BT232="","",IF(N(BR232)=3,5,3)))))</f>
        <v>3</v>
      </c>
      <c r="BV232">
        <f t="shared" si="385"/>
        <v>3</v>
      </c>
      <c r="BW232">
        <f>IFERROR(N(VLOOKUP(AX232,Потребители_обозначение,10,FALSE)),0)</f>
        <v>0</v>
      </c>
      <c r="BX232">
        <f>IFERROR(VLOOKUP(AX232,Потребители_обозначение,5,FALSE),0)</f>
        <v>1</v>
      </c>
      <c r="BY232" s="6" cm="1">
        <f t="array" ref="BY232">IF(B232="","",IF(BC232&lt;&gt;"",IFERROR(_xlfn.XLOOKUP(BC232,Щиты[Щит],Щиты[cos φ]),0.95),IF(BK232=1,IFERROR(_xlfn.XLOOKUP(A232,Щиты[Щит],Щиты[cos φ]),0.95),IF(ISNUMBER(Z232),Z232,IFERROR(IF(BX232=2,_xlfn.IFS(BR232=3,VLOOKUP(BN232,Справочная_двигатели,8,FALSE),BR232=1,VLOOKUP(BN232,Справочная_двигатели,10,TRUE)),IF(AND(Методика="нормы 2026",EQ232="Сил"),0.8,0.95)),0.95)))))</f>
        <v>0.95</v>
      </c>
      <c r="BZ232">
        <f t="shared" si="386"/>
        <v>0</v>
      </c>
      <c r="CA232">
        <f t="shared" si="387"/>
        <v>1</v>
      </c>
      <c r="CB232">
        <f t="shared" si="388"/>
        <v>0</v>
      </c>
      <c r="CC232">
        <f t="shared" si="389"/>
        <v>0</v>
      </c>
      <c r="CD232">
        <f t="shared" si="390"/>
        <v>0</v>
      </c>
      <c r="CE232">
        <f t="shared" si="391"/>
        <v>0</v>
      </c>
      <c r="CF232">
        <f t="shared" si="392"/>
        <v>0</v>
      </c>
      <c r="CG232">
        <f>IF(AX232="",0,_xlfn.LET(_xlpm.v,IFERROR(VLOOKUP(B232,УГО_спр,3,FALSE),IFERROR(VLOOKUP(AX232,УГО_спр,3,FALSE),IFERROR(VLOOKUP(LEFT(AX232,2),УГО_спр,3,FALSE),""))),IF(_xlpm.v="да",30,IF(ISNUMBER(_xlpm.v),_xlpm.v,0))))</f>
        <v>30</v>
      </c>
      <c r="CH232">
        <f t="shared" si="393"/>
        <v>30</v>
      </c>
      <c r="CI232" t="str">
        <f>_xlfn.LET(_xlpm.k,IFERROR(_xlfn.XLOOKUP(AX232,Коды_код,Коды_утечка)&amp;"",""),IF(_xlpm.k="","дифавтомат",_xlpm.k))</f>
        <v>дифавтомат</v>
      </c>
      <c r="CJ232">
        <f t="shared" si="394"/>
        <v>30</v>
      </c>
      <c r="CK232">
        <f t="shared" si="395"/>
        <v>30</v>
      </c>
      <c r="CL232">
        <f>IF(B232="",0,IFERROR(--VLOOKUP(B232,УГО_спр,4,FALSE),IFERROR(--VLOOKUP(AX232,УГО_спр,4,FALSE),IFERROR(--VLOOKUP(LEFT(AX232,2),УГО_спр,4,FALSE),0))))</f>
        <v>16</v>
      </c>
      <c r="CM232" t="str">
        <f>IF(B232="","",IFERROR(_xlfn.XLOOKUP(AX232,Коды_код,Коды_апп)&amp;"",""))</f>
        <v/>
      </c>
      <c r="CN232" t="str">
        <f t="shared" si="396"/>
        <v/>
      </c>
      <c r="CO232" t="str" cm="1">
        <f t="array" ref="CO232">IF(TRIM(CN232&amp;"")="","",IFERROR(TRIM(INDEX(_xlfn.TEXTSPLIT(CN232&amp;";;;",";"),1)),""))</f>
        <v/>
      </c>
      <c r="CP232" t="str" cm="1">
        <f t="array" ref="CP232">IF(TRIM(CN232&amp;"")="","",IFERROR(TRIM(INDEX(_xlfn.TEXTSPLIT(CN232&amp;";;;",";"),2)),""))</f>
        <v/>
      </c>
      <c r="CQ232" t="str" cm="1">
        <f t="array" ref="CQ232">IF(TRIM(CN232&amp;"")="","",IFERROR(TRIM(INDEX(_xlfn.TEXTSPLIT(CN232&amp;";;;",";"),3)),""))</f>
        <v/>
      </c>
      <c r="CR232">
        <f t="shared" si="397"/>
        <v>0</v>
      </c>
      <c r="CS232" t="str">
        <f>IF(B232="","",_xlfn.LET(_xlpm.t,LOWER(AV232&amp;""),IF(ISNUMBER(SEARCH("dim",_xlpm.t)),"DIM",IF(ISNUMBER(SEARCH("dali",_xlpm.t)),"DALI",IF(OR(ISNUMBER(SEARCH("relay",_xlpm.t)),ISNUMBER(SEARCH("реле",_xlpm.t))),"Relay",IF(ISNUMBER(SEARCH("кнопк",_xlpm.t)),"",IFERROR(_xlfn.XLOOKUP(AX232,Коды_код,Коды_упр)&amp;"","")))))))</f>
        <v/>
      </c>
      <c r="CT232" t="str">
        <f t="shared" si="398"/>
        <v/>
      </c>
      <c r="CU232">
        <f>IF(B232="","",_xlfn.LET(_xlpm.ig,N(P232)+IF(AF232="вручную",0,N(CB232)),_xlpm.n0,IFERROR(VLOOKUP(_xlpm.ig,Автомат_номиналы,2,TRUE),0),_xlpm.mn,MAX(CL232,IF(AF232="вручную",0,N(CE232))),MAX(_xlpm.n0,_xlpm.mn,IF(CR232=1,Мин_автомат_БП,0))))</f>
        <v>16</v>
      </c>
      <c r="CV232">
        <f t="shared" si="399"/>
        <v>1</v>
      </c>
      <c r="CW232" t="str">
        <f t="shared" si="400"/>
        <v>2P</v>
      </c>
      <c r="CX232" t="str">
        <f>_xlfn.LET(_xlpm.cc,UPPER(TRIM(IFERROR(_xlfn.XLOOKUP(AX232,Коды_код,Коды_хар)&amp;"",""))),IF(OR(_xlpm.cc="B",_xlpm.cc="В"),"B",IF(_xlpm.cc="D","D","С")))</f>
        <v>С</v>
      </c>
      <c r="CY232" t="str">
        <f t="shared" si="401"/>
        <v>2P С16А 30мА</v>
      </c>
      <c r="CZ232" t="str">
        <f t="shared" si="402"/>
        <v>2P С16А 30мА</v>
      </c>
      <c r="DA232" t="str">
        <f t="shared" si="403"/>
        <v>2P С16А 30мА</v>
      </c>
      <c r="DB232" cm="1">
        <f t="array" ref="DB232">IF(DA232="","",_xlfn.LET(_xlpm.t,SUBSTITUTE(SUBSTITUTE(SUBSTITUTE(UPPER(DA232),"С","C"),"А","A"),"В","B"),_xlpm.tk,_xlfn.TEXTSPLIT(_xlpm.t,"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2" t="str">
        <f t="shared" si="404"/>
        <v>ok</v>
      </c>
      <c r="DD232">
        <f t="shared" si="405"/>
        <v>16</v>
      </c>
      <c r="DE232" t="str">
        <f t="shared" si="406"/>
        <v>2P С16А 30мА</v>
      </c>
      <c r="DF232">
        <f t="shared" si="407"/>
        <v>30</v>
      </c>
      <c r="DG232">
        <f t="shared" si="408"/>
        <v>1</v>
      </c>
      <c r="DH232">
        <f t="shared" si="409"/>
        <v>0</v>
      </c>
      <c r="DI232">
        <f t="shared" si="410"/>
        <v>1.6408902387494626</v>
      </c>
      <c r="DJ232">
        <f t="shared" si="411"/>
        <v>1</v>
      </c>
      <c r="DK232">
        <f>IF(ISNUMBER(AL232),AL232,К_прокл)</f>
        <v>1</v>
      </c>
      <c r="DL232">
        <f t="shared" si="412"/>
        <v>2</v>
      </c>
      <c r="DM232">
        <f>IFERROR(N(VLOOKUP(BT232,Кабель_обозначение,3,FALSE)),1)</f>
        <v>1</v>
      </c>
      <c r="DN232">
        <f>IFERROR(N(_xlfn.XLOOKUP(A232,Щиты[Щит],Щиты[ΔU до шин, %])),0)</f>
        <v>1.19</v>
      </c>
      <c r="DO232" t="str">
        <f>IFERROR(_xlfn.XLOOKUP(A232,Щиты[Щит],Щиты[Zпетли на шинах, Ом]),"")</f>
        <v/>
      </c>
      <c r="DP232">
        <f>IFERROR(N(_xlfn.XLOOKUP(A232,Щиты[Щит],Щиты[ΔU до шин (подбор), %])),0)</f>
        <v>1.19</v>
      </c>
      <c r="DQ232" t="str">
        <f>IFERROR(_xlfn.XLOOKUP(A232,Щиты[Щит],Щиты[Zпетли на шинах (подбор), Ом]),"")</f>
        <v/>
      </c>
      <c r="DR232" t="str">
        <f t="shared" si="413"/>
        <v/>
      </c>
      <c r="DS232">
        <f t="shared" si="414"/>
        <v>14</v>
      </c>
      <c r="DT232">
        <f t="shared" si="415"/>
        <v>2</v>
      </c>
      <c r="DU232">
        <f t="shared" si="416"/>
        <v>0.31</v>
      </c>
      <c r="DV232" s="6">
        <f>IF(B232="","",IF(IFERROR(VLOOKUP(AX232,УГО_спр,2,FALSE),"")="Светильник",3,4)+IF(Методика="нормы 2026",MIN(0.5,MAX(0,N(Q232)-100)*0.005),0))</f>
        <v>4</v>
      </c>
      <c r="DW232" cm="1">
        <f t="array" ref="DW232">IF(OR(B232="",BT232="",DM232&lt;&gt;1),"",_xlfn.LET(_xlpm.sz,Iдоп_S,_xlpm.t_,CHOOSE(DL232,Iдоп_1ж,Iдоп_2ж,Iдоп_3ж)*DJ232*DK232,_xlpm.inn,N(DD232),_xlpm.smin,MAX(1.5,BW232),_xlpm.L_,N(Q232)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232)*(_xlpm.rho*_xlpm.L_/_xlpm.sz*N(BY232)+_xlpm.xx*_xlpm.L_*N(DU232)/1000)*N(P232)/((Uн_лин/SQRT(3))*1000)*100,999),_xlpm.kz,IF(OR(DG232=1,NOT(ISNUMBER(DQ232)),_xlpm.L_=0,_xlpm.inn=0),1,IFERROR(--(c_min*(Uн_лин*1000/SQRT(3))/(DQ232+2*ρкз_Cu*_xlpm.L_/_xlpm.sz)&gt;=GY232*_xlpm.inn),0)),_xlpm.ok,IFERROR((_xlpm.sz&gt;=_xlpm.smin)*(_xlpm.t_&gt;=_xlpm.inn)*IF(_xlpm.L_&gt;0,(_xlpm.du_+DP232&lt;=DV232+0.00001),1)*_xlpm.kz,0),_xlpm.r_,_xlfn._xlws.FILTER(_xlpm.sz,_xlpm.ok,"не подобрано"),INDEX(_xlpm.r_,1)))</f>
        <v>1.5</v>
      </c>
      <c r="DX232">
        <f t="shared" si="417"/>
        <v>2.5</v>
      </c>
      <c r="DY232" cm="1">
        <f t="array" ref="DY232">IF(OR(B232="",BT232="",DM232&lt;&gt;1),"",_xlfn.LET(_xlpm.sz,Iдоп_S,_xlpm.t_,CHOOSE(DL232,Iдоп_1ж,Iдоп_2ж,Iдоп_3ж)*DJ232*DK232,_xlpm.ok,IFERROR((_xlpm.sz&gt;=MAX(1.5,BW232))*(_xlpm.t_&gt;=N(DD232)),0),_xlpm.r_,_xlfn._xlws.FILTER(_xlpm.sz,_xlpm.ok,""),INDEX(_xlpm.r_,1)))</f>
        <v>1.5</v>
      </c>
      <c r="DZ232" s="6" cm="1">
        <f t="array" ref="DZ232">IFERROR(ROUNDUP(N(DT232)*(_xlfn.XLOOKUP(DY232,INDEX(Кабель_сопротивление,0,1),INDEX(Кабель_сопротивление,0,3))*N(Q232)/DY232*N(BY232)+_xlfn.XLOOKUP(DY232,INDEX(Кабель_сопротивление,0,1),INDEX(Кабель_сопротивление,0,2))*N(Q232)*N(DU232)/1000)*N(P232)/((Uн_лин/SQRT(3))*1000)*100,2),"")</f>
        <v>0.59</v>
      </c>
      <c r="EA232">
        <f>IFERROR(2*ρкз_Cu*N(Q232)/DY232,"")</f>
        <v>1.0169333333333335</v>
      </c>
      <c r="EB232">
        <f>IFERROR(VLOOKUP(DX232,Кабель_сопротивление,3,FALSE),"")</f>
        <v>2.2499999999999999E-2</v>
      </c>
      <c r="EC232">
        <f>IFERROR(VLOOKUP(DX232,Кабель_сопротивление,2,FALSE),"")</f>
        <v>0.1</v>
      </c>
      <c r="ED232">
        <f t="shared" si="418"/>
        <v>14</v>
      </c>
      <c r="EE232">
        <f t="shared" si="419"/>
        <v>0</v>
      </c>
      <c r="EF232">
        <f t="shared" si="420"/>
        <v>0.81666779004513013</v>
      </c>
      <c r="EG232" s="6">
        <f>IFERROR(ROUNDUP(EF232/((Uн_лин/SQRT(3))*1000)*100,2),"")</f>
        <v>0.36</v>
      </c>
      <c r="EH232" t="str">
        <f>IFERROR(VLOOKUP(BT232,Кабель_обозначение,2,FALSE),"")</f>
        <v>ВВГнг(А)-LS</v>
      </c>
      <c r="EI232" t="str">
        <f t="shared" si="421"/>
        <v>ВВГнг(А)-LS (3х2,5)</v>
      </c>
      <c r="EJ232" t="str">
        <f t="shared" si="422"/>
        <v>ВВГнг(А)-LS (3х2,5)
L=29-0,36%</v>
      </c>
      <c r="EK232">
        <f>IFERROR(2*ρкз_Cu*Q232/DX232,"")</f>
        <v>0.61016000000000004</v>
      </c>
      <c r="EL232">
        <f t="shared" si="423"/>
        <v>0.20300000000000001</v>
      </c>
      <c r="EM232" s="6" t="str">
        <f>IFERROR(IF(OR(B232="",NOT(ISNUMBER(DX232)),N(Q232)=0),"",_xlfn.XLOOKUP(A232,Щиты[Щит],Щиты[Zпетли на шинах, Ом])+EK232),"")</f>
        <v/>
      </c>
      <c r="EN232" s="6" t="str">
        <f>IF(ISNUMBER(EM232),c_min*(Uн_лин*1000/SQRT(3))/EM232,"")</f>
        <v/>
      </c>
      <c r="EO232" s="6" t="str">
        <f>IFERROR(IF(OR(B232="",NOT(ISNUMBER(DX232))),"",1.05*(Uн_лин*1000/SQRT(3))/(_xlfn.XLOOKUP(A232,Щиты[Щит],Щиты[Zmax на шинах, Ом])+EL232)/1000),"")</f>
        <v/>
      </c>
      <c r="EP232" s="6" t="str">
        <f>IF(B232="","",IF(ISNUMBER(Y232),"Сил",IF(IFERROR(_xlfn.XLOOKUP(AX232,Коды_код,Коды_группа)&amp;"","")="","Быт",_xlfn.XLOOKUP(AX232,Коды_код,Коды_группа)&amp;"")))</f>
        <v>Быт</v>
      </c>
      <c r="EQ232" s="6" t="str">
        <f t="shared" si="424"/>
        <v>Быт</v>
      </c>
      <c r="ER232" s="6">
        <f>IF(EQ232="Щит","щит",IF(EQ232="","",IF(EQ232="Быт",IFERROR(_xlfn.XLOOKUP(A232,Щиты[Щит],Щиты[Кс быт]),1),IF(EQ232="Сил",IF(ISNUMBER(Y232),Y232,IF(Методика="нормы 2026",IFERROR(_xlfn.XLOOKUP(A232,Щиты[Щит],Щиты[Кс силовых (табл. 7.5)]),1),1)),IF(OR(EQ232="Пост",EQ232="Отоп"),1,IF(EQ232="ВНГ",0.7,0))))))</f>
        <v>0.57830000000000004</v>
      </c>
      <c r="ES232">
        <f t="shared" si="425"/>
        <v>1</v>
      </c>
      <c r="ET232">
        <f t="shared" si="426"/>
        <v>0.36</v>
      </c>
      <c r="EU232">
        <f t="shared" si="427"/>
        <v>0.36</v>
      </c>
      <c r="EV232">
        <f t="shared" si="428"/>
        <v>0</v>
      </c>
      <c r="EW232">
        <f t="shared" si="429"/>
        <v>0</v>
      </c>
      <c r="EX232">
        <f t="shared" si="430"/>
        <v>0</v>
      </c>
      <c r="EY232">
        <f t="shared" si="431"/>
        <v>0</v>
      </c>
      <c r="EZ232">
        <f t="shared" si="432"/>
        <v>0.36</v>
      </c>
      <c r="FA232">
        <f t="shared" si="433"/>
        <v>0.34199999999999997</v>
      </c>
      <c r="FB232">
        <f t="shared" si="434"/>
        <v>0.36</v>
      </c>
      <c r="FC232" t="str">
        <f t="shared" si="435"/>
        <v/>
      </c>
      <c r="FD232" t="str">
        <f>IF(B232="","",IF(CA232=0,IF(AW232=1,"",FF231),IF(OR(N(CV232)&gt;=3,N(BR232)&gt;=3),"L1,L2,L3",IFERROR(_xlfn.TEXTBEFORE(_xlfn.TEXTAFTER(_xlfn.XLOOKUP(A232,Щиты[Щит],Щиты[_фазы авто]),";"&amp;AW232&amp;":"),";"),"L1"))))</f>
        <v>L3</v>
      </c>
      <c r="FE232" t="str">
        <f t="shared" si="436"/>
        <v>L3</v>
      </c>
      <c r="FF232" t="str">
        <f t="shared" si="437"/>
        <v>L3</v>
      </c>
      <c r="FG232" cm="1">
        <f t="array" ref="FG232">IFERROR(IF(BX232=2,_xlfn.IFS(BR232=3,VLOOKUP(BN232,Справочная_двигатели,3,FALSE),BR232=1,VLOOKUP(BN232,Справочная_двигатели,5,TRUE)),0),0)</f>
        <v>0</v>
      </c>
      <c r="FH232">
        <f>IFERROR(IF(BX232=3,VLOOKUP(BN232,Справочная_ЛЭД,2,TRUE),0),0)</f>
        <v>0</v>
      </c>
      <c r="FI232" s="6">
        <f t="shared" si="438"/>
        <v>0</v>
      </c>
      <c r="FJ232" t="str" cm="1">
        <f t="array" ref="FJ232">IF(B232="","",IFERROR(INDEX({"I особая","I","II","III"},MATCH(TRIM(AC232&amp;""),{"I особая","I","II","III"},0)),"III"))</f>
        <v>II</v>
      </c>
      <c r="FK232" t="str">
        <f>IF(B232="","",IF(TRIM(AD232&amp;"")&lt;&gt;"",IF(LOWER(TRIM(AD232&amp;""))="да","да","нет"),IF(IFERROR(_xlfn.XLOOKUP(AX232,Коды_код,Коды_пожарная),"")="да","да","нет")))</f>
        <v>нет</v>
      </c>
      <c r="FL232" t="str">
        <f t="shared" si="439"/>
        <v/>
      </c>
      <c r="FM232" t="str">
        <f t="shared" si="440"/>
        <v>основная</v>
      </c>
      <c r="FN232">
        <f t="shared" si="441"/>
        <v>1</v>
      </c>
      <c r="FO232" t="str" cm="1">
        <f t="array" ref="FO232">IF(B232="","",_xlfn.LET(_xlpm.t,IFERROR(_xlfn.XLOOKUP(1,(Шины[Шина]=FM232)*(((Шины[Щит]=A232)+(Шины[Щит]=""))&gt;0),Шины[Тип]),"")&amp;"",IF(_xlpm.t&lt;&gt;"",_xlpm.t,IF(ISNUMBER(SEARCH("ИБП",FM232)),"ИБП",IF(ISNUMBER(SEARCH("ДГУ",FM232)),"ДГУ","Ввод "&amp;FN232)))))</f>
        <v>Ввод 1</v>
      </c>
      <c r="FP232" t="str">
        <f t="shared" si="442"/>
        <v>Ввод 1</v>
      </c>
      <c r="FQ232" t="str">
        <f>IF(B232="","",IF(OR(FO232="ИБП",FO232="ДГУ"),"I особая",IF(FO232="Одиночная","III",_xlfn.XLOOKUP(A232,Щиты[Щит],Щиты[Категория шины «Ввод»],"III"))))</f>
        <v>II</v>
      </c>
      <c r="FR232">
        <f>IF(B232="",0,IFERROR(MATCH(FJ232,{"III","II","I","I особая"},0),1))</f>
        <v>2</v>
      </c>
      <c r="FS232">
        <f t="shared" si="443"/>
        <v>2</v>
      </c>
      <c r="FT232" t="str">
        <f>IF(B232="","",IF(FR232&gt;IFERROR(MATCH(FQ232,{"III","II","I","I особая"},0),1),"НЕ ОБЕСПЕЧЕНА","ОК"))</f>
        <v>ОК</v>
      </c>
      <c r="FU232" t="str">
        <f>IF(A232="","",_xlfn.XLOOKUP(A232,Щиты[Щит],Щиты[Путь],""))</f>
        <v>|ГРЩ-ЖД|ЩР-1|</v>
      </c>
      <c r="FV232" t="str">
        <f>IF(B232="","",IF(AE232&lt;&gt;"",AE232,IF(IFERROR(_xlfn.XLOOKUP(AX232,Коды_код,Коды_вид)&amp;"","")="","Прочее",_xlfn.XLOOKUP(AX232,Коды_код,Коды_вид)&amp;"")))</f>
        <v>Розеточная сеть и бытовые приборы</v>
      </c>
      <c r="FW232">
        <f>IF(BH232="","",INT((BH232-1)/Столбцов_на_лист)+1)</f>
        <v>2</v>
      </c>
      <c r="FX232" t="str">
        <f t="shared" si="444"/>
        <v>ВВГнг(А)-LS (3х2,5) L=29-0,36%</v>
      </c>
      <c r="FY232">
        <f t="shared" si="445"/>
        <v>0.36</v>
      </c>
      <c r="FZ232">
        <f t="shared" si="446"/>
        <v>1.65</v>
      </c>
      <c r="GA232">
        <f t="shared" si="447"/>
        <v>1</v>
      </c>
      <c r="GB232">
        <f t="shared" si="448"/>
        <v>0</v>
      </c>
      <c r="GC232">
        <f t="shared" si="449"/>
        <v>1</v>
      </c>
      <c r="GD232">
        <f>IF(BH232="","",IF(AND(CA232=1,GC232=1),COUNTIFS(A$3:A232,A232,CA$3:CA232,1,GC$3:GC232,1),IF(OR(OR(AW232=1,A232&lt;&gt;A231),AF232="вручную",GC232=0),"",IF(AW232=1,"",GE231))))</f>
        <v>8</v>
      </c>
      <c r="GE232">
        <f t="shared" si="450"/>
        <v>8</v>
      </c>
      <c r="GF232">
        <f>IF(B232="","",IFERROR(LOOKUP(INDEX(CHOOSE(DL232,Iдоп_1ж,Iдоп_2ж,Iдоп_3ж),MATCH(DX232,Iдоп_S,0))*DJ232*DK232,{6,10,16,20,25,32,40,50,63,80,100,125,160,200,250,315,400,500,630}),""))</f>
        <v>25</v>
      </c>
      <c r="GG232" t="str">
        <f t="shared" si="451"/>
        <v>QFD8</v>
      </c>
      <c r="GH232" t="str">
        <f t="shared" si="452"/>
        <v>QFD8</v>
      </c>
      <c r="GI232" t="str">
        <f t="shared" si="453"/>
        <v/>
      </c>
      <c r="GJ232">
        <f t="shared" si="454"/>
        <v>0</v>
      </c>
      <c r="GK232" t="str">
        <f>IF(OR(AG232="",AG232="-"),"",IFERROR(VLOOKUP(AG232,Модули_спр,2,FALSE),"R"))</f>
        <v/>
      </c>
      <c r="GL232" t="str">
        <f>IF(GK232="","",GK232&amp;"."&amp;COUNTIFS(A$3:A232,A232,GK$3:GK232,GK232))</f>
        <v/>
      </c>
      <c r="GM232" t="str">
        <f t="shared" si="455"/>
        <v/>
      </c>
      <c r="GN232" t="str">
        <f t="shared" si="456"/>
        <v/>
      </c>
      <c r="GO232" t="str">
        <f t="shared" si="457"/>
        <v/>
      </c>
      <c r="GP232" t="str">
        <f t="shared" si="458"/>
        <v/>
      </c>
      <c r="GQ232">
        <f t="shared" si="459"/>
        <v>1</v>
      </c>
      <c r="GR232" t="str">
        <f>IF(GQ232=1,"XT"&amp;COUNTIFS(A$3:A232,A232,GQ$3:GQ232,1),"")</f>
        <v>XT8</v>
      </c>
      <c r="GS232" t="str">
        <f t="shared" si="460"/>
        <v>XT8</v>
      </c>
      <c r="GT232" t="str">
        <f t="shared" si="461"/>
        <v>QFD8</v>
      </c>
      <c r="GU232" t="str">
        <f t="shared" si="462"/>
        <v/>
      </c>
      <c r="GV232" t="str">
        <f t="shared" si="463"/>
        <v>ok</v>
      </c>
      <c r="GW232" t="str">
        <f>IF(OR(GO232="",GM232=""),"",IF(GO232&gt;IFERROR(VLOOKUP(GN232,Модули_спр,3,FALSE),99),"ЛИШНИЙ КАНАЛ",IF(AND(AH232&lt;&gt;"=",COUNTIFS(Линии[_модуль гр.],GM232,Линии[Канал (итог)],GO232,Линии[Канал],"&lt;&gt;=",Линии[Щит],A232)&gt;1),"ДУБЛЬ КАНАЛА","")))</f>
        <v/>
      </c>
      <c r="GX232" s="6" t="str">
        <f t="shared" si="464"/>
        <v/>
      </c>
      <c r="GY232">
        <f t="shared" si="465"/>
        <v>10</v>
      </c>
      <c r="GZ232" t="str">
        <f t="shared" si="466"/>
        <v/>
      </c>
      <c r="HA232" t="str">
        <f>IF(AND(B232="",GT232=""),"",_xlfn.TEXTJOIN("; ",TRUE,IF(AND(B232&lt;&gt;"",FE232=""),"нет фазы",""),IF(AND(B232&lt;&gt;"",N(FY232)=0,EQ232&lt;&gt;"Нет"),"нет мощности",""),IF(AND(GS232&lt;&gt;"",COUNTIFS(Линии[Щит],A232,Линии[Клемма (итог)],GS232)&gt;1),"дубль клеммы "&amp;GS232,""),IF(AND(GV232&lt;&gt;"",GV232&lt;&gt;"ok"),GV232,""),IF(GW232&lt;&gt;"",GW232,""),IF(AND(N(BV232)&gt;=4,N(BR232)=1),BV232&amp;" жил на 1 фазе",""),IF(AND(AX232="R",CA232=1,OR(N(CK232)=0,N(CK232)&gt;30)),"розетка без дифзащиты до 30 мА",""),IFERROR(IF(AND(ISNUMBER(R232),R232&gt;DV232),"потери "&amp;FIXED(R232,1)&amp;" % &gt; "&amp;DV232&amp;" %",""),""),IFERROR(IF(LEFT(GZ232,4)="мало","Iкз мало — отключение &gt; 0,4 с",""),""),IF(AND(B232&lt;&gt;"",BH232=""),"не на схеме",""),IF(AND(CA232=0,B232&lt;&gt;"",FE232&lt;&gt;"",IF(AW232=1,"",FF231)&lt;&gt;"",FE232&lt;&gt;IF(AW232=1,"",FF231)),"фаза не как у автомата группы ("&amp;IF(AW232=1,"",FF231)&amp;")","")))</f>
        <v/>
      </c>
      <c r="HB232" s="6">
        <f>IF(OR(CA232=0,DA232=""),"",_xlfn.LET(_xlpm.t,IFERROR(_xlfn.XLOOKUP(DA232,Каталог!$U$4:$U$500,Каталог!$G$4:$G$500),""),_xlpm.k,SEARCH("кА",_xlpm.t),IFERROR(--TRIM(RIGHT(SUBSTITUTE(MID(_xlpm.t,MAX(1,_xlpm.k-4),_xlpm.k-MAX(1,_xlpm.k-4))," ",REPT(" ",9)),5)),"")))</f>
        <v>6</v>
      </c>
      <c r="HC232" t="str">
        <f>IF(OR(HB232="",CA232=0),"",IF(_xlfn.XLOOKUP(A232,Щиты[Щит],Щиты[Iкз max на шинах, кА],"")="","",IF(HB232&lt;_xlfn.XLOOKUP(A232,Щиты[Щит],Щиты[Iкз max на шинах, кА]),"Icu "&amp;HB232&amp;" кА &lt; Iкз max","ok")))</f>
        <v/>
      </c>
      <c r="HD232" t="str">
        <f t="shared" si="467"/>
        <v/>
      </c>
      <c r="HE232" t="str">
        <f t="shared" si="468"/>
        <v>QFD8|XT8</v>
      </c>
      <c r="HF232" t="str">
        <f t="shared" si="469"/>
        <v>QFD8|XT8|кабель ВВГнг(А)-LS (3х2,5) → Розеточная группа Первый этаж Пом. №002Б Ледогенератор</v>
      </c>
      <c r="HG232" t="str" cm="1">
        <f t="array" ref="HG232">IF(HF232="","",_xlfn.LET(_xlpm.nd,_xlfn.TEXTSPLIT(HF232,"|"),IF(COLUMNS(_xlpm.nd)&gt;1,A232&amp;"¦"&amp;INDEX(_xlpm.nd,1)&amp;"¦"&amp;INDEX(_xlpm.nd,2),"")))</f>
        <v>ЩР-1¦QFD8¦XT8</v>
      </c>
      <c r="HH232" t="str">
        <f t="shared" si="470"/>
        <v>R.1.002Б.3¦Розеточная группа Первый этаж Пом. №002Б Ледогенератор</v>
      </c>
      <c r="HI232" t="str" cm="1">
        <f t="array" ref="HI232">IF(HF232="","",_xlfn.LET(_xlpm.nd,_xlfn.TEXTSPLIT(HF232,"|"),IF(COLUMNS(_xlpm.nd)&gt;2,A232&amp;"¦"&amp;INDEX(_xlpm.nd,2)&amp;"¦"&amp;INDEX(_xlpm.nd,3),"")))</f>
        <v>ЩР-1¦XT8¦кабель ВВГнг(А)-LS (3х2,5) → Розеточная группа Первый этаж Пом. №002Б Ледогенератор</v>
      </c>
      <c r="HJ232" t="str">
        <f t="shared" si="471"/>
        <v>R.1.002Б.3¦Розеточная группа Первый этаж Пом. №002Б Ледогенератор</v>
      </c>
      <c r="HK232" t="str" cm="1">
        <f t="array" ref="HK232">IF(HF232="","",_xlfn.LET(_xlpm.nd,_xlfn.TEXTSPLIT(HF232,"|"),IF(COLUMNS(_xlpm.nd)&gt;3,A232&amp;"¦"&amp;INDEX(_xlpm.nd,3)&amp;"¦"&amp;INDEX(_xlpm.nd,4),"")))</f>
        <v/>
      </c>
      <c r="HL232" t="str">
        <f t="shared" si="472"/>
        <v/>
      </c>
      <c r="HM232" t="str" cm="1">
        <f t="array" ref="HM232">IF(HF232="","",_xlfn.LET(_xlpm.nd,_xlfn.TEXTSPLIT(HF232,"|"),IF(COLUMNS(_xlpm.nd)&gt;4,A232&amp;"¦"&amp;INDEX(_xlpm.nd,4)&amp;"¦"&amp;INDEX(_xlpm.nd,5),"")))</f>
        <v/>
      </c>
      <c r="HN232" t="str">
        <f t="shared" si="473"/>
        <v/>
      </c>
      <c r="HO232" t="str" cm="1">
        <f t="array" ref="HO232">IF(HF232="","",_xlfn.LET(_xlpm.nd,_xlfn.TEXTSPLIT(HF232,"|"),IF(COLUMNS(_xlpm.nd)&gt;5,A232&amp;"¦"&amp;INDEX(_xlpm.nd,5)&amp;"¦"&amp;INDEX(_xlpm.nd,6),"")))</f>
        <v/>
      </c>
      <c r="HP232" t="str">
        <f t="shared" si="474"/>
        <v/>
      </c>
      <c r="HQ232" t="str" cm="1">
        <f t="array" ref="HQ232">IF(HF232="","",_xlfn.LET(_xlpm.nd,_xlfn.TEXTSPLIT(HF232,"|"),IF(COLUMNS(_xlpm.nd)&gt;6,A232&amp;"¦"&amp;INDEX(_xlpm.nd,6)&amp;"¦"&amp;INDEX(_xlpm.nd,7),"")))</f>
        <v/>
      </c>
      <c r="HR232" t="str">
        <f t="shared" si="475"/>
        <v/>
      </c>
      <c r="HS232" t="str">
        <f t="shared" si="476"/>
        <v/>
      </c>
      <c r="HT232" t="str">
        <f t="shared" si="477"/>
        <v>QFD8 → XT8</v>
      </c>
      <c r="HU232">
        <f t="shared" si="478"/>
        <v>0</v>
      </c>
      <c r="HV232">
        <f t="shared" si="479"/>
        <v>1</v>
      </c>
      <c r="HW232" t="str">
        <f t="shared" si="480"/>
        <v/>
      </c>
      <c r="HX232" t="str">
        <f t="shared" si="481"/>
        <v/>
      </c>
      <c r="HY232" t="str">
        <f t="shared" si="482"/>
        <v/>
      </c>
      <c r="HZ232" t="str">
        <f t="shared" si="483"/>
        <v/>
      </c>
      <c r="IA232" t="str">
        <f>IF(B232="","",IFERROR(VLOOKUP(B232,УГО_спр,2,FALSE),IFERROR(VLOOKUP(AX232,УГО_спр,2,FALSE),IFERROR(VLOOKUP(LEFT(AX232,2),УГО_спр,2,FALSE),""))))</f>
        <v>Розетка</v>
      </c>
      <c r="IB232" t="str">
        <f>IF(B232="","",IF(OR(IA232="",IA232=0),"BOX",IFERROR(IF(VLOOKUP(IA232,УГО_блоки,3,FALSE)&amp;""&lt;&gt;"",VLOOKUP(IA232,УГО_блоки,3,FALSE),VLOOKUP(IA232,УГО_блоки,2,FALSE)),IA232)))</f>
        <v>SOCKET</v>
      </c>
      <c r="IC232">
        <f t="shared" si="484"/>
        <v>1</v>
      </c>
      <c r="ID232" t="str">
        <f>IF(DA232="","",IF(COUNTIF(DA$3:DA232,DA232)=1,MAX(ID$2:ID231)+1,""))</f>
        <v/>
      </c>
      <c r="IE232" t="str">
        <f>IF(CO232="","",IF(COUNTIF(CO$3:CO232,CO232)+COUNTIF(CP$2:CP231,CO232)+COUNTIF(CQ$2:CQ231,CO232)=1,MAX(IE$2:IG231)+1,""))</f>
        <v/>
      </c>
      <c r="IF232" t="str">
        <f>IF(CP232="","",IF(COUNTIF(CO$3:CO232,CP232)+COUNTIF(CP$3:CP232,CP232)+COUNTIF(CQ$2:CQ231,CP232)=1,MAX(IE$2:IG231,IE232)+1,""))</f>
        <v/>
      </c>
      <c r="IG232" t="str">
        <f>IF(CQ232="","",IF(COUNTIF(CO$3:CO232,CQ232)+COUNTIF(CP$3:CP232,CQ232)+COUNTIF(CQ$3:CQ232,CQ232)=1,MAX(IE$2:IG231,IE232,IF232)+1,""))</f>
        <v/>
      </c>
      <c r="IH232" t="str">
        <f t="shared" si="485"/>
        <v>3х2,5</v>
      </c>
      <c r="II232" t="str">
        <f>IF(IH232="","",IF(COUNTIF(IH$3:IH232,IH232)=1,MAX(II$2:II231)+1,""))</f>
        <v/>
      </c>
      <c r="IJ232" t="str">
        <f>IF(GL232="","",COUNTIF(GL$3:GL232,"?*"))</f>
        <v/>
      </c>
      <c r="IK232" t="str">
        <f>IF(OR(GL232="",GN232=""),"",IF(COUNTIFS(GL$3:GL232,"?*",GN$3:GN232,GN232)=1,MAX(IK$2:IK231)+1,""))</f>
        <v/>
      </c>
      <c r="IL232">
        <f t="shared" si="486"/>
        <v>0</v>
      </c>
      <c r="IM232">
        <f>IF(B232="","",COUNTIF(B$3:B232,"?*"))</f>
        <v>230</v>
      </c>
      <c r="IN232">
        <f>IF(GQ232&lt;&gt;1,0,_xlfn.LET(_xlpm.k,MAX(IFERROR(--VLOOKUP(B232,УГО_спр,5,FALSE),0),IFERROR(--VLOOKUP(AX232,УГО_спр,5,FALSE),0),IFERROR(--VLOOKUP(LEFT(AX232,2),УГО_спр,5,FALSE),0)),IF(_xlpm.k&gt;0,_xlpm.k,IF(IFERROR(--LEFT(SUBSTITUTE(IH232,"x","х"),FIND("х",SUBSTITUTE(IH232,"x","х"))-1),3)&gt;3,Каталог!$S$9,1))))</f>
        <v>1</v>
      </c>
      <c r="IO232">
        <f t="shared" si="487"/>
        <v>0</v>
      </c>
      <c r="IP232" t="str">
        <f t="shared" si="488"/>
        <v>авто</v>
      </c>
      <c r="IQ232">
        <f t="shared" si="489"/>
        <v>30</v>
      </c>
      <c r="IR232">
        <f t="shared" si="490"/>
        <v>1</v>
      </c>
      <c r="IS232">
        <f t="shared" si="491"/>
        <v>1</v>
      </c>
    </row>
    <row r="233" spans="1:253" x14ac:dyDescent="0.3">
      <c r="A233" t="s">
        <v>759</v>
      </c>
      <c r="B233" t="s">
        <v>1498</v>
      </c>
      <c r="C233" t="s">
        <v>1668</v>
      </c>
      <c r="D233">
        <v>1</v>
      </c>
      <c r="E233">
        <v>0.18</v>
      </c>
      <c r="G233" t="str">
        <f>Линии[[#This Row],[_авто автомат]]</f>
        <v>2P С16А 30мА</v>
      </c>
      <c r="H233">
        <f>Линии[[#This Row],[_авто утечка]]</f>
        <v>30</v>
      </c>
      <c r="I233" t="str">
        <f>Линии[[#This Row],[_авто управление]]</f>
        <v/>
      </c>
      <c r="J233" t="str">
        <f>Линии[[#This Row],[_авто аппараты]]</f>
        <v/>
      </c>
      <c r="K233">
        <v>2.5</v>
      </c>
      <c r="L233">
        <v>14</v>
      </c>
      <c r="M233" t="str">
        <f>Линии[[#This Row],[_авто фаза]]</f>
        <v>L2</v>
      </c>
      <c r="N233" t="s">
        <v>486</v>
      </c>
      <c r="O233" t="str">
        <f t="shared" si="369"/>
        <v/>
      </c>
      <c r="P233" s="6" cm="1">
        <f t="array" ref="P233">IF(B233="","",IF(BC233&lt;&gt;"",IFERROR(_xlfn.XLOOKUP(BC233,Щиты[Щит],Щиты[Iр, А]),""),IF(BK233=1,IFERROR(_xlfn.XLOOKUP(A233,Щиты[Щит],Щиты[Iр, А]),""),IFERROR(_xlfn.IFS(BR233=1,BN233/((Uн_лин/SQRT(3))*BY233),BR233=3,BN233/(SQRT(3)*Uн_лин*BY233)),""))))</f>
        <v>0.8204451193747313</v>
      </c>
      <c r="Q233" s="7">
        <f>IF(B233="","",IFERROR(IF(VLOOKUP(AX233,Потребители_обозначение,4,FALSE)=1,VLOOKUP(AX233,Потребители_обозначение,3,FALSE)*(D233*2-1)+DS233+VLOOKUP(AZ233,Этаж_обозначение,3,FALSE)+VLOOKUP(AZ233,Этаж_обозначение,4,FALSE),VLOOKUP(AX233,Потребители_обозначение,3,FALSE)*(D233*2-1)+DS233),DS233))</f>
        <v>17</v>
      </c>
      <c r="R233" s="6">
        <f t="shared" si="370"/>
        <v>1.3</v>
      </c>
      <c r="S233" t="str">
        <f t="shared" si="371"/>
        <v>ВВГнг(А)-LS (3х2,5)</v>
      </c>
      <c r="T233" t="str">
        <f>IF(BH233="","",IF(BI233="вводной узел","узел ","")&amp;"л."&amp;(INT((BH233-1)/Столбцов_на_лист)+1)&amp;" / "&amp;(MOD(BH233-1,Столбцов_на_лист)+1))</f>
        <v>л.2 / 11</v>
      </c>
      <c r="V233">
        <v>1</v>
      </c>
      <c r="W233">
        <v>230</v>
      </c>
      <c r="X233" t="s">
        <v>564</v>
      </c>
      <c r="AC233" t="s">
        <v>815</v>
      </c>
      <c r="AE233" t="s">
        <v>563</v>
      </c>
      <c r="AI233">
        <v>28</v>
      </c>
      <c r="AJ233" t="s">
        <v>11</v>
      </c>
      <c r="AK233">
        <v>3</v>
      </c>
      <c r="AM233">
        <v>0</v>
      </c>
      <c r="AN233">
        <v>14</v>
      </c>
      <c r="AO233">
        <v>0</v>
      </c>
      <c r="AW233" cm="1">
        <f t="array" ref="AW233">ROW()-ROW(Линии[#Headers])</f>
        <v>231</v>
      </c>
      <c r="AX233" s="6" t="str">
        <f t="shared" si="372"/>
        <v>R</v>
      </c>
      <c r="AY233" t="str">
        <f t="shared" si="373"/>
        <v>1.002Б.4</v>
      </c>
      <c r="AZ233" t="str">
        <f t="shared" si="374"/>
        <v>1</v>
      </c>
      <c r="BA233" t="str">
        <f t="shared" si="375"/>
        <v>002Б.4</v>
      </c>
      <c r="BB233" t="str">
        <f t="shared" si="376"/>
        <v>002Б</v>
      </c>
      <c r="BC233" t="str">
        <f>IF(U233&lt;&gt;"",U233,IF(AND(B233&lt;&gt;"",B233&lt;&gt;A233,ISNUMBER(_xlfn.XMATCH(B233,Щиты[Щит]))),B233,""))</f>
        <v/>
      </c>
      <c r="BD233" t="str" cm="1">
        <f t="array" ref="BD233">IF(B233="","",IF(BC233&lt;&gt;"","Щит "&amp;BC233,_xlfn.LET(_xlpm.nm,IFERROR(_xlfn.XLOOKUP(AX233,Коды_код,Коды_имя)&amp;"",""),_xlpm.md,IFERROR(N(_xlfn.XLOOKUP(AX233,Коды_код,Коды_режим)),1),_xlpm.ex,IF(Имя_режим="по экспликации",IFERROR(_xlfn.XLOOKUP(AZ233&amp;"|"&amp;BB233,Экспликация[Этаж]&amp;"|"&amp;Экспликация[Помещение],Экспликация[Название])&amp;"",""),""),_xlpm.rm,IF(BB233="","",IF(_xlpm.ex&lt;&gt;"",". "&amp;_xlpm.ex&amp;IF(Имя_пом="нет"," ("&amp;BB233&amp;")"," (пом. "&amp;BB233&amp;")"),IF(Имя_пом="нет"," ",", пом. ")&amp;BB233)),IF(_xlpm.nm="","",IF(_xlpm.md=2,_xlpm.nm&amp;" шлейф "&amp;AZ233,_xlpm.nm&amp;_xlpm.rm)))))</f>
        <v>Розеточная группа, пом. 002Б</v>
      </c>
      <c r="BE233" t="str">
        <f t="shared" si="377"/>
        <v>Розеточная группа Первый этаж Пом. №002Б Фартук</v>
      </c>
      <c r="BF233">
        <f>IFERROR(_xlfn.XMATCH(A233,Щиты[Щит]),0)</f>
        <v>10</v>
      </c>
      <c r="BG233">
        <f>_xlfn.LET(_xlpm.k,IFERROR(_xlfn.XLOOKUP(A233,Щиты[Щит],Щиты[Листов под вводной узел]),""),IF(_xlpm.k="",1,N(_xlpm.k))*Столбцов_на_лист)</f>
        <v>17</v>
      </c>
      <c r="BH233">
        <f t="shared" si="378"/>
        <v>28</v>
      </c>
      <c r="BI233" t="str">
        <f t="shared" si="379"/>
        <v>линии</v>
      </c>
      <c r="BJ233" s="6">
        <f>IFERROR(N(_xlfn.XLOOKUP(AX233,Коды_код,Коды_квт)),0)</f>
        <v>0</v>
      </c>
      <c r="BK233">
        <f t="shared" si="380"/>
        <v>0</v>
      </c>
      <c r="BL233" t="str">
        <f>IF(B233="","",IF(BC233&lt;&gt;"",IFERROR(_xlfn.XLOOKUP(BC233,Щиты[Щит],Щиты[Руст, кВт]),0),IF(BK233=1,IFERROR(_xlfn.XLOOKUP(A233,Щиты[Щит],Щиты[Руст, кВт]),0),IF(BJ233&gt;0,ROUND(BJ233*MAX(1,N(D233)),3),""))))</f>
        <v/>
      </c>
      <c r="BM233">
        <f t="shared" si="381"/>
        <v>0.18</v>
      </c>
      <c r="BN233" s="6">
        <f>IF(B233="","",IF(BC233&lt;&gt;"",IFERROR(_xlfn.XLOOKUP(BC233,Щиты[Щит],Щиты[Руст, кВт]),0),N(BM233)))</f>
        <v>0.18</v>
      </c>
      <c r="BO233" t="str">
        <f>IF(B233="","",IFERROR(IF(VLOOKUP(AX233,Потребители_обозначение,8,FALSE)=0,"",VLOOKUP(AX233,Потребители_обозначение,8,FALSE)),""))</f>
        <v/>
      </c>
      <c r="BP233">
        <f t="shared" si="382"/>
        <v>230</v>
      </c>
      <c r="BQ233">
        <f>IF(B233="","",IF(BC233&lt;&gt;"",3,IFERROR(IF(N(VLOOKUP(AX233,Потребители_обозначение,9,FALSE))=0,1,VLOOKUP(AX233,Потребители_обозначение,9,FALSE)),1)))</f>
        <v>1</v>
      </c>
      <c r="BR233">
        <f t="shared" si="383"/>
        <v>1</v>
      </c>
      <c r="BS233" t="str">
        <f>IF(B233="","",_xlfn.LET(_xlpm.bc,IFERROR(IF(VLOOKUP(AX233,Потребители_обозначение,6,FALSE)=0,"",VLOOKUP(AX233,Потребители_обозначение,6,FALSE)&amp;""),""),IF(AND(FK233="да",OR(_xlpm.bc="",_xlpm.bc="мс")),Марка_пож,IF(AND(_xlpm.bc="",BC233&lt;&gt;""),"мс",_xlpm.bc))))</f>
        <v/>
      </c>
      <c r="BT233" t="str">
        <f t="shared" si="384"/>
        <v>мс</v>
      </c>
      <c r="BU233">
        <f>IF(B233="","",_xlfn.LET(_xlpm.cc,IFERROR(N(VLOOKUP(AX233,Потребители_обозначение,7,FALSE)),0),IF(_xlpm.cc&gt;0,_xlpm.cc,IF(BT233="","",IF(N(BR233)=3,5,3)))))</f>
        <v>3</v>
      </c>
      <c r="BV233">
        <f t="shared" si="385"/>
        <v>3</v>
      </c>
      <c r="BW233">
        <f>IFERROR(N(VLOOKUP(AX233,Потребители_обозначение,10,FALSE)),0)</f>
        <v>0</v>
      </c>
      <c r="BX233">
        <f>IFERROR(VLOOKUP(AX233,Потребители_обозначение,5,FALSE),0)</f>
        <v>1</v>
      </c>
      <c r="BY233" s="6" cm="1">
        <f t="array" ref="BY233">IF(B233="","",IF(BC233&lt;&gt;"",IFERROR(_xlfn.XLOOKUP(BC233,Щиты[Щит],Щиты[cos φ]),0.95),IF(BK233=1,IFERROR(_xlfn.XLOOKUP(A233,Щиты[Щит],Щиты[cos φ]),0.95),IF(ISNUMBER(Z233),Z233,IFERROR(IF(BX233=2,_xlfn.IFS(BR233=3,VLOOKUP(BN233,Справочная_двигатели,8,FALSE),BR233=1,VLOOKUP(BN233,Справочная_двигатели,10,TRUE)),IF(AND(Методика="нормы 2026",EQ233="Сил"),0.8,0.95)),0.95)))))</f>
        <v>0.95</v>
      </c>
      <c r="BZ233">
        <f t="shared" si="386"/>
        <v>0</v>
      </c>
      <c r="CA233">
        <f t="shared" si="387"/>
        <v>1</v>
      </c>
      <c r="CB233">
        <f t="shared" si="388"/>
        <v>0</v>
      </c>
      <c r="CC233">
        <f t="shared" si="389"/>
        <v>0</v>
      </c>
      <c r="CD233">
        <f t="shared" si="390"/>
        <v>0</v>
      </c>
      <c r="CE233">
        <f t="shared" si="391"/>
        <v>0</v>
      </c>
      <c r="CF233">
        <f t="shared" si="392"/>
        <v>0</v>
      </c>
      <c r="CG233">
        <f>IF(AX233="",0,_xlfn.LET(_xlpm.v,IFERROR(VLOOKUP(B233,УГО_спр,3,FALSE),IFERROR(VLOOKUP(AX233,УГО_спр,3,FALSE),IFERROR(VLOOKUP(LEFT(AX233,2),УГО_спр,3,FALSE),""))),IF(_xlpm.v="да",30,IF(ISNUMBER(_xlpm.v),_xlpm.v,0))))</f>
        <v>30</v>
      </c>
      <c r="CH233">
        <f t="shared" si="393"/>
        <v>30</v>
      </c>
      <c r="CI233" t="str">
        <f>_xlfn.LET(_xlpm.k,IFERROR(_xlfn.XLOOKUP(AX233,Коды_код,Коды_утечка)&amp;"",""),IF(_xlpm.k="","дифавтомат",_xlpm.k))</f>
        <v>дифавтомат</v>
      </c>
      <c r="CJ233">
        <f t="shared" si="394"/>
        <v>30</v>
      </c>
      <c r="CK233">
        <f t="shared" si="395"/>
        <v>30</v>
      </c>
      <c r="CL233">
        <f>IF(B233="",0,IFERROR(--VLOOKUP(B233,УГО_спр,4,FALSE),IFERROR(--VLOOKUP(AX233,УГО_спр,4,FALSE),IFERROR(--VLOOKUP(LEFT(AX233,2),УГО_спр,4,FALSE),0))))</f>
        <v>16</v>
      </c>
      <c r="CM233" t="str">
        <f>IF(B233="","",IFERROR(_xlfn.XLOOKUP(AX233,Коды_код,Коды_апп)&amp;"",""))</f>
        <v/>
      </c>
      <c r="CN233" t="str">
        <f t="shared" si="396"/>
        <v/>
      </c>
      <c r="CO233" t="str" cm="1">
        <f t="array" ref="CO233">IF(TRIM(CN233&amp;"")="","",IFERROR(TRIM(INDEX(_xlfn.TEXTSPLIT(CN233&amp;";;;",";"),1)),""))</f>
        <v/>
      </c>
      <c r="CP233" t="str" cm="1">
        <f t="array" ref="CP233">IF(TRIM(CN233&amp;"")="","",IFERROR(TRIM(INDEX(_xlfn.TEXTSPLIT(CN233&amp;";;;",";"),2)),""))</f>
        <v/>
      </c>
      <c r="CQ233" t="str" cm="1">
        <f t="array" ref="CQ233">IF(TRIM(CN233&amp;"")="","",IFERROR(TRIM(INDEX(_xlfn.TEXTSPLIT(CN233&amp;";;;",";"),3)),""))</f>
        <v/>
      </c>
      <c r="CR233">
        <f t="shared" si="397"/>
        <v>0</v>
      </c>
      <c r="CS233" t="str">
        <f>IF(B233="","",_xlfn.LET(_xlpm.t,LOWER(AV233&amp;""),IF(ISNUMBER(SEARCH("dim",_xlpm.t)),"DIM",IF(ISNUMBER(SEARCH("dali",_xlpm.t)),"DALI",IF(OR(ISNUMBER(SEARCH("relay",_xlpm.t)),ISNUMBER(SEARCH("реле",_xlpm.t))),"Relay",IF(ISNUMBER(SEARCH("кнопк",_xlpm.t)),"",IFERROR(_xlfn.XLOOKUP(AX233,Коды_код,Коды_упр)&amp;"","")))))))</f>
        <v/>
      </c>
      <c r="CT233" t="str">
        <f t="shared" si="398"/>
        <v/>
      </c>
      <c r="CU233">
        <f>IF(B233="","",_xlfn.LET(_xlpm.ig,N(P233)+IF(AF233="вручную",0,N(CB233)),_xlpm.n0,IFERROR(VLOOKUP(_xlpm.ig,Автомат_номиналы,2,TRUE),0),_xlpm.mn,MAX(CL233,IF(AF233="вручную",0,N(CE233))),MAX(_xlpm.n0,_xlpm.mn,IF(CR233=1,Мин_автомат_БП,0))))</f>
        <v>16</v>
      </c>
      <c r="CV233">
        <f t="shared" si="399"/>
        <v>1</v>
      </c>
      <c r="CW233" t="str">
        <f t="shared" si="400"/>
        <v>2P</v>
      </c>
      <c r="CX233" t="str">
        <f>_xlfn.LET(_xlpm.cc,UPPER(TRIM(IFERROR(_xlfn.XLOOKUP(AX233,Коды_код,Коды_хар)&amp;"",""))),IF(OR(_xlpm.cc="B",_xlpm.cc="В"),"B",IF(_xlpm.cc="D","D","С")))</f>
        <v>С</v>
      </c>
      <c r="CY233" t="str">
        <f t="shared" si="401"/>
        <v>2P С16А 30мА</v>
      </c>
      <c r="CZ233" t="str">
        <f t="shared" si="402"/>
        <v>2P С16А 30мА</v>
      </c>
      <c r="DA233" t="str">
        <f t="shared" si="403"/>
        <v>2P С16А 30мА</v>
      </c>
      <c r="DB233" cm="1">
        <f t="array" ref="DB233">IF(DA233="","",_xlfn.LET(_xlpm.t,SUBSTITUTE(SUBSTITUTE(SUBSTITUTE(UPPER(DA233),"С","C"),"А","A"),"В","B"),_xlpm.tk,_xlfn.TEXTSPLIT(_xlpm.t,"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3" t="str">
        <f t="shared" si="404"/>
        <v>ok</v>
      </c>
      <c r="DD233">
        <f t="shared" si="405"/>
        <v>16</v>
      </c>
      <c r="DE233" t="str">
        <f t="shared" si="406"/>
        <v>2P С16А 30мА</v>
      </c>
      <c r="DF233">
        <f t="shared" si="407"/>
        <v>30</v>
      </c>
      <c r="DG233">
        <f t="shared" si="408"/>
        <v>1</v>
      </c>
      <c r="DH233">
        <f t="shared" si="409"/>
        <v>0</v>
      </c>
      <c r="DI233">
        <f t="shared" si="410"/>
        <v>0.8204451193747313</v>
      </c>
      <c r="DJ233">
        <f t="shared" si="411"/>
        <v>1</v>
      </c>
      <c r="DK233">
        <f>IF(ISNUMBER(AL233),AL233,К_прокл)</f>
        <v>1</v>
      </c>
      <c r="DL233">
        <f t="shared" si="412"/>
        <v>2</v>
      </c>
      <c r="DM233">
        <f>IFERROR(N(VLOOKUP(BT233,Кабель_обозначение,3,FALSE)),1)</f>
        <v>1</v>
      </c>
      <c r="DN233">
        <f>IFERROR(N(_xlfn.XLOOKUP(A233,Щиты[Щит],Щиты[ΔU до шин, %])),0)</f>
        <v>1.19</v>
      </c>
      <c r="DO233" t="str">
        <f>IFERROR(_xlfn.XLOOKUP(A233,Щиты[Щит],Щиты[Zпетли на шинах, Ом]),"")</f>
        <v/>
      </c>
      <c r="DP233">
        <f>IFERROR(N(_xlfn.XLOOKUP(A233,Щиты[Щит],Щиты[ΔU до шин (подбор), %])),0)</f>
        <v>1.19</v>
      </c>
      <c r="DQ233" t="str">
        <f>IFERROR(_xlfn.XLOOKUP(A233,Щиты[Щит],Щиты[Zпетли на шинах (подбор), Ом]),"")</f>
        <v/>
      </c>
      <c r="DR233" t="str">
        <f t="shared" si="413"/>
        <v/>
      </c>
      <c r="DS233">
        <f t="shared" si="414"/>
        <v>14</v>
      </c>
      <c r="DT233">
        <f t="shared" si="415"/>
        <v>2</v>
      </c>
      <c r="DU233">
        <f t="shared" si="416"/>
        <v>0.31</v>
      </c>
      <c r="DV233" s="6">
        <f>IF(B233="","",IF(IFERROR(VLOOKUP(AX233,УГО_спр,2,FALSE),"")="Светильник",3,4)+IF(Методика="нормы 2026",MIN(0.5,MAX(0,N(Q233)-100)*0.005),0))</f>
        <v>4</v>
      </c>
      <c r="DW233" cm="1">
        <f t="array" ref="DW233">IF(OR(B233="",BT233="",DM233&lt;&gt;1),"",_xlfn.LET(_xlpm.sz,Iдоп_S,_xlpm.t_,CHOOSE(DL233,Iдоп_1ж,Iдоп_2ж,Iдоп_3ж)*DJ233*DK233,_xlpm.inn,N(DD233),_xlpm.smin,MAX(1.5,BW233),_xlpm.L_,N(Q233)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233)*(_xlpm.rho*_xlpm.L_/_xlpm.sz*N(BY233)+_xlpm.xx*_xlpm.L_*N(DU233)/1000)*N(P233)/((Uн_лин/SQRT(3))*1000)*100,999),_xlpm.kz,IF(OR(DG233=1,NOT(ISNUMBER(DQ233)),_xlpm.L_=0,_xlpm.inn=0),1,IFERROR(--(c_min*(Uн_лин*1000/SQRT(3))/(DQ233+2*ρкз_Cu*_xlpm.L_/_xlpm.sz)&gt;=GY233*_xlpm.inn),0)),_xlpm.ok,IFERROR((_xlpm.sz&gt;=_xlpm.smin)*(_xlpm.t_&gt;=_xlpm.inn)*IF(_xlpm.L_&gt;0,(_xlpm.du_+DP233&lt;=DV233+0.00001),1)*_xlpm.kz,0),_xlpm.r_,_xlfn._xlws.FILTER(_xlpm.sz,_xlpm.ok,"не подобрано"),INDEX(_xlpm.r_,1)))</f>
        <v>1.5</v>
      </c>
      <c r="DX233">
        <f t="shared" si="417"/>
        <v>2.5</v>
      </c>
      <c r="DY233" cm="1">
        <f t="array" ref="DY233">IF(OR(B233="",BT233="",DM233&lt;&gt;1),"",_xlfn.LET(_xlpm.sz,Iдоп_S,_xlpm.t_,CHOOSE(DL233,Iдоп_1ж,Iдоп_2ж,Iдоп_3ж)*DJ233*DK233,_xlpm.ok,IFERROR((_xlpm.sz&gt;=MAX(1.5,BW233))*(_xlpm.t_&gt;=N(DD233)),0),_xlpm.r_,_xlfn._xlws.FILTER(_xlpm.sz,_xlpm.ok,""),INDEX(_xlpm.r_,1)))</f>
        <v>1.5</v>
      </c>
      <c r="DZ233" s="6" cm="1">
        <f t="array" ref="DZ233">IFERROR(ROUNDUP(N(DT233)*(_xlfn.XLOOKUP(DY233,INDEX(Кабель_сопротивление,0,1),INDEX(Кабель_сопротивление,0,3))*N(Q233)/DY233*N(BY233)+_xlfn.XLOOKUP(DY233,INDEX(Кабель_сопротивление,0,1),INDEX(Кабель_сопротивление,0,2))*N(Q233)*N(DU233)/1000)*N(P233)/((Uн_лин/SQRT(3))*1000)*100,2),"")</f>
        <v>0.18000000000000002</v>
      </c>
      <c r="EA233">
        <f>IFERROR(2*ρкз_Cu*N(Q233)/DY233,"")</f>
        <v>0.59613333333333329</v>
      </c>
      <c r="EB233">
        <f>IFERROR(VLOOKUP(DX233,Кабель_сопротивление,3,FALSE),"")</f>
        <v>2.2499999999999999E-2</v>
      </c>
      <c r="EC233">
        <f>IFERROR(VLOOKUP(DX233,Кабель_сопротивление,2,FALSE),"")</f>
        <v>0.1</v>
      </c>
      <c r="ED233">
        <f t="shared" si="418"/>
        <v>14</v>
      </c>
      <c r="EE233">
        <f t="shared" si="419"/>
        <v>0</v>
      </c>
      <c r="EF233">
        <f t="shared" si="420"/>
        <v>0.23936814535805531</v>
      </c>
      <c r="EG233" s="6">
        <f>IFERROR(ROUNDUP(EF233/((Uн_лин/SQRT(3))*1000)*100,2),"")</f>
        <v>0.11</v>
      </c>
      <c r="EH233" t="str">
        <f>IFERROR(VLOOKUP(BT233,Кабель_обозначение,2,FALSE),"")</f>
        <v>ВВГнг(А)-LS</v>
      </c>
      <c r="EI233" t="str">
        <f t="shared" si="421"/>
        <v>ВВГнг(А)-LS (3х2,5)</v>
      </c>
      <c r="EJ233" t="str">
        <f t="shared" si="422"/>
        <v>ВВГнг(А)-LS (3х2,5)
L=17-0,11%</v>
      </c>
      <c r="EK233">
        <f>IFERROR(2*ρкз_Cu*Q233/DX233,"")</f>
        <v>0.35768</v>
      </c>
      <c r="EL233">
        <f t="shared" si="423"/>
        <v>0.11900000000000002</v>
      </c>
      <c r="EM233" s="6" t="str">
        <f>IFERROR(IF(OR(B233="",NOT(ISNUMBER(DX233)),N(Q233)=0),"",_xlfn.XLOOKUP(A233,Щиты[Щит],Щиты[Zпетли на шинах, Ом])+EK233),"")</f>
        <v/>
      </c>
      <c r="EN233" s="6" t="str">
        <f>IF(ISNUMBER(EM233),c_min*(Uн_лин*1000/SQRT(3))/EM233,"")</f>
        <v/>
      </c>
      <c r="EO233" s="6" t="str">
        <f>IFERROR(IF(OR(B233="",NOT(ISNUMBER(DX233))),"",1.05*(Uн_лин*1000/SQRT(3))/(_xlfn.XLOOKUP(A233,Щиты[Щит],Щиты[Zmax на шинах, Ом])+EL233)/1000),"")</f>
        <v/>
      </c>
      <c r="EP233" s="6" t="str">
        <f>IF(B233="","",IF(ISNUMBER(Y233),"Сил",IF(IFERROR(_xlfn.XLOOKUP(AX233,Коды_код,Коды_группа)&amp;"","")="","Быт",_xlfn.XLOOKUP(AX233,Коды_код,Коды_группа)&amp;"")))</f>
        <v>Быт</v>
      </c>
      <c r="EQ233" s="6" t="str">
        <f t="shared" si="424"/>
        <v>Быт</v>
      </c>
      <c r="ER233" s="6">
        <f>IF(EQ233="Щит","щит",IF(EQ233="","",IF(EQ233="Быт",IFERROR(_xlfn.XLOOKUP(A233,Щиты[Щит],Щиты[Кс быт]),1),IF(EQ233="Сил",IF(ISNUMBER(Y233),Y233,IF(Методика="нормы 2026",IFERROR(_xlfn.XLOOKUP(A233,Щиты[Щит],Щиты[Кс силовых (табл. 7.5)]),1),1)),IF(OR(EQ233="Пост",EQ233="Отоп"),1,IF(EQ233="ВНГ",0.7,0))))))</f>
        <v>0.57830000000000004</v>
      </c>
      <c r="ES233">
        <f t="shared" si="425"/>
        <v>1</v>
      </c>
      <c r="ET233">
        <f t="shared" si="426"/>
        <v>0.18</v>
      </c>
      <c r="EU233">
        <f t="shared" si="427"/>
        <v>0.18</v>
      </c>
      <c r="EV233">
        <f t="shared" si="428"/>
        <v>0</v>
      </c>
      <c r="EW233">
        <f t="shared" si="429"/>
        <v>0</v>
      </c>
      <c r="EX233">
        <f t="shared" si="430"/>
        <v>0</v>
      </c>
      <c r="EY233">
        <f t="shared" si="431"/>
        <v>0</v>
      </c>
      <c r="EZ233">
        <f t="shared" si="432"/>
        <v>0.18</v>
      </c>
      <c r="FA233">
        <f t="shared" si="433"/>
        <v>0.17099999999999999</v>
      </c>
      <c r="FB233">
        <f t="shared" si="434"/>
        <v>0.18</v>
      </c>
      <c r="FC233" t="str">
        <f t="shared" si="435"/>
        <v/>
      </c>
      <c r="FD233" t="str">
        <f>IF(B233="","",IF(CA233=0,IF(AW233=1,"",FF232),IF(OR(N(CV233)&gt;=3,N(BR233)&gt;=3),"L1,L2,L3",IFERROR(_xlfn.TEXTBEFORE(_xlfn.TEXTAFTER(_xlfn.XLOOKUP(A233,Щиты[Щит],Щиты[_фазы авто]),";"&amp;AW233&amp;":"),";"),"L1"))))</f>
        <v>L2</v>
      </c>
      <c r="FE233" t="str">
        <f t="shared" si="436"/>
        <v>L2</v>
      </c>
      <c r="FF233" t="str">
        <f t="shared" si="437"/>
        <v>L2</v>
      </c>
      <c r="FG233" cm="1">
        <f t="array" ref="FG233">IFERROR(IF(BX233=2,_xlfn.IFS(BR233=3,VLOOKUP(BN233,Справочная_двигатели,3,FALSE),BR233=1,VLOOKUP(BN233,Справочная_двигатели,5,TRUE)),0),0)</f>
        <v>0</v>
      </c>
      <c r="FH233">
        <f>IFERROR(IF(BX233=3,VLOOKUP(BN233,Справочная_ЛЭД,2,TRUE),0),0)</f>
        <v>0</v>
      </c>
      <c r="FI233" s="6">
        <f t="shared" si="438"/>
        <v>0</v>
      </c>
      <c r="FJ233" t="str" cm="1">
        <f t="array" ref="FJ233">IF(B233="","",IFERROR(INDEX({"I особая","I","II","III"},MATCH(TRIM(AC233&amp;""),{"I особая","I","II","III"},0)),"III"))</f>
        <v>II</v>
      </c>
      <c r="FK233" t="str">
        <f>IF(B233="","",IF(TRIM(AD233&amp;"")&lt;&gt;"",IF(LOWER(TRIM(AD233&amp;""))="да","да","нет"),IF(IFERROR(_xlfn.XLOOKUP(AX233,Коды_код,Коды_пожарная),"")="да","да","нет")))</f>
        <v>нет</v>
      </c>
      <c r="FL233" t="str">
        <f t="shared" si="439"/>
        <v/>
      </c>
      <c r="FM233" t="str">
        <f t="shared" si="440"/>
        <v>основная</v>
      </c>
      <c r="FN233">
        <f t="shared" si="441"/>
        <v>1</v>
      </c>
      <c r="FO233" t="str" cm="1">
        <f t="array" ref="FO233">IF(B233="","",_xlfn.LET(_xlpm.t,IFERROR(_xlfn.XLOOKUP(1,(Шины[Шина]=FM233)*(((Шины[Щит]=A233)+(Шины[Щит]=""))&gt;0),Шины[Тип]),"")&amp;"",IF(_xlpm.t&lt;&gt;"",_xlpm.t,IF(ISNUMBER(SEARCH("ИБП",FM233)),"ИБП",IF(ISNUMBER(SEARCH("ДГУ",FM233)),"ДГУ","Ввод "&amp;FN233)))))</f>
        <v>Ввод 1</v>
      </c>
      <c r="FP233" t="str">
        <f t="shared" si="442"/>
        <v>Ввод 1</v>
      </c>
      <c r="FQ233" t="str">
        <f>IF(B233="","",IF(OR(FO233="ИБП",FO233="ДГУ"),"I особая",IF(FO233="Одиночная","III",_xlfn.XLOOKUP(A233,Щиты[Щит],Щиты[Категория шины «Ввод»],"III"))))</f>
        <v>II</v>
      </c>
      <c r="FR233">
        <f>IF(B233="",0,IFERROR(MATCH(FJ233,{"III","II","I","I особая"},0),1))</f>
        <v>2</v>
      </c>
      <c r="FS233">
        <f t="shared" si="443"/>
        <v>2</v>
      </c>
      <c r="FT233" t="str">
        <f>IF(B233="","",IF(FR233&gt;IFERROR(MATCH(FQ233,{"III","II","I","I особая"},0),1),"НЕ ОБЕСПЕЧЕНА","ОК"))</f>
        <v>ОК</v>
      </c>
      <c r="FU233" t="str">
        <f>IF(A233="","",_xlfn.XLOOKUP(A233,Щиты[Щит],Щиты[Путь],""))</f>
        <v>|ГРЩ-ЖД|ЩР-1|</v>
      </c>
      <c r="FV233" t="str">
        <f>IF(B233="","",IF(AE233&lt;&gt;"",AE233,IF(IFERROR(_xlfn.XLOOKUP(AX233,Коды_код,Коды_вид)&amp;"","")="","Прочее",_xlfn.XLOOKUP(AX233,Коды_код,Коды_вид)&amp;"")))</f>
        <v>Розеточная сеть и бытовые приборы</v>
      </c>
      <c r="FW233">
        <f>IF(BH233="","",INT((BH233-1)/Столбцов_на_лист)+1)</f>
        <v>2</v>
      </c>
      <c r="FX233" t="str">
        <f t="shared" si="444"/>
        <v>ВВГнг(А)-LS (3х2,5) L=17-0,11%</v>
      </c>
      <c r="FY233">
        <f t="shared" si="445"/>
        <v>0.18</v>
      </c>
      <c r="FZ233">
        <f t="shared" si="446"/>
        <v>0.83</v>
      </c>
      <c r="GA233">
        <f t="shared" si="447"/>
        <v>1</v>
      </c>
      <c r="GB233">
        <f t="shared" si="448"/>
        <v>0</v>
      </c>
      <c r="GC233">
        <f t="shared" si="449"/>
        <v>1</v>
      </c>
      <c r="GD233">
        <f>IF(BH233="","",IF(AND(CA233=1,GC233=1),COUNTIFS(A$3:A233,A233,CA$3:CA233,1,GC$3:GC233,1),IF(OR(OR(AW233=1,A233&lt;&gt;A232),AF233="вручную",GC233=0),"",IF(AW233=1,"",GE232))))</f>
        <v>9</v>
      </c>
      <c r="GE233">
        <f t="shared" si="450"/>
        <v>9</v>
      </c>
      <c r="GF233">
        <f>IF(B233="","",IFERROR(LOOKUP(INDEX(CHOOSE(DL233,Iдоп_1ж,Iдоп_2ж,Iдоп_3ж),MATCH(DX233,Iдоп_S,0))*DJ233*DK233,{6,10,16,20,25,32,40,50,63,80,100,125,160,200,250,315,400,500,630}),""))</f>
        <v>25</v>
      </c>
      <c r="GG233" t="str">
        <f t="shared" si="451"/>
        <v>QFD9</v>
      </c>
      <c r="GH233" t="str">
        <f t="shared" si="452"/>
        <v>QFD9</v>
      </c>
      <c r="GI233" t="str">
        <f t="shared" si="453"/>
        <v/>
      </c>
      <c r="GJ233">
        <f t="shared" si="454"/>
        <v>0</v>
      </c>
      <c r="GK233" t="str">
        <f>IF(OR(AG233="",AG233="-"),"",IFERROR(VLOOKUP(AG233,Модули_спр,2,FALSE),"R"))</f>
        <v/>
      </c>
      <c r="GL233" t="str">
        <f>IF(GK233="","",GK233&amp;"."&amp;COUNTIFS(A$3:A233,A233,GK$3:GK233,GK233))</f>
        <v/>
      </c>
      <c r="GM233" t="str">
        <f t="shared" si="455"/>
        <v/>
      </c>
      <c r="GN233" t="str">
        <f t="shared" si="456"/>
        <v/>
      </c>
      <c r="GO233" t="str">
        <f t="shared" si="457"/>
        <v/>
      </c>
      <c r="GP233" t="str">
        <f t="shared" si="458"/>
        <v/>
      </c>
      <c r="GQ233">
        <f t="shared" si="459"/>
        <v>1</v>
      </c>
      <c r="GR233" t="str">
        <f>IF(GQ233=1,"XT"&amp;COUNTIFS(A$3:A233,A233,GQ$3:GQ233,1),"")</f>
        <v>XT9</v>
      </c>
      <c r="GS233" t="str">
        <f t="shared" si="460"/>
        <v/>
      </c>
      <c r="GT233" t="str">
        <f t="shared" si="461"/>
        <v>QFD9</v>
      </c>
      <c r="GU233" t="str">
        <f t="shared" si="462"/>
        <v/>
      </c>
      <c r="GV233" t="str">
        <f t="shared" si="463"/>
        <v>ok</v>
      </c>
      <c r="GW233" t="str">
        <f>IF(OR(GO233="",GM233=""),"",IF(GO233&gt;IFERROR(VLOOKUP(GN233,Модули_спр,3,FALSE),99),"ЛИШНИЙ КАНАЛ",IF(AND(AH233&lt;&gt;"=",COUNTIFS(Линии[_модуль гр.],GM233,Линии[Канал (итог)],GO233,Линии[Канал],"&lt;&gt;=",Линии[Щит],A233)&gt;1),"ДУБЛЬ КАНАЛА","")))</f>
        <v/>
      </c>
      <c r="GX233" s="6" t="str">
        <f t="shared" si="464"/>
        <v/>
      </c>
      <c r="GY233">
        <f t="shared" si="465"/>
        <v>10</v>
      </c>
      <c r="GZ233" t="str">
        <f t="shared" si="466"/>
        <v/>
      </c>
      <c r="HA233" t="str">
        <f>IF(AND(B233="",GT233=""),"",_xlfn.TEXTJOIN("; ",TRUE,IF(AND(B233&lt;&gt;"",FE233=""),"нет фазы",""),IF(AND(B233&lt;&gt;"",N(FY233)=0,EQ233&lt;&gt;"Нет"),"нет мощности",""),IF(AND(GS233&lt;&gt;"",COUNTIFS(Линии[Щит],A233,Линии[Клемма (итог)],GS233)&gt;1),"дубль клеммы "&amp;GS233,""),IF(AND(GV233&lt;&gt;"",GV233&lt;&gt;"ok"),GV233,""),IF(GW233&lt;&gt;"",GW233,""),IF(AND(N(BV233)&gt;=4,N(BR233)=1),BV233&amp;" жил на 1 фазе",""),IF(AND(AX233="R",CA233=1,OR(N(CK233)=0,N(CK233)&gt;30)),"розетка без дифзащиты до 30 мА",""),IFERROR(IF(AND(ISNUMBER(R233),R233&gt;DV233),"потери "&amp;FIXED(R233,1)&amp;" % &gt; "&amp;DV233&amp;" %",""),""),IFERROR(IF(LEFT(GZ233,4)="мало","Iкз мало — отключение &gt; 0,4 с",""),""),IF(AND(B233&lt;&gt;"",BH233=""),"не на схеме",""),IF(AND(CA233=0,B233&lt;&gt;"",FE233&lt;&gt;"",IF(AW233=1,"",FF232)&lt;&gt;"",FE233&lt;&gt;IF(AW233=1,"",FF232)),"фаза не как у автомата группы ("&amp;IF(AW233=1,"",FF232)&amp;")","")))</f>
        <v/>
      </c>
      <c r="HB233" s="6">
        <f>IF(OR(CA233=0,DA233=""),"",_xlfn.LET(_xlpm.t,IFERROR(_xlfn.XLOOKUP(DA233,Каталог!$U$4:$U$500,Каталог!$G$4:$G$500),""),_xlpm.k,SEARCH("кА",_xlpm.t),IFERROR(--TRIM(RIGHT(SUBSTITUTE(MID(_xlpm.t,MAX(1,_xlpm.k-4),_xlpm.k-MAX(1,_xlpm.k-4))," ",REPT(" ",9)),5)),"")))</f>
        <v>6</v>
      </c>
      <c r="HC233" t="str">
        <f>IF(OR(HB233="",CA233=0),"",IF(_xlfn.XLOOKUP(A233,Щиты[Щит],Щиты[Iкз max на шинах, кА],"")="","",IF(HB233&lt;_xlfn.XLOOKUP(A233,Щиты[Щит],Щиты[Iкз max на шинах, кА]),"Icu "&amp;HB233&amp;" кА &lt; Iкз max","ok")))</f>
        <v/>
      </c>
      <c r="HD233" t="str">
        <f t="shared" si="467"/>
        <v/>
      </c>
      <c r="HE233" t="str">
        <f t="shared" si="468"/>
        <v>QFD9</v>
      </c>
      <c r="HF233" t="str">
        <f t="shared" si="469"/>
        <v>QFD9|кабель ВВГнг(А)-LS (3х2,5) → Розеточная группа Первый этаж Пом. №002Б Фартук</v>
      </c>
      <c r="HG233" t="str" cm="1">
        <f t="array" ref="HG233">IF(HF233="","",_xlfn.LET(_xlpm.nd,_xlfn.TEXTSPLIT(HF233,"|"),IF(COLUMNS(_xlpm.nd)&gt;1,A233&amp;"¦"&amp;INDEX(_xlpm.nd,1)&amp;"¦"&amp;INDEX(_xlpm.nd,2),"")))</f>
        <v>ЩР-1¦QFD9¦кабель ВВГнг(А)-LS (3х2,5) → Розеточная группа Первый этаж Пом. №002Б Фартук</v>
      </c>
      <c r="HH233" t="str">
        <f t="shared" si="470"/>
        <v>R.1.002Б.4¦Розеточная группа Первый этаж Пом. №002Б Фартук</v>
      </c>
      <c r="HI233" t="str" cm="1">
        <f t="array" ref="HI233">IF(HF233="","",_xlfn.LET(_xlpm.nd,_xlfn.TEXTSPLIT(HF233,"|"),IF(COLUMNS(_xlpm.nd)&gt;2,A233&amp;"¦"&amp;INDEX(_xlpm.nd,2)&amp;"¦"&amp;INDEX(_xlpm.nd,3),"")))</f>
        <v/>
      </c>
      <c r="HJ233" t="str">
        <f t="shared" si="471"/>
        <v/>
      </c>
      <c r="HK233" t="str" cm="1">
        <f t="array" ref="HK233">IF(HF233="","",_xlfn.LET(_xlpm.nd,_xlfn.TEXTSPLIT(HF233,"|"),IF(COLUMNS(_xlpm.nd)&gt;3,A233&amp;"¦"&amp;INDEX(_xlpm.nd,3)&amp;"¦"&amp;INDEX(_xlpm.nd,4),"")))</f>
        <v/>
      </c>
      <c r="HL233" t="str">
        <f t="shared" si="472"/>
        <v/>
      </c>
      <c r="HM233" t="str" cm="1">
        <f t="array" ref="HM233">IF(HF233="","",_xlfn.LET(_xlpm.nd,_xlfn.TEXTSPLIT(HF233,"|"),IF(COLUMNS(_xlpm.nd)&gt;4,A233&amp;"¦"&amp;INDEX(_xlpm.nd,4)&amp;"¦"&amp;INDEX(_xlpm.nd,5),"")))</f>
        <v/>
      </c>
      <c r="HN233" t="str">
        <f t="shared" si="473"/>
        <v/>
      </c>
      <c r="HO233" t="str" cm="1">
        <f t="array" ref="HO233">IF(HF233="","",_xlfn.LET(_xlpm.nd,_xlfn.TEXTSPLIT(HF233,"|"),IF(COLUMNS(_xlpm.nd)&gt;5,A233&amp;"¦"&amp;INDEX(_xlpm.nd,5)&amp;"¦"&amp;INDEX(_xlpm.nd,6),"")))</f>
        <v/>
      </c>
      <c r="HP233" t="str">
        <f t="shared" si="474"/>
        <v/>
      </c>
      <c r="HQ233" t="str" cm="1">
        <f t="array" ref="HQ233">IF(HF233="","",_xlfn.LET(_xlpm.nd,_xlfn.TEXTSPLIT(HF233,"|"),IF(COLUMNS(_xlpm.nd)&gt;6,A233&amp;"¦"&amp;INDEX(_xlpm.nd,6)&amp;"¦"&amp;INDEX(_xlpm.nd,7),"")))</f>
        <v/>
      </c>
      <c r="HR233" t="str">
        <f t="shared" si="475"/>
        <v/>
      </c>
      <c r="HS233" t="str">
        <f t="shared" si="476"/>
        <v/>
      </c>
      <c r="HT233" t="str">
        <f t="shared" si="477"/>
        <v>QFD9</v>
      </c>
      <c r="HU233">
        <f t="shared" si="478"/>
        <v>0</v>
      </c>
      <c r="HV233">
        <f t="shared" si="479"/>
        <v>1</v>
      </c>
      <c r="HW233" t="str">
        <f t="shared" si="480"/>
        <v/>
      </c>
      <c r="HX233" t="str">
        <f t="shared" si="481"/>
        <v/>
      </c>
      <c r="HY233" t="str">
        <f t="shared" si="482"/>
        <v/>
      </c>
      <c r="HZ233" t="str">
        <f t="shared" si="483"/>
        <v/>
      </c>
      <c r="IA233" t="str">
        <f>IF(B233="","",IFERROR(VLOOKUP(B233,УГО_спр,2,FALSE),IFERROR(VLOOKUP(AX233,УГО_спр,2,FALSE),IFERROR(VLOOKUP(LEFT(AX233,2),УГО_спр,2,FALSE),""))))</f>
        <v>Розетка</v>
      </c>
      <c r="IB233" t="str">
        <f>IF(B233="","",IF(OR(IA233="",IA233=0),"BOX",IFERROR(IF(VLOOKUP(IA233,УГО_блоки,3,FALSE)&amp;""&lt;&gt;"",VLOOKUP(IA233,УГО_блоки,3,FALSE),VLOOKUP(IA233,УГО_блоки,2,FALSE)),IA233)))</f>
        <v>SOCKET</v>
      </c>
      <c r="IC233">
        <f t="shared" si="484"/>
        <v>1</v>
      </c>
      <c r="ID233" t="str">
        <f>IF(DA233="","",IF(COUNTIF(DA$3:DA233,DA233)=1,MAX(ID$2:ID232)+1,""))</f>
        <v/>
      </c>
      <c r="IE233" t="str">
        <f>IF(CO233="","",IF(COUNTIF(CO$3:CO233,CO233)+COUNTIF(CP$2:CP232,CO233)+COUNTIF(CQ$2:CQ232,CO233)=1,MAX(IE$2:IG232)+1,""))</f>
        <v/>
      </c>
      <c r="IF233" t="str">
        <f>IF(CP233="","",IF(COUNTIF(CO$3:CO233,CP233)+COUNTIF(CP$3:CP233,CP233)+COUNTIF(CQ$2:CQ232,CP233)=1,MAX(IE$2:IG232,IE233)+1,""))</f>
        <v/>
      </c>
      <c r="IG233" t="str">
        <f>IF(CQ233="","",IF(COUNTIF(CO$3:CO233,CQ233)+COUNTIF(CP$3:CP233,CQ233)+COUNTIF(CQ$3:CQ233,CQ233)=1,MAX(IE$2:IG232,IE233,IF233)+1,""))</f>
        <v/>
      </c>
      <c r="IH233" t="str">
        <f t="shared" si="485"/>
        <v>3х2,5</v>
      </c>
      <c r="II233" t="str">
        <f>IF(IH233="","",IF(COUNTIF(IH$3:IH233,IH233)=1,MAX(II$2:II232)+1,""))</f>
        <v/>
      </c>
      <c r="IJ233" t="str">
        <f>IF(GL233="","",COUNTIF(GL$3:GL233,"?*"))</f>
        <v/>
      </c>
      <c r="IK233" t="str">
        <f>IF(OR(GL233="",GN233=""),"",IF(COUNTIFS(GL$3:GL233,"?*",GN$3:GN233,GN233)=1,MAX(IK$2:IK232)+1,""))</f>
        <v/>
      </c>
      <c r="IL233">
        <f t="shared" si="486"/>
        <v>0</v>
      </c>
      <c r="IM233">
        <f>IF(B233="","",COUNTIF(B$3:B233,"?*"))</f>
        <v>231</v>
      </c>
      <c r="IN233">
        <f>IF(GQ233&lt;&gt;1,0,_xlfn.LET(_xlpm.k,MAX(IFERROR(--VLOOKUP(B233,УГО_спр,5,FALSE),0),IFERROR(--VLOOKUP(AX233,УГО_спр,5,FALSE),0),IFERROR(--VLOOKUP(LEFT(AX233,2),УГО_спр,5,FALSE),0)),IF(_xlpm.k&gt;0,_xlpm.k,IF(IFERROR(--LEFT(SUBSTITUTE(IH233,"x","х"),FIND("х",SUBSTITUTE(IH233,"x","х"))-1),3)&gt;3,Каталог!$S$9,1))))</f>
        <v>1</v>
      </c>
      <c r="IO233">
        <f t="shared" si="487"/>
        <v>0</v>
      </c>
      <c r="IP233" t="str">
        <f t="shared" si="488"/>
        <v>авто</v>
      </c>
      <c r="IQ233">
        <f t="shared" si="489"/>
        <v>30</v>
      </c>
      <c r="IR233">
        <f t="shared" si="490"/>
        <v>1</v>
      </c>
      <c r="IS233">
        <f t="shared" si="491"/>
        <v>1</v>
      </c>
    </row>
    <row r="234" spans="1:253" x14ac:dyDescent="0.3">
      <c r="A234" t="s">
        <v>759</v>
      </c>
      <c r="B234" t="s">
        <v>1499</v>
      </c>
      <c r="C234" t="s">
        <v>1669</v>
      </c>
      <c r="D234">
        <v>1</v>
      </c>
      <c r="E234">
        <v>3.8</v>
      </c>
      <c r="G234" t="str">
        <f>Линии[[#This Row],[_авто автомат]]</f>
        <v>2P С20А 30мА</v>
      </c>
      <c r="H234">
        <f>Линии[[#This Row],[_авто утечка]]</f>
        <v>30</v>
      </c>
      <c r="I234" t="str">
        <f>Линии[[#This Row],[_авто управление]]</f>
        <v/>
      </c>
      <c r="J234" t="str">
        <f>Линии[[#This Row],[_авто аппараты]]</f>
        <v/>
      </c>
      <c r="K234">
        <v>4</v>
      </c>
      <c r="L234">
        <v>19</v>
      </c>
      <c r="M234" t="str">
        <f>Линии[[#This Row],[_авто фаза]]</f>
        <v>L1</v>
      </c>
      <c r="N234" t="str">
        <f>Линии[[#This Row],[_авто клемма]]</f>
        <v>XT10</v>
      </c>
      <c r="O234" t="str">
        <f t="shared" si="369"/>
        <v/>
      </c>
      <c r="P234" s="6" cm="1">
        <f t="array" ref="P234">IF(B234="","",IF(BC234&lt;&gt;"",IFERROR(_xlfn.XLOOKUP(BC234,Щиты[Щит],Щиты[Iр, А]),""),IF(BK234=1,IFERROR(_xlfn.XLOOKUP(A234,Щиты[Щит],Щиты[Iр, А]),""),IFERROR(_xlfn.IFS(BR234=1,BN234/((Uн_лин/SQRT(3))*BY234),BR234=3,BN234/(SQRT(3)*Uн_лин*BY234)),""))))</f>
        <v>17.320508075688771</v>
      </c>
      <c r="Q234" s="7">
        <f>IF(B234="","",IFERROR(IF(VLOOKUP(AX234,Потребители_обозначение,4,FALSE)=1,VLOOKUP(AX234,Потребители_обозначение,3,FALSE)*(D234*2-1)+DS234+VLOOKUP(AZ234,Этаж_обозначение,3,FALSE)+VLOOKUP(AZ234,Этаж_обозначение,4,FALSE),VLOOKUP(AX234,Потребители_обозначение,3,FALSE)*(D234*2-1)+DS234),DS234))</f>
        <v>22</v>
      </c>
      <c r="R234" s="6">
        <f t="shared" si="370"/>
        <v>2.9699999999999998</v>
      </c>
      <c r="S234" t="str">
        <f t="shared" si="371"/>
        <v>ВВГнг(А)-LS (3х4)</v>
      </c>
      <c r="T234" t="str">
        <f>IF(BH234="","",IF(BI234="вводной узел","узел ","")&amp;"л."&amp;(INT((BH234-1)/Столбцов_на_лист)+1)&amp;" / "&amp;(MOD(BH234-1,Столбцов_на_лист)+1))</f>
        <v>л.2 / 12</v>
      </c>
      <c r="V234">
        <v>1</v>
      </c>
      <c r="W234">
        <v>230</v>
      </c>
      <c r="X234" t="s">
        <v>564</v>
      </c>
      <c r="AC234" t="s">
        <v>815</v>
      </c>
      <c r="AE234" t="s">
        <v>563</v>
      </c>
      <c r="AI234">
        <v>29</v>
      </c>
      <c r="AJ234" t="s">
        <v>11</v>
      </c>
      <c r="AK234">
        <v>3</v>
      </c>
      <c r="AM234">
        <v>0</v>
      </c>
      <c r="AN234">
        <v>22</v>
      </c>
      <c r="AO234">
        <v>0</v>
      </c>
      <c r="AW234" cm="1">
        <f t="array" ref="AW234">ROW()-ROW(Линии[#Headers])</f>
        <v>232</v>
      </c>
      <c r="AX234" s="6" t="str">
        <f t="shared" si="372"/>
        <v>R</v>
      </c>
      <c r="AY234" t="str">
        <f t="shared" si="373"/>
        <v>1.002Б.5</v>
      </c>
      <c r="AZ234" t="str">
        <f t="shared" si="374"/>
        <v>1</v>
      </c>
      <c r="BA234" t="str">
        <f t="shared" si="375"/>
        <v>002Б.5</v>
      </c>
      <c r="BB234" t="str">
        <f t="shared" si="376"/>
        <v>002Б</v>
      </c>
      <c r="BC234" t="str">
        <f>IF(U234&lt;&gt;"",U234,IF(AND(B234&lt;&gt;"",B234&lt;&gt;A234,ISNUMBER(_xlfn.XMATCH(B234,Щиты[Щит]))),B234,""))</f>
        <v/>
      </c>
      <c r="BD234" t="str" cm="1">
        <f t="array" ref="BD234">IF(B234="","",IF(BC234&lt;&gt;"","Щит "&amp;BC234,_xlfn.LET(_xlpm.nm,IFERROR(_xlfn.XLOOKUP(AX234,Коды_код,Коды_имя)&amp;"",""),_xlpm.md,IFERROR(N(_xlfn.XLOOKUP(AX234,Коды_код,Коды_режим)),1),_xlpm.ex,IF(Имя_режим="по экспликации",IFERROR(_xlfn.XLOOKUP(AZ234&amp;"|"&amp;BB234,Экспликация[Этаж]&amp;"|"&amp;Экспликация[Помещение],Экспликация[Название])&amp;"",""),""),_xlpm.rm,IF(BB234="","",IF(_xlpm.ex&lt;&gt;"",". "&amp;_xlpm.ex&amp;IF(Имя_пом="нет"," ("&amp;BB234&amp;")"," (пом. "&amp;BB234&amp;")"),IF(Имя_пом="нет"," ",", пом. ")&amp;BB234)),IF(_xlpm.nm="","",IF(_xlpm.md=2,_xlpm.nm&amp;" шлейф "&amp;AZ234,_xlpm.nm&amp;_xlpm.rm)))))</f>
        <v>Розеточная группа, пом. 002Б</v>
      </c>
      <c r="BE234" t="str">
        <f t="shared" si="377"/>
        <v>Розеточная группа Первый этаж Пом. №002Б ПММ</v>
      </c>
      <c r="BF234">
        <f>IFERROR(_xlfn.XMATCH(A234,Щиты[Щит]),0)</f>
        <v>10</v>
      </c>
      <c r="BG234">
        <f>_xlfn.LET(_xlpm.k,IFERROR(_xlfn.XLOOKUP(A234,Щиты[Щит],Щиты[Листов под вводной узел]),""),IF(_xlpm.k="",1,N(_xlpm.k))*Столбцов_на_лист)</f>
        <v>17</v>
      </c>
      <c r="BH234">
        <f t="shared" si="378"/>
        <v>29</v>
      </c>
      <c r="BI234" t="str">
        <f t="shared" si="379"/>
        <v>линии</v>
      </c>
      <c r="BJ234" s="6">
        <f>IFERROR(N(_xlfn.XLOOKUP(AX234,Коды_код,Коды_квт)),0)</f>
        <v>0</v>
      </c>
      <c r="BK234">
        <f t="shared" si="380"/>
        <v>0</v>
      </c>
      <c r="BL234" t="str">
        <f>IF(B234="","",IF(BC234&lt;&gt;"",IFERROR(_xlfn.XLOOKUP(BC234,Щиты[Щит],Щиты[Руст, кВт]),0),IF(BK234=1,IFERROR(_xlfn.XLOOKUP(A234,Щиты[Щит],Щиты[Руст, кВт]),0),IF(BJ234&gt;0,ROUND(BJ234*MAX(1,N(D234)),3),""))))</f>
        <v/>
      </c>
      <c r="BM234">
        <f t="shared" si="381"/>
        <v>3.8</v>
      </c>
      <c r="BN234" s="6">
        <f>IF(B234="","",IF(BC234&lt;&gt;"",IFERROR(_xlfn.XLOOKUP(BC234,Щиты[Щит],Щиты[Руст, кВт]),0),N(BM234)))</f>
        <v>3.8</v>
      </c>
      <c r="BO234" t="str">
        <f>IF(B234="","",IFERROR(IF(VLOOKUP(AX234,Потребители_обозначение,8,FALSE)=0,"",VLOOKUP(AX234,Потребители_обозначение,8,FALSE)),""))</f>
        <v/>
      </c>
      <c r="BP234">
        <f t="shared" si="382"/>
        <v>230</v>
      </c>
      <c r="BQ234">
        <f>IF(B234="","",IF(BC234&lt;&gt;"",3,IFERROR(IF(N(VLOOKUP(AX234,Потребители_обозначение,9,FALSE))=0,1,VLOOKUP(AX234,Потребители_обозначение,9,FALSE)),1)))</f>
        <v>1</v>
      </c>
      <c r="BR234">
        <f t="shared" si="383"/>
        <v>1</v>
      </c>
      <c r="BS234" t="str">
        <f>IF(B234="","",_xlfn.LET(_xlpm.bc,IFERROR(IF(VLOOKUP(AX234,Потребители_обозначение,6,FALSE)=0,"",VLOOKUP(AX234,Потребители_обозначение,6,FALSE)&amp;""),""),IF(AND(FK234="да",OR(_xlpm.bc="",_xlpm.bc="мс")),Марка_пож,IF(AND(_xlpm.bc="",BC234&lt;&gt;""),"мс",_xlpm.bc))))</f>
        <v/>
      </c>
      <c r="BT234" t="str">
        <f t="shared" si="384"/>
        <v>мс</v>
      </c>
      <c r="BU234">
        <f>IF(B234="","",_xlfn.LET(_xlpm.cc,IFERROR(N(VLOOKUP(AX234,Потребители_обозначение,7,FALSE)),0),IF(_xlpm.cc&gt;0,_xlpm.cc,IF(BT234="","",IF(N(BR234)=3,5,3)))))</f>
        <v>3</v>
      </c>
      <c r="BV234">
        <f t="shared" si="385"/>
        <v>3</v>
      </c>
      <c r="BW234">
        <f>IFERROR(N(VLOOKUP(AX234,Потребители_обозначение,10,FALSE)),0)</f>
        <v>0</v>
      </c>
      <c r="BX234">
        <f>IFERROR(VLOOKUP(AX234,Потребители_обозначение,5,FALSE),0)</f>
        <v>1</v>
      </c>
      <c r="BY234" s="6" cm="1">
        <f t="array" ref="BY234">IF(B234="","",IF(BC234&lt;&gt;"",IFERROR(_xlfn.XLOOKUP(BC234,Щиты[Щит],Щиты[cos φ]),0.95),IF(BK234=1,IFERROR(_xlfn.XLOOKUP(A234,Щиты[Щит],Щиты[cos φ]),0.95),IF(ISNUMBER(Z234),Z234,IFERROR(IF(BX234=2,_xlfn.IFS(BR234=3,VLOOKUP(BN234,Справочная_двигатели,8,FALSE),BR234=1,VLOOKUP(BN234,Справочная_двигатели,10,TRUE)),IF(AND(Методика="нормы 2026",EQ234="Сил"),0.8,0.95)),0.95)))))</f>
        <v>0.95</v>
      </c>
      <c r="BZ234">
        <f t="shared" si="386"/>
        <v>0</v>
      </c>
      <c r="CA234">
        <f t="shared" si="387"/>
        <v>1</v>
      </c>
      <c r="CB234">
        <f t="shared" si="388"/>
        <v>0</v>
      </c>
      <c r="CC234">
        <f t="shared" si="389"/>
        <v>0</v>
      </c>
      <c r="CD234">
        <f t="shared" si="390"/>
        <v>0</v>
      </c>
      <c r="CE234">
        <f t="shared" si="391"/>
        <v>0</v>
      </c>
      <c r="CF234">
        <f t="shared" si="392"/>
        <v>0</v>
      </c>
      <c r="CG234">
        <f>IF(AX234="",0,_xlfn.LET(_xlpm.v,IFERROR(VLOOKUP(B234,УГО_спр,3,FALSE),IFERROR(VLOOKUP(AX234,УГО_спр,3,FALSE),IFERROR(VLOOKUP(LEFT(AX234,2),УГО_спр,3,FALSE),""))),IF(_xlpm.v="да",30,IF(ISNUMBER(_xlpm.v),_xlpm.v,0))))</f>
        <v>30</v>
      </c>
      <c r="CH234">
        <f t="shared" si="393"/>
        <v>30</v>
      </c>
      <c r="CI234" t="str">
        <f>_xlfn.LET(_xlpm.k,IFERROR(_xlfn.XLOOKUP(AX234,Коды_код,Коды_утечка)&amp;"",""),IF(_xlpm.k="","дифавтомат",_xlpm.k))</f>
        <v>дифавтомат</v>
      </c>
      <c r="CJ234">
        <f t="shared" si="394"/>
        <v>30</v>
      </c>
      <c r="CK234">
        <f t="shared" si="395"/>
        <v>30</v>
      </c>
      <c r="CL234">
        <f>IF(B234="",0,IFERROR(--VLOOKUP(B234,УГО_спр,4,FALSE),IFERROR(--VLOOKUP(AX234,УГО_спр,4,FALSE),IFERROR(--VLOOKUP(LEFT(AX234,2),УГО_спр,4,FALSE),0))))</f>
        <v>16</v>
      </c>
      <c r="CM234" t="str">
        <f>IF(B234="","",IFERROR(_xlfn.XLOOKUP(AX234,Коды_код,Коды_апп)&amp;"",""))</f>
        <v/>
      </c>
      <c r="CN234" t="str">
        <f t="shared" si="396"/>
        <v/>
      </c>
      <c r="CO234" t="str" cm="1">
        <f t="array" ref="CO234">IF(TRIM(CN234&amp;"")="","",IFERROR(TRIM(INDEX(_xlfn.TEXTSPLIT(CN234&amp;";;;",";"),1)),""))</f>
        <v/>
      </c>
      <c r="CP234" t="str" cm="1">
        <f t="array" ref="CP234">IF(TRIM(CN234&amp;"")="","",IFERROR(TRIM(INDEX(_xlfn.TEXTSPLIT(CN234&amp;";;;",";"),2)),""))</f>
        <v/>
      </c>
      <c r="CQ234" t="str" cm="1">
        <f t="array" ref="CQ234">IF(TRIM(CN234&amp;"")="","",IFERROR(TRIM(INDEX(_xlfn.TEXTSPLIT(CN234&amp;";;;",";"),3)),""))</f>
        <v/>
      </c>
      <c r="CR234">
        <f t="shared" si="397"/>
        <v>0</v>
      </c>
      <c r="CS234" t="str">
        <f>IF(B234="","",_xlfn.LET(_xlpm.t,LOWER(AV234&amp;""),IF(ISNUMBER(SEARCH("dim",_xlpm.t)),"DIM",IF(ISNUMBER(SEARCH("dali",_xlpm.t)),"DALI",IF(OR(ISNUMBER(SEARCH("relay",_xlpm.t)),ISNUMBER(SEARCH("реле",_xlpm.t))),"Relay",IF(ISNUMBER(SEARCH("кнопк",_xlpm.t)),"",IFERROR(_xlfn.XLOOKUP(AX234,Коды_код,Коды_упр)&amp;"","")))))))</f>
        <v/>
      </c>
      <c r="CT234" t="str">
        <f t="shared" si="398"/>
        <v/>
      </c>
      <c r="CU234">
        <f>IF(B234="","",_xlfn.LET(_xlpm.ig,N(P234)+IF(AF234="вручную",0,N(CB234)),_xlpm.n0,IFERROR(VLOOKUP(_xlpm.ig,Автомат_номиналы,2,TRUE),0),_xlpm.mn,MAX(CL234,IF(AF234="вручную",0,N(CE234))),MAX(_xlpm.n0,_xlpm.mn,IF(CR234=1,Мин_автомат_БП,0))))</f>
        <v>20</v>
      </c>
      <c r="CV234">
        <f t="shared" si="399"/>
        <v>1</v>
      </c>
      <c r="CW234" t="str">
        <f t="shared" si="400"/>
        <v>2P</v>
      </c>
      <c r="CX234" t="str">
        <f>_xlfn.LET(_xlpm.cc,UPPER(TRIM(IFERROR(_xlfn.XLOOKUP(AX234,Коды_код,Коды_хар)&amp;"",""))),IF(OR(_xlpm.cc="B",_xlpm.cc="В"),"B",IF(_xlpm.cc="D","D","С")))</f>
        <v>С</v>
      </c>
      <c r="CY234" t="str">
        <f t="shared" si="401"/>
        <v>2P С20А 30мА</v>
      </c>
      <c r="CZ234" t="str">
        <f t="shared" si="402"/>
        <v>2P С20А 30мА</v>
      </c>
      <c r="DA234" t="str">
        <f t="shared" si="403"/>
        <v>2P С20А 30мА</v>
      </c>
      <c r="DB234" cm="1">
        <f t="array" ref="DB234">IF(DA234="","",_xlfn.LET(_xlpm.t,SUBSTITUTE(SUBSTITUTE(SUBSTITUTE(UPPER(DA234),"С","C"),"А","A"),"В","B"),_xlpm.tk,_xlfn.TEXTSPLIT(_xlpm.t,"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234" t="str">
        <f t="shared" si="404"/>
        <v>ok</v>
      </c>
      <c r="DD234">
        <f t="shared" si="405"/>
        <v>20</v>
      </c>
      <c r="DE234" t="str">
        <f t="shared" si="406"/>
        <v>2P С20А 30мА</v>
      </c>
      <c r="DF234">
        <f t="shared" si="407"/>
        <v>30</v>
      </c>
      <c r="DG234">
        <f t="shared" si="408"/>
        <v>1</v>
      </c>
      <c r="DH234">
        <f t="shared" si="409"/>
        <v>0</v>
      </c>
      <c r="DI234">
        <f t="shared" si="410"/>
        <v>17.320508075688771</v>
      </c>
      <c r="DJ234">
        <f t="shared" si="411"/>
        <v>1</v>
      </c>
      <c r="DK234">
        <f>IF(ISNUMBER(AL234),AL234,К_прокл)</f>
        <v>1</v>
      </c>
      <c r="DL234">
        <f t="shared" si="412"/>
        <v>2</v>
      </c>
      <c r="DM234">
        <f>IFERROR(N(VLOOKUP(BT234,Кабель_обозначение,3,FALSE)),1)</f>
        <v>1</v>
      </c>
      <c r="DN234">
        <f>IFERROR(N(_xlfn.XLOOKUP(A234,Щиты[Щит],Щиты[ΔU до шин, %])),0)</f>
        <v>1.19</v>
      </c>
      <c r="DO234" t="str">
        <f>IFERROR(_xlfn.XLOOKUP(A234,Щиты[Щит],Щиты[Zпетли на шинах, Ом]),"")</f>
        <v/>
      </c>
      <c r="DP234">
        <f>IFERROR(N(_xlfn.XLOOKUP(A234,Щиты[Щит],Щиты[ΔU до шин (подбор), %])),0)</f>
        <v>1.19</v>
      </c>
      <c r="DQ234" t="str">
        <f>IFERROR(_xlfn.XLOOKUP(A234,Щиты[Щит],Щиты[Zпетли на шинах (подбор), Ом]),"")</f>
        <v/>
      </c>
      <c r="DR234" t="str">
        <f t="shared" si="413"/>
        <v/>
      </c>
      <c r="DS234">
        <f t="shared" si="414"/>
        <v>19</v>
      </c>
      <c r="DT234">
        <f t="shared" si="415"/>
        <v>2</v>
      </c>
      <c r="DU234">
        <f t="shared" si="416"/>
        <v>0.31</v>
      </c>
      <c r="DV234" s="6">
        <f>IF(B234="","",IF(IFERROR(VLOOKUP(AX234,УГО_спр,2,FALSE),"")="Светильник",3,4)+IF(Методика="нормы 2026",MIN(0.5,MAX(0,N(Q234)-100)*0.005),0))</f>
        <v>4</v>
      </c>
      <c r="DW234" cm="1">
        <f t="array" ref="DW234">IF(OR(B234="",BT234="",DM234&lt;&gt;1),"",_xlfn.LET(_xlpm.sz,Iдоп_S,_xlpm.t_,CHOOSE(DL234,Iдоп_1ж,Iдоп_2ж,Iдоп_3ж)*DJ234*DK234,_xlpm.inn,N(DD234),_xlpm.smin,MAX(1.5,BW234),_xlpm.L_,N(Q234)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234)*(_xlpm.rho*_xlpm.L_/_xlpm.sz*N(BY234)+_xlpm.xx*_xlpm.L_*N(DU234)/1000)*N(P234)/((Uн_лин/SQRT(3))*1000)*100,999),_xlpm.kz,IF(OR(DG234=1,NOT(ISNUMBER(DQ234)),_xlpm.L_=0,_xlpm.inn=0),1,IFERROR(--(c_min*(Uн_лин*1000/SQRT(3))/(DQ234+2*ρкз_Cu*_xlpm.L_/_xlpm.sz)&gt;=GY234*_xlpm.inn),0)),_xlpm.ok,IFERROR((_xlpm.sz&gt;=_xlpm.smin)*(_xlpm.t_&gt;=_xlpm.inn)*IF(_xlpm.L_&gt;0,(_xlpm.du_+DP234&lt;=DV234+0.00001),1)*_xlpm.kz,0),_xlpm.r_,_xlfn._xlws.FILTER(_xlpm.sz,_xlpm.ok,"не подобрано"),INDEX(_xlpm.r_,1)))</f>
        <v>4</v>
      </c>
      <c r="DX234">
        <f t="shared" si="417"/>
        <v>4</v>
      </c>
      <c r="DY234" cm="1">
        <f t="array" ref="DY234">IF(OR(B234="",BT234="",DM234&lt;&gt;1),"",_xlfn.LET(_xlpm.sz,Iдоп_S,_xlpm.t_,CHOOSE(DL234,Iдоп_1ж,Iдоп_2ж,Iдоп_3ж)*DJ234*DK234,_xlpm.ok,IFERROR((_xlpm.sz&gt;=MAX(1.5,BW234))*(_xlpm.t_&gt;=N(DD234)),0),_xlpm.r_,_xlfn._xlws.FILTER(_xlpm.sz,_xlpm.ok,""),INDEX(_xlpm.r_,1)))</f>
        <v>2.5</v>
      </c>
      <c r="DZ234" s="6" cm="1">
        <f t="array" ref="DZ234">IFERROR(ROUNDUP(N(DT234)*(_xlfn.XLOOKUP(DY234,INDEX(Кабель_сопротивление,0,1),INDEX(Кабель_сопротивление,0,3))*N(Q234)/DY234*N(BY234)+_xlfn.XLOOKUP(DY234,INDEX(Кабель_сопротивление,0,1),INDEX(Кабель_сопротивление,0,2))*N(Q234)*N(DU234)/1000)*N(P234)/((Uн_лин/SQRT(3))*1000)*100,2),"")</f>
        <v>2.84</v>
      </c>
      <c r="EA234">
        <f>IFERROR(2*ρкз_Cu*N(Q234)/DY234,"")</f>
        <v>0.46288000000000001</v>
      </c>
      <c r="EB234">
        <f>IFERROR(VLOOKUP(DX234,Кабель_сопротивление,3,FALSE),"")</f>
        <v>2.2499999999999999E-2</v>
      </c>
      <c r="EC234">
        <f>IFERROR(VLOOKUP(DX234,Кабель_сопротивление,2,FALSE),"")</f>
        <v>9.5000000000000001E-2</v>
      </c>
      <c r="ED234">
        <f t="shared" si="418"/>
        <v>22</v>
      </c>
      <c r="EE234">
        <f t="shared" si="419"/>
        <v>0</v>
      </c>
      <c r="EF234">
        <f t="shared" si="420"/>
        <v>4.0949283756607997</v>
      </c>
      <c r="EG234" s="6">
        <f>IFERROR(ROUNDUP(EF234/((Uн_лин/SQRT(3))*1000)*100,2),"")</f>
        <v>1.78</v>
      </c>
      <c r="EH234" t="str">
        <f>IFERROR(VLOOKUP(BT234,Кабель_обозначение,2,FALSE),"")</f>
        <v>ВВГнг(А)-LS</v>
      </c>
      <c r="EI234" t="str">
        <f t="shared" si="421"/>
        <v>ВВГнг(А)-LS (3х4)</v>
      </c>
      <c r="EJ234" t="str">
        <f t="shared" si="422"/>
        <v>ВВГнг(А)-LS (3х4)
L=22-1,78%</v>
      </c>
      <c r="EK234">
        <f>IFERROR(2*ρкз_Cu*Q234/DX234,"")</f>
        <v>0.2893</v>
      </c>
      <c r="EL234">
        <f t="shared" si="423"/>
        <v>9.6250000000000002E-2</v>
      </c>
      <c r="EM234" s="6" t="str">
        <f>IFERROR(IF(OR(B234="",NOT(ISNUMBER(DX234)),N(Q234)=0),"",_xlfn.XLOOKUP(A234,Щиты[Щит],Щиты[Zпетли на шинах, Ом])+EK234),"")</f>
        <v/>
      </c>
      <c r="EN234" s="6" t="str">
        <f>IF(ISNUMBER(EM234),c_min*(Uн_лин*1000/SQRT(3))/EM234,"")</f>
        <v/>
      </c>
      <c r="EO234" s="6" t="str">
        <f>IFERROR(IF(OR(B234="",NOT(ISNUMBER(DX234))),"",1.05*(Uн_лин*1000/SQRT(3))/(_xlfn.XLOOKUP(A234,Щиты[Щит],Щиты[Zmax на шинах, Ом])+EL234)/1000),"")</f>
        <v/>
      </c>
      <c r="EP234" s="6" t="str">
        <f>IF(B234="","",IF(ISNUMBER(Y234),"Сил",IF(IFERROR(_xlfn.XLOOKUP(AX234,Коды_код,Коды_группа)&amp;"","")="","Быт",_xlfn.XLOOKUP(AX234,Коды_код,Коды_группа)&amp;"")))</f>
        <v>Быт</v>
      </c>
      <c r="EQ234" s="6" t="str">
        <f t="shared" si="424"/>
        <v>Быт</v>
      </c>
      <c r="ER234" s="6">
        <f>IF(EQ234="Щит","щит",IF(EQ234="","",IF(EQ234="Быт",IFERROR(_xlfn.XLOOKUP(A234,Щиты[Щит],Щиты[Кс быт]),1),IF(EQ234="Сил",IF(ISNUMBER(Y234),Y234,IF(Методика="нормы 2026",IFERROR(_xlfn.XLOOKUP(A234,Щиты[Щит],Щиты[Кс силовых (табл. 7.5)]),1),1)),IF(OR(EQ234="Пост",EQ234="Отоп"),1,IF(EQ234="ВНГ",0.7,0))))))</f>
        <v>0.57830000000000004</v>
      </c>
      <c r="ES234">
        <f t="shared" si="425"/>
        <v>1</v>
      </c>
      <c r="ET234">
        <f t="shared" si="426"/>
        <v>3.8</v>
      </c>
      <c r="EU234">
        <f t="shared" si="427"/>
        <v>3.8</v>
      </c>
      <c r="EV234">
        <f t="shared" si="428"/>
        <v>0</v>
      </c>
      <c r="EW234">
        <f t="shared" si="429"/>
        <v>0</v>
      </c>
      <c r="EX234">
        <f t="shared" si="430"/>
        <v>0</v>
      </c>
      <c r="EY234">
        <f t="shared" si="431"/>
        <v>0</v>
      </c>
      <c r="EZ234">
        <f t="shared" si="432"/>
        <v>3.8</v>
      </c>
      <c r="FA234">
        <f t="shared" si="433"/>
        <v>3.61</v>
      </c>
      <c r="FB234">
        <f t="shared" si="434"/>
        <v>3.8</v>
      </c>
      <c r="FC234" t="str">
        <f t="shared" si="435"/>
        <v/>
      </c>
      <c r="FD234" t="str">
        <f>IF(B234="","",IF(CA234=0,IF(AW234=1,"",FF233),IF(OR(N(CV234)&gt;=3,N(BR234)&gt;=3),"L1,L2,L3",IFERROR(_xlfn.TEXTBEFORE(_xlfn.TEXTAFTER(_xlfn.XLOOKUP(A234,Щиты[Щит],Щиты[_фазы авто]),";"&amp;AW234&amp;":"),";"),"L1"))))</f>
        <v>L1</v>
      </c>
      <c r="FE234" t="str">
        <f t="shared" si="436"/>
        <v>L1</v>
      </c>
      <c r="FF234" t="str">
        <f t="shared" si="437"/>
        <v>L1</v>
      </c>
      <c r="FG234" cm="1">
        <f t="array" ref="FG234">IFERROR(IF(BX234=2,_xlfn.IFS(BR234=3,VLOOKUP(BN234,Справочная_двигатели,3,FALSE),BR234=1,VLOOKUP(BN234,Справочная_двигатели,5,TRUE)),0),0)</f>
        <v>0</v>
      </c>
      <c r="FH234">
        <f>IFERROR(IF(BX234=3,VLOOKUP(BN234,Справочная_ЛЭД,2,TRUE),0),0)</f>
        <v>0</v>
      </c>
      <c r="FI234" s="6">
        <f t="shared" si="438"/>
        <v>0</v>
      </c>
      <c r="FJ234" t="str" cm="1">
        <f t="array" ref="FJ234">IF(B234="","",IFERROR(INDEX({"I особая","I","II","III"},MATCH(TRIM(AC234&amp;""),{"I особая","I","II","III"},0)),"III"))</f>
        <v>II</v>
      </c>
      <c r="FK234" t="str">
        <f>IF(B234="","",IF(TRIM(AD234&amp;"")&lt;&gt;"",IF(LOWER(TRIM(AD234&amp;""))="да","да","нет"),IF(IFERROR(_xlfn.XLOOKUP(AX234,Коды_код,Коды_пожарная),"")="да","да","нет")))</f>
        <v>нет</v>
      </c>
      <c r="FL234" t="str">
        <f t="shared" si="439"/>
        <v/>
      </c>
      <c r="FM234" t="str">
        <f t="shared" si="440"/>
        <v>основная</v>
      </c>
      <c r="FN234">
        <f t="shared" si="441"/>
        <v>1</v>
      </c>
      <c r="FO234" t="str" cm="1">
        <f t="array" ref="FO234">IF(B234="","",_xlfn.LET(_xlpm.t,IFERROR(_xlfn.XLOOKUP(1,(Шины[Шина]=FM234)*(((Шины[Щит]=A234)+(Шины[Щит]=""))&gt;0),Шины[Тип]),"")&amp;"",IF(_xlpm.t&lt;&gt;"",_xlpm.t,IF(ISNUMBER(SEARCH("ИБП",FM234)),"ИБП",IF(ISNUMBER(SEARCH("ДГУ",FM234)),"ДГУ","Ввод "&amp;FN234)))))</f>
        <v>Ввод 1</v>
      </c>
      <c r="FP234" t="str">
        <f t="shared" si="442"/>
        <v>Ввод 1</v>
      </c>
      <c r="FQ234" t="str">
        <f>IF(B234="","",IF(OR(FO234="ИБП",FO234="ДГУ"),"I особая",IF(FO234="Одиночная","III",_xlfn.XLOOKUP(A234,Щиты[Щит],Щиты[Категория шины «Ввод»],"III"))))</f>
        <v>II</v>
      </c>
      <c r="FR234">
        <f>IF(B234="",0,IFERROR(MATCH(FJ234,{"III","II","I","I особая"},0),1))</f>
        <v>2</v>
      </c>
      <c r="FS234">
        <f t="shared" si="443"/>
        <v>2</v>
      </c>
      <c r="FT234" t="str">
        <f>IF(B234="","",IF(FR234&gt;IFERROR(MATCH(FQ234,{"III","II","I","I особая"},0),1),"НЕ ОБЕСПЕЧЕНА","ОК"))</f>
        <v>ОК</v>
      </c>
      <c r="FU234" t="str">
        <f>IF(A234="","",_xlfn.XLOOKUP(A234,Щиты[Щит],Щиты[Путь],""))</f>
        <v>|ГРЩ-ЖД|ЩР-1|</v>
      </c>
      <c r="FV234" t="str">
        <f>IF(B234="","",IF(AE234&lt;&gt;"",AE234,IF(IFERROR(_xlfn.XLOOKUP(AX234,Коды_код,Коды_вид)&amp;"","")="","Прочее",_xlfn.XLOOKUP(AX234,Коды_код,Коды_вид)&amp;"")))</f>
        <v>Розеточная сеть и бытовые приборы</v>
      </c>
      <c r="FW234">
        <f>IF(BH234="","",INT((BH234-1)/Столбцов_на_лист)+1)</f>
        <v>2</v>
      </c>
      <c r="FX234" t="str">
        <f t="shared" si="444"/>
        <v>ВВГнг(А)-LS (3х4) L=22-1,78%</v>
      </c>
      <c r="FY234">
        <f t="shared" si="445"/>
        <v>3.8</v>
      </c>
      <c r="FZ234">
        <f t="shared" si="446"/>
        <v>17.330000000000002</v>
      </c>
      <c r="GA234">
        <f t="shared" si="447"/>
        <v>1</v>
      </c>
      <c r="GB234">
        <f t="shared" si="448"/>
        <v>0</v>
      </c>
      <c r="GC234">
        <f t="shared" si="449"/>
        <v>1</v>
      </c>
      <c r="GD234">
        <f>IF(BH234="","",IF(AND(CA234=1,GC234=1),COUNTIFS(A$3:A234,A234,CA$3:CA234,1,GC$3:GC234,1),IF(OR(OR(AW234=1,A234&lt;&gt;A233),AF234="вручную",GC234=0),"",IF(AW234=1,"",GE233))))</f>
        <v>10</v>
      </c>
      <c r="GE234">
        <f t="shared" si="450"/>
        <v>10</v>
      </c>
      <c r="GF234">
        <f>IF(B234="","",IFERROR(LOOKUP(INDEX(CHOOSE(DL234,Iдоп_1ж,Iдоп_2ж,Iдоп_3ж),MATCH(DX234,Iдоп_S,0))*DJ234*DK234,{6,10,16,20,25,32,40,50,63,80,100,125,160,200,250,315,400,500,630}),""))</f>
        <v>32</v>
      </c>
      <c r="GG234" t="str">
        <f t="shared" si="451"/>
        <v>QFD10</v>
      </c>
      <c r="GH234" t="str">
        <f t="shared" si="452"/>
        <v>QFD10</v>
      </c>
      <c r="GI234" t="str">
        <f t="shared" si="453"/>
        <v/>
      </c>
      <c r="GJ234">
        <f t="shared" si="454"/>
        <v>0</v>
      </c>
      <c r="GK234" t="str">
        <f>IF(OR(AG234="",AG234="-"),"",IFERROR(VLOOKUP(AG234,Модули_спр,2,FALSE),"R"))</f>
        <v/>
      </c>
      <c r="GL234" t="str">
        <f>IF(GK234="","",GK234&amp;"."&amp;COUNTIFS(A$3:A234,A234,GK$3:GK234,GK234))</f>
        <v/>
      </c>
      <c r="GM234" t="str">
        <f t="shared" si="455"/>
        <v/>
      </c>
      <c r="GN234" t="str">
        <f t="shared" si="456"/>
        <v/>
      </c>
      <c r="GO234" t="str">
        <f t="shared" si="457"/>
        <v/>
      </c>
      <c r="GP234" t="str">
        <f t="shared" si="458"/>
        <v/>
      </c>
      <c r="GQ234">
        <f t="shared" si="459"/>
        <v>1</v>
      </c>
      <c r="GR234" t="str">
        <f>IF(GQ234=1,"XT"&amp;COUNTIFS(A$3:A234,A234,GQ$3:GQ234,1),"")</f>
        <v>XT10</v>
      </c>
      <c r="GS234" t="str">
        <f t="shared" si="460"/>
        <v>XT10</v>
      </c>
      <c r="GT234" t="str">
        <f t="shared" si="461"/>
        <v>QFD10</v>
      </c>
      <c r="GU234" t="str">
        <f t="shared" si="462"/>
        <v/>
      </c>
      <c r="GV234" t="str">
        <f t="shared" si="463"/>
        <v>ok</v>
      </c>
      <c r="GW234" t="str">
        <f>IF(OR(GO234="",GM234=""),"",IF(GO234&gt;IFERROR(VLOOKUP(GN234,Модули_спр,3,FALSE),99),"ЛИШНИЙ КАНАЛ",IF(AND(AH234&lt;&gt;"=",COUNTIFS(Линии[_модуль гр.],GM234,Линии[Канал (итог)],GO234,Линии[Канал],"&lt;&gt;=",Линии[Щит],A234)&gt;1),"ДУБЛЬ КАНАЛА","")))</f>
        <v/>
      </c>
      <c r="GX234" s="6" t="str">
        <f t="shared" si="464"/>
        <v/>
      </c>
      <c r="GY234">
        <f t="shared" si="465"/>
        <v>10</v>
      </c>
      <c r="GZ234" t="str">
        <f t="shared" si="466"/>
        <v/>
      </c>
      <c r="HA234" t="str">
        <f>IF(AND(B234="",GT234=""),"",_xlfn.TEXTJOIN("; ",TRUE,IF(AND(B234&lt;&gt;"",FE234=""),"нет фазы",""),IF(AND(B234&lt;&gt;"",N(FY234)=0,EQ234&lt;&gt;"Нет"),"нет мощности",""),IF(AND(GS234&lt;&gt;"",COUNTIFS(Линии[Щит],A234,Линии[Клемма (итог)],GS234)&gt;1),"дубль клеммы "&amp;GS234,""),IF(AND(GV234&lt;&gt;"",GV234&lt;&gt;"ok"),GV234,""),IF(GW234&lt;&gt;"",GW234,""),IF(AND(N(BV234)&gt;=4,N(BR234)=1),BV234&amp;" жил на 1 фазе",""),IF(AND(AX234="R",CA234=1,OR(N(CK234)=0,N(CK234)&gt;30)),"розетка без дифзащиты до 30 мА",""),IFERROR(IF(AND(ISNUMBER(R234),R234&gt;DV234),"потери "&amp;FIXED(R234,1)&amp;" % &gt; "&amp;DV234&amp;" %",""),""),IFERROR(IF(LEFT(GZ234,4)="мало","Iкз мало — отключение &gt; 0,4 с",""),""),IF(AND(B234&lt;&gt;"",BH234=""),"не на схеме",""),IF(AND(CA234=0,B234&lt;&gt;"",FE234&lt;&gt;"",IF(AW234=1,"",FF233)&lt;&gt;"",FE234&lt;&gt;IF(AW234=1,"",FF233)),"фаза не как у автомата группы ("&amp;IF(AW234=1,"",FF233)&amp;")","")))</f>
        <v/>
      </c>
      <c r="HB234" s="6">
        <f>IF(OR(CA234=0,DA234=""),"",_xlfn.LET(_xlpm.t,IFERROR(_xlfn.XLOOKUP(DA234,Каталог!$U$4:$U$500,Каталог!$G$4:$G$500),""),_xlpm.k,SEARCH("кА",_xlpm.t),IFERROR(--TRIM(RIGHT(SUBSTITUTE(MID(_xlpm.t,MAX(1,_xlpm.k-4),_xlpm.k-MAX(1,_xlpm.k-4))," ",REPT(" ",9)),5)),"")))</f>
        <v>6</v>
      </c>
      <c r="HC234" t="str">
        <f>IF(OR(HB234="",CA234=0),"",IF(_xlfn.XLOOKUP(A234,Щиты[Щит],Щиты[Iкз max на шинах, кА],"")="","",IF(HB234&lt;_xlfn.XLOOKUP(A234,Щиты[Щит],Щиты[Iкз max на шинах, кА]),"Icu "&amp;HB234&amp;" кА &lt; Iкз max","ok")))</f>
        <v/>
      </c>
      <c r="HD234" t="str">
        <f t="shared" si="467"/>
        <v/>
      </c>
      <c r="HE234" t="str">
        <f t="shared" si="468"/>
        <v>QFD10|XT10</v>
      </c>
      <c r="HF234" t="str">
        <f t="shared" si="469"/>
        <v>QFD10|XT10|кабель ВВГнг(А)-LS (3х4) → Розеточная группа Первый этаж Пом. №002Б ПММ</v>
      </c>
      <c r="HG234" t="str" cm="1">
        <f t="array" ref="HG234">IF(HF234="","",_xlfn.LET(_xlpm.nd,_xlfn.TEXTSPLIT(HF234,"|"),IF(COLUMNS(_xlpm.nd)&gt;1,A234&amp;"¦"&amp;INDEX(_xlpm.nd,1)&amp;"¦"&amp;INDEX(_xlpm.nd,2),"")))</f>
        <v>ЩР-1¦QFD10¦XT10</v>
      </c>
      <c r="HH234" t="str">
        <f t="shared" si="470"/>
        <v>R.1.002Б.5¦Розеточная группа Первый этаж Пом. №002Б ПММ</v>
      </c>
      <c r="HI234" t="str" cm="1">
        <f t="array" ref="HI234">IF(HF234="","",_xlfn.LET(_xlpm.nd,_xlfn.TEXTSPLIT(HF234,"|"),IF(COLUMNS(_xlpm.nd)&gt;2,A234&amp;"¦"&amp;INDEX(_xlpm.nd,2)&amp;"¦"&amp;INDEX(_xlpm.nd,3),"")))</f>
        <v>ЩР-1¦XT10¦кабель ВВГнг(А)-LS (3х4) → Розеточная группа Первый этаж Пом. №002Б ПММ</v>
      </c>
      <c r="HJ234" t="str">
        <f t="shared" si="471"/>
        <v>R.1.002Б.5¦Розеточная группа Первый этаж Пом. №002Б ПММ</v>
      </c>
      <c r="HK234" t="str" cm="1">
        <f t="array" ref="HK234">IF(HF234="","",_xlfn.LET(_xlpm.nd,_xlfn.TEXTSPLIT(HF234,"|"),IF(COLUMNS(_xlpm.nd)&gt;3,A234&amp;"¦"&amp;INDEX(_xlpm.nd,3)&amp;"¦"&amp;INDEX(_xlpm.nd,4),"")))</f>
        <v/>
      </c>
      <c r="HL234" t="str">
        <f t="shared" si="472"/>
        <v/>
      </c>
      <c r="HM234" t="str" cm="1">
        <f t="array" ref="HM234">IF(HF234="","",_xlfn.LET(_xlpm.nd,_xlfn.TEXTSPLIT(HF234,"|"),IF(COLUMNS(_xlpm.nd)&gt;4,A234&amp;"¦"&amp;INDEX(_xlpm.nd,4)&amp;"¦"&amp;INDEX(_xlpm.nd,5),"")))</f>
        <v/>
      </c>
      <c r="HN234" t="str">
        <f t="shared" si="473"/>
        <v/>
      </c>
      <c r="HO234" t="str" cm="1">
        <f t="array" ref="HO234">IF(HF234="","",_xlfn.LET(_xlpm.nd,_xlfn.TEXTSPLIT(HF234,"|"),IF(COLUMNS(_xlpm.nd)&gt;5,A234&amp;"¦"&amp;INDEX(_xlpm.nd,5)&amp;"¦"&amp;INDEX(_xlpm.nd,6),"")))</f>
        <v/>
      </c>
      <c r="HP234" t="str">
        <f t="shared" si="474"/>
        <v/>
      </c>
      <c r="HQ234" t="str" cm="1">
        <f t="array" ref="HQ234">IF(HF234="","",_xlfn.LET(_xlpm.nd,_xlfn.TEXTSPLIT(HF234,"|"),IF(COLUMNS(_xlpm.nd)&gt;6,A234&amp;"¦"&amp;INDEX(_xlpm.nd,6)&amp;"¦"&amp;INDEX(_xlpm.nd,7),"")))</f>
        <v/>
      </c>
      <c r="HR234" t="str">
        <f t="shared" si="475"/>
        <v/>
      </c>
      <c r="HS234" t="str">
        <f t="shared" si="476"/>
        <v/>
      </c>
      <c r="HT234" t="str">
        <f t="shared" si="477"/>
        <v>QFD10 → XT10</v>
      </c>
      <c r="HU234">
        <f t="shared" si="478"/>
        <v>0</v>
      </c>
      <c r="HV234">
        <f t="shared" si="479"/>
        <v>1</v>
      </c>
      <c r="HW234" t="str">
        <f t="shared" si="480"/>
        <v/>
      </c>
      <c r="HX234" t="str">
        <f t="shared" si="481"/>
        <v/>
      </c>
      <c r="HY234" t="str">
        <f t="shared" si="482"/>
        <v/>
      </c>
      <c r="HZ234" t="str">
        <f t="shared" si="483"/>
        <v/>
      </c>
      <c r="IA234" t="str">
        <f>IF(B234="","",IFERROR(VLOOKUP(B234,УГО_спр,2,FALSE),IFERROR(VLOOKUP(AX234,УГО_спр,2,FALSE),IFERROR(VLOOKUP(LEFT(AX234,2),УГО_спр,2,FALSE),""))))</f>
        <v>Розетка</v>
      </c>
      <c r="IB234" t="str">
        <f>IF(B234="","",IF(OR(IA234="",IA234=0),"BOX",IFERROR(IF(VLOOKUP(IA234,УГО_блоки,3,FALSE)&amp;""&lt;&gt;"",VLOOKUP(IA234,УГО_блоки,3,FALSE),VLOOKUP(IA234,УГО_блоки,2,FALSE)),IA234)))</f>
        <v>SOCKET</v>
      </c>
      <c r="IC234">
        <f t="shared" si="484"/>
        <v>1</v>
      </c>
      <c r="ID234">
        <f>IF(DA234="","",IF(COUNTIF(DA$3:DA234,DA234)=1,MAX(ID$2:ID233)+1,""))</f>
        <v>18</v>
      </c>
      <c r="IE234" t="str">
        <f>IF(CO234="","",IF(COUNTIF(CO$3:CO234,CO234)+COUNTIF(CP$2:CP233,CO234)+COUNTIF(CQ$2:CQ233,CO234)=1,MAX(IE$2:IG233)+1,""))</f>
        <v/>
      </c>
      <c r="IF234" t="str">
        <f>IF(CP234="","",IF(COUNTIF(CO$3:CO234,CP234)+COUNTIF(CP$3:CP234,CP234)+COUNTIF(CQ$2:CQ233,CP234)=1,MAX(IE$2:IG233,IE234)+1,""))</f>
        <v/>
      </c>
      <c r="IG234" t="str">
        <f>IF(CQ234="","",IF(COUNTIF(CO$3:CO234,CQ234)+COUNTIF(CP$3:CP234,CQ234)+COUNTIF(CQ$3:CQ234,CQ234)=1,MAX(IE$2:IG233,IE234,IF234)+1,""))</f>
        <v/>
      </c>
      <c r="IH234" t="str">
        <f t="shared" si="485"/>
        <v>3х4</v>
      </c>
      <c r="II234" t="str">
        <f>IF(IH234="","",IF(COUNTIF(IH$3:IH234,IH234)=1,MAX(II$2:II233)+1,""))</f>
        <v/>
      </c>
      <c r="IJ234" t="str">
        <f>IF(GL234="","",COUNTIF(GL$3:GL234,"?*"))</f>
        <v/>
      </c>
      <c r="IK234" t="str">
        <f>IF(OR(GL234="",GN234=""),"",IF(COUNTIFS(GL$3:GL234,"?*",GN$3:GN234,GN234)=1,MAX(IK$2:IK233)+1,""))</f>
        <v/>
      </c>
      <c r="IL234">
        <f t="shared" si="486"/>
        <v>0</v>
      </c>
      <c r="IM234">
        <f>IF(B234="","",COUNTIF(B$3:B234,"?*"))</f>
        <v>232</v>
      </c>
      <c r="IN234">
        <f>IF(GQ234&lt;&gt;1,0,_xlfn.LET(_xlpm.k,MAX(IFERROR(--VLOOKUP(B234,УГО_спр,5,FALSE),0),IFERROR(--VLOOKUP(AX234,УГО_спр,5,FALSE),0),IFERROR(--VLOOKUP(LEFT(AX234,2),УГО_спр,5,FALSE),0)),IF(_xlpm.k&gt;0,_xlpm.k,IF(IFERROR(--LEFT(SUBSTITUTE(IH234,"x","х"),FIND("х",SUBSTITUTE(IH234,"x","х"))-1),3)&gt;3,Каталог!$S$9,1))))</f>
        <v>1</v>
      </c>
      <c r="IO234">
        <f t="shared" si="487"/>
        <v>0</v>
      </c>
      <c r="IP234" t="str">
        <f t="shared" si="488"/>
        <v>авто</v>
      </c>
      <c r="IQ234">
        <f t="shared" si="489"/>
        <v>30</v>
      </c>
      <c r="IR234">
        <f t="shared" si="490"/>
        <v>1</v>
      </c>
      <c r="IS234">
        <f t="shared" si="491"/>
        <v>1</v>
      </c>
    </row>
    <row r="235" spans="1:253" x14ac:dyDescent="0.3">
      <c r="A235" t="s">
        <v>759</v>
      </c>
      <c r="B235" t="s">
        <v>1500</v>
      </c>
      <c r="C235" t="s">
        <v>1670</v>
      </c>
      <c r="D235">
        <v>1</v>
      </c>
      <c r="E235">
        <v>3.6</v>
      </c>
      <c r="G235" t="str">
        <f>Линии[[#This Row],[_авто автомат]]</f>
        <v>2P С20А 30мА</v>
      </c>
      <c r="H235">
        <f>Линии[[#This Row],[_авто утечка]]</f>
        <v>30</v>
      </c>
      <c r="I235" t="str">
        <f>Линии[[#This Row],[_авто управление]]</f>
        <v/>
      </c>
      <c r="J235" t="str">
        <f>Линии[[#This Row],[_авто аппараты]]</f>
        <v/>
      </c>
      <c r="K235">
        <v>4</v>
      </c>
      <c r="L235">
        <v>19</v>
      </c>
      <c r="M235">
        <v>3</v>
      </c>
      <c r="N235" t="s">
        <v>486</v>
      </c>
      <c r="O235" t="str">
        <f t="shared" si="369"/>
        <v/>
      </c>
      <c r="P235" s="6" cm="1">
        <f t="array" ref="P235">IF(B235="","",IF(BC235&lt;&gt;"",IFERROR(_xlfn.XLOOKUP(BC235,Щиты[Щит],Щиты[Iр, А]),""),IF(BK235=1,IFERROR(_xlfn.XLOOKUP(A235,Щиты[Щит],Щиты[Iр, А]),""),IFERROR(_xlfn.IFS(BR235=1,BN235/((Uн_лин/SQRT(3))*BY235),BR235=3,BN235/(SQRT(3)*Uн_лин*BY235)),""))))</f>
        <v>16.408902387494628</v>
      </c>
      <c r="Q235" s="7">
        <f>IF(B235="","",IFERROR(IF(VLOOKUP(AX235,Потребители_обозначение,4,FALSE)=1,VLOOKUP(AX235,Потребители_обозначение,3,FALSE)*(D235*2-1)+DS235+VLOOKUP(AZ235,Этаж_обозначение,3,FALSE)+VLOOKUP(AZ235,Этаж_обозначение,4,FALSE),VLOOKUP(AX235,Потребители_обозначение,3,FALSE)*(D235*2-1)+DS235),DS235))</f>
        <v>22</v>
      </c>
      <c r="R235" s="6">
        <f t="shared" si="370"/>
        <v>2.87</v>
      </c>
      <c r="S235" t="str">
        <f t="shared" si="371"/>
        <v>ВВГнг(А)-LS (3х4)</v>
      </c>
      <c r="T235" t="str">
        <f>IF(BH235="","",IF(BI235="вводной узел","узел ","")&amp;"л."&amp;(INT((BH235-1)/Столбцов_на_лист)+1)&amp;" / "&amp;(MOD(BH235-1,Столбцов_на_лист)+1))</f>
        <v>л.2 / 13</v>
      </c>
      <c r="V235">
        <v>1</v>
      </c>
      <c r="W235">
        <v>230</v>
      </c>
      <c r="X235" t="s">
        <v>564</v>
      </c>
      <c r="AC235" t="s">
        <v>815</v>
      </c>
      <c r="AE235" t="s">
        <v>563</v>
      </c>
      <c r="AI235">
        <v>30</v>
      </c>
      <c r="AJ235" t="s">
        <v>11</v>
      </c>
      <c r="AK235">
        <v>3</v>
      </c>
      <c r="AM235">
        <v>0</v>
      </c>
      <c r="AN235">
        <v>22</v>
      </c>
      <c r="AO235">
        <v>0</v>
      </c>
      <c r="AW235" cm="1">
        <f t="array" ref="AW235">ROW()-ROW(Линии[#Headers])</f>
        <v>233</v>
      </c>
      <c r="AX235" s="6" t="str">
        <f t="shared" si="372"/>
        <v>R</v>
      </c>
      <c r="AY235" t="str">
        <f t="shared" si="373"/>
        <v>1.002Б.6</v>
      </c>
      <c r="AZ235" t="str">
        <f t="shared" si="374"/>
        <v>1</v>
      </c>
      <c r="BA235" t="str">
        <f t="shared" si="375"/>
        <v>002Б.6</v>
      </c>
      <c r="BB235" t="str">
        <f t="shared" si="376"/>
        <v>002Б</v>
      </c>
      <c r="BC235" t="str">
        <f>IF(U235&lt;&gt;"",U235,IF(AND(B235&lt;&gt;"",B235&lt;&gt;A235,ISNUMBER(_xlfn.XMATCH(B235,Щиты[Щит]))),B235,""))</f>
        <v/>
      </c>
      <c r="BD235" t="str" cm="1">
        <f t="array" ref="BD235">IF(B235="","",IF(BC235&lt;&gt;"","Щит "&amp;BC235,_xlfn.LET(_xlpm.nm,IFERROR(_xlfn.XLOOKUP(AX235,Коды_код,Коды_имя)&amp;"",""),_xlpm.md,IFERROR(N(_xlfn.XLOOKUP(AX235,Коды_код,Коды_режим)),1),_xlpm.ex,IF(Имя_режим="по экспликации",IFERROR(_xlfn.XLOOKUP(AZ235&amp;"|"&amp;BB235,Экспликация[Этаж]&amp;"|"&amp;Экспликация[Помещение],Экспликация[Название])&amp;"",""),""),_xlpm.rm,IF(BB235="","",IF(_xlpm.ex&lt;&gt;"",". "&amp;_xlpm.ex&amp;IF(Имя_пом="нет"," ("&amp;BB235&amp;")"," (пом. "&amp;BB235&amp;")"),IF(Имя_пом="нет"," ",", пом. ")&amp;BB235)),IF(_xlpm.nm="","",IF(_xlpm.md=2,_xlpm.nm&amp;" шлейф "&amp;AZ235,_xlpm.nm&amp;_xlpm.rm)))))</f>
        <v>Розеточная группа, пом. 002Б</v>
      </c>
      <c r="BE235" t="str">
        <f t="shared" si="377"/>
        <v>Розеточная группа Первый этаж Пом. №002Б Стаканомоечная машина</v>
      </c>
      <c r="BF235">
        <f>IFERROR(_xlfn.XMATCH(A235,Щиты[Щит]),0)</f>
        <v>10</v>
      </c>
      <c r="BG235">
        <f>_xlfn.LET(_xlpm.k,IFERROR(_xlfn.XLOOKUP(A235,Щиты[Щит],Щиты[Листов под вводной узел]),""),IF(_xlpm.k="",1,N(_xlpm.k))*Столбцов_на_лист)</f>
        <v>17</v>
      </c>
      <c r="BH235">
        <f t="shared" si="378"/>
        <v>30</v>
      </c>
      <c r="BI235" t="str">
        <f t="shared" si="379"/>
        <v>линии</v>
      </c>
      <c r="BJ235" s="6">
        <f>IFERROR(N(_xlfn.XLOOKUP(AX235,Коды_код,Коды_квт)),0)</f>
        <v>0</v>
      </c>
      <c r="BK235">
        <f t="shared" si="380"/>
        <v>0</v>
      </c>
      <c r="BL235" t="str">
        <f>IF(B235="","",IF(BC235&lt;&gt;"",IFERROR(_xlfn.XLOOKUP(BC235,Щиты[Щит],Щиты[Руст, кВт]),0),IF(BK235=1,IFERROR(_xlfn.XLOOKUP(A235,Щиты[Щит],Щиты[Руст, кВт]),0),IF(BJ235&gt;0,ROUND(BJ235*MAX(1,N(D235)),3),""))))</f>
        <v/>
      </c>
      <c r="BM235">
        <f t="shared" si="381"/>
        <v>3.6</v>
      </c>
      <c r="BN235" s="6">
        <f>IF(B235="","",IF(BC235&lt;&gt;"",IFERROR(_xlfn.XLOOKUP(BC235,Щиты[Щит],Щиты[Руст, кВт]),0),N(BM235)))</f>
        <v>3.6</v>
      </c>
      <c r="BO235" t="str">
        <f>IF(B235="","",IFERROR(IF(VLOOKUP(AX235,Потребители_обозначение,8,FALSE)=0,"",VLOOKUP(AX235,Потребители_обозначение,8,FALSE)),""))</f>
        <v/>
      </c>
      <c r="BP235">
        <f t="shared" si="382"/>
        <v>230</v>
      </c>
      <c r="BQ235">
        <f>IF(B235="","",IF(BC235&lt;&gt;"",3,IFERROR(IF(N(VLOOKUP(AX235,Потребители_обозначение,9,FALSE))=0,1,VLOOKUP(AX235,Потребители_обозначение,9,FALSE)),1)))</f>
        <v>1</v>
      </c>
      <c r="BR235">
        <f t="shared" si="383"/>
        <v>1</v>
      </c>
      <c r="BS235" t="str">
        <f>IF(B235="","",_xlfn.LET(_xlpm.bc,IFERROR(IF(VLOOKUP(AX235,Потребители_обозначение,6,FALSE)=0,"",VLOOKUP(AX235,Потребители_обозначение,6,FALSE)&amp;""),""),IF(AND(FK235="да",OR(_xlpm.bc="",_xlpm.bc="мс")),Марка_пож,IF(AND(_xlpm.bc="",BC235&lt;&gt;""),"мс",_xlpm.bc))))</f>
        <v/>
      </c>
      <c r="BT235" t="str">
        <f t="shared" si="384"/>
        <v>мс</v>
      </c>
      <c r="BU235">
        <f>IF(B235="","",_xlfn.LET(_xlpm.cc,IFERROR(N(VLOOKUP(AX235,Потребители_обозначение,7,FALSE)),0),IF(_xlpm.cc&gt;0,_xlpm.cc,IF(BT235="","",IF(N(BR235)=3,5,3)))))</f>
        <v>3</v>
      </c>
      <c r="BV235">
        <f t="shared" si="385"/>
        <v>3</v>
      </c>
      <c r="BW235">
        <f>IFERROR(N(VLOOKUP(AX235,Потребители_обозначение,10,FALSE)),0)</f>
        <v>0</v>
      </c>
      <c r="BX235">
        <f>IFERROR(VLOOKUP(AX235,Потребители_обозначение,5,FALSE),0)</f>
        <v>1</v>
      </c>
      <c r="BY235" s="6" cm="1">
        <f t="array" ref="BY235">IF(B235="","",IF(BC235&lt;&gt;"",IFERROR(_xlfn.XLOOKUP(BC235,Щиты[Щит],Щиты[cos φ]),0.95),IF(BK235=1,IFERROR(_xlfn.XLOOKUP(A235,Щиты[Щит],Щиты[cos φ]),0.95),IF(ISNUMBER(Z235),Z235,IFERROR(IF(BX235=2,_xlfn.IFS(BR235=3,VLOOKUP(BN235,Справочная_двигатели,8,FALSE),BR235=1,VLOOKUP(BN235,Справочная_двигатели,10,TRUE)),IF(AND(Методика="нормы 2026",EQ235="Сил"),0.8,0.95)),0.95)))))</f>
        <v>0.95</v>
      </c>
      <c r="BZ235">
        <f t="shared" si="386"/>
        <v>0</v>
      </c>
      <c r="CA235">
        <f t="shared" si="387"/>
        <v>1</v>
      </c>
      <c r="CB235">
        <f t="shared" si="388"/>
        <v>0</v>
      </c>
      <c r="CC235">
        <f t="shared" si="389"/>
        <v>0</v>
      </c>
      <c r="CD235">
        <f t="shared" si="390"/>
        <v>0</v>
      </c>
      <c r="CE235">
        <f t="shared" si="391"/>
        <v>0</v>
      </c>
      <c r="CF235">
        <f t="shared" si="392"/>
        <v>0</v>
      </c>
      <c r="CG235">
        <f>IF(AX235="",0,_xlfn.LET(_xlpm.v,IFERROR(VLOOKUP(B235,УГО_спр,3,FALSE),IFERROR(VLOOKUP(AX235,УГО_спр,3,FALSE),IFERROR(VLOOKUP(LEFT(AX235,2),УГО_спр,3,FALSE),""))),IF(_xlpm.v="да",30,IF(ISNUMBER(_xlpm.v),_xlpm.v,0))))</f>
        <v>30</v>
      </c>
      <c r="CH235">
        <f t="shared" si="393"/>
        <v>30</v>
      </c>
      <c r="CI235" t="str">
        <f>_xlfn.LET(_xlpm.k,IFERROR(_xlfn.XLOOKUP(AX235,Коды_код,Коды_утечка)&amp;"",""),IF(_xlpm.k="","дифавтомат",_xlpm.k))</f>
        <v>дифавтомат</v>
      </c>
      <c r="CJ235">
        <f t="shared" si="394"/>
        <v>30</v>
      </c>
      <c r="CK235">
        <f t="shared" si="395"/>
        <v>30</v>
      </c>
      <c r="CL235">
        <f>IF(B235="",0,IFERROR(--VLOOKUP(B235,УГО_спр,4,FALSE),IFERROR(--VLOOKUP(AX235,УГО_спр,4,FALSE),IFERROR(--VLOOKUP(LEFT(AX235,2),УГО_спр,4,FALSE),0))))</f>
        <v>16</v>
      </c>
      <c r="CM235" t="str">
        <f>IF(B235="","",IFERROR(_xlfn.XLOOKUP(AX235,Коды_код,Коды_апп)&amp;"",""))</f>
        <v/>
      </c>
      <c r="CN235" t="str">
        <f t="shared" si="396"/>
        <v/>
      </c>
      <c r="CO235" t="str" cm="1">
        <f t="array" ref="CO235">IF(TRIM(CN235&amp;"")="","",IFERROR(TRIM(INDEX(_xlfn.TEXTSPLIT(CN235&amp;";;;",";"),1)),""))</f>
        <v/>
      </c>
      <c r="CP235" t="str" cm="1">
        <f t="array" ref="CP235">IF(TRIM(CN235&amp;"")="","",IFERROR(TRIM(INDEX(_xlfn.TEXTSPLIT(CN235&amp;";;;",";"),2)),""))</f>
        <v/>
      </c>
      <c r="CQ235" t="str" cm="1">
        <f t="array" ref="CQ235">IF(TRIM(CN235&amp;"")="","",IFERROR(TRIM(INDEX(_xlfn.TEXTSPLIT(CN235&amp;";;;",";"),3)),""))</f>
        <v/>
      </c>
      <c r="CR235">
        <f t="shared" si="397"/>
        <v>0</v>
      </c>
      <c r="CS235" t="str">
        <f>IF(B235="","",_xlfn.LET(_xlpm.t,LOWER(AV235&amp;""),IF(ISNUMBER(SEARCH("dim",_xlpm.t)),"DIM",IF(ISNUMBER(SEARCH("dali",_xlpm.t)),"DALI",IF(OR(ISNUMBER(SEARCH("relay",_xlpm.t)),ISNUMBER(SEARCH("реле",_xlpm.t))),"Relay",IF(ISNUMBER(SEARCH("кнопк",_xlpm.t)),"",IFERROR(_xlfn.XLOOKUP(AX235,Коды_код,Коды_упр)&amp;"","")))))))</f>
        <v/>
      </c>
      <c r="CT235" t="str">
        <f t="shared" si="398"/>
        <v/>
      </c>
      <c r="CU235">
        <f>IF(B235="","",_xlfn.LET(_xlpm.ig,N(P235)+IF(AF235="вручную",0,N(CB235)),_xlpm.n0,IFERROR(VLOOKUP(_xlpm.ig,Автомат_номиналы,2,TRUE),0),_xlpm.mn,MAX(CL235,IF(AF235="вручную",0,N(CE235))),MAX(_xlpm.n0,_xlpm.mn,IF(CR235=1,Мин_автомат_БП,0))))</f>
        <v>20</v>
      </c>
      <c r="CV235">
        <f t="shared" si="399"/>
        <v>1</v>
      </c>
      <c r="CW235" t="str">
        <f t="shared" si="400"/>
        <v>2P</v>
      </c>
      <c r="CX235" t="str">
        <f>_xlfn.LET(_xlpm.cc,UPPER(TRIM(IFERROR(_xlfn.XLOOKUP(AX235,Коды_код,Коды_хар)&amp;"",""))),IF(OR(_xlpm.cc="B",_xlpm.cc="В"),"B",IF(_xlpm.cc="D","D","С")))</f>
        <v>С</v>
      </c>
      <c r="CY235" t="str">
        <f t="shared" si="401"/>
        <v>2P С20А 30мА</v>
      </c>
      <c r="CZ235" t="str">
        <f t="shared" si="402"/>
        <v>2P С20А 30мА</v>
      </c>
      <c r="DA235" t="str">
        <f t="shared" si="403"/>
        <v>2P С20А 30мА</v>
      </c>
      <c r="DB235" cm="1">
        <f t="array" ref="DB235">IF(DA235="","",_xlfn.LET(_xlpm.t,SUBSTITUTE(SUBSTITUTE(SUBSTITUTE(UPPER(DA235),"С","C"),"А","A"),"В","B"),_xlpm.tk,_xlfn.TEXTSPLIT(_xlpm.t,"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235" t="str">
        <f t="shared" si="404"/>
        <v>ok</v>
      </c>
      <c r="DD235">
        <f t="shared" si="405"/>
        <v>20</v>
      </c>
      <c r="DE235" t="str">
        <f t="shared" si="406"/>
        <v>2P С20А 30мА</v>
      </c>
      <c r="DF235">
        <f t="shared" si="407"/>
        <v>30</v>
      </c>
      <c r="DG235">
        <f t="shared" si="408"/>
        <v>1</v>
      </c>
      <c r="DH235">
        <f t="shared" si="409"/>
        <v>0</v>
      </c>
      <c r="DI235">
        <f t="shared" si="410"/>
        <v>16.408902387494628</v>
      </c>
      <c r="DJ235">
        <f t="shared" si="411"/>
        <v>1</v>
      </c>
      <c r="DK235">
        <f>IF(ISNUMBER(AL235),AL235,К_прокл)</f>
        <v>1</v>
      </c>
      <c r="DL235">
        <f t="shared" si="412"/>
        <v>2</v>
      </c>
      <c r="DM235">
        <f>IFERROR(N(VLOOKUP(BT235,Кабель_обозначение,3,FALSE)),1)</f>
        <v>1</v>
      </c>
      <c r="DN235">
        <f>IFERROR(N(_xlfn.XLOOKUP(A235,Щиты[Щит],Щиты[ΔU до шин, %])),0)</f>
        <v>1.19</v>
      </c>
      <c r="DO235" t="str">
        <f>IFERROR(_xlfn.XLOOKUP(A235,Щиты[Щит],Щиты[Zпетли на шинах, Ом]),"")</f>
        <v/>
      </c>
      <c r="DP235">
        <f>IFERROR(N(_xlfn.XLOOKUP(A235,Щиты[Щит],Щиты[ΔU до шин (подбор), %])),0)</f>
        <v>1.19</v>
      </c>
      <c r="DQ235" t="str">
        <f>IFERROR(_xlfn.XLOOKUP(A235,Щиты[Щит],Щиты[Zпетли на шинах (подбор), Ом]),"")</f>
        <v/>
      </c>
      <c r="DR235" t="str">
        <f t="shared" si="413"/>
        <v/>
      </c>
      <c r="DS235">
        <f t="shared" si="414"/>
        <v>19</v>
      </c>
      <c r="DT235">
        <f t="shared" si="415"/>
        <v>2</v>
      </c>
      <c r="DU235">
        <f t="shared" si="416"/>
        <v>0.31</v>
      </c>
      <c r="DV235" s="6">
        <f>IF(B235="","",IF(IFERROR(VLOOKUP(AX235,УГО_спр,2,FALSE),"")="Светильник",3,4)+IF(Методика="нормы 2026",MIN(0.5,MAX(0,N(Q235)-100)*0.005),0))</f>
        <v>4</v>
      </c>
      <c r="DW235" cm="1">
        <f t="array" ref="DW235">IF(OR(B235="",BT235="",DM235&lt;&gt;1),"",_xlfn.LET(_xlpm.sz,Iдоп_S,_xlpm.t_,CHOOSE(DL235,Iдоп_1ж,Iдоп_2ж,Iдоп_3ж)*DJ235*DK235,_xlpm.inn,N(DD235),_xlpm.smin,MAX(1.5,BW235),_xlpm.L_,N(Q235)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235)*(_xlpm.rho*_xlpm.L_/_xlpm.sz*N(BY235)+_xlpm.xx*_xlpm.L_*N(DU235)/1000)*N(P235)/((Uн_лин/SQRT(3))*1000)*100,999),_xlpm.kz,IF(OR(DG235=1,NOT(ISNUMBER(DQ235)),_xlpm.L_=0,_xlpm.inn=0),1,IFERROR(--(c_min*(Uн_лин*1000/SQRT(3))/(DQ235+2*ρкз_Cu*_xlpm.L_/_xlpm.sz)&gt;=GY235*_xlpm.inn),0)),_xlpm.ok,IFERROR((_xlpm.sz&gt;=_xlpm.smin)*(_xlpm.t_&gt;=_xlpm.inn)*IF(_xlpm.L_&gt;0,(_xlpm.du_+DP235&lt;=DV235+0.00001),1)*_xlpm.kz,0),_xlpm.r_,_xlfn._xlws.FILTER(_xlpm.sz,_xlpm.ok,"не подобрано"),INDEX(_xlpm.r_,1)))</f>
        <v>2.5</v>
      </c>
      <c r="DX235">
        <f t="shared" si="417"/>
        <v>4</v>
      </c>
      <c r="DY235" cm="1">
        <f t="array" ref="DY235">IF(OR(B235="",BT235="",DM235&lt;&gt;1),"",_xlfn.LET(_xlpm.sz,Iдоп_S,_xlpm.t_,CHOOSE(DL235,Iдоп_1ж,Iдоп_2ж,Iдоп_3ж)*DJ235*DK235,_xlpm.ok,IFERROR((_xlpm.sz&gt;=MAX(1.5,BW235))*(_xlpm.t_&gt;=N(DD235)),0),_xlpm.r_,_xlfn._xlws.FILTER(_xlpm.sz,_xlpm.ok,""),INDEX(_xlpm.r_,1)))</f>
        <v>2.5</v>
      </c>
      <c r="DZ235" s="6" cm="1">
        <f t="array" ref="DZ235">IFERROR(ROUNDUP(N(DT235)*(_xlfn.XLOOKUP(DY235,INDEX(Кабель_сопротивление,0,1),INDEX(Кабель_сопротивление,0,3))*N(Q235)/DY235*N(BY235)+_xlfn.XLOOKUP(DY235,INDEX(Кабель_сопротивление,0,1),INDEX(Кабель_сопротивление,0,2))*N(Q235)*N(DU235)/1000)*N(P235)/((Uн_лин/SQRT(3))*1000)*100,2),"")</f>
        <v>2.69</v>
      </c>
      <c r="EA235">
        <f>IFERROR(2*ρкз_Cu*N(Q235)/DY235,"")</f>
        <v>0.46288000000000001</v>
      </c>
      <c r="EB235">
        <f>IFERROR(VLOOKUP(DX235,Кабель_сопротивление,3,FALSE),"")</f>
        <v>2.2499999999999999E-2</v>
      </c>
      <c r="EC235">
        <f>IFERROR(VLOOKUP(DX235,Кабель_сопротивление,2,FALSE),"")</f>
        <v>9.5000000000000001E-2</v>
      </c>
      <c r="ED235">
        <f t="shared" si="418"/>
        <v>22</v>
      </c>
      <c r="EE235">
        <f t="shared" si="419"/>
        <v>0</v>
      </c>
      <c r="EF235">
        <f t="shared" si="420"/>
        <v>3.8794058295733902</v>
      </c>
      <c r="EG235" s="6">
        <f>IFERROR(ROUNDUP(EF235/((Uн_лин/SQRT(3))*1000)*100,2),"")</f>
        <v>1.68</v>
      </c>
      <c r="EH235" t="str">
        <f>IFERROR(VLOOKUP(BT235,Кабель_обозначение,2,FALSE),"")</f>
        <v>ВВГнг(А)-LS</v>
      </c>
      <c r="EI235" t="str">
        <f t="shared" si="421"/>
        <v>ВВГнг(А)-LS (3х4)</v>
      </c>
      <c r="EJ235" t="str">
        <f t="shared" si="422"/>
        <v>ВВГнг(А)-LS (3х4)
L=22-1,68%</v>
      </c>
      <c r="EK235">
        <f>IFERROR(2*ρкз_Cu*Q235/DX235,"")</f>
        <v>0.2893</v>
      </c>
      <c r="EL235">
        <f t="shared" si="423"/>
        <v>9.6250000000000002E-2</v>
      </c>
      <c r="EM235" s="6" t="str">
        <f>IFERROR(IF(OR(B235="",NOT(ISNUMBER(DX235)),N(Q235)=0),"",_xlfn.XLOOKUP(A235,Щиты[Щит],Щиты[Zпетли на шинах, Ом])+EK235),"")</f>
        <v/>
      </c>
      <c r="EN235" s="6" t="str">
        <f>IF(ISNUMBER(EM235),c_min*(Uн_лин*1000/SQRT(3))/EM235,"")</f>
        <v/>
      </c>
      <c r="EO235" s="6" t="str">
        <f>IFERROR(IF(OR(B235="",NOT(ISNUMBER(DX235))),"",1.05*(Uн_лин*1000/SQRT(3))/(_xlfn.XLOOKUP(A235,Щиты[Щит],Щиты[Zmax на шинах, Ом])+EL235)/1000),"")</f>
        <v/>
      </c>
      <c r="EP235" s="6" t="str">
        <f>IF(B235="","",IF(ISNUMBER(Y235),"Сил",IF(IFERROR(_xlfn.XLOOKUP(AX235,Коды_код,Коды_группа)&amp;"","")="","Быт",_xlfn.XLOOKUP(AX235,Коды_код,Коды_группа)&amp;"")))</f>
        <v>Быт</v>
      </c>
      <c r="EQ235" s="6" t="str">
        <f t="shared" si="424"/>
        <v>Быт</v>
      </c>
      <c r="ER235" s="6">
        <f>IF(EQ235="Щит","щит",IF(EQ235="","",IF(EQ235="Быт",IFERROR(_xlfn.XLOOKUP(A235,Щиты[Щит],Щиты[Кс быт]),1),IF(EQ235="Сил",IF(ISNUMBER(Y235),Y235,IF(Методика="нормы 2026",IFERROR(_xlfn.XLOOKUP(A235,Щиты[Щит],Щиты[Кс силовых (табл. 7.5)]),1),1)),IF(OR(EQ235="Пост",EQ235="Отоп"),1,IF(EQ235="ВНГ",0.7,0))))))</f>
        <v>0.57830000000000004</v>
      </c>
      <c r="ES235">
        <f t="shared" si="425"/>
        <v>1</v>
      </c>
      <c r="ET235">
        <f t="shared" si="426"/>
        <v>3.6</v>
      </c>
      <c r="EU235">
        <f t="shared" si="427"/>
        <v>3.6</v>
      </c>
      <c r="EV235">
        <f t="shared" si="428"/>
        <v>0</v>
      </c>
      <c r="EW235">
        <f t="shared" si="429"/>
        <v>0</v>
      </c>
      <c r="EX235">
        <f t="shared" si="430"/>
        <v>0</v>
      </c>
      <c r="EY235">
        <f t="shared" si="431"/>
        <v>0</v>
      </c>
      <c r="EZ235">
        <f t="shared" si="432"/>
        <v>3.6</v>
      </c>
      <c r="FA235">
        <f t="shared" si="433"/>
        <v>3.42</v>
      </c>
      <c r="FB235">
        <f t="shared" si="434"/>
        <v>3.6</v>
      </c>
      <c r="FC235" t="str">
        <f t="shared" si="435"/>
        <v>L3</v>
      </c>
      <c r="FD235" t="str">
        <f>IF(B235="","",IF(CA235=0,IF(AW235=1,"",FF234),IF(OR(N(CV235)&gt;=3,N(BR235)&gt;=3),"L1,L2,L3",IFERROR(_xlfn.TEXTBEFORE(_xlfn.TEXTAFTER(_xlfn.XLOOKUP(A235,Щиты[Щит],Щиты[_фазы авто]),";"&amp;AW235&amp;":"),";"),"L1"))))</f>
        <v>L1</v>
      </c>
      <c r="FE235" t="str">
        <f t="shared" si="436"/>
        <v>L3</v>
      </c>
      <c r="FF235" t="str">
        <f t="shared" si="437"/>
        <v>L3</v>
      </c>
      <c r="FG235" cm="1">
        <f t="array" ref="FG235">IFERROR(IF(BX235=2,_xlfn.IFS(BR235=3,VLOOKUP(BN235,Справочная_двигатели,3,FALSE),BR235=1,VLOOKUP(BN235,Справочная_двигатели,5,TRUE)),0),0)</f>
        <v>0</v>
      </c>
      <c r="FH235">
        <f>IFERROR(IF(BX235=3,VLOOKUP(BN235,Справочная_ЛЭД,2,TRUE),0),0)</f>
        <v>0</v>
      </c>
      <c r="FI235" s="6">
        <f t="shared" si="438"/>
        <v>0</v>
      </c>
      <c r="FJ235" t="str" cm="1">
        <f t="array" ref="FJ235">IF(B235="","",IFERROR(INDEX({"I особая","I","II","III"},MATCH(TRIM(AC235&amp;""),{"I особая","I","II","III"},0)),"III"))</f>
        <v>II</v>
      </c>
      <c r="FK235" t="str">
        <f>IF(B235="","",IF(TRIM(AD235&amp;"")&lt;&gt;"",IF(LOWER(TRIM(AD235&amp;""))="да","да","нет"),IF(IFERROR(_xlfn.XLOOKUP(AX235,Коды_код,Коды_пожарная),"")="да","да","нет")))</f>
        <v>нет</v>
      </c>
      <c r="FL235" t="str">
        <f t="shared" si="439"/>
        <v/>
      </c>
      <c r="FM235" t="str">
        <f t="shared" si="440"/>
        <v>основная</v>
      </c>
      <c r="FN235">
        <f t="shared" si="441"/>
        <v>1</v>
      </c>
      <c r="FO235" t="str" cm="1">
        <f t="array" ref="FO235">IF(B235="","",_xlfn.LET(_xlpm.t,IFERROR(_xlfn.XLOOKUP(1,(Шины[Шина]=FM235)*(((Шины[Щит]=A235)+(Шины[Щит]=""))&gt;0),Шины[Тип]),"")&amp;"",IF(_xlpm.t&lt;&gt;"",_xlpm.t,IF(ISNUMBER(SEARCH("ИБП",FM235)),"ИБП",IF(ISNUMBER(SEARCH("ДГУ",FM235)),"ДГУ","Ввод "&amp;FN235)))))</f>
        <v>Ввод 1</v>
      </c>
      <c r="FP235" t="str">
        <f t="shared" si="442"/>
        <v>Ввод 1</v>
      </c>
      <c r="FQ235" t="str">
        <f>IF(B235="","",IF(OR(FO235="ИБП",FO235="ДГУ"),"I особая",IF(FO235="Одиночная","III",_xlfn.XLOOKUP(A235,Щиты[Щит],Щиты[Категория шины «Ввод»],"III"))))</f>
        <v>II</v>
      </c>
      <c r="FR235">
        <f>IF(B235="",0,IFERROR(MATCH(FJ235,{"III","II","I","I особая"},0),1))</f>
        <v>2</v>
      </c>
      <c r="FS235">
        <f t="shared" si="443"/>
        <v>2</v>
      </c>
      <c r="FT235" t="str">
        <f>IF(B235="","",IF(FR235&gt;IFERROR(MATCH(FQ235,{"III","II","I","I особая"},0),1),"НЕ ОБЕСПЕЧЕНА","ОК"))</f>
        <v>ОК</v>
      </c>
      <c r="FU235" t="str">
        <f>IF(A235="","",_xlfn.XLOOKUP(A235,Щиты[Щит],Щиты[Путь],""))</f>
        <v>|ГРЩ-ЖД|ЩР-1|</v>
      </c>
      <c r="FV235" t="str">
        <f>IF(B235="","",IF(AE235&lt;&gt;"",AE235,IF(IFERROR(_xlfn.XLOOKUP(AX235,Коды_код,Коды_вид)&amp;"","")="","Прочее",_xlfn.XLOOKUP(AX235,Коды_код,Коды_вид)&amp;"")))</f>
        <v>Розеточная сеть и бытовые приборы</v>
      </c>
      <c r="FW235">
        <f>IF(BH235="","",INT((BH235-1)/Столбцов_на_лист)+1)</f>
        <v>2</v>
      </c>
      <c r="FX235" t="str">
        <f t="shared" si="444"/>
        <v>ВВГнг(А)-LS (3х4) L=22-1,68%</v>
      </c>
      <c r="FY235">
        <f t="shared" si="445"/>
        <v>3.6</v>
      </c>
      <c r="FZ235">
        <f t="shared" si="446"/>
        <v>16.41</v>
      </c>
      <c r="GA235">
        <f t="shared" si="447"/>
        <v>1</v>
      </c>
      <c r="GB235">
        <f t="shared" si="448"/>
        <v>0</v>
      </c>
      <c r="GC235">
        <f t="shared" si="449"/>
        <v>1</v>
      </c>
      <c r="GD235">
        <f>IF(BH235="","",IF(AND(CA235=1,GC235=1),COUNTIFS(A$3:A235,A235,CA$3:CA235,1,GC$3:GC235,1),IF(OR(OR(AW235=1,A235&lt;&gt;A234),AF235="вручную",GC235=0),"",IF(AW235=1,"",GE234))))</f>
        <v>11</v>
      </c>
      <c r="GE235">
        <f t="shared" si="450"/>
        <v>11</v>
      </c>
      <c r="GF235">
        <f>IF(B235="","",IFERROR(LOOKUP(INDEX(CHOOSE(DL235,Iдоп_1ж,Iдоп_2ж,Iдоп_3ж),MATCH(DX235,Iдоп_S,0))*DJ235*DK235,{6,10,16,20,25,32,40,50,63,80,100,125,160,200,250,315,400,500,630}),""))</f>
        <v>32</v>
      </c>
      <c r="GG235" t="str">
        <f t="shared" si="451"/>
        <v>QFD11</v>
      </c>
      <c r="GH235" t="str">
        <f t="shared" si="452"/>
        <v>QFD11</v>
      </c>
      <c r="GI235" t="str">
        <f t="shared" si="453"/>
        <v/>
      </c>
      <c r="GJ235">
        <f t="shared" si="454"/>
        <v>0</v>
      </c>
      <c r="GK235" t="str">
        <f>IF(OR(AG235="",AG235="-"),"",IFERROR(VLOOKUP(AG235,Модули_спр,2,FALSE),"R"))</f>
        <v/>
      </c>
      <c r="GL235" t="str">
        <f>IF(GK235="","",GK235&amp;"."&amp;COUNTIFS(A$3:A235,A235,GK$3:GK235,GK235))</f>
        <v/>
      </c>
      <c r="GM235" t="str">
        <f t="shared" si="455"/>
        <v/>
      </c>
      <c r="GN235" t="str">
        <f t="shared" si="456"/>
        <v/>
      </c>
      <c r="GO235" t="str">
        <f t="shared" si="457"/>
        <v/>
      </c>
      <c r="GP235" t="str">
        <f t="shared" si="458"/>
        <v/>
      </c>
      <c r="GQ235">
        <f t="shared" si="459"/>
        <v>1</v>
      </c>
      <c r="GR235" t="str">
        <f>IF(GQ235=1,"XT"&amp;COUNTIFS(A$3:A235,A235,GQ$3:GQ235,1),"")</f>
        <v>XT11</v>
      </c>
      <c r="GS235" t="str">
        <f t="shared" si="460"/>
        <v/>
      </c>
      <c r="GT235" t="str">
        <f t="shared" si="461"/>
        <v>QFD11</v>
      </c>
      <c r="GU235" t="str">
        <f t="shared" si="462"/>
        <v/>
      </c>
      <c r="GV235" t="str">
        <f t="shared" si="463"/>
        <v>ok</v>
      </c>
      <c r="GW235" t="str">
        <f>IF(OR(GO235="",GM235=""),"",IF(GO235&gt;IFERROR(VLOOKUP(GN235,Модули_спр,3,FALSE),99),"ЛИШНИЙ КАНАЛ",IF(AND(AH235&lt;&gt;"=",COUNTIFS(Линии[_модуль гр.],GM235,Линии[Канал (итог)],GO235,Линии[Канал],"&lt;&gt;=",Линии[Щит],A235)&gt;1),"ДУБЛЬ КАНАЛА","")))</f>
        <v/>
      </c>
      <c r="GX235" s="6" t="str">
        <f t="shared" si="464"/>
        <v/>
      </c>
      <c r="GY235">
        <f t="shared" si="465"/>
        <v>10</v>
      </c>
      <c r="GZ235" t="str">
        <f t="shared" si="466"/>
        <v/>
      </c>
      <c r="HA235" t="str">
        <f>IF(AND(B235="",GT235=""),"",_xlfn.TEXTJOIN("; ",TRUE,IF(AND(B235&lt;&gt;"",FE235=""),"нет фазы",""),IF(AND(B235&lt;&gt;"",N(FY235)=0,EQ235&lt;&gt;"Нет"),"нет мощности",""),IF(AND(GS235&lt;&gt;"",COUNTIFS(Линии[Щит],A235,Линии[Клемма (итог)],GS235)&gt;1),"дубль клеммы "&amp;GS235,""),IF(AND(GV235&lt;&gt;"",GV235&lt;&gt;"ok"),GV235,""),IF(GW235&lt;&gt;"",GW235,""),IF(AND(N(BV235)&gt;=4,N(BR235)=1),BV235&amp;" жил на 1 фазе",""),IF(AND(AX235="R",CA235=1,OR(N(CK235)=0,N(CK235)&gt;30)),"розетка без дифзащиты до 30 мА",""),IFERROR(IF(AND(ISNUMBER(R235),R235&gt;DV235),"потери "&amp;FIXED(R235,1)&amp;" % &gt; "&amp;DV235&amp;" %",""),""),IFERROR(IF(LEFT(GZ235,4)="мало","Iкз мало — отключение &gt; 0,4 с",""),""),IF(AND(B235&lt;&gt;"",BH235=""),"не на схеме",""),IF(AND(CA235=0,B235&lt;&gt;"",FE235&lt;&gt;"",IF(AW235=1,"",FF234)&lt;&gt;"",FE235&lt;&gt;IF(AW235=1,"",FF234)),"фаза не как у автомата группы ("&amp;IF(AW235=1,"",FF234)&amp;")","")))</f>
        <v/>
      </c>
      <c r="HB235" s="6">
        <f>IF(OR(CA235=0,DA235=""),"",_xlfn.LET(_xlpm.t,IFERROR(_xlfn.XLOOKUP(DA235,Каталог!$U$4:$U$500,Каталог!$G$4:$G$500),""),_xlpm.k,SEARCH("кА",_xlpm.t),IFERROR(--TRIM(RIGHT(SUBSTITUTE(MID(_xlpm.t,MAX(1,_xlpm.k-4),_xlpm.k-MAX(1,_xlpm.k-4))," ",REPT(" ",9)),5)),"")))</f>
        <v>6</v>
      </c>
      <c r="HC235" t="str">
        <f>IF(OR(HB235="",CA235=0),"",IF(_xlfn.XLOOKUP(A235,Щиты[Щит],Щиты[Iкз max на шинах, кА],"")="","",IF(HB235&lt;_xlfn.XLOOKUP(A235,Щиты[Щит],Щиты[Iкз max на шинах, кА]),"Icu "&amp;HB235&amp;" кА &lt; Iкз max","ok")))</f>
        <v/>
      </c>
      <c r="HD235" t="str">
        <f t="shared" si="467"/>
        <v/>
      </c>
      <c r="HE235" t="str">
        <f t="shared" si="468"/>
        <v>QFD11</v>
      </c>
      <c r="HF235" t="str">
        <f t="shared" si="469"/>
        <v>QFD11|кабель ВВГнг(А)-LS (3х4) → Розеточная группа Первый этаж Пом. №002Б Стаканомоечная машина</v>
      </c>
      <c r="HG235" t="str" cm="1">
        <f t="array" ref="HG235">IF(HF235="","",_xlfn.LET(_xlpm.nd,_xlfn.TEXTSPLIT(HF235,"|"),IF(COLUMNS(_xlpm.nd)&gt;1,A235&amp;"¦"&amp;INDEX(_xlpm.nd,1)&amp;"¦"&amp;INDEX(_xlpm.nd,2),"")))</f>
        <v>ЩР-1¦QFD11¦кабель ВВГнг(А)-LS (3х4) → Розеточная группа Первый этаж Пом. №002Б Стаканомоечная машина</v>
      </c>
      <c r="HH235" t="str">
        <f t="shared" si="470"/>
        <v>R.1.002Б.6¦Розеточная группа Первый этаж Пом. №002Б Стаканомоечная машина</v>
      </c>
      <c r="HI235" t="str" cm="1">
        <f t="array" ref="HI235">IF(HF235="","",_xlfn.LET(_xlpm.nd,_xlfn.TEXTSPLIT(HF235,"|"),IF(COLUMNS(_xlpm.nd)&gt;2,A235&amp;"¦"&amp;INDEX(_xlpm.nd,2)&amp;"¦"&amp;INDEX(_xlpm.nd,3),"")))</f>
        <v/>
      </c>
      <c r="HJ235" t="str">
        <f t="shared" si="471"/>
        <v/>
      </c>
      <c r="HK235" t="str" cm="1">
        <f t="array" ref="HK235">IF(HF235="","",_xlfn.LET(_xlpm.nd,_xlfn.TEXTSPLIT(HF235,"|"),IF(COLUMNS(_xlpm.nd)&gt;3,A235&amp;"¦"&amp;INDEX(_xlpm.nd,3)&amp;"¦"&amp;INDEX(_xlpm.nd,4),"")))</f>
        <v/>
      </c>
      <c r="HL235" t="str">
        <f t="shared" si="472"/>
        <v/>
      </c>
      <c r="HM235" t="str" cm="1">
        <f t="array" ref="HM235">IF(HF235="","",_xlfn.LET(_xlpm.nd,_xlfn.TEXTSPLIT(HF235,"|"),IF(COLUMNS(_xlpm.nd)&gt;4,A235&amp;"¦"&amp;INDEX(_xlpm.nd,4)&amp;"¦"&amp;INDEX(_xlpm.nd,5),"")))</f>
        <v/>
      </c>
      <c r="HN235" t="str">
        <f t="shared" si="473"/>
        <v/>
      </c>
      <c r="HO235" t="str" cm="1">
        <f t="array" ref="HO235">IF(HF235="","",_xlfn.LET(_xlpm.nd,_xlfn.TEXTSPLIT(HF235,"|"),IF(COLUMNS(_xlpm.nd)&gt;5,A235&amp;"¦"&amp;INDEX(_xlpm.nd,5)&amp;"¦"&amp;INDEX(_xlpm.nd,6),"")))</f>
        <v/>
      </c>
      <c r="HP235" t="str">
        <f t="shared" si="474"/>
        <v/>
      </c>
      <c r="HQ235" t="str" cm="1">
        <f t="array" ref="HQ235">IF(HF235="","",_xlfn.LET(_xlpm.nd,_xlfn.TEXTSPLIT(HF235,"|"),IF(COLUMNS(_xlpm.nd)&gt;6,A235&amp;"¦"&amp;INDEX(_xlpm.nd,6)&amp;"¦"&amp;INDEX(_xlpm.nd,7),"")))</f>
        <v/>
      </c>
      <c r="HR235" t="str">
        <f t="shared" si="475"/>
        <v/>
      </c>
      <c r="HS235" t="str">
        <f t="shared" si="476"/>
        <v/>
      </c>
      <c r="HT235" t="str">
        <f t="shared" si="477"/>
        <v>QFD11</v>
      </c>
      <c r="HU235">
        <f t="shared" si="478"/>
        <v>0</v>
      </c>
      <c r="HV235">
        <f t="shared" si="479"/>
        <v>1</v>
      </c>
      <c r="HW235" t="str">
        <f t="shared" si="480"/>
        <v/>
      </c>
      <c r="HX235" t="str">
        <f t="shared" si="481"/>
        <v/>
      </c>
      <c r="HY235" t="str">
        <f t="shared" si="482"/>
        <v/>
      </c>
      <c r="HZ235" t="str">
        <f t="shared" si="483"/>
        <v/>
      </c>
      <c r="IA235" t="str">
        <f>IF(B235="","",IFERROR(VLOOKUP(B235,УГО_спр,2,FALSE),IFERROR(VLOOKUP(AX235,УГО_спр,2,FALSE),IFERROR(VLOOKUP(LEFT(AX235,2),УГО_спр,2,FALSE),""))))</f>
        <v>Розетка</v>
      </c>
      <c r="IB235" t="str">
        <f>IF(B235="","",IF(OR(IA235="",IA235=0),"BOX",IFERROR(IF(VLOOKUP(IA235,УГО_блоки,3,FALSE)&amp;""&lt;&gt;"",VLOOKUP(IA235,УГО_блоки,3,FALSE),VLOOKUP(IA235,УГО_блоки,2,FALSE)),IA235)))</f>
        <v>SOCKET</v>
      </c>
      <c r="IC235">
        <f t="shared" si="484"/>
        <v>1</v>
      </c>
      <c r="ID235" t="str">
        <f>IF(DA235="","",IF(COUNTIF(DA$3:DA235,DA235)=1,MAX(ID$2:ID234)+1,""))</f>
        <v/>
      </c>
      <c r="IE235" t="str">
        <f>IF(CO235="","",IF(COUNTIF(CO$3:CO235,CO235)+COUNTIF(CP$2:CP234,CO235)+COUNTIF(CQ$2:CQ234,CO235)=1,MAX(IE$2:IG234)+1,""))</f>
        <v/>
      </c>
      <c r="IF235" t="str">
        <f>IF(CP235="","",IF(COUNTIF(CO$3:CO235,CP235)+COUNTIF(CP$3:CP235,CP235)+COUNTIF(CQ$2:CQ234,CP235)=1,MAX(IE$2:IG234,IE235)+1,""))</f>
        <v/>
      </c>
      <c r="IG235" t="str">
        <f>IF(CQ235="","",IF(COUNTIF(CO$3:CO235,CQ235)+COUNTIF(CP$3:CP235,CQ235)+COUNTIF(CQ$3:CQ235,CQ235)=1,MAX(IE$2:IG234,IE235,IF235)+1,""))</f>
        <v/>
      </c>
      <c r="IH235" t="str">
        <f t="shared" si="485"/>
        <v>3х4</v>
      </c>
      <c r="II235" t="str">
        <f>IF(IH235="","",IF(COUNTIF(IH$3:IH235,IH235)=1,MAX(II$2:II234)+1,""))</f>
        <v/>
      </c>
      <c r="IJ235" t="str">
        <f>IF(GL235="","",COUNTIF(GL$3:GL235,"?*"))</f>
        <v/>
      </c>
      <c r="IK235" t="str">
        <f>IF(OR(GL235="",GN235=""),"",IF(COUNTIFS(GL$3:GL235,"?*",GN$3:GN235,GN235)=1,MAX(IK$2:IK234)+1,""))</f>
        <v/>
      </c>
      <c r="IL235">
        <f t="shared" si="486"/>
        <v>0</v>
      </c>
      <c r="IM235">
        <f>IF(B235="","",COUNTIF(B$3:B235,"?*"))</f>
        <v>233</v>
      </c>
      <c r="IN235">
        <f>IF(GQ235&lt;&gt;1,0,_xlfn.LET(_xlpm.k,MAX(IFERROR(--VLOOKUP(B235,УГО_спр,5,FALSE),0),IFERROR(--VLOOKUP(AX235,УГО_спр,5,FALSE),0),IFERROR(--VLOOKUP(LEFT(AX235,2),УГО_спр,5,FALSE),0)),IF(_xlpm.k&gt;0,_xlpm.k,IF(IFERROR(--LEFT(SUBSTITUTE(IH235,"x","х"),FIND("х",SUBSTITUTE(IH235,"x","х"))-1),3)&gt;3,Каталог!$S$9,1))))</f>
        <v>1</v>
      </c>
      <c r="IO235">
        <f t="shared" si="487"/>
        <v>0</v>
      </c>
      <c r="IP235" t="str">
        <f t="shared" si="488"/>
        <v>авто</v>
      </c>
      <c r="IQ235">
        <f t="shared" si="489"/>
        <v>30</v>
      </c>
      <c r="IR235">
        <f t="shared" si="490"/>
        <v>1</v>
      </c>
      <c r="IS235">
        <f t="shared" si="491"/>
        <v>1</v>
      </c>
    </row>
    <row r="236" spans="1:253" x14ac:dyDescent="0.3">
      <c r="A236" t="s">
        <v>759</v>
      </c>
      <c r="B236" t="s">
        <v>1501</v>
      </c>
      <c r="C236" t="str">
        <f>Линии[[#This Row],[_авто наименование]]</f>
        <v>Розеточная группа, пом. 002Б</v>
      </c>
      <c r="D236">
        <v>1</v>
      </c>
      <c r="E236">
        <v>0.06</v>
      </c>
      <c r="G236" t="str">
        <f>Линии[[#This Row],[_авто автомат]]</f>
        <v>2P С16А 30мА</v>
      </c>
      <c r="H236">
        <f>Линии[[#This Row],[_авто утечка]]</f>
        <v>30</v>
      </c>
      <c r="I236" t="str">
        <f>Линии[[#This Row],[_авто управление]]</f>
        <v/>
      </c>
      <c r="J236" t="str">
        <f>Линии[[#This Row],[_авто аппараты]]</f>
        <v/>
      </c>
      <c r="K236">
        <v>2.5</v>
      </c>
      <c r="L236">
        <v>19</v>
      </c>
      <c r="M236" t="str">
        <f>Линии[[#This Row],[_авто фаза]]</f>
        <v>L3</v>
      </c>
      <c r="N236" t="s">
        <v>486</v>
      </c>
      <c r="O236" t="str">
        <f t="shared" si="369"/>
        <v/>
      </c>
      <c r="P236" s="6" cm="1">
        <f t="array" ref="P236">IF(B236="","",IF(BC236&lt;&gt;"",IFERROR(_xlfn.XLOOKUP(BC236,Щиты[Щит],Щиты[Iр, А]),""),IF(BK236=1,IFERROR(_xlfn.XLOOKUP(A236,Щиты[Щит],Щиты[Iр, А]),""),IFERROR(_xlfn.IFS(BR236=1,BN236/((Uн_лин/SQRT(3))*BY236),BR236=3,BN236/(SQRT(3)*Uн_лин*BY236)),""))))</f>
        <v>0.27348170645824377</v>
      </c>
      <c r="Q236" s="7">
        <f>IF(B236="","",IFERROR(IF(VLOOKUP(AX236,Потребители_обозначение,4,FALSE)=1,VLOOKUP(AX236,Потребители_обозначение,3,FALSE)*(D236*2-1)+DS236+VLOOKUP(AZ236,Этаж_обозначение,3,FALSE)+VLOOKUP(AZ236,Этаж_обозначение,4,FALSE),VLOOKUP(AX236,Потребители_обозначение,3,FALSE)*(D236*2-1)+DS236),DS236))</f>
        <v>22</v>
      </c>
      <c r="R236" s="6">
        <f t="shared" si="370"/>
        <v>1.24</v>
      </c>
      <c r="S236" t="str">
        <f t="shared" si="371"/>
        <v>ВВГнг(А)-LS (3х2,5)</v>
      </c>
      <c r="T236" t="str">
        <f>IF(BH236="","",IF(BI236="вводной узел","узел ","")&amp;"л."&amp;(INT((BH236-1)/Столбцов_на_лист)+1)&amp;" / "&amp;(MOD(BH236-1,Столбцов_на_лист)+1))</f>
        <v>л.2 / 14</v>
      </c>
      <c r="V236">
        <v>1</v>
      </c>
      <c r="W236">
        <v>230</v>
      </c>
      <c r="X236" t="s">
        <v>564</v>
      </c>
      <c r="AC236" t="s">
        <v>815</v>
      </c>
      <c r="AE236" t="s">
        <v>563</v>
      </c>
      <c r="AI236">
        <v>31</v>
      </c>
      <c r="AJ236" t="s">
        <v>11</v>
      </c>
      <c r="AK236">
        <v>3</v>
      </c>
      <c r="AM236">
        <v>0</v>
      </c>
      <c r="AN236">
        <v>22</v>
      </c>
      <c r="AO236">
        <v>0</v>
      </c>
      <c r="AW236" cm="1">
        <f t="array" ref="AW236">ROW()-ROW(Линии[#Headers])</f>
        <v>234</v>
      </c>
      <c r="AX236" s="6" t="str">
        <f t="shared" si="372"/>
        <v>R</v>
      </c>
      <c r="AY236" t="str">
        <f t="shared" si="373"/>
        <v>1.002Б.7</v>
      </c>
      <c r="AZ236" t="str">
        <f t="shared" si="374"/>
        <v>1</v>
      </c>
      <c r="BA236" t="str">
        <f t="shared" si="375"/>
        <v>002Б.7</v>
      </c>
      <c r="BB236" t="str">
        <f t="shared" si="376"/>
        <v>002Б</v>
      </c>
      <c r="BC236" t="str">
        <f>IF(U236&lt;&gt;"",U236,IF(AND(B236&lt;&gt;"",B236&lt;&gt;A236,ISNUMBER(_xlfn.XMATCH(B236,Щиты[Щит]))),B236,""))</f>
        <v/>
      </c>
      <c r="BD236" t="str" cm="1">
        <f t="array" ref="BD236">IF(B236="","",IF(BC236&lt;&gt;"","Щит "&amp;BC236,_xlfn.LET(_xlpm.nm,IFERROR(_xlfn.XLOOKUP(AX236,Коды_код,Коды_имя)&amp;"",""),_xlpm.md,IFERROR(N(_xlfn.XLOOKUP(AX236,Коды_код,Коды_режим)),1),_xlpm.ex,IF(Имя_режим="по экспликации",IFERROR(_xlfn.XLOOKUP(AZ236&amp;"|"&amp;BB236,Экспликация[Этаж]&amp;"|"&amp;Экспликация[Помещение],Экспликация[Название])&amp;"",""),""),_xlpm.rm,IF(BB236="","",IF(_xlpm.ex&lt;&gt;"",". "&amp;_xlpm.ex&amp;IF(Имя_пом="нет"," ("&amp;BB236&amp;")"," (пом. "&amp;BB236&amp;")"),IF(Имя_пом="нет"," ",", пом. ")&amp;BB236)),IF(_xlpm.nm="","",IF(_xlpm.md=2,_xlpm.nm&amp;" шлейф "&amp;AZ236,_xlpm.nm&amp;_xlpm.rm)))))</f>
        <v>Розеточная группа, пом. 002Б</v>
      </c>
      <c r="BE236" t="str">
        <f t="shared" si="377"/>
        <v>Розеточная группа, пом. 002Б</v>
      </c>
      <c r="BF236">
        <f>IFERROR(_xlfn.XMATCH(A236,Щиты[Щит]),0)</f>
        <v>10</v>
      </c>
      <c r="BG236">
        <f>_xlfn.LET(_xlpm.k,IFERROR(_xlfn.XLOOKUP(A236,Щиты[Щит],Щиты[Листов под вводной узел]),""),IF(_xlpm.k="",1,N(_xlpm.k))*Столбцов_на_лист)</f>
        <v>17</v>
      </c>
      <c r="BH236">
        <f t="shared" si="378"/>
        <v>31</v>
      </c>
      <c r="BI236" t="str">
        <f t="shared" si="379"/>
        <v>линии</v>
      </c>
      <c r="BJ236" s="6">
        <f>IFERROR(N(_xlfn.XLOOKUP(AX236,Коды_код,Коды_квт)),0)</f>
        <v>0</v>
      </c>
      <c r="BK236">
        <f t="shared" si="380"/>
        <v>0</v>
      </c>
      <c r="BL236" t="str">
        <f>IF(B236="","",IF(BC236&lt;&gt;"",IFERROR(_xlfn.XLOOKUP(BC236,Щиты[Щит],Щиты[Руст, кВт]),0),IF(BK236=1,IFERROR(_xlfn.XLOOKUP(A236,Щиты[Щит],Щиты[Руст, кВт]),0),IF(BJ236&gt;0,ROUND(BJ236*MAX(1,N(D236)),3),""))))</f>
        <v/>
      </c>
      <c r="BM236">
        <f t="shared" si="381"/>
        <v>0.06</v>
      </c>
      <c r="BN236" s="6">
        <f>IF(B236="","",IF(BC236&lt;&gt;"",IFERROR(_xlfn.XLOOKUP(BC236,Щиты[Щит],Щиты[Руст, кВт]),0),N(BM236)))</f>
        <v>0.06</v>
      </c>
      <c r="BO236" t="str">
        <f>IF(B236="","",IFERROR(IF(VLOOKUP(AX236,Потребители_обозначение,8,FALSE)=0,"",VLOOKUP(AX236,Потребители_обозначение,8,FALSE)),""))</f>
        <v/>
      </c>
      <c r="BP236">
        <f t="shared" si="382"/>
        <v>230</v>
      </c>
      <c r="BQ236">
        <f>IF(B236="","",IF(BC236&lt;&gt;"",3,IFERROR(IF(N(VLOOKUP(AX236,Потребители_обозначение,9,FALSE))=0,1,VLOOKUP(AX236,Потребители_обозначение,9,FALSE)),1)))</f>
        <v>1</v>
      </c>
      <c r="BR236">
        <f t="shared" si="383"/>
        <v>1</v>
      </c>
      <c r="BS236" t="str">
        <f>IF(B236="","",_xlfn.LET(_xlpm.bc,IFERROR(IF(VLOOKUP(AX236,Потребители_обозначение,6,FALSE)=0,"",VLOOKUP(AX236,Потребители_обозначение,6,FALSE)&amp;""),""),IF(AND(FK236="да",OR(_xlpm.bc="",_xlpm.bc="мс")),Марка_пож,IF(AND(_xlpm.bc="",BC236&lt;&gt;""),"мс",_xlpm.bc))))</f>
        <v/>
      </c>
      <c r="BT236" t="str">
        <f t="shared" si="384"/>
        <v>мс</v>
      </c>
      <c r="BU236">
        <f>IF(B236="","",_xlfn.LET(_xlpm.cc,IFERROR(N(VLOOKUP(AX236,Потребители_обозначение,7,FALSE)),0),IF(_xlpm.cc&gt;0,_xlpm.cc,IF(BT236="","",IF(N(BR236)=3,5,3)))))</f>
        <v>3</v>
      </c>
      <c r="BV236">
        <f t="shared" si="385"/>
        <v>3</v>
      </c>
      <c r="BW236">
        <f>IFERROR(N(VLOOKUP(AX236,Потребители_обозначение,10,FALSE)),0)</f>
        <v>0</v>
      </c>
      <c r="BX236">
        <f>IFERROR(VLOOKUP(AX236,Потребители_обозначение,5,FALSE),0)</f>
        <v>1</v>
      </c>
      <c r="BY236" s="6" cm="1">
        <f t="array" ref="BY236">IF(B236="","",IF(BC236&lt;&gt;"",IFERROR(_xlfn.XLOOKUP(BC236,Щиты[Щит],Щиты[cos φ]),0.95),IF(BK236=1,IFERROR(_xlfn.XLOOKUP(A236,Щиты[Щит],Щиты[cos φ]),0.95),IF(ISNUMBER(Z236),Z236,IFERROR(IF(BX236=2,_xlfn.IFS(BR236=3,VLOOKUP(BN236,Справочная_двигатели,8,FALSE),BR236=1,VLOOKUP(BN236,Справочная_двигатели,10,TRUE)),IF(AND(Методика="нормы 2026",EQ236="Сил"),0.8,0.95)),0.95)))))</f>
        <v>0.95</v>
      </c>
      <c r="BZ236">
        <f t="shared" si="386"/>
        <v>0</v>
      </c>
      <c r="CA236">
        <f t="shared" si="387"/>
        <v>1</v>
      </c>
      <c r="CB236">
        <f t="shared" si="388"/>
        <v>0</v>
      </c>
      <c r="CC236">
        <f t="shared" si="389"/>
        <v>0</v>
      </c>
      <c r="CD236">
        <f t="shared" si="390"/>
        <v>0</v>
      </c>
      <c r="CE236">
        <f t="shared" si="391"/>
        <v>0</v>
      </c>
      <c r="CF236">
        <f t="shared" si="392"/>
        <v>0</v>
      </c>
      <c r="CG236">
        <f>IF(AX236="",0,_xlfn.LET(_xlpm.v,IFERROR(VLOOKUP(B236,УГО_спр,3,FALSE),IFERROR(VLOOKUP(AX236,УГО_спр,3,FALSE),IFERROR(VLOOKUP(LEFT(AX236,2),УГО_спр,3,FALSE),""))),IF(_xlpm.v="да",30,IF(ISNUMBER(_xlpm.v),_xlpm.v,0))))</f>
        <v>30</v>
      </c>
      <c r="CH236">
        <f t="shared" si="393"/>
        <v>30</v>
      </c>
      <c r="CI236" t="str">
        <f>_xlfn.LET(_xlpm.k,IFERROR(_xlfn.XLOOKUP(AX236,Коды_код,Коды_утечка)&amp;"",""),IF(_xlpm.k="","дифавтомат",_xlpm.k))</f>
        <v>дифавтомат</v>
      </c>
      <c r="CJ236">
        <f t="shared" si="394"/>
        <v>30</v>
      </c>
      <c r="CK236">
        <f t="shared" si="395"/>
        <v>30</v>
      </c>
      <c r="CL236">
        <f>IF(B236="",0,IFERROR(--VLOOKUP(B236,УГО_спр,4,FALSE),IFERROR(--VLOOKUP(AX236,УГО_спр,4,FALSE),IFERROR(--VLOOKUP(LEFT(AX236,2),УГО_спр,4,FALSE),0))))</f>
        <v>16</v>
      </c>
      <c r="CM236" t="str">
        <f>IF(B236="","",IFERROR(_xlfn.XLOOKUP(AX236,Коды_код,Коды_апп)&amp;"",""))</f>
        <v/>
      </c>
      <c r="CN236" t="str">
        <f t="shared" si="396"/>
        <v/>
      </c>
      <c r="CO236" t="str" cm="1">
        <f t="array" ref="CO236">IF(TRIM(CN236&amp;"")="","",IFERROR(TRIM(INDEX(_xlfn.TEXTSPLIT(CN236&amp;";;;",";"),1)),""))</f>
        <v/>
      </c>
      <c r="CP236" t="str" cm="1">
        <f t="array" ref="CP236">IF(TRIM(CN236&amp;"")="","",IFERROR(TRIM(INDEX(_xlfn.TEXTSPLIT(CN236&amp;";;;",";"),2)),""))</f>
        <v/>
      </c>
      <c r="CQ236" t="str" cm="1">
        <f t="array" ref="CQ236">IF(TRIM(CN236&amp;"")="","",IFERROR(TRIM(INDEX(_xlfn.TEXTSPLIT(CN236&amp;";;;",";"),3)),""))</f>
        <v/>
      </c>
      <c r="CR236">
        <f t="shared" si="397"/>
        <v>0</v>
      </c>
      <c r="CS236" t="str">
        <f>IF(B236="","",_xlfn.LET(_xlpm.t,LOWER(AV236&amp;""),IF(ISNUMBER(SEARCH("dim",_xlpm.t)),"DIM",IF(ISNUMBER(SEARCH("dali",_xlpm.t)),"DALI",IF(OR(ISNUMBER(SEARCH("relay",_xlpm.t)),ISNUMBER(SEARCH("реле",_xlpm.t))),"Relay",IF(ISNUMBER(SEARCH("кнопк",_xlpm.t)),"",IFERROR(_xlfn.XLOOKUP(AX236,Коды_код,Коды_упр)&amp;"","")))))))</f>
        <v/>
      </c>
      <c r="CT236" t="str">
        <f t="shared" si="398"/>
        <v/>
      </c>
      <c r="CU236">
        <f>IF(B236="","",_xlfn.LET(_xlpm.ig,N(P236)+IF(AF236="вручную",0,N(CB236)),_xlpm.n0,IFERROR(VLOOKUP(_xlpm.ig,Автомат_номиналы,2,TRUE),0),_xlpm.mn,MAX(CL236,IF(AF236="вручную",0,N(CE236))),MAX(_xlpm.n0,_xlpm.mn,IF(CR236=1,Мин_автомат_БП,0))))</f>
        <v>16</v>
      </c>
      <c r="CV236">
        <f t="shared" si="399"/>
        <v>1</v>
      </c>
      <c r="CW236" t="str">
        <f t="shared" si="400"/>
        <v>2P</v>
      </c>
      <c r="CX236" t="str">
        <f>_xlfn.LET(_xlpm.cc,UPPER(TRIM(IFERROR(_xlfn.XLOOKUP(AX236,Коды_код,Коды_хар)&amp;"",""))),IF(OR(_xlpm.cc="B",_xlpm.cc="В"),"B",IF(_xlpm.cc="D","D","С")))</f>
        <v>С</v>
      </c>
      <c r="CY236" t="str">
        <f t="shared" si="401"/>
        <v>2P С16А 30мА</v>
      </c>
      <c r="CZ236" t="str">
        <f t="shared" si="402"/>
        <v>2P С16А 30мА</v>
      </c>
      <c r="DA236" t="str">
        <f t="shared" si="403"/>
        <v>2P С16А 30мА</v>
      </c>
      <c r="DB236" cm="1">
        <f t="array" ref="DB236">IF(DA236="","",_xlfn.LET(_xlpm.t,SUBSTITUTE(SUBSTITUTE(SUBSTITUTE(UPPER(DA236),"С","C"),"А","A"),"В","B"),_xlpm.tk,_xlfn.TEXTSPLIT(_xlpm.t,"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6" t="str">
        <f t="shared" si="404"/>
        <v>ok</v>
      </c>
      <c r="DD236">
        <f t="shared" si="405"/>
        <v>16</v>
      </c>
      <c r="DE236" t="str">
        <f t="shared" si="406"/>
        <v>2P С16А 30мА</v>
      </c>
      <c r="DF236">
        <f t="shared" si="407"/>
        <v>30</v>
      </c>
      <c r="DG236">
        <f t="shared" si="408"/>
        <v>1</v>
      </c>
      <c r="DH236">
        <f t="shared" si="409"/>
        <v>0</v>
      </c>
      <c r="DI236">
        <f t="shared" si="410"/>
        <v>0.27348170645824377</v>
      </c>
      <c r="DJ236">
        <f t="shared" si="411"/>
        <v>1</v>
      </c>
      <c r="DK236">
        <f>IF(ISNUMBER(AL236),AL236,К_прокл)</f>
        <v>1</v>
      </c>
      <c r="DL236">
        <f t="shared" si="412"/>
        <v>2</v>
      </c>
      <c r="DM236">
        <f>IFERROR(N(VLOOKUP(BT236,Кабель_обозначение,3,FALSE)),1)</f>
        <v>1</v>
      </c>
      <c r="DN236">
        <f>IFERROR(N(_xlfn.XLOOKUP(A236,Щиты[Щит],Щиты[ΔU до шин, %])),0)</f>
        <v>1.19</v>
      </c>
      <c r="DO236" t="str">
        <f>IFERROR(_xlfn.XLOOKUP(A236,Щиты[Щит],Щиты[Zпетли на шинах, Ом]),"")</f>
        <v/>
      </c>
      <c r="DP236">
        <f>IFERROR(N(_xlfn.XLOOKUP(A236,Щиты[Щит],Щиты[ΔU до шин (подбор), %])),0)</f>
        <v>1.19</v>
      </c>
      <c r="DQ236" t="str">
        <f>IFERROR(_xlfn.XLOOKUP(A236,Щиты[Щит],Щиты[Zпетли на шинах (подбор), Ом]),"")</f>
        <v/>
      </c>
      <c r="DR236" t="str">
        <f t="shared" si="413"/>
        <v/>
      </c>
      <c r="DS236">
        <f t="shared" si="414"/>
        <v>19</v>
      </c>
      <c r="DT236">
        <f t="shared" si="415"/>
        <v>2</v>
      </c>
      <c r="DU236">
        <f t="shared" si="416"/>
        <v>0.31</v>
      </c>
      <c r="DV236" s="6">
        <f>IF(B236="","",IF(IFERROR(VLOOKUP(AX236,УГО_спр,2,FALSE),"")="Светильник",3,4)+IF(Методика="нормы 2026",MIN(0.5,MAX(0,N(Q236)-100)*0.005),0))</f>
        <v>4</v>
      </c>
      <c r="DW236" cm="1">
        <f t="array" ref="DW236">IF(OR(B236="",BT236="",DM236&lt;&gt;1),"",_xlfn.LET(_xlpm.sz,Iдоп_S,_xlpm.t_,CHOOSE(DL236,Iдоп_1ж,Iдоп_2ж,Iдоп_3ж)*DJ236*DK236,_xlpm.inn,N(DD236),_xlpm.smin,MAX(1.5,BW236),_xlpm.L_,N(Q236)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236)*(_xlpm.rho*_xlpm.L_/_xlpm.sz*N(BY236)+_xlpm.xx*_xlpm.L_*N(DU236)/1000)*N(P236)/((Uн_лин/SQRT(3))*1000)*100,999),_xlpm.kz,IF(OR(DG236=1,NOT(ISNUMBER(DQ236)),_xlpm.L_=0,_xlpm.inn=0),1,IFERROR(--(c_min*(Uн_лин*1000/SQRT(3))/(DQ236+2*ρкз_Cu*_xlpm.L_/_xlpm.sz)&gt;=GY236*_xlpm.inn),0)),_xlpm.ok,IFERROR((_xlpm.sz&gt;=_xlpm.smin)*(_xlpm.t_&gt;=_xlpm.inn)*IF(_xlpm.L_&gt;0,(_xlpm.du_+DP236&lt;=DV236+0.00001),1)*_xlpm.kz,0),_xlpm.r_,_xlfn._xlws.FILTER(_xlpm.sz,_xlpm.ok,"не подобрано"),INDEX(_xlpm.r_,1)))</f>
        <v>1.5</v>
      </c>
      <c r="DX236">
        <f t="shared" si="417"/>
        <v>2.5</v>
      </c>
      <c r="DY236" cm="1">
        <f t="array" ref="DY236">IF(OR(B236="",BT236="",DM236&lt;&gt;1),"",_xlfn.LET(_xlpm.sz,Iдоп_S,_xlpm.t_,CHOOSE(DL236,Iдоп_1ж,Iдоп_2ж,Iдоп_3ж)*DJ236*DK236,_xlpm.ok,IFERROR((_xlpm.sz&gt;=MAX(1.5,BW236))*(_xlpm.t_&gt;=N(DD236)),0),_xlpm.r_,_xlfn._xlws.FILTER(_xlpm.sz,_xlpm.ok,""),INDEX(_xlpm.r_,1)))</f>
        <v>1.5</v>
      </c>
      <c r="DZ236" s="6" cm="1">
        <f t="array" ref="DZ236">IFERROR(ROUNDUP(N(DT236)*(_xlfn.XLOOKUP(DY236,INDEX(Кабель_сопротивление,0,1),INDEX(Кабель_сопротивление,0,3))*N(Q236)/DY236*N(BY236)+_xlfn.XLOOKUP(DY236,INDEX(Кабель_сопротивление,0,1),INDEX(Кабель_сопротивление,0,2))*N(Q236)*N(DU236)/1000)*N(P236)/((Uн_лин/SQRT(3))*1000)*100,2),"")</f>
        <v>0.08</v>
      </c>
      <c r="EA236">
        <f>IFERROR(2*ρкз_Cu*N(Q236)/DY236,"")</f>
        <v>0.77146666666666663</v>
      </c>
      <c r="EB236">
        <f>IFERROR(VLOOKUP(DX236,Кабель_сопротивление,3,FALSE),"")</f>
        <v>2.2499999999999999E-2</v>
      </c>
      <c r="EC236">
        <f>IFERROR(VLOOKUP(DX236,Кабель_сопротивление,2,FALSE),"")</f>
        <v>0.1</v>
      </c>
      <c r="ED236">
        <f t="shared" si="418"/>
        <v>22</v>
      </c>
      <c r="EE236">
        <f t="shared" si="419"/>
        <v>0</v>
      </c>
      <c r="EF236">
        <f t="shared" si="420"/>
        <v>0.10325684701720034</v>
      </c>
      <c r="EG236" s="6">
        <f>IFERROR(ROUNDUP(EF236/((Uн_лин/SQRT(3))*1000)*100,2),"")</f>
        <v>0.05</v>
      </c>
      <c r="EH236" t="str">
        <f>IFERROR(VLOOKUP(BT236,Кабель_обозначение,2,FALSE),"")</f>
        <v>ВВГнг(А)-LS</v>
      </c>
      <c r="EI236" t="str">
        <f t="shared" si="421"/>
        <v>ВВГнг(А)-LS (3х2,5)</v>
      </c>
      <c r="EJ236" t="str">
        <f t="shared" si="422"/>
        <v>ВВГнг(А)-LS (3х2,5)
L=22-0,05%</v>
      </c>
      <c r="EK236">
        <f>IFERROR(2*ρкз_Cu*Q236/DX236,"")</f>
        <v>0.46288000000000001</v>
      </c>
      <c r="EL236">
        <f t="shared" si="423"/>
        <v>0.154</v>
      </c>
      <c r="EM236" s="6" t="str">
        <f>IFERROR(IF(OR(B236="",NOT(ISNUMBER(DX236)),N(Q236)=0),"",_xlfn.XLOOKUP(A236,Щиты[Щит],Щиты[Zпетли на шинах, Ом])+EK236),"")</f>
        <v/>
      </c>
      <c r="EN236" s="6" t="str">
        <f>IF(ISNUMBER(EM236),c_min*(Uн_лин*1000/SQRT(3))/EM236,"")</f>
        <v/>
      </c>
      <c r="EO236" s="6" t="str">
        <f>IFERROR(IF(OR(B236="",NOT(ISNUMBER(DX236))),"",1.05*(Uн_лин*1000/SQRT(3))/(_xlfn.XLOOKUP(A236,Щиты[Щит],Щиты[Zmax на шинах, Ом])+EL236)/1000),"")</f>
        <v/>
      </c>
      <c r="EP236" s="6" t="str">
        <f>IF(B236="","",IF(ISNUMBER(Y236),"Сил",IF(IFERROR(_xlfn.XLOOKUP(AX236,Коды_код,Коды_группа)&amp;"","")="","Быт",_xlfn.XLOOKUP(AX236,Коды_код,Коды_группа)&amp;"")))</f>
        <v>Быт</v>
      </c>
      <c r="EQ236" s="6" t="str">
        <f t="shared" si="424"/>
        <v>Быт</v>
      </c>
      <c r="ER236" s="6">
        <f>IF(EQ236="Щит","щит",IF(EQ236="","",IF(EQ236="Быт",IFERROR(_xlfn.XLOOKUP(A236,Щиты[Щит],Щиты[Кс быт]),1),IF(EQ236="Сил",IF(ISNUMBER(Y236),Y236,IF(Методика="нормы 2026",IFERROR(_xlfn.XLOOKUP(A236,Щиты[Щит],Щиты[Кс силовых (табл. 7.5)]),1),1)),IF(OR(EQ236="Пост",EQ236="Отоп"),1,IF(EQ236="ВНГ",0.7,0))))))</f>
        <v>0.57830000000000004</v>
      </c>
      <c r="ES236">
        <f t="shared" si="425"/>
        <v>1</v>
      </c>
      <c r="ET236">
        <f t="shared" si="426"/>
        <v>0.06</v>
      </c>
      <c r="EU236">
        <f t="shared" si="427"/>
        <v>0.06</v>
      </c>
      <c r="EV236">
        <f t="shared" si="428"/>
        <v>0</v>
      </c>
      <c r="EW236">
        <f t="shared" si="429"/>
        <v>0</v>
      </c>
      <c r="EX236">
        <f t="shared" si="430"/>
        <v>0</v>
      </c>
      <c r="EY236">
        <f t="shared" si="431"/>
        <v>0</v>
      </c>
      <c r="EZ236">
        <f t="shared" si="432"/>
        <v>0.06</v>
      </c>
      <c r="FA236">
        <f t="shared" si="433"/>
        <v>5.6999999999999995E-2</v>
      </c>
      <c r="FB236">
        <f t="shared" si="434"/>
        <v>0.06</v>
      </c>
      <c r="FC236" t="str">
        <f t="shared" si="435"/>
        <v/>
      </c>
      <c r="FD236" t="str">
        <f>IF(B236="","",IF(CA236=0,IF(AW236=1,"",FF235),IF(OR(N(CV236)&gt;=3,N(BR236)&gt;=3),"L1,L2,L3",IFERROR(_xlfn.TEXTBEFORE(_xlfn.TEXTAFTER(_xlfn.XLOOKUP(A236,Щиты[Щит],Щиты[_фазы авто]),";"&amp;AW236&amp;":"),";"),"L1"))))</f>
        <v>L3</v>
      </c>
      <c r="FE236" t="str">
        <f t="shared" si="436"/>
        <v>L3</v>
      </c>
      <c r="FF236" t="str">
        <f t="shared" si="437"/>
        <v>L3</v>
      </c>
      <c r="FG236" cm="1">
        <f t="array" ref="FG236">IFERROR(IF(BX236=2,_xlfn.IFS(BR236=3,VLOOKUP(BN236,Справочная_двигатели,3,FALSE),BR236=1,VLOOKUP(BN236,Справочная_двигатели,5,TRUE)),0),0)</f>
        <v>0</v>
      </c>
      <c r="FH236">
        <f>IFERROR(IF(BX236=3,VLOOKUP(BN236,Справочная_ЛЭД,2,TRUE),0),0)</f>
        <v>0</v>
      </c>
      <c r="FI236" s="6">
        <f t="shared" si="438"/>
        <v>0</v>
      </c>
      <c r="FJ236" t="str" cm="1">
        <f t="array" ref="FJ236">IF(B236="","",IFERROR(INDEX({"I особая","I","II","III"},MATCH(TRIM(AC236&amp;""),{"I особая","I","II","III"},0)),"III"))</f>
        <v>II</v>
      </c>
      <c r="FK236" t="str">
        <f>IF(B236="","",IF(TRIM(AD236&amp;"")&lt;&gt;"",IF(LOWER(TRIM(AD236&amp;""))="да","да","нет"),IF(IFERROR(_xlfn.XLOOKUP(AX236,Коды_код,Коды_пожарная),"")="да","да","нет")))</f>
        <v>нет</v>
      </c>
      <c r="FL236" t="str">
        <f t="shared" si="439"/>
        <v/>
      </c>
      <c r="FM236" t="str">
        <f t="shared" si="440"/>
        <v>основная</v>
      </c>
      <c r="FN236">
        <f t="shared" si="441"/>
        <v>1</v>
      </c>
      <c r="FO236" t="str" cm="1">
        <f t="array" ref="FO236">IF(B236="","",_xlfn.LET(_xlpm.t,IFERROR(_xlfn.XLOOKUP(1,(Шины[Шина]=FM236)*(((Шины[Щит]=A236)+(Шины[Щит]=""))&gt;0),Шины[Тип]),"")&amp;"",IF(_xlpm.t&lt;&gt;"",_xlpm.t,IF(ISNUMBER(SEARCH("ИБП",FM236)),"ИБП",IF(ISNUMBER(SEARCH("ДГУ",FM236)),"ДГУ","Ввод "&amp;FN236)))))</f>
        <v>Ввод 1</v>
      </c>
      <c r="FP236" t="str">
        <f t="shared" si="442"/>
        <v>Ввод 1</v>
      </c>
      <c r="FQ236" t="str">
        <f>IF(B236="","",IF(OR(FO236="ИБП",FO236="ДГУ"),"I особая",IF(FO236="Одиночная","III",_xlfn.XLOOKUP(A236,Щиты[Щит],Щиты[Категория шины «Ввод»],"III"))))</f>
        <v>II</v>
      </c>
      <c r="FR236">
        <f>IF(B236="",0,IFERROR(MATCH(FJ236,{"III","II","I","I особая"},0),1))</f>
        <v>2</v>
      </c>
      <c r="FS236">
        <f t="shared" si="443"/>
        <v>2</v>
      </c>
      <c r="FT236" t="str">
        <f>IF(B236="","",IF(FR236&gt;IFERROR(MATCH(FQ236,{"III","II","I","I особая"},0),1),"НЕ ОБЕСПЕЧЕНА","ОК"))</f>
        <v>ОК</v>
      </c>
      <c r="FU236" t="str">
        <f>IF(A236="","",_xlfn.XLOOKUP(A236,Щиты[Щит],Щиты[Путь],""))</f>
        <v>|ГРЩ-ЖД|ЩР-1|</v>
      </c>
      <c r="FV236" t="str">
        <f>IF(B236="","",IF(AE236&lt;&gt;"",AE236,IF(IFERROR(_xlfn.XLOOKUP(AX236,Коды_код,Коды_вид)&amp;"","")="","Прочее",_xlfn.XLOOKUP(AX236,Коды_код,Коды_вид)&amp;"")))</f>
        <v>Розеточная сеть и бытовые приборы</v>
      </c>
      <c r="FW236">
        <f>IF(BH236="","",INT((BH236-1)/Столбцов_на_лист)+1)</f>
        <v>2</v>
      </c>
      <c r="FX236" t="str">
        <f t="shared" si="444"/>
        <v>ВВГнг(А)-LS (3х2,5) L=22-0,05%</v>
      </c>
      <c r="FY236">
        <f t="shared" si="445"/>
        <v>0.06</v>
      </c>
      <c r="FZ236">
        <f t="shared" si="446"/>
        <v>0.28000000000000003</v>
      </c>
      <c r="GA236">
        <f t="shared" si="447"/>
        <v>1</v>
      </c>
      <c r="GB236">
        <f t="shared" si="448"/>
        <v>0</v>
      </c>
      <c r="GC236">
        <f t="shared" si="449"/>
        <v>1</v>
      </c>
      <c r="GD236">
        <f>IF(BH236="","",IF(AND(CA236=1,GC236=1),COUNTIFS(A$3:A236,A236,CA$3:CA236,1,GC$3:GC236,1),IF(OR(OR(AW236=1,A236&lt;&gt;A235),AF236="вручную",GC236=0),"",IF(AW236=1,"",GE235))))</f>
        <v>12</v>
      </c>
      <c r="GE236">
        <f t="shared" si="450"/>
        <v>12</v>
      </c>
      <c r="GF236">
        <f>IF(B236="","",IFERROR(LOOKUP(INDEX(CHOOSE(DL236,Iдоп_1ж,Iдоп_2ж,Iдоп_3ж),MATCH(DX236,Iдоп_S,0))*DJ236*DK236,{6,10,16,20,25,32,40,50,63,80,100,125,160,200,250,315,400,500,630}),""))</f>
        <v>25</v>
      </c>
      <c r="GG236" t="str">
        <f t="shared" si="451"/>
        <v>QFD12</v>
      </c>
      <c r="GH236" t="str">
        <f t="shared" si="452"/>
        <v>QFD12</v>
      </c>
      <c r="GI236" t="str">
        <f t="shared" si="453"/>
        <v/>
      </c>
      <c r="GJ236">
        <f t="shared" si="454"/>
        <v>0</v>
      </c>
      <c r="GK236" t="str">
        <f>IF(OR(AG236="",AG236="-"),"",IFERROR(VLOOKUP(AG236,Модули_спр,2,FALSE),"R"))</f>
        <v/>
      </c>
      <c r="GL236" t="str">
        <f>IF(GK236="","",GK236&amp;"."&amp;COUNTIFS(A$3:A236,A236,GK$3:GK236,GK236))</f>
        <v/>
      </c>
      <c r="GM236" t="str">
        <f t="shared" si="455"/>
        <v/>
      </c>
      <c r="GN236" t="str">
        <f t="shared" si="456"/>
        <v/>
      </c>
      <c r="GO236" t="str">
        <f t="shared" si="457"/>
        <v/>
      </c>
      <c r="GP236" t="str">
        <f t="shared" si="458"/>
        <v/>
      </c>
      <c r="GQ236">
        <f t="shared" si="459"/>
        <v>1</v>
      </c>
      <c r="GR236" t="str">
        <f>IF(GQ236=1,"XT"&amp;COUNTIFS(A$3:A236,A236,GQ$3:GQ236,1),"")</f>
        <v>XT12</v>
      </c>
      <c r="GS236" t="str">
        <f t="shared" si="460"/>
        <v/>
      </c>
      <c r="GT236" t="str">
        <f t="shared" si="461"/>
        <v>QFD12</v>
      </c>
      <c r="GU236" t="str">
        <f t="shared" si="462"/>
        <v/>
      </c>
      <c r="GV236" t="str">
        <f t="shared" si="463"/>
        <v>ok</v>
      </c>
      <c r="GW236" t="str">
        <f>IF(OR(GO236="",GM236=""),"",IF(GO236&gt;IFERROR(VLOOKUP(GN236,Модули_спр,3,FALSE),99),"ЛИШНИЙ КАНАЛ",IF(AND(AH236&lt;&gt;"=",COUNTIFS(Линии[_модуль гр.],GM236,Линии[Канал (итог)],GO236,Линии[Канал],"&lt;&gt;=",Линии[Щит],A236)&gt;1),"ДУБЛЬ КАНАЛА","")))</f>
        <v/>
      </c>
      <c r="GX236" s="6" t="str">
        <f t="shared" si="464"/>
        <v/>
      </c>
      <c r="GY236">
        <f t="shared" si="465"/>
        <v>10</v>
      </c>
      <c r="GZ236" t="str">
        <f t="shared" si="466"/>
        <v/>
      </c>
      <c r="HA236" t="str">
        <f>IF(AND(B236="",GT236=""),"",_xlfn.TEXTJOIN("; ",TRUE,IF(AND(B236&lt;&gt;"",FE236=""),"нет фазы",""),IF(AND(B236&lt;&gt;"",N(FY236)=0,EQ236&lt;&gt;"Нет"),"нет мощности",""),IF(AND(GS236&lt;&gt;"",COUNTIFS(Линии[Щит],A236,Линии[Клемма (итог)],GS236)&gt;1),"дубль клеммы "&amp;GS236,""),IF(AND(GV236&lt;&gt;"",GV236&lt;&gt;"ok"),GV236,""),IF(GW236&lt;&gt;"",GW236,""),IF(AND(N(BV236)&gt;=4,N(BR236)=1),BV236&amp;" жил на 1 фазе",""),IF(AND(AX236="R",CA236=1,OR(N(CK236)=0,N(CK236)&gt;30)),"розетка без дифзащиты до 30 мА",""),IFERROR(IF(AND(ISNUMBER(R236),R236&gt;DV236),"потери "&amp;FIXED(R236,1)&amp;" % &gt; "&amp;DV236&amp;" %",""),""),IFERROR(IF(LEFT(GZ236,4)="мало","Iкз мало — отключение &gt; 0,4 с",""),""),IF(AND(B236&lt;&gt;"",BH236=""),"не на схеме",""),IF(AND(CA236=0,B236&lt;&gt;"",FE236&lt;&gt;"",IF(AW236=1,"",FF235)&lt;&gt;"",FE236&lt;&gt;IF(AW236=1,"",FF235)),"фаза не как у автомата группы ("&amp;IF(AW236=1,"",FF235)&amp;")","")))</f>
        <v/>
      </c>
      <c r="HB236" s="6">
        <f>IF(OR(CA236=0,DA236=""),"",_xlfn.LET(_xlpm.t,IFERROR(_xlfn.XLOOKUP(DA236,Каталог!$U$4:$U$500,Каталог!$G$4:$G$500),""),_xlpm.k,SEARCH("кА",_xlpm.t),IFERROR(--TRIM(RIGHT(SUBSTITUTE(MID(_xlpm.t,MAX(1,_xlpm.k-4),_xlpm.k-MAX(1,_xlpm.k-4))," ",REPT(" ",9)),5)),"")))</f>
        <v>6</v>
      </c>
      <c r="HC236" t="str">
        <f>IF(OR(HB236="",CA236=0),"",IF(_xlfn.XLOOKUP(A236,Щиты[Щит],Щиты[Iкз max на шинах, кА],"")="","",IF(HB236&lt;_xlfn.XLOOKUP(A236,Щиты[Щит],Щиты[Iкз max на шинах, кА]),"Icu "&amp;HB236&amp;" кА &lt; Iкз max","ok")))</f>
        <v/>
      </c>
      <c r="HD236" t="str">
        <f t="shared" si="467"/>
        <v/>
      </c>
      <c r="HE236" t="str">
        <f t="shared" si="468"/>
        <v>QFD12</v>
      </c>
      <c r="HF236" t="str">
        <f t="shared" si="469"/>
        <v>QFD12|кабель ВВГнг(А)-LS (3х2,5) → Розеточная группа, пом. 002Б</v>
      </c>
      <c r="HG236" t="str" cm="1">
        <f t="array" ref="HG236">IF(HF236="","",_xlfn.LET(_xlpm.nd,_xlfn.TEXTSPLIT(HF236,"|"),IF(COLUMNS(_xlpm.nd)&gt;1,A236&amp;"¦"&amp;INDEX(_xlpm.nd,1)&amp;"¦"&amp;INDEX(_xlpm.nd,2),"")))</f>
        <v>ЩР-1¦QFD12¦кабель ВВГнг(А)-LS (3х2,5) → Розеточная группа, пом. 002Б</v>
      </c>
      <c r="HH236" t="str">
        <f t="shared" si="470"/>
        <v>R.1.002Б.7¦Розеточная группа, пом. 002Б</v>
      </c>
      <c r="HI236" t="str" cm="1">
        <f t="array" ref="HI236">IF(HF236="","",_xlfn.LET(_xlpm.nd,_xlfn.TEXTSPLIT(HF236,"|"),IF(COLUMNS(_xlpm.nd)&gt;2,A236&amp;"¦"&amp;INDEX(_xlpm.nd,2)&amp;"¦"&amp;INDEX(_xlpm.nd,3),"")))</f>
        <v/>
      </c>
      <c r="HJ236" t="str">
        <f t="shared" si="471"/>
        <v/>
      </c>
      <c r="HK236" t="str" cm="1">
        <f t="array" ref="HK236">IF(HF236="","",_xlfn.LET(_xlpm.nd,_xlfn.TEXTSPLIT(HF236,"|"),IF(COLUMNS(_xlpm.nd)&gt;3,A236&amp;"¦"&amp;INDEX(_xlpm.nd,3)&amp;"¦"&amp;INDEX(_xlpm.nd,4),"")))</f>
        <v/>
      </c>
      <c r="HL236" t="str">
        <f t="shared" si="472"/>
        <v/>
      </c>
      <c r="HM236" t="str" cm="1">
        <f t="array" ref="HM236">IF(HF236="","",_xlfn.LET(_xlpm.nd,_xlfn.TEXTSPLIT(HF236,"|"),IF(COLUMNS(_xlpm.nd)&gt;4,A236&amp;"¦"&amp;INDEX(_xlpm.nd,4)&amp;"¦"&amp;INDEX(_xlpm.nd,5),"")))</f>
        <v/>
      </c>
      <c r="HN236" t="str">
        <f t="shared" si="473"/>
        <v/>
      </c>
      <c r="HO236" t="str" cm="1">
        <f t="array" ref="HO236">IF(HF236="","",_xlfn.LET(_xlpm.nd,_xlfn.TEXTSPLIT(HF236,"|"),IF(COLUMNS(_xlpm.nd)&gt;5,A236&amp;"¦"&amp;INDEX(_xlpm.nd,5)&amp;"¦"&amp;INDEX(_xlpm.nd,6),"")))</f>
        <v/>
      </c>
      <c r="HP236" t="str">
        <f t="shared" si="474"/>
        <v/>
      </c>
      <c r="HQ236" t="str" cm="1">
        <f t="array" ref="HQ236">IF(HF236="","",_xlfn.LET(_xlpm.nd,_xlfn.TEXTSPLIT(HF236,"|"),IF(COLUMNS(_xlpm.nd)&gt;6,A236&amp;"¦"&amp;INDEX(_xlpm.nd,6)&amp;"¦"&amp;INDEX(_xlpm.nd,7),"")))</f>
        <v/>
      </c>
      <c r="HR236" t="str">
        <f t="shared" si="475"/>
        <v/>
      </c>
      <c r="HS236" t="str">
        <f t="shared" si="476"/>
        <v/>
      </c>
      <c r="HT236" t="str">
        <f t="shared" si="477"/>
        <v>QFD12</v>
      </c>
      <c r="HU236">
        <f t="shared" si="478"/>
        <v>0</v>
      </c>
      <c r="HV236">
        <f t="shared" si="479"/>
        <v>1</v>
      </c>
      <c r="HW236" t="str">
        <f t="shared" si="480"/>
        <v/>
      </c>
      <c r="HX236" t="str">
        <f t="shared" si="481"/>
        <v/>
      </c>
      <c r="HY236" t="str">
        <f t="shared" si="482"/>
        <v/>
      </c>
      <c r="HZ236" t="str">
        <f t="shared" si="483"/>
        <v/>
      </c>
      <c r="IA236" t="str">
        <f>IF(B236="","",IFERROR(VLOOKUP(B236,УГО_спр,2,FALSE),IFERROR(VLOOKUP(AX236,УГО_спр,2,FALSE),IFERROR(VLOOKUP(LEFT(AX236,2),УГО_спр,2,FALSE),""))))</f>
        <v>Розетка</v>
      </c>
      <c r="IB236" t="str">
        <f>IF(B236="","",IF(OR(IA236="",IA236=0),"BOX",IFERROR(IF(VLOOKUP(IA236,УГО_блоки,3,FALSE)&amp;""&lt;&gt;"",VLOOKUP(IA236,УГО_блоки,3,FALSE),VLOOKUP(IA236,УГО_блоки,2,FALSE)),IA236)))</f>
        <v>SOCKET</v>
      </c>
      <c r="IC236">
        <f t="shared" si="484"/>
        <v>1</v>
      </c>
      <c r="ID236" t="str">
        <f>IF(DA236="","",IF(COUNTIF(DA$3:DA236,DA236)=1,MAX(ID$2:ID235)+1,""))</f>
        <v/>
      </c>
      <c r="IE236" t="str">
        <f>IF(CO236="","",IF(COUNTIF(CO$3:CO236,CO236)+COUNTIF(CP$2:CP235,CO236)+COUNTIF(CQ$2:CQ235,CO236)=1,MAX(IE$2:IG235)+1,""))</f>
        <v/>
      </c>
      <c r="IF236" t="str">
        <f>IF(CP236="","",IF(COUNTIF(CO$3:CO236,CP236)+COUNTIF(CP$3:CP236,CP236)+COUNTIF(CQ$2:CQ235,CP236)=1,MAX(IE$2:IG235,IE236)+1,""))</f>
        <v/>
      </c>
      <c r="IG236" t="str">
        <f>IF(CQ236="","",IF(COUNTIF(CO$3:CO236,CQ236)+COUNTIF(CP$3:CP236,CQ236)+COUNTIF(CQ$3:CQ236,CQ236)=1,MAX(IE$2:IG235,IE236,IF236)+1,""))</f>
        <v/>
      </c>
      <c r="IH236" t="str">
        <f t="shared" si="485"/>
        <v>3х2,5</v>
      </c>
      <c r="II236" t="str">
        <f>IF(IH236="","",IF(COUNTIF(IH$3:IH236,IH236)=1,MAX(II$2:II235)+1,""))</f>
        <v/>
      </c>
      <c r="IJ236" t="str">
        <f>IF(GL236="","",COUNTIF(GL$3:GL236,"?*"))</f>
        <v/>
      </c>
      <c r="IK236" t="str">
        <f>IF(OR(GL236="",GN236=""),"",IF(COUNTIFS(GL$3:GL236,"?*",GN$3:GN236,GN236)=1,MAX(IK$2:IK235)+1,""))</f>
        <v/>
      </c>
      <c r="IL236">
        <f t="shared" si="486"/>
        <v>0</v>
      </c>
      <c r="IM236">
        <f>IF(B236="","",COUNTIF(B$3:B236,"?*"))</f>
        <v>234</v>
      </c>
      <c r="IN236">
        <f>IF(GQ236&lt;&gt;1,0,_xlfn.LET(_xlpm.k,MAX(IFERROR(--VLOOKUP(B236,УГО_спр,5,FALSE),0),IFERROR(--VLOOKUP(AX236,УГО_спр,5,FALSE),0),IFERROR(--VLOOKUP(LEFT(AX236,2),УГО_спр,5,FALSE),0)),IF(_xlpm.k&gt;0,_xlpm.k,IF(IFERROR(--LEFT(SUBSTITUTE(IH236,"x","х"),FIND("х",SUBSTITUTE(IH236,"x","х"))-1),3)&gt;3,Каталог!$S$9,1))))</f>
        <v>1</v>
      </c>
      <c r="IO236">
        <f t="shared" si="487"/>
        <v>0</v>
      </c>
      <c r="IP236" t="str">
        <f t="shared" si="488"/>
        <v>авто</v>
      </c>
      <c r="IQ236">
        <f t="shared" si="489"/>
        <v>30</v>
      </c>
      <c r="IR236">
        <f t="shared" si="490"/>
        <v>1</v>
      </c>
      <c r="IS236">
        <f t="shared" si="491"/>
        <v>1</v>
      </c>
    </row>
    <row r="237" spans="1:253" x14ac:dyDescent="0.3">
      <c r="A237" t="s">
        <v>759</v>
      </c>
      <c r="B237" t="s">
        <v>1502</v>
      </c>
      <c r="C237" t="str">
        <f>Линии[[#This Row],[_авто наименование]]</f>
        <v>Розеточная группа, пом. 002Б</v>
      </c>
      <c r="D237">
        <v>1</v>
      </c>
      <c r="E237">
        <v>0.24</v>
      </c>
      <c r="G237" t="str">
        <f>Линии[[#This Row],[_авто автомат]]</f>
        <v>2P С16А 30мА</v>
      </c>
      <c r="H237">
        <f>Линии[[#This Row],[_авто утечка]]</f>
        <v>30</v>
      </c>
      <c r="I237" t="str">
        <f>Линии[[#This Row],[_авто управление]]</f>
        <v/>
      </c>
      <c r="J237" t="str">
        <f>Линии[[#This Row],[_авто аппараты]]</f>
        <v/>
      </c>
      <c r="K237">
        <v>2.5</v>
      </c>
      <c r="L237">
        <v>24</v>
      </c>
      <c r="M237" t="str">
        <f>Линии[[#This Row],[_авто фаза]]</f>
        <v>L1</v>
      </c>
      <c r="N237" t="s">
        <v>486</v>
      </c>
      <c r="O237" t="str">
        <f t="shared" si="369"/>
        <v/>
      </c>
      <c r="P237" s="6" cm="1">
        <f t="array" ref="P237">IF(B237="","",IF(BC237&lt;&gt;"",IFERROR(_xlfn.XLOOKUP(BC237,Щиты[Щит],Щиты[Iр, А]),""),IF(BK237=1,IFERROR(_xlfn.XLOOKUP(A237,Щиты[Щит],Щиты[Iр, А]),""),IFERROR(_xlfn.IFS(BR237=1,BN237/((Uн_лин/SQRT(3))*BY237),BR237=3,BN237/(SQRT(3)*Uн_лин*BY237)),""))))</f>
        <v>1.0939268258329751</v>
      </c>
      <c r="Q237" s="7">
        <f>IF(B237="","",IFERROR(IF(VLOOKUP(AX237,Потребители_обозначение,4,FALSE)=1,VLOOKUP(AX237,Потребители_обозначение,3,FALSE)*(D237*2-1)+DS237+VLOOKUP(AZ237,Этаж_обозначение,3,FALSE)+VLOOKUP(AZ237,Этаж_обозначение,4,FALSE),VLOOKUP(AX237,Потребители_обозначение,3,FALSE)*(D237*2-1)+DS237),DS237))</f>
        <v>27</v>
      </c>
      <c r="R237" s="6">
        <f t="shared" si="370"/>
        <v>1.41</v>
      </c>
      <c r="S237" t="str">
        <f t="shared" si="371"/>
        <v>ВВГнг(А)-LS (3х2,5)</v>
      </c>
      <c r="T237" t="str">
        <f>IF(BH237="","",IF(BI237="вводной узел","узел ","")&amp;"л."&amp;(INT((BH237-1)/Столбцов_на_лист)+1)&amp;" / "&amp;(MOD(BH237-1,Столбцов_на_лист)+1))</f>
        <v>л.2 / 15</v>
      </c>
      <c r="V237">
        <v>1</v>
      </c>
      <c r="W237">
        <v>230</v>
      </c>
      <c r="X237" t="s">
        <v>564</v>
      </c>
      <c r="AC237" t="s">
        <v>815</v>
      </c>
      <c r="AE237" t="s">
        <v>563</v>
      </c>
      <c r="AI237">
        <v>32</v>
      </c>
      <c r="AJ237" t="s">
        <v>11</v>
      </c>
      <c r="AK237">
        <v>3</v>
      </c>
      <c r="AM237">
        <v>2</v>
      </c>
      <c r="AN237">
        <v>6</v>
      </c>
      <c r="AO237">
        <v>19</v>
      </c>
      <c r="AW237" cm="1">
        <f t="array" ref="AW237">ROW()-ROW(Линии[#Headers])</f>
        <v>235</v>
      </c>
      <c r="AX237" s="6" t="str">
        <f t="shared" si="372"/>
        <v>R</v>
      </c>
      <c r="AY237" t="str">
        <f t="shared" si="373"/>
        <v>1.002Б.8</v>
      </c>
      <c r="AZ237" t="str">
        <f t="shared" si="374"/>
        <v>1</v>
      </c>
      <c r="BA237" t="str">
        <f t="shared" si="375"/>
        <v>002Б.8</v>
      </c>
      <c r="BB237" t="str">
        <f t="shared" si="376"/>
        <v>002Б</v>
      </c>
      <c r="BC237" t="str">
        <f>IF(U237&lt;&gt;"",U237,IF(AND(B237&lt;&gt;"",B237&lt;&gt;A237,ISNUMBER(_xlfn.XMATCH(B237,Щиты[Щит]))),B237,""))</f>
        <v/>
      </c>
      <c r="BD237" t="str" cm="1">
        <f t="array" ref="BD237">IF(B237="","",IF(BC237&lt;&gt;"","Щит "&amp;BC237,_xlfn.LET(_xlpm.nm,IFERROR(_xlfn.XLOOKUP(AX237,Коды_код,Коды_имя)&amp;"",""),_xlpm.md,IFERROR(N(_xlfn.XLOOKUP(AX237,Коды_код,Коды_режим)),1),_xlpm.ex,IF(Имя_режим="по экспликации",IFERROR(_xlfn.XLOOKUP(AZ237&amp;"|"&amp;BB237,Экспликация[Этаж]&amp;"|"&amp;Экспликация[Помещение],Экспликация[Название])&amp;"",""),""),_xlpm.rm,IF(BB237="","",IF(_xlpm.ex&lt;&gt;"",". "&amp;_xlpm.ex&amp;IF(Имя_пом="нет"," ("&amp;BB237&amp;")"," (пом. "&amp;BB237&amp;")"),IF(Имя_пом="нет"," ",", пом. ")&amp;BB237)),IF(_xlpm.nm="","",IF(_xlpm.md=2,_xlpm.nm&amp;" шлейф "&amp;AZ237,_xlpm.nm&amp;_xlpm.rm)))))</f>
        <v>Розеточная группа, пом. 002Б</v>
      </c>
      <c r="BE237" t="str">
        <f t="shared" si="377"/>
        <v>Розеточная группа, пом. 002Б</v>
      </c>
      <c r="BF237">
        <f>IFERROR(_xlfn.XMATCH(A237,Щиты[Щит]),0)</f>
        <v>10</v>
      </c>
      <c r="BG237">
        <f>_xlfn.LET(_xlpm.k,IFERROR(_xlfn.XLOOKUP(A237,Щиты[Щит],Щиты[Листов под вводной узел]),""),IF(_xlpm.k="",1,N(_xlpm.k))*Столбцов_на_лист)</f>
        <v>17</v>
      </c>
      <c r="BH237">
        <f t="shared" si="378"/>
        <v>32</v>
      </c>
      <c r="BI237" t="str">
        <f t="shared" si="379"/>
        <v>линии</v>
      </c>
      <c r="BJ237" s="6">
        <f>IFERROR(N(_xlfn.XLOOKUP(AX237,Коды_код,Коды_квт)),0)</f>
        <v>0</v>
      </c>
      <c r="BK237">
        <f t="shared" si="380"/>
        <v>0</v>
      </c>
      <c r="BL237" t="str">
        <f>IF(B237="","",IF(BC237&lt;&gt;"",IFERROR(_xlfn.XLOOKUP(BC237,Щиты[Щит],Щиты[Руст, кВт]),0),IF(BK237=1,IFERROR(_xlfn.XLOOKUP(A237,Щиты[Щит],Щиты[Руст, кВт]),0),IF(BJ237&gt;0,ROUND(BJ237*MAX(1,N(D237)),3),""))))</f>
        <v/>
      </c>
      <c r="BM237">
        <f t="shared" si="381"/>
        <v>0.24</v>
      </c>
      <c r="BN237" s="6">
        <f>IF(B237="","",IF(BC237&lt;&gt;"",IFERROR(_xlfn.XLOOKUP(BC237,Щиты[Щит],Щиты[Руст, кВт]),0),N(BM237)))</f>
        <v>0.24</v>
      </c>
      <c r="BO237" t="str">
        <f>IF(B237="","",IFERROR(IF(VLOOKUP(AX237,Потребители_обозначение,8,FALSE)=0,"",VLOOKUP(AX237,Потребители_обозначение,8,FALSE)),""))</f>
        <v/>
      </c>
      <c r="BP237">
        <f t="shared" si="382"/>
        <v>230</v>
      </c>
      <c r="BQ237">
        <f>IF(B237="","",IF(BC237&lt;&gt;"",3,IFERROR(IF(N(VLOOKUP(AX237,Потребители_обозначение,9,FALSE))=0,1,VLOOKUP(AX237,Потребители_обозначение,9,FALSE)),1)))</f>
        <v>1</v>
      </c>
      <c r="BR237">
        <f t="shared" si="383"/>
        <v>1</v>
      </c>
      <c r="BS237" t="str">
        <f>IF(B237="","",_xlfn.LET(_xlpm.bc,IFERROR(IF(VLOOKUP(AX237,Потребители_обозначение,6,FALSE)=0,"",VLOOKUP(AX237,Потребители_обозначение,6,FALSE)&amp;""),""),IF(AND(FK237="да",OR(_xlpm.bc="",_xlpm.bc="мс")),Марка_пож,IF(AND(_xlpm.bc="",BC237&lt;&gt;""),"мс",_xlpm.bc))))</f>
        <v/>
      </c>
      <c r="BT237" t="str">
        <f t="shared" si="384"/>
        <v>мс</v>
      </c>
      <c r="BU237">
        <f>IF(B237="","",_xlfn.LET(_xlpm.cc,IFERROR(N(VLOOKUP(AX237,Потребители_обозначение,7,FALSE)),0),IF(_xlpm.cc&gt;0,_xlpm.cc,IF(BT237="","",IF(N(BR237)=3,5,3)))))</f>
        <v>3</v>
      </c>
      <c r="BV237">
        <f t="shared" si="385"/>
        <v>3</v>
      </c>
      <c r="BW237">
        <f>IFERROR(N(VLOOKUP(AX237,Потребители_обозначение,10,FALSE)),0)</f>
        <v>0</v>
      </c>
      <c r="BX237">
        <f>IFERROR(VLOOKUP(AX237,Потребители_обозначение,5,FALSE),0)</f>
        <v>1</v>
      </c>
      <c r="BY237" s="6" cm="1">
        <f t="array" ref="BY237">IF(B237="","",IF(BC237&lt;&gt;"",IFERROR(_xlfn.XLOOKUP(BC237,Щиты[Щит],Щиты[cos φ]),0.95),IF(BK237=1,IFERROR(_xlfn.XLOOKUP(A237,Щиты[Щит],Щиты[cos φ]),0.95),IF(ISNUMBER(Z237),Z237,IFERROR(IF(BX237=2,_xlfn.IFS(BR237=3,VLOOKUP(BN237,Справочная_двигатели,8,FALSE),BR237=1,VLOOKUP(BN237,Справочная_двигатели,10,TRUE)),IF(AND(Методика="нормы 2026",EQ237="Сил"),0.8,0.95)),0.95)))))</f>
        <v>0.95</v>
      </c>
      <c r="BZ237">
        <f t="shared" si="386"/>
        <v>0</v>
      </c>
      <c r="CA237">
        <f t="shared" si="387"/>
        <v>1</v>
      </c>
      <c r="CB237">
        <f t="shared" si="388"/>
        <v>0</v>
      </c>
      <c r="CC237">
        <f t="shared" si="389"/>
        <v>0</v>
      </c>
      <c r="CD237">
        <f t="shared" si="390"/>
        <v>0</v>
      </c>
      <c r="CE237">
        <f t="shared" si="391"/>
        <v>0</v>
      </c>
      <c r="CF237">
        <f t="shared" si="392"/>
        <v>0</v>
      </c>
      <c r="CG237">
        <f>IF(AX237="",0,_xlfn.LET(_xlpm.v,IFERROR(VLOOKUP(B237,УГО_спр,3,FALSE),IFERROR(VLOOKUP(AX237,УГО_спр,3,FALSE),IFERROR(VLOOKUP(LEFT(AX237,2),УГО_спр,3,FALSE),""))),IF(_xlpm.v="да",30,IF(ISNUMBER(_xlpm.v),_xlpm.v,0))))</f>
        <v>30</v>
      </c>
      <c r="CH237">
        <f t="shared" si="393"/>
        <v>30</v>
      </c>
      <c r="CI237" t="str">
        <f>_xlfn.LET(_xlpm.k,IFERROR(_xlfn.XLOOKUP(AX237,Коды_код,Коды_утечка)&amp;"",""),IF(_xlpm.k="","дифавтомат",_xlpm.k))</f>
        <v>дифавтомат</v>
      </c>
      <c r="CJ237">
        <f t="shared" si="394"/>
        <v>30</v>
      </c>
      <c r="CK237">
        <f t="shared" si="395"/>
        <v>30</v>
      </c>
      <c r="CL237">
        <f>IF(B237="",0,IFERROR(--VLOOKUP(B237,УГО_спр,4,FALSE),IFERROR(--VLOOKUP(AX237,УГО_спр,4,FALSE),IFERROR(--VLOOKUP(LEFT(AX237,2),УГО_спр,4,FALSE),0))))</f>
        <v>16</v>
      </c>
      <c r="CM237" t="str">
        <f>IF(B237="","",IFERROR(_xlfn.XLOOKUP(AX237,Коды_код,Коды_апп)&amp;"",""))</f>
        <v/>
      </c>
      <c r="CN237" t="str">
        <f t="shared" si="396"/>
        <v/>
      </c>
      <c r="CO237" t="str" cm="1">
        <f t="array" ref="CO237">IF(TRIM(CN237&amp;"")="","",IFERROR(TRIM(INDEX(_xlfn.TEXTSPLIT(CN237&amp;";;;",";"),1)),""))</f>
        <v/>
      </c>
      <c r="CP237" t="str" cm="1">
        <f t="array" ref="CP237">IF(TRIM(CN237&amp;"")="","",IFERROR(TRIM(INDEX(_xlfn.TEXTSPLIT(CN237&amp;";;;",";"),2)),""))</f>
        <v/>
      </c>
      <c r="CQ237" t="str" cm="1">
        <f t="array" ref="CQ237">IF(TRIM(CN237&amp;"")="","",IFERROR(TRIM(INDEX(_xlfn.TEXTSPLIT(CN237&amp;";;;",";"),3)),""))</f>
        <v/>
      </c>
      <c r="CR237">
        <f t="shared" si="397"/>
        <v>0</v>
      </c>
      <c r="CS237" t="str">
        <f>IF(B237="","",_xlfn.LET(_xlpm.t,LOWER(AV237&amp;""),IF(ISNUMBER(SEARCH("dim",_xlpm.t)),"DIM",IF(ISNUMBER(SEARCH("dali",_xlpm.t)),"DALI",IF(OR(ISNUMBER(SEARCH("relay",_xlpm.t)),ISNUMBER(SEARCH("реле",_xlpm.t))),"Relay",IF(ISNUMBER(SEARCH("кнопк",_xlpm.t)),"",IFERROR(_xlfn.XLOOKUP(AX237,Коды_код,Коды_упр)&amp;"","")))))))</f>
        <v/>
      </c>
      <c r="CT237" t="str">
        <f t="shared" si="398"/>
        <v/>
      </c>
      <c r="CU237">
        <f>IF(B237="","",_xlfn.LET(_xlpm.ig,N(P237)+IF(AF237="вручную",0,N(CB237)),_xlpm.n0,IFERROR(VLOOKUP(_xlpm.ig,Автомат_номиналы,2,TRUE),0),_xlpm.mn,MAX(CL237,IF(AF237="вручную",0,N(CE237))),MAX(_xlpm.n0,_xlpm.mn,IF(CR237=1,Мин_автомат_БП,0))))</f>
        <v>16</v>
      </c>
      <c r="CV237">
        <f t="shared" si="399"/>
        <v>1</v>
      </c>
      <c r="CW237" t="str">
        <f t="shared" si="400"/>
        <v>2P</v>
      </c>
      <c r="CX237" t="str">
        <f>_xlfn.LET(_xlpm.cc,UPPER(TRIM(IFERROR(_xlfn.XLOOKUP(AX237,Коды_код,Коды_хар)&amp;"",""))),IF(OR(_xlpm.cc="B",_xlpm.cc="В"),"B",IF(_xlpm.cc="D","D","С")))</f>
        <v>С</v>
      </c>
      <c r="CY237" t="str">
        <f t="shared" si="401"/>
        <v>2P С16А 30мА</v>
      </c>
      <c r="CZ237" t="str">
        <f t="shared" si="402"/>
        <v>2P С16А 30мА</v>
      </c>
      <c r="DA237" t="str">
        <f t="shared" si="403"/>
        <v>2P С16А 30мА</v>
      </c>
      <c r="DB237" cm="1">
        <f t="array" ref="DB237">IF(DA237="","",_xlfn.LET(_xlpm.t,SUBSTITUTE(SUBSTITUTE(SUBSTITUTE(UPPER(DA237),"С","C"),"А","A"),"В","B"),_xlpm.tk,_xlfn.TEXTSPLIT(_xlpm.t,"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7" t="str">
        <f t="shared" si="404"/>
        <v>ok</v>
      </c>
      <c r="DD237">
        <f t="shared" si="405"/>
        <v>16</v>
      </c>
      <c r="DE237" t="str">
        <f t="shared" si="406"/>
        <v>2P С16А 30мА</v>
      </c>
      <c r="DF237">
        <f t="shared" si="407"/>
        <v>30</v>
      </c>
      <c r="DG237">
        <f t="shared" si="408"/>
        <v>1</v>
      </c>
      <c r="DH237">
        <f t="shared" si="409"/>
        <v>0</v>
      </c>
      <c r="DI237">
        <f t="shared" si="410"/>
        <v>1.0939268258329751</v>
      </c>
      <c r="DJ237">
        <f t="shared" si="411"/>
        <v>1</v>
      </c>
      <c r="DK237">
        <f>IF(ISNUMBER(AL237),AL237,К_прокл)</f>
        <v>1</v>
      </c>
      <c r="DL237">
        <f t="shared" si="412"/>
        <v>2</v>
      </c>
      <c r="DM237">
        <f>IFERROR(N(VLOOKUP(BT237,Кабель_обозначение,3,FALSE)),1)</f>
        <v>1</v>
      </c>
      <c r="DN237">
        <f>IFERROR(N(_xlfn.XLOOKUP(A237,Щиты[Щит],Щиты[ΔU до шин, %])),0)</f>
        <v>1.19</v>
      </c>
      <c r="DO237" t="str">
        <f>IFERROR(_xlfn.XLOOKUP(A237,Щиты[Щит],Щиты[Zпетли на шинах, Ом]),"")</f>
        <v/>
      </c>
      <c r="DP237">
        <f>IFERROR(N(_xlfn.XLOOKUP(A237,Щиты[Щит],Щиты[ΔU до шин (подбор), %])),0)</f>
        <v>1.19</v>
      </c>
      <c r="DQ237" t="str">
        <f>IFERROR(_xlfn.XLOOKUP(A237,Щиты[Щит],Щиты[Zпетли на шинах (подбор), Ом]),"")</f>
        <v/>
      </c>
      <c r="DR237" t="str">
        <f t="shared" si="413"/>
        <v/>
      </c>
      <c r="DS237">
        <f t="shared" si="414"/>
        <v>24</v>
      </c>
      <c r="DT237">
        <f t="shared" si="415"/>
        <v>2</v>
      </c>
      <c r="DU237">
        <f t="shared" si="416"/>
        <v>0.31</v>
      </c>
      <c r="DV237" s="6">
        <f>IF(B237="","",IF(IFERROR(VLOOKUP(AX237,УГО_спр,2,FALSE),"")="Светильник",3,4)+IF(Методика="нормы 2026",MIN(0.5,MAX(0,N(Q237)-100)*0.005),0))</f>
        <v>4</v>
      </c>
      <c r="DW237" cm="1">
        <f t="array" ref="DW237">IF(OR(B237="",BT237="",DM237&lt;&gt;1),"",_xlfn.LET(_xlpm.sz,Iдоп_S,_xlpm.t_,CHOOSE(DL237,Iдоп_1ж,Iдоп_2ж,Iдоп_3ж)*DJ237*DK237,_xlpm.inn,N(DD237),_xlpm.smin,MAX(1.5,BW237),_xlpm.L_,N(Q237)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237)*(_xlpm.rho*_xlpm.L_/_xlpm.sz*N(BY237)+_xlpm.xx*_xlpm.L_*N(DU237)/1000)*N(P237)/((Uн_лин/SQRT(3))*1000)*100,999),_xlpm.kz,IF(OR(DG237=1,NOT(ISNUMBER(DQ237)),_xlpm.L_=0,_xlpm.inn=0),1,IFERROR(--(c_min*(Uн_лин*1000/SQRT(3))/(DQ237+2*ρкз_Cu*_xlpm.L_/_xlpm.sz)&gt;=GY237*_xlpm.inn),0)),_xlpm.ok,IFERROR((_xlpm.sz&gt;=_xlpm.smin)*(_xlpm.t_&gt;=_xlpm.inn)*IF(_xlpm.L_&gt;0,(_xlpm.du_+DP237&lt;=DV237+0.00001),1)*_xlpm.kz,0),_xlpm.r_,_xlfn._xlws.FILTER(_xlpm.sz,_xlpm.ok,"не подобрано"),INDEX(_xlpm.r_,1)))</f>
        <v>1.5</v>
      </c>
      <c r="DX237">
        <f t="shared" si="417"/>
        <v>2.5</v>
      </c>
      <c r="DY237" cm="1">
        <f t="array" ref="DY237">IF(OR(B237="",BT237="",DM237&lt;&gt;1),"",_xlfn.LET(_xlpm.sz,Iдоп_S,_xlpm.t_,CHOOSE(DL237,Iдоп_1ж,Iдоп_2ж,Iдоп_3ж)*DJ237*DK237,_xlpm.ok,IFERROR((_xlpm.sz&gt;=MAX(1.5,BW237))*(_xlpm.t_&gt;=N(DD237)),0),_xlpm.r_,_xlfn._xlws.FILTER(_xlpm.sz,_xlpm.ok,""),INDEX(_xlpm.r_,1)))</f>
        <v>1.5</v>
      </c>
      <c r="DZ237" s="6" cm="1">
        <f t="array" ref="DZ237">IFERROR(ROUNDUP(N(DT237)*(_xlfn.XLOOKUP(DY237,INDEX(Кабель_сопротивление,0,1),INDEX(Кабель_сопротивление,0,3))*N(Q237)/DY237*N(BY237)+_xlfn.XLOOKUP(DY237,INDEX(Кабель_сопротивление,0,1),INDEX(Кабель_сопротивление,0,2))*N(Q237)*N(DU237)/1000)*N(P237)/((Uн_лин/SQRT(3))*1000)*100,2),"")</f>
        <v>0.37</v>
      </c>
      <c r="EA237">
        <f>IFERROR(2*ρкз_Cu*N(Q237)/DY237,"")</f>
        <v>0.94680000000000009</v>
      </c>
      <c r="EB237">
        <f>IFERROR(VLOOKUP(DX237,Кабель_сопротивление,3,FALSE),"")</f>
        <v>2.2499999999999999E-2</v>
      </c>
      <c r="EC237">
        <f>IFERROR(VLOOKUP(DX237,Кабель_сопротивление,2,FALSE),"")</f>
        <v>0.1</v>
      </c>
      <c r="ED237">
        <f t="shared" si="418"/>
        <v>6</v>
      </c>
      <c r="EE237">
        <f t="shared" si="419"/>
        <v>19</v>
      </c>
      <c r="EF237">
        <f t="shared" si="420"/>
        <v>0.50689724899352884</v>
      </c>
      <c r="EG237" s="6">
        <f>IFERROR(ROUNDUP(EF237/((Uн_лин/SQRT(3))*1000)*100,2),"")</f>
        <v>0.22</v>
      </c>
      <c r="EH237" t="str">
        <f>IFERROR(VLOOKUP(BT237,Кабель_обозначение,2,FALSE),"")</f>
        <v>ВВГнг(А)-LS</v>
      </c>
      <c r="EI237" t="str">
        <f t="shared" si="421"/>
        <v>ВВГнг(А)-LS (3х2,5)</v>
      </c>
      <c r="EJ237" t="str">
        <f t="shared" si="422"/>
        <v>ВВГнг(А)-LS (3х2,5)
L=27-0,22%</v>
      </c>
      <c r="EK237">
        <f>IFERROR(2*ρкз_Cu*Q237/DX237,"")</f>
        <v>0.56808000000000003</v>
      </c>
      <c r="EL237">
        <f t="shared" si="423"/>
        <v>0.189</v>
      </c>
      <c r="EM237" s="6" t="str">
        <f>IFERROR(IF(OR(B237="",NOT(ISNUMBER(DX237)),N(Q237)=0),"",_xlfn.XLOOKUP(A237,Щиты[Щит],Щиты[Zпетли на шинах, Ом])+EK237),"")</f>
        <v/>
      </c>
      <c r="EN237" s="6" t="str">
        <f>IF(ISNUMBER(EM237),c_min*(Uн_лин*1000/SQRT(3))/EM237,"")</f>
        <v/>
      </c>
      <c r="EO237" s="6" t="str">
        <f>IFERROR(IF(OR(B237="",NOT(ISNUMBER(DX237))),"",1.05*(Uн_лин*1000/SQRT(3))/(_xlfn.XLOOKUP(A237,Щиты[Щит],Щиты[Zmax на шинах, Ом])+EL237)/1000),"")</f>
        <v/>
      </c>
      <c r="EP237" s="6" t="str">
        <f>IF(B237="","",IF(ISNUMBER(Y237),"Сил",IF(IFERROR(_xlfn.XLOOKUP(AX237,Коды_код,Коды_группа)&amp;"","")="","Быт",_xlfn.XLOOKUP(AX237,Коды_код,Коды_группа)&amp;"")))</f>
        <v>Быт</v>
      </c>
      <c r="EQ237" s="6" t="str">
        <f t="shared" si="424"/>
        <v>Быт</v>
      </c>
      <c r="ER237" s="6">
        <f>IF(EQ237="Щит","щит",IF(EQ237="","",IF(EQ237="Быт",IFERROR(_xlfn.XLOOKUP(A237,Щиты[Щит],Щиты[Кс быт]),1),IF(EQ237="Сил",IF(ISNUMBER(Y237),Y237,IF(Методика="нормы 2026",IFERROR(_xlfn.XLOOKUP(A237,Щиты[Щит],Щиты[Кс силовых (табл. 7.5)]),1),1)),IF(OR(EQ237="Пост",EQ237="Отоп"),1,IF(EQ237="ВНГ",0.7,0))))))</f>
        <v>0.57830000000000004</v>
      </c>
      <c r="ES237">
        <f t="shared" si="425"/>
        <v>1</v>
      </c>
      <c r="ET237">
        <f t="shared" si="426"/>
        <v>0.24</v>
      </c>
      <c r="EU237">
        <f t="shared" si="427"/>
        <v>0.24</v>
      </c>
      <c r="EV237">
        <f t="shared" si="428"/>
        <v>0</v>
      </c>
      <c r="EW237">
        <f t="shared" si="429"/>
        <v>0</v>
      </c>
      <c r="EX237">
        <f t="shared" si="430"/>
        <v>0</v>
      </c>
      <c r="EY237">
        <f t="shared" si="431"/>
        <v>0</v>
      </c>
      <c r="EZ237">
        <f t="shared" si="432"/>
        <v>0.24</v>
      </c>
      <c r="FA237">
        <f t="shared" si="433"/>
        <v>0.22799999999999998</v>
      </c>
      <c r="FB237">
        <f t="shared" si="434"/>
        <v>0.24</v>
      </c>
      <c r="FC237" t="str">
        <f t="shared" si="435"/>
        <v/>
      </c>
      <c r="FD237" t="str">
        <f>IF(B237="","",IF(CA237=0,IF(AW237=1,"",FF236),IF(OR(N(CV237)&gt;=3,N(BR237)&gt;=3),"L1,L2,L3",IFERROR(_xlfn.TEXTBEFORE(_xlfn.TEXTAFTER(_xlfn.XLOOKUP(A237,Щиты[Щит],Щиты[_фазы авто]),";"&amp;AW237&amp;":"),";"),"L1"))))</f>
        <v>L1</v>
      </c>
      <c r="FE237" t="str">
        <f t="shared" si="436"/>
        <v>L1</v>
      </c>
      <c r="FF237" t="str">
        <f t="shared" si="437"/>
        <v>L1</v>
      </c>
      <c r="FG237" cm="1">
        <f t="array" ref="FG237">IFERROR(IF(BX237=2,_xlfn.IFS(BR237=3,VLOOKUP(BN237,Справочная_двигатели,3,FALSE),BR237=1,VLOOKUP(BN237,Справочная_двигатели,5,TRUE)),0),0)</f>
        <v>0</v>
      </c>
      <c r="FH237">
        <f>IFERROR(IF(BX237=3,VLOOKUP(BN237,Справочная_ЛЭД,2,TRUE),0),0)</f>
        <v>0</v>
      </c>
      <c r="FI237" s="6">
        <f t="shared" si="438"/>
        <v>0</v>
      </c>
      <c r="FJ237" t="str" cm="1">
        <f t="array" ref="FJ237">IF(B237="","",IFERROR(INDEX({"I особая","I","II","III"},MATCH(TRIM(AC237&amp;""),{"I особая","I","II","III"},0)),"III"))</f>
        <v>II</v>
      </c>
      <c r="FK237" t="str">
        <f>IF(B237="","",IF(TRIM(AD237&amp;"")&lt;&gt;"",IF(LOWER(TRIM(AD237&amp;""))="да","да","нет"),IF(IFERROR(_xlfn.XLOOKUP(AX237,Коды_код,Коды_пожарная),"")="да","да","нет")))</f>
        <v>нет</v>
      </c>
      <c r="FL237" t="str">
        <f t="shared" si="439"/>
        <v/>
      </c>
      <c r="FM237" t="str">
        <f t="shared" si="440"/>
        <v>основная</v>
      </c>
      <c r="FN237">
        <f t="shared" si="441"/>
        <v>1</v>
      </c>
      <c r="FO237" t="str" cm="1">
        <f t="array" ref="FO237">IF(B237="","",_xlfn.LET(_xlpm.t,IFERROR(_xlfn.XLOOKUP(1,(Шины[Шина]=FM237)*(((Шины[Щит]=A237)+(Шины[Щит]=""))&gt;0),Шины[Тип]),"")&amp;"",IF(_xlpm.t&lt;&gt;"",_xlpm.t,IF(ISNUMBER(SEARCH("ИБП",FM237)),"ИБП",IF(ISNUMBER(SEARCH("ДГУ",FM237)),"ДГУ","Ввод "&amp;FN237)))))</f>
        <v>Ввод 1</v>
      </c>
      <c r="FP237" t="str">
        <f t="shared" si="442"/>
        <v>Ввод 1</v>
      </c>
      <c r="FQ237" t="str">
        <f>IF(B237="","",IF(OR(FO237="ИБП",FO237="ДГУ"),"I особая",IF(FO237="Одиночная","III",_xlfn.XLOOKUP(A237,Щиты[Щит],Щиты[Категория шины «Ввод»],"III"))))</f>
        <v>II</v>
      </c>
      <c r="FR237">
        <f>IF(B237="",0,IFERROR(MATCH(FJ237,{"III","II","I","I особая"},0),1))</f>
        <v>2</v>
      </c>
      <c r="FS237">
        <f t="shared" si="443"/>
        <v>2</v>
      </c>
      <c r="FT237" t="str">
        <f>IF(B237="","",IF(FR237&gt;IFERROR(MATCH(FQ237,{"III","II","I","I особая"},0),1),"НЕ ОБЕСПЕЧЕНА","ОК"))</f>
        <v>ОК</v>
      </c>
      <c r="FU237" t="str">
        <f>IF(A237="","",_xlfn.XLOOKUP(A237,Щиты[Щит],Щиты[Путь],""))</f>
        <v>|ГРЩ-ЖД|ЩР-1|</v>
      </c>
      <c r="FV237" t="str">
        <f>IF(B237="","",IF(AE237&lt;&gt;"",AE237,IF(IFERROR(_xlfn.XLOOKUP(AX237,Коды_код,Коды_вид)&amp;"","")="","Прочее",_xlfn.XLOOKUP(AX237,Коды_код,Коды_вид)&amp;"")))</f>
        <v>Розеточная сеть и бытовые приборы</v>
      </c>
      <c r="FW237">
        <f>IF(BH237="","",INT((BH237-1)/Столбцов_на_лист)+1)</f>
        <v>2</v>
      </c>
      <c r="FX237" t="str">
        <f t="shared" si="444"/>
        <v>ВВГнг(А)-LS (3х2,5) L=27-0,22%</v>
      </c>
      <c r="FY237">
        <f t="shared" si="445"/>
        <v>0.24</v>
      </c>
      <c r="FZ237">
        <f t="shared" si="446"/>
        <v>1.1000000000000001</v>
      </c>
      <c r="GA237">
        <f t="shared" si="447"/>
        <v>1</v>
      </c>
      <c r="GB237">
        <f t="shared" si="448"/>
        <v>0</v>
      </c>
      <c r="GC237">
        <f t="shared" si="449"/>
        <v>1</v>
      </c>
      <c r="GD237">
        <f>IF(BH237="","",IF(AND(CA237=1,GC237=1),COUNTIFS(A$3:A237,A237,CA$3:CA237,1,GC$3:GC237,1),IF(OR(OR(AW237=1,A237&lt;&gt;A236),AF237="вручную",GC237=0),"",IF(AW237=1,"",GE236))))</f>
        <v>13</v>
      </c>
      <c r="GE237">
        <f t="shared" si="450"/>
        <v>13</v>
      </c>
      <c r="GF237">
        <f>IF(B237="","",IFERROR(LOOKUP(INDEX(CHOOSE(DL237,Iдоп_1ж,Iдоп_2ж,Iдоп_3ж),MATCH(DX237,Iдоп_S,0))*DJ237*DK237,{6,10,16,20,25,32,40,50,63,80,100,125,160,200,250,315,400,500,630}),""))</f>
        <v>25</v>
      </c>
      <c r="GG237" t="str">
        <f t="shared" si="451"/>
        <v>QFD13</v>
      </c>
      <c r="GH237" t="str">
        <f t="shared" si="452"/>
        <v>QFD13</v>
      </c>
      <c r="GI237" t="str">
        <f t="shared" si="453"/>
        <v/>
      </c>
      <c r="GJ237">
        <f t="shared" si="454"/>
        <v>0</v>
      </c>
      <c r="GK237" t="str">
        <f>IF(OR(AG237="",AG237="-"),"",IFERROR(VLOOKUP(AG237,Модули_спр,2,FALSE),"R"))</f>
        <v/>
      </c>
      <c r="GL237" t="str">
        <f>IF(GK237="","",GK237&amp;"."&amp;COUNTIFS(A$3:A237,A237,GK$3:GK237,GK237))</f>
        <v/>
      </c>
      <c r="GM237" t="str">
        <f t="shared" si="455"/>
        <v/>
      </c>
      <c r="GN237" t="str">
        <f t="shared" si="456"/>
        <v/>
      </c>
      <c r="GO237" t="str">
        <f t="shared" si="457"/>
        <v/>
      </c>
      <c r="GP237" t="str">
        <f t="shared" si="458"/>
        <v/>
      </c>
      <c r="GQ237">
        <f t="shared" si="459"/>
        <v>1</v>
      </c>
      <c r="GR237" t="str">
        <f>IF(GQ237=1,"XT"&amp;COUNTIFS(A$3:A237,A237,GQ$3:GQ237,1),"")</f>
        <v>XT13</v>
      </c>
      <c r="GS237" t="str">
        <f t="shared" si="460"/>
        <v/>
      </c>
      <c r="GT237" t="str">
        <f t="shared" si="461"/>
        <v>QFD13</v>
      </c>
      <c r="GU237" t="str">
        <f t="shared" si="462"/>
        <v/>
      </c>
      <c r="GV237" t="str">
        <f t="shared" si="463"/>
        <v>ok</v>
      </c>
      <c r="GW237" t="str">
        <f>IF(OR(GO237="",GM237=""),"",IF(GO237&gt;IFERROR(VLOOKUP(GN237,Модули_спр,3,FALSE),99),"ЛИШНИЙ КАНАЛ",IF(AND(AH237&lt;&gt;"=",COUNTIFS(Линии[_модуль гр.],GM237,Линии[Канал (итог)],GO237,Линии[Канал],"&lt;&gt;=",Линии[Щит],A237)&gt;1),"ДУБЛЬ КАНАЛА","")))</f>
        <v/>
      </c>
      <c r="GX237" s="6" t="str">
        <f t="shared" si="464"/>
        <v/>
      </c>
      <c r="GY237">
        <f t="shared" si="465"/>
        <v>10</v>
      </c>
      <c r="GZ237" t="str">
        <f t="shared" si="466"/>
        <v/>
      </c>
      <c r="HA237" t="str">
        <f>IF(AND(B237="",GT237=""),"",_xlfn.TEXTJOIN("; ",TRUE,IF(AND(B237&lt;&gt;"",FE237=""),"нет фазы",""),IF(AND(B237&lt;&gt;"",N(FY237)=0,EQ237&lt;&gt;"Нет"),"нет мощности",""),IF(AND(GS237&lt;&gt;"",COUNTIFS(Линии[Щит],A237,Линии[Клемма (итог)],GS237)&gt;1),"дубль клеммы "&amp;GS237,""),IF(AND(GV237&lt;&gt;"",GV237&lt;&gt;"ok"),GV237,""),IF(GW237&lt;&gt;"",GW237,""),IF(AND(N(BV237)&gt;=4,N(BR237)=1),BV237&amp;" жил на 1 фазе",""),IF(AND(AX237="R",CA237=1,OR(N(CK237)=0,N(CK237)&gt;30)),"розетка без дифзащиты до 30 мА",""),IFERROR(IF(AND(ISNUMBER(R237),R237&gt;DV237),"потери "&amp;FIXED(R237,1)&amp;" % &gt; "&amp;DV237&amp;" %",""),""),IFERROR(IF(LEFT(GZ237,4)="мало","Iкз мало — отключение &gt; 0,4 с",""),""),IF(AND(B237&lt;&gt;"",BH237=""),"не на схеме",""),IF(AND(CA237=0,B237&lt;&gt;"",FE237&lt;&gt;"",IF(AW237=1,"",FF236)&lt;&gt;"",FE237&lt;&gt;IF(AW237=1,"",FF236)),"фаза не как у автомата группы ("&amp;IF(AW237=1,"",FF236)&amp;")","")))</f>
        <v/>
      </c>
      <c r="HB237" s="6">
        <f>IF(OR(CA237=0,DA237=""),"",_xlfn.LET(_xlpm.t,IFERROR(_xlfn.XLOOKUP(DA237,Каталог!$U$4:$U$500,Каталог!$G$4:$G$500),""),_xlpm.k,SEARCH("кА",_xlpm.t),IFERROR(--TRIM(RIGHT(SUBSTITUTE(MID(_xlpm.t,MAX(1,_xlpm.k-4),_xlpm.k-MAX(1,_xlpm.k-4))," ",REPT(" ",9)),5)),"")))</f>
        <v>6</v>
      </c>
      <c r="HC237" t="str">
        <f>IF(OR(HB237="",CA237=0),"",IF(_xlfn.XLOOKUP(A237,Щиты[Щит],Щиты[Iкз max на шинах, кА],"")="","",IF(HB237&lt;_xlfn.XLOOKUP(A237,Щиты[Щит],Щиты[Iкз max на шинах, кА]),"Icu "&amp;HB237&amp;" кА &lt; Iкз max","ok")))</f>
        <v/>
      </c>
      <c r="HD237" t="str">
        <f t="shared" si="467"/>
        <v/>
      </c>
      <c r="HE237" t="str">
        <f t="shared" si="468"/>
        <v>QFD13</v>
      </c>
      <c r="HF237" t="str">
        <f t="shared" si="469"/>
        <v>QFD13|кабель ВВГнг(А)-LS (3х2,5) → Розеточная группа, пом. 002Б</v>
      </c>
      <c r="HG237" t="str" cm="1">
        <f t="array" ref="HG237">IF(HF237="","",_xlfn.LET(_xlpm.nd,_xlfn.TEXTSPLIT(HF237,"|"),IF(COLUMNS(_xlpm.nd)&gt;1,A237&amp;"¦"&amp;INDEX(_xlpm.nd,1)&amp;"¦"&amp;INDEX(_xlpm.nd,2),"")))</f>
        <v>ЩР-1¦QFD13¦кабель ВВГнг(А)-LS (3х2,5) → Розеточная группа, пом. 002Б</v>
      </c>
      <c r="HH237" t="str">
        <f t="shared" si="470"/>
        <v>R.1.002Б.8¦Розеточная группа, пом. 002Б</v>
      </c>
      <c r="HI237" t="str" cm="1">
        <f t="array" ref="HI237">IF(HF237="","",_xlfn.LET(_xlpm.nd,_xlfn.TEXTSPLIT(HF237,"|"),IF(COLUMNS(_xlpm.nd)&gt;2,A237&amp;"¦"&amp;INDEX(_xlpm.nd,2)&amp;"¦"&amp;INDEX(_xlpm.nd,3),"")))</f>
        <v/>
      </c>
      <c r="HJ237" t="str">
        <f t="shared" si="471"/>
        <v/>
      </c>
      <c r="HK237" t="str" cm="1">
        <f t="array" ref="HK237">IF(HF237="","",_xlfn.LET(_xlpm.nd,_xlfn.TEXTSPLIT(HF237,"|"),IF(COLUMNS(_xlpm.nd)&gt;3,A237&amp;"¦"&amp;INDEX(_xlpm.nd,3)&amp;"¦"&amp;INDEX(_xlpm.nd,4),"")))</f>
        <v/>
      </c>
      <c r="HL237" t="str">
        <f t="shared" si="472"/>
        <v/>
      </c>
      <c r="HM237" t="str" cm="1">
        <f t="array" ref="HM237">IF(HF237="","",_xlfn.LET(_xlpm.nd,_xlfn.TEXTSPLIT(HF237,"|"),IF(COLUMNS(_xlpm.nd)&gt;4,A237&amp;"¦"&amp;INDEX(_xlpm.nd,4)&amp;"¦"&amp;INDEX(_xlpm.nd,5),"")))</f>
        <v/>
      </c>
      <c r="HN237" t="str">
        <f t="shared" si="473"/>
        <v/>
      </c>
      <c r="HO237" t="str" cm="1">
        <f t="array" ref="HO237">IF(HF237="","",_xlfn.LET(_xlpm.nd,_xlfn.TEXTSPLIT(HF237,"|"),IF(COLUMNS(_xlpm.nd)&gt;5,A237&amp;"¦"&amp;INDEX(_xlpm.nd,5)&amp;"¦"&amp;INDEX(_xlpm.nd,6),"")))</f>
        <v/>
      </c>
      <c r="HP237" t="str">
        <f t="shared" si="474"/>
        <v/>
      </c>
      <c r="HQ237" t="str" cm="1">
        <f t="array" ref="HQ237">IF(HF237="","",_xlfn.LET(_xlpm.nd,_xlfn.TEXTSPLIT(HF237,"|"),IF(COLUMNS(_xlpm.nd)&gt;6,A237&amp;"¦"&amp;INDEX(_xlpm.nd,6)&amp;"¦"&amp;INDEX(_xlpm.nd,7),"")))</f>
        <v/>
      </c>
      <c r="HR237" t="str">
        <f t="shared" si="475"/>
        <v/>
      </c>
      <c r="HS237" t="str">
        <f t="shared" si="476"/>
        <v/>
      </c>
      <c r="HT237" t="str">
        <f t="shared" si="477"/>
        <v>QFD13</v>
      </c>
      <c r="HU237">
        <f t="shared" si="478"/>
        <v>0</v>
      </c>
      <c r="HV237">
        <f t="shared" si="479"/>
        <v>1</v>
      </c>
      <c r="HW237" t="str">
        <f t="shared" si="480"/>
        <v/>
      </c>
      <c r="HX237" t="str">
        <f t="shared" si="481"/>
        <v/>
      </c>
      <c r="HY237" t="str">
        <f t="shared" si="482"/>
        <v/>
      </c>
      <c r="HZ237" t="str">
        <f t="shared" si="483"/>
        <v/>
      </c>
      <c r="IA237" t="str">
        <f>IF(B237="","",IFERROR(VLOOKUP(B237,УГО_спр,2,FALSE),IFERROR(VLOOKUP(AX237,УГО_спр,2,FALSE),IFERROR(VLOOKUP(LEFT(AX237,2),УГО_спр,2,FALSE),""))))</f>
        <v>Розетка</v>
      </c>
      <c r="IB237" t="str">
        <f>IF(B237="","",IF(OR(IA237="",IA237=0),"BOX",IFERROR(IF(VLOOKUP(IA237,УГО_блоки,3,FALSE)&amp;""&lt;&gt;"",VLOOKUP(IA237,УГО_блоки,3,FALSE),VLOOKUP(IA237,УГО_блоки,2,FALSE)),IA237)))</f>
        <v>SOCKET</v>
      </c>
      <c r="IC237">
        <f t="shared" si="484"/>
        <v>1</v>
      </c>
      <c r="ID237" t="str">
        <f>IF(DA237="","",IF(COUNTIF(DA$3:DA237,DA237)=1,MAX(ID$2:ID236)+1,""))</f>
        <v/>
      </c>
      <c r="IE237" t="str">
        <f>IF(CO237="","",IF(COUNTIF(CO$3:CO237,CO237)+COUNTIF(CP$2:CP236,CO237)+COUNTIF(CQ$2:CQ236,CO237)=1,MAX(IE$2:IG236)+1,""))</f>
        <v/>
      </c>
      <c r="IF237" t="str">
        <f>IF(CP237="","",IF(COUNTIF(CO$3:CO237,CP237)+COUNTIF(CP$3:CP237,CP237)+COUNTIF(CQ$2:CQ236,CP237)=1,MAX(IE$2:IG236,IE237)+1,""))</f>
        <v/>
      </c>
      <c r="IG237" t="str">
        <f>IF(CQ237="","",IF(COUNTIF(CO$3:CO237,CQ237)+COUNTIF(CP$3:CP237,CQ237)+COUNTIF(CQ$3:CQ237,CQ237)=1,MAX(IE$2:IG236,IE237,IF237)+1,""))</f>
        <v/>
      </c>
      <c r="IH237" t="str">
        <f t="shared" si="485"/>
        <v>3х2,5</v>
      </c>
      <c r="II237" t="str">
        <f>IF(IH237="","",IF(COUNTIF(IH$3:IH237,IH237)=1,MAX(II$2:II236)+1,""))</f>
        <v/>
      </c>
      <c r="IJ237" t="str">
        <f>IF(GL237="","",COUNTIF(GL$3:GL237,"?*"))</f>
        <v/>
      </c>
      <c r="IK237" t="str">
        <f>IF(OR(GL237="",GN237=""),"",IF(COUNTIFS(GL$3:GL237,"?*",GN$3:GN237,GN237)=1,MAX(IK$2:IK236)+1,""))</f>
        <v/>
      </c>
      <c r="IL237">
        <f t="shared" si="486"/>
        <v>0</v>
      </c>
      <c r="IM237">
        <f>IF(B237="","",COUNTIF(B$3:B237,"?*"))</f>
        <v>235</v>
      </c>
      <c r="IN237">
        <f>IF(GQ237&lt;&gt;1,0,_xlfn.LET(_xlpm.k,MAX(IFERROR(--VLOOKUP(B237,УГО_спр,5,FALSE),0),IFERROR(--VLOOKUP(AX237,УГО_спр,5,FALSE),0),IFERROR(--VLOOKUP(LEFT(AX237,2),УГО_спр,5,FALSE),0)),IF(_xlpm.k&gt;0,_xlpm.k,IF(IFERROR(--LEFT(SUBSTITUTE(IH237,"x","х"),FIND("х",SUBSTITUTE(IH237,"x","х"))-1),3)&gt;3,Каталог!$S$9,1))))</f>
        <v>1</v>
      </c>
      <c r="IO237">
        <f t="shared" si="487"/>
        <v>0</v>
      </c>
      <c r="IP237" t="str">
        <f t="shared" si="488"/>
        <v>авто</v>
      </c>
      <c r="IQ237">
        <f t="shared" si="489"/>
        <v>30</v>
      </c>
      <c r="IR237">
        <f t="shared" si="490"/>
        <v>1</v>
      </c>
      <c r="IS237">
        <f t="shared" si="491"/>
        <v>1</v>
      </c>
    </row>
    <row r="238" spans="1:253" x14ac:dyDescent="0.3">
      <c r="A238" t="s">
        <v>759</v>
      </c>
      <c r="B238" t="s">
        <v>1503</v>
      </c>
      <c r="C238" t="str">
        <f>Линии[[#This Row],[_авто наименование]]</f>
        <v>Розеточная группа, пом. 002Г</v>
      </c>
      <c r="D238">
        <v>4</v>
      </c>
      <c r="E238">
        <v>0.24</v>
      </c>
      <c r="G238" t="str">
        <f>Линии[[#This Row],[_авто автомат]]</f>
        <v>2P С16А 30мА</v>
      </c>
      <c r="H238">
        <f>Линии[[#This Row],[_авто утечка]]</f>
        <v>30</v>
      </c>
      <c r="I238" t="str">
        <f>Линии[[#This Row],[_авто управление]]</f>
        <v/>
      </c>
      <c r="J238" t="str">
        <f>Линии[[#This Row],[_авто аппараты]]</f>
        <v/>
      </c>
      <c r="K238">
        <v>2.5</v>
      </c>
      <c r="L238">
        <v>92</v>
      </c>
      <c r="M238" t="str">
        <f>Линии[[#This Row],[_авто фаза]]</f>
        <v>L3</v>
      </c>
      <c r="N238" t="s">
        <v>486</v>
      </c>
      <c r="O238" t="str">
        <f t="shared" si="369"/>
        <v/>
      </c>
      <c r="P238" s="6" cm="1">
        <f t="array" ref="P238">IF(B238="","",IF(BC238&lt;&gt;"",IFERROR(_xlfn.XLOOKUP(BC238,Щиты[Щит],Щиты[Iр, А]),""),IF(BK238=1,IFERROR(_xlfn.XLOOKUP(A238,Щиты[Щит],Щиты[Iр, А]),""),IFERROR(_xlfn.IFS(BR238=1,BN238/((Uн_лин/SQRT(3))*BY238),BR238=3,BN238/(SQRT(3)*Uн_лин*BY238)),""))))</f>
        <v>1.0939268258329751</v>
      </c>
      <c r="Q238" s="7">
        <f>IF(B238="","",IFERROR(IF(VLOOKUP(AX238,Потребители_обозначение,4,FALSE)=1,VLOOKUP(AX238,Потребители_обозначение,3,FALSE)*(D238*2-1)+DS238+VLOOKUP(AZ238,Этаж_обозначение,3,FALSE)+VLOOKUP(AZ238,Этаж_обозначение,4,FALSE),VLOOKUP(AX238,Потребители_обозначение,3,FALSE)*(D238*2-1)+DS238),DS238))</f>
        <v>113</v>
      </c>
      <c r="R238" s="6">
        <f t="shared" si="370"/>
        <v>2.11</v>
      </c>
      <c r="S238" t="str">
        <f t="shared" si="371"/>
        <v>ВВГнг(А)-LS (3х2,5)</v>
      </c>
      <c r="T238" t="str">
        <f>IF(BH238="","",IF(BI238="вводной узел","узел ","")&amp;"л."&amp;(INT((BH238-1)/Столбцов_на_лист)+1)&amp;" / "&amp;(MOD(BH238-1,Столбцов_на_лист)+1))</f>
        <v>л.2 / 16</v>
      </c>
      <c r="V238">
        <v>1</v>
      </c>
      <c r="W238">
        <v>230</v>
      </c>
      <c r="X238" t="s">
        <v>564</v>
      </c>
      <c r="AC238" t="s">
        <v>815</v>
      </c>
      <c r="AE238" t="s">
        <v>563</v>
      </c>
      <c r="AI238">
        <v>33</v>
      </c>
      <c r="AJ238" t="s">
        <v>11</v>
      </c>
      <c r="AK238">
        <v>3</v>
      </c>
      <c r="AM238">
        <v>28</v>
      </c>
      <c r="AN238">
        <v>49</v>
      </c>
      <c r="AO238">
        <v>36</v>
      </c>
      <c r="AW238" cm="1">
        <f t="array" ref="AW238">ROW()-ROW(Линии[#Headers])</f>
        <v>236</v>
      </c>
      <c r="AX238" s="6" t="str">
        <f t="shared" si="372"/>
        <v>R</v>
      </c>
      <c r="AY238" t="str">
        <f t="shared" si="373"/>
        <v>1.002Г.1</v>
      </c>
      <c r="AZ238" t="str">
        <f t="shared" si="374"/>
        <v>1</v>
      </c>
      <c r="BA238" t="str">
        <f t="shared" si="375"/>
        <v>002Г.1</v>
      </c>
      <c r="BB238" t="str">
        <f t="shared" si="376"/>
        <v>002Г</v>
      </c>
      <c r="BC238" t="str">
        <f>IF(U238&lt;&gt;"",U238,IF(AND(B238&lt;&gt;"",B238&lt;&gt;A238,ISNUMBER(_xlfn.XMATCH(B238,Щиты[Щит]))),B238,""))</f>
        <v/>
      </c>
      <c r="BD238" t="str" cm="1">
        <f t="array" ref="BD238">IF(B238="","",IF(BC238&lt;&gt;"","Щит "&amp;BC238,_xlfn.LET(_xlpm.nm,IFERROR(_xlfn.XLOOKUP(AX238,Коды_код,Коды_имя)&amp;"",""),_xlpm.md,IFERROR(N(_xlfn.XLOOKUP(AX238,Коды_код,Коды_режим)),1),_xlpm.ex,IF(Имя_режим="по экспликации",IFERROR(_xlfn.XLOOKUP(AZ238&amp;"|"&amp;BB238,Экспликация[Этаж]&amp;"|"&amp;Экспликация[Помещение],Экспликация[Название])&amp;"",""),""),_xlpm.rm,IF(BB238="","",IF(_xlpm.ex&lt;&gt;"",". "&amp;_xlpm.ex&amp;IF(Имя_пом="нет"," ("&amp;BB238&amp;")"," (пом. "&amp;BB238&amp;")"),IF(Имя_пом="нет"," ",", пом. ")&amp;BB238)),IF(_xlpm.nm="","",IF(_xlpm.md=2,_xlpm.nm&amp;" шлейф "&amp;AZ238,_xlpm.nm&amp;_xlpm.rm)))))</f>
        <v>Розеточная группа, пом. 002Г</v>
      </c>
      <c r="BE238" t="str">
        <f t="shared" si="377"/>
        <v>Розеточная группа, пом. 002Г</v>
      </c>
      <c r="BF238">
        <f>IFERROR(_xlfn.XMATCH(A238,Щиты[Щит]),0)</f>
        <v>10</v>
      </c>
      <c r="BG238">
        <f>_xlfn.LET(_xlpm.k,IFERROR(_xlfn.XLOOKUP(A238,Щиты[Щит],Щиты[Листов под вводной узел]),""),IF(_xlpm.k="",1,N(_xlpm.k))*Столбцов_на_лист)</f>
        <v>17</v>
      </c>
      <c r="BH238">
        <f t="shared" si="378"/>
        <v>33</v>
      </c>
      <c r="BI238" t="str">
        <f t="shared" si="379"/>
        <v>линии</v>
      </c>
      <c r="BJ238" s="6">
        <f>IFERROR(N(_xlfn.XLOOKUP(AX238,Коды_код,Коды_квт)),0)</f>
        <v>0</v>
      </c>
      <c r="BK238">
        <f t="shared" si="380"/>
        <v>0</v>
      </c>
      <c r="BL238" t="str">
        <f>IF(B238="","",IF(BC238&lt;&gt;"",IFERROR(_xlfn.XLOOKUP(BC238,Щиты[Щит],Щиты[Руст, кВт]),0),IF(BK238=1,IFERROR(_xlfn.XLOOKUP(A238,Щиты[Щит],Щиты[Руст, кВт]),0),IF(BJ238&gt;0,ROUND(BJ238*MAX(1,N(D238)),3),""))))</f>
        <v/>
      </c>
      <c r="BM238">
        <f t="shared" si="381"/>
        <v>0.24</v>
      </c>
      <c r="BN238" s="6">
        <f>IF(B238="","",IF(BC238&lt;&gt;"",IFERROR(_xlfn.XLOOKUP(BC238,Щиты[Щит],Щиты[Руст, кВт]),0),N(BM238)))</f>
        <v>0.24</v>
      </c>
      <c r="BO238" t="str">
        <f>IF(B238="","",IFERROR(IF(VLOOKUP(AX238,Потребители_обозначение,8,FALSE)=0,"",VLOOKUP(AX238,Потребители_обозначение,8,FALSE)),""))</f>
        <v/>
      </c>
      <c r="BP238">
        <f t="shared" si="382"/>
        <v>230</v>
      </c>
      <c r="BQ238">
        <f>IF(B238="","",IF(BC238&lt;&gt;"",3,IFERROR(IF(N(VLOOKUP(AX238,Потребители_обозначение,9,FALSE))=0,1,VLOOKUP(AX238,Потребители_обозначение,9,FALSE)),1)))</f>
        <v>1</v>
      </c>
      <c r="BR238">
        <f t="shared" si="383"/>
        <v>1</v>
      </c>
      <c r="BS238" t="str">
        <f>IF(B238="","",_xlfn.LET(_xlpm.bc,IFERROR(IF(VLOOKUP(AX238,Потребители_обозначение,6,FALSE)=0,"",VLOOKUP(AX238,Потребители_обозначение,6,FALSE)&amp;""),""),IF(AND(FK238="да",OR(_xlpm.bc="",_xlpm.bc="мс")),Марка_пож,IF(AND(_xlpm.bc="",BC238&lt;&gt;""),"мс",_xlpm.bc))))</f>
        <v/>
      </c>
      <c r="BT238" t="str">
        <f t="shared" si="384"/>
        <v>мс</v>
      </c>
      <c r="BU238">
        <f>IF(B238="","",_xlfn.LET(_xlpm.cc,IFERROR(N(VLOOKUP(AX238,Потребители_обозначение,7,FALSE)),0),IF(_xlpm.cc&gt;0,_xlpm.cc,IF(BT238="","",IF(N(BR238)=3,5,3)))))</f>
        <v>3</v>
      </c>
      <c r="BV238">
        <f t="shared" si="385"/>
        <v>3</v>
      </c>
      <c r="BW238">
        <f>IFERROR(N(VLOOKUP(AX238,Потребители_обозначение,10,FALSE)),0)</f>
        <v>0</v>
      </c>
      <c r="BX238">
        <f>IFERROR(VLOOKUP(AX238,Потребители_обозначение,5,FALSE),0)</f>
        <v>1</v>
      </c>
      <c r="BY238" s="6" cm="1">
        <f t="array" ref="BY238">IF(B238="","",IF(BC238&lt;&gt;"",IFERROR(_xlfn.XLOOKUP(BC238,Щиты[Щит],Щиты[cos φ]),0.95),IF(BK238=1,IFERROR(_xlfn.XLOOKUP(A238,Щиты[Щит],Щиты[cos φ]),0.95),IF(ISNUMBER(Z238),Z238,IFERROR(IF(BX238=2,_xlfn.IFS(BR238=3,VLOOKUP(BN238,Справочная_двигатели,8,FALSE),BR238=1,VLOOKUP(BN238,Справочная_двигатели,10,TRUE)),IF(AND(Методика="нормы 2026",EQ238="Сил"),0.8,0.95)),0.95)))))</f>
        <v>0.95</v>
      </c>
      <c r="BZ238">
        <f t="shared" si="386"/>
        <v>0</v>
      </c>
      <c r="CA238">
        <f t="shared" si="387"/>
        <v>1</v>
      </c>
      <c r="CB238">
        <f t="shared" si="388"/>
        <v>0</v>
      </c>
      <c r="CC238">
        <f t="shared" si="389"/>
        <v>0</v>
      </c>
      <c r="CD238">
        <f t="shared" si="390"/>
        <v>0</v>
      </c>
      <c r="CE238">
        <f t="shared" si="391"/>
        <v>0</v>
      </c>
      <c r="CF238">
        <f t="shared" si="392"/>
        <v>0</v>
      </c>
      <c r="CG238">
        <f>IF(AX238="",0,_xlfn.LET(_xlpm.v,IFERROR(VLOOKUP(B238,УГО_спр,3,FALSE),IFERROR(VLOOKUP(AX238,УГО_спр,3,FALSE),IFERROR(VLOOKUP(LEFT(AX238,2),УГО_спр,3,FALSE),""))),IF(_xlpm.v="да",30,IF(ISNUMBER(_xlpm.v),_xlpm.v,0))))</f>
        <v>30</v>
      </c>
      <c r="CH238">
        <f t="shared" si="393"/>
        <v>30</v>
      </c>
      <c r="CI238" t="str">
        <f>_xlfn.LET(_xlpm.k,IFERROR(_xlfn.XLOOKUP(AX238,Коды_код,Коды_утечка)&amp;"",""),IF(_xlpm.k="","дифавтомат",_xlpm.k))</f>
        <v>дифавтомат</v>
      </c>
      <c r="CJ238">
        <f t="shared" si="394"/>
        <v>30</v>
      </c>
      <c r="CK238">
        <f t="shared" si="395"/>
        <v>30</v>
      </c>
      <c r="CL238">
        <f>IF(B238="",0,IFERROR(--VLOOKUP(B238,УГО_спр,4,FALSE),IFERROR(--VLOOKUP(AX238,УГО_спр,4,FALSE),IFERROR(--VLOOKUP(LEFT(AX238,2),УГО_спр,4,FALSE),0))))</f>
        <v>16</v>
      </c>
      <c r="CM238" t="str">
        <f>IF(B238="","",IFERROR(_xlfn.XLOOKUP(AX238,Коды_код,Коды_апп)&amp;"",""))</f>
        <v/>
      </c>
      <c r="CN238" t="str">
        <f t="shared" si="396"/>
        <v/>
      </c>
      <c r="CO238" t="str" cm="1">
        <f t="array" ref="CO238">IF(TRIM(CN238&amp;"")="","",IFERROR(TRIM(INDEX(_xlfn.TEXTSPLIT(CN238&amp;";;;",";"),1)),""))</f>
        <v/>
      </c>
      <c r="CP238" t="str" cm="1">
        <f t="array" ref="CP238">IF(TRIM(CN238&amp;"")="","",IFERROR(TRIM(INDEX(_xlfn.TEXTSPLIT(CN238&amp;";;;",";"),2)),""))</f>
        <v/>
      </c>
      <c r="CQ238" t="str" cm="1">
        <f t="array" ref="CQ238">IF(TRIM(CN238&amp;"")="","",IFERROR(TRIM(INDEX(_xlfn.TEXTSPLIT(CN238&amp;";;;",";"),3)),""))</f>
        <v/>
      </c>
      <c r="CR238">
        <f t="shared" si="397"/>
        <v>0</v>
      </c>
      <c r="CS238" t="str">
        <f>IF(B238="","",_xlfn.LET(_xlpm.t,LOWER(AV238&amp;""),IF(ISNUMBER(SEARCH("dim",_xlpm.t)),"DIM",IF(ISNUMBER(SEARCH("dali",_xlpm.t)),"DALI",IF(OR(ISNUMBER(SEARCH("relay",_xlpm.t)),ISNUMBER(SEARCH("реле",_xlpm.t))),"Relay",IF(ISNUMBER(SEARCH("кнопк",_xlpm.t)),"",IFERROR(_xlfn.XLOOKUP(AX238,Коды_код,Коды_упр)&amp;"","")))))))</f>
        <v/>
      </c>
      <c r="CT238" t="str">
        <f t="shared" si="398"/>
        <v/>
      </c>
      <c r="CU238">
        <f>IF(B238="","",_xlfn.LET(_xlpm.ig,N(P238)+IF(AF238="вручную",0,N(CB238)),_xlpm.n0,IFERROR(VLOOKUP(_xlpm.ig,Автомат_номиналы,2,TRUE),0),_xlpm.mn,MAX(CL238,IF(AF238="вручную",0,N(CE238))),MAX(_xlpm.n0,_xlpm.mn,IF(CR238=1,Мин_автомат_БП,0))))</f>
        <v>16</v>
      </c>
      <c r="CV238">
        <f t="shared" si="399"/>
        <v>1</v>
      </c>
      <c r="CW238" t="str">
        <f t="shared" si="400"/>
        <v>2P</v>
      </c>
      <c r="CX238" t="str">
        <f>_xlfn.LET(_xlpm.cc,UPPER(TRIM(IFERROR(_xlfn.XLOOKUP(AX238,Коды_код,Коды_хар)&amp;"",""))),IF(OR(_xlpm.cc="B",_xlpm.cc="В"),"B",IF(_xlpm.cc="D","D","С")))</f>
        <v>С</v>
      </c>
      <c r="CY238" t="str">
        <f t="shared" si="401"/>
        <v>2P С16А 30мА</v>
      </c>
      <c r="CZ238" t="str">
        <f t="shared" si="402"/>
        <v>2P С16А 30мА</v>
      </c>
      <c r="DA238" t="str">
        <f t="shared" si="403"/>
        <v>2P С16А 30мА</v>
      </c>
      <c r="DB238" cm="1">
        <f t="array" ref="DB238">IF(DA238="","",_xlfn.LET(_xlpm.t,SUBSTITUTE(SUBSTITUTE(SUBSTITUTE(UPPER(DA238),"С","C"),"А","A"),"В","B"),_xlpm.tk,_xlfn.TEXTSPLIT(_xlpm.t,"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8" t="str">
        <f t="shared" si="404"/>
        <v>ok</v>
      </c>
      <c r="DD238">
        <f t="shared" si="405"/>
        <v>16</v>
      </c>
      <c r="DE238" t="str">
        <f t="shared" si="406"/>
        <v>2P С16А 30мА</v>
      </c>
      <c r="DF238">
        <f t="shared" si="407"/>
        <v>30</v>
      </c>
      <c r="DG238">
        <f t="shared" si="408"/>
        <v>1</v>
      </c>
      <c r="DH238">
        <f t="shared" si="409"/>
        <v>0</v>
      </c>
      <c r="DI238">
        <f t="shared" si="410"/>
        <v>1.0939268258329751</v>
      </c>
      <c r="DJ238">
        <f t="shared" si="411"/>
        <v>1</v>
      </c>
      <c r="DK238">
        <f>IF(ISNUMBER(AL238),AL238,К_прокл)</f>
        <v>1</v>
      </c>
      <c r="DL238">
        <f t="shared" si="412"/>
        <v>2</v>
      </c>
      <c r="DM238">
        <f>IFERROR(N(VLOOKUP(BT238,Кабель_обозначение,3,FALSE)),1)</f>
        <v>1</v>
      </c>
      <c r="DN238">
        <f>IFERROR(N(_xlfn.XLOOKUP(A238,Щиты[Щит],Щиты[ΔU до шин, %])),0)</f>
        <v>1.19</v>
      </c>
      <c r="DO238" t="str">
        <f>IFERROR(_xlfn.XLOOKUP(A238,Щиты[Щит],Щиты[Zпетли на шинах, Ом]),"")</f>
        <v/>
      </c>
      <c r="DP238">
        <f>IFERROR(N(_xlfn.XLOOKUP(A238,Щиты[Щит],Щиты[ΔU до шин (подбор), %])),0)</f>
        <v>1.19</v>
      </c>
      <c r="DQ238" t="str">
        <f>IFERROR(_xlfn.XLOOKUP(A238,Щиты[Щит],Щиты[Zпетли на шинах (подбор), Ом]),"")</f>
        <v/>
      </c>
      <c r="DR238" t="str">
        <f t="shared" si="413"/>
        <v/>
      </c>
      <c r="DS238">
        <f t="shared" si="414"/>
        <v>92</v>
      </c>
      <c r="DT238">
        <f t="shared" si="415"/>
        <v>2</v>
      </c>
      <c r="DU238">
        <f t="shared" si="416"/>
        <v>0.31</v>
      </c>
      <c r="DV238" s="6">
        <f>IF(B238="","",IF(IFERROR(VLOOKUP(AX238,УГО_спр,2,FALSE),"")="Светильник",3,4)+IF(Методика="нормы 2026",MIN(0.5,MAX(0,N(Q238)-100)*0.005),0))</f>
        <v>4.0650000000000004</v>
      </c>
      <c r="DW238" cm="1">
        <f t="array" ref="DW238">IF(OR(B238="",BT238="",DM238&lt;&gt;1),"",_xlfn.LET(_xlpm.sz,Iдоп_S,_xlpm.t_,CHOOSE(DL238,Iдоп_1ж,Iдоп_2ж,Iдоп_3ж)*DJ238*DK238,_xlpm.inn,N(DD238),_xlpm.smin,MAX(1.5,BW238),_xlpm.L_,N(Q238)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238)*(_xlpm.rho*_xlpm.L_/_xlpm.sz*N(BY238)+_xlpm.xx*_xlpm.L_*N(DU238)/1000)*N(P238)/((Uн_лин/SQRT(3))*1000)*100,999),_xlpm.kz,IF(OR(DG238=1,NOT(ISNUMBER(DQ238)),_xlpm.L_=0,_xlpm.inn=0),1,IFERROR(--(c_min*(Uн_лин*1000/SQRT(3))/(DQ238+2*ρкз_Cu*_xlpm.L_/_xlpm.sz)&gt;=GY238*_xlpm.inn),0)),_xlpm.ok,IFERROR((_xlpm.sz&gt;=_xlpm.smin)*(_xlpm.t_&gt;=_xlpm.inn)*IF(_xlpm.L_&gt;0,(_xlpm.du_+DP238&lt;=DV238+0.00001),1)*_xlpm.kz,0),_xlpm.r_,_xlfn._xlws.FILTER(_xlpm.sz,_xlpm.ok,"не подобрано"),INDEX(_xlpm.r_,1)))</f>
        <v>1.5</v>
      </c>
      <c r="DX238">
        <f t="shared" si="417"/>
        <v>2.5</v>
      </c>
      <c r="DY238" cm="1">
        <f t="array" ref="DY238">IF(OR(B238="",BT238="",DM238&lt;&gt;1),"",_xlfn.LET(_xlpm.sz,Iдоп_S,_xlpm.t_,CHOOSE(DL238,Iдоп_1ж,Iдоп_2ж,Iдоп_3ж)*DJ238*DK238,_xlpm.ok,IFERROR((_xlpm.sz&gt;=MAX(1.5,BW238))*(_xlpm.t_&gt;=N(DD238)),0),_xlpm.r_,_xlfn._xlws.FILTER(_xlpm.sz,_xlpm.ok,""),INDEX(_xlpm.r_,1)))</f>
        <v>1.5</v>
      </c>
      <c r="DZ238" s="6" cm="1">
        <f t="array" ref="DZ238">IFERROR(ROUNDUP(N(DT238)*(_xlfn.XLOOKUP(DY238,INDEX(Кабель_сопротивление,0,1),INDEX(Кабель_сопротивление,0,3))*N(Q238)/DY238*N(BY238)+_xlfn.XLOOKUP(DY238,INDEX(Кабель_сопротивление,0,1),INDEX(Кабель_сопротивление,0,2))*N(Q238)*N(DU238)/1000)*N(P238)/((Uн_лин/SQRT(3))*1000)*100,2),"")</f>
        <v>1.53</v>
      </c>
      <c r="EA238">
        <f>IFERROR(2*ρкз_Cu*N(Q238)/DY238,"")</f>
        <v>3.9625333333333335</v>
      </c>
      <c r="EB238">
        <f>IFERROR(VLOOKUP(DX238,Кабель_сопротивление,3,FALSE),"")</f>
        <v>2.2499999999999999E-2</v>
      </c>
      <c r="EC238">
        <f>IFERROR(VLOOKUP(DX238,Кабель_сопротивление,2,FALSE),"")</f>
        <v>0.1</v>
      </c>
      <c r="ED238">
        <f t="shared" si="418"/>
        <v>49</v>
      </c>
      <c r="EE238">
        <f t="shared" si="419"/>
        <v>36</v>
      </c>
      <c r="EF238">
        <f t="shared" si="420"/>
        <v>2.1214588568988431</v>
      </c>
      <c r="EG238" s="6">
        <f>IFERROR(ROUNDUP(EF238/((Uн_лин/SQRT(3))*1000)*100,2),"")</f>
        <v>0.92</v>
      </c>
      <c r="EH238" t="str">
        <f>IFERROR(VLOOKUP(BT238,Кабель_обозначение,2,FALSE),"")</f>
        <v>ВВГнг(А)-LS</v>
      </c>
      <c r="EI238" t="str">
        <f t="shared" si="421"/>
        <v>ВВГнг(А)-LS (3х2,5)</v>
      </c>
      <c r="EJ238" t="str">
        <f t="shared" si="422"/>
        <v>ВВГнг(А)-LS (3х2,5)
L=113-0,92%</v>
      </c>
      <c r="EK238">
        <f>IFERROR(2*ρкз_Cu*Q238/DX238,"")</f>
        <v>2.3775200000000001</v>
      </c>
      <c r="EL238">
        <f t="shared" si="423"/>
        <v>0.79100000000000015</v>
      </c>
      <c r="EM238" s="6" t="str">
        <f>IFERROR(IF(OR(B238="",NOT(ISNUMBER(DX238)),N(Q238)=0),"",_xlfn.XLOOKUP(A238,Щиты[Щит],Щиты[Zпетли на шинах, Ом])+EK238),"")</f>
        <v/>
      </c>
      <c r="EN238" s="6" t="str">
        <f>IF(ISNUMBER(EM238),c_min*(Uн_лин*1000/SQRT(3))/EM238,"")</f>
        <v/>
      </c>
      <c r="EO238" s="6" t="str">
        <f>IFERROR(IF(OR(B238="",NOT(ISNUMBER(DX238))),"",1.05*(Uн_лин*1000/SQRT(3))/(_xlfn.XLOOKUP(A238,Щиты[Щит],Щиты[Zmax на шинах, Ом])+EL238)/1000),"")</f>
        <v/>
      </c>
      <c r="EP238" s="6" t="str">
        <f>IF(B238="","",IF(ISNUMBER(Y238),"Сил",IF(IFERROR(_xlfn.XLOOKUP(AX238,Коды_код,Коды_группа)&amp;"","")="","Быт",_xlfn.XLOOKUP(AX238,Коды_код,Коды_группа)&amp;"")))</f>
        <v>Быт</v>
      </c>
      <c r="EQ238" s="6" t="str">
        <f t="shared" si="424"/>
        <v>Быт</v>
      </c>
      <c r="ER238" s="6">
        <f>IF(EQ238="Щит","щит",IF(EQ238="","",IF(EQ238="Быт",IFERROR(_xlfn.XLOOKUP(A238,Щиты[Щит],Щиты[Кс быт]),1),IF(EQ238="Сил",IF(ISNUMBER(Y238),Y238,IF(Методика="нормы 2026",IFERROR(_xlfn.XLOOKUP(A238,Щиты[Щит],Щиты[Кс силовых (табл. 7.5)]),1),1)),IF(OR(EQ238="Пост",EQ238="Отоп"),1,IF(EQ238="ВНГ",0.7,0))))))</f>
        <v>0.57830000000000004</v>
      </c>
      <c r="ES238">
        <f t="shared" si="425"/>
        <v>1</v>
      </c>
      <c r="ET238">
        <f t="shared" si="426"/>
        <v>0.24</v>
      </c>
      <c r="EU238">
        <f t="shared" si="427"/>
        <v>0.24</v>
      </c>
      <c r="EV238">
        <f t="shared" si="428"/>
        <v>0</v>
      </c>
      <c r="EW238">
        <f t="shared" si="429"/>
        <v>0</v>
      </c>
      <c r="EX238">
        <f t="shared" si="430"/>
        <v>0</v>
      </c>
      <c r="EY238">
        <f t="shared" si="431"/>
        <v>0</v>
      </c>
      <c r="EZ238">
        <f t="shared" si="432"/>
        <v>0.24</v>
      </c>
      <c r="FA238">
        <f t="shared" si="433"/>
        <v>0.22799999999999998</v>
      </c>
      <c r="FB238">
        <f t="shared" si="434"/>
        <v>0.24</v>
      </c>
      <c r="FC238" t="str">
        <f t="shared" si="435"/>
        <v/>
      </c>
      <c r="FD238" t="str">
        <f>IF(B238="","",IF(CA238=0,IF(AW238=1,"",FF237),IF(OR(N(CV238)&gt;=3,N(BR238)&gt;=3),"L1,L2,L3",IFERROR(_xlfn.TEXTBEFORE(_xlfn.TEXTAFTER(_xlfn.XLOOKUP(A238,Щиты[Щит],Щиты[_фазы авто]),";"&amp;AW238&amp;":"),";"),"L1"))))</f>
        <v>L3</v>
      </c>
      <c r="FE238" t="str">
        <f t="shared" si="436"/>
        <v>L3</v>
      </c>
      <c r="FF238" t="str">
        <f t="shared" si="437"/>
        <v>L3</v>
      </c>
      <c r="FG238" cm="1">
        <f t="array" ref="FG238">IFERROR(IF(BX238=2,_xlfn.IFS(BR238=3,VLOOKUP(BN238,Справочная_двигатели,3,FALSE),BR238=1,VLOOKUP(BN238,Справочная_двигатели,5,TRUE)),0),0)</f>
        <v>0</v>
      </c>
      <c r="FH238">
        <f>IFERROR(IF(BX238=3,VLOOKUP(BN238,Справочная_ЛЭД,2,TRUE),0),0)</f>
        <v>0</v>
      </c>
      <c r="FI238" s="6">
        <f t="shared" si="438"/>
        <v>0</v>
      </c>
      <c r="FJ238" t="str" cm="1">
        <f t="array" ref="FJ238">IF(B238="","",IFERROR(INDEX({"I особая","I","II","III"},MATCH(TRIM(AC238&amp;""),{"I особая","I","II","III"},0)),"III"))</f>
        <v>II</v>
      </c>
      <c r="FK238" t="str">
        <f>IF(B238="","",IF(TRIM(AD238&amp;"")&lt;&gt;"",IF(LOWER(TRIM(AD238&amp;""))="да","да","нет"),IF(IFERROR(_xlfn.XLOOKUP(AX238,Коды_код,Коды_пожарная),"")="да","да","нет")))</f>
        <v>нет</v>
      </c>
      <c r="FL238" t="str">
        <f t="shared" si="439"/>
        <v/>
      </c>
      <c r="FM238" t="str">
        <f t="shared" si="440"/>
        <v>основная</v>
      </c>
      <c r="FN238">
        <f t="shared" si="441"/>
        <v>1</v>
      </c>
      <c r="FO238" t="str" cm="1">
        <f t="array" ref="FO238">IF(B238="","",_xlfn.LET(_xlpm.t,IFERROR(_xlfn.XLOOKUP(1,(Шины[Шина]=FM238)*(((Шины[Щит]=A238)+(Шины[Щит]=""))&gt;0),Шины[Тип]),"")&amp;"",IF(_xlpm.t&lt;&gt;"",_xlpm.t,IF(ISNUMBER(SEARCH("ИБП",FM238)),"ИБП",IF(ISNUMBER(SEARCH("ДГУ",FM238)),"ДГУ","Ввод "&amp;FN238)))))</f>
        <v>Ввод 1</v>
      </c>
      <c r="FP238" t="str">
        <f t="shared" si="442"/>
        <v>Ввод 1</v>
      </c>
      <c r="FQ238" t="str">
        <f>IF(B238="","",IF(OR(FO238="ИБП",FO238="ДГУ"),"I особая",IF(FO238="Одиночная","III",_xlfn.XLOOKUP(A238,Щиты[Щит],Щиты[Категория шины «Ввод»],"III"))))</f>
        <v>II</v>
      </c>
      <c r="FR238">
        <f>IF(B238="",0,IFERROR(MATCH(FJ238,{"III","II","I","I особая"},0),1))</f>
        <v>2</v>
      </c>
      <c r="FS238">
        <f t="shared" si="443"/>
        <v>2</v>
      </c>
      <c r="FT238" t="str">
        <f>IF(B238="","",IF(FR238&gt;IFERROR(MATCH(FQ238,{"III","II","I","I особая"},0),1),"НЕ ОБЕСПЕЧЕНА","ОК"))</f>
        <v>ОК</v>
      </c>
      <c r="FU238" t="str">
        <f>IF(A238="","",_xlfn.XLOOKUP(A238,Щиты[Щит],Щиты[Путь],""))</f>
        <v>|ГРЩ-ЖД|ЩР-1|</v>
      </c>
      <c r="FV238" t="str">
        <f>IF(B238="","",IF(AE238&lt;&gt;"",AE238,IF(IFERROR(_xlfn.XLOOKUP(AX238,Коды_код,Коды_вид)&amp;"","")="","Прочее",_xlfn.XLOOKUP(AX238,Коды_код,Коды_вид)&amp;"")))</f>
        <v>Розеточная сеть и бытовые приборы</v>
      </c>
      <c r="FW238">
        <f>IF(BH238="","",INT((BH238-1)/Столбцов_на_лист)+1)</f>
        <v>2</v>
      </c>
      <c r="FX238" t="str">
        <f t="shared" si="444"/>
        <v>ВВГнг(А)-LS (3х2,5) L=113-0,92%</v>
      </c>
      <c r="FY238">
        <f t="shared" si="445"/>
        <v>0.24</v>
      </c>
      <c r="FZ238">
        <f t="shared" si="446"/>
        <v>1.1000000000000001</v>
      </c>
      <c r="GA238">
        <f t="shared" si="447"/>
        <v>1</v>
      </c>
      <c r="GB238">
        <f t="shared" si="448"/>
        <v>0</v>
      </c>
      <c r="GC238">
        <f t="shared" si="449"/>
        <v>1</v>
      </c>
      <c r="GD238">
        <f>IF(BH238="","",IF(AND(CA238=1,GC238=1),COUNTIFS(A$3:A238,A238,CA$3:CA238,1,GC$3:GC238,1),IF(OR(OR(AW238=1,A238&lt;&gt;A237),AF238="вручную",GC238=0),"",IF(AW238=1,"",GE237))))</f>
        <v>14</v>
      </c>
      <c r="GE238">
        <f t="shared" si="450"/>
        <v>14</v>
      </c>
      <c r="GF238">
        <f>IF(B238="","",IFERROR(LOOKUP(INDEX(CHOOSE(DL238,Iдоп_1ж,Iдоп_2ж,Iдоп_3ж),MATCH(DX238,Iдоп_S,0))*DJ238*DK238,{6,10,16,20,25,32,40,50,63,80,100,125,160,200,250,315,400,500,630}),""))</f>
        <v>25</v>
      </c>
      <c r="GG238" t="str">
        <f t="shared" si="451"/>
        <v>QFD14</v>
      </c>
      <c r="GH238" t="str">
        <f t="shared" si="452"/>
        <v>QFD14</v>
      </c>
      <c r="GI238" t="str">
        <f t="shared" si="453"/>
        <v/>
      </c>
      <c r="GJ238">
        <f t="shared" si="454"/>
        <v>0</v>
      </c>
      <c r="GK238" t="str">
        <f>IF(OR(AG238="",AG238="-"),"",IFERROR(VLOOKUP(AG238,Модули_спр,2,FALSE),"R"))</f>
        <v/>
      </c>
      <c r="GL238" t="str">
        <f>IF(GK238="","",GK238&amp;"."&amp;COUNTIFS(A$3:A238,A238,GK$3:GK238,GK238))</f>
        <v/>
      </c>
      <c r="GM238" t="str">
        <f t="shared" si="455"/>
        <v/>
      </c>
      <c r="GN238" t="str">
        <f t="shared" si="456"/>
        <v/>
      </c>
      <c r="GO238" t="str">
        <f t="shared" si="457"/>
        <v/>
      </c>
      <c r="GP238" t="str">
        <f t="shared" si="458"/>
        <v/>
      </c>
      <c r="GQ238">
        <f t="shared" si="459"/>
        <v>1</v>
      </c>
      <c r="GR238" t="str">
        <f>IF(GQ238=1,"XT"&amp;COUNTIFS(A$3:A238,A238,GQ$3:GQ238,1),"")</f>
        <v>XT14</v>
      </c>
      <c r="GS238" t="str">
        <f t="shared" si="460"/>
        <v/>
      </c>
      <c r="GT238" t="str">
        <f t="shared" si="461"/>
        <v>QFD14</v>
      </c>
      <c r="GU238" t="str">
        <f t="shared" si="462"/>
        <v/>
      </c>
      <c r="GV238" t="str">
        <f t="shared" si="463"/>
        <v>ok</v>
      </c>
      <c r="GW238" t="str">
        <f>IF(OR(GO238="",GM238=""),"",IF(GO238&gt;IFERROR(VLOOKUP(GN238,Модули_спр,3,FALSE),99),"ЛИШНИЙ КАНАЛ",IF(AND(AH238&lt;&gt;"=",COUNTIFS(Линии[_модуль гр.],GM238,Линии[Канал (итог)],GO238,Линии[Канал],"&lt;&gt;=",Линии[Щит],A238)&gt;1),"ДУБЛЬ КАНАЛА","")))</f>
        <v/>
      </c>
      <c r="GX238" s="6" t="str">
        <f t="shared" si="464"/>
        <v/>
      </c>
      <c r="GY238">
        <f t="shared" si="465"/>
        <v>10</v>
      </c>
      <c r="GZ238" t="str">
        <f t="shared" si="466"/>
        <v/>
      </c>
      <c r="HA238" t="str">
        <f>IF(AND(B238="",GT238=""),"",_xlfn.TEXTJOIN("; ",TRUE,IF(AND(B238&lt;&gt;"",FE238=""),"нет фазы",""),IF(AND(B238&lt;&gt;"",N(FY238)=0,EQ238&lt;&gt;"Нет"),"нет мощности",""),IF(AND(GS238&lt;&gt;"",COUNTIFS(Линии[Щит],A238,Линии[Клемма (итог)],GS238)&gt;1),"дубль клеммы "&amp;GS238,""),IF(AND(GV238&lt;&gt;"",GV238&lt;&gt;"ok"),GV238,""),IF(GW238&lt;&gt;"",GW238,""),IF(AND(N(BV238)&gt;=4,N(BR238)=1),BV238&amp;" жил на 1 фазе",""),IF(AND(AX238="R",CA238=1,OR(N(CK238)=0,N(CK238)&gt;30)),"розетка без дифзащиты до 30 мА",""),IFERROR(IF(AND(ISNUMBER(R238),R238&gt;DV238),"потери "&amp;FIXED(R238,1)&amp;" % &gt; "&amp;DV238&amp;" %",""),""),IFERROR(IF(LEFT(GZ238,4)="мало","Iкз мало — отключение &gt; 0,4 с",""),""),IF(AND(B238&lt;&gt;"",BH238=""),"не на схеме",""),IF(AND(CA238=0,B238&lt;&gt;"",FE238&lt;&gt;"",IF(AW238=1,"",FF237)&lt;&gt;"",FE238&lt;&gt;IF(AW238=1,"",FF237)),"фаза не как у автомата группы ("&amp;IF(AW238=1,"",FF237)&amp;")","")))</f>
        <v/>
      </c>
      <c r="HB238" s="6">
        <f>IF(OR(CA238=0,DA238=""),"",_xlfn.LET(_xlpm.t,IFERROR(_xlfn.XLOOKUP(DA238,Каталог!$U$4:$U$500,Каталог!$G$4:$G$500),""),_xlpm.k,SEARCH("кА",_xlpm.t),IFERROR(--TRIM(RIGHT(SUBSTITUTE(MID(_xlpm.t,MAX(1,_xlpm.k-4),_xlpm.k-MAX(1,_xlpm.k-4))," ",REPT(" ",9)),5)),"")))</f>
        <v>6</v>
      </c>
      <c r="HC238" t="str">
        <f>IF(OR(HB238="",CA238=0),"",IF(_xlfn.XLOOKUP(A238,Щиты[Щит],Щиты[Iкз max на шинах, кА],"")="","",IF(HB238&lt;_xlfn.XLOOKUP(A238,Щиты[Щит],Щиты[Iкз max на шинах, кА]),"Icu "&amp;HB238&amp;" кА &lt; Iкз max","ok")))</f>
        <v/>
      </c>
      <c r="HD238" t="str">
        <f t="shared" si="467"/>
        <v/>
      </c>
      <c r="HE238" t="str">
        <f t="shared" si="468"/>
        <v>QFD14</v>
      </c>
      <c r="HF238" t="str">
        <f t="shared" si="469"/>
        <v>QFD14|кабель ВВГнг(А)-LS (3х2,5) → Розеточная группа, пом. 002Г</v>
      </c>
      <c r="HG238" t="str" cm="1">
        <f t="array" ref="HG238">IF(HF238="","",_xlfn.LET(_xlpm.nd,_xlfn.TEXTSPLIT(HF238,"|"),IF(COLUMNS(_xlpm.nd)&gt;1,A238&amp;"¦"&amp;INDEX(_xlpm.nd,1)&amp;"¦"&amp;INDEX(_xlpm.nd,2),"")))</f>
        <v>ЩР-1¦QFD14¦кабель ВВГнг(А)-LS (3х2,5) → Розеточная группа, пом. 002Г</v>
      </c>
      <c r="HH238" t="str">
        <f t="shared" si="470"/>
        <v>R.1.002Г.1¦Розеточная группа, пом. 002Г</v>
      </c>
      <c r="HI238" t="str" cm="1">
        <f t="array" ref="HI238">IF(HF238="","",_xlfn.LET(_xlpm.nd,_xlfn.TEXTSPLIT(HF238,"|"),IF(COLUMNS(_xlpm.nd)&gt;2,A238&amp;"¦"&amp;INDEX(_xlpm.nd,2)&amp;"¦"&amp;INDEX(_xlpm.nd,3),"")))</f>
        <v/>
      </c>
      <c r="HJ238" t="str">
        <f t="shared" si="471"/>
        <v/>
      </c>
      <c r="HK238" t="str" cm="1">
        <f t="array" ref="HK238">IF(HF238="","",_xlfn.LET(_xlpm.nd,_xlfn.TEXTSPLIT(HF238,"|"),IF(COLUMNS(_xlpm.nd)&gt;3,A238&amp;"¦"&amp;INDEX(_xlpm.nd,3)&amp;"¦"&amp;INDEX(_xlpm.nd,4),"")))</f>
        <v/>
      </c>
      <c r="HL238" t="str">
        <f t="shared" si="472"/>
        <v/>
      </c>
      <c r="HM238" t="str" cm="1">
        <f t="array" ref="HM238">IF(HF238="","",_xlfn.LET(_xlpm.nd,_xlfn.TEXTSPLIT(HF238,"|"),IF(COLUMNS(_xlpm.nd)&gt;4,A238&amp;"¦"&amp;INDEX(_xlpm.nd,4)&amp;"¦"&amp;INDEX(_xlpm.nd,5),"")))</f>
        <v/>
      </c>
      <c r="HN238" t="str">
        <f t="shared" si="473"/>
        <v/>
      </c>
      <c r="HO238" t="str" cm="1">
        <f t="array" ref="HO238">IF(HF238="","",_xlfn.LET(_xlpm.nd,_xlfn.TEXTSPLIT(HF238,"|"),IF(COLUMNS(_xlpm.nd)&gt;5,A238&amp;"¦"&amp;INDEX(_xlpm.nd,5)&amp;"¦"&amp;INDEX(_xlpm.nd,6),"")))</f>
        <v/>
      </c>
      <c r="HP238" t="str">
        <f t="shared" si="474"/>
        <v/>
      </c>
      <c r="HQ238" t="str" cm="1">
        <f t="array" ref="HQ238">IF(HF238="","",_xlfn.LET(_xlpm.nd,_xlfn.TEXTSPLIT(HF238,"|"),IF(COLUMNS(_xlpm.nd)&gt;6,A238&amp;"¦"&amp;INDEX(_xlpm.nd,6)&amp;"¦"&amp;INDEX(_xlpm.nd,7),"")))</f>
        <v/>
      </c>
      <c r="HR238" t="str">
        <f t="shared" si="475"/>
        <v/>
      </c>
      <c r="HS238" t="str">
        <f t="shared" si="476"/>
        <v/>
      </c>
      <c r="HT238" t="str">
        <f t="shared" si="477"/>
        <v>QFD14</v>
      </c>
      <c r="HU238">
        <f t="shared" si="478"/>
        <v>0</v>
      </c>
      <c r="HV238">
        <f t="shared" si="479"/>
        <v>1</v>
      </c>
      <c r="HW238" t="str">
        <f t="shared" si="480"/>
        <v/>
      </c>
      <c r="HX238" t="str">
        <f t="shared" si="481"/>
        <v/>
      </c>
      <c r="HY238" t="str">
        <f t="shared" si="482"/>
        <v/>
      </c>
      <c r="HZ238" t="str">
        <f t="shared" si="483"/>
        <v/>
      </c>
      <c r="IA238" t="str">
        <f>IF(B238="","",IFERROR(VLOOKUP(B238,УГО_спр,2,FALSE),IFERROR(VLOOKUP(AX238,УГО_спр,2,FALSE),IFERROR(VLOOKUP(LEFT(AX238,2),УГО_спр,2,FALSE),""))))</f>
        <v>Розетка</v>
      </c>
      <c r="IB238" t="str">
        <f>IF(B238="","",IF(OR(IA238="",IA238=0),"BOX",IFERROR(IF(VLOOKUP(IA238,УГО_блоки,3,FALSE)&amp;""&lt;&gt;"",VLOOKUP(IA238,УГО_блоки,3,FALSE),VLOOKUP(IA238,УГО_блоки,2,FALSE)),IA238)))</f>
        <v>SOCKET</v>
      </c>
      <c r="IC238">
        <f t="shared" si="484"/>
        <v>1</v>
      </c>
      <c r="ID238" t="str">
        <f>IF(DA238="","",IF(COUNTIF(DA$3:DA238,DA238)=1,MAX(ID$2:ID237)+1,""))</f>
        <v/>
      </c>
      <c r="IE238" t="str">
        <f>IF(CO238="","",IF(COUNTIF(CO$3:CO238,CO238)+COUNTIF(CP$2:CP237,CO238)+COUNTIF(CQ$2:CQ237,CO238)=1,MAX(IE$2:IG237)+1,""))</f>
        <v/>
      </c>
      <c r="IF238" t="str">
        <f>IF(CP238="","",IF(COUNTIF(CO$3:CO238,CP238)+COUNTIF(CP$3:CP238,CP238)+COUNTIF(CQ$2:CQ237,CP238)=1,MAX(IE$2:IG237,IE238)+1,""))</f>
        <v/>
      </c>
      <c r="IG238" t="str">
        <f>IF(CQ238="","",IF(COUNTIF(CO$3:CO238,CQ238)+COUNTIF(CP$3:CP238,CQ238)+COUNTIF(CQ$3:CQ238,CQ238)=1,MAX(IE$2:IG237,IE238,IF238)+1,""))</f>
        <v/>
      </c>
      <c r="IH238" t="str">
        <f t="shared" si="485"/>
        <v>3х2,5</v>
      </c>
      <c r="II238" t="str">
        <f>IF(IH238="","",IF(COUNTIF(IH$3:IH238,IH238)=1,MAX(II$2:II237)+1,""))</f>
        <v/>
      </c>
      <c r="IJ238" t="str">
        <f>IF(GL238="","",COUNTIF(GL$3:GL238,"?*"))</f>
        <v/>
      </c>
      <c r="IK238" t="str">
        <f>IF(OR(GL238="",GN238=""),"",IF(COUNTIFS(GL$3:GL238,"?*",GN$3:GN238,GN238)=1,MAX(IK$2:IK237)+1,""))</f>
        <v/>
      </c>
      <c r="IL238">
        <f t="shared" si="486"/>
        <v>0</v>
      </c>
      <c r="IM238">
        <f>IF(B238="","",COUNTIF(B$3:B238,"?*"))</f>
        <v>236</v>
      </c>
      <c r="IN238">
        <f>IF(GQ238&lt;&gt;1,0,_xlfn.LET(_xlpm.k,MAX(IFERROR(--VLOOKUP(B238,УГО_спр,5,FALSE),0),IFERROR(--VLOOKUP(AX238,УГО_спр,5,FALSE),0),IFERROR(--VLOOKUP(LEFT(AX238,2),УГО_спр,5,FALSE),0)),IF(_xlpm.k&gt;0,_xlpm.k,IF(IFERROR(--LEFT(SUBSTITUTE(IH238,"x","х"),FIND("х",SUBSTITUTE(IH238,"x","х"))-1),3)&gt;3,Каталог!$S$9,1))))</f>
        <v>1</v>
      </c>
      <c r="IO238">
        <f t="shared" si="487"/>
        <v>0</v>
      </c>
      <c r="IP238" t="str">
        <f t="shared" si="488"/>
        <v>авто</v>
      </c>
      <c r="IQ238">
        <f t="shared" si="489"/>
        <v>30</v>
      </c>
      <c r="IR238">
        <f t="shared" si="490"/>
        <v>1</v>
      </c>
      <c r="IS238">
        <f t="shared" si="491"/>
        <v>1</v>
      </c>
    </row>
    <row r="239" spans="1:253" x14ac:dyDescent="0.3">
      <c r="A239" t="s">
        <v>759</v>
      </c>
      <c r="B239" t="s">
        <v>1504</v>
      </c>
      <c r="C239" t="str">
        <f>Линии[[#This Row],[_авто наименование]]</f>
        <v>Розеточная группа, пом. 003A</v>
      </c>
      <c r="D239">
        <v>1</v>
      </c>
      <c r="E239">
        <v>0.36</v>
      </c>
      <c r="G239" t="str">
        <f>Линии[[#This Row],[_авто автомат]]</f>
        <v>2P С16А 30мА</v>
      </c>
      <c r="H239">
        <f>Линии[[#This Row],[_авто утечка]]</f>
        <v>30</v>
      </c>
      <c r="I239" t="str">
        <f>Линии[[#This Row],[_авто управление]]</f>
        <v/>
      </c>
      <c r="J239" t="str">
        <f>Линии[[#This Row],[_авто аппараты]]</f>
        <v/>
      </c>
      <c r="K239">
        <v>2.5</v>
      </c>
      <c r="L239">
        <v>57</v>
      </c>
      <c r="M239" t="str">
        <f>Линии[[#This Row],[_авто фаза]]</f>
        <v>L2</v>
      </c>
      <c r="N239" t="s">
        <v>486</v>
      </c>
      <c r="O239" t="str">
        <f t="shared" si="369"/>
        <v/>
      </c>
      <c r="P239" s="6" cm="1">
        <f t="array" ref="P239">IF(B239="","",IF(BC239&lt;&gt;"",IFERROR(_xlfn.XLOOKUP(BC239,Щиты[Щит],Щиты[Iр, А]),""),IF(BK239=1,IFERROR(_xlfn.XLOOKUP(A239,Щиты[Щит],Щиты[Iр, А]),""),IFERROR(_xlfn.IFS(BR239=1,BN239/((Uн_лин/SQRT(3))*BY239),BR239=3,BN239/(SQRT(3)*Uн_лин*BY239)),""))))</f>
        <v>1.6408902387494626</v>
      </c>
      <c r="Q239" s="7">
        <f>IF(B239="","",IFERROR(IF(VLOOKUP(AX239,Потребители_обозначение,4,FALSE)=1,VLOOKUP(AX239,Потребители_обозначение,3,FALSE)*(D239*2-1)+DS239+VLOOKUP(AZ239,Этаж_обозначение,3,FALSE)+VLOOKUP(AZ239,Этаж_обозначение,4,FALSE),VLOOKUP(AX239,Потребители_обозначение,3,FALSE)*(D239*2-1)+DS239),DS239))</f>
        <v>60</v>
      </c>
      <c r="R239" s="6">
        <f t="shared" si="370"/>
        <v>1.93</v>
      </c>
      <c r="S239" t="str">
        <f t="shared" si="371"/>
        <v>ВВГнг(А)-LS (3х2,5)</v>
      </c>
      <c r="T239" t="str">
        <f>IF(BH239="","",IF(BI239="вводной узел","узел ","")&amp;"л."&amp;(INT((BH239-1)/Столбцов_на_лист)+1)&amp;" / "&amp;(MOD(BH239-1,Столбцов_на_лист)+1))</f>
        <v>л.2 / 17</v>
      </c>
      <c r="V239">
        <v>1</v>
      </c>
      <c r="W239">
        <v>230</v>
      </c>
      <c r="X239" t="s">
        <v>564</v>
      </c>
      <c r="AC239" t="s">
        <v>815</v>
      </c>
      <c r="AE239" t="s">
        <v>563</v>
      </c>
      <c r="AI239">
        <v>34</v>
      </c>
      <c r="AJ239" t="s">
        <v>11</v>
      </c>
      <c r="AK239">
        <v>3</v>
      </c>
      <c r="AM239">
        <v>28</v>
      </c>
      <c r="AN239">
        <v>25</v>
      </c>
      <c r="AO239">
        <v>7</v>
      </c>
      <c r="AW239" cm="1">
        <f t="array" ref="AW239">ROW()-ROW(Линии[#Headers])</f>
        <v>237</v>
      </c>
      <c r="AX239" s="6" t="str">
        <f t="shared" si="372"/>
        <v>R</v>
      </c>
      <c r="AY239" t="str">
        <f t="shared" si="373"/>
        <v>1.003A.1</v>
      </c>
      <c r="AZ239" t="str">
        <f t="shared" si="374"/>
        <v>1</v>
      </c>
      <c r="BA239" t="str">
        <f t="shared" si="375"/>
        <v>003A.1</v>
      </c>
      <c r="BB239" t="str">
        <f t="shared" si="376"/>
        <v>003A</v>
      </c>
      <c r="BC239" t="str">
        <f>IF(U239&lt;&gt;"",U239,IF(AND(B239&lt;&gt;"",B239&lt;&gt;A239,ISNUMBER(_xlfn.XMATCH(B239,Щиты[Щит]))),B239,""))</f>
        <v/>
      </c>
      <c r="BD239" t="str" cm="1">
        <f t="array" ref="BD239">IF(B239="","",IF(BC239&lt;&gt;"","Щит "&amp;BC239,_xlfn.LET(_xlpm.nm,IFERROR(_xlfn.XLOOKUP(AX239,Коды_код,Коды_имя)&amp;"",""),_xlpm.md,IFERROR(N(_xlfn.XLOOKUP(AX239,Коды_код,Коды_режим)),1),_xlpm.ex,IF(Имя_режим="по экспликации",IFERROR(_xlfn.XLOOKUP(AZ239&amp;"|"&amp;BB239,Экспликация[Этаж]&amp;"|"&amp;Экспликация[Помещение],Экспликация[Название])&amp;"",""),""),_xlpm.rm,IF(BB239="","",IF(_xlpm.ex&lt;&gt;"",". "&amp;_xlpm.ex&amp;IF(Имя_пом="нет"," ("&amp;BB239&amp;")"," (пом. "&amp;BB239&amp;")"),IF(Имя_пом="нет"," ",", пом. ")&amp;BB239)),IF(_xlpm.nm="","",IF(_xlpm.md=2,_xlpm.nm&amp;" шлейф "&amp;AZ239,_xlpm.nm&amp;_xlpm.rm)))))</f>
        <v>Розеточная группа, пом. 003A</v>
      </c>
      <c r="BE239" t="str">
        <f t="shared" si="377"/>
        <v>Розеточная группа, пом. 003A</v>
      </c>
      <c r="BF239">
        <f>IFERROR(_xlfn.XMATCH(A239,Щиты[Щит]),0)</f>
        <v>10</v>
      </c>
      <c r="BG239">
        <f>_xlfn.LET(_xlpm.k,IFERROR(_xlfn.XLOOKUP(A239,Щиты[Щит],Щиты[Листов под вводной узел]),""),IF(_xlpm.k="",1,N(_xlpm.k))*Столбцов_на_лист)</f>
        <v>17</v>
      </c>
      <c r="BH239">
        <f t="shared" si="378"/>
        <v>34</v>
      </c>
      <c r="BI239" t="str">
        <f t="shared" si="379"/>
        <v>линии</v>
      </c>
      <c r="BJ239" s="6">
        <f>IFERROR(N(_xlfn.XLOOKUP(AX239,Коды_код,Коды_квт)),0)</f>
        <v>0</v>
      </c>
      <c r="BK239">
        <f t="shared" si="380"/>
        <v>0</v>
      </c>
      <c r="BL239" t="str">
        <f>IF(B239="","",IF(BC239&lt;&gt;"",IFERROR(_xlfn.XLOOKUP(BC239,Щиты[Щит],Щиты[Руст, кВт]),0),IF(BK239=1,IFERROR(_xlfn.XLOOKUP(A239,Щиты[Щит],Щиты[Руст, кВт]),0),IF(BJ239&gt;0,ROUND(BJ239*MAX(1,N(D239)),3),""))))</f>
        <v/>
      </c>
      <c r="BM239">
        <f t="shared" si="381"/>
        <v>0.36</v>
      </c>
      <c r="BN239" s="6">
        <f>IF(B239="","",IF(BC239&lt;&gt;"",IFERROR(_xlfn.XLOOKUP(BC239,Щиты[Щит],Щиты[Руст, кВт]),0),N(BM239)))</f>
        <v>0.36</v>
      </c>
      <c r="BO239" t="str">
        <f>IF(B239="","",IFERROR(IF(VLOOKUP(AX239,Потребители_обозначение,8,FALSE)=0,"",VLOOKUP(AX239,Потребители_обозначение,8,FALSE)),""))</f>
        <v/>
      </c>
      <c r="BP239">
        <f t="shared" si="382"/>
        <v>230</v>
      </c>
      <c r="BQ239">
        <f>IF(B239="","",IF(BC239&lt;&gt;"",3,IFERROR(IF(N(VLOOKUP(AX239,Потребители_обозначение,9,FALSE))=0,1,VLOOKUP(AX239,Потребители_обозначение,9,FALSE)),1)))</f>
        <v>1</v>
      </c>
      <c r="BR239">
        <f t="shared" si="383"/>
        <v>1</v>
      </c>
      <c r="BS239" t="str">
        <f>IF(B239="","",_xlfn.LET(_xlpm.bc,IFERROR(IF(VLOOKUP(AX239,Потребители_обозначение,6,FALSE)=0,"",VLOOKUP(AX239,Потребители_обозначение,6,FALSE)&amp;""),""),IF(AND(FK239="да",OR(_xlpm.bc="",_xlpm.bc="мс")),Марка_пож,IF(AND(_xlpm.bc="",BC239&lt;&gt;""),"мс",_xlpm.bc))))</f>
        <v/>
      </c>
      <c r="BT239" t="str">
        <f t="shared" si="384"/>
        <v>мс</v>
      </c>
      <c r="BU239">
        <f>IF(B239="","",_xlfn.LET(_xlpm.cc,IFERROR(N(VLOOKUP(AX239,Потребители_обозначение,7,FALSE)),0),IF(_xlpm.cc&gt;0,_xlpm.cc,IF(BT239="","",IF(N(BR239)=3,5,3)))))</f>
        <v>3</v>
      </c>
      <c r="BV239">
        <f t="shared" si="385"/>
        <v>3</v>
      </c>
      <c r="BW239">
        <f>IFERROR(N(VLOOKUP(AX239,Потребители_обозначение,10,FALSE)),0)</f>
        <v>0</v>
      </c>
      <c r="BX239">
        <f>IFERROR(VLOOKUP(AX239,Потребители_обозначение,5,FALSE),0)</f>
        <v>1</v>
      </c>
      <c r="BY239" s="6" cm="1">
        <f t="array" ref="BY239">IF(B239="","",IF(BC239&lt;&gt;"",IFERROR(_xlfn.XLOOKUP(BC239,Щиты[Щит],Щиты[cos φ]),0.95),IF(BK239=1,IFERROR(_xlfn.XLOOKUP(A239,Щиты[Щит],Щиты[cos φ]),0.95),IF(ISNUMBER(Z239),Z239,IFERROR(IF(BX239=2,_xlfn.IFS(BR239=3,VLOOKUP(BN239,Справочная_двигатели,8,FALSE),BR239=1,VLOOKUP(BN239,Справочная_двигатели,10,TRUE)),IF(AND(Методика="нормы 2026",EQ239="Сил"),0.8,0.95)),0.95)))))</f>
        <v>0.95</v>
      </c>
      <c r="BZ239">
        <f t="shared" si="386"/>
        <v>0</v>
      </c>
      <c r="CA239">
        <f t="shared" si="387"/>
        <v>1</v>
      </c>
      <c r="CB239">
        <f t="shared" si="388"/>
        <v>0</v>
      </c>
      <c r="CC239">
        <f t="shared" si="389"/>
        <v>0</v>
      </c>
      <c r="CD239">
        <f t="shared" si="390"/>
        <v>0</v>
      </c>
      <c r="CE239">
        <f t="shared" si="391"/>
        <v>0</v>
      </c>
      <c r="CF239">
        <f t="shared" si="392"/>
        <v>0</v>
      </c>
      <c r="CG239">
        <f>IF(AX239="",0,_xlfn.LET(_xlpm.v,IFERROR(VLOOKUP(B239,УГО_спр,3,FALSE),IFERROR(VLOOKUP(AX239,УГО_спр,3,FALSE),IFERROR(VLOOKUP(LEFT(AX239,2),УГО_спр,3,FALSE),""))),IF(_xlpm.v="да",30,IF(ISNUMBER(_xlpm.v),_xlpm.v,0))))</f>
        <v>30</v>
      </c>
      <c r="CH239">
        <f t="shared" si="393"/>
        <v>30</v>
      </c>
      <c r="CI239" t="str">
        <f>_xlfn.LET(_xlpm.k,IFERROR(_xlfn.XLOOKUP(AX239,Коды_код,Коды_утечка)&amp;"",""),IF(_xlpm.k="","дифавтомат",_xlpm.k))</f>
        <v>дифавтомат</v>
      </c>
      <c r="CJ239">
        <f t="shared" si="394"/>
        <v>30</v>
      </c>
      <c r="CK239">
        <f t="shared" si="395"/>
        <v>30</v>
      </c>
      <c r="CL239">
        <f>IF(B239="",0,IFERROR(--VLOOKUP(B239,УГО_спр,4,FALSE),IFERROR(--VLOOKUP(AX239,УГО_спр,4,FALSE),IFERROR(--VLOOKUP(LEFT(AX239,2),УГО_спр,4,FALSE),0))))</f>
        <v>16</v>
      </c>
      <c r="CM239" t="str">
        <f>IF(B239="","",IFERROR(_xlfn.XLOOKUP(AX239,Коды_код,Коды_апп)&amp;"",""))</f>
        <v/>
      </c>
      <c r="CN239" t="str">
        <f t="shared" si="396"/>
        <v/>
      </c>
      <c r="CO239" t="str" cm="1">
        <f t="array" ref="CO239">IF(TRIM(CN239&amp;"")="","",IFERROR(TRIM(INDEX(_xlfn.TEXTSPLIT(CN239&amp;";;;",";"),1)),""))</f>
        <v/>
      </c>
      <c r="CP239" t="str" cm="1">
        <f t="array" ref="CP239">IF(TRIM(CN239&amp;"")="","",IFERROR(TRIM(INDEX(_xlfn.TEXTSPLIT(CN239&amp;";;;",";"),2)),""))</f>
        <v/>
      </c>
      <c r="CQ239" t="str" cm="1">
        <f t="array" ref="CQ239">IF(TRIM(CN239&amp;"")="","",IFERROR(TRIM(INDEX(_xlfn.TEXTSPLIT(CN239&amp;";;;",";"),3)),""))</f>
        <v/>
      </c>
      <c r="CR239">
        <f t="shared" si="397"/>
        <v>0</v>
      </c>
      <c r="CS239" t="str">
        <f>IF(B239="","",_xlfn.LET(_xlpm.t,LOWER(AV239&amp;""),IF(ISNUMBER(SEARCH("dim",_xlpm.t)),"DIM",IF(ISNUMBER(SEARCH("dali",_xlpm.t)),"DALI",IF(OR(ISNUMBER(SEARCH("relay",_xlpm.t)),ISNUMBER(SEARCH("реле",_xlpm.t))),"Relay",IF(ISNUMBER(SEARCH("кнопк",_xlpm.t)),"",IFERROR(_xlfn.XLOOKUP(AX239,Коды_код,Коды_упр)&amp;"","")))))))</f>
        <v/>
      </c>
      <c r="CT239" t="str">
        <f t="shared" si="398"/>
        <v/>
      </c>
      <c r="CU239">
        <f>IF(B239="","",_xlfn.LET(_xlpm.ig,N(P239)+IF(AF239="вручную",0,N(CB239)),_xlpm.n0,IFERROR(VLOOKUP(_xlpm.ig,Автомат_номиналы,2,TRUE),0),_xlpm.mn,MAX(CL239,IF(AF239="вручную",0,N(CE239))),MAX(_xlpm.n0,_xlpm.mn,IF(CR239=1,Мин_автомат_БП,0))))</f>
        <v>16</v>
      </c>
      <c r="CV239">
        <f t="shared" si="399"/>
        <v>1</v>
      </c>
      <c r="CW239" t="str">
        <f t="shared" si="400"/>
        <v>2P</v>
      </c>
      <c r="CX239" t="str">
        <f>_xlfn.LET(_xlpm.cc,UPPER(TRIM(IFERROR(_xlfn.XLOOKUP(AX239,Коды_код,Коды_хар)&amp;"",""))),IF(OR(_xlpm.cc="B",_xlpm.cc="В"),"B",IF(_xlpm.cc="D","D","С")))</f>
        <v>С</v>
      </c>
      <c r="CY239" t="str">
        <f t="shared" si="401"/>
        <v>2P С16А 30мА</v>
      </c>
      <c r="CZ239" t="str">
        <f t="shared" si="402"/>
        <v>2P С16А 30мА</v>
      </c>
      <c r="DA239" t="str">
        <f t="shared" si="403"/>
        <v>2P С16А 30мА</v>
      </c>
      <c r="DB239" cm="1">
        <f t="array" ref="DB239">IF(DA239="","",_xlfn.LET(_xlpm.t,SUBSTITUTE(SUBSTITUTE(SUBSTITUTE(UPPER(DA239),"С","C"),"А","A"),"В","B"),_xlpm.tk,_xlfn.TEXTSPLIT(_xlpm.t,"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9" t="str">
        <f t="shared" si="404"/>
        <v>ok</v>
      </c>
      <c r="DD239">
        <f t="shared" si="405"/>
        <v>16</v>
      </c>
      <c r="DE239" t="str">
        <f t="shared" si="406"/>
        <v>2P С16А 30мА</v>
      </c>
      <c r="DF239">
        <f t="shared" si="407"/>
        <v>30</v>
      </c>
      <c r="DG239">
        <f t="shared" si="408"/>
        <v>1</v>
      </c>
      <c r="DH239">
        <f t="shared" si="409"/>
        <v>0</v>
      </c>
      <c r="DI239">
        <f t="shared" si="410"/>
        <v>1.6408902387494626</v>
      </c>
      <c r="DJ239">
        <f t="shared" si="411"/>
        <v>1</v>
      </c>
      <c r="DK239">
        <f>IF(ISNUMBER(AL239),AL239,К_прокл)</f>
        <v>1</v>
      </c>
      <c r="DL239">
        <f t="shared" si="412"/>
        <v>2</v>
      </c>
      <c r="DM239">
        <f>IFERROR(N(VLOOKUP(BT239,Кабель_обозначение,3,FALSE)),1)</f>
        <v>1</v>
      </c>
      <c r="DN239">
        <f>IFERROR(N(_xlfn.XLOOKUP(A239,Щиты[Щит],Щиты[ΔU до шин, %])),0)</f>
        <v>1.19</v>
      </c>
      <c r="DO239" t="str">
        <f>IFERROR(_xlfn.XLOOKUP(A239,Щиты[Щит],Щиты[Zпетли на шинах, Ом]),"")</f>
        <v/>
      </c>
      <c r="DP239">
        <f>IFERROR(N(_xlfn.XLOOKUP(A239,Щиты[Щит],Щиты[ΔU до шин (подбор), %])),0)</f>
        <v>1.19</v>
      </c>
      <c r="DQ239" t="str">
        <f>IFERROR(_xlfn.XLOOKUP(A239,Щиты[Щит],Щиты[Zпетли на шинах (подбор), Ом]),"")</f>
        <v/>
      </c>
      <c r="DR239" t="str">
        <f t="shared" si="413"/>
        <v/>
      </c>
      <c r="DS239">
        <f t="shared" si="414"/>
        <v>57</v>
      </c>
      <c r="DT239">
        <f t="shared" si="415"/>
        <v>2</v>
      </c>
      <c r="DU239">
        <f t="shared" si="416"/>
        <v>0.31</v>
      </c>
      <c r="DV239" s="6">
        <f>IF(B239="","",IF(IFERROR(VLOOKUP(AX239,УГО_спр,2,FALSE),"")="Светильник",3,4)+IF(Методика="нормы 2026",MIN(0.5,MAX(0,N(Q239)-100)*0.005),0))</f>
        <v>4</v>
      </c>
      <c r="DW239" cm="1">
        <f t="array" ref="DW239">IF(OR(B239="",BT239="",DM239&lt;&gt;1),"",_xlfn.LET(_xlpm.sz,Iдоп_S,_xlpm.t_,CHOOSE(DL239,Iдоп_1ж,Iдоп_2ж,Iдоп_3ж)*DJ239*DK239,_xlpm.inn,N(DD239),_xlpm.smin,MAX(1.5,BW239),_xlpm.L_,N(Q239)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239)*(_xlpm.rho*_xlpm.L_/_xlpm.sz*N(BY239)+_xlpm.xx*_xlpm.L_*N(DU239)/1000)*N(P239)/((Uн_лин/SQRT(3))*1000)*100,999),_xlpm.kz,IF(OR(DG239=1,NOT(ISNUMBER(DQ239)),_xlpm.L_=0,_xlpm.inn=0),1,IFERROR(--(c_min*(Uн_лин*1000/SQRT(3))/(DQ239+2*ρкз_Cu*_xlpm.L_/_xlpm.sz)&gt;=GY239*_xlpm.inn),0)),_xlpm.ok,IFERROR((_xlpm.sz&gt;=_xlpm.smin)*(_xlpm.t_&gt;=_xlpm.inn)*IF(_xlpm.L_&gt;0,(_xlpm.du_+DP239&lt;=DV239+0.00001),1)*_xlpm.kz,0),_xlpm.r_,_xlfn._xlws.FILTER(_xlpm.sz,_xlpm.ok,"не подобрано"),INDEX(_xlpm.r_,1)))</f>
        <v>1.5</v>
      </c>
      <c r="DX239">
        <f t="shared" si="417"/>
        <v>2.5</v>
      </c>
      <c r="DY239" cm="1">
        <f t="array" ref="DY239">IF(OR(B239="",BT239="",DM239&lt;&gt;1),"",_xlfn.LET(_xlpm.sz,Iдоп_S,_xlpm.t_,CHOOSE(DL239,Iдоп_1ж,Iдоп_2ж,Iдоп_3ж)*DJ239*DK239,_xlpm.ok,IFERROR((_xlpm.sz&gt;=MAX(1.5,BW239))*(_xlpm.t_&gt;=N(DD239)),0),_xlpm.r_,_xlfn._xlws.FILTER(_xlpm.sz,_xlpm.ok,""),INDEX(_xlpm.r_,1)))</f>
        <v>1.5</v>
      </c>
      <c r="DZ239" s="6" cm="1">
        <f t="array" ref="DZ239">IFERROR(ROUNDUP(N(DT239)*(_xlfn.XLOOKUP(DY239,INDEX(Кабель_сопротивление,0,1),INDEX(Кабель_сопротивление,0,3))*N(Q239)/DY239*N(BY239)+_xlfn.XLOOKUP(DY239,INDEX(Кабель_сопротивление,0,1),INDEX(Кабель_сопротивление,0,2))*N(Q239)*N(DU239)/1000)*N(P239)/((Uн_лин/SQRT(3))*1000)*100,2),"")</f>
        <v>1.22</v>
      </c>
      <c r="EA239">
        <f>IFERROR(2*ρкз_Cu*N(Q239)/DY239,"")</f>
        <v>2.1040000000000001</v>
      </c>
      <c r="EB239">
        <f>IFERROR(VLOOKUP(DX239,Кабель_сопротивление,3,FALSE),"")</f>
        <v>2.2499999999999999E-2</v>
      </c>
      <c r="EC239">
        <f>IFERROR(VLOOKUP(DX239,Кабель_сопротивление,2,FALSE),"")</f>
        <v>0.1</v>
      </c>
      <c r="ED239">
        <f t="shared" si="418"/>
        <v>25</v>
      </c>
      <c r="EE239">
        <f t="shared" si="419"/>
        <v>7</v>
      </c>
      <c r="EF239">
        <f t="shared" si="420"/>
        <v>1.6896574966450961</v>
      </c>
      <c r="EG239" s="6">
        <f>IFERROR(ROUNDUP(EF239/((Uн_лин/SQRT(3))*1000)*100,2),"")</f>
        <v>0.74</v>
      </c>
      <c r="EH239" t="str">
        <f>IFERROR(VLOOKUP(BT239,Кабель_обозначение,2,FALSE),"")</f>
        <v>ВВГнг(А)-LS</v>
      </c>
      <c r="EI239" t="str">
        <f t="shared" si="421"/>
        <v>ВВГнг(А)-LS (3х2,5)</v>
      </c>
      <c r="EJ239" t="str">
        <f t="shared" si="422"/>
        <v>ВВГнг(А)-LS (3х2,5)
L=60-0,74%</v>
      </c>
      <c r="EK239">
        <f>IFERROR(2*ρкз_Cu*Q239/DX239,"")</f>
        <v>1.2624</v>
      </c>
      <c r="EL239">
        <f t="shared" si="423"/>
        <v>0.42000000000000004</v>
      </c>
      <c r="EM239" s="6" t="str">
        <f>IFERROR(IF(OR(B239="",NOT(ISNUMBER(DX239)),N(Q239)=0),"",_xlfn.XLOOKUP(A239,Щиты[Щит],Щиты[Zпетли на шинах, Ом])+EK239),"")</f>
        <v/>
      </c>
      <c r="EN239" s="6" t="str">
        <f>IF(ISNUMBER(EM239),c_min*(Uн_лин*1000/SQRT(3))/EM239,"")</f>
        <v/>
      </c>
      <c r="EO239" s="6" t="str">
        <f>IFERROR(IF(OR(B239="",NOT(ISNUMBER(DX239))),"",1.05*(Uн_лин*1000/SQRT(3))/(_xlfn.XLOOKUP(A239,Щиты[Щит],Щиты[Zmax на шинах, Ом])+EL239)/1000),"")</f>
        <v/>
      </c>
      <c r="EP239" s="6" t="str">
        <f>IF(B239="","",IF(ISNUMBER(Y239),"Сил",IF(IFERROR(_xlfn.XLOOKUP(AX239,Коды_код,Коды_группа)&amp;"","")="","Быт",_xlfn.XLOOKUP(AX239,Коды_код,Коды_группа)&amp;"")))</f>
        <v>Быт</v>
      </c>
      <c r="EQ239" s="6" t="str">
        <f t="shared" si="424"/>
        <v>Быт</v>
      </c>
      <c r="ER239" s="6">
        <f>IF(EQ239="Щит","щит",IF(EQ239="","",IF(EQ239="Быт",IFERROR(_xlfn.XLOOKUP(A239,Щиты[Щит],Щиты[Кс быт]),1),IF(EQ239="Сил",IF(ISNUMBER(Y239),Y239,IF(Методика="нормы 2026",IFERROR(_xlfn.XLOOKUP(A239,Щиты[Щит],Щиты[Кс силовых (табл. 7.5)]),1),1)),IF(OR(EQ239="Пост",EQ239="Отоп"),1,IF(EQ239="ВНГ",0.7,0))))))</f>
        <v>0.57830000000000004</v>
      </c>
      <c r="ES239">
        <f t="shared" si="425"/>
        <v>1</v>
      </c>
      <c r="ET239">
        <f t="shared" si="426"/>
        <v>0.36</v>
      </c>
      <c r="EU239">
        <f t="shared" si="427"/>
        <v>0.36</v>
      </c>
      <c r="EV239">
        <f t="shared" si="428"/>
        <v>0</v>
      </c>
      <c r="EW239">
        <f t="shared" si="429"/>
        <v>0</v>
      </c>
      <c r="EX239">
        <f t="shared" si="430"/>
        <v>0</v>
      </c>
      <c r="EY239">
        <f t="shared" si="431"/>
        <v>0</v>
      </c>
      <c r="EZ239">
        <f t="shared" si="432"/>
        <v>0.36</v>
      </c>
      <c r="FA239">
        <f t="shared" si="433"/>
        <v>0.34199999999999997</v>
      </c>
      <c r="FB239">
        <f t="shared" si="434"/>
        <v>0.36</v>
      </c>
      <c r="FC239" t="str">
        <f t="shared" si="435"/>
        <v/>
      </c>
      <c r="FD239" t="str">
        <f>IF(B239="","",IF(CA239=0,IF(AW239=1,"",FF238),IF(OR(N(CV239)&gt;=3,N(BR239)&gt;=3),"L1,L2,L3",IFERROR(_xlfn.TEXTBEFORE(_xlfn.TEXTAFTER(_xlfn.XLOOKUP(A239,Щиты[Щит],Щиты[_фазы авто]),";"&amp;AW239&amp;":"),";"),"L1"))))</f>
        <v>L2</v>
      </c>
      <c r="FE239" t="str">
        <f t="shared" si="436"/>
        <v>L2</v>
      </c>
      <c r="FF239" t="str">
        <f t="shared" si="437"/>
        <v>L2</v>
      </c>
      <c r="FG239" cm="1">
        <f t="array" ref="FG239">IFERROR(IF(BX239=2,_xlfn.IFS(BR239=3,VLOOKUP(BN239,Справочная_двигатели,3,FALSE),BR239=1,VLOOKUP(BN239,Справочная_двигатели,5,TRUE)),0),0)</f>
        <v>0</v>
      </c>
      <c r="FH239">
        <f>IFERROR(IF(BX239=3,VLOOKUP(BN239,Справочная_ЛЭД,2,TRUE),0),0)</f>
        <v>0</v>
      </c>
      <c r="FI239" s="6">
        <f t="shared" si="438"/>
        <v>0</v>
      </c>
      <c r="FJ239" t="str" cm="1">
        <f t="array" ref="FJ239">IF(B239="","",IFERROR(INDEX({"I особая","I","II","III"},MATCH(TRIM(AC239&amp;""),{"I особая","I","II","III"},0)),"III"))</f>
        <v>II</v>
      </c>
      <c r="FK239" t="str">
        <f>IF(B239="","",IF(TRIM(AD239&amp;"")&lt;&gt;"",IF(LOWER(TRIM(AD239&amp;""))="да","да","нет"),IF(IFERROR(_xlfn.XLOOKUP(AX239,Коды_код,Коды_пожарная),"")="да","да","нет")))</f>
        <v>нет</v>
      </c>
      <c r="FL239" t="str">
        <f t="shared" si="439"/>
        <v/>
      </c>
      <c r="FM239" t="str">
        <f t="shared" si="440"/>
        <v>основная</v>
      </c>
      <c r="FN239">
        <f t="shared" si="441"/>
        <v>1</v>
      </c>
      <c r="FO239" t="str" cm="1">
        <f t="array" ref="FO239">IF(B239="","",_xlfn.LET(_xlpm.t,IFERROR(_xlfn.XLOOKUP(1,(Шины[Шина]=FM239)*(((Шины[Щит]=A239)+(Шины[Щит]=""))&gt;0),Шины[Тип]),"")&amp;"",IF(_xlpm.t&lt;&gt;"",_xlpm.t,IF(ISNUMBER(SEARCH("ИБП",FM239)),"ИБП",IF(ISNUMBER(SEARCH("ДГУ",FM239)),"ДГУ","Ввод "&amp;FN239)))))</f>
        <v>Ввод 1</v>
      </c>
      <c r="FP239" t="str">
        <f t="shared" si="442"/>
        <v>Ввод 1</v>
      </c>
      <c r="FQ239" t="str">
        <f>IF(B239="","",IF(OR(FO239="ИБП",FO239="ДГУ"),"I особая",IF(FO239="Одиночная","III",_xlfn.XLOOKUP(A239,Щиты[Щит],Щиты[Категория шины «Ввод»],"III"))))</f>
        <v>II</v>
      </c>
      <c r="FR239">
        <f>IF(B239="",0,IFERROR(MATCH(FJ239,{"III","II","I","I особая"},0),1))</f>
        <v>2</v>
      </c>
      <c r="FS239">
        <f t="shared" si="443"/>
        <v>2</v>
      </c>
      <c r="FT239" t="str">
        <f>IF(B239="","",IF(FR239&gt;IFERROR(MATCH(FQ239,{"III","II","I","I особая"},0),1),"НЕ ОБЕСПЕЧЕНА","ОК"))</f>
        <v>ОК</v>
      </c>
      <c r="FU239" t="str">
        <f>IF(A239="","",_xlfn.XLOOKUP(A239,Щиты[Щит],Щиты[Путь],""))</f>
        <v>|ГРЩ-ЖД|ЩР-1|</v>
      </c>
      <c r="FV239" t="str">
        <f>IF(B239="","",IF(AE239&lt;&gt;"",AE239,IF(IFERROR(_xlfn.XLOOKUP(AX239,Коды_код,Коды_вид)&amp;"","")="","Прочее",_xlfn.XLOOKUP(AX239,Коды_код,Коды_вид)&amp;"")))</f>
        <v>Розеточная сеть и бытовые приборы</v>
      </c>
      <c r="FW239">
        <f>IF(BH239="","",INT((BH239-1)/Столбцов_на_лист)+1)</f>
        <v>2</v>
      </c>
      <c r="FX239" t="str">
        <f t="shared" si="444"/>
        <v>ВВГнг(А)-LS (3х2,5) L=60-0,74%</v>
      </c>
      <c r="FY239">
        <f t="shared" si="445"/>
        <v>0.36</v>
      </c>
      <c r="FZ239">
        <f t="shared" si="446"/>
        <v>1.65</v>
      </c>
      <c r="GA239">
        <f t="shared" si="447"/>
        <v>1</v>
      </c>
      <c r="GB239">
        <f t="shared" si="448"/>
        <v>0</v>
      </c>
      <c r="GC239">
        <f t="shared" si="449"/>
        <v>1</v>
      </c>
      <c r="GD239">
        <f>IF(BH239="","",IF(AND(CA239=1,GC239=1),COUNTIFS(A$3:A239,A239,CA$3:CA239,1,GC$3:GC239,1),IF(OR(OR(AW239=1,A239&lt;&gt;A238),AF239="вручную",GC239=0),"",IF(AW239=1,"",GE238))))</f>
        <v>15</v>
      </c>
      <c r="GE239">
        <f t="shared" si="450"/>
        <v>15</v>
      </c>
      <c r="GF239">
        <f>IF(B239="","",IFERROR(LOOKUP(INDEX(CHOOSE(DL239,Iдоп_1ж,Iдоп_2ж,Iдоп_3ж),MATCH(DX239,Iдоп_S,0))*DJ239*DK239,{6,10,16,20,25,32,40,50,63,80,100,125,160,200,250,315,400,500,630}),""))</f>
        <v>25</v>
      </c>
      <c r="GG239" t="str">
        <f t="shared" si="451"/>
        <v>QFD15</v>
      </c>
      <c r="GH239" t="str">
        <f t="shared" si="452"/>
        <v>QFD15</v>
      </c>
      <c r="GI239" t="str">
        <f t="shared" si="453"/>
        <v/>
      </c>
      <c r="GJ239">
        <f t="shared" si="454"/>
        <v>0</v>
      </c>
      <c r="GK239" t="str">
        <f>IF(OR(AG239="",AG239="-"),"",IFERROR(VLOOKUP(AG239,Модули_спр,2,FALSE),"R"))</f>
        <v/>
      </c>
      <c r="GL239" t="str">
        <f>IF(GK239="","",GK239&amp;"."&amp;COUNTIFS(A$3:A239,A239,GK$3:GK239,GK239))</f>
        <v/>
      </c>
      <c r="GM239" t="str">
        <f t="shared" si="455"/>
        <v/>
      </c>
      <c r="GN239" t="str">
        <f t="shared" si="456"/>
        <v/>
      </c>
      <c r="GO239" t="str">
        <f t="shared" si="457"/>
        <v/>
      </c>
      <c r="GP239" t="str">
        <f t="shared" si="458"/>
        <v/>
      </c>
      <c r="GQ239">
        <f t="shared" si="459"/>
        <v>1</v>
      </c>
      <c r="GR239" t="str">
        <f>IF(GQ239=1,"XT"&amp;COUNTIFS(A$3:A239,A239,GQ$3:GQ239,1),"")</f>
        <v>XT15</v>
      </c>
      <c r="GS239" t="str">
        <f t="shared" si="460"/>
        <v/>
      </c>
      <c r="GT239" t="str">
        <f t="shared" si="461"/>
        <v>QFD15</v>
      </c>
      <c r="GU239" t="str">
        <f t="shared" si="462"/>
        <v/>
      </c>
      <c r="GV239" t="str">
        <f t="shared" si="463"/>
        <v>ok</v>
      </c>
      <c r="GW239" t="str">
        <f>IF(OR(GO239="",GM239=""),"",IF(GO239&gt;IFERROR(VLOOKUP(GN239,Модули_спр,3,FALSE),99),"ЛИШНИЙ КАНАЛ",IF(AND(AH239&lt;&gt;"=",COUNTIFS(Линии[_модуль гр.],GM239,Линии[Канал (итог)],GO239,Линии[Канал],"&lt;&gt;=",Линии[Щит],A239)&gt;1),"ДУБЛЬ КАНАЛА","")))</f>
        <v/>
      </c>
      <c r="GX239" s="6" t="str">
        <f t="shared" si="464"/>
        <v/>
      </c>
      <c r="GY239">
        <f t="shared" si="465"/>
        <v>10</v>
      </c>
      <c r="GZ239" t="str">
        <f t="shared" si="466"/>
        <v/>
      </c>
      <c r="HA239" t="str">
        <f>IF(AND(B239="",GT239=""),"",_xlfn.TEXTJOIN("; ",TRUE,IF(AND(B239&lt;&gt;"",FE239=""),"нет фазы",""),IF(AND(B239&lt;&gt;"",N(FY239)=0,EQ239&lt;&gt;"Нет"),"нет мощности",""),IF(AND(GS239&lt;&gt;"",COUNTIFS(Линии[Щит],A239,Линии[Клемма (итог)],GS239)&gt;1),"дубль клеммы "&amp;GS239,""),IF(AND(GV239&lt;&gt;"",GV239&lt;&gt;"ok"),GV239,""),IF(GW239&lt;&gt;"",GW239,""),IF(AND(N(BV239)&gt;=4,N(BR239)=1),BV239&amp;" жил на 1 фазе",""),IF(AND(AX239="R",CA239=1,OR(N(CK239)=0,N(CK239)&gt;30)),"розетка без дифзащиты до 30 мА",""),IFERROR(IF(AND(ISNUMBER(R239),R239&gt;DV239),"потери "&amp;FIXED(R239,1)&amp;" % &gt; "&amp;DV239&amp;" %",""),""),IFERROR(IF(LEFT(GZ239,4)="мало","Iкз мало — отключение &gt; 0,4 с",""),""),IF(AND(B239&lt;&gt;"",BH239=""),"не на схеме",""),IF(AND(CA239=0,B239&lt;&gt;"",FE239&lt;&gt;"",IF(AW239=1,"",FF238)&lt;&gt;"",FE239&lt;&gt;IF(AW239=1,"",FF238)),"фаза не как у автомата группы ("&amp;IF(AW239=1,"",FF238)&amp;")","")))</f>
        <v/>
      </c>
      <c r="HB239" s="6">
        <f>IF(OR(CA239=0,DA239=""),"",_xlfn.LET(_xlpm.t,IFERROR(_xlfn.XLOOKUP(DA239,Каталог!$U$4:$U$500,Каталог!$G$4:$G$500),""),_xlpm.k,SEARCH("кА",_xlpm.t),IFERROR(--TRIM(RIGHT(SUBSTITUTE(MID(_xlpm.t,MAX(1,_xlpm.k-4),_xlpm.k-MAX(1,_xlpm.k-4))," ",REPT(" ",9)),5)),"")))</f>
        <v>6</v>
      </c>
      <c r="HC239" t="str">
        <f>IF(OR(HB239="",CA239=0),"",IF(_xlfn.XLOOKUP(A239,Щиты[Щит],Щиты[Iкз max на шинах, кА],"")="","",IF(HB239&lt;_xlfn.XLOOKUP(A239,Щиты[Щит],Щиты[Iкз max на шинах, кА]),"Icu "&amp;HB239&amp;" кА &lt; Iкз max","ok")))</f>
        <v/>
      </c>
      <c r="HD239" t="str">
        <f t="shared" si="467"/>
        <v/>
      </c>
      <c r="HE239" t="str">
        <f t="shared" si="468"/>
        <v>QFD15</v>
      </c>
      <c r="HF239" t="str">
        <f t="shared" si="469"/>
        <v>QFD15|кабель ВВГнг(А)-LS (3х2,5) → Розеточная группа, пом. 003A</v>
      </c>
      <c r="HG239" t="str" cm="1">
        <f t="array" ref="HG239">IF(HF239="","",_xlfn.LET(_xlpm.nd,_xlfn.TEXTSPLIT(HF239,"|"),IF(COLUMNS(_xlpm.nd)&gt;1,A239&amp;"¦"&amp;INDEX(_xlpm.nd,1)&amp;"¦"&amp;INDEX(_xlpm.nd,2),"")))</f>
        <v>ЩР-1¦QFD15¦кабель ВВГнг(А)-LS (3х2,5) → Розеточная группа, пом. 003A</v>
      </c>
      <c r="HH239" t="str">
        <f t="shared" si="470"/>
        <v>R.1.003A.1¦Розеточная группа, пом. 003A</v>
      </c>
      <c r="HI239" t="str" cm="1">
        <f t="array" ref="HI239">IF(HF239="","",_xlfn.LET(_xlpm.nd,_xlfn.TEXTSPLIT(HF239,"|"),IF(COLUMNS(_xlpm.nd)&gt;2,A239&amp;"¦"&amp;INDEX(_xlpm.nd,2)&amp;"¦"&amp;INDEX(_xlpm.nd,3),"")))</f>
        <v/>
      </c>
      <c r="HJ239" t="str">
        <f t="shared" si="471"/>
        <v/>
      </c>
      <c r="HK239" t="str" cm="1">
        <f t="array" ref="HK239">IF(HF239="","",_xlfn.LET(_xlpm.nd,_xlfn.TEXTSPLIT(HF239,"|"),IF(COLUMNS(_xlpm.nd)&gt;3,A239&amp;"¦"&amp;INDEX(_xlpm.nd,3)&amp;"¦"&amp;INDEX(_xlpm.nd,4),"")))</f>
        <v/>
      </c>
      <c r="HL239" t="str">
        <f t="shared" si="472"/>
        <v/>
      </c>
      <c r="HM239" t="str" cm="1">
        <f t="array" ref="HM239">IF(HF239="","",_xlfn.LET(_xlpm.nd,_xlfn.TEXTSPLIT(HF239,"|"),IF(COLUMNS(_xlpm.nd)&gt;4,A239&amp;"¦"&amp;INDEX(_xlpm.nd,4)&amp;"¦"&amp;INDEX(_xlpm.nd,5),"")))</f>
        <v/>
      </c>
      <c r="HN239" t="str">
        <f t="shared" si="473"/>
        <v/>
      </c>
      <c r="HO239" t="str" cm="1">
        <f t="array" ref="HO239">IF(HF239="","",_xlfn.LET(_xlpm.nd,_xlfn.TEXTSPLIT(HF239,"|"),IF(COLUMNS(_xlpm.nd)&gt;5,A239&amp;"¦"&amp;INDEX(_xlpm.nd,5)&amp;"¦"&amp;INDEX(_xlpm.nd,6),"")))</f>
        <v/>
      </c>
      <c r="HP239" t="str">
        <f t="shared" si="474"/>
        <v/>
      </c>
      <c r="HQ239" t="str" cm="1">
        <f t="array" ref="HQ239">IF(HF239="","",_xlfn.LET(_xlpm.nd,_xlfn.TEXTSPLIT(HF239,"|"),IF(COLUMNS(_xlpm.nd)&gt;6,A239&amp;"¦"&amp;INDEX(_xlpm.nd,6)&amp;"¦"&amp;INDEX(_xlpm.nd,7),"")))</f>
        <v/>
      </c>
      <c r="HR239" t="str">
        <f t="shared" si="475"/>
        <v/>
      </c>
      <c r="HS239" t="str">
        <f t="shared" si="476"/>
        <v/>
      </c>
      <c r="HT239" t="str">
        <f t="shared" si="477"/>
        <v>QFD15</v>
      </c>
      <c r="HU239">
        <f t="shared" si="478"/>
        <v>0</v>
      </c>
      <c r="HV239">
        <f t="shared" si="479"/>
        <v>1</v>
      </c>
      <c r="HW239" t="str">
        <f t="shared" si="480"/>
        <v/>
      </c>
      <c r="HX239" t="str">
        <f t="shared" si="481"/>
        <v/>
      </c>
      <c r="HY239" t="str">
        <f t="shared" si="482"/>
        <v/>
      </c>
      <c r="HZ239" t="str">
        <f t="shared" si="483"/>
        <v/>
      </c>
      <c r="IA239" t="str">
        <f>IF(B239="","",IFERROR(VLOOKUP(B239,УГО_спр,2,FALSE),IFERROR(VLOOKUP(AX239,УГО_спр,2,FALSE),IFERROR(VLOOKUP(LEFT(AX239,2),УГО_спр,2,FALSE),""))))</f>
        <v>Розетка</v>
      </c>
      <c r="IB239" t="str">
        <f>IF(B239="","",IF(OR(IA239="",IA239=0),"BOX",IFERROR(IF(VLOOKUP(IA239,УГО_блоки,3,FALSE)&amp;""&lt;&gt;"",VLOOKUP(IA239,УГО_блоки,3,FALSE),VLOOKUP(IA239,УГО_блоки,2,FALSE)),IA239)))</f>
        <v>SOCKET</v>
      </c>
      <c r="IC239">
        <f t="shared" si="484"/>
        <v>1</v>
      </c>
      <c r="ID239" t="str">
        <f>IF(DA239="","",IF(COUNTIF(DA$3:DA239,DA239)=1,MAX(ID$2:ID238)+1,""))</f>
        <v/>
      </c>
      <c r="IE239" t="str">
        <f>IF(CO239="","",IF(COUNTIF(CO$3:CO239,CO239)+COUNTIF(CP$2:CP238,CO239)+COUNTIF(CQ$2:CQ238,CO239)=1,MAX(IE$2:IG238)+1,""))</f>
        <v/>
      </c>
      <c r="IF239" t="str">
        <f>IF(CP239="","",IF(COUNTIF(CO$3:CO239,CP239)+COUNTIF(CP$3:CP239,CP239)+COUNTIF(CQ$2:CQ238,CP239)=1,MAX(IE$2:IG238,IE239)+1,""))</f>
        <v/>
      </c>
      <c r="IG239" t="str">
        <f>IF(CQ239="","",IF(COUNTIF(CO$3:CO239,CQ239)+COUNTIF(CP$3:CP239,CQ239)+COUNTIF(CQ$3:CQ239,CQ239)=1,MAX(IE$2:IG238,IE239,IF239)+1,""))</f>
        <v/>
      </c>
      <c r="IH239" t="str">
        <f t="shared" si="485"/>
        <v>3х2,5</v>
      </c>
      <c r="II239" t="str">
        <f>IF(IH239="","",IF(COUNTIF(IH$3:IH239,IH239)=1,MAX(II$2:II238)+1,""))</f>
        <v/>
      </c>
      <c r="IJ239" t="str">
        <f>IF(GL239="","",COUNTIF(GL$3:GL239,"?*"))</f>
        <v/>
      </c>
      <c r="IK239" t="str">
        <f>IF(OR(GL239="",GN239=""),"",IF(COUNTIFS(GL$3:GL239,"?*",GN$3:GN239,GN239)=1,MAX(IK$2:IK238)+1,""))</f>
        <v/>
      </c>
      <c r="IL239">
        <f t="shared" si="486"/>
        <v>0</v>
      </c>
      <c r="IM239">
        <f>IF(B239="","",COUNTIF(B$3:B239,"?*"))</f>
        <v>237</v>
      </c>
      <c r="IN239">
        <f>IF(GQ239&lt;&gt;1,0,_xlfn.LET(_xlpm.k,MAX(IFERROR(--VLOOKUP(B239,УГО_спр,5,FALSE),0),IFERROR(--VLOOKUP(AX239,УГО_спр,5,FALSE),0),IFERROR(--VLOOKUP(LEFT(AX239,2),УГО_спр,5,FALSE),0)),IF(_xlpm.k&gt;0,_xlpm.k,IF(IFERROR(--LEFT(SUBSTITUTE(IH239,"x","х"),FIND("х",SUBSTITUTE(IH239,"x","х"))-1),3)&gt;3,Каталог!$S$9,1))))</f>
        <v>1</v>
      </c>
      <c r="IO239">
        <f t="shared" si="487"/>
        <v>0</v>
      </c>
      <c r="IP239" t="str">
        <f t="shared" si="488"/>
        <v>авто</v>
      </c>
      <c r="IQ239">
        <f t="shared" si="489"/>
        <v>30</v>
      </c>
      <c r="IR239">
        <f t="shared" si="490"/>
        <v>1</v>
      </c>
      <c r="IS239">
        <f t="shared" si="491"/>
        <v>1</v>
      </c>
    </row>
    <row r="240" spans="1:253" x14ac:dyDescent="0.3">
      <c r="A240" t="s">
        <v>759</v>
      </c>
      <c r="B240" t="s">
        <v>1505</v>
      </c>
      <c r="C240" t="str">
        <f>Линии[[#This Row],[_авто наименование]]</f>
        <v>Розеточная группа, пом. 003A</v>
      </c>
      <c r="D240">
        <v>3</v>
      </c>
      <c r="E240">
        <v>0.3</v>
      </c>
      <c r="G240" t="str">
        <f>Линии[[#This Row],[_авто автомат]]</f>
        <v>2P С16А 30мА</v>
      </c>
      <c r="H240">
        <f>Линии[[#This Row],[_авто утечка]]</f>
        <v>30</v>
      </c>
      <c r="I240" t="str">
        <f>Линии[[#This Row],[_авто управление]]</f>
        <v/>
      </c>
      <c r="J240" t="str">
        <f>Линии[[#This Row],[_авто аппараты]]</f>
        <v/>
      </c>
      <c r="K240">
        <v>2.5</v>
      </c>
      <c r="L240">
        <v>60</v>
      </c>
      <c r="M240" t="str">
        <f>Линии[[#This Row],[_авто фаза]]</f>
        <v>L3</v>
      </c>
      <c r="N240" t="s">
        <v>486</v>
      </c>
      <c r="O240" t="str">
        <f t="shared" si="369"/>
        <v/>
      </c>
      <c r="P240" s="6" cm="1">
        <f t="array" ref="P240">IF(B240="","",IF(BC240&lt;&gt;"",IFERROR(_xlfn.XLOOKUP(BC240,Щиты[Щит],Щиты[Iр, А]),""),IF(BK240=1,IFERROR(_xlfn.XLOOKUP(A240,Щиты[Щит],Щиты[Iр, А]),""),IFERROR(_xlfn.IFS(BR240=1,BN240/((Uн_лин/SQRT(3))*BY240),BR240=3,BN240/(SQRT(3)*Uн_лин*BY240)),""))))</f>
        <v>1.3674085322912188</v>
      </c>
      <c r="Q240" s="7">
        <f>IF(B240="","",IFERROR(IF(VLOOKUP(AX240,Потребители_обозначение,4,FALSE)=1,VLOOKUP(AX240,Потребители_обозначение,3,FALSE)*(D240*2-1)+DS240+VLOOKUP(AZ240,Этаж_обозначение,3,FALSE)+VLOOKUP(AZ240,Этаж_обозначение,4,FALSE),VLOOKUP(AX240,Потребители_обозначение,3,FALSE)*(D240*2-1)+DS240),DS240))</f>
        <v>75</v>
      </c>
      <c r="R240" s="6">
        <f t="shared" si="370"/>
        <v>1.96</v>
      </c>
      <c r="S240" t="str">
        <f t="shared" si="371"/>
        <v>ВВГнг(А)-LS (3х2,5)</v>
      </c>
      <c r="T240" t="str">
        <f>IF(BH240="","",IF(BI240="вводной узел","узел ","")&amp;"л."&amp;(INT((BH240-1)/Столбцов_на_лист)+1)&amp;" / "&amp;(MOD(BH240-1,Столбцов_на_лист)+1))</f>
        <v>л.3 / 1</v>
      </c>
      <c r="V240">
        <v>1</v>
      </c>
      <c r="W240">
        <v>230</v>
      </c>
      <c r="X240" t="s">
        <v>564</v>
      </c>
      <c r="AC240" t="s">
        <v>815</v>
      </c>
      <c r="AE240" t="s">
        <v>563</v>
      </c>
      <c r="AI240">
        <v>35</v>
      </c>
      <c r="AJ240" t="s">
        <v>11</v>
      </c>
      <c r="AK240">
        <v>3</v>
      </c>
      <c r="AM240">
        <v>28</v>
      </c>
      <c r="AN240">
        <v>42</v>
      </c>
      <c r="AO240">
        <v>5</v>
      </c>
      <c r="AW240" cm="1">
        <f t="array" ref="AW240">ROW()-ROW(Линии[#Headers])</f>
        <v>238</v>
      </c>
      <c r="AX240" s="6" t="str">
        <f t="shared" si="372"/>
        <v>R</v>
      </c>
      <c r="AY240" t="str">
        <f t="shared" si="373"/>
        <v>1.003A.2</v>
      </c>
      <c r="AZ240" t="str">
        <f t="shared" si="374"/>
        <v>1</v>
      </c>
      <c r="BA240" t="str">
        <f t="shared" si="375"/>
        <v>003A.2</v>
      </c>
      <c r="BB240" t="str">
        <f t="shared" si="376"/>
        <v>003A</v>
      </c>
      <c r="BC240" t="str">
        <f>IF(U240&lt;&gt;"",U240,IF(AND(B240&lt;&gt;"",B240&lt;&gt;A240,ISNUMBER(_xlfn.XMATCH(B240,Щиты[Щит]))),B240,""))</f>
        <v/>
      </c>
      <c r="BD240" t="str" cm="1">
        <f t="array" ref="BD240">IF(B240="","",IF(BC240&lt;&gt;"","Щит "&amp;BC240,_xlfn.LET(_xlpm.nm,IFERROR(_xlfn.XLOOKUP(AX240,Коды_код,Коды_имя)&amp;"",""),_xlpm.md,IFERROR(N(_xlfn.XLOOKUP(AX240,Коды_код,Коды_режим)),1),_xlpm.ex,IF(Имя_режим="по экспликации",IFERROR(_xlfn.XLOOKUP(AZ240&amp;"|"&amp;BB240,Экспликация[Этаж]&amp;"|"&amp;Экспликация[Помещение],Экспликация[Название])&amp;"",""),""),_xlpm.rm,IF(BB240="","",IF(_xlpm.ex&lt;&gt;"",". "&amp;_xlpm.ex&amp;IF(Имя_пом="нет"," ("&amp;BB240&amp;")"," (пом. "&amp;BB240&amp;")"),IF(Имя_пом="нет"," ",", пом. ")&amp;BB240)),IF(_xlpm.nm="","",IF(_xlpm.md=2,_xlpm.nm&amp;" шлейф "&amp;AZ240,_xlpm.nm&amp;_xlpm.rm)))))</f>
        <v>Розеточная группа, пом. 003A</v>
      </c>
      <c r="BE240" t="str">
        <f t="shared" si="377"/>
        <v>Розеточная группа, пом. 003A</v>
      </c>
      <c r="BF240">
        <f>IFERROR(_xlfn.XMATCH(A240,Щиты[Щит]),0)</f>
        <v>10</v>
      </c>
      <c r="BG240">
        <f>_xlfn.LET(_xlpm.k,IFERROR(_xlfn.XLOOKUP(A240,Щиты[Щит],Щиты[Листов под вводной узел]),""),IF(_xlpm.k="",1,N(_xlpm.k))*Столбцов_на_лист)</f>
        <v>17</v>
      </c>
      <c r="BH240">
        <f t="shared" si="378"/>
        <v>35</v>
      </c>
      <c r="BI240" t="str">
        <f t="shared" si="379"/>
        <v>линии</v>
      </c>
      <c r="BJ240" s="6">
        <f>IFERROR(N(_xlfn.XLOOKUP(AX240,Коды_код,Коды_квт)),0)</f>
        <v>0</v>
      </c>
      <c r="BK240">
        <f t="shared" si="380"/>
        <v>0</v>
      </c>
      <c r="BL240" t="str">
        <f>IF(B240="","",IF(BC240&lt;&gt;"",IFERROR(_xlfn.XLOOKUP(BC240,Щиты[Щит],Щиты[Руст, кВт]),0),IF(BK240=1,IFERROR(_xlfn.XLOOKUP(A240,Щиты[Щит],Щиты[Руст, кВт]),0),IF(BJ240&gt;0,ROUND(BJ240*MAX(1,N(D240)),3),""))))</f>
        <v/>
      </c>
      <c r="BM240">
        <f t="shared" si="381"/>
        <v>0.3</v>
      </c>
      <c r="BN240" s="6">
        <f>IF(B240="","",IF(BC240&lt;&gt;"",IFERROR(_xlfn.XLOOKUP(BC240,Щиты[Щит],Щиты[Руст, кВт]),0),N(BM240)))</f>
        <v>0.3</v>
      </c>
      <c r="BO240" t="str">
        <f>IF(B240="","",IFERROR(IF(VLOOKUP(AX240,Потребители_обозначение,8,FALSE)=0,"",VLOOKUP(AX240,Потребители_обозначение,8,FALSE)),""))</f>
        <v/>
      </c>
      <c r="BP240">
        <f t="shared" si="382"/>
        <v>230</v>
      </c>
      <c r="BQ240">
        <f>IF(B240="","",IF(BC240&lt;&gt;"",3,IFERROR(IF(N(VLOOKUP(AX240,Потребители_обозначение,9,FALSE))=0,1,VLOOKUP(AX240,Потребители_обозначение,9,FALSE)),1)))</f>
        <v>1</v>
      </c>
      <c r="BR240">
        <f t="shared" si="383"/>
        <v>1</v>
      </c>
      <c r="BS240" t="str">
        <f>IF(B240="","",_xlfn.LET(_xlpm.bc,IFERROR(IF(VLOOKUP(AX240,Потребители_обозначение,6,FALSE)=0,"",VLOOKUP(AX240,Потребители_обозначение,6,FALSE)&amp;""),""),IF(AND(FK240="да",OR(_xlpm.bc="",_xlpm.bc="мс")),Марка_пож,IF(AND(_xlpm.bc="",BC240&lt;&gt;""),"мс",_xlpm.bc))))</f>
        <v/>
      </c>
      <c r="BT240" t="str">
        <f t="shared" si="384"/>
        <v>мс</v>
      </c>
      <c r="BU240">
        <f>IF(B240="","",_xlfn.LET(_xlpm.cc,IFERROR(N(VLOOKUP(AX240,Потребители_обозначение,7,FALSE)),0),IF(_xlpm.cc&gt;0,_xlpm.cc,IF(BT240="","",IF(N(BR240)=3,5,3)))))</f>
        <v>3</v>
      </c>
      <c r="BV240">
        <f t="shared" si="385"/>
        <v>3</v>
      </c>
      <c r="BW240">
        <f>IFERROR(N(VLOOKUP(AX240,Потребители_обозначение,10,FALSE)),0)</f>
        <v>0</v>
      </c>
      <c r="BX240">
        <f>IFERROR(VLOOKUP(AX240,Потребители_обозначение,5,FALSE),0)</f>
        <v>1</v>
      </c>
      <c r="BY240" s="6" cm="1">
        <f t="array" ref="BY240">IF(B240="","",IF(BC240&lt;&gt;"",IFERROR(_xlfn.XLOOKUP(BC240,Щиты[Щит],Щиты[cos φ]),0.95),IF(BK240=1,IFERROR(_xlfn.XLOOKUP(A240,Щиты[Щит],Щиты[cos φ]),0.95),IF(ISNUMBER(Z240),Z240,IFERROR(IF(BX240=2,_xlfn.IFS(BR240=3,VLOOKUP(BN240,Справочная_двигатели,8,FALSE),BR240=1,VLOOKUP(BN240,Справочная_двигатели,10,TRUE)),IF(AND(Методика="нормы 2026",EQ240="Сил"),0.8,0.95)),0.95)))))</f>
        <v>0.95</v>
      </c>
      <c r="BZ240">
        <f t="shared" si="386"/>
        <v>0</v>
      </c>
      <c r="CA240">
        <f t="shared" si="387"/>
        <v>1</v>
      </c>
      <c r="CB240">
        <f t="shared" si="388"/>
        <v>0</v>
      </c>
      <c r="CC240">
        <f t="shared" si="389"/>
        <v>0</v>
      </c>
      <c r="CD240">
        <f t="shared" si="390"/>
        <v>0</v>
      </c>
      <c r="CE240">
        <f t="shared" si="391"/>
        <v>0</v>
      </c>
      <c r="CF240">
        <f t="shared" si="392"/>
        <v>0</v>
      </c>
      <c r="CG240">
        <f>IF(AX240="",0,_xlfn.LET(_xlpm.v,IFERROR(VLOOKUP(B240,УГО_спр,3,FALSE),IFERROR(VLOOKUP(AX240,УГО_спр,3,FALSE),IFERROR(VLOOKUP(LEFT(AX240,2),УГО_спр,3,FALSE),""))),IF(_xlpm.v="да",30,IF(ISNUMBER(_xlpm.v),_xlpm.v,0))))</f>
        <v>30</v>
      </c>
      <c r="CH240">
        <f t="shared" si="393"/>
        <v>30</v>
      </c>
      <c r="CI240" t="str">
        <f>_xlfn.LET(_xlpm.k,IFERROR(_xlfn.XLOOKUP(AX240,Коды_код,Коды_утечка)&amp;"",""),IF(_xlpm.k="","дифавтомат",_xlpm.k))</f>
        <v>дифавтомат</v>
      </c>
      <c r="CJ240">
        <f t="shared" si="394"/>
        <v>30</v>
      </c>
      <c r="CK240">
        <f t="shared" si="395"/>
        <v>30</v>
      </c>
      <c r="CL240">
        <f>IF(B240="",0,IFERROR(--VLOOKUP(B240,УГО_спр,4,FALSE),IFERROR(--VLOOKUP(AX240,УГО_спр,4,FALSE),IFERROR(--VLOOKUP(LEFT(AX240,2),УГО_спр,4,FALSE),0))))</f>
        <v>16</v>
      </c>
      <c r="CM240" t="str">
        <f>IF(B240="","",IFERROR(_xlfn.XLOOKUP(AX240,Коды_код,Коды_апп)&amp;"",""))</f>
        <v/>
      </c>
      <c r="CN240" t="str">
        <f t="shared" si="396"/>
        <v/>
      </c>
      <c r="CO240" t="str" cm="1">
        <f t="array" ref="CO240">IF(TRIM(CN240&amp;"")="","",IFERROR(TRIM(INDEX(_xlfn.TEXTSPLIT(CN240&amp;";;;",";"),1)),""))</f>
        <v/>
      </c>
      <c r="CP240" t="str" cm="1">
        <f t="array" ref="CP240">IF(TRIM(CN240&amp;"")="","",IFERROR(TRIM(INDEX(_xlfn.TEXTSPLIT(CN240&amp;";;;",";"),2)),""))</f>
        <v/>
      </c>
      <c r="CQ240" t="str" cm="1">
        <f t="array" ref="CQ240">IF(TRIM(CN240&amp;"")="","",IFERROR(TRIM(INDEX(_xlfn.TEXTSPLIT(CN240&amp;";;;",";"),3)),""))</f>
        <v/>
      </c>
      <c r="CR240">
        <f t="shared" si="397"/>
        <v>0</v>
      </c>
      <c r="CS240" t="str">
        <f>IF(B240="","",_xlfn.LET(_xlpm.t,LOWER(AV240&amp;""),IF(ISNUMBER(SEARCH("dim",_xlpm.t)),"DIM",IF(ISNUMBER(SEARCH("dali",_xlpm.t)),"DALI",IF(OR(ISNUMBER(SEARCH("relay",_xlpm.t)),ISNUMBER(SEARCH("реле",_xlpm.t))),"Relay",IF(ISNUMBER(SEARCH("кнопк",_xlpm.t)),"",IFERROR(_xlfn.XLOOKUP(AX240,Коды_код,Коды_упр)&amp;"","")))))))</f>
        <v/>
      </c>
      <c r="CT240" t="str">
        <f t="shared" si="398"/>
        <v/>
      </c>
      <c r="CU240">
        <f>IF(B240="","",_xlfn.LET(_xlpm.ig,N(P240)+IF(AF240="вручную",0,N(CB240)),_xlpm.n0,IFERROR(VLOOKUP(_xlpm.ig,Автомат_номиналы,2,TRUE),0),_xlpm.mn,MAX(CL240,IF(AF240="вручную",0,N(CE240))),MAX(_xlpm.n0,_xlpm.mn,IF(CR240=1,Мин_автомат_БП,0))))</f>
        <v>16</v>
      </c>
      <c r="CV240">
        <f t="shared" si="399"/>
        <v>1</v>
      </c>
      <c r="CW240" t="str">
        <f t="shared" si="400"/>
        <v>2P</v>
      </c>
      <c r="CX240" t="str">
        <f>_xlfn.LET(_xlpm.cc,UPPER(TRIM(IFERROR(_xlfn.XLOOKUP(AX240,Коды_код,Коды_хар)&amp;"",""))),IF(OR(_xlpm.cc="B",_xlpm.cc="В"),"B",IF(_xlpm.cc="D","D","С")))</f>
        <v>С</v>
      </c>
      <c r="CY240" t="str">
        <f t="shared" si="401"/>
        <v>2P С16А 30мА</v>
      </c>
      <c r="CZ240" t="str">
        <f t="shared" si="402"/>
        <v>2P С16А 30мА</v>
      </c>
      <c r="DA240" t="str">
        <f t="shared" si="403"/>
        <v>2P С16А 30мА</v>
      </c>
      <c r="DB240" cm="1">
        <f t="array" ref="DB240">IF(DA240="","",_xlfn.LET(_xlpm.t,SUBSTITUTE(SUBSTITUTE(SUBSTITUTE(UPPER(DA240),"С","C"),"А","A"),"В","B"),_xlpm.tk,_xlfn.TEXTSPLIT(_xlpm.t,"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0" t="str">
        <f t="shared" si="404"/>
        <v>ok</v>
      </c>
      <c r="DD240">
        <f t="shared" si="405"/>
        <v>16</v>
      </c>
      <c r="DE240" t="str">
        <f t="shared" si="406"/>
        <v>2P С16А 30мА</v>
      </c>
      <c r="DF240">
        <f t="shared" si="407"/>
        <v>30</v>
      </c>
      <c r="DG240">
        <f t="shared" si="408"/>
        <v>1</v>
      </c>
      <c r="DH240">
        <f t="shared" si="409"/>
        <v>0</v>
      </c>
      <c r="DI240">
        <f t="shared" si="410"/>
        <v>1.3674085322912188</v>
      </c>
      <c r="DJ240">
        <f t="shared" si="411"/>
        <v>1</v>
      </c>
      <c r="DK240">
        <f>IF(ISNUMBER(AL240),AL240,К_прокл)</f>
        <v>1</v>
      </c>
      <c r="DL240">
        <f t="shared" si="412"/>
        <v>2</v>
      </c>
      <c r="DM240">
        <f>IFERROR(N(VLOOKUP(BT240,Кабель_обозначение,3,FALSE)),1)</f>
        <v>1</v>
      </c>
      <c r="DN240">
        <f>IFERROR(N(_xlfn.XLOOKUP(A240,Щиты[Щит],Щиты[ΔU до шин, %])),0)</f>
        <v>1.19</v>
      </c>
      <c r="DO240" t="str">
        <f>IFERROR(_xlfn.XLOOKUP(A240,Щиты[Щит],Щиты[Zпетли на шинах, Ом]),"")</f>
        <v/>
      </c>
      <c r="DP240">
        <f>IFERROR(N(_xlfn.XLOOKUP(A240,Щиты[Щит],Щиты[ΔU до шин (подбор), %])),0)</f>
        <v>1.19</v>
      </c>
      <c r="DQ240" t="str">
        <f>IFERROR(_xlfn.XLOOKUP(A240,Щиты[Щит],Щиты[Zпетли на шинах (подбор), Ом]),"")</f>
        <v/>
      </c>
      <c r="DR240" t="str">
        <f t="shared" si="413"/>
        <v/>
      </c>
      <c r="DS240">
        <f t="shared" si="414"/>
        <v>60</v>
      </c>
      <c r="DT240">
        <f t="shared" si="415"/>
        <v>2</v>
      </c>
      <c r="DU240">
        <f t="shared" si="416"/>
        <v>0.31</v>
      </c>
      <c r="DV240" s="6">
        <f>IF(B240="","",IF(IFERROR(VLOOKUP(AX240,УГО_спр,2,FALSE),"")="Светильник",3,4)+IF(Методика="нормы 2026",MIN(0.5,MAX(0,N(Q240)-100)*0.005),0))</f>
        <v>4</v>
      </c>
      <c r="DW240" cm="1">
        <f t="array" ref="DW240">IF(OR(B240="",BT240="",DM240&lt;&gt;1),"",_xlfn.LET(_xlpm.sz,Iдоп_S,_xlpm.t_,CHOOSE(DL240,Iдоп_1ж,Iдоп_2ж,Iдоп_3ж)*DJ240*DK240,_xlpm.inn,N(DD240),_xlpm.smin,MAX(1.5,BW240),_xlpm.L_,N(Q240)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240)*(_xlpm.rho*_xlpm.L_/_xlpm.sz*N(BY240)+_xlpm.xx*_xlpm.L_*N(DU240)/1000)*N(P240)/((Uн_лин/SQRT(3))*1000)*100,999),_xlpm.kz,IF(OR(DG240=1,NOT(ISNUMBER(DQ240)),_xlpm.L_=0,_xlpm.inn=0),1,IFERROR(--(c_min*(Uн_лин*1000/SQRT(3))/(DQ240+2*ρкз_Cu*_xlpm.L_/_xlpm.sz)&gt;=GY240*_xlpm.inn),0)),_xlpm.ok,IFERROR((_xlpm.sz&gt;=_xlpm.smin)*(_xlpm.t_&gt;=_xlpm.inn)*IF(_xlpm.L_&gt;0,(_xlpm.du_+DP240&lt;=DV240+0.00001),1)*_xlpm.kz,0),_xlpm.r_,_xlfn._xlws.FILTER(_xlpm.sz,_xlpm.ok,"не подобрано"),INDEX(_xlpm.r_,1)))</f>
        <v>1.5</v>
      </c>
      <c r="DX240">
        <f t="shared" si="417"/>
        <v>2.5</v>
      </c>
      <c r="DY240" cm="1">
        <f t="array" ref="DY240">IF(OR(B240="",BT240="",DM240&lt;&gt;1),"",_xlfn.LET(_xlpm.sz,Iдоп_S,_xlpm.t_,CHOOSE(DL240,Iдоп_1ж,Iдоп_2ж,Iдоп_3ж)*DJ240*DK240,_xlpm.ok,IFERROR((_xlpm.sz&gt;=MAX(1.5,BW240))*(_xlpm.t_&gt;=N(DD240)),0),_xlpm.r_,_xlfn._xlws.FILTER(_xlpm.sz,_xlpm.ok,""),INDEX(_xlpm.r_,1)))</f>
        <v>1.5</v>
      </c>
      <c r="DZ240" s="6" cm="1">
        <f t="array" ref="DZ240">IFERROR(ROUNDUP(N(DT240)*(_xlfn.XLOOKUP(DY240,INDEX(Кабель_сопротивление,0,1),INDEX(Кабель_сопротивление,0,3))*N(Q240)/DY240*N(BY240)+_xlfn.XLOOKUP(DY240,INDEX(Кабель_сопротивление,0,1),INDEX(Кабель_сопротивление,0,2))*N(Q240)*N(DU240)/1000)*N(P240)/((Uн_лин/SQRT(3))*1000)*100,2),"")</f>
        <v>1.27</v>
      </c>
      <c r="EA240">
        <f>IFERROR(2*ρкз_Cu*N(Q240)/DY240,"")</f>
        <v>2.6300000000000003</v>
      </c>
      <c r="EB240">
        <f>IFERROR(VLOOKUP(DX240,Кабель_сопротивление,3,FALSE),"")</f>
        <v>2.2499999999999999E-2</v>
      </c>
      <c r="EC240">
        <f>IFERROR(VLOOKUP(DX240,Кабель_сопротивление,2,FALSE),"")</f>
        <v>0.1</v>
      </c>
      <c r="ED240">
        <f t="shared" si="418"/>
        <v>42</v>
      </c>
      <c r="EE240">
        <f t="shared" si="419"/>
        <v>5</v>
      </c>
      <c r="EF240">
        <f t="shared" si="420"/>
        <v>1.7600598923386424</v>
      </c>
      <c r="EG240" s="6">
        <f>IFERROR(ROUNDUP(EF240/((Uн_лин/SQRT(3))*1000)*100,2),"")</f>
        <v>0.77</v>
      </c>
      <c r="EH240" t="str">
        <f>IFERROR(VLOOKUP(BT240,Кабель_обозначение,2,FALSE),"")</f>
        <v>ВВГнг(А)-LS</v>
      </c>
      <c r="EI240" t="str">
        <f t="shared" si="421"/>
        <v>ВВГнг(А)-LS (3х2,5)</v>
      </c>
      <c r="EJ240" t="str">
        <f t="shared" si="422"/>
        <v>ВВГнг(А)-LS (3х2,5)
L=75-0,77%</v>
      </c>
      <c r="EK240">
        <f>IFERROR(2*ρкз_Cu*Q240/DX240,"")</f>
        <v>1.5780000000000001</v>
      </c>
      <c r="EL240">
        <f t="shared" si="423"/>
        <v>0.52500000000000013</v>
      </c>
      <c r="EM240" s="6" t="str">
        <f>IFERROR(IF(OR(B240="",NOT(ISNUMBER(DX240)),N(Q240)=0),"",_xlfn.XLOOKUP(A240,Щиты[Щит],Щиты[Zпетли на шинах, Ом])+EK240),"")</f>
        <v/>
      </c>
      <c r="EN240" s="6" t="str">
        <f>IF(ISNUMBER(EM240),c_min*(Uн_лин*1000/SQRT(3))/EM240,"")</f>
        <v/>
      </c>
      <c r="EO240" s="6" t="str">
        <f>IFERROR(IF(OR(B240="",NOT(ISNUMBER(DX240))),"",1.05*(Uн_лин*1000/SQRT(3))/(_xlfn.XLOOKUP(A240,Щиты[Щит],Щиты[Zmax на шинах, Ом])+EL240)/1000),"")</f>
        <v/>
      </c>
      <c r="EP240" s="6" t="str">
        <f>IF(B240="","",IF(ISNUMBER(Y240),"Сил",IF(IFERROR(_xlfn.XLOOKUP(AX240,Коды_код,Коды_группа)&amp;"","")="","Быт",_xlfn.XLOOKUP(AX240,Коды_код,Коды_группа)&amp;"")))</f>
        <v>Быт</v>
      </c>
      <c r="EQ240" s="6" t="str">
        <f t="shared" si="424"/>
        <v>Быт</v>
      </c>
      <c r="ER240" s="6">
        <f>IF(EQ240="Щит","щит",IF(EQ240="","",IF(EQ240="Быт",IFERROR(_xlfn.XLOOKUP(A240,Щиты[Щит],Щиты[Кс быт]),1),IF(EQ240="Сил",IF(ISNUMBER(Y240),Y240,IF(Методика="нормы 2026",IFERROR(_xlfn.XLOOKUP(A240,Щиты[Щит],Щиты[Кс силовых (табл. 7.5)]),1),1)),IF(OR(EQ240="Пост",EQ240="Отоп"),1,IF(EQ240="ВНГ",0.7,0))))))</f>
        <v>0.57830000000000004</v>
      </c>
      <c r="ES240">
        <f t="shared" si="425"/>
        <v>1</v>
      </c>
      <c r="ET240">
        <f t="shared" si="426"/>
        <v>0.3</v>
      </c>
      <c r="EU240">
        <f t="shared" si="427"/>
        <v>0.3</v>
      </c>
      <c r="EV240">
        <f t="shared" si="428"/>
        <v>0</v>
      </c>
      <c r="EW240">
        <f t="shared" si="429"/>
        <v>0</v>
      </c>
      <c r="EX240">
        <f t="shared" si="430"/>
        <v>0</v>
      </c>
      <c r="EY240">
        <f t="shared" si="431"/>
        <v>0</v>
      </c>
      <c r="EZ240">
        <f t="shared" si="432"/>
        <v>0.3</v>
      </c>
      <c r="FA240">
        <f t="shared" si="433"/>
        <v>0.28499999999999998</v>
      </c>
      <c r="FB240">
        <f t="shared" si="434"/>
        <v>0.3</v>
      </c>
      <c r="FC240" t="str">
        <f t="shared" si="435"/>
        <v/>
      </c>
      <c r="FD240" t="str">
        <f>IF(B240="","",IF(CA240=0,IF(AW240=1,"",FF239),IF(OR(N(CV240)&gt;=3,N(BR240)&gt;=3),"L1,L2,L3",IFERROR(_xlfn.TEXTBEFORE(_xlfn.TEXTAFTER(_xlfn.XLOOKUP(A240,Щиты[Щит],Щиты[_фазы авто]),";"&amp;AW240&amp;":"),";"),"L1"))))</f>
        <v>L3</v>
      </c>
      <c r="FE240" t="str">
        <f t="shared" si="436"/>
        <v>L3</v>
      </c>
      <c r="FF240" t="str">
        <f t="shared" si="437"/>
        <v>L3</v>
      </c>
      <c r="FG240" cm="1">
        <f t="array" ref="FG240">IFERROR(IF(BX240=2,_xlfn.IFS(BR240=3,VLOOKUP(BN240,Справочная_двигатели,3,FALSE),BR240=1,VLOOKUP(BN240,Справочная_двигатели,5,TRUE)),0),0)</f>
        <v>0</v>
      </c>
      <c r="FH240">
        <f>IFERROR(IF(BX240=3,VLOOKUP(BN240,Справочная_ЛЭД,2,TRUE),0),0)</f>
        <v>0</v>
      </c>
      <c r="FI240" s="6">
        <f t="shared" si="438"/>
        <v>0</v>
      </c>
      <c r="FJ240" t="str" cm="1">
        <f t="array" ref="FJ240">IF(B240="","",IFERROR(INDEX({"I особая","I","II","III"},MATCH(TRIM(AC240&amp;""),{"I особая","I","II","III"},0)),"III"))</f>
        <v>II</v>
      </c>
      <c r="FK240" t="str">
        <f>IF(B240="","",IF(TRIM(AD240&amp;"")&lt;&gt;"",IF(LOWER(TRIM(AD240&amp;""))="да","да","нет"),IF(IFERROR(_xlfn.XLOOKUP(AX240,Коды_код,Коды_пожарная),"")="да","да","нет")))</f>
        <v>нет</v>
      </c>
      <c r="FL240" t="str">
        <f t="shared" si="439"/>
        <v/>
      </c>
      <c r="FM240" t="str">
        <f t="shared" si="440"/>
        <v>основная</v>
      </c>
      <c r="FN240">
        <f t="shared" si="441"/>
        <v>1</v>
      </c>
      <c r="FO240" t="str" cm="1">
        <f t="array" ref="FO240">IF(B240="","",_xlfn.LET(_xlpm.t,IFERROR(_xlfn.XLOOKUP(1,(Шины[Шина]=FM240)*(((Шины[Щит]=A240)+(Шины[Щит]=""))&gt;0),Шины[Тип]),"")&amp;"",IF(_xlpm.t&lt;&gt;"",_xlpm.t,IF(ISNUMBER(SEARCH("ИБП",FM240)),"ИБП",IF(ISNUMBER(SEARCH("ДГУ",FM240)),"ДГУ","Ввод "&amp;FN240)))))</f>
        <v>Ввод 1</v>
      </c>
      <c r="FP240" t="str">
        <f t="shared" si="442"/>
        <v>Ввод 1</v>
      </c>
      <c r="FQ240" t="str">
        <f>IF(B240="","",IF(OR(FO240="ИБП",FO240="ДГУ"),"I особая",IF(FO240="Одиночная","III",_xlfn.XLOOKUP(A240,Щиты[Щит],Щиты[Категория шины «Ввод»],"III"))))</f>
        <v>II</v>
      </c>
      <c r="FR240">
        <f>IF(B240="",0,IFERROR(MATCH(FJ240,{"III","II","I","I особая"},0),1))</f>
        <v>2</v>
      </c>
      <c r="FS240">
        <f t="shared" si="443"/>
        <v>2</v>
      </c>
      <c r="FT240" t="str">
        <f>IF(B240="","",IF(FR240&gt;IFERROR(MATCH(FQ240,{"III","II","I","I особая"},0),1),"НЕ ОБЕСПЕЧЕНА","ОК"))</f>
        <v>ОК</v>
      </c>
      <c r="FU240" t="str">
        <f>IF(A240="","",_xlfn.XLOOKUP(A240,Щиты[Щит],Щиты[Путь],""))</f>
        <v>|ГРЩ-ЖД|ЩР-1|</v>
      </c>
      <c r="FV240" t="str">
        <f>IF(B240="","",IF(AE240&lt;&gt;"",AE240,IF(IFERROR(_xlfn.XLOOKUP(AX240,Коды_код,Коды_вид)&amp;"","")="","Прочее",_xlfn.XLOOKUP(AX240,Коды_код,Коды_вид)&amp;"")))</f>
        <v>Розеточная сеть и бытовые приборы</v>
      </c>
      <c r="FW240">
        <f>IF(BH240="","",INT((BH240-1)/Столбцов_на_лист)+1)</f>
        <v>3</v>
      </c>
      <c r="FX240" t="str">
        <f t="shared" si="444"/>
        <v>ВВГнг(А)-LS (3х2,5) L=75-0,77%</v>
      </c>
      <c r="FY240">
        <f t="shared" si="445"/>
        <v>0.3</v>
      </c>
      <c r="FZ240">
        <f t="shared" si="446"/>
        <v>1.37</v>
      </c>
      <c r="GA240">
        <f t="shared" si="447"/>
        <v>1</v>
      </c>
      <c r="GB240">
        <f t="shared" si="448"/>
        <v>0</v>
      </c>
      <c r="GC240">
        <f t="shared" si="449"/>
        <v>1</v>
      </c>
      <c r="GD240">
        <f>IF(BH240="","",IF(AND(CA240=1,GC240=1),COUNTIFS(A$3:A240,A240,CA$3:CA240,1,GC$3:GC240,1),IF(OR(OR(AW240=1,A240&lt;&gt;A239),AF240="вручную",GC240=0),"",IF(AW240=1,"",GE239))))</f>
        <v>16</v>
      </c>
      <c r="GE240">
        <f t="shared" si="450"/>
        <v>16</v>
      </c>
      <c r="GF240">
        <f>IF(B240="","",IFERROR(LOOKUP(INDEX(CHOOSE(DL240,Iдоп_1ж,Iдоп_2ж,Iдоп_3ж),MATCH(DX240,Iдоп_S,0))*DJ240*DK240,{6,10,16,20,25,32,40,50,63,80,100,125,160,200,250,315,400,500,630}),""))</f>
        <v>25</v>
      </c>
      <c r="GG240" t="str">
        <f t="shared" si="451"/>
        <v>QFD16</v>
      </c>
      <c r="GH240" t="str">
        <f t="shared" si="452"/>
        <v>QFD16</v>
      </c>
      <c r="GI240" t="str">
        <f t="shared" si="453"/>
        <v/>
      </c>
      <c r="GJ240">
        <f t="shared" si="454"/>
        <v>0</v>
      </c>
      <c r="GK240" t="str">
        <f>IF(OR(AG240="",AG240="-"),"",IFERROR(VLOOKUP(AG240,Модули_спр,2,FALSE),"R"))</f>
        <v/>
      </c>
      <c r="GL240" t="str">
        <f>IF(GK240="","",GK240&amp;"."&amp;COUNTIFS(A$3:A240,A240,GK$3:GK240,GK240))</f>
        <v/>
      </c>
      <c r="GM240" t="str">
        <f t="shared" si="455"/>
        <v/>
      </c>
      <c r="GN240" t="str">
        <f t="shared" si="456"/>
        <v/>
      </c>
      <c r="GO240" t="str">
        <f t="shared" si="457"/>
        <v/>
      </c>
      <c r="GP240" t="str">
        <f t="shared" si="458"/>
        <v/>
      </c>
      <c r="GQ240">
        <f t="shared" si="459"/>
        <v>1</v>
      </c>
      <c r="GR240" t="str">
        <f>IF(GQ240=1,"XT"&amp;COUNTIFS(A$3:A240,A240,GQ$3:GQ240,1),"")</f>
        <v>XT16</v>
      </c>
      <c r="GS240" t="str">
        <f t="shared" si="460"/>
        <v/>
      </c>
      <c r="GT240" t="str">
        <f t="shared" si="461"/>
        <v>QFD16</v>
      </c>
      <c r="GU240" t="str">
        <f t="shared" si="462"/>
        <v/>
      </c>
      <c r="GV240" t="str">
        <f t="shared" si="463"/>
        <v>ok</v>
      </c>
      <c r="GW240" t="str">
        <f>IF(OR(GO240="",GM240=""),"",IF(GO240&gt;IFERROR(VLOOKUP(GN240,Модули_спр,3,FALSE),99),"ЛИШНИЙ КАНАЛ",IF(AND(AH240&lt;&gt;"=",COUNTIFS(Линии[_модуль гр.],GM240,Линии[Канал (итог)],GO240,Линии[Канал],"&lt;&gt;=",Линии[Щит],A240)&gt;1),"ДУБЛЬ КАНАЛА","")))</f>
        <v/>
      </c>
      <c r="GX240" s="6" t="str">
        <f t="shared" si="464"/>
        <v/>
      </c>
      <c r="GY240">
        <f t="shared" si="465"/>
        <v>10</v>
      </c>
      <c r="GZ240" t="str">
        <f t="shared" si="466"/>
        <v/>
      </c>
      <c r="HA240" t="str">
        <f>IF(AND(B240="",GT240=""),"",_xlfn.TEXTJOIN("; ",TRUE,IF(AND(B240&lt;&gt;"",FE240=""),"нет фазы",""),IF(AND(B240&lt;&gt;"",N(FY240)=0,EQ240&lt;&gt;"Нет"),"нет мощности",""),IF(AND(GS240&lt;&gt;"",COUNTIFS(Линии[Щит],A240,Линии[Клемма (итог)],GS240)&gt;1),"дубль клеммы "&amp;GS240,""),IF(AND(GV240&lt;&gt;"",GV240&lt;&gt;"ok"),GV240,""),IF(GW240&lt;&gt;"",GW240,""),IF(AND(N(BV240)&gt;=4,N(BR240)=1),BV240&amp;" жил на 1 фазе",""),IF(AND(AX240="R",CA240=1,OR(N(CK240)=0,N(CK240)&gt;30)),"розетка без дифзащиты до 30 мА",""),IFERROR(IF(AND(ISNUMBER(R240),R240&gt;DV240),"потери "&amp;FIXED(R240,1)&amp;" % &gt; "&amp;DV240&amp;" %",""),""),IFERROR(IF(LEFT(GZ240,4)="мало","Iкз мало — отключение &gt; 0,4 с",""),""),IF(AND(B240&lt;&gt;"",BH240=""),"не на схеме",""),IF(AND(CA240=0,B240&lt;&gt;"",FE240&lt;&gt;"",IF(AW240=1,"",FF239)&lt;&gt;"",FE240&lt;&gt;IF(AW240=1,"",FF239)),"фаза не как у автомата группы ("&amp;IF(AW240=1,"",FF239)&amp;")","")))</f>
        <v/>
      </c>
      <c r="HB240" s="6">
        <f>IF(OR(CA240=0,DA240=""),"",_xlfn.LET(_xlpm.t,IFERROR(_xlfn.XLOOKUP(DA240,Каталог!$U$4:$U$500,Каталог!$G$4:$G$500),""),_xlpm.k,SEARCH("кА",_xlpm.t),IFERROR(--TRIM(RIGHT(SUBSTITUTE(MID(_xlpm.t,MAX(1,_xlpm.k-4),_xlpm.k-MAX(1,_xlpm.k-4))," ",REPT(" ",9)),5)),"")))</f>
        <v>6</v>
      </c>
      <c r="HC240" t="str">
        <f>IF(OR(HB240="",CA240=0),"",IF(_xlfn.XLOOKUP(A240,Щиты[Щит],Щиты[Iкз max на шинах, кА],"")="","",IF(HB240&lt;_xlfn.XLOOKUP(A240,Щиты[Щит],Щиты[Iкз max на шинах, кА]),"Icu "&amp;HB240&amp;" кА &lt; Iкз max","ok")))</f>
        <v/>
      </c>
      <c r="HD240" t="str">
        <f t="shared" si="467"/>
        <v/>
      </c>
      <c r="HE240" t="str">
        <f t="shared" si="468"/>
        <v>QFD16</v>
      </c>
      <c r="HF240" t="str">
        <f t="shared" si="469"/>
        <v>QFD16|кабель ВВГнг(А)-LS (3х2,5) → Розеточная группа, пом. 003A</v>
      </c>
      <c r="HG240" t="str" cm="1">
        <f t="array" ref="HG240">IF(HF240="","",_xlfn.LET(_xlpm.nd,_xlfn.TEXTSPLIT(HF240,"|"),IF(COLUMNS(_xlpm.nd)&gt;1,A240&amp;"¦"&amp;INDEX(_xlpm.nd,1)&amp;"¦"&amp;INDEX(_xlpm.nd,2),"")))</f>
        <v>ЩР-1¦QFD16¦кабель ВВГнг(А)-LS (3х2,5) → Розеточная группа, пом. 003A</v>
      </c>
      <c r="HH240" t="str">
        <f t="shared" si="470"/>
        <v>R.1.003A.2¦Розеточная группа, пом. 003A</v>
      </c>
      <c r="HI240" t="str" cm="1">
        <f t="array" ref="HI240">IF(HF240="","",_xlfn.LET(_xlpm.nd,_xlfn.TEXTSPLIT(HF240,"|"),IF(COLUMNS(_xlpm.nd)&gt;2,A240&amp;"¦"&amp;INDEX(_xlpm.nd,2)&amp;"¦"&amp;INDEX(_xlpm.nd,3),"")))</f>
        <v/>
      </c>
      <c r="HJ240" t="str">
        <f t="shared" si="471"/>
        <v/>
      </c>
      <c r="HK240" t="str" cm="1">
        <f t="array" ref="HK240">IF(HF240="","",_xlfn.LET(_xlpm.nd,_xlfn.TEXTSPLIT(HF240,"|"),IF(COLUMNS(_xlpm.nd)&gt;3,A240&amp;"¦"&amp;INDEX(_xlpm.nd,3)&amp;"¦"&amp;INDEX(_xlpm.nd,4),"")))</f>
        <v/>
      </c>
      <c r="HL240" t="str">
        <f t="shared" si="472"/>
        <v/>
      </c>
      <c r="HM240" t="str" cm="1">
        <f t="array" ref="HM240">IF(HF240="","",_xlfn.LET(_xlpm.nd,_xlfn.TEXTSPLIT(HF240,"|"),IF(COLUMNS(_xlpm.nd)&gt;4,A240&amp;"¦"&amp;INDEX(_xlpm.nd,4)&amp;"¦"&amp;INDEX(_xlpm.nd,5),"")))</f>
        <v/>
      </c>
      <c r="HN240" t="str">
        <f t="shared" si="473"/>
        <v/>
      </c>
      <c r="HO240" t="str" cm="1">
        <f t="array" ref="HO240">IF(HF240="","",_xlfn.LET(_xlpm.nd,_xlfn.TEXTSPLIT(HF240,"|"),IF(COLUMNS(_xlpm.nd)&gt;5,A240&amp;"¦"&amp;INDEX(_xlpm.nd,5)&amp;"¦"&amp;INDEX(_xlpm.nd,6),"")))</f>
        <v/>
      </c>
      <c r="HP240" t="str">
        <f t="shared" si="474"/>
        <v/>
      </c>
      <c r="HQ240" t="str" cm="1">
        <f t="array" ref="HQ240">IF(HF240="","",_xlfn.LET(_xlpm.nd,_xlfn.TEXTSPLIT(HF240,"|"),IF(COLUMNS(_xlpm.nd)&gt;6,A240&amp;"¦"&amp;INDEX(_xlpm.nd,6)&amp;"¦"&amp;INDEX(_xlpm.nd,7),"")))</f>
        <v/>
      </c>
      <c r="HR240" t="str">
        <f t="shared" si="475"/>
        <v/>
      </c>
      <c r="HS240" t="str">
        <f t="shared" si="476"/>
        <v/>
      </c>
      <c r="HT240" t="str">
        <f t="shared" si="477"/>
        <v>QFD16</v>
      </c>
      <c r="HU240">
        <f t="shared" si="478"/>
        <v>0</v>
      </c>
      <c r="HV240">
        <f t="shared" si="479"/>
        <v>1</v>
      </c>
      <c r="HW240" t="str">
        <f t="shared" si="480"/>
        <v/>
      </c>
      <c r="HX240" t="str">
        <f t="shared" si="481"/>
        <v/>
      </c>
      <c r="HY240" t="str">
        <f t="shared" si="482"/>
        <v/>
      </c>
      <c r="HZ240" t="str">
        <f t="shared" si="483"/>
        <v/>
      </c>
      <c r="IA240" t="str">
        <f>IF(B240="","",IFERROR(VLOOKUP(B240,УГО_спр,2,FALSE),IFERROR(VLOOKUP(AX240,УГО_спр,2,FALSE),IFERROR(VLOOKUP(LEFT(AX240,2),УГО_спр,2,FALSE),""))))</f>
        <v>Розетка</v>
      </c>
      <c r="IB240" t="str">
        <f>IF(B240="","",IF(OR(IA240="",IA240=0),"BOX",IFERROR(IF(VLOOKUP(IA240,УГО_блоки,3,FALSE)&amp;""&lt;&gt;"",VLOOKUP(IA240,УГО_блоки,3,FALSE),VLOOKUP(IA240,УГО_блоки,2,FALSE)),IA240)))</f>
        <v>SOCKET</v>
      </c>
      <c r="IC240">
        <f t="shared" si="484"/>
        <v>1</v>
      </c>
      <c r="ID240" t="str">
        <f>IF(DA240="","",IF(COUNTIF(DA$3:DA240,DA240)=1,MAX(ID$2:ID239)+1,""))</f>
        <v/>
      </c>
      <c r="IE240" t="str">
        <f>IF(CO240="","",IF(COUNTIF(CO$3:CO240,CO240)+COUNTIF(CP$2:CP239,CO240)+COUNTIF(CQ$2:CQ239,CO240)=1,MAX(IE$2:IG239)+1,""))</f>
        <v/>
      </c>
      <c r="IF240" t="str">
        <f>IF(CP240="","",IF(COUNTIF(CO$3:CO240,CP240)+COUNTIF(CP$3:CP240,CP240)+COUNTIF(CQ$2:CQ239,CP240)=1,MAX(IE$2:IG239,IE240)+1,""))</f>
        <v/>
      </c>
      <c r="IG240" t="str">
        <f>IF(CQ240="","",IF(COUNTIF(CO$3:CO240,CQ240)+COUNTIF(CP$3:CP240,CQ240)+COUNTIF(CQ$3:CQ240,CQ240)=1,MAX(IE$2:IG239,IE240,IF240)+1,""))</f>
        <v/>
      </c>
      <c r="IH240" t="str">
        <f t="shared" si="485"/>
        <v>3х2,5</v>
      </c>
      <c r="II240" t="str">
        <f>IF(IH240="","",IF(COUNTIF(IH$3:IH240,IH240)=1,MAX(II$2:II239)+1,""))</f>
        <v/>
      </c>
      <c r="IJ240" t="str">
        <f>IF(GL240="","",COUNTIF(GL$3:GL240,"?*"))</f>
        <v/>
      </c>
      <c r="IK240" t="str">
        <f>IF(OR(GL240="",GN240=""),"",IF(COUNTIFS(GL$3:GL240,"?*",GN$3:GN240,GN240)=1,MAX(IK$2:IK239)+1,""))</f>
        <v/>
      </c>
      <c r="IL240">
        <f t="shared" si="486"/>
        <v>0</v>
      </c>
      <c r="IM240">
        <f>IF(B240="","",COUNTIF(B$3:B240,"?*"))</f>
        <v>238</v>
      </c>
      <c r="IN240">
        <f>IF(GQ240&lt;&gt;1,0,_xlfn.LET(_xlpm.k,MAX(IFERROR(--VLOOKUP(B240,УГО_спр,5,FALSE),0),IFERROR(--VLOOKUP(AX240,УГО_спр,5,FALSE),0),IFERROR(--VLOOKUP(LEFT(AX240,2),УГО_спр,5,FALSE),0)),IF(_xlpm.k&gt;0,_xlpm.k,IF(IFERROR(--LEFT(SUBSTITUTE(IH240,"x","х"),FIND("х",SUBSTITUTE(IH240,"x","х"))-1),3)&gt;3,Каталог!$S$9,1))))</f>
        <v>1</v>
      </c>
      <c r="IO240">
        <f t="shared" si="487"/>
        <v>0</v>
      </c>
      <c r="IP240" t="str">
        <f t="shared" si="488"/>
        <v>авто</v>
      </c>
      <c r="IQ240">
        <f t="shared" si="489"/>
        <v>30</v>
      </c>
      <c r="IR240">
        <f t="shared" si="490"/>
        <v>1</v>
      </c>
      <c r="IS240">
        <f t="shared" si="491"/>
        <v>1</v>
      </c>
    </row>
    <row r="241" spans="1:253" x14ac:dyDescent="0.3">
      <c r="A241" t="s">
        <v>759</v>
      </c>
      <c r="B241" t="s">
        <v>1506</v>
      </c>
      <c r="C241" t="str">
        <f>Линии[[#This Row],[_авто наименование]]</f>
        <v>Розеточная группа, пом. 003A</v>
      </c>
      <c r="D241">
        <v>9</v>
      </c>
      <c r="E241">
        <v>0.36</v>
      </c>
      <c r="G241" t="str">
        <f>Линии[[#This Row],[_авто автомат]]</f>
        <v>2P С16А 30мА</v>
      </c>
      <c r="H241">
        <f>Линии[[#This Row],[_авто утечка]]</f>
        <v>30</v>
      </c>
      <c r="I241" t="str">
        <f>Линии[[#This Row],[_авто управление]]</f>
        <v/>
      </c>
      <c r="J241" t="str">
        <f>Линии[[#This Row],[_авто аппараты]]</f>
        <v/>
      </c>
      <c r="K241">
        <v>2.5</v>
      </c>
      <c r="L241">
        <v>56</v>
      </c>
      <c r="M241" t="str">
        <f>Линии[[#This Row],[_авто фаза]]</f>
        <v>L1</v>
      </c>
      <c r="N241" t="s">
        <v>486</v>
      </c>
      <c r="O241" t="str">
        <f t="shared" si="369"/>
        <v/>
      </c>
      <c r="P241" s="6" cm="1">
        <f t="array" ref="P241">IF(B241="","",IF(BC241&lt;&gt;"",IFERROR(_xlfn.XLOOKUP(BC241,Щиты[Щит],Щиты[Iр, А]),""),IF(BK241=1,IFERROR(_xlfn.XLOOKUP(A241,Щиты[Щит],Щиты[Iр, А]),""),IFERROR(_xlfn.IFS(BR241=1,BN241/((Uн_лин/SQRT(3))*BY241),BR241=3,BN241/(SQRT(3)*Uн_лин*BY241)),""))))</f>
        <v>1.6408902387494626</v>
      </c>
      <c r="Q241" s="7">
        <f>IF(B241="","",IFERROR(IF(VLOOKUP(AX241,Потребители_обозначение,4,FALSE)=1,VLOOKUP(AX241,Потребители_обозначение,3,FALSE)*(D241*2-1)+DS241+VLOOKUP(AZ241,Этаж_обозначение,3,FALSE)+VLOOKUP(AZ241,Этаж_обозначение,4,FALSE),VLOOKUP(AX241,Потребители_обозначение,3,FALSE)*(D241*2-1)+DS241),DS241))</f>
        <v>107</v>
      </c>
      <c r="R241" s="6">
        <f t="shared" si="370"/>
        <v>2.5</v>
      </c>
      <c r="S241" t="str">
        <f t="shared" si="371"/>
        <v>ВВГнг(А)-LS (3х2,5)</v>
      </c>
      <c r="T241" t="str">
        <f>IF(BH241="","",IF(BI241="вводной узел","узел ","")&amp;"л."&amp;(INT((BH241-1)/Столбцов_на_лист)+1)&amp;" / "&amp;(MOD(BH241-1,Столбцов_на_лист)+1))</f>
        <v>л.3 / 2</v>
      </c>
      <c r="V241">
        <v>1</v>
      </c>
      <c r="W241">
        <v>230</v>
      </c>
      <c r="X241" t="s">
        <v>564</v>
      </c>
      <c r="AC241" t="s">
        <v>815</v>
      </c>
      <c r="AE241" t="s">
        <v>563</v>
      </c>
      <c r="AI241">
        <v>36</v>
      </c>
      <c r="AJ241" t="s">
        <v>11</v>
      </c>
      <c r="AK241">
        <v>3</v>
      </c>
      <c r="AM241">
        <v>28</v>
      </c>
      <c r="AN241">
        <v>72</v>
      </c>
      <c r="AO241">
        <v>7</v>
      </c>
      <c r="AW241" cm="1">
        <f t="array" ref="AW241">ROW()-ROW(Линии[#Headers])</f>
        <v>239</v>
      </c>
      <c r="AX241" s="6" t="str">
        <f t="shared" si="372"/>
        <v>R</v>
      </c>
      <c r="AY241" t="str">
        <f t="shared" si="373"/>
        <v>1.003A.3</v>
      </c>
      <c r="AZ241" t="str">
        <f t="shared" si="374"/>
        <v>1</v>
      </c>
      <c r="BA241" t="str">
        <f t="shared" si="375"/>
        <v>003A.3</v>
      </c>
      <c r="BB241" t="str">
        <f t="shared" si="376"/>
        <v>003A</v>
      </c>
      <c r="BC241" t="str">
        <f>IF(U241&lt;&gt;"",U241,IF(AND(B241&lt;&gt;"",B241&lt;&gt;A241,ISNUMBER(_xlfn.XMATCH(B241,Щиты[Щит]))),B241,""))</f>
        <v/>
      </c>
      <c r="BD241" t="str" cm="1">
        <f t="array" ref="BD241">IF(B241="","",IF(BC241&lt;&gt;"","Щит "&amp;BC241,_xlfn.LET(_xlpm.nm,IFERROR(_xlfn.XLOOKUP(AX241,Коды_код,Коды_имя)&amp;"",""),_xlpm.md,IFERROR(N(_xlfn.XLOOKUP(AX241,Коды_код,Коды_режим)),1),_xlpm.ex,IF(Имя_режим="по экспликации",IFERROR(_xlfn.XLOOKUP(AZ241&amp;"|"&amp;BB241,Экспликация[Этаж]&amp;"|"&amp;Экспликация[Помещение],Экспликация[Название])&amp;"",""),""),_xlpm.rm,IF(BB241="","",IF(_xlpm.ex&lt;&gt;"",". "&amp;_xlpm.ex&amp;IF(Имя_пом="нет"," ("&amp;BB241&amp;")"," (пом. "&amp;BB241&amp;")"),IF(Имя_пом="нет"," ",", пом. ")&amp;BB241)),IF(_xlpm.nm="","",IF(_xlpm.md=2,_xlpm.nm&amp;" шлейф "&amp;AZ241,_xlpm.nm&amp;_xlpm.rm)))))</f>
        <v>Розеточная группа, пом. 003A</v>
      </c>
      <c r="BE241" t="str">
        <f t="shared" si="377"/>
        <v>Розеточная группа, пом. 003A</v>
      </c>
      <c r="BF241">
        <f>IFERROR(_xlfn.XMATCH(A241,Щиты[Щит]),0)</f>
        <v>10</v>
      </c>
      <c r="BG241">
        <f>_xlfn.LET(_xlpm.k,IFERROR(_xlfn.XLOOKUP(A241,Щиты[Щит],Щиты[Листов под вводной узел]),""),IF(_xlpm.k="",1,N(_xlpm.k))*Столбцов_на_лист)</f>
        <v>17</v>
      </c>
      <c r="BH241">
        <f t="shared" si="378"/>
        <v>36</v>
      </c>
      <c r="BI241" t="str">
        <f t="shared" si="379"/>
        <v>линии</v>
      </c>
      <c r="BJ241" s="6">
        <f>IFERROR(N(_xlfn.XLOOKUP(AX241,Коды_код,Коды_квт)),0)</f>
        <v>0</v>
      </c>
      <c r="BK241">
        <f t="shared" si="380"/>
        <v>0</v>
      </c>
      <c r="BL241" t="str">
        <f>IF(B241="","",IF(BC241&lt;&gt;"",IFERROR(_xlfn.XLOOKUP(BC241,Щиты[Щит],Щиты[Руст, кВт]),0),IF(BK241=1,IFERROR(_xlfn.XLOOKUP(A241,Щиты[Щит],Щиты[Руст, кВт]),0),IF(BJ241&gt;0,ROUND(BJ241*MAX(1,N(D241)),3),""))))</f>
        <v/>
      </c>
      <c r="BM241">
        <f t="shared" si="381"/>
        <v>0.36</v>
      </c>
      <c r="BN241" s="6">
        <f>IF(B241="","",IF(BC241&lt;&gt;"",IFERROR(_xlfn.XLOOKUP(BC241,Щиты[Щит],Щиты[Руст, кВт]),0),N(BM241)))</f>
        <v>0.36</v>
      </c>
      <c r="BO241" t="str">
        <f>IF(B241="","",IFERROR(IF(VLOOKUP(AX241,Потребители_обозначение,8,FALSE)=0,"",VLOOKUP(AX241,Потребители_обозначение,8,FALSE)),""))</f>
        <v/>
      </c>
      <c r="BP241">
        <f t="shared" si="382"/>
        <v>230</v>
      </c>
      <c r="BQ241">
        <f>IF(B241="","",IF(BC241&lt;&gt;"",3,IFERROR(IF(N(VLOOKUP(AX241,Потребители_обозначение,9,FALSE))=0,1,VLOOKUP(AX241,Потребители_обозначение,9,FALSE)),1)))</f>
        <v>1</v>
      </c>
      <c r="BR241">
        <f t="shared" si="383"/>
        <v>1</v>
      </c>
      <c r="BS241" t="str">
        <f>IF(B241="","",_xlfn.LET(_xlpm.bc,IFERROR(IF(VLOOKUP(AX241,Потребители_обозначение,6,FALSE)=0,"",VLOOKUP(AX241,Потребители_обозначение,6,FALSE)&amp;""),""),IF(AND(FK241="да",OR(_xlpm.bc="",_xlpm.bc="мс")),Марка_пож,IF(AND(_xlpm.bc="",BC241&lt;&gt;""),"мс",_xlpm.bc))))</f>
        <v/>
      </c>
      <c r="BT241" t="str">
        <f t="shared" si="384"/>
        <v>мс</v>
      </c>
      <c r="BU241">
        <f>IF(B241="","",_xlfn.LET(_xlpm.cc,IFERROR(N(VLOOKUP(AX241,Потребители_обозначение,7,FALSE)),0),IF(_xlpm.cc&gt;0,_xlpm.cc,IF(BT241="","",IF(N(BR241)=3,5,3)))))</f>
        <v>3</v>
      </c>
      <c r="BV241">
        <f t="shared" si="385"/>
        <v>3</v>
      </c>
      <c r="BW241">
        <f>IFERROR(N(VLOOKUP(AX241,Потребители_обозначение,10,FALSE)),0)</f>
        <v>0</v>
      </c>
      <c r="BX241">
        <f>IFERROR(VLOOKUP(AX241,Потребители_обозначение,5,FALSE),0)</f>
        <v>1</v>
      </c>
      <c r="BY241" s="6" cm="1">
        <f t="array" ref="BY241">IF(B241="","",IF(BC241&lt;&gt;"",IFERROR(_xlfn.XLOOKUP(BC241,Щиты[Щит],Щиты[cos φ]),0.95),IF(BK241=1,IFERROR(_xlfn.XLOOKUP(A241,Щиты[Щит],Щиты[cos φ]),0.95),IF(ISNUMBER(Z241),Z241,IFERROR(IF(BX241=2,_xlfn.IFS(BR241=3,VLOOKUP(BN241,Справочная_двигатели,8,FALSE),BR241=1,VLOOKUP(BN241,Справочная_двигатели,10,TRUE)),IF(AND(Методика="нормы 2026",EQ241="Сил"),0.8,0.95)),0.95)))))</f>
        <v>0.95</v>
      </c>
      <c r="BZ241">
        <f t="shared" si="386"/>
        <v>0</v>
      </c>
      <c r="CA241">
        <f t="shared" si="387"/>
        <v>1</v>
      </c>
      <c r="CB241">
        <f t="shared" si="388"/>
        <v>0</v>
      </c>
      <c r="CC241">
        <f t="shared" si="389"/>
        <v>0</v>
      </c>
      <c r="CD241">
        <f t="shared" si="390"/>
        <v>0</v>
      </c>
      <c r="CE241">
        <f t="shared" si="391"/>
        <v>0</v>
      </c>
      <c r="CF241">
        <f t="shared" si="392"/>
        <v>0</v>
      </c>
      <c r="CG241">
        <f>IF(AX241="",0,_xlfn.LET(_xlpm.v,IFERROR(VLOOKUP(B241,УГО_спр,3,FALSE),IFERROR(VLOOKUP(AX241,УГО_спр,3,FALSE),IFERROR(VLOOKUP(LEFT(AX241,2),УГО_спр,3,FALSE),""))),IF(_xlpm.v="да",30,IF(ISNUMBER(_xlpm.v),_xlpm.v,0))))</f>
        <v>30</v>
      </c>
      <c r="CH241">
        <f t="shared" si="393"/>
        <v>30</v>
      </c>
      <c r="CI241" t="str">
        <f>_xlfn.LET(_xlpm.k,IFERROR(_xlfn.XLOOKUP(AX241,Коды_код,Коды_утечка)&amp;"",""),IF(_xlpm.k="","дифавтомат",_xlpm.k))</f>
        <v>дифавтомат</v>
      </c>
      <c r="CJ241">
        <f t="shared" si="394"/>
        <v>30</v>
      </c>
      <c r="CK241">
        <f t="shared" si="395"/>
        <v>30</v>
      </c>
      <c r="CL241">
        <f>IF(B241="",0,IFERROR(--VLOOKUP(B241,УГО_спр,4,FALSE),IFERROR(--VLOOKUP(AX241,УГО_спр,4,FALSE),IFERROR(--VLOOKUP(LEFT(AX241,2),УГО_спр,4,FALSE),0))))</f>
        <v>16</v>
      </c>
      <c r="CM241" t="str">
        <f>IF(B241="","",IFERROR(_xlfn.XLOOKUP(AX241,Коды_код,Коды_апп)&amp;"",""))</f>
        <v/>
      </c>
      <c r="CN241" t="str">
        <f t="shared" si="396"/>
        <v/>
      </c>
      <c r="CO241" t="str" cm="1">
        <f t="array" ref="CO241">IF(TRIM(CN241&amp;"")="","",IFERROR(TRIM(INDEX(_xlfn.TEXTSPLIT(CN241&amp;";;;",";"),1)),""))</f>
        <v/>
      </c>
      <c r="CP241" t="str" cm="1">
        <f t="array" ref="CP241">IF(TRIM(CN241&amp;"")="","",IFERROR(TRIM(INDEX(_xlfn.TEXTSPLIT(CN241&amp;";;;",";"),2)),""))</f>
        <v/>
      </c>
      <c r="CQ241" t="str" cm="1">
        <f t="array" ref="CQ241">IF(TRIM(CN241&amp;"")="","",IFERROR(TRIM(INDEX(_xlfn.TEXTSPLIT(CN241&amp;";;;",";"),3)),""))</f>
        <v/>
      </c>
      <c r="CR241">
        <f t="shared" si="397"/>
        <v>0</v>
      </c>
      <c r="CS241" t="str">
        <f>IF(B241="","",_xlfn.LET(_xlpm.t,LOWER(AV241&amp;""),IF(ISNUMBER(SEARCH("dim",_xlpm.t)),"DIM",IF(ISNUMBER(SEARCH("dali",_xlpm.t)),"DALI",IF(OR(ISNUMBER(SEARCH("relay",_xlpm.t)),ISNUMBER(SEARCH("реле",_xlpm.t))),"Relay",IF(ISNUMBER(SEARCH("кнопк",_xlpm.t)),"",IFERROR(_xlfn.XLOOKUP(AX241,Коды_код,Коды_упр)&amp;"","")))))))</f>
        <v/>
      </c>
      <c r="CT241" t="str">
        <f t="shared" si="398"/>
        <v/>
      </c>
      <c r="CU241">
        <f>IF(B241="","",_xlfn.LET(_xlpm.ig,N(P241)+IF(AF241="вручную",0,N(CB241)),_xlpm.n0,IFERROR(VLOOKUP(_xlpm.ig,Автомат_номиналы,2,TRUE),0),_xlpm.mn,MAX(CL241,IF(AF241="вручную",0,N(CE241))),MAX(_xlpm.n0,_xlpm.mn,IF(CR241=1,Мин_автомат_БП,0))))</f>
        <v>16</v>
      </c>
      <c r="CV241">
        <f t="shared" si="399"/>
        <v>1</v>
      </c>
      <c r="CW241" t="str">
        <f t="shared" si="400"/>
        <v>2P</v>
      </c>
      <c r="CX241" t="str">
        <f>_xlfn.LET(_xlpm.cc,UPPER(TRIM(IFERROR(_xlfn.XLOOKUP(AX241,Коды_код,Коды_хар)&amp;"",""))),IF(OR(_xlpm.cc="B",_xlpm.cc="В"),"B",IF(_xlpm.cc="D","D","С")))</f>
        <v>С</v>
      </c>
      <c r="CY241" t="str">
        <f t="shared" si="401"/>
        <v>2P С16А 30мА</v>
      </c>
      <c r="CZ241" t="str">
        <f t="shared" si="402"/>
        <v>2P С16А 30мА</v>
      </c>
      <c r="DA241" t="str">
        <f t="shared" si="403"/>
        <v>2P С16А 30мА</v>
      </c>
      <c r="DB241" cm="1">
        <f t="array" ref="DB241">IF(DA241="","",_xlfn.LET(_xlpm.t,SUBSTITUTE(SUBSTITUTE(SUBSTITUTE(UPPER(DA241),"С","C"),"А","A"),"В","B"),_xlpm.tk,_xlfn.TEXTSPLIT(_xlpm.t,"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1" t="str">
        <f t="shared" si="404"/>
        <v>ok</v>
      </c>
      <c r="DD241">
        <f t="shared" si="405"/>
        <v>16</v>
      </c>
      <c r="DE241" t="str">
        <f t="shared" si="406"/>
        <v>2P С16А 30мА</v>
      </c>
      <c r="DF241">
        <f t="shared" si="407"/>
        <v>30</v>
      </c>
      <c r="DG241">
        <f t="shared" si="408"/>
        <v>1</v>
      </c>
      <c r="DH241">
        <f t="shared" si="409"/>
        <v>0</v>
      </c>
      <c r="DI241">
        <f t="shared" si="410"/>
        <v>1.6408902387494626</v>
      </c>
      <c r="DJ241">
        <f t="shared" si="411"/>
        <v>1</v>
      </c>
      <c r="DK241">
        <f>IF(ISNUMBER(AL241),AL241,К_прокл)</f>
        <v>1</v>
      </c>
      <c r="DL241">
        <f t="shared" si="412"/>
        <v>2</v>
      </c>
      <c r="DM241">
        <f>IFERROR(N(VLOOKUP(BT241,Кабель_обозначение,3,FALSE)),1)</f>
        <v>1</v>
      </c>
      <c r="DN241">
        <f>IFERROR(N(_xlfn.XLOOKUP(A241,Щиты[Щит],Щиты[ΔU до шин, %])),0)</f>
        <v>1.19</v>
      </c>
      <c r="DO241" t="str">
        <f>IFERROR(_xlfn.XLOOKUP(A241,Щиты[Щит],Щиты[Zпетли на шинах, Ом]),"")</f>
        <v/>
      </c>
      <c r="DP241">
        <f>IFERROR(N(_xlfn.XLOOKUP(A241,Щиты[Щит],Щиты[ΔU до шин (подбор), %])),0)</f>
        <v>1.19</v>
      </c>
      <c r="DQ241" t="str">
        <f>IFERROR(_xlfn.XLOOKUP(A241,Щиты[Щит],Щиты[Zпетли на шинах (подбор), Ом]),"")</f>
        <v/>
      </c>
      <c r="DR241" t="str">
        <f t="shared" si="413"/>
        <v/>
      </c>
      <c r="DS241">
        <f t="shared" si="414"/>
        <v>56</v>
      </c>
      <c r="DT241">
        <f t="shared" si="415"/>
        <v>2</v>
      </c>
      <c r="DU241">
        <f t="shared" si="416"/>
        <v>0.31</v>
      </c>
      <c r="DV241" s="6">
        <f>IF(B241="","",IF(IFERROR(VLOOKUP(AX241,УГО_спр,2,FALSE),"")="Светильник",3,4)+IF(Методика="нормы 2026",MIN(0.5,MAX(0,N(Q241)-100)*0.005),0))</f>
        <v>4.0350000000000001</v>
      </c>
      <c r="DW241" cm="1">
        <f t="array" ref="DW241">IF(OR(B241="",BT241="",DM241&lt;&gt;1),"",_xlfn.LET(_xlpm.sz,Iдоп_S,_xlpm.t_,CHOOSE(DL241,Iдоп_1ж,Iдоп_2ж,Iдоп_3ж)*DJ241*DK241,_xlpm.inn,N(DD241),_xlpm.smin,MAX(1.5,BW241),_xlpm.L_,N(Q241)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241)*(_xlpm.rho*_xlpm.L_/_xlpm.sz*N(BY241)+_xlpm.xx*_xlpm.L_*N(DU241)/1000)*N(P241)/((Uн_лин/SQRT(3))*1000)*100,999),_xlpm.kz,IF(OR(DG241=1,NOT(ISNUMBER(DQ241)),_xlpm.L_=0,_xlpm.inn=0),1,IFERROR(--(c_min*(Uн_лин*1000/SQRT(3))/(DQ241+2*ρкз_Cu*_xlpm.L_/_xlpm.sz)&gt;=GY241*_xlpm.inn),0)),_xlpm.ok,IFERROR((_xlpm.sz&gt;=_xlpm.smin)*(_xlpm.t_&gt;=_xlpm.inn)*IF(_xlpm.L_&gt;0,(_xlpm.du_+DP241&lt;=DV241+0.00001),1)*_xlpm.kz,0),_xlpm.r_,_xlfn._xlws.FILTER(_xlpm.sz,_xlpm.ok,"не подобрано"),INDEX(_xlpm.r_,1)))</f>
        <v>1.5</v>
      </c>
      <c r="DX241">
        <f t="shared" si="417"/>
        <v>2.5</v>
      </c>
      <c r="DY241" cm="1">
        <f t="array" ref="DY241">IF(OR(B241="",BT241="",DM241&lt;&gt;1),"",_xlfn.LET(_xlpm.sz,Iдоп_S,_xlpm.t_,CHOOSE(DL241,Iдоп_1ж,Iдоп_2ж,Iдоп_3ж)*DJ241*DK241,_xlpm.ok,IFERROR((_xlpm.sz&gt;=MAX(1.5,BW241))*(_xlpm.t_&gt;=N(DD241)),0),_xlpm.r_,_xlfn._xlws.FILTER(_xlpm.sz,_xlpm.ok,""),INDEX(_xlpm.r_,1)))</f>
        <v>1.5</v>
      </c>
      <c r="DZ241" s="6" cm="1">
        <f t="array" ref="DZ241">IFERROR(ROUNDUP(N(DT241)*(_xlfn.XLOOKUP(DY241,INDEX(Кабель_сопротивление,0,1),INDEX(Кабель_сопротивление,0,3))*N(Q241)/DY241*N(BY241)+_xlfn.XLOOKUP(DY241,INDEX(Кабель_сопротивление,0,1),INDEX(Кабель_сопротивление,0,2))*N(Q241)*N(DU241)/1000)*N(P241)/((Uн_лин/SQRT(3))*1000)*100,2),"")</f>
        <v>2.1799999999999997</v>
      </c>
      <c r="EA241">
        <f>IFERROR(2*ρкз_Cu*N(Q241)/DY241,"")</f>
        <v>3.7521333333333335</v>
      </c>
      <c r="EB241">
        <f>IFERROR(VLOOKUP(DX241,Кабель_сопротивление,3,FALSE),"")</f>
        <v>2.2499999999999999E-2</v>
      </c>
      <c r="EC241">
        <f>IFERROR(VLOOKUP(DX241,Кабель_сопротивление,2,FALSE),"")</f>
        <v>0.1</v>
      </c>
      <c r="ED241">
        <f t="shared" si="418"/>
        <v>72</v>
      </c>
      <c r="EE241">
        <f t="shared" si="419"/>
        <v>7</v>
      </c>
      <c r="EF241">
        <f t="shared" si="420"/>
        <v>3.013222535683755</v>
      </c>
      <c r="EG241" s="6">
        <f>IFERROR(ROUNDUP(EF241/((Uн_лин/SQRT(3))*1000)*100,2),"")</f>
        <v>1.31</v>
      </c>
      <c r="EH241" t="str">
        <f>IFERROR(VLOOKUP(BT241,Кабель_обозначение,2,FALSE),"")</f>
        <v>ВВГнг(А)-LS</v>
      </c>
      <c r="EI241" t="str">
        <f t="shared" si="421"/>
        <v>ВВГнг(А)-LS (3х2,5)</v>
      </c>
      <c r="EJ241" t="str">
        <f t="shared" si="422"/>
        <v>ВВГнг(А)-LS (3х2,5)
L=107-1,31%</v>
      </c>
      <c r="EK241">
        <f>IFERROR(2*ρкз_Cu*Q241/DX241,"")</f>
        <v>2.2512800000000004</v>
      </c>
      <c r="EL241">
        <f t="shared" si="423"/>
        <v>0.74900000000000011</v>
      </c>
      <c r="EM241" s="6" t="str">
        <f>IFERROR(IF(OR(B241="",NOT(ISNUMBER(DX241)),N(Q241)=0),"",_xlfn.XLOOKUP(A241,Щиты[Щит],Щиты[Zпетли на шинах, Ом])+EK241),"")</f>
        <v/>
      </c>
      <c r="EN241" s="6" t="str">
        <f>IF(ISNUMBER(EM241),c_min*(Uн_лин*1000/SQRT(3))/EM241,"")</f>
        <v/>
      </c>
      <c r="EO241" s="6" t="str">
        <f>IFERROR(IF(OR(B241="",NOT(ISNUMBER(DX241))),"",1.05*(Uн_лин*1000/SQRT(3))/(_xlfn.XLOOKUP(A241,Щиты[Щит],Щиты[Zmax на шинах, Ом])+EL241)/1000),"")</f>
        <v/>
      </c>
      <c r="EP241" s="6" t="str">
        <f>IF(B241="","",IF(ISNUMBER(Y241),"Сил",IF(IFERROR(_xlfn.XLOOKUP(AX241,Коды_код,Коды_группа)&amp;"","")="","Быт",_xlfn.XLOOKUP(AX241,Коды_код,Коды_группа)&amp;"")))</f>
        <v>Быт</v>
      </c>
      <c r="EQ241" s="6" t="str">
        <f t="shared" si="424"/>
        <v>Быт</v>
      </c>
      <c r="ER241" s="6">
        <f>IF(EQ241="Щит","щит",IF(EQ241="","",IF(EQ241="Быт",IFERROR(_xlfn.XLOOKUP(A241,Щиты[Щит],Щиты[Кс быт]),1),IF(EQ241="Сил",IF(ISNUMBER(Y241),Y241,IF(Методика="нормы 2026",IFERROR(_xlfn.XLOOKUP(A241,Щиты[Щит],Щиты[Кс силовых (табл. 7.5)]),1),1)),IF(OR(EQ241="Пост",EQ241="Отоп"),1,IF(EQ241="ВНГ",0.7,0))))))</f>
        <v>0.57830000000000004</v>
      </c>
      <c r="ES241">
        <f t="shared" si="425"/>
        <v>1</v>
      </c>
      <c r="ET241">
        <f t="shared" si="426"/>
        <v>0.36</v>
      </c>
      <c r="EU241">
        <f t="shared" si="427"/>
        <v>0.36</v>
      </c>
      <c r="EV241">
        <f t="shared" si="428"/>
        <v>0</v>
      </c>
      <c r="EW241">
        <f t="shared" si="429"/>
        <v>0</v>
      </c>
      <c r="EX241">
        <f t="shared" si="430"/>
        <v>0</v>
      </c>
      <c r="EY241">
        <f t="shared" si="431"/>
        <v>0</v>
      </c>
      <c r="EZ241">
        <f t="shared" si="432"/>
        <v>0.36</v>
      </c>
      <c r="FA241">
        <f t="shared" si="433"/>
        <v>0.34199999999999997</v>
      </c>
      <c r="FB241">
        <f t="shared" si="434"/>
        <v>0.36</v>
      </c>
      <c r="FC241" t="str">
        <f t="shared" si="435"/>
        <v/>
      </c>
      <c r="FD241" t="str">
        <f>IF(B241="","",IF(CA241=0,IF(AW241=1,"",FF240),IF(OR(N(CV241)&gt;=3,N(BR241)&gt;=3),"L1,L2,L3",IFERROR(_xlfn.TEXTBEFORE(_xlfn.TEXTAFTER(_xlfn.XLOOKUP(A241,Щиты[Щит],Щиты[_фазы авто]),";"&amp;AW241&amp;":"),";"),"L1"))))</f>
        <v>L1</v>
      </c>
      <c r="FE241" t="str">
        <f t="shared" si="436"/>
        <v>L1</v>
      </c>
      <c r="FF241" t="str">
        <f t="shared" si="437"/>
        <v>L1</v>
      </c>
      <c r="FG241" cm="1">
        <f t="array" ref="FG241">IFERROR(IF(BX241=2,_xlfn.IFS(BR241=3,VLOOKUP(BN241,Справочная_двигатели,3,FALSE),BR241=1,VLOOKUP(BN241,Справочная_двигатели,5,TRUE)),0),0)</f>
        <v>0</v>
      </c>
      <c r="FH241">
        <f>IFERROR(IF(BX241=3,VLOOKUP(BN241,Справочная_ЛЭД,2,TRUE),0),0)</f>
        <v>0</v>
      </c>
      <c r="FI241" s="6">
        <f t="shared" si="438"/>
        <v>0</v>
      </c>
      <c r="FJ241" t="str" cm="1">
        <f t="array" ref="FJ241">IF(B241="","",IFERROR(INDEX({"I особая","I","II","III"},MATCH(TRIM(AC241&amp;""),{"I особая","I","II","III"},0)),"III"))</f>
        <v>II</v>
      </c>
      <c r="FK241" t="str">
        <f>IF(B241="","",IF(TRIM(AD241&amp;"")&lt;&gt;"",IF(LOWER(TRIM(AD241&amp;""))="да","да","нет"),IF(IFERROR(_xlfn.XLOOKUP(AX241,Коды_код,Коды_пожарная),"")="да","да","нет")))</f>
        <v>нет</v>
      </c>
      <c r="FL241" t="str">
        <f t="shared" si="439"/>
        <v/>
      </c>
      <c r="FM241" t="str">
        <f t="shared" si="440"/>
        <v>основная</v>
      </c>
      <c r="FN241">
        <f t="shared" si="441"/>
        <v>1</v>
      </c>
      <c r="FO241" t="str" cm="1">
        <f t="array" ref="FO241">IF(B241="","",_xlfn.LET(_xlpm.t,IFERROR(_xlfn.XLOOKUP(1,(Шины[Шина]=FM241)*(((Шины[Щит]=A241)+(Шины[Щит]=""))&gt;0),Шины[Тип]),"")&amp;"",IF(_xlpm.t&lt;&gt;"",_xlpm.t,IF(ISNUMBER(SEARCH("ИБП",FM241)),"ИБП",IF(ISNUMBER(SEARCH("ДГУ",FM241)),"ДГУ","Ввод "&amp;FN241)))))</f>
        <v>Ввод 1</v>
      </c>
      <c r="FP241" t="str">
        <f t="shared" si="442"/>
        <v>Ввод 1</v>
      </c>
      <c r="FQ241" t="str">
        <f>IF(B241="","",IF(OR(FO241="ИБП",FO241="ДГУ"),"I особая",IF(FO241="Одиночная","III",_xlfn.XLOOKUP(A241,Щиты[Щит],Щиты[Категория шины «Ввод»],"III"))))</f>
        <v>II</v>
      </c>
      <c r="FR241">
        <f>IF(B241="",0,IFERROR(MATCH(FJ241,{"III","II","I","I особая"},0),1))</f>
        <v>2</v>
      </c>
      <c r="FS241">
        <f t="shared" si="443"/>
        <v>2</v>
      </c>
      <c r="FT241" t="str">
        <f>IF(B241="","",IF(FR241&gt;IFERROR(MATCH(FQ241,{"III","II","I","I особая"},0),1),"НЕ ОБЕСПЕЧЕНА","ОК"))</f>
        <v>ОК</v>
      </c>
      <c r="FU241" t="str">
        <f>IF(A241="","",_xlfn.XLOOKUP(A241,Щиты[Щит],Щиты[Путь],""))</f>
        <v>|ГРЩ-ЖД|ЩР-1|</v>
      </c>
      <c r="FV241" t="str">
        <f>IF(B241="","",IF(AE241&lt;&gt;"",AE241,IF(IFERROR(_xlfn.XLOOKUP(AX241,Коды_код,Коды_вид)&amp;"","")="","Прочее",_xlfn.XLOOKUP(AX241,Коды_код,Коды_вид)&amp;"")))</f>
        <v>Розеточная сеть и бытовые приборы</v>
      </c>
      <c r="FW241">
        <f>IF(BH241="","",INT((BH241-1)/Столбцов_на_лист)+1)</f>
        <v>3</v>
      </c>
      <c r="FX241" t="str">
        <f t="shared" si="444"/>
        <v>ВВГнг(А)-LS (3х2,5) L=107-1,31%</v>
      </c>
      <c r="FY241">
        <f t="shared" si="445"/>
        <v>0.36</v>
      </c>
      <c r="FZ241">
        <f t="shared" si="446"/>
        <v>1.65</v>
      </c>
      <c r="GA241">
        <f t="shared" si="447"/>
        <v>1</v>
      </c>
      <c r="GB241">
        <f t="shared" si="448"/>
        <v>0</v>
      </c>
      <c r="GC241">
        <f t="shared" si="449"/>
        <v>1</v>
      </c>
      <c r="GD241">
        <f>IF(BH241="","",IF(AND(CA241=1,GC241=1),COUNTIFS(A$3:A241,A241,CA$3:CA241,1,GC$3:GC241,1),IF(OR(OR(AW241=1,A241&lt;&gt;A240),AF241="вручную",GC241=0),"",IF(AW241=1,"",GE240))))</f>
        <v>17</v>
      </c>
      <c r="GE241">
        <f t="shared" si="450"/>
        <v>17</v>
      </c>
      <c r="GF241">
        <f>IF(B241="","",IFERROR(LOOKUP(INDEX(CHOOSE(DL241,Iдоп_1ж,Iдоп_2ж,Iдоп_3ж),MATCH(DX241,Iдоп_S,0))*DJ241*DK241,{6,10,16,20,25,32,40,50,63,80,100,125,160,200,250,315,400,500,630}),""))</f>
        <v>25</v>
      </c>
      <c r="GG241" t="str">
        <f t="shared" si="451"/>
        <v>QFD17</v>
      </c>
      <c r="GH241" t="str">
        <f t="shared" si="452"/>
        <v>QFD17</v>
      </c>
      <c r="GI241" t="str">
        <f t="shared" si="453"/>
        <v/>
      </c>
      <c r="GJ241">
        <f t="shared" si="454"/>
        <v>0</v>
      </c>
      <c r="GK241" t="str">
        <f>IF(OR(AG241="",AG241="-"),"",IFERROR(VLOOKUP(AG241,Модули_спр,2,FALSE),"R"))</f>
        <v/>
      </c>
      <c r="GL241" t="str">
        <f>IF(GK241="","",GK241&amp;"."&amp;COUNTIFS(A$3:A241,A241,GK$3:GK241,GK241))</f>
        <v/>
      </c>
      <c r="GM241" t="str">
        <f t="shared" si="455"/>
        <v/>
      </c>
      <c r="GN241" t="str">
        <f t="shared" si="456"/>
        <v/>
      </c>
      <c r="GO241" t="str">
        <f t="shared" si="457"/>
        <v/>
      </c>
      <c r="GP241" t="str">
        <f t="shared" si="458"/>
        <v/>
      </c>
      <c r="GQ241">
        <f t="shared" si="459"/>
        <v>1</v>
      </c>
      <c r="GR241" t="str">
        <f>IF(GQ241=1,"XT"&amp;COUNTIFS(A$3:A241,A241,GQ$3:GQ241,1),"")</f>
        <v>XT17</v>
      </c>
      <c r="GS241" t="str">
        <f t="shared" si="460"/>
        <v/>
      </c>
      <c r="GT241" t="str">
        <f t="shared" si="461"/>
        <v>QFD17</v>
      </c>
      <c r="GU241" t="str">
        <f t="shared" si="462"/>
        <v/>
      </c>
      <c r="GV241" t="str">
        <f t="shared" si="463"/>
        <v>ok</v>
      </c>
      <c r="GW241" t="str">
        <f>IF(OR(GO241="",GM241=""),"",IF(GO241&gt;IFERROR(VLOOKUP(GN241,Модули_спр,3,FALSE),99),"ЛИШНИЙ КАНАЛ",IF(AND(AH241&lt;&gt;"=",COUNTIFS(Линии[_модуль гр.],GM241,Линии[Канал (итог)],GO241,Линии[Канал],"&lt;&gt;=",Линии[Щит],A241)&gt;1),"ДУБЛЬ КАНАЛА","")))</f>
        <v/>
      </c>
      <c r="GX241" s="6" t="str">
        <f t="shared" si="464"/>
        <v/>
      </c>
      <c r="GY241">
        <f t="shared" si="465"/>
        <v>10</v>
      </c>
      <c r="GZ241" t="str">
        <f t="shared" si="466"/>
        <v/>
      </c>
      <c r="HA241" t="str">
        <f>IF(AND(B241="",GT241=""),"",_xlfn.TEXTJOIN("; ",TRUE,IF(AND(B241&lt;&gt;"",FE241=""),"нет фазы",""),IF(AND(B241&lt;&gt;"",N(FY241)=0,EQ241&lt;&gt;"Нет"),"нет мощности",""),IF(AND(GS241&lt;&gt;"",COUNTIFS(Линии[Щит],A241,Линии[Клемма (итог)],GS241)&gt;1),"дубль клеммы "&amp;GS241,""),IF(AND(GV241&lt;&gt;"",GV241&lt;&gt;"ok"),GV241,""),IF(GW241&lt;&gt;"",GW241,""),IF(AND(N(BV241)&gt;=4,N(BR241)=1),BV241&amp;" жил на 1 фазе",""),IF(AND(AX241="R",CA241=1,OR(N(CK241)=0,N(CK241)&gt;30)),"розетка без дифзащиты до 30 мА",""),IFERROR(IF(AND(ISNUMBER(R241),R241&gt;DV241),"потери "&amp;FIXED(R241,1)&amp;" % &gt; "&amp;DV241&amp;" %",""),""),IFERROR(IF(LEFT(GZ241,4)="мало","Iкз мало — отключение &gt; 0,4 с",""),""),IF(AND(B241&lt;&gt;"",BH241=""),"не на схеме",""),IF(AND(CA241=0,B241&lt;&gt;"",FE241&lt;&gt;"",IF(AW241=1,"",FF240)&lt;&gt;"",FE241&lt;&gt;IF(AW241=1,"",FF240)),"фаза не как у автомата группы ("&amp;IF(AW241=1,"",FF240)&amp;")","")))</f>
        <v/>
      </c>
      <c r="HB241" s="6">
        <f>IF(OR(CA241=0,DA241=""),"",_xlfn.LET(_xlpm.t,IFERROR(_xlfn.XLOOKUP(DA241,Каталог!$U$4:$U$500,Каталог!$G$4:$G$500),""),_xlpm.k,SEARCH("кА",_xlpm.t),IFERROR(--TRIM(RIGHT(SUBSTITUTE(MID(_xlpm.t,MAX(1,_xlpm.k-4),_xlpm.k-MAX(1,_xlpm.k-4))," ",REPT(" ",9)),5)),"")))</f>
        <v>6</v>
      </c>
      <c r="HC241" t="str">
        <f>IF(OR(HB241="",CA241=0),"",IF(_xlfn.XLOOKUP(A241,Щиты[Щит],Щиты[Iкз max на шинах, кА],"")="","",IF(HB241&lt;_xlfn.XLOOKUP(A241,Щиты[Щит],Щиты[Iкз max на шинах, кА]),"Icu "&amp;HB241&amp;" кА &lt; Iкз max","ok")))</f>
        <v/>
      </c>
      <c r="HD241" t="str">
        <f t="shared" si="467"/>
        <v/>
      </c>
      <c r="HE241" t="str">
        <f t="shared" si="468"/>
        <v>QFD17</v>
      </c>
      <c r="HF241" t="str">
        <f t="shared" si="469"/>
        <v>QFD17|кабель ВВГнг(А)-LS (3х2,5) → Розеточная группа, пом. 003A</v>
      </c>
      <c r="HG241" t="str" cm="1">
        <f t="array" ref="HG241">IF(HF241="","",_xlfn.LET(_xlpm.nd,_xlfn.TEXTSPLIT(HF241,"|"),IF(COLUMNS(_xlpm.nd)&gt;1,A241&amp;"¦"&amp;INDEX(_xlpm.nd,1)&amp;"¦"&amp;INDEX(_xlpm.nd,2),"")))</f>
        <v>ЩР-1¦QFD17¦кабель ВВГнг(А)-LS (3х2,5) → Розеточная группа, пом. 003A</v>
      </c>
      <c r="HH241" t="str">
        <f t="shared" si="470"/>
        <v>R.1.003A.3¦Розеточная группа, пом. 003A</v>
      </c>
      <c r="HI241" t="str" cm="1">
        <f t="array" ref="HI241">IF(HF241="","",_xlfn.LET(_xlpm.nd,_xlfn.TEXTSPLIT(HF241,"|"),IF(COLUMNS(_xlpm.nd)&gt;2,A241&amp;"¦"&amp;INDEX(_xlpm.nd,2)&amp;"¦"&amp;INDEX(_xlpm.nd,3),"")))</f>
        <v/>
      </c>
      <c r="HJ241" t="str">
        <f t="shared" si="471"/>
        <v/>
      </c>
      <c r="HK241" t="str" cm="1">
        <f t="array" ref="HK241">IF(HF241="","",_xlfn.LET(_xlpm.nd,_xlfn.TEXTSPLIT(HF241,"|"),IF(COLUMNS(_xlpm.nd)&gt;3,A241&amp;"¦"&amp;INDEX(_xlpm.nd,3)&amp;"¦"&amp;INDEX(_xlpm.nd,4),"")))</f>
        <v/>
      </c>
      <c r="HL241" t="str">
        <f t="shared" si="472"/>
        <v/>
      </c>
      <c r="HM241" t="str" cm="1">
        <f t="array" ref="HM241">IF(HF241="","",_xlfn.LET(_xlpm.nd,_xlfn.TEXTSPLIT(HF241,"|"),IF(COLUMNS(_xlpm.nd)&gt;4,A241&amp;"¦"&amp;INDEX(_xlpm.nd,4)&amp;"¦"&amp;INDEX(_xlpm.nd,5),"")))</f>
        <v/>
      </c>
      <c r="HN241" t="str">
        <f t="shared" si="473"/>
        <v/>
      </c>
      <c r="HO241" t="str" cm="1">
        <f t="array" ref="HO241">IF(HF241="","",_xlfn.LET(_xlpm.nd,_xlfn.TEXTSPLIT(HF241,"|"),IF(COLUMNS(_xlpm.nd)&gt;5,A241&amp;"¦"&amp;INDEX(_xlpm.nd,5)&amp;"¦"&amp;INDEX(_xlpm.nd,6),"")))</f>
        <v/>
      </c>
      <c r="HP241" t="str">
        <f t="shared" si="474"/>
        <v/>
      </c>
      <c r="HQ241" t="str" cm="1">
        <f t="array" ref="HQ241">IF(HF241="","",_xlfn.LET(_xlpm.nd,_xlfn.TEXTSPLIT(HF241,"|"),IF(COLUMNS(_xlpm.nd)&gt;6,A241&amp;"¦"&amp;INDEX(_xlpm.nd,6)&amp;"¦"&amp;INDEX(_xlpm.nd,7),"")))</f>
        <v/>
      </c>
      <c r="HR241" t="str">
        <f t="shared" si="475"/>
        <v/>
      </c>
      <c r="HS241" t="str">
        <f t="shared" si="476"/>
        <v/>
      </c>
      <c r="HT241" t="str">
        <f t="shared" si="477"/>
        <v>QFD17</v>
      </c>
      <c r="HU241">
        <f t="shared" si="478"/>
        <v>0</v>
      </c>
      <c r="HV241">
        <f t="shared" si="479"/>
        <v>1</v>
      </c>
      <c r="HW241" t="str">
        <f t="shared" si="480"/>
        <v/>
      </c>
      <c r="HX241" t="str">
        <f t="shared" si="481"/>
        <v/>
      </c>
      <c r="HY241" t="str">
        <f t="shared" si="482"/>
        <v/>
      </c>
      <c r="HZ241" t="str">
        <f t="shared" si="483"/>
        <v/>
      </c>
      <c r="IA241" t="str">
        <f>IF(B241="","",IFERROR(VLOOKUP(B241,УГО_спр,2,FALSE),IFERROR(VLOOKUP(AX241,УГО_спр,2,FALSE),IFERROR(VLOOKUP(LEFT(AX241,2),УГО_спр,2,FALSE),""))))</f>
        <v>Розетка</v>
      </c>
      <c r="IB241" t="str">
        <f>IF(B241="","",IF(OR(IA241="",IA241=0),"BOX",IFERROR(IF(VLOOKUP(IA241,УГО_блоки,3,FALSE)&amp;""&lt;&gt;"",VLOOKUP(IA241,УГО_блоки,3,FALSE),VLOOKUP(IA241,УГО_блоки,2,FALSE)),IA241)))</f>
        <v>SOCKET</v>
      </c>
      <c r="IC241">
        <f t="shared" si="484"/>
        <v>1</v>
      </c>
      <c r="ID241" t="str">
        <f>IF(DA241="","",IF(COUNTIF(DA$3:DA241,DA241)=1,MAX(ID$2:ID240)+1,""))</f>
        <v/>
      </c>
      <c r="IE241" t="str">
        <f>IF(CO241="","",IF(COUNTIF(CO$3:CO241,CO241)+COUNTIF(CP$2:CP240,CO241)+COUNTIF(CQ$2:CQ240,CO241)=1,MAX(IE$2:IG240)+1,""))</f>
        <v/>
      </c>
      <c r="IF241" t="str">
        <f>IF(CP241="","",IF(COUNTIF(CO$3:CO241,CP241)+COUNTIF(CP$3:CP241,CP241)+COUNTIF(CQ$2:CQ240,CP241)=1,MAX(IE$2:IG240,IE241)+1,""))</f>
        <v/>
      </c>
      <c r="IG241" t="str">
        <f>IF(CQ241="","",IF(COUNTIF(CO$3:CO241,CQ241)+COUNTIF(CP$3:CP241,CQ241)+COUNTIF(CQ$3:CQ241,CQ241)=1,MAX(IE$2:IG240,IE241,IF241)+1,""))</f>
        <v/>
      </c>
      <c r="IH241" t="str">
        <f t="shared" si="485"/>
        <v>3х2,5</v>
      </c>
      <c r="II241" t="str">
        <f>IF(IH241="","",IF(COUNTIF(IH$3:IH241,IH241)=1,MAX(II$2:II240)+1,""))</f>
        <v/>
      </c>
      <c r="IJ241" t="str">
        <f>IF(GL241="","",COUNTIF(GL$3:GL241,"?*"))</f>
        <v/>
      </c>
      <c r="IK241" t="str">
        <f>IF(OR(GL241="",GN241=""),"",IF(COUNTIFS(GL$3:GL241,"?*",GN$3:GN241,GN241)=1,MAX(IK$2:IK240)+1,""))</f>
        <v/>
      </c>
      <c r="IL241">
        <f t="shared" si="486"/>
        <v>0</v>
      </c>
      <c r="IM241">
        <f>IF(B241="","",COUNTIF(B$3:B241,"?*"))</f>
        <v>239</v>
      </c>
      <c r="IN241">
        <f>IF(GQ241&lt;&gt;1,0,_xlfn.LET(_xlpm.k,MAX(IFERROR(--VLOOKUP(B241,УГО_спр,5,FALSE),0),IFERROR(--VLOOKUP(AX241,УГО_спр,5,FALSE),0),IFERROR(--VLOOKUP(LEFT(AX241,2),УГО_спр,5,FALSE),0)),IF(_xlpm.k&gt;0,_xlpm.k,IF(IFERROR(--LEFT(SUBSTITUTE(IH241,"x","х"),FIND("х",SUBSTITUTE(IH241,"x","х"))-1),3)&gt;3,Каталог!$S$9,1))))</f>
        <v>1</v>
      </c>
      <c r="IO241">
        <f t="shared" si="487"/>
        <v>0</v>
      </c>
      <c r="IP241" t="str">
        <f t="shared" si="488"/>
        <v>авто</v>
      </c>
      <c r="IQ241">
        <f t="shared" si="489"/>
        <v>30</v>
      </c>
      <c r="IR241">
        <f t="shared" si="490"/>
        <v>1</v>
      </c>
      <c r="IS241">
        <f t="shared" si="491"/>
        <v>1</v>
      </c>
    </row>
    <row r="242" spans="1:253" x14ac:dyDescent="0.3">
      <c r="A242" t="s">
        <v>759</v>
      </c>
      <c r="B242" t="s">
        <v>1507</v>
      </c>
      <c r="C242" t="str">
        <f>Линии[[#This Row],[_авто наименование]]</f>
        <v>Розеточная группа, пом. 003A2</v>
      </c>
      <c r="D242">
        <v>2</v>
      </c>
      <c r="E242">
        <v>0.3</v>
      </c>
      <c r="G242" t="str">
        <f>Линии[[#This Row],[_авто автомат]]</f>
        <v>2P С16А 30мА</v>
      </c>
      <c r="H242">
        <f>Линии[[#This Row],[_авто утечка]]</f>
        <v>30</v>
      </c>
      <c r="I242" t="str">
        <f>Линии[[#This Row],[_авто управление]]</f>
        <v/>
      </c>
      <c r="J242" t="str">
        <f>Линии[[#This Row],[_авто аппараты]]</f>
        <v/>
      </c>
      <c r="K242">
        <v>2.5</v>
      </c>
      <c r="L242">
        <v>60</v>
      </c>
      <c r="M242">
        <v>1</v>
      </c>
      <c r="N242" t="s">
        <v>486</v>
      </c>
      <c r="O242" t="str">
        <f t="shared" si="369"/>
        <v/>
      </c>
      <c r="P242" s="6" cm="1">
        <f t="array" ref="P242">IF(B242="","",IF(BC242&lt;&gt;"",IFERROR(_xlfn.XLOOKUP(BC242,Щиты[Щит],Щиты[Iр, А]),""),IF(BK242=1,IFERROR(_xlfn.XLOOKUP(A242,Щиты[Щит],Щиты[Iр, А]),""),IFERROR(_xlfn.IFS(BR242=1,BN242/((Uн_лин/SQRT(3))*BY242),BR242=3,BN242/(SQRT(3)*Uн_лин*BY242)),""))))</f>
        <v>1.3674085322912188</v>
      </c>
      <c r="Q242" s="7">
        <f>IF(B242="","",IFERROR(IF(VLOOKUP(AX242,Потребители_обозначение,4,FALSE)=1,VLOOKUP(AX242,Потребители_обозначение,3,FALSE)*(D242*2-1)+DS242+VLOOKUP(AZ242,Этаж_обозначение,3,FALSE)+VLOOKUP(AZ242,Этаж_обозначение,4,FALSE),VLOOKUP(AX242,Потребители_обозначение,3,FALSE)*(D242*2-1)+DS242),DS242))</f>
        <v>69</v>
      </c>
      <c r="R242" s="6">
        <f t="shared" si="370"/>
        <v>1.9</v>
      </c>
      <c r="S242" t="str">
        <f t="shared" si="371"/>
        <v>ВВГнг(А)-LS (3х2,5)</v>
      </c>
      <c r="T242" t="str">
        <f>IF(BH242="","",IF(BI242="вводной узел","узел ","")&amp;"л."&amp;(INT((BH242-1)/Столбцов_на_лист)+1)&amp;" / "&amp;(MOD(BH242-1,Столбцов_на_лист)+1))</f>
        <v>л.3 / 3</v>
      </c>
      <c r="V242">
        <v>1</v>
      </c>
      <c r="W242">
        <v>230</v>
      </c>
      <c r="X242" t="s">
        <v>564</v>
      </c>
      <c r="AC242" t="s">
        <v>815</v>
      </c>
      <c r="AE242" t="s">
        <v>563</v>
      </c>
      <c r="AI242">
        <v>37</v>
      </c>
      <c r="AJ242" t="s">
        <v>11</v>
      </c>
      <c r="AK242">
        <v>3</v>
      </c>
      <c r="AM242">
        <v>28</v>
      </c>
      <c r="AN242">
        <v>35</v>
      </c>
      <c r="AO242">
        <v>6</v>
      </c>
      <c r="AW242" cm="1">
        <f t="array" ref="AW242">ROW()-ROW(Линии[#Headers])</f>
        <v>240</v>
      </c>
      <c r="AX242" s="6" t="str">
        <f t="shared" si="372"/>
        <v>R</v>
      </c>
      <c r="AY242" t="str">
        <f t="shared" si="373"/>
        <v>1.003A2</v>
      </c>
      <c r="AZ242" t="str">
        <f t="shared" si="374"/>
        <v>1</v>
      </c>
      <c r="BA242" t="str">
        <f t="shared" si="375"/>
        <v>003A2</v>
      </c>
      <c r="BB242" t="str">
        <f t="shared" si="376"/>
        <v>003A2</v>
      </c>
      <c r="BC242" t="str">
        <f>IF(U242&lt;&gt;"",U242,IF(AND(B242&lt;&gt;"",B242&lt;&gt;A242,ISNUMBER(_xlfn.XMATCH(B242,Щиты[Щит]))),B242,""))</f>
        <v/>
      </c>
      <c r="BD242" t="str" cm="1">
        <f t="array" ref="BD242">IF(B242="","",IF(BC242&lt;&gt;"","Щит "&amp;BC242,_xlfn.LET(_xlpm.nm,IFERROR(_xlfn.XLOOKUP(AX242,Коды_код,Коды_имя)&amp;"",""),_xlpm.md,IFERROR(N(_xlfn.XLOOKUP(AX242,Коды_код,Коды_режим)),1),_xlpm.ex,IF(Имя_режим="по экспликации",IFERROR(_xlfn.XLOOKUP(AZ242&amp;"|"&amp;BB242,Экспликация[Этаж]&amp;"|"&amp;Экспликация[Помещение],Экспликация[Название])&amp;"",""),""),_xlpm.rm,IF(BB242="","",IF(_xlpm.ex&lt;&gt;"",". "&amp;_xlpm.ex&amp;IF(Имя_пом="нет"," ("&amp;BB242&amp;")"," (пом. "&amp;BB242&amp;")"),IF(Имя_пом="нет"," ",", пом. ")&amp;BB242)),IF(_xlpm.nm="","",IF(_xlpm.md=2,_xlpm.nm&amp;" шлейф "&amp;AZ242,_xlpm.nm&amp;_xlpm.rm)))))</f>
        <v>Розеточная группа, пом. 003A2</v>
      </c>
      <c r="BE242" t="str">
        <f t="shared" si="377"/>
        <v>Розеточная группа, пом. 003A2</v>
      </c>
      <c r="BF242">
        <f>IFERROR(_xlfn.XMATCH(A242,Щиты[Щит]),0)</f>
        <v>10</v>
      </c>
      <c r="BG242">
        <f>_xlfn.LET(_xlpm.k,IFERROR(_xlfn.XLOOKUP(A242,Щиты[Щит],Щиты[Листов под вводной узел]),""),IF(_xlpm.k="",1,N(_xlpm.k))*Столбцов_на_лист)</f>
        <v>17</v>
      </c>
      <c r="BH242">
        <f t="shared" si="378"/>
        <v>37</v>
      </c>
      <c r="BI242" t="str">
        <f t="shared" si="379"/>
        <v>линии</v>
      </c>
      <c r="BJ242" s="6">
        <f>IFERROR(N(_xlfn.XLOOKUP(AX242,Коды_код,Коды_квт)),0)</f>
        <v>0</v>
      </c>
      <c r="BK242">
        <f t="shared" si="380"/>
        <v>0</v>
      </c>
      <c r="BL242" t="str">
        <f>IF(B242="","",IF(BC242&lt;&gt;"",IFERROR(_xlfn.XLOOKUP(BC242,Щиты[Щит],Щиты[Руст, кВт]),0),IF(BK242=1,IFERROR(_xlfn.XLOOKUP(A242,Щиты[Щит],Щиты[Руст, кВт]),0),IF(BJ242&gt;0,ROUND(BJ242*MAX(1,N(D242)),3),""))))</f>
        <v/>
      </c>
      <c r="BM242">
        <f t="shared" si="381"/>
        <v>0.3</v>
      </c>
      <c r="BN242" s="6">
        <f>IF(B242="","",IF(BC242&lt;&gt;"",IFERROR(_xlfn.XLOOKUP(BC242,Щиты[Щит],Щиты[Руст, кВт]),0),N(BM242)))</f>
        <v>0.3</v>
      </c>
      <c r="BO242" t="str">
        <f>IF(B242="","",IFERROR(IF(VLOOKUP(AX242,Потребители_обозначение,8,FALSE)=0,"",VLOOKUP(AX242,Потребители_обозначение,8,FALSE)),""))</f>
        <v/>
      </c>
      <c r="BP242">
        <f t="shared" si="382"/>
        <v>230</v>
      </c>
      <c r="BQ242">
        <f>IF(B242="","",IF(BC242&lt;&gt;"",3,IFERROR(IF(N(VLOOKUP(AX242,Потребители_обозначение,9,FALSE))=0,1,VLOOKUP(AX242,Потребители_обозначение,9,FALSE)),1)))</f>
        <v>1</v>
      </c>
      <c r="BR242">
        <f t="shared" si="383"/>
        <v>1</v>
      </c>
      <c r="BS242" t="str">
        <f>IF(B242="","",_xlfn.LET(_xlpm.bc,IFERROR(IF(VLOOKUP(AX242,Потребители_обозначение,6,FALSE)=0,"",VLOOKUP(AX242,Потребители_обозначение,6,FALSE)&amp;""),""),IF(AND(FK242="да",OR(_xlpm.bc="",_xlpm.bc="мс")),Марка_пож,IF(AND(_xlpm.bc="",BC242&lt;&gt;""),"мс",_xlpm.bc))))</f>
        <v/>
      </c>
      <c r="BT242" t="str">
        <f t="shared" si="384"/>
        <v>мс</v>
      </c>
      <c r="BU242">
        <f>IF(B242="","",_xlfn.LET(_xlpm.cc,IFERROR(N(VLOOKUP(AX242,Потребители_обозначение,7,FALSE)),0),IF(_xlpm.cc&gt;0,_xlpm.cc,IF(BT242="","",IF(N(BR242)=3,5,3)))))</f>
        <v>3</v>
      </c>
      <c r="BV242">
        <f t="shared" si="385"/>
        <v>3</v>
      </c>
      <c r="BW242">
        <f>IFERROR(N(VLOOKUP(AX242,Потребители_обозначение,10,FALSE)),0)</f>
        <v>0</v>
      </c>
      <c r="BX242">
        <f>IFERROR(VLOOKUP(AX242,Потребители_обозначение,5,FALSE),0)</f>
        <v>1</v>
      </c>
      <c r="BY242" s="6" cm="1">
        <f t="array" ref="BY242">IF(B242="","",IF(BC242&lt;&gt;"",IFERROR(_xlfn.XLOOKUP(BC242,Щиты[Щит],Щиты[cos φ]),0.95),IF(BK242=1,IFERROR(_xlfn.XLOOKUP(A242,Щиты[Щит],Щиты[cos φ]),0.95),IF(ISNUMBER(Z242),Z242,IFERROR(IF(BX242=2,_xlfn.IFS(BR242=3,VLOOKUP(BN242,Справочная_двигатели,8,FALSE),BR242=1,VLOOKUP(BN242,Справочная_двигатели,10,TRUE)),IF(AND(Методика="нормы 2026",EQ242="Сил"),0.8,0.95)),0.95)))))</f>
        <v>0.95</v>
      </c>
      <c r="BZ242">
        <f t="shared" si="386"/>
        <v>0</v>
      </c>
      <c r="CA242">
        <f t="shared" si="387"/>
        <v>1</v>
      </c>
      <c r="CB242">
        <f t="shared" si="388"/>
        <v>0</v>
      </c>
      <c r="CC242">
        <f t="shared" si="389"/>
        <v>0</v>
      </c>
      <c r="CD242">
        <f t="shared" si="390"/>
        <v>0</v>
      </c>
      <c r="CE242">
        <f t="shared" si="391"/>
        <v>0</v>
      </c>
      <c r="CF242">
        <f t="shared" si="392"/>
        <v>0</v>
      </c>
      <c r="CG242">
        <f>IF(AX242="",0,_xlfn.LET(_xlpm.v,IFERROR(VLOOKUP(B242,УГО_спр,3,FALSE),IFERROR(VLOOKUP(AX242,УГО_спр,3,FALSE),IFERROR(VLOOKUP(LEFT(AX242,2),УГО_спр,3,FALSE),""))),IF(_xlpm.v="да",30,IF(ISNUMBER(_xlpm.v),_xlpm.v,0))))</f>
        <v>30</v>
      </c>
      <c r="CH242">
        <f t="shared" si="393"/>
        <v>30</v>
      </c>
      <c r="CI242" t="str">
        <f>_xlfn.LET(_xlpm.k,IFERROR(_xlfn.XLOOKUP(AX242,Коды_код,Коды_утечка)&amp;"",""),IF(_xlpm.k="","дифавтомат",_xlpm.k))</f>
        <v>дифавтомат</v>
      </c>
      <c r="CJ242">
        <f t="shared" si="394"/>
        <v>30</v>
      </c>
      <c r="CK242">
        <f t="shared" si="395"/>
        <v>30</v>
      </c>
      <c r="CL242">
        <f>IF(B242="",0,IFERROR(--VLOOKUP(B242,УГО_спр,4,FALSE),IFERROR(--VLOOKUP(AX242,УГО_спр,4,FALSE),IFERROR(--VLOOKUP(LEFT(AX242,2),УГО_спр,4,FALSE),0))))</f>
        <v>16</v>
      </c>
      <c r="CM242" t="str">
        <f>IF(B242="","",IFERROR(_xlfn.XLOOKUP(AX242,Коды_код,Коды_апп)&amp;"",""))</f>
        <v/>
      </c>
      <c r="CN242" t="str">
        <f t="shared" si="396"/>
        <v/>
      </c>
      <c r="CO242" t="str" cm="1">
        <f t="array" ref="CO242">IF(TRIM(CN242&amp;"")="","",IFERROR(TRIM(INDEX(_xlfn.TEXTSPLIT(CN242&amp;";;;",";"),1)),""))</f>
        <v/>
      </c>
      <c r="CP242" t="str" cm="1">
        <f t="array" ref="CP242">IF(TRIM(CN242&amp;"")="","",IFERROR(TRIM(INDEX(_xlfn.TEXTSPLIT(CN242&amp;";;;",";"),2)),""))</f>
        <v/>
      </c>
      <c r="CQ242" t="str" cm="1">
        <f t="array" ref="CQ242">IF(TRIM(CN242&amp;"")="","",IFERROR(TRIM(INDEX(_xlfn.TEXTSPLIT(CN242&amp;";;;",";"),3)),""))</f>
        <v/>
      </c>
      <c r="CR242">
        <f t="shared" si="397"/>
        <v>0</v>
      </c>
      <c r="CS242" t="str">
        <f>IF(B242="","",_xlfn.LET(_xlpm.t,LOWER(AV242&amp;""),IF(ISNUMBER(SEARCH("dim",_xlpm.t)),"DIM",IF(ISNUMBER(SEARCH("dali",_xlpm.t)),"DALI",IF(OR(ISNUMBER(SEARCH("relay",_xlpm.t)),ISNUMBER(SEARCH("реле",_xlpm.t))),"Relay",IF(ISNUMBER(SEARCH("кнопк",_xlpm.t)),"",IFERROR(_xlfn.XLOOKUP(AX242,Коды_код,Коды_упр)&amp;"","")))))))</f>
        <v/>
      </c>
      <c r="CT242" t="str">
        <f t="shared" si="398"/>
        <v/>
      </c>
      <c r="CU242">
        <f>IF(B242="","",_xlfn.LET(_xlpm.ig,N(P242)+IF(AF242="вручную",0,N(CB242)),_xlpm.n0,IFERROR(VLOOKUP(_xlpm.ig,Автомат_номиналы,2,TRUE),0),_xlpm.mn,MAX(CL242,IF(AF242="вручную",0,N(CE242))),MAX(_xlpm.n0,_xlpm.mn,IF(CR242=1,Мин_автомат_БП,0))))</f>
        <v>16</v>
      </c>
      <c r="CV242">
        <f t="shared" si="399"/>
        <v>1</v>
      </c>
      <c r="CW242" t="str">
        <f t="shared" si="400"/>
        <v>2P</v>
      </c>
      <c r="CX242" t="str">
        <f>_xlfn.LET(_xlpm.cc,UPPER(TRIM(IFERROR(_xlfn.XLOOKUP(AX242,Коды_код,Коды_хар)&amp;"",""))),IF(OR(_xlpm.cc="B",_xlpm.cc="В"),"B",IF(_xlpm.cc="D","D","С")))</f>
        <v>С</v>
      </c>
      <c r="CY242" t="str">
        <f t="shared" si="401"/>
        <v>2P С16А 30мА</v>
      </c>
      <c r="CZ242" t="str">
        <f t="shared" si="402"/>
        <v>2P С16А 30мА</v>
      </c>
      <c r="DA242" t="str">
        <f t="shared" si="403"/>
        <v>2P С16А 30мА</v>
      </c>
      <c r="DB242" cm="1">
        <f t="array" ref="DB242">IF(DA242="","",_xlfn.LET(_xlpm.t,SUBSTITUTE(SUBSTITUTE(SUBSTITUTE(UPPER(DA242),"С","C"),"А","A"),"В","B"),_xlpm.tk,_xlfn.TEXTSPLIT(_xlpm.t,"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2" t="str">
        <f t="shared" si="404"/>
        <v>ok</v>
      </c>
      <c r="DD242">
        <f t="shared" si="405"/>
        <v>16</v>
      </c>
      <c r="DE242" t="str">
        <f t="shared" si="406"/>
        <v>2P С16А 30мА</v>
      </c>
      <c r="DF242">
        <f t="shared" si="407"/>
        <v>30</v>
      </c>
      <c r="DG242">
        <f t="shared" si="408"/>
        <v>1</v>
      </c>
      <c r="DH242">
        <f t="shared" si="409"/>
        <v>0</v>
      </c>
      <c r="DI242">
        <f t="shared" si="410"/>
        <v>1.3674085322912188</v>
      </c>
      <c r="DJ242">
        <f t="shared" si="411"/>
        <v>1</v>
      </c>
      <c r="DK242">
        <f>IF(ISNUMBER(AL242),AL242,К_прокл)</f>
        <v>1</v>
      </c>
      <c r="DL242">
        <f t="shared" si="412"/>
        <v>2</v>
      </c>
      <c r="DM242">
        <f>IFERROR(N(VLOOKUP(BT242,Кабель_обозначение,3,FALSE)),1)</f>
        <v>1</v>
      </c>
      <c r="DN242">
        <f>IFERROR(N(_xlfn.XLOOKUP(A242,Щиты[Щит],Щиты[ΔU до шин, %])),0)</f>
        <v>1.19</v>
      </c>
      <c r="DO242" t="str">
        <f>IFERROR(_xlfn.XLOOKUP(A242,Щиты[Щит],Щиты[Zпетли на шинах, Ом]),"")</f>
        <v/>
      </c>
      <c r="DP242">
        <f>IFERROR(N(_xlfn.XLOOKUP(A242,Щиты[Щит],Щиты[ΔU до шин (подбор), %])),0)</f>
        <v>1.19</v>
      </c>
      <c r="DQ242" t="str">
        <f>IFERROR(_xlfn.XLOOKUP(A242,Щиты[Щит],Щиты[Zпетли на шинах (подбор), Ом]),"")</f>
        <v/>
      </c>
      <c r="DR242" t="str">
        <f t="shared" si="413"/>
        <v/>
      </c>
      <c r="DS242">
        <f t="shared" si="414"/>
        <v>60</v>
      </c>
      <c r="DT242">
        <f t="shared" si="415"/>
        <v>2</v>
      </c>
      <c r="DU242">
        <f t="shared" si="416"/>
        <v>0.31</v>
      </c>
      <c r="DV242" s="6">
        <f>IF(B242="","",IF(IFERROR(VLOOKUP(AX242,УГО_спр,2,FALSE),"")="Светильник",3,4)+IF(Методика="нормы 2026",MIN(0.5,MAX(0,N(Q242)-100)*0.005),0))</f>
        <v>4</v>
      </c>
      <c r="DW242" cm="1">
        <f t="array" ref="DW242">IF(OR(B242="",BT242="",DM242&lt;&gt;1),"",_xlfn.LET(_xlpm.sz,Iдоп_S,_xlpm.t_,CHOOSE(DL242,Iдоп_1ж,Iдоп_2ж,Iдоп_3ж)*DJ242*DK242,_xlpm.inn,N(DD242),_xlpm.smin,MAX(1.5,BW242),_xlpm.L_,N(Q242)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242)*(_xlpm.rho*_xlpm.L_/_xlpm.sz*N(BY242)+_xlpm.xx*_xlpm.L_*N(DU242)/1000)*N(P242)/((Uн_лин/SQRT(3))*1000)*100,999),_xlpm.kz,IF(OR(DG242=1,NOT(ISNUMBER(DQ242)),_xlpm.L_=0,_xlpm.inn=0),1,IFERROR(--(c_min*(Uн_лин*1000/SQRT(3))/(DQ242+2*ρкз_Cu*_xlpm.L_/_xlpm.sz)&gt;=GY242*_xlpm.inn),0)),_xlpm.ok,IFERROR((_xlpm.sz&gt;=_xlpm.smin)*(_xlpm.t_&gt;=_xlpm.inn)*IF(_xlpm.L_&gt;0,(_xlpm.du_+DP242&lt;=DV242+0.00001),1)*_xlpm.kz,0),_xlpm.r_,_xlfn._xlws.FILTER(_xlpm.sz,_xlpm.ok,"не подобрано"),INDEX(_xlpm.r_,1)))</f>
        <v>1.5</v>
      </c>
      <c r="DX242">
        <f t="shared" si="417"/>
        <v>2.5</v>
      </c>
      <c r="DY242" cm="1">
        <f t="array" ref="DY242">IF(OR(B242="",BT242="",DM242&lt;&gt;1),"",_xlfn.LET(_xlpm.sz,Iдоп_S,_xlpm.t_,CHOOSE(DL242,Iдоп_1ж,Iдоп_2ж,Iдоп_3ж)*DJ242*DK242,_xlpm.ok,IFERROR((_xlpm.sz&gt;=MAX(1.5,BW242))*(_xlpm.t_&gt;=N(DD242)),0),_xlpm.r_,_xlfn._xlws.FILTER(_xlpm.sz,_xlpm.ok,""),INDEX(_xlpm.r_,1)))</f>
        <v>1.5</v>
      </c>
      <c r="DZ242" s="6" cm="1">
        <f t="array" ref="DZ242">IFERROR(ROUNDUP(N(DT242)*(_xlfn.XLOOKUP(DY242,INDEX(Кабель_сопротивление,0,1),INDEX(Кабель_сопротивление,0,3))*N(Q242)/DY242*N(BY242)+_xlfn.XLOOKUP(DY242,INDEX(Кабель_сопротивление,0,1),INDEX(Кабель_сопротивление,0,2))*N(Q242)*N(DU242)/1000)*N(P242)/((Uн_лин/SQRT(3))*1000)*100,2),"")</f>
        <v>1.17</v>
      </c>
      <c r="EA242">
        <f>IFERROR(2*ρкз_Cu*N(Q242)/DY242,"")</f>
        <v>2.4196</v>
      </c>
      <c r="EB242">
        <f>IFERROR(VLOOKUP(DX242,Кабель_сопротивление,3,FALSE),"")</f>
        <v>2.2499999999999999E-2</v>
      </c>
      <c r="EC242">
        <f>IFERROR(VLOOKUP(DX242,Кабель_сопротивление,2,FALSE),"")</f>
        <v>0.1</v>
      </c>
      <c r="ED242">
        <f t="shared" si="418"/>
        <v>35</v>
      </c>
      <c r="EE242">
        <f t="shared" si="419"/>
        <v>6</v>
      </c>
      <c r="EF242">
        <f t="shared" si="420"/>
        <v>1.6192551009515508</v>
      </c>
      <c r="EG242" s="6">
        <f>IFERROR(ROUNDUP(EF242/((Uн_лин/SQRT(3))*1000)*100,2),"")</f>
        <v>0.71</v>
      </c>
      <c r="EH242" t="str">
        <f>IFERROR(VLOOKUP(BT242,Кабель_обозначение,2,FALSE),"")</f>
        <v>ВВГнг(А)-LS</v>
      </c>
      <c r="EI242" t="str">
        <f t="shared" si="421"/>
        <v>ВВГнг(А)-LS (3х2,5)</v>
      </c>
      <c r="EJ242" t="str">
        <f t="shared" si="422"/>
        <v>ВВГнг(А)-LS (3х2,5)
L=69-0,71%</v>
      </c>
      <c r="EK242">
        <f>IFERROR(2*ρкз_Cu*Q242/DX242,"")</f>
        <v>1.4517599999999999</v>
      </c>
      <c r="EL242">
        <f t="shared" si="423"/>
        <v>0.48299999999999998</v>
      </c>
      <c r="EM242" s="6" t="str">
        <f>IFERROR(IF(OR(B242="",NOT(ISNUMBER(DX242)),N(Q242)=0),"",_xlfn.XLOOKUP(A242,Щиты[Щит],Щиты[Zпетли на шинах, Ом])+EK242),"")</f>
        <v/>
      </c>
      <c r="EN242" s="6" t="str">
        <f>IF(ISNUMBER(EM242),c_min*(Uн_лин*1000/SQRT(3))/EM242,"")</f>
        <v/>
      </c>
      <c r="EO242" s="6" t="str">
        <f>IFERROR(IF(OR(B242="",NOT(ISNUMBER(DX242))),"",1.05*(Uн_лин*1000/SQRT(3))/(_xlfn.XLOOKUP(A242,Щиты[Щит],Щиты[Zmax на шинах, Ом])+EL242)/1000),"")</f>
        <v/>
      </c>
      <c r="EP242" s="6" t="str">
        <f>IF(B242="","",IF(ISNUMBER(Y242),"Сил",IF(IFERROR(_xlfn.XLOOKUP(AX242,Коды_код,Коды_группа)&amp;"","")="","Быт",_xlfn.XLOOKUP(AX242,Коды_код,Коды_группа)&amp;"")))</f>
        <v>Быт</v>
      </c>
      <c r="EQ242" s="6" t="str">
        <f t="shared" si="424"/>
        <v>Быт</v>
      </c>
      <c r="ER242" s="6">
        <f>IF(EQ242="Щит","щит",IF(EQ242="","",IF(EQ242="Быт",IFERROR(_xlfn.XLOOKUP(A242,Щиты[Щит],Щиты[Кс быт]),1),IF(EQ242="Сил",IF(ISNUMBER(Y242),Y242,IF(Методика="нормы 2026",IFERROR(_xlfn.XLOOKUP(A242,Щиты[Щит],Щиты[Кс силовых (табл. 7.5)]),1),1)),IF(OR(EQ242="Пост",EQ242="Отоп"),1,IF(EQ242="ВНГ",0.7,0))))))</f>
        <v>0.57830000000000004</v>
      </c>
      <c r="ES242">
        <f t="shared" si="425"/>
        <v>1</v>
      </c>
      <c r="ET242">
        <f t="shared" si="426"/>
        <v>0.3</v>
      </c>
      <c r="EU242">
        <f t="shared" si="427"/>
        <v>0.3</v>
      </c>
      <c r="EV242">
        <f t="shared" si="428"/>
        <v>0</v>
      </c>
      <c r="EW242">
        <f t="shared" si="429"/>
        <v>0</v>
      </c>
      <c r="EX242">
        <f t="shared" si="430"/>
        <v>0</v>
      </c>
      <c r="EY242">
        <f t="shared" si="431"/>
        <v>0</v>
      </c>
      <c r="EZ242">
        <f t="shared" si="432"/>
        <v>0.3</v>
      </c>
      <c r="FA242">
        <f t="shared" si="433"/>
        <v>0.28499999999999998</v>
      </c>
      <c r="FB242">
        <f t="shared" si="434"/>
        <v>0.3</v>
      </c>
      <c r="FC242" t="str">
        <f t="shared" si="435"/>
        <v>L1</v>
      </c>
      <c r="FD242" t="str">
        <f>IF(B242="","",IF(CA242=0,IF(AW242=1,"",FF241),IF(OR(N(CV242)&gt;=3,N(BR242)&gt;=3),"L1,L2,L3",IFERROR(_xlfn.TEXTBEFORE(_xlfn.TEXTAFTER(_xlfn.XLOOKUP(A242,Щиты[Щит],Щиты[_фазы авто]),";"&amp;AW242&amp;":"),";"),"L1"))))</f>
        <v>L1</v>
      </c>
      <c r="FE242" t="str">
        <f t="shared" si="436"/>
        <v>L1</v>
      </c>
      <c r="FF242" t="str">
        <f t="shared" si="437"/>
        <v>L1</v>
      </c>
      <c r="FG242" cm="1">
        <f t="array" ref="FG242">IFERROR(IF(BX242=2,_xlfn.IFS(BR242=3,VLOOKUP(BN242,Справочная_двигатели,3,FALSE),BR242=1,VLOOKUP(BN242,Справочная_двигатели,5,TRUE)),0),0)</f>
        <v>0</v>
      </c>
      <c r="FH242">
        <f>IFERROR(IF(BX242=3,VLOOKUP(BN242,Справочная_ЛЭД,2,TRUE),0),0)</f>
        <v>0</v>
      </c>
      <c r="FI242" s="6">
        <f t="shared" si="438"/>
        <v>0</v>
      </c>
      <c r="FJ242" t="str" cm="1">
        <f t="array" ref="FJ242">IF(B242="","",IFERROR(INDEX({"I особая","I","II","III"},MATCH(TRIM(AC242&amp;""),{"I особая","I","II","III"},0)),"III"))</f>
        <v>II</v>
      </c>
      <c r="FK242" t="str">
        <f>IF(B242="","",IF(TRIM(AD242&amp;"")&lt;&gt;"",IF(LOWER(TRIM(AD242&amp;""))="да","да","нет"),IF(IFERROR(_xlfn.XLOOKUP(AX242,Коды_код,Коды_пожарная),"")="да","да","нет")))</f>
        <v>нет</v>
      </c>
      <c r="FL242" t="str">
        <f t="shared" si="439"/>
        <v/>
      </c>
      <c r="FM242" t="str">
        <f t="shared" si="440"/>
        <v>основная</v>
      </c>
      <c r="FN242">
        <f t="shared" si="441"/>
        <v>1</v>
      </c>
      <c r="FO242" t="str" cm="1">
        <f t="array" ref="FO242">IF(B242="","",_xlfn.LET(_xlpm.t,IFERROR(_xlfn.XLOOKUP(1,(Шины[Шина]=FM242)*(((Шины[Щит]=A242)+(Шины[Щит]=""))&gt;0),Шины[Тип]),"")&amp;"",IF(_xlpm.t&lt;&gt;"",_xlpm.t,IF(ISNUMBER(SEARCH("ИБП",FM242)),"ИБП",IF(ISNUMBER(SEARCH("ДГУ",FM242)),"ДГУ","Ввод "&amp;FN242)))))</f>
        <v>Ввод 1</v>
      </c>
      <c r="FP242" t="str">
        <f t="shared" si="442"/>
        <v>Ввод 1</v>
      </c>
      <c r="FQ242" t="str">
        <f>IF(B242="","",IF(OR(FO242="ИБП",FO242="ДГУ"),"I особая",IF(FO242="Одиночная","III",_xlfn.XLOOKUP(A242,Щиты[Щит],Щиты[Категория шины «Ввод»],"III"))))</f>
        <v>II</v>
      </c>
      <c r="FR242">
        <f>IF(B242="",0,IFERROR(MATCH(FJ242,{"III","II","I","I особая"},0),1))</f>
        <v>2</v>
      </c>
      <c r="FS242">
        <f t="shared" si="443"/>
        <v>2</v>
      </c>
      <c r="FT242" t="str">
        <f>IF(B242="","",IF(FR242&gt;IFERROR(MATCH(FQ242,{"III","II","I","I особая"},0),1),"НЕ ОБЕСПЕЧЕНА","ОК"))</f>
        <v>ОК</v>
      </c>
      <c r="FU242" t="str">
        <f>IF(A242="","",_xlfn.XLOOKUP(A242,Щиты[Щит],Щиты[Путь],""))</f>
        <v>|ГРЩ-ЖД|ЩР-1|</v>
      </c>
      <c r="FV242" t="str">
        <f>IF(B242="","",IF(AE242&lt;&gt;"",AE242,IF(IFERROR(_xlfn.XLOOKUP(AX242,Коды_код,Коды_вид)&amp;"","")="","Прочее",_xlfn.XLOOKUP(AX242,Коды_код,Коды_вид)&amp;"")))</f>
        <v>Розеточная сеть и бытовые приборы</v>
      </c>
      <c r="FW242">
        <f>IF(BH242="","",INT((BH242-1)/Столбцов_на_лист)+1)</f>
        <v>3</v>
      </c>
      <c r="FX242" t="str">
        <f t="shared" si="444"/>
        <v>ВВГнг(А)-LS (3х2,5) L=69-0,71%</v>
      </c>
      <c r="FY242">
        <f t="shared" si="445"/>
        <v>0.3</v>
      </c>
      <c r="FZ242">
        <f t="shared" si="446"/>
        <v>1.37</v>
      </c>
      <c r="GA242">
        <f t="shared" si="447"/>
        <v>1</v>
      </c>
      <c r="GB242">
        <f t="shared" si="448"/>
        <v>0</v>
      </c>
      <c r="GC242">
        <f t="shared" si="449"/>
        <v>1</v>
      </c>
      <c r="GD242">
        <f>IF(BH242="","",IF(AND(CA242=1,GC242=1),COUNTIFS(A$3:A242,A242,CA$3:CA242,1,GC$3:GC242,1),IF(OR(OR(AW242=1,A242&lt;&gt;A241),AF242="вручную",GC242=0),"",IF(AW242=1,"",GE241))))</f>
        <v>18</v>
      </c>
      <c r="GE242">
        <f t="shared" si="450"/>
        <v>18</v>
      </c>
      <c r="GF242">
        <f>IF(B242="","",IFERROR(LOOKUP(INDEX(CHOOSE(DL242,Iдоп_1ж,Iдоп_2ж,Iдоп_3ж),MATCH(DX242,Iдоп_S,0))*DJ242*DK242,{6,10,16,20,25,32,40,50,63,80,100,125,160,200,250,315,400,500,630}),""))</f>
        <v>25</v>
      </c>
      <c r="GG242" t="str">
        <f t="shared" si="451"/>
        <v>QFD18</v>
      </c>
      <c r="GH242" t="str">
        <f t="shared" si="452"/>
        <v>QFD18</v>
      </c>
      <c r="GI242" t="str">
        <f t="shared" si="453"/>
        <v/>
      </c>
      <c r="GJ242">
        <f t="shared" si="454"/>
        <v>0</v>
      </c>
      <c r="GK242" t="str">
        <f>IF(OR(AG242="",AG242="-"),"",IFERROR(VLOOKUP(AG242,Модули_спр,2,FALSE),"R"))</f>
        <v/>
      </c>
      <c r="GL242" t="str">
        <f>IF(GK242="","",GK242&amp;"."&amp;COUNTIFS(A$3:A242,A242,GK$3:GK242,GK242))</f>
        <v/>
      </c>
      <c r="GM242" t="str">
        <f t="shared" si="455"/>
        <v/>
      </c>
      <c r="GN242" t="str">
        <f t="shared" si="456"/>
        <v/>
      </c>
      <c r="GO242" t="str">
        <f t="shared" si="457"/>
        <v/>
      </c>
      <c r="GP242" t="str">
        <f t="shared" si="458"/>
        <v/>
      </c>
      <c r="GQ242">
        <f t="shared" si="459"/>
        <v>1</v>
      </c>
      <c r="GR242" t="str">
        <f>IF(GQ242=1,"XT"&amp;COUNTIFS(A$3:A242,A242,GQ$3:GQ242,1),"")</f>
        <v>XT18</v>
      </c>
      <c r="GS242" t="str">
        <f t="shared" si="460"/>
        <v/>
      </c>
      <c r="GT242" t="str">
        <f t="shared" si="461"/>
        <v>QFD18</v>
      </c>
      <c r="GU242" t="str">
        <f t="shared" si="462"/>
        <v/>
      </c>
      <c r="GV242" t="str">
        <f t="shared" si="463"/>
        <v>ok</v>
      </c>
      <c r="GW242" t="str">
        <f>IF(OR(GO242="",GM242=""),"",IF(GO242&gt;IFERROR(VLOOKUP(GN242,Модули_спр,3,FALSE),99),"ЛИШНИЙ КАНАЛ",IF(AND(AH242&lt;&gt;"=",COUNTIFS(Линии[_модуль гр.],GM242,Линии[Канал (итог)],GO242,Линии[Канал],"&lt;&gt;=",Линии[Щит],A242)&gt;1),"ДУБЛЬ КАНАЛА","")))</f>
        <v/>
      </c>
      <c r="GX242" s="6" t="str">
        <f t="shared" si="464"/>
        <v/>
      </c>
      <c r="GY242">
        <f t="shared" si="465"/>
        <v>10</v>
      </c>
      <c r="GZ242" t="str">
        <f t="shared" si="466"/>
        <v/>
      </c>
      <c r="HA242" t="str">
        <f>IF(AND(B242="",GT242=""),"",_xlfn.TEXTJOIN("; ",TRUE,IF(AND(B242&lt;&gt;"",FE242=""),"нет фазы",""),IF(AND(B242&lt;&gt;"",N(FY242)=0,EQ242&lt;&gt;"Нет"),"нет мощности",""),IF(AND(GS242&lt;&gt;"",COUNTIFS(Линии[Щит],A242,Линии[Клемма (итог)],GS242)&gt;1),"дубль клеммы "&amp;GS242,""),IF(AND(GV242&lt;&gt;"",GV242&lt;&gt;"ok"),GV242,""),IF(GW242&lt;&gt;"",GW242,""),IF(AND(N(BV242)&gt;=4,N(BR242)=1),BV242&amp;" жил на 1 фазе",""),IF(AND(AX242="R",CA242=1,OR(N(CK242)=0,N(CK242)&gt;30)),"розетка без дифзащиты до 30 мА",""),IFERROR(IF(AND(ISNUMBER(R242),R242&gt;DV242),"потери "&amp;FIXED(R242,1)&amp;" % &gt; "&amp;DV242&amp;" %",""),""),IFERROR(IF(LEFT(GZ242,4)="мало","Iкз мало — отключение &gt; 0,4 с",""),""),IF(AND(B242&lt;&gt;"",BH242=""),"не на схеме",""),IF(AND(CA242=0,B242&lt;&gt;"",FE242&lt;&gt;"",IF(AW242=1,"",FF241)&lt;&gt;"",FE242&lt;&gt;IF(AW242=1,"",FF241)),"фаза не как у автомата группы ("&amp;IF(AW242=1,"",FF241)&amp;")","")))</f>
        <v/>
      </c>
      <c r="HB242" s="6">
        <f>IF(OR(CA242=0,DA242=""),"",_xlfn.LET(_xlpm.t,IFERROR(_xlfn.XLOOKUP(DA242,Каталог!$U$4:$U$500,Каталог!$G$4:$G$500),""),_xlpm.k,SEARCH("кА",_xlpm.t),IFERROR(--TRIM(RIGHT(SUBSTITUTE(MID(_xlpm.t,MAX(1,_xlpm.k-4),_xlpm.k-MAX(1,_xlpm.k-4))," ",REPT(" ",9)),5)),"")))</f>
        <v>6</v>
      </c>
      <c r="HC242" t="str">
        <f>IF(OR(HB242="",CA242=0),"",IF(_xlfn.XLOOKUP(A242,Щиты[Щит],Щиты[Iкз max на шинах, кА],"")="","",IF(HB242&lt;_xlfn.XLOOKUP(A242,Щиты[Щит],Щиты[Iкз max на шинах, кА]),"Icu "&amp;HB242&amp;" кА &lt; Iкз max","ok")))</f>
        <v/>
      </c>
      <c r="HD242" t="str">
        <f t="shared" si="467"/>
        <v/>
      </c>
      <c r="HE242" t="str">
        <f t="shared" si="468"/>
        <v>QFD18</v>
      </c>
      <c r="HF242" t="str">
        <f t="shared" si="469"/>
        <v>QFD18|кабель ВВГнг(А)-LS (3х2,5) → Розеточная группа, пом. 003A2</v>
      </c>
      <c r="HG242" t="str" cm="1">
        <f t="array" ref="HG242">IF(HF242="","",_xlfn.LET(_xlpm.nd,_xlfn.TEXTSPLIT(HF242,"|"),IF(COLUMNS(_xlpm.nd)&gt;1,A242&amp;"¦"&amp;INDEX(_xlpm.nd,1)&amp;"¦"&amp;INDEX(_xlpm.nd,2),"")))</f>
        <v>ЩР-1¦QFD18¦кабель ВВГнг(А)-LS (3х2,5) → Розеточная группа, пом. 003A2</v>
      </c>
      <c r="HH242" t="str">
        <f t="shared" si="470"/>
        <v>R.1.003A2¦Розеточная группа, пом. 003A2</v>
      </c>
      <c r="HI242" t="str" cm="1">
        <f t="array" ref="HI242">IF(HF242="","",_xlfn.LET(_xlpm.nd,_xlfn.TEXTSPLIT(HF242,"|"),IF(COLUMNS(_xlpm.nd)&gt;2,A242&amp;"¦"&amp;INDEX(_xlpm.nd,2)&amp;"¦"&amp;INDEX(_xlpm.nd,3),"")))</f>
        <v/>
      </c>
      <c r="HJ242" t="str">
        <f t="shared" si="471"/>
        <v/>
      </c>
      <c r="HK242" t="str" cm="1">
        <f t="array" ref="HK242">IF(HF242="","",_xlfn.LET(_xlpm.nd,_xlfn.TEXTSPLIT(HF242,"|"),IF(COLUMNS(_xlpm.nd)&gt;3,A242&amp;"¦"&amp;INDEX(_xlpm.nd,3)&amp;"¦"&amp;INDEX(_xlpm.nd,4),"")))</f>
        <v/>
      </c>
      <c r="HL242" t="str">
        <f t="shared" si="472"/>
        <v/>
      </c>
      <c r="HM242" t="str" cm="1">
        <f t="array" ref="HM242">IF(HF242="","",_xlfn.LET(_xlpm.nd,_xlfn.TEXTSPLIT(HF242,"|"),IF(COLUMNS(_xlpm.nd)&gt;4,A242&amp;"¦"&amp;INDEX(_xlpm.nd,4)&amp;"¦"&amp;INDEX(_xlpm.nd,5),"")))</f>
        <v/>
      </c>
      <c r="HN242" t="str">
        <f t="shared" si="473"/>
        <v/>
      </c>
      <c r="HO242" t="str" cm="1">
        <f t="array" ref="HO242">IF(HF242="","",_xlfn.LET(_xlpm.nd,_xlfn.TEXTSPLIT(HF242,"|"),IF(COLUMNS(_xlpm.nd)&gt;5,A242&amp;"¦"&amp;INDEX(_xlpm.nd,5)&amp;"¦"&amp;INDEX(_xlpm.nd,6),"")))</f>
        <v/>
      </c>
      <c r="HP242" t="str">
        <f t="shared" si="474"/>
        <v/>
      </c>
      <c r="HQ242" t="str" cm="1">
        <f t="array" ref="HQ242">IF(HF242="","",_xlfn.LET(_xlpm.nd,_xlfn.TEXTSPLIT(HF242,"|"),IF(COLUMNS(_xlpm.nd)&gt;6,A242&amp;"¦"&amp;INDEX(_xlpm.nd,6)&amp;"¦"&amp;INDEX(_xlpm.nd,7),"")))</f>
        <v/>
      </c>
      <c r="HR242" t="str">
        <f t="shared" si="475"/>
        <v/>
      </c>
      <c r="HS242" t="str">
        <f t="shared" si="476"/>
        <v/>
      </c>
      <c r="HT242" t="str">
        <f t="shared" si="477"/>
        <v>QFD18</v>
      </c>
      <c r="HU242">
        <f t="shared" si="478"/>
        <v>0</v>
      </c>
      <c r="HV242">
        <f t="shared" si="479"/>
        <v>1</v>
      </c>
      <c r="HW242" t="str">
        <f t="shared" si="480"/>
        <v/>
      </c>
      <c r="HX242" t="str">
        <f t="shared" si="481"/>
        <v/>
      </c>
      <c r="HY242" t="str">
        <f t="shared" si="482"/>
        <v/>
      </c>
      <c r="HZ242" t="str">
        <f t="shared" si="483"/>
        <v/>
      </c>
      <c r="IA242" t="str">
        <f>IF(B242="","",IFERROR(VLOOKUP(B242,УГО_спр,2,FALSE),IFERROR(VLOOKUP(AX242,УГО_спр,2,FALSE),IFERROR(VLOOKUP(LEFT(AX242,2),УГО_спр,2,FALSE),""))))</f>
        <v>Розетка</v>
      </c>
      <c r="IB242" t="str">
        <f>IF(B242="","",IF(OR(IA242="",IA242=0),"BOX",IFERROR(IF(VLOOKUP(IA242,УГО_блоки,3,FALSE)&amp;""&lt;&gt;"",VLOOKUP(IA242,УГО_блоки,3,FALSE),VLOOKUP(IA242,УГО_блоки,2,FALSE)),IA242)))</f>
        <v>SOCKET</v>
      </c>
      <c r="IC242">
        <f t="shared" si="484"/>
        <v>1</v>
      </c>
      <c r="ID242" t="str">
        <f>IF(DA242="","",IF(COUNTIF(DA$3:DA242,DA242)=1,MAX(ID$2:ID241)+1,""))</f>
        <v/>
      </c>
      <c r="IE242" t="str">
        <f>IF(CO242="","",IF(COUNTIF(CO$3:CO242,CO242)+COUNTIF(CP$2:CP241,CO242)+COUNTIF(CQ$2:CQ241,CO242)=1,MAX(IE$2:IG241)+1,""))</f>
        <v/>
      </c>
      <c r="IF242" t="str">
        <f>IF(CP242="","",IF(COUNTIF(CO$3:CO242,CP242)+COUNTIF(CP$3:CP242,CP242)+COUNTIF(CQ$2:CQ241,CP242)=1,MAX(IE$2:IG241,IE242)+1,""))</f>
        <v/>
      </c>
      <c r="IG242" t="str">
        <f>IF(CQ242="","",IF(COUNTIF(CO$3:CO242,CQ242)+COUNTIF(CP$3:CP242,CQ242)+COUNTIF(CQ$3:CQ242,CQ242)=1,MAX(IE$2:IG241,IE242,IF242)+1,""))</f>
        <v/>
      </c>
      <c r="IH242" t="str">
        <f t="shared" si="485"/>
        <v>3х2,5</v>
      </c>
      <c r="II242" t="str">
        <f>IF(IH242="","",IF(COUNTIF(IH$3:IH242,IH242)=1,MAX(II$2:II241)+1,""))</f>
        <v/>
      </c>
      <c r="IJ242" t="str">
        <f>IF(GL242="","",COUNTIF(GL$3:GL242,"?*"))</f>
        <v/>
      </c>
      <c r="IK242" t="str">
        <f>IF(OR(GL242="",GN242=""),"",IF(COUNTIFS(GL$3:GL242,"?*",GN$3:GN242,GN242)=1,MAX(IK$2:IK241)+1,""))</f>
        <v/>
      </c>
      <c r="IL242">
        <f t="shared" si="486"/>
        <v>0</v>
      </c>
      <c r="IM242">
        <f>IF(B242="","",COUNTIF(B$3:B242,"?*"))</f>
        <v>240</v>
      </c>
      <c r="IN242">
        <f>IF(GQ242&lt;&gt;1,0,_xlfn.LET(_xlpm.k,MAX(IFERROR(--VLOOKUP(B242,УГО_спр,5,FALSE),0),IFERROR(--VLOOKUP(AX242,УГО_спр,5,FALSE),0),IFERROR(--VLOOKUP(LEFT(AX242,2),УГО_спр,5,FALSE),0)),IF(_xlpm.k&gt;0,_xlpm.k,IF(IFERROR(--LEFT(SUBSTITUTE(IH242,"x","х"),FIND("х",SUBSTITUTE(IH242,"x","х"))-1),3)&gt;3,Каталог!$S$9,1))))</f>
        <v>1</v>
      </c>
      <c r="IO242">
        <f t="shared" si="487"/>
        <v>0</v>
      </c>
      <c r="IP242" t="str">
        <f t="shared" si="488"/>
        <v>авто</v>
      </c>
      <c r="IQ242">
        <f t="shared" si="489"/>
        <v>30</v>
      </c>
      <c r="IR242">
        <f t="shared" si="490"/>
        <v>1</v>
      </c>
      <c r="IS242">
        <f t="shared" si="491"/>
        <v>1</v>
      </c>
    </row>
    <row r="243" spans="1:253" x14ac:dyDescent="0.3">
      <c r="A243" t="s">
        <v>759</v>
      </c>
      <c r="B243" t="s">
        <v>1508</v>
      </c>
      <c r="C243" t="str">
        <f>Линии[[#This Row],[_авто наименование]]</f>
        <v>Розеточная группа, пом. 003Aб</v>
      </c>
      <c r="D243">
        <v>4</v>
      </c>
      <c r="E243">
        <v>0.24</v>
      </c>
      <c r="G243" t="str">
        <f>Линии[[#This Row],[_авто автомат]]</f>
        <v>2P С16А 30мА</v>
      </c>
      <c r="H243">
        <f>Линии[[#This Row],[_авто утечка]]</f>
        <v>30</v>
      </c>
      <c r="I243" t="str">
        <f>Линии[[#This Row],[_авто управление]]</f>
        <v/>
      </c>
      <c r="J243" t="str">
        <f>Линии[[#This Row],[_авто аппараты]]</f>
        <v/>
      </c>
      <c r="K243">
        <v>2.5</v>
      </c>
      <c r="L243">
        <v>60</v>
      </c>
      <c r="M243" t="str">
        <f>Линии[[#This Row],[_авто фаза]]</f>
        <v>L2</v>
      </c>
      <c r="N243" t="s">
        <v>486</v>
      </c>
      <c r="O243" t="str">
        <f t="shared" si="369"/>
        <v/>
      </c>
      <c r="P243" s="6" cm="1">
        <f t="array" ref="P243">IF(B243="","",IF(BC243&lt;&gt;"",IFERROR(_xlfn.XLOOKUP(BC243,Щиты[Щит],Щиты[Iр, А]),""),IF(BK243=1,IFERROR(_xlfn.XLOOKUP(A243,Щиты[Щит],Щиты[Iр, А]),""),IFERROR(_xlfn.IFS(BR243=1,BN243/((Uн_лин/SQRT(3))*BY243),BR243=3,BN243/(SQRT(3)*Uн_лин*BY243)),""))))</f>
        <v>1.0939268258329751</v>
      </c>
      <c r="Q243" s="7">
        <f>IF(B243="","",IFERROR(IF(VLOOKUP(AX243,Потребители_обозначение,4,FALSE)=1,VLOOKUP(AX243,Потребители_обозначение,3,FALSE)*(D243*2-1)+DS243+VLOOKUP(AZ243,Этаж_обозначение,3,FALSE)+VLOOKUP(AZ243,Этаж_обозначение,4,FALSE),VLOOKUP(AX243,Потребители_обозначение,3,FALSE)*(D243*2-1)+DS243),DS243))</f>
        <v>81</v>
      </c>
      <c r="R243" s="6">
        <f t="shared" si="370"/>
        <v>1.85</v>
      </c>
      <c r="S243" t="str">
        <f t="shared" si="371"/>
        <v>ВВГнг(А)-LS (3х2,5)</v>
      </c>
      <c r="T243" t="str">
        <f>IF(BH243="","",IF(BI243="вводной узел","узел ","")&amp;"л."&amp;(INT((BH243-1)/Столбцов_на_лист)+1)&amp;" / "&amp;(MOD(BH243-1,Столбцов_на_лист)+1))</f>
        <v>л.3 / 4</v>
      </c>
      <c r="V243">
        <v>1</v>
      </c>
      <c r="W243">
        <v>230</v>
      </c>
      <c r="X243" t="s">
        <v>564</v>
      </c>
      <c r="AC243" t="s">
        <v>815</v>
      </c>
      <c r="AE243" t="s">
        <v>563</v>
      </c>
      <c r="AI243">
        <v>38</v>
      </c>
      <c r="AJ243" t="s">
        <v>11</v>
      </c>
      <c r="AK243">
        <v>3</v>
      </c>
      <c r="AM243">
        <v>28</v>
      </c>
      <c r="AN243">
        <v>53</v>
      </c>
      <c r="AW243" cm="1">
        <f t="array" ref="AW243">ROW()-ROW(Линии[#Headers])</f>
        <v>241</v>
      </c>
      <c r="AX243" s="6" t="str">
        <f t="shared" si="372"/>
        <v>R</v>
      </c>
      <c r="AY243" t="str">
        <f t="shared" si="373"/>
        <v>1.003Aб.1</v>
      </c>
      <c r="AZ243" t="str">
        <f t="shared" si="374"/>
        <v>1</v>
      </c>
      <c r="BA243" t="str">
        <f t="shared" si="375"/>
        <v>003Aб.1</v>
      </c>
      <c r="BB243" t="str">
        <f t="shared" si="376"/>
        <v>003Aб</v>
      </c>
      <c r="BC243" t="str">
        <f>IF(U243&lt;&gt;"",U243,IF(AND(B243&lt;&gt;"",B243&lt;&gt;A243,ISNUMBER(_xlfn.XMATCH(B243,Щиты[Щит]))),B243,""))</f>
        <v/>
      </c>
      <c r="BD243" t="str" cm="1">
        <f t="array" ref="BD243">IF(B243="","",IF(BC243&lt;&gt;"","Щит "&amp;BC243,_xlfn.LET(_xlpm.nm,IFERROR(_xlfn.XLOOKUP(AX243,Коды_код,Коды_имя)&amp;"",""),_xlpm.md,IFERROR(N(_xlfn.XLOOKUP(AX243,Коды_код,Коды_режим)),1),_xlpm.ex,IF(Имя_режим="по экспликации",IFERROR(_xlfn.XLOOKUP(AZ243&amp;"|"&amp;BB243,Экспликация[Этаж]&amp;"|"&amp;Экспликация[Помещение],Экспликация[Название])&amp;"",""),""),_xlpm.rm,IF(BB243="","",IF(_xlpm.ex&lt;&gt;"",". "&amp;_xlpm.ex&amp;IF(Имя_пом="нет"," ("&amp;BB243&amp;")"," (пом. "&amp;BB243&amp;")"),IF(Имя_пом="нет"," ",", пом. ")&amp;BB243)),IF(_xlpm.nm="","",IF(_xlpm.md=2,_xlpm.nm&amp;" шлейф "&amp;AZ243,_xlpm.nm&amp;_xlpm.rm)))))</f>
        <v>Розеточная группа, пом. 003Aб</v>
      </c>
      <c r="BE243" t="str">
        <f t="shared" si="377"/>
        <v>Розеточная группа, пом. 003Aб</v>
      </c>
      <c r="BF243">
        <f>IFERROR(_xlfn.XMATCH(A243,Щиты[Щит]),0)</f>
        <v>10</v>
      </c>
      <c r="BG243">
        <f>_xlfn.LET(_xlpm.k,IFERROR(_xlfn.XLOOKUP(A243,Щиты[Щит],Щиты[Листов под вводной узел]),""),IF(_xlpm.k="",1,N(_xlpm.k))*Столбцов_на_лист)</f>
        <v>17</v>
      </c>
      <c r="BH243">
        <f t="shared" si="378"/>
        <v>38</v>
      </c>
      <c r="BI243" t="str">
        <f t="shared" si="379"/>
        <v>линии</v>
      </c>
      <c r="BJ243" s="6">
        <f>IFERROR(N(_xlfn.XLOOKUP(AX243,Коды_код,Коды_квт)),0)</f>
        <v>0</v>
      </c>
      <c r="BK243">
        <f t="shared" si="380"/>
        <v>0</v>
      </c>
      <c r="BL243" t="str">
        <f>IF(B243="","",IF(BC243&lt;&gt;"",IFERROR(_xlfn.XLOOKUP(BC243,Щиты[Щит],Щиты[Руст, кВт]),0),IF(BK243=1,IFERROR(_xlfn.XLOOKUP(A243,Щиты[Щит],Щиты[Руст, кВт]),0),IF(BJ243&gt;0,ROUND(BJ243*MAX(1,N(D243)),3),""))))</f>
        <v/>
      </c>
      <c r="BM243">
        <f t="shared" si="381"/>
        <v>0.24</v>
      </c>
      <c r="BN243" s="6">
        <f>IF(B243="","",IF(BC243&lt;&gt;"",IFERROR(_xlfn.XLOOKUP(BC243,Щиты[Щит],Щиты[Руст, кВт]),0),N(BM243)))</f>
        <v>0.24</v>
      </c>
      <c r="BO243" t="str">
        <f>IF(B243="","",IFERROR(IF(VLOOKUP(AX243,Потребители_обозначение,8,FALSE)=0,"",VLOOKUP(AX243,Потребители_обозначение,8,FALSE)),""))</f>
        <v/>
      </c>
      <c r="BP243">
        <f t="shared" si="382"/>
        <v>230</v>
      </c>
      <c r="BQ243">
        <f>IF(B243="","",IF(BC243&lt;&gt;"",3,IFERROR(IF(N(VLOOKUP(AX243,Потребители_обозначение,9,FALSE))=0,1,VLOOKUP(AX243,Потребители_обозначение,9,FALSE)),1)))</f>
        <v>1</v>
      </c>
      <c r="BR243">
        <f t="shared" si="383"/>
        <v>1</v>
      </c>
      <c r="BS243" t="str">
        <f>IF(B243="","",_xlfn.LET(_xlpm.bc,IFERROR(IF(VLOOKUP(AX243,Потребители_обозначение,6,FALSE)=0,"",VLOOKUP(AX243,Потребители_обозначение,6,FALSE)&amp;""),""),IF(AND(FK243="да",OR(_xlpm.bc="",_xlpm.bc="мс")),Марка_пож,IF(AND(_xlpm.bc="",BC243&lt;&gt;""),"мс",_xlpm.bc))))</f>
        <v/>
      </c>
      <c r="BT243" t="str">
        <f t="shared" si="384"/>
        <v>мс</v>
      </c>
      <c r="BU243">
        <f>IF(B243="","",_xlfn.LET(_xlpm.cc,IFERROR(N(VLOOKUP(AX243,Потребители_обозначение,7,FALSE)),0),IF(_xlpm.cc&gt;0,_xlpm.cc,IF(BT243="","",IF(N(BR243)=3,5,3)))))</f>
        <v>3</v>
      </c>
      <c r="BV243">
        <f t="shared" si="385"/>
        <v>3</v>
      </c>
      <c r="BW243">
        <f>IFERROR(N(VLOOKUP(AX243,Потребители_обозначение,10,FALSE)),0)</f>
        <v>0</v>
      </c>
      <c r="BX243">
        <f>IFERROR(VLOOKUP(AX243,Потребители_обозначение,5,FALSE),0)</f>
        <v>1</v>
      </c>
      <c r="BY243" s="6" cm="1">
        <f t="array" ref="BY243">IF(B243="","",IF(BC243&lt;&gt;"",IFERROR(_xlfn.XLOOKUP(BC243,Щиты[Щит],Щиты[cos φ]),0.95),IF(BK243=1,IFERROR(_xlfn.XLOOKUP(A243,Щиты[Щит],Щиты[cos φ]),0.95),IF(ISNUMBER(Z243),Z243,IFERROR(IF(BX243=2,_xlfn.IFS(BR243=3,VLOOKUP(BN243,Справочная_двигатели,8,FALSE),BR243=1,VLOOKUP(BN243,Справочная_двигатели,10,TRUE)),IF(AND(Методика="нормы 2026",EQ243="Сил"),0.8,0.95)),0.95)))))</f>
        <v>0.95</v>
      </c>
      <c r="BZ243">
        <f t="shared" si="386"/>
        <v>0</v>
      </c>
      <c r="CA243">
        <f t="shared" si="387"/>
        <v>1</v>
      </c>
      <c r="CB243">
        <f t="shared" si="388"/>
        <v>0</v>
      </c>
      <c r="CC243">
        <f t="shared" si="389"/>
        <v>0</v>
      </c>
      <c r="CD243">
        <f t="shared" si="390"/>
        <v>0</v>
      </c>
      <c r="CE243">
        <f t="shared" si="391"/>
        <v>0</v>
      </c>
      <c r="CF243">
        <f t="shared" si="392"/>
        <v>0</v>
      </c>
      <c r="CG243">
        <f>IF(AX243="",0,_xlfn.LET(_xlpm.v,IFERROR(VLOOKUP(B243,УГО_спр,3,FALSE),IFERROR(VLOOKUP(AX243,УГО_спр,3,FALSE),IFERROR(VLOOKUP(LEFT(AX243,2),УГО_спр,3,FALSE),""))),IF(_xlpm.v="да",30,IF(ISNUMBER(_xlpm.v),_xlpm.v,0))))</f>
        <v>30</v>
      </c>
      <c r="CH243">
        <f t="shared" si="393"/>
        <v>30</v>
      </c>
      <c r="CI243" t="str">
        <f>_xlfn.LET(_xlpm.k,IFERROR(_xlfn.XLOOKUP(AX243,Коды_код,Коды_утечка)&amp;"",""),IF(_xlpm.k="","дифавтомат",_xlpm.k))</f>
        <v>дифавтомат</v>
      </c>
      <c r="CJ243">
        <f t="shared" si="394"/>
        <v>30</v>
      </c>
      <c r="CK243">
        <f t="shared" si="395"/>
        <v>30</v>
      </c>
      <c r="CL243">
        <f>IF(B243="",0,IFERROR(--VLOOKUP(B243,УГО_спр,4,FALSE),IFERROR(--VLOOKUP(AX243,УГО_спр,4,FALSE),IFERROR(--VLOOKUP(LEFT(AX243,2),УГО_спр,4,FALSE),0))))</f>
        <v>16</v>
      </c>
      <c r="CM243" t="str">
        <f>IF(B243="","",IFERROR(_xlfn.XLOOKUP(AX243,Коды_код,Коды_апп)&amp;"",""))</f>
        <v/>
      </c>
      <c r="CN243" t="str">
        <f t="shared" si="396"/>
        <v/>
      </c>
      <c r="CO243" t="str" cm="1">
        <f t="array" ref="CO243">IF(TRIM(CN243&amp;"")="","",IFERROR(TRIM(INDEX(_xlfn.TEXTSPLIT(CN243&amp;";;;",";"),1)),""))</f>
        <v/>
      </c>
      <c r="CP243" t="str" cm="1">
        <f t="array" ref="CP243">IF(TRIM(CN243&amp;"")="","",IFERROR(TRIM(INDEX(_xlfn.TEXTSPLIT(CN243&amp;";;;",";"),2)),""))</f>
        <v/>
      </c>
      <c r="CQ243" t="str" cm="1">
        <f t="array" ref="CQ243">IF(TRIM(CN243&amp;"")="","",IFERROR(TRIM(INDEX(_xlfn.TEXTSPLIT(CN243&amp;";;;",";"),3)),""))</f>
        <v/>
      </c>
      <c r="CR243">
        <f t="shared" si="397"/>
        <v>0</v>
      </c>
      <c r="CS243" t="str">
        <f>IF(B243="","",_xlfn.LET(_xlpm.t,LOWER(AV243&amp;""),IF(ISNUMBER(SEARCH("dim",_xlpm.t)),"DIM",IF(ISNUMBER(SEARCH("dali",_xlpm.t)),"DALI",IF(OR(ISNUMBER(SEARCH("relay",_xlpm.t)),ISNUMBER(SEARCH("реле",_xlpm.t))),"Relay",IF(ISNUMBER(SEARCH("кнопк",_xlpm.t)),"",IFERROR(_xlfn.XLOOKUP(AX243,Коды_код,Коды_упр)&amp;"","")))))))</f>
        <v/>
      </c>
      <c r="CT243" t="str">
        <f t="shared" si="398"/>
        <v/>
      </c>
      <c r="CU243">
        <f>IF(B243="","",_xlfn.LET(_xlpm.ig,N(P243)+IF(AF243="вручную",0,N(CB243)),_xlpm.n0,IFERROR(VLOOKUP(_xlpm.ig,Автомат_номиналы,2,TRUE),0),_xlpm.mn,MAX(CL243,IF(AF243="вручную",0,N(CE243))),MAX(_xlpm.n0,_xlpm.mn,IF(CR243=1,Мин_автомат_БП,0))))</f>
        <v>16</v>
      </c>
      <c r="CV243">
        <f t="shared" si="399"/>
        <v>1</v>
      </c>
      <c r="CW243" t="str">
        <f t="shared" si="400"/>
        <v>2P</v>
      </c>
      <c r="CX243" t="str">
        <f>_xlfn.LET(_xlpm.cc,UPPER(TRIM(IFERROR(_xlfn.XLOOKUP(AX243,Коды_код,Коды_хар)&amp;"",""))),IF(OR(_xlpm.cc="B",_xlpm.cc="В"),"B",IF(_xlpm.cc="D","D","С")))</f>
        <v>С</v>
      </c>
      <c r="CY243" t="str">
        <f t="shared" si="401"/>
        <v>2P С16А 30мА</v>
      </c>
      <c r="CZ243" t="str">
        <f t="shared" si="402"/>
        <v>2P С16А 30мА</v>
      </c>
      <c r="DA243" t="str">
        <f t="shared" si="403"/>
        <v>2P С16А 30мА</v>
      </c>
      <c r="DB243" cm="1">
        <f t="array" ref="DB243">IF(DA243="","",_xlfn.LET(_xlpm.t,SUBSTITUTE(SUBSTITUTE(SUBSTITUTE(UPPER(DA243),"С","C"),"А","A"),"В","B"),_xlpm.tk,_xlfn.TEXTSPLIT(_xlpm.t,"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3" t="str">
        <f t="shared" si="404"/>
        <v>ok</v>
      </c>
      <c r="DD243">
        <f t="shared" si="405"/>
        <v>16</v>
      </c>
      <c r="DE243" t="str">
        <f t="shared" si="406"/>
        <v>2P С16А 30мА</v>
      </c>
      <c r="DF243">
        <f t="shared" si="407"/>
        <v>30</v>
      </c>
      <c r="DG243">
        <f t="shared" si="408"/>
        <v>1</v>
      </c>
      <c r="DH243">
        <f t="shared" si="409"/>
        <v>0</v>
      </c>
      <c r="DI243">
        <f t="shared" si="410"/>
        <v>1.0939268258329751</v>
      </c>
      <c r="DJ243">
        <f t="shared" si="411"/>
        <v>1</v>
      </c>
      <c r="DK243">
        <f>IF(ISNUMBER(AL243),AL243,К_прокл)</f>
        <v>1</v>
      </c>
      <c r="DL243">
        <f t="shared" si="412"/>
        <v>2</v>
      </c>
      <c r="DM243">
        <f>IFERROR(N(VLOOKUP(BT243,Кабель_обозначение,3,FALSE)),1)</f>
        <v>1</v>
      </c>
      <c r="DN243">
        <f>IFERROR(N(_xlfn.XLOOKUP(A243,Щиты[Щит],Щиты[ΔU до шин, %])),0)</f>
        <v>1.19</v>
      </c>
      <c r="DO243" t="str">
        <f>IFERROR(_xlfn.XLOOKUP(A243,Щиты[Щит],Щиты[Zпетли на шинах, Ом]),"")</f>
        <v/>
      </c>
      <c r="DP243">
        <f>IFERROR(N(_xlfn.XLOOKUP(A243,Щиты[Щит],Щиты[ΔU до шин (подбор), %])),0)</f>
        <v>1.19</v>
      </c>
      <c r="DQ243" t="str">
        <f>IFERROR(_xlfn.XLOOKUP(A243,Щиты[Щит],Щиты[Zпетли на шинах (подбор), Ом]),"")</f>
        <v/>
      </c>
      <c r="DR243" t="str">
        <f t="shared" si="413"/>
        <v/>
      </c>
      <c r="DS243">
        <f t="shared" si="414"/>
        <v>60</v>
      </c>
      <c r="DT243">
        <f t="shared" si="415"/>
        <v>2</v>
      </c>
      <c r="DU243">
        <f t="shared" si="416"/>
        <v>0.31</v>
      </c>
      <c r="DV243" s="6">
        <f>IF(B243="","",IF(IFERROR(VLOOKUP(AX243,УГО_спр,2,FALSE),"")="Светильник",3,4)+IF(Методика="нормы 2026",MIN(0.5,MAX(0,N(Q243)-100)*0.005),0))</f>
        <v>4</v>
      </c>
      <c r="DW243" cm="1">
        <f t="array" ref="DW243">IF(OR(B243="",BT243="",DM243&lt;&gt;1),"",_xlfn.LET(_xlpm.sz,Iдоп_S,_xlpm.t_,CHOOSE(DL243,Iдоп_1ж,Iдоп_2ж,Iдоп_3ж)*DJ243*DK243,_xlpm.inn,N(DD243),_xlpm.smin,MAX(1.5,BW243),_xlpm.L_,N(Q243)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243)*(_xlpm.rho*_xlpm.L_/_xlpm.sz*N(BY243)+_xlpm.xx*_xlpm.L_*N(DU243)/1000)*N(P243)/((Uн_лин/SQRT(3))*1000)*100,999),_xlpm.kz,IF(OR(DG243=1,NOT(ISNUMBER(DQ243)),_xlpm.L_=0,_xlpm.inn=0),1,IFERROR(--(c_min*(Uн_лин*1000/SQRT(3))/(DQ243+2*ρкз_Cu*_xlpm.L_/_xlpm.sz)&gt;=GY243*_xlpm.inn),0)),_xlpm.ok,IFERROR((_xlpm.sz&gt;=_xlpm.smin)*(_xlpm.t_&gt;=_xlpm.inn)*IF(_xlpm.L_&gt;0,(_xlpm.du_+DP243&lt;=DV243+0.00001),1)*_xlpm.kz,0),_xlpm.r_,_xlfn._xlws.FILTER(_xlpm.sz,_xlpm.ok,"не подобрано"),INDEX(_xlpm.r_,1)))</f>
        <v>1.5</v>
      </c>
      <c r="DX243">
        <f t="shared" si="417"/>
        <v>2.5</v>
      </c>
      <c r="DY243" cm="1">
        <f t="array" ref="DY243">IF(OR(B243="",BT243="",DM243&lt;&gt;1),"",_xlfn.LET(_xlpm.sz,Iдоп_S,_xlpm.t_,CHOOSE(DL243,Iдоп_1ж,Iдоп_2ж,Iдоп_3ж)*DJ243*DK243,_xlpm.ok,IFERROR((_xlpm.sz&gt;=MAX(1.5,BW243))*(_xlpm.t_&gt;=N(DD243)),0),_xlpm.r_,_xlfn._xlws.FILTER(_xlpm.sz,_xlpm.ok,""),INDEX(_xlpm.r_,1)))</f>
        <v>1.5</v>
      </c>
      <c r="DZ243" s="6" cm="1">
        <f t="array" ref="DZ243">IFERROR(ROUNDUP(N(DT243)*(_xlfn.XLOOKUP(DY243,INDEX(Кабель_сопротивление,0,1),INDEX(Кабель_сопротивление,0,3))*N(Q243)/DY243*N(BY243)+_xlfn.XLOOKUP(DY243,INDEX(Кабель_сопротивление,0,1),INDEX(Кабель_сопротивление,0,2))*N(Q243)*N(DU243)/1000)*N(P243)/((Uн_лин/SQRT(3))*1000)*100,2),"")</f>
        <v>1.1000000000000001</v>
      </c>
      <c r="EA243">
        <f>IFERROR(2*ρкз_Cu*N(Q243)/DY243,"")</f>
        <v>2.8404000000000003</v>
      </c>
      <c r="EB243">
        <f>IFERROR(VLOOKUP(DX243,Кабель_сопротивление,3,FALSE),"")</f>
        <v>2.2499999999999999E-2</v>
      </c>
      <c r="EC243">
        <f>IFERROR(VLOOKUP(DX243,Кабель_сопротивление,2,FALSE),"")</f>
        <v>0.1</v>
      </c>
      <c r="ED243">
        <f t="shared" si="418"/>
        <v>53</v>
      </c>
      <c r="EE243" t="str">
        <f t="shared" si="419"/>
        <v/>
      </c>
      <c r="EF243">
        <f t="shared" si="420"/>
        <v>1.520691746980587</v>
      </c>
      <c r="EG243" s="6">
        <f>IFERROR(ROUNDUP(EF243/((Uн_лин/SQRT(3))*1000)*100,2),"")</f>
        <v>0.66</v>
      </c>
      <c r="EH243" t="str">
        <f>IFERROR(VLOOKUP(BT243,Кабель_обозначение,2,FALSE),"")</f>
        <v>ВВГнг(А)-LS</v>
      </c>
      <c r="EI243" t="str">
        <f t="shared" si="421"/>
        <v>ВВГнг(А)-LS (3х2,5)</v>
      </c>
      <c r="EJ243" t="str">
        <f t="shared" si="422"/>
        <v>ВВГнг(А)-LS (3х2,5)
L=81-0,66%</v>
      </c>
      <c r="EK243">
        <f>IFERROR(2*ρкз_Cu*Q243/DX243,"")</f>
        <v>1.70424</v>
      </c>
      <c r="EL243">
        <f t="shared" si="423"/>
        <v>0.56700000000000006</v>
      </c>
      <c r="EM243" s="6" t="str">
        <f>IFERROR(IF(OR(B243="",NOT(ISNUMBER(DX243)),N(Q243)=0),"",_xlfn.XLOOKUP(A243,Щиты[Щит],Щиты[Zпетли на шинах, Ом])+EK243),"")</f>
        <v/>
      </c>
      <c r="EN243" s="6" t="str">
        <f>IF(ISNUMBER(EM243),c_min*(Uн_лин*1000/SQRT(3))/EM243,"")</f>
        <v/>
      </c>
      <c r="EO243" s="6" t="str">
        <f>IFERROR(IF(OR(B243="",NOT(ISNUMBER(DX243))),"",1.05*(Uн_лин*1000/SQRT(3))/(_xlfn.XLOOKUP(A243,Щиты[Щит],Щиты[Zmax на шинах, Ом])+EL243)/1000),"")</f>
        <v/>
      </c>
      <c r="EP243" s="6" t="str">
        <f>IF(B243="","",IF(ISNUMBER(Y243),"Сил",IF(IFERROR(_xlfn.XLOOKUP(AX243,Коды_код,Коды_группа)&amp;"","")="","Быт",_xlfn.XLOOKUP(AX243,Коды_код,Коды_группа)&amp;"")))</f>
        <v>Быт</v>
      </c>
      <c r="EQ243" s="6" t="str">
        <f t="shared" si="424"/>
        <v>Быт</v>
      </c>
      <c r="ER243" s="6">
        <f>IF(EQ243="Щит","щит",IF(EQ243="","",IF(EQ243="Быт",IFERROR(_xlfn.XLOOKUP(A243,Щиты[Щит],Щиты[Кс быт]),1),IF(EQ243="Сил",IF(ISNUMBER(Y243),Y243,IF(Методика="нормы 2026",IFERROR(_xlfn.XLOOKUP(A243,Щиты[Щит],Щиты[Кс силовых (табл. 7.5)]),1),1)),IF(OR(EQ243="Пост",EQ243="Отоп"),1,IF(EQ243="ВНГ",0.7,0))))))</f>
        <v>0.57830000000000004</v>
      </c>
      <c r="ES243">
        <f t="shared" si="425"/>
        <v>1</v>
      </c>
      <c r="ET243">
        <f t="shared" si="426"/>
        <v>0.24</v>
      </c>
      <c r="EU243">
        <f t="shared" si="427"/>
        <v>0.24</v>
      </c>
      <c r="EV243">
        <f t="shared" si="428"/>
        <v>0</v>
      </c>
      <c r="EW243">
        <f t="shared" si="429"/>
        <v>0</v>
      </c>
      <c r="EX243">
        <f t="shared" si="430"/>
        <v>0</v>
      </c>
      <c r="EY243">
        <f t="shared" si="431"/>
        <v>0</v>
      </c>
      <c r="EZ243">
        <f t="shared" si="432"/>
        <v>0.24</v>
      </c>
      <c r="FA243">
        <f t="shared" si="433"/>
        <v>0.22799999999999998</v>
      </c>
      <c r="FB243">
        <f t="shared" si="434"/>
        <v>0.24</v>
      </c>
      <c r="FC243" t="str">
        <f t="shared" si="435"/>
        <v/>
      </c>
      <c r="FD243" t="str">
        <f>IF(B243="","",IF(CA243=0,IF(AW243=1,"",FF242),IF(OR(N(CV243)&gt;=3,N(BR243)&gt;=3),"L1,L2,L3",IFERROR(_xlfn.TEXTBEFORE(_xlfn.TEXTAFTER(_xlfn.XLOOKUP(A243,Щиты[Щит],Щиты[_фазы авто]),";"&amp;AW243&amp;":"),";"),"L1"))))</f>
        <v>L2</v>
      </c>
      <c r="FE243" t="str">
        <f t="shared" si="436"/>
        <v>L2</v>
      </c>
      <c r="FF243" t="str">
        <f t="shared" si="437"/>
        <v>L2</v>
      </c>
      <c r="FG243" cm="1">
        <f t="array" ref="FG243">IFERROR(IF(BX243=2,_xlfn.IFS(BR243=3,VLOOKUP(BN243,Справочная_двигатели,3,FALSE),BR243=1,VLOOKUP(BN243,Справочная_двигатели,5,TRUE)),0),0)</f>
        <v>0</v>
      </c>
      <c r="FH243">
        <f>IFERROR(IF(BX243=3,VLOOKUP(BN243,Справочная_ЛЭД,2,TRUE),0),0)</f>
        <v>0</v>
      </c>
      <c r="FI243" s="6">
        <f t="shared" si="438"/>
        <v>0</v>
      </c>
      <c r="FJ243" t="str" cm="1">
        <f t="array" ref="FJ243">IF(B243="","",IFERROR(INDEX({"I особая","I","II","III"},MATCH(TRIM(AC243&amp;""),{"I особая","I","II","III"},0)),"III"))</f>
        <v>II</v>
      </c>
      <c r="FK243" t="str">
        <f>IF(B243="","",IF(TRIM(AD243&amp;"")&lt;&gt;"",IF(LOWER(TRIM(AD243&amp;""))="да","да","нет"),IF(IFERROR(_xlfn.XLOOKUP(AX243,Коды_код,Коды_пожарная),"")="да","да","нет")))</f>
        <v>нет</v>
      </c>
      <c r="FL243" t="str">
        <f t="shared" si="439"/>
        <v/>
      </c>
      <c r="FM243" t="str">
        <f t="shared" si="440"/>
        <v>основная</v>
      </c>
      <c r="FN243">
        <f t="shared" si="441"/>
        <v>1</v>
      </c>
      <c r="FO243" t="str" cm="1">
        <f t="array" ref="FO243">IF(B243="","",_xlfn.LET(_xlpm.t,IFERROR(_xlfn.XLOOKUP(1,(Шины[Шина]=FM243)*(((Шины[Щит]=A243)+(Шины[Щит]=""))&gt;0),Шины[Тип]),"")&amp;"",IF(_xlpm.t&lt;&gt;"",_xlpm.t,IF(ISNUMBER(SEARCH("ИБП",FM243)),"ИБП",IF(ISNUMBER(SEARCH("ДГУ",FM243)),"ДГУ","Ввод "&amp;FN243)))))</f>
        <v>Ввод 1</v>
      </c>
      <c r="FP243" t="str">
        <f t="shared" si="442"/>
        <v>Ввод 1</v>
      </c>
      <c r="FQ243" t="str">
        <f>IF(B243="","",IF(OR(FO243="ИБП",FO243="ДГУ"),"I особая",IF(FO243="Одиночная","III",_xlfn.XLOOKUP(A243,Щиты[Щит],Щиты[Категория шины «Ввод»],"III"))))</f>
        <v>II</v>
      </c>
      <c r="FR243">
        <f>IF(B243="",0,IFERROR(MATCH(FJ243,{"III","II","I","I особая"},0),1))</f>
        <v>2</v>
      </c>
      <c r="FS243">
        <f t="shared" si="443"/>
        <v>2</v>
      </c>
      <c r="FT243" t="str">
        <f>IF(B243="","",IF(FR243&gt;IFERROR(MATCH(FQ243,{"III","II","I","I особая"},0),1),"НЕ ОБЕСПЕЧЕНА","ОК"))</f>
        <v>ОК</v>
      </c>
      <c r="FU243" t="str">
        <f>IF(A243="","",_xlfn.XLOOKUP(A243,Щиты[Щит],Щиты[Путь],""))</f>
        <v>|ГРЩ-ЖД|ЩР-1|</v>
      </c>
      <c r="FV243" t="str">
        <f>IF(B243="","",IF(AE243&lt;&gt;"",AE243,IF(IFERROR(_xlfn.XLOOKUP(AX243,Коды_код,Коды_вид)&amp;"","")="","Прочее",_xlfn.XLOOKUP(AX243,Коды_код,Коды_вид)&amp;"")))</f>
        <v>Розеточная сеть и бытовые приборы</v>
      </c>
      <c r="FW243">
        <f>IF(BH243="","",INT((BH243-1)/Столбцов_на_лист)+1)</f>
        <v>3</v>
      </c>
      <c r="FX243" t="str">
        <f t="shared" si="444"/>
        <v>ВВГнг(А)-LS (3х2,5) L=81-0,66%</v>
      </c>
      <c r="FY243">
        <f t="shared" si="445"/>
        <v>0.24</v>
      </c>
      <c r="FZ243">
        <f t="shared" si="446"/>
        <v>1.1000000000000001</v>
      </c>
      <c r="GA243">
        <f t="shared" si="447"/>
        <v>1</v>
      </c>
      <c r="GB243">
        <f t="shared" si="448"/>
        <v>0</v>
      </c>
      <c r="GC243">
        <f t="shared" si="449"/>
        <v>1</v>
      </c>
      <c r="GD243">
        <f>IF(BH243="","",IF(AND(CA243=1,GC243=1),COUNTIFS(A$3:A243,A243,CA$3:CA243,1,GC$3:GC243,1),IF(OR(OR(AW243=1,A243&lt;&gt;A242),AF243="вручную",GC243=0),"",IF(AW243=1,"",GE242))))</f>
        <v>19</v>
      </c>
      <c r="GE243">
        <f t="shared" si="450"/>
        <v>19</v>
      </c>
      <c r="GF243">
        <f>IF(B243="","",IFERROR(LOOKUP(INDEX(CHOOSE(DL243,Iдоп_1ж,Iдоп_2ж,Iдоп_3ж),MATCH(DX243,Iдоп_S,0))*DJ243*DK243,{6,10,16,20,25,32,40,50,63,80,100,125,160,200,250,315,400,500,630}),""))</f>
        <v>25</v>
      </c>
      <c r="GG243" t="str">
        <f t="shared" si="451"/>
        <v>QFD19</v>
      </c>
      <c r="GH243" t="str">
        <f t="shared" si="452"/>
        <v>QFD19</v>
      </c>
      <c r="GI243" t="str">
        <f t="shared" si="453"/>
        <v/>
      </c>
      <c r="GJ243">
        <f t="shared" si="454"/>
        <v>0</v>
      </c>
      <c r="GK243" t="str">
        <f>IF(OR(AG243="",AG243="-"),"",IFERROR(VLOOKUP(AG243,Модули_спр,2,FALSE),"R"))</f>
        <v/>
      </c>
      <c r="GL243" t="str">
        <f>IF(GK243="","",GK243&amp;"."&amp;COUNTIFS(A$3:A243,A243,GK$3:GK243,GK243))</f>
        <v/>
      </c>
      <c r="GM243" t="str">
        <f t="shared" si="455"/>
        <v/>
      </c>
      <c r="GN243" t="str">
        <f t="shared" si="456"/>
        <v/>
      </c>
      <c r="GO243" t="str">
        <f t="shared" si="457"/>
        <v/>
      </c>
      <c r="GP243" t="str">
        <f t="shared" si="458"/>
        <v/>
      </c>
      <c r="GQ243">
        <f t="shared" si="459"/>
        <v>1</v>
      </c>
      <c r="GR243" t="str">
        <f>IF(GQ243=1,"XT"&amp;COUNTIFS(A$3:A243,A243,GQ$3:GQ243,1),"")</f>
        <v>XT19</v>
      </c>
      <c r="GS243" t="str">
        <f t="shared" si="460"/>
        <v/>
      </c>
      <c r="GT243" t="str">
        <f t="shared" si="461"/>
        <v>QFD19</v>
      </c>
      <c r="GU243" t="str">
        <f t="shared" si="462"/>
        <v/>
      </c>
      <c r="GV243" t="str">
        <f t="shared" si="463"/>
        <v>ok</v>
      </c>
      <c r="GW243" t="str">
        <f>IF(OR(GO243="",GM243=""),"",IF(GO243&gt;IFERROR(VLOOKUP(GN243,Модули_спр,3,FALSE),99),"ЛИШНИЙ КАНАЛ",IF(AND(AH243&lt;&gt;"=",COUNTIFS(Линии[_модуль гр.],GM243,Линии[Канал (итог)],GO243,Линии[Канал],"&lt;&gt;=",Линии[Щит],A243)&gt;1),"ДУБЛЬ КАНАЛА","")))</f>
        <v/>
      </c>
      <c r="GX243" s="6" t="str">
        <f t="shared" si="464"/>
        <v/>
      </c>
      <c r="GY243">
        <f t="shared" si="465"/>
        <v>10</v>
      </c>
      <c r="GZ243" t="str">
        <f t="shared" si="466"/>
        <v/>
      </c>
      <c r="HA243" t="str">
        <f>IF(AND(B243="",GT243=""),"",_xlfn.TEXTJOIN("; ",TRUE,IF(AND(B243&lt;&gt;"",FE243=""),"нет фазы",""),IF(AND(B243&lt;&gt;"",N(FY243)=0,EQ243&lt;&gt;"Нет"),"нет мощности",""),IF(AND(GS243&lt;&gt;"",COUNTIFS(Линии[Щит],A243,Линии[Клемма (итог)],GS243)&gt;1),"дубль клеммы "&amp;GS243,""),IF(AND(GV243&lt;&gt;"",GV243&lt;&gt;"ok"),GV243,""),IF(GW243&lt;&gt;"",GW243,""),IF(AND(N(BV243)&gt;=4,N(BR243)=1),BV243&amp;" жил на 1 фазе",""),IF(AND(AX243="R",CA243=1,OR(N(CK243)=0,N(CK243)&gt;30)),"розетка без дифзащиты до 30 мА",""),IFERROR(IF(AND(ISNUMBER(R243),R243&gt;DV243),"потери "&amp;FIXED(R243,1)&amp;" % &gt; "&amp;DV243&amp;" %",""),""),IFERROR(IF(LEFT(GZ243,4)="мало","Iкз мало — отключение &gt; 0,4 с",""),""),IF(AND(B243&lt;&gt;"",BH243=""),"не на схеме",""),IF(AND(CA243=0,B243&lt;&gt;"",FE243&lt;&gt;"",IF(AW243=1,"",FF242)&lt;&gt;"",FE243&lt;&gt;IF(AW243=1,"",FF242)),"фаза не как у автомата группы ("&amp;IF(AW243=1,"",FF242)&amp;")","")))</f>
        <v/>
      </c>
      <c r="HB243" s="6">
        <f>IF(OR(CA243=0,DA243=""),"",_xlfn.LET(_xlpm.t,IFERROR(_xlfn.XLOOKUP(DA243,Каталог!$U$4:$U$500,Каталог!$G$4:$G$500),""),_xlpm.k,SEARCH("кА",_xlpm.t),IFERROR(--TRIM(RIGHT(SUBSTITUTE(MID(_xlpm.t,MAX(1,_xlpm.k-4),_xlpm.k-MAX(1,_xlpm.k-4))," ",REPT(" ",9)),5)),"")))</f>
        <v>6</v>
      </c>
      <c r="HC243" t="str">
        <f>IF(OR(HB243="",CA243=0),"",IF(_xlfn.XLOOKUP(A243,Щиты[Щит],Щиты[Iкз max на шинах, кА],"")="","",IF(HB243&lt;_xlfn.XLOOKUP(A243,Щиты[Щит],Щиты[Iкз max на шинах, кА]),"Icu "&amp;HB243&amp;" кА &lt; Iкз max","ok")))</f>
        <v/>
      </c>
      <c r="HD243" t="str">
        <f t="shared" si="467"/>
        <v/>
      </c>
      <c r="HE243" t="str">
        <f t="shared" si="468"/>
        <v>QFD19</v>
      </c>
      <c r="HF243" t="str">
        <f t="shared" si="469"/>
        <v>QFD19|кабель ВВГнг(А)-LS (3х2,5) → Розеточная группа, пом. 003Aб</v>
      </c>
      <c r="HG243" t="str" cm="1">
        <f t="array" ref="HG243">IF(HF243="","",_xlfn.LET(_xlpm.nd,_xlfn.TEXTSPLIT(HF243,"|"),IF(COLUMNS(_xlpm.nd)&gt;1,A243&amp;"¦"&amp;INDEX(_xlpm.nd,1)&amp;"¦"&amp;INDEX(_xlpm.nd,2),"")))</f>
        <v>ЩР-1¦QFD19¦кабель ВВГнг(А)-LS (3х2,5) → Розеточная группа, пом. 003Aб</v>
      </c>
      <c r="HH243" t="str">
        <f t="shared" si="470"/>
        <v>R.1.003Aб.1¦Розеточная группа, пом. 003Aб</v>
      </c>
      <c r="HI243" t="str" cm="1">
        <f t="array" ref="HI243">IF(HF243="","",_xlfn.LET(_xlpm.nd,_xlfn.TEXTSPLIT(HF243,"|"),IF(COLUMNS(_xlpm.nd)&gt;2,A243&amp;"¦"&amp;INDEX(_xlpm.nd,2)&amp;"¦"&amp;INDEX(_xlpm.nd,3),"")))</f>
        <v/>
      </c>
      <c r="HJ243" t="str">
        <f t="shared" si="471"/>
        <v/>
      </c>
      <c r="HK243" t="str" cm="1">
        <f t="array" ref="HK243">IF(HF243="","",_xlfn.LET(_xlpm.nd,_xlfn.TEXTSPLIT(HF243,"|"),IF(COLUMNS(_xlpm.nd)&gt;3,A243&amp;"¦"&amp;INDEX(_xlpm.nd,3)&amp;"¦"&amp;INDEX(_xlpm.nd,4),"")))</f>
        <v/>
      </c>
      <c r="HL243" t="str">
        <f t="shared" si="472"/>
        <v/>
      </c>
      <c r="HM243" t="str" cm="1">
        <f t="array" ref="HM243">IF(HF243="","",_xlfn.LET(_xlpm.nd,_xlfn.TEXTSPLIT(HF243,"|"),IF(COLUMNS(_xlpm.nd)&gt;4,A243&amp;"¦"&amp;INDEX(_xlpm.nd,4)&amp;"¦"&amp;INDEX(_xlpm.nd,5),"")))</f>
        <v/>
      </c>
      <c r="HN243" t="str">
        <f t="shared" si="473"/>
        <v/>
      </c>
      <c r="HO243" t="str" cm="1">
        <f t="array" ref="HO243">IF(HF243="","",_xlfn.LET(_xlpm.nd,_xlfn.TEXTSPLIT(HF243,"|"),IF(COLUMNS(_xlpm.nd)&gt;5,A243&amp;"¦"&amp;INDEX(_xlpm.nd,5)&amp;"¦"&amp;INDEX(_xlpm.nd,6),"")))</f>
        <v/>
      </c>
      <c r="HP243" t="str">
        <f t="shared" si="474"/>
        <v/>
      </c>
      <c r="HQ243" t="str" cm="1">
        <f t="array" ref="HQ243">IF(HF243="","",_xlfn.LET(_xlpm.nd,_xlfn.TEXTSPLIT(HF243,"|"),IF(COLUMNS(_xlpm.nd)&gt;6,A243&amp;"¦"&amp;INDEX(_xlpm.nd,6)&amp;"¦"&amp;INDEX(_xlpm.nd,7),"")))</f>
        <v/>
      </c>
      <c r="HR243" t="str">
        <f t="shared" si="475"/>
        <v/>
      </c>
      <c r="HS243" t="str">
        <f t="shared" si="476"/>
        <v/>
      </c>
      <c r="HT243" t="str">
        <f t="shared" si="477"/>
        <v>QFD19</v>
      </c>
      <c r="HU243">
        <f t="shared" si="478"/>
        <v>0</v>
      </c>
      <c r="HV243">
        <f t="shared" si="479"/>
        <v>1</v>
      </c>
      <c r="HW243" t="str">
        <f t="shared" si="480"/>
        <v/>
      </c>
      <c r="HX243" t="str">
        <f t="shared" si="481"/>
        <v/>
      </c>
      <c r="HY243" t="str">
        <f t="shared" si="482"/>
        <v/>
      </c>
      <c r="HZ243" t="str">
        <f t="shared" si="483"/>
        <v/>
      </c>
      <c r="IA243" t="str">
        <f>IF(B243="","",IFERROR(VLOOKUP(B243,УГО_спр,2,FALSE),IFERROR(VLOOKUP(AX243,УГО_спр,2,FALSE),IFERROR(VLOOKUP(LEFT(AX243,2),УГО_спр,2,FALSE),""))))</f>
        <v>Розетка</v>
      </c>
      <c r="IB243" t="str">
        <f>IF(B243="","",IF(OR(IA243="",IA243=0),"BOX",IFERROR(IF(VLOOKUP(IA243,УГО_блоки,3,FALSE)&amp;""&lt;&gt;"",VLOOKUP(IA243,УГО_блоки,3,FALSE),VLOOKUP(IA243,УГО_блоки,2,FALSE)),IA243)))</f>
        <v>SOCKET</v>
      </c>
      <c r="IC243">
        <f t="shared" si="484"/>
        <v>1</v>
      </c>
      <c r="ID243" t="str">
        <f>IF(DA243="","",IF(COUNTIF(DA$3:DA243,DA243)=1,MAX(ID$2:ID242)+1,""))</f>
        <v/>
      </c>
      <c r="IE243" t="str">
        <f>IF(CO243="","",IF(COUNTIF(CO$3:CO243,CO243)+COUNTIF(CP$2:CP242,CO243)+COUNTIF(CQ$2:CQ242,CO243)=1,MAX(IE$2:IG242)+1,""))</f>
        <v/>
      </c>
      <c r="IF243" t="str">
        <f>IF(CP243="","",IF(COUNTIF(CO$3:CO243,CP243)+COUNTIF(CP$3:CP243,CP243)+COUNTIF(CQ$2:CQ242,CP243)=1,MAX(IE$2:IG242,IE243)+1,""))</f>
        <v/>
      </c>
      <c r="IG243" t="str">
        <f>IF(CQ243="","",IF(COUNTIF(CO$3:CO243,CQ243)+COUNTIF(CP$3:CP243,CQ243)+COUNTIF(CQ$3:CQ243,CQ243)=1,MAX(IE$2:IG242,IE243,IF243)+1,""))</f>
        <v/>
      </c>
      <c r="IH243" t="str">
        <f t="shared" si="485"/>
        <v>3х2,5</v>
      </c>
      <c r="II243" t="str">
        <f>IF(IH243="","",IF(COUNTIF(IH$3:IH243,IH243)=1,MAX(II$2:II242)+1,""))</f>
        <v/>
      </c>
      <c r="IJ243" t="str">
        <f>IF(GL243="","",COUNTIF(GL$3:GL243,"?*"))</f>
        <v/>
      </c>
      <c r="IK243" t="str">
        <f>IF(OR(GL243="",GN243=""),"",IF(COUNTIFS(GL$3:GL243,"?*",GN$3:GN243,GN243)=1,MAX(IK$2:IK242)+1,""))</f>
        <v/>
      </c>
      <c r="IL243">
        <f t="shared" si="486"/>
        <v>0</v>
      </c>
      <c r="IM243">
        <f>IF(B243="","",COUNTIF(B$3:B243,"?*"))</f>
        <v>241</v>
      </c>
      <c r="IN243">
        <f>IF(GQ243&lt;&gt;1,0,_xlfn.LET(_xlpm.k,MAX(IFERROR(--VLOOKUP(B243,УГО_спр,5,FALSE),0),IFERROR(--VLOOKUP(AX243,УГО_спр,5,FALSE),0),IFERROR(--VLOOKUP(LEFT(AX243,2),УГО_спр,5,FALSE),0)),IF(_xlpm.k&gt;0,_xlpm.k,IF(IFERROR(--LEFT(SUBSTITUTE(IH243,"x","х"),FIND("х",SUBSTITUTE(IH243,"x","х"))-1),3)&gt;3,Каталог!$S$9,1))))</f>
        <v>1</v>
      </c>
      <c r="IO243">
        <f t="shared" si="487"/>
        <v>0</v>
      </c>
      <c r="IP243" t="str">
        <f t="shared" si="488"/>
        <v>авто</v>
      </c>
      <c r="IQ243">
        <f t="shared" si="489"/>
        <v>30</v>
      </c>
      <c r="IR243">
        <f t="shared" si="490"/>
        <v>1</v>
      </c>
      <c r="IS243">
        <f t="shared" si="491"/>
        <v>1</v>
      </c>
    </row>
    <row r="244" spans="1:253" x14ac:dyDescent="0.3">
      <c r="A244" t="s">
        <v>759</v>
      </c>
      <c r="B244" t="s">
        <v>1509</v>
      </c>
      <c r="C244" t="str">
        <f>Линии[[#This Row],[_авто наименование]]</f>
        <v>Розеточная группа, пом. 003Б</v>
      </c>
      <c r="D244">
        <v>3</v>
      </c>
      <c r="E244">
        <v>0.24</v>
      </c>
      <c r="G244" t="str">
        <f>Линии[[#This Row],[_авто автомат]]</f>
        <v>2P С16А 30мА</v>
      </c>
      <c r="H244">
        <f>Линии[[#This Row],[_авто утечка]]</f>
        <v>30</v>
      </c>
      <c r="I244" t="str">
        <f>Линии[[#This Row],[_авто управление]]</f>
        <v/>
      </c>
      <c r="J244" t="str">
        <f>Линии[[#This Row],[_авто аппараты]]</f>
        <v/>
      </c>
      <c r="K244">
        <v>2.5</v>
      </c>
      <c r="L244">
        <v>13</v>
      </c>
      <c r="M244" t="str">
        <f>Линии[[#This Row],[_авто фаза]]</f>
        <v>L1</v>
      </c>
      <c r="N244" t="s">
        <v>486</v>
      </c>
      <c r="O244" t="str">
        <f t="shared" si="369"/>
        <v/>
      </c>
      <c r="P244" s="6" cm="1">
        <f t="array" ref="P244">IF(B244="","",IF(BC244&lt;&gt;"",IFERROR(_xlfn.XLOOKUP(BC244,Щиты[Щит],Щиты[Iр, А]),""),IF(BK244=1,IFERROR(_xlfn.XLOOKUP(A244,Щиты[Щит],Щиты[Iр, А]),""),IFERROR(_xlfn.IFS(BR244=1,BN244/((Uн_лин/SQRT(3))*BY244),BR244=3,BN244/(SQRT(3)*Uн_лин*BY244)),""))))</f>
        <v>1.0939268258329751</v>
      </c>
      <c r="Q244" s="7">
        <f>IF(B244="","",IFERROR(IF(VLOOKUP(AX244,Потребители_обозначение,4,FALSE)=1,VLOOKUP(AX244,Потребители_обозначение,3,FALSE)*(D244*2-1)+DS244+VLOOKUP(AZ244,Этаж_обозначение,3,FALSE)+VLOOKUP(AZ244,Этаж_обозначение,4,FALSE),VLOOKUP(AX244,Потребители_обозначение,3,FALSE)*(D244*2-1)+DS244),DS244))</f>
        <v>28</v>
      </c>
      <c r="R244" s="6">
        <f t="shared" si="370"/>
        <v>1.42</v>
      </c>
      <c r="S244" t="str">
        <f t="shared" si="371"/>
        <v>ВВГнг(А)-LS (3х2,5)</v>
      </c>
      <c r="T244" t="str">
        <f>IF(BH244="","",IF(BI244="вводной узел","узел ","")&amp;"л."&amp;(INT((BH244-1)/Столбцов_на_лист)+1)&amp;" / "&amp;(MOD(BH244-1,Столбцов_на_лист)+1))</f>
        <v>л.3 / 5</v>
      </c>
      <c r="V244">
        <v>1</v>
      </c>
      <c r="W244">
        <v>230</v>
      </c>
      <c r="X244" t="s">
        <v>564</v>
      </c>
      <c r="AC244" t="s">
        <v>815</v>
      </c>
      <c r="AE244" t="s">
        <v>563</v>
      </c>
      <c r="AI244">
        <v>39</v>
      </c>
      <c r="AJ244" t="s">
        <v>11</v>
      </c>
      <c r="AK244">
        <v>3</v>
      </c>
      <c r="AM244">
        <v>0</v>
      </c>
      <c r="AN244">
        <v>0</v>
      </c>
      <c r="AO244">
        <v>23</v>
      </c>
      <c r="AW244" cm="1">
        <f t="array" ref="AW244">ROW()-ROW(Линии[#Headers])</f>
        <v>242</v>
      </c>
      <c r="AX244" s="6" t="str">
        <f t="shared" si="372"/>
        <v>R</v>
      </c>
      <c r="AY244" t="str">
        <f t="shared" si="373"/>
        <v>1.003Б.1</v>
      </c>
      <c r="AZ244" t="str">
        <f t="shared" si="374"/>
        <v>1</v>
      </c>
      <c r="BA244" t="str">
        <f t="shared" si="375"/>
        <v>003Б.1</v>
      </c>
      <c r="BB244" t="str">
        <f t="shared" si="376"/>
        <v>003Б</v>
      </c>
      <c r="BC244" t="str">
        <f>IF(U244&lt;&gt;"",U244,IF(AND(B244&lt;&gt;"",B244&lt;&gt;A244,ISNUMBER(_xlfn.XMATCH(B244,Щиты[Щит]))),B244,""))</f>
        <v/>
      </c>
      <c r="BD244" t="str" cm="1">
        <f t="array" ref="BD244">IF(B244="","",IF(BC244&lt;&gt;"","Щит "&amp;BC244,_xlfn.LET(_xlpm.nm,IFERROR(_xlfn.XLOOKUP(AX244,Коды_код,Коды_имя)&amp;"",""),_xlpm.md,IFERROR(N(_xlfn.XLOOKUP(AX244,Коды_код,Коды_режим)),1),_xlpm.ex,IF(Имя_режим="по экспликации",IFERROR(_xlfn.XLOOKUP(AZ244&amp;"|"&amp;BB244,Экспликация[Этаж]&amp;"|"&amp;Экспликация[Помещение],Экспликация[Название])&amp;"",""),""),_xlpm.rm,IF(BB244="","",IF(_xlpm.ex&lt;&gt;"",". "&amp;_xlpm.ex&amp;IF(Имя_пом="нет"," ("&amp;BB244&amp;")"," (пом. "&amp;BB244&amp;")"),IF(Имя_пом="нет"," ",", пом. ")&amp;BB244)),IF(_xlpm.nm="","",IF(_xlpm.md=2,_xlpm.nm&amp;" шлейф "&amp;AZ244,_xlpm.nm&amp;_xlpm.rm)))))</f>
        <v>Розеточная группа, пом. 003Б</v>
      </c>
      <c r="BE244" t="str">
        <f t="shared" si="377"/>
        <v>Розеточная группа, пом. 003Б</v>
      </c>
      <c r="BF244">
        <f>IFERROR(_xlfn.XMATCH(A244,Щиты[Щит]),0)</f>
        <v>10</v>
      </c>
      <c r="BG244">
        <f>_xlfn.LET(_xlpm.k,IFERROR(_xlfn.XLOOKUP(A244,Щиты[Щит],Щиты[Листов под вводной узел]),""),IF(_xlpm.k="",1,N(_xlpm.k))*Столбцов_на_лист)</f>
        <v>17</v>
      </c>
      <c r="BH244">
        <f t="shared" si="378"/>
        <v>39</v>
      </c>
      <c r="BI244" t="str">
        <f t="shared" si="379"/>
        <v>линии</v>
      </c>
      <c r="BJ244" s="6">
        <f>IFERROR(N(_xlfn.XLOOKUP(AX244,Коды_код,Коды_квт)),0)</f>
        <v>0</v>
      </c>
      <c r="BK244">
        <f t="shared" si="380"/>
        <v>0</v>
      </c>
      <c r="BL244" t="str">
        <f>IF(B244="","",IF(BC244&lt;&gt;"",IFERROR(_xlfn.XLOOKUP(BC244,Щиты[Щит],Щиты[Руст, кВт]),0),IF(BK244=1,IFERROR(_xlfn.XLOOKUP(A244,Щиты[Щит],Щиты[Руст, кВт]),0),IF(BJ244&gt;0,ROUND(BJ244*MAX(1,N(D244)),3),""))))</f>
        <v/>
      </c>
      <c r="BM244">
        <f t="shared" si="381"/>
        <v>0.24</v>
      </c>
      <c r="BN244" s="6">
        <f>IF(B244="","",IF(BC244&lt;&gt;"",IFERROR(_xlfn.XLOOKUP(BC244,Щиты[Щит],Щиты[Руст, кВт]),0),N(BM244)))</f>
        <v>0.24</v>
      </c>
      <c r="BO244" t="str">
        <f>IF(B244="","",IFERROR(IF(VLOOKUP(AX244,Потребители_обозначение,8,FALSE)=0,"",VLOOKUP(AX244,Потребители_обозначение,8,FALSE)),""))</f>
        <v/>
      </c>
      <c r="BP244">
        <f t="shared" si="382"/>
        <v>230</v>
      </c>
      <c r="BQ244">
        <f>IF(B244="","",IF(BC244&lt;&gt;"",3,IFERROR(IF(N(VLOOKUP(AX244,Потребители_обозначение,9,FALSE))=0,1,VLOOKUP(AX244,Потребители_обозначение,9,FALSE)),1)))</f>
        <v>1</v>
      </c>
      <c r="BR244">
        <f t="shared" si="383"/>
        <v>1</v>
      </c>
      <c r="BS244" t="str">
        <f>IF(B244="","",_xlfn.LET(_xlpm.bc,IFERROR(IF(VLOOKUP(AX244,Потребители_обозначение,6,FALSE)=0,"",VLOOKUP(AX244,Потребители_обозначение,6,FALSE)&amp;""),""),IF(AND(FK244="да",OR(_xlpm.bc="",_xlpm.bc="мс")),Марка_пож,IF(AND(_xlpm.bc="",BC244&lt;&gt;""),"мс",_xlpm.bc))))</f>
        <v/>
      </c>
      <c r="BT244" t="str">
        <f t="shared" si="384"/>
        <v>мс</v>
      </c>
      <c r="BU244">
        <f>IF(B244="","",_xlfn.LET(_xlpm.cc,IFERROR(N(VLOOKUP(AX244,Потребители_обозначение,7,FALSE)),0),IF(_xlpm.cc&gt;0,_xlpm.cc,IF(BT244="","",IF(N(BR244)=3,5,3)))))</f>
        <v>3</v>
      </c>
      <c r="BV244">
        <f t="shared" si="385"/>
        <v>3</v>
      </c>
      <c r="BW244">
        <f>IFERROR(N(VLOOKUP(AX244,Потребители_обозначение,10,FALSE)),0)</f>
        <v>0</v>
      </c>
      <c r="BX244">
        <f>IFERROR(VLOOKUP(AX244,Потребители_обозначение,5,FALSE),0)</f>
        <v>1</v>
      </c>
      <c r="BY244" s="6" cm="1">
        <f t="array" ref="BY244">IF(B244="","",IF(BC244&lt;&gt;"",IFERROR(_xlfn.XLOOKUP(BC244,Щиты[Щит],Щиты[cos φ]),0.95),IF(BK244=1,IFERROR(_xlfn.XLOOKUP(A244,Щиты[Щит],Щиты[cos φ]),0.95),IF(ISNUMBER(Z244),Z244,IFERROR(IF(BX244=2,_xlfn.IFS(BR244=3,VLOOKUP(BN244,Справочная_двигатели,8,FALSE),BR244=1,VLOOKUP(BN244,Справочная_двигатели,10,TRUE)),IF(AND(Методика="нормы 2026",EQ244="Сил"),0.8,0.95)),0.95)))))</f>
        <v>0.95</v>
      </c>
      <c r="BZ244">
        <f t="shared" si="386"/>
        <v>0</v>
      </c>
      <c r="CA244">
        <f t="shared" si="387"/>
        <v>1</v>
      </c>
      <c r="CB244">
        <f t="shared" si="388"/>
        <v>0</v>
      </c>
      <c r="CC244">
        <f t="shared" si="389"/>
        <v>0</v>
      </c>
      <c r="CD244">
        <f t="shared" si="390"/>
        <v>0</v>
      </c>
      <c r="CE244">
        <f t="shared" si="391"/>
        <v>0</v>
      </c>
      <c r="CF244">
        <f t="shared" si="392"/>
        <v>0</v>
      </c>
      <c r="CG244">
        <f>IF(AX244="",0,_xlfn.LET(_xlpm.v,IFERROR(VLOOKUP(B244,УГО_спр,3,FALSE),IFERROR(VLOOKUP(AX244,УГО_спр,3,FALSE),IFERROR(VLOOKUP(LEFT(AX244,2),УГО_спр,3,FALSE),""))),IF(_xlpm.v="да",30,IF(ISNUMBER(_xlpm.v),_xlpm.v,0))))</f>
        <v>30</v>
      </c>
      <c r="CH244">
        <f t="shared" si="393"/>
        <v>30</v>
      </c>
      <c r="CI244" t="str">
        <f>_xlfn.LET(_xlpm.k,IFERROR(_xlfn.XLOOKUP(AX244,Коды_код,Коды_утечка)&amp;"",""),IF(_xlpm.k="","дифавтомат",_xlpm.k))</f>
        <v>дифавтомат</v>
      </c>
      <c r="CJ244">
        <f t="shared" si="394"/>
        <v>30</v>
      </c>
      <c r="CK244">
        <f t="shared" si="395"/>
        <v>30</v>
      </c>
      <c r="CL244">
        <f>IF(B244="",0,IFERROR(--VLOOKUP(B244,УГО_спр,4,FALSE),IFERROR(--VLOOKUP(AX244,УГО_спр,4,FALSE),IFERROR(--VLOOKUP(LEFT(AX244,2),УГО_спр,4,FALSE),0))))</f>
        <v>16</v>
      </c>
      <c r="CM244" t="str">
        <f>IF(B244="","",IFERROR(_xlfn.XLOOKUP(AX244,Коды_код,Коды_апп)&amp;"",""))</f>
        <v/>
      </c>
      <c r="CN244" t="str">
        <f t="shared" si="396"/>
        <v/>
      </c>
      <c r="CO244" t="str" cm="1">
        <f t="array" ref="CO244">IF(TRIM(CN244&amp;"")="","",IFERROR(TRIM(INDEX(_xlfn.TEXTSPLIT(CN244&amp;";;;",";"),1)),""))</f>
        <v/>
      </c>
      <c r="CP244" t="str" cm="1">
        <f t="array" ref="CP244">IF(TRIM(CN244&amp;"")="","",IFERROR(TRIM(INDEX(_xlfn.TEXTSPLIT(CN244&amp;";;;",";"),2)),""))</f>
        <v/>
      </c>
      <c r="CQ244" t="str" cm="1">
        <f t="array" ref="CQ244">IF(TRIM(CN244&amp;"")="","",IFERROR(TRIM(INDEX(_xlfn.TEXTSPLIT(CN244&amp;";;;",";"),3)),""))</f>
        <v/>
      </c>
      <c r="CR244">
        <f t="shared" si="397"/>
        <v>0</v>
      </c>
      <c r="CS244" t="str">
        <f>IF(B244="","",_xlfn.LET(_xlpm.t,LOWER(AV244&amp;""),IF(ISNUMBER(SEARCH("dim",_xlpm.t)),"DIM",IF(ISNUMBER(SEARCH("dali",_xlpm.t)),"DALI",IF(OR(ISNUMBER(SEARCH("relay",_xlpm.t)),ISNUMBER(SEARCH("реле",_xlpm.t))),"Relay",IF(ISNUMBER(SEARCH("кнопк",_xlpm.t)),"",IFERROR(_xlfn.XLOOKUP(AX244,Коды_код,Коды_упр)&amp;"","")))))))</f>
        <v/>
      </c>
      <c r="CT244" t="str">
        <f t="shared" si="398"/>
        <v/>
      </c>
      <c r="CU244">
        <f>IF(B244="","",_xlfn.LET(_xlpm.ig,N(P244)+IF(AF244="вручную",0,N(CB244)),_xlpm.n0,IFERROR(VLOOKUP(_xlpm.ig,Автомат_номиналы,2,TRUE),0),_xlpm.mn,MAX(CL244,IF(AF244="вручную",0,N(CE244))),MAX(_xlpm.n0,_xlpm.mn,IF(CR244=1,Мин_автомат_БП,0))))</f>
        <v>16</v>
      </c>
      <c r="CV244">
        <f t="shared" si="399"/>
        <v>1</v>
      </c>
      <c r="CW244" t="str">
        <f t="shared" si="400"/>
        <v>2P</v>
      </c>
      <c r="CX244" t="str">
        <f>_xlfn.LET(_xlpm.cc,UPPER(TRIM(IFERROR(_xlfn.XLOOKUP(AX244,Коды_код,Коды_хар)&amp;"",""))),IF(OR(_xlpm.cc="B",_xlpm.cc="В"),"B",IF(_xlpm.cc="D","D","С")))</f>
        <v>С</v>
      </c>
      <c r="CY244" t="str">
        <f t="shared" si="401"/>
        <v>2P С16А 30мА</v>
      </c>
      <c r="CZ244" t="str">
        <f t="shared" si="402"/>
        <v>2P С16А 30мА</v>
      </c>
      <c r="DA244" t="str">
        <f t="shared" si="403"/>
        <v>2P С16А 30мА</v>
      </c>
      <c r="DB244" cm="1">
        <f t="array" ref="DB244">IF(DA244="","",_xlfn.LET(_xlpm.t,SUBSTITUTE(SUBSTITUTE(SUBSTITUTE(UPPER(DA244),"С","C"),"А","A"),"В","B"),_xlpm.tk,_xlfn.TEXTSPLIT(_xlpm.t,"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4" t="str">
        <f t="shared" si="404"/>
        <v>ok</v>
      </c>
      <c r="DD244">
        <f t="shared" si="405"/>
        <v>16</v>
      </c>
      <c r="DE244" t="str">
        <f t="shared" si="406"/>
        <v>2P С16А 30мА</v>
      </c>
      <c r="DF244">
        <f t="shared" si="407"/>
        <v>30</v>
      </c>
      <c r="DG244">
        <f t="shared" si="408"/>
        <v>1</v>
      </c>
      <c r="DH244">
        <f t="shared" si="409"/>
        <v>0</v>
      </c>
      <c r="DI244">
        <f t="shared" si="410"/>
        <v>1.0939268258329751</v>
      </c>
      <c r="DJ244">
        <f t="shared" si="411"/>
        <v>1</v>
      </c>
      <c r="DK244">
        <f>IF(ISNUMBER(AL244),AL244,К_прокл)</f>
        <v>1</v>
      </c>
      <c r="DL244">
        <f t="shared" si="412"/>
        <v>2</v>
      </c>
      <c r="DM244">
        <f>IFERROR(N(VLOOKUP(BT244,Кабель_обозначение,3,FALSE)),1)</f>
        <v>1</v>
      </c>
      <c r="DN244">
        <f>IFERROR(N(_xlfn.XLOOKUP(A244,Щиты[Щит],Щиты[ΔU до шин, %])),0)</f>
        <v>1.19</v>
      </c>
      <c r="DO244" t="str">
        <f>IFERROR(_xlfn.XLOOKUP(A244,Щиты[Щит],Щиты[Zпетли на шинах, Ом]),"")</f>
        <v/>
      </c>
      <c r="DP244">
        <f>IFERROR(N(_xlfn.XLOOKUP(A244,Щиты[Щит],Щиты[ΔU до шин (подбор), %])),0)</f>
        <v>1.19</v>
      </c>
      <c r="DQ244" t="str">
        <f>IFERROR(_xlfn.XLOOKUP(A244,Щиты[Щит],Щиты[Zпетли на шинах (подбор), Ом]),"")</f>
        <v/>
      </c>
      <c r="DR244" t="str">
        <f t="shared" si="413"/>
        <v/>
      </c>
      <c r="DS244">
        <f t="shared" si="414"/>
        <v>13</v>
      </c>
      <c r="DT244">
        <f t="shared" si="415"/>
        <v>2</v>
      </c>
      <c r="DU244">
        <f t="shared" si="416"/>
        <v>0.31</v>
      </c>
      <c r="DV244" s="6">
        <f>IF(B244="","",IF(IFERROR(VLOOKUP(AX244,УГО_спр,2,FALSE),"")="Светильник",3,4)+IF(Методика="нормы 2026",MIN(0.5,MAX(0,N(Q244)-100)*0.005),0))</f>
        <v>4</v>
      </c>
      <c r="DW244" cm="1">
        <f t="array" ref="DW244">IF(OR(B244="",BT244="",DM244&lt;&gt;1),"",_xlfn.LET(_xlpm.sz,Iдоп_S,_xlpm.t_,CHOOSE(DL244,Iдоп_1ж,Iдоп_2ж,Iдоп_3ж)*DJ244*DK244,_xlpm.inn,N(DD244),_xlpm.smin,MAX(1.5,BW244),_xlpm.L_,N(Q244)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244)*(_xlpm.rho*_xlpm.L_/_xlpm.sz*N(BY244)+_xlpm.xx*_xlpm.L_*N(DU244)/1000)*N(P244)/((Uн_лин/SQRT(3))*1000)*100,999),_xlpm.kz,IF(OR(DG244=1,NOT(ISNUMBER(DQ244)),_xlpm.L_=0,_xlpm.inn=0),1,IFERROR(--(c_min*(Uн_лин*1000/SQRT(3))/(DQ244+2*ρкз_Cu*_xlpm.L_/_xlpm.sz)&gt;=GY244*_xlpm.inn),0)),_xlpm.ok,IFERROR((_xlpm.sz&gt;=_xlpm.smin)*(_xlpm.t_&gt;=_xlpm.inn)*IF(_xlpm.L_&gt;0,(_xlpm.du_+DP244&lt;=DV244+0.00001),1)*_xlpm.kz,0),_xlpm.r_,_xlfn._xlws.FILTER(_xlpm.sz,_xlpm.ok,"не подобрано"),INDEX(_xlpm.r_,1)))</f>
        <v>1.5</v>
      </c>
      <c r="DX244">
        <f t="shared" si="417"/>
        <v>2.5</v>
      </c>
      <c r="DY244" cm="1">
        <f t="array" ref="DY244">IF(OR(B244="",BT244="",DM244&lt;&gt;1),"",_xlfn.LET(_xlpm.sz,Iдоп_S,_xlpm.t_,CHOOSE(DL244,Iдоп_1ж,Iдоп_2ж,Iдоп_3ж)*DJ244*DK244,_xlpm.ok,IFERROR((_xlpm.sz&gt;=MAX(1.5,BW244))*(_xlpm.t_&gt;=N(DD244)),0),_xlpm.r_,_xlfn._xlws.FILTER(_xlpm.sz,_xlpm.ok,""),INDEX(_xlpm.r_,1)))</f>
        <v>1.5</v>
      </c>
      <c r="DZ244" s="6" cm="1">
        <f t="array" ref="DZ244">IFERROR(ROUNDUP(N(DT244)*(_xlfn.XLOOKUP(DY244,INDEX(Кабель_сопротивление,0,1),INDEX(Кабель_сопротивление,0,3))*N(Q244)/DY244*N(BY244)+_xlfn.XLOOKUP(DY244,INDEX(Кабель_сопротивление,0,1),INDEX(Кабель_сопротивление,0,2))*N(Q244)*N(DU244)/1000)*N(P244)/((Uн_лин/SQRT(3))*1000)*100,2),"")</f>
        <v>0.38</v>
      </c>
      <c r="EA244">
        <f>IFERROR(2*ρкз_Cu*N(Q244)/DY244,"")</f>
        <v>0.98186666666666678</v>
      </c>
      <c r="EB244">
        <f>IFERROR(VLOOKUP(DX244,Кабель_сопротивление,3,FALSE),"")</f>
        <v>2.2499999999999999E-2</v>
      </c>
      <c r="EC244">
        <f>IFERROR(VLOOKUP(DX244,Кабель_сопротивление,2,FALSE),"")</f>
        <v>0.1</v>
      </c>
      <c r="ED244">
        <f t="shared" si="418"/>
        <v>0</v>
      </c>
      <c r="EE244">
        <f t="shared" si="419"/>
        <v>23</v>
      </c>
      <c r="EF244">
        <f t="shared" si="420"/>
        <v>0.52567122117847453</v>
      </c>
      <c r="EG244" s="6">
        <f>IFERROR(ROUNDUP(EF244/((Uн_лин/SQRT(3))*1000)*100,2),"")</f>
        <v>0.23</v>
      </c>
      <c r="EH244" t="str">
        <f>IFERROR(VLOOKUP(BT244,Кабель_обозначение,2,FALSE),"")</f>
        <v>ВВГнг(А)-LS</v>
      </c>
      <c r="EI244" t="str">
        <f t="shared" si="421"/>
        <v>ВВГнг(А)-LS (3х2,5)</v>
      </c>
      <c r="EJ244" t="str">
        <f t="shared" si="422"/>
        <v>ВВГнг(А)-LS (3х2,5)
L=28-0,23%</v>
      </c>
      <c r="EK244">
        <f>IFERROR(2*ρкз_Cu*Q244/DX244,"")</f>
        <v>0.58912000000000009</v>
      </c>
      <c r="EL244">
        <f t="shared" si="423"/>
        <v>0.19600000000000001</v>
      </c>
      <c r="EM244" s="6" t="str">
        <f>IFERROR(IF(OR(B244="",NOT(ISNUMBER(DX244)),N(Q244)=0),"",_xlfn.XLOOKUP(A244,Щиты[Щит],Щиты[Zпетли на шинах, Ом])+EK244),"")</f>
        <v/>
      </c>
      <c r="EN244" s="6" t="str">
        <f>IF(ISNUMBER(EM244),c_min*(Uн_лин*1000/SQRT(3))/EM244,"")</f>
        <v/>
      </c>
      <c r="EO244" s="6" t="str">
        <f>IFERROR(IF(OR(B244="",NOT(ISNUMBER(DX244))),"",1.05*(Uн_лин*1000/SQRT(3))/(_xlfn.XLOOKUP(A244,Щиты[Щит],Щиты[Zmax на шинах, Ом])+EL244)/1000),"")</f>
        <v/>
      </c>
      <c r="EP244" s="6" t="str">
        <f>IF(B244="","",IF(ISNUMBER(Y244),"Сил",IF(IFERROR(_xlfn.XLOOKUP(AX244,Коды_код,Коды_группа)&amp;"","")="","Быт",_xlfn.XLOOKUP(AX244,Коды_код,Коды_группа)&amp;"")))</f>
        <v>Быт</v>
      </c>
      <c r="EQ244" s="6" t="str">
        <f t="shared" si="424"/>
        <v>Быт</v>
      </c>
      <c r="ER244" s="6">
        <f>IF(EQ244="Щит","щит",IF(EQ244="","",IF(EQ244="Быт",IFERROR(_xlfn.XLOOKUP(A244,Щиты[Щит],Щиты[Кс быт]),1),IF(EQ244="Сил",IF(ISNUMBER(Y244),Y244,IF(Методика="нормы 2026",IFERROR(_xlfn.XLOOKUP(A244,Щиты[Щит],Щиты[Кс силовых (табл. 7.5)]),1),1)),IF(OR(EQ244="Пост",EQ244="Отоп"),1,IF(EQ244="ВНГ",0.7,0))))))</f>
        <v>0.57830000000000004</v>
      </c>
      <c r="ES244">
        <f t="shared" si="425"/>
        <v>1</v>
      </c>
      <c r="ET244">
        <f t="shared" si="426"/>
        <v>0.24</v>
      </c>
      <c r="EU244">
        <f t="shared" si="427"/>
        <v>0.24</v>
      </c>
      <c r="EV244">
        <f t="shared" si="428"/>
        <v>0</v>
      </c>
      <c r="EW244">
        <f t="shared" si="429"/>
        <v>0</v>
      </c>
      <c r="EX244">
        <f t="shared" si="430"/>
        <v>0</v>
      </c>
      <c r="EY244">
        <f t="shared" si="431"/>
        <v>0</v>
      </c>
      <c r="EZ244">
        <f t="shared" si="432"/>
        <v>0.24</v>
      </c>
      <c r="FA244">
        <f t="shared" si="433"/>
        <v>0.22799999999999998</v>
      </c>
      <c r="FB244">
        <f t="shared" si="434"/>
        <v>0.24</v>
      </c>
      <c r="FC244" t="str">
        <f t="shared" si="435"/>
        <v/>
      </c>
      <c r="FD244" t="str">
        <f>IF(B244="","",IF(CA244=0,IF(AW244=1,"",FF243),IF(OR(N(CV244)&gt;=3,N(BR244)&gt;=3),"L1,L2,L3",IFERROR(_xlfn.TEXTBEFORE(_xlfn.TEXTAFTER(_xlfn.XLOOKUP(A244,Щиты[Щит],Щиты[_фазы авто]),";"&amp;AW244&amp;":"),";"),"L1"))))</f>
        <v>L1</v>
      </c>
      <c r="FE244" t="str">
        <f t="shared" si="436"/>
        <v>L1</v>
      </c>
      <c r="FF244" t="str">
        <f t="shared" si="437"/>
        <v>L1</v>
      </c>
      <c r="FG244" cm="1">
        <f t="array" ref="FG244">IFERROR(IF(BX244=2,_xlfn.IFS(BR244=3,VLOOKUP(BN244,Справочная_двигатели,3,FALSE),BR244=1,VLOOKUP(BN244,Справочная_двигатели,5,TRUE)),0),0)</f>
        <v>0</v>
      </c>
      <c r="FH244">
        <f>IFERROR(IF(BX244=3,VLOOKUP(BN244,Справочная_ЛЭД,2,TRUE),0),0)</f>
        <v>0</v>
      </c>
      <c r="FI244" s="6">
        <f t="shared" si="438"/>
        <v>0</v>
      </c>
      <c r="FJ244" t="str" cm="1">
        <f t="array" ref="FJ244">IF(B244="","",IFERROR(INDEX({"I особая","I","II","III"},MATCH(TRIM(AC244&amp;""),{"I особая","I","II","III"},0)),"III"))</f>
        <v>II</v>
      </c>
      <c r="FK244" t="str">
        <f>IF(B244="","",IF(TRIM(AD244&amp;"")&lt;&gt;"",IF(LOWER(TRIM(AD244&amp;""))="да","да","нет"),IF(IFERROR(_xlfn.XLOOKUP(AX244,Коды_код,Коды_пожарная),"")="да","да","нет")))</f>
        <v>нет</v>
      </c>
      <c r="FL244" t="str">
        <f t="shared" si="439"/>
        <v/>
      </c>
      <c r="FM244" t="str">
        <f t="shared" si="440"/>
        <v>основная</v>
      </c>
      <c r="FN244">
        <f t="shared" si="441"/>
        <v>1</v>
      </c>
      <c r="FO244" t="str" cm="1">
        <f t="array" ref="FO244">IF(B244="","",_xlfn.LET(_xlpm.t,IFERROR(_xlfn.XLOOKUP(1,(Шины[Шина]=FM244)*(((Шины[Щит]=A244)+(Шины[Щит]=""))&gt;0),Шины[Тип]),"")&amp;"",IF(_xlpm.t&lt;&gt;"",_xlpm.t,IF(ISNUMBER(SEARCH("ИБП",FM244)),"ИБП",IF(ISNUMBER(SEARCH("ДГУ",FM244)),"ДГУ","Ввод "&amp;FN244)))))</f>
        <v>Ввод 1</v>
      </c>
      <c r="FP244" t="str">
        <f t="shared" si="442"/>
        <v>Ввод 1</v>
      </c>
      <c r="FQ244" t="str">
        <f>IF(B244="","",IF(OR(FO244="ИБП",FO244="ДГУ"),"I особая",IF(FO244="Одиночная","III",_xlfn.XLOOKUP(A244,Щиты[Щит],Щиты[Категория шины «Ввод»],"III"))))</f>
        <v>II</v>
      </c>
      <c r="FR244">
        <f>IF(B244="",0,IFERROR(MATCH(FJ244,{"III","II","I","I особая"},0),1))</f>
        <v>2</v>
      </c>
      <c r="FS244">
        <f t="shared" si="443"/>
        <v>2</v>
      </c>
      <c r="FT244" t="str">
        <f>IF(B244="","",IF(FR244&gt;IFERROR(MATCH(FQ244,{"III","II","I","I особая"},0),1),"НЕ ОБЕСПЕЧЕНА","ОК"))</f>
        <v>ОК</v>
      </c>
      <c r="FU244" t="str">
        <f>IF(A244="","",_xlfn.XLOOKUP(A244,Щиты[Щит],Щиты[Путь],""))</f>
        <v>|ГРЩ-ЖД|ЩР-1|</v>
      </c>
      <c r="FV244" t="str">
        <f>IF(B244="","",IF(AE244&lt;&gt;"",AE244,IF(IFERROR(_xlfn.XLOOKUP(AX244,Коды_код,Коды_вид)&amp;"","")="","Прочее",_xlfn.XLOOKUP(AX244,Коды_код,Коды_вид)&amp;"")))</f>
        <v>Розеточная сеть и бытовые приборы</v>
      </c>
      <c r="FW244">
        <f>IF(BH244="","",INT((BH244-1)/Столбцов_на_лист)+1)</f>
        <v>3</v>
      </c>
      <c r="FX244" t="str">
        <f t="shared" si="444"/>
        <v>ВВГнг(А)-LS (3х2,5) L=28-0,23%</v>
      </c>
      <c r="FY244">
        <f t="shared" si="445"/>
        <v>0.24</v>
      </c>
      <c r="FZ244">
        <f t="shared" si="446"/>
        <v>1.1000000000000001</v>
      </c>
      <c r="GA244">
        <f t="shared" si="447"/>
        <v>1</v>
      </c>
      <c r="GB244">
        <f t="shared" si="448"/>
        <v>0</v>
      </c>
      <c r="GC244">
        <f t="shared" si="449"/>
        <v>1</v>
      </c>
      <c r="GD244">
        <f>IF(BH244="","",IF(AND(CA244=1,GC244=1),COUNTIFS(A$3:A244,A244,CA$3:CA244,1,GC$3:GC244,1),IF(OR(OR(AW244=1,A244&lt;&gt;A243),AF244="вручную",GC244=0),"",IF(AW244=1,"",GE243))))</f>
        <v>20</v>
      </c>
      <c r="GE244">
        <f t="shared" si="450"/>
        <v>20</v>
      </c>
      <c r="GF244">
        <f>IF(B244="","",IFERROR(LOOKUP(INDEX(CHOOSE(DL244,Iдоп_1ж,Iдоп_2ж,Iдоп_3ж),MATCH(DX244,Iдоп_S,0))*DJ244*DK244,{6,10,16,20,25,32,40,50,63,80,100,125,160,200,250,315,400,500,630}),""))</f>
        <v>25</v>
      </c>
      <c r="GG244" t="str">
        <f t="shared" si="451"/>
        <v>QFD20</v>
      </c>
      <c r="GH244" t="str">
        <f t="shared" si="452"/>
        <v>QFD20</v>
      </c>
      <c r="GI244" t="str">
        <f t="shared" si="453"/>
        <v/>
      </c>
      <c r="GJ244">
        <f t="shared" si="454"/>
        <v>0</v>
      </c>
      <c r="GK244" t="str">
        <f>IF(OR(AG244="",AG244="-"),"",IFERROR(VLOOKUP(AG244,Модули_спр,2,FALSE),"R"))</f>
        <v/>
      </c>
      <c r="GL244" t="str">
        <f>IF(GK244="","",GK244&amp;"."&amp;COUNTIFS(A$3:A244,A244,GK$3:GK244,GK244))</f>
        <v/>
      </c>
      <c r="GM244" t="str">
        <f t="shared" si="455"/>
        <v/>
      </c>
      <c r="GN244" t="str">
        <f t="shared" si="456"/>
        <v/>
      </c>
      <c r="GO244" t="str">
        <f t="shared" si="457"/>
        <v/>
      </c>
      <c r="GP244" t="str">
        <f t="shared" si="458"/>
        <v/>
      </c>
      <c r="GQ244">
        <f t="shared" si="459"/>
        <v>1</v>
      </c>
      <c r="GR244" t="str">
        <f>IF(GQ244=1,"XT"&amp;COUNTIFS(A$3:A244,A244,GQ$3:GQ244,1),"")</f>
        <v>XT20</v>
      </c>
      <c r="GS244" t="str">
        <f t="shared" si="460"/>
        <v/>
      </c>
      <c r="GT244" t="str">
        <f t="shared" si="461"/>
        <v>QFD20</v>
      </c>
      <c r="GU244" t="str">
        <f t="shared" si="462"/>
        <v/>
      </c>
      <c r="GV244" t="str">
        <f t="shared" si="463"/>
        <v>ok</v>
      </c>
      <c r="GW244" t="str">
        <f>IF(OR(GO244="",GM244=""),"",IF(GO244&gt;IFERROR(VLOOKUP(GN244,Модули_спр,3,FALSE),99),"ЛИШНИЙ КАНАЛ",IF(AND(AH244&lt;&gt;"=",COUNTIFS(Линии[_модуль гр.],GM244,Линии[Канал (итог)],GO244,Линии[Канал],"&lt;&gt;=",Линии[Щит],A244)&gt;1),"ДУБЛЬ КАНАЛА","")))</f>
        <v/>
      </c>
      <c r="GX244" s="6" t="str">
        <f t="shared" si="464"/>
        <v/>
      </c>
      <c r="GY244">
        <f t="shared" si="465"/>
        <v>10</v>
      </c>
      <c r="GZ244" t="str">
        <f t="shared" si="466"/>
        <v/>
      </c>
      <c r="HA244" t="str">
        <f>IF(AND(B244="",GT244=""),"",_xlfn.TEXTJOIN("; ",TRUE,IF(AND(B244&lt;&gt;"",FE244=""),"нет фазы",""),IF(AND(B244&lt;&gt;"",N(FY244)=0,EQ244&lt;&gt;"Нет"),"нет мощности",""),IF(AND(GS244&lt;&gt;"",COUNTIFS(Линии[Щит],A244,Линии[Клемма (итог)],GS244)&gt;1),"дубль клеммы "&amp;GS244,""),IF(AND(GV244&lt;&gt;"",GV244&lt;&gt;"ok"),GV244,""),IF(GW244&lt;&gt;"",GW244,""),IF(AND(N(BV244)&gt;=4,N(BR244)=1),BV244&amp;" жил на 1 фазе",""),IF(AND(AX244="R",CA244=1,OR(N(CK244)=0,N(CK244)&gt;30)),"розетка без дифзащиты до 30 мА",""),IFERROR(IF(AND(ISNUMBER(R244),R244&gt;DV244),"потери "&amp;FIXED(R244,1)&amp;" % &gt; "&amp;DV244&amp;" %",""),""),IFERROR(IF(LEFT(GZ244,4)="мало","Iкз мало — отключение &gt; 0,4 с",""),""),IF(AND(B244&lt;&gt;"",BH244=""),"не на схеме",""),IF(AND(CA244=0,B244&lt;&gt;"",FE244&lt;&gt;"",IF(AW244=1,"",FF243)&lt;&gt;"",FE244&lt;&gt;IF(AW244=1,"",FF243)),"фаза не как у автомата группы ("&amp;IF(AW244=1,"",FF243)&amp;")","")))</f>
        <v/>
      </c>
      <c r="HB244" s="6">
        <f>IF(OR(CA244=0,DA244=""),"",_xlfn.LET(_xlpm.t,IFERROR(_xlfn.XLOOKUP(DA244,Каталог!$U$4:$U$500,Каталог!$G$4:$G$500),""),_xlpm.k,SEARCH("кА",_xlpm.t),IFERROR(--TRIM(RIGHT(SUBSTITUTE(MID(_xlpm.t,MAX(1,_xlpm.k-4),_xlpm.k-MAX(1,_xlpm.k-4))," ",REPT(" ",9)),5)),"")))</f>
        <v>6</v>
      </c>
      <c r="HC244" t="str">
        <f>IF(OR(HB244="",CA244=0),"",IF(_xlfn.XLOOKUP(A244,Щиты[Щит],Щиты[Iкз max на шинах, кА],"")="","",IF(HB244&lt;_xlfn.XLOOKUP(A244,Щиты[Щит],Щиты[Iкз max на шинах, кА]),"Icu "&amp;HB244&amp;" кА &lt; Iкз max","ok")))</f>
        <v/>
      </c>
      <c r="HD244" t="str">
        <f t="shared" si="467"/>
        <v/>
      </c>
      <c r="HE244" t="str">
        <f t="shared" si="468"/>
        <v>QFD20</v>
      </c>
      <c r="HF244" t="str">
        <f t="shared" si="469"/>
        <v>QFD20|кабель ВВГнг(А)-LS (3х2,5) → Розеточная группа, пом. 003Б</v>
      </c>
      <c r="HG244" t="str" cm="1">
        <f t="array" ref="HG244">IF(HF244="","",_xlfn.LET(_xlpm.nd,_xlfn.TEXTSPLIT(HF244,"|"),IF(COLUMNS(_xlpm.nd)&gt;1,A244&amp;"¦"&amp;INDEX(_xlpm.nd,1)&amp;"¦"&amp;INDEX(_xlpm.nd,2),"")))</f>
        <v>ЩР-1¦QFD20¦кабель ВВГнг(А)-LS (3х2,5) → Розеточная группа, пом. 003Б</v>
      </c>
      <c r="HH244" t="str">
        <f t="shared" si="470"/>
        <v>R.1.003Б.1¦Розеточная группа, пом. 003Б</v>
      </c>
      <c r="HI244" t="str" cm="1">
        <f t="array" ref="HI244">IF(HF244="","",_xlfn.LET(_xlpm.nd,_xlfn.TEXTSPLIT(HF244,"|"),IF(COLUMNS(_xlpm.nd)&gt;2,A244&amp;"¦"&amp;INDEX(_xlpm.nd,2)&amp;"¦"&amp;INDEX(_xlpm.nd,3),"")))</f>
        <v/>
      </c>
      <c r="HJ244" t="str">
        <f t="shared" si="471"/>
        <v/>
      </c>
      <c r="HK244" t="str" cm="1">
        <f t="array" ref="HK244">IF(HF244="","",_xlfn.LET(_xlpm.nd,_xlfn.TEXTSPLIT(HF244,"|"),IF(COLUMNS(_xlpm.nd)&gt;3,A244&amp;"¦"&amp;INDEX(_xlpm.nd,3)&amp;"¦"&amp;INDEX(_xlpm.nd,4),"")))</f>
        <v/>
      </c>
      <c r="HL244" t="str">
        <f t="shared" si="472"/>
        <v/>
      </c>
      <c r="HM244" t="str" cm="1">
        <f t="array" ref="HM244">IF(HF244="","",_xlfn.LET(_xlpm.nd,_xlfn.TEXTSPLIT(HF244,"|"),IF(COLUMNS(_xlpm.nd)&gt;4,A244&amp;"¦"&amp;INDEX(_xlpm.nd,4)&amp;"¦"&amp;INDEX(_xlpm.nd,5),"")))</f>
        <v/>
      </c>
      <c r="HN244" t="str">
        <f t="shared" si="473"/>
        <v/>
      </c>
      <c r="HO244" t="str" cm="1">
        <f t="array" ref="HO244">IF(HF244="","",_xlfn.LET(_xlpm.nd,_xlfn.TEXTSPLIT(HF244,"|"),IF(COLUMNS(_xlpm.nd)&gt;5,A244&amp;"¦"&amp;INDEX(_xlpm.nd,5)&amp;"¦"&amp;INDEX(_xlpm.nd,6),"")))</f>
        <v/>
      </c>
      <c r="HP244" t="str">
        <f t="shared" si="474"/>
        <v/>
      </c>
      <c r="HQ244" t="str" cm="1">
        <f t="array" ref="HQ244">IF(HF244="","",_xlfn.LET(_xlpm.nd,_xlfn.TEXTSPLIT(HF244,"|"),IF(COLUMNS(_xlpm.nd)&gt;6,A244&amp;"¦"&amp;INDEX(_xlpm.nd,6)&amp;"¦"&amp;INDEX(_xlpm.nd,7),"")))</f>
        <v/>
      </c>
      <c r="HR244" t="str">
        <f t="shared" si="475"/>
        <v/>
      </c>
      <c r="HS244" t="str">
        <f t="shared" si="476"/>
        <v/>
      </c>
      <c r="HT244" t="str">
        <f t="shared" si="477"/>
        <v>QFD20</v>
      </c>
      <c r="HU244">
        <f t="shared" si="478"/>
        <v>0</v>
      </c>
      <c r="HV244">
        <f t="shared" si="479"/>
        <v>1</v>
      </c>
      <c r="HW244" t="str">
        <f t="shared" si="480"/>
        <v/>
      </c>
      <c r="HX244" t="str">
        <f t="shared" si="481"/>
        <v/>
      </c>
      <c r="HY244" t="str">
        <f t="shared" si="482"/>
        <v/>
      </c>
      <c r="HZ244" t="str">
        <f t="shared" si="483"/>
        <v/>
      </c>
      <c r="IA244" t="str">
        <f>IF(B244="","",IFERROR(VLOOKUP(B244,УГО_спр,2,FALSE),IFERROR(VLOOKUP(AX244,УГО_спр,2,FALSE),IFERROR(VLOOKUP(LEFT(AX244,2),УГО_спр,2,FALSE),""))))</f>
        <v>Розетка</v>
      </c>
      <c r="IB244" t="str">
        <f>IF(B244="","",IF(OR(IA244="",IA244=0),"BOX",IFERROR(IF(VLOOKUP(IA244,УГО_блоки,3,FALSE)&amp;""&lt;&gt;"",VLOOKUP(IA244,УГО_блоки,3,FALSE),VLOOKUP(IA244,УГО_блоки,2,FALSE)),IA244)))</f>
        <v>SOCKET</v>
      </c>
      <c r="IC244">
        <f t="shared" si="484"/>
        <v>1</v>
      </c>
      <c r="ID244" t="str">
        <f>IF(DA244="","",IF(COUNTIF(DA$3:DA244,DA244)=1,MAX(ID$2:ID243)+1,""))</f>
        <v/>
      </c>
      <c r="IE244" t="str">
        <f>IF(CO244="","",IF(COUNTIF(CO$3:CO244,CO244)+COUNTIF(CP$2:CP243,CO244)+COUNTIF(CQ$2:CQ243,CO244)=1,MAX(IE$2:IG243)+1,""))</f>
        <v/>
      </c>
      <c r="IF244" t="str">
        <f>IF(CP244="","",IF(COUNTIF(CO$3:CO244,CP244)+COUNTIF(CP$3:CP244,CP244)+COUNTIF(CQ$2:CQ243,CP244)=1,MAX(IE$2:IG243,IE244)+1,""))</f>
        <v/>
      </c>
      <c r="IG244" t="str">
        <f>IF(CQ244="","",IF(COUNTIF(CO$3:CO244,CQ244)+COUNTIF(CP$3:CP244,CQ244)+COUNTIF(CQ$3:CQ244,CQ244)=1,MAX(IE$2:IG243,IE244,IF244)+1,""))</f>
        <v/>
      </c>
      <c r="IH244" t="str">
        <f t="shared" si="485"/>
        <v>3х2,5</v>
      </c>
      <c r="II244" t="str">
        <f>IF(IH244="","",IF(COUNTIF(IH$3:IH244,IH244)=1,MAX(II$2:II243)+1,""))</f>
        <v/>
      </c>
      <c r="IJ244" t="str">
        <f>IF(GL244="","",COUNTIF(GL$3:GL244,"?*"))</f>
        <v/>
      </c>
      <c r="IK244" t="str">
        <f>IF(OR(GL244="",GN244=""),"",IF(COUNTIFS(GL$3:GL244,"?*",GN$3:GN244,GN244)=1,MAX(IK$2:IK243)+1,""))</f>
        <v/>
      </c>
      <c r="IL244">
        <f t="shared" si="486"/>
        <v>0</v>
      </c>
      <c r="IM244">
        <f>IF(B244="","",COUNTIF(B$3:B244,"?*"))</f>
        <v>242</v>
      </c>
      <c r="IN244">
        <f>IF(GQ244&lt;&gt;1,0,_xlfn.LET(_xlpm.k,MAX(IFERROR(--VLOOKUP(B244,УГО_спр,5,FALSE),0),IFERROR(--VLOOKUP(AX244,УГО_спр,5,FALSE),0),IFERROR(--VLOOKUP(LEFT(AX244,2),УГО_спр,5,FALSE),0)),IF(_xlpm.k&gt;0,_xlpm.k,IF(IFERROR(--LEFT(SUBSTITUTE(IH244,"x","х"),FIND("х",SUBSTITUTE(IH244,"x","х"))-1),3)&gt;3,Каталог!$S$9,1))))</f>
        <v>1</v>
      </c>
      <c r="IO244">
        <f t="shared" si="487"/>
        <v>0</v>
      </c>
      <c r="IP244" t="str">
        <f t="shared" si="488"/>
        <v>авто</v>
      </c>
      <c r="IQ244">
        <f t="shared" si="489"/>
        <v>30</v>
      </c>
      <c r="IR244">
        <f t="shared" si="490"/>
        <v>1</v>
      </c>
      <c r="IS244">
        <f t="shared" si="491"/>
        <v>1</v>
      </c>
    </row>
    <row r="245" spans="1:253" x14ac:dyDescent="0.3">
      <c r="A245" t="s">
        <v>759</v>
      </c>
      <c r="B245" t="s">
        <v>1510</v>
      </c>
      <c r="C245" t="str">
        <f>Линии[[#This Row],[_авто наименование]]</f>
        <v>Розеточная группа, пом. 003Б</v>
      </c>
      <c r="D245">
        <v>1</v>
      </c>
      <c r="E245">
        <v>0.12</v>
      </c>
      <c r="G245" t="str">
        <f>Линии[[#This Row],[_авто автомат]]</f>
        <v>2P С16А 30мА</v>
      </c>
      <c r="H245">
        <f>Линии[[#This Row],[_авто утечка]]</f>
        <v>30</v>
      </c>
      <c r="I245" t="str">
        <f>Линии[[#This Row],[_авто управление]]</f>
        <v/>
      </c>
      <c r="J245" t="str">
        <f>Линии[[#This Row],[_авто аппараты]]</f>
        <v/>
      </c>
      <c r="K245">
        <v>2.5</v>
      </c>
      <c r="L245">
        <v>10</v>
      </c>
      <c r="M245" t="str">
        <f>Линии[[#This Row],[_авто фаза]]</f>
        <v>L2</v>
      </c>
      <c r="N245" t="s">
        <v>486</v>
      </c>
      <c r="O245" t="str">
        <f t="shared" si="369"/>
        <v/>
      </c>
      <c r="P245" s="6" cm="1">
        <f t="array" ref="P245">IF(B245="","",IF(BC245&lt;&gt;"",IFERROR(_xlfn.XLOOKUP(BC245,Щиты[Щит],Щиты[Iр, А]),""),IF(BK245=1,IFERROR(_xlfn.XLOOKUP(A245,Щиты[Щит],Щиты[Iр, А]),""),IFERROR(_xlfn.IFS(BR245=1,BN245/((Uн_лин/SQRT(3))*BY245),BR245=3,BN245/(SQRT(3)*Uн_лин*BY245)),""))))</f>
        <v>0.54696341291648753</v>
      </c>
      <c r="Q245" s="7">
        <f>IF(B245="","",IFERROR(IF(VLOOKUP(AX245,Потребители_обозначение,4,FALSE)=1,VLOOKUP(AX245,Потребители_обозначение,3,FALSE)*(D245*2-1)+DS245+VLOOKUP(AZ245,Этаж_обозначение,3,FALSE)+VLOOKUP(AZ245,Этаж_обозначение,4,FALSE),VLOOKUP(AX245,Потребители_обозначение,3,FALSE)*(D245*2-1)+DS245),DS245))</f>
        <v>13</v>
      </c>
      <c r="R245" s="6">
        <f t="shared" si="370"/>
        <v>1.25</v>
      </c>
      <c r="S245" t="str">
        <f t="shared" si="371"/>
        <v>ВВГнг(А)-LS (3х2,5)</v>
      </c>
      <c r="T245" t="str">
        <f>IF(BH245="","",IF(BI245="вводной узел","узел ","")&amp;"л."&amp;(INT((BH245-1)/Столбцов_на_лист)+1)&amp;" / "&amp;(MOD(BH245-1,Столбцов_на_лист)+1))</f>
        <v>л.3 / 6</v>
      </c>
      <c r="V245">
        <v>1</v>
      </c>
      <c r="W245">
        <v>230</v>
      </c>
      <c r="X245" t="s">
        <v>564</v>
      </c>
      <c r="AC245" t="s">
        <v>815</v>
      </c>
      <c r="AE245" t="s">
        <v>563</v>
      </c>
      <c r="AI245">
        <v>40</v>
      </c>
      <c r="AJ245" t="s">
        <v>11</v>
      </c>
      <c r="AK245">
        <v>3</v>
      </c>
      <c r="AM245">
        <v>0</v>
      </c>
      <c r="AN245">
        <v>0</v>
      </c>
      <c r="AO245">
        <v>8</v>
      </c>
      <c r="AW245" cm="1">
        <f t="array" ref="AW245">ROW()-ROW(Линии[#Headers])</f>
        <v>243</v>
      </c>
      <c r="AX245" s="6" t="str">
        <f t="shared" si="372"/>
        <v>R</v>
      </c>
      <c r="AY245" t="str">
        <f t="shared" si="373"/>
        <v>1.003Б.2</v>
      </c>
      <c r="AZ245" t="str">
        <f t="shared" si="374"/>
        <v>1</v>
      </c>
      <c r="BA245" t="str">
        <f t="shared" si="375"/>
        <v>003Б.2</v>
      </c>
      <c r="BB245" t="str">
        <f t="shared" si="376"/>
        <v>003Б</v>
      </c>
      <c r="BC245" t="str">
        <f>IF(U245&lt;&gt;"",U245,IF(AND(B245&lt;&gt;"",B245&lt;&gt;A245,ISNUMBER(_xlfn.XMATCH(B245,Щиты[Щит]))),B245,""))</f>
        <v/>
      </c>
      <c r="BD245" t="str" cm="1">
        <f t="array" ref="BD245">IF(B245="","",IF(BC245&lt;&gt;"","Щит "&amp;BC245,_xlfn.LET(_xlpm.nm,IFERROR(_xlfn.XLOOKUP(AX245,Коды_код,Коды_имя)&amp;"",""),_xlpm.md,IFERROR(N(_xlfn.XLOOKUP(AX245,Коды_код,Коды_режим)),1),_xlpm.ex,IF(Имя_режим="по экспликации",IFERROR(_xlfn.XLOOKUP(AZ245&amp;"|"&amp;BB245,Экспликация[Этаж]&amp;"|"&amp;Экспликация[Помещение],Экспликация[Название])&amp;"",""),""),_xlpm.rm,IF(BB245="","",IF(_xlpm.ex&lt;&gt;"",". "&amp;_xlpm.ex&amp;IF(Имя_пом="нет"," ("&amp;BB245&amp;")"," (пом. "&amp;BB245&amp;")"),IF(Имя_пом="нет"," ",", пом. ")&amp;BB245)),IF(_xlpm.nm="","",IF(_xlpm.md=2,_xlpm.nm&amp;" шлейф "&amp;AZ245,_xlpm.nm&amp;_xlpm.rm)))))</f>
        <v>Розеточная группа, пом. 003Б</v>
      </c>
      <c r="BE245" t="str">
        <f t="shared" si="377"/>
        <v>Розеточная группа, пом. 003Б</v>
      </c>
      <c r="BF245">
        <f>IFERROR(_xlfn.XMATCH(A245,Щиты[Щит]),0)</f>
        <v>10</v>
      </c>
      <c r="BG245">
        <f>_xlfn.LET(_xlpm.k,IFERROR(_xlfn.XLOOKUP(A245,Щиты[Щит],Щиты[Листов под вводной узел]),""),IF(_xlpm.k="",1,N(_xlpm.k))*Столбцов_на_лист)</f>
        <v>17</v>
      </c>
      <c r="BH245">
        <f t="shared" si="378"/>
        <v>40</v>
      </c>
      <c r="BI245" t="str">
        <f t="shared" si="379"/>
        <v>линии</v>
      </c>
      <c r="BJ245" s="6">
        <f>IFERROR(N(_xlfn.XLOOKUP(AX245,Коды_код,Коды_квт)),0)</f>
        <v>0</v>
      </c>
      <c r="BK245">
        <f t="shared" si="380"/>
        <v>0</v>
      </c>
      <c r="BL245" t="str">
        <f>IF(B245="","",IF(BC245&lt;&gt;"",IFERROR(_xlfn.XLOOKUP(BC245,Щиты[Щит],Щиты[Руст, кВт]),0),IF(BK245=1,IFERROR(_xlfn.XLOOKUP(A245,Щиты[Щит],Щиты[Руст, кВт]),0),IF(BJ245&gt;0,ROUND(BJ245*MAX(1,N(D245)),3),""))))</f>
        <v/>
      </c>
      <c r="BM245">
        <f t="shared" si="381"/>
        <v>0.12</v>
      </c>
      <c r="BN245" s="6">
        <f>IF(B245="","",IF(BC245&lt;&gt;"",IFERROR(_xlfn.XLOOKUP(BC245,Щиты[Щит],Щиты[Руст, кВт]),0),N(BM245)))</f>
        <v>0.12</v>
      </c>
      <c r="BO245" t="str">
        <f>IF(B245="","",IFERROR(IF(VLOOKUP(AX245,Потребители_обозначение,8,FALSE)=0,"",VLOOKUP(AX245,Потребители_обозначение,8,FALSE)),""))</f>
        <v/>
      </c>
      <c r="BP245">
        <f t="shared" si="382"/>
        <v>230</v>
      </c>
      <c r="BQ245">
        <f>IF(B245="","",IF(BC245&lt;&gt;"",3,IFERROR(IF(N(VLOOKUP(AX245,Потребители_обозначение,9,FALSE))=0,1,VLOOKUP(AX245,Потребители_обозначение,9,FALSE)),1)))</f>
        <v>1</v>
      </c>
      <c r="BR245">
        <f t="shared" si="383"/>
        <v>1</v>
      </c>
      <c r="BS245" t="str">
        <f>IF(B245="","",_xlfn.LET(_xlpm.bc,IFERROR(IF(VLOOKUP(AX245,Потребители_обозначение,6,FALSE)=0,"",VLOOKUP(AX245,Потребители_обозначение,6,FALSE)&amp;""),""),IF(AND(FK245="да",OR(_xlpm.bc="",_xlpm.bc="мс")),Марка_пож,IF(AND(_xlpm.bc="",BC245&lt;&gt;""),"мс",_xlpm.bc))))</f>
        <v/>
      </c>
      <c r="BT245" t="str">
        <f t="shared" si="384"/>
        <v>мс</v>
      </c>
      <c r="BU245">
        <f>IF(B245="","",_xlfn.LET(_xlpm.cc,IFERROR(N(VLOOKUP(AX245,Потребители_обозначение,7,FALSE)),0),IF(_xlpm.cc&gt;0,_xlpm.cc,IF(BT245="","",IF(N(BR245)=3,5,3)))))</f>
        <v>3</v>
      </c>
      <c r="BV245">
        <f t="shared" si="385"/>
        <v>3</v>
      </c>
      <c r="BW245">
        <f>IFERROR(N(VLOOKUP(AX245,Потребители_обозначение,10,FALSE)),0)</f>
        <v>0</v>
      </c>
      <c r="BX245">
        <f>IFERROR(VLOOKUP(AX245,Потребители_обозначение,5,FALSE),0)</f>
        <v>1</v>
      </c>
      <c r="BY245" s="6" cm="1">
        <f t="array" ref="BY245">IF(B245="","",IF(BC245&lt;&gt;"",IFERROR(_xlfn.XLOOKUP(BC245,Щиты[Щит],Щиты[cos φ]),0.95),IF(BK245=1,IFERROR(_xlfn.XLOOKUP(A245,Щиты[Щит],Щиты[cos φ]),0.95),IF(ISNUMBER(Z245),Z245,IFERROR(IF(BX245=2,_xlfn.IFS(BR245=3,VLOOKUP(BN245,Справочная_двигатели,8,FALSE),BR245=1,VLOOKUP(BN245,Справочная_двигатели,10,TRUE)),IF(AND(Методика="нормы 2026",EQ245="Сил"),0.8,0.95)),0.95)))))</f>
        <v>0.95</v>
      </c>
      <c r="BZ245">
        <f t="shared" si="386"/>
        <v>0</v>
      </c>
      <c r="CA245">
        <f t="shared" si="387"/>
        <v>1</v>
      </c>
      <c r="CB245">
        <f t="shared" si="388"/>
        <v>0</v>
      </c>
      <c r="CC245">
        <f t="shared" si="389"/>
        <v>0</v>
      </c>
      <c r="CD245">
        <f t="shared" si="390"/>
        <v>0</v>
      </c>
      <c r="CE245">
        <f t="shared" si="391"/>
        <v>0</v>
      </c>
      <c r="CF245">
        <f t="shared" si="392"/>
        <v>0</v>
      </c>
      <c r="CG245">
        <f>IF(AX245="",0,_xlfn.LET(_xlpm.v,IFERROR(VLOOKUP(B245,УГО_спр,3,FALSE),IFERROR(VLOOKUP(AX245,УГО_спр,3,FALSE),IFERROR(VLOOKUP(LEFT(AX245,2),УГО_спр,3,FALSE),""))),IF(_xlpm.v="да",30,IF(ISNUMBER(_xlpm.v),_xlpm.v,0))))</f>
        <v>30</v>
      </c>
      <c r="CH245">
        <f t="shared" si="393"/>
        <v>30</v>
      </c>
      <c r="CI245" t="str">
        <f>_xlfn.LET(_xlpm.k,IFERROR(_xlfn.XLOOKUP(AX245,Коды_код,Коды_утечка)&amp;"",""),IF(_xlpm.k="","дифавтомат",_xlpm.k))</f>
        <v>дифавтомат</v>
      </c>
      <c r="CJ245">
        <f t="shared" si="394"/>
        <v>30</v>
      </c>
      <c r="CK245">
        <f t="shared" si="395"/>
        <v>30</v>
      </c>
      <c r="CL245">
        <f>IF(B245="",0,IFERROR(--VLOOKUP(B245,УГО_спр,4,FALSE),IFERROR(--VLOOKUP(AX245,УГО_спр,4,FALSE),IFERROR(--VLOOKUP(LEFT(AX245,2),УГО_спр,4,FALSE),0))))</f>
        <v>16</v>
      </c>
      <c r="CM245" t="str">
        <f>IF(B245="","",IFERROR(_xlfn.XLOOKUP(AX245,Коды_код,Коды_апп)&amp;"",""))</f>
        <v/>
      </c>
      <c r="CN245" t="str">
        <f t="shared" si="396"/>
        <v/>
      </c>
      <c r="CO245" t="str" cm="1">
        <f t="array" ref="CO245">IF(TRIM(CN245&amp;"")="","",IFERROR(TRIM(INDEX(_xlfn.TEXTSPLIT(CN245&amp;";;;",";"),1)),""))</f>
        <v/>
      </c>
      <c r="CP245" t="str" cm="1">
        <f t="array" ref="CP245">IF(TRIM(CN245&amp;"")="","",IFERROR(TRIM(INDEX(_xlfn.TEXTSPLIT(CN245&amp;";;;",";"),2)),""))</f>
        <v/>
      </c>
      <c r="CQ245" t="str" cm="1">
        <f t="array" ref="CQ245">IF(TRIM(CN245&amp;"")="","",IFERROR(TRIM(INDEX(_xlfn.TEXTSPLIT(CN245&amp;";;;",";"),3)),""))</f>
        <v/>
      </c>
      <c r="CR245">
        <f t="shared" si="397"/>
        <v>0</v>
      </c>
      <c r="CS245" t="str">
        <f>IF(B245="","",_xlfn.LET(_xlpm.t,LOWER(AV245&amp;""),IF(ISNUMBER(SEARCH("dim",_xlpm.t)),"DIM",IF(ISNUMBER(SEARCH("dali",_xlpm.t)),"DALI",IF(OR(ISNUMBER(SEARCH("relay",_xlpm.t)),ISNUMBER(SEARCH("реле",_xlpm.t))),"Relay",IF(ISNUMBER(SEARCH("кнопк",_xlpm.t)),"",IFERROR(_xlfn.XLOOKUP(AX245,Коды_код,Коды_упр)&amp;"","")))))))</f>
        <v/>
      </c>
      <c r="CT245" t="str">
        <f t="shared" si="398"/>
        <v/>
      </c>
      <c r="CU245">
        <f>IF(B245="","",_xlfn.LET(_xlpm.ig,N(P245)+IF(AF245="вручную",0,N(CB245)),_xlpm.n0,IFERROR(VLOOKUP(_xlpm.ig,Автомат_номиналы,2,TRUE),0),_xlpm.mn,MAX(CL245,IF(AF245="вручную",0,N(CE245))),MAX(_xlpm.n0,_xlpm.mn,IF(CR245=1,Мин_автомат_БП,0))))</f>
        <v>16</v>
      </c>
      <c r="CV245">
        <f t="shared" si="399"/>
        <v>1</v>
      </c>
      <c r="CW245" t="str">
        <f t="shared" si="400"/>
        <v>2P</v>
      </c>
      <c r="CX245" t="str">
        <f>_xlfn.LET(_xlpm.cc,UPPER(TRIM(IFERROR(_xlfn.XLOOKUP(AX245,Коды_код,Коды_хар)&amp;"",""))),IF(OR(_xlpm.cc="B",_xlpm.cc="В"),"B",IF(_xlpm.cc="D","D","С")))</f>
        <v>С</v>
      </c>
      <c r="CY245" t="str">
        <f t="shared" si="401"/>
        <v>2P С16А 30мА</v>
      </c>
      <c r="CZ245" t="str">
        <f t="shared" si="402"/>
        <v>2P С16А 30мА</v>
      </c>
      <c r="DA245" t="str">
        <f t="shared" si="403"/>
        <v>2P С16А 30мА</v>
      </c>
      <c r="DB245" cm="1">
        <f t="array" ref="DB245">IF(DA245="","",_xlfn.LET(_xlpm.t,SUBSTITUTE(SUBSTITUTE(SUBSTITUTE(UPPER(DA245),"С","C"),"А","A"),"В","B"),_xlpm.tk,_xlfn.TEXTSPLIT(_xlpm.t,"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5" t="str">
        <f t="shared" si="404"/>
        <v>ok</v>
      </c>
      <c r="DD245">
        <f t="shared" si="405"/>
        <v>16</v>
      </c>
      <c r="DE245" t="str">
        <f t="shared" si="406"/>
        <v>2P С16А 30мА</v>
      </c>
      <c r="DF245">
        <f t="shared" si="407"/>
        <v>30</v>
      </c>
      <c r="DG245">
        <f t="shared" si="408"/>
        <v>1</v>
      </c>
      <c r="DH245">
        <f t="shared" si="409"/>
        <v>0</v>
      </c>
      <c r="DI245">
        <f t="shared" si="410"/>
        <v>0.54696341291648753</v>
      </c>
      <c r="DJ245">
        <f t="shared" si="411"/>
        <v>1</v>
      </c>
      <c r="DK245">
        <f>IF(ISNUMBER(AL245),AL245,К_прокл)</f>
        <v>1</v>
      </c>
      <c r="DL245">
        <f t="shared" si="412"/>
        <v>2</v>
      </c>
      <c r="DM245">
        <f>IFERROR(N(VLOOKUP(BT245,Кабель_обозначение,3,FALSE)),1)</f>
        <v>1</v>
      </c>
      <c r="DN245">
        <f>IFERROR(N(_xlfn.XLOOKUP(A245,Щиты[Щит],Щиты[ΔU до шин, %])),0)</f>
        <v>1.19</v>
      </c>
      <c r="DO245" t="str">
        <f>IFERROR(_xlfn.XLOOKUP(A245,Щиты[Щит],Щиты[Zпетли на шинах, Ом]),"")</f>
        <v/>
      </c>
      <c r="DP245">
        <f>IFERROR(N(_xlfn.XLOOKUP(A245,Щиты[Щит],Щиты[ΔU до шин (подбор), %])),0)</f>
        <v>1.19</v>
      </c>
      <c r="DQ245" t="str">
        <f>IFERROR(_xlfn.XLOOKUP(A245,Щиты[Щит],Щиты[Zпетли на шинах (подбор), Ом]),"")</f>
        <v/>
      </c>
      <c r="DR245" t="str">
        <f t="shared" si="413"/>
        <v/>
      </c>
      <c r="DS245">
        <f t="shared" si="414"/>
        <v>10</v>
      </c>
      <c r="DT245">
        <f t="shared" si="415"/>
        <v>2</v>
      </c>
      <c r="DU245">
        <f t="shared" si="416"/>
        <v>0.31</v>
      </c>
      <c r="DV245" s="6">
        <f>IF(B245="","",IF(IFERROR(VLOOKUP(AX245,УГО_спр,2,FALSE),"")="Светильник",3,4)+IF(Методика="нормы 2026",MIN(0.5,MAX(0,N(Q245)-100)*0.005),0))</f>
        <v>4</v>
      </c>
      <c r="DW245" cm="1">
        <f t="array" ref="DW245">IF(OR(B245="",BT245="",DM245&lt;&gt;1),"",_xlfn.LET(_xlpm.sz,Iдоп_S,_xlpm.t_,CHOOSE(DL245,Iдоп_1ж,Iдоп_2ж,Iдоп_3ж)*DJ245*DK245,_xlpm.inn,N(DD245),_xlpm.smin,MAX(1.5,BW245),_xlpm.L_,N(Q245)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245)*(_xlpm.rho*_xlpm.L_/_xlpm.sz*N(BY245)+_xlpm.xx*_xlpm.L_*N(DU245)/1000)*N(P245)/((Uн_лин/SQRT(3))*1000)*100,999),_xlpm.kz,IF(OR(DG245=1,NOT(ISNUMBER(DQ245)),_xlpm.L_=0,_xlpm.inn=0),1,IFERROR(--(c_min*(Uн_лин*1000/SQRT(3))/(DQ245+2*ρкз_Cu*_xlpm.L_/_xlpm.sz)&gt;=GY245*_xlpm.inn),0)),_xlpm.ok,IFERROR((_xlpm.sz&gt;=_xlpm.smin)*(_xlpm.t_&gt;=_xlpm.inn)*IF(_xlpm.L_&gt;0,(_xlpm.du_+DP245&lt;=DV245+0.00001),1)*_xlpm.kz,0),_xlpm.r_,_xlfn._xlws.FILTER(_xlpm.sz,_xlpm.ok,"не подобрано"),INDEX(_xlpm.r_,1)))</f>
        <v>1.5</v>
      </c>
      <c r="DX245">
        <f t="shared" si="417"/>
        <v>2.5</v>
      </c>
      <c r="DY245" cm="1">
        <f t="array" ref="DY245">IF(OR(B245="",BT245="",DM245&lt;&gt;1),"",_xlfn.LET(_xlpm.sz,Iдоп_S,_xlpm.t_,CHOOSE(DL245,Iдоп_1ж,Iдоп_2ж,Iдоп_3ж)*DJ245*DK245,_xlpm.ok,IFERROR((_xlpm.sz&gt;=MAX(1.5,BW245))*(_xlpm.t_&gt;=N(DD245)),0),_xlpm.r_,_xlfn._xlws.FILTER(_xlpm.sz,_xlpm.ok,""),INDEX(_xlpm.r_,1)))</f>
        <v>1.5</v>
      </c>
      <c r="DZ245" s="6" cm="1">
        <f t="array" ref="DZ245">IFERROR(ROUNDUP(N(DT245)*(_xlfn.XLOOKUP(DY245,INDEX(Кабель_сопротивление,0,1),INDEX(Кабель_сопротивление,0,3))*N(Q245)/DY245*N(BY245)+_xlfn.XLOOKUP(DY245,INDEX(Кабель_сопротивление,0,1),INDEX(Кабель_сопротивление,0,2))*N(Q245)*N(DU245)/1000)*N(P245)/((Uн_лин/SQRT(3))*1000)*100,2),"")</f>
        <v>0.09</v>
      </c>
      <c r="EA245">
        <f>IFERROR(2*ρкз_Cu*N(Q245)/DY245,"")</f>
        <v>0.45586666666666664</v>
      </c>
      <c r="EB245">
        <f>IFERROR(VLOOKUP(DX245,Кабель_сопротивление,3,FALSE),"")</f>
        <v>2.2499999999999999E-2</v>
      </c>
      <c r="EC245">
        <f>IFERROR(VLOOKUP(DX245,Кабель_сопротивление,2,FALSE),"")</f>
        <v>0.1</v>
      </c>
      <c r="ED245">
        <f t="shared" si="418"/>
        <v>0</v>
      </c>
      <c r="EE245">
        <f t="shared" si="419"/>
        <v>8</v>
      </c>
      <c r="EF245">
        <f t="shared" si="420"/>
        <v>0.12203081920214585</v>
      </c>
      <c r="EG245" s="6">
        <f>IFERROR(ROUNDUP(EF245/((Uн_лин/SQRT(3))*1000)*100,2),"")</f>
        <v>6.0000000000000005E-2</v>
      </c>
      <c r="EH245" t="str">
        <f>IFERROR(VLOOKUP(BT245,Кабель_обозначение,2,FALSE),"")</f>
        <v>ВВГнг(А)-LS</v>
      </c>
      <c r="EI245" t="str">
        <f t="shared" si="421"/>
        <v>ВВГнг(А)-LS (3х2,5)</v>
      </c>
      <c r="EJ245" t="str">
        <f t="shared" si="422"/>
        <v>ВВГнг(А)-LS (3х2,5)
L=13-0,06%</v>
      </c>
      <c r="EK245">
        <f>IFERROR(2*ρкз_Cu*Q245/DX245,"")</f>
        <v>0.27351999999999999</v>
      </c>
      <c r="EL245">
        <f t="shared" si="423"/>
        <v>9.1000000000000011E-2</v>
      </c>
      <c r="EM245" s="6" t="str">
        <f>IFERROR(IF(OR(B245="",NOT(ISNUMBER(DX245)),N(Q245)=0),"",_xlfn.XLOOKUP(A245,Щиты[Щит],Щиты[Zпетли на шинах, Ом])+EK245),"")</f>
        <v/>
      </c>
      <c r="EN245" s="6" t="str">
        <f>IF(ISNUMBER(EM245),c_min*(Uн_лин*1000/SQRT(3))/EM245,"")</f>
        <v/>
      </c>
      <c r="EO245" s="6" t="str">
        <f>IFERROR(IF(OR(B245="",NOT(ISNUMBER(DX245))),"",1.05*(Uн_лин*1000/SQRT(3))/(_xlfn.XLOOKUP(A245,Щиты[Щит],Щиты[Zmax на шинах, Ом])+EL245)/1000),"")</f>
        <v/>
      </c>
      <c r="EP245" s="6" t="str">
        <f>IF(B245="","",IF(ISNUMBER(Y245),"Сил",IF(IFERROR(_xlfn.XLOOKUP(AX245,Коды_код,Коды_группа)&amp;"","")="","Быт",_xlfn.XLOOKUP(AX245,Коды_код,Коды_группа)&amp;"")))</f>
        <v>Быт</v>
      </c>
      <c r="EQ245" s="6" t="str">
        <f t="shared" si="424"/>
        <v>Быт</v>
      </c>
      <c r="ER245" s="6">
        <f>IF(EQ245="Щит","щит",IF(EQ245="","",IF(EQ245="Быт",IFERROR(_xlfn.XLOOKUP(A245,Щиты[Щит],Щиты[Кс быт]),1),IF(EQ245="Сил",IF(ISNUMBER(Y245),Y245,IF(Методика="нормы 2026",IFERROR(_xlfn.XLOOKUP(A245,Щиты[Щит],Щиты[Кс силовых (табл. 7.5)]),1),1)),IF(OR(EQ245="Пост",EQ245="Отоп"),1,IF(EQ245="ВНГ",0.7,0))))))</f>
        <v>0.57830000000000004</v>
      </c>
      <c r="ES245">
        <f t="shared" si="425"/>
        <v>1</v>
      </c>
      <c r="ET245">
        <f t="shared" si="426"/>
        <v>0.12</v>
      </c>
      <c r="EU245">
        <f t="shared" si="427"/>
        <v>0.12</v>
      </c>
      <c r="EV245">
        <f t="shared" si="428"/>
        <v>0</v>
      </c>
      <c r="EW245">
        <f t="shared" si="429"/>
        <v>0</v>
      </c>
      <c r="EX245">
        <f t="shared" si="430"/>
        <v>0</v>
      </c>
      <c r="EY245">
        <f t="shared" si="431"/>
        <v>0</v>
      </c>
      <c r="EZ245">
        <f t="shared" si="432"/>
        <v>0.12</v>
      </c>
      <c r="FA245">
        <f t="shared" si="433"/>
        <v>0.11399999999999999</v>
      </c>
      <c r="FB245">
        <f t="shared" si="434"/>
        <v>0.12</v>
      </c>
      <c r="FC245" t="str">
        <f t="shared" si="435"/>
        <v/>
      </c>
      <c r="FD245" t="str">
        <f>IF(B245="","",IF(CA245=0,IF(AW245=1,"",FF244),IF(OR(N(CV245)&gt;=3,N(BR245)&gt;=3),"L1,L2,L3",IFERROR(_xlfn.TEXTBEFORE(_xlfn.TEXTAFTER(_xlfn.XLOOKUP(A245,Щиты[Щит],Щиты[_фазы авто]),";"&amp;AW245&amp;":"),";"),"L1"))))</f>
        <v>L2</v>
      </c>
      <c r="FE245" t="str">
        <f t="shared" si="436"/>
        <v>L2</v>
      </c>
      <c r="FF245" t="str">
        <f t="shared" si="437"/>
        <v>L2</v>
      </c>
      <c r="FG245" cm="1">
        <f t="array" ref="FG245">IFERROR(IF(BX245=2,_xlfn.IFS(BR245=3,VLOOKUP(BN245,Справочная_двигатели,3,FALSE),BR245=1,VLOOKUP(BN245,Справочная_двигатели,5,TRUE)),0),0)</f>
        <v>0</v>
      </c>
      <c r="FH245">
        <f>IFERROR(IF(BX245=3,VLOOKUP(BN245,Справочная_ЛЭД,2,TRUE),0),0)</f>
        <v>0</v>
      </c>
      <c r="FI245" s="6">
        <f t="shared" si="438"/>
        <v>0</v>
      </c>
      <c r="FJ245" t="str" cm="1">
        <f t="array" ref="FJ245">IF(B245="","",IFERROR(INDEX({"I особая","I","II","III"},MATCH(TRIM(AC245&amp;""),{"I особая","I","II","III"},0)),"III"))</f>
        <v>II</v>
      </c>
      <c r="FK245" t="str">
        <f>IF(B245="","",IF(TRIM(AD245&amp;"")&lt;&gt;"",IF(LOWER(TRIM(AD245&amp;""))="да","да","нет"),IF(IFERROR(_xlfn.XLOOKUP(AX245,Коды_код,Коды_пожарная),"")="да","да","нет")))</f>
        <v>нет</v>
      </c>
      <c r="FL245" t="str">
        <f t="shared" si="439"/>
        <v/>
      </c>
      <c r="FM245" t="str">
        <f t="shared" si="440"/>
        <v>основная</v>
      </c>
      <c r="FN245">
        <f t="shared" si="441"/>
        <v>1</v>
      </c>
      <c r="FO245" t="str" cm="1">
        <f t="array" ref="FO245">IF(B245="","",_xlfn.LET(_xlpm.t,IFERROR(_xlfn.XLOOKUP(1,(Шины[Шина]=FM245)*(((Шины[Щит]=A245)+(Шины[Щит]=""))&gt;0),Шины[Тип]),"")&amp;"",IF(_xlpm.t&lt;&gt;"",_xlpm.t,IF(ISNUMBER(SEARCH("ИБП",FM245)),"ИБП",IF(ISNUMBER(SEARCH("ДГУ",FM245)),"ДГУ","Ввод "&amp;FN245)))))</f>
        <v>Ввод 1</v>
      </c>
      <c r="FP245" t="str">
        <f t="shared" si="442"/>
        <v>Ввод 1</v>
      </c>
      <c r="FQ245" t="str">
        <f>IF(B245="","",IF(OR(FO245="ИБП",FO245="ДГУ"),"I особая",IF(FO245="Одиночная","III",_xlfn.XLOOKUP(A245,Щиты[Щит],Щиты[Категория шины «Ввод»],"III"))))</f>
        <v>II</v>
      </c>
      <c r="FR245">
        <f>IF(B245="",0,IFERROR(MATCH(FJ245,{"III","II","I","I особая"},0),1))</f>
        <v>2</v>
      </c>
      <c r="FS245">
        <f t="shared" si="443"/>
        <v>2</v>
      </c>
      <c r="FT245" t="str">
        <f>IF(B245="","",IF(FR245&gt;IFERROR(MATCH(FQ245,{"III","II","I","I особая"},0),1),"НЕ ОБЕСПЕЧЕНА","ОК"))</f>
        <v>ОК</v>
      </c>
      <c r="FU245" t="str">
        <f>IF(A245="","",_xlfn.XLOOKUP(A245,Щиты[Щит],Щиты[Путь],""))</f>
        <v>|ГРЩ-ЖД|ЩР-1|</v>
      </c>
      <c r="FV245" t="str">
        <f>IF(B245="","",IF(AE245&lt;&gt;"",AE245,IF(IFERROR(_xlfn.XLOOKUP(AX245,Коды_код,Коды_вид)&amp;"","")="","Прочее",_xlfn.XLOOKUP(AX245,Коды_код,Коды_вид)&amp;"")))</f>
        <v>Розеточная сеть и бытовые приборы</v>
      </c>
      <c r="FW245">
        <f>IF(BH245="","",INT((BH245-1)/Столбцов_на_лист)+1)</f>
        <v>3</v>
      </c>
      <c r="FX245" t="str">
        <f t="shared" si="444"/>
        <v>ВВГнг(А)-LS (3х2,5) L=13-0,06%</v>
      </c>
      <c r="FY245">
        <f t="shared" si="445"/>
        <v>0.12</v>
      </c>
      <c r="FZ245">
        <f t="shared" si="446"/>
        <v>0.55000000000000004</v>
      </c>
      <c r="GA245">
        <f t="shared" si="447"/>
        <v>1</v>
      </c>
      <c r="GB245">
        <f t="shared" si="448"/>
        <v>0</v>
      </c>
      <c r="GC245">
        <f t="shared" si="449"/>
        <v>1</v>
      </c>
      <c r="GD245">
        <f>IF(BH245="","",IF(AND(CA245=1,GC245=1),COUNTIFS(A$3:A245,A245,CA$3:CA245,1,GC$3:GC245,1),IF(OR(OR(AW245=1,A245&lt;&gt;A244),AF245="вручную",GC245=0),"",IF(AW245=1,"",GE244))))</f>
        <v>21</v>
      </c>
      <c r="GE245">
        <f t="shared" si="450"/>
        <v>21</v>
      </c>
      <c r="GF245">
        <f>IF(B245="","",IFERROR(LOOKUP(INDEX(CHOOSE(DL245,Iдоп_1ж,Iдоп_2ж,Iдоп_3ж),MATCH(DX245,Iдоп_S,0))*DJ245*DK245,{6,10,16,20,25,32,40,50,63,80,100,125,160,200,250,315,400,500,630}),""))</f>
        <v>25</v>
      </c>
      <c r="GG245" t="str">
        <f t="shared" si="451"/>
        <v>QFD21</v>
      </c>
      <c r="GH245" t="str">
        <f t="shared" si="452"/>
        <v>QFD21</v>
      </c>
      <c r="GI245" t="str">
        <f t="shared" si="453"/>
        <v/>
      </c>
      <c r="GJ245">
        <f t="shared" si="454"/>
        <v>0</v>
      </c>
      <c r="GK245" t="str">
        <f>IF(OR(AG245="",AG245="-"),"",IFERROR(VLOOKUP(AG245,Модули_спр,2,FALSE),"R"))</f>
        <v/>
      </c>
      <c r="GL245" t="str">
        <f>IF(GK245="","",GK245&amp;"."&amp;COUNTIFS(A$3:A245,A245,GK$3:GK245,GK245))</f>
        <v/>
      </c>
      <c r="GM245" t="str">
        <f t="shared" si="455"/>
        <v/>
      </c>
      <c r="GN245" t="str">
        <f t="shared" si="456"/>
        <v/>
      </c>
      <c r="GO245" t="str">
        <f t="shared" si="457"/>
        <v/>
      </c>
      <c r="GP245" t="str">
        <f t="shared" si="458"/>
        <v/>
      </c>
      <c r="GQ245">
        <f t="shared" si="459"/>
        <v>1</v>
      </c>
      <c r="GR245" t="str">
        <f>IF(GQ245=1,"XT"&amp;COUNTIFS(A$3:A245,A245,GQ$3:GQ245,1),"")</f>
        <v>XT21</v>
      </c>
      <c r="GS245" t="str">
        <f t="shared" si="460"/>
        <v/>
      </c>
      <c r="GT245" t="str">
        <f t="shared" si="461"/>
        <v>QFD21</v>
      </c>
      <c r="GU245" t="str">
        <f t="shared" si="462"/>
        <v/>
      </c>
      <c r="GV245" t="str">
        <f t="shared" si="463"/>
        <v>ok</v>
      </c>
      <c r="GW245" t="str">
        <f>IF(OR(GO245="",GM245=""),"",IF(GO245&gt;IFERROR(VLOOKUP(GN245,Модули_спр,3,FALSE),99),"ЛИШНИЙ КАНАЛ",IF(AND(AH245&lt;&gt;"=",COUNTIFS(Линии[_модуль гр.],GM245,Линии[Канал (итог)],GO245,Линии[Канал],"&lt;&gt;=",Линии[Щит],A245)&gt;1),"ДУБЛЬ КАНАЛА","")))</f>
        <v/>
      </c>
      <c r="GX245" s="6" t="str">
        <f t="shared" si="464"/>
        <v/>
      </c>
      <c r="GY245">
        <f t="shared" si="465"/>
        <v>10</v>
      </c>
      <c r="GZ245" t="str">
        <f t="shared" si="466"/>
        <v/>
      </c>
      <c r="HA245" t="str">
        <f>IF(AND(B245="",GT245=""),"",_xlfn.TEXTJOIN("; ",TRUE,IF(AND(B245&lt;&gt;"",FE245=""),"нет фазы",""),IF(AND(B245&lt;&gt;"",N(FY245)=0,EQ245&lt;&gt;"Нет"),"нет мощности",""),IF(AND(GS245&lt;&gt;"",COUNTIFS(Линии[Щит],A245,Линии[Клемма (итог)],GS245)&gt;1),"дубль клеммы "&amp;GS245,""),IF(AND(GV245&lt;&gt;"",GV245&lt;&gt;"ok"),GV245,""),IF(GW245&lt;&gt;"",GW245,""),IF(AND(N(BV245)&gt;=4,N(BR245)=1),BV245&amp;" жил на 1 фазе",""),IF(AND(AX245="R",CA245=1,OR(N(CK245)=0,N(CK245)&gt;30)),"розетка без дифзащиты до 30 мА",""),IFERROR(IF(AND(ISNUMBER(R245),R245&gt;DV245),"потери "&amp;FIXED(R245,1)&amp;" % &gt; "&amp;DV245&amp;" %",""),""),IFERROR(IF(LEFT(GZ245,4)="мало","Iкз мало — отключение &gt; 0,4 с",""),""),IF(AND(B245&lt;&gt;"",BH245=""),"не на схеме",""),IF(AND(CA245=0,B245&lt;&gt;"",FE245&lt;&gt;"",IF(AW245=1,"",FF244)&lt;&gt;"",FE245&lt;&gt;IF(AW245=1,"",FF244)),"фаза не как у автомата группы ("&amp;IF(AW245=1,"",FF244)&amp;")","")))</f>
        <v/>
      </c>
      <c r="HB245" s="6">
        <f>IF(OR(CA245=0,DA245=""),"",_xlfn.LET(_xlpm.t,IFERROR(_xlfn.XLOOKUP(DA245,Каталог!$U$4:$U$500,Каталог!$G$4:$G$500),""),_xlpm.k,SEARCH("кА",_xlpm.t),IFERROR(--TRIM(RIGHT(SUBSTITUTE(MID(_xlpm.t,MAX(1,_xlpm.k-4),_xlpm.k-MAX(1,_xlpm.k-4))," ",REPT(" ",9)),5)),"")))</f>
        <v>6</v>
      </c>
      <c r="HC245" t="str">
        <f>IF(OR(HB245="",CA245=0),"",IF(_xlfn.XLOOKUP(A245,Щиты[Щит],Щиты[Iкз max на шинах, кА],"")="","",IF(HB245&lt;_xlfn.XLOOKUP(A245,Щиты[Щит],Щиты[Iкз max на шинах, кА]),"Icu "&amp;HB245&amp;" кА &lt; Iкз max","ok")))</f>
        <v/>
      </c>
      <c r="HD245" t="str">
        <f t="shared" si="467"/>
        <v/>
      </c>
      <c r="HE245" t="str">
        <f t="shared" si="468"/>
        <v>QFD21</v>
      </c>
      <c r="HF245" t="str">
        <f t="shared" si="469"/>
        <v>QFD21|кабель ВВГнг(А)-LS (3х2,5) → Розеточная группа, пом. 003Б</v>
      </c>
      <c r="HG245" t="str" cm="1">
        <f t="array" ref="HG245">IF(HF245="","",_xlfn.LET(_xlpm.nd,_xlfn.TEXTSPLIT(HF245,"|"),IF(COLUMNS(_xlpm.nd)&gt;1,A245&amp;"¦"&amp;INDEX(_xlpm.nd,1)&amp;"¦"&amp;INDEX(_xlpm.nd,2),"")))</f>
        <v>ЩР-1¦QFD21¦кабель ВВГнг(А)-LS (3х2,5) → Розеточная группа, пом. 003Б</v>
      </c>
      <c r="HH245" t="str">
        <f t="shared" si="470"/>
        <v>R.1.003Б.2¦Розеточная группа, пом. 003Б</v>
      </c>
      <c r="HI245" t="str" cm="1">
        <f t="array" ref="HI245">IF(HF245="","",_xlfn.LET(_xlpm.nd,_xlfn.TEXTSPLIT(HF245,"|"),IF(COLUMNS(_xlpm.nd)&gt;2,A245&amp;"¦"&amp;INDEX(_xlpm.nd,2)&amp;"¦"&amp;INDEX(_xlpm.nd,3),"")))</f>
        <v/>
      </c>
      <c r="HJ245" t="str">
        <f t="shared" si="471"/>
        <v/>
      </c>
      <c r="HK245" t="str" cm="1">
        <f t="array" ref="HK245">IF(HF245="","",_xlfn.LET(_xlpm.nd,_xlfn.TEXTSPLIT(HF245,"|"),IF(COLUMNS(_xlpm.nd)&gt;3,A245&amp;"¦"&amp;INDEX(_xlpm.nd,3)&amp;"¦"&amp;INDEX(_xlpm.nd,4),"")))</f>
        <v/>
      </c>
      <c r="HL245" t="str">
        <f t="shared" si="472"/>
        <v/>
      </c>
      <c r="HM245" t="str" cm="1">
        <f t="array" ref="HM245">IF(HF245="","",_xlfn.LET(_xlpm.nd,_xlfn.TEXTSPLIT(HF245,"|"),IF(COLUMNS(_xlpm.nd)&gt;4,A245&amp;"¦"&amp;INDEX(_xlpm.nd,4)&amp;"¦"&amp;INDEX(_xlpm.nd,5),"")))</f>
        <v/>
      </c>
      <c r="HN245" t="str">
        <f t="shared" si="473"/>
        <v/>
      </c>
      <c r="HO245" t="str" cm="1">
        <f t="array" ref="HO245">IF(HF245="","",_xlfn.LET(_xlpm.nd,_xlfn.TEXTSPLIT(HF245,"|"),IF(COLUMNS(_xlpm.nd)&gt;5,A245&amp;"¦"&amp;INDEX(_xlpm.nd,5)&amp;"¦"&amp;INDEX(_xlpm.nd,6),"")))</f>
        <v/>
      </c>
      <c r="HP245" t="str">
        <f t="shared" si="474"/>
        <v/>
      </c>
      <c r="HQ245" t="str" cm="1">
        <f t="array" ref="HQ245">IF(HF245="","",_xlfn.LET(_xlpm.nd,_xlfn.TEXTSPLIT(HF245,"|"),IF(COLUMNS(_xlpm.nd)&gt;6,A245&amp;"¦"&amp;INDEX(_xlpm.nd,6)&amp;"¦"&amp;INDEX(_xlpm.nd,7),"")))</f>
        <v/>
      </c>
      <c r="HR245" t="str">
        <f t="shared" si="475"/>
        <v/>
      </c>
      <c r="HS245" t="str">
        <f t="shared" si="476"/>
        <v/>
      </c>
      <c r="HT245" t="str">
        <f t="shared" si="477"/>
        <v>QFD21</v>
      </c>
      <c r="HU245">
        <f t="shared" si="478"/>
        <v>0</v>
      </c>
      <c r="HV245">
        <f t="shared" si="479"/>
        <v>1</v>
      </c>
      <c r="HW245" t="str">
        <f t="shared" si="480"/>
        <v/>
      </c>
      <c r="HX245" t="str">
        <f t="shared" si="481"/>
        <v/>
      </c>
      <c r="HY245" t="str">
        <f t="shared" si="482"/>
        <v/>
      </c>
      <c r="HZ245" t="str">
        <f t="shared" si="483"/>
        <v/>
      </c>
      <c r="IA245" t="str">
        <f>IF(B245="","",IFERROR(VLOOKUP(B245,УГО_спр,2,FALSE),IFERROR(VLOOKUP(AX245,УГО_спр,2,FALSE),IFERROR(VLOOKUP(LEFT(AX245,2),УГО_спр,2,FALSE),""))))</f>
        <v>Розетка</v>
      </c>
      <c r="IB245" t="str">
        <f>IF(B245="","",IF(OR(IA245="",IA245=0),"BOX",IFERROR(IF(VLOOKUP(IA245,УГО_блоки,3,FALSE)&amp;""&lt;&gt;"",VLOOKUP(IA245,УГО_блоки,3,FALSE),VLOOKUP(IA245,УГО_блоки,2,FALSE)),IA245)))</f>
        <v>SOCKET</v>
      </c>
      <c r="IC245">
        <f t="shared" si="484"/>
        <v>1</v>
      </c>
      <c r="ID245" t="str">
        <f>IF(DA245="","",IF(COUNTIF(DA$3:DA245,DA245)=1,MAX(ID$2:ID244)+1,""))</f>
        <v/>
      </c>
      <c r="IE245" t="str">
        <f>IF(CO245="","",IF(COUNTIF(CO$3:CO245,CO245)+COUNTIF(CP$2:CP244,CO245)+COUNTIF(CQ$2:CQ244,CO245)=1,MAX(IE$2:IG244)+1,""))</f>
        <v/>
      </c>
      <c r="IF245" t="str">
        <f>IF(CP245="","",IF(COUNTIF(CO$3:CO245,CP245)+COUNTIF(CP$3:CP245,CP245)+COUNTIF(CQ$2:CQ244,CP245)=1,MAX(IE$2:IG244,IE245)+1,""))</f>
        <v/>
      </c>
      <c r="IG245" t="str">
        <f>IF(CQ245="","",IF(COUNTIF(CO$3:CO245,CQ245)+COUNTIF(CP$3:CP245,CQ245)+COUNTIF(CQ$3:CQ245,CQ245)=1,MAX(IE$2:IG244,IE245,IF245)+1,""))</f>
        <v/>
      </c>
      <c r="IH245" t="str">
        <f t="shared" si="485"/>
        <v>3х2,5</v>
      </c>
      <c r="II245" t="str">
        <f>IF(IH245="","",IF(COUNTIF(IH$3:IH245,IH245)=1,MAX(II$2:II244)+1,""))</f>
        <v/>
      </c>
      <c r="IJ245" t="str">
        <f>IF(GL245="","",COUNTIF(GL$3:GL245,"?*"))</f>
        <v/>
      </c>
      <c r="IK245" t="str">
        <f>IF(OR(GL245="",GN245=""),"",IF(COUNTIFS(GL$3:GL245,"?*",GN$3:GN245,GN245)=1,MAX(IK$2:IK244)+1,""))</f>
        <v/>
      </c>
      <c r="IL245">
        <f t="shared" si="486"/>
        <v>0</v>
      </c>
      <c r="IM245">
        <f>IF(B245="","",COUNTIF(B$3:B245,"?*"))</f>
        <v>243</v>
      </c>
      <c r="IN245">
        <f>IF(GQ245&lt;&gt;1,0,_xlfn.LET(_xlpm.k,MAX(IFERROR(--VLOOKUP(B245,УГО_спр,5,FALSE),0),IFERROR(--VLOOKUP(AX245,УГО_спр,5,FALSE),0),IFERROR(--VLOOKUP(LEFT(AX245,2),УГО_спр,5,FALSE),0)),IF(_xlpm.k&gt;0,_xlpm.k,IF(IFERROR(--LEFT(SUBSTITUTE(IH245,"x","х"),FIND("х",SUBSTITUTE(IH245,"x","х"))-1),3)&gt;3,Каталог!$S$9,1))))</f>
        <v>1</v>
      </c>
      <c r="IO245">
        <f t="shared" si="487"/>
        <v>0</v>
      </c>
      <c r="IP245" t="str">
        <f t="shared" si="488"/>
        <v>авто</v>
      </c>
      <c r="IQ245">
        <f t="shared" si="489"/>
        <v>30</v>
      </c>
      <c r="IR245">
        <f t="shared" si="490"/>
        <v>1</v>
      </c>
      <c r="IS245">
        <f t="shared" si="491"/>
        <v>1</v>
      </c>
    </row>
    <row r="246" spans="1:253" x14ac:dyDescent="0.3">
      <c r="A246" t="s">
        <v>759</v>
      </c>
      <c r="B246" t="s">
        <v>1511</v>
      </c>
      <c r="C246" t="str">
        <f>Линии[[#This Row],[_авто наименование]]</f>
        <v>Розеточная группа, пом. 003Г</v>
      </c>
      <c r="D246">
        <v>1</v>
      </c>
      <c r="E246">
        <v>0.06</v>
      </c>
      <c r="G246" t="str">
        <f>Линии[[#This Row],[_авто автомат]]</f>
        <v>2P С16А 30мА</v>
      </c>
      <c r="H246">
        <f>Линии[[#This Row],[_авто утечка]]</f>
        <v>30</v>
      </c>
      <c r="I246" t="str">
        <f>Линии[[#This Row],[_авто управление]]</f>
        <v/>
      </c>
      <c r="J246" t="str">
        <f>Линии[[#This Row],[_авто аппараты]]</f>
        <v/>
      </c>
      <c r="K246">
        <v>2.5</v>
      </c>
      <c r="L246">
        <v>29</v>
      </c>
      <c r="M246" t="str">
        <f>Линии[[#This Row],[_авто фаза]]</f>
        <v>L2</v>
      </c>
      <c r="N246" t="s">
        <v>486</v>
      </c>
      <c r="O246" t="str">
        <f t="shared" si="369"/>
        <v/>
      </c>
      <c r="P246" s="6" cm="1">
        <f t="array" ref="P246">IF(B246="","",IF(BC246&lt;&gt;"",IFERROR(_xlfn.XLOOKUP(BC246,Щиты[Щит],Щиты[Iр, А]),""),IF(BK246=1,IFERROR(_xlfn.XLOOKUP(A246,Щиты[Щит],Щиты[Iр, А]),""),IFERROR(_xlfn.IFS(BR246=1,BN246/((Uн_лин/SQRT(3))*BY246),BR246=3,BN246/(SQRT(3)*Uн_лин*BY246)),""))))</f>
        <v>0.27348170645824377</v>
      </c>
      <c r="Q246" s="7">
        <f>IF(B246="","",IFERROR(IF(VLOOKUP(AX246,Потребители_обозначение,4,FALSE)=1,VLOOKUP(AX246,Потребители_обозначение,3,FALSE)*(D246*2-1)+DS246+VLOOKUP(AZ246,Этаж_обозначение,3,FALSE)+VLOOKUP(AZ246,Этаж_обозначение,4,FALSE),VLOOKUP(AX246,Потребители_обозначение,3,FALSE)*(D246*2-1)+DS246),DS246))</f>
        <v>32</v>
      </c>
      <c r="R246" s="6">
        <f t="shared" si="370"/>
        <v>1.26</v>
      </c>
      <c r="S246" t="str">
        <f t="shared" si="371"/>
        <v>ВВГнг(А)-LS (3х2,5)</v>
      </c>
      <c r="T246" t="str">
        <f>IF(BH246="","",IF(BI246="вводной узел","узел ","")&amp;"л."&amp;(INT((BH246-1)/Столбцов_на_лист)+1)&amp;" / "&amp;(MOD(BH246-1,Столбцов_на_лист)+1))</f>
        <v>л.3 / 7</v>
      </c>
      <c r="V246">
        <v>1</v>
      </c>
      <c r="W246">
        <v>230</v>
      </c>
      <c r="X246" t="s">
        <v>564</v>
      </c>
      <c r="AC246" t="s">
        <v>815</v>
      </c>
      <c r="AE246" t="s">
        <v>563</v>
      </c>
      <c r="AI246">
        <v>41</v>
      </c>
      <c r="AJ246" t="s">
        <v>11</v>
      </c>
      <c r="AK246">
        <v>3</v>
      </c>
      <c r="AM246">
        <v>6</v>
      </c>
      <c r="AN246">
        <v>26</v>
      </c>
      <c r="AO246">
        <v>0</v>
      </c>
      <c r="AW246" cm="1">
        <f t="array" ref="AW246">ROW()-ROW(Линии[#Headers])</f>
        <v>244</v>
      </c>
      <c r="AX246" s="6" t="str">
        <f t="shared" si="372"/>
        <v>R</v>
      </c>
      <c r="AY246" t="str">
        <f t="shared" si="373"/>
        <v>1.003Г.1</v>
      </c>
      <c r="AZ246" t="str">
        <f t="shared" si="374"/>
        <v>1</v>
      </c>
      <c r="BA246" t="str">
        <f t="shared" si="375"/>
        <v>003Г.1</v>
      </c>
      <c r="BB246" t="str">
        <f t="shared" si="376"/>
        <v>003Г</v>
      </c>
      <c r="BC246" t="str">
        <f>IF(U246&lt;&gt;"",U246,IF(AND(B246&lt;&gt;"",B246&lt;&gt;A246,ISNUMBER(_xlfn.XMATCH(B246,Щиты[Щит]))),B246,""))</f>
        <v/>
      </c>
      <c r="BD246" t="str" cm="1">
        <f t="array" ref="BD246">IF(B246="","",IF(BC246&lt;&gt;"","Щит "&amp;BC246,_xlfn.LET(_xlpm.nm,IFERROR(_xlfn.XLOOKUP(AX246,Коды_код,Коды_имя)&amp;"",""),_xlpm.md,IFERROR(N(_xlfn.XLOOKUP(AX246,Коды_код,Коды_режим)),1),_xlpm.ex,IF(Имя_режим="по экспликации",IFERROR(_xlfn.XLOOKUP(AZ246&amp;"|"&amp;BB246,Экспликация[Этаж]&amp;"|"&amp;Экспликация[Помещение],Экспликация[Название])&amp;"",""),""),_xlpm.rm,IF(BB246="","",IF(_xlpm.ex&lt;&gt;"",". "&amp;_xlpm.ex&amp;IF(Имя_пом="нет"," ("&amp;BB246&amp;")"," (пом. "&amp;BB246&amp;")"),IF(Имя_пом="нет"," ",", пом. ")&amp;BB246)),IF(_xlpm.nm="","",IF(_xlpm.md=2,_xlpm.nm&amp;" шлейф "&amp;AZ246,_xlpm.nm&amp;_xlpm.rm)))))</f>
        <v>Розеточная группа, пом. 003Г</v>
      </c>
      <c r="BE246" t="str">
        <f t="shared" si="377"/>
        <v>Розеточная группа, пом. 003Г</v>
      </c>
      <c r="BF246">
        <f>IFERROR(_xlfn.XMATCH(A246,Щиты[Щит]),0)</f>
        <v>10</v>
      </c>
      <c r="BG246">
        <f>_xlfn.LET(_xlpm.k,IFERROR(_xlfn.XLOOKUP(A246,Щиты[Щит],Щиты[Листов под вводной узел]),""),IF(_xlpm.k="",1,N(_xlpm.k))*Столбцов_на_лист)</f>
        <v>17</v>
      </c>
      <c r="BH246">
        <f t="shared" si="378"/>
        <v>41</v>
      </c>
      <c r="BI246" t="str">
        <f t="shared" si="379"/>
        <v>линии</v>
      </c>
      <c r="BJ246" s="6">
        <f>IFERROR(N(_xlfn.XLOOKUP(AX246,Коды_код,Коды_квт)),0)</f>
        <v>0</v>
      </c>
      <c r="BK246">
        <f t="shared" si="380"/>
        <v>0</v>
      </c>
      <c r="BL246" t="str">
        <f>IF(B246="","",IF(BC246&lt;&gt;"",IFERROR(_xlfn.XLOOKUP(BC246,Щиты[Щит],Щиты[Руст, кВт]),0),IF(BK246=1,IFERROR(_xlfn.XLOOKUP(A246,Щиты[Щит],Щиты[Руст, кВт]),0),IF(BJ246&gt;0,ROUND(BJ246*MAX(1,N(D246)),3),""))))</f>
        <v/>
      </c>
      <c r="BM246">
        <f t="shared" si="381"/>
        <v>0.06</v>
      </c>
      <c r="BN246" s="6">
        <f>IF(B246="","",IF(BC246&lt;&gt;"",IFERROR(_xlfn.XLOOKUP(BC246,Щиты[Щит],Щиты[Руст, кВт]),0),N(BM246)))</f>
        <v>0.06</v>
      </c>
      <c r="BO246" t="str">
        <f>IF(B246="","",IFERROR(IF(VLOOKUP(AX246,Потребители_обозначение,8,FALSE)=0,"",VLOOKUP(AX246,Потребители_обозначение,8,FALSE)),""))</f>
        <v/>
      </c>
      <c r="BP246">
        <f t="shared" si="382"/>
        <v>230</v>
      </c>
      <c r="BQ246">
        <f>IF(B246="","",IF(BC246&lt;&gt;"",3,IFERROR(IF(N(VLOOKUP(AX246,Потребители_обозначение,9,FALSE))=0,1,VLOOKUP(AX246,Потребители_обозначение,9,FALSE)),1)))</f>
        <v>1</v>
      </c>
      <c r="BR246">
        <f t="shared" si="383"/>
        <v>1</v>
      </c>
      <c r="BS246" t="str">
        <f>IF(B246="","",_xlfn.LET(_xlpm.bc,IFERROR(IF(VLOOKUP(AX246,Потребители_обозначение,6,FALSE)=0,"",VLOOKUP(AX246,Потребители_обозначение,6,FALSE)&amp;""),""),IF(AND(FK246="да",OR(_xlpm.bc="",_xlpm.bc="мс")),Марка_пож,IF(AND(_xlpm.bc="",BC246&lt;&gt;""),"мс",_xlpm.bc))))</f>
        <v/>
      </c>
      <c r="BT246" t="str">
        <f t="shared" si="384"/>
        <v>мс</v>
      </c>
      <c r="BU246">
        <f>IF(B246="","",_xlfn.LET(_xlpm.cc,IFERROR(N(VLOOKUP(AX246,Потребители_обозначение,7,FALSE)),0),IF(_xlpm.cc&gt;0,_xlpm.cc,IF(BT246="","",IF(N(BR246)=3,5,3)))))</f>
        <v>3</v>
      </c>
      <c r="BV246">
        <f t="shared" si="385"/>
        <v>3</v>
      </c>
      <c r="BW246">
        <f>IFERROR(N(VLOOKUP(AX246,Потребители_обозначение,10,FALSE)),0)</f>
        <v>0</v>
      </c>
      <c r="BX246">
        <f>IFERROR(VLOOKUP(AX246,Потребители_обозначение,5,FALSE),0)</f>
        <v>1</v>
      </c>
      <c r="BY246" s="6" cm="1">
        <f t="array" ref="BY246">IF(B246="","",IF(BC246&lt;&gt;"",IFERROR(_xlfn.XLOOKUP(BC246,Щиты[Щит],Щиты[cos φ]),0.95),IF(BK246=1,IFERROR(_xlfn.XLOOKUP(A246,Щиты[Щит],Щиты[cos φ]),0.95),IF(ISNUMBER(Z246),Z246,IFERROR(IF(BX246=2,_xlfn.IFS(BR246=3,VLOOKUP(BN246,Справочная_двигатели,8,FALSE),BR246=1,VLOOKUP(BN246,Справочная_двигатели,10,TRUE)),IF(AND(Методика="нормы 2026",EQ246="Сил"),0.8,0.95)),0.95)))))</f>
        <v>0.95</v>
      </c>
      <c r="BZ246">
        <f t="shared" si="386"/>
        <v>0</v>
      </c>
      <c r="CA246">
        <f t="shared" si="387"/>
        <v>1</v>
      </c>
      <c r="CB246">
        <f t="shared" si="388"/>
        <v>0</v>
      </c>
      <c r="CC246">
        <f t="shared" si="389"/>
        <v>0</v>
      </c>
      <c r="CD246">
        <f t="shared" si="390"/>
        <v>0</v>
      </c>
      <c r="CE246">
        <f t="shared" si="391"/>
        <v>0</v>
      </c>
      <c r="CF246">
        <f t="shared" si="392"/>
        <v>0</v>
      </c>
      <c r="CG246">
        <f>IF(AX246="",0,_xlfn.LET(_xlpm.v,IFERROR(VLOOKUP(B246,УГО_спр,3,FALSE),IFERROR(VLOOKUP(AX246,УГО_спр,3,FALSE),IFERROR(VLOOKUP(LEFT(AX246,2),УГО_спр,3,FALSE),""))),IF(_xlpm.v="да",30,IF(ISNUMBER(_xlpm.v),_xlpm.v,0))))</f>
        <v>30</v>
      </c>
      <c r="CH246">
        <f t="shared" si="393"/>
        <v>30</v>
      </c>
      <c r="CI246" t="str">
        <f>_xlfn.LET(_xlpm.k,IFERROR(_xlfn.XLOOKUP(AX246,Коды_код,Коды_утечка)&amp;"",""),IF(_xlpm.k="","дифавтомат",_xlpm.k))</f>
        <v>дифавтомат</v>
      </c>
      <c r="CJ246">
        <f t="shared" si="394"/>
        <v>30</v>
      </c>
      <c r="CK246">
        <f t="shared" si="395"/>
        <v>30</v>
      </c>
      <c r="CL246">
        <f>IF(B246="",0,IFERROR(--VLOOKUP(B246,УГО_спр,4,FALSE),IFERROR(--VLOOKUP(AX246,УГО_спр,4,FALSE),IFERROR(--VLOOKUP(LEFT(AX246,2),УГО_спр,4,FALSE),0))))</f>
        <v>16</v>
      </c>
      <c r="CM246" t="str">
        <f>IF(B246="","",IFERROR(_xlfn.XLOOKUP(AX246,Коды_код,Коды_апп)&amp;"",""))</f>
        <v/>
      </c>
      <c r="CN246" t="str">
        <f t="shared" si="396"/>
        <v/>
      </c>
      <c r="CO246" t="str" cm="1">
        <f t="array" ref="CO246">IF(TRIM(CN246&amp;"")="","",IFERROR(TRIM(INDEX(_xlfn.TEXTSPLIT(CN246&amp;";;;",";"),1)),""))</f>
        <v/>
      </c>
      <c r="CP246" t="str" cm="1">
        <f t="array" ref="CP246">IF(TRIM(CN246&amp;"")="","",IFERROR(TRIM(INDEX(_xlfn.TEXTSPLIT(CN246&amp;";;;",";"),2)),""))</f>
        <v/>
      </c>
      <c r="CQ246" t="str" cm="1">
        <f t="array" ref="CQ246">IF(TRIM(CN246&amp;"")="","",IFERROR(TRIM(INDEX(_xlfn.TEXTSPLIT(CN246&amp;";;;",";"),3)),""))</f>
        <v/>
      </c>
      <c r="CR246">
        <f t="shared" si="397"/>
        <v>0</v>
      </c>
      <c r="CS246" t="str">
        <f>IF(B246="","",_xlfn.LET(_xlpm.t,LOWER(AV246&amp;""),IF(ISNUMBER(SEARCH("dim",_xlpm.t)),"DIM",IF(ISNUMBER(SEARCH("dali",_xlpm.t)),"DALI",IF(OR(ISNUMBER(SEARCH("relay",_xlpm.t)),ISNUMBER(SEARCH("реле",_xlpm.t))),"Relay",IF(ISNUMBER(SEARCH("кнопк",_xlpm.t)),"",IFERROR(_xlfn.XLOOKUP(AX246,Коды_код,Коды_упр)&amp;"","")))))))</f>
        <v/>
      </c>
      <c r="CT246" t="str">
        <f t="shared" si="398"/>
        <v/>
      </c>
      <c r="CU246">
        <f>IF(B246="","",_xlfn.LET(_xlpm.ig,N(P246)+IF(AF246="вручную",0,N(CB246)),_xlpm.n0,IFERROR(VLOOKUP(_xlpm.ig,Автомат_номиналы,2,TRUE),0),_xlpm.mn,MAX(CL246,IF(AF246="вручную",0,N(CE246))),MAX(_xlpm.n0,_xlpm.mn,IF(CR246=1,Мин_автомат_БП,0))))</f>
        <v>16</v>
      </c>
      <c r="CV246">
        <f t="shared" si="399"/>
        <v>1</v>
      </c>
      <c r="CW246" t="str">
        <f t="shared" si="400"/>
        <v>2P</v>
      </c>
      <c r="CX246" t="str">
        <f>_xlfn.LET(_xlpm.cc,UPPER(TRIM(IFERROR(_xlfn.XLOOKUP(AX246,Коды_код,Коды_хар)&amp;"",""))),IF(OR(_xlpm.cc="B",_xlpm.cc="В"),"B",IF(_xlpm.cc="D","D","С")))</f>
        <v>С</v>
      </c>
      <c r="CY246" t="str">
        <f t="shared" si="401"/>
        <v>2P С16А 30мА</v>
      </c>
      <c r="CZ246" t="str">
        <f t="shared" si="402"/>
        <v>2P С16А 30мА</v>
      </c>
      <c r="DA246" t="str">
        <f t="shared" si="403"/>
        <v>2P С16А 30мА</v>
      </c>
      <c r="DB246" cm="1">
        <f t="array" ref="DB246">IF(DA246="","",_xlfn.LET(_xlpm.t,SUBSTITUTE(SUBSTITUTE(SUBSTITUTE(UPPER(DA246),"С","C"),"А","A"),"В","B"),_xlpm.tk,_xlfn.TEXTSPLIT(_xlpm.t,"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6" t="str">
        <f t="shared" si="404"/>
        <v>ok</v>
      </c>
      <c r="DD246">
        <f t="shared" si="405"/>
        <v>16</v>
      </c>
      <c r="DE246" t="str">
        <f t="shared" si="406"/>
        <v>2P С16А 30мА</v>
      </c>
      <c r="DF246">
        <f t="shared" si="407"/>
        <v>30</v>
      </c>
      <c r="DG246">
        <f t="shared" si="408"/>
        <v>1</v>
      </c>
      <c r="DH246">
        <f t="shared" si="409"/>
        <v>0</v>
      </c>
      <c r="DI246">
        <f t="shared" si="410"/>
        <v>0.27348170645824377</v>
      </c>
      <c r="DJ246">
        <f t="shared" si="411"/>
        <v>1</v>
      </c>
      <c r="DK246">
        <f>IF(ISNUMBER(AL246),AL246,К_прокл)</f>
        <v>1</v>
      </c>
      <c r="DL246">
        <f t="shared" si="412"/>
        <v>2</v>
      </c>
      <c r="DM246">
        <f>IFERROR(N(VLOOKUP(BT246,Кабель_обозначение,3,FALSE)),1)</f>
        <v>1</v>
      </c>
      <c r="DN246">
        <f>IFERROR(N(_xlfn.XLOOKUP(A246,Щиты[Щит],Щиты[ΔU до шин, %])),0)</f>
        <v>1.19</v>
      </c>
      <c r="DO246" t="str">
        <f>IFERROR(_xlfn.XLOOKUP(A246,Щиты[Щит],Щиты[Zпетли на шинах, Ом]),"")</f>
        <v/>
      </c>
      <c r="DP246">
        <f>IFERROR(N(_xlfn.XLOOKUP(A246,Щиты[Щит],Щиты[ΔU до шин (подбор), %])),0)</f>
        <v>1.19</v>
      </c>
      <c r="DQ246" t="str">
        <f>IFERROR(_xlfn.XLOOKUP(A246,Щиты[Щит],Щиты[Zпетли на шинах (подбор), Ом]),"")</f>
        <v/>
      </c>
      <c r="DR246" t="str">
        <f t="shared" si="413"/>
        <v/>
      </c>
      <c r="DS246">
        <f t="shared" si="414"/>
        <v>29</v>
      </c>
      <c r="DT246">
        <f t="shared" si="415"/>
        <v>2</v>
      </c>
      <c r="DU246">
        <f t="shared" si="416"/>
        <v>0.31</v>
      </c>
      <c r="DV246" s="6">
        <f>IF(B246="","",IF(IFERROR(VLOOKUP(AX246,УГО_спр,2,FALSE),"")="Светильник",3,4)+IF(Методика="нормы 2026",MIN(0.5,MAX(0,N(Q246)-100)*0.005),0))</f>
        <v>4</v>
      </c>
      <c r="DW246" cm="1">
        <f t="array" ref="DW246">IF(OR(B246="",BT246="",DM246&lt;&gt;1),"",_xlfn.LET(_xlpm.sz,Iдоп_S,_xlpm.t_,CHOOSE(DL246,Iдоп_1ж,Iдоп_2ж,Iдоп_3ж)*DJ246*DK246,_xlpm.inn,N(DD246),_xlpm.smin,MAX(1.5,BW246),_xlpm.L_,N(Q246)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246)*(_xlpm.rho*_xlpm.L_/_xlpm.sz*N(BY246)+_xlpm.xx*_xlpm.L_*N(DU246)/1000)*N(P246)/((Uн_лин/SQRT(3))*1000)*100,999),_xlpm.kz,IF(OR(DG246=1,NOT(ISNUMBER(DQ246)),_xlpm.L_=0,_xlpm.inn=0),1,IFERROR(--(c_min*(Uн_лин*1000/SQRT(3))/(DQ246+2*ρкз_Cu*_xlpm.L_/_xlpm.sz)&gt;=GY246*_xlpm.inn),0)),_xlpm.ok,IFERROR((_xlpm.sz&gt;=_xlpm.smin)*(_xlpm.t_&gt;=_xlpm.inn)*IF(_xlpm.L_&gt;0,(_xlpm.du_+DP246&lt;=DV246+0.00001),1)*_xlpm.kz,0),_xlpm.r_,_xlfn._xlws.FILTER(_xlpm.sz,_xlpm.ok,"не подобрано"),INDEX(_xlpm.r_,1)))</f>
        <v>1.5</v>
      </c>
      <c r="DX246">
        <f t="shared" si="417"/>
        <v>2.5</v>
      </c>
      <c r="DY246" cm="1">
        <f t="array" ref="DY246">IF(OR(B246="",BT246="",DM246&lt;&gt;1),"",_xlfn.LET(_xlpm.sz,Iдоп_S,_xlpm.t_,CHOOSE(DL246,Iдоп_1ж,Iдоп_2ж,Iдоп_3ж)*DJ246*DK246,_xlpm.ok,IFERROR((_xlpm.sz&gt;=MAX(1.5,BW246))*(_xlpm.t_&gt;=N(DD246)),0),_xlpm.r_,_xlfn._xlws.FILTER(_xlpm.sz,_xlpm.ok,""),INDEX(_xlpm.r_,1)))</f>
        <v>1.5</v>
      </c>
      <c r="DZ246" s="6" cm="1">
        <f t="array" ref="DZ246">IFERROR(ROUNDUP(N(DT246)*(_xlfn.XLOOKUP(DY246,INDEX(Кабель_сопротивление,0,1),INDEX(Кабель_сопротивление,0,3))*N(Q246)/DY246*N(BY246)+_xlfn.XLOOKUP(DY246,INDEX(Кабель_сопротивление,0,1),INDEX(Кабель_сопротивление,0,2))*N(Q246)*N(DU246)/1000)*N(P246)/((Uн_лин/SQRT(3))*1000)*100,2),"")</f>
        <v>0.11</v>
      </c>
      <c r="EA246">
        <f>IFERROR(2*ρкз_Cu*N(Q246)/DY246,"")</f>
        <v>1.1221333333333334</v>
      </c>
      <c r="EB246">
        <f>IFERROR(VLOOKUP(DX246,Кабель_сопротивление,3,FALSE),"")</f>
        <v>2.2499999999999999E-2</v>
      </c>
      <c r="EC246">
        <f>IFERROR(VLOOKUP(DX246,Кабель_сопротивление,2,FALSE),"")</f>
        <v>0.1</v>
      </c>
      <c r="ED246">
        <f t="shared" si="418"/>
        <v>26</v>
      </c>
      <c r="EE246">
        <f t="shared" si="419"/>
        <v>0</v>
      </c>
      <c r="EF246">
        <f t="shared" si="420"/>
        <v>0.15019177747956411</v>
      </c>
      <c r="EG246" s="6">
        <f>IFERROR(ROUNDUP(EF246/((Uн_лин/SQRT(3))*1000)*100,2),"")</f>
        <v>6.9999999999999993E-2</v>
      </c>
      <c r="EH246" t="str">
        <f>IFERROR(VLOOKUP(BT246,Кабель_обозначение,2,FALSE),"")</f>
        <v>ВВГнг(А)-LS</v>
      </c>
      <c r="EI246" t="str">
        <f t="shared" si="421"/>
        <v>ВВГнг(А)-LS (3х2,5)</v>
      </c>
      <c r="EJ246" t="str">
        <f t="shared" si="422"/>
        <v>ВВГнг(А)-LS (3х2,5)
L=32-0,07%</v>
      </c>
      <c r="EK246">
        <f>IFERROR(2*ρкз_Cu*Q246/DX246,"")</f>
        <v>0.67327999999999999</v>
      </c>
      <c r="EL246">
        <f t="shared" si="423"/>
        <v>0.22400000000000003</v>
      </c>
      <c r="EM246" s="6" t="str">
        <f>IFERROR(IF(OR(B246="",NOT(ISNUMBER(DX246)),N(Q246)=0),"",_xlfn.XLOOKUP(A246,Щиты[Щит],Щиты[Zпетли на шинах, Ом])+EK246),"")</f>
        <v/>
      </c>
      <c r="EN246" s="6" t="str">
        <f>IF(ISNUMBER(EM246),c_min*(Uн_лин*1000/SQRT(3))/EM246,"")</f>
        <v/>
      </c>
      <c r="EO246" s="6" t="str">
        <f>IFERROR(IF(OR(B246="",NOT(ISNUMBER(DX246))),"",1.05*(Uн_лин*1000/SQRT(3))/(_xlfn.XLOOKUP(A246,Щиты[Щит],Щиты[Zmax на шинах, Ом])+EL246)/1000),"")</f>
        <v/>
      </c>
      <c r="EP246" s="6" t="str">
        <f>IF(B246="","",IF(ISNUMBER(Y246),"Сил",IF(IFERROR(_xlfn.XLOOKUP(AX246,Коды_код,Коды_группа)&amp;"","")="","Быт",_xlfn.XLOOKUP(AX246,Коды_код,Коды_группа)&amp;"")))</f>
        <v>Быт</v>
      </c>
      <c r="EQ246" s="6" t="str">
        <f t="shared" si="424"/>
        <v>Быт</v>
      </c>
      <c r="ER246" s="6">
        <f>IF(EQ246="Щит","щит",IF(EQ246="","",IF(EQ246="Быт",IFERROR(_xlfn.XLOOKUP(A246,Щиты[Щит],Щиты[Кс быт]),1),IF(EQ246="Сил",IF(ISNUMBER(Y246),Y246,IF(Методика="нормы 2026",IFERROR(_xlfn.XLOOKUP(A246,Щиты[Щит],Щиты[Кс силовых (табл. 7.5)]),1),1)),IF(OR(EQ246="Пост",EQ246="Отоп"),1,IF(EQ246="ВНГ",0.7,0))))))</f>
        <v>0.57830000000000004</v>
      </c>
      <c r="ES246">
        <f t="shared" si="425"/>
        <v>1</v>
      </c>
      <c r="ET246">
        <f t="shared" si="426"/>
        <v>0.06</v>
      </c>
      <c r="EU246">
        <f t="shared" si="427"/>
        <v>0.06</v>
      </c>
      <c r="EV246">
        <f t="shared" si="428"/>
        <v>0</v>
      </c>
      <c r="EW246">
        <f t="shared" si="429"/>
        <v>0</v>
      </c>
      <c r="EX246">
        <f t="shared" si="430"/>
        <v>0</v>
      </c>
      <c r="EY246">
        <f t="shared" si="431"/>
        <v>0</v>
      </c>
      <c r="EZ246">
        <f t="shared" si="432"/>
        <v>0.06</v>
      </c>
      <c r="FA246">
        <f t="shared" si="433"/>
        <v>5.6999999999999995E-2</v>
      </c>
      <c r="FB246">
        <f t="shared" si="434"/>
        <v>0.06</v>
      </c>
      <c r="FC246" t="str">
        <f t="shared" si="435"/>
        <v/>
      </c>
      <c r="FD246" t="str">
        <f>IF(B246="","",IF(CA246=0,IF(AW246=1,"",FF245),IF(OR(N(CV246)&gt;=3,N(BR246)&gt;=3),"L1,L2,L3",IFERROR(_xlfn.TEXTBEFORE(_xlfn.TEXTAFTER(_xlfn.XLOOKUP(A246,Щиты[Щит],Щиты[_фазы авто]),";"&amp;AW246&amp;":"),";"),"L1"))))</f>
        <v>L2</v>
      </c>
      <c r="FE246" t="str">
        <f t="shared" si="436"/>
        <v>L2</v>
      </c>
      <c r="FF246" t="str">
        <f t="shared" si="437"/>
        <v>L2</v>
      </c>
      <c r="FG246" cm="1">
        <f t="array" ref="FG246">IFERROR(IF(BX246=2,_xlfn.IFS(BR246=3,VLOOKUP(BN246,Справочная_двигатели,3,FALSE),BR246=1,VLOOKUP(BN246,Справочная_двигатели,5,TRUE)),0),0)</f>
        <v>0</v>
      </c>
      <c r="FH246">
        <f>IFERROR(IF(BX246=3,VLOOKUP(BN246,Справочная_ЛЭД,2,TRUE),0),0)</f>
        <v>0</v>
      </c>
      <c r="FI246" s="6">
        <f t="shared" si="438"/>
        <v>0</v>
      </c>
      <c r="FJ246" t="str" cm="1">
        <f t="array" ref="FJ246">IF(B246="","",IFERROR(INDEX({"I особая","I","II","III"},MATCH(TRIM(AC246&amp;""),{"I особая","I","II","III"},0)),"III"))</f>
        <v>II</v>
      </c>
      <c r="FK246" t="str">
        <f>IF(B246="","",IF(TRIM(AD246&amp;"")&lt;&gt;"",IF(LOWER(TRIM(AD246&amp;""))="да","да","нет"),IF(IFERROR(_xlfn.XLOOKUP(AX246,Коды_код,Коды_пожарная),"")="да","да","нет")))</f>
        <v>нет</v>
      </c>
      <c r="FL246" t="str">
        <f t="shared" si="439"/>
        <v/>
      </c>
      <c r="FM246" t="str">
        <f t="shared" si="440"/>
        <v>основная</v>
      </c>
      <c r="FN246">
        <f t="shared" si="441"/>
        <v>1</v>
      </c>
      <c r="FO246" t="str" cm="1">
        <f t="array" ref="FO246">IF(B246="","",_xlfn.LET(_xlpm.t,IFERROR(_xlfn.XLOOKUP(1,(Шины[Шина]=FM246)*(((Шины[Щит]=A246)+(Шины[Щит]=""))&gt;0),Шины[Тип]),"")&amp;"",IF(_xlpm.t&lt;&gt;"",_xlpm.t,IF(ISNUMBER(SEARCH("ИБП",FM246)),"ИБП",IF(ISNUMBER(SEARCH("ДГУ",FM246)),"ДГУ","Ввод "&amp;FN246)))))</f>
        <v>Ввод 1</v>
      </c>
      <c r="FP246" t="str">
        <f t="shared" si="442"/>
        <v>Ввод 1</v>
      </c>
      <c r="FQ246" t="str">
        <f>IF(B246="","",IF(OR(FO246="ИБП",FO246="ДГУ"),"I особая",IF(FO246="Одиночная","III",_xlfn.XLOOKUP(A246,Щиты[Щит],Щиты[Категория шины «Ввод»],"III"))))</f>
        <v>II</v>
      </c>
      <c r="FR246">
        <f>IF(B246="",0,IFERROR(MATCH(FJ246,{"III","II","I","I особая"},0),1))</f>
        <v>2</v>
      </c>
      <c r="FS246">
        <f t="shared" si="443"/>
        <v>2</v>
      </c>
      <c r="FT246" t="str">
        <f>IF(B246="","",IF(FR246&gt;IFERROR(MATCH(FQ246,{"III","II","I","I особая"},0),1),"НЕ ОБЕСПЕЧЕНА","ОК"))</f>
        <v>ОК</v>
      </c>
      <c r="FU246" t="str">
        <f>IF(A246="","",_xlfn.XLOOKUP(A246,Щиты[Щит],Щиты[Путь],""))</f>
        <v>|ГРЩ-ЖД|ЩР-1|</v>
      </c>
      <c r="FV246" t="str">
        <f>IF(B246="","",IF(AE246&lt;&gt;"",AE246,IF(IFERROR(_xlfn.XLOOKUP(AX246,Коды_код,Коды_вид)&amp;"","")="","Прочее",_xlfn.XLOOKUP(AX246,Коды_код,Коды_вид)&amp;"")))</f>
        <v>Розеточная сеть и бытовые приборы</v>
      </c>
      <c r="FW246">
        <f>IF(BH246="","",INT((BH246-1)/Столбцов_на_лист)+1)</f>
        <v>3</v>
      </c>
      <c r="FX246" t="str">
        <f t="shared" si="444"/>
        <v>ВВГнг(А)-LS (3х2,5) L=32-0,07%</v>
      </c>
      <c r="FY246">
        <f t="shared" si="445"/>
        <v>0.06</v>
      </c>
      <c r="FZ246">
        <f t="shared" si="446"/>
        <v>0.28000000000000003</v>
      </c>
      <c r="GA246">
        <f t="shared" si="447"/>
        <v>1</v>
      </c>
      <c r="GB246">
        <f t="shared" si="448"/>
        <v>0</v>
      </c>
      <c r="GC246">
        <f t="shared" si="449"/>
        <v>1</v>
      </c>
      <c r="GD246">
        <f>IF(BH246="","",IF(AND(CA246=1,GC246=1),COUNTIFS(A$3:A246,A246,CA$3:CA246,1,GC$3:GC246,1),IF(OR(OR(AW246=1,A246&lt;&gt;A245),AF246="вручную",GC246=0),"",IF(AW246=1,"",GE245))))</f>
        <v>22</v>
      </c>
      <c r="GE246">
        <f t="shared" si="450"/>
        <v>22</v>
      </c>
      <c r="GF246">
        <f>IF(B246="","",IFERROR(LOOKUP(INDEX(CHOOSE(DL246,Iдоп_1ж,Iдоп_2ж,Iдоп_3ж),MATCH(DX246,Iдоп_S,0))*DJ246*DK246,{6,10,16,20,25,32,40,50,63,80,100,125,160,200,250,315,400,500,630}),""))</f>
        <v>25</v>
      </c>
      <c r="GG246" t="str">
        <f t="shared" si="451"/>
        <v>QFD22</v>
      </c>
      <c r="GH246" t="str">
        <f t="shared" si="452"/>
        <v>QFD22</v>
      </c>
      <c r="GI246" t="str">
        <f t="shared" si="453"/>
        <v/>
      </c>
      <c r="GJ246">
        <f t="shared" si="454"/>
        <v>0</v>
      </c>
      <c r="GK246" t="str">
        <f>IF(OR(AG246="",AG246="-"),"",IFERROR(VLOOKUP(AG246,Модули_спр,2,FALSE),"R"))</f>
        <v/>
      </c>
      <c r="GL246" t="str">
        <f>IF(GK246="","",GK246&amp;"."&amp;COUNTIFS(A$3:A246,A246,GK$3:GK246,GK246))</f>
        <v/>
      </c>
      <c r="GM246" t="str">
        <f t="shared" si="455"/>
        <v/>
      </c>
      <c r="GN246" t="str">
        <f t="shared" si="456"/>
        <v/>
      </c>
      <c r="GO246" t="str">
        <f t="shared" si="457"/>
        <v/>
      </c>
      <c r="GP246" t="str">
        <f t="shared" si="458"/>
        <v/>
      </c>
      <c r="GQ246">
        <f t="shared" si="459"/>
        <v>1</v>
      </c>
      <c r="GR246" t="str">
        <f>IF(GQ246=1,"XT"&amp;COUNTIFS(A$3:A246,A246,GQ$3:GQ246,1),"")</f>
        <v>XT22</v>
      </c>
      <c r="GS246" t="str">
        <f t="shared" si="460"/>
        <v/>
      </c>
      <c r="GT246" t="str">
        <f t="shared" si="461"/>
        <v>QFD22</v>
      </c>
      <c r="GU246" t="str">
        <f t="shared" si="462"/>
        <v/>
      </c>
      <c r="GV246" t="str">
        <f t="shared" si="463"/>
        <v>ok</v>
      </c>
      <c r="GW246" t="str">
        <f>IF(OR(GO246="",GM246=""),"",IF(GO246&gt;IFERROR(VLOOKUP(GN246,Модули_спр,3,FALSE),99),"ЛИШНИЙ КАНАЛ",IF(AND(AH246&lt;&gt;"=",COUNTIFS(Линии[_модуль гр.],GM246,Линии[Канал (итог)],GO246,Линии[Канал],"&lt;&gt;=",Линии[Щит],A246)&gt;1),"ДУБЛЬ КАНАЛА","")))</f>
        <v/>
      </c>
      <c r="GX246" s="6" t="str">
        <f t="shared" si="464"/>
        <v/>
      </c>
      <c r="GY246">
        <f t="shared" si="465"/>
        <v>10</v>
      </c>
      <c r="GZ246" t="str">
        <f t="shared" si="466"/>
        <v/>
      </c>
      <c r="HA246" t="str">
        <f>IF(AND(B246="",GT246=""),"",_xlfn.TEXTJOIN("; ",TRUE,IF(AND(B246&lt;&gt;"",FE246=""),"нет фазы",""),IF(AND(B246&lt;&gt;"",N(FY246)=0,EQ246&lt;&gt;"Нет"),"нет мощности",""),IF(AND(GS246&lt;&gt;"",COUNTIFS(Линии[Щит],A246,Линии[Клемма (итог)],GS246)&gt;1),"дубль клеммы "&amp;GS246,""),IF(AND(GV246&lt;&gt;"",GV246&lt;&gt;"ok"),GV246,""),IF(GW246&lt;&gt;"",GW246,""),IF(AND(N(BV246)&gt;=4,N(BR246)=1),BV246&amp;" жил на 1 фазе",""),IF(AND(AX246="R",CA246=1,OR(N(CK246)=0,N(CK246)&gt;30)),"розетка без дифзащиты до 30 мА",""),IFERROR(IF(AND(ISNUMBER(R246),R246&gt;DV246),"потери "&amp;FIXED(R246,1)&amp;" % &gt; "&amp;DV246&amp;" %",""),""),IFERROR(IF(LEFT(GZ246,4)="мало","Iкз мало — отключение &gt; 0,4 с",""),""),IF(AND(B246&lt;&gt;"",BH246=""),"не на схеме",""),IF(AND(CA246=0,B246&lt;&gt;"",FE246&lt;&gt;"",IF(AW246=1,"",FF245)&lt;&gt;"",FE246&lt;&gt;IF(AW246=1,"",FF245)),"фаза не как у автомата группы ("&amp;IF(AW246=1,"",FF245)&amp;")","")))</f>
        <v/>
      </c>
      <c r="HB246" s="6">
        <f>IF(OR(CA246=0,DA246=""),"",_xlfn.LET(_xlpm.t,IFERROR(_xlfn.XLOOKUP(DA246,Каталог!$U$4:$U$500,Каталог!$G$4:$G$500),""),_xlpm.k,SEARCH("кА",_xlpm.t),IFERROR(--TRIM(RIGHT(SUBSTITUTE(MID(_xlpm.t,MAX(1,_xlpm.k-4),_xlpm.k-MAX(1,_xlpm.k-4))," ",REPT(" ",9)),5)),"")))</f>
        <v>6</v>
      </c>
      <c r="HC246" t="str">
        <f>IF(OR(HB246="",CA246=0),"",IF(_xlfn.XLOOKUP(A246,Щиты[Щит],Щиты[Iкз max на шинах, кА],"")="","",IF(HB246&lt;_xlfn.XLOOKUP(A246,Щиты[Щит],Щиты[Iкз max на шинах, кА]),"Icu "&amp;HB246&amp;" кА &lt; Iкз max","ok")))</f>
        <v/>
      </c>
      <c r="HD246" t="str">
        <f t="shared" si="467"/>
        <v/>
      </c>
      <c r="HE246" t="str">
        <f t="shared" si="468"/>
        <v>QFD22</v>
      </c>
      <c r="HF246" t="str">
        <f t="shared" si="469"/>
        <v>QFD22|кабель ВВГнг(А)-LS (3х2,5) → Розеточная группа, пом. 003Г</v>
      </c>
      <c r="HG246" t="str" cm="1">
        <f t="array" ref="HG246">IF(HF246="","",_xlfn.LET(_xlpm.nd,_xlfn.TEXTSPLIT(HF246,"|"),IF(COLUMNS(_xlpm.nd)&gt;1,A246&amp;"¦"&amp;INDEX(_xlpm.nd,1)&amp;"¦"&amp;INDEX(_xlpm.nd,2),"")))</f>
        <v>ЩР-1¦QFD22¦кабель ВВГнг(А)-LS (3х2,5) → Розеточная группа, пом. 003Г</v>
      </c>
      <c r="HH246" t="str">
        <f t="shared" si="470"/>
        <v>R.1.003Г.1¦Розеточная группа, пом. 003Г</v>
      </c>
      <c r="HI246" t="str" cm="1">
        <f t="array" ref="HI246">IF(HF246="","",_xlfn.LET(_xlpm.nd,_xlfn.TEXTSPLIT(HF246,"|"),IF(COLUMNS(_xlpm.nd)&gt;2,A246&amp;"¦"&amp;INDEX(_xlpm.nd,2)&amp;"¦"&amp;INDEX(_xlpm.nd,3),"")))</f>
        <v/>
      </c>
      <c r="HJ246" t="str">
        <f t="shared" si="471"/>
        <v/>
      </c>
      <c r="HK246" t="str" cm="1">
        <f t="array" ref="HK246">IF(HF246="","",_xlfn.LET(_xlpm.nd,_xlfn.TEXTSPLIT(HF246,"|"),IF(COLUMNS(_xlpm.nd)&gt;3,A246&amp;"¦"&amp;INDEX(_xlpm.nd,3)&amp;"¦"&amp;INDEX(_xlpm.nd,4),"")))</f>
        <v/>
      </c>
      <c r="HL246" t="str">
        <f t="shared" si="472"/>
        <v/>
      </c>
      <c r="HM246" t="str" cm="1">
        <f t="array" ref="HM246">IF(HF246="","",_xlfn.LET(_xlpm.nd,_xlfn.TEXTSPLIT(HF246,"|"),IF(COLUMNS(_xlpm.nd)&gt;4,A246&amp;"¦"&amp;INDEX(_xlpm.nd,4)&amp;"¦"&amp;INDEX(_xlpm.nd,5),"")))</f>
        <v/>
      </c>
      <c r="HN246" t="str">
        <f t="shared" si="473"/>
        <v/>
      </c>
      <c r="HO246" t="str" cm="1">
        <f t="array" ref="HO246">IF(HF246="","",_xlfn.LET(_xlpm.nd,_xlfn.TEXTSPLIT(HF246,"|"),IF(COLUMNS(_xlpm.nd)&gt;5,A246&amp;"¦"&amp;INDEX(_xlpm.nd,5)&amp;"¦"&amp;INDEX(_xlpm.nd,6),"")))</f>
        <v/>
      </c>
      <c r="HP246" t="str">
        <f t="shared" si="474"/>
        <v/>
      </c>
      <c r="HQ246" t="str" cm="1">
        <f t="array" ref="HQ246">IF(HF246="","",_xlfn.LET(_xlpm.nd,_xlfn.TEXTSPLIT(HF246,"|"),IF(COLUMNS(_xlpm.nd)&gt;6,A246&amp;"¦"&amp;INDEX(_xlpm.nd,6)&amp;"¦"&amp;INDEX(_xlpm.nd,7),"")))</f>
        <v/>
      </c>
      <c r="HR246" t="str">
        <f t="shared" si="475"/>
        <v/>
      </c>
      <c r="HS246" t="str">
        <f t="shared" si="476"/>
        <v/>
      </c>
      <c r="HT246" t="str">
        <f t="shared" si="477"/>
        <v>QFD22</v>
      </c>
      <c r="HU246">
        <f t="shared" si="478"/>
        <v>0</v>
      </c>
      <c r="HV246">
        <f t="shared" si="479"/>
        <v>1</v>
      </c>
      <c r="HW246" t="str">
        <f t="shared" si="480"/>
        <v/>
      </c>
      <c r="HX246" t="str">
        <f t="shared" si="481"/>
        <v/>
      </c>
      <c r="HY246" t="str">
        <f t="shared" si="482"/>
        <v/>
      </c>
      <c r="HZ246" t="str">
        <f t="shared" si="483"/>
        <v/>
      </c>
      <c r="IA246" t="str">
        <f>IF(B246="","",IFERROR(VLOOKUP(B246,УГО_спр,2,FALSE),IFERROR(VLOOKUP(AX246,УГО_спр,2,FALSE),IFERROR(VLOOKUP(LEFT(AX246,2),УГО_спр,2,FALSE),""))))</f>
        <v>Розетка</v>
      </c>
      <c r="IB246" t="str">
        <f>IF(B246="","",IF(OR(IA246="",IA246=0),"BOX",IFERROR(IF(VLOOKUP(IA246,УГО_блоки,3,FALSE)&amp;""&lt;&gt;"",VLOOKUP(IA246,УГО_блоки,3,FALSE),VLOOKUP(IA246,УГО_блоки,2,FALSE)),IA246)))</f>
        <v>SOCKET</v>
      </c>
      <c r="IC246">
        <f t="shared" si="484"/>
        <v>1</v>
      </c>
      <c r="ID246" t="str">
        <f>IF(DA246="","",IF(COUNTIF(DA$3:DA246,DA246)=1,MAX(ID$2:ID245)+1,""))</f>
        <v/>
      </c>
      <c r="IE246" t="str">
        <f>IF(CO246="","",IF(COUNTIF(CO$3:CO246,CO246)+COUNTIF(CP$2:CP245,CO246)+COUNTIF(CQ$2:CQ245,CO246)=1,MAX(IE$2:IG245)+1,""))</f>
        <v/>
      </c>
      <c r="IF246" t="str">
        <f>IF(CP246="","",IF(COUNTIF(CO$3:CO246,CP246)+COUNTIF(CP$3:CP246,CP246)+COUNTIF(CQ$2:CQ245,CP246)=1,MAX(IE$2:IG245,IE246)+1,""))</f>
        <v/>
      </c>
      <c r="IG246" t="str">
        <f>IF(CQ246="","",IF(COUNTIF(CO$3:CO246,CQ246)+COUNTIF(CP$3:CP246,CQ246)+COUNTIF(CQ$3:CQ246,CQ246)=1,MAX(IE$2:IG245,IE246,IF246)+1,""))</f>
        <v/>
      </c>
      <c r="IH246" t="str">
        <f t="shared" si="485"/>
        <v>3х2,5</v>
      </c>
      <c r="II246" t="str">
        <f>IF(IH246="","",IF(COUNTIF(IH$3:IH246,IH246)=1,MAX(II$2:II245)+1,""))</f>
        <v/>
      </c>
      <c r="IJ246" t="str">
        <f>IF(GL246="","",COUNTIF(GL$3:GL246,"?*"))</f>
        <v/>
      </c>
      <c r="IK246" t="str">
        <f>IF(OR(GL246="",GN246=""),"",IF(COUNTIFS(GL$3:GL246,"?*",GN$3:GN246,GN246)=1,MAX(IK$2:IK245)+1,""))</f>
        <v/>
      </c>
      <c r="IL246">
        <f t="shared" si="486"/>
        <v>0</v>
      </c>
      <c r="IM246">
        <f>IF(B246="","",COUNTIF(B$3:B246,"?*"))</f>
        <v>244</v>
      </c>
      <c r="IN246">
        <f>IF(GQ246&lt;&gt;1,0,_xlfn.LET(_xlpm.k,MAX(IFERROR(--VLOOKUP(B246,УГО_спр,5,FALSE),0),IFERROR(--VLOOKUP(AX246,УГО_спр,5,FALSE),0),IFERROR(--VLOOKUP(LEFT(AX246,2),УГО_спр,5,FALSE),0)),IF(_xlpm.k&gt;0,_xlpm.k,IF(IFERROR(--LEFT(SUBSTITUTE(IH246,"x","х"),FIND("х",SUBSTITUTE(IH246,"x","х"))-1),3)&gt;3,Каталог!$S$9,1))))</f>
        <v>1</v>
      </c>
      <c r="IO246">
        <f t="shared" si="487"/>
        <v>0</v>
      </c>
      <c r="IP246" t="str">
        <f t="shared" si="488"/>
        <v>авто</v>
      </c>
      <c r="IQ246">
        <f t="shared" si="489"/>
        <v>30</v>
      </c>
      <c r="IR246">
        <f t="shared" si="490"/>
        <v>1</v>
      </c>
      <c r="IS246">
        <f t="shared" si="491"/>
        <v>1</v>
      </c>
    </row>
    <row r="247" spans="1:253" x14ac:dyDescent="0.3">
      <c r="A247" t="s">
        <v>759</v>
      </c>
      <c r="B247" t="s">
        <v>1512</v>
      </c>
      <c r="C247" t="str">
        <f>Линии[[#This Row],[_авто наименование]]</f>
        <v>Розеточная группа, пом. 004Aб</v>
      </c>
      <c r="D247">
        <v>4</v>
      </c>
      <c r="E247">
        <v>0.24</v>
      </c>
      <c r="G247" t="str">
        <f>Линии[[#This Row],[_авто автомат]]</f>
        <v>2P С16А 30мА</v>
      </c>
      <c r="H247">
        <f>Линии[[#This Row],[_авто утечка]]</f>
        <v>30</v>
      </c>
      <c r="I247" t="str">
        <f>Линии[[#This Row],[_авто управление]]</f>
        <v/>
      </c>
      <c r="J247" t="str">
        <f>Линии[[#This Row],[_авто аппараты]]</f>
        <v/>
      </c>
      <c r="K247">
        <v>2.5</v>
      </c>
      <c r="L247">
        <v>54</v>
      </c>
      <c r="M247" t="str">
        <f>Линии[[#This Row],[_авто фаза]]</f>
        <v>L3</v>
      </c>
      <c r="N247" t="s">
        <v>486</v>
      </c>
      <c r="O247" t="str">
        <f t="shared" si="369"/>
        <v/>
      </c>
      <c r="P247" s="6" cm="1">
        <f t="array" ref="P247">IF(B247="","",IF(BC247&lt;&gt;"",IFERROR(_xlfn.XLOOKUP(BC247,Щиты[Щит],Щиты[Iр, А]),""),IF(BK247=1,IFERROR(_xlfn.XLOOKUP(A247,Щиты[Щит],Щиты[Iр, А]),""),IFERROR(_xlfn.IFS(BR247=1,BN247/((Uн_лин/SQRT(3))*BY247),BR247=3,BN247/(SQRT(3)*Uн_лин*BY247)),""))))</f>
        <v>1.0939268258329751</v>
      </c>
      <c r="Q247" s="7">
        <f>IF(B247="","",IFERROR(IF(VLOOKUP(AX247,Потребители_обозначение,4,FALSE)=1,VLOOKUP(AX247,Потребители_обозначение,3,FALSE)*(D247*2-1)+DS247+VLOOKUP(AZ247,Этаж_обозначение,3,FALSE)+VLOOKUP(AZ247,Этаж_обозначение,4,FALSE),VLOOKUP(AX247,Потребители_обозначение,3,FALSE)*(D247*2-1)+DS247),DS247))</f>
        <v>75</v>
      </c>
      <c r="R247" s="6">
        <f t="shared" si="370"/>
        <v>1.7999999999999998</v>
      </c>
      <c r="S247" t="str">
        <f t="shared" si="371"/>
        <v>ВВГнг(А)-LS (3х2,5)</v>
      </c>
      <c r="T247" t="str">
        <f>IF(BH247="","",IF(BI247="вводной узел","узел ","")&amp;"л."&amp;(INT((BH247-1)/Столбцов_на_лист)+1)&amp;" / "&amp;(MOD(BH247-1,Столбцов_на_лист)+1))</f>
        <v>л.3 / 8</v>
      </c>
      <c r="V247">
        <v>1</v>
      </c>
      <c r="W247">
        <v>230</v>
      </c>
      <c r="X247" t="s">
        <v>564</v>
      </c>
      <c r="AC247" t="s">
        <v>815</v>
      </c>
      <c r="AE247" t="s">
        <v>563</v>
      </c>
      <c r="AI247">
        <v>42</v>
      </c>
      <c r="AJ247" t="s">
        <v>11</v>
      </c>
      <c r="AK247">
        <v>3</v>
      </c>
      <c r="AM247">
        <v>28</v>
      </c>
      <c r="AN247">
        <v>47</v>
      </c>
      <c r="AO247">
        <v>0</v>
      </c>
      <c r="AW247" cm="1">
        <f t="array" ref="AW247">ROW()-ROW(Линии[#Headers])</f>
        <v>245</v>
      </c>
      <c r="AX247" s="6" t="str">
        <f t="shared" si="372"/>
        <v>R</v>
      </c>
      <c r="AY247" t="str">
        <f t="shared" si="373"/>
        <v>1.004Aб.1</v>
      </c>
      <c r="AZ247" t="str">
        <f t="shared" si="374"/>
        <v>1</v>
      </c>
      <c r="BA247" t="str">
        <f t="shared" si="375"/>
        <v>004Aб.1</v>
      </c>
      <c r="BB247" t="str">
        <f t="shared" si="376"/>
        <v>004Aб</v>
      </c>
      <c r="BC247" t="str">
        <f>IF(U247&lt;&gt;"",U247,IF(AND(B247&lt;&gt;"",B247&lt;&gt;A247,ISNUMBER(_xlfn.XMATCH(B247,Щиты[Щит]))),B247,""))</f>
        <v/>
      </c>
      <c r="BD247" t="str" cm="1">
        <f t="array" ref="BD247">IF(B247="","",IF(BC247&lt;&gt;"","Щит "&amp;BC247,_xlfn.LET(_xlpm.nm,IFERROR(_xlfn.XLOOKUP(AX247,Коды_код,Коды_имя)&amp;"",""),_xlpm.md,IFERROR(N(_xlfn.XLOOKUP(AX247,Коды_код,Коды_режим)),1),_xlpm.ex,IF(Имя_режим="по экспликации",IFERROR(_xlfn.XLOOKUP(AZ247&amp;"|"&amp;BB247,Экспликация[Этаж]&amp;"|"&amp;Экспликация[Помещение],Экспликация[Название])&amp;"",""),""),_xlpm.rm,IF(BB247="","",IF(_xlpm.ex&lt;&gt;"",". "&amp;_xlpm.ex&amp;IF(Имя_пом="нет"," ("&amp;BB247&amp;")"," (пом. "&amp;BB247&amp;")"),IF(Имя_пом="нет"," ",", пом. ")&amp;BB247)),IF(_xlpm.nm="","",IF(_xlpm.md=2,_xlpm.nm&amp;" шлейф "&amp;AZ247,_xlpm.nm&amp;_xlpm.rm)))))</f>
        <v>Розеточная группа, пом. 004Aб</v>
      </c>
      <c r="BE247" t="str">
        <f t="shared" si="377"/>
        <v>Розеточная группа, пом. 004Aб</v>
      </c>
      <c r="BF247">
        <f>IFERROR(_xlfn.XMATCH(A247,Щиты[Щит]),0)</f>
        <v>10</v>
      </c>
      <c r="BG247">
        <f>_xlfn.LET(_xlpm.k,IFERROR(_xlfn.XLOOKUP(A247,Щиты[Щит],Щиты[Листов под вводной узел]),""),IF(_xlpm.k="",1,N(_xlpm.k))*Столбцов_на_лист)</f>
        <v>17</v>
      </c>
      <c r="BH247">
        <f t="shared" si="378"/>
        <v>42</v>
      </c>
      <c r="BI247" t="str">
        <f t="shared" si="379"/>
        <v>линии</v>
      </c>
      <c r="BJ247" s="6">
        <f>IFERROR(N(_xlfn.XLOOKUP(AX247,Коды_код,Коды_квт)),0)</f>
        <v>0</v>
      </c>
      <c r="BK247">
        <f t="shared" si="380"/>
        <v>0</v>
      </c>
      <c r="BL247" t="str">
        <f>IF(B247="","",IF(BC247&lt;&gt;"",IFERROR(_xlfn.XLOOKUP(BC247,Щиты[Щит],Щиты[Руст, кВт]),0),IF(BK247=1,IFERROR(_xlfn.XLOOKUP(A247,Щиты[Щит],Щиты[Руст, кВт]),0),IF(BJ247&gt;0,ROUND(BJ247*MAX(1,N(D247)),3),""))))</f>
        <v/>
      </c>
      <c r="BM247">
        <f t="shared" si="381"/>
        <v>0.24</v>
      </c>
      <c r="BN247" s="6">
        <f>IF(B247="","",IF(BC247&lt;&gt;"",IFERROR(_xlfn.XLOOKUP(BC247,Щиты[Щит],Щиты[Руст, кВт]),0),N(BM247)))</f>
        <v>0.24</v>
      </c>
      <c r="BO247" t="str">
        <f>IF(B247="","",IFERROR(IF(VLOOKUP(AX247,Потребители_обозначение,8,FALSE)=0,"",VLOOKUP(AX247,Потребители_обозначение,8,FALSE)),""))</f>
        <v/>
      </c>
      <c r="BP247">
        <f t="shared" si="382"/>
        <v>230</v>
      </c>
      <c r="BQ247">
        <f>IF(B247="","",IF(BC247&lt;&gt;"",3,IFERROR(IF(N(VLOOKUP(AX247,Потребители_обозначение,9,FALSE))=0,1,VLOOKUP(AX247,Потребители_обозначение,9,FALSE)),1)))</f>
        <v>1</v>
      </c>
      <c r="BR247">
        <f t="shared" si="383"/>
        <v>1</v>
      </c>
      <c r="BS247" t="str">
        <f>IF(B247="","",_xlfn.LET(_xlpm.bc,IFERROR(IF(VLOOKUP(AX247,Потребители_обозначение,6,FALSE)=0,"",VLOOKUP(AX247,Потребители_обозначение,6,FALSE)&amp;""),""),IF(AND(FK247="да",OR(_xlpm.bc="",_xlpm.bc="мс")),Марка_пож,IF(AND(_xlpm.bc="",BC247&lt;&gt;""),"мс",_xlpm.bc))))</f>
        <v/>
      </c>
      <c r="BT247" t="str">
        <f t="shared" si="384"/>
        <v>мс</v>
      </c>
      <c r="BU247">
        <f>IF(B247="","",_xlfn.LET(_xlpm.cc,IFERROR(N(VLOOKUP(AX247,Потребители_обозначение,7,FALSE)),0),IF(_xlpm.cc&gt;0,_xlpm.cc,IF(BT247="","",IF(N(BR247)=3,5,3)))))</f>
        <v>3</v>
      </c>
      <c r="BV247">
        <f t="shared" si="385"/>
        <v>3</v>
      </c>
      <c r="BW247">
        <f>IFERROR(N(VLOOKUP(AX247,Потребители_обозначение,10,FALSE)),0)</f>
        <v>0</v>
      </c>
      <c r="BX247">
        <f>IFERROR(VLOOKUP(AX247,Потребители_обозначение,5,FALSE),0)</f>
        <v>1</v>
      </c>
      <c r="BY247" s="6" cm="1">
        <f t="array" ref="BY247">IF(B247="","",IF(BC247&lt;&gt;"",IFERROR(_xlfn.XLOOKUP(BC247,Щиты[Щит],Щиты[cos φ]),0.95),IF(BK247=1,IFERROR(_xlfn.XLOOKUP(A247,Щиты[Щит],Щиты[cos φ]),0.95),IF(ISNUMBER(Z247),Z247,IFERROR(IF(BX247=2,_xlfn.IFS(BR247=3,VLOOKUP(BN247,Справочная_двигатели,8,FALSE),BR247=1,VLOOKUP(BN247,Справочная_двигатели,10,TRUE)),IF(AND(Методика="нормы 2026",EQ247="Сил"),0.8,0.95)),0.95)))))</f>
        <v>0.95</v>
      </c>
      <c r="BZ247">
        <f t="shared" si="386"/>
        <v>0</v>
      </c>
      <c r="CA247">
        <f t="shared" si="387"/>
        <v>1</v>
      </c>
      <c r="CB247">
        <f t="shared" si="388"/>
        <v>0</v>
      </c>
      <c r="CC247">
        <f t="shared" si="389"/>
        <v>0</v>
      </c>
      <c r="CD247">
        <f t="shared" si="390"/>
        <v>0</v>
      </c>
      <c r="CE247">
        <f t="shared" si="391"/>
        <v>0</v>
      </c>
      <c r="CF247">
        <f t="shared" si="392"/>
        <v>0</v>
      </c>
      <c r="CG247">
        <f>IF(AX247="",0,_xlfn.LET(_xlpm.v,IFERROR(VLOOKUP(B247,УГО_спр,3,FALSE),IFERROR(VLOOKUP(AX247,УГО_спр,3,FALSE),IFERROR(VLOOKUP(LEFT(AX247,2),УГО_спр,3,FALSE),""))),IF(_xlpm.v="да",30,IF(ISNUMBER(_xlpm.v),_xlpm.v,0))))</f>
        <v>30</v>
      </c>
      <c r="CH247">
        <f t="shared" si="393"/>
        <v>30</v>
      </c>
      <c r="CI247" t="str">
        <f>_xlfn.LET(_xlpm.k,IFERROR(_xlfn.XLOOKUP(AX247,Коды_код,Коды_утечка)&amp;"",""),IF(_xlpm.k="","дифавтомат",_xlpm.k))</f>
        <v>дифавтомат</v>
      </c>
      <c r="CJ247">
        <f t="shared" si="394"/>
        <v>30</v>
      </c>
      <c r="CK247">
        <f t="shared" si="395"/>
        <v>30</v>
      </c>
      <c r="CL247">
        <f>IF(B247="",0,IFERROR(--VLOOKUP(B247,УГО_спр,4,FALSE),IFERROR(--VLOOKUP(AX247,УГО_спр,4,FALSE),IFERROR(--VLOOKUP(LEFT(AX247,2),УГО_спр,4,FALSE),0))))</f>
        <v>16</v>
      </c>
      <c r="CM247" t="str">
        <f>IF(B247="","",IFERROR(_xlfn.XLOOKUP(AX247,Коды_код,Коды_апп)&amp;"",""))</f>
        <v/>
      </c>
      <c r="CN247" t="str">
        <f t="shared" si="396"/>
        <v/>
      </c>
      <c r="CO247" t="str" cm="1">
        <f t="array" ref="CO247">IF(TRIM(CN247&amp;"")="","",IFERROR(TRIM(INDEX(_xlfn.TEXTSPLIT(CN247&amp;";;;",";"),1)),""))</f>
        <v/>
      </c>
      <c r="CP247" t="str" cm="1">
        <f t="array" ref="CP247">IF(TRIM(CN247&amp;"")="","",IFERROR(TRIM(INDEX(_xlfn.TEXTSPLIT(CN247&amp;";;;",";"),2)),""))</f>
        <v/>
      </c>
      <c r="CQ247" t="str" cm="1">
        <f t="array" ref="CQ247">IF(TRIM(CN247&amp;"")="","",IFERROR(TRIM(INDEX(_xlfn.TEXTSPLIT(CN247&amp;";;;",";"),3)),""))</f>
        <v/>
      </c>
      <c r="CR247">
        <f t="shared" si="397"/>
        <v>0</v>
      </c>
      <c r="CS247" t="str">
        <f>IF(B247="","",_xlfn.LET(_xlpm.t,LOWER(AV247&amp;""),IF(ISNUMBER(SEARCH("dim",_xlpm.t)),"DIM",IF(ISNUMBER(SEARCH("dali",_xlpm.t)),"DALI",IF(OR(ISNUMBER(SEARCH("relay",_xlpm.t)),ISNUMBER(SEARCH("реле",_xlpm.t))),"Relay",IF(ISNUMBER(SEARCH("кнопк",_xlpm.t)),"",IFERROR(_xlfn.XLOOKUP(AX247,Коды_код,Коды_упр)&amp;"","")))))))</f>
        <v/>
      </c>
      <c r="CT247" t="str">
        <f t="shared" si="398"/>
        <v/>
      </c>
      <c r="CU247">
        <f>IF(B247="","",_xlfn.LET(_xlpm.ig,N(P247)+IF(AF247="вручную",0,N(CB247)),_xlpm.n0,IFERROR(VLOOKUP(_xlpm.ig,Автомат_номиналы,2,TRUE),0),_xlpm.mn,MAX(CL247,IF(AF247="вручную",0,N(CE247))),MAX(_xlpm.n0,_xlpm.mn,IF(CR247=1,Мин_автомат_БП,0))))</f>
        <v>16</v>
      </c>
      <c r="CV247">
        <f t="shared" si="399"/>
        <v>1</v>
      </c>
      <c r="CW247" t="str">
        <f t="shared" si="400"/>
        <v>2P</v>
      </c>
      <c r="CX247" t="str">
        <f>_xlfn.LET(_xlpm.cc,UPPER(TRIM(IFERROR(_xlfn.XLOOKUP(AX247,Коды_код,Коды_хар)&amp;"",""))),IF(OR(_xlpm.cc="B",_xlpm.cc="В"),"B",IF(_xlpm.cc="D","D","С")))</f>
        <v>С</v>
      </c>
      <c r="CY247" t="str">
        <f t="shared" si="401"/>
        <v>2P С16А 30мА</v>
      </c>
      <c r="CZ247" t="str">
        <f t="shared" si="402"/>
        <v>2P С16А 30мА</v>
      </c>
      <c r="DA247" t="str">
        <f t="shared" si="403"/>
        <v>2P С16А 30мА</v>
      </c>
      <c r="DB247" cm="1">
        <f t="array" ref="DB247">IF(DA247="","",_xlfn.LET(_xlpm.t,SUBSTITUTE(SUBSTITUTE(SUBSTITUTE(UPPER(DA247),"С","C"),"А","A"),"В","B"),_xlpm.tk,_xlfn.TEXTSPLIT(_xlpm.t,"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7" t="str">
        <f t="shared" si="404"/>
        <v>ok</v>
      </c>
      <c r="DD247">
        <f t="shared" si="405"/>
        <v>16</v>
      </c>
      <c r="DE247" t="str">
        <f t="shared" si="406"/>
        <v>2P С16А 30мА</v>
      </c>
      <c r="DF247">
        <f t="shared" si="407"/>
        <v>30</v>
      </c>
      <c r="DG247">
        <f t="shared" si="408"/>
        <v>1</v>
      </c>
      <c r="DH247">
        <f t="shared" si="409"/>
        <v>0</v>
      </c>
      <c r="DI247">
        <f t="shared" si="410"/>
        <v>1.0939268258329751</v>
      </c>
      <c r="DJ247">
        <f t="shared" si="411"/>
        <v>1</v>
      </c>
      <c r="DK247">
        <f>IF(ISNUMBER(AL247),AL247,К_прокл)</f>
        <v>1</v>
      </c>
      <c r="DL247">
        <f t="shared" si="412"/>
        <v>2</v>
      </c>
      <c r="DM247">
        <f>IFERROR(N(VLOOKUP(BT247,Кабель_обозначение,3,FALSE)),1)</f>
        <v>1</v>
      </c>
      <c r="DN247">
        <f>IFERROR(N(_xlfn.XLOOKUP(A247,Щиты[Щит],Щиты[ΔU до шин, %])),0)</f>
        <v>1.19</v>
      </c>
      <c r="DO247" t="str">
        <f>IFERROR(_xlfn.XLOOKUP(A247,Щиты[Щит],Щиты[Zпетли на шинах, Ом]),"")</f>
        <v/>
      </c>
      <c r="DP247">
        <f>IFERROR(N(_xlfn.XLOOKUP(A247,Щиты[Щит],Щиты[ΔU до шин (подбор), %])),0)</f>
        <v>1.19</v>
      </c>
      <c r="DQ247" t="str">
        <f>IFERROR(_xlfn.XLOOKUP(A247,Щиты[Щит],Щиты[Zпетли на шинах (подбор), Ом]),"")</f>
        <v/>
      </c>
      <c r="DR247" t="str">
        <f t="shared" si="413"/>
        <v/>
      </c>
      <c r="DS247">
        <f t="shared" si="414"/>
        <v>54</v>
      </c>
      <c r="DT247">
        <f t="shared" si="415"/>
        <v>2</v>
      </c>
      <c r="DU247">
        <f t="shared" si="416"/>
        <v>0.31</v>
      </c>
      <c r="DV247" s="6">
        <f>IF(B247="","",IF(IFERROR(VLOOKUP(AX247,УГО_спр,2,FALSE),"")="Светильник",3,4)+IF(Методика="нормы 2026",MIN(0.5,MAX(0,N(Q247)-100)*0.005),0))</f>
        <v>4</v>
      </c>
      <c r="DW247" cm="1">
        <f t="array" ref="DW247">IF(OR(B247="",BT247="",DM247&lt;&gt;1),"",_xlfn.LET(_xlpm.sz,Iдоп_S,_xlpm.t_,CHOOSE(DL247,Iдоп_1ж,Iдоп_2ж,Iдоп_3ж)*DJ247*DK247,_xlpm.inn,N(DD247),_xlpm.smin,MAX(1.5,BW247),_xlpm.L_,N(Q247)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247)*(_xlpm.rho*_xlpm.L_/_xlpm.sz*N(BY247)+_xlpm.xx*_xlpm.L_*N(DU247)/1000)*N(P247)/((Uн_лин/SQRT(3))*1000)*100,999),_xlpm.kz,IF(OR(DG247=1,NOT(ISNUMBER(DQ247)),_xlpm.L_=0,_xlpm.inn=0),1,IFERROR(--(c_min*(Uн_лин*1000/SQRT(3))/(DQ247+2*ρкз_Cu*_xlpm.L_/_xlpm.sz)&gt;=GY247*_xlpm.inn),0)),_xlpm.ok,IFERROR((_xlpm.sz&gt;=_xlpm.smin)*(_xlpm.t_&gt;=_xlpm.inn)*IF(_xlpm.L_&gt;0,(_xlpm.du_+DP247&lt;=DV247+0.00001),1)*_xlpm.kz,0),_xlpm.r_,_xlfn._xlws.FILTER(_xlpm.sz,_xlpm.ok,"не подобрано"),INDEX(_xlpm.r_,1)))</f>
        <v>1.5</v>
      </c>
      <c r="DX247">
        <f t="shared" si="417"/>
        <v>2.5</v>
      </c>
      <c r="DY247" cm="1">
        <f t="array" ref="DY247">IF(OR(B247="",BT247="",DM247&lt;&gt;1),"",_xlfn.LET(_xlpm.sz,Iдоп_S,_xlpm.t_,CHOOSE(DL247,Iдоп_1ж,Iдоп_2ж,Iдоп_3ж)*DJ247*DK247,_xlpm.ok,IFERROR((_xlpm.sz&gt;=MAX(1.5,BW247))*(_xlpm.t_&gt;=N(DD247)),0),_xlpm.r_,_xlfn._xlws.FILTER(_xlpm.sz,_xlpm.ok,""),INDEX(_xlpm.r_,1)))</f>
        <v>1.5</v>
      </c>
      <c r="DZ247" s="6" cm="1">
        <f t="array" ref="DZ247">IFERROR(ROUNDUP(N(DT247)*(_xlfn.XLOOKUP(DY247,INDEX(Кабель_сопротивление,0,1),INDEX(Кабель_сопротивление,0,3))*N(Q247)/DY247*N(BY247)+_xlfn.XLOOKUP(DY247,INDEX(Кабель_сопротивление,0,1),INDEX(Кабель_сопротивление,0,2))*N(Q247)*N(DU247)/1000)*N(P247)/((Uн_лин/SQRT(3))*1000)*100,2),"")</f>
        <v>1.02</v>
      </c>
      <c r="EA247">
        <f>IFERROR(2*ρкз_Cu*N(Q247)/DY247,"")</f>
        <v>2.6300000000000003</v>
      </c>
      <c r="EB247">
        <f>IFERROR(VLOOKUP(DX247,Кабель_сопротивление,3,FALSE),"")</f>
        <v>2.2499999999999999E-2</v>
      </c>
      <c r="EC247">
        <f>IFERROR(VLOOKUP(DX247,Кабель_сопротивление,2,FALSE),"")</f>
        <v>0.1</v>
      </c>
      <c r="ED247">
        <f t="shared" si="418"/>
        <v>47</v>
      </c>
      <c r="EE247">
        <f t="shared" si="419"/>
        <v>0</v>
      </c>
      <c r="EF247">
        <f t="shared" si="420"/>
        <v>1.4080479138709139</v>
      </c>
      <c r="EG247" s="6">
        <f>IFERROR(ROUNDUP(EF247/((Uн_лин/SQRT(3))*1000)*100,2),"")</f>
        <v>0.61</v>
      </c>
      <c r="EH247" t="str">
        <f>IFERROR(VLOOKUP(BT247,Кабель_обозначение,2,FALSE),"")</f>
        <v>ВВГнг(А)-LS</v>
      </c>
      <c r="EI247" t="str">
        <f t="shared" si="421"/>
        <v>ВВГнг(А)-LS (3х2,5)</v>
      </c>
      <c r="EJ247" t="str">
        <f t="shared" si="422"/>
        <v>ВВГнг(А)-LS (3х2,5)
L=75-0,61%</v>
      </c>
      <c r="EK247">
        <f>IFERROR(2*ρкз_Cu*Q247/DX247,"")</f>
        <v>1.5780000000000001</v>
      </c>
      <c r="EL247">
        <f t="shared" si="423"/>
        <v>0.52500000000000013</v>
      </c>
      <c r="EM247" s="6" t="str">
        <f>IFERROR(IF(OR(B247="",NOT(ISNUMBER(DX247)),N(Q247)=0),"",_xlfn.XLOOKUP(A247,Щиты[Щит],Щиты[Zпетли на шинах, Ом])+EK247),"")</f>
        <v/>
      </c>
      <c r="EN247" s="6" t="str">
        <f>IF(ISNUMBER(EM247),c_min*(Uн_лин*1000/SQRT(3))/EM247,"")</f>
        <v/>
      </c>
      <c r="EO247" s="6" t="str">
        <f>IFERROR(IF(OR(B247="",NOT(ISNUMBER(DX247))),"",1.05*(Uн_лин*1000/SQRT(3))/(_xlfn.XLOOKUP(A247,Щиты[Щит],Щиты[Zmax на шинах, Ом])+EL247)/1000),"")</f>
        <v/>
      </c>
      <c r="EP247" s="6" t="str">
        <f>IF(B247="","",IF(ISNUMBER(Y247),"Сил",IF(IFERROR(_xlfn.XLOOKUP(AX247,Коды_код,Коды_группа)&amp;"","")="","Быт",_xlfn.XLOOKUP(AX247,Коды_код,Коды_группа)&amp;"")))</f>
        <v>Быт</v>
      </c>
      <c r="EQ247" s="6" t="str">
        <f t="shared" si="424"/>
        <v>Быт</v>
      </c>
      <c r="ER247" s="6">
        <f>IF(EQ247="Щит","щит",IF(EQ247="","",IF(EQ247="Быт",IFERROR(_xlfn.XLOOKUP(A247,Щиты[Щит],Щиты[Кс быт]),1),IF(EQ247="Сил",IF(ISNUMBER(Y247),Y247,IF(Методика="нормы 2026",IFERROR(_xlfn.XLOOKUP(A247,Щиты[Щит],Щиты[Кс силовых (табл. 7.5)]),1),1)),IF(OR(EQ247="Пост",EQ247="Отоп"),1,IF(EQ247="ВНГ",0.7,0))))))</f>
        <v>0.57830000000000004</v>
      </c>
      <c r="ES247">
        <f t="shared" si="425"/>
        <v>1</v>
      </c>
      <c r="ET247">
        <f t="shared" si="426"/>
        <v>0.24</v>
      </c>
      <c r="EU247">
        <f t="shared" si="427"/>
        <v>0.24</v>
      </c>
      <c r="EV247">
        <f t="shared" si="428"/>
        <v>0</v>
      </c>
      <c r="EW247">
        <f t="shared" si="429"/>
        <v>0</v>
      </c>
      <c r="EX247">
        <f t="shared" si="430"/>
        <v>0</v>
      </c>
      <c r="EY247">
        <f t="shared" si="431"/>
        <v>0</v>
      </c>
      <c r="EZ247">
        <f t="shared" si="432"/>
        <v>0.24</v>
      </c>
      <c r="FA247">
        <f t="shared" si="433"/>
        <v>0.22799999999999998</v>
      </c>
      <c r="FB247">
        <f t="shared" si="434"/>
        <v>0.24</v>
      </c>
      <c r="FC247" t="str">
        <f t="shared" si="435"/>
        <v/>
      </c>
      <c r="FD247" t="str">
        <f>IF(B247="","",IF(CA247=0,IF(AW247=1,"",FF246),IF(OR(N(CV247)&gt;=3,N(BR247)&gt;=3),"L1,L2,L3",IFERROR(_xlfn.TEXTBEFORE(_xlfn.TEXTAFTER(_xlfn.XLOOKUP(A247,Щиты[Щит],Щиты[_фазы авто]),";"&amp;AW247&amp;":"),";"),"L1"))))</f>
        <v>L3</v>
      </c>
      <c r="FE247" t="str">
        <f t="shared" si="436"/>
        <v>L3</v>
      </c>
      <c r="FF247" t="str">
        <f t="shared" si="437"/>
        <v>L3</v>
      </c>
      <c r="FG247" cm="1">
        <f t="array" ref="FG247">IFERROR(IF(BX247=2,_xlfn.IFS(BR247=3,VLOOKUP(BN247,Справочная_двигатели,3,FALSE),BR247=1,VLOOKUP(BN247,Справочная_двигатели,5,TRUE)),0),0)</f>
        <v>0</v>
      </c>
      <c r="FH247">
        <f>IFERROR(IF(BX247=3,VLOOKUP(BN247,Справочная_ЛЭД,2,TRUE),0),0)</f>
        <v>0</v>
      </c>
      <c r="FI247" s="6">
        <f t="shared" si="438"/>
        <v>0</v>
      </c>
      <c r="FJ247" t="str" cm="1">
        <f t="array" ref="FJ247">IF(B247="","",IFERROR(INDEX({"I особая","I","II","III"},MATCH(TRIM(AC247&amp;""),{"I особая","I","II","III"},0)),"III"))</f>
        <v>II</v>
      </c>
      <c r="FK247" t="str">
        <f>IF(B247="","",IF(TRIM(AD247&amp;"")&lt;&gt;"",IF(LOWER(TRIM(AD247&amp;""))="да","да","нет"),IF(IFERROR(_xlfn.XLOOKUP(AX247,Коды_код,Коды_пожарная),"")="да","да","нет")))</f>
        <v>нет</v>
      </c>
      <c r="FL247" t="str">
        <f t="shared" si="439"/>
        <v/>
      </c>
      <c r="FM247" t="str">
        <f t="shared" si="440"/>
        <v>основная</v>
      </c>
      <c r="FN247">
        <f t="shared" si="441"/>
        <v>1</v>
      </c>
      <c r="FO247" t="str" cm="1">
        <f t="array" ref="FO247">IF(B247="","",_xlfn.LET(_xlpm.t,IFERROR(_xlfn.XLOOKUP(1,(Шины[Шина]=FM247)*(((Шины[Щит]=A247)+(Шины[Щит]=""))&gt;0),Шины[Тип]),"")&amp;"",IF(_xlpm.t&lt;&gt;"",_xlpm.t,IF(ISNUMBER(SEARCH("ИБП",FM247)),"ИБП",IF(ISNUMBER(SEARCH("ДГУ",FM247)),"ДГУ","Ввод "&amp;FN247)))))</f>
        <v>Ввод 1</v>
      </c>
      <c r="FP247" t="str">
        <f t="shared" si="442"/>
        <v>Ввод 1</v>
      </c>
      <c r="FQ247" t="str">
        <f>IF(B247="","",IF(OR(FO247="ИБП",FO247="ДГУ"),"I особая",IF(FO247="Одиночная","III",_xlfn.XLOOKUP(A247,Щиты[Щит],Щиты[Категория шины «Ввод»],"III"))))</f>
        <v>II</v>
      </c>
      <c r="FR247">
        <f>IF(B247="",0,IFERROR(MATCH(FJ247,{"III","II","I","I особая"},0),1))</f>
        <v>2</v>
      </c>
      <c r="FS247">
        <f t="shared" si="443"/>
        <v>2</v>
      </c>
      <c r="FT247" t="str">
        <f>IF(B247="","",IF(FR247&gt;IFERROR(MATCH(FQ247,{"III","II","I","I особая"},0),1),"НЕ ОБЕСПЕЧЕНА","ОК"))</f>
        <v>ОК</v>
      </c>
      <c r="FU247" t="str">
        <f>IF(A247="","",_xlfn.XLOOKUP(A247,Щиты[Щит],Щиты[Путь],""))</f>
        <v>|ГРЩ-ЖД|ЩР-1|</v>
      </c>
      <c r="FV247" t="str">
        <f>IF(B247="","",IF(AE247&lt;&gt;"",AE247,IF(IFERROR(_xlfn.XLOOKUP(AX247,Коды_код,Коды_вид)&amp;"","")="","Прочее",_xlfn.XLOOKUP(AX247,Коды_код,Коды_вид)&amp;"")))</f>
        <v>Розеточная сеть и бытовые приборы</v>
      </c>
      <c r="FW247">
        <f>IF(BH247="","",INT((BH247-1)/Столбцов_на_лист)+1)</f>
        <v>3</v>
      </c>
      <c r="FX247" t="str">
        <f t="shared" si="444"/>
        <v>ВВГнг(А)-LS (3х2,5) L=75-0,61%</v>
      </c>
      <c r="FY247">
        <f t="shared" si="445"/>
        <v>0.24</v>
      </c>
      <c r="FZ247">
        <f t="shared" si="446"/>
        <v>1.1000000000000001</v>
      </c>
      <c r="GA247">
        <f t="shared" si="447"/>
        <v>1</v>
      </c>
      <c r="GB247">
        <f t="shared" si="448"/>
        <v>0</v>
      </c>
      <c r="GC247">
        <f t="shared" si="449"/>
        <v>1</v>
      </c>
      <c r="GD247">
        <f>IF(BH247="","",IF(AND(CA247=1,GC247=1),COUNTIFS(A$3:A247,A247,CA$3:CA247,1,GC$3:GC247,1),IF(OR(OR(AW247=1,A247&lt;&gt;A246),AF247="вручную",GC247=0),"",IF(AW247=1,"",GE246))))</f>
        <v>23</v>
      </c>
      <c r="GE247">
        <f t="shared" si="450"/>
        <v>23</v>
      </c>
      <c r="GF247">
        <f>IF(B247="","",IFERROR(LOOKUP(INDEX(CHOOSE(DL247,Iдоп_1ж,Iдоп_2ж,Iдоп_3ж),MATCH(DX247,Iдоп_S,0))*DJ247*DK247,{6,10,16,20,25,32,40,50,63,80,100,125,160,200,250,315,400,500,630}),""))</f>
        <v>25</v>
      </c>
      <c r="GG247" t="str">
        <f t="shared" si="451"/>
        <v>QFD23</v>
      </c>
      <c r="GH247" t="str">
        <f t="shared" si="452"/>
        <v>QFD23</v>
      </c>
      <c r="GI247" t="str">
        <f t="shared" si="453"/>
        <v/>
      </c>
      <c r="GJ247">
        <f t="shared" si="454"/>
        <v>0</v>
      </c>
      <c r="GK247" t="str">
        <f>IF(OR(AG247="",AG247="-"),"",IFERROR(VLOOKUP(AG247,Модули_спр,2,FALSE),"R"))</f>
        <v/>
      </c>
      <c r="GL247" t="str">
        <f>IF(GK247="","",GK247&amp;"."&amp;COUNTIFS(A$3:A247,A247,GK$3:GK247,GK247))</f>
        <v/>
      </c>
      <c r="GM247" t="str">
        <f t="shared" si="455"/>
        <v/>
      </c>
      <c r="GN247" t="str">
        <f t="shared" si="456"/>
        <v/>
      </c>
      <c r="GO247" t="str">
        <f t="shared" si="457"/>
        <v/>
      </c>
      <c r="GP247" t="str">
        <f t="shared" si="458"/>
        <v/>
      </c>
      <c r="GQ247">
        <f t="shared" si="459"/>
        <v>1</v>
      </c>
      <c r="GR247" t="str">
        <f>IF(GQ247=1,"XT"&amp;COUNTIFS(A$3:A247,A247,GQ$3:GQ247,1),"")</f>
        <v>XT23</v>
      </c>
      <c r="GS247" t="str">
        <f t="shared" si="460"/>
        <v/>
      </c>
      <c r="GT247" t="str">
        <f t="shared" si="461"/>
        <v>QFD23</v>
      </c>
      <c r="GU247" t="str">
        <f t="shared" si="462"/>
        <v/>
      </c>
      <c r="GV247" t="str">
        <f t="shared" si="463"/>
        <v>ok</v>
      </c>
      <c r="GW247" t="str">
        <f>IF(OR(GO247="",GM247=""),"",IF(GO247&gt;IFERROR(VLOOKUP(GN247,Модули_спр,3,FALSE),99),"ЛИШНИЙ КАНАЛ",IF(AND(AH247&lt;&gt;"=",COUNTIFS(Линии[_модуль гр.],GM247,Линии[Канал (итог)],GO247,Линии[Канал],"&lt;&gt;=",Линии[Щит],A247)&gt;1),"ДУБЛЬ КАНАЛА","")))</f>
        <v/>
      </c>
      <c r="GX247" s="6" t="str">
        <f t="shared" si="464"/>
        <v/>
      </c>
      <c r="GY247">
        <f t="shared" si="465"/>
        <v>10</v>
      </c>
      <c r="GZ247" t="str">
        <f t="shared" si="466"/>
        <v/>
      </c>
      <c r="HA247" t="str">
        <f>IF(AND(B247="",GT247=""),"",_xlfn.TEXTJOIN("; ",TRUE,IF(AND(B247&lt;&gt;"",FE247=""),"нет фазы",""),IF(AND(B247&lt;&gt;"",N(FY247)=0,EQ247&lt;&gt;"Нет"),"нет мощности",""),IF(AND(GS247&lt;&gt;"",COUNTIFS(Линии[Щит],A247,Линии[Клемма (итог)],GS247)&gt;1),"дубль клеммы "&amp;GS247,""),IF(AND(GV247&lt;&gt;"",GV247&lt;&gt;"ok"),GV247,""),IF(GW247&lt;&gt;"",GW247,""),IF(AND(N(BV247)&gt;=4,N(BR247)=1),BV247&amp;" жил на 1 фазе",""),IF(AND(AX247="R",CA247=1,OR(N(CK247)=0,N(CK247)&gt;30)),"розетка без дифзащиты до 30 мА",""),IFERROR(IF(AND(ISNUMBER(R247),R247&gt;DV247),"потери "&amp;FIXED(R247,1)&amp;" % &gt; "&amp;DV247&amp;" %",""),""),IFERROR(IF(LEFT(GZ247,4)="мало","Iкз мало — отключение &gt; 0,4 с",""),""),IF(AND(B247&lt;&gt;"",BH247=""),"не на схеме",""),IF(AND(CA247=0,B247&lt;&gt;"",FE247&lt;&gt;"",IF(AW247=1,"",FF246)&lt;&gt;"",FE247&lt;&gt;IF(AW247=1,"",FF246)),"фаза не как у автомата группы ("&amp;IF(AW247=1,"",FF246)&amp;")","")))</f>
        <v/>
      </c>
      <c r="HB247" s="6">
        <f>IF(OR(CA247=0,DA247=""),"",_xlfn.LET(_xlpm.t,IFERROR(_xlfn.XLOOKUP(DA247,Каталог!$U$4:$U$500,Каталог!$G$4:$G$500),""),_xlpm.k,SEARCH("кА",_xlpm.t),IFERROR(--TRIM(RIGHT(SUBSTITUTE(MID(_xlpm.t,MAX(1,_xlpm.k-4),_xlpm.k-MAX(1,_xlpm.k-4))," ",REPT(" ",9)),5)),"")))</f>
        <v>6</v>
      </c>
      <c r="HC247" t="str">
        <f>IF(OR(HB247="",CA247=0),"",IF(_xlfn.XLOOKUP(A247,Щиты[Щит],Щиты[Iкз max на шинах, кА],"")="","",IF(HB247&lt;_xlfn.XLOOKUP(A247,Щиты[Щит],Щиты[Iкз max на шинах, кА]),"Icu "&amp;HB247&amp;" кА &lt; Iкз max","ok")))</f>
        <v/>
      </c>
      <c r="HD247" t="str">
        <f t="shared" si="467"/>
        <v/>
      </c>
      <c r="HE247" t="str">
        <f t="shared" si="468"/>
        <v>QFD23</v>
      </c>
      <c r="HF247" t="str">
        <f t="shared" si="469"/>
        <v>QFD23|кабель ВВГнг(А)-LS (3х2,5) → Розеточная группа, пом. 004Aб</v>
      </c>
      <c r="HG247" t="str" cm="1">
        <f t="array" ref="HG247">IF(HF247="","",_xlfn.LET(_xlpm.nd,_xlfn.TEXTSPLIT(HF247,"|"),IF(COLUMNS(_xlpm.nd)&gt;1,A247&amp;"¦"&amp;INDEX(_xlpm.nd,1)&amp;"¦"&amp;INDEX(_xlpm.nd,2),"")))</f>
        <v>ЩР-1¦QFD23¦кабель ВВГнг(А)-LS (3х2,5) → Розеточная группа, пом. 004Aб</v>
      </c>
      <c r="HH247" t="str">
        <f t="shared" si="470"/>
        <v>R.1.004Aб.1¦Розеточная группа, пом. 004Aб</v>
      </c>
      <c r="HI247" t="str" cm="1">
        <f t="array" ref="HI247">IF(HF247="","",_xlfn.LET(_xlpm.nd,_xlfn.TEXTSPLIT(HF247,"|"),IF(COLUMNS(_xlpm.nd)&gt;2,A247&amp;"¦"&amp;INDEX(_xlpm.nd,2)&amp;"¦"&amp;INDEX(_xlpm.nd,3),"")))</f>
        <v/>
      </c>
      <c r="HJ247" t="str">
        <f t="shared" si="471"/>
        <v/>
      </c>
      <c r="HK247" t="str" cm="1">
        <f t="array" ref="HK247">IF(HF247="","",_xlfn.LET(_xlpm.nd,_xlfn.TEXTSPLIT(HF247,"|"),IF(COLUMNS(_xlpm.nd)&gt;3,A247&amp;"¦"&amp;INDEX(_xlpm.nd,3)&amp;"¦"&amp;INDEX(_xlpm.nd,4),"")))</f>
        <v/>
      </c>
      <c r="HL247" t="str">
        <f t="shared" si="472"/>
        <v/>
      </c>
      <c r="HM247" t="str" cm="1">
        <f t="array" ref="HM247">IF(HF247="","",_xlfn.LET(_xlpm.nd,_xlfn.TEXTSPLIT(HF247,"|"),IF(COLUMNS(_xlpm.nd)&gt;4,A247&amp;"¦"&amp;INDEX(_xlpm.nd,4)&amp;"¦"&amp;INDEX(_xlpm.nd,5),"")))</f>
        <v/>
      </c>
      <c r="HN247" t="str">
        <f t="shared" si="473"/>
        <v/>
      </c>
      <c r="HO247" t="str" cm="1">
        <f t="array" ref="HO247">IF(HF247="","",_xlfn.LET(_xlpm.nd,_xlfn.TEXTSPLIT(HF247,"|"),IF(COLUMNS(_xlpm.nd)&gt;5,A247&amp;"¦"&amp;INDEX(_xlpm.nd,5)&amp;"¦"&amp;INDEX(_xlpm.nd,6),"")))</f>
        <v/>
      </c>
      <c r="HP247" t="str">
        <f t="shared" si="474"/>
        <v/>
      </c>
      <c r="HQ247" t="str" cm="1">
        <f t="array" ref="HQ247">IF(HF247="","",_xlfn.LET(_xlpm.nd,_xlfn.TEXTSPLIT(HF247,"|"),IF(COLUMNS(_xlpm.nd)&gt;6,A247&amp;"¦"&amp;INDEX(_xlpm.nd,6)&amp;"¦"&amp;INDEX(_xlpm.nd,7),"")))</f>
        <v/>
      </c>
      <c r="HR247" t="str">
        <f t="shared" si="475"/>
        <v/>
      </c>
      <c r="HS247" t="str">
        <f t="shared" si="476"/>
        <v/>
      </c>
      <c r="HT247" t="str">
        <f t="shared" si="477"/>
        <v>QFD23</v>
      </c>
      <c r="HU247">
        <f t="shared" si="478"/>
        <v>0</v>
      </c>
      <c r="HV247">
        <f t="shared" si="479"/>
        <v>1</v>
      </c>
      <c r="HW247" t="str">
        <f t="shared" si="480"/>
        <v/>
      </c>
      <c r="HX247" t="str">
        <f t="shared" si="481"/>
        <v/>
      </c>
      <c r="HY247" t="str">
        <f t="shared" si="482"/>
        <v/>
      </c>
      <c r="HZ247" t="str">
        <f t="shared" si="483"/>
        <v/>
      </c>
      <c r="IA247" t="str">
        <f>IF(B247="","",IFERROR(VLOOKUP(B247,УГО_спр,2,FALSE),IFERROR(VLOOKUP(AX247,УГО_спр,2,FALSE),IFERROR(VLOOKUP(LEFT(AX247,2),УГО_спр,2,FALSE),""))))</f>
        <v>Розетка</v>
      </c>
      <c r="IB247" t="str">
        <f>IF(B247="","",IF(OR(IA247="",IA247=0),"BOX",IFERROR(IF(VLOOKUP(IA247,УГО_блоки,3,FALSE)&amp;""&lt;&gt;"",VLOOKUP(IA247,УГО_блоки,3,FALSE),VLOOKUP(IA247,УГО_блоки,2,FALSE)),IA247)))</f>
        <v>SOCKET</v>
      </c>
      <c r="IC247">
        <f t="shared" si="484"/>
        <v>1</v>
      </c>
      <c r="ID247" t="str">
        <f>IF(DA247="","",IF(COUNTIF(DA$3:DA247,DA247)=1,MAX(ID$2:ID246)+1,""))</f>
        <v/>
      </c>
      <c r="IE247" t="str">
        <f>IF(CO247="","",IF(COUNTIF(CO$3:CO247,CO247)+COUNTIF(CP$2:CP246,CO247)+COUNTIF(CQ$2:CQ246,CO247)=1,MAX(IE$2:IG246)+1,""))</f>
        <v/>
      </c>
      <c r="IF247" t="str">
        <f>IF(CP247="","",IF(COUNTIF(CO$3:CO247,CP247)+COUNTIF(CP$3:CP247,CP247)+COUNTIF(CQ$2:CQ246,CP247)=1,MAX(IE$2:IG246,IE247)+1,""))</f>
        <v/>
      </c>
      <c r="IG247" t="str">
        <f>IF(CQ247="","",IF(COUNTIF(CO$3:CO247,CQ247)+COUNTIF(CP$3:CP247,CQ247)+COUNTIF(CQ$3:CQ247,CQ247)=1,MAX(IE$2:IG246,IE247,IF247)+1,""))</f>
        <v/>
      </c>
      <c r="IH247" t="str">
        <f t="shared" si="485"/>
        <v>3х2,5</v>
      </c>
      <c r="II247" t="str">
        <f>IF(IH247="","",IF(COUNTIF(IH$3:IH247,IH247)=1,MAX(II$2:II246)+1,""))</f>
        <v/>
      </c>
      <c r="IJ247" t="str">
        <f>IF(GL247="","",COUNTIF(GL$3:GL247,"?*"))</f>
        <v/>
      </c>
      <c r="IK247" t="str">
        <f>IF(OR(GL247="",GN247=""),"",IF(COUNTIFS(GL$3:GL247,"?*",GN$3:GN247,GN247)=1,MAX(IK$2:IK246)+1,""))</f>
        <v/>
      </c>
      <c r="IL247">
        <f t="shared" si="486"/>
        <v>0</v>
      </c>
      <c r="IM247">
        <f>IF(B247="","",COUNTIF(B$3:B247,"?*"))</f>
        <v>245</v>
      </c>
      <c r="IN247">
        <f>IF(GQ247&lt;&gt;1,0,_xlfn.LET(_xlpm.k,MAX(IFERROR(--VLOOKUP(B247,УГО_спр,5,FALSE),0),IFERROR(--VLOOKUP(AX247,УГО_спр,5,FALSE),0),IFERROR(--VLOOKUP(LEFT(AX247,2),УГО_спр,5,FALSE),0)),IF(_xlpm.k&gt;0,_xlpm.k,IF(IFERROR(--LEFT(SUBSTITUTE(IH247,"x","х"),FIND("х",SUBSTITUTE(IH247,"x","х"))-1),3)&gt;3,Каталог!$S$9,1))))</f>
        <v>1</v>
      </c>
      <c r="IO247">
        <f t="shared" si="487"/>
        <v>0</v>
      </c>
      <c r="IP247" t="str">
        <f t="shared" si="488"/>
        <v>авто</v>
      </c>
      <c r="IQ247">
        <f t="shared" si="489"/>
        <v>30</v>
      </c>
      <c r="IR247">
        <f t="shared" si="490"/>
        <v>1</v>
      </c>
      <c r="IS247">
        <f t="shared" si="491"/>
        <v>1</v>
      </c>
    </row>
    <row r="248" spans="1:253" x14ac:dyDescent="0.3">
      <c r="A248" t="s">
        <v>759</v>
      </c>
      <c r="B248" t="s">
        <v>1513</v>
      </c>
      <c r="C248" t="str">
        <f>Линии[[#This Row],[_авто наименование]]</f>
        <v>Розеточная группа, пом. 005A</v>
      </c>
      <c r="D248">
        <v>1</v>
      </c>
      <c r="E248">
        <v>0.06</v>
      </c>
      <c r="G248" t="str">
        <f>Линии[[#This Row],[_авто автомат]]</f>
        <v>2P С16А 30мА</v>
      </c>
      <c r="H248">
        <f>Линии[[#This Row],[_авто утечка]]</f>
        <v>30</v>
      </c>
      <c r="I248" t="str">
        <f>Линии[[#This Row],[_авто управление]]</f>
        <v/>
      </c>
      <c r="J248" t="str">
        <f>Линии[[#This Row],[_авто аппараты]]</f>
        <v/>
      </c>
      <c r="K248">
        <v>2.5</v>
      </c>
      <c r="L248">
        <v>28</v>
      </c>
      <c r="M248" t="str">
        <f>Линии[[#This Row],[_авто фаза]]</f>
        <v>L3</v>
      </c>
      <c r="N248" t="str">
        <f>Линии[[#This Row],[_авто клемма]]</f>
        <v>XT24</v>
      </c>
      <c r="O248" t="str">
        <f t="shared" si="369"/>
        <v/>
      </c>
      <c r="P248" s="6" cm="1">
        <f t="array" ref="P248">IF(B248="","",IF(BC248&lt;&gt;"",IFERROR(_xlfn.XLOOKUP(BC248,Щиты[Щит],Щиты[Iр, А]),""),IF(BK248=1,IFERROR(_xlfn.XLOOKUP(A248,Щиты[Щит],Щиты[Iр, А]),""),IFERROR(_xlfn.IFS(BR248=1,BN248/((Uн_лин/SQRT(3))*BY248),BR248=3,BN248/(SQRT(3)*Uн_лин*BY248)),""))))</f>
        <v>0.27348170645824377</v>
      </c>
      <c r="Q248" s="7">
        <f>IF(B248="","",IFERROR(IF(VLOOKUP(AX248,Потребители_обозначение,4,FALSE)=1,VLOOKUP(AX248,Потребители_обозначение,3,FALSE)*(D248*2-1)+DS248+VLOOKUP(AZ248,Этаж_обозначение,3,FALSE)+VLOOKUP(AZ248,Этаж_обозначение,4,FALSE),VLOOKUP(AX248,Потребители_обозначение,3,FALSE)*(D248*2-1)+DS248),DS248))</f>
        <v>31</v>
      </c>
      <c r="R248" s="6">
        <f t="shared" si="370"/>
        <v>1.26</v>
      </c>
      <c r="S248" t="str">
        <f t="shared" si="371"/>
        <v>ВВГнг(А)-LS (3х2,5)</v>
      </c>
      <c r="T248" t="str">
        <f>IF(BH248="","",IF(BI248="вводной узел","узел ","")&amp;"л."&amp;(INT((BH248-1)/Столбцов_на_лист)+1)&amp;" / "&amp;(MOD(BH248-1,Столбцов_на_лист)+1))</f>
        <v>л.3 / 11</v>
      </c>
      <c r="V248">
        <v>1</v>
      </c>
      <c r="W248">
        <v>230</v>
      </c>
      <c r="X248" t="s">
        <v>564</v>
      </c>
      <c r="AC248" t="s">
        <v>815</v>
      </c>
      <c r="AE248" t="s">
        <v>563</v>
      </c>
      <c r="AI248">
        <v>45</v>
      </c>
      <c r="AJ248" t="s">
        <v>11</v>
      </c>
      <c r="AK248">
        <v>3</v>
      </c>
      <c r="AM248">
        <v>12</v>
      </c>
      <c r="AN248">
        <v>19</v>
      </c>
      <c r="AO248">
        <v>0</v>
      </c>
      <c r="AW248" cm="1">
        <f t="array" ref="AW248">ROW()-ROW(Линии[#Headers])</f>
        <v>246</v>
      </c>
      <c r="AX248" s="6" t="str">
        <f t="shared" si="372"/>
        <v>R</v>
      </c>
      <c r="AY248" t="str">
        <f t="shared" si="373"/>
        <v>1.005A.1</v>
      </c>
      <c r="AZ248" t="str">
        <f t="shared" si="374"/>
        <v>1</v>
      </c>
      <c r="BA248" t="str">
        <f t="shared" si="375"/>
        <v>005A.1</v>
      </c>
      <c r="BB248" t="str">
        <f t="shared" si="376"/>
        <v>005A</v>
      </c>
      <c r="BC248" t="str">
        <f>IF(U248&lt;&gt;"",U248,IF(AND(B248&lt;&gt;"",B248&lt;&gt;A248,ISNUMBER(_xlfn.XMATCH(B248,Щиты[Щит]))),B248,""))</f>
        <v/>
      </c>
      <c r="BD248" t="str" cm="1">
        <f t="array" ref="BD248">IF(B248="","",IF(BC248&lt;&gt;"","Щит "&amp;BC248,_xlfn.LET(_xlpm.nm,IFERROR(_xlfn.XLOOKUP(AX248,Коды_код,Коды_имя)&amp;"",""),_xlpm.md,IFERROR(N(_xlfn.XLOOKUP(AX248,Коды_код,Коды_режим)),1),_xlpm.ex,IF(Имя_режим="по экспликации",IFERROR(_xlfn.XLOOKUP(AZ248&amp;"|"&amp;BB248,Экспликация[Этаж]&amp;"|"&amp;Экспликация[Помещение],Экспликация[Название])&amp;"",""),""),_xlpm.rm,IF(BB248="","",IF(_xlpm.ex&lt;&gt;"",". "&amp;_xlpm.ex&amp;IF(Имя_пом="нет"," ("&amp;BB248&amp;")"," (пом. "&amp;BB248&amp;")"),IF(Имя_пом="нет"," ",", пом. ")&amp;BB248)),IF(_xlpm.nm="","",IF(_xlpm.md=2,_xlpm.nm&amp;" шлейф "&amp;AZ248,_xlpm.nm&amp;_xlpm.rm)))))</f>
        <v>Розеточная группа, пом. 005A</v>
      </c>
      <c r="BE248" t="str">
        <f t="shared" si="377"/>
        <v>Розеточная группа, пом. 005A</v>
      </c>
      <c r="BF248">
        <f>IFERROR(_xlfn.XMATCH(A248,Щиты[Щит]),0)</f>
        <v>10</v>
      </c>
      <c r="BG248">
        <f>_xlfn.LET(_xlpm.k,IFERROR(_xlfn.XLOOKUP(A248,Щиты[Щит],Щиты[Листов под вводной узел]),""),IF(_xlpm.k="",1,N(_xlpm.k))*Столбцов_на_лист)</f>
        <v>17</v>
      </c>
      <c r="BH248">
        <f t="shared" si="378"/>
        <v>45</v>
      </c>
      <c r="BI248" t="str">
        <f t="shared" si="379"/>
        <v>линии</v>
      </c>
      <c r="BJ248" s="6">
        <f>IFERROR(N(_xlfn.XLOOKUP(AX248,Коды_код,Коды_квт)),0)</f>
        <v>0</v>
      </c>
      <c r="BK248">
        <f t="shared" si="380"/>
        <v>0</v>
      </c>
      <c r="BL248" t="str">
        <f>IF(B248="","",IF(BC248&lt;&gt;"",IFERROR(_xlfn.XLOOKUP(BC248,Щиты[Щит],Щиты[Руст, кВт]),0),IF(BK248=1,IFERROR(_xlfn.XLOOKUP(A248,Щиты[Щит],Щиты[Руст, кВт]),0),IF(BJ248&gt;0,ROUND(BJ248*MAX(1,N(D248)),3),""))))</f>
        <v/>
      </c>
      <c r="BM248">
        <f t="shared" si="381"/>
        <v>0.06</v>
      </c>
      <c r="BN248" s="6">
        <f>IF(B248="","",IF(BC248&lt;&gt;"",IFERROR(_xlfn.XLOOKUP(BC248,Щиты[Щит],Щиты[Руст, кВт]),0),N(BM248)))</f>
        <v>0.06</v>
      </c>
      <c r="BO248" t="str">
        <f>IF(B248="","",IFERROR(IF(VLOOKUP(AX248,Потребители_обозначение,8,FALSE)=0,"",VLOOKUP(AX248,Потребители_обозначение,8,FALSE)),""))</f>
        <v/>
      </c>
      <c r="BP248">
        <f t="shared" si="382"/>
        <v>230</v>
      </c>
      <c r="BQ248">
        <f>IF(B248="","",IF(BC248&lt;&gt;"",3,IFERROR(IF(N(VLOOKUP(AX248,Потребители_обозначение,9,FALSE))=0,1,VLOOKUP(AX248,Потребители_обозначение,9,FALSE)),1)))</f>
        <v>1</v>
      </c>
      <c r="BR248">
        <f t="shared" si="383"/>
        <v>1</v>
      </c>
      <c r="BS248" t="str">
        <f>IF(B248="","",_xlfn.LET(_xlpm.bc,IFERROR(IF(VLOOKUP(AX248,Потребители_обозначение,6,FALSE)=0,"",VLOOKUP(AX248,Потребители_обозначение,6,FALSE)&amp;""),""),IF(AND(FK248="да",OR(_xlpm.bc="",_xlpm.bc="мс")),Марка_пож,IF(AND(_xlpm.bc="",BC248&lt;&gt;""),"мс",_xlpm.bc))))</f>
        <v/>
      </c>
      <c r="BT248" t="str">
        <f t="shared" si="384"/>
        <v>мс</v>
      </c>
      <c r="BU248">
        <f>IF(B248="","",_xlfn.LET(_xlpm.cc,IFERROR(N(VLOOKUP(AX248,Потребители_обозначение,7,FALSE)),0),IF(_xlpm.cc&gt;0,_xlpm.cc,IF(BT248="","",IF(N(BR248)=3,5,3)))))</f>
        <v>3</v>
      </c>
      <c r="BV248">
        <f t="shared" si="385"/>
        <v>3</v>
      </c>
      <c r="BW248">
        <f>IFERROR(N(VLOOKUP(AX248,Потребители_обозначение,10,FALSE)),0)</f>
        <v>0</v>
      </c>
      <c r="BX248">
        <f>IFERROR(VLOOKUP(AX248,Потребители_обозначение,5,FALSE),0)</f>
        <v>1</v>
      </c>
      <c r="BY248" s="6" cm="1">
        <f t="array" ref="BY248">IF(B248="","",IF(BC248&lt;&gt;"",IFERROR(_xlfn.XLOOKUP(BC248,Щиты[Щит],Щиты[cos φ]),0.95),IF(BK248=1,IFERROR(_xlfn.XLOOKUP(A248,Щиты[Щит],Щиты[cos φ]),0.95),IF(ISNUMBER(Z248),Z248,IFERROR(IF(BX248=2,_xlfn.IFS(BR248=3,VLOOKUP(BN248,Справочная_двигатели,8,FALSE),BR248=1,VLOOKUP(BN248,Справочная_двигатели,10,TRUE)),IF(AND(Методика="нормы 2026",EQ248="Сил"),0.8,0.95)),0.95)))))</f>
        <v>0.95</v>
      </c>
      <c r="BZ248">
        <f t="shared" si="386"/>
        <v>0</v>
      </c>
      <c r="CA248">
        <f t="shared" si="387"/>
        <v>1</v>
      </c>
      <c r="CB248">
        <f t="shared" si="388"/>
        <v>0</v>
      </c>
      <c r="CC248">
        <f t="shared" si="389"/>
        <v>0</v>
      </c>
      <c r="CD248">
        <f t="shared" si="390"/>
        <v>0</v>
      </c>
      <c r="CE248">
        <f t="shared" si="391"/>
        <v>0</v>
      </c>
      <c r="CF248">
        <f t="shared" si="392"/>
        <v>0</v>
      </c>
      <c r="CG248">
        <f>IF(AX248="",0,_xlfn.LET(_xlpm.v,IFERROR(VLOOKUP(B248,УГО_спр,3,FALSE),IFERROR(VLOOKUP(AX248,УГО_спр,3,FALSE),IFERROR(VLOOKUP(LEFT(AX248,2),УГО_спр,3,FALSE),""))),IF(_xlpm.v="да",30,IF(ISNUMBER(_xlpm.v),_xlpm.v,0))))</f>
        <v>30</v>
      </c>
      <c r="CH248">
        <f t="shared" si="393"/>
        <v>30</v>
      </c>
      <c r="CI248" t="str">
        <f>_xlfn.LET(_xlpm.k,IFERROR(_xlfn.XLOOKUP(AX248,Коды_код,Коды_утечка)&amp;"",""),IF(_xlpm.k="","дифавтомат",_xlpm.k))</f>
        <v>дифавтомат</v>
      </c>
      <c r="CJ248">
        <f t="shared" si="394"/>
        <v>30</v>
      </c>
      <c r="CK248">
        <f t="shared" si="395"/>
        <v>30</v>
      </c>
      <c r="CL248">
        <f>IF(B248="",0,IFERROR(--VLOOKUP(B248,УГО_спр,4,FALSE),IFERROR(--VLOOKUP(AX248,УГО_спр,4,FALSE),IFERROR(--VLOOKUP(LEFT(AX248,2),УГО_спр,4,FALSE),0))))</f>
        <v>16</v>
      </c>
      <c r="CM248" t="str">
        <f>IF(B248="","",IFERROR(_xlfn.XLOOKUP(AX248,Коды_код,Коды_апп)&amp;"",""))</f>
        <v/>
      </c>
      <c r="CN248" t="str">
        <f t="shared" si="396"/>
        <v/>
      </c>
      <c r="CO248" t="str" cm="1">
        <f t="array" ref="CO248">IF(TRIM(CN248&amp;"")="","",IFERROR(TRIM(INDEX(_xlfn.TEXTSPLIT(CN248&amp;";;;",";"),1)),""))</f>
        <v/>
      </c>
      <c r="CP248" t="str" cm="1">
        <f t="array" ref="CP248">IF(TRIM(CN248&amp;"")="","",IFERROR(TRIM(INDEX(_xlfn.TEXTSPLIT(CN248&amp;";;;",";"),2)),""))</f>
        <v/>
      </c>
      <c r="CQ248" t="str" cm="1">
        <f t="array" ref="CQ248">IF(TRIM(CN248&amp;"")="","",IFERROR(TRIM(INDEX(_xlfn.TEXTSPLIT(CN248&amp;";;;",";"),3)),""))</f>
        <v/>
      </c>
      <c r="CR248">
        <f t="shared" si="397"/>
        <v>0</v>
      </c>
      <c r="CS248" t="str">
        <f>IF(B248="","",_xlfn.LET(_xlpm.t,LOWER(AV248&amp;""),IF(ISNUMBER(SEARCH("dim",_xlpm.t)),"DIM",IF(ISNUMBER(SEARCH("dali",_xlpm.t)),"DALI",IF(OR(ISNUMBER(SEARCH("relay",_xlpm.t)),ISNUMBER(SEARCH("реле",_xlpm.t))),"Relay",IF(ISNUMBER(SEARCH("кнопк",_xlpm.t)),"",IFERROR(_xlfn.XLOOKUP(AX248,Коды_код,Коды_упр)&amp;"","")))))))</f>
        <v/>
      </c>
      <c r="CT248" t="str">
        <f t="shared" si="398"/>
        <v/>
      </c>
      <c r="CU248">
        <f>IF(B248="","",_xlfn.LET(_xlpm.ig,N(P248)+IF(AF248="вручную",0,N(CB248)),_xlpm.n0,IFERROR(VLOOKUP(_xlpm.ig,Автомат_номиналы,2,TRUE),0),_xlpm.mn,MAX(CL248,IF(AF248="вручную",0,N(CE248))),MAX(_xlpm.n0,_xlpm.mn,IF(CR248=1,Мин_автомат_БП,0))))</f>
        <v>16</v>
      </c>
      <c r="CV248">
        <f t="shared" si="399"/>
        <v>1</v>
      </c>
      <c r="CW248" t="str">
        <f t="shared" si="400"/>
        <v>2P</v>
      </c>
      <c r="CX248" t="str">
        <f>_xlfn.LET(_xlpm.cc,UPPER(TRIM(IFERROR(_xlfn.XLOOKUP(AX248,Коды_код,Коды_хар)&amp;"",""))),IF(OR(_xlpm.cc="B",_xlpm.cc="В"),"B",IF(_xlpm.cc="D","D","С")))</f>
        <v>С</v>
      </c>
      <c r="CY248" t="str">
        <f t="shared" si="401"/>
        <v>2P С16А 30мА</v>
      </c>
      <c r="CZ248" t="str">
        <f t="shared" si="402"/>
        <v>2P С16А 30мА</v>
      </c>
      <c r="DA248" t="str">
        <f t="shared" si="403"/>
        <v>2P С16А 30мА</v>
      </c>
      <c r="DB248" cm="1">
        <f t="array" ref="DB248">IF(DA248="","",_xlfn.LET(_xlpm.t,SUBSTITUTE(SUBSTITUTE(SUBSTITUTE(UPPER(DA248),"С","C"),"А","A"),"В","B"),_xlpm.tk,_xlfn.TEXTSPLIT(_xlpm.t,"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8" t="str">
        <f t="shared" si="404"/>
        <v>ok</v>
      </c>
      <c r="DD248">
        <f t="shared" si="405"/>
        <v>16</v>
      </c>
      <c r="DE248" t="str">
        <f t="shared" si="406"/>
        <v>2P С16А 30мА</v>
      </c>
      <c r="DF248">
        <f t="shared" si="407"/>
        <v>30</v>
      </c>
      <c r="DG248">
        <f t="shared" si="408"/>
        <v>1</v>
      </c>
      <c r="DH248">
        <f t="shared" si="409"/>
        <v>0</v>
      </c>
      <c r="DI248">
        <f t="shared" si="410"/>
        <v>0.27348170645824377</v>
      </c>
      <c r="DJ248">
        <f t="shared" si="411"/>
        <v>1</v>
      </c>
      <c r="DK248">
        <f>IF(ISNUMBER(AL248),AL248,К_прокл)</f>
        <v>1</v>
      </c>
      <c r="DL248">
        <f t="shared" si="412"/>
        <v>2</v>
      </c>
      <c r="DM248">
        <f>IFERROR(N(VLOOKUP(BT248,Кабель_обозначение,3,FALSE)),1)</f>
        <v>1</v>
      </c>
      <c r="DN248">
        <f>IFERROR(N(_xlfn.XLOOKUP(A248,Щиты[Щит],Щиты[ΔU до шин, %])),0)</f>
        <v>1.19</v>
      </c>
      <c r="DO248" t="str">
        <f>IFERROR(_xlfn.XLOOKUP(A248,Щиты[Щит],Щиты[Zпетли на шинах, Ом]),"")</f>
        <v/>
      </c>
      <c r="DP248">
        <f>IFERROR(N(_xlfn.XLOOKUP(A248,Щиты[Щит],Щиты[ΔU до шин (подбор), %])),0)</f>
        <v>1.19</v>
      </c>
      <c r="DQ248" t="str">
        <f>IFERROR(_xlfn.XLOOKUP(A248,Щиты[Щит],Щиты[Zпетли на шинах (подбор), Ом]),"")</f>
        <v/>
      </c>
      <c r="DR248" t="str">
        <f t="shared" si="413"/>
        <v/>
      </c>
      <c r="DS248">
        <f t="shared" si="414"/>
        <v>28</v>
      </c>
      <c r="DT248">
        <f t="shared" si="415"/>
        <v>2</v>
      </c>
      <c r="DU248">
        <f t="shared" si="416"/>
        <v>0.31</v>
      </c>
      <c r="DV248" s="6">
        <f>IF(B248="","",IF(IFERROR(VLOOKUP(AX248,УГО_спр,2,FALSE),"")="Светильник",3,4)+IF(Методика="нормы 2026",MIN(0.5,MAX(0,N(Q248)-100)*0.005),0))</f>
        <v>4</v>
      </c>
      <c r="DW248" cm="1">
        <f t="array" ref="DW248">IF(OR(B248="",BT248="",DM248&lt;&gt;1),"",_xlfn.LET(_xlpm.sz,Iдоп_S,_xlpm.t_,CHOOSE(DL248,Iдоп_1ж,Iдоп_2ж,Iдоп_3ж)*DJ248*DK248,_xlpm.inn,N(DD248),_xlpm.smin,MAX(1.5,BW248),_xlpm.L_,N(Q248)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248)*(_xlpm.rho*_xlpm.L_/_xlpm.sz*N(BY248)+_xlpm.xx*_xlpm.L_*N(DU248)/1000)*N(P248)/((Uн_лин/SQRT(3))*1000)*100,999),_xlpm.kz,IF(OR(DG248=1,NOT(ISNUMBER(DQ248)),_xlpm.L_=0,_xlpm.inn=0),1,IFERROR(--(c_min*(Uн_лин*1000/SQRT(3))/(DQ248+2*ρкз_Cu*_xlpm.L_/_xlpm.sz)&gt;=GY248*_xlpm.inn),0)),_xlpm.ok,IFERROR((_xlpm.sz&gt;=_xlpm.smin)*(_xlpm.t_&gt;=_xlpm.inn)*IF(_xlpm.L_&gt;0,(_xlpm.du_+DP248&lt;=DV248+0.00001),1)*_xlpm.kz,0),_xlpm.r_,_xlfn._xlws.FILTER(_xlpm.sz,_xlpm.ok,"не подобрано"),INDEX(_xlpm.r_,1)))</f>
        <v>1.5</v>
      </c>
      <c r="DX248">
        <f t="shared" si="417"/>
        <v>2.5</v>
      </c>
      <c r="DY248" cm="1">
        <f t="array" ref="DY248">IF(OR(B248="",BT248="",DM248&lt;&gt;1),"",_xlfn.LET(_xlpm.sz,Iдоп_S,_xlpm.t_,CHOOSE(DL248,Iдоп_1ж,Iдоп_2ж,Iдоп_3ж)*DJ248*DK248,_xlpm.ok,IFERROR((_xlpm.sz&gt;=MAX(1.5,BW248))*(_xlpm.t_&gt;=N(DD248)),0),_xlpm.r_,_xlfn._xlws.FILTER(_xlpm.sz,_xlpm.ok,""),INDEX(_xlpm.r_,1)))</f>
        <v>1.5</v>
      </c>
      <c r="DZ248" s="6" cm="1">
        <f t="array" ref="DZ248">IFERROR(ROUNDUP(N(DT248)*(_xlfn.XLOOKUP(DY248,INDEX(Кабель_сопротивление,0,1),INDEX(Кабель_сопротивление,0,3))*N(Q248)/DY248*N(BY248)+_xlfn.XLOOKUP(DY248,INDEX(Кабель_сопротивление,0,1),INDEX(Кабель_сопротивление,0,2))*N(Q248)*N(DU248)/1000)*N(P248)/((Uн_лин/SQRT(3))*1000)*100,2),"")</f>
        <v>0.11</v>
      </c>
      <c r="EA248">
        <f>IFERROR(2*ρкз_Cu*N(Q248)/DY248,"")</f>
        <v>1.0870666666666666</v>
      </c>
      <c r="EB248">
        <f>IFERROR(VLOOKUP(DX248,Кабель_сопротивление,3,FALSE),"")</f>
        <v>2.2499999999999999E-2</v>
      </c>
      <c r="EC248">
        <f>IFERROR(VLOOKUP(DX248,Кабель_сопротивление,2,FALSE),"")</f>
        <v>0.1</v>
      </c>
      <c r="ED248">
        <f t="shared" si="418"/>
        <v>19</v>
      </c>
      <c r="EE248">
        <f t="shared" si="419"/>
        <v>0</v>
      </c>
      <c r="EF248">
        <f t="shared" si="420"/>
        <v>0.14549828443332777</v>
      </c>
      <c r="EG248" s="6">
        <f>IFERROR(ROUNDUP(EF248/((Uн_лин/SQRT(3))*1000)*100,2),"")</f>
        <v>6.9999999999999993E-2</v>
      </c>
      <c r="EH248" t="str">
        <f>IFERROR(VLOOKUP(BT248,Кабель_обозначение,2,FALSE),"")</f>
        <v>ВВГнг(А)-LS</v>
      </c>
      <c r="EI248" t="str">
        <f t="shared" si="421"/>
        <v>ВВГнг(А)-LS (3х2,5)</v>
      </c>
      <c r="EJ248" t="str">
        <f t="shared" si="422"/>
        <v>ВВГнг(А)-LS (3х2,5)
L=31-0,07%</v>
      </c>
      <c r="EK248">
        <f>IFERROR(2*ρкз_Cu*Q248/DX248,"")</f>
        <v>0.65224000000000004</v>
      </c>
      <c r="EL248">
        <f t="shared" si="423"/>
        <v>0.21700000000000003</v>
      </c>
      <c r="EM248" s="6" t="str">
        <f>IFERROR(IF(OR(B248="",NOT(ISNUMBER(DX248)),N(Q248)=0),"",_xlfn.XLOOKUP(A248,Щиты[Щит],Щиты[Zпетли на шинах, Ом])+EK248),"")</f>
        <v/>
      </c>
      <c r="EN248" s="6" t="str">
        <f>IF(ISNUMBER(EM248),c_min*(Uн_лин*1000/SQRT(3))/EM248,"")</f>
        <v/>
      </c>
      <c r="EO248" s="6" t="str">
        <f>IFERROR(IF(OR(B248="",NOT(ISNUMBER(DX248))),"",1.05*(Uн_лин*1000/SQRT(3))/(_xlfn.XLOOKUP(A248,Щиты[Щит],Щиты[Zmax на шинах, Ом])+EL248)/1000),"")</f>
        <v/>
      </c>
      <c r="EP248" s="6" t="str">
        <f>IF(B248="","",IF(ISNUMBER(Y248),"Сил",IF(IFERROR(_xlfn.XLOOKUP(AX248,Коды_код,Коды_группа)&amp;"","")="","Быт",_xlfn.XLOOKUP(AX248,Коды_код,Коды_группа)&amp;"")))</f>
        <v>Быт</v>
      </c>
      <c r="EQ248" s="6" t="str">
        <f t="shared" si="424"/>
        <v>Быт</v>
      </c>
      <c r="ER248" s="6">
        <f>IF(EQ248="Щит","щит",IF(EQ248="","",IF(EQ248="Быт",IFERROR(_xlfn.XLOOKUP(A248,Щиты[Щит],Щиты[Кс быт]),1),IF(EQ248="Сил",IF(ISNUMBER(Y248),Y248,IF(Методика="нормы 2026",IFERROR(_xlfn.XLOOKUP(A248,Щиты[Щит],Щиты[Кс силовых (табл. 7.5)]),1),1)),IF(OR(EQ248="Пост",EQ248="Отоп"),1,IF(EQ248="ВНГ",0.7,0))))))</f>
        <v>0.57830000000000004</v>
      </c>
      <c r="ES248">
        <f t="shared" si="425"/>
        <v>1</v>
      </c>
      <c r="ET248">
        <f t="shared" si="426"/>
        <v>0.06</v>
      </c>
      <c r="EU248">
        <f t="shared" si="427"/>
        <v>0.06</v>
      </c>
      <c r="EV248">
        <f t="shared" si="428"/>
        <v>0</v>
      </c>
      <c r="EW248">
        <f t="shared" si="429"/>
        <v>0</v>
      </c>
      <c r="EX248">
        <f t="shared" si="430"/>
        <v>0</v>
      </c>
      <c r="EY248">
        <f t="shared" si="431"/>
        <v>0</v>
      </c>
      <c r="EZ248">
        <f t="shared" si="432"/>
        <v>0.06</v>
      </c>
      <c r="FA248">
        <f t="shared" si="433"/>
        <v>5.6999999999999995E-2</v>
      </c>
      <c r="FB248">
        <f t="shared" si="434"/>
        <v>0.06</v>
      </c>
      <c r="FC248" t="str">
        <f t="shared" si="435"/>
        <v/>
      </c>
      <c r="FD248" t="str">
        <f>IF(B248="","",IF(CA248=0,IF(AW248=1,"",FF247),IF(OR(N(CV248)&gt;=3,N(BR248)&gt;=3),"L1,L2,L3",IFERROR(_xlfn.TEXTBEFORE(_xlfn.TEXTAFTER(_xlfn.XLOOKUP(A248,Щиты[Щит],Щиты[_фазы авто]),";"&amp;AW248&amp;":"),";"),"L1"))))</f>
        <v>L3</v>
      </c>
      <c r="FE248" t="str">
        <f t="shared" si="436"/>
        <v>L3</v>
      </c>
      <c r="FF248" t="str">
        <f t="shared" si="437"/>
        <v>L3</v>
      </c>
      <c r="FG248" cm="1">
        <f t="array" ref="FG248">IFERROR(IF(BX248=2,_xlfn.IFS(BR248=3,VLOOKUP(BN248,Справочная_двигатели,3,FALSE),BR248=1,VLOOKUP(BN248,Справочная_двигатели,5,TRUE)),0),0)</f>
        <v>0</v>
      </c>
      <c r="FH248">
        <f>IFERROR(IF(BX248=3,VLOOKUP(BN248,Справочная_ЛЭД,2,TRUE),0),0)</f>
        <v>0</v>
      </c>
      <c r="FI248" s="6">
        <f t="shared" si="438"/>
        <v>0</v>
      </c>
      <c r="FJ248" t="str" cm="1">
        <f t="array" ref="FJ248">IF(B248="","",IFERROR(INDEX({"I особая","I","II","III"},MATCH(TRIM(AC248&amp;""),{"I особая","I","II","III"},0)),"III"))</f>
        <v>II</v>
      </c>
      <c r="FK248" t="str">
        <f>IF(B248="","",IF(TRIM(AD248&amp;"")&lt;&gt;"",IF(LOWER(TRIM(AD248&amp;""))="да","да","нет"),IF(IFERROR(_xlfn.XLOOKUP(AX248,Коды_код,Коды_пожарная),"")="да","да","нет")))</f>
        <v>нет</v>
      </c>
      <c r="FL248" t="str">
        <f t="shared" si="439"/>
        <v/>
      </c>
      <c r="FM248" t="str">
        <f t="shared" si="440"/>
        <v>основная</v>
      </c>
      <c r="FN248">
        <f t="shared" si="441"/>
        <v>1</v>
      </c>
      <c r="FO248" t="str" cm="1">
        <f t="array" ref="FO248">IF(B248="","",_xlfn.LET(_xlpm.t,IFERROR(_xlfn.XLOOKUP(1,(Шины[Шина]=FM248)*(((Шины[Щит]=A248)+(Шины[Щит]=""))&gt;0),Шины[Тип]),"")&amp;"",IF(_xlpm.t&lt;&gt;"",_xlpm.t,IF(ISNUMBER(SEARCH("ИБП",FM248)),"ИБП",IF(ISNUMBER(SEARCH("ДГУ",FM248)),"ДГУ","Ввод "&amp;FN248)))))</f>
        <v>Ввод 1</v>
      </c>
      <c r="FP248" t="str">
        <f t="shared" si="442"/>
        <v>Ввод 1</v>
      </c>
      <c r="FQ248" t="str">
        <f>IF(B248="","",IF(OR(FO248="ИБП",FO248="ДГУ"),"I особая",IF(FO248="Одиночная","III",_xlfn.XLOOKUP(A248,Щиты[Щит],Щиты[Категория шины «Ввод»],"III"))))</f>
        <v>II</v>
      </c>
      <c r="FR248">
        <f>IF(B248="",0,IFERROR(MATCH(FJ248,{"III","II","I","I особая"},0),1))</f>
        <v>2</v>
      </c>
      <c r="FS248">
        <f t="shared" si="443"/>
        <v>2</v>
      </c>
      <c r="FT248" t="str">
        <f>IF(B248="","",IF(FR248&gt;IFERROR(MATCH(FQ248,{"III","II","I","I особая"},0),1),"НЕ ОБЕСПЕЧЕНА","ОК"))</f>
        <v>ОК</v>
      </c>
      <c r="FU248" t="str">
        <f>IF(A248="","",_xlfn.XLOOKUP(A248,Щиты[Щит],Щиты[Путь],""))</f>
        <v>|ГРЩ-ЖД|ЩР-1|</v>
      </c>
      <c r="FV248" t="str">
        <f>IF(B248="","",IF(AE248&lt;&gt;"",AE248,IF(IFERROR(_xlfn.XLOOKUP(AX248,Коды_код,Коды_вид)&amp;"","")="","Прочее",_xlfn.XLOOKUP(AX248,Коды_код,Коды_вид)&amp;"")))</f>
        <v>Розеточная сеть и бытовые приборы</v>
      </c>
      <c r="FW248">
        <f>IF(BH248="","",INT((BH248-1)/Столбцов_на_лист)+1)</f>
        <v>3</v>
      </c>
      <c r="FX248" t="str">
        <f t="shared" si="444"/>
        <v>ВВГнг(А)-LS (3х2,5) L=31-0,07%</v>
      </c>
      <c r="FY248">
        <f t="shared" si="445"/>
        <v>0.06</v>
      </c>
      <c r="FZ248">
        <f t="shared" si="446"/>
        <v>0.28000000000000003</v>
      </c>
      <c r="GA248">
        <f t="shared" si="447"/>
        <v>1</v>
      </c>
      <c r="GB248">
        <f t="shared" si="448"/>
        <v>0</v>
      </c>
      <c r="GC248">
        <f t="shared" si="449"/>
        <v>1</v>
      </c>
      <c r="GD248">
        <f>IF(BH248="","",IF(AND(CA248=1,GC248=1),COUNTIFS(A$3:A248,A248,CA$3:CA248,1,GC$3:GC248,1),IF(OR(OR(AW248=1,A248&lt;&gt;A247),AF248="вручную",GC248=0),"",IF(AW248=1,"",GE247))))</f>
        <v>24</v>
      </c>
      <c r="GE248">
        <f t="shared" si="450"/>
        <v>24</v>
      </c>
      <c r="GF248">
        <f>IF(B248="","",IFERROR(LOOKUP(INDEX(CHOOSE(DL248,Iдоп_1ж,Iдоп_2ж,Iдоп_3ж),MATCH(DX248,Iдоп_S,0))*DJ248*DK248,{6,10,16,20,25,32,40,50,63,80,100,125,160,200,250,315,400,500,630}),""))</f>
        <v>25</v>
      </c>
      <c r="GG248" t="str">
        <f t="shared" si="451"/>
        <v>QFD24</v>
      </c>
      <c r="GH248" t="str">
        <f t="shared" si="452"/>
        <v>QFD24</v>
      </c>
      <c r="GI248" t="str">
        <f t="shared" si="453"/>
        <v/>
      </c>
      <c r="GJ248">
        <f t="shared" si="454"/>
        <v>0</v>
      </c>
      <c r="GK248" t="str">
        <f>IF(OR(AG248="",AG248="-"),"",IFERROR(VLOOKUP(AG248,Модули_спр,2,FALSE),"R"))</f>
        <v/>
      </c>
      <c r="GL248" t="str">
        <f>IF(GK248="","",GK248&amp;"."&amp;COUNTIFS(A$3:A248,A248,GK$3:GK248,GK248))</f>
        <v/>
      </c>
      <c r="GM248" t="str">
        <f t="shared" si="455"/>
        <v/>
      </c>
      <c r="GN248" t="str">
        <f t="shared" si="456"/>
        <v/>
      </c>
      <c r="GO248" t="str">
        <f t="shared" si="457"/>
        <v/>
      </c>
      <c r="GP248" t="str">
        <f t="shared" si="458"/>
        <v/>
      </c>
      <c r="GQ248">
        <f t="shared" si="459"/>
        <v>1</v>
      </c>
      <c r="GR248" t="str">
        <f>IF(GQ248=1,"XT"&amp;COUNTIFS(A$3:A248,A248,GQ$3:GQ248,1),"")</f>
        <v>XT24</v>
      </c>
      <c r="GS248" t="str">
        <f t="shared" si="460"/>
        <v>XT24</v>
      </c>
      <c r="GT248" t="str">
        <f t="shared" si="461"/>
        <v>QFD24</v>
      </c>
      <c r="GU248" t="str">
        <f t="shared" si="462"/>
        <v/>
      </c>
      <c r="GV248" t="str">
        <f t="shared" si="463"/>
        <v>ok</v>
      </c>
      <c r="GW248" t="str">
        <f>IF(OR(GO248="",GM248=""),"",IF(GO248&gt;IFERROR(VLOOKUP(GN248,Модули_спр,3,FALSE),99),"ЛИШНИЙ КАНАЛ",IF(AND(AH248&lt;&gt;"=",COUNTIFS(Линии[_модуль гр.],GM248,Линии[Канал (итог)],GO248,Линии[Канал],"&lt;&gt;=",Линии[Щит],A248)&gt;1),"ДУБЛЬ КАНАЛА","")))</f>
        <v/>
      </c>
      <c r="GX248" s="6" t="str">
        <f t="shared" si="464"/>
        <v/>
      </c>
      <c r="GY248">
        <f t="shared" si="465"/>
        <v>10</v>
      </c>
      <c r="GZ248" t="str">
        <f t="shared" si="466"/>
        <v/>
      </c>
      <c r="HA248" t="str">
        <f>IF(AND(B248="",GT248=""),"",_xlfn.TEXTJOIN("; ",TRUE,IF(AND(B248&lt;&gt;"",FE248=""),"нет фазы",""),IF(AND(B248&lt;&gt;"",N(FY248)=0,EQ248&lt;&gt;"Нет"),"нет мощности",""),IF(AND(GS248&lt;&gt;"",COUNTIFS(Линии[Щит],A248,Линии[Клемма (итог)],GS248)&gt;1),"дубль клеммы "&amp;GS248,""),IF(AND(GV248&lt;&gt;"",GV248&lt;&gt;"ok"),GV248,""),IF(GW248&lt;&gt;"",GW248,""),IF(AND(N(BV248)&gt;=4,N(BR248)=1),BV248&amp;" жил на 1 фазе",""),IF(AND(AX248="R",CA248=1,OR(N(CK248)=0,N(CK248)&gt;30)),"розетка без дифзащиты до 30 мА",""),IFERROR(IF(AND(ISNUMBER(R248),R248&gt;DV248),"потери "&amp;FIXED(R248,1)&amp;" % &gt; "&amp;DV248&amp;" %",""),""),IFERROR(IF(LEFT(GZ248,4)="мало","Iкз мало — отключение &gt; 0,4 с",""),""),IF(AND(B248&lt;&gt;"",BH248=""),"не на схеме",""),IF(AND(CA248=0,B248&lt;&gt;"",FE248&lt;&gt;"",IF(AW248=1,"",FF247)&lt;&gt;"",FE248&lt;&gt;IF(AW248=1,"",FF247)),"фаза не как у автомата группы ("&amp;IF(AW248=1,"",FF247)&amp;")","")))</f>
        <v/>
      </c>
      <c r="HB248" s="6">
        <f>IF(OR(CA248=0,DA248=""),"",_xlfn.LET(_xlpm.t,IFERROR(_xlfn.XLOOKUP(DA248,Каталог!$U$4:$U$500,Каталог!$G$4:$G$500),""),_xlpm.k,SEARCH("кА",_xlpm.t),IFERROR(--TRIM(RIGHT(SUBSTITUTE(MID(_xlpm.t,MAX(1,_xlpm.k-4),_xlpm.k-MAX(1,_xlpm.k-4))," ",REPT(" ",9)),5)),"")))</f>
        <v>6</v>
      </c>
      <c r="HC248" t="str">
        <f>IF(OR(HB248="",CA248=0),"",IF(_xlfn.XLOOKUP(A248,Щиты[Щит],Щиты[Iкз max на шинах, кА],"")="","",IF(HB248&lt;_xlfn.XLOOKUP(A248,Щиты[Щит],Щиты[Iкз max на шинах, кА]),"Icu "&amp;HB248&amp;" кА &lt; Iкз max","ok")))</f>
        <v/>
      </c>
      <c r="HD248" t="str">
        <f t="shared" si="467"/>
        <v/>
      </c>
      <c r="HE248" t="str">
        <f t="shared" si="468"/>
        <v>QFD24|XT24</v>
      </c>
      <c r="HF248" t="str">
        <f t="shared" si="469"/>
        <v>QFD24|XT24|кабель ВВГнг(А)-LS (3х2,5) → Розеточная группа, пом. 005A</v>
      </c>
      <c r="HG248" t="str" cm="1">
        <f t="array" ref="HG248">IF(HF248="","",_xlfn.LET(_xlpm.nd,_xlfn.TEXTSPLIT(HF248,"|"),IF(COLUMNS(_xlpm.nd)&gt;1,A248&amp;"¦"&amp;INDEX(_xlpm.nd,1)&amp;"¦"&amp;INDEX(_xlpm.nd,2),"")))</f>
        <v>ЩР-1¦QFD24¦XT24</v>
      </c>
      <c r="HH248" t="str">
        <f t="shared" si="470"/>
        <v>R.1.005A.1¦Розеточная группа, пом. 005A</v>
      </c>
      <c r="HI248" t="str" cm="1">
        <f t="array" ref="HI248">IF(HF248="","",_xlfn.LET(_xlpm.nd,_xlfn.TEXTSPLIT(HF248,"|"),IF(COLUMNS(_xlpm.nd)&gt;2,A248&amp;"¦"&amp;INDEX(_xlpm.nd,2)&amp;"¦"&amp;INDEX(_xlpm.nd,3),"")))</f>
        <v>ЩР-1¦XT24¦кабель ВВГнг(А)-LS (3х2,5) → Розеточная группа, пом. 005A</v>
      </c>
      <c r="HJ248" t="str">
        <f t="shared" si="471"/>
        <v>R.1.005A.1¦Розеточная группа, пом. 005A</v>
      </c>
      <c r="HK248" t="str" cm="1">
        <f t="array" ref="HK248">IF(HF248="","",_xlfn.LET(_xlpm.nd,_xlfn.TEXTSPLIT(HF248,"|"),IF(COLUMNS(_xlpm.nd)&gt;3,A248&amp;"¦"&amp;INDEX(_xlpm.nd,3)&amp;"¦"&amp;INDEX(_xlpm.nd,4),"")))</f>
        <v/>
      </c>
      <c r="HL248" t="str">
        <f t="shared" si="472"/>
        <v/>
      </c>
      <c r="HM248" t="str" cm="1">
        <f t="array" ref="HM248">IF(HF248="","",_xlfn.LET(_xlpm.nd,_xlfn.TEXTSPLIT(HF248,"|"),IF(COLUMNS(_xlpm.nd)&gt;4,A248&amp;"¦"&amp;INDEX(_xlpm.nd,4)&amp;"¦"&amp;INDEX(_xlpm.nd,5),"")))</f>
        <v/>
      </c>
      <c r="HN248" t="str">
        <f t="shared" si="473"/>
        <v/>
      </c>
      <c r="HO248" t="str" cm="1">
        <f t="array" ref="HO248">IF(HF248="","",_xlfn.LET(_xlpm.nd,_xlfn.TEXTSPLIT(HF248,"|"),IF(COLUMNS(_xlpm.nd)&gt;5,A248&amp;"¦"&amp;INDEX(_xlpm.nd,5)&amp;"¦"&amp;INDEX(_xlpm.nd,6),"")))</f>
        <v/>
      </c>
      <c r="HP248" t="str">
        <f t="shared" si="474"/>
        <v/>
      </c>
      <c r="HQ248" t="str" cm="1">
        <f t="array" ref="HQ248">IF(HF248="","",_xlfn.LET(_xlpm.nd,_xlfn.TEXTSPLIT(HF248,"|"),IF(COLUMNS(_xlpm.nd)&gt;6,A248&amp;"¦"&amp;INDEX(_xlpm.nd,6)&amp;"¦"&amp;INDEX(_xlpm.nd,7),"")))</f>
        <v/>
      </c>
      <c r="HR248" t="str">
        <f t="shared" si="475"/>
        <v/>
      </c>
      <c r="HS248" t="str">
        <f t="shared" si="476"/>
        <v/>
      </c>
      <c r="HT248" t="str">
        <f t="shared" si="477"/>
        <v>QFD24 → XT24</v>
      </c>
      <c r="HU248">
        <f t="shared" si="478"/>
        <v>0</v>
      </c>
      <c r="HV248">
        <f t="shared" si="479"/>
        <v>1</v>
      </c>
      <c r="HW248" t="str">
        <f t="shared" si="480"/>
        <v/>
      </c>
      <c r="HX248" t="str">
        <f t="shared" si="481"/>
        <v/>
      </c>
      <c r="HY248" t="str">
        <f t="shared" si="482"/>
        <v/>
      </c>
      <c r="HZ248" t="str">
        <f t="shared" si="483"/>
        <v/>
      </c>
      <c r="IA248" t="str">
        <f>IF(B248="","",IFERROR(VLOOKUP(B248,УГО_спр,2,FALSE),IFERROR(VLOOKUP(AX248,УГО_спр,2,FALSE),IFERROR(VLOOKUP(LEFT(AX248,2),УГО_спр,2,FALSE),""))))</f>
        <v>Розетка</v>
      </c>
      <c r="IB248" t="str">
        <f>IF(B248="","",IF(OR(IA248="",IA248=0),"BOX",IFERROR(IF(VLOOKUP(IA248,УГО_блоки,3,FALSE)&amp;""&lt;&gt;"",VLOOKUP(IA248,УГО_блоки,3,FALSE),VLOOKUP(IA248,УГО_блоки,2,FALSE)),IA248)))</f>
        <v>SOCKET</v>
      </c>
      <c r="IC248">
        <f t="shared" si="484"/>
        <v>1</v>
      </c>
      <c r="ID248" t="str">
        <f>IF(DA248="","",IF(COUNTIF(DA$3:DA248,DA248)=1,MAX(ID$2:ID247)+1,""))</f>
        <v/>
      </c>
      <c r="IE248" t="str">
        <f>IF(CO248="","",IF(COUNTIF(CO$3:CO248,CO248)+COUNTIF(CP$2:CP247,CO248)+COUNTIF(CQ$2:CQ247,CO248)=1,MAX(IE$2:IG247)+1,""))</f>
        <v/>
      </c>
      <c r="IF248" t="str">
        <f>IF(CP248="","",IF(COUNTIF(CO$3:CO248,CP248)+COUNTIF(CP$3:CP248,CP248)+COUNTIF(CQ$2:CQ247,CP248)=1,MAX(IE$2:IG247,IE248)+1,""))</f>
        <v/>
      </c>
      <c r="IG248" t="str">
        <f>IF(CQ248="","",IF(COUNTIF(CO$3:CO248,CQ248)+COUNTIF(CP$3:CP248,CQ248)+COUNTIF(CQ$3:CQ248,CQ248)=1,MAX(IE$2:IG247,IE248,IF248)+1,""))</f>
        <v/>
      </c>
      <c r="IH248" t="str">
        <f t="shared" si="485"/>
        <v>3х2,5</v>
      </c>
      <c r="II248" t="str">
        <f>IF(IH248="","",IF(COUNTIF(IH$3:IH248,IH248)=1,MAX(II$2:II247)+1,""))</f>
        <v/>
      </c>
      <c r="IJ248" t="str">
        <f>IF(GL248="","",COUNTIF(GL$3:GL248,"?*"))</f>
        <v/>
      </c>
      <c r="IK248" t="str">
        <f>IF(OR(GL248="",GN248=""),"",IF(COUNTIFS(GL$3:GL248,"?*",GN$3:GN248,GN248)=1,MAX(IK$2:IK247)+1,""))</f>
        <v/>
      </c>
      <c r="IL248">
        <f t="shared" si="486"/>
        <v>0</v>
      </c>
      <c r="IM248">
        <f>IF(B248="","",COUNTIF(B$3:B248,"?*"))</f>
        <v>246</v>
      </c>
      <c r="IN248">
        <f>IF(GQ248&lt;&gt;1,0,_xlfn.LET(_xlpm.k,MAX(IFERROR(--VLOOKUP(B248,УГО_спр,5,FALSE),0),IFERROR(--VLOOKUP(AX248,УГО_спр,5,FALSE),0),IFERROR(--VLOOKUP(LEFT(AX248,2),УГО_спр,5,FALSE),0)),IF(_xlpm.k&gt;0,_xlpm.k,IF(IFERROR(--LEFT(SUBSTITUTE(IH248,"x","х"),FIND("х",SUBSTITUTE(IH248,"x","х"))-1),3)&gt;3,Каталог!$S$9,1))))</f>
        <v>1</v>
      </c>
      <c r="IO248">
        <f t="shared" si="487"/>
        <v>0</v>
      </c>
      <c r="IP248" t="str">
        <f t="shared" si="488"/>
        <v>авто</v>
      </c>
      <c r="IQ248">
        <f t="shared" si="489"/>
        <v>30</v>
      </c>
      <c r="IR248">
        <f t="shared" si="490"/>
        <v>1</v>
      </c>
      <c r="IS248">
        <f t="shared" si="491"/>
        <v>1</v>
      </c>
    </row>
    <row r="249" spans="1:253" x14ac:dyDescent="0.3">
      <c r="A249" t="s">
        <v>759</v>
      </c>
      <c r="B249" t="s">
        <v>1514</v>
      </c>
      <c r="C249" t="str">
        <f>Линии[[#This Row],[_авто наименование]]</f>
        <v>Розеточная группа, пом. 006A</v>
      </c>
      <c r="D249">
        <v>2</v>
      </c>
      <c r="E249">
        <v>0.12</v>
      </c>
      <c r="G249" t="str">
        <f>Линии[[#This Row],[_авто автомат]]</f>
        <v>2P С16А 30мА</v>
      </c>
      <c r="H249">
        <f>Линии[[#This Row],[_авто утечка]]</f>
        <v>30</v>
      </c>
      <c r="I249" t="str">
        <f>Линии[[#This Row],[_авто управление]]</f>
        <v/>
      </c>
      <c r="J249" t="str">
        <f>Линии[[#This Row],[_авто аппараты]]</f>
        <v/>
      </c>
      <c r="K249">
        <v>2.5</v>
      </c>
      <c r="L249">
        <v>45</v>
      </c>
      <c r="M249">
        <v>2</v>
      </c>
      <c r="N249" t="str">
        <f>Линии[[#This Row],[_авто клемма]]</f>
        <v>XT25</v>
      </c>
      <c r="O249" t="str">
        <f t="shared" si="369"/>
        <v/>
      </c>
      <c r="P249" s="6" cm="1">
        <f t="array" ref="P249">IF(B249="","",IF(BC249&lt;&gt;"",IFERROR(_xlfn.XLOOKUP(BC249,Щиты[Щит],Щиты[Iр, А]),""),IF(BK249=1,IFERROR(_xlfn.XLOOKUP(A249,Щиты[Щит],Щиты[Iр, А]),""),IFERROR(_xlfn.IFS(BR249=1,BN249/((Uн_лин/SQRT(3))*BY249),BR249=3,BN249/(SQRT(3)*Uн_лин*BY249)),""))))</f>
        <v>0.54696341291648753</v>
      </c>
      <c r="Q249" s="7">
        <f>IF(B249="","",IFERROR(IF(VLOOKUP(AX249,Потребители_обозначение,4,FALSE)=1,VLOOKUP(AX249,Потребители_обозначение,3,FALSE)*(D249*2-1)+DS249+VLOOKUP(AZ249,Этаж_обозначение,3,FALSE)+VLOOKUP(AZ249,Этаж_обозначение,4,FALSE),VLOOKUP(AX249,Потребители_обозначение,3,FALSE)*(D249*2-1)+DS249),DS249))</f>
        <v>54</v>
      </c>
      <c r="R249" s="6">
        <f t="shared" si="370"/>
        <v>1.41</v>
      </c>
      <c r="S249" t="str">
        <f t="shared" si="371"/>
        <v>ВВГнг(А)-LS (3х2,5)</v>
      </c>
      <c r="T249" t="str">
        <f>IF(BH249="","",IF(BI249="вводной узел","узел ","")&amp;"л."&amp;(INT((BH249-1)/Столбцов_на_лист)+1)&amp;" / "&amp;(MOD(BH249-1,Столбцов_на_лист)+1))</f>
        <v>л.3 / 12</v>
      </c>
      <c r="V249">
        <v>1</v>
      </c>
      <c r="W249">
        <v>230</v>
      </c>
      <c r="X249" t="s">
        <v>564</v>
      </c>
      <c r="AC249" t="s">
        <v>815</v>
      </c>
      <c r="AE249" t="s">
        <v>563</v>
      </c>
      <c r="AI249">
        <v>46</v>
      </c>
      <c r="AJ249" t="s">
        <v>11</v>
      </c>
      <c r="AK249">
        <v>3</v>
      </c>
      <c r="AM249">
        <v>28</v>
      </c>
      <c r="AN249">
        <v>20</v>
      </c>
      <c r="AO249">
        <v>6</v>
      </c>
      <c r="AW249" cm="1">
        <f t="array" ref="AW249">ROW()-ROW(Линии[#Headers])</f>
        <v>247</v>
      </c>
      <c r="AX249" s="6" t="str">
        <f t="shared" si="372"/>
        <v>R</v>
      </c>
      <c r="AY249" t="str">
        <f t="shared" si="373"/>
        <v>1.006A.1</v>
      </c>
      <c r="AZ249" t="str">
        <f t="shared" si="374"/>
        <v>1</v>
      </c>
      <c r="BA249" t="str">
        <f t="shared" si="375"/>
        <v>006A.1</v>
      </c>
      <c r="BB249" t="str">
        <f t="shared" si="376"/>
        <v>006A</v>
      </c>
      <c r="BC249" t="str">
        <f>IF(U249&lt;&gt;"",U249,IF(AND(B249&lt;&gt;"",B249&lt;&gt;A249,ISNUMBER(_xlfn.XMATCH(B249,Щиты[Щит]))),B249,""))</f>
        <v/>
      </c>
      <c r="BD249" t="str" cm="1">
        <f t="array" ref="BD249">IF(B249="","",IF(BC249&lt;&gt;"","Щит "&amp;BC249,_xlfn.LET(_xlpm.nm,IFERROR(_xlfn.XLOOKUP(AX249,Коды_код,Коды_имя)&amp;"",""),_xlpm.md,IFERROR(N(_xlfn.XLOOKUP(AX249,Коды_код,Коды_режим)),1),_xlpm.ex,IF(Имя_режим="по экспликации",IFERROR(_xlfn.XLOOKUP(AZ249&amp;"|"&amp;BB249,Экспликация[Этаж]&amp;"|"&amp;Экспликация[Помещение],Экспликация[Название])&amp;"",""),""),_xlpm.rm,IF(BB249="","",IF(_xlpm.ex&lt;&gt;"",". "&amp;_xlpm.ex&amp;IF(Имя_пом="нет"," ("&amp;BB249&amp;")"," (пом. "&amp;BB249&amp;")"),IF(Имя_пом="нет"," ",", пом. ")&amp;BB249)),IF(_xlpm.nm="","",IF(_xlpm.md=2,_xlpm.nm&amp;" шлейф "&amp;AZ249,_xlpm.nm&amp;_xlpm.rm)))))</f>
        <v>Розеточная группа, пом. 006A</v>
      </c>
      <c r="BE249" t="str">
        <f t="shared" si="377"/>
        <v>Розеточная группа, пом. 006A</v>
      </c>
      <c r="BF249">
        <f>IFERROR(_xlfn.XMATCH(A249,Щиты[Щит]),0)</f>
        <v>10</v>
      </c>
      <c r="BG249">
        <f>_xlfn.LET(_xlpm.k,IFERROR(_xlfn.XLOOKUP(A249,Щиты[Щит],Щиты[Листов под вводной узел]),""),IF(_xlpm.k="",1,N(_xlpm.k))*Столбцов_на_лист)</f>
        <v>17</v>
      </c>
      <c r="BH249">
        <f t="shared" si="378"/>
        <v>46</v>
      </c>
      <c r="BI249" t="str">
        <f t="shared" si="379"/>
        <v>линии</v>
      </c>
      <c r="BJ249" s="6">
        <f>IFERROR(N(_xlfn.XLOOKUP(AX249,Коды_код,Коды_квт)),0)</f>
        <v>0</v>
      </c>
      <c r="BK249">
        <f t="shared" si="380"/>
        <v>0</v>
      </c>
      <c r="BL249" t="str">
        <f>IF(B249="","",IF(BC249&lt;&gt;"",IFERROR(_xlfn.XLOOKUP(BC249,Щиты[Щит],Щиты[Руст, кВт]),0),IF(BK249=1,IFERROR(_xlfn.XLOOKUP(A249,Щиты[Щит],Щиты[Руст, кВт]),0),IF(BJ249&gt;0,ROUND(BJ249*MAX(1,N(D249)),3),""))))</f>
        <v/>
      </c>
      <c r="BM249">
        <f t="shared" si="381"/>
        <v>0.12</v>
      </c>
      <c r="BN249" s="6">
        <f>IF(B249="","",IF(BC249&lt;&gt;"",IFERROR(_xlfn.XLOOKUP(BC249,Щиты[Щит],Щиты[Руст, кВт]),0),N(BM249)))</f>
        <v>0.12</v>
      </c>
      <c r="BO249" t="str">
        <f>IF(B249="","",IFERROR(IF(VLOOKUP(AX249,Потребители_обозначение,8,FALSE)=0,"",VLOOKUP(AX249,Потребители_обозначение,8,FALSE)),""))</f>
        <v/>
      </c>
      <c r="BP249">
        <f t="shared" si="382"/>
        <v>230</v>
      </c>
      <c r="BQ249">
        <f>IF(B249="","",IF(BC249&lt;&gt;"",3,IFERROR(IF(N(VLOOKUP(AX249,Потребители_обозначение,9,FALSE))=0,1,VLOOKUP(AX249,Потребители_обозначение,9,FALSE)),1)))</f>
        <v>1</v>
      </c>
      <c r="BR249">
        <f t="shared" si="383"/>
        <v>1</v>
      </c>
      <c r="BS249" t="str">
        <f>IF(B249="","",_xlfn.LET(_xlpm.bc,IFERROR(IF(VLOOKUP(AX249,Потребители_обозначение,6,FALSE)=0,"",VLOOKUP(AX249,Потребители_обозначение,6,FALSE)&amp;""),""),IF(AND(FK249="да",OR(_xlpm.bc="",_xlpm.bc="мс")),Марка_пож,IF(AND(_xlpm.bc="",BC249&lt;&gt;""),"мс",_xlpm.bc))))</f>
        <v/>
      </c>
      <c r="BT249" t="str">
        <f t="shared" si="384"/>
        <v>мс</v>
      </c>
      <c r="BU249">
        <f>IF(B249="","",_xlfn.LET(_xlpm.cc,IFERROR(N(VLOOKUP(AX249,Потребители_обозначение,7,FALSE)),0),IF(_xlpm.cc&gt;0,_xlpm.cc,IF(BT249="","",IF(N(BR249)=3,5,3)))))</f>
        <v>3</v>
      </c>
      <c r="BV249">
        <f t="shared" si="385"/>
        <v>3</v>
      </c>
      <c r="BW249">
        <f>IFERROR(N(VLOOKUP(AX249,Потребители_обозначение,10,FALSE)),0)</f>
        <v>0</v>
      </c>
      <c r="BX249">
        <f>IFERROR(VLOOKUP(AX249,Потребители_обозначение,5,FALSE),0)</f>
        <v>1</v>
      </c>
      <c r="BY249" s="6" cm="1">
        <f t="array" ref="BY249">IF(B249="","",IF(BC249&lt;&gt;"",IFERROR(_xlfn.XLOOKUP(BC249,Щиты[Щит],Щиты[cos φ]),0.95),IF(BK249=1,IFERROR(_xlfn.XLOOKUP(A249,Щиты[Щит],Щиты[cos φ]),0.95),IF(ISNUMBER(Z249),Z249,IFERROR(IF(BX249=2,_xlfn.IFS(BR249=3,VLOOKUP(BN249,Справочная_двигатели,8,FALSE),BR249=1,VLOOKUP(BN249,Справочная_двигатели,10,TRUE)),IF(AND(Методика="нормы 2026",EQ249="Сил"),0.8,0.95)),0.95)))))</f>
        <v>0.95</v>
      </c>
      <c r="BZ249">
        <f t="shared" si="386"/>
        <v>0</v>
      </c>
      <c r="CA249">
        <f t="shared" si="387"/>
        <v>1</v>
      </c>
      <c r="CB249">
        <f t="shared" si="388"/>
        <v>0</v>
      </c>
      <c r="CC249">
        <f t="shared" si="389"/>
        <v>0</v>
      </c>
      <c r="CD249">
        <f t="shared" si="390"/>
        <v>0</v>
      </c>
      <c r="CE249">
        <f t="shared" si="391"/>
        <v>0</v>
      </c>
      <c r="CF249">
        <f t="shared" si="392"/>
        <v>0</v>
      </c>
      <c r="CG249">
        <f>IF(AX249="",0,_xlfn.LET(_xlpm.v,IFERROR(VLOOKUP(B249,УГО_спр,3,FALSE),IFERROR(VLOOKUP(AX249,УГО_спр,3,FALSE),IFERROR(VLOOKUP(LEFT(AX249,2),УГО_спр,3,FALSE),""))),IF(_xlpm.v="да",30,IF(ISNUMBER(_xlpm.v),_xlpm.v,0))))</f>
        <v>30</v>
      </c>
      <c r="CH249">
        <f t="shared" si="393"/>
        <v>30</v>
      </c>
      <c r="CI249" t="str">
        <f>_xlfn.LET(_xlpm.k,IFERROR(_xlfn.XLOOKUP(AX249,Коды_код,Коды_утечка)&amp;"",""),IF(_xlpm.k="","дифавтомат",_xlpm.k))</f>
        <v>дифавтомат</v>
      </c>
      <c r="CJ249">
        <f t="shared" si="394"/>
        <v>30</v>
      </c>
      <c r="CK249">
        <f t="shared" si="395"/>
        <v>30</v>
      </c>
      <c r="CL249">
        <f>IF(B249="",0,IFERROR(--VLOOKUP(B249,УГО_спр,4,FALSE),IFERROR(--VLOOKUP(AX249,УГО_спр,4,FALSE),IFERROR(--VLOOKUP(LEFT(AX249,2),УГО_спр,4,FALSE),0))))</f>
        <v>16</v>
      </c>
      <c r="CM249" t="str">
        <f>IF(B249="","",IFERROR(_xlfn.XLOOKUP(AX249,Коды_код,Коды_апп)&amp;"",""))</f>
        <v/>
      </c>
      <c r="CN249" t="str">
        <f t="shared" si="396"/>
        <v/>
      </c>
      <c r="CO249" t="str" cm="1">
        <f t="array" ref="CO249">IF(TRIM(CN249&amp;"")="","",IFERROR(TRIM(INDEX(_xlfn.TEXTSPLIT(CN249&amp;";;;",";"),1)),""))</f>
        <v/>
      </c>
      <c r="CP249" t="str" cm="1">
        <f t="array" ref="CP249">IF(TRIM(CN249&amp;"")="","",IFERROR(TRIM(INDEX(_xlfn.TEXTSPLIT(CN249&amp;";;;",";"),2)),""))</f>
        <v/>
      </c>
      <c r="CQ249" t="str" cm="1">
        <f t="array" ref="CQ249">IF(TRIM(CN249&amp;"")="","",IFERROR(TRIM(INDEX(_xlfn.TEXTSPLIT(CN249&amp;";;;",";"),3)),""))</f>
        <v/>
      </c>
      <c r="CR249">
        <f t="shared" si="397"/>
        <v>0</v>
      </c>
      <c r="CS249" t="str">
        <f>IF(B249="","",_xlfn.LET(_xlpm.t,LOWER(AV249&amp;""),IF(ISNUMBER(SEARCH("dim",_xlpm.t)),"DIM",IF(ISNUMBER(SEARCH("dali",_xlpm.t)),"DALI",IF(OR(ISNUMBER(SEARCH("relay",_xlpm.t)),ISNUMBER(SEARCH("реле",_xlpm.t))),"Relay",IF(ISNUMBER(SEARCH("кнопк",_xlpm.t)),"",IFERROR(_xlfn.XLOOKUP(AX249,Коды_код,Коды_упр)&amp;"","")))))))</f>
        <v/>
      </c>
      <c r="CT249" t="str">
        <f t="shared" si="398"/>
        <v/>
      </c>
      <c r="CU249">
        <f>IF(B249="","",_xlfn.LET(_xlpm.ig,N(P249)+IF(AF249="вручную",0,N(CB249)),_xlpm.n0,IFERROR(VLOOKUP(_xlpm.ig,Автомат_номиналы,2,TRUE),0),_xlpm.mn,MAX(CL249,IF(AF249="вручную",0,N(CE249))),MAX(_xlpm.n0,_xlpm.mn,IF(CR249=1,Мин_автомат_БП,0))))</f>
        <v>16</v>
      </c>
      <c r="CV249">
        <f t="shared" si="399"/>
        <v>1</v>
      </c>
      <c r="CW249" t="str">
        <f t="shared" si="400"/>
        <v>2P</v>
      </c>
      <c r="CX249" t="str">
        <f>_xlfn.LET(_xlpm.cc,UPPER(TRIM(IFERROR(_xlfn.XLOOKUP(AX249,Коды_код,Коды_хар)&amp;"",""))),IF(OR(_xlpm.cc="B",_xlpm.cc="В"),"B",IF(_xlpm.cc="D","D","С")))</f>
        <v>С</v>
      </c>
      <c r="CY249" t="str">
        <f t="shared" si="401"/>
        <v>2P С16А 30мА</v>
      </c>
      <c r="CZ249" t="str">
        <f t="shared" si="402"/>
        <v>2P С16А 30мА</v>
      </c>
      <c r="DA249" t="str">
        <f t="shared" si="403"/>
        <v>2P С16А 30мА</v>
      </c>
      <c r="DB249" cm="1">
        <f t="array" ref="DB249">IF(DA249="","",_xlfn.LET(_xlpm.t,SUBSTITUTE(SUBSTITUTE(SUBSTITUTE(UPPER(DA249),"С","C"),"А","A"),"В","B"),_xlpm.tk,_xlfn.TEXTSPLIT(_xlpm.t,"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9" t="str">
        <f t="shared" si="404"/>
        <v>ok</v>
      </c>
      <c r="DD249">
        <f t="shared" si="405"/>
        <v>16</v>
      </c>
      <c r="DE249" t="str">
        <f t="shared" si="406"/>
        <v>2P С16А 30мА</v>
      </c>
      <c r="DF249">
        <f t="shared" si="407"/>
        <v>30</v>
      </c>
      <c r="DG249">
        <f t="shared" si="408"/>
        <v>1</v>
      </c>
      <c r="DH249">
        <f t="shared" si="409"/>
        <v>0</v>
      </c>
      <c r="DI249">
        <f t="shared" si="410"/>
        <v>0.54696341291648753</v>
      </c>
      <c r="DJ249">
        <f t="shared" si="411"/>
        <v>1</v>
      </c>
      <c r="DK249">
        <f>IF(ISNUMBER(AL249),AL249,К_прокл)</f>
        <v>1</v>
      </c>
      <c r="DL249">
        <f t="shared" si="412"/>
        <v>2</v>
      </c>
      <c r="DM249">
        <f>IFERROR(N(VLOOKUP(BT249,Кабель_обозначение,3,FALSE)),1)</f>
        <v>1</v>
      </c>
      <c r="DN249">
        <f>IFERROR(N(_xlfn.XLOOKUP(A249,Щиты[Щит],Щиты[ΔU до шин, %])),0)</f>
        <v>1.19</v>
      </c>
      <c r="DO249" t="str">
        <f>IFERROR(_xlfn.XLOOKUP(A249,Щиты[Щит],Щиты[Zпетли на шинах, Ом]),"")</f>
        <v/>
      </c>
      <c r="DP249">
        <f>IFERROR(N(_xlfn.XLOOKUP(A249,Щиты[Щит],Щиты[ΔU до шин (подбор), %])),0)</f>
        <v>1.19</v>
      </c>
      <c r="DQ249" t="str">
        <f>IFERROR(_xlfn.XLOOKUP(A249,Щиты[Щит],Щиты[Zпетли на шинах (подбор), Ом]),"")</f>
        <v/>
      </c>
      <c r="DR249" t="str">
        <f t="shared" si="413"/>
        <v/>
      </c>
      <c r="DS249">
        <f t="shared" si="414"/>
        <v>45</v>
      </c>
      <c r="DT249">
        <f t="shared" si="415"/>
        <v>2</v>
      </c>
      <c r="DU249">
        <f t="shared" si="416"/>
        <v>0.31</v>
      </c>
      <c r="DV249" s="6">
        <f>IF(B249="","",IF(IFERROR(VLOOKUP(AX249,УГО_спр,2,FALSE),"")="Светильник",3,4)+IF(Методика="нормы 2026",MIN(0.5,MAX(0,N(Q249)-100)*0.005),0))</f>
        <v>4</v>
      </c>
      <c r="DW249" cm="1">
        <f t="array" ref="DW249">IF(OR(B249="",BT249="",DM249&lt;&gt;1),"",_xlfn.LET(_xlpm.sz,Iдоп_S,_xlpm.t_,CHOOSE(DL249,Iдоп_1ж,Iдоп_2ж,Iдоп_3ж)*DJ249*DK249,_xlpm.inn,N(DD249),_xlpm.smin,MAX(1.5,BW249),_xlpm.L_,N(Q249)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249)*(_xlpm.rho*_xlpm.L_/_xlpm.sz*N(BY249)+_xlpm.xx*_xlpm.L_*N(DU249)/1000)*N(P249)/((Uн_лин/SQRT(3))*1000)*100,999),_xlpm.kz,IF(OR(DG249=1,NOT(ISNUMBER(DQ249)),_xlpm.L_=0,_xlpm.inn=0),1,IFERROR(--(c_min*(Uн_лин*1000/SQRT(3))/(DQ249+2*ρкз_Cu*_xlpm.L_/_xlpm.sz)&gt;=GY249*_xlpm.inn),0)),_xlpm.ok,IFERROR((_xlpm.sz&gt;=_xlpm.smin)*(_xlpm.t_&gt;=_xlpm.inn)*IF(_xlpm.L_&gt;0,(_xlpm.du_+DP249&lt;=DV249+0.00001),1)*_xlpm.kz,0),_xlpm.r_,_xlfn._xlws.FILTER(_xlpm.sz,_xlpm.ok,"не подобрано"),INDEX(_xlpm.r_,1)))</f>
        <v>1.5</v>
      </c>
      <c r="DX249">
        <f t="shared" si="417"/>
        <v>2.5</v>
      </c>
      <c r="DY249" cm="1">
        <f t="array" ref="DY249">IF(OR(B249="",BT249="",DM249&lt;&gt;1),"",_xlfn.LET(_xlpm.sz,Iдоп_S,_xlpm.t_,CHOOSE(DL249,Iдоп_1ж,Iдоп_2ж,Iдоп_3ж)*DJ249*DK249,_xlpm.ok,IFERROR((_xlpm.sz&gt;=MAX(1.5,BW249))*(_xlpm.t_&gt;=N(DD249)),0),_xlpm.r_,_xlfn._xlws.FILTER(_xlpm.sz,_xlpm.ok,""),INDEX(_xlpm.r_,1)))</f>
        <v>1.5</v>
      </c>
      <c r="DZ249" s="6" cm="1">
        <f t="array" ref="DZ249">IFERROR(ROUNDUP(N(DT249)*(_xlfn.XLOOKUP(DY249,INDEX(Кабель_сопротивление,0,1),INDEX(Кабель_сопротивление,0,3))*N(Q249)/DY249*N(BY249)+_xlfn.XLOOKUP(DY249,INDEX(Кабель_сопротивление,0,1),INDEX(Кабель_сопротивление,0,2))*N(Q249)*N(DU249)/1000)*N(P249)/((Uн_лин/SQRT(3))*1000)*100,2),"")</f>
        <v>0.37</v>
      </c>
      <c r="EA249">
        <f>IFERROR(2*ρкз_Cu*N(Q249)/DY249,"")</f>
        <v>1.8936000000000002</v>
      </c>
      <c r="EB249">
        <f>IFERROR(VLOOKUP(DX249,Кабель_сопротивление,3,FALSE),"")</f>
        <v>2.2499999999999999E-2</v>
      </c>
      <c r="EC249">
        <f>IFERROR(VLOOKUP(DX249,Кабель_сопротивление,2,FALSE),"")</f>
        <v>0.1</v>
      </c>
      <c r="ED249">
        <f t="shared" si="418"/>
        <v>20</v>
      </c>
      <c r="EE249">
        <f t="shared" si="419"/>
        <v>6</v>
      </c>
      <c r="EF249">
        <f t="shared" si="420"/>
        <v>0.50689724899352884</v>
      </c>
      <c r="EG249" s="6">
        <f>IFERROR(ROUNDUP(EF249/((Uн_лин/SQRT(3))*1000)*100,2),"")</f>
        <v>0.22</v>
      </c>
      <c r="EH249" t="str">
        <f>IFERROR(VLOOKUP(BT249,Кабель_обозначение,2,FALSE),"")</f>
        <v>ВВГнг(А)-LS</v>
      </c>
      <c r="EI249" t="str">
        <f t="shared" si="421"/>
        <v>ВВГнг(А)-LS (3х2,5)</v>
      </c>
      <c r="EJ249" t="str">
        <f t="shared" si="422"/>
        <v>ВВГнг(А)-LS (3х2,5)
L=54-0,22%</v>
      </c>
      <c r="EK249">
        <f>IFERROR(2*ρкз_Cu*Q249/DX249,"")</f>
        <v>1.1361600000000001</v>
      </c>
      <c r="EL249">
        <f t="shared" si="423"/>
        <v>0.378</v>
      </c>
      <c r="EM249" s="6" t="str">
        <f>IFERROR(IF(OR(B249="",NOT(ISNUMBER(DX249)),N(Q249)=0),"",_xlfn.XLOOKUP(A249,Щиты[Щит],Щиты[Zпетли на шинах, Ом])+EK249),"")</f>
        <v/>
      </c>
      <c r="EN249" s="6" t="str">
        <f>IF(ISNUMBER(EM249),c_min*(Uн_лин*1000/SQRT(3))/EM249,"")</f>
        <v/>
      </c>
      <c r="EO249" s="6" t="str">
        <f>IFERROR(IF(OR(B249="",NOT(ISNUMBER(DX249))),"",1.05*(Uн_лин*1000/SQRT(3))/(_xlfn.XLOOKUP(A249,Щиты[Щит],Щиты[Zmax на шинах, Ом])+EL249)/1000),"")</f>
        <v/>
      </c>
      <c r="EP249" s="6" t="str">
        <f>IF(B249="","",IF(ISNUMBER(Y249),"Сил",IF(IFERROR(_xlfn.XLOOKUP(AX249,Коды_код,Коды_группа)&amp;"","")="","Быт",_xlfn.XLOOKUP(AX249,Коды_код,Коды_группа)&amp;"")))</f>
        <v>Быт</v>
      </c>
      <c r="EQ249" s="6" t="str">
        <f t="shared" si="424"/>
        <v>Быт</v>
      </c>
      <c r="ER249" s="6">
        <f>IF(EQ249="Щит","щит",IF(EQ249="","",IF(EQ249="Быт",IFERROR(_xlfn.XLOOKUP(A249,Щиты[Щит],Щиты[Кс быт]),1),IF(EQ249="Сил",IF(ISNUMBER(Y249),Y249,IF(Методика="нормы 2026",IFERROR(_xlfn.XLOOKUP(A249,Щиты[Щит],Щиты[Кс силовых (табл. 7.5)]),1),1)),IF(OR(EQ249="Пост",EQ249="Отоп"),1,IF(EQ249="ВНГ",0.7,0))))))</f>
        <v>0.57830000000000004</v>
      </c>
      <c r="ES249">
        <f t="shared" si="425"/>
        <v>1</v>
      </c>
      <c r="ET249">
        <f t="shared" si="426"/>
        <v>0.12</v>
      </c>
      <c r="EU249">
        <f t="shared" si="427"/>
        <v>0.12</v>
      </c>
      <c r="EV249">
        <f t="shared" si="428"/>
        <v>0</v>
      </c>
      <c r="EW249">
        <f t="shared" si="429"/>
        <v>0</v>
      </c>
      <c r="EX249">
        <f t="shared" si="430"/>
        <v>0</v>
      </c>
      <c r="EY249">
        <f t="shared" si="431"/>
        <v>0</v>
      </c>
      <c r="EZ249">
        <f t="shared" si="432"/>
        <v>0.12</v>
      </c>
      <c r="FA249">
        <f t="shared" si="433"/>
        <v>0.11399999999999999</v>
      </c>
      <c r="FB249">
        <f t="shared" si="434"/>
        <v>0.12</v>
      </c>
      <c r="FC249" t="str">
        <f t="shared" si="435"/>
        <v>L2</v>
      </c>
      <c r="FD249" t="str">
        <f>IF(B249="","",IF(CA249=0,IF(AW249=1,"",FF248),IF(OR(N(CV249)&gt;=3,N(BR249)&gt;=3),"L1,L2,L3",IFERROR(_xlfn.TEXTBEFORE(_xlfn.TEXTAFTER(_xlfn.XLOOKUP(A249,Щиты[Щит],Щиты[_фазы авто]),";"&amp;AW249&amp;":"),";"),"L1"))))</f>
        <v>L1</v>
      </c>
      <c r="FE249" t="str">
        <f t="shared" si="436"/>
        <v>L2</v>
      </c>
      <c r="FF249" t="str">
        <f t="shared" si="437"/>
        <v>L2</v>
      </c>
      <c r="FG249" cm="1">
        <f t="array" ref="FG249">IFERROR(IF(BX249=2,_xlfn.IFS(BR249=3,VLOOKUP(BN249,Справочная_двигатели,3,FALSE),BR249=1,VLOOKUP(BN249,Справочная_двигатели,5,TRUE)),0),0)</f>
        <v>0</v>
      </c>
      <c r="FH249">
        <f>IFERROR(IF(BX249=3,VLOOKUP(BN249,Справочная_ЛЭД,2,TRUE),0),0)</f>
        <v>0</v>
      </c>
      <c r="FI249" s="6">
        <f t="shared" si="438"/>
        <v>0</v>
      </c>
      <c r="FJ249" t="str" cm="1">
        <f t="array" ref="FJ249">IF(B249="","",IFERROR(INDEX({"I особая","I","II","III"},MATCH(TRIM(AC249&amp;""),{"I особая","I","II","III"},0)),"III"))</f>
        <v>II</v>
      </c>
      <c r="FK249" t="str">
        <f>IF(B249="","",IF(TRIM(AD249&amp;"")&lt;&gt;"",IF(LOWER(TRIM(AD249&amp;""))="да","да","нет"),IF(IFERROR(_xlfn.XLOOKUP(AX249,Коды_код,Коды_пожарная),"")="да","да","нет")))</f>
        <v>нет</v>
      </c>
      <c r="FL249" t="str">
        <f t="shared" si="439"/>
        <v/>
      </c>
      <c r="FM249" t="str">
        <f t="shared" si="440"/>
        <v>основная</v>
      </c>
      <c r="FN249">
        <f t="shared" si="441"/>
        <v>1</v>
      </c>
      <c r="FO249" t="str" cm="1">
        <f t="array" ref="FO249">IF(B249="","",_xlfn.LET(_xlpm.t,IFERROR(_xlfn.XLOOKUP(1,(Шины[Шина]=FM249)*(((Шины[Щит]=A249)+(Шины[Щит]=""))&gt;0),Шины[Тип]),"")&amp;"",IF(_xlpm.t&lt;&gt;"",_xlpm.t,IF(ISNUMBER(SEARCH("ИБП",FM249)),"ИБП",IF(ISNUMBER(SEARCH("ДГУ",FM249)),"ДГУ","Ввод "&amp;FN249)))))</f>
        <v>Ввод 1</v>
      </c>
      <c r="FP249" t="str">
        <f t="shared" si="442"/>
        <v>Ввод 1</v>
      </c>
      <c r="FQ249" t="str">
        <f>IF(B249="","",IF(OR(FO249="ИБП",FO249="ДГУ"),"I особая",IF(FO249="Одиночная","III",_xlfn.XLOOKUP(A249,Щиты[Щит],Щиты[Категория шины «Ввод»],"III"))))</f>
        <v>II</v>
      </c>
      <c r="FR249">
        <f>IF(B249="",0,IFERROR(MATCH(FJ249,{"III","II","I","I особая"},0),1))</f>
        <v>2</v>
      </c>
      <c r="FS249">
        <f t="shared" si="443"/>
        <v>2</v>
      </c>
      <c r="FT249" t="str">
        <f>IF(B249="","",IF(FR249&gt;IFERROR(MATCH(FQ249,{"III","II","I","I особая"},0),1),"НЕ ОБЕСПЕЧЕНА","ОК"))</f>
        <v>ОК</v>
      </c>
      <c r="FU249" t="str">
        <f>IF(A249="","",_xlfn.XLOOKUP(A249,Щиты[Щит],Щиты[Путь],""))</f>
        <v>|ГРЩ-ЖД|ЩР-1|</v>
      </c>
      <c r="FV249" t="str">
        <f>IF(B249="","",IF(AE249&lt;&gt;"",AE249,IF(IFERROR(_xlfn.XLOOKUP(AX249,Коды_код,Коды_вид)&amp;"","")="","Прочее",_xlfn.XLOOKUP(AX249,Коды_код,Коды_вид)&amp;"")))</f>
        <v>Розеточная сеть и бытовые приборы</v>
      </c>
      <c r="FW249">
        <f>IF(BH249="","",INT((BH249-1)/Столбцов_на_лист)+1)</f>
        <v>3</v>
      </c>
      <c r="FX249" t="str">
        <f t="shared" si="444"/>
        <v>ВВГнг(А)-LS (3х2,5) L=54-0,22%</v>
      </c>
      <c r="FY249">
        <f t="shared" si="445"/>
        <v>0.12</v>
      </c>
      <c r="FZ249">
        <f t="shared" si="446"/>
        <v>0.55000000000000004</v>
      </c>
      <c r="GA249">
        <f t="shared" si="447"/>
        <v>1</v>
      </c>
      <c r="GB249">
        <f t="shared" si="448"/>
        <v>0</v>
      </c>
      <c r="GC249">
        <f t="shared" si="449"/>
        <v>1</v>
      </c>
      <c r="GD249">
        <f>IF(BH249="","",IF(AND(CA249=1,GC249=1),COUNTIFS(A$3:A249,A249,CA$3:CA249,1,GC$3:GC249,1),IF(OR(OR(AW249=1,A249&lt;&gt;A248),AF249="вручную",GC249=0),"",IF(AW249=1,"",GE248))))</f>
        <v>25</v>
      </c>
      <c r="GE249">
        <f t="shared" si="450"/>
        <v>25</v>
      </c>
      <c r="GF249">
        <f>IF(B249="","",IFERROR(LOOKUP(INDEX(CHOOSE(DL249,Iдоп_1ж,Iдоп_2ж,Iдоп_3ж),MATCH(DX249,Iдоп_S,0))*DJ249*DK249,{6,10,16,20,25,32,40,50,63,80,100,125,160,200,250,315,400,500,630}),""))</f>
        <v>25</v>
      </c>
      <c r="GG249" t="str">
        <f t="shared" si="451"/>
        <v>QFD25</v>
      </c>
      <c r="GH249" t="str">
        <f t="shared" si="452"/>
        <v>QFD25</v>
      </c>
      <c r="GI249" t="str">
        <f t="shared" si="453"/>
        <v/>
      </c>
      <c r="GJ249">
        <f t="shared" si="454"/>
        <v>0</v>
      </c>
      <c r="GK249" t="str">
        <f>IF(OR(AG249="",AG249="-"),"",IFERROR(VLOOKUP(AG249,Модули_спр,2,FALSE),"R"))</f>
        <v/>
      </c>
      <c r="GL249" t="str">
        <f>IF(GK249="","",GK249&amp;"."&amp;COUNTIFS(A$3:A249,A249,GK$3:GK249,GK249))</f>
        <v/>
      </c>
      <c r="GM249" t="str">
        <f t="shared" si="455"/>
        <v/>
      </c>
      <c r="GN249" t="str">
        <f t="shared" si="456"/>
        <v/>
      </c>
      <c r="GO249" t="str">
        <f t="shared" si="457"/>
        <v/>
      </c>
      <c r="GP249" t="str">
        <f t="shared" si="458"/>
        <v/>
      </c>
      <c r="GQ249">
        <f t="shared" si="459"/>
        <v>1</v>
      </c>
      <c r="GR249" t="str">
        <f>IF(GQ249=1,"XT"&amp;COUNTIFS(A$3:A249,A249,GQ$3:GQ249,1),"")</f>
        <v>XT25</v>
      </c>
      <c r="GS249" t="str">
        <f t="shared" si="460"/>
        <v>XT25</v>
      </c>
      <c r="GT249" t="str">
        <f t="shared" si="461"/>
        <v>QFD25</v>
      </c>
      <c r="GU249" t="str">
        <f t="shared" si="462"/>
        <v/>
      </c>
      <c r="GV249" t="str">
        <f t="shared" si="463"/>
        <v>ok</v>
      </c>
      <c r="GW249" t="str">
        <f>IF(OR(GO249="",GM249=""),"",IF(GO249&gt;IFERROR(VLOOKUP(GN249,Модули_спр,3,FALSE),99),"ЛИШНИЙ КАНАЛ",IF(AND(AH249&lt;&gt;"=",COUNTIFS(Линии[_модуль гр.],GM249,Линии[Канал (итог)],GO249,Линии[Канал],"&lt;&gt;=",Линии[Щит],A249)&gt;1),"ДУБЛЬ КАНАЛА","")))</f>
        <v/>
      </c>
      <c r="GX249" s="6" t="str">
        <f t="shared" si="464"/>
        <v/>
      </c>
      <c r="GY249">
        <f t="shared" si="465"/>
        <v>10</v>
      </c>
      <c r="GZ249" t="str">
        <f t="shared" si="466"/>
        <v/>
      </c>
      <c r="HA249" t="str">
        <f>IF(AND(B249="",GT249=""),"",_xlfn.TEXTJOIN("; ",TRUE,IF(AND(B249&lt;&gt;"",FE249=""),"нет фазы",""),IF(AND(B249&lt;&gt;"",N(FY249)=0,EQ249&lt;&gt;"Нет"),"нет мощности",""),IF(AND(GS249&lt;&gt;"",COUNTIFS(Линии[Щит],A249,Линии[Клемма (итог)],GS249)&gt;1),"дубль клеммы "&amp;GS249,""),IF(AND(GV249&lt;&gt;"",GV249&lt;&gt;"ok"),GV249,""),IF(GW249&lt;&gt;"",GW249,""),IF(AND(N(BV249)&gt;=4,N(BR249)=1),BV249&amp;" жил на 1 фазе",""),IF(AND(AX249="R",CA249=1,OR(N(CK249)=0,N(CK249)&gt;30)),"розетка без дифзащиты до 30 мА",""),IFERROR(IF(AND(ISNUMBER(R249),R249&gt;DV249),"потери "&amp;FIXED(R249,1)&amp;" % &gt; "&amp;DV249&amp;" %",""),""),IFERROR(IF(LEFT(GZ249,4)="мало","Iкз мало — отключение &gt; 0,4 с",""),""),IF(AND(B249&lt;&gt;"",BH249=""),"не на схеме",""),IF(AND(CA249=0,B249&lt;&gt;"",FE249&lt;&gt;"",IF(AW249=1,"",FF248)&lt;&gt;"",FE249&lt;&gt;IF(AW249=1,"",FF248)),"фаза не как у автомата группы ("&amp;IF(AW249=1,"",FF248)&amp;")","")))</f>
        <v/>
      </c>
      <c r="HB249" s="6">
        <f>IF(OR(CA249=0,DA249=""),"",_xlfn.LET(_xlpm.t,IFERROR(_xlfn.XLOOKUP(DA249,Каталог!$U$4:$U$500,Каталог!$G$4:$G$500),""),_xlpm.k,SEARCH("кА",_xlpm.t),IFERROR(--TRIM(RIGHT(SUBSTITUTE(MID(_xlpm.t,MAX(1,_xlpm.k-4),_xlpm.k-MAX(1,_xlpm.k-4))," ",REPT(" ",9)),5)),"")))</f>
        <v>6</v>
      </c>
      <c r="HC249" t="str">
        <f>IF(OR(HB249="",CA249=0),"",IF(_xlfn.XLOOKUP(A249,Щиты[Щит],Щиты[Iкз max на шинах, кА],"")="","",IF(HB249&lt;_xlfn.XLOOKUP(A249,Щиты[Щит],Щиты[Iкз max на шинах, кА]),"Icu "&amp;HB249&amp;" кА &lt; Iкз max","ok")))</f>
        <v/>
      </c>
      <c r="HD249" t="str">
        <f t="shared" si="467"/>
        <v/>
      </c>
      <c r="HE249" t="str">
        <f t="shared" si="468"/>
        <v>QFD25|XT25</v>
      </c>
      <c r="HF249" t="str">
        <f t="shared" si="469"/>
        <v>QFD25|XT25|кабель ВВГнг(А)-LS (3х2,5) → Розеточная группа, пом. 006A</v>
      </c>
      <c r="HG249" t="str" cm="1">
        <f t="array" ref="HG249">IF(HF249="","",_xlfn.LET(_xlpm.nd,_xlfn.TEXTSPLIT(HF249,"|"),IF(COLUMNS(_xlpm.nd)&gt;1,A249&amp;"¦"&amp;INDEX(_xlpm.nd,1)&amp;"¦"&amp;INDEX(_xlpm.nd,2),"")))</f>
        <v>ЩР-1¦QFD25¦XT25</v>
      </c>
      <c r="HH249" t="str">
        <f t="shared" si="470"/>
        <v>R.1.006A.1¦Розеточная группа, пом. 006A</v>
      </c>
      <c r="HI249" t="str" cm="1">
        <f t="array" ref="HI249">IF(HF249="","",_xlfn.LET(_xlpm.nd,_xlfn.TEXTSPLIT(HF249,"|"),IF(COLUMNS(_xlpm.nd)&gt;2,A249&amp;"¦"&amp;INDEX(_xlpm.nd,2)&amp;"¦"&amp;INDEX(_xlpm.nd,3),"")))</f>
        <v>ЩР-1¦XT25¦кабель ВВГнг(А)-LS (3х2,5) → Розеточная группа, пом. 006A</v>
      </c>
      <c r="HJ249" t="str">
        <f t="shared" si="471"/>
        <v>R.1.006A.1¦Розеточная группа, пом. 006A</v>
      </c>
      <c r="HK249" t="str" cm="1">
        <f t="array" ref="HK249">IF(HF249="","",_xlfn.LET(_xlpm.nd,_xlfn.TEXTSPLIT(HF249,"|"),IF(COLUMNS(_xlpm.nd)&gt;3,A249&amp;"¦"&amp;INDEX(_xlpm.nd,3)&amp;"¦"&amp;INDEX(_xlpm.nd,4),"")))</f>
        <v/>
      </c>
      <c r="HL249" t="str">
        <f t="shared" si="472"/>
        <v/>
      </c>
      <c r="HM249" t="str" cm="1">
        <f t="array" ref="HM249">IF(HF249="","",_xlfn.LET(_xlpm.nd,_xlfn.TEXTSPLIT(HF249,"|"),IF(COLUMNS(_xlpm.nd)&gt;4,A249&amp;"¦"&amp;INDEX(_xlpm.nd,4)&amp;"¦"&amp;INDEX(_xlpm.nd,5),"")))</f>
        <v/>
      </c>
      <c r="HN249" t="str">
        <f t="shared" si="473"/>
        <v/>
      </c>
      <c r="HO249" t="str" cm="1">
        <f t="array" ref="HO249">IF(HF249="","",_xlfn.LET(_xlpm.nd,_xlfn.TEXTSPLIT(HF249,"|"),IF(COLUMNS(_xlpm.nd)&gt;5,A249&amp;"¦"&amp;INDEX(_xlpm.nd,5)&amp;"¦"&amp;INDEX(_xlpm.nd,6),"")))</f>
        <v/>
      </c>
      <c r="HP249" t="str">
        <f t="shared" si="474"/>
        <v/>
      </c>
      <c r="HQ249" t="str" cm="1">
        <f t="array" ref="HQ249">IF(HF249="","",_xlfn.LET(_xlpm.nd,_xlfn.TEXTSPLIT(HF249,"|"),IF(COLUMNS(_xlpm.nd)&gt;6,A249&amp;"¦"&amp;INDEX(_xlpm.nd,6)&amp;"¦"&amp;INDEX(_xlpm.nd,7),"")))</f>
        <v/>
      </c>
      <c r="HR249" t="str">
        <f t="shared" si="475"/>
        <v/>
      </c>
      <c r="HS249" t="str">
        <f t="shared" si="476"/>
        <v/>
      </c>
      <c r="HT249" t="str">
        <f t="shared" si="477"/>
        <v>QFD25 → XT25</v>
      </c>
      <c r="HU249">
        <f t="shared" si="478"/>
        <v>0</v>
      </c>
      <c r="HV249">
        <f t="shared" si="479"/>
        <v>1</v>
      </c>
      <c r="HW249" t="str">
        <f t="shared" si="480"/>
        <v/>
      </c>
      <c r="HX249" t="str">
        <f t="shared" si="481"/>
        <v/>
      </c>
      <c r="HY249" t="str">
        <f t="shared" si="482"/>
        <v/>
      </c>
      <c r="HZ249" t="str">
        <f t="shared" si="483"/>
        <v/>
      </c>
      <c r="IA249" t="str">
        <f>IF(B249="","",IFERROR(VLOOKUP(B249,УГО_спр,2,FALSE),IFERROR(VLOOKUP(AX249,УГО_спр,2,FALSE),IFERROR(VLOOKUP(LEFT(AX249,2),УГО_спр,2,FALSE),""))))</f>
        <v>Розетка</v>
      </c>
      <c r="IB249" t="str">
        <f>IF(B249="","",IF(OR(IA249="",IA249=0),"BOX",IFERROR(IF(VLOOKUP(IA249,УГО_блоки,3,FALSE)&amp;""&lt;&gt;"",VLOOKUP(IA249,УГО_блоки,3,FALSE),VLOOKUP(IA249,УГО_блоки,2,FALSE)),IA249)))</f>
        <v>SOCKET</v>
      </c>
      <c r="IC249">
        <f t="shared" si="484"/>
        <v>1</v>
      </c>
      <c r="ID249" t="str">
        <f>IF(DA249="","",IF(COUNTIF(DA$3:DA249,DA249)=1,MAX(ID$2:ID248)+1,""))</f>
        <v/>
      </c>
      <c r="IE249" t="str">
        <f>IF(CO249="","",IF(COUNTIF(CO$3:CO249,CO249)+COUNTIF(CP$2:CP248,CO249)+COUNTIF(CQ$2:CQ248,CO249)=1,MAX(IE$2:IG248)+1,""))</f>
        <v/>
      </c>
      <c r="IF249" t="str">
        <f>IF(CP249="","",IF(COUNTIF(CO$3:CO249,CP249)+COUNTIF(CP$3:CP249,CP249)+COUNTIF(CQ$2:CQ248,CP249)=1,MAX(IE$2:IG248,IE249)+1,""))</f>
        <v/>
      </c>
      <c r="IG249" t="str">
        <f>IF(CQ249="","",IF(COUNTIF(CO$3:CO249,CQ249)+COUNTIF(CP$3:CP249,CQ249)+COUNTIF(CQ$3:CQ249,CQ249)=1,MAX(IE$2:IG248,IE249,IF249)+1,""))</f>
        <v/>
      </c>
      <c r="IH249" t="str">
        <f t="shared" si="485"/>
        <v>3х2,5</v>
      </c>
      <c r="II249" t="str">
        <f>IF(IH249="","",IF(COUNTIF(IH$3:IH249,IH249)=1,MAX(II$2:II248)+1,""))</f>
        <v/>
      </c>
      <c r="IJ249" t="str">
        <f>IF(GL249="","",COUNTIF(GL$3:GL249,"?*"))</f>
        <v/>
      </c>
      <c r="IK249" t="str">
        <f>IF(OR(GL249="",GN249=""),"",IF(COUNTIFS(GL$3:GL249,"?*",GN$3:GN249,GN249)=1,MAX(IK$2:IK248)+1,""))</f>
        <v/>
      </c>
      <c r="IL249">
        <f t="shared" si="486"/>
        <v>0</v>
      </c>
      <c r="IM249">
        <f>IF(B249="","",COUNTIF(B$3:B249,"?*"))</f>
        <v>247</v>
      </c>
      <c r="IN249">
        <f>IF(GQ249&lt;&gt;1,0,_xlfn.LET(_xlpm.k,MAX(IFERROR(--VLOOKUP(B249,УГО_спр,5,FALSE),0),IFERROR(--VLOOKUP(AX249,УГО_спр,5,FALSE),0),IFERROR(--VLOOKUP(LEFT(AX249,2),УГО_спр,5,FALSE),0)),IF(_xlpm.k&gt;0,_xlpm.k,IF(IFERROR(--LEFT(SUBSTITUTE(IH249,"x","х"),FIND("х",SUBSTITUTE(IH249,"x","х"))-1),3)&gt;3,Каталог!$S$9,1))))</f>
        <v>1</v>
      </c>
      <c r="IO249">
        <f t="shared" si="487"/>
        <v>0</v>
      </c>
      <c r="IP249" t="str">
        <f t="shared" si="488"/>
        <v>авто</v>
      </c>
      <c r="IQ249">
        <f t="shared" si="489"/>
        <v>30</v>
      </c>
      <c r="IR249">
        <f t="shared" si="490"/>
        <v>1</v>
      </c>
      <c r="IS249">
        <f t="shared" si="491"/>
        <v>1</v>
      </c>
    </row>
    <row r="250" spans="1:253" x14ac:dyDescent="0.3">
      <c r="A250" t="s">
        <v>759</v>
      </c>
      <c r="B250" t="s">
        <v>1515</v>
      </c>
      <c r="C250" t="str">
        <f>Линии[[#This Row],[_авто наименование]]</f>
        <v>Розеточная группа, пом. 006Aб</v>
      </c>
      <c r="D250">
        <v>4</v>
      </c>
      <c r="E250">
        <v>0.24</v>
      </c>
      <c r="G250" t="str">
        <f>Линии[[#This Row],[_авто автомат]]</f>
        <v>2P С16А 30мА</v>
      </c>
      <c r="H250">
        <f>Линии[[#This Row],[_авто утечка]]</f>
        <v>30</v>
      </c>
      <c r="I250" t="str">
        <f>Линии[[#This Row],[_авто управление]]</f>
        <v/>
      </c>
      <c r="J250" t="str">
        <f>Линии[[#This Row],[_авто аппараты]]</f>
        <v/>
      </c>
      <c r="K250">
        <v>2.5</v>
      </c>
      <c r="L250">
        <v>85</v>
      </c>
      <c r="M250" t="str">
        <f>Линии[[#This Row],[_авто фаза]]</f>
        <v>L2</v>
      </c>
      <c r="N250" t="s">
        <v>486</v>
      </c>
      <c r="O250" t="str">
        <f t="shared" si="369"/>
        <v/>
      </c>
      <c r="P250" s="6" cm="1">
        <f t="array" ref="P250">IF(B250="","",IF(BC250&lt;&gt;"",IFERROR(_xlfn.XLOOKUP(BC250,Щиты[Щит],Щиты[Iр, А]),""),IF(BK250=1,IFERROR(_xlfn.XLOOKUP(A250,Щиты[Щит],Щиты[Iр, А]),""),IFERROR(_xlfn.IFS(BR250=1,BN250/((Uн_лин/SQRT(3))*BY250),BR250=3,BN250/(SQRT(3)*Uн_лин*BY250)),""))))</f>
        <v>1.0939268258329751</v>
      </c>
      <c r="Q250" s="7">
        <f>IF(B250="","",IFERROR(IF(VLOOKUP(AX250,Потребители_обозначение,4,FALSE)=1,VLOOKUP(AX250,Потребители_обозначение,3,FALSE)*(D250*2-1)+DS250+VLOOKUP(AZ250,Этаж_обозначение,3,FALSE)+VLOOKUP(AZ250,Этаж_обозначение,4,FALSE),VLOOKUP(AX250,Потребители_обозначение,3,FALSE)*(D250*2-1)+DS250),DS250))</f>
        <v>106</v>
      </c>
      <c r="R250" s="6">
        <f t="shared" si="370"/>
        <v>2.06</v>
      </c>
      <c r="S250" t="str">
        <f t="shared" si="371"/>
        <v>ВВГнг(А)-LS (3х2,5)</v>
      </c>
      <c r="T250" t="str">
        <f>IF(BH250="","",IF(BI250="вводной узел","узел ","")&amp;"л."&amp;(INT((BH250-1)/Столбцов_на_лист)+1)&amp;" / "&amp;(MOD(BH250-1,Столбцов_на_лист)+1))</f>
        <v>л.3 / 13</v>
      </c>
      <c r="V250">
        <v>1</v>
      </c>
      <c r="W250">
        <v>230</v>
      </c>
      <c r="X250" t="s">
        <v>564</v>
      </c>
      <c r="AC250" t="s">
        <v>815</v>
      </c>
      <c r="AE250" t="s">
        <v>563</v>
      </c>
      <c r="AI250">
        <v>47</v>
      </c>
      <c r="AJ250" t="s">
        <v>11</v>
      </c>
      <c r="AK250">
        <v>3</v>
      </c>
      <c r="AM250">
        <v>28</v>
      </c>
      <c r="AN250">
        <v>78</v>
      </c>
      <c r="AO250">
        <v>0</v>
      </c>
      <c r="AW250" cm="1">
        <f t="array" ref="AW250">ROW()-ROW(Линии[#Headers])</f>
        <v>248</v>
      </c>
      <c r="AX250" s="6" t="str">
        <f t="shared" si="372"/>
        <v>R</v>
      </c>
      <c r="AY250" t="str">
        <f t="shared" si="373"/>
        <v>1.006Aб.1</v>
      </c>
      <c r="AZ250" t="str">
        <f t="shared" si="374"/>
        <v>1</v>
      </c>
      <c r="BA250" t="str">
        <f t="shared" si="375"/>
        <v>006Aб.1</v>
      </c>
      <c r="BB250" t="str">
        <f t="shared" si="376"/>
        <v>006Aб</v>
      </c>
      <c r="BC250" t="str">
        <f>IF(U250&lt;&gt;"",U250,IF(AND(B250&lt;&gt;"",B250&lt;&gt;A250,ISNUMBER(_xlfn.XMATCH(B250,Щиты[Щит]))),B250,""))</f>
        <v/>
      </c>
      <c r="BD250" t="str" cm="1">
        <f t="array" ref="BD250">IF(B250="","",IF(BC250&lt;&gt;"","Щит "&amp;BC250,_xlfn.LET(_xlpm.nm,IFERROR(_xlfn.XLOOKUP(AX250,Коды_код,Коды_имя)&amp;"",""),_xlpm.md,IFERROR(N(_xlfn.XLOOKUP(AX250,Коды_код,Коды_режим)),1),_xlpm.ex,IF(Имя_режим="по экспликации",IFERROR(_xlfn.XLOOKUP(AZ250&amp;"|"&amp;BB250,Экспликация[Этаж]&amp;"|"&amp;Экспликация[Помещение],Экспликация[Название])&amp;"",""),""),_xlpm.rm,IF(BB250="","",IF(_xlpm.ex&lt;&gt;"",". "&amp;_xlpm.ex&amp;IF(Имя_пом="нет"," ("&amp;BB250&amp;")"," (пом. "&amp;BB250&amp;")"),IF(Имя_пом="нет"," ",", пом. ")&amp;BB250)),IF(_xlpm.nm="","",IF(_xlpm.md=2,_xlpm.nm&amp;" шлейф "&amp;AZ250,_xlpm.nm&amp;_xlpm.rm)))))</f>
        <v>Розеточная группа, пом. 006Aб</v>
      </c>
      <c r="BE250" t="str">
        <f t="shared" si="377"/>
        <v>Розеточная группа, пом. 006Aб</v>
      </c>
      <c r="BF250">
        <f>IFERROR(_xlfn.XMATCH(A250,Щиты[Щит]),0)</f>
        <v>10</v>
      </c>
      <c r="BG250">
        <f>_xlfn.LET(_xlpm.k,IFERROR(_xlfn.XLOOKUP(A250,Щиты[Щит],Щиты[Листов под вводной узел]),""),IF(_xlpm.k="",1,N(_xlpm.k))*Столбцов_на_лист)</f>
        <v>17</v>
      </c>
      <c r="BH250">
        <f t="shared" si="378"/>
        <v>47</v>
      </c>
      <c r="BI250" t="str">
        <f t="shared" si="379"/>
        <v>линии</v>
      </c>
      <c r="BJ250" s="6">
        <f>IFERROR(N(_xlfn.XLOOKUP(AX250,Коды_код,Коды_квт)),0)</f>
        <v>0</v>
      </c>
      <c r="BK250">
        <f t="shared" si="380"/>
        <v>0</v>
      </c>
      <c r="BL250" t="str">
        <f>IF(B250="","",IF(BC250&lt;&gt;"",IFERROR(_xlfn.XLOOKUP(BC250,Щиты[Щит],Щиты[Руст, кВт]),0),IF(BK250=1,IFERROR(_xlfn.XLOOKUP(A250,Щиты[Щит],Щиты[Руст, кВт]),0),IF(BJ250&gt;0,ROUND(BJ250*MAX(1,N(D250)),3),""))))</f>
        <v/>
      </c>
      <c r="BM250">
        <f t="shared" si="381"/>
        <v>0.24</v>
      </c>
      <c r="BN250" s="6">
        <f>IF(B250="","",IF(BC250&lt;&gt;"",IFERROR(_xlfn.XLOOKUP(BC250,Щиты[Щит],Щиты[Руст, кВт]),0),N(BM250)))</f>
        <v>0.24</v>
      </c>
      <c r="BO250" t="str">
        <f>IF(B250="","",IFERROR(IF(VLOOKUP(AX250,Потребители_обозначение,8,FALSE)=0,"",VLOOKUP(AX250,Потребители_обозначение,8,FALSE)),""))</f>
        <v/>
      </c>
      <c r="BP250">
        <f t="shared" si="382"/>
        <v>230</v>
      </c>
      <c r="BQ250">
        <f>IF(B250="","",IF(BC250&lt;&gt;"",3,IFERROR(IF(N(VLOOKUP(AX250,Потребители_обозначение,9,FALSE))=0,1,VLOOKUP(AX250,Потребители_обозначение,9,FALSE)),1)))</f>
        <v>1</v>
      </c>
      <c r="BR250">
        <f t="shared" si="383"/>
        <v>1</v>
      </c>
      <c r="BS250" t="str">
        <f>IF(B250="","",_xlfn.LET(_xlpm.bc,IFERROR(IF(VLOOKUP(AX250,Потребители_обозначение,6,FALSE)=0,"",VLOOKUP(AX250,Потребители_обозначение,6,FALSE)&amp;""),""),IF(AND(FK250="да",OR(_xlpm.bc="",_xlpm.bc="мс")),Марка_пож,IF(AND(_xlpm.bc="",BC250&lt;&gt;""),"мс",_xlpm.bc))))</f>
        <v/>
      </c>
      <c r="BT250" t="str">
        <f t="shared" si="384"/>
        <v>мс</v>
      </c>
      <c r="BU250">
        <f>IF(B250="","",_xlfn.LET(_xlpm.cc,IFERROR(N(VLOOKUP(AX250,Потребители_обозначение,7,FALSE)),0),IF(_xlpm.cc&gt;0,_xlpm.cc,IF(BT250="","",IF(N(BR250)=3,5,3)))))</f>
        <v>3</v>
      </c>
      <c r="BV250">
        <f t="shared" si="385"/>
        <v>3</v>
      </c>
      <c r="BW250">
        <f>IFERROR(N(VLOOKUP(AX250,Потребители_обозначение,10,FALSE)),0)</f>
        <v>0</v>
      </c>
      <c r="BX250">
        <f>IFERROR(VLOOKUP(AX250,Потребители_обозначение,5,FALSE),0)</f>
        <v>1</v>
      </c>
      <c r="BY250" s="6" cm="1">
        <f t="array" ref="BY250">IF(B250="","",IF(BC250&lt;&gt;"",IFERROR(_xlfn.XLOOKUP(BC250,Щиты[Щит],Щиты[cos φ]),0.95),IF(BK250=1,IFERROR(_xlfn.XLOOKUP(A250,Щиты[Щит],Щиты[cos φ]),0.95),IF(ISNUMBER(Z250),Z250,IFERROR(IF(BX250=2,_xlfn.IFS(BR250=3,VLOOKUP(BN250,Справочная_двигатели,8,FALSE),BR250=1,VLOOKUP(BN250,Справочная_двигатели,10,TRUE)),IF(AND(Методика="нормы 2026",EQ250="Сил"),0.8,0.95)),0.95)))))</f>
        <v>0.95</v>
      </c>
      <c r="BZ250">
        <f t="shared" si="386"/>
        <v>0</v>
      </c>
      <c r="CA250">
        <f t="shared" si="387"/>
        <v>1</v>
      </c>
      <c r="CB250">
        <f t="shared" si="388"/>
        <v>0</v>
      </c>
      <c r="CC250">
        <f t="shared" si="389"/>
        <v>0</v>
      </c>
      <c r="CD250">
        <f t="shared" si="390"/>
        <v>0</v>
      </c>
      <c r="CE250">
        <f t="shared" si="391"/>
        <v>0</v>
      </c>
      <c r="CF250">
        <f t="shared" si="392"/>
        <v>0</v>
      </c>
      <c r="CG250">
        <f>IF(AX250="",0,_xlfn.LET(_xlpm.v,IFERROR(VLOOKUP(B250,УГО_спр,3,FALSE),IFERROR(VLOOKUP(AX250,УГО_спр,3,FALSE),IFERROR(VLOOKUP(LEFT(AX250,2),УГО_спр,3,FALSE),""))),IF(_xlpm.v="да",30,IF(ISNUMBER(_xlpm.v),_xlpm.v,0))))</f>
        <v>30</v>
      </c>
      <c r="CH250">
        <f t="shared" si="393"/>
        <v>30</v>
      </c>
      <c r="CI250" t="str">
        <f>_xlfn.LET(_xlpm.k,IFERROR(_xlfn.XLOOKUP(AX250,Коды_код,Коды_утечка)&amp;"",""),IF(_xlpm.k="","дифавтомат",_xlpm.k))</f>
        <v>дифавтомат</v>
      </c>
      <c r="CJ250">
        <f t="shared" si="394"/>
        <v>30</v>
      </c>
      <c r="CK250">
        <f t="shared" si="395"/>
        <v>30</v>
      </c>
      <c r="CL250">
        <f>IF(B250="",0,IFERROR(--VLOOKUP(B250,УГО_спр,4,FALSE),IFERROR(--VLOOKUP(AX250,УГО_спр,4,FALSE),IFERROR(--VLOOKUP(LEFT(AX250,2),УГО_спр,4,FALSE),0))))</f>
        <v>16</v>
      </c>
      <c r="CM250" t="str">
        <f>IF(B250="","",IFERROR(_xlfn.XLOOKUP(AX250,Коды_код,Коды_апп)&amp;"",""))</f>
        <v/>
      </c>
      <c r="CN250" t="str">
        <f t="shared" si="396"/>
        <v/>
      </c>
      <c r="CO250" t="str" cm="1">
        <f t="array" ref="CO250">IF(TRIM(CN250&amp;"")="","",IFERROR(TRIM(INDEX(_xlfn.TEXTSPLIT(CN250&amp;";;;",";"),1)),""))</f>
        <v/>
      </c>
      <c r="CP250" t="str" cm="1">
        <f t="array" ref="CP250">IF(TRIM(CN250&amp;"")="","",IFERROR(TRIM(INDEX(_xlfn.TEXTSPLIT(CN250&amp;";;;",";"),2)),""))</f>
        <v/>
      </c>
      <c r="CQ250" t="str" cm="1">
        <f t="array" ref="CQ250">IF(TRIM(CN250&amp;"")="","",IFERROR(TRIM(INDEX(_xlfn.TEXTSPLIT(CN250&amp;";;;",";"),3)),""))</f>
        <v/>
      </c>
      <c r="CR250">
        <f t="shared" si="397"/>
        <v>0</v>
      </c>
      <c r="CS250" t="str">
        <f>IF(B250="","",_xlfn.LET(_xlpm.t,LOWER(AV250&amp;""),IF(ISNUMBER(SEARCH("dim",_xlpm.t)),"DIM",IF(ISNUMBER(SEARCH("dali",_xlpm.t)),"DALI",IF(OR(ISNUMBER(SEARCH("relay",_xlpm.t)),ISNUMBER(SEARCH("реле",_xlpm.t))),"Relay",IF(ISNUMBER(SEARCH("кнопк",_xlpm.t)),"",IFERROR(_xlfn.XLOOKUP(AX250,Коды_код,Коды_упр)&amp;"","")))))))</f>
        <v/>
      </c>
      <c r="CT250" t="str">
        <f t="shared" si="398"/>
        <v/>
      </c>
      <c r="CU250">
        <f>IF(B250="","",_xlfn.LET(_xlpm.ig,N(P250)+IF(AF250="вручную",0,N(CB250)),_xlpm.n0,IFERROR(VLOOKUP(_xlpm.ig,Автомат_номиналы,2,TRUE),0),_xlpm.mn,MAX(CL250,IF(AF250="вручную",0,N(CE250))),MAX(_xlpm.n0,_xlpm.mn,IF(CR250=1,Мин_автомат_БП,0))))</f>
        <v>16</v>
      </c>
      <c r="CV250">
        <f t="shared" si="399"/>
        <v>1</v>
      </c>
      <c r="CW250" t="str">
        <f t="shared" si="400"/>
        <v>2P</v>
      </c>
      <c r="CX250" t="str">
        <f>_xlfn.LET(_xlpm.cc,UPPER(TRIM(IFERROR(_xlfn.XLOOKUP(AX250,Коды_код,Коды_хар)&amp;"",""))),IF(OR(_xlpm.cc="B",_xlpm.cc="В"),"B",IF(_xlpm.cc="D","D","С")))</f>
        <v>С</v>
      </c>
      <c r="CY250" t="str">
        <f t="shared" si="401"/>
        <v>2P С16А 30мА</v>
      </c>
      <c r="CZ250" t="str">
        <f t="shared" si="402"/>
        <v>2P С16А 30мА</v>
      </c>
      <c r="DA250" t="str">
        <f t="shared" si="403"/>
        <v>2P С16А 30мА</v>
      </c>
      <c r="DB250" cm="1">
        <f t="array" ref="DB250">IF(DA250="","",_xlfn.LET(_xlpm.t,SUBSTITUTE(SUBSTITUTE(SUBSTITUTE(UPPER(DA250),"С","C"),"А","A"),"В","B"),_xlpm.tk,_xlfn.TEXTSPLIT(_xlpm.t,"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0" t="str">
        <f t="shared" si="404"/>
        <v>ok</v>
      </c>
      <c r="DD250">
        <f t="shared" si="405"/>
        <v>16</v>
      </c>
      <c r="DE250" t="str">
        <f t="shared" si="406"/>
        <v>2P С16А 30мА</v>
      </c>
      <c r="DF250">
        <f t="shared" si="407"/>
        <v>30</v>
      </c>
      <c r="DG250">
        <f t="shared" si="408"/>
        <v>1</v>
      </c>
      <c r="DH250">
        <f t="shared" si="409"/>
        <v>0</v>
      </c>
      <c r="DI250">
        <f t="shared" si="410"/>
        <v>1.0939268258329751</v>
      </c>
      <c r="DJ250">
        <f t="shared" si="411"/>
        <v>1</v>
      </c>
      <c r="DK250">
        <f>IF(ISNUMBER(AL250),AL250,К_прокл)</f>
        <v>1</v>
      </c>
      <c r="DL250">
        <f t="shared" si="412"/>
        <v>2</v>
      </c>
      <c r="DM250">
        <f>IFERROR(N(VLOOKUP(BT250,Кабель_обозначение,3,FALSE)),1)</f>
        <v>1</v>
      </c>
      <c r="DN250">
        <f>IFERROR(N(_xlfn.XLOOKUP(A250,Щиты[Щит],Щиты[ΔU до шин, %])),0)</f>
        <v>1.19</v>
      </c>
      <c r="DO250" t="str">
        <f>IFERROR(_xlfn.XLOOKUP(A250,Щиты[Щит],Щиты[Zпетли на шинах, Ом]),"")</f>
        <v/>
      </c>
      <c r="DP250">
        <f>IFERROR(N(_xlfn.XLOOKUP(A250,Щиты[Щит],Щиты[ΔU до шин (подбор), %])),0)</f>
        <v>1.19</v>
      </c>
      <c r="DQ250" t="str">
        <f>IFERROR(_xlfn.XLOOKUP(A250,Щиты[Щит],Щиты[Zпетли на шинах (подбор), Ом]),"")</f>
        <v/>
      </c>
      <c r="DR250" t="str">
        <f t="shared" si="413"/>
        <v/>
      </c>
      <c r="DS250">
        <f t="shared" si="414"/>
        <v>85</v>
      </c>
      <c r="DT250">
        <f t="shared" si="415"/>
        <v>2</v>
      </c>
      <c r="DU250">
        <f t="shared" si="416"/>
        <v>0.31</v>
      </c>
      <c r="DV250" s="6">
        <f>IF(B250="","",IF(IFERROR(VLOOKUP(AX250,УГО_спр,2,FALSE),"")="Светильник",3,4)+IF(Методика="нормы 2026",MIN(0.5,MAX(0,N(Q250)-100)*0.005),0))</f>
        <v>4.03</v>
      </c>
      <c r="DW250" cm="1">
        <f t="array" ref="DW250">IF(OR(B250="",BT250="",DM250&lt;&gt;1),"",_xlfn.LET(_xlpm.sz,Iдоп_S,_xlpm.t_,CHOOSE(DL250,Iдоп_1ж,Iдоп_2ж,Iдоп_3ж)*DJ250*DK250,_xlpm.inn,N(DD250),_xlpm.smin,MAX(1.5,BW250),_xlpm.L_,N(Q250)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250)*(_xlpm.rho*_xlpm.L_/_xlpm.sz*N(BY250)+_xlpm.xx*_xlpm.L_*N(DU250)/1000)*N(P250)/((Uн_лин/SQRT(3))*1000)*100,999),_xlpm.kz,IF(OR(DG250=1,NOT(ISNUMBER(DQ250)),_xlpm.L_=0,_xlpm.inn=0),1,IFERROR(--(c_min*(Uн_лин*1000/SQRT(3))/(DQ250+2*ρкз_Cu*_xlpm.L_/_xlpm.sz)&gt;=GY250*_xlpm.inn),0)),_xlpm.ok,IFERROR((_xlpm.sz&gt;=_xlpm.smin)*(_xlpm.t_&gt;=_xlpm.inn)*IF(_xlpm.L_&gt;0,(_xlpm.du_+DP250&lt;=DV250+0.00001),1)*_xlpm.kz,0),_xlpm.r_,_xlfn._xlws.FILTER(_xlpm.sz,_xlpm.ok,"не подобрано"),INDEX(_xlpm.r_,1)))</f>
        <v>1.5</v>
      </c>
      <c r="DX250">
        <f t="shared" si="417"/>
        <v>2.5</v>
      </c>
      <c r="DY250" cm="1">
        <f t="array" ref="DY250">IF(OR(B250="",BT250="",DM250&lt;&gt;1),"",_xlfn.LET(_xlpm.sz,Iдоп_S,_xlpm.t_,CHOOSE(DL250,Iдоп_1ж,Iдоп_2ж,Iдоп_3ж)*DJ250*DK250,_xlpm.ok,IFERROR((_xlpm.sz&gt;=MAX(1.5,BW250))*(_xlpm.t_&gt;=N(DD250)),0),_xlpm.r_,_xlfn._xlws.FILTER(_xlpm.sz,_xlpm.ok,""),INDEX(_xlpm.r_,1)))</f>
        <v>1.5</v>
      </c>
      <c r="DZ250" s="6" cm="1">
        <f t="array" ref="DZ250">IFERROR(ROUNDUP(N(DT250)*(_xlfn.XLOOKUP(DY250,INDEX(Кабель_сопротивление,0,1),INDEX(Кабель_сопротивление,0,3))*N(Q250)/DY250*N(BY250)+_xlfn.XLOOKUP(DY250,INDEX(Кабель_сопротивление,0,1),INDEX(Кабель_сопротивление,0,2))*N(Q250)*N(DU250)/1000)*N(P250)/((Uн_лин/SQRT(3))*1000)*100,2),"")</f>
        <v>1.44</v>
      </c>
      <c r="EA250">
        <f>IFERROR(2*ρкз_Cu*N(Q250)/DY250,"")</f>
        <v>3.7170666666666663</v>
      </c>
      <c r="EB250">
        <f>IFERROR(VLOOKUP(DX250,Кабель_сопротивление,3,FALSE),"")</f>
        <v>2.2499999999999999E-2</v>
      </c>
      <c r="EC250">
        <f>IFERROR(VLOOKUP(DX250,Кабель_сопротивление,2,FALSE),"")</f>
        <v>0.1</v>
      </c>
      <c r="ED250">
        <f t="shared" si="418"/>
        <v>78</v>
      </c>
      <c r="EE250">
        <f t="shared" si="419"/>
        <v>0</v>
      </c>
      <c r="EF250">
        <f t="shared" si="420"/>
        <v>1.9900410516042246</v>
      </c>
      <c r="EG250" s="6">
        <f>IFERROR(ROUNDUP(EF250/((Uн_лин/SQRT(3))*1000)*100,2),"")</f>
        <v>0.87</v>
      </c>
      <c r="EH250" t="str">
        <f>IFERROR(VLOOKUP(BT250,Кабель_обозначение,2,FALSE),"")</f>
        <v>ВВГнг(А)-LS</v>
      </c>
      <c r="EI250" t="str">
        <f t="shared" si="421"/>
        <v>ВВГнг(А)-LS (3х2,5)</v>
      </c>
      <c r="EJ250" t="str">
        <f t="shared" si="422"/>
        <v>ВВГнг(А)-LS (3х2,5)
L=106-0,87%</v>
      </c>
      <c r="EK250">
        <f>IFERROR(2*ρкз_Cu*Q250/DX250,"")</f>
        <v>2.2302399999999998</v>
      </c>
      <c r="EL250">
        <f t="shared" si="423"/>
        <v>0.7420000000000001</v>
      </c>
      <c r="EM250" s="6" t="str">
        <f>IFERROR(IF(OR(B250="",NOT(ISNUMBER(DX250)),N(Q250)=0),"",_xlfn.XLOOKUP(A250,Щиты[Щит],Щиты[Zпетли на шинах, Ом])+EK250),"")</f>
        <v/>
      </c>
      <c r="EN250" s="6" t="str">
        <f>IF(ISNUMBER(EM250),c_min*(Uн_лин*1000/SQRT(3))/EM250,"")</f>
        <v/>
      </c>
      <c r="EO250" s="6" t="str">
        <f>IFERROR(IF(OR(B250="",NOT(ISNUMBER(DX250))),"",1.05*(Uн_лин*1000/SQRT(3))/(_xlfn.XLOOKUP(A250,Щиты[Щит],Щиты[Zmax на шинах, Ом])+EL250)/1000),"")</f>
        <v/>
      </c>
      <c r="EP250" s="6" t="str">
        <f>IF(B250="","",IF(ISNUMBER(Y250),"Сил",IF(IFERROR(_xlfn.XLOOKUP(AX250,Коды_код,Коды_группа)&amp;"","")="","Быт",_xlfn.XLOOKUP(AX250,Коды_код,Коды_группа)&amp;"")))</f>
        <v>Быт</v>
      </c>
      <c r="EQ250" s="6" t="str">
        <f t="shared" si="424"/>
        <v>Быт</v>
      </c>
      <c r="ER250" s="6">
        <f>IF(EQ250="Щит","щит",IF(EQ250="","",IF(EQ250="Быт",IFERROR(_xlfn.XLOOKUP(A250,Щиты[Щит],Щиты[Кс быт]),1),IF(EQ250="Сил",IF(ISNUMBER(Y250),Y250,IF(Методика="нормы 2026",IFERROR(_xlfn.XLOOKUP(A250,Щиты[Щит],Щиты[Кс силовых (табл. 7.5)]),1),1)),IF(OR(EQ250="Пост",EQ250="Отоп"),1,IF(EQ250="ВНГ",0.7,0))))))</f>
        <v>0.57830000000000004</v>
      </c>
      <c r="ES250">
        <f t="shared" si="425"/>
        <v>1</v>
      </c>
      <c r="ET250">
        <f t="shared" si="426"/>
        <v>0.24</v>
      </c>
      <c r="EU250">
        <f t="shared" si="427"/>
        <v>0.24</v>
      </c>
      <c r="EV250">
        <f t="shared" si="428"/>
        <v>0</v>
      </c>
      <c r="EW250">
        <f t="shared" si="429"/>
        <v>0</v>
      </c>
      <c r="EX250">
        <f t="shared" si="430"/>
        <v>0</v>
      </c>
      <c r="EY250">
        <f t="shared" si="431"/>
        <v>0</v>
      </c>
      <c r="EZ250">
        <f t="shared" si="432"/>
        <v>0.24</v>
      </c>
      <c r="FA250">
        <f t="shared" si="433"/>
        <v>0.22799999999999998</v>
      </c>
      <c r="FB250">
        <f t="shared" si="434"/>
        <v>0.24</v>
      </c>
      <c r="FC250" t="str">
        <f t="shared" si="435"/>
        <v/>
      </c>
      <c r="FD250" t="str">
        <f>IF(B250="","",IF(CA250=0,IF(AW250=1,"",FF249),IF(OR(N(CV250)&gt;=3,N(BR250)&gt;=3),"L1,L2,L3",IFERROR(_xlfn.TEXTBEFORE(_xlfn.TEXTAFTER(_xlfn.XLOOKUP(A250,Щиты[Щит],Щиты[_фазы авто]),";"&amp;AW250&amp;":"),";"),"L1"))))</f>
        <v>L2</v>
      </c>
      <c r="FE250" t="str">
        <f t="shared" si="436"/>
        <v>L2</v>
      </c>
      <c r="FF250" t="str">
        <f t="shared" si="437"/>
        <v>L2</v>
      </c>
      <c r="FG250" cm="1">
        <f t="array" ref="FG250">IFERROR(IF(BX250=2,_xlfn.IFS(BR250=3,VLOOKUP(BN250,Справочная_двигатели,3,FALSE),BR250=1,VLOOKUP(BN250,Справочная_двигатели,5,TRUE)),0),0)</f>
        <v>0</v>
      </c>
      <c r="FH250">
        <f>IFERROR(IF(BX250=3,VLOOKUP(BN250,Справочная_ЛЭД,2,TRUE),0),0)</f>
        <v>0</v>
      </c>
      <c r="FI250" s="6">
        <f t="shared" si="438"/>
        <v>0</v>
      </c>
      <c r="FJ250" t="str" cm="1">
        <f t="array" ref="FJ250">IF(B250="","",IFERROR(INDEX({"I особая","I","II","III"},MATCH(TRIM(AC250&amp;""),{"I особая","I","II","III"},0)),"III"))</f>
        <v>II</v>
      </c>
      <c r="FK250" t="str">
        <f>IF(B250="","",IF(TRIM(AD250&amp;"")&lt;&gt;"",IF(LOWER(TRIM(AD250&amp;""))="да","да","нет"),IF(IFERROR(_xlfn.XLOOKUP(AX250,Коды_код,Коды_пожарная),"")="да","да","нет")))</f>
        <v>нет</v>
      </c>
      <c r="FL250" t="str">
        <f t="shared" si="439"/>
        <v/>
      </c>
      <c r="FM250" t="str">
        <f t="shared" si="440"/>
        <v>основная</v>
      </c>
      <c r="FN250">
        <f t="shared" si="441"/>
        <v>1</v>
      </c>
      <c r="FO250" t="str" cm="1">
        <f t="array" ref="FO250">IF(B250="","",_xlfn.LET(_xlpm.t,IFERROR(_xlfn.XLOOKUP(1,(Шины[Шина]=FM250)*(((Шины[Щит]=A250)+(Шины[Щит]=""))&gt;0),Шины[Тип]),"")&amp;"",IF(_xlpm.t&lt;&gt;"",_xlpm.t,IF(ISNUMBER(SEARCH("ИБП",FM250)),"ИБП",IF(ISNUMBER(SEARCH("ДГУ",FM250)),"ДГУ","Ввод "&amp;FN250)))))</f>
        <v>Ввод 1</v>
      </c>
      <c r="FP250" t="str">
        <f t="shared" si="442"/>
        <v>Ввод 1</v>
      </c>
      <c r="FQ250" t="str">
        <f>IF(B250="","",IF(OR(FO250="ИБП",FO250="ДГУ"),"I особая",IF(FO250="Одиночная","III",_xlfn.XLOOKUP(A250,Щиты[Щит],Щиты[Категория шины «Ввод»],"III"))))</f>
        <v>II</v>
      </c>
      <c r="FR250">
        <f>IF(B250="",0,IFERROR(MATCH(FJ250,{"III","II","I","I особая"},0),1))</f>
        <v>2</v>
      </c>
      <c r="FS250">
        <f t="shared" si="443"/>
        <v>2</v>
      </c>
      <c r="FT250" t="str">
        <f>IF(B250="","",IF(FR250&gt;IFERROR(MATCH(FQ250,{"III","II","I","I особая"},0),1),"НЕ ОБЕСПЕЧЕНА","ОК"))</f>
        <v>ОК</v>
      </c>
      <c r="FU250" t="str">
        <f>IF(A250="","",_xlfn.XLOOKUP(A250,Щиты[Щит],Щиты[Путь],""))</f>
        <v>|ГРЩ-ЖД|ЩР-1|</v>
      </c>
      <c r="FV250" t="str">
        <f>IF(B250="","",IF(AE250&lt;&gt;"",AE250,IF(IFERROR(_xlfn.XLOOKUP(AX250,Коды_код,Коды_вид)&amp;"","")="","Прочее",_xlfn.XLOOKUP(AX250,Коды_код,Коды_вид)&amp;"")))</f>
        <v>Розеточная сеть и бытовые приборы</v>
      </c>
      <c r="FW250">
        <f>IF(BH250="","",INT((BH250-1)/Столбцов_на_лист)+1)</f>
        <v>3</v>
      </c>
      <c r="FX250" t="str">
        <f t="shared" si="444"/>
        <v>ВВГнг(А)-LS (3х2,5) L=106-0,87%</v>
      </c>
      <c r="FY250">
        <f t="shared" si="445"/>
        <v>0.24</v>
      </c>
      <c r="FZ250">
        <f t="shared" si="446"/>
        <v>1.1000000000000001</v>
      </c>
      <c r="GA250">
        <f t="shared" si="447"/>
        <v>1</v>
      </c>
      <c r="GB250">
        <f t="shared" si="448"/>
        <v>0</v>
      </c>
      <c r="GC250">
        <f t="shared" si="449"/>
        <v>1</v>
      </c>
      <c r="GD250">
        <f>IF(BH250="","",IF(AND(CA250=1,GC250=1),COUNTIFS(A$3:A250,A250,CA$3:CA250,1,GC$3:GC250,1),IF(OR(OR(AW250=1,A250&lt;&gt;A249),AF250="вручную",GC250=0),"",IF(AW250=1,"",GE249))))</f>
        <v>26</v>
      </c>
      <c r="GE250">
        <f t="shared" si="450"/>
        <v>26</v>
      </c>
      <c r="GF250">
        <f>IF(B250="","",IFERROR(LOOKUP(INDEX(CHOOSE(DL250,Iдоп_1ж,Iдоп_2ж,Iдоп_3ж),MATCH(DX250,Iдоп_S,0))*DJ250*DK250,{6,10,16,20,25,32,40,50,63,80,100,125,160,200,250,315,400,500,630}),""))</f>
        <v>25</v>
      </c>
      <c r="GG250" t="str">
        <f t="shared" si="451"/>
        <v>QFD26</v>
      </c>
      <c r="GH250" t="str">
        <f t="shared" si="452"/>
        <v>QFD26</v>
      </c>
      <c r="GI250" t="str">
        <f t="shared" si="453"/>
        <v/>
      </c>
      <c r="GJ250">
        <f t="shared" si="454"/>
        <v>0</v>
      </c>
      <c r="GK250" t="str">
        <f>IF(OR(AG250="",AG250="-"),"",IFERROR(VLOOKUP(AG250,Модули_спр,2,FALSE),"R"))</f>
        <v/>
      </c>
      <c r="GL250" t="str">
        <f>IF(GK250="","",GK250&amp;"."&amp;COUNTIFS(A$3:A250,A250,GK$3:GK250,GK250))</f>
        <v/>
      </c>
      <c r="GM250" t="str">
        <f t="shared" si="455"/>
        <v/>
      </c>
      <c r="GN250" t="str">
        <f t="shared" si="456"/>
        <v/>
      </c>
      <c r="GO250" t="str">
        <f t="shared" si="457"/>
        <v/>
      </c>
      <c r="GP250" t="str">
        <f t="shared" si="458"/>
        <v/>
      </c>
      <c r="GQ250">
        <f t="shared" si="459"/>
        <v>1</v>
      </c>
      <c r="GR250" t="str">
        <f>IF(GQ250=1,"XT"&amp;COUNTIFS(A$3:A250,A250,GQ$3:GQ250,1),"")</f>
        <v>XT26</v>
      </c>
      <c r="GS250" t="str">
        <f t="shared" si="460"/>
        <v/>
      </c>
      <c r="GT250" t="str">
        <f t="shared" si="461"/>
        <v>QFD26</v>
      </c>
      <c r="GU250" t="str">
        <f t="shared" si="462"/>
        <v/>
      </c>
      <c r="GV250" t="str">
        <f t="shared" si="463"/>
        <v>ok</v>
      </c>
      <c r="GW250" t="str">
        <f>IF(OR(GO250="",GM250=""),"",IF(GO250&gt;IFERROR(VLOOKUP(GN250,Модули_спр,3,FALSE),99),"ЛИШНИЙ КАНАЛ",IF(AND(AH250&lt;&gt;"=",COUNTIFS(Линии[_модуль гр.],GM250,Линии[Канал (итог)],GO250,Линии[Канал],"&lt;&gt;=",Линии[Щит],A250)&gt;1),"ДУБЛЬ КАНАЛА","")))</f>
        <v/>
      </c>
      <c r="GX250" s="6" t="str">
        <f t="shared" si="464"/>
        <v/>
      </c>
      <c r="GY250">
        <f t="shared" si="465"/>
        <v>10</v>
      </c>
      <c r="GZ250" t="str">
        <f t="shared" si="466"/>
        <v/>
      </c>
      <c r="HA250" t="str">
        <f>IF(AND(B250="",GT250=""),"",_xlfn.TEXTJOIN("; ",TRUE,IF(AND(B250&lt;&gt;"",FE250=""),"нет фазы",""),IF(AND(B250&lt;&gt;"",N(FY250)=0,EQ250&lt;&gt;"Нет"),"нет мощности",""),IF(AND(GS250&lt;&gt;"",COUNTIFS(Линии[Щит],A250,Линии[Клемма (итог)],GS250)&gt;1),"дубль клеммы "&amp;GS250,""),IF(AND(GV250&lt;&gt;"",GV250&lt;&gt;"ok"),GV250,""),IF(GW250&lt;&gt;"",GW250,""),IF(AND(N(BV250)&gt;=4,N(BR250)=1),BV250&amp;" жил на 1 фазе",""),IF(AND(AX250="R",CA250=1,OR(N(CK250)=0,N(CK250)&gt;30)),"розетка без дифзащиты до 30 мА",""),IFERROR(IF(AND(ISNUMBER(R250),R250&gt;DV250),"потери "&amp;FIXED(R250,1)&amp;" % &gt; "&amp;DV250&amp;" %",""),""),IFERROR(IF(LEFT(GZ250,4)="мало","Iкз мало — отключение &gt; 0,4 с",""),""),IF(AND(B250&lt;&gt;"",BH250=""),"не на схеме",""),IF(AND(CA250=0,B250&lt;&gt;"",FE250&lt;&gt;"",IF(AW250=1,"",FF249)&lt;&gt;"",FE250&lt;&gt;IF(AW250=1,"",FF249)),"фаза не как у автомата группы ("&amp;IF(AW250=1,"",FF249)&amp;")","")))</f>
        <v/>
      </c>
      <c r="HB250" s="6">
        <f>IF(OR(CA250=0,DA250=""),"",_xlfn.LET(_xlpm.t,IFERROR(_xlfn.XLOOKUP(DA250,Каталог!$U$4:$U$500,Каталог!$G$4:$G$500),""),_xlpm.k,SEARCH("кА",_xlpm.t),IFERROR(--TRIM(RIGHT(SUBSTITUTE(MID(_xlpm.t,MAX(1,_xlpm.k-4),_xlpm.k-MAX(1,_xlpm.k-4))," ",REPT(" ",9)),5)),"")))</f>
        <v>6</v>
      </c>
      <c r="HC250" t="str">
        <f>IF(OR(HB250="",CA250=0),"",IF(_xlfn.XLOOKUP(A250,Щиты[Щит],Щиты[Iкз max на шинах, кА],"")="","",IF(HB250&lt;_xlfn.XLOOKUP(A250,Щиты[Щит],Щиты[Iкз max на шинах, кА]),"Icu "&amp;HB250&amp;" кА &lt; Iкз max","ok")))</f>
        <v/>
      </c>
      <c r="HD250" t="str">
        <f t="shared" si="467"/>
        <v/>
      </c>
      <c r="HE250" t="str">
        <f t="shared" si="468"/>
        <v>QFD26</v>
      </c>
      <c r="HF250" t="str">
        <f t="shared" si="469"/>
        <v>QFD26|кабель ВВГнг(А)-LS (3х2,5) → Розеточная группа, пом. 006Aб</v>
      </c>
      <c r="HG250" t="str" cm="1">
        <f t="array" ref="HG250">IF(HF250="","",_xlfn.LET(_xlpm.nd,_xlfn.TEXTSPLIT(HF250,"|"),IF(COLUMNS(_xlpm.nd)&gt;1,A250&amp;"¦"&amp;INDEX(_xlpm.nd,1)&amp;"¦"&amp;INDEX(_xlpm.nd,2),"")))</f>
        <v>ЩР-1¦QFD26¦кабель ВВГнг(А)-LS (3х2,5) → Розеточная группа, пом. 006Aб</v>
      </c>
      <c r="HH250" t="str">
        <f t="shared" si="470"/>
        <v>R.1.006Aб.1¦Розеточная группа, пом. 006Aб</v>
      </c>
      <c r="HI250" t="str" cm="1">
        <f t="array" ref="HI250">IF(HF250="","",_xlfn.LET(_xlpm.nd,_xlfn.TEXTSPLIT(HF250,"|"),IF(COLUMNS(_xlpm.nd)&gt;2,A250&amp;"¦"&amp;INDEX(_xlpm.nd,2)&amp;"¦"&amp;INDEX(_xlpm.nd,3),"")))</f>
        <v/>
      </c>
      <c r="HJ250" t="str">
        <f t="shared" si="471"/>
        <v/>
      </c>
      <c r="HK250" t="str" cm="1">
        <f t="array" ref="HK250">IF(HF250="","",_xlfn.LET(_xlpm.nd,_xlfn.TEXTSPLIT(HF250,"|"),IF(COLUMNS(_xlpm.nd)&gt;3,A250&amp;"¦"&amp;INDEX(_xlpm.nd,3)&amp;"¦"&amp;INDEX(_xlpm.nd,4),"")))</f>
        <v/>
      </c>
      <c r="HL250" t="str">
        <f t="shared" si="472"/>
        <v/>
      </c>
      <c r="HM250" t="str" cm="1">
        <f t="array" ref="HM250">IF(HF250="","",_xlfn.LET(_xlpm.nd,_xlfn.TEXTSPLIT(HF250,"|"),IF(COLUMNS(_xlpm.nd)&gt;4,A250&amp;"¦"&amp;INDEX(_xlpm.nd,4)&amp;"¦"&amp;INDEX(_xlpm.nd,5),"")))</f>
        <v/>
      </c>
      <c r="HN250" t="str">
        <f t="shared" si="473"/>
        <v/>
      </c>
      <c r="HO250" t="str" cm="1">
        <f t="array" ref="HO250">IF(HF250="","",_xlfn.LET(_xlpm.nd,_xlfn.TEXTSPLIT(HF250,"|"),IF(COLUMNS(_xlpm.nd)&gt;5,A250&amp;"¦"&amp;INDEX(_xlpm.nd,5)&amp;"¦"&amp;INDEX(_xlpm.nd,6),"")))</f>
        <v/>
      </c>
      <c r="HP250" t="str">
        <f t="shared" si="474"/>
        <v/>
      </c>
      <c r="HQ250" t="str" cm="1">
        <f t="array" ref="HQ250">IF(HF250="","",_xlfn.LET(_xlpm.nd,_xlfn.TEXTSPLIT(HF250,"|"),IF(COLUMNS(_xlpm.nd)&gt;6,A250&amp;"¦"&amp;INDEX(_xlpm.nd,6)&amp;"¦"&amp;INDEX(_xlpm.nd,7),"")))</f>
        <v/>
      </c>
      <c r="HR250" t="str">
        <f t="shared" si="475"/>
        <v/>
      </c>
      <c r="HS250" t="str">
        <f t="shared" si="476"/>
        <v/>
      </c>
      <c r="HT250" t="str">
        <f t="shared" si="477"/>
        <v>QFD26</v>
      </c>
      <c r="HU250">
        <f t="shared" si="478"/>
        <v>0</v>
      </c>
      <c r="HV250">
        <f t="shared" si="479"/>
        <v>1</v>
      </c>
      <c r="HW250" t="str">
        <f t="shared" si="480"/>
        <v/>
      </c>
      <c r="HX250" t="str">
        <f t="shared" si="481"/>
        <v/>
      </c>
      <c r="HY250" t="str">
        <f t="shared" si="482"/>
        <v/>
      </c>
      <c r="HZ250" t="str">
        <f t="shared" si="483"/>
        <v/>
      </c>
      <c r="IA250" t="str">
        <f>IF(B250="","",IFERROR(VLOOKUP(B250,УГО_спр,2,FALSE),IFERROR(VLOOKUP(AX250,УГО_спр,2,FALSE),IFERROR(VLOOKUP(LEFT(AX250,2),УГО_спр,2,FALSE),""))))</f>
        <v>Розетка</v>
      </c>
      <c r="IB250" t="str">
        <f>IF(B250="","",IF(OR(IA250="",IA250=0),"BOX",IFERROR(IF(VLOOKUP(IA250,УГО_блоки,3,FALSE)&amp;""&lt;&gt;"",VLOOKUP(IA250,УГО_блоки,3,FALSE),VLOOKUP(IA250,УГО_блоки,2,FALSE)),IA250)))</f>
        <v>SOCKET</v>
      </c>
      <c r="IC250">
        <f t="shared" si="484"/>
        <v>1</v>
      </c>
      <c r="ID250" t="str">
        <f>IF(DA250="","",IF(COUNTIF(DA$3:DA250,DA250)=1,MAX(ID$2:ID249)+1,""))</f>
        <v/>
      </c>
      <c r="IE250" t="str">
        <f>IF(CO250="","",IF(COUNTIF(CO$3:CO250,CO250)+COUNTIF(CP$2:CP249,CO250)+COUNTIF(CQ$2:CQ249,CO250)=1,MAX(IE$2:IG249)+1,""))</f>
        <v/>
      </c>
      <c r="IF250" t="str">
        <f>IF(CP250="","",IF(COUNTIF(CO$3:CO250,CP250)+COUNTIF(CP$3:CP250,CP250)+COUNTIF(CQ$2:CQ249,CP250)=1,MAX(IE$2:IG249,IE250)+1,""))</f>
        <v/>
      </c>
      <c r="IG250" t="str">
        <f>IF(CQ250="","",IF(COUNTIF(CO$3:CO250,CQ250)+COUNTIF(CP$3:CP250,CQ250)+COUNTIF(CQ$3:CQ250,CQ250)=1,MAX(IE$2:IG249,IE250,IF250)+1,""))</f>
        <v/>
      </c>
      <c r="IH250" t="str">
        <f t="shared" si="485"/>
        <v>3х2,5</v>
      </c>
      <c r="II250" t="str">
        <f>IF(IH250="","",IF(COUNTIF(IH$3:IH250,IH250)=1,MAX(II$2:II249)+1,""))</f>
        <v/>
      </c>
      <c r="IJ250" t="str">
        <f>IF(GL250="","",COUNTIF(GL$3:GL250,"?*"))</f>
        <v/>
      </c>
      <c r="IK250" t="str">
        <f>IF(OR(GL250="",GN250=""),"",IF(COUNTIFS(GL$3:GL250,"?*",GN$3:GN250,GN250)=1,MAX(IK$2:IK249)+1,""))</f>
        <v/>
      </c>
      <c r="IL250">
        <f t="shared" si="486"/>
        <v>0</v>
      </c>
      <c r="IM250">
        <f>IF(B250="","",COUNTIF(B$3:B250,"?*"))</f>
        <v>248</v>
      </c>
      <c r="IN250">
        <f>IF(GQ250&lt;&gt;1,0,_xlfn.LET(_xlpm.k,MAX(IFERROR(--VLOOKUP(B250,УГО_спр,5,FALSE),0),IFERROR(--VLOOKUP(AX250,УГО_спр,5,FALSE),0),IFERROR(--VLOOKUP(LEFT(AX250,2),УГО_спр,5,FALSE),0)),IF(_xlpm.k&gt;0,_xlpm.k,IF(IFERROR(--LEFT(SUBSTITUTE(IH250,"x","х"),FIND("х",SUBSTITUTE(IH250,"x","х"))-1),3)&gt;3,Каталог!$S$9,1))))</f>
        <v>1</v>
      </c>
      <c r="IO250">
        <f t="shared" si="487"/>
        <v>0</v>
      </c>
      <c r="IP250" t="str">
        <f t="shared" si="488"/>
        <v>авто</v>
      </c>
      <c r="IQ250">
        <f t="shared" si="489"/>
        <v>30</v>
      </c>
      <c r="IR250">
        <f t="shared" si="490"/>
        <v>1</v>
      </c>
      <c r="IS250">
        <f t="shared" si="491"/>
        <v>1</v>
      </c>
    </row>
    <row r="251" spans="1:253" x14ac:dyDescent="0.3">
      <c r="A251" t="s">
        <v>759</v>
      </c>
      <c r="B251" t="s">
        <v>1516</v>
      </c>
      <c r="C251" t="str">
        <f>Линии[[#This Row],[_авто наименование]]</f>
        <v>Розеточная группа, пом. 006Aб</v>
      </c>
      <c r="D251">
        <v>5</v>
      </c>
      <c r="E251">
        <v>0.3</v>
      </c>
      <c r="G251" t="str">
        <f>Линии[[#This Row],[_авто автомат]]</f>
        <v>2P С16А 30мА</v>
      </c>
      <c r="H251">
        <f>Линии[[#This Row],[_авто утечка]]</f>
        <v>30</v>
      </c>
      <c r="I251" t="str">
        <f>Линии[[#This Row],[_авто управление]]</f>
        <v/>
      </c>
      <c r="J251" t="str">
        <f>Линии[[#This Row],[_авто аппараты]]</f>
        <v/>
      </c>
      <c r="K251">
        <v>2.5</v>
      </c>
      <c r="L251">
        <v>97</v>
      </c>
      <c r="M251" t="str">
        <f>Линии[[#This Row],[_авто фаза]]</f>
        <v>L2</v>
      </c>
      <c r="N251" t="s">
        <v>486</v>
      </c>
      <c r="O251" t="str">
        <f t="shared" si="369"/>
        <v/>
      </c>
      <c r="P251" s="6" cm="1">
        <f t="array" ref="P251">IF(B251="","",IF(BC251&lt;&gt;"",IFERROR(_xlfn.XLOOKUP(BC251,Щиты[Щит],Щиты[Iр, А]),""),IF(BK251=1,IFERROR(_xlfn.XLOOKUP(A251,Щиты[Щит],Щиты[Iр, А]),""),IFERROR(_xlfn.IFS(BR251=1,BN251/((Uн_лин/SQRT(3))*BY251),BR251=3,BN251/(SQRT(3)*Uн_лин*BY251)),""))))</f>
        <v>1.3674085322912188</v>
      </c>
      <c r="Q251" s="7">
        <f>IF(B251="","",IFERROR(IF(VLOOKUP(AX251,Потребители_обозначение,4,FALSE)=1,VLOOKUP(AX251,Потребители_обозначение,3,FALSE)*(D251*2-1)+DS251+VLOOKUP(AZ251,Этаж_обозначение,3,FALSE)+VLOOKUP(AZ251,Этаж_обозначение,4,FALSE),VLOOKUP(AX251,Потребители_обозначение,3,FALSE)*(D251*2-1)+DS251),DS251))</f>
        <v>124</v>
      </c>
      <c r="R251" s="6">
        <f t="shared" si="370"/>
        <v>2.46</v>
      </c>
      <c r="S251" t="str">
        <f t="shared" si="371"/>
        <v>ВВГнг(А)-LS (3х2,5)</v>
      </c>
      <c r="T251" t="str">
        <f>IF(BH251="","",IF(BI251="вводной узел","узел ","")&amp;"л."&amp;(INT((BH251-1)/Столбцов_на_лист)+1)&amp;" / "&amp;(MOD(BH251-1,Столбцов_на_лист)+1))</f>
        <v>л.3 / 14</v>
      </c>
      <c r="V251">
        <v>1</v>
      </c>
      <c r="W251">
        <v>230</v>
      </c>
      <c r="X251" t="s">
        <v>564</v>
      </c>
      <c r="AC251" t="s">
        <v>815</v>
      </c>
      <c r="AE251" t="s">
        <v>563</v>
      </c>
      <c r="AI251">
        <v>48</v>
      </c>
      <c r="AJ251" t="s">
        <v>11</v>
      </c>
      <c r="AK251">
        <v>3</v>
      </c>
      <c r="AM251">
        <v>28</v>
      </c>
      <c r="AN251">
        <v>96</v>
      </c>
      <c r="AO251">
        <v>0</v>
      </c>
      <c r="AW251" cm="1">
        <f t="array" ref="AW251">ROW()-ROW(Линии[#Headers])</f>
        <v>249</v>
      </c>
      <c r="AX251" s="6" t="str">
        <f t="shared" si="372"/>
        <v>R</v>
      </c>
      <c r="AY251" t="str">
        <f t="shared" si="373"/>
        <v>1.006Aб.2</v>
      </c>
      <c r="AZ251" t="str">
        <f t="shared" si="374"/>
        <v>1</v>
      </c>
      <c r="BA251" t="str">
        <f t="shared" si="375"/>
        <v>006Aб.2</v>
      </c>
      <c r="BB251" t="str">
        <f t="shared" si="376"/>
        <v>006Aб</v>
      </c>
      <c r="BC251" t="str">
        <f>IF(U251&lt;&gt;"",U251,IF(AND(B251&lt;&gt;"",B251&lt;&gt;A251,ISNUMBER(_xlfn.XMATCH(B251,Щиты[Щит]))),B251,""))</f>
        <v/>
      </c>
      <c r="BD251" t="str" cm="1">
        <f t="array" ref="BD251">IF(B251="","",IF(BC251&lt;&gt;"","Щит "&amp;BC251,_xlfn.LET(_xlpm.nm,IFERROR(_xlfn.XLOOKUP(AX251,Коды_код,Коды_имя)&amp;"",""),_xlpm.md,IFERROR(N(_xlfn.XLOOKUP(AX251,Коды_код,Коды_режим)),1),_xlpm.ex,IF(Имя_режим="по экспликации",IFERROR(_xlfn.XLOOKUP(AZ251&amp;"|"&amp;BB251,Экспликация[Этаж]&amp;"|"&amp;Экспликация[Помещение],Экспликация[Название])&amp;"",""),""),_xlpm.rm,IF(BB251="","",IF(_xlpm.ex&lt;&gt;"",". "&amp;_xlpm.ex&amp;IF(Имя_пом="нет"," ("&amp;BB251&amp;")"," (пом. "&amp;BB251&amp;")"),IF(Имя_пом="нет"," ",", пом. ")&amp;BB251)),IF(_xlpm.nm="","",IF(_xlpm.md=2,_xlpm.nm&amp;" шлейф "&amp;AZ251,_xlpm.nm&amp;_xlpm.rm)))))</f>
        <v>Розеточная группа, пом. 006Aб</v>
      </c>
      <c r="BE251" t="str">
        <f t="shared" si="377"/>
        <v>Розеточная группа, пом. 006Aб</v>
      </c>
      <c r="BF251">
        <f>IFERROR(_xlfn.XMATCH(A251,Щиты[Щит]),0)</f>
        <v>10</v>
      </c>
      <c r="BG251">
        <f>_xlfn.LET(_xlpm.k,IFERROR(_xlfn.XLOOKUP(A251,Щиты[Щит],Щиты[Листов под вводной узел]),""),IF(_xlpm.k="",1,N(_xlpm.k))*Столбцов_на_лист)</f>
        <v>17</v>
      </c>
      <c r="BH251">
        <f t="shared" si="378"/>
        <v>48</v>
      </c>
      <c r="BI251" t="str">
        <f t="shared" si="379"/>
        <v>линии</v>
      </c>
      <c r="BJ251" s="6">
        <f>IFERROR(N(_xlfn.XLOOKUP(AX251,Коды_код,Коды_квт)),0)</f>
        <v>0</v>
      </c>
      <c r="BK251">
        <f t="shared" si="380"/>
        <v>0</v>
      </c>
      <c r="BL251" t="str">
        <f>IF(B251="","",IF(BC251&lt;&gt;"",IFERROR(_xlfn.XLOOKUP(BC251,Щиты[Щит],Щиты[Руст, кВт]),0),IF(BK251=1,IFERROR(_xlfn.XLOOKUP(A251,Щиты[Щит],Щиты[Руст, кВт]),0),IF(BJ251&gt;0,ROUND(BJ251*MAX(1,N(D251)),3),""))))</f>
        <v/>
      </c>
      <c r="BM251">
        <f t="shared" si="381"/>
        <v>0.3</v>
      </c>
      <c r="BN251" s="6">
        <f>IF(B251="","",IF(BC251&lt;&gt;"",IFERROR(_xlfn.XLOOKUP(BC251,Щиты[Щит],Щиты[Руст, кВт]),0),N(BM251)))</f>
        <v>0.3</v>
      </c>
      <c r="BO251" t="str">
        <f>IF(B251="","",IFERROR(IF(VLOOKUP(AX251,Потребители_обозначение,8,FALSE)=0,"",VLOOKUP(AX251,Потребители_обозначение,8,FALSE)),""))</f>
        <v/>
      </c>
      <c r="BP251">
        <f t="shared" si="382"/>
        <v>230</v>
      </c>
      <c r="BQ251">
        <f>IF(B251="","",IF(BC251&lt;&gt;"",3,IFERROR(IF(N(VLOOKUP(AX251,Потребители_обозначение,9,FALSE))=0,1,VLOOKUP(AX251,Потребители_обозначение,9,FALSE)),1)))</f>
        <v>1</v>
      </c>
      <c r="BR251">
        <f t="shared" si="383"/>
        <v>1</v>
      </c>
      <c r="BS251" t="str">
        <f>IF(B251="","",_xlfn.LET(_xlpm.bc,IFERROR(IF(VLOOKUP(AX251,Потребители_обозначение,6,FALSE)=0,"",VLOOKUP(AX251,Потребители_обозначение,6,FALSE)&amp;""),""),IF(AND(FK251="да",OR(_xlpm.bc="",_xlpm.bc="мс")),Марка_пож,IF(AND(_xlpm.bc="",BC251&lt;&gt;""),"мс",_xlpm.bc))))</f>
        <v/>
      </c>
      <c r="BT251" t="str">
        <f t="shared" si="384"/>
        <v>мс</v>
      </c>
      <c r="BU251">
        <f>IF(B251="","",_xlfn.LET(_xlpm.cc,IFERROR(N(VLOOKUP(AX251,Потребители_обозначение,7,FALSE)),0),IF(_xlpm.cc&gt;0,_xlpm.cc,IF(BT251="","",IF(N(BR251)=3,5,3)))))</f>
        <v>3</v>
      </c>
      <c r="BV251">
        <f t="shared" si="385"/>
        <v>3</v>
      </c>
      <c r="BW251">
        <f>IFERROR(N(VLOOKUP(AX251,Потребители_обозначение,10,FALSE)),0)</f>
        <v>0</v>
      </c>
      <c r="BX251">
        <f>IFERROR(VLOOKUP(AX251,Потребители_обозначение,5,FALSE),0)</f>
        <v>1</v>
      </c>
      <c r="BY251" s="6" cm="1">
        <f t="array" ref="BY251">IF(B251="","",IF(BC251&lt;&gt;"",IFERROR(_xlfn.XLOOKUP(BC251,Щиты[Щит],Щиты[cos φ]),0.95),IF(BK251=1,IFERROR(_xlfn.XLOOKUP(A251,Щиты[Щит],Щиты[cos φ]),0.95),IF(ISNUMBER(Z251),Z251,IFERROR(IF(BX251=2,_xlfn.IFS(BR251=3,VLOOKUP(BN251,Справочная_двигатели,8,FALSE),BR251=1,VLOOKUP(BN251,Справочная_двигатели,10,TRUE)),IF(AND(Методика="нормы 2026",EQ251="Сил"),0.8,0.95)),0.95)))))</f>
        <v>0.95</v>
      </c>
      <c r="BZ251">
        <f t="shared" si="386"/>
        <v>0</v>
      </c>
      <c r="CA251">
        <f t="shared" si="387"/>
        <v>1</v>
      </c>
      <c r="CB251">
        <f t="shared" si="388"/>
        <v>0</v>
      </c>
      <c r="CC251">
        <f t="shared" si="389"/>
        <v>0</v>
      </c>
      <c r="CD251">
        <f t="shared" si="390"/>
        <v>0</v>
      </c>
      <c r="CE251">
        <f t="shared" si="391"/>
        <v>0</v>
      </c>
      <c r="CF251">
        <f t="shared" si="392"/>
        <v>0</v>
      </c>
      <c r="CG251">
        <f>IF(AX251="",0,_xlfn.LET(_xlpm.v,IFERROR(VLOOKUP(B251,УГО_спр,3,FALSE),IFERROR(VLOOKUP(AX251,УГО_спр,3,FALSE),IFERROR(VLOOKUP(LEFT(AX251,2),УГО_спр,3,FALSE),""))),IF(_xlpm.v="да",30,IF(ISNUMBER(_xlpm.v),_xlpm.v,0))))</f>
        <v>30</v>
      </c>
      <c r="CH251">
        <f t="shared" si="393"/>
        <v>30</v>
      </c>
      <c r="CI251" t="str">
        <f>_xlfn.LET(_xlpm.k,IFERROR(_xlfn.XLOOKUP(AX251,Коды_код,Коды_утечка)&amp;"",""),IF(_xlpm.k="","дифавтомат",_xlpm.k))</f>
        <v>дифавтомат</v>
      </c>
      <c r="CJ251">
        <f t="shared" si="394"/>
        <v>30</v>
      </c>
      <c r="CK251">
        <f t="shared" si="395"/>
        <v>30</v>
      </c>
      <c r="CL251">
        <f>IF(B251="",0,IFERROR(--VLOOKUP(B251,УГО_спр,4,FALSE),IFERROR(--VLOOKUP(AX251,УГО_спр,4,FALSE),IFERROR(--VLOOKUP(LEFT(AX251,2),УГО_спр,4,FALSE),0))))</f>
        <v>16</v>
      </c>
      <c r="CM251" t="str">
        <f>IF(B251="","",IFERROR(_xlfn.XLOOKUP(AX251,Коды_код,Коды_апп)&amp;"",""))</f>
        <v/>
      </c>
      <c r="CN251" t="str">
        <f t="shared" si="396"/>
        <v/>
      </c>
      <c r="CO251" t="str" cm="1">
        <f t="array" ref="CO251">IF(TRIM(CN251&amp;"")="","",IFERROR(TRIM(INDEX(_xlfn.TEXTSPLIT(CN251&amp;";;;",";"),1)),""))</f>
        <v/>
      </c>
      <c r="CP251" t="str" cm="1">
        <f t="array" ref="CP251">IF(TRIM(CN251&amp;"")="","",IFERROR(TRIM(INDEX(_xlfn.TEXTSPLIT(CN251&amp;";;;",";"),2)),""))</f>
        <v/>
      </c>
      <c r="CQ251" t="str" cm="1">
        <f t="array" ref="CQ251">IF(TRIM(CN251&amp;"")="","",IFERROR(TRIM(INDEX(_xlfn.TEXTSPLIT(CN251&amp;";;;",";"),3)),""))</f>
        <v/>
      </c>
      <c r="CR251">
        <f t="shared" si="397"/>
        <v>0</v>
      </c>
      <c r="CS251" t="str">
        <f>IF(B251="","",_xlfn.LET(_xlpm.t,LOWER(AV251&amp;""),IF(ISNUMBER(SEARCH("dim",_xlpm.t)),"DIM",IF(ISNUMBER(SEARCH("dali",_xlpm.t)),"DALI",IF(OR(ISNUMBER(SEARCH("relay",_xlpm.t)),ISNUMBER(SEARCH("реле",_xlpm.t))),"Relay",IF(ISNUMBER(SEARCH("кнопк",_xlpm.t)),"",IFERROR(_xlfn.XLOOKUP(AX251,Коды_код,Коды_упр)&amp;"","")))))))</f>
        <v/>
      </c>
      <c r="CT251" t="str">
        <f t="shared" si="398"/>
        <v/>
      </c>
      <c r="CU251">
        <f>IF(B251="","",_xlfn.LET(_xlpm.ig,N(P251)+IF(AF251="вручную",0,N(CB251)),_xlpm.n0,IFERROR(VLOOKUP(_xlpm.ig,Автомат_номиналы,2,TRUE),0),_xlpm.mn,MAX(CL251,IF(AF251="вручную",0,N(CE251))),MAX(_xlpm.n0,_xlpm.mn,IF(CR251=1,Мин_автомат_БП,0))))</f>
        <v>16</v>
      </c>
      <c r="CV251">
        <f t="shared" si="399"/>
        <v>1</v>
      </c>
      <c r="CW251" t="str">
        <f t="shared" si="400"/>
        <v>2P</v>
      </c>
      <c r="CX251" t="str">
        <f>_xlfn.LET(_xlpm.cc,UPPER(TRIM(IFERROR(_xlfn.XLOOKUP(AX251,Коды_код,Коды_хар)&amp;"",""))),IF(OR(_xlpm.cc="B",_xlpm.cc="В"),"B",IF(_xlpm.cc="D","D","С")))</f>
        <v>С</v>
      </c>
      <c r="CY251" t="str">
        <f t="shared" si="401"/>
        <v>2P С16А 30мА</v>
      </c>
      <c r="CZ251" t="str">
        <f t="shared" si="402"/>
        <v>2P С16А 30мА</v>
      </c>
      <c r="DA251" t="str">
        <f t="shared" si="403"/>
        <v>2P С16А 30мА</v>
      </c>
      <c r="DB251" cm="1">
        <f t="array" ref="DB251">IF(DA251="","",_xlfn.LET(_xlpm.t,SUBSTITUTE(SUBSTITUTE(SUBSTITUTE(UPPER(DA251),"С","C"),"А","A"),"В","B"),_xlpm.tk,_xlfn.TEXTSPLIT(_xlpm.t,"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1" t="str">
        <f t="shared" si="404"/>
        <v>ok</v>
      </c>
      <c r="DD251">
        <f t="shared" si="405"/>
        <v>16</v>
      </c>
      <c r="DE251" t="str">
        <f t="shared" si="406"/>
        <v>2P С16А 30мА</v>
      </c>
      <c r="DF251">
        <f t="shared" si="407"/>
        <v>30</v>
      </c>
      <c r="DG251">
        <f t="shared" si="408"/>
        <v>1</v>
      </c>
      <c r="DH251">
        <f t="shared" si="409"/>
        <v>0</v>
      </c>
      <c r="DI251">
        <f t="shared" si="410"/>
        <v>1.3674085322912188</v>
      </c>
      <c r="DJ251">
        <f t="shared" si="411"/>
        <v>1</v>
      </c>
      <c r="DK251">
        <f>IF(ISNUMBER(AL251),AL251,К_прокл)</f>
        <v>1</v>
      </c>
      <c r="DL251">
        <f t="shared" si="412"/>
        <v>2</v>
      </c>
      <c r="DM251">
        <f>IFERROR(N(VLOOKUP(BT251,Кабель_обозначение,3,FALSE)),1)</f>
        <v>1</v>
      </c>
      <c r="DN251">
        <f>IFERROR(N(_xlfn.XLOOKUP(A251,Щиты[Щит],Щиты[ΔU до шин, %])),0)</f>
        <v>1.19</v>
      </c>
      <c r="DO251" t="str">
        <f>IFERROR(_xlfn.XLOOKUP(A251,Щиты[Щит],Щиты[Zпетли на шинах, Ом]),"")</f>
        <v/>
      </c>
      <c r="DP251">
        <f>IFERROR(N(_xlfn.XLOOKUP(A251,Щиты[Щит],Щиты[ΔU до шин (подбор), %])),0)</f>
        <v>1.19</v>
      </c>
      <c r="DQ251" t="str">
        <f>IFERROR(_xlfn.XLOOKUP(A251,Щиты[Щит],Щиты[Zпетли на шинах (подбор), Ом]),"")</f>
        <v/>
      </c>
      <c r="DR251" t="str">
        <f t="shared" si="413"/>
        <v/>
      </c>
      <c r="DS251">
        <f t="shared" si="414"/>
        <v>97</v>
      </c>
      <c r="DT251">
        <f t="shared" si="415"/>
        <v>2</v>
      </c>
      <c r="DU251">
        <f t="shared" si="416"/>
        <v>0.31</v>
      </c>
      <c r="DV251" s="6">
        <f>IF(B251="","",IF(IFERROR(VLOOKUP(AX251,УГО_спр,2,FALSE),"")="Светильник",3,4)+IF(Методика="нормы 2026",MIN(0.5,MAX(0,N(Q251)-100)*0.005),0))</f>
        <v>4.12</v>
      </c>
      <c r="DW251" cm="1">
        <f t="array" ref="DW251">IF(OR(B251="",BT251="",DM251&lt;&gt;1),"",_xlfn.LET(_xlpm.sz,Iдоп_S,_xlpm.t_,CHOOSE(DL251,Iдоп_1ж,Iдоп_2ж,Iдоп_3ж)*DJ251*DK251,_xlpm.inn,N(DD251),_xlpm.smin,MAX(1.5,BW251),_xlpm.L_,N(Q251)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251)*(_xlpm.rho*_xlpm.L_/_xlpm.sz*N(BY251)+_xlpm.xx*_xlpm.L_*N(DU251)/1000)*N(P251)/((Uн_лин/SQRT(3))*1000)*100,999),_xlpm.kz,IF(OR(DG251=1,NOT(ISNUMBER(DQ251)),_xlpm.L_=0,_xlpm.inn=0),1,IFERROR(--(c_min*(Uн_лин*1000/SQRT(3))/(DQ251+2*ρкз_Cu*_xlpm.L_/_xlpm.sz)&gt;=GY251*_xlpm.inn),0)),_xlpm.ok,IFERROR((_xlpm.sz&gt;=_xlpm.smin)*(_xlpm.t_&gt;=_xlpm.inn)*IF(_xlpm.L_&gt;0,(_xlpm.du_+DP251&lt;=DV251+0.00001),1)*_xlpm.kz,0),_xlpm.r_,_xlfn._xlws.FILTER(_xlpm.sz,_xlpm.ok,"не подобрано"),INDEX(_xlpm.r_,1)))</f>
        <v>1.5</v>
      </c>
      <c r="DX251">
        <f t="shared" si="417"/>
        <v>2.5</v>
      </c>
      <c r="DY251" cm="1">
        <f t="array" ref="DY251">IF(OR(B251="",BT251="",DM251&lt;&gt;1),"",_xlfn.LET(_xlpm.sz,Iдоп_S,_xlpm.t_,CHOOSE(DL251,Iдоп_1ж,Iдоп_2ж,Iдоп_3ж)*DJ251*DK251,_xlpm.ok,IFERROR((_xlpm.sz&gt;=MAX(1.5,BW251))*(_xlpm.t_&gt;=N(DD251)),0),_xlpm.r_,_xlfn._xlws.FILTER(_xlpm.sz,_xlpm.ok,""),INDEX(_xlpm.r_,1)))</f>
        <v>1.5</v>
      </c>
      <c r="DZ251" s="6" cm="1">
        <f t="array" ref="DZ251">IFERROR(ROUNDUP(N(DT251)*(_xlfn.XLOOKUP(DY251,INDEX(Кабель_сопротивление,0,1),INDEX(Кабель_сопротивление,0,3))*N(Q251)/DY251*N(BY251)+_xlfn.XLOOKUP(DY251,INDEX(Кабель_сопротивление,0,1),INDEX(Кабель_сопротивление,0,2))*N(Q251)*N(DU251)/1000)*N(P251)/((Uн_лин/SQRT(3))*1000)*100,2),"")</f>
        <v>2.0999999999999996</v>
      </c>
      <c r="EA251">
        <f>IFERROR(2*ρкз_Cu*N(Q251)/DY251,"")</f>
        <v>4.3482666666666665</v>
      </c>
      <c r="EB251">
        <f>IFERROR(VLOOKUP(DX251,Кабель_сопротивление,3,FALSE),"")</f>
        <v>2.2499999999999999E-2</v>
      </c>
      <c r="EC251">
        <f>IFERROR(VLOOKUP(DX251,Кабель_сопротивление,2,FALSE),"")</f>
        <v>0.1</v>
      </c>
      <c r="ED251">
        <f t="shared" si="418"/>
        <v>96</v>
      </c>
      <c r="EE251">
        <f t="shared" si="419"/>
        <v>0</v>
      </c>
      <c r="EF251">
        <f t="shared" si="420"/>
        <v>2.9099656886665555</v>
      </c>
      <c r="EG251" s="6">
        <f>IFERROR(ROUNDUP(EF251/((Uн_лин/SQRT(3))*1000)*100,2),"")</f>
        <v>1.27</v>
      </c>
      <c r="EH251" t="str">
        <f>IFERROR(VLOOKUP(BT251,Кабель_обозначение,2,FALSE),"")</f>
        <v>ВВГнг(А)-LS</v>
      </c>
      <c r="EI251" t="str">
        <f t="shared" si="421"/>
        <v>ВВГнг(А)-LS (3х2,5)</v>
      </c>
      <c r="EJ251" t="str">
        <f t="shared" si="422"/>
        <v>ВВГнг(А)-LS (3х2,5)
L=124-1,27%</v>
      </c>
      <c r="EK251">
        <f>IFERROR(2*ρкз_Cu*Q251/DX251,"")</f>
        <v>2.6089600000000002</v>
      </c>
      <c r="EL251">
        <f t="shared" si="423"/>
        <v>0.8680000000000001</v>
      </c>
      <c r="EM251" s="6" t="str">
        <f>IFERROR(IF(OR(B251="",NOT(ISNUMBER(DX251)),N(Q251)=0),"",_xlfn.XLOOKUP(A251,Щиты[Щит],Щиты[Zпетли на шинах, Ом])+EK251),"")</f>
        <v/>
      </c>
      <c r="EN251" s="6" t="str">
        <f>IF(ISNUMBER(EM251),c_min*(Uн_лин*1000/SQRT(3))/EM251,"")</f>
        <v/>
      </c>
      <c r="EO251" s="6" t="str">
        <f>IFERROR(IF(OR(B251="",NOT(ISNUMBER(DX251))),"",1.05*(Uн_лин*1000/SQRT(3))/(_xlfn.XLOOKUP(A251,Щиты[Щит],Щиты[Zmax на шинах, Ом])+EL251)/1000),"")</f>
        <v/>
      </c>
      <c r="EP251" s="6" t="str">
        <f>IF(B251="","",IF(ISNUMBER(Y251),"Сил",IF(IFERROR(_xlfn.XLOOKUP(AX251,Коды_код,Коды_группа)&amp;"","")="","Быт",_xlfn.XLOOKUP(AX251,Коды_код,Коды_группа)&amp;"")))</f>
        <v>Быт</v>
      </c>
      <c r="EQ251" s="6" t="str">
        <f t="shared" si="424"/>
        <v>Быт</v>
      </c>
      <c r="ER251" s="6">
        <f>IF(EQ251="Щит","щит",IF(EQ251="","",IF(EQ251="Быт",IFERROR(_xlfn.XLOOKUP(A251,Щиты[Щит],Щиты[Кс быт]),1),IF(EQ251="Сил",IF(ISNUMBER(Y251),Y251,IF(Методика="нормы 2026",IFERROR(_xlfn.XLOOKUP(A251,Щиты[Щит],Щиты[Кс силовых (табл. 7.5)]),1),1)),IF(OR(EQ251="Пост",EQ251="Отоп"),1,IF(EQ251="ВНГ",0.7,0))))))</f>
        <v>0.57830000000000004</v>
      </c>
      <c r="ES251">
        <f t="shared" si="425"/>
        <v>1</v>
      </c>
      <c r="ET251">
        <f t="shared" si="426"/>
        <v>0.3</v>
      </c>
      <c r="EU251">
        <f t="shared" si="427"/>
        <v>0.3</v>
      </c>
      <c r="EV251">
        <f t="shared" si="428"/>
        <v>0</v>
      </c>
      <c r="EW251">
        <f t="shared" si="429"/>
        <v>0</v>
      </c>
      <c r="EX251">
        <f t="shared" si="430"/>
        <v>0</v>
      </c>
      <c r="EY251">
        <f t="shared" si="431"/>
        <v>0</v>
      </c>
      <c r="EZ251">
        <f t="shared" si="432"/>
        <v>0.3</v>
      </c>
      <c r="FA251">
        <f t="shared" si="433"/>
        <v>0.28499999999999998</v>
      </c>
      <c r="FB251">
        <f t="shared" si="434"/>
        <v>0.3</v>
      </c>
      <c r="FC251" t="str">
        <f t="shared" si="435"/>
        <v/>
      </c>
      <c r="FD251" t="str">
        <f>IF(B251="","",IF(CA251=0,IF(AW251=1,"",FF250),IF(OR(N(CV251)&gt;=3,N(BR251)&gt;=3),"L1,L2,L3",IFERROR(_xlfn.TEXTBEFORE(_xlfn.TEXTAFTER(_xlfn.XLOOKUP(A251,Щиты[Щит],Щиты[_фазы авто]),";"&amp;AW251&amp;":"),";"),"L1"))))</f>
        <v>L2</v>
      </c>
      <c r="FE251" t="str">
        <f t="shared" si="436"/>
        <v>L2</v>
      </c>
      <c r="FF251" t="str">
        <f t="shared" si="437"/>
        <v>L2</v>
      </c>
      <c r="FG251" cm="1">
        <f t="array" ref="FG251">IFERROR(IF(BX251=2,_xlfn.IFS(BR251=3,VLOOKUP(BN251,Справочная_двигатели,3,FALSE),BR251=1,VLOOKUP(BN251,Справочная_двигатели,5,TRUE)),0),0)</f>
        <v>0</v>
      </c>
      <c r="FH251">
        <f>IFERROR(IF(BX251=3,VLOOKUP(BN251,Справочная_ЛЭД,2,TRUE),0),0)</f>
        <v>0</v>
      </c>
      <c r="FI251" s="6">
        <f t="shared" si="438"/>
        <v>0</v>
      </c>
      <c r="FJ251" t="str" cm="1">
        <f t="array" ref="FJ251">IF(B251="","",IFERROR(INDEX({"I особая","I","II","III"},MATCH(TRIM(AC251&amp;""),{"I особая","I","II","III"},0)),"III"))</f>
        <v>II</v>
      </c>
      <c r="FK251" t="str">
        <f>IF(B251="","",IF(TRIM(AD251&amp;"")&lt;&gt;"",IF(LOWER(TRIM(AD251&amp;""))="да","да","нет"),IF(IFERROR(_xlfn.XLOOKUP(AX251,Коды_код,Коды_пожарная),"")="да","да","нет")))</f>
        <v>нет</v>
      </c>
      <c r="FL251" t="str">
        <f t="shared" si="439"/>
        <v/>
      </c>
      <c r="FM251" t="str">
        <f t="shared" si="440"/>
        <v>основная</v>
      </c>
      <c r="FN251">
        <f t="shared" si="441"/>
        <v>1</v>
      </c>
      <c r="FO251" t="str" cm="1">
        <f t="array" ref="FO251">IF(B251="","",_xlfn.LET(_xlpm.t,IFERROR(_xlfn.XLOOKUP(1,(Шины[Шина]=FM251)*(((Шины[Щит]=A251)+(Шины[Щит]=""))&gt;0),Шины[Тип]),"")&amp;"",IF(_xlpm.t&lt;&gt;"",_xlpm.t,IF(ISNUMBER(SEARCH("ИБП",FM251)),"ИБП",IF(ISNUMBER(SEARCH("ДГУ",FM251)),"ДГУ","Ввод "&amp;FN251)))))</f>
        <v>Ввод 1</v>
      </c>
      <c r="FP251" t="str">
        <f t="shared" si="442"/>
        <v>Ввод 1</v>
      </c>
      <c r="FQ251" t="str">
        <f>IF(B251="","",IF(OR(FO251="ИБП",FO251="ДГУ"),"I особая",IF(FO251="Одиночная","III",_xlfn.XLOOKUP(A251,Щиты[Щит],Щиты[Категория шины «Ввод»],"III"))))</f>
        <v>II</v>
      </c>
      <c r="FR251">
        <f>IF(B251="",0,IFERROR(MATCH(FJ251,{"III","II","I","I особая"},0),1))</f>
        <v>2</v>
      </c>
      <c r="FS251">
        <f t="shared" si="443"/>
        <v>2</v>
      </c>
      <c r="FT251" t="str">
        <f>IF(B251="","",IF(FR251&gt;IFERROR(MATCH(FQ251,{"III","II","I","I особая"},0),1),"НЕ ОБЕСПЕЧЕНА","ОК"))</f>
        <v>ОК</v>
      </c>
      <c r="FU251" t="str">
        <f>IF(A251="","",_xlfn.XLOOKUP(A251,Щиты[Щит],Щиты[Путь],""))</f>
        <v>|ГРЩ-ЖД|ЩР-1|</v>
      </c>
      <c r="FV251" t="str">
        <f>IF(B251="","",IF(AE251&lt;&gt;"",AE251,IF(IFERROR(_xlfn.XLOOKUP(AX251,Коды_код,Коды_вид)&amp;"","")="","Прочее",_xlfn.XLOOKUP(AX251,Коды_код,Коды_вид)&amp;"")))</f>
        <v>Розеточная сеть и бытовые приборы</v>
      </c>
      <c r="FW251">
        <f>IF(BH251="","",INT((BH251-1)/Столбцов_на_лист)+1)</f>
        <v>3</v>
      </c>
      <c r="FX251" t="str">
        <f t="shared" si="444"/>
        <v>ВВГнг(А)-LS (3х2,5) L=124-1,27%</v>
      </c>
      <c r="FY251">
        <f t="shared" si="445"/>
        <v>0.3</v>
      </c>
      <c r="FZ251">
        <f t="shared" si="446"/>
        <v>1.37</v>
      </c>
      <c r="GA251">
        <f t="shared" si="447"/>
        <v>1</v>
      </c>
      <c r="GB251">
        <f t="shared" si="448"/>
        <v>0</v>
      </c>
      <c r="GC251">
        <f t="shared" si="449"/>
        <v>1</v>
      </c>
      <c r="GD251">
        <f>IF(BH251="","",IF(AND(CA251=1,GC251=1),COUNTIFS(A$3:A251,A251,CA$3:CA251,1,GC$3:GC251,1),IF(OR(OR(AW251=1,A251&lt;&gt;A250),AF251="вручную",GC251=0),"",IF(AW251=1,"",GE250))))</f>
        <v>27</v>
      </c>
      <c r="GE251">
        <f t="shared" si="450"/>
        <v>27</v>
      </c>
      <c r="GF251">
        <f>IF(B251="","",IFERROR(LOOKUP(INDEX(CHOOSE(DL251,Iдоп_1ж,Iдоп_2ж,Iдоп_3ж),MATCH(DX251,Iдоп_S,0))*DJ251*DK251,{6,10,16,20,25,32,40,50,63,80,100,125,160,200,250,315,400,500,630}),""))</f>
        <v>25</v>
      </c>
      <c r="GG251" t="str">
        <f t="shared" si="451"/>
        <v>QFD27</v>
      </c>
      <c r="GH251" t="str">
        <f t="shared" si="452"/>
        <v>QFD27</v>
      </c>
      <c r="GI251" t="str">
        <f t="shared" si="453"/>
        <v/>
      </c>
      <c r="GJ251">
        <f t="shared" si="454"/>
        <v>0</v>
      </c>
      <c r="GK251" t="str">
        <f>IF(OR(AG251="",AG251="-"),"",IFERROR(VLOOKUP(AG251,Модули_спр,2,FALSE),"R"))</f>
        <v/>
      </c>
      <c r="GL251" t="str">
        <f>IF(GK251="","",GK251&amp;"."&amp;COUNTIFS(A$3:A251,A251,GK$3:GK251,GK251))</f>
        <v/>
      </c>
      <c r="GM251" t="str">
        <f t="shared" si="455"/>
        <v/>
      </c>
      <c r="GN251" t="str">
        <f t="shared" si="456"/>
        <v/>
      </c>
      <c r="GO251" t="str">
        <f t="shared" si="457"/>
        <v/>
      </c>
      <c r="GP251" t="str">
        <f t="shared" si="458"/>
        <v/>
      </c>
      <c r="GQ251">
        <f t="shared" si="459"/>
        <v>1</v>
      </c>
      <c r="GR251" t="str">
        <f>IF(GQ251=1,"XT"&amp;COUNTIFS(A$3:A251,A251,GQ$3:GQ251,1),"")</f>
        <v>XT27</v>
      </c>
      <c r="GS251" t="str">
        <f t="shared" si="460"/>
        <v/>
      </c>
      <c r="GT251" t="str">
        <f t="shared" si="461"/>
        <v>QFD27</v>
      </c>
      <c r="GU251" t="str">
        <f t="shared" si="462"/>
        <v/>
      </c>
      <c r="GV251" t="str">
        <f t="shared" si="463"/>
        <v>ok</v>
      </c>
      <c r="GW251" t="str">
        <f>IF(OR(GO251="",GM251=""),"",IF(GO251&gt;IFERROR(VLOOKUP(GN251,Модули_спр,3,FALSE),99),"ЛИШНИЙ КАНАЛ",IF(AND(AH251&lt;&gt;"=",COUNTIFS(Линии[_модуль гр.],GM251,Линии[Канал (итог)],GO251,Линии[Канал],"&lt;&gt;=",Линии[Щит],A251)&gt;1),"ДУБЛЬ КАНАЛА","")))</f>
        <v/>
      </c>
      <c r="GX251" s="6" t="str">
        <f t="shared" si="464"/>
        <v/>
      </c>
      <c r="GY251">
        <f t="shared" si="465"/>
        <v>10</v>
      </c>
      <c r="GZ251" t="str">
        <f t="shared" si="466"/>
        <v/>
      </c>
      <c r="HA251" t="str">
        <f>IF(AND(B251="",GT251=""),"",_xlfn.TEXTJOIN("; ",TRUE,IF(AND(B251&lt;&gt;"",FE251=""),"нет фазы",""),IF(AND(B251&lt;&gt;"",N(FY251)=0,EQ251&lt;&gt;"Нет"),"нет мощности",""),IF(AND(GS251&lt;&gt;"",COUNTIFS(Линии[Щит],A251,Линии[Клемма (итог)],GS251)&gt;1),"дубль клеммы "&amp;GS251,""),IF(AND(GV251&lt;&gt;"",GV251&lt;&gt;"ok"),GV251,""),IF(GW251&lt;&gt;"",GW251,""),IF(AND(N(BV251)&gt;=4,N(BR251)=1),BV251&amp;" жил на 1 фазе",""),IF(AND(AX251="R",CA251=1,OR(N(CK251)=0,N(CK251)&gt;30)),"розетка без дифзащиты до 30 мА",""),IFERROR(IF(AND(ISNUMBER(R251),R251&gt;DV251),"потери "&amp;FIXED(R251,1)&amp;" % &gt; "&amp;DV251&amp;" %",""),""),IFERROR(IF(LEFT(GZ251,4)="мало","Iкз мало — отключение &gt; 0,4 с",""),""),IF(AND(B251&lt;&gt;"",BH251=""),"не на схеме",""),IF(AND(CA251=0,B251&lt;&gt;"",FE251&lt;&gt;"",IF(AW251=1,"",FF250)&lt;&gt;"",FE251&lt;&gt;IF(AW251=1,"",FF250)),"фаза не как у автомата группы ("&amp;IF(AW251=1,"",FF250)&amp;")","")))</f>
        <v/>
      </c>
      <c r="HB251" s="6">
        <f>IF(OR(CA251=0,DA251=""),"",_xlfn.LET(_xlpm.t,IFERROR(_xlfn.XLOOKUP(DA251,Каталог!$U$4:$U$500,Каталог!$G$4:$G$500),""),_xlpm.k,SEARCH("кА",_xlpm.t),IFERROR(--TRIM(RIGHT(SUBSTITUTE(MID(_xlpm.t,MAX(1,_xlpm.k-4),_xlpm.k-MAX(1,_xlpm.k-4))," ",REPT(" ",9)),5)),"")))</f>
        <v>6</v>
      </c>
      <c r="HC251" t="str">
        <f>IF(OR(HB251="",CA251=0),"",IF(_xlfn.XLOOKUP(A251,Щиты[Щит],Щиты[Iкз max на шинах, кА],"")="","",IF(HB251&lt;_xlfn.XLOOKUP(A251,Щиты[Щит],Щиты[Iкз max на шинах, кА]),"Icu "&amp;HB251&amp;" кА &lt; Iкз max","ok")))</f>
        <v/>
      </c>
      <c r="HD251" t="str">
        <f t="shared" si="467"/>
        <v/>
      </c>
      <c r="HE251" t="str">
        <f t="shared" si="468"/>
        <v>QFD27</v>
      </c>
      <c r="HF251" t="str">
        <f t="shared" si="469"/>
        <v>QFD27|кабель ВВГнг(А)-LS (3х2,5) → Розеточная группа, пом. 006Aб</v>
      </c>
      <c r="HG251" t="str" cm="1">
        <f t="array" ref="HG251">IF(HF251="","",_xlfn.LET(_xlpm.nd,_xlfn.TEXTSPLIT(HF251,"|"),IF(COLUMNS(_xlpm.nd)&gt;1,A251&amp;"¦"&amp;INDEX(_xlpm.nd,1)&amp;"¦"&amp;INDEX(_xlpm.nd,2),"")))</f>
        <v>ЩР-1¦QFD27¦кабель ВВГнг(А)-LS (3х2,5) → Розеточная группа, пом. 006Aб</v>
      </c>
      <c r="HH251" t="str">
        <f t="shared" si="470"/>
        <v>R.1.006Aб.2¦Розеточная группа, пом. 006Aб</v>
      </c>
      <c r="HI251" t="str" cm="1">
        <f t="array" ref="HI251">IF(HF251="","",_xlfn.LET(_xlpm.nd,_xlfn.TEXTSPLIT(HF251,"|"),IF(COLUMNS(_xlpm.nd)&gt;2,A251&amp;"¦"&amp;INDEX(_xlpm.nd,2)&amp;"¦"&amp;INDEX(_xlpm.nd,3),"")))</f>
        <v/>
      </c>
      <c r="HJ251" t="str">
        <f t="shared" si="471"/>
        <v/>
      </c>
      <c r="HK251" t="str" cm="1">
        <f t="array" ref="HK251">IF(HF251="","",_xlfn.LET(_xlpm.nd,_xlfn.TEXTSPLIT(HF251,"|"),IF(COLUMNS(_xlpm.nd)&gt;3,A251&amp;"¦"&amp;INDEX(_xlpm.nd,3)&amp;"¦"&amp;INDEX(_xlpm.nd,4),"")))</f>
        <v/>
      </c>
      <c r="HL251" t="str">
        <f t="shared" si="472"/>
        <v/>
      </c>
      <c r="HM251" t="str" cm="1">
        <f t="array" ref="HM251">IF(HF251="","",_xlfn.LET(_xlpm.nd,_xlfn.TEXTSPLIT(HF251,"|"),IF(COLUMNS(_xlpm.nd)&gt;4,A251&amp;"¦"&amp;INDEX(_xlpm.nd,4)&amp;"¦"&amp;INDEX(_xlpm.nd,5),"")))</f>
        <v/>
      </c>
      <c r="HN251" t="str">
        <f t="shared" si="473"/>
        <v/>
      </c>
      <c r="HO251" t="str" cm="1">
        <f t="array" ref="HO251">IF(HF251="","",_xlfn.LET(_xlpm.nd,_xlfn.TEXTSPLIT(HF251,"|"),IF(COLUMNS(_xlpm.nd)&gt;5,A251&amp;"¦"&amp;INDEX(_xlpm.nd,5)&amp;"¦"&amp;INDEX(_xlpm.nd,6),"")))</f>
        <v/>
      </c>
      <c r="HP251" t="str">
        <f t="shared" si="474"/>
        <v/>
      </c>
      <c r="HQ251" t="str" cm="1">
        <f t="array" ref="HQ251">IF(HF251="","",_xlfn.LET(_xlpm.nd,_xlfn.TEXTSPLIT(HF251,"|"),IF(COLUMNS(_xlpm.nd)&gt;6,A251&amp;"¦"&amp;INDEX(_xlpm.nd,6)&amp;"¦"&amp;INDEX(_xlpm.nd,7),"")))</f>
        <v/>
      </c>
      <c r="HR251" t="str">
        <f t="shared" si="475"/>
        <v/>
      </c>
      <c r="HS251" t="str">
        <f t="shared" si="476"/>
        <v/>
      </c>
      <c r="HT251" t="str">
        <f t="shared" si="477"/>
        <v>QFD27</v>
      </c>
      <c r="HU251">
        <f t="shared" si="478"/>
        <v>0</v>
      </c>
      <c r="HV251">
        <f t="shared" si="479"/>
        <v>1</v>
      </c>
      <c r="HW251" t="str">
        <f t="shared" si="480"/>
        <v/>
      </c>
      <c r="HX251" t="str">
        <f t="shared" si="481"/>
        <v/>
      </c>
      <c r="HY251" t="str">
        <f t="shared" si="482"/>
        <v/>
      </c>
      <c r="HZ251" t="str">
        <f t="shared" si="483"/>
        <v/>
      </c>
      <c r="IA251" t="str">
        <f>IF(B251="","",IFERROR(VLOOKUP(B251,УГО_спр,2,FALSE),IFERROR(VLOOKUP(AX251,УГО_спр,2,FALSE),IFERROR(VLOOKUP(LEFT(AX251,2),УГО_спр,2,FALSE),""))))</f>
        <v>Розетка</v>
      </c>
      <c r="IB251" t="str">
        <f>IF(B251="","",IF(OR(IA251="",IA251=0),"BOX",IFERROR(IF(VLOOKUP(IA251,УГО_блоки,3,FALSE)&amp;""&lt;&gt;"",VLOOKUP(IA251,УГО_блоки,3,FALSE),VLOOKUP(IA251,УГО_блоки,2,FALSE)),IA251)))</f>
        <v>SOCKET</v>
      </c>
      <c r="IC251">
        <f t="shared" si="484"/>
        <v>1</v>
      </c>
      <c r="ID251" t="str">
        <f>IF(DA251="","",IF(COUNTIF(DA$3:DA251,DA251)=1,MAX(ID$2:ID250)+1,""))</f>
        <v/>
      </c>
      <c r="IE251" t="str">
        <f>IF(CO251="","",IF(COUNTIF(CO$3:CO251,CO251)+COUNTIF(CP$2:CP250,CO251)+COUNTIF(CQ$2:CQ250,CO251)=1,MAX(IE$2:IG250)+1,""))</f>
        <v/>
      </c>
      <c r="IF251" t="str">
        <f>IF(CP251="","",IF(COUNTIF(CO$3:CO251,CP251)+COUNTIF(CP$3:CP251,CP251)+COUNTIF(CQ$2:CQ250,CP251)=1,MAX(IE$2:IG250,IE251)+1,""))</f>
        <v/>
      </c>
      <c r="IG251" t="str">
        <f>IF(CQ251="","",IF(COUNTIF(CO$3:CO251,CQ251)+COUNTIF(CP$3:CP251,CQ251)+COUNTIF(CQ$3:CQ251,CQ251)=1,MAX(IE$2:IG250,IE251,IF251)+1,""))</f>
        <v/>
      </c>
      <c r="IH251" t="str">
        <f t="shared" si="485"/>
        <v>3х2,5</v>
      </c>
      <c r="II251" t="str">
        <f>IF(IH251="","",IF(COUNTIF(IH$3:IH251,IH251)=1,MAX(II$2:II250)+1,""))</f>
        <v/>
      </c>
      <c r="IJ251" t="str">
        <f>IF(GL251="","",COUNTIF(GL$3:GL251,"?*"))</f>
        <v/>
      </c>
      <c r="IK251" t="str">
        <f>IF(OR(GL251="",GN251=""),"",IF(COUNTIFS(GL$3:GL251,"?*",GN$3:GN251,GN251)=1,MAX(IK$2:IK250)+1,""))</f>
        <v/>
      </c>
      <c r="IL251">
        <f t="shared" si="486"/>
        <v>0</v>
      </c>
      <c r="IM251">
        <f>IF(B251="","",COUNTIF(B$3:B251,"?*"))</f>
        <v>249</v>
      </c>
      <c r="IN251">
        <f>IF(GQ251&lt;&gt;1,0,_xlfn.LET(_xlpm.k,MAX(IFERROR(--VLOOKUP(B251,УГО_спр,5,FALSE),0),IFERROR(--VLOOKUP(AX251,УГО_спр,5,FALSE),0),IFERROR(--VLOOKUP(LEFT(AX251,2),УГО_спр,5,FALSE),0)),IF(_xlpm.k&gt;0,_xlpm.k,IF(IFERROR(--LEFT(SUBSTITUTE(IH251,"x","х"),FIND("х",SUBSTITUTE(IH251,"x","х"))-1),3)&gt;3,Каталог!$S$9,1))))</f>
        <v>1</v>
      </c>
      <c r="IO251">
        <f t="shared" si="487"/>
        <v>0</v>
      </c>
      <c r="IP251" t="str">
        <f t="shared" si="488"/>
        <v>авто</v>
      </c>
      <c r="IQ251">
        <f t="shared" si="489"/>
        <v>30</v>
      </c>
      <c r="IR251">
        <f t="shared" si="490"/>
        <v>1</v>
      </c>
      <c r="IS251">
        <f t="shared" si="491"/>
        <v>1</v>
      </c>
    </row>
    <row r="252" spans="1:253" x14ac:dyDescent="0.3">
      <c r="A252" t="s">
        <v>759</v>
      </c>
      <c r="B252" t="s">
        <v>1517</v>
      </c>
      <c r="C252" t="str">
        <f>Линии[[#This Row],[_авто наименование]]</f>
        <v>Розеточная группа, пом. 007A</v>
      </c>
      <c r="D252">
        <v>3</v>
      </c>
      <c r="E252">
        <v>0.24</v>
      </c>
      <c r="G252" t="str">
        <f>Линии[[#This Row],[_авто автомат]]</f>
        <v>2P С16А 30мА</v>
      </c>
      <c r="H252">
        <f>Линии[[#This Row],[_авто утечка]]</f>
        <v>30</v>
      </c>
      <c r="I252" t="str">
        <f>Линии[[#This Row],[_авто управление]]</f>
        <v/>
      </c>
      <c r="J252" t="str">
        <f>Линии[[#This Row],[_авто аппараты]]</f>
        <v/>
      </c>
      <c r="K252">
        <v>2.5</v>
      </c>
      <c r="L252">
        <v>30</v>
      </c>
      <c r="M252">
        <v>2</v>
      </c>
      <c r="N252" t="s">
        <v>486</v>
      </c>
      <c r="O252" t="str">
        <f t="shared" si="369"/>
        <v/>
      </c>
      <c r="P252" s="6" cm="1">
        <f t="array" ref="P252">IF(B252="","",IF(BC252&lt;&gt;"",IFERROR(_xlfn.XLOOKUP(BC252,Щиты[Щит],Щиты[Iр, А]),""),IF(BK252=1,IFERROR(_xlfn.XLOOKUP(A252,Щиты[Щит],Щиты[Iр, А]),""),IFERROR(_xlfn.IFS(BR252=1,BN252/((Uн_лин/SQRT(3))*BY252),BR252=3,BN252/(SQRT(3)*Uн_лин*BY252)),""))))</f>
        <v>1.0939268258329751</v>
      </c>
      <c r="Q252" s="7">
        <f>IF(B252="","",IFERROR(IF(VLOOKUP(AX252,Потребители_обозначение,4,FALSE)=1,VLOOKUP(AX252,Потребители_обозначение,3,FALSE)*(D252*2-1)+DS252+VLOOKUP(AZ252,Этаж_обозначение,3,FALSE)+VLOOKUP(AZ252,Этаж_обозначение,4,FALSE),VLOOKUP(AX252,Потребители_обозначение,3,FALSE)*(D252*2-1)+DS252),DS252))</f>
        <v>45</v>
      </c>
      <c r="R252" s="6">
        <f t="shared" si="370"/>
        <v>1.56</v>
      </c>
      <c r="S252" t="str">
        <f t="shared" si="371"/>
        <v>ВВГнг(А)-LS (3х2,5)</v>
      </c>
      <c r="T252" t="str">
        <f>IF(BH252="","",IF(BI252="вводной узел","узел ","")&amp;"л."&amp;(INT((BH252-1)/Столбцов_на_лист)+1)&amp;" / "&amp;(MOD(BH252-1,Столбцов_на_лист)+1))</f>
        <v>л.3 / 15</v>
      </c>
      <c r="V252">
        <v>1</v>
      </c>
      <c r="W252">
        <v>230</v>
      </c>
      <c r="X252" t="s">
        <v>564</v>
      </c>
      <c r="AC252" t="s">
        <v>815</v>
      </c>
      <c r="AE252" t="s">
        <v>563</v>
      </c>
      <c r="AI252">
        <v>49</v>
      </c>
      <c r="AJ252" t="s">
        <v>11</v>
      </c>
      <c r="AK252">
        <v>3</v>
      </c>
      <c r="AM252">
        <v>7</v>
      </c>
      <c r="AN252">
        <v>38</v>
      </c>
      <c r="AO252">
        <v>0</v>
      </c>
      <c r="AW252" cm="1">
        <f t="array" ref="AW252">ROW()-ROW(Линии[#Headers])</f>
        <v>250</v>
      </c>
      <c r="AX252" s="6" t="str">
        <f t="shared" si="372"/>
        <v>R</v>
      </c>
      <c r="AY252" t="str">
        <f t="shared" si="373"/>
        <v>1.007A.1</v>
      </c>
      <c r="AZ252" t="str">
        <f t="shared" si="374"/>
        <v>1</v>
      </c>
      <c r="BA252" t="str">
        <f t="shared" si="375"/>
        <v>007A.1</v>
      </c>
      <c r="BB252" t="str">
        <f t="shared" si="376"/>
        <v>007A</v>
      </c>
      <c r="BC252" t="str">
        <f>IF(U252&lt;&gt;"",U252,IF(AND(B252&lt;&gt;"",B252&lt;&gt;A252,ISNUMBER(_xlfn.XMATCH(B252,Щиты[Щит]))),B252,""))</f>
        <v/>
      </c>
      <c r="BD252" t="str" cm="1">
        <f t="array" ref="BD252">IF(B252="","",IF(BC252&lt;&gt;"","Щит "&amp;BC252,_xlfn.LET(_xlpm.nm,IFERROR(_xlfn.XLOOKUP(AX252,Коды_код,Коды_имя)&amp;"",""),_xlpm.md,IFERROR(N(_xlfn.XLOOKUP(AX252,Коды_код,Коды_режим)),1),_xlpm.ex,IF(Имя_режим="по экспликации",IFERROR(_xlfn.XLOOKUP(AZ252&amp;"|"&amp;BB252,Экспликация[Этаж]&amp;"|"&amp;Экспликация[Помещение],Экспликация[Название])&amp;"",""),""),_xlpm.rm,IF(BB252="","",IF(_xlpm.ex&lt;&gt;"",". "&amp;_xlpm.ex&amp;IF(Имя_пом="нет"," ("&amp;BB252&amp;")"," (пом. "&amp;BB252&amp;")"),IF(Имя_пом="нет"," ",", пом. ")&amp;BB252)),IF(_xlpm.nm="","",IF(_xlpm.md=2,_xlpm.nm&amp;" шлейф "&amp;AZ252,_xlpm.nm&amp;_xlpm.rm)))))</f>
        <v>Розеточная группа, пом. 007A</v>
      </c>
      <c r="BE252" t="str">
        <f t="shared" si="377"/>
        <v>Розеточная группа, пом. 007A</v>
      </c>
      <c r="BF252">
        <f>IFERROR(_xlfn.XMATCH(A252,Щиты[Щит]),0)</f>
        <v>10</v>
      </c>
      <c r="BG252">
        <f>_xlfn.LET(_xlpm.k,IFERROR(_xlfn.XLOOKUP(A252,Щиты[Щит],Щиты[Листов под вводной узел]),""),IF(_xlpm.k="",1,N(_xlpm.k))*Столбцов_на_лист)</f>
        <v>17</v>
      </c>
      <c r="BH252">
        <f t="shared" si="378"/>
        <v>49</v>
      </c>
      <c r="BI252" t="str">
        <f t="shared" si="379"/>
        <v>линии</v>
      </c>
      <c r="BJ252" s="6">
        <f>IFERROR(N(_xlfn.XLOOKUP(AX252,Коды_код,Коды_квт)),0)</f>
        <v>0</v>
      </c>
      <c r="BK252">
        <f t="shared" si="380"/>
        <v>0</v>
      </c>
      <c r="BL252" t="str">
        <f>IF(B252="","",IF(BC252&lt;&gt;"",IFERROR(_xlfn.XLOOKUP(BC252,Щиты[Щит],Щиты[Руст, кВт]),0),IF(BK252=1,IFERROR(_xlfn.XLOOKUP(A252,Щиты[Щит],Щиты[Руст, кВт]),0),IF(BJ252&gt;0,ROUND(BJ252*MAX(1,N(D252)),3),""))))</f>
        <v/>
      </c>
      <c r="BM252">
        <f t="shared" si="381"/>
        <v>0.24</v>
      </c>
      <c r="BN252" s="6">
        <f>IF(B252="","",IF(BC252&lt;&gt;"",IFERROR(_xlfn.XLOOKUP(BC252,Щиты[Щит],Щиты[Руст, кВт]),0),N(BM252)))</f>
        <v>0.24</v>
      </c>
      <c r="BO252" t="str">
        <f>IF(B252="","",IFERROR(IF(VLOOKUP(AX252,Потребители_обозначение,8,FALSE)=0,"",VLOOKUP(AX252,Потребители_обозначение,8,FALSE)),""))</f>
        <v/>
      </c>
      <c r="BP252">
        <f t="shared" si="382"/>
        <v>230</v>
      </c>
      <c r="BQ252">
        <f>IF(B252="","",IF(BC252&lt;&gt;"",3,IFERROR(IF(N(VLOOKUP(AX252,Потребители_обозначение,9,FALSE))=0,1,VLOOKUP(AX252,Потребители_обозначение,9,FALSE)),1)))</f>
        <v>1</v>
      </c>
      <c r="BR252">
        <f t="shared" si="383"/>
        <v>1</v>
      </c>
      <c r="BS252" t="str">
        <f>IF(B252="","",_xlfn.LET(_xlpm.bc,IFERROR(IF(VLOOKUP(AX252,Потребители_обозначение,6,FALSE)=0,"",VLOOKUP(AX252,Потребители_обозначение,6,FALSE)&amp;""),""),IF(AND(FK252="да",OR(_xlpm.bc="",_xlpm.bc="мс")),Марка_пож,IF(AND(_xlpm.bc="",BC252&lt;&gt;""),"мс",_xlpm.bc))))</f>
        <v/>
      </c>
      <c r="BT252" t="str">
        <f t="shared" si="384"/>
        <v>мс</v>
      </c>
      <c r="BU252">
        <f>IF(B252="","",_xlfn.LET(_xlpm.cc,IFERROR(N(VLOOKUP(AX252,Потребители_обозначение,7,FALSE)),0),IF(_xlpm.cc&gt;0,_xlpm.cc,IF(BT252="","",IF(N(BR252)=3,5,3)))))</f>
        <v>3</v>
      </c>
      <c r="BV252">
        <f t="shared" si="385"/>
        <v>3</v>
      </c>
      <c r="BW252">
        <f>IFERROR(N(VLOOKUP(AX252,Потребители_обозначение,10,FALSE)),0)</f>
        <v>0</v>
      </c>
      <c r="BX252">
        <f>IFERROR(VLOOKUP(AX252,Потребители_обозначение,5,FALSE),0)</f>
        <v>1</v>
      </c>
      <c r="BY252" s="6" cm="1">
        <f t="array" ref="BY252">IF(B252="","",IF(BC252&lt;&gt;"",IFERROR(_xlfn.XLOOKUP(BC252,Щиты[Щит],Щиты[cos φ]),0.95),IF(BK252=1,IFERROR(_xlfn.XLOOKUP(A252,Щиты[Щит],Щиты[cos φ]),0.95),IF(ISNUMBER(Z252),Z252,IFERROR(IF(BX252=2,_xlfn.IFS(BR252=3,VLOOKUP(BN252,Справочная_двигатели,8,FALSE),BR252=1,VLOOKUP(BN252,Справочная_двигатели,10,TRUE)),IF(AND(Методика="нормы 2026",EQ252="Сил"),0.8,0.95)),0.95)))))</f>
        <v>0.95</v>
      </c>
      <c r="BZ252">
        <f t="shared" si="386"/>
        <v>0</v>
      </c>
      <c r="CA252">
        <f t="shared" si="387"/>
        <v>1</v>
      </c>
      <c r="CB252">
        <f t="shared" si="388"/>
        <v>0</v>
      </c>
      <c r="CC252">
        <f t="shared" si="389"/>
        <v>0</v>
      </c>
      <c r="CD252">
        <f t="shared" si="390"/>
        <v>0</v>
      </c>
      <c r="CE252">
        <f t="shared" si="391"/>
        <v>0</v>
      </c>
      <c r="CF252">
        <f t="shared" si="392"/>
        <v>0</v>
      </c>
      <c r="CG252">
        <f>IF(AX252="",0,_xlfn.LET(_xlpm.v,IFERROR(VLOOKUP(B252,УГО_спр,3,FALSE),IFERROR(VLOOKUP(AX252,УГО_спр,3,FALSE),IFERROR(VLOOKUP(LEFT(AX252,2),УГО_спр,3,FALSE),""))),IF(_xlpm.v="да",30,IF(ISNUMBER(_xlpm.v),_xlpm.v,0))))</f>
        <v>30</v>
      </c>
      <c r="CH252">
        <f t="shared" si="393"/>
        <v>30</v>
      </c>
      <c r="CI252" t="str">
        <f>_xlfn.LET(_xlpm.k,IFERROR(_xlfn.XLOOKUP(AX252,Коды_код,Коды_утечка)&amp;"",""),IF(_xlpm.k="","дифавтомат",_xlpm.k))</f>
        <v>дифавтомат</v>
      </c>
      <c r="CJ252">
        <f t="shared" si="394"/>
        <v>30</v>
      </c>
      <c r="CK252">
        <f t="shared" si="395"/>
        <v>30</v>
      </c>
      <c r="CL252">
        <f>IF(B252="",0,IFERROR(--VLOOKUP(B252,УГО_спр,4,FALSE),IFERROR(--VLOOKUP(AX252,УГО_спр,4,FALSE),IFERROR(--VLOOKUP(LEFT(AX252,2),УГО_спр,4,FALSE),0))))</f>
        <v>16</v>
      </c>
      <c r="CM252" t="str">
        <f>IF(B252="","",IFERROR(_xlfn.XLOOKUP(AX252,Коды_код,Коды_апп)&amp;"",""))</f>
        <v/>
      </c>
      <c r="CN252" t="str">
        <f t="shared" si="396"/>
        <v/>
      </c>
      <c r="CO252" t="str" cm="1">
        <f t="array" ref="CO252">IF(TRIM(CN252&amp;"")="","",IFERROR(TRIM(INDEX(_xlfn.TEXTSPLIT(CN252&amp;";;;",";"),1)),""))</f>
        <v/>
      </c>
      <c r="CP252" t="str" cm="1">
        <f t="array" ref="CP252">IF(TRIM(CN252&amp;"")="","",IFERROR(TRIM(INDEX(_xlfn.TEXTSPLIT(CN252&amp;";;;",";"),2)),""))</f>
        <v/>
      </c>
      <c r="CQ252" t="str" cm="1">
        <f t="array" ref="CQ252">IF(TRIM(CN252&amp;"")="","",IFERROR(TRIM(INDEX(_xlfn.TEXTSPLIT(CN252&amp;";;;",";"),3)),""))</f>
        <v/>
      </c>
      <c r="CR252">
        <f t="shared" si="397"/>
        <v>0</v>
      </c>
      <c r="CS252" t="str">
        <f>IF(B252="","",_xlfn.LET(_xlpm.t,LOWER(AV252&amp;""),IF(ISNUMBER(SEARCH("dim",_xlpm.t)),"DIM",IF(ISNUMBER(SEARCH("dali",_xlpm.t)),"DALI",IF(OR(ISNUMBER(SEARCH("relay",_xlpm.t)),ISNUMBER(SEARCH("реле",_xlpm.t))),"Relay",IF(ISNUMBER(SEARCH("кнопк",_xlpm.t)),"",IFERROR(_xlfn.XLOOKUP(AX252,Коды_код,Коды_упр)&amp;"","")))))))</f>
        <v/>
      </c>
      <c r="CT252" t="str">
        <f t="shared" si="398"/>
        <v/>
      </c>
      <c r="CU252">
        <f>IF(B252="","",_xlfn.LET(_xlpm.ig,N(P252)+IF(AF252="вручную",0,N(CB252)),_xlpm.n0,IFERROR(VLOOKUP(_xlpm.ig,Автомат_номиналы,2,TRUE),0),_xlpm.mn,MAX(CL252,IF(AF252="вручную",0,N(CE252))),MAX(_xlpm.n0,_xlpm.mn,IF(CR252=1,Мин_автомат_БП,0))))</f>
        <v>16</v>
      </c>
      <c r="CV252">
        <f t="shared" si="399"/>
        <v>1</v>
      </c>
      <c r="CW252" t="str">
        <f t="shared" si="400"/>
        <v>2P</v>
      </c>
      <c r="CX252" t="str">
        <f>_xlfn.LET(_xlpm.cc,UPPER(TRIM(IFERROR(_xlfn.XLOOKUP(AX252,Коды_код,Коды_хар)&amp;"",""))),IF(OR(_xlpm.cc="B",_xlpm.cc="В"),"B",IF(_xlpm.cc="D","D","С")))</f>
        <v>С</v>
      </c>
      <c r="CY252" t="str">
        <f t="shared" si="401"/>
        <v>2P С16А 30мА</v>
      </c>
      <c r="CZ252" t="str">
        <f t="shared" si="402"/>
        <v>2P С16А 30мА</v>
      </c>
      <c r="DA252" t="str">
        <f t="shared" si="403"/>
        <v>2P С16А 30мА</v>
      </c>
      <c r="DB252" cm="1">
        <f t="array" ref="DB252">IF(DA252="","",_xlfn.LET(_xlpm.t,SUBSTITUTE(SUBSTITUTE(SUBSTITUTE(UPPER(DA252),"С","C"),"А","A"),"В","B"),_xlpm.tk,_xlfn.TEXTSPLIT(_xlpm.t,"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2" t="str">
        <f t="shared" si="404"/>
        <v>ok</v>
      </c>
      <c r="DD252">
        <f t="shared" si="405"/>
        <v>16</v>
      </c>
      <c r="DE252" t="str">
        <f t="shared" si="406"/>
        <v>2P С16А 30мА</v>
      </c>
      <c r="DF252">
        <f t="shared" si="407"/>
        <v>30</v>
      </c>
      <c r="DG252">
        <f t="shared" si="408"/>
        <v>1</v>
      </c>
      <c r="DH252">
        <f t="shared" si="409"/>
        <v>0</v>
      </c>
      <c r="DI252">
        <f t="shared" si="410"/>
        <v>1.0939268258329751</v>
      </c>
      <c r="DJ252">
        <f t="shared" si="411"/>
        <v>1</v>
      </c>
      <c r="DK252">
        <f>IF(ISNUMBER(AL252),AL252,К_прокл)</f>
        <v>1</v>
      </c>
      <c r="DL252">
        <f t="shared" si="412"/>
        <v>2</v>
      </c>
      <c r="DM252">
        <f>IFERROR(N(VLOOKUP(BT252,Кабель_обозначение,3,FALSE)),1)</f>
        <v>1</v>
      </c>
      <c r="DN252">
        <f>IFERROR(N(_xlfn.XLOOKUP(A252,Щиты[Щит],Щиты[ΔU до шин, %])),0)</f>
        <v>1.19</v>
      </c>
      <c r="DO252" t="str">
        <f>IFERROR(_xlfn.XLOOKUP(A252,Щиты[Щит],Щиты[Zпетли на шинах, Ом]),"")</f>
        <v/>
      </c>
      <c r="DP252">
        <f>IFERROR(N(_xlfn.XLOOKUP(A252,Щиты[Щит],Щиты[ΔU до шин (подбор), %])),0)</f>
        <v>1.19</v>
      </c>
      <c r="DQ252" t="str">
        <f>IFERROR(_xlfn.XLOOKUP(A252,Щиты[Щит],Щиты[Zпетли на шинах (подбор), Ом]),"")</f>
        <v/>
      </c>
      <c r="DR252" t="str">
        <f t="shared" si="413"/>
        <v/>
      </c>
      <c r="DS252">
        <f t="shared" si="414"/>
        <v>30</v>
      </c>
      <c r="DT252">
        <f t="shared" si="415"/>
        <v>2</v>
      </c>
      <c r="DU252">
        <f t="shared" si="416"/>
        <v>0.31</v>
      </c>
      <c r="DV252" s="6">
        <f>IF(B252="","",IF(IFERROR(VLOOKUP(AX252,УГО_спр,2,FALSE),"")="Светильник",3,4)+IF(Методика="нормы 2026",MIN(0.5,MAX(0,N(Q252)-100)*0.005),0))</f>
        <v>4</v>
      </c>
      <c r="DW252" cm="1">
        <f t="array" ref="DW252">IF(OR(B252="",BT252="",DM252&lt;&gt;1),"",_xlfn.LET(_xlpm.sz,Iдоп_S,_xlpm.t_,CHOOSE(DL252,Iдоп_1ж,Iдоп_2ж,Iдоп_3ж)*DJ252*DK252,_xlpm.inn,N(DD252),_xlpm.smin,MAX(1.5,BW252),_xlpm.L_,N(Q252)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252)*(_xlpm.rho*_xlpm.L_/_xlpm.sz*N(BY252)+_xlpm.xx*_xlpm.L_*N(DU252)/1000)*N(P252)/((Uн_лин/SQRT(3))*1000)*100,999),_xlpm.kz,IF(OR(DG252=1,NOT(ISNUMBER(DQ252)),_xlpm.L_=0,_xlpm.inn=0),1,IFERROR(--(c_min*(Uн_лин*1000/SQRT(3))/(DQ252+2*ρкз_Cu*_xlpm.L_/_xlpm.sz)&gt;=GY252*_xlpm.inn),0)),_xlpm.ok,IFERROR((_xlpm.sz&gt;=_xlpm.smin)*(_xlpm.t_&gt;=_xlpm.inn)*IF(_xlpm.L_&gt;0,(_xlpm.du_+DP252&lt;=DV252+0.00001),1)*_xlpm.kz,0),_xlpm.r_,_xlfn._xlws.FILTER(_xlpm.sz,_xlpm.ok,"не подобрано"),INDEX(_xlpm.r_,1)))</f>
        <v>1.5</v>
      </c>
      <c r="DX252">
        <f t="shared" si="417"/>
        <v>2.5</v>
      </c>
      <c r="DY252" cm="1">
        <f t="array" ref="DY252">IF(OR(B252="",BT252="",DM252&lt;&gt;1),"",_xlfn.LET(_xlpm.sz,Iдоп_S,_xlpm.t_,CHOOSE(DL252,Iдоп_1ж,Iдоп_2ж,Iдоп_3ж)*DJ252*DK252,_xlpm.ok,IFERROR((_xlpm.sz&gt;=MAX(1.5,BW252))*(_xlpm.t_&gt;=N(DD252)),0),_xlpm.r_,_xlfn._xlws.FILTER(_xlpm.sz,_xlpm.ok,""),INDEX(_xlpm.r_,1)))</f>
        <v>1.5</v>
      </c>
      <c r="DZ252" s="6" cm="1">
        <f t="array" ref="DZ252">IFERROR(ROUNDUP(N(DT252)*(_xlfn.XLOOKUP(DY252,INDEX(Кабель_сопротивление,0,1),INDEX(Кабель_сопротивление,0,3))*N(Q252)/DY252*N(BY252)+_xlfn.XLOOKUP(DY252,INDEX(Кабель_сопротивление,0,1),INDEX(Кабель_сопротивление,0,2))*N(Q252)*N(DU252)/1000)*N(P252)/((Uн_лин/SQRT(3))*1000)*100,2),"")</f>
        <v>0.61</v>
      </c>
      <c r="EA252">
        <f>IFERROR(2*ρкз_Cu*N(Q252)/DY252,"")</f>
        <v>1.5780000000000001</v>
      </c>
      <c r="EB252">
        <f>IFERROR(VLOOKUP(DX252,Кабель_сопротивление,3,FALSE),"")</f>
        <v>2.2499999999999999E-2</v>
      </c>
      <c r="EC252">
        <f>IFERROR(VLOOKUP(DX252,Кабель_сопротивление,2,FALSE),"")</f>
        <v>0.1</v>
      </c>
      <c r="ED252">
        <f t="shared" si="418"/>
        <v>38</v>
      </c>
      <c r="EE252">
        <f t="shared" si="419"/>
        <v>0</v>
      </c>
      <c r="EF252">
        <f t="shared" si="420"/>
        <v>0.84482874832254828</v>
      </c>
      <c r="EG252" s="6">
        <f>IFERROR(ROUNDUP(EF252/((Uн_лин/SQRT(3))*1000)*100,2),"")</f>
        <v>0.37</v>
      </c>
      <c r="EH252" t="str">
        <f>IFERROR(VLOOKUP(BT252,Кабель_обозначение,2,FALSE),"")</f>
        <v>ВВГнг(А)-LS</v>
      </c>
      <c r="EI252" t="str">
        <f t="shared" si="421"/>
        <v>ВВГнг(А)-LS (3х2,5)</v>
      </c>
      <c r="EJ252" t="str">
        <f t="shared" si="422"/>
        <v>ВВГнг(А)-LS (3х2,5)
L=45-0,37%</v>
      </c>
      <c r="EK252">
        <f>IFERROR(2*ρкз_Cu*Q252/DX252,"")</f>
        <v>0.94679999999999997</v>
      </c>
      <c r="EL252">
        <f t="shared" si="423"/>
        <v>0.31500000000000006</v>
      </c>
      <c r="EM252" s="6" t="str">
        <f>IFERROR(IF(OR(B252="",NOT(ISNUMBER(DX252)),N(Q252)=0),"",_xlfn.XLOOKUP(A252,Щиты[Щит],Щиты[Zпетли на шинах, Ом])+EK252),"")</f>
        <v/>
      </c>
      <c r="EN252" s="6" t="str">
        <f>IF(ISNUMBER(EM252),c_min*(Uн_лин*1000/SQRT(3))/EM252,"")</f>
        <v/>
      </c>
      <c r="EO252" s="6" t="str">
        <f>IFERROR(IF(OR(B252="",NOT(ISNUMBER(DX252))),"",1.05*(Uн_лин*1000/SQRT(3))/(_xlfn.XLOOKUP(A252,Щиты[Щит],Щиты[Zmax на шинах, Ом])+EL252)/1000),"")</f>
        <v/>
      </c>
      <c r="EP252" s="6" t="str">
        <f>IF(B252="","",IF(ISNUMBER(Y252),"Сил",IF(IFERROR(_xlfn.XLOOKUP(AX252,Коды_код,Коды_группа)&amp;"","")="","Быт",_xlfn.XLOOKUP(AX252,Коды_код,Коды_группа)&amp;"")))</f>
        <v>Быт</v>
      </c>
      <c r="EQ252" s="6" t="str">
        <f t="shared" si="424"/>
        <v>Быт</v>
      </c>
      <c r="ER252" s="6">
        <f>IF(EQ252="Щит","щит",IF(EQ252="","",IF(EQ252="Быт",IFERROR(_xlfn.XLOOKUP(A252,Щиты[Щит],Щиты[Кс быт]),1),IF(EQ252="Сил",IF(ISNUMBER(Y252),Y252,IF(Методика="нормы 2026",IFERROR(_xlfn.XLOOKUP(A252,Щиты[Щит],Щиты[Кс силовых (табл. 7.5)]),1),1)),IF(OR(EQ252="Пост",EQ252="Отоп"),1,IF(EQ252="ВНГ",0.7,0))))))</f>
        <v>0.57830000000000004</v>
      </c>
      <c r="ES252">
        <f t="shared" si="425"/>
        <v>1</v>
      </c>
      <c r="ET252">
        <f t="shared" si="426"/>
        <v>0.24</v>
      </c>
      <c r="EU252">
        <f t="shared" si="427"/>
        <v>0.24</v>
      </c>
      <c r="EV252">
        <f t="shared" si="428"/>
        <v>0</v>
      </c>
      <c r="EW252">
        <f t="shared" si="429"/>
        <v>0</v>
      </c>
      <c r="EX252">
        <f t="shared" si="430"/>
        <v>0</v>
      </c>
      <c r="EY252">
        <f t="shared" si="431"/>
        <v>0</v>
      </c>
      <c r="EZ252">
        <f t="shared" si="432"/>
        <v>0.24</v>
      </c>
      <c r="FA252">
        <f t="shared" si="433"/>
        <v>0.22799999999999998</v>
      </c>
      <c r="FB252">
        <f t="shared" si="434"/>
        <v>0.24</v>
      </c>
      <c r="FC252" t="str">
        <f t="shared" si="435"/>
        <v>L2</v>
      </c>
      <c r="FD252" t="str">
        <f>IF(B252="","",IF(CA252=0,IF(AW252=1,"",FF251),IF(OR(N(CV252)&gt;=3,N(BR252)&gt;=3),"L1,L2,L3",IFERROR(_xlfn.TEXTBEFORE(_xlfn.TEXTAFTER(_xlfn.XLOOKUP(A252,Щиты[Щит],Щиты[_фазы авто]),";"&amp;AW252&amp;":"),";"),"L1"))))</f>
        <v>L1</v>
      </c>
      <c r="FE252" t="str">
        <f t="shared" si="436"/>
        <v>L2</v>
      </c>
      <c r="FF252" t="str">
        <f t="shared" si="437"/>
        <v>L2</v>
      </c>
      <c r="FG252" cm="1">
        <f t="array" ref="FG252">IFERROR(IF(BX252=2,_xlfn.IFS(BR252=3,VLOOKUP(BN252,Справочная_двигатели,3,FALSE),BR252=1,VLOOKUP(BN252,Справочная_двигатели,5,TRUE)),0),0)</f>
        <v>0</v>
      </c>
      <c r="FH252">
        <f>IFERROR(IF(BX252=3,VLOOKUP(BN252,Справочная_ЛЭД,2,TRUE),0),0)</f>
        <v>0</v>
      </c>
      <c r="FI252" s="6">
        <f t="shared" si="438"/>
        <v>0</v>
      </c>
      <c r="FJ252" t="str" cm="1">
        <f t="array" ref="FJ252">IF(B252="","",IFERROR(INDEX({"I особая","I","II","III"},MATCH(TRIM(AC252&amp;""),{"I особая","I","II","III"},0)),"III"))</f>
        <v>II</v>
      </c>
      <c r="FK252" t="str">
        <f>IF(B252="","",IF(TRIM(AD252&amp;"")&lt;&gt;"",IF(LOWER(TRIM(AD252&amp;""))="да","да","нет"),IF(IFERROR(_xlfn.XLOOKUP(AX252,Коды_код,Коды_пожарная),"")="да","да","нет")))</f>
        <v>нет</v>
      </c>
      <c r="FL252" t="str">
        <f t="shared" si="439"/>
        <v/>
      </c>
      <c r="FM252" t="str">
        <f t="shared" si="440"/>
        <v>основная</v>
      </c>
      <c r="FN252">
        <f t="shared" si="441"/>
        <v>1</v>
      </c>
      <c r="FO252" t="str" cm="1">
        <f t="array" ref="FO252">IF(B252="","",_xlfn.LET(_xlpm.t,IFERROR(_xlfn.XLOOKUP(1,(Шины[Шина]=FM252)*(((Шины[Щит]=A252)+(Шины[Щит]=""))&gt;0),Шины[Тип]),"")&amp;"",IF(_xlpm.t&lt;&gt;"",_xlpm.t,IF(ISNUMBER(SEARCH("ИБП",FM252)),"ИБП",IF(ISNUMBER(SEARCH("ДГУ",FM252)),"ДГУ","Ввод "&amp;FN252)))))</f>
        <v>Ввод 1</v>
      </c>
      <c r="FP252" t="str">
        <f t="shared" si="442"/>
        <v>Ввод 1</v>
      </c>
      <c r="FQ252" t="str">
        <f>IF(B252="","",IF(OR(FO252="ИБП",FO252="ДГУ"),"I особая",IF(FO252="Одиночная","III",_xlfn.XLOOKUP(A252,Щиты[Щит],Щиты[Категория шины «Ввод»],"III"))))</f>
        <v>II</v>
      </c>
      <c r="FR252">
        <f>IF(B252="",0,IFERROR(MATCH(FJ252,{"III","II","I","I особая"},0),1))</f>
        <v>2</v>
      </c>
      <c r="FS252">
        <f t="shared" si="443"/>
        <v>2</v>
      </c>
      <c r="FT252" t="str">
        <f>IF(B252="","",IF(FR252&gt;IFERROR(MATCH(FQ252,{"III","II","I","I особая"},0),1),"НЕ ОБЕСПЕЧЕНА","ОК"))</f>
        <v>ОК</v>
      </c>
      <c r="FU252" t="str">
        <f>IF(A252="","",_xlfn.XLOOKUP(A252,Щиты[Щит],Щиты[Путь],""))</f>
        <v>|ГРЩ-ЖД|ЩР-1|</v>
      </c>
      <c r="FV252" t="str">
        <f>IF(B252="","",IF(AE252&lt;&gt;"",AE252,IF(IFERROR(_xlfn.XLOOKUP(AX252,Коды_код,Коды_вид)&amp;"","")="","Прочее",_xlfn.XLOOKUP(AX252,Коды_код,Коды_вид)&amp;"")))</f>
        <v>Розеточная сеть и бытовые приборы</v>
      </c>
      <c r="FW252">
        <f>IF(BH252="","",INT((BH252-1)/Столбцов_на_лист)+1)</f>
        <v>3</v>
      </c>
      <c r="FX252" t="str">
        <f t="shared" si="444"/>
        <v>ВВГнг(А)-LS (3х2,5) L=45-0,37%</v>
      </c>
      <c r="FY252">
        <f t="shared" si="445"/>
        <v>0.24</v>
      </c>
      <c r="FZ252">
        <f t="shared" si="446"/>
        <v>1.1000000000000001</v>
      </c>
      <c r="GA252">
        <f t="shared" si="447"/>
        <v>1</v>
      </c>
      <c r="GB252">
        <f t="shared" si="448"/>
        <v>0</v>
      </c>
      <c r="GC252">
        <f t="shared" si="449"/>
        <v>1</v>
      </c>
      <c r="GD252">
        <f>IF(BH252="","",IF(AND(CA252=1,GC252=1),COUNTIFS(A$3:A252,A252,CA$3:CA252,1,GC$3:GC252,1),IF(OR(OR(AW252=1,A252&lt;&gt;A251),AF252="вручную",GC252=0),"",IF(AW252=1,"",GE251))))</f>
        <v>28</v>
      </c>
      <c r="GE252">
        <f t="shared" si="450"/>
        <v>28</v>
      </c>
      <c r="GF252">
        <f>IF(B252="","",IFERROR(LOOKUP(INDEX(CHOOSE(DL252,Iдоп_1ж,Iдоп_2ж,Iдоп_3ж),MATCH(DX252,Iдоп_S,0))*DJ252*DK252,{6,10,16,20,25,32,40,50,63,80,100,125,160,200,250,315,400,500,630}),""))</f>
        <v>25</v>
      </c>
      <c r="GG252" t="str">
        <f t="shared" si="451"/>
        <v>QFD28</v>
      </c>
      <c r="GH252" t="str">
        <f t="shared" si="452"/>
        <v>QFD28</v>
      </c>
      <c r="GI252" t="str">
        <f t="shared" si="453"/>
        <v/>
      </c>
      <c r="GJ252">
        <f t="shared" si="454"/>
        <v>0</v>
      </c>
      <c r="GK252" t="str">
        <f>IF(OR(AG252="",AG252="-"),"",IFERROR(VLOOKUP(AG252,Модули_спр,2,FALSE),"R"))</f>
        <v/>
      </c>
      <c r="GL252" t="str">
        <f>IF(GK252="","",GK252&amp;"."&amp;COUNTIFS(A$3:A252,A252,GK$3:GK252,GK252))</f>
        <v/>
      </c>
      <c r="GM252" t="str">
        <f t="shared" si="455"/>
        <v/>
      </c>
      <c r="GN252" t="str">
        <f t="shared" si="456"/>
        <v/>
      </c>
      <c r="GO252" t="str">
        <f t="shared" si="457"/>
        <v/>
      </c>
      <c r="GP252" t="str">
        <f t="shared" si="458"/>
        <v/>
      </c>
      <c r="GQ252">
        <f t="shared" si="459"/>
        <v>1</v>
      </c>
      <c r="GR252" t="str">
        <f>IF(GQ252=1,"XT"&amp;COUNTIFS(A$3:A252,A252,GQ$3:GQ252,1),"")</f>
        <v>XT28</v>
      </c>
      <c r="GS252" t="str">
        <f t="shared" si="460"/>
        <v/>
      </c>
      <c r="GT252" t="str">
        <f t="shared" si="461"/>
        <v>QFD28</v>
      </c>
      <c r="GU252" t="str">
        <f t="shared" si="462"/>
        <v/>
      </c>
      <c r="GV252" t="str">
        <f t="shared" si="463"/>
        <v>ok</v>
      </c>
      <c r="GW252" t="str">
        <f>IF(OR(GO252="",GM252=""),"",IF(GO252&gt;IFERROR(VLOOKUP(GN252,Модули_спр,3,FALSE),99),"ЛИШНИЙ КАНАЛ",IF(AND(AH252&lt;&gt;"=",COUNTIFS(Линии[_модуль гр.],GM252,Линии[Канал (итог)],GO252,Линии[Канал],"&lt;&gt;=",Линии[Щит],A252)&gt;1),"ДУБЛЬ КАНАЛА","")))</f>
        <v/>
      </c>
      <c r="GX252" s="6" t="str">
        <f t="shared" si="464"/>
        <v/>
      </c>
      <c r="GY252">
        <f t="shared" si="465"/>
        <v>10</v>
      </c>
      <c r="GZ252" t="str">
        <f t="shared" si="466"/>
        <v/>
      </c>
      <c r="HA252" t="str">
        <f>IF(AND(B252="",GT252=""),"",_xlfn.TEXTJOIN("; ",TRUE,IF(AND(B252&lt;&gt;"",FE252=""),"нет фазы",""),IF(AND(B252&lt;&gt;"",N(FY252)=0,EQ252&lt;&gt;"Нет"),"нет мощности",""),IF(AND(GS252&lt;&gt;"",COUNTIFS(Линии[Щит],A252,Линии[Клемма (итог)],GS252)&gt;1),"дубль клеммы "&amp;GS252,""),IF(AND(GV252&lt;&gt;"",GV252&lt;&gt;"ok"),GV252,""),IF(GW252&lt;&gt;"",GW252,""),IF(AND(N(BV252)&gt;=4,N(BR252)=1),BV252&amp;" жил на 1 фазе",""),IF(AND(AX252="R",CA252=1,OR(N(CK252)=0,N(CK252)&gt;30)),"розетка без дифзащиты до 30 мА",""),IFERROR(IF(AND(ISNUMBER(R252),R252&gt;DV252),"потери "&amp;FIXED(R252,1)&amp;" % &gt; "&amp;DV252&amp;" %",""),""),IFERROR(IF(LEFT(GZ252,4)="мало","Iкз мало — отключение &gt; 0,4 с",""),""),IF(AND(B252&lt;&gt;"",BH252=""),"не на схеме",""),IF(AND(CA252=0,B252&lt;&gt;"",FE252&lt;&gt;"",IF(AW252=1,"",FF251)&lt;&gt;"",FE252&lt;&gt;IF(AW252=1,"",FF251)),"фаза не как у автомата группы ("&amp;IF(AW252=1,"",FF251)&amp;")","")))</f>
        <v/>
      </c>
      <c r="HB252" s="6">
        <f>IF(OR(CA252=0,DA252=""),"",_xlfn.LET(_xlpm.t,IFERROR(_xlfn.XLOOKUP(DA252,Каталог!$U$4:$U$500,Каталог!$G$4:$G$500),""),_xlpm.k,SEARCH("кА",_xlpm.t),IFERROR(--TRIM(RIGHT(SUBSTITUTE(MID(_xlpm.t,MAX(1,_xlpm.k-4),_xlpm.k-MAX(1,_xlpm.k-4))," ",REPT(" ",9)),5)),"")))</f>
        <v>6</v>
      </c>
      <c r="HC252" t="str">
        <f>IF(OR(HB252="",CA252=0),"",IF(_xlfn.XLOOKUP(A252,Щиты[Щит],Щиты[Iкз max на шинах, кА],"")="","",IF(HB252&lt;_xlfn.XLOOKUP(A252,Щиты[Щит],Щиты[Iкз max на шинах, кА]),"Icu "&amp;HB252&amp;" кА &lt; Iкз max","ok")))</f>
        <v/>
      </c>
      <c r="HD252" t="str">
        <f t="shared" si="467"/>
        <v/>
      </c>
      <c r="HE252" t="str">
        <f t="shared" si="468"/>
        <v>QFD28</v>
      </c>
      <c r="HF252" t="str">
        <f t="shared" si="469"/>
        <v>QFD28|кабель ВВГнг(А)-LS (3х2,5) → Розеточная группа, пом. 007A</v>
      </c>
      <c r="HG252" t="str" cm="1">
        <f t="array" ref="HG252">IF(HF252="","",_xlfn.LET(_xlpm.nd,_xlfn.TEXTSPLIT(HF252,"|"),IF(COLUMNS(_xlpm.nd)&gt;1,A252&amp;"¦"&amp;INDEX(_xlpm.nd,1)&amp;"¦"&amp;INDEX(_xlpm.nd,2),"")))</f>
        <v>ЩР-1¦QFD28¦кабель ВВГнг(А)-LS (3х2,5) → Розеточная группа, пом. 007A</v>
      </c>
      <c r="HH252" t="str">
        <f t="shared" si="470"/>
        <v>R.1.007A.1¦Розеточная группа, пом. 007A</v>
      </c>
      <c r="HI252" t="str" cm="1">
        <f t="array" ref="HI252">IF(HF252="","",_xlfn.LET(_xlpm.nd,_xlfn.TEXTSPLIT(HF252,"|"),IF(COLUMNS(_xlpm.nd)&gt;2,A252&amp;"¦"&amp;INDEX(_xlpm.nd,2)&amp;"¦"&amp;INDEX(_xlpm.nd,3),"")))</f>
        <v/>
      </c>
      <c r="HJ252" t="str">
        <f t="shared" si="471"/>
        <v/>
      </c>
      <c r="HK252" t="str" cm="1">
        <f t="array" ref="HK252">IF(HF252="","",_xlfn.LET(_xlpm.nd,_xlfn.TEXTSPLIT(HF252,"|"),IF(COLUMNS(_xlpm.nd)&gt;3,A252&amp;"¦"&amp;INDEX(_xlpm.nd,3)&amp;"¦"&amp;INDEX(_xlpm.nd,4),"")))</f>
        <v/>
      </c>
      <c r="HL252" t="str">
        <f t="shared" si="472"/>
        <v/>
      </c>
      <c r="HM252" t="str" cm="1">
        <f t="array" ref="HM252">IF(HF252="","",_xlfn.LET(_xlpm.nd,_xlfn.TEXTSPLIT(HF252,"|"),IF(COLUMNS(_xlpm.nd)&gt;4,A252&amp;"¦"&amp;INDEX(_xlpm.nd,4)&amp;"¦"&amp;INDEX(_xlpm.nd,5),"")))</f>
        <v/>
      </c>
      <c r="HN252" t="str">
        <f t="shared" si="473"/>
        <v/>
      </c>
      <c r="HO252" t="str" cm="1">
        <f t="array" ref="HO252">IF(HF252="","",_xlfn.LET(_xlpm.nd,_xlfn.TEXTSPLIT(HF252,"|"),IF(COLUMNS(_xlpm.nd)&gt;5,A252&amp;"¦"&amp;INDEX(_xlpm.nd,5)&amp;"¦"&amp;INDEX(_xlpm.nd,6),"")))</f>
        <v/>
      </c>
      <c r="HP252" t="str">
        <f t="shared" si="474"/>
        <v/>
      </c>
      <c r="HQ252" t="str" cm="1">
        <f t="array" ref="HQ252">IF(HF252="","",_xlfn.LET(_xlpm.nd,_xlfn.TEXTSPLIT(HF252,"|"),IF(COLUMNS(_xlpm.nd)&gt;6,A252&amp;"¦"&amp;INDEX(_xlpm.nd,6)&amp;"¦"&amp;INDEX(_xlpm.nd,7),"")))</f>
        <v/>
      </c>
      <c r="HR252" t="str">
        <f t="shared" si="475"/>
        <v/>
      </c>
      <c r="HS252" t="str">
        <f t="shared" si="476"/>
        <v/>
      </c>
      <c r="HT252" t="str">
        <f t="shared" si="477"/>
        <v>QFD28</v>
      </c>
      <c r="HU252">
        <f t="shared" si="478"/>
        <v>0</v>
      </c>
      <c r="HV252">
        <f t="shared" si="479"/>
        <v>1</v>
      </c>
      <c r="HW252" t="str">
        <f t="shared" si="480"/>
        <v/>
      </c>
      <c r="HX252" t="str">
        <f t="shared" si="481"/>
        <v/>
      </c>
      <c r="HY252" t="str">
        <f t="shared" si="482"/>
        <v/>
      </c>
      <c r="HZ252" t="str">
        <f t="shared" si="483"/>
        <v/>
      </c>
      <c r="IA252" t="str">
        <f>IF(B252="","",IFERROR(VLOOKUP(B252,УГО_спр,2,FALSE),IFERROR(VLOOKUP(AX252,УГО_спр,2,FALSE),IFERROR(VLOOKUP(LEFT(AX252,2),УГО_спр,2,FALSE),""))))</f>
        <v>Розетка</v>
      </c>
      <c r="IB252" t="str">
        <f>IF(B252="","",IF(OR(IA252="",IA252=0),"BOX",IFERROR(IF(VLOOKUP(IA252,УГО_блоки,3,FALSE)&amp;""&lt;&gt;"",VLOOKUP(IA252,УГО_блоки,3,FALSE),VLOOKUP(IA252,УГО_блоки,2,FALSE)),IA252)))</f>
        <v>SOCKET</v>
      </c>
      <c r="IC252">
        <f t="shared" si="484"/>
        <v>1</v>
      </c>
      <c r="ID252" t="str">
        <f>IF(DA252="","",IF(COUNTIF(DA$3:DA252,DA252)=1,MAX(ID$2:ID251)+1,""))</f>
        <v/>
      </c>
      <c r="IE252" t="str">
        <f>IF(CO252="","",IF(COUNTIF(CO$3:CO252,CO252)+COUNTIF(CP$2:CP251,CO252)+COUNTIF(CQ$2:CQ251,CO252)=1,MAX(IE$2:IG251)+1,""))</f>
        <v/>
      </c>
      <c r="IF252" t="str">
        <f>IF(CP252="","",IF(COUNTIF(CO$3:CO252,CP252)+COUNTIF(CP$3:CP252,CP252)+COUNTIF(CQ$2:CQ251,CP252)=1,MAX(IE$2:IG251,IE252)+1,""))</f>
        <v/>
      </c>
      <c r="IG252" t="str">
        <f>IF(CQ252="","",IF(COUNTIF(CO$3:CO252,CQ252)+COUNTIF(CP$3:CP252,CQ252)+COUNTIF(CQ$3:CQ252,CQ252)=1,MAX(IE$2:IG251,IE252,IF252)+1,""))</f>
        <v/>
      </c>
      <c r="IH252" t="str">
        <f t="shared" si="485"/>
        <v>3х2,5</v>
      </c>
      <c r="II252" t="str">
        <f>IF(IH252="","",IF(COUNTIF(IH$3:IH252,IH252)=1,MAX(II$2:II251)+1,""))</f>
        <v/>
      </c>
      <c r="IJ252" t="str">
        <f>IF(GL252="","",COUNTIF(GL$3:GL252,"?*"))</f>
        <v/>
      </c>
      <c r="IK252" t="str">
        <f>IF(OR(GL252="",GN252=""),"",IF(COUNTIFS(GL$3:GL252,"?*",GN$3:GN252,GN252)=1,MAX(IK$2:IK251)+1,""))</f>
        <v/>
      </c>
      <c r="IL252">
        <f t="shared" si="486"/>
        <v>0</v>
      </c>
      <c r="IM252">
        <f>IF(B252="","",COUNTIF(B$3:B252,"?*"))</f>
        <v>250</v>
      </c>
      <c r="IN252">
        <f>IF(GQ252&lt;&gt;1,0,_xlfn.LET(_xlpm.k,MAX(IFERROR(--VLOOKUP(B252,УГО_спр,5,FALSE),0),IFERROR(--VLOOKUP(AX252,УГО_спр,5,FALSE),0),IFERROR(--VLOOKUP(LEFT(AX252,2),УГО_спр,5,FALSE),0)),IF(_xlpm.k&gt;0,_xlpm.k,IF(IFERROR(--LEFT(SUBSTITUTE(IH252,"x","х"),FIND("х",SUBSTITUTE(IH252,"x","х"))-1),3)&gt;3,Каталог!$S$9,1))))</f>
        <v>1</v>
      </c>
      <c r="IO252">
        <f t="shared" si="487"/>
        <v>0</v>
      </c>
      <c r="IP252" t="str">
        <f t="shared" si="488"/>
        <v>авто</v>
      </c>
      <c r="IQ252">
        <f t="shared" si="489"/>
        <v>30</v>
      </c>
      <c r="IR252">
        <f t="shared" si="490"/>
        <v>1</v>
      </c>
      <c r="IS252">
        <f t="shared" si="491"/>
        <v>1</v>
      </c>
    </row>
    <row r="253" spans="1:253" x14ac:dyDescent="0.3">
      <c r="A253" t="s">
        <v>759</v>
      </c>
      <c r="B253" t="s">
        <v>1518</v>
      </c>
      <c r="C253" t="str">
        <f>Линии[[#This Row],[_авто наименование]]</f>
        <v>Розеточная группа, пом. 008A</v>
      </c>
      <c r="D253">
        <v>2</v>
      </c>
      <c r="E253">
        <v>0.12</v>
      </c>
      <c r="G253" t="str">
        <f>Линии[[#This Row],[_авто автомат]]</f>
        <v>2P С16А 30мА</v>
      </c>
      <c r="H253">
        <f>Линии[[#This Row],[_авто утечка]]</f>
        <v>30</v>
      </c>
      <c r="I253" t="str">
        <f>Линии[[#This Row],[_авто управление]]</f>
        <v/>
      </c>
      <c r="J253" t="str">
        <f>Линии[[#This Row],[_авто аппараты]]</f>
        <v/>
      </c>
      <c r="K253">
        <v>2.5</v>
      </c>
      <c r="L253">
        <v>42</v>
      </c>
      <c r="M253" t="str">
        <f>Линии[[#This Row],[_авто фаза]]</f>
        <v>L3</v>
      </c>
      <c r="N253" t="s">
        <v>486</v>
      </c>
      <c r="O253" t="str">
        <f t="shared" si="369"/>
        <v/>
      </c>
      <c r="P253" s="6" cm="1">
        <f t="array" ref="P253">IF(B253="","",IF(BC253&lt;&gt;"",IFERROR(_xlfn.XLOOKUP(BC253,Щиты[Щит],Щиты[Iр, А]),""),IF(BK253=1,IFERROR(_xlfn.XLOOKUP(A253,Щиты[Щит],Щиты[Iр, А]),""),IFERROR(_xlfn.IFS(BR253=1,BN253/((Uн_лин/SQRT(3))*BY253),BR253=3,BN253/(SQRT(3)*Uн_лин*BY253)),""))))</f>
        <v>0.54696341291648753</v>
      </c>
      <c r="Q253" s="7">
        <f>IF(B253="","",IFERROR(IF(VLOOKUP(AX253,Потребители_обозначение,4,FALSE)=1,VLOOKUP(AX253,Потребители_обозначение,3,FALSE)*(D253*2-1)+DS253+VLOOKUP(AZ253,Этаж_обозначение,3,FALSE)+VLOOKUP(AZ253,Этаж_обозначение,4,FALSE),VLOOKUP(AX253,Потребители_обозначение,3,FALSE)*(D253*2-1)+DS253),DS253))</f>
        <v>51</v>
      </c>
      <c r="R253" s="6">
        <f t="shared" si="370"/>
        <v>1.4</v>
      </c>
      <c r="S253" t="str">
        <f t="shared" si="371"/>
        <v>ВВГнг(А)-LS (3х2,5)</v>
      </c>
      <c r="T253" t="str">
        <f>IF(BH253="","",IF(BI253="вводной узел","узел ","")&amp;"л."&amp;(INT((BH253-1)/Столбцов_на_лист)+1)&amp;" / "&amp;(MOD(BH253-1,Столбцов_на_лист)+1))</f>
        <v>л.3 / 16</v>
      </c>
      <c r="V253">
        <v>1</v>
      </c>
      <c r="W253">
        <v>230</v>
      </c>
      <c r="X253" t="s">
        <v>564</v>
      </c>
      <c r="AC253" t="s">
        <v>815</v>
      </c>
      <c r="AE253" t="s">
        <v>563</v>
      </c>
      <c r="AI253">
        <v>50</v>
      </c>
      <c r="AJ253" t="s">
        <v>11</v>
      </c>
      <c r="AK253">
        <v>3</v>
      </c>
      <c r="AM253">
        <v>20</v>
      </c>
      <c r="AN253">
        <v>26</v>
      </c>
      <c r="AO253">
        <v>5</v>
      </c>
      <c r="AW253" cm="1">
        <f t="array" ref="AW253">ROW()-ROW(Линии[#Headers])</f>
        <v>251</v>
      </c>
      <c r="AX253" s="6" t="str">
        <f t="shared" si="372"/>
        <v>R</v>
      </c>
      <c r="AY253" t="str">
        <f t="shared" si="373"/>
        <v>1.008A.1</v>
      </c>
      <c r="AZ253" t="str">
        <f t="shared" si="374"/>
        <v>1</v>
      </c>
      <c r="BA253" t="str">
        <f t="shared" si="375"/>
        <v>008A.1</v>
      </c>
      <c r="BB253" t="str">
        <f t="shared" si="376"/>
        <v>008A</v>
      </c>
      <c r="BC253" t="str">
        <f>IF(U253&lt;&gt;"",U253,IF(AND(B253&lt;&gt;"",B253&lt;&gt;A253,ISNUMBER(_xlfn.XMATCH(B253,Щиты[Щит]))),B253,""))</f>
        <v/>
      </c>
      <c r="BD253" t="str" cm="1">
        <f t="array" ref="BD253">IF(B253="","",IF(BC253&lt;&gt;"","Щит "&amp;BC253,_xlfn.LET(_xlpm.nm,IFERROR(_xlfn.XLOOKUP(AX253,Коды_код,Коды_имя)&amp;"",""),_xlpm.md,IFERROR(N(_xlfn.XLOOKUP(AX253,Коды_код,Коды_режим)),1),_xlpm.ex,IF(Имя_режим="по экспликации",IFERROR(_xlfn.XLOOKUP(AZ253&amp;"|"&amp;BB253,Экспликация[Этаж]&amp;"|"&amp;Экспликация[Помещение],Экспликация[Название])&amp;"",""),""),_xlpm.rm,IF(BB253="","",IF(_xlpm.ex&lt;&gt;"",". "&amp;_xlpm.ex&amp;IF(Имя_пом="нет"," ("&amp;BB253&amp;")"," (пом. "&amp;BB253&amp;")"),IF(Имя_пом="нет"," ",", пом. ")&amp;BB253)),IF(_xlpm.nm="","",IF(_xlpm.md=2,_xlpm.nm&amp;" шлейф "&amp;AZ253,_xlpm.nm&amp;_xlpm.rm)))))</f>
        <v>Розеточная группа, пом. 008A</v>
      </c>
      <c r="BE253" t="str">
        <f t="shared" si="377"/>
        <v>Розеточная группа, пом. 008A</v>
      </c>
      <c r="BF253">
        <f>IFERROR(_xlfn.XMATCH(A253,Щиты[Щит]),0)</f>
        <v>10</v>
      </c>
      <c r="BG253">
        <f>_xlfn.LET(_xlpm.k,IFERROR(_xlfn.XLOOKUP(A253,Щиты[Щит],Щиты[Листов под вводной узел]),""),IF(_xlpm.k="",1,N(_xlpm.k))*Столбцов_на_лист)</f>
        <v>17</v>
      </c>
      <c r="BH253">
        <f t="shared" si="378"/>
        <v>50</v>
      </c>
      <c r="BI253" t="str">
        <f t="shared" si="379"/>
        <v>линии</v>
      </c>
      <c r="BJ253" s="6">
        <f>IFERROR(N(_xlfn.XLOOKUP(AX253,Коды_код,Коды_квт)),0)</f>
        <v>0</v>
      </c>
      <c r="BK253">
        <f t="shared" si="380"/>
        <v>0</v>
      </c>
      <c r="BL253" t="str">
        <f>IF(B253="","",IF(BC253&lt;&gt;"",IFERROR(_xlfn.XLOOKUP(BC253,Щиты[Щит],Щиты[Руст, кВт]),0),IF(BK253=1,IFERROR(_xlfn.XLOOKUP(A253,Щиты[Щит],Щиты[Руст, кВт]),0),IF(BJ253&gt;0,ROUND(BJ253*MAX(1,N(D253)),3),""))))</f>
        <v/>
      </c>
      <c r="BM253">
        <f t="shared" si="381"/>
        <v>0.12</v>
      </c>
      <c r="BN253" s="6">
        <f>IF(B253="","",IF(BC253&lt;&gt;"",IFERROR(_xlfn.XLOOKUP(BC253,Щиты[Щит],Щиты[Руст, кВт]),0),N(BM253)))</f>
        <v>0.12</v>
      </c>
      <c r="BO253" t="str">
        <f>IF(B253="","",IFERROR(IF(VLOOKUP(AX253,Потребители_обозначение,8,FALSE)=0,"",VLOOKUP(AX253,Потребители_обозначение,8,FALSE)),""))</f>
        <v/>
      </c>
      <c r="BP253">
        <f t="shared" si="382"/>
        <v>230</v>
      </c>
      <c r="BQ253">
        <f>IF(B253="","",IF(BC253&lt;&gt;"",3,IFERROR(IF(N(VLOOKUP(AX253,Потребители_обозначение,9,FALSE))=0,1,VLOOKUP(AX253,Потребители_обозначение,9,FALSE)),1)))</f>
        <v>1</v>
      </c>
      <c r="BR253">
        <f t="shared" si="383"/>
        <v>1</v>
      </c>
      <c r="BS253" t="str">
        <f>IF(B253="","",_xlfn.LET(_xlpm.bc,IFERROR(IF(VLOOKUP(AX253,Потребители_обозначение,6,FALSE)=0,"",VLOOKUP(AX253,Потребители_обозначение,6,FALSE)&amp;""),""),IF(AND(FK253="да",OR(_xlpm.bc="",_xlpm.bc="мс")),Марка_пож,IF(AND(_xlpm.bc="",BC253&lt;&gt;""),"мс",_xlpm.bc))))</f>
        <v/>
      </c>
      <c r="BT253" t="str">
        <f t="shared" si="384"/>
        <v>мс</v>
      </c>
      <c r="BU253">
        <f>IF(B253="","",_xlfn.LET(_xlpm.cc,IFERROR(N(VLOOKUP(AX253,Потребители_обозначение,7,FALSE)),0),IF(_xlpm.cc&gt;0,_xlpm.cc,IF(BT253="","",IF(N(BR253)=3,5,3)))))</f>
        <v>3</v>
      </c>
      <c r="BV253">
        <f t="shared" si="385"/>
        <v>3</v>
      </c>
      <c r="BW253">
        <f>IFERROR(N(VLOOKUP(AX253,Потребители_обозначение,10,FALSE)),0)</f>
        <v>0</v>
      </c>
      <c r="BX253">
        <f>IFERROR(VLOOKUP(AX253,Потребители_обозначение,5,FALSE),0)</f>
        <v>1</v>
      </c>
      <c r="BY253" s="6" cm="1">
        <f t="array" ref="BY253">IF(B253="","",IF(BC253&lt;&gt;"",IFERROR(_xlfn.XLOOKUP(BC253,Щиты[Щит],Щиты[cos φ]),0.95),IF(BK253=1,IFERROR(_xlfn.XLOOKUP(A253,Щиты[Щит],Щиты[cos φ]),0.95),IF(ISNUMBER(Z253),Z253,IFERROR(IF(BX253=2,_xlfn.IFS(BR253=3,VLOOKUP(BN253,Справочная_двигатели,8,FALSE),BR253=1,VLOOKUP(BN253,Справочная_двигатели,10,TRUE)),IF(AND(Методика="нормы 2026",EQ253="Сил"),0.8,0.95)),0.95)))))</f>
        <v>0.95</v>
      </c>
      <c r="BZ253">
        <f t="shared" si="386"/>
        <v>0</v>
      </c>
      <c r="CA253">
        <f t="shared" si="387"/>
        <v>1</v>
      </c>
      <c r="CB253">
        <f t="shared" si="388"/>
        <v>0</v>
      </c>
      <c r="CC253">
        <f t="shared" si="389"/>
        <v>0</v>
      </c>
      <c r="CD253">
        <f t="shared" si="390"/>
        <v>0</v>
      </c>
      <c r="CE253">
        <f t="shared" si="391"/>
        <v>0</v>
      </c>
      <c r="CF253">
        <f t="shared" si="392"/>
        <v>0</v>
      </c>
      <c r="CG253">
        <f>IF(AX253="",0,_xlfn.LET(_xlpm.v,IFERROR(VLOOKUP(B253,УГО_спр,3,FALSE),IFERROR(VLOOKUP(AX253,УГО_спр,3,FALSE),IFERROR(VLOOKUP(LEFT(AX253,2),УГО_спр,3,FALSE),""))),IF(_xlpm.v="да",30,IF(ISNUMBER(_xlpm.v),_xlpm.v,0))))</f>
        <v>30</v>
      </c>
      <c r="CH253">
        <f t="shared" si="393"/>
        <v>30</v>
      </c>
      <c r="CI253" t="str">
        <f>_xlfn.LET(_xlpm.k,IFERROR(_xlfn.XLOOKUP(AX253,Коды_код,Коды_утечка)&amp;"",""),IF(_xlpm.k="","дифавтомат",_xlpm.k))</f>
        <v>дифавтомат</v>
      </c>
      <c r="CJ253">
        <f t="shared" si="394"/>
        <v>30</v>
      </c>
      <c r="CK253">
        <f t="shared" si="395"/>
        <v>30</v>
      </c>
      <c r="CL253">
        <f>IF(B253="",0,IFERROR(--VLOOKUP(B253,УГО_спр,4,FALSE),IFERROR(--VLOOKUP(AX253,УГО_спр,4,FALSE),IFERROR(--VLOOKUP(LEFT(AX253,2),УГО_спр,4,FALSE),0))))</f>
        <v>16</v>
      </c>
      <c r="CM253" t="str">
        <f>IF(B253="","",IFERROR(_xlfn.XLOOKUP(AX253,Коды_код,Коды_апп)&amp;"",""))</f>
        <v/>
      </c>
      <c r="CN253" t="str">
        <f t="shared" si="396"/>
        <v/>
      </c>
      <c r="CO253" t="str" cm="1">
        <f t="array" ref="CO253">IF(TRIM(CN253&amp;"")="","",IFERROR(TRIM(INDEX(_xlfn.TEXTSPLIT(CN253&amp;";;;",";"),1)),""))</f>
        <v/>
      </c>
      <c r="CP253" t="str" cm="1">
        <f t="array" ref="CP253">IF(TRIM(CN253&amp;"")="","",IFERROR(TRIM(INDEX(_xlfn.TEXTSPLIT(CN253&amp;";;;",";"),2)),""))</f>
        <v/>
      </c>
      <c r="CQ253" t="str" cm="1">
        <f t="array" ref="CQ253">IF(TRIM(CN253&amp;"")="","",IFERROR(TRIM(INDEX(_xlfn.TEXTSPLIT(CN253&amp;";;;",";"),3)),""))</f>
        <v/>
      </c>
      <c r="CR253">
        <f t="shared" si="397"/>
        <v>0</v>
      </c>
      <c r="CS253" t="str">
        <f>IF(B253="","",_xlfn.LET(_xlpm.t,LOWER(AV253&amp;""),IF(ISNUMBER(SEARCH("dim",_xlpm.t)),"DIM",IF(ISNUMBER(SEARCH("dali",_xlpm.t)),"DALI",IF(OR(ISNUMBER(SEARCH("relay",_xlpm.t)),ISNUMBER(SEARCH("реле",_xlpm.t))),"Relay",IF(ISNUMBER(SEARCH("кнопк",_xlpm.t)),"",IFERROR(_xlfn.XLOOKUP(AX253,Коды_код,Коды_упр)&amp;"","")))))))</f>
        <v/>
      </c>
      <c r="CT253" t="str">
        <f t="shared" si="398"/>
        <v/>
      </c>
      <c r="CU253">
        <f>IF(B253="","",_xlfn.LET(_xlpm.ig,N(P253)+IF(AF253="вручную",0,N(CB253)),_xlpm.n0,IFERROR(VLOOKUP(_xlpm.ig,Автомат_номиналы,2,TRUE),0),_xlpm.mn,MAX(CL253,IF(AF253="вручную",0,N(CE253))),MAX(_xlpm.n0,_xlpm.mn,IF(CR253=1,Мин_автомат_БП,0))))</f>
        <v>16</v>
      </c>
      <c r="CV253">
        <f t="shared" si="399"/>
        <v>1</v>
      </c>
      <c r="CW253" t="str">
        <f t="shared" si="400"/>
        <v>2P</v>
      </c>
      <c r="CX253" t="str">
        <f>_xlfn.LET(_xlpm.cc,UPPER(TRIM(IFERROR(_xlfn.XLOOKUP(AX253,Коды_код,Коды_хар)&amp;"",""))),IF(OR(_xlpm.cc="B",_xlpm.cc="В"),"B",IF(_xlpm.cc="D","D","С")))</f>
        <v>С</v>
      </c>
      <c r="CY253" t="str">
        <f t="shared" si="401"/>
        <v>2P С16А 30мА</v>
      </c>
      <c r="CZ253" t="str">
        <f t="shared" si="402"/>
        <v>2P С16А 30мА</v>
      </c>
      <c r="DA253" t="str">
        <f t="shared" si="403"/>
        <v>2P С16А 30мА</v>
      </c>
      <c r="DB253" cm="1">
        <f t="array" ref="DB253">IF(DA253="","",_xlfn.LET(_xlpm.t,SUBSTITUTE(SUBSTITUTE(SUBSTITUTE(UPPER(DA253),"С","C"),"А","A"),"В","B"),_xlpm.tk,_xlfn.TEXTSPLIT(_xlpm.t,"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3" t="str">
        <f t="shared" si="404"/>
        <v>ok</v>
      </c>
      <c r="DD253">
        <f t="shared" si="405"/>
        <v>16</v>
      </c>
      <c r="DE253" t="str">
        <f t="shared" si="406"/>
        <v>2P С16А 30мА</v>
      </c>
      <c r="DF253">
        <f t="shared" si="407"/>
        <v>30</v>
      </c>
      <c r="DG253">
        <f t="shared" si="408"/>
        <v>1</v>
      </c>
      <c r="DH253">
        <f t="shared" si="409"/>
        <v>0</v>
      </c>
      <c r="DI253">
        <f t="shared" si="410"/>
        <v>0.54696341291648753</v>
      </c>
      <c r="DJ253">
        <f t="shared" si="411"/>
        <v>1</v>
      </c>
      <c r="DK253">
        <f>IF(ISNUMBER(AL253),AL253,К_прокл)</f>
        <v>1</v>
      </c>
      <c r="DL253">
        <f t="shared" si="412"/>
        <v>2</v>
      </c>
      <c r="DM253">
        <f>IFERROR(N(VLOOKUP(BT253,Кабель_обозначение,3,FALSE)),1)</f>
        <v>1</v>
      </c>
      <c r="DN253">
        <f>IFERROR(N(_xlfn.XLOOKUP(A253,Щиты[Щит],Щиты[ΔU до шин, %])),0)</f>
        <v>1.19</v>
      </c>
      <c r="DO253" t="str">
        <f>IFERROR(_xlfn.XLOOKUP(A253,Щиты[Щит],Щиты[Zпетли на шинах, Ом]),"")</f>
        <v/>
      </c>
      <c r="DP253">
        <f>IFERROR(N(_xlfn.XLOOKUP(A253,Щиты[Щит],Щиты[ΔU до шин (подбор), %])),0)</f>
        <v>1.19</v>
      </c>
      <c r="DQ253" t="str">
        <f>IFERROR(_xlfn.XLOOKUP(A253,Щиты[Щит],Щиты[Zпетли на шинах (подбор), Ом]),"")</f>
        <v/>
      </c>
      <c r="DR253" t="str">
        <f t="shared" si="413"/>
        <v/>
      </c>
      <c r="DS253">
        <f t="shared" si="414"/>
        <v>42</v>
      </c>
      <c r="DT253">
        <f t="shared" si="415"/>
        <v>2</v>
      </c>
      <c r="DU253">
        <f t="shared" si="416"/>
        <v>0.31</v>
      </c>
      <c r="DV253" s="6">
        <f>IF(B253="","",IF(IFERROR(VLOOKUP(AX253,УГО_спр,2,FALSE),"")="Светильник",3,4)+IF(Методика="нормы 2026",MIN(0.5,MAX(0,N(Q253)-100)*0.005),0))</f>
        <v>4</v>
      </c>
      <c r="DW253" cm="1">
        <f t="array" ref="DW253">IF(OR(B253="",BT253="",DM253&lt;&gt;1),"",_xlfn.LET(_xlpm.sz,Iдоп_S,_xlpm.t_,CHOOSE(DL253,Iдоп_1ж,Iдоп_2ж,Iдоп_3ж)*DJ253*DK253,_xlpm.inn,N(DD253),_xlpm.smin,MAX(1.5,BW253),_xlpm.L_,N(Q253)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253)*(_xlpm.rho*_xlpm.L_/_xlpm.sz*N(BY253)+_xlpm.xx*_xlpm.L_*N(DU253)/1000)*N(P253)/((Uн_лин/SQRT(3))*1000)*100,999),_xlpm.kz,IF(OR(DG253=1,NOT(ISNUMBER(DQ253)),_xlpm.L_=0,_xlpm.inn=0),1,IFERROR(--(c_min*(Uн_лин*1000/SQRT(3))/(DQ253+2*ρкз_Cu*_xlpm.L_/_xlpm.sz)&gt;=GY253*_xlpm.inn),0)),_xlpm.ok,IFERROR((_xlpm.sz&gt;=_xlpm.smin)*(_xlpm.t_&gt;=_xlpm.inn)*IF(_xlpm.L_&gt;0,(_xlpm.du_+DP253&lt;=DV253+0.00001),1)*_xlpm.kz,0),_xlpm.r_,_xlfn._xlws.FILTER(_xlpm.sz,_xlpm.ok,"не подобрано"),INDEX(_xlpm.r_,1)))</f>
        <v>1.5</v>
      </c>
      <c r="DX253">
        <f t="shared" si="417"/>
        <v>2.5</v>
      </c>
      <c r="DY253" cm="1">
        <f t="array" ref="DY253">IF(OR(B253="",BT253="",DM253&lt;&gt;1),"",_xlfn.LET(_xlpm.sz,Iдоп_S,_xlpm.t_,CHOOSE(DL253,Iдоп_1ж,Iдоп_2ж,Iдоп_3ж)*DJ253*DK253,_xlpm.ok,IFERROR((_xlpm.sz&gt;=MAX(1.5,BW253))*(_xlpm.t_&gt;=N(DD253)),0),_xlpm.r_,_xlfn._xlws.FILTER(_xlpm.sz,_xlpm.ok,""),INDEX(_xlpm.r_,1)))</f>
        <v>1.5</v>
      </c>
      <c r="DZ253" s="6" cm="1">
        <f t="array" ref="DZ253">IFERROR(ROUNDUP(N(DT253)*(_xlfn.XLOOKUP(DY253,INDEX(Кабель_сопротивление,0,1),INDEX(Кабель_сопротивление,0,3))*N(Q253)/DY253*N(BY253)+_xlfn.XLOOKUP(DY253,INDEX(Кабель_сопротивление,0,1),INDEX(Кабель_сопротивление,0,2))*N(Q253)*N(DU253)/1000)*N(P253)/((Uн_лин/SQRT(3))*1000)*100,2),"")</f>
        <v>0.35000000000000003</v>
      </c>
      <c r="EA253">
        <f>IFERROR(2*ρкз_Cu*N(Q253)/DY253,"")</f>
        <v>1.7884</v>
      </c>
      <c r="EB253">
        <f>IFERROR(VLOOKUP(DX253,Кабель_сопротивление,3,FALSE),"")</f>
        <v>2.2499999999999999E-2</v>
      </c>
      <c r="EC253">
        <f>IFERROR(VLOOKUP(DX253,Кабель_сопротивление,2,FALSE),"")</f>
        <v>0.1</v>
      </c>
      <c r="ED253">
        <f t="shared" si="418"/>
        <v>26</v>
      </c>
      <c r="EE253">
        <f t="shared" si="419"/>
        <v>5</v>
      </c>
      <c r="EF253">
        <f t="shared" si="420"/>
        <v>0.47873629071611062</v>
      </c>
      <c r="EG253" s="6">
        <f>IFERROR(ROUNDUP(EF253/((Uн_лин/SQRT(3))*1000)*100,2),"")</f>
        <v>0.21000000000000002</v>
      </c>
      <c r="EH253" t="str">
        <f>IFERROR(VLOOKUP(BT253,Кабель_обозначение,2,FALSE),"")</f>
        <v>ВВГнг(А)-LS</v>
      </c>
      <c r="EI253" t="str">
        <f t="shared" si="421"/>
        <v>ВВГнг(А)-LS (3х2,5)</v>
      </c>
      <c r="EJ253" t="str">
        <f t="shared" si="422"/>
        <v>ВВГнг(А)-LS (3х2,5)
L=51-0,21%</v>
      </c>
      <c r="EK253">
        <f>IFERROR(2*ρкз_Cu*Q253/DX253,"")</f>
        <v>1.07304</v>
      </c>
      <c r="EL253">
        <f t="shared" si="423"/>
        <v>0.35700000000000004</v>
      </c>
      <c r="EM253" s="6" t="str">
        <f>IFERROR(IF(OR(B253="",NOT(ISNUMBER(DX253)),N(Q253)=0),"",_xlfn.XLOOKUP(A253,Щиты[Щит],Щиты[Zпетли на шинах, Ом])+EK253),"")</f>
        <v/>
      </c>
      <c r="EN253" s="6" t="str">
        <f>IF(ISNUMBER(EM253),c_min*(Uн_лин*1000/SQRT(3))/EM253,"")</f>
        <v/>
      </c>
      <c r="EO253" s="6" t="str">
        <f>IFERROR(IF(OR(B253="",NOT(ISNUMBER(DX253))),"",1.05*(Uн_лин*1000/SQRT(3))/(_xlfn.XLOOKUP(A253,Щиты[Щит],Щиты[Zmax на шинах, Ом])+EL253)/1000),"")</f>
        <v/>
      </c>
      <c r="EP253" s="6" t="str">
        <f>IF(B253="","",IF(ISNUMBER(Y253),"Сил",IF(IFERROR(_xlfn.XLOOKUP(AX253,Коды_код,Коды_группа)&amp;"","")="","Быт",_xlfn.XLOOKUP(AX253,Коды_код,Коды_группа)&amp;"")))</f>
        <v>Быт</v>
      </c>
      <c r="EQ253" s="6" t="str">
        <f t="shared" si="424"/>
        <v>Быт</v>
      </c>
      <c r="ER253" s="6">
        <f>IF(EQ253="Щит","щит",IF(EQ253="","",IF(EQ253="Быт",IFERROR(_xlfn.XLOOKUP(A253,Щиты[Щит],Щиты[Кс быт]),1),IF(EQ253="Сил",IF(ISNUMBER(Y253),Y253,IF(Методика="нормы 2026",IFERROR(_xlfn.XLOOKUP(A253,Щиты[Щит],Щиты[Кс силовых (табл. 7.5)]),1),1)),IF(OR(EQ253="Пост",EQ253="Отоп"),1,IF(EQ253="ВНГ",0.7,0))))))</f>
        <v>0.57830000000000004</v>
      </c>
      <c r="ES253">
        <f t="shared" si="425"/>
        <v>1</v>
      </c>
      <c r="ET253">
        <f t="shared" si="426"/>
        <v>0.12</v>
      </c>
      <c r="EU253">
        <f t="shared" si="427"/>
        <v>0.12</v>
      </c>
      <c r="EV253">
        <f t="shared" si="428"/>
        <v>0</v>
      </c>
      <c r="EW253">
        <f t="shared" si="429"/>
        <v>0</v>
      </c>
      <c r="EX253">
        <f t="shared" si="430"/>
        <v>0</v>
      </c>
      <c r="EY253">
        <f t="shared" si="431"/>
        <v>0</v>
      </c>
      <c r="EZ253">
        <f t="shared" si="432"/>
        <v>0.12</v>
      </c>
      <c r="FA253">
        <f t="shared" si="433"/>
        <v>0.11399999999999999</v>
      </c>
      <c r="FB253">
        <f t="shared" si="434"/>
        <v>0.12</v>
      </c>
      <c r="FC253" t="str">
        <f t="shared" si="435"/>
        <v/>
      </c>
      <c r="FD253" t="str">
        <f>IF(B253="","",IF(CA253=0,IF(AW253=1,"",FF252),IF(OR(N(CV253)&gt;=3,N(BR253)&gt;=3),"L1,L2,L3",IFERROR(_xlfn.TEXTBEFORE(_xlfn.TEXTAFTER(_xlfn.XLOOKUP(A253,Щиты[Щит],Щиты[_фазы авто]),";"&amp;AW253&amp;":"),";"),"L1"))))</f>
        <v>L3</v>
      </c>
      <c r="FE253" t="str">
        <f t="shared" si="436"/>
        <v>L3</v>
      </c>
      <c r="FF253" t="str">
        <f t="shared" si="437"/>
        <v>L3</v>
      </c>
      <c r="FG253" cm="1">
        <f t="array" ref="FG253">IFERROR(IF(BX253=2,_xlfn.IFS(BR253=3,VLOOKUP(BN253,Справочная_двигатели,3,FALSE),BR253=1,VLOOKUP(BN253,Справочная_двигатели,5,TRUE)),0),0)</f>
        <v>0</v>
      </c>
      <c r="FH253">
        <f>IFERROR(IF(BX253=3,VLOOKUP(BN253,Справочная_ЛЭД,2,TRUE),0),0)</f>
        <v>0</v>
      </c>
      <c r="FI253" s="6">
        <f t="shared" si="438"/>
        <v>0</v>
      </c>
      <c r="FJ253" t="str" cm="1">
        <f t="array" ref="FJ253">IF(B253="","",IFERROR(INDEX({"I особая","I","II","III"},MATCH(TRIM(AC253&amp;""),{"I особая","I","II","III"},0)),"III"))</f>
        <v>II</v>
      </c>
      <c r="FK253" t="str">
        <f>IF(B253="","",IF(TRIM(AD253&amp;"")&lt;&gt;"",IF(LOWER(TRIM(AD253&amp;""))="да","да","нет"),IF(IFERROR(_xlfn.XLOOKUP(AX253,Коды_код,Коды_пожарная),"")="да","да","нет")))</f>
        <v>нет</v>
      </c>
      <c r="FL253" t="str">
        <f t="shared" si="439"/>
        <v/>
      </c>
      <c r="FM253" t="str">
        <f t="shared" si="440"/>
        <v>основная</v>
      </c>
      <c r="FN253">
        <f t="shared" si="441"/>
        <v>1</v>
      </c>
      <c r="FO253" t="str" cm="1">
        <f t="array" ref="FO253">IF(B253="","",_xlfn.LET(_xlpm.t,IFERROR(_xlfn.XLOOKUP(1,(Шины[Шина]=FM253)*(((Шины[Щит]=A253)+(Шины[Щит]=""))&gt;0),Шины[Тип]),"")&amp;"",IF(_xlpm.t&lt;&gt;"",_xlpm.t,IF(ISNUMBER(SEARCH("ИБП",FM253)),"ИБП",IF(ISNUMBER(SEARCH("ДГУ",FM253)),"ДГУ","Ввод "&amp;FN253)))))</f>
        <v>Ввод 1</v>
      </c>
      <c r="FP253" t="str">
        <f t="shared" si="442"/>
        <v>Ввод 1</v>
      </c>
      <c r="FQ253" t="str">
        <f>IF(B253="","",IF(OR(FO253="ИБП",FO253="ДГУ"),"I особая",IF(FO253="Одиночная","III",_xlfn.XLOOKUP(A253,Щиты[Щит],Щиты[Категория шины «Ввод»],"III"))))</f>
        <v>II</v>
      </c>
      <c r="FR253">
        <f>IF(B253="",0,IFERROR(MATCH(FJ253,{"III","II","I","I особая"},0),1))</f>
        <v>2</v>
      </c>
      <c r="FS253">
        <f t="shared" si="443"/>
        <v>2</v>
      </c>
      <c r="FT253" t="str">
        <f>IF(B253="","",IF(FR253&gt;IFERROR(MATCH(FQ253,{"III","II","I","I особая"},0),1),"НЕ ОБЕСПЕЧЕНА","ОК"))</f>
        <v>ОК</v>
      </c>
      <c r="FU253" t="str">
        <f>IF(A253="","",_xlfn.XLOOKUP(A253,Щиты[Щит],Щиты[Путь],""))</f>
        <v>|ГРЩ-ЖД|ЩР-1|</v>
      </c>
      <c r="FV253" t="str">
        <f>IF(B253="","",IF(AE253&lt;&gt;"",AE253,IF(IFERROR(_xlfn.XLOOKUP(AX253,Коды_код,Коды_вид)&amp;"","")="","Прочее",_xlfn.XLOOKUP(AX253,Коды_код,Коды_вид)&amp;"")))</f>
        <v>Розеточная сеть и бытовые приборы</v>
      </c>
      <c r="FW253">
        <f>IF(BH253="","",INT((BH253-1)/Столбцов_на_лист)+1)</f>
        <v>3</v>
      </c>
      <c r="FX253" t="str">
        <f t="shared" si="444"/>
        <v>ВВГнг(А)-LS (3х2,5) L=51-0,21%</v>
      </c>
      <c r="FY253">
        <f t="shared" si="445"/>
        <v>0.12</v>
      </c>
      <c r="FZ253">
        <f t="shared" si="446"/>
        <v>0.55000000000000004</v>
      </c>
      <c r="GA253">
        <f t="shared" si="447"/>
        <v>1</v>
      </c>
      <c r="GB253">
        <f t="shared" si="448"/>
        <v>0</v>
      </c>
      <c r="GC253">
        <f t="shared" si="449"/>
        <v>1</v>
      </c>
      <c r="GD253">
        <f>IF(BH253="","",IF(AND(CA253=1,GC253=1),COUNTIFS(A$3:A253,A253,CA$3:CA253,1,GC$3:GC253,1),IF(OR(OR(AW253=1,A253&lt;&gt;A252),AF253="вручную",GC253=0),"",IF(AW253=1,"",GE252))))</f>
        <v>29</v>
      </c>
      <c r="GE253">
        <f t="shared" si="450"/>
        <v>29</v>
      </c>
      <c r="GF253">
        <f>IF(B253="","",IFERROR(LOOKUP(INDEX(CHOOSE(DL253,Iдоп_1ж,Iдоп_2ж,Iдоп_3ж),MATCH(DX253,Iдоп_S,0))*DJ253*DK253,{6,10,16,20,25,32,40,50,63,80,100,125,160,200,250,315,400,500,630}),""))</f>
        <v>25</v>
      </c>
      <c r="GG253" t="str">
        <f t="shared" si="451"/>
        <v>QFD29</v>
      </c>
      <c r="GH253" t="str">
        <f t="shared" si="452"/>
        <v>QFD29</v>
      </c>
      <c r="GI253" t="str">
        <f t="shared" si="453"/>
        <v/>
      </c>
      <c r="GJ253">
        <f t="shared" si="454"/>
        <v>0</v>
      </c>
      <c r="GK253" t="str">
        <f>IF(OR(AG253="",AG253="-"),"",IFERROR(VLOOKUP(AG253,Модули_спр,2,FALSE),"R"))</f>
        <v/>
      </c>
      <c r="GL253" t="str">
        <f>IF(GK253="","",GK253&amp;"."&amp;COUNTIFS(A$3:A253,A253,GK$3:GK253,GK253))</f>
        <v/>
      </c>
      <c r="GM253" t="str">
        <f t="shared" si="455"/>
        <v/>
      </c>
      <c r="GN253" t="str">
        <f t="shared" si="456"/>
        <v/>
      </c>
      <c r="GO253" t="str">
        <f t="shared" si="457"/>
        <v/>
      </c>
      <c r="GP253" t="str">
        <f t="shared" si="458"/>
        <v/>
      </c>
      <c r="GQ253">
        <f t="shared" si="459"/>
        <v>1</v>
      </c>
      <c r="GR253" t="str">
        <f>IF(GQ253=1,"XT"&amp;COUNTIFS(A$3:A253,A253,GQ$3:GQ253,1),"")</f>
        <v>XT29</v>
      </c>
      <c r="GS253" t="str">
        <f t="shared" si="460"/>
        <v/>
      </c>
      <c r="GT253" t="str">
        <f t="shared" si="461"/>
        <v>QFD29</v>
      </c>
      <c r="GU253" t="str">
        <f t="shared" si="462"/>
        <v/>
      </c>
      <c r="GV253" t="str">
        <f t="shared" si="463"/>
        <v>ok</v>
      </c>
      <c r="GW253" t="str">
        <f>IF(OR(GO253="",GM253=""),"",IF(GO253&gt;IFERROR(VLOOKUP(GN253,Модули_спр,3,FALSE),99),"ЛИШНИЙ КАНАЛ",IF(AND(AH253&lt;&gt;"=",COUNTIFS(Линии[_модуль гр.],GM253,Линии[Канал (итог)],GO253,Линии[Канал],"&lt;&gt;=",Линии[Щит],A253)&gt;1),"ДУБЛЬ КАНАЛА","")))</f>
        <v/>
      </c>
      <c r="GX253" s="6" t="str">
        <f t="shared" si="464"/>
        <v/>
      </c>
      <c r="GY253">
        <f t="shared" si="465"/>
        <v>10</v>
      </c>
      <c r="GZ253" t="str">
        <f t="shared" si="466"/>
        <v/>
      </c>
      <c r="HA253" t="str">
        <f>IF(AND(B253="",GT253=""),"",_xlfn.TEXTJOIN("; ",TRUE,IF(AND(B253&lt;&gt;"",FE253=""),"нет фазы",""),IF(AND(B253&lt;&gt;"",N(FY253)=0,EQ253&lt;&gt;"Нет"),"нет мощности",""),IF(AND(GS253&lt;&gt;"",COUNTIFS(Линии[Щит],A253,Линии[Клемма (итог)],GS253)&gt;1),"дубль клеммы "&amp;GS253,""),IF(AND(GV253&lt;&gt;"",GV253&lt;&gt;"ok"),GV253,""),IF(GW253&lt;&gt;"",GW253,""),IF(AND(N(BV253)&gt;=4,N(BR253)=1),BV253&amp;" жил на 1 фазе",""),IF(AND(AX253="R",CA253=1,OR(N(CK253)=0,N(CK253)&gt;30)),"розетка без дифзащиты до 30 мА",""),IFERROR(IF(AND(ISNUMBER(R253),R253&gt;DV253),"потери "&amp;FIXED(R253,1)&amp;" % &gt; "&amp;DV253&amp;" %",""),""),IFERROR(IF(LEFT(GZ253,4)="мало","Iкз мало — отключение &gt; 0,4 с",""),""),IF(AND(B253&lt;&gt;"",BH253=""),"не на схеме",""),IF(AND(CA253=0,B253&lt;&gt;"",FE253&lt;&gt;"",IF(AW253=1,"",FF252)&lt;&gt;"",FE253&lt;&gt;IF(AW253=1,"",FF252)),"фаза не как у автомата группы ("&amp;IF(AW253=1,"",FF252)&amp;")","")))</f>
        <v/>
      </c>
      <c r="HB253" s="6">
        <f>IF(OR(CA253=0,DA253=""),"",_xlfn.LET(_xlpm.t,IFERROR(_xlfn.XLOOKUP(DA253,Каталог!$U$4:$U$500,Каталог!$G$4:$G$500),""),_xlpm.k,SEARCH("кА",_xlpm.t),IFERROR(--TRIM(RIGHT(SUBSTITUTE(MID(_xlpm.t,MAX(1,_xlpm.k-4),_xlpm.k-MAX(1,_xlpm.k-4))," ",REPT(" ",9)),5)),"")))</f>
        <v>6</v>
      </c>
      <c r="HC253" t="str">
        <f>IF(OR(HB253="",CA253=0),"",IF(_xlfn.XLOOKUP(A253,Щиты[Щит],Щиты[Iкз max на шинах, кА],"")="","",IF(HB253&lt;_xlfn.XLOOKUP(A253,Щиты[Щит],Щиты[Iкз max на шинах, кА]),"Icu "&amp;HB253&amp;" кА &lt; Iкз max","ok")))</f>
        <v/>
      </c>
      <c r="HD253" t="str">
        <f t="shared" si="467"/>
        <v/>
      </c>
      <c r="HE253" t="str">
        <f t="shared" si="468"/>
        <v>QFD29</v>
      </c>
      <c r="HF253" t="str">
        <f t="shared" si="469"/>
        <v>QFD29|кабель ВВГнг(А)-LS (3х2,5) → Розеточная группа, пом. 008A</v>
      </c>
      <c r="HG253" t="str" cm="1">
        <f t="array" ref="HG253">IF(HF253="","",_xlfn.LET(_xlpm.nd,_xlfn.TEXTSPLIT(HF253,"|"),IF(COLUMNS(_xlpm.nd)&gt;1,A253&amp;"¦"&amp;INDEX(_xlpm.nd,1)&amp;"¦"&amp;INDEX(_xlpm.nd,2),"")))</f>
        <v>ЩР-1¦QFD29¦кабель ВВГнг(А)-LS (3х2,5) → Розеточная группа, пом. 008A</v>
      </c>
      <c r="HH253" t="str">
        <f t="shared" si="470"/>
        <v>R.1.008A.1¦Розеточная группа, пом. 008A</v>
      </c>
      <c r="HI253" t="str" cm="1">
        <f t="array" ref="HI253">IF(HF253="","",_xlfn.LET(_xlpm.nd,_xlfn.TEXTSPLIT(HF253,"|"),IF(COLUMNS(_xlpm.nd)&gt;2,A253&amp;"¦"&amp;INDEX(_xlpm.nd,2)&amp;"¦"&amp;INDEX(_xlpm.nd,3),"")))</f>
        <v/>
      </c>
      <c r="HJ253" t="str">
        <f t="shared" si="471"/>
        <v/>
      </c>
      <c r="HK253" t="str" cm="1">
        <f t="array" ref="HK253">IF(HF253="","",_xlfn.LET(_xlpm.nd,_xlfn.TEXTSPLIT(HF253,"|"),IF(COLUMNS(_xlpm.nd)&gt;3,A253&amp;"¦"&amp;INDEX(_xlpm.nd,3)&amp;"¦"&amp;INDEX(_xlpm.nd,4),"")))</f>
        <v/>
      </c>
      <c r="HL253" t="str">
        <f t="shared" si="472"/>
        <v/>
      </c>
      <c r="HM253" t="str" cm="1">
        <f t="array" ref="HM253">IF(HF253="","",_xlfn.LET(_xlpm.nd,_xlfn.TEXTSPLIT(HF253,"|"),IF(COLUMNS(_xlpm.nd)&gt;4,A253&amp;"¦"&amp;INDEX(_xlpm.nd,4)&amp;"¦"&amp;INDEX(_xlpm.nd,5),"")))</f>
        <v/>
      </c>
      <c r="HN253" t="str">
        <f t="shared" si="473"/>
        <v/>
      </c>
      <c r="HO253" t="str" cm="1">
        <f t="array" ref="HO253">IF(HF253="","",_xlfn.LET(_xlpm.nd,_xlfn.TEXTSPLIT(HF253,"|"),IF(COLUMNS(_xlpm.nd)&gt;5,A253&amp;"¦"&amp;INDEX(_xlpm.nd,5)&amp;"¦"&amp;INDEX(_xlpm.nd,6),"")))</f>
        <v/>
      </c>
      <c r="HP253" t="str">
        <f t="shared" si="474"/>
        <v/>
      </c>
      <c r="HQ253" t="str" cm="1">
        <f t="array" ref="HQ253">IF(HF253="","",_xlfn.LET(_xlpm.nd,_xlfn.TEXTSPLIT(HF253,"|"),IF(COLUMNS(_xlpm.nd)&gt;6,A253&amp;"¦"&amp;INDEX(_xlpm.nd,6)&amp;"¦"&amp;INDEX(_xlpm.nd,7),"")))</f>
        <v/>
      </c>
      <c r="HR253" t="str">
        <f t="shared" si="475"/>
        <v/>
      </c>
      <c r="HS253" t="str">
        <f t="shared" si="476"/>
        <v/>
      </c>
      <c r="HT253" t="str">
        <f t="shared" si="477"/>
        <v>QFD29</v>
      </c>
      <c r="HU253">
        <f t="shared" si="478"/>
        <v>0</v>
      </c>
      <c r="HV253">
        <f t="shared" si="479"/>
        <v>1</v>
      </c>
      <c r="HW253" t="str">
        <f t="shared" si="480"/>
        <v/>
      </c>
      <c r="HX253" t="str">
        <f t="shared" si="481"/>
        <v/>
      </c>
      <c r="HY253" t="str">
        <f t="shared" si="482"/>
        <v/>
      </c>
      <c r="HZ253" t="str">
        <f t="shared" si="483"/>
        <v/>
      </c>
      <c r="IA253" t="str">
        <f>IF(B253="","",IFERROR(VLOOKUP(B253,УГО_спр,2,FALSE),IFERROR(VLOOKUP(AX253,УГО_спр,2,FALSE),IFERROR(VLOOKUP(LEFT(AX253,2),УГО_спр,2,FALSE),""))))</f>
        <v>Розетка</v>
      </c>
      <c r="IB253" t="str">
        <f>IF(B253="","",IF(OR(IA253="",IA253=0),"BOX",IFERROR(IF(VLOOKUP(IA253,УГО_блоки,3,FALSE)&amp;""&lt;&gt;"",VLOOKUP(IA253,УГО_блоки,3,FALSE),VLOOKUP(IA253,УГО_блоки,2,FALSE)),IA253)))</f>
        <v>SOCKET</v>
      </c>
      <c r="IC253">
        <f t="shared" si="484"/>
        <v>1</v>
      </c>
      <c r="ID253" t="str">
        <f>IF(DA253="","",IF(COUNTIF(DA$3:DA253,DA253)=1,MAX(ID$2:ID252)+1,""))</f>
        <v/>
      </c>
      <c r="IE253" t="str">
        <f>IF(CO253="","",IF(COUNTIF(CO$3:CO253,CO253)+COUNTIF(CP$2:CP252,CO253)+COUNTIF(CQ$2:CQ252,CO253)=1,MAX(IE$2:IG252)+1,""))</f>
        <v/>
      </c>
      <c r="IF253" t="str">
        <f>IF(CP253="","",IF(COUNTIF(CO$3:CO253,CP253)+COUNTIF(CP$3:CP253,CP253)+COUNTIF(CQ$2:CQ252,CP253)=1,MAX(IE$2:IG252,IE253)+1,""))</f>
        <v/>
      </c>
      <c r="IG253" t="str">
        <f>IF(CQ253="","",IF(COUNTIF(CO$3:CO253,CQ253)+COUNTIF(CP$3:CP253,CQ253)+COUNTIF(CQ$3:CQ253,CQ253)=1,MAX(IE$2:IG252,IE253,IF253)+1,""))</f>
        <v/>
      </c>
      <c r="IH253" t="str">
        <f t="shared" si="485"/>
        <v>3х2,5</v>
      </c>
      <c r="II253" t="str">
        <f>IF(IH253="","",IF(COUNTIF(IH$3:IH253,IH253)=1,MAX(II$2:II252)+1,""))</f>
        <v/>
      </c>
      <c r="IJ253" t="str">
        <f>IF(GL253="","",COUNTIF(GL$3:GL253,"?*"))</f>
        <v/>
      </c>
      <c r="IK253" t="str">
        <f>IF(OR(GL253="",GN253=""),"",IF(COUNTIFS(GL$3:GL253,"?*",GN$3:GN253,GN253)=1,MAX(IK$2:IK252)+1,""))</f>
        <v/>
      </c>
      <c r="IL253">
        <f t="shared" si="486"/>
        <v>0</v>
      </c>
      <c r="IM253">
        <f>IF(B253="","",COUNTIF(B$3:B253,"?*"))</f>
        <v>251</v>
      </c>
      <c r="IN253">
        <f>IF(GQ253&lt;&gt;1,0,_xlfn.LET(_xlpm.k,MAX(IFERROR(--VLOOKUP(B253,УГО_спр,5,FALSE),0),IFERROR(--VLOOKUP(AX253,УГО_спр,5,FALSE),0),IFERROR(--VLOOKUP(LEFT(AX253,2),УГО_спр,5,FALSE),0)),IF(_xlpm.k&gt;0,_xlpm.k,IF(IFERROR(--LEFT(SUBSTITUTE(IH253,"x","х"),FIND("х",SUBSTITUTE(IH253,"x","х"))-1),3)&gt;3,Каталог!$S$9,1))))</f>
        <v>1</v>
      </c>
      <c r="IO253">
        <f t="shared" si="487"/>
        <v>0</v>
      </c>
      <c r="IP253" t="str">
        <f t="shared" si="488"/>
        <v>авто</v>
      </c>
      <c r="IQ253">
        <f t="shared" si="489"/>
        <v>30</v>
      </c>
      <c r="IR253">
        <f t="shared" si="490"/>
        <v>1</v>
      </c>
      <c r="IS253">
        <f t="shared" si="491"/>
        <v>1</v>
      </c>
    </row>
    <row r="254" spans="1:253" x14ac:dyDescent="0.3">
      <c r="A254" t="s">
        <v>759</v>
      </c>
      <c r="B254" t="s">
        <v>1519</v>
      </c>
      <c r="C254" t="str">
        <f>Линии[[#This Row],[_авто наименование]]</f>
        <v>Розеточная группа, пом. 009A</v>
      </c>
      <c r="D254">
        <v>1</v>
      </c>
      <c r="E254">
        <v>0.18</v>
      </c>
      <c r="G254" t="str">
        <f>Линии[[#This Row],[_авто автомат]]</f>
        <v>2P С16А 30мА</v>
      </c>
      <c r="H254">
        <f>Линии[[#This Row],[_авто утечка]]</f>
        <v>30</v>
      </c>
      <c r="I254" t="str">
        <f>Линии[[#This Row],[_авто управление]]</f>
        <v/>
      </c>
      <c r="J254" t="str">
        <f>Линии[[#This Row],[_авто аппараты]]</f>
        <v/>
      </c>
      <c r="K254">
        <v>2.5</v>
      </c>
      <c r="L254">
        <v>24</v>
      </c>
      <c r="M254" t="str">
        <f>Линии[[#This Row],[_авто фаза]]</f>
        <v>L1</v>
      </c>
      <c r="N254" t="s">
        <v>486</v>
      </c>
      <c r="O254" t="str">
        <f t="shared" si="369"/>
        <v/>
      </c>
      <c r="P254" s="6" cm="1">
        <f t="array" ref="P254">IF(B254="","",IF(BC254&lt;&gt;"",IFERROR(_xlfn.XLOOKUP(BC254,Щиты[Щит],Щиты[Iр, А]),""),IF(BK254=1,IFERROR(_xlfn.XLOOKUP(A254,Щиты[Щит],Щиты[Iр, А]),""),IFERROR(_xlfn.IFS(BR254=1,BN254/((Uн_лин/SQRT(3))*BY254),BR254=3,BN254/(SQRT(3)*Uн_лин*BY254)),""))))</f>
        <v>0.8204451193747313</v>
      </c>
      <c r="Q254" s="7">
        <f>IF(B254="","",IFERROR(IF(VLOOKUP(AX254,Потребители_обозначение,4,FALSE)=1,VLOOKUP(AX254,Потребители_обозначение,3,FALSE)*(D254*2-1)+DS254+VLOOKUP(AZ254,Этаж_обозначение,3,FALSE)+VLOOKUP(AZ254,Этаж_обозначение,4,FALSE),VLOOKUP(AX254,Потребители_обозначение,3,FALSE)*(D254*2-1)+DS254),DS254))</f>
        <v>27</v>
      </c>
      <c r="R254" s="6">
        <f t="shared" si="370"/>
        <v>1.3599999999999999</v>
      </c>
      <c r="S254" t="str">
        <f t="shared" si="371"/>
        <v>ВВГнг(А)-LS (3х2,5)</v>
      </c>
      <c r="T254" t="str">
        <f>IF(BH254="","",IF(BI254="вводной узел","узел ","")&amp;"л."&amp;(INT((BH254-1)/Столбцов_на_лист)+1)&amp;" / "&amp;(MOD(BH254-1,Столбцов_на_лист)+1))</f>
        <v>л.3 / 17</v>
      </c>
      <c r="V254">
        <v>1</v>
      </c>
      <c r="W254">
        <v>230</v>
      </c>
      <c r="X254" t="s">
        <v>564</v>
      </c>
      <c r="AC254" t="s">
        <v>815</v>
      </c>
      <c r="AE254" t="s">
        <v>563</v>
      </c>
      <c r="AI254">
        <v>51</v>
      </c>
      <c r="AJ254" t="s">
        <v>11</v>
      </c>
      <c r="AK254">
        <v>3</v>
      </c>
      <c r="AM254">
        <v>0</v>
      </c>
      <c r="AN254">
        <v>0</v>
      </c>
      <c r="AO254">
        <v>22</v>
      </c>
      <c r="AW254" cm="1">
        <f t="array" ref="AW254">ROW()-ROW(Линии[#Headers])</f>
        <v>252</v>
      </c>
      <c r="AX254" s="6" t="str">
        <f t="shared" si="372"/>
        <v>R</v>
      </c>
      <c r="AY254" t="str">
        <f t="shared" si="373"/>
        <v>1.009A.1</v>
      </c>
      <c r="AZ254" t="str">
        <f t="shared" si="374"/>
        <v>1</v>
      </c>
      <c r="BA254" t="str">
        <f t="shared" si="375"/>
        <v>009A.1</v>
      </c>
      <c r="BB254" t="str">
        <f t="shared" si="376"/>
        <v>009A</v>
      </c>
      <c r="BC254" t="str">
        <f>IF(U254&lt;&gt;"",U254,IF(AND(B254&lt;&gt;"",B254&lt;&gt;A254,ISNUMBER(_xlfn.XMATCH(B254,Щиты[Щит]))),B254,""))</f>
        <v/>
      </c>
      <c r="BD254" t="str" cm="1">
        <f t="array" ref="BD254">IF(B254="","",IF(BC254&lt;&gt;"","Щит "&amp;BC254,_xlfn.LET(_xlpm.nm,IFERROR(_xlfn.XLOOKUP(AX254,Коды_код,Коды_имя)&amp;"",""),_xlpm.md,IFERROR(N(_xlfn.XLOOKUP(AX254,Коды_код,Коды_режим)),1),_xlpm.ex,IF(Имя_режим="по экспликации",IFERROR(_xlfn.XLOOKUP(AZ254&amp;"|"&amp;BB254,Экспликация[Этаж]&amp;"|"&amp;Экспликация[Помещение],Экспликация[Название])&amp;"",""),""),_xlpm.rm,IF(BB254="","",IF(_xlpm.ex&lt;&gt;"",". "&amp;_xlpm.ex&amp;IF(Имя_пом="нет"," ("&amp;BB254&amp;")"," (пом. "&amp;BB254&amp;")"),IF(Имя_пом="нет"," ",", пом. ")&amp;BB254)),IF(_xlpm.nm="","",IF(_xlpm.md=2,_xlpm.nm&amp;" шлейф "&amp;AZ254,_xlpm.nm&amp;_xlpm.rm)))))</f>
        <v>Розеточная группа, пом. 009A</v>
      </c>
      <c r="BE254" t="str">
        <f t="shared" si="377"/>
        <v>Розеточная группа, пом. 009A</v>
      </c>
      <c r="BF254">
        <f>IFERROR(_xlfn.XMATCH(A254,Щиты[Щит]),0)</f>
        <v>10</v>
      </c>
      <c r="BG254">
        <f>_xlfn.LET(_xlpm.k,IFERROR(_xlfn.XLOOKUP(A254,Щиты[Щит],Щиты[Листов под вводной узел]),""),IF(_xlpm.k="",1,N(_xlpm.k))*Столбцов_на_лист)</f>
        <v>17</v>
      </c>
      <c r="BH254">
        <f t="shared" si="378"/>
        <v>51</v>
      </c>
      <c r="BI254" t="str">
        <f t="shared" si="379"/>
        <v>линии</v>
      </c>
      <c r="BJ254" s="6">
        <f>IFERROR(N(_xlfn.XLOOKUP(AX254,Коды_код,Коды_квт)),0)</f>
        <v>0</v>
      </c>
      <c r="BK254">
        <f t="shared" si="380"/>
        <v>0</v>
      </c>
      <c r="BL254" t="str">
        <f>IF(B254="","",IF(BC254&lt;&gt;"",IFERROR(_xlfn.XLOOKUP(BC254,Щиты[Щит],Щиты[Руст, кВт]),0),IF(BK254=1,IFERROR(_xlfn.XLOOKUP(A254,Щиты[Щит],Щиты[Руст, кВт]),0),IF(BJ254&gt;0,ROUND(BJ254*MAX(1,N(D254)),3),""))))</f>
        <v/>
      </c>
      <c r="BM254">
        <f t="shared" si="381"/>
        <v>0.18</v>
      </c>
      <c r="BN254" s="6">
        <f>IF(B254="","",IF(BC254&lt;&gt;"",IFERROR(_xlfn.XLOOKUP(BC254,Щиты[Щит],Щиты[Руст, кВт]),0),N(BM254)))</f>
        <v>0.18</v>
      </c>
      <c r="BO254" t="str">
        <f>IF(B254="","",IFERROR(IF(VLOOKUP(AX254,Потребители_обозначение,8,FALSE)=0,"",VLOOKUP(AX254,Потребители_обозначение,8,FALSE)),""))</f>
        <v/>
      </c>
      <c r="BP254">
        <f t="shared" si="382"/>
        <v>230</v>
      </c>
      <c r="BQ254">
        <f>IF(B254="","",IF(BC254&lt;&gt;"",3,IFERROR(IF(N(VLOOKUP(AX254,Потребители_обозначение,9,FALSE))=0,1,VLOOKUP(AX254,Потребители_обозначение,9,FALSE)),1)))</f>
        <v>1</v>
      </c>
      <c r="BR254">
        <f t="shared" si="383"/>
        <v>1</v>
      </c>
      <c r="BS254" t="str">
        <f>IF(B254="","",_xlfn.LET(_xlpm.bc,IFERROR(IF(VLOOKUP(AX254,Потребители_обозначение,6,FALSE)=0,"",VLOOKUP(AX254,Потребители_обозначение,6,FALSE)&amp;""),""),IF(AND(FK254="да",OR(_xlpm.bc="",_xlpm.bc="мс")),Марка_пож,IF(AND(_xlpm.bc="",BC254&lt;&gt;""),"мс",_xlpm.bc))))</f>
        <v/>
      </c>
      <c r="BT254" t="str">
        <f t="shared" si="384"/>
        <v>мс</v>
      </c>
      <c r="BU254">
        <f>IF(B254="","",_xlfn.LET(_xlpm.cc,IFERROR(N(VLOOKUP(AX254,Потребители_обозначение,7,FALSE)),0),IF(_xlpm.cc&gt;0,_xlpm.cc,IF(BT254="","",IF(N(BR254)=3,5,3)))))</f>
        <v>3</v>
      </c>
      <c r="BV254">
        <f t="shared" si="385"/>
        <v>3</v>
      </c>
      <c r="BW254">
        <f>IFERROR(N(VLOOKUP(AX254,Потребители_обозначение,10,FALSE)),0)</f>
        <v>0</v>
      </c>
      <c r="BX254">
        <f>IFERROR(VLOOKUP(AX254,Потребители_обозначение,5,FALSE),0)</f>
        <v>1</v>
      </c>
      <c r="BY254" s="6" cm="1">
        <f t="array" ref="BY254">IF(B254="","",IF(BC254&lt;&gt;"",IFERROR(_xlfn.XLOOKUP(BC254,Щиты[Щит],Щиты[cos φ]),0.95),IF(BK254=1,IFERROR(_xlfn.XLOOKUP(A254,Щиты[Щит],Щиты[cos φ]),0.95),IF(ISNUMBER(Z254),Z254,IFERROR(IF(BX254=2,_xlfn.IFS(BR254=3,VLOOKUP(BN254,Справочная_двигатели,8,FALSE),BR254=1,VLOOKUP(BN254,Справочная_двигатели,10,TRUE)),IF(AND(Методика="нормы 2026",EQ254="Сил"),0.8,0.95)),0.95)))))</f>
        <v>0.95</v>
      </c>
      <c r="BZ254">
        <f t="shared" si="386"/>
        <v>0</v>
      </c>
      <c r="CA254">
        <f t="shared" si="387"/>
        <v>1</v>
      </c>
      <c r="CB254">
        <f t="shared" si="388"/>
        <v>0</v>
      </c>
      <c r="CC254">
        <f t="shared" si="389"/>
        <v>0</v>
      </c>
      <c r="CD254">
        <f t="shared" si="390"/>
        <v>0</v>
      </c>
      <c r="CE254">
        <f t="shared" si="391"/>
        <v>0</v>
      </c>
      <c r="CF254">
        <f t="shared" si="392"/>
        <v>0</v>
      </c>
      <c r="CG254">
        <f>IF(AX254="",0,_xlfn.LET(_xlpm.v,IFERROR(VLOOKUP(B254,УГО_спр,3,FALSE),IFERROR(VLOOKUP(AX254,УГО_спр,3,FALSE),IFERROR(VLOOKUP(LEFT(AX254,2),УГО_спр,3,FALSE),""))),IF(_xlpm.v="да",30,IF(ISNUMBER(_xlpm.v),_xlpm.v,0))))</f>
        <v>30</v>
      </c>
      <c r="CH254">
        <f t="shared" si="393"/>
        <v>30</v>
      </c>
      <c r="CI254" t="str">
        <f>_xlfn.LET(_xlpm.k,IFERROR(_xlfn.XLOOKUP(AX254,Коды_код,Коды_утечка)&amp;"",""),IF(_xlpm.k="","дифавтомат",_xlpm.k))</f>
        <v>дифавтомат</v>
      </c>
      <c r="CJ254">
        <f t="shared" si="394"/>
        <v>30</v>
      </c>
      <c r="CK254">
        <f t="shared" si="395"/>
        <v>30</v>
      </c>
      <c r="CL254">
        <f>IF(B254="",0,IFERROR(--VLOOKUP(B254,УГО_спр,4,FALSE),IFERROR(--VLOOKUP(AX254,УГО_спр,4,FALSE),IFERROR(--VLOOKUP(LEFT(AX254,2),УГО_спр,4,FALSE),0))))</f>
        <v>16</v>
      </c>
      <c r="CM254" t="str">
        <f>IF(B254="","",IFERROR(_xlfn.XLOOKUP(AX254,Коды_код,Коды_апп)&amp;"",""))</f>
        <v/>
      </c>
      <c r="CN254" t="str">
        <f t="shared" si="396"/>
        <v/>
      </c>
      <c r="CO254" t="str" cm="1">
        <f t="array" ref="CO254">IF(TRIM(CN254&amp;"")="","",IFERROR(TRIM(INDEX(_xlfn.TEXTSPLIT(CN254&amp;";;;",";"),1)),""))</f>
        <v/>
      </c>
      <c r="CP254" t="str" cm="1">
        <f t="array" ref="CP254">IF(TRIM(CN254&amp;"")="","",IFERROR(TRIM(INDEX(_xlfn.TEXTSPLIT(CN254&amp;";;;",";"),2)),""))</f>
        <v/>
      </c>
      <c r="CQ254" t="str" cm="1">
        <f t="array" ref="CQ254">IF(TRIM(CN254&amp;"")="","",IFERROR(TRIM(INDEX(_xlfn.TEXTSPLIT(CN254&amp;";;;",";"),3)),""))</f>
        <v/>
      </c>
      <c r="CR254">
        <f t="shared" si="397"/>
        <v>0</v>
      </c>
      <c r="CS254" t="str">
        <f>IF(B254="","",_xlfn.LET(_xlpm.t,LOWER(AV254&amp;""),IF(ISNUMBER(SEARCH("dim",_xlpm.t)),"DIM",IF(ISNUMBER(SEARCH("dali",_xlpm.t)),"DALI",IF(OR(ISNUMBER(SEARCH("relay",_xlpm.t)),ISNUMBER(SEARCH("реле",_xlpm.t))),"Relay",IF(ISNUMBER(SEARCH("кнопк",_xlpm.t)),"",IFERROR(_xlfn.XLOOKUP(AX254,Коды_код,Коды_упр)&amp;"","")))))))</f>
        <v/>
      </c>
      <c r="CT254" t="str">
        <f t="shared" si="398"/>
        <v/>
      </c>
      <c r="CU254">
        <f>IF(B254="","",_xlfn.LET(_xlpm.ig,N(P254)+IF(AF254="вручную",0,N(CB254)),_xlpm.n0,IFERROR(VLOOKUP(_xlpm.ig,Автомат_номиналы,2,TRUE),0),_xlpm.mn,MAX(CL254,IF(AF254="вручную",0,N(CE254))),MAX(_xlpm.n0,_xlpm.mn,IF(CR254=1,Мин_автомат_БП,0))))</f>
        <v>16</v>
      </c>
      <c r="CV254">
        <f t="shared" si="399"/>
        <v>1</v>
      </c>
      <c r="CW254" t="str">
        <f t="shared" si="400"/>
        <v>2P</v>
      </c>
      <c r="CX254" t="str">
        <f>_xlfn.LET(_xlpm.cc,UPPER(TRIM(IFERROR(_xlfn.XLOOKUP(AX254,Коды_код,Коды_хар)&amp;"",""))),IF(OR(_xlpm.cc="B",_xlpm.cc="В"),"B",IF(_xlpm.cc="D","D","С")))</f>
        <v>С</v>
      </c>
      <c r="CY254" t="str">
        <f t="shared" si="401"/>
        <v>2P С16А 30мА</v>
      </c>
      <c r="CZ254" t="str">
        <f t="shared" si="402"/>
        <v>2P С16А 30мА</v>
      </c>
      <c r="DA254" t="str">
        <f t="shared" si="403"/>
        <v>2P С16А 30мА</v>
      </c>
      <c r="DB254" cm="1">
        <f t="array" ref="DB254">IF(DA254="","",_xlfn.LET(_xlpm.t,SUBSTITUTE(SUBSTITUTE(SUBSTITUTE(UPPER(DA254),"С","C"),"А","A"),"В","B"),_xlpm.tk,_xlfn.TEXTSPLIT(_xlpm.t,"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4" t="str">
        <f t="shared" si="404"/>
        <v>ok</v>
      </c>
      <c r="DD254">
        <f t="shared" si="405"/>
        <v>16</v>
      </c>
      <c r="DE254" t="str">
        <f t="shared" si="406"/>
        <v>2P С16А 30мА</v>
      </c>
      <c r="DF254">
        <f t="shared" si="407"/>
        <v>30</v>
      </c>
      <c r="DG254">
        <f t="shared" si="408"/>
        <v>1</v>
      </c>
      <c r="DH254">
        <f t="shared" si="409"/>
        <v>0</v>
      </c>
      <c r="DI254">
        <f t="shared" si="410"/>
        <v>0.8204451193747313</v>
      </c>
      <c r="DJ254">
        <f t="shared" si="411"/>
        <v>1</v>
      </c>
      <c r="DK254">
        <f>IF(ISNUMBER(AL254),AL254,К_прокл)</f>
        <v>1</v>
      </c>
      <c r="DL254">
        <f t="shared" si="412"/>
        <v>2</v>
      </c>
      <c r="DM254">
        <f>IFERROR(N(VLOOKUP(BT254,Кабель_обозначение,3,FALSE)),1)</f>
        <v>1</v>
      </c>
      <c r="DN254">
        <f>IFERROR(N(_xlfn.XLOOKUP(A254,Щиты[Щит],Щиты[ΔU до шин, %])),0)</f>
        <v>1.19</v>
      </c>
      <c r="DO254" t="str">
        <f>IFERROR(_xlfn.XLOOKUP(A254,Щиты[Щит],Щиты[Zпетли на шинах, Ом]),"")</f>
        <v/>
      </c>
      <c r="DP254">
        <f>IFERROR(N(_xlfn.XLOOKUP(A254,Щиты[Щит],Щиты[ΔU до шин (подбор), %])),0)</f>
        <v>1.19</v>
      </c>
      <c r="DQ254" t="str">
        <f>IFERROR(_xlfn.XLOOKUP(A254,Щиты[Щит],Щиты[Zпетли на шинах (подбор), Ом]),"")</f>
        <v/>
      </c>
      <c r="DR254" t="str">
        <f t="shared" si="413"/>
        <v/>
      </c>
      <c r="DS254">
        <f t="shared" si="414"/>
        <v>24</v>
      </c>
      <c r="DT254">
        <f t="shared" si="415"/>
        <v>2</v>
      </c>
      <c r="DU254">
        <f t="shared" si="416"/>
        <v>0.31</v>
      </c>
      <c r="DV254" s="6">
        <f>IF(B254="","",IF(IFERROR(VLOOKUP(AX254,УГО_спр,2,FALSE),"")="Светильник",3,4)+IF(Методика="нормы 2026",MIN(0.5,MAX(0,N(Q254)-100)*0.005),0))</f>
        <v>4</v>
      </c>
      <c r="DW254" cm="1">
        <f t="array" ref="DW254">IF(OR(B254="",BT254="",DM254&lt;&gt;1),"",_xlfn.LET(_xlpm.sz,Iдоп_S,_xlpm.t_,CHOOSE(DL254,Iдоп_1ж,Iдоп_2ж,Iдоп_3ж)*DJ254*DK254,_xlpm.inn,N(DD254),_xlpm.smin,MAX(1.5,BW254),_xlpm.L_,N(Q254)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254)*(_xlpm.rho*_xlpm.L_/_xlpm.sz*N(BY254)+_xlpm.xx*_xlpm.L_*N(DU254)/1000)*N(P254)/((Uн_лин/SQRT(3))*1000)*100,999),_xlpm.kz,IF(OR(DG254=1,NOT(ISNUMBER(DQ254)),_xlpm.L_=0,_xlpm.inn=0),1,IFERROR(--(c_min*(Uн_лин*1000/SQRT(3))/(DQ254+2*ρкз_Cu*_xlpm.L_/_xlpm.sz)&gt;=GY254*_xlpm.inn),0)),_xlpm.ok,IFERROR((_xlpm.sz&gt;=_xlpm.smin)*(_xlpm.t_&gt;=_xlpm.inn)*IF(_xlpm.L_&gt;0,(_xlpm.du_+DP254&lt;=DV254+0.00001),1)*_xlpm.kz,0),_xlpm.r_,_xlfn._xlws.FILTER(_xlpm.sz,_xlpm.ok,"не подобрано"),INDEX(_xlpm.r_,1)))</f>
        <v>1.5</v>
      </c>
      <c r="DX254">
        <f t="shared" si="417"/>
        <v>2.5</v>
      </c>
      <c r="DY254" cm="1">
        <f t="array" ref="DY254">IF(OR(B254="",BT254="",DM254&lt;&gt;1),"",_xlfn.LET(_xlpm.sz,Iдоп_S,_xlpm.t_,CHOOSE(DL254,Iдоп_1ж,Iдоп_2ж,Iдоп_3ж)*DJ254*DK254,_xlpm.ok,IFERROR((_xlpm.sz&gt;=MAX(1.5,BW254))*(_xlpm.t_&gt;=N(DD254)),0),_xlpm.r_,_xlfn._xlws.FILTER(_xlpm.sz,_xlpm.ok,""),INDEX(_xlpm.r_,1)))</f>
        <v>1.5</v>
      </c>
      <c r="DZ254" s="6" cm="1">
        <f t="array" ref="DZ254">IFERROR(ROUNDUP(N(DT254)*(_xlfn.XLOOKUP(DY254,INDEX(Кабель_сопротивление,0,1),INDEX(Кабель_сопротивление,0,3))*N(Q254)/DY254*N(BY254)+_xlfn.XLOOKUP(DY254,INDEX(Кабель_сопротивление,0,1),INDEX(Кабель_сопротивление,0,2))*N(Q254)*N(DU254)/1000)*N(P254)/((Uн_лин/SQRT(3))*1000)*100,2),"")</f>
        <v>0.28000000000000003</v>
      </c>
      <c r="EA254">
        <f>IFERROR(2*ρкз_Cu*N(Q254)/DY254,"")</f>
        <v>0.94680000000000009</v>
      </c>
      <c r="EB254">
        <f>IFERROR(VLOOKUP(DX254,Кабель_сопротивление,3,FALSE),"")</f>
        <v>2.2499999999999999E-2</v>
      </c>
      <c r="EC254">
        <f>IFERROR(VLOOKUP(DX254,Кабель_сопротивление,2,FALSE),"")</f>
        <v>0.1</v>
      </c>
      <c r="ED254">
        <f t="shared" si="418"/>
        <v>0</v>
      </c>
      <c r="EE254">
        <f t="shared" si="419"/>
        <v>22</v>
      </c>
      <c r="EF254">
        <f t="shared" si="420"/>
        <v>0.38017293674514668</v>
      </c>
      <c r="EG254" s="6">
        <f>IFERROR(ROUNDUP(EF254/((Uн_лин/SQRT(3))*1000)*100,2),"")</f>
        <v>0.17</v>
      </c>
      <c r="EH254" t="str">
        <f>IFERROR(VLOOKUP(BT254,Кабель_обозначение,2,FALSE),"")</f>
        <v>ВВГнг(А)-LS</v>
      </c>
      <c r="EI254" t="str">
        <f t="shared" si="421"/>
        <v>ВВГнг(А)-LS (3х2,5)</v>
      </c>
      <c r="EJ254" t="str">
        <f t="shared" si="422"/>
        <v>ВВГнг(А)-LS (3х2,5)
L=27-0,17%</v>
      </c>
      <c r="EK254">
        <f>IFERROR(2*ρкз_Cu*Q254/DX254,"")</f>
        <v>0.56808000000000003</v>
      </c>
      <c r="EL254">
        <f t="shared" si="423"/>
        <v>0.189</v>
      </c>
      <c r="EM254" s="6" t="str">
        <f>IFERROR(IF(OR(B254="",NOT(ISNUMBER(DX254)),N(Q254)=0),"",_xlfn.XLOOKUP(A254,Щиты[Щит],Щиты[Zпетли на шинах, Ом])+EK254),"")</f>
        <v/>
      </c>
      <c r="EN254" s="6" t="str">
        <f>IF(ISNUMBER(EM254),c_min*(Uн_лин*1000/SQRT(3))/EM254,"")</f>
        <v/>
      </c>
      <c r="EO254" s="6" t="str">
        <f>IFERROR(IF(OR(B254="",NOT(ISNUMBER(DX254))),"",1.05*(Uн_лин*1000/SQRT(3))/(_xlfn.XLOOKUP(A254,Щиты[Щит],Щиты[Zmax на шинах, Ом])+EL254)/1000),"")</f>
        <v/>
      </c>
      <c r="EP254" s="6" t="str">
        <f>IF(B254="","",IF(ISNUMBER(Y254),"Сил",IF(IFERROR(_xlfn.XLOOKUP(AX254,Коды_код,Коды_группа)&amp;"","")="","Быт",_xlfn.XLOOKUP(AX254,Коды_код,Коды_группа)&amp;"")))</f>
        <v>Быт</v>
      </c>
      <c r="EQ254" s="6" t="str">
        <f t="shared" si="424"/>
        <v>Быт</v>
      </c>
      <c r="ER254" s="6">
        <f>IF(EQ254="Щит","щит",IF(EQ254="","",IF(EQ254="Быт",IFERROR(_xlfn.XLOOKUP(A254,Щиты[Щит],Щиты[Кс быт]),1),IF(EQ254="Сил",IF(ISNUMBER(Y254),Y254,IF(Методика="нормы 2026",IFERROR(_xlfn.XLOOKUP(A254,Щиты[Щит],Щиты[Кс силовых (табл. 7.5)]),1),1)),IF(OR(EQ254="Пост",EQ254="Отоп"),1,IF(EQ254="ВНГ",0.7,0))))))</f>
        <v>0.57830000000000004</v>
      </c>
      <c r="ES254">
        <f t="shared" si="425"/>
        <v>1</v>
      </c>
      <c r="ET254">
        <f t="shared" si="426"/>
        <v>0.18</v>
      </c>
      <c r="EU254">
        <f t="shared" si="427"/>
        <v>0.18</v>
      </c>
      <c r="EV254">
        <f t="shared" si="428"/>
        <v>0</v>
      </c>
      <c r="EW254">
        <f t="shared" si="429"/>
        <v>0</v>
      </c>
      <c r="EX254">
        <f t="shared" si="430"/>
        <v>0</v>
      </c>
      <c r="EY254">
        <f t="shared" si="431"/>
        <v>0</v>
      </c>
      <c r="EZ254">
        <f t="shared" si="432"/>
        <v>0.18</v>
      </c>
      <c r="FA254">
        <f t="shared" si="433"/>
        <v>0.17099999999999999</v>
      </c>
      <c r="FB254">
        <f t="shared" si="434"/>
        <v>0.18</v>
      </c>
      <c r="FC254" t="str">
        <f t="shared" si="435"/>
        <v/>
      </c>
      <c r="FD254" t="str">
        <f>IF(B254="","",IF(CA254=0,IF(AW254=1,"",FF253),IF(OR(N(CV254)&gt;=3,N(BR254)&gt;=3),"L1,L2,L3",IFERROR(_xlfn.TEXTBEFORE(_xlfn.TEXTAFTER(_xlfn.XLOOKUP(A254,Щиты[Щит],Щиты[_фазы авто]),";"&amp;AW254&amp;":"),";"),"L1"))))</f>
        <v>L1</v>
      </c>
      <c r="FE254" t="str">
        <f t="shared" si="436"/>
        <v>L1</v>
      </c>
      <c r="FF254" t="str">
        <f t="shared" si="437"/>
        <v>L1</v>
      </c>
      <c r="FG254" cm="1">
        <f t="array" ref="FG254">IFERROR(IF(BX254=2,_xlfn.IFS(BR254=3,VLOOKUP(BN254,Справочная_двигатели,3,FALSE),BR254=1,VLOOKUP(BN254,Справочная_двигатели,5,TRUE)),0),0)</f>
        <v>0</v>
      </c>
      <c r="FH254">
        <f>IFERROR(IF(BX254=3,VLOOKUP(BN254,Справочная_ЛЭД,2,TRUE),0),0)</f>
        <v>0</v>
      </c>
      <c r="FI254" s="6">
        <f t="shared" si="438"/>
        <v>0</v>
      </c>
      <c r="FJ254" t="str" cm="1">
        <f t="array" ref="FJ254">IF(B254="","",IFERROR(INDEX({"I особая","I","II","III"},MATCH(TRIM(AC254&amp;""),{"I особая","I","II","III"},0)),"III"))</f>
        <v>II</v>
      </c>
      <c r="FK254" t="str">
        <f>IF(B254="","",IF(TRIM(AD254&amp;"")&lt;&gt;"",IF(LOWER(TRIM(AD254&amp;""))="да","да","нет"),IF(IFERROR(_xlfn.XLOOKUP(AX254,Коды_код,Коды_пожарная),"")="да","да","нет")))</f>
        <v>нет</v>
      </c>
      <c r="FL254" t="str">
        <f t="shared" si="439"/>
        <v/>
      </c>
      <c r="FM254" t="str">
        <f t="shared" si="440"/>
        <v>основная</v>
      </c>
      <c r="FN254">
        <f t="shared" si="441"/>
        <v>1</v>
      </c>
      <c r="FO254" t="str" cm="1">
        <f t="array" ref="FO254">IF(B254="","",_xlfn.LET(_xlpm.t,IFERROR(_xlfn.XLOOKUP(1,(Шины[Шина]=FM254)*(((Шины[Щит]=A254)+(Шины[Щит]=""))&gt;0),Шины[Тип]),"")&amp;"",IF(_xlpm.t&lt;&gt;"",_xlpm.t,IF(ISNUMBER(SEARCH("ИБП",FM254)),"ИБП",IF(ISNUMBER(SEARCH("ДГУ",FM254)),"ДГУ","Ввод "&amp;FN254)))))</f>
        <v>Ввод 1</v>
      </c>
      <c r="FP254" t="str">
        <f t="shared" si="442"/>
        <v>Ввод 1</v>
      </c>
      <c r="FQ254" t="str">
        <f>IF(B254="","",IF(OR(FO254="ИБП",FO254="ДГУ"),"I особая",IF(FO254="Одиночная","III",_xlfn.XLOOKUP(A254,Щиты[Щит],Щиты[Категория шины «Ввод»],"III"))))</f>
        <v>II</v>
      </c>
      <c r="FR254">
        <f>IF(B254="",0,IFERROR(MATCH(FJ254,{"III","II","I","I особая"},0),1))</f>
        <v>2</v>
      </c>
      <c r="FS254">
        <f t="shared" si="443"/>
        <v>2</v>
      </c>
      <c r="FT254" t="str">
        <f>IF(B254="","",IF(FR254&gt;IFERROR(MATCH(FQ254,{"III","II","I","I особая"},0),1),"НЕ ОБЕСПЕЧЕНА","ОК"))</f>
        <v>ОК</v>
      </c>
      <c r="FU254" t="str">
        <f>IF(A254="","",_xlfn.XLOOKUP(A254,Щиты[Щит],Щиты[Путь],""))</f>
        <v>|ГРЩ-ЖД|ЩР-1|</v>
      </c>
      <c r="FV254" t="str">
        <f>IF(B254="","",IF(AE254&lt;&gt;"",AE254,IF(IFERROR(_xlfn.XLOOKUP(AX254,Коды_код,Коды_вид)&amp;"","")="","Прочее",_xlfn.XLOOKUP(AX254,Коды_код,Коды_вид)&amp;"")))</f>
        <v>Розеточная сеть и бытовые приборы</v>
      </c>
      <c r="FW254">
        <f>IF(BH254="","",INT((BH254-1)/Столбцов_на_лист)+1)</f>
        <v>3</v>
      </c>
      <c r="FX254" t="str">
        <f t="shared" si="444"/>
        <v>ВВГнг(А)-LS (3х2,5) L=27-0,17%</v>
      </c>
      <c r="FY254">
        <f t="shared" si="445"/>
        <v>0.18</v>
      </c>
      <c r="FZ254">
        <f t="shared" si="446"/>
        <v>0.83</v>
      </c>
      <c r="GA254">
        <f t="shared" si="447"/>
        <v>1</v>
      </c>
      <c r="GB254">
        <f t="shared" si="448"/>
        <v>0</v>
      </c>
      <c r="GC254">
        <f t="shared" si="449"/>
        <v>1</v>
      </c>
      <c r="GD254">
        <f>IF(BH254="","",IF(AND(CA254=1,GC254=1),COUNTIFS(A$3:A254,A254,CA$3:CA254,1,GC$3:GC254,1),IF(OR(OR(AW254=1,A254&lt;&gt;A253),AF254="вручную",GC254=0),"",IF(AW254=1,"",GE253))))</f>
        <v>30</v>
      </c>
      <c r="GE254">
        <f t="shared" si="450"/>
        <v>30</v>
      </c>
      <c r="GF254">
        <f>IF(B254="","",IFERROR(LOOKUP(INDEX(CHOOSE(DL254,Iдоп_1ж,Iдоп_2ж,Iдоп_3ж),MATCH(DX254,Iдоп_S,0))*DJ254*DK254,{6,10,16,20,25,32,40,50,63,80,100,125,160,200,250,315,400,500,630}),""))</f>
        <v>25</v>
      </c>
      <c r="GG254" t="str">
        <f t="shared" si="451"/>
        <v>QFD30</v>
      </c>
      <c r="GH254" t="str">
        <f t="shared" si="452"/>
        <v>QFD30</v>
      </c>
      <c r="GI254" t="str">
        <f t="shared" si="453"/>
        <v/>
      </c>
      <c r="GJ254">
        <f t="shared" si="454"/>
        <v>0</v>
      </c>
      <c r="GK254" t="str">
        <f>IF(OR(AG254="",AG254="-"),"",IFERROR(VLOOKUP(AG254,Модули_спр,2,FALSE),"R"))</f>
        <v/>
      </c>
      <c r="GL254" t="str">
        <f>IF(GK254="","",GK254&amp;"."&amp;COUNTIFS(A$3:A254,A254,GK$3:GK254,GK254))</f>
        <v/>
      </c>
      <c r="GM254" t="str">
        <f t="shared" si="455"/>
        <v/>
      </c>
      <c r="GN254" t="str">
        <f t="shared" si="456"/>
        <v/>
      </c>
      <c r="GO254" t="str">
        <f t="shared" si="457"/>
        <v/>
      </c>
      <c r="GP254" t="str">
        <f t="shared" si="458"/>
        <v/>
      </c>
      <c r="GQ254">
        <f t="shared" si="459"/>
        <v>1</v>
      </c>
      <c r="GR254" t="str">
        <f>IF(GQ254=1,"XT"&amp;COUNTIFS(A$3:A254,A254,GQ$3:GQ254,1),"")</f>
        <v>XT30</v>
      </c>
      <c r="GS254" t="str">
        <f t="shared" si="460"/>
        <v/>
      </c>
      <c r="GT254" t="str">
        <f t="shared" si="461"/>
        <v>QFD30</v>
      </c>
      <c r="GU254" t="str">
        <f t="shared" si="462"/>
        <v/>
      </c>
      <c r="GV254" t="str">
        <f t="shared" si="463"/>
        <v>ok</v>
      </c>
      <c r="GW254" t="str">
        <f>IF(OR(GO254="",GM254=""),"",IF(GO254&gt;IFERROR(VLOOKUP(GN254,Модули_спр,3,FALSE),99),"ЛИШНИЙ КАНАЛ",IF(AND(AH254&lt;&gt;"=",COUNTIFS(Линии[_модуль гр.],GM254,Линии[Канал (итог)],GO254,Линии[Канал],"&lt;&gt;=",Линии[Щит],A254)&gt;1),"ДУБЛЬ КАНАЛА","")))</f>
        <v/>
      </c>
      <c r="GX254" s="6" t="str">
        <f t="shared" si="464"/>
        <v/>
      </c>
      <c r="GY254">
        <f t="shared" si="465"/>
        <v>10</v>
      </c>
      <c r="GZ254" t="str">
        <f t="shared" si="466"/>
        <v/>
      </c>
      <c r="HA254" t="str">
        <f>IF(AND(B254="",GT254=""),"",_xlfn.TEXTJOIN("; ",TRUE,IF(AND(B254&lt;&gt;"",FE254=""),"нет фазы",""),IF(AND(B254&lt;&gt;"",N(FY254)=0,EQ254&lt;&gt;"Нет"),"нет мощности",""),IF(AND(GS254&lt;&gt;"",COUNTIFS(Линии[Щит],A254,Линии[Клемма (итог)],GS254)&gt;1),"дубль клеммы "&amp;GS254,""),IF(AND(GV254&lt;&gt;"",GV254&lt;&gt;"ok"),GV254,""),IF(GW254&lt;&gt;"",GW254,""),IF(AND(N(BV254)&gt;=4,N(BR254)=1),BV254&amp;" жил на 1 фазе",""),IF(AND(AX254="R",CA254=1,OR(N(CK254)=0,N(CK254)&gt;30)),"розетка без дифзащиты до 30 мА",""),IFERROR(IF(AND(ISNUMBER(R254),R254&gt;DV254),"потери "&amp;FIXED(R254,1)&amp;" % &gt; "&amp;DV254&amp;" %",""),""),IFERROR(IF(LEFT(GZ254,4)="мало","Iкз мало — отключение &gt; 0,4 с",""),""),IF(AND(B254&lt;&gt;"",BH254=""),"не на схеме",""),IF(AND(CA254=0,B254&lt;&gt;"",FE254&lt;&gt;"",IF(AW254=1,"",FF253)&lt;&gt;"",FE254&lt;&gt;IF(AW254=1,"",FF253)),"фаза не как у автомата группы ("&amp;IF(AW254=1,"",FF253)&amp;")","")))</f>
        <v/>
      </c>
      <c r="HB254" s="6">
        <f>IF(OR(CA254=0,DA254=""),"",_xlfn.LET(_xlpm.t,IFERROR(_xlfn.XLOOKUP(DA254,Каталог!$U$4:$U$500,Каталог!$G$4:$G$500),""),_xlpm.k,SEARCH("кА",_xlpm.t),IFERROR(--TRIM(RIGHT(SUBSTITUTE(MID(_xlpm.t,MAX(1,_xlpm.k-4),_xlpm.k-MAX(1,_xlpm.k-4))," ",REPT(" ",9)),5)),"")))</f>
        <v>6</v>
      </c>
      <c r="HC254" t="str">
        <f>IF(OR(HB254="",CA254=0),"",IF(_xlfn.XLOOKUP(A254,Щиты[Щит],Щиты[Iкз max на шинах, кА],"")="","",IF(HB254&lt;_xlfn.XLOOKUP(A254,Щиты[Щит],Щиты[Iкз max на шинах, кА]),"Icu "&amp;HB254&amp;" кА &lt; Iкз max","ok")))</f>
        <v/>
      </c>
      <c r="HD254" t="str">
        <f t="shared" si="467"/>
        <v/>
      </c>
      <c r="HE254" t="str">
        <f t="shared" si="468"/>
        <v>QFD30</v>
      </c>
      <c r="HF254" t="str">
        <f t="shared" si="469"/>
        <v>QFD30|кабель ВВГнг(А)-LS (3х2,5) → Розеточная группа, пом. 009A</v>
      </c>
      <c r="HG254" t="str" cm="1">
        <f t="array" ref="HG254">IF(HF254="","",_xlfn.LET(_xlpm.nd,_xlfn.TEXTSPLIT(HF254,"|"),IF(COLUMNS(_xlpm.nd)&gt;1,A254&amp;"¦"&amp;INDEX(_xlpm.nd,1)&amp;"¦"&amp;INDEX(_xlpm.nd,2),"")))</f>
        <v>ЩР-1¦QFD30¦кабель ВВГнг(А)-LS (3х2,5) → Розеточная группа, пом. 009A</v>
      </c>
      <c r="HH254" t="str">
        <f t="shared" si="470"/>
        <v>R.1.009A.1¦Розеточная группа, пом. 009A</v>
      </c>
      <c r="HI254" t="str" cm="1">
        <f t="array" ref="HI254">IF(HF254="","",_xlfn.LET(_xlpm.nd,_xlfn.TEXTSPLIT(HF254,"|"),IF(COLUMNS(_xlpm.nd)&gt;2,A254&amp;"¦"&amp;INDEX(_xlpm.nd,2)&amp;"¦"&amp;INDEX(_xlpm.nd,3),"")))</f>
        <v/>
      </c>
      <c r="HJ254" t="str">
        <f t="shared" si="471"/>
        <v/>
      </c>
      <c r="HK254" t="str" cm="1">
        <f t="array" ref="HK254">IF(HF254="","",_xlfn.LET(_xlpm.nd,_xlfn.TEXTSPLIT(HF254,"|"),IF(COLUMNS(_xlpm.nd)&gt;3,A254&amp;"¦"&amp;INDEX(_xlpm.nd,3)&amp;"¦"&amp;INDEX(_xlpm.nd,4),"")))</f>
        <v/>
      </c>
      <c r="HL254" t="str">
        <f t="shared" si="472"/>
        <v/>
      </c>
      <c r="HM254" t="str" cm="1">
        <f t="array" ref="HM254">IF(HF254="","",_xlfn.LET(_xlpm.nd,_xlfn.TEXTSPLIT(HF254,"|"),IF(COLUMNS(_xlpm.nd)&gt;4,A254&amp;"¦"&amp;INDEX(_xlpm.nd,4)&amp;"¦"&amp;INDEX(_xlpm.nd,5),"")))</f>
        <v/>
      </c>
      <c r="HN254" t="str">
        <f t="shared" si="473"/>
        <v/>
      </c>
      <c r="HO254" t="str" cm="1">
        <f t="array" ref="HO254">IF(HF254="","",_xlfn.LET(_xlpm.nd,_xlfn.TEXTSPLIT(HF254,"|"),IF(COLUMNS(_xlpm.nd)&gt;5,A254&amp;"¦"&amp;INDEX(_xlpm.nd,5)&amp;"¦"&amp;INDEX(_xlpm.nd,6),"")))</f>
        <v/>
      </c>
      <c r="HP254" t="str">
        <f t="shared" si="474"/>
        <v/>
      </c>
      <c r="HQ254" t="str" cm="1">
        <f t="array" ref="HQ254">IF(HF254="","",_xlfn.LET(_xlpm.nd,_xlfn.TEXTSPLIT(HF254,"|"),IF(COLUMNS(_xlpm.nd)&gt;6,A254&amp;"¦"&amp;INDEX(_xlpm.nd,6)&amp;"¦"&amp;INDEX(_xlpm.nd,7),"")))</f>
        <v/>
      </c>
      <c r="HR254" t="str">
        <f t="shared" si="475"/>
        <v/>
      </c>
      <c r="HS254" t="str">
        <f t="shared" si="476"/>
        <v/>
      </c>
      <c r="HT254" t="str">
        <f t="shared" si="477"/>
        <v>QFD30</v>
      </c>
      <c r="HU254">
        <f t="shared" si="478"/>
        <v>0</v>
      </c>
      <c r="HV254">
        <f t="shared" si="479"/>
        <v>1</v>
      </c>
      <c r="HW254" t="str">
        <f t="shared" si="480"/>
        <v/>
      </c>
      <c r="HX254" t="str">
        <f t="shared" si="481"/>
        <v/>
      </c>
      <c r="HY254" t="str">
        <f t="shared" si="482"/>
        <v/>
      </c>
      <c r="HZ254" t="str">
        <f t="shared" si="483"/>
        <v/>
      </c>
      <c r="IA254" t="str">
        <f>IF(B254="","",IFERROR(VLOOKUP(B254,УГО_спр,2,FALSE),IFERROR(VLOOKUP(AX254,УГО_спр,2,FALSE),IFERROR(VLOOKUP(LEFT(AX254,2),УГО_спр,2,FALSE),""))))</f>
        <v>Розетка</v>
      </c>
      <c r="IB254" t="str">
        <f>IF(B254="","",IF(OR(IA254="",IA254=0),"BOX",IFERROR(IF(VLOOKUP(IA254,УГО_блоки,3,FALSE)&amp;""&lt;&gt;"",VLOOKUP(IA254,УГО_блоки,3,FALSE),VLOOKUP(IA254,УГО_блоки,2,FALSE)),IA254)))</f>
        <v>SOCKET</v>
      </c>
      <c r="IC254">
        <f t="shared" si="484"/>
        <v>1</v>
      </c>
      <c r="ID254" t="str">
        <f>IF(DA254="","",IF(COUNTIF(DA$3:DA254,DA254)=1,MAX(ID$2:ID253)+1,""))</f>
        <v/>
      </c>
      <c r="IE254" t="str">
        <f>IF(CO254="","",IF(COUNTIF(CO$3:CO254,CO254)+COUNTIF(CP$2:CP253,CO254)+COUNTIF(CQ$2:CQ253,CO254)=1,MAX(IE$2:IG253)+1,""))</f>
        <v/>
      </c>
      <c r="IF254" t="str">
        <f>IF(CP254="","",IF(COUNTIF(CO$3:CO254,CP254)+COUNTIF(CP$3:CP254,CP254)+COUNTIF(CQ$2:CQ253,CP254)=1,MAX(IE$2:IG253,IE254)+1,""))</f>
        <v/>
      </c>
      <c r="IG254" t="str">
        <f>IF(CQ254="","",IF(COUNTIF(CO$3:CO254,CQ254)+COUNTIF(CP$3:CP254,CQ254)+COUNTIF(CQ$3:CQ254,CQ254)=1,MAX(IE$2:IG253,IE254,IF254)+1,""))</f>
        <v/>
      </c>
      <c r="IH254" t="str">
        <f t="shared" si="485"/>
        <v>3х2,5</v>
      </c>
      <c r="II254" t="str">
        <f>IF(IH254="","",IF(COUNTIF(IH$3:IH254,IH254)=1,MAX(II$2:II253)+1,""))</f>
        <v/>
      </c>
      <c r="IJ254" t="str">
        <f>IF(GL254="","",COUNTIF(GL$3:GL254,"?*"))</f>
        <v/>
      </c>
      <c r="IK254" t="str">
        <f>IF(OR(GL254="",GN254=""),"",IF(COUNTIFS(GL$3:GL254,"?*",GN$3:GN254,GN254)=1,MAX(IK$2:IK253)+1,""))</f>
        <v/>
      </c>
      <c r="IL254">
        <f t="shared" si="486"/>
        <v>0</v>
      </c>
      <c r="IM254">
        <f>IF(B254="","",COUNTIF(B$3:B254,"?*"))</f>
        <v>252</v>
      </c>
      <c r="IN254">
        <f>IF(GQ254&lt;&gt;1,0,_xlfn.LET(_xlpm.k,MAX(IFERROR(--VLOOKUP(B254,УГО_спр,5,FALSE),0),IFERROR(--VLOOKUP(AX254,УГО_спр,5,FALSE),0),IFERROR(--VLOOKUP(LEFT(AX254,2),УГО_спр,5,FALSE),0)),IF(_xlpm.k&gt;0,_xlpm.k,IF(IFERROR(--LEFT(SUBSTITUTE(IH254,"x","х"),FIND("х",SUBSTITUTE(IH254,"x","х"))-1),3)&gt;3,Каталог!$S$9,1))))</f>
        <v>1</v>
      </c>
      <c r="IO254">
        <f t="shared" si="487"/>
        <v>0</v>
      </c>
      <c r="IP254" t="str">
        <f t="shared" si="488"/>
        <v>авто</v>
      </c>
      <c r="IQ254">
        <f t="shared" si="489"/>
        <v>30</v>
      </c>
      <c r="IR254">
        <f t="shared" si="490"/>
        <v>1</v>
      </c>
      <c r="IS254">
        <f t="shared" si="491"/>
        <v>1</v>
      </c>
    </row>
    <row r="255" spans="1:253" x14ac:dyDescent="0.3">
      <c r="A255" t="s">
        <v>759</v>
      </c>
      <c r="B255" t="s">
        <v>1520</v>
      </c>
      <c r="C255" t="str">
        <f>Линии[[#This Row],[_авто наименование]]</f>
        <v>Розеточная группа, пом. 010A</v>
      </c>
      <c r="D255">
        <v>2</v>
      </c>
      <c r="E255">
        <v>0.24</v>
      </c>
      <c r="G255" t="str">
        <f>Линии[[#This Row],[_авто автомат]]</f>
        <v>2P С16А 30мА</v>
      </c>
      <c r="H255">
        <f>Линии[[#This Row],[_авто утечка]]</f>
        <v>30</v>
      </c>
      <c r="I255" t="str">
        <f>Линии[[#This Row],[_авто управление]]</f>
        <v/>
      </c>
      <c r="J255" t="str">
        <f>Линии[[#This Row],[_авто аппараты]]</f>
        <v/>
      </c>
      <c r="K255">
        <v>2.5</v>
      </c>
      <c r="L255">
        <v>36</v>
      </c>
      <c r="M255" t="str">
        <f>Линии[[#This Row],[_авто фаза]]</f>
        <v>L1</v>
      </c>
      <c r="N255" t="s">
        <v>486</v>
      </c>
      <c r="O255" t="str">
        <f t="shared" si="369"/>
        <v/>
      </c>
      <c r="P255" s="6" cm="1">
        <f t="array" ref="P255">IF(B255="","",IF(BC255&lt;&gt;"",IFERROR(_xlfn.XLOOKUP(BC255,Щиты[Щит],Щиты[Iр, А]),""),IF(BK255=1,IFERROR(_xlfn.XLOOKUP(A255,Щиты[Щит],Щиты[Iр, А]),""),IFERROR(_xlfn.IFS(BR255=1,BN255/((Uн_лин/SQRT(3))*BY255),BR255=3,BN255/(SQRT(3)*Uн_лин*BY255)),""))))</f>
        <v>1.0939268258329751</v>
      </c>
      <c r="Q255" s="7">
        <f>IF(B255="","",IFERROR(IF(VLOOKUP(AX255,Потребители_обозначение,4,FALSE)=1,VLOOKUP(AX255,Потребители_обозначение,3,FALSE)*(D255*2-1)+DS255+VLOOKUP(AZ255,Этаж_обозначение,3,FALSE)+VLOOKUP(AZ255,Этаж_обозначение,4,FALSE),VLOOKUP(AX255,Потребители_обозначение,3,FALSE)*(D255*2-1)+DS255),DS255))</f>
        <v>45</v>
      </c>
      <c r="R255" s="6">
        <f t="shared" si="370"/>
        <v>1.56</v>
      </c>
      <c r="S255" t="str">
        <f t="shared" si="371"/>
        <v>ВВГнг(А)-LS (3х2,5)</v>
      </c>
      <c r="T255" t="str">
        <f>IF(BH255="","",IF(BI255="вводной узел","узел ","")&amp;"л."&amp;(INT((BH255-1)/Столбцов_на_лист)+1)&amp;" / "&amp;(MOD(BH255-1,Столбцов_на_лист)+1))</f>
        <v>л.4 / 1</v>
      </c>
      <c r="V255">
        <v>1</v>
      </c>
      <c r="W255">
        <v>230</v>
      </c>
      <c r="X255" t="s">
        <v>564</v>
      </c>
      <c r="AC255" t="s">
        <v>815</v>
      </c>
      <c r="AE255" t="s">
        <v>563</v>
      </c>
      <c r="AI255">
        <v>52</v>
      </c>
      <c r="AJ255" t="s">
        <v>11</v>
      </c>
      <c r="AK255">
        <v>3</v>
      </c>
      <c r="AM255">
        <v>0</v>
      </c>
      <c r="AN255">
        <v>0</v>
      </c>
      <c r="AO255">
        <v>40</v>
      </c>
      <c r="AW255" cm="1">
        <f t="array" ref="AW255">ROW()-ROW(Линии[#Headers])</f>
        <v>253</v>
      </c>
      <c r="AX255" s="6" t="str">
        <f t="shared" si="372"/>
        <v>R</v>
      </c>
      <c r="AY255" t="str">
        <f t="shared" si="373"/>
        <v>1.010A.1</v>
      </c>
      <c r="AZ255" t="str">
        <f t="shared" si="374"/>
        <v>1</v>
      </c>
      <c r="BA255" t="str">
        <f t="shared" si="375"/>
        <v>010A.1</v>
      </c>
      <c r="BB255" t="str">
        <f t="shared" si="376"/>
        <v>010A</v>
      </c>
      <c r="BC255" t="str">
        <f>IF(U255&lt;&gt;"",U255,IF(AND(B255&lt;&gt;"",B255&lt;&gt;A255,ISNUMBER(_xlfn.XMATCH(B255,Щиты[Щит]))),B255,""))</f>
        <v/>
      </c>
      <c r="BD255" t="str" cm="1">
        <f t="array" ref="BD255">IF(B255="","",IF(BC255&lt;&gt;"","Щит "&amp;BC255,_xlfn.LET(_xlpm.nm,IFERROR(_xlfn.XLOOKUP(AX255,Коды_код,Коды_имя)&amp;"",""),_xlpm.md,IFERROR(N(_xlfn.XLOOKUP(AX255,Коды_код,Коды_режим)),1),_xlpm.ex,IF(Имя_режим="по экспликации",IFERROR(_xlfn.XLOOKUP(AZ255&amp;"|"&amp;BB255,Экспликация[Этаж]&amp;"|"&amp;Экспликация[Помещение],Экспликация[Название])&amp;"",""),""),_xlpm.rm,IF(BB255="","",IF(_xlpm.ex&lt;&gt;"",". "&amp;_xlpm.ex&amp;IF(Имя_пом="нет"," ("&amp;BB255&amp;")"," (пом. "&amp;BB255&amp;")"),IF(Имя_пом="нет"," ",", пом. ")&amp;BB255)),IF(_xlpm.nm="","",IF(_xlpm.md=2,_xlpm.nm&amp;" шлейф "&amp;AZ255,_xlpm.nm&amp;_xlpm.rm)))))</f>
        <v>Розеточная группа, пом. 010A</v>
      </c>
      <c r="BE255" t="str">
        <f t="shared" si="377"/>
        <v>Розеточная группа, пом. 010A</v>
      </c>
      <c r="BF255">
        <f>IFERROR(_xlfn.XMATCH(A255,Щиты[Щит]),0)</f>
        <v>10</v>
      </c>
      <c r="BG255">
        <f>_xlfn.LET(_xlpm.k,IFERROR(_xlfn.XLOOKUP(A255,Щиты[Щит],Щиты[Листов под вводной узел]),""),IF(_xlpm.k="",1,N(_xlpm.k))*Столбцов_на_лист)</f>
        <v>17</v>
      </c>
      <c r="BH255">
        <f t="shared" si="378"/>
        <v>52</v>
      </c>
      <c r="BI255" t="str">
        <f t="shared" si="379"/>
        <v>линии</v>
      </c>
      <c r="BJ255" s="6">
        <f>IFERROR(N(_xlfn.XLOOKUP(AX255,Коды_код,Коды_квт)),0)</f>
        <v>0</v>
      </c>
      <c r="BK255">
        <f t="shared" si="380"/>
        <v>0</v>
      </c>
      <c r="BL255" t="str">
        <f>IF(B255="","",IF(BC255&lt;&gt;"",IFERROR(_xlfn.XLOOKUP(BC255,Щиты[Щит],Щиты[Руст, кВт]),0),IF(BK255=1,IFERROR(_xlfn.XLOOKUP(A255,Щиты[Щит],Щиты[Руст, кВт]),0),IF(BJ255&gt;0,ROUND(BJ255*MAX(1,N(D255)),3),""))))</f>
        <v/>
      </c>
      <c r="BM255">
        <f t="shared" si="381"/>
        <v>0.24</v>
      </c>
      <c r="BN255" s="6">
        <f>IF(B255="","",IF(BC255&lt;&gt;"",IFERROR(_xlfn.XLOOKUP(BC255,Щиты[Щит],Щиты[Руст, кВт]),0),N(BM255)))</f>
        <v>0.24</v>
      </c>
      <c r="BO255" t="str">
        <f>IF(B255="","",IFERROR(IF(VLOOKUP(AX255,Потребители_обозначение,8,FALSE)=0,"",VLOOKUP(AX255,Потребители_обозначение,8,FALSE)),""))</f>
        <v/>
      </c>
      <c r="BP255">
        <f t="shared" si="382"/>
        <v>230</v>
      </c>
      <c r="BQ255">
        <f>IF(B255="","",IF(BC255&lt;&gt;"",3,IFERROR(IF(N(VLOOKUP(AX255,Потребители_обозначение,9,FALSE))=0,1,VLOOKUP(AX255,Потребители_обозначение,9,FALSE)),1)))</f>
        <v>1</v>
      </c>
      <c r="BR255">
        <f t="shared" si="383"/>
        <v>1</v>
      </c>
      <c r="BS255" t="str">
        <f>IF(B255="","",_xlfn.LET(_xlpm.bc,IFERROR(IF(VLOOKUP(AX255,Потребители_обозначение,6,FALSE)=0,"",VLOOKUP(AX255,Потребители_обозначение,6,FALSE)&amp;""),""),IF(AND(FK255="да",OR(_xlpm.bc="",_xlpm.bc="мс")),Марка_пож,IF(AND(_xlpm.bc="",BC255&lt;&gt;""),"мс",_xlpm.bc))))</f>
        <v/>
      </c>
      <c r="BT255" t="str">
        <f t="shared" si="384"/>
        <v>мс</v>
      </c>
      <c r="BU255">
        <f>IF(B255="","",_xlfn.LET(_xlpm.cc,IFERROR(N(VLOOKUP(AX255,Потребители_обозначение,7,FALSE)),0),IF(_xlpm.cc&gt;0,_xlpm.cc,IF(BT255="","",IF(N(BR255)=3,5,3)))))</f>
        <v>3</v>
      </c>
      <c r="BV255">
        <f t="shared" si="385"/>
        <v>3</v>
      </c>
      <c r="BW255">
        <f>IFERROR(N(VLOOKUP(AX255,Потребители_обозначение,10,FALSE)),0)</f>
        <v>0</v>
      </c>
      <c r="BX255">
        <f>IFERROR(VLOOKUP(AX255,Потребители_обозначение,5,FALSE),0)</f>
        <v>1</v>
      </c>
      <c r="BY255" s="6" cm="1">
        <f t="array" ref="BY255">IF(B255="","",IF(BC255&lt;&gt;"",IFERROR(_xlfn.XLOOKUP(BC255,Щиты[Щит],Щиты[cos φ]),0.95),IF(BK255=1,IFERROR(_xlfn.XLOOKUP(A255,Щиты[Щит],Щиты[cos φ]),0.95),IF(ISNUMBER(Z255),Z255,IFERROR(IF(BX255=2,_xlfn.IFS(BR255=3,VLOOKUP(BN255,Справочная_двигатели,8,FALSE),BR255=1,VLOOKUP(BN255,Справочная_двигатели,10,TRUE)),IF(AND(Методика="нормы 2026",EQ255="Сил"),0.8,0.95)),0.95)))))</f>
        <v>0.95</v>
      </c>
      <c r="BZ255">
        <f t="shared" si="386"/>
        <v>0</v>
      </c>
      <c r="CA255">
        <f t="shared" si="387"/>
        <v>1</v>
      </c>
      <c r="CB255">
        <f t="shared" si="388"/>
        <v>0</v>
      </c>
      <c r="CC255">
        <f t="shared" si="389"/>
        <v>0</v>
      </c>
      <c r="CD255">
        <f t="shared" si="390"/>
        <v>0</v>
      </c>
      <c r="CE255">
        <f t="shared" si="391"/>
        <v>0</v>
      </c>
      <c r="CF255">
        <f t="shared" si="392"/>
        <v>0</v>
      </c>
      <c r="CG255">
        <f>IF(AX255="",0,_xlfn.LET(_xlpm.v,IFERROR(VLOOKUP(B255,УГО_спр,3,FALSE),IFERROR(VLOOKUP(AX255,УГО_спр,3,FALSE),IFERROR(VLOOKUP(LEFT(AX255,2),УГО_спр,3,FALSE),""))),IF(_xlpm.v="да",30,IF(ISNUMBER(_xlpm.v),_xlpm.v,0))))</f>
        <v>30</v>
      </c>
      <c r="CH255">
        <f t="shared" si="393"/>
        <v>30</v>
      </c>
      <c r="CI255" t="str">
        <f>_xlfn.LET(_xlpm.k,IFERROR(_xlfn.XLOOKUP(AX255,Коды_код,Коды_утечка)&amp;"",""),IF(_xlpm.k="","дифавтомат",_xlpm.k))</f>
        <v>дифавтомат</v>
      </c>
      <c r="CJ255">
        <f t="shared" si="394"/>
        <v>30</v>
      </c>
      <c r="CK255">
        <f t="shared" si="395"/>
        <v>30</v>
      </c>
      <c r="CL255">
        <f>IF(B255="",0,IFERROR(--VLOOKUP(B255,УГО_спр,4,FALSE),IFERROR(--VLOOKUP(AX255,УГО_спр,4,FALSE),IFERROR(--VLOOKUP(LEFT(AX255,2),УГО_спр,4,FALSE),0))))</f>
        <v>16</v>
      </c>
      <c r="CM255" t="str">
        <f>IF(B255="","",IFERROR(_xlfn.XLOOKUP(AX255,Коды_код,Коды_апп)&amp;"",""))</f>
        <v/>
      </c>
      <c r="CN255" t="str">
        <f t="shared" si="396"/>
        <v/>
      </c>
      <c r="CO255" t="str" cm="1">
        <f t="array" ref="CO255">IF(TRIM(CN255&amp;"")="","",IFERROR(TRIM(INDEX(_xlfn.TEXTSPLIT(CN255&amp;";;;",";"),1)),""))</f>
        <v/>
      </c>
      <c r="CP255" t="str" cm="1">
        <f t="array" ref="CP255">IF(TRIM(CN255&amp;"")="","",IFERROR(TRIM(INDEX(_xlfn.TEXTSPLIT(CN255&amp;";;;",";"),2)),""))</f>
        <v/>
      </c>
      <c r="CQ255" t="str" cm="1">
        <f t="array" ref="CQ255">IF(TRIM(CN255&amp;"")="","",IFERROR(TRIM(INDEX(_xlfn.TEXTSPLIT(CN255&amp;";;;",";"),3)),""))</f>
        <v/>
      </c>
      <c r="CR255">
        <f t="shared" si="397"/>
        <v>0</v>
      </c>
      <c r="CS255" t="str">
        <f>IF(B255="","",_xlfn.LET(_xlpm.t,LOWER(AV255&amp;""),IF(ISNUMBER(SEARCH("dim",_xlpm.t)),"DIM",IF(ISNUMBER(SEARCH("dali",_xlpm.t)),"DALI",IF(OR(ISNUMBER(SEARCH("relay",_xlpm.t)),ISNUMBER(SEARCH("реле",_xlpm.t))),"Relay",IF(ISNUMBER(SEARCH("кнопк",_xlpm.t)),"",IFERROR(_xlfn.XLOOKUP(AX255,Коды_код,Коды_упр)&amp;"","")))))))</f>
        <v/>
      </c>
      <c r="CT255" t="str">
        <f t="shared" si="398"/>
        <v/>
      </c>
      <c r="CU255">
        <f>IF(B255="","",_xlfn.LET(_xlpm.ig,N(P255)+IF(AF255="вручную",0,N(CB255)),_xlpm.n0,IFERROR(VLOOKUP(_xlpm.ig,Автомат_номиналы,2,TRUE),0),_xlpm.mn,MAX(CL255,IF(AF255="вручную",0,N(CE255))),MAX(_xlpm.n0,_xlpm.mn,IF(CR255=1,Мин_автомат_БП,0))))</f>
        <v>16</v>
      </c>
      <c r="CV255">
        <f t="shared" si="399"/>
        <v>1</v>
      </c>
      <c r="CW255" t="str">
        <f t="shared" si="400"/>
        <v>2P</v>
      </c>
      <c r="CX255" t="str">
        <f>_xlfn.LET(_xlpm.cc,UPPER(TRIM(IFERROR(_xlfn.XLOOKUP(AX255,Коды_код,Коды_хар)&amp;"",""))),IF(OR(_xlpm.cc="B",_xlpm.cc="В"),"B",IF(_xlpm.cc="D","D","С")))</f>
        <v>С</v>
      </c>
      <c r="CY255" t="str">
        <f t="shared" si="401"/>
        <v>2P С16А 30мА</v>
      </c>
      <c r="CZ255" t="str">
        <f t="shared" si="402"/>
        <v>2P С16А 30мА</v>
      </c>
      <c r="DA255" t="str">
        <f t="shared" si="403"/>
        <v>2P С16А 30мА</v>
      </c>
      <c r="DB255" cm="1">
        <f t="array" ref="DB255">IF(DA255="","",_xlfn.LET(_xlpm.t,SUBSTITUTE(SUBSTITUTE(SUBSTITUTE(UPPER(DA255),"С","C"),"А","A"),"В","B"),_xlpm.tk,_xlfn.TEXTSPLIT(_xlpm.t,"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5" t="str">
        <f t="shared" si="404"/>
        <v>ok</v>
      </c>
      <c r="DD255">
        <f t="shared" si="405"/>
        <v>16</v>
      </c>
      <c r="DE255" t="str">
        <f t="shared" si="406"/>
        <v>2P С16А 30мА</v>
      </c>
      <c r="DF255">
        <f t="shared" si="407"/>
        <v>30</v>
      </c>
      <c r="DG255">
        <f t="shared" si="408"/>
        <v>1</v>
      </c>
      <c r="DH255">
        <f t="shared" si="409"/>
        <v>0</v>
      </c>
      <c r="DI255">
        <f t="shared" si="410"/>
        <v>1.0939268258329751</v>
      </c>
      <c r="DJ255">
        <f t="shared" si="411"/>
        <v>1</v>
      </c>
      <c r="DK255">
        <f>IF(ISNUMBER(AL255),AL255,К_прокл)</f>
        <v>1</v>
      </c>
      <c r="DL255">
        <f t="shared" si="412"/>
        <v>2</v>
      </c>
      <c r="DM255">
        <f>IFERROR(N(VLOOKUP(BT255,Кабель_обозначение,3,FALSE)),1)</f>
        <v>1</v>
      </c>
      <c r="DN255">
        <f>IFERROR(N(_xlfn.XLOOKUP(A255,Щиты[Щит],Щиты[ΔU до шин, %])),0)</f>
        <v>1.19</v>
      </c>
      <c r="DO255" t="str">
        <f>IFERROR(_xlfn.XLOOKUP(A255,Щиты[Щит],Щиты[Zпетли на шинах, Ом]),"")</f>
        <v/>
      </c>
      <c r="DP255">
        <f>IFERROR(N(_xlfn.XLOOKUP(A255,Щиты[Щит],Щиты[ΔU до шин (подбор), %])),0)</f>
        <v>1.19</v>
      </c>
      <c r="DQ255" t="str">
        <f>IFERROR(_xlfn.XLOOKUP(A255,Щиты[Щит],Щиты[Zпетли на шинах (подбор), Ом]),"")</f>
        <v/>
      </c>
      <c r="DR255" t="str">
        <f t="shared" si="413"/>
        <v/>
      </c>
      <c r="DS255">
        <f t="shared" si="414"/>
        <v>36</v>
      </c>
      <c r="DT255">
        <f t="shared" si="415"/>
        <v>2</v>
      </c>
      <c r="DU255">
        <f t="shared" si="416"/>
        <v>0.31</v>
      </c>
      <c r="DV255" s="6">
        <f>IF(B255="","",IF(IFERROR(VLOOKUP(AX255,УГО_спр,2,FALSE),"")="Светильник",3,4)+IF(Методика="нормы 2026",MIN(0.5,MAX(0,N(Q255)-100)*0.005),0))</f>
        <v>4</v>
      </c>
      <c r="DW255" cm="1">
        <f t="array" ref="DW255">IF(OR(B255="",BT255="",DM255&lt;&gt;1),"",_xlfn.LET(_xlpm.sz,Iдоп_S,_xlpm.t_,CHOOSE(DL255,Iдоп_1ж,Iдоп_2ж,Iдоп_3ж)*DJ255*DK255,_xlpm.inn,N(DD255),_xlpm.smin,MAX(1.5,BW255),_xlpm.L_,N(Q255)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255)*(_xlpm.rho*_xlpm.L_/_xlpm.sz*N(BY255)+_xlpm.xx*_xlpm.L_*N(DU255)/1000)*N(P255)/((Uн_лин/SQRT(3))*1000)*100,999),_xlpm.kz,IF(OR(DG255=1,NOT(ISNUMBER(DQ255)),_xlpm.L_=0,_xlpm.inn=0),1,IFERROR(--(c_min*(Uн_лин*1000/SQRT(3))/(DQ255+2*ρкз_Cu*_xlpm.L_/_xlpm.sz)&gt;=GY255*_xlpm.inn),0)),_xlpm.ok,IFERROR((_xlpm.sz&gt;=_xlpm.smin)*(_xlpm.t_&gt;=_xlpm.inn)*IF(_xlpm.L_&gt;0,(_xlpm.du_+DP255&lt;=DV255+0.00001),1)*_xlpm.kz,0),_xlpm.r_,_xlfn._xlws.FILTER(_xlpm.sz,_xlpm.ok,"не подобрано"),INDEX(_xlpm.r_,1)))</f>
        <v>1.5</v>
      </c>
      <c r="DX255">
        <f t="shared" si="417"/>
        <v>2.5</v>
      </c>
      <c r="DY255" cm="1">
        <f t="array" ref="DY255">IF(OR(B255="",BT255="",DM255&lt;&gt;1),"",_xlfn.LET(_xlpm.sz,Iдоп_S,_xlpm.t_,CHOOSE(DL255,Iдоп_1ж,Iдоп_2ж,Iдоп_3ж)*DJ255*DK255,_xlpm.ok,IFERROR((_xlpm.sz&gt;=MAX(1.5,BW255))*(_xlpm.t_&gt;=N(DD255)),0),_xlpm.r_,_xlfn._xlws.FILTER(_xlpm.sz,_xlpm.ok,""),INDEX(_xlpm.r_,1)))</f>
        <v>1.5</v>
      </c>
      <c r="DZ255" s="6" cm="1">
        <f t="array" ref="DZ255">IFERROR(ROUNDUP(N(DT255)*(_xlfn.XLOOKUP(DY255,INDEX(Кабель_сопротивление,0,1),INDEX(Кабель_сопротивление,0,3))*N(Q255)/DY255*N(BY255)+_xlfn.XLOOKUP(DY255,INDEX(Кабель_сопротивление,0,1),INDEX(Кабель_сопротивление,0,2))*N(Q255)*N(DU255)/1000)*N(P255)/((Uн_лин/SQRT(3))*1000)*100,2),"")</f>
        <v>0.61</v>
      </c>
      <c r="EA255">
        <f>IFERROR(2*ρкз_Cu*N(Q255)/DY255,"")</f>
        <v>1.5780000000000001</v>
      </c>
      <c r="EB255">
        <f>IFERROR(VLOOKUP(DX255,Кабель_сопротивление,3,FALSE),"")</f>
        <v>2.2499999999999999E-2</v>
      </c>
      <c r="EC255">
        <f>IFERROR(VLOOKUP(DX255,Кабель_сопротивление,2,FALSE),"")</f>
        <v>0.1</v>
      </c>
      <c r="ED255">
        <f t="shared" si="418"/>
        <v>0</v>
      </c>
      <c r="EE255">
        <f t="shared" si="419"/>
        <v>40</v>
      </c>
      <c r="EF255">
        <f t="shared" si="420"/>
        <v>0.84482874832254828</v>
      </c>
      <c r="EG255" s="6">
        <f>IFERROR(ROUNDUP(EF255/((Uн_лин/SQRT(3))*1000)*100,2),"")</f>
        <v>0.37</v>
      </c>
      <c r="EH255" t="str">
        <f>IFERROR(VLOOKUP(BT255,Кабель_обозначение,2,FALSE),"")</f>
        <v>ВВГнг(А)-LS</v>
      </c>
      <c r="EI255" t="str">
        <f t="shared" si="421"/>
        <v>ВВГнг(А)-LS (3х2,5)</v>
      </c>
      <c r="EJ255" t="str">
        <f t="shared" si="422"/>
        <v>ВВГнг(А)-LS (3х2,5)
L=45-0,37%</v>
      </c>
      <c r="EK255">
        <f>IFERROR(2*ρкз_Cu*Q255/DX255,"")</f>
        <v>0.94679999999999997</v>
      </c>
      <c r="EL255">
        <f t="shared" si="423"/>
        <v>0.31500000000000006</v>
      </c>
      <c r="EM255" s="6" t="str">
        <f>IFERROR(IF(OR(B255="",NOT(ISNUMBER(DX255)),N(Q255)=0),"",_xlfn.XLOOKUP(A255,Щиты[Щит],Щиты[Zпетли на шинах, Ом])+EK255),"")</f>
        <v/>
      </c>
      <c r="EN255" s="6" t="str">
        <f>IF(ISNUMBER(EM255),c_min*(Uн_лин*1000/SQRT(3))/EM255,"")</f>
        <v/>
      </c>
      <c r="EO255" s="6" t="str">
        <f>IFERROR(IF(OR(B255="",NOT(ISNUMBER(DX255))),"",1.05*(Uн_лин*1000/SQRT(3))/(_xlfn.XLOOKUP(A255,Щиты[Щит],Щиты[Zmax на шинах, Ом])+EL255)/1000),"")</f>
        <v/>
      </c>
      <c r="EP255" s="6" t="str">
        <f>IF(B255="","",IF(ISNUMBER(Y255),"Сил",IF(IFERROR(_xlfn.XLOOKUP(AX255,Коды_код,Коды_группа)&amp;"","")="","Быт",_xlfn.XLOOKUP(AX255,Коды_код,Коды_группа)&amp;"")))</f>
        <v>Быт</v>
      </c>
      <c r="EQ255" s="6" t="str">
        <f t="shared" si="424"/>
        <v>Быт</v>
      </c>
      <c r="ER255" s="6">
        <f>IF(EQ255="Щит","щит",IF(EQ255="","",IF(EQ255="Быт",IFERROR(_xlfn.XLOOKUP(A255,Щиты[Щит],Щиты[Кс быт]),1),IF(EQ255="Сил",IF(ISNUMBER(Y255),Y255,IF(Методика="нормы 2026",IFERROR(_xlfn.XLOOKUP(A255,Щиты[Щит],Щиты[Кс силовых (табл. 7.5)]),1),1)),IF(OR(EQ255="Пост",EQ255="Отоп"),1,IF(EQ255="ВНГ",0.7,0))))))</f>
        <v>0.57830000000000004</v>
      </c>
      <c r="ES255">
        <f t="shared" si="425"/>
        <v>1</v>
      </c>
      <c r="ET255">
        <f t="shared" si="426"/>
        <v>0.24</v>
      </c>
      <c r="EU255">
        <f t="shared" si="427"/>
        <v>0.24</v>
      </c>
      <c r="EV255">
        <f t="shared" si="428"/>
        <v>0</v>
      </c>
      <c r="EW255">
        <f t="shared" si="429"/>
        <v>0</v>
      </c>
      <c r="EX255">
        <f t="shared" si="430"/>
        <v>0</v>
      </c>
      <c r="EY255">
        <f t="shared" si="431"/>
        <v>0</v>
      </c>
      <c r="EZ255">
        <f t="shared" si="432"/>
        <v>0.24</v>
      </c>
      <c r="FA255">
        <f t="shared" si="433"/>
        <v>0.22799999999999998</v>
      </c>
      <c r="FB255">
        <f t="shared" si="434"/>
        <v>0.24</v>
      </c>
      <c r="FC255" t="str">
        <f t="shared" si="435"/>
        <v/>
      </c>
      <c r="FD255" t="str">
        <f>IF(B255="","",IF(CA255=0,IF(AW255=1,"",FF254),IF(OR(N(CV255)&gt;=3,N(BR255)&gt;=3),"L1,L2,L3",IFERROR(_xlfn.TEXTBEFORE(_xlfn.TEXTAFTER(_xlfn.XLOOKUP(A255,Щиты[Щит],Щиты[_фазы авто]),";"&amp;AW255&amp;":"),";"),"L1"))))</f>
        <v>L1</v>
      </c>
      <c r="FE255" t="str">
        <f t="shared" si="436"/>
        <v>L1</v>
      </c>
      <c r="FF255" t="str">
        <f t="shared" si="437"/>
        <v>L1</v>
      </c>
      <c r="FG255" cm="1">
        <f t="array" ref="FG255">IFERROR(IF(BX255=2,_xlfn.IFS(BR255=3,VLOOKUP(BN255,Справочная_двигатели,3,FALSE),BR255=1,VLOOKUP(BN255,Справочная_двигатели,5,TRUE)),0),0)</f>
        <v>0</v>
      </c>
      <c r="FH255">
        <f>IFERROR(IF(BX255=3,VLOOKUP(BN255,Справочная_ЛЭД,2,TRUE),0),0)</f>
        <v>0</v>
      </c>
      <c r="FI255" s="6">
        <f t="shared" si="438"/>
        <v>0</v>
      </c>
      <c r="FJ255" t="str" cm="1">
        <f t="array" ref="FJ255">IF(B255="","",IFERROR(INDEX({"I особая","I","II","III"},MATCH(TRIM(AC255&amp;""),{"I особая","I","II","III"},0)),"III"))</f>
        <v>II</v>
      </c>
      <c r="FK255" t="str">
        <f>IF(B255="","",IF(TRIM(AD255&amp;"")&lt;&gt;"",IF(LOWER(TRIM(AD255&amp;""))="да","да","нет"),IF(IFERROR(_xlfn.XLOOKUP(AX255,Коды_код,Коды_пожарная),"")="да","да","нет")))</f>
        <v>нет</v>
      </c>
      <c r="FL255" t="str">
        <f t="shared" si="439"/>
        <v/>
      </c>
      <c r="FM255" t="str">
        <f t="shared" si="440"/>
        <v>основная</v>
      </c>
      <c r="FN255">
        <f t="shared" si="441"/>
        <v>1</v>
      </c>
      <c r="FO255" t="str" cm="1">
        <f t="array" ref="FO255">IF(B255="","",_xlfn.LET(_xlpm.t,IFERROR(_xlfn.XLOOKUP(1,(Шины[Шина]=FM255)*(((Шины[Щит]=A255)+(Шины[Щит]=""))&gt;0),Шины[Тип]),"")&amp;"",IF(_xlpm.t&lt;&gt;"",_xlpm.t,IF(ISNUMBER(SEARCH("ИБП",FM255)),"ИБП",IF(ISNUMBER(SEARCH("ДГУ",FM255)),"ДГУ","Ввод "&amp;FN255)))))</f>
        <v>Ввод 1</v>
      </c>
      <c r="FP255" t="str">
        <f t="shared" si="442"/>
        <v>Ввод 1</v>
      </c>
      <c r="FQ255" t="str">
        <f>IF(B255="","",IF(OR(FO255="ИБП",FO255="ДГУ"),"I особая",IF(FO255="Одиночная","III",_xlfn.XLOOKUP(A255,Щиты[Щит],Щиты[Категория шины «Ввод»],"III"))))</f>
        <v>II</v>
      </c>
      <c r="FR255">
        <f>IF(B255="",0,IFERROR(MATCH(FJ255,{"III","II","I","I особая"},0),1))</f>
        <v>2</v>
      </c>
      <c r="FS255">
        <f t="shared" si="443"/>
        <v>2</v>
      </c>
      <c r="FT255" t="str">
        <f>IF(B255="","",IF(FR255&gt;IFERROR(MATCH(FQ255,{"III","II","I","I особая"},0),1),"НЕ ОБЕСПЕЧЕНА","ОК"))</f>
        <v>ОК</v>
      </c>
      <c r="FU255" t="str">
        <f>IF(A255="","",_xlfn.XLOOKUP(A255,Щиты[Щит],Щиты[Путь],""))</f>
        <v>|ГРЩ-ЖД|ЩР-1|</v>
      </c>
      <c r="FV255" t="str">
        <f>IF(B255="","",IF(AE255&lt;&gt;"",AE255,IF(IFERROR(_xlfn.XLOOKUP(AX255,Коды_код,Коды_вид)&amp;"","")="","Прочее",_xlfn.XLOOKUP(AX255,Коды_код,Коды_вид)&amp;"")))</f>
        <v>Розеточная сеть и бытовые приборы</v>
      </c>
      <c r="FW255">
        <f>IF(BH255="","",INT((BH255-1)/Столбцов_на_лист)+1)</f>
        <v>4</v>
      </c>
      <c r="FX255" t="str">
        <f t="shared" si="444"/>
        <v>ВВГнг(А)-LS (3х2,5) L=45-0,37%</v>
      </c>
      <c r="FY255">
        <f t="shared" si="445"/>
        <v>0.24</v>
      </c>
      <c r="FZ255">
        <f t="shared" si="446"/>
        <v>1.1000000000000001</v>
      </c>
      <c r="GA255">
        <f t="shared" si="447"/>
        <v>1</v>
      </c>
      <c r="GB255">
        <f t="shared" si="448"/>
        <v>0</v>
      </c>
      <c r="GC255">
        <f t="shared" si="449"/>
        <v>1</v>
      </c>
      <c r="GD255">
        <f>IF(BH255="","",IF(AND(CA255=1,GC255=1),COUNTIFS(A$3:A255,A255,CA$3:CA255,1,GC$3:GC255,1),IF(OR(OR(AW255=1,A255&lt;&gt;A254),AF255="вручную",GC255=0),"",IF(AW255=1,"",GE254))))</f>
        <v>31</v>
      </c>
      <c r="GE255">
        <f t="shared" si="450"/>
        <v>31</v>
      </c>
      <c r="GF255">
        <f>IF(B255="","",IFERROR(LOOKUP(INDEX(CHOOSE(DL255,Iдоп_1ж,Iдоп_2ж,Iдоп_3ж),MATCH(DX255,Iдоп_S,0))*DJ255*DK255,{6,10,16,20,25,32,40,50,63,80,100,125,160,200,250,315,400,500,630}),""))</f>
        <v>25</v>
      </c>
      <c r="GG255" t="str">
        <f t="shared" si="451"/>
        <v>QFD31</v>
      </c>
      <c r="GH255" t="str">
        <f t="shared" si="452"/>
        <v>QFD31</v>
      </c>
      <c r="GI255" t="str">
        <f t="shared" si="453"/>
        <v/>
      </c>
      <c r="GJ255">
        <f t="shared" si="454"/>
        <v>0</v>
      </c>
      <c r="GK255" t="str">
        <f>IF(OR(AG255="",AG255="-"),"",IFERROR(VLOOKUP(AG255,Модули_спр,2,FALSE),"R"))</f>
        <v/>
      </c>
      <c r="GL255" t="str">
        <f>IF(GK255="","",GK255&amp;"."&amp;COUNTIFS(A$3:A255,A255,GK$3:GK255,GK255))</f>
        <v/>
      </c>
      <c r="GM255" t="str">
        <f t="shared" si="455"/>
        <v/>
      </c>
      <c r="GN255" t="str">
        <f t="shared" si="456"/>
        <v/>
      </c>
      <c r="GO255" t="str">
        <f t="shared" si="457"/>
        <v/>
      </c>
      <c r="GP255" t="str">
        <f t="shared" si="458"/>
        <v/>
      </c>
      <c r="GQ255">
        <f t="shared" si="459"/>
        <v>1</v>
      </c>
      <c r="GR255" t="str">
        <f>IF(GQ255=1,"XT"&amp;COUNTIFS(A$3:A255,A255,GQ$3:GQ255,1),"")</f>
        <v>XT31</v>
      </c>
      <c r="GS255" t="str">
        <f t="shared" si="460"/>
        <v/>
      </c>
      <c r="GT255" t="str">
        <f t="shared" si="461"/>
        <v>QFD31</v>
      </c>
      <c r="GU255" t="str">
        <f t="shared" si="462"/>
        <v/>
      </c>
      <c r="GV255" t="str">
        <f t="shared" si="463"/>
        <v>ok</v>
      </c>
      <c r="GW255" t="str">
        <f>IF(OR(GO255="",GM255=""),"",IF(GO255&gt;IFERROR(VLOOKUP(GN255,Модули_спр,3,FALSE),99),"ЛИШНИЙ КАНАЛ",IF(AND(AH255&lt;&gt;"=",COUNTIFS(Линии[_модуль гр.],GM255,Линии[Канал (итог)],GO255,Линии[Канал],"&lt;&gt;=",Линии[Щит],A255)&gt;1),"ДУБЛЬ КАНАЛА","")))</f>
        <v/>
      </c>
      <c r="GX255" s="6" t="str">
        <f t="shared" si="464"/>
        <v/>
      </c>
      <c r="GY255">
        <f t="shared" si="465"/>
        <v>10</v>
      </c>
      <c r="GZ255" t="str">
        <f t="shared" si="466"/>
        <v/>
      </c>
      <c r="HA255" t="str">
        <f>IF(AND(B255="",GT255=""),"",_xlfn.TEXTJOIN("; ",TRUE,IF(AND(B255&lt;&gt;"",FE255=""),"нет фазы",""),IF(AND(B255&lt;&gt;"",N(FY255)=0,EQ255&lt;&gt;"Нет"),"нет мощности",""),IF(AND(GS255&lt;&gt;"",COUNTIFS(Линии[Щит],A255,Линии[Клемма (итог)],GS255)&gt;1),"дубль клеммы "&amp;GS255,""),IF(AND(GV255&lt;&gt;"",GV255&lt;&gt;"ok"),GV255,""),IF(GW255&lt;&gt;"",GW255,""),IF(AND(N(BV255)&gt;=4,N(BR255)=1),BV255&amp;" жил на 1 фазе",""),IF(AND(AX255="R",CA255=1,OR(N(CK255)=0,N(CK255)&gt;30)),"розетка без дифзащиты до 30 мА",""),IFERROR(IF(AND(ISNUMBER(R255),R255&gt;DV255),"потери "&amp;FIXED(R255,1)&amp;" % &gt; "&amp;DV255&amp;" %",""),""),IFERROR(IF(LEFT(GZ255,4)="мало","Iкз мало — отключение &gt; 0,4 с",""),""),IF(AND(B255&lt;&gt;"",BH255=""),"не на схеме",""),IF(AND(CA255=0,B255&lt;&gt;"",FE255&lt;&gt;"",IF(AW255=1,"",FF254)&lt;&gt;"",FE255&lt;&gt;IF(AW255=1,"",FF254)),"фаза не как у автомата группы ("&amp;IF(AW255=1,"",FF254)&amp;")","")))</f>
        <v/>
      </c>
      <c r="HB255" s="6">
        <f>IF(OR(CA255=0,DA255=""),"",_xlfn.LET(_xlpm.t,IFERROR(_xlfn.XLOOKUP(DA255,Каталог!$U$4:$U$500,Каталог!$G$4:$G$500),""),_xlpm.k,SEARCH("кА",_xlpm.t),IFERROR(--TRIM(RIGHT(SUBSTITUTE(MID(_xlpm.t,MAX(1,_xlpm.k-4),_xlpm.k-MAX(1,_xlpm.k-4))," ",REPT(" ",9)),5)),"")))</f>
        <v>6</v>
      </c>
      <c r="HC255" t="str">
        <f>IF(OR(HB255="",CA255=0),"",IF(_xlfn.XLOOKUP(A255,Щиты[Щит],Щиты[Iкз max на шинах, кА],"")="","",IF(HB255&lt;_xlfn.XLOOKUP(A255,Щиты[Щит],Щиты[Iкз max на шинах, кА]),"Icu "&amp;HB255&amp;" кА &lt; Iкз max","ok")))</f>
        <v/>
      </c>
      <c r="HD255" t="str">
        <f t="shared" si="467"/>
        <v/>
      </c>
      <c r="HE255" t="str">
        <f t="shared" si="468"/>
        <v>QFD31</v>
      </c>
      <c r="HF255" t="str">
        <f t="shared" si="469"/>
        <v>QFD31|кабель ВВГнг(А)-LS (3х2,5) → Розеточная группа, пом. 010A</v>
      </c>
      <c r="HG255" t="str" cm="1">
        <f t="array" ref="HG255">IF(HF255="","",_xlfn.LET(_xlpm.nd,_xlfn.TEXTSPLIT(HF255,"|"),IF(COLUMNS(_xlpm.nd)&gt;1,A255&amp;"¦"&amp;INDEX(_xlpm.nd,1)&amp;"¦"&amp;INDEX(_xlpm.nd,2),"")))</f>
        <v>ЩР-1¦QFD31¦кабель ВВГнг(А)-LS (3х2,5) → Розеточная группа, пом. 010A</v>
      </c>
      <c r="HH255" t="str">
        <f t="shared" si="470"/>
        <v>R.1.010A.1¦Розеточная группа, пом. 010A</v>
      </c>
      <c r="HI255" t="str" cm="1">
        <f t="array" ref="HI255">IF(HF255="","",_xlfn.LET(_xlpm.nd,_xlfn.TEXTSPLIT(HF255,"|"),IF(COLUMNS(_xlpm.nd)&gt;2,A255&amp;"¦"&amp;INDEX(_xlpm.nd,2)&amp;"¦"&amp;INDEX(_xlpm.nd,3),"")))</f>
        <v/>
      </c>
      <c r="HJ255" t="str">
        <f t="shared" si="471"/>
        <v/>
      </c>
      <c r="HK255" t="str" cm="1">
        <f t="array" ref="HK255">IF(HF255="","",_xlfn.LET(_xlpm.nd,_xlfn.TEXTSPLIT(HF255,"|"),IF(COLUMNS(_xlpm.nd)&gt;3,A255&amp;"¦"&amp;INDEX(_xlpm.nd,3)&amp;"¦"&amp;INDEX(_xlpm.nd,4),"")))</f>
        <v/>
      </c>
      <c r="HL255" t="str">
        <f t="shared" si="472"/>
        <v/>
      </c>
      <c r="HM255" t="str" cm="1">
        <f t="array" ref="HM255">IF(HF255="","",_xlfn.LET(_xlpm.nd,_xlfn.TEXTSPLIT(HF255,"|"),IF(COLUMNS(_xlpm.nd)&gt;4,A255&amp;"¦"&amp;INDEX(_xlpm.nd,4)&amp;"¦"&amp;INDEX(_xlpm.nd,5),"")))</f>
        <v/>
      </c>
      <c r="HN255" t="str">
        <f t="shared" si="473"/>
        <v/>
      </c>
      <c r="HO255" t="str" cm="1">
        <f t="array" ref="HO255">IF(HF255="","",_xlfn.LET(_xlpm.nd,_xlfn.TEXTSPLIT(HF255,"|"),IF(COLUMNS(_xlpm.nd)&gt;5,A255&amp;"¦"&amp;INDEX(_xlpm.nd,5)&amp;"¦"&amp;INDEX(_xlpm.nd,6),"")))</f>
        <v/>
      </c>
      <c r="HP255" t="str">
        <f t="shared" si="474"/>
        <v/>
      </c>
      <c r="HQ255" t="str" cm="1">
        <f t="array" ref="HQ255">IF(HF255="","",_xlfn.LET(_xlpm.nd,_xlfn.TEXTSPLIT(HF255,"|"),IF(COLUMNS(_xlpm.nd)&gt;6,A255&amp;"¦"&amp;INDEX(_xlpm.nd,6)&amp;"¦"&amp;INDEX(_xlpm.nd,7),"")))</f>
        <v/>
      </c>
      <c r="HR255" t="str">
        <f t="shared" si="475"/>
        <v/>
      </c>
      <c r="HS255" t="str">
        <f t="shared" si="476"/>
        <v/>
      </c>
      <c r="HT255" t="str">
        <f t="shared" si="477"/>
        <v>QFD31</v>
      </c>
      <c r="HU255">
        <f t="shared" si="478"/>
        <v>0</v>
      </c>
      <c r="HV255">
        <f t="shared" si="479"/>
        <v>1</v>
      </c>
      <c r="HW255" t="str">
        <f t="shared" si="480"/>
        <v/>
      </c>
      <c r="HX255" t="str">
        <f t="shared" si="481"/>
        <v/>
      </c>
      <c r="HY255" t="str">
        <f t="shared" si="482"/>
        <v/>
      </c>
      <c r="HZ255" t="str">
        <f t="shared" si="483"/>
        <v/>
      </c>
      <c r="IA255" t="str">
        <f>IF(B255="","",IFERROR(VLOOKUP(B255,УГО_спр,2,FALSE),IFERROR(VLOOKUP(AX255,УГО_спр,2,FALSE),IFERROR(VLOOKUP(LEFT(AX255,2),УГО_спр,2,FALSE),""))))</f>
        <v>Розетка</v>
      </c>
      <c r="IB255" t="str">
        <f>IF(B255="","",IF(OR(IA255="",IA255=0),"BOX",IFERROR(IF(VLOOKUP(IA255,УГО_блоки,3,FALSE)&amp;""&lt;&gt;"",VLOOKUP(IA255,УГО_блоки,3,FALSE),VLOOKUP(IA255,УГО_блоки,2,FALSE)),IA255)))</f>
        <v>SOCKET</v>
      </c>
      <c r="IC255">
        <f t="shared" si="484"/>
        <v>1</v>
      </c>
      <c r="ID255" t="str">
        <f>IF(DA255="","",IF(COUNTIF(DA$3:DA255,DA255)=1,MAX(ID$2:ID254)+1,""))</f>
        <v/>
      </c>
      <c r="IE255" t="str">
        <f>IF(CO255="","",IF(COUNTIF(CO$3:CO255,CO255)+COUNTIF(CP$2:CP254,CO255)+COUNTIF(CQ$2:CQ254,CO255)=1,MAX(IE$2:IG254)+1,""))</f>
        <v/>
      </c>
      <c r="IF255" t="str">
        <f>IF(CP255="","",IF(COUNTIF(CO$3:CO255,CP255)+COUNTIF(CP$3:CP255,CP255)+COUNTIF(CQ$2:CQ254,CP255)=1,MAX(IE$2:IG254,IE255)+1,""))</f>
        <v/>
      </c>
      <c r="IG255" t="str">
        <f>IF(CQ255="","",IF(COUNTIF(CO$3:CO255,CQ255)+COUNTIF(CP$3:CP255,CQ255)+COUNTIF(CQ$3:CQ255,CQ255)=1,MAX(IE$2:IG254,IE255,IF255)+1,""))</f>
        <v/>
      </c>
      <c r="IH255" t="str">
        <f t="shared" si="485"/>
        <v>3х2,5</v>
      </c>
      <c r="II255" t="str">
        <f>IF(IH255="","",IF(COUNTIF(IH$3:IH255,IH255)=1,MAX(II$2:II254)+1,""))</f>
        <v/>
      </c>
      <c r="IJ255" t="str">
        <f>IF(GL255="","",COUNTIF(GL$3:GL255,"?*"))</f>
        <v/>
      </c>
      <c r="IK255" t="str">
        <f>IF(OR(GL255="",GN255=""),"",IF(COUNTIFS(GL$3:GL255,"?*",GN$3:GN255,GN255)=1,MAX(IK$2:IK254)+1,""))</f>
        <v/>
      </c>
      <c r="IL255">
        <f t="shared" si="486"/>
        <v>0</v>
      </c>
      <c r="IM255">
        <f>IF(B255="","",COUNTIF(B$3:B255,"?*"))</f>
        <v>253</v>
      </c>
      <c r="IN255">
        <f>IF(GQ255&lt;&gt;1,0,_xlfn.LET(_xlpm.k,MAX(IFERROR(--VLOOKUP(B255,УГО_спр,5,FALSE),0),IFERROR(--VLOOKUP(AX255,УГО_спр,5,FALSE),0),IFERROR(--VLOOKUP(LEFT(AX255,2),УГО_спр,5,FALSE),0)),IF(_xlpm.k&gt;0,_xlpm.k,IF(IFERROR(--LEFT(SUBSTITUTE(IH255,"x","х"),FIND("х",SUBSTITUTE(IH255,"x","х"))-1),3)&gt;3,Каталог!$S$9,1))))</f>
        <v>1</v>
      </c>
      <c r="IO255">
        <f t="shared" si="487"/>
        <v>0</v>
      </c>
      <c r="IP255" t="str">
        <f t="shared" si="488"/>
        <v>авто</v>
      </c>
      <c r="IQ255">
        <f t="shared" si="489"/>
        <v>30</v>
      </c>
      <c r="IR255">
        <f t="shared" si="490"/>
        <v>1</v>
      </c>
      <c r="IS255">
        <f t="shared" si="491"/>
        <v>1</v>
      </c>
    </row>
    <row r="256" spans="1:253" x14ac:dyDescent="0.3">
      <c r="A256" t="s">
        <v>759</v>
      </c>
      <c r="B256" t="s">
        <v>1521</v>
      </c>
      <c r="C256" t="str">
        <f>Линии[[#This Row],[_авто наименование]]</f>
        <v>Розеточная группа, пом. 011A</v>
      </c>
      <c r="D256">
        <v>4</v>
      </c>
      <c r="E256">
        <v>0.42</v>
      </c>
      <c r="G256" t="str">
        <f>Линии[[#This Row],[_авто автомат]]</f>
        <v>2P С16А 30мА</v>
      </c>
      <c r="H256">
        <f>Линии[[#This Row],[_авто утечка]]</f>
        <v>30</v>
      </c>
      <c r="I256" t="str">
        <f>Линии[[#This Row],[_авто управление]]</f>
        <v/>
      </c>
      <c r="J256" t="str">
        <f>Линии[[#This Row],[_авто аппараты]]</f>
        <v/>
      </c>
      <c r="K256">
        <v>2.5</v>
      </c>
      <c r="L256">
        <v>52</v>
      </c>
      <c r="M256" t="str">
        <f>Линии[[#This Row],[_авто фаза]]</f>
        <v>L1</v>
      </c>
      <c r="N256" t="s">
        <v>486</v>
      </c>
      <c r="O256" t="str">
        <f t="shared" si="369"/>
        <v/>
      </c>
      <c r="P256" s="6" cm="1">
        <f t="array" ref="P256">IF(B256="","",IF(BC256&lt;&gt;"",IFERROR(_xlfn.XLOOKUP(BC256,Щиты[Щит],Щиты[Iр, А]),""),IF(BK256=1,IFERROR(_xlfn.XLOOKUP(A256,Щиты[Щит],Щиты[Iр, А]),""),IFERROR(_xlfn.IFS(BR256=1,BN256/((Uн_лин/SQRT(3))*BY256),BR256=3,BN256/(SQRT(3)*Uн_лин*BY256)),""))))</f>
        <v>1.9143719452077064</v>
      </c>
      <c r="Q256" s="7">
        <f>IF(B256="","",IFERROR(IF(VLOOKUP(AX256,Потребители_обозначение,4,FALSE)=1,VLOOKUP(AX256,Потребители_обозначение,3,FALSE)*(D256*2-1)+DS256+VLOOKUP(AZ256,Этаж_обозначение,3,FALSE)+VLOOKUP(AZ256,Этаж_обозначение,4,FALSE),VLOOKUP(AX256,Потребители_обозначение,3,FALSE)*(D256*2-1)+DS256),DS256))</f>
        <v>73</v>
      </c>
      <c r="R256" s="6">
        <f t="shared" si="370"/>
        <v>2.23</v>
      </c>
      <c r="S256" t="str">
        <f t="shared" si="371"/>
        <v>ВВГнг(А)-LS (3х2,5)</v>
      </c>
      <c r="T256" t="str">
        <f>IF(BH256="","",IF(BI256="вводной узел","узел ","")&amp;"л."&amp;(INT((BH256-1)/Столбцов_на_лист)+1)&amp;" / "&amp;(MOD(BH256-1,Столбцов_на_лист)+1))</f>
        <v>л.4 / 2</v>
      </c>
      <c r="V256">
        <v>1</v>
      </c>
      <c r="W256">
        <v>230</v>
      </c>
      <c r="X256" t="s">
        <v>564</v>
      </c>
      <c r="AC256" t="s">
        <v>815</v>
      </c>
      <c r="AE256" t="s">
        <v>563</v>
      </c>
      <c r="AI256">
        <v>53</v>
      </c>
      <c r="AJ256" t="s">
        <v>11</v>
      </c>
      <c r="AK256">
        <v>3</v>
      </c>
      <c r="AM256">
        <v>11</v>
      </c>
      <c r="AN256">
        <v>31</v>
      </c>
      <c r="AO256">
        <v>36</v>
      </c>
      <c r="AW256" cm="1">
        <f t="array" ref="AW256">ROW()-ROW(Линии[#Headers])</f>
        <v>254</v>
      </c>
      <c r="AX256" s="6" t="str">
        <f t="shared" si="372"/>
        <v>R</v>
      </c>
      <c r="AY256" t="str">
        <f t="shared" si="373"/>
        <v>1.011A.1</v>
      </c>
      <c r="AZ256" t="str">
        <f t="shared" si="374"/>
        <v>1</v>
      </c>
      <c r="BA256" t="str">
        <f t="shared" si="375"/>
        <v>011A.1</v>
      </c>
      <c r="BB256" t="str">
        <f t="shared" si="376"/>
        <v>011A</v>
      </c>
      <c r="BC256" t="str">
        <f>IF(U256&lt;&gt;"",U256,IF(AND(B256&lt;&gt;"",B256&lt;&gt;A256,ISNUMBER(_xlfn.XMATCH(B256,Щиты[Щит]))),B256,""))</f>
        <v/>
      </c>
      <c r="BD256" t="str" cm="1">
        <f t="array" ref="BD256">IF(B256="","",IF(BC256&lt;&gt;"","Щит "&amp;BC256,_xlfn.LET(_xlpm.nm,IFERROR(_xlfn.XLOOKUP(AX256,Коды_код,Коды_имя)&amp;"",""),_xlpm.md,IFERROR(N(_xlfn.XLOOKUP(AX256,Коды_код,Коды_режим)),1),_xlpm.ex,IF(Имя_режим="по экспликации",IFERROR(_xlfn.XLOOKUP(AZ256&amp;"|"&amp;BB256,Экспликация[Этаж]&amp;"|"&amp;Экспликация[Помещение],Экспликация[Название])&amp;"",""),""),_xlpm.rm,IF(BB256="","",IF(_xlpm.ex&lt;&gt;"",". "&amp;_xlpm.ex&amp;IF(Имя_пом="нет"," ("&amp;BB256&amp;")"," (пом. "&amp;BB256&amp;")"),IF(Имя_пом="нет"," ",", пом. ")&amp;BB256)),IF(_xlpm.nm="","",IF(_xlpm.md=2,_xlpm.nm&amp;" шлейф "&amp;AZ256,_xlpm.nm&amp;_xlpm.rm)))))</f>
        <v>Розеточная группа, пом. 011A</v>
      </c>
      <c r="BE256" t="str">
        <f t="shared" si="377"/>
        <v>Розеточная группа, пом. 011A</v>
      </c>
      <c r="BF256">
        <f>IFERROR(_xlfn.XMATCH(A256,Щиты[Щит]),0)</f>
        <v>10</v>
      </c>
      <c r="BG256">
        <f>_xlfn.LET(_xlpm.k,IFERROR(_xlfn.XLOOKUP(A256,Щиты[Щит],Щиты[Листов под вводной узел]),""),IF(_xlpm.k="",1,N(_xlpm.k))*Столбцов_на_лист)</f>
        <v>17</v>
      </c>
      <c r="BH256">
        <f t="shared" si="378"/>
        <v>53</v>
      </c>
      <c r="BI256" t="str">
        <f t="shared" si="379"/>
        <v>линии</v>
      </c>
      <c r="BJ256" s="6">
        <f>IFERROR(N(_xlfn.XLOOKUP(AX256,Коды_код,Коды_квт)),0)</f>
        <v>0</v>
      </c>
      <c r="BK256">
        <f t="shared" si="380"/>
        <v>0</v>
      </c>
      <c r="BL256" t="str">
        <f>IF(B256="","",IF(BC256&lt;&gt;"",IFERROR(_xlfn.XLOOKUP(BC256,Щиты[Щит],Щиты[Руст, кВт]),0),IF(BK256=1,IFERROR(_xlfn.XLOOKUP(A256,Щиты[Щит],Щиты[Руст, кВт]),0),IF(BJ256&gt;0,ROUND(BJ256*MAX(1,N(D256)),3),""))))</f>
        <v/>
      </c>
      <c r="BM256">
        <f t="shared" si="381"/>
        <v>0.42</v>
      </c>
      <c r="BN256" s="6">
        <f>IF(B256="","",IF(BC256&lt;&gt;"",IFERROR(_xlfn.XLOOKUP(BC256,Щиты[Щит],Щиты[Руст, кВт]),0),N(BM256)))</f>
        <v>0.42</v>
      </c>
      <c r="BO256" t="str">
        <f>IF(B256="","",IFERROR(IF(VLOOKUP(AX256,Потребители_обозначение,8,FALSE)=0,"",VLOOKUP(AX256,Потребители_обозначение,8,FALSE)),""))</f>
        <v/>
      </c>
      <c r="BP256">
        <f t="shared" si="382"/>
        <v>230</v>
      </c>
      <c r="BQ256">
        <f>IF(B256="","",IF(BC256&lt;&gt;"",3,IFERROR(IF(N(VLOOKUP(AX256,Потребители_обозначение,9,FALSE))=0,1,VLOOKUP(AX256,Потребители_обозначение,9,FALSE)),1)))</f>
        <v>1</v>
      </c>
      <c r="BR256">
        <f t="shared" si="383"/>
        <v>1</v>
      </c>
      <c r="BS256" t="str">
        <f>IF(B256="","",_xlfn.LET(_xlpm.bc,IFERROR(IF(VLOOKUP(AX256,Потребители_обозначение,6,FALSE)=0,"",VLOOKUP(AX256,Потребители_обозначение,6,FALSE)&amp;""),""),IF(AND(FK256="да",OR(_xlpm.bc="",_xlpm.bc="мс")),Марка_пож,IF(AND(_xlpm.bc="",BC256&lt;&gt;""),"мс",_xlpm.bc))))</f>
        <v/>
      </c>
      <c r="BT256" t="str">
        <f t="shared" si="384"/>
        <v>мс</v>
      </c>
      <c r="BU256">
        <f>IF(B256="","",_xlfn.LET(_xlpm.cc,IFERROR(N(VLOOKUP(AX256,Потребители_обозначение,7,FALSE)),0),IF(_xlpm.cc&gt;0,_xlpm.cc,IF(BT256="","",IF(N(BR256)=3,5,3)))))</f>
        <v>3</v>
      </c>
      <c r="BV256">
        <f t="shared" si="385"/>
        <v>3</v>
      </c>
      <c r="BW256">
        <f>IFERROR(N(VLOOKUP(AX256,Потребители_обозначение,10,FALSE)),0)</f>
        <v>0</v>
      </c>
      <c r="BX256">
        <f>IFERROR(VLOOKUP(AX256,Потребители_обозначение,5,FALSE),0)</f>
        <v>1</v>
      </c>
      <c r="BY256" s="6" cm="1">
        <f t="array" ref="BY256">IF(B256="","",IF(BC256&lt;&gt;"",IFERROR(_xlfn.XLOOKUP(BC256,Щиты[Щит],Щиты[cos φ]),0.95),IF(BK256=1,IFERROR(_xlfn.XLOOKUP(A256,Щиты[Щит],Щиты[cos φ]),0.95),IF(ISNUMBER(Z256),Z256,IFERROR(IF(BX256=2,_xlfn.IFS(BR256=3,VLOOKUP(BN256,Справочная_двигатели,8,FALSE),BR256=1,VLOOKUP(BN256,Справочная_двигатели,10,TRUE)),IF(AND(Методика="нормы 2026",EQ256="Сил"),0.8,0.95)),0.95)))))</f>
        <v>0.95</v>
      </c>
      <c r="BZ256">
        <f t="shared" si="386"/>
        <v>0</v>
      </c>
      <c r="CA256">
        <f t="shared" si="387"/>
        <v>1</v>
      </c>
      <c r="CB256">
        <f t="shared" si="388"/>
        <v>0</v>
      </c>
      <c r="CC256">
        <f t="shared" si="389"/>
        <v>0</v>
      </c>
      <c r="CD256">
        <f t="shared" si="390"/>
        <v>0</v>
      </c>
      <c r="CE256">
        <f t="shared" si="391"/>
        <v>0</v>
      </c>
      <c r="CF256">
        <f t="shared" si="392"/>
        <v>0</v>
      </c>
      <c r="CG256">
        <f>IF(AX256="",0,_xlfn.LET(_xlpm.v,IFERROR(VLOOKUP(B256,УГО_спр,3,FALSE),IFERROR(VLOOKUP(AX256,УГО_спр,3,FALSE),IFERROR(VLOOKUP(LEFT(AX256,2),УГО_спр,3,FALSE),""))),IF(_xlpm.v="да",30,IF(ISNUMBER(_xlpm.v),_xlpm.v,0))))</f>
        <v>30</v>
      </c>
      <c r="CH256">
        <f t="shared" si="393"/>
        <v>30</v>
      </c>
      <c r="CI256" t="str">
        <f>_xlfn.LET(_xlpm.k,IFERROR(_xlfn.XLOOKUP(AX256,Коды_код,Коды_утечка)&amp;"",""),IF(_xlpm.k="","дифавтомат",_xlpm.k))</f>
        <v>дифавтомат</v>
      </c>
      <c r="CJ256">
        <f t="shared" si="394"/>
        <v>30</v>
      </c>
      <c r="CK256">
        <f t="shared" si="395"/>
        <v>30</v>
      </c>
      <c r="CL256">
        <f>IF(B256="",0,IFERROR(--VLOOKUP(B256,УГО_спр,4,FALSE),IFERROR(--VLOOKUP(AX256,УГО_спр,4,FALSE),IFERROR(--VLOOKUP(LEFT(AX256,2),УГО_спр,4,FALSE),0))))</f>
        <v>16</v>
      </c>
      <c r="CM256" t="str">
        <f>IF(B256="","",IFERROR(_xlfn.XLOOKUP(AX256,Коды_код,Коды_апп)&amp;"",""))</f>
        <v/>
      </c>
      <c r="CN256" t="str">
        <f t="shared" si="396"/>
        <v/>
      </c>
      <c r="CO256" t="str" cm="1">
        <f t="array" ref="CO256">IF(TRIM(CN256&amp;"")="","",IFERROR(TRIM(INDEX(_xlfn.TEXTSPLIT(CN256&amp;";;;",";"),1)),""))</f>
        <v/>
      </c>
      <c r="CP256" t="str" cm="1">
        <f t="array" ref="CP256">IF(TRIM(CN256&amp;"")="","",IFERROR(TRIM(INDEX(_xlfn.TEXTSPLIT(CN256&amp;";;;",";"),2)),""))</f>
        <v/>
      </c>
      <c r="CQ256" t="str" cm="1">
        <f t="array" ref="CQ256">IF(TRIM(CN256&amp;"")="","",IFERROR(TRIM(INDEX(_xlfn.TEXTSPLIT(CN256&amp;";;;",";"),3)),""))</f>
        <v/>
      </c>
      <c r="CR256">
        <f t="shared" si="397"/>
        <v>0</v>
      </c>
      <c r="CS256" t="str">
        <f>IF(B256="","",_xlfn.LET(_xlpm.t,LOWER(AV256&amp;""),IF(ISNUMBER(SEARCH("dim",_xlpm.t)),"DIM",IF(ISNUMBER(SEARCH("dali",_xlpm.t)),"DALI",IF(OR(ISNUMBER(SEARCH("relay",_xlpm.t)),ISNUMBER(SEARCH("реле",_xlpm.t))),"Relay",IF(ISNUMBER(SEARCH("кнопк",_xlpm.t)),"",IFERROR(_xlfn.XLOOKUP(AX256,Коды_код,Коды_упр)&amp;"","")))))))</f>
        <v/>
      </c>
      <c r="CT256" t="str">
        <f t="shared" si="398"/>
        <v/>
      </c>
      <c r="CU256">
        <f>IF(B256="","",_xlfn.LET(_xlpm.ig,N(P256)+IF(AF256="вручную",0,N(CB256)),_xlpm.n0,IFERROR(VLOOKUP(_xlpm.ig,Автомат_номиналы,2,TRUE),0),_xlpm.mn,MAX(CL256,IF(AF256="вручную",0,N(CE256))),MAX(_xlpm.n0,_xlpm.mn,IF(CR256=1,Мин_автомат_БП,0))))</f>
        <v>16</v>
      </c>
      <c r="CV256">
        <f t="shared" si="399"/>
        <v>1</v>
      </c>
      <c r="CW256" t="str">
        <f t="shared" si="400"/>
        <v>2P</v>
      </c>
      <c r="CX256" t="str">
        <f>_xlfn.LET(_xlpm.cc,UPPER(TRIM(IFERROR(_xlfn.XLOOKUP(AX256,Коды_код,Коды_хар)&amp;"",""))),IF(OR(_xlpm.cc="B",_xlpm.cc="В"),"B",IF(_xlpm.cc="D","D","С")))</f>
        <v>С</v>
      </c>
      <c r="CY256" t="str">
        <f t="shared" si="401"/>
        <v>2P С16А 30мА</v>
      </c>
      <c r="CZ256" t="str">
        <f t="shared" si="402"/>
        <v>2P С16А 30мА</v>
      </c>
      <c r="DA256" t="str">
        <f t="shared" si="403"/>
        <v>2P С16А 30мА</v>
      </c>
      <c r="DB256" cm="1">
        <f t="array" ref="DB256">IF(DA256="","",_xlfn.LET(_xlpm.t,SUBSTITUTE(SUBSTITUTE(SUBSTITUTE(UPPER(DA256),"С","C"),"А","A"),"В","B"),_xlpm.tk,_xlfn.TEXTSPLIT(_xlpm.t,"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6" t="str">
        <f t="shared" si="404"/>
        <v>ok</v>
      </c>
      <c r="DD256">
        <f t="shared" si="405"/>
        <v>16</v>
      </c>
      <c r="DE256" t="str">
        <f t="shared" si="406"/>
        <v>2P С16А 30мА</v>
      </c>
      <c r="DF256">
        <f t="shared" si="407"/>
        <v>30</v>
      </c>
      <c r="DG256">
        <f t="shared" si="408"/>
        <v>1</v>
      </c>
      <c r="DH256">
        <f t="shared" si="409"/>
        <v>0</v>
      </c>
      <c r="DI256">
        <f t="shared" si="410"/>
        <v>1.9143719452077064</v>
      </c>
      <c r="DJ256">
        <f t="shared" si="411"/>
        <v>1</v>
      </c>
      <c r="DK256">
        <f>IF(ISNUMBER(AL256),AL256,К_прокл)</f>
        <v>1</v>
      </c>
      <c r="DL256">
        <f t="shared" si="412"/>
        <v>2</v>
      </c>
      <c r="DM256">
        <f>IFERROR(N(VLOOKUP(BT256,Кабель_обозначение,3,FALSE)),1)</f>
        <v>1</v>
      </c>
      <c r="DN256">
        <f>IFERROR(N(_xlfn.XLOOKUP(A256,Щиты[Щит],Щиты[ΔU до шин, %])),0)</f>
        <v>1.19</v>
      </c>
      <c r="DO256" t="str">
        <f>IFERROR(_xlfn.XLOOKUP(A256,Щиты[Щит],Щиты[Zпетли на шинах, Ом]),"")</f>
        <v/>
      </c>
      <c r="DP256">
        <f>IFERROR(N(_xlfn.XLOOKUP(A256,Щиты[Щит],Щиты[ΔU до шин (подбор), %])),0)</f>
        <v>1.19</v>
      </c>
      <c r="DQ256" t="str">
        <f>IFERROR(_xlfn.XLOOKUP(A256,Щиты[Щит],Щиты[Zпетли на шинах (подбор), Ом]),"")</f>
        <v/>
      </c>
      <c r="DR256" t="str">
        <f t="shared" si="413"/>
        <v/>
      </c>
      <c r="DS256">
        <f t="shared" si="414"/>
        <v>52</v>
      </c>
      <c r="DT256">
        <f t="shared" si="415"/>
        <v>2</v>
      </c>
      <c r="DU256">
        <f t="shared" si="416"/>
        <v>0.31</v>
      </c>
      <c r="DV256" s="6">
        <f>IF(B256="","",IF(IFERROR(VLOOKUP(AX256,УГО_спр,2,FALSE),"")="Светильник",3,4)+IF(Методика="нормы 2026",MIN(0.5,MAX(0,N(Q256)-100)*0.005),0))</f>
        <v>4</v>
      </c>
      <c r="DW256" cm="1">
        <f t="array" ref="DW256">IF(OR(B256="",BT256="",DM256&lt;&gt;1),"",_xlfn.LET(_xlpm.sz,Iдоп_S,_xlpm.t_,CHOOSE(DL256,Iдоп_1ж,Iдоп_2ж,Iдоп_3ж)*DJ256*DK256,_xlpm.inn,N(DD256),_xlpm.smin,MAX(1.5,BW256),_xlpm.L_,N(Q256)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256)*(_xlpm.rho*_xlpm.L_/_xlpm.sz*N(BY256)+_xlpm.xx*_xlpm.L_*N(DU256)/1000)*N(P256)/((Uн_лин/SQRT(3))*1000)*100,999),_xlpm.kz,IF(OR(DG256=1,NOT(ISNUMBER(DQ256)),_xlpm.L_=0,_xlpm.inn=0),1,IFERROR(--(c_min*(Uн_лин*1000/SQRT(3))/(DQ256+2*ρкз_Cu*_xlpm.L_/_xlpm.sz)&gt;=GY256*_xlpm.inn),0)),_xlpm.ok,IFERROR((_xlpm.sz&gt;=_xlpm.smin)*(_xlpm.t_&gt;=_xlpm.inn)*IF(_xlpm.L_&gt;0,(_xlpm.du_+DP256&lt;=DV256+0.00001),1)*_xlpm.kz,0),_xlpm.r_,_xlfn._xlws.FILTER(_xlpm.sz,_xlpm.ok,"не подобрано"),INDEX(_xlpm.r_,1)))</f>
        <v>1.5</v>
      </c>
      <c r="DX256">
        <f t="shared" si="417"/>
        <v>2.5</v>
      </c>
      <c r="DY256" cm="1">
        <f t="array" ref="DY256">IF(OR(B256="",BT256="",DM256&lt;&gt;1),"",_xlfn.LET(_xlpm.sz,Iдоп_S,_xlpm.t_,CHOOSE(DL256,Iдоп_1ж,Iдоп_2ж,Iдоп_3ж)*DJ256*DK256,_xlpm.ok,IFERROR((_xlpm.sz&gt;=MAX(1.5,BW256))*(_xlpm.t_&gt;=N(DD256)),0),_xlpm.r_,_xlfn._xlws.FILTER(_xlpm.sz,_xlpm.ok,""),INDEX(_xlpm.r_,1)))</f>
        <v>1.5</v>
      </c>
      <c r="DZ256" s="6" cm="1">
        <f t="array" ref="DZ256">IFERROR(ROUNDUP(N(DT256)*(_xlfn.XLOOKUP(DY256,INDEX(Кабель_сопротивление,0,1),INDEX(Кабель_сопротивление,0,3))*N(Q256)/DY256*N(BY256)+_xlfn.XLOOKUP(DY256,INDEX(Кабель_сопротивление,0,1),INDEX(Кабель_сопротивление,0,2))*N(Q256)*N(DU256)/1000)*N(P256)/((Uн_лин/SQRT(3))*1000)*100,2),"")</f>
        <v>1.73</v>
      </c>
      <c r="EA256">
        <f>IFERROR(2*ρкз_Cu*N(Q256)/DY256,"")</f>
        <v>2.5598666666666667</v>
      </c>
      <c r="EB256">
        <f>IFERROR(VLOOKUP(DX256,Кабель_сопротивление,3,FALSE),"")</f>
        <v>2.2499999999999999E-2</v>
      </c>
      <c r="EC256">
        <f>IFERROR(VLOOKUP(DX256,Кабель_сопротивление,2,FALSE),"")</f>
        <v>0.1</v>
      </c>
      <c r="ED256">
        <f t="shared" si="418"/>
        <v>31</v>
      </c>
      <c r="EE256">
        <f t="shared" si="419"/>
        <v>36</v>
      </c>
      <c r="EF256">
        <f t="shared" si="420"/>
        <v>2.3983749466267894</v>
      </c>
      <c r="EG256" s="6">
        <f>IFERROR(ROUNDUP(EF256/((Uн_лин/SQRT(3))*1000)*100,2),"")</f>
        <v>1.04</v>
      </c>
      <c r="EH256" t="str">
        <f>IFERROR(VLOOKUP(BT256,Кабель_обозначение,2,FALSE),"")</f>
        <v>ВВГнг(А)-LS</v>
      </c>
      <c r="EI256" t="str">
        <f t="shared" si="421"/>
        <v>ВВГнг(А)-LS (3х2,5)</v>
      </c>
      <c r="EJ256" t="str">
        <f t="shared" si="422"/>
        <v>ВВГнг(А)-LS (3х2,5)
L=73-1,04%</v>
      </c>
      <c r="EK256">
        <f>IFERROR(2*ρкз_Cu*Q256/DX256,"")</f>
        <v>1.53592</v>
      </c>
      <c r="EL256">
        <f t="shared" si="423"/>
        <v>0.51100000000000001</v>
      </c>
      <c r="EM256" s="6" t="str">
        <f>IFERROR(IF(OR(B256="",NOT(ISNUMBER(DX256)),N(Q256)=0),"",_xlfn.XLOOKUP(A256,Щиты[Щит],Щиты[Zпетли на шинах, Ом])+EK256),"")</f>
        <v/>
      </c>
      <c r="EN256" s="6" t="str">
        <f>IF(ISNUMBER(EM256),c_min*(Uн_лин*1000/SQRT(3))/EM256,"")</f>
        <v/>
      </c>
      <c r="EO256" s="6" t="str">
        <f>IFERROR(IF(OR(B256="",NOT(ISNUMBER(DX256))),"",1.05*(Uн_лин*1000/SQRT(3))/(_xlfn.XLOOKUP(A256,Щиты[Щит],Щиты[Zmax на шинах, Ом])+EL256)/1000),"")</f>
        <v/>
      </c>
      <c r="EP256" s="6" t="str">
        <f>IF(B256="","",IF(ISNUMBER(Y256),"Сил",IF(IFERROR(_xlfn.XLOOKUP(AX256,Коды_код,Коды_группа)&amp;"","")="","Быт",_xlfn.XLOOKUP(AX256,Коды_код,Коды_группа)&amp;"")))</f>
        <v>Быт</v>
      </c>
      <c r="EQ256" s="6" t="str">
        <f t="shared" si="424"/>
        <v>Быт</v>
      </c>
      <c r="ER256" s="6">
        <f>IF(EQ256="Щит","щит",IF(EQ256="","",IF(EQ256="Быт",IFERROR(_xlfn.XLOOKUP(A256,Щиты[Щит],Щиты[Кс быт]),1),IF(EQ256="Сил",IF(ISNUMBER(Y256),Y256,IF(Методика="нормы 2026",IFERROR(_xlfn.XLOOKUP(A256,Щиты[Щит],Щиты[Кс силовых (табл. 7.5)]),1),1)),IF(OR(EQ256="Пост",EQ256="Отоп"),1,IF(EQ256="ВНГ",0.7,0))))))</f>
        <v>0.57830000000000004</v>
      </c>
      <c r="ES256">
        <f t="shared" si="425"/>
        <v>1</v>
      </c>
      <c r="ET256">
        <f t="shared" si="426"/>
        <v>0.42</v>
      </c>
      <c r="EU256">
        <f t="shared" si="427"/>
        <v>0.42</v>
      </c>
      <c r="EV256">
        <f t="shared" si="428"/>
        <v>0</v>
      </c>
      <c r="EW256">
        <f t="shared" si="429"/>
        <v>0</v>
      </c>
      <c r="EX256">
        <f t="shared" si="430"/>
        <v>0</v>
      </c>
      <c r="EY256">
        <f t="shared" si="431"/>
        <v>0</v>
      </c>
      <c r="EZ256">
        <f t="shared" si="432"/>
        <v>0.42</v>
      </c>
      <c r="FA256">
        <f t="shared" si="433"/>
        <v>0.39899999999999997</v>
      </c>
      <c r="FB256">
        <f t="shared" si="434"/>
        <v>0.42</v>
      </c>
      <c r="FC256" t="str">
        <f t="shared" si="435"/>
        <v/>
      </c>
      <c r="FD256" t="str">
        <f>IF(B256="","",IF(CA256=0,IF(AW256=1,"",FF255),IF(OR(N(CV256)&gt;=3,N(BR256)&gt;=3),"L1,L2,L3",IFERROR(_xlfn.TEXTBEFORE(_xlfn.TEXTAFTER(_xlfn.XLOOKUP(A256,Щиты[Щит],Щиты[_фазы авто]),";"&amp;AW256&amp;":"),";"),"L1"))))</f>
        <v>L1</v>
      </c>
      <c r="FE256" t="str">
        <f t="shared" si="436"/>
        <v>L1</v>
      </c>
      <c r="FF256" t="str">
        <f t="shared" si="437"/>
        <v>L1</v>
      </c>
      <c r="FG256" cm="1">
        <f t="array" ref="FG256">IFERROR(IF(BX256=2,_xlfn.IFS(BR256=3,VLOOKUP(BN256,Справочная_двигатели,3,FALSE),BR256=1,VLOOKUP(BN256,Справочная_двигатели,5,TRUE)),0),0)</f>
        <v>0</v>
      </c>
      <c r="FH256">
        <f>IFERROR(IF(BX256=3,VLOOKUP(BN256,Справочная_ЛЭД,2,TRUE),0),0)</f>
        <v>0</v>
      </c>
      <c r="FI256" s="6">
        <f t="shared" si="438"/>
        <v>0</v>
      </c>
      <c r="FJ256" t="str" cm="1">
        <f t="array" ref="FJ256">IF(B256="","",IFERROR(INDEX({"I особая","I","II","III"},MATCH(TRIM(AC256&amp;""),{"I особая","I","II","III"},0)),"III"))</f>
        <v>II</v>
      </c>
      <c r="FK256" t="str">
        <f>IF(B256="","",IF(TRIM(AD256&amp;"")&lt;&gt;"",IF(LOWER(TRIM(AD256&amp;""))="да","да","нет"),IF(IFERROR(_xlfn.XLOOKUP(AX256,Коды_код,Коды_пожарная),"")="да","да","нет")))</f>
        <v>нет</v>
      </c>
      <c r="FL256" t="str">
        <f t="shared" si="439"/>
        <v/>
      </c>
      <c r="FM256" t="str">
        <f t="shared" si="440"/>
        <v>основная</v>
      </c>
      <c r="FN256">
        <f t="shared" si="441"/>
        <v>1</v>
      </c>
      <c r="FO256" t="str" cm="1">
        <f t="array" ref="FO256">IF(B256="","",_xlfn.LET(_xlpm.t,IFERROR(_xlfn.XLOOKUP(1,(Шины[Шина]=FM256)*(((Шины[Щит]=A256)+(Шины[Щит]=""))&gt;0),Шины[Тип]),"")&amp;"",IF(_xlpm.t&lt;&gt;"",_xlpm.t,IF(ISNUMBER(SEARCH("ИБП",FM256)),"ИБП",IF(ISNUMBER(SEARCH("ДГУ",FM256)),"ДГУ","Ввод "&amp;FN256)))))</f>
        <v>Ввод 1</v>
      </c>
      <c r="FP256" t="str">
        <f t="shared" si="442"/>
        <v>Ввод 1</v>
      </c>
      <c r="FQ256" t="str">
        <f>IF(B256="","",IF(OR(FO256="ИБП",FO256="ДГУ"),"I особая",IF(FO256="Одиночная","III",_xlfn.XLOOKUP(A256,Щиты[Щит],Щиты[Категория шины «Ввод»],"III"))))</f>
        <v>II</v>
      </c>
      <c r="FR256">
        <f>IF(B256="",0,IFERROR(MATCH(FJ256,{"III","II","I","I особая"},0),1))</f>
        <v>2</v>
      </c>
      <c r="FS256">
        <f t="shared" si="443"/>
        <v>2</v>
      </c>
      <c r="FT256" t="str">
        <f>IF(B256="","",IF(FR256&gt;IFERROR(MATCH(FQ256,{"III","II","I","I особая"},0),1),"НЕ ОБЕСПЕЧЕНА","ОК"))</f>
        <v>ОК</v>
      </c>
      <c r="FU256" t="str">
        <f>IF(A256="","",_xlfn.XLOOKUP(A256,Щиты[Щит],Щиты[Путь],""))</f>
        <v>|ГРЩ-ЖД|ЩР-1|</v>
      </c>
      <c r="FV256" t="str">
        <f>IF(B256="","",IF(AE256&lt;&gt;"",AE256,IF(IFERROR(_xlfn.XLOOKUP(AX256,Коды_код,Коды_вид)&amp;"","")="","Прочее",_xlfn.XLOOKUP(AX256,Коды_код,Коды_вид)&amp;"")))</f>
        <v>Розеточная сеть и бытовые приборы</v>
      </c>
      <c r="FW256">
        <f>IF(BH256="","",INT((BH256-1)/Столбцов_на_лист)+1)</f>
        <v>4</v>
      </c>
      <c r="FX256" t="str">
        <f t="shared" si="444"/>
        <v>ВВГнг(А)-LS (3х2,5) L=73-1,04%</v>
      </c>
      <c r="FY256">
        <f t="shared" si="445"/>
        <v>0.42</v>
      </c>
      <c r="FZ256">
        <f t="shared" si="446"/>
        <v>1.92</v>
      </c>
      <c r="GA256">
        <f t="shared" si="447"/>
        <v>1</v>
      </c>
      <c r="GB256">
        <f t="shared" si="448"/>
        <v>0</v>
      </c>
      <c r="GC256">
        <f t="shared" si="449"/>
        <v>1</v>
      </c>
      <c r="GD256">
        <f>IF(BH256="","",IF(AND(CA256=1,GC256=1),COUNTIFS(A$3:A256,A256,CA$3:CA256,1,GC$3:GC256,1),IF(OR(OR(AW256=1,A256&lt;&gt;A255),AF256="вручную",GC256=0),"",IF(AW256=1,"",GE255))))</f>
        <v>32</v>
      </c>
      <c r="GE256">
        <f t="shared" si="450"/>
        <v>32</v>
      </c>
      <c r="GF256">
        <f>IF(B256="","",IFERROR(LOOKUP(INDEX(CHOOSE(DL256,Iдоп_1ж,Iдоп_2ж,Iдоп_3ж),MATCH(DX256,Iдоп_S,0))*DJ256*DK256,{6,10,16,20,25,32,40,50,63,80,100,125,160,200,250,315,400,500,630}),""))</f>
        <v>25</v>
      </c>
      <c r="GG256" t="str">
        <f t="shared" si="451"/>
        <v>QFD32</v>
      </c>
      <c r="GH256" t="str">
        <f t="shared" si="452"/>
        <v>QFD32</v>
      </c>
      <c r="GI256" t="str">
        <f t="shared" si="453"/>
        <v/>
      </c>
      <c r="GJ256">
        <f t="shared" si="454"/>
        <v>0</v>
      </c>
      <c r="GK256" t="str">
        <f>IF(OR(AG256="",AG256="-"),"",IFERROR(VLOOKUP(AG256,Модули_спр,2,FALSE),"R"))</f>
        <v/>
      </c>
      <c r="GL256" t="str">
        <f>IF(GK256="","",GK256&amp;"."&amp;COUNTIFS(A$3:A256,A256,GK$3:GK256,GK256))</f>
        <v/>
      </c>
      <c r="GM256" t="str">
        <f t="shared" si="455"/>
        <v/>
      </c>
      <c r="GN256" t="str">
        <f t="shared" si="456"/>
        <v/>
      </c>
      <c r="GO256" t="str">
        <f t="shared" si="457"/>
        <v/>
      </c>
      <c r="GP256" t="str">
        <f t="shared" si="458"/>
        <v/>
      </c>
      <c r="GQ256">
        <f t="shared" si="459"/>
        <v>1</v>
      </c>
      <c r="GR256" t="str">
        <f>IF(GQ256=1,"XT"&amp;COUNTIFS(A$3:A256,A256,GQ$3:GQ256,1),"")</f>
        <v>XT32</v>
      </c>
      <c r="GS256" t="str">
        <f t="shared" si="460"/>
        <v/>
      </c>
      <c r="GT256" t="str">
        <f t="shared" si="461"/>
        <v>QFD32</v>
      </c>
      <c r="GU256" t="str">
        <f t="shared" si="462"/>
        <v/>
      </c>
      <c r="GV256" t="str">
        <f t="shared" si="463"/>
        <v>ok</v>
      </c>
      <c r="GW256" t="str">
        <f>IF(OR(GO256="",GM256=""),"",IF(GO256&gt;IFERROR(VLOOKUP(GN256,Модули_спр,3,FALSE),99),"ЛИШНИЙ КАНАЛ",IF(AND(AH256&lt;&gt;"=",COUNTIFS(Линии[_модуль гр.],GM256,Линии[Канал (итог)],GO256,Линии[Канал],"&lt;&gt;=",Линии[Щит],A256)&gt;1),"ДУБЛЬ КАНАЛА","")))</f>
        <v/>
      </c>
      <c r="GX256" s="6" t="str">
        <f t="shared" si="464"/>
        <v/>
      </c>
      <c r="GY256">
        <f t="shared" si="465"/>
        <v>10</v>
      </c>
      <c r="GZ256" t="str">
        <f t="shared" si="466"/>
        <v/>
      </c>
      <c r="HA256" t="str">
        <f>IF(AND(B256="",GT256=""),"",_xlfn.TEXTJOIN("; ",TRUE,IF(AND(B256&lt;&gt;"",FE256=""),"нет фазы",""),IF(AND(B256&lt;&gt;"",N(FY256)=0,EQ256&lt;&gt;"Нет"),"нет мощности",""),IF(AND(GS256&lt;&gt;"",COUNTIFS(Линии[Щит],A256,Линии[Клемма (итог)],GS256)&gt;1),"дубль клеммы "&amp;GS256,""),IF(AND(GV256&lt;&gt;"",GV256&lt;&gt;"ok"),GV256,""),IF(GW256&lt;&gt;"",GW256,""),IF(AND(N(BV256)&gt;=4,N(BR256)=1),BV256&amp;" жил на 1 фазе",""),IF(AND(AX256="R",CA256=1,OR(N(CK256)=0,N(CK256)&gt;30)),"розетка без дифзащиты до 30 мА",""),IFERROR(IF(AND(ISNUMBER(R256),R256&gt;DV256),"потери "&amp;FIXED(R256,1)&amp;" % &gt; "&amp;DV256&amp;" %",""),""),IFERROR(IF(LEFT(GZ256,4)="мало","Iкз мало — отключение &gt; 0,4 с",""),""),IF(AND(B256&lt;&gt;"",BH256=""),"не на схеме",""),IF(AND(CA256=0,B256&lt;&gt;"",FE256&lt;&gt;"",IF(AW256=1,"",FF255)&lt;&gt;"",FE256&lt;&gt;IF(AW256=1,"",FF255)),"фаза не как у автомата группы ("&amp;IF(AW256=1,"",FF255)&amp;")","")))</f>
        <v/>
      </c>
      <c r="HB256" s="6">
        <f>IF(OR(CA256=0,DA256=""),"",_xlfn.LET(_xlpm.t,IFERROR(_xlfn.XLOOKUP(DA256,Каталог!$U$4:$U$500,Каталог!$G$4:$G$500),""),_xlpm.k,SEARCH("кА",_xlpm.t),IFERROR(--TRIM(RIGHT(SUBSTITUTE(MID(_xlpm.t,MAX(1,_xlpm.k-4),_xlpm.k-MAX(1,_xlpm.k-4))," ",REPT(" ",9)),5)),"")))</f>
        <v>6</v>
      </c>
      <c r="HC256" t="str">
        <f>IF(OR(HB256="",CA256=0),"",IF(_xlfn.XLOOKUP(A256,Щиты[Щит],Щиты[Iкз max на шинах, кА],"")="","",IF(HB256&lt;_xlfn.XLOOKUP(A256,Щиты[Щит],Щиты[Iкз max на шинах, кА]),"Icu "&amp;HB256&amp;" кА &lt; Iкз max","ok")))</f>
        <v/>
      </c>
      <c r="HD256" t="str">
        <f t="shared" si="467"/>
        <v/>
      </c>
      <c r="HE256" t="str">
        <f t="shared" si="468"/>
        <v>QFD32</v>
      </c>
      <c r="HF256" t="str">
        <f t="shared" si="469"/>
        <v>QFD32|кабель ВВГнг(А)-LS (3х2,5) → Розеточная группа, пом. 011A</v>
      </c>
      <c r="HG256" t="str" cm="1">
        <f t="array" ref="HG256">IF(HF256="","",_xlfn.LET(_xlpm.nd,_xlfn.TEXTSPLIT(HF256,"|"),IF(COLUMNS(_xlpm.nd)&gt;1,A256&amp;"¦"&amp;INDEX(_xlpm.nd,1)&amp;"¦"&amp;INDEX(_xlpm.nd,2),"")))</f>
        <v>ЩР-1¦QFD32¦кабель ВВГнг(А)-LS (3х2,5) → Розеточная группа, пом. 011A</v>
      </c>
      <c r="HH256" t="str">
        <f t="shared" si="470"/>
        <v>R.1.011A.1¦Розеточная группа, пом. 011A</v>
      </c>
      <c r="HI256" t="str" cm="1">
        <f t="array" ref="HI256">IF(HF256="","",_xlfn.LET(_xlpm.nd,_xlfn.TEXTSPLIT(HF256,"|"),IF(COLUMNS(_xlpm.nd)&gt;2,A256&amp;"¦"&amp;INDEX(_xlpm.nd,2)&amp;"¦"&amp;INDEX(_xlpm.nd,3),"")))</f>
        <v/>
      </c>
      <c r="HJ256" t="str">
        <f t="shared" si="471"/>
        <v/>
      </c>
      <c r="HK256" t="str" cm="1">
        <f t="array" ref="HK256">IF(HF256="","",_xlfn.LET(_xlpm.nd,_xlfn.TEXTSPLIT(HF256,"|"),IF(COLUMNS(_xlpm.nd)&gt;3,A256&amp;"¦"&amp;INDEX(_xlpm.nd,3)&amp;"¦"&amp;INDEX(_xlpm.nd,4),"")))</f>
        <v/>
      </c>
      <c r="HL256" t="str">
        <f t="shared" si="472"/>
        <v/>
      </c>
      <c r="HM256" t="str" cm="1">
        <f t="array" ref="HM256">IF(HF256="","",_xlfn.LET(_xlpm.nd,_xlfn.TEXTSPLIT(HF256,"|"),IF(COLUMNS(_xlpm.nd)&gt;4,A256&amp;"¦"&amp;INDEX(_xlpm.nd,4)&amp;"¦"&amp;INDEX(_xlpm.nd,5),"")))</f>
        <v/>
      </c>
      <c r="HN256" t="str">
        <f t="shared" si="473"/>
        <v/>
      </c>
      <c r="HO256" t="str" cm="1">
        <f t="array" ref="HO256">IF(HF256="","",_xlfn.LET(_xlpm.nd,_xlfn.TEXTSPLIT(HF256,"|"),IF(COLUMNS(_xlpm.nd)&gt;5,A256&amp;"¦"&amp;INDEX(_xlpm.nd,5)&amp;"¦"&amp;INDEX(_xlpm.nd,6),"")))</f>
        <v/>
      </c>
      <c r="HP256" t="str">
        <f t="shared" si="474"/>
        <v/>
      </c>
      <c r="HQ256" t="str" cm="1">
        <f t="array" ref="HQ256">IF(HF256="","",_xlfn.LET(_xlpm.nd,_xlfn.TEXTSPLIT(HF256,"|"),IF(COLUMNS(_xlpm.nd)&gt;6,A256&amp;"¦"&amp;INDEX(_xlpm.nd,6)&amp;"¦"&amp;INDEX(_xlpm.nd,7),"")))</f>
        <v/>
      </c>
      <c r="HR256" t="str">
        <f t="shared" si="475"/>
        <v/>
      </c>
      <c r="HS256" t="str">
        <f t="shared" si="476"/>
        <v/>
      </c>
      <c r="HT256" t="str">
        <f t="shared" si="477"/>
        <v>QFD32</v>
      </c>
      <c r="HU256">
        <f t="shared" si="478"/>
        <v>0</v>
      </c>
      <c r="HV256">
        <f t="shared" si="479"/>
        <v>1</v>
      </c>
      <c r="HW256" t="str">
        <f t="shared" si="480"/>
        <v/>
      </c>
      <c r="HX256" t="str">
        <f t="shared" si="481"/>
        <v/>
      </c>
      <c r="HY256" t="str">
        <f t="shared" si="482"/>
        <v/>
      </c>
      <c r="HZ256" t="str">
        <f t="shared" si="483"/>
        <v/>
      </c>
      <c r="IA256" t="str">
        <f>IF(B256="","",IFERROR(VLOOKUP(B256,УГО_спр,2,FALSE),IFERROR(VLOOKUP(AX256,УГО_спр,2,FALSE),IFERROR(VLOOKUP(LEFT(AX256,2),УГО_спр,2,FALSE),""))))</f>
        <v>Розетка</v>
      </c>
      <c r="IB256" t="str">
        <f>IF(B256="","",IF(OR(IA256="",IA256=0),"BOX",IFERROR(IF(VLOOKUP(IA256,УГО_блоки,3,FALSE)&amp;""&lt;&gt;"",VLOOKUP(IA256,УГО_блоки,3,FALSE),VLOOKUP(IA256,УГО_блоки,2,FALSE)),IA256)))</f>
        <v>SOCKET</v>
      </c>
      <c r="IC256">
        <f t="shared" si="484"/>
        <v>1</v>
      </c>
      <c r="ID256" t="str">
        <f>IF(DA256="","",IF(COUNTIF(DA$3:DA256,DA256)=1,MAX(ID$2:ID255)+1,""))</f>
        <v/>
      </c>
      <c r="IE256" t="str">
        <f>IF(CO256="","",IF(COUNTIF(CO$3:CO256,CO256)+COUNTIF(CP$2:CP255,CO256)+COUNTIF(CQ$2:CQ255,CO256)=1,MAX(IE$2:IG255)+1,""))</f>
        <v/>
      </c>
      <c r="IF256" t="str">
        <f>IF(CP256="","",IF(COUNTIF(CO$3:CO256,CP256)+COUNTIF(CP$3:CP256,CP256)+COUNTIF(CQ$2:CQ255,CP256)=1,MAX(IE$2:IG255,IE256)+1,""))</f>
        <v/>
      </c>
      <c r="IG256" t="str">
        <f>IF(CQ256="","",IF(COUNTIF(CO$3:CO256,CQ256)+COUNTIF(CP$3:CP256,CQ256)+COUNTIF(CQ$3:CQ256,CQ256)=1,MAX(IE$2:IG255,IE256,IF256)+1,""))</f>
        <v/>
      </c>
      <c r="IH256" t="str">
        <f t="shared" si="485"/>
        <v>3х2,5</v>
      </c>
      <c r="II256" t="str">
        <f>IF(IH256="","",IF(COUNTIF(IH$3:IH256,IH256)=1,MAX(II$2:II255)+1,""))</f>
        <v/>
      </c>
      <c r="IJ256" t="str">
        <f>IF(GL256="","",COUNTIF(GL$3:GL256,"?*"))</f>
        <v/>
      </c>
      <c r="IK256" t="str">
        <f>IF(OR(GL256="",GN256=""),"",IF(COUNTIFS(GL$3:GL256,"?*",GN$3:GN256,GN256)=1,MAX(IK$2:IK255)+1,""))</f>
        <v/>
      </c>
      <c r="IL256">
        <f t="shared" si="486"/>
        <v>0</v>
      </c>
      <c r="IM256">
        <f>IF(B256="","",COUNTIF(B$3:B256,"?*"))</f>
        <v>254</v>
      </c>
      <c r="IN256">
        <f>IF(GQ256&lt;&gt;1,0,_xlfn.LET(_xlpm.k,MAX(IFERROR(--VLOOKUP(B256,УГО_спр,5,FALSE),0),IFERROR(--VLOOKUP(AX256,УГО_спр,5,FALSE),0),IFERROR(--VLOOKUP(LEFT(AX256,2),УГО_спр,5,FALSE),0)),IF(_xlpm.k&gt;0,_xlpm.k,IF(IFERROR(--LEFT(SUBSTITUTE(IH256,"x","х"),FIND("х",SUBSTITUTE(IH256,"x","х"))-1),3)&gt;3,Каталог!$S$9,1))))</f>
        <v>1</v>
      </c>
      <c r="IO256">
        <f t="shared" si="487"/>
        <v>0</v>
      </c>
      <c r="IP256" t="str">
        <f t="shared" si="488"/>
        <v>авто</v>
      </c>
      <c r="IQ256">
        <f t="shared" si="489"/>
        <v>30</v>
      </c>
      <c r="IR256">
        <f t="shared" si="490"/>
        <v>1</v>
      </c>
      <c r="IS256">
        <f t="shared" si="491"/>
        <v>1</v>
      </c>
    </row>
    <row r="257" spans="1:253" x14ac:dyDescent="0.3">
      <c r="A257" t="s">
        <v>759</v>
      </c>
      <c r="B257" t="s">
        <v>1522</v>
      </c>
      <c r="C257" t="str">
        <f>Линии[[#This Row],[_авто наименование]]</f>
        <v>Розеточная группа, пом. 012</v>
      </c>
      <c r="D257">
        <v>1</v>
      </c>
      <c r="E257">
        <v>0.06</v>
      </c>
      <c r="G257" t="str">
        <f>Линии[[#This Row],[_авто автомат]]</f>
        <v>2P С16А 30мА</v>
      </c>
      <c r="H257">
        <f>Линии[[#This Row],[_авто утечка]]</f>
        <v>30</v>
      </c>
      <c r="I257" t="str">
        <f>Линии[[#This Row],[_авто управление]]</f>
        <v/>
      </c>
      <c r="J257" t="str">
        <f>Линии[[#This Row],[_авто аппараты]]</f>
        <v/>
      </c>
      <c r="K257">
        <v>2.5</v>
      </c>
      <c r="L257">
        <v>29</v>
      </c>
      <c r="M257" t="str">
        <f>Линии[[#This Row],[_авто фаза]]</f>
        <v>L1</v>
      </c>
      <c r="N257" t="s">
        <v>486</v>
      </c>
      <c r="O257" t="str">
        <f t="shared" si="369"/>
        <v/>
      </c>
      <c r="P257" s="6" cm="1">
        <f t="array" ref="P257">IF(B257="","",IF(BC257&lt;&gt;"",IFERROR(_xlfn.XLOOKUP(BC257,Щиты[Щит],Щиты[Iр, А]),""),IF(BK257=1,IFERROR(_xlfn.XLOOKUP(A257,Щиты[Щит],Щиты[Iр, А]),""),IFERROR(_xlfn.IFS(BR257=1,BN257/((Uн_лин/SQRT(3))*BY257),BR257=3,BN257/(SQRT(3)*Uн_лин*BY257)),""))))</f>
        <v>0.27348170645824377</v>
      </c>
      <c r="Q257" s="7">
        <f>IF(B257="","",IFERROR(IF(VLOOKUP(AX257,Потребители_обозначение,4,FALSE)=1,VLOOKUP(AX257,Потребители_обозначение,3,FALSE)*(D257*2-1)+DS257+VLOOKUP(AZ257,Этаж_обозначение,3,FALSE)+VLOOKUP(AZ257,Этаж_обозначение,4,FALSE),VLOOKUP(AX257,Потребители_обозначение,3,FALSE)*(D257*2-1)+DS257),DS257))</f>
        <v>32</v>
      </c>
      <c r="R257" s="6">
        <f t="shared" si="370"/>
        <v>1.26</v>
      </c>
      <c r="S257" t="str">
        <f t="shared" si="371"/>
        <v>ВВГнг(А)-LS (3х2,5)</v>
      </c>
      <c r="T257" t="str">
        <f>IF(BH257="","",IF(BI257="вводной узел","узел ","")&amp;"л."&amp;(INT((BH257-1)/Столбцов_на_лист)+1)&amp;" / "&amp;(MOD(BH257-1,Столбцов_на_лист)+1))</f>
        <v>л.4 / 3</v>
      </c>
      <c r="V257">
        <v>1</v>
      </c>
      <c r="W257">
        <v>230</v>
      </c>
      <c r="X257" t="s">
        <v>564</v>
      </c>
      <c r="AC257" t="s">
        <v>815</v>
      </c>
      <c r="AE257" t="s">
        <v>563</v>
      </c>
      <c r="AI257">
        <v>54</v>
      </c>
      <c r="AJ257" t="s">
        <v>11</v>
      </c>
      <c r="AK257">
        <v>3</v>
      </c>
      <c r="AM257">
        <v>18</v>
      </c>
      <c r="AN257">
        <v>14</v>
      </c>
      <c r="AO257">
        <v>0</v>
      </c>
      <c r="AW257" cm="1">
        <f t="array" ref="AW257">ROW()-ROW(Линии[#Headers])</f>
        <v>255</v>
      </c>
      <c r="AX257" s="6" t="str">
        <f t="shared" si="372"/>
        <v>R</v>
      </c>
      <c r="AY257" t="str">
        <f t="shared" si="373"/>
        <v>1.012.1A.1</v>
      </c>
      <c r="AZ257" t="str">
        <f t="shared" si="374"/>
        <v>1</v>
      </c>
      <c r="BA257" t="str">
        <f t="shared" si="375"/>
        <v>012.1A.1</v>
      </c>
      <c r="BB257" t="str">
        <f t="shared" si="376"/>
        <v>012</v>
      </c>
      <c r="BC257" t="str">
        <f>IF(U257&lt;&gt;"",U257,IF(AND(B257&lt;&gt;"",B257&lt;&gt;A257,ISNUMBER(_xlfn.XMATCH(B257,Щиты[Щит]))),B257,""))</f>
        <v/>
      </c>
      <c r="BD257" t="str" cm="1">
        <f t="array" ref="BD257">IF(B257="","",IF(BC257&lt;&gt;"","Щит "&amp;BC257,_xlfn.LET(_xlpm.nm,IFERROR(_xlfn.XLOOKUP(AX257,Коды_код,Коды_имя)&amp;"",""),_xlpm.md,IFERROR(N(_xlfn.XLOOKUP(AX257,Коды_код,Коды_режим)),1),_xlpm.ex,IF(Имя_режим="по экспликации",IFERROR(_xlfn.XLOOKUP(AZ257&amp;"|"&amp;BB257,Экспликация[Этаж]&amp;"|"&amp;Экспликация[Помещение],Экспликация[Название])&amp;"",""),""),_xlpm.rm,IF(BB257="","",IF(_xlpm.ex&lt;&gt;"",". "&amp;_xlpm.ex&amp;IF(Имя_пом="нет"," ("&amp;BB257&amp;")"," (пом. "&amp;BB257&amp;")"),IF(Имя_пом="нет"," ",", пом. ")&amp;BB257)),IF(_xlpm.nm="","",IF(_xlpm.md=2,_xlpm.nm&amp;" шлейф "&amp;AZ257,_xlpm.nm&amp;_xlpm.rm)))))</f>
        <v>Розеточная группа, пом. 012</v>
      </c>
      <c r="BE257" t="str">
        <f t="shared" si="377"/>
        <v>Розеточная группа, пом. 012</v>
      </c>
      <c r="BF257">
        <f>IFERROR(_xlfn.XMATCH(A257,Щиты[Щит]),0)</f>
        <v>10</v>
      </c>
      <c r="BG257">
        <f>_xlfn.LET(_xlpm.k,IFERROR(_xlfn.XLOOKUP(A257,Щиты[Щит],Щиты[Листов под вводной узел]),""),IF(_xlpm.k="",1,N(_xlpm.k))*Столбцов_на_лист)</f>
        <v>17</v>
      </c>
      <c r="BH257">
        <f t="shared" si="378"/>
        <v>54</v>
      </c>
      <c r="BI257" t="str">
        <f t="shared" si="379"/>
        <v>линии</v>
      </c>
      <c r="BJ257" s="6">
        <f>IFERROR(N(_xlfn.XLOOKUP(AX257,Коды_код,Коды_квт)),0)</f>
        <v>0</v>
      </c>
      <c r="BK257">
        <f t="shared" si="380"/>
        <v>0</v>
      </c>
      <c r="BL257" t="str">
        <f>IF(B257="","",IF(BC257&lt;&gt;"",IFERROR(_xlfn.XLOOKUP(BC257,Щиты[Щит],Щиты[Руст, кВт]),0),IF(BK257=1,IFERROR(_xlfn.XLOOKUP(A257,Щиты[Щит],Щиты[Руст, кВт]),0),IF(BJ257&gt;0,ROUND(BJ257*MAX(1,N(D257)),3),""))))</f>
        <v/>
      </c>
      <c r="BM257">
        <f t="shared" si="381"/>
        <v>0.06</v>
      </c>
      <c r="BN257" s="6">
        <f>IF(B257="","",IF(BC257&lt;&gt;"",IFERROR(_xlfn.XLOOKUP(BC257,Щиты[Щит],Щиты[Руст, кВт]),0),N(BM257)))</f>
        <v>0.06</v>
      </c>
      <c r="BO257" t="str">
        <f>IF(B257="","",IFERROR(IF(VLOOKUP(AX257,Потребители_обозначение,8,FALSE)=0,"",VLOOKUP(AX257,Потребители_обозначение,8,FALSE)),""))</f>
        <v/>
      </c>
      <c r="BP257">
        <f t="shared" si="382"/>
        <v>230</v>
      </c>
      <c r="BQ257">
        <f>IF(B257="","",IF(BC257&lt;&gt;"",3,IFERROR(IF(N(VLOOKUP(AX257,Потребители_обозначение,9,FALSE))=0,1,VLOOKUP(AX257,Потребители_обозначение,9,FALSE)),1)))</f>
        <v>1</v>
      </c>
      <c r="BR257">
        <f t="shared" si="383"/>
        <v>1</v>
      </c>
      <c r="BS257" t="str">
        <f>IF(B257="","",_xlfn.LET(_xlpm.bc,IFERROR(IF(VLOOKUP(AX257,Потребители_обозначение,6,FALSE)=0,"",VLOOKUP(AX257,Потребители_обозначение,6,FALSE)&amp;""),""),IF(AND(FK257="да",OR(_xlpm.bc="",_xlpm.bc="мс")),Марка_пож,IF(AND(_xlpm.bc="",BC257&lt;&gt;""),"мс",_xlpm.bc))))</f>
        <v/>
      </c>
      <c r="BT257" t="str">
        <f t="shared" si="384"/>
        <v>мс</v>
      </c>
      <c r="BU257">
        <f>IF(B257="","",_xlfn.LET(_xlpm.cc,IFERROR(N(VLOOKUP(AX257,Потребители_обозначение,7,FALSE)),0),IF(_xlpm.cc&gt;0,_xlpm.cc,IF(BT257="","",IF(N(BR257)=3,5,3)))))</f>
        <v>3</v>
      </c>
      <c r="BV257">
        <f t="shared" si="385"/>
        <v>3</v>
      </c>
      <c r="BW257">
        <f>IFERROR(N(VLOOKUP(AX257,Потребители_обозначение,10,FALSE)),0)</f>
        <v>0</v>
      </c>
      <c r="BX257">
        <f>IFERROR(VLOOKUP(AX257,Потребители_обозначение,5,FALSE),0)</f>
        <v>1</v>
      </c>
      <c r="BY257" s="6" cm="1">
        <f t="array" ref="BY257">IF(B257="","",IF(BC257&lt;&gt;"",IFERROR(_xlfn.XLOOKUP(BC257,Щиты[Щит],Щиты[cos φ]),0.95),IF(BK257=1,IFERROR(_xlfn.XLOOKUP(A257,Щиты[Щит],Щиты[cos φ]),0.95),IF(ISNUMBER(Z257),Z257,IFERROR(IF(BX257=2,_xlfn.IFS(BR257=3,VLOOKUP(BN257,Справочная_двигатели,8,FALSE),BR257=1,VLOOKUP(BN257,Справочная_двигатели,10,TRUE)),IF(AND(Методика="нормы 2026",EQ257="Сил"),0.8,0.95)),0.95)))))</f>
        <v>0.95</v>
      </c>
      <c r="BZ257">
        <f t="shared" si="386"/>
        <v>0</v>
      </c>
      <c r="CA257">
        <f t="shared" si="387"/>
        <v>1</v>
      </c>
      <c r="CB257">
        <f t="shared" si="388"/>
        <v>0</v>
      </c>
      <c r="CC257">
        <f t="shared" si="389"/>
        <v>0</v>
      </c>
      <c r="CD257">
        <f t="shared" si="390"/>
        <v>0</v>
      </c>
      <c r="CE257">
        <f t="shared" si="391"/>
        <v>0</v>
      </c>
      <c r="CF257">
        <f t="shared" si="392"/>
        <v>0</v>
      </c>
      <c r="CG257">
        <f>IF(AX257="",0,_xlfn.LET(_xlpm.v,IFERROR(VLOOKUP(B257,УГО_спр,3,FALSE),IFERROR(VLOOKUP(AX257,УГО_спр,3,FALSE),IFERROR(VLOOKUP(LEFT(AX257,2),УГО_спр,3,FALSE),""))),IF(_xlpm.v="да",30,IF(ISNUMBER(_xlpm.v),_xlpm.v,0))))</f>
        <v>30</v>
      </c>
      <c r="CH257">
        <f t="shared" si="393"/>
        <v>30</v>
      </c>
      <c r="CI257" t="str">
        <f>_xlfn.LET(_xlpm.k,IFERROR(_xlfn.XLOOKUP(AX257,Коды_код,Коды_утечка)&amp;"",""),IF(_xlpm.k="","дифавтомат",_xlpm.k))</f>
        <v>дифавтомат</v>
      </c>
      <c r="CJ257">
        <f t="shared" si="394"/>
        <v>30</v>
      </c>
      <c r="CK257">
        <f t="shared" si="395"/>
        <v>30</v>
      </c>
      <c r="CL257">
        <f>IF(B257="",0,IFERROR(--VLOOKUP(B257,УГО_спр,4,FALSE),IFERROR(--VLOOKUP(AX257,УГО_спр,4,FALSE),IFERROR(--VLOOKUP(LEFT(AX257,2),УГО_спр,4,FALSE),0))))</f>
        <v>16</v>
      </c>
      <c r="CM257" t="str">
        <f>IF(B257="","",IFERROR(_xlfn.XLOOKUP(AX257,Коды_код,Коды_апп)&amp;"",""))</f>
        <v/>
      </c>
      <c r="CN257" t="str">
        <f t="shared" si="396"/>
        <v/>
      </c>
      <c r="CO257" t="str" cm="1">
        <f t="array" ref="CO257">IF(TRIM(CN257&amp;"")="","",IFERROR(TRIM(INDEX(_xlfn.TEXTSPLIT(CN257&amp;";;;",";"),1)),""))</f>
        <v/>
      </c>
      <c r="CP257" t="str" cm="1">
        <f t="array" ref="CP257">IF(TRIM(CN257&amp;"")="","",IFERROR(TRIM(INDEX(_xlfn.TEXTSPLIT(CN257&amp;";;;",";"),2)),""))</f>
        <v/>
      </c>
      <c r="CQ257" t="str" cm="1">
        <f t="array" ref="CQ257">IF(TRIM(CN257&amp;"")="","",IFERROR(TRIM(INDEX(_xlfn.TEXTSPLIT(CN257&amp;";;;",";"),3)),""))</f>
        <v/>
      </c>
      <c r="CR257">
        <f t="shared" si="397"/>
        <v>0</v>
      </c>
      <c r="CS257" t="str">
        <f>IF(B257="","",_xlfn.LET(_xlpm.t,LOWER(AV257&amp;""),IF(ISNUMBER(SEARCH("dim",_xlpm.t)),"DIM",IF(ISNUMBER(SEARCH("dali",_xlpm.t)),"DALI",IF(OR(ISNUMBER(SEARCH("relay",_xlpm.t)),ISNUMBER(SEARCH("реле",_xlpm.t))),"Relay",IF(ISNUMBER(SEARCH("кнопк",_xlpm.t)),"",IFERROR(_xlfn.XLOOKUP(AX257,Коды_код,Коды_упр)&amp;"","")))))))</f>
        <v/>
      </c>
      <c r="CT257" t="str">
        <f t="shared" si="398"/>
        <v/>
      </c>
      <c r="CU257">
        <f>IF(B257="","",_xlfn.LET(_xlpm.ig,N(P257)+IF(AF257="вручную",0,N(CB257)),_xlpm.n0,IFERROR(VLOOKUP(_xlpm.ig,Автомат_номиналы,2,TRUE),0),_xlpm.mn,MAX(CL257,IF(AF257="вручную",0,N(CE257))),MAX(_xlpm.n0,_xlpm.mn,IF(CR257=1,Мин_автомат_БП,0))))</f>
        <v>16</v>
      </c>
      <c r="CV257">
        <f t="shared" si="399"/>
        <v>1</v>
      </c>
      <c r="CW257" t="str">
        <f t="shared" si="400"/>
        <v>2P</v>
      </c>
      <c r="CX257" t="str">
        <f>_xlfn.LET(_xlpm.cc,UPPER(TRIM(IFERROR(_xlfn.XLOOKUP(AX257,Коды_код,Коды_хар)&amp;"",""))),IF(OR(_xlpm.cc="B",_xlpm.cc="В"),"B",IF(_xlpm.cc="D","D","С")))</f>
        <v>С</v>
      </c>
      <c r="CY257" t="str">
        <f t="shared" si="401"/>
        <v>2P С16А 30мА</v>
      </c>
      <c r="CZ257" t="str">
        <f t="shared" si="402"/>
        <v>2P С16А 30мА</v>
      </c>
      <c r="DA257" t="str">
        <f t="shared" si="403"/>
        <v>2P С16А 30мА</v>
      </c>
      <c r="DB257" cm="1">
        <f t="array" ref="DB257">IF(DA257="","",_xlfn.LET(_xlpm.t,SUBSTITUTE(SUBSTITUTE(SUBSTITUTE(UPPER(DA257),"С","C"),"А","A"),"В","B"),_xlpm.tk,_xlfn.TEXTSPLIT(_xlpm.t,"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7" t="str">
        <f t="shared" si="404"/>
        <v>ok</v>
      </c>
      <c r="DD257">
        <f t="shared" si="405"/>
        <v>16</v>
      </c>
      <c r="DE257" t="str">
        <f t="shared" si="406"/>
        <v>2P С16А 30мА</v>
      </c>
      <c r="DF257">
        <f t="shared" si="407"/>
        <v>30</v>
      </c>
      <c r="DG257">
        <f t="shared" si="408"/>
        <v>1</v>
      </c>
      <c r="DH257">
        <f t="shared" si="409"/>
        <v>0</v>
      </c>
      <c r="DI257">
        <f t="shared" si="410"/>
        <v>0.27348170645824377</v>
      </c>
      <c r="DJ257">
        <f t="shared" si="411"/>
        <v>1</v>
      </c>
      <c r="DK257">
        <f>IF(ISNUMBER(AL257),AL257,К_прокл)</f>
        <v>1</v>
      </c>
      <c r="DL257">
        <f t="shared" si="412"/>
        <v>2</v>
      </c>
      <c r="DM257">
        <f>IFERROR(N(VLOOKUP(BT257,Кабель_обозначение,3,FALSE)),1)</f>
        <v>1</v>
      </c>
      <c r="DN257">
        <f>IFERROR(N(_xlfn.XLOOKUP(A257,Щиты[Щит],Щиты[ΔU до шин, %])),0)</f>
        <v>1.19</v>
      </c>
      <c r="DO257" t="str">
        <f>IFERROR(_xlfn.XLOOKUP(A257,Щиты[Щит],Щиты[Zпетли на шинах, Ом]),"")</f>
        <v/>
      </c>
      <c r="DP257">
        <f>IFERROR(N(_xlfn.XLOOKUP(A257,Щиты[Щит],Щиты[ΔU до шин (подбор), %])),0)</f>
        <v>1.19</v>
      </c>
      <c r="DQ257" t="str">
        <f>IFERROR(_xlfn.XLOOKUP(A257,Щиты[Щит],Щиты[Zпетли на шинах (подбор), Ом]),"")</f>
        <v/>
      </c>
      <c r="DR257" t="str">
        <f t="shared" si="413"/>
        <v/>
      </c>
      <c r="DS257">
        <f t="shared" si="414"/>
        <v>29</v>
      </c>
      <c r="DT257">
        <f t="shared" si="415"/>
        <v>2</v>
      </c>
      <c r="DU257">
        <f t="shared" si="416"/>
        <v>0.31</v>
      </c>
      <c r="DV257" s="6">
        <f>IF(B257="","",IF(IFERROR(VLOOKUP(AX257,УГО_спр,2,FALSE),"")="Светильник",3,4)+IF(Методика="нормы 2026",MIN(0.5,MAX(0,N(Q257)-100)*0.005),0))</f>
        <v>4</v>
      </c>
      <c r="DW257" cm="1">
        <f t="array" ref="DW257">IF(OR(B257="",BT257="",DM257&lt;&gt;1),"",_xlfn.LET(_xlpm.sz,Iдоп_S,_xlpm.t_,CHOOSE(DL257,Iдоп_1ж,Iдоп_2ж,Iдоп_3ж)*DJ257*DK257,_xlpm.inn,N(DD257),_xlpm.smin,MAX(1.5,BW257),_xlpm.L_,N(Q257)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257)*(_xlpm.rho*_xlpm.L_/_xlpm.sz*N(BY257)+_xlpm.xx*_xlpm.L_*N(DU257)/1000)*N(P257)/((Uн_лин/SQRT(3))*1000)*100,999),_xlpm.kz,IF(OR(DG257=1,NOT(ISNUMBER(DQ257)),_xlpm.L_=0,_xlpm.inn=0),1,IFERROR(--(c_min*(Uн_лин*1000/SQRT(3))/(DQ257+2*ρкз_Cu*_xlpm.L_/_xlpm.sz)&gt;=GY257*_xlpm.inn),0)),_xlpm.ok,IFERROR((_xlpm.sz&gt;=_xlpm.smin)*(_xlpm.t_&gt;=_xlpm.inn)*IF(_xlpm.L_&gt;0,(_xlpm.du_+DP257&lt;=DV257+0.00001),1)*_xlpm.kz,0),_xlpm.r_,_xlfn._xlws.FILTER(_xlpm.sz,_xlpm.ok,"не подобрано"),INDEX(_xlpm.r_,1)))</f>
        <v>1.5</v>
      </c>
      <c r="DX257">
        <f t="shared" si="417"/>
        <v>2.5</v>
      </c>
      <c r="DY257" cm="1">
        <f t="array" ref="DY257">IF(OR(B257="",BT257="",DM257&lt;&gt;1),"",_xlfn.LET(_xlpm.sz,Iдоп_S,_xlpm.t_,CHOOSE(DL257,Iдоп_1ж,Iдоп_2ж,Iдоп_3ж)*DJ257*DK257,_xlpm.ok,IFERROR((_xlpm.sz&gt;=MAX(1.5,BW257))*(_xlpm.t_&gt;=N(DD257)),0),_xlpm.r_,_xlfn._xlws.FILTER(_xlpm.sz,_xlpm.ok,""),INDEX(_xlpm.r_,1)))</f>
        <v>1.5</v>
      </c>
      <c r="DZ257" s="6" cm="1">
        <f t="array" ref="DZ257">IFERROR(ROUNDUP(N(DT257)*(_xlfn.XLOOKUP(DY257,INDEX(Кабель_сопротивление,0,1),INDEX(Кабель_сопротивление,0,3))*N(Q257)/DY257*N(BY257)+_xlfn.XLOOKUP(DY257,INDEX(Кабель_сопротивление,0,1),INDEX(Кабель_сопротивление,0,2))*N(Q257)*N(DU257)/1000)*N(P257)/((Uн_лин/SQRT(3))*1000)*100,2),"")</f>
        <v>0.11</v>
      </c>
      <c r="EA257">
        <f>IFERROR(2*ρкз_Cu*N(Q257)/DY257,"")</f>
        <v>1.1221333333333334</v>
      </c>
      <c r="EB257">
        <f>IFERROR(VLOOKUP(DX257,Кабель_сопротивление,3,FALSE),"")</f>
        <v>2.2499999999999999E-2</v>
      </c>
      <c r="EC257">
        <f>IFERROR(VLOOKUP(DX257,Кабель_сопротивление,2,FALSE),"")</f>
        <v>0.1</v>
      </c>
      <c r="ED257">
        <f t="shared" si="418"/>
        <v>14</v>
      </c>
      <c r="EE257">
        <f t="shared" si="419"/>
        <v>0</v>
      </c>
      <c r="EF257">
        <f t="shared" si="420"/>
        <v>0.15019177747956411</v>
      </c>
      <c r="EG257" s="6">
        <f>IFERROR(ROUNDUP(EF257/((Uн_лин/SQRT(3))*1000)*100,2),"")</f>
        <v>6.9999999999999993E-2</v>
      </c>
      <c r="EH257" t="str">
        <f>IFERROR(VLOOKUP(BT257,Кабель_обозначение,2,FALSE),"")</f>
        <v>ВВГнг(А)-LS</v>
      </c>
      <c r="EI257" t="str">
        <f t="shared" si="421"/>
        <v>ВВГнг(А)-LS (3х2,5)</v>
      </c>
      <c r="EJ257" t="str">
        <f t="shared" si="422"/>
        <v>ВВГнг(А)-LS (3х2,5)
L=32-0,07%</v>
      </c>
      <c r="EK257">
        <f>IFERROR(2*ρкз_Cu*Q257/DX257,"")</f>
        <v>0.67327999999999999</v>
      </c>
      <c r="EL257">
        <f t="shared" si="423"/>
        <v>0.22400000000000003</v>
      </c>
      <c r="EM257" s="6" t="str">
        <f>IFERROR(IF(OR(B257="",NOT(ISNUMBER(DX257)),N(Q257)=0),"",_xlfn.XLOOKUP(A257,Щиты[Щит],Щиты[Zпетли на шинах, Ом])+EK257),"")</f>
        <v/>
      </c>
      <c r="EN257" s="6" t="str">
        <f>IF(ISNUMBER(EM257),c_min*(Uн_лин*1000/SQRT(3))/EM257,"")</f>
        <v/>
      </c>
      <c r="EO257" s="6" t="str">
        <f>IFERROR(IF(OR(B257="",NOT(ISNUMBER(DX257))),"",1.05*(Uн_лин*1000/SQRT(3))/(_xlfn.XLOOKUP(A257,Щиты[Щит],Щиты[Zmax на шинах, Ом])+EL257)/1000),"")</f>
        <v/>
      </c>
      <c r="EP257" s="6" t="str">
        <f>IF(B257="","",IF(ISNUMBER(Y257),"Сил",IF(IFERROR(_xlfn.XLOOKUP(AX257,Коды_код,Коды_группа)&amp;"","")="","Быт",_xlfn.XLOOKUP(AX257,Коды_код,Коды_группа)&amp;"")))</f>
        <v>Быт</v>
      </c>
      <c r="EQ257" s="6" t="str">
        <f t="shared" si="424"/>
        <v>Быт</v>
      </c>
      <c r="ER257" s="6">
        <f>IF(EQ257="Щит","щит",IF(EQ257="","",IF(EQ257="Быт",IFERROR(_xlfn.XLOOKUP(A257,Щиты[Щит],Щиты[Кс быт]),1),IF(EQ257="Сил",IF(ISNUMBER(Y257),Y257,IF(Методика="нормы 2026",IFERROR(_xlfn.XLOOKUP(A257,Щиты[Щит],Щиты[Кс силовых (табл. 7.5)]),1),1)),IF(OR(EQ257="Пост",EQ257="Отоп"),1,IF(EQ257="ВНГ",0.7,0))))))</f>
        <v>0.57830000000000004</v>
      </c>
      <c r="ES257">
        <f t="shared" si="425"/>
        <v>1</v>
      </c>
      <c r="ET257">
        <f t="shared" si="426"/>
        <v>0.06</v>
      </c>
      <c r="EU257">
        <f t="shared" si="427"/>
        <v>0.06</v>
      </c>
      <c r="EV257">
        <f t="shared" si="428"/>
        <v>0</v>
      </c>
      <c r="EW257">
        <f t="shared" si="429"/>
        <v>0</v>
      </c>
      <c r="EX257">
        <f t="shared" si="430"/>
        <v>0</v>
      </c>
      <c r="EY257">
        <f t="shared" si="431"/>
        <v>0</v>
      </c>
      <c r="EZ257">
        <f t="shared" si="432"/>
        <v>0.06</v>
      </c>
      <c r="FA257">
        <f t="shared" si="433"/>
        <v>5.6999999999999995E-2</v>
      </c>
      <c r="FB257">
        <f t="shared" si="434"/>
        <v>0.06</v>
      </c>
      <c r="FC257" t="str">
        <f t="shared" si="435"/>
        <v/>
      </c>
      <c r="FD257" t="str">
        <f>IF(B257="","",IF(CA257=0,IF(AW257=1,"",FF256),IF(OR(N(CV257)&gt;=3,N(BR257)&gt;=3),"L1,L2,L3",IFERROR(_xlfn.TEXTBEFORE(_xlfn.TEXTAFTER(_xlfn.XLOOKUP(A257,Щиты[Щит],Щиты[_фазы авто]),";"&amp;AW257&amp;":"),";"),"L1"))))</f>
        <v>L1</v>
      </c>
      <c r="FE257" t="str">
        <f t="shared" si="436"/>
        <v>L1</v>
      </c>
      <c r="FF257" t="str">
        <f t="shared" si="437"/>
        <v>L1</v>
      </c>
      <c r="FG257" cm="1">
        <f t="array" ref="FG257">IFERROR(IF(BX257=2,_xlfn.IFS(BR257=3,VLOOKUP(BN257,Справочная_двигатели,3,FALSE),BR257=1,VLOOKUP(BN257,Справочная_двигатели,5,TRUE)),0),0)</f>
        <v>0</v>
      </c>
      <c r="FH257">
        <f>IFERROR(IF(BX257=3,VLOOKUP(BN257,Справочная_ЛЭД,2,TRUE),0),0)</f>
        <v>0</v>
      </c>
      <c r="FI257" s="6">
        <f t="shared" si="438"/>
        <v>0</v>
      </c>
      <c r="FJ257" t="str" cm="1">
        <f t="array" ref="FJ257">IF(B257="","",IFERROR(INDEX({"I особая","I","II","III"},MATCH(TRIM(AC257&amp;""),{"I особая","I","II","III"},0)),"III"))</f>
        <v>II</v>
      </c>
      <c r="FK257" t="str">
        <f>IF(B257="","",IF(TRIM(AD257&amp;"")&lt;&gt;"",IF(LOWER(TRIM(AD257&amp;""))="да","да","нет"),IF(IFERROR(_xlfn.XLOOKUP(AX257,Коды_код,Коды_пожарная),"")="да","да","нет")))</f>
        <v>нет</v>
      </c>
      <c r="FL257" t="str">
        <f t="shared" si="439"/>
        <v/>
      </c>
      <c r="FM257" t="str">
        <f t="shared" si="440"/>
        <v>основная</v>
      </c>
      <c r="FN257">
        <f t="shared" si="441"/>
        <v>1</v>
      </c>
      <c r="FO257" t="str" cm="1">
        <f t="array" ref="FO257">IF(B257="","",_xlfn.LET(_xlpm.t,IFERROR(_xlfn.XLOOKUP(1,(Шины[Шина]=FM257)*(((Шины[Щит]=A257)+(Шины[Щит]=""))&gt;0),Шины[Тип]),"")&amp;"",IF(_xlpm.t&lt;&gt;"",_xlpm.t,IF(ISNUMBER(SEARCH("ИБП",FM257)),"ИБП",IF(ISNUMBER(SEARCH("ДГУ",FM257)),"ДГУ","Ввод "&amp;FN257)))))</f>
        <v>Ввод 1</v>
      </c>
      <c r="FP257" t="str">
        <f t="shared" si="442"/>
        <v>Ввод 1</v>
      </c>
      <c r="FQ257" t="str">
        <f>IF(B257="","",IF(OR(FO257="ИБП",FO257="ДГУ"),"I особая",IF(FO257="Одиночная","III",_xlfn.XLOOKUP(A257,Щиты[Щит],Щиты[Категория шины «Ввод»],"III"))))</f>
        <v>II</v>
      </c>
      <c r="FR257">
        <f>IF(B257="",0,IFERROR(MATCH(FJ257,{"III","II","I","I особая"},0),1))</f>
        <v>2</v>
      </c>
      <c r="FS257">
        <f t="shared" si="443"/>
        <v>2</v>
      </c>
      <c r="FT257" t="str">
        <f>IF(B257="","",IF(FR257&gt;IFERROR(MATCH(FQ257,{"III","II","I","I особая"},0),1),"НЕ ОБЕСПЕЧЕНА","ОК"))</f>
        <v>ОК</v>
      </c>
      <c r="FU257" t="str">
        <f>IF(A257="","",_xlfn.XLOOKUP(A257,Щиты[Щит],Щиты[Путь],""))</f>
        <v>|ГРЩ-ЖД|ЩР-1|</v>
      </c>
      <c r="FV257" t="str">
        <f>IF(B257="","",IF(AE257&lt;&gt;"",AE257,IF(IFERROR(_xlfn.XLOOKUP(AX257,Коды_код,Коды_вид)&amp;"","")="","Прочее",_xlfn.XLOOKUP(AX257,Коды_код,Коды_вид)&amp;"")))</f>
        <v>Розеточная сеть и бытовые приборы</v>
      </c>
      <c r="FW257">
        <f>IF(BH257="","",INT((BH257-1)/Столбцов_на_лист)+1)</f>
        <v>4</v>
      </c>
      <c r="FX257" t="str">
        <f t="shared" si="444"/>
        <v>ВВГнг(А)-LS (3х2,5) L=32-0,07%</v>
      </c>
      <c r="FY257">
        <f t="shared" si="445"/>
        <v>0.06</v>
      </c>
      <c r="FZ257">
        <f t="shared" si="446"/>
        <v>0.28000000000000003</v>
      </c>
      <c r="GA257">
        <f t="shared" si="447"/>
        <v>1</v>
      </c>
      <c r="GB257">
        <f t="shared" si="448"/>
        <v>0</v>
      </c>
      <c r="GC257">
        <f t="shared" si="449"/>
        <v>1</v>
      </c>
      <c r="GD257">
        <f>IF(BH257="","",IF(AND(CA257=1,GC257=1),COUNTIFS(A$3:A257,A257,CA$3:CA257,1,GC$3:GC257,1),IF(OR(OR(AW257=1,A257&lt;&gt;A256),AF257="вручную",GC257=0),"",IF(AW257=1,"",GE256))))</f>
        <v>33</v>
      </c>
      <c r="GE257">
        <f t="shared" si="450"/>
        <v>33</v>
      </c>
      <c r="GF257">
        <f>IF(B257="","",IFERROR(LOOKUP(INDEX(CHOOSE(DL257,Iдоп_1ж,Iдоп_2ж,Iдоп_3ж),MATCH(DX257,Iдоп_S,0))*DJ257*DK257,{6,10,16,20,25,32,40,50,63,80,100,125,160,200,250,315,400,500,630}),""))</f>
        <v>25</v>
      </c>
      <c r="GG257" t="str">
        <f t="shared" si="451"/>
        <v>QFD33</v>
      </c>
      <c r="GH257" t="str">
        <f t="shared" si="452"/>
        <v>QFD33</v>
      </c>
      <c r="GI257" t="str">
        <f t="shared" si="453"/>
        <v/>
      </c>
      <c r="GJ257">
        <f t="shared" si="454"/>
        <v>0</v>
      </c>
      <c r="GK257" t="str">
        <f>IF(OR(AG257="",AG257="-"),"",IFERROR(VLOOKUP(AG257,Модули_спр,2,FALSE),"R"))</f>
        <v/>
      </c>
      <c r="GL257" t="str">
        <f>IF(GK257="","",GK257&amp;"."&amp;COUNTIFS(A$3:A257,A257,GK$3:GK257,GK257))</f>
        <v/>
      </c>
      <c r="GM257" t="str">
        <f t="shared" si="455"/>
        <v/>
      </c>
      <c r="GN257" t="str">
        <f t="shared" si="456"/>
        <v/>
      </c>
      <c r="GO257" t="str">
        <f t="shared" si="457"/>
        <v/>
      </c>
      <c r="GP257" t="str">
        <f t="shared" si="458"/>
        <v/>
      </c>
      <c r="GQ257">
        <f t="shared" si="459"/>
        <v>1</v>
      </c>
      <c r="GR257" t="str">
        <f>IF(GQ257=1,"XT"&amp;COUNTIFS(A$3:A257,A257,GQ$3:GQ257,1),"")</f>
        <v>XT33</v>
      </c>
      <c r="GS257" t="str">
        <f t="shared" si="460"/>
        <v/>
      </c>
      <c r="GT257" t="str">
        <f t="shared" si="461"/>
        <v>QFD33</v>
      </c>
      <c r="GU257" t="str">
        <f t="shared" si="462"/>
        <v/>
      </c>
      <c r="GV257" t="str">
        <f t="shared" si="463"/>
        <v>ok</v>
      </c>
      <c r="GW257" t="str">
        <f>IF(OR(GO257="",GM257=""),"",IF(GO257&gt;IFERROR(VLOOKUP(GN257,Модули_спр,3,FALSE),99),"ЛИШНИЙ КАНАЛ",IF(AND(AH257&lt;&gt;"=",COUNTIFS(Линии[_модуль гр.],GM257,Линии[Канал (итог)],GO257,Линии[Канал],"&lt;&gt;=",Линии[Щит],A257)&gt;1),"ДУБЛЬ КАНАЛА","")))</f>
        <v/>
      </c>
      <c r="GX257" s="6" t="str">
        <f t="shared" si="464"/>
        <v/>
      </c>
      <c r="GY257">
        <f t="shared" si="465"/>
        <v>10</v>
      </c>
      <c r="GZ257" t="str">
        <f t="shared" si="466"/>
        <v/>
      </c>
      <c r="HA257" t="str">
        <f>IF(AND(B257="",GT257=""),"",_xlfn.TEXTJOIN("; ",TRUE,IF(AND(B257&lt;&gt;"",FE257=""),"нет фазы",""),IF(AND(B257&lt;&gt;"",N(FY257)=0,EQ257&lt;&gt;"Нет"),"нет мощности",""),IF(AND(GS257&lt;&gt;"",COUNTIFS(Линии[Щит],A257,Линии[Клемма (итог)],GS257)&gt;1),"дубль клеммы "&amp;GS257,""),IF(AND(GV257&lt;&gt;"",GV257&lt;&gt;"ok"),GV257,""),IF(GW257&lt;&gt;"",GW257,""),IF(AND(N(BV257)&gt;=4,N(BR257)=1),BV257&amp;" жил на 1 фазе",""),IF(AND(AX257="R",CA257=1,OR(N(CK257)=0,N(CK257)&gt;30)),"розетка без дифзащиты до 30 мА",""),IFERROR(IF(AND(ISNUMBER(R257),R257&gt;DV257),"потери "&amp;FIXED(R257,1)&amp;" % &gt; "&amp;DV257&amp;" %",""),""),IFERROR(IF(LEFT(GZ257,4)="мало","Iкз мало — отключение &gt; 0,4 с",""),""),IF(AND(B257&lt;&gt;"",BH257=""),"не на схеме",""),IF(AND(CA257=0,B257&lt;&gt;"",FE257&lt;&gt;"",IF(AW257=1,"",FF256)&lt;&gt;"",FE257&lt;&gt;IF(AW257=1,"",FF256)),"фаза не как у автомата группы ("&amp;IF(AW257=1,"",FF256)&amp;")","")))</f>
        <v/>
      </c>
      <c r="HB257" s="6">
        <f>IF(OR(CA257=0,DA257=""),"",_xlfn.LET(_xlpm.t,IFERROR(_xlfn.XLOOKUP(DA257,Каталог!$U$4:$U$500,Каталог!$G$4:$G$500),""),_xlpm.k,SEARCH("кА",_xlpm.t),IFERROR(--TRIM(RIGHT(SUBSTITUTE(MID(_xlpm.t,MAX(1,_xlpm.k-4),_xlpm.k-MAX(1,_xlpm.k-4))," ",REPT(" ",9)),5)),"")))</f>
        <v>6</v>
      </c>
      <c r="HC257" t="str">
        <f>IF(OR(HB257="",CA257=0),"",IF(_xlfn.XLOOKUP(A257,Щиты[Щит],Щиты[Iкз max на шинах, кА],"")="","",IF(HB257&lt;_xlfn.XLOOKUP(A257,Щиты[Щит],Щиты[Iкз max на шинах, кА]),"Icu "&amp;HB257&amp;" кА &lt; Iкз max","ok")))</f>
        <v/>
      </c>
      <c r="HD257" t="str">
        <f t="shared" si="467"/>
        <v/>
      </c>
      <c r="HE257" t="str">
        <f t="shared" si="468"/>
        <v>QFD33</v>
      </c>
      <c r="HF257" t="str">
        <f t="shared" si="469"/>
        <v>QFD33|кабель ВВГнг(А)-LS (3х2,5) → Розеточная группа, пом. 012</v>
      </c>
      <c r="HG257" t="str" cm="1">
        <f t="array" ref="HG257">IF(HF257="","",_xlfn.LET(_xlpm.nd,_xlfn.TEXTSPLIT(HF257,"|"),IF(COLUMNS(_xlpm.nd)&gt;1,A257&amp;"¦"&amp;INDEX(_xlpm.nd,1)&amp;"¦"&amp;INDEX(_xlpm.nd,2),"")))</f>
        <v>ЩР-1¦QFD33¦кабель ВВГнг(А)-LS (3х2,5) → Розеточная группа, пом. 012</v>
      </c>
      <c r="HH257" t="str">
        <f t="shared" si="470"/>
        <v>R.1.012.1A.1¦Розеточная группа, пом. 012</v>
      </c>
      <c r="HI257" t="str" cm="1">
        <f t="array" ref="HI257">IF(HF257="","",_xlfn.LET(_xlpm.nd,_xlfn.TEXTSPLIT(HF257,"|"),IF(COLUMNS(_xlpm.nd)&gt;2,A257&amp;"¦"&amp;INDEX(_xlpm.nd,2)&amp;"¦"&amp;INDEX(_xlpm.nd,3),"")))</f>
        <v/>
      </c>
      <c r="HJ257" t="str">
        <f t="shared" si="471"/>
        <v/>
      </c>
      <c r="HK257" t="str" cm="1">
        <f t="array" ref="HK257">IF(HF257="","",_xlfn.LET(_xlpm.nd,_xlfn.TEXTSPLIT(HF257,"|"),IF(COLUMNS(_xlpm.nd)&gt;3,A257&amp;"¦"&amp;INDEX(_xlpm.nd,3)&amp;"¦"&amp;INDEX(_xlpm.nd,4),"")))</f>
        <v/>
      </c>
      <c r="HL257" t="str">
        <f t="shared" si="472"/>
        <v/>
      </c>
      <c r="HM257" t="str" cm="1">
        <f t="array" ref="HM257">IF(HF257="","",_xlfn.LET(_xlpm.nd,_xlfn.TEXTSPLIT(HF257,"|"),IF(COLUMNS(_xlpm.nd)&gt;4,A257&amp;"¦"&amp;INDEX(_xlpm.nd,4)&amp;"¦"&amp;INDEX(_xlpm.nd,5),"")))</f>
        <v/>
      </c>
      <c r="HN257" t="str">
        <f t="shared" si="473"/>
        <v/>
      </c>
      <c r="HO257" t="str" cm="1">
        <f t="array" ref="HO257">IF(HF257="","",_xlfn.LET(_xlpm.nd,_xlfn.TEXTSPLIT(HF257,"|"),IF(COLUMNS(_xlpm.nd)&gt;5,A257&amp;"¦"&amp;INDEX(_xlpm.nd,5)&amp;"¦"&amp;INDEX(_xlpm.nd,6),"")))</f>
        <v/>
      </c>
      <c r="HP257" t="str">
        <f t="shared" si="474"/>
        <v/>
      </c>
      <c r="HQ257" t="str" cm="1">
        <f t="array" ref="HQ257">IF(HF257="","",_xlfn.LET(_xlpm.nd,_xlfn.TEXTSPLIT(HF257,"|"),IF(COLUMNS(_xlpm.nd)&gt;6,A257&amp;"¦"&amp;INDEX(_xlpm.nd,6)&amp;"¦"&amp;INDEX(_xlpm.nd,7),"")))</f>
        <v/>
      </c>
      <c r="HR257" t="str">
        <f t="shared" si="475"/>
        <v/>
      </c>
      <c r="HS257" t="str">
        <f t="shared" si="476"/>
        <v/>
      </c>
      <c r="HT257" t="str">
        <f t="shared" si="477"/>
        <v>QFD33</v>
      </c>
      <c r="HU257">
        <f t="shared" si="478"/>
        <v>0</v>
      </c>
      <c r="HV257">
        <f t="shared" si="479"/>
        <v>1</v>
      </c>
      <c r="HW257" t="str">
        <f t="shared" si="480"/>
        <v/>
      </c>
      <c r="HX257" t="str">
        <f t="shared" si="481"/>
        <v/>
      </c>
      <c r="HY257" t="str">
        <f t="shared" si="482"/>
        <v/>
      </c>
      <c r="HZ257" t="str">
        <f t="shared" si="483"/>
        <v/>
      </c>
      <c r="IA257" t="str">
        <f>IF(B257="","",IFERROR(VLOOKUP(B257,УГО_спр,2,FALSE),IFERROR(VLOOKUP(AX257,УГО_спр,2,FALSE),IFERROR(VLOOKUP(LEFT(AX257,2),УГО_спр,2,FALSE),""))))</f>
        <v>Розетка</v>
      </c>
      <c r="IB257" t="str">
        <f>IF(B257="","",IF(OR(IA257="",IA257=0),"BOX",IFERROR(IF(VLOOKUP(IA257,УГО_блоки,3,FALSE)&amp;""&lt;&gt;"",VLOOKUP(IA257,УГО_блоки,3,FALSE),VLOOKUP(IA257,УГО_блоки,2,FALSE)),IA257)))</f>
        <v>SOCKET</v>
      </c>
      <c r="IC257">
        <f t="shared" si="484"/>
        <v>1</v>
      </c>
      <c r="ID257" t="str">
        <f>IF(DA257="","",IF(COUNTIF(DA$3:DA257,DA257)=1,MAX(ID$2:ID256)+1,""))</f>
        <v/>
      </c>
      <c r="IE257" t="str">
        <f>IF(CO257="","",IF(COUNTIF(CO$3:CO257,CO257)+COUNTIF(CP$2:CP256,CO257)+COUNTIF(CQ$2:CQ256,CO257)=1,MAX(IE$2:IG256)+1,""))</f>
        <v/>
      </c>
      <c r="IF257" t="str">
        <f>IF(CP257="","",IF(COUNTIF(CO$3:CO257,CP257)+COUNTIF(CP$3:CP257,CP257)+COUNTIF(CQ$2:CQ256,CP257)=1,MAX(IE$2:IG256,IE257)+1,""))</f>
        <v/>
      </c>
      <c r="IG257" t="str">
        <f>IF(CQ257="","",IF(COUNTIF(CO$3:CO257,CQ257)+COUNTIF(CP$3:CP257,CQ257)+COUNTIF(CQ$3:CQ257,CQ257)=1,MAX(IE$2:IG256,IE257,IF257)+1,""))</f>
        <v/>
      </c>
      <c r="IH257" t="str">
        <f t="shared" si="485"/>
        <v>3х2,5</v>
      </c>
      <c r="II257" t="str">
        <f>IF(IH257="","",IF(COUNTIF(IH$3:IH257,IH257)=1,MAX(II$2:II256)+1,""))</f>
        <v/>
      </c>
      <c r="IJ257" t="str">
        <f>IF(GL257="","",COUNTIF(GL$3:GL257,"?*"))</f>
        <v/>
      </c>
      <c r="IK257" t="str">
        <f>IF(OR(GL257="",GN257=""),"",IF(COUNTIFS(GL$3:GL257,"?*",GN$3:GN257,GN257)=1,MAX(IK$2:IK256)+1,""))</f>
        <v/>
      </c>
      <c r="IL257">
        <f t="shared" si="486"/>
        <v>0</v>
      </c>
      <c r="IM257">
        <f>IF(B257="","",COUNTIF(B$3:B257,"?*"))</f>
        <v>255</v>
      </c>
      <c r="IN257">
        <f>IF(GQ257&lt;&gt;1,0,_xlfn.LET(_xlpm.k,MAX(IFERROR(--VLOOKUP(B257,УГО_спр,5,FALSE),0),IFERROR(--VLOOKUP(AX257,УГО_спр,5,FALSE),0),IFERROR(--VLOOKUP(LEFT(AX257,2),УГО_спр,5,FALSE),0)),IF(_xlpm.k&gt;0,_xlpm.k,IF(IFERROR(--LEFT(SUBSTITUTE(IH257,"x","х"),FIND("х",SUBSTITUTE(IH257,"x","х"))-1),3)&gt;3,Каталог!$S$9,1))))</f>
        <v>1</v>
      </c>
      <c r="IO257">
        <f t="shared" si="487"/>
        <v>0</v>
      </c>
      <c r="IP257" t="str">
        <f t="shared" si="488"/>
        <v>авто</v>
      </c>
      <c r="IQ257">
        <f t="shared" si="489"/>
        <v>30</v>
      </c>
      <c r="IR257">
        <f t="shared" si="490"/>
        <v>1</v>
      </c>
      <c r="IS257">
        <f t="shared" si="491"/>
        <v>1</v>
      </c>
    </row>
    <row r="258" spans="1:253" x14ac:dyDescent="0.3">
      <c r="A258" t="s">
        <v>759</v>
      </c>
      <c r="B258" t="s">
        <v>1523</v>
      </c>
      <c r="C258" t="str">
        <f>Линии[[#This Row],[_авто наименование]]</f>
        <v>Розеточная группа, пом. 013A</v>
      </c>
      <c r="D258">
        <v>1</v>
      </c>
      <c r="E258">
        <v>0.06</v>
      </c>
      <c r="G258" t="str">
        <f>Линии[[#This Row],[_авто автомат]]</f>
        <v>2P С16А 30мА</v>
      </c>
      <c r="H258">
        <f>Линии[[#This Row],[_авто утечка]]</f>
        <v>30</v>
      </c>
      <c r="I258" t="str">
        <f>Линии[[#This Row],[_авто управление]]</f>
        <v/>
      </c>
      <c r="J258" t="str">
        <f>Линии[[#This Row],[_авто аппараты]]</f>
        <v/>
      </c>
      <c r="K258">
        <v>2.5</v>
      </c>
      <c r="L258">
        <v>35</v>
      </c>
      <c r="M258">
        <v>1</v>
      </c>
      <c r="N258" t="s">
        <v>486</v>
      </c>
      <c r="O258" t="str">
        <f t="shared" si="369"/>
        <v/>
      </c>
      <c r="P258" s="6" cm="1">
        <f t="array" ref="P258">IF(B258="","",IF(BC258&lt;&gt;"",IFERROR(_xlfn.XLOOKUP(BC258,Щиты[Щит],Щиты[Iр, А]),""),IF(BK258=1,IFERROR(_xlfn.XLOOKUP(A258,Щиты[Щит],Щиты[Iр, А]),""),IFERROR(_xlfn.IFS(BR258=1,BN258/((Uн_лин/SQRT(3))*BY258),BR258=3,BN258/(SQRT(3)*Uн_лин*BY258)),""))))</f>
        <v>0.27348170645824377</v>
      </c>
      <c r="Q258" s="7">
        <f>IF(B258="","",IFERROR(IF(VLOOKUP(AX258,Потребители_обозначение,4,FALSE)=1,VLOOKUP(AX258,Потребители_обозначение,3,FALSE)*(D258*2-1)+DS258+VLOOKUP(AZ258,Этаж_обозначение,3,FALSE)+VLOOKUP(AZ258,Этаж_обозначение,4,FALSE),VLOOKUP(AX258,Потребители_обозначение,3,FALSE)*(D258*2-1)+DS258),DS258))</f>
        <v>38</v>
      </c>
      <c r="R258" s="6">
        <f t="shared" si="370"/>
        <v>1.27</v>
      </c>
      <c r="S258" t="str">
        <f t="shared" si="371"/>
        <v>ВВГнг(А)-LS (3х2,5)</v>
      </c>
      <c r="T258" t="str">
        <f>IF(BH258="","",IF(BI258="вводной узел","узел ","")&amp;"л."&amp;(INT((BH258-1)/Столбцов_на_лист)+1)&amp;" / "&amp;(MOD(BH258-1,Столбцов_на_лист)+1))</f>
        <v>л.4 / 4</v>
      </c>
      <c r="V258">
        <v>1</v>
      </c>
      <c r="W258">
        <v>230</v>
      </c>
      <c r="X258" t="s">
        <v>564</v>
      </c>
      <c r="AC258" t="s">
        <v>815</v>
      </c>
      <c r="AE258" t="s">
        <v>563</v>
      </c>
      <c r="AI258">
        <v>55</v>
      </c>
      <c r="AJ258" t="s">
        <v>11</v>
      </c>
      <c r="AK258">
        <v>3</v>
      </c>
      <c r="AM258">
        <v>20</v>
      </c>
      <c r="AN258">
        <v>18</v>
      </c>
      <c r="AO258">
        <v>0</v>
      </c>
      <c r="AW258" cm="1">
        <f t="array" ref="AW258">ROW()-ROW(Линии[#Headers])</f>
        <v>256</v>
      </c>
      <c r="AX258" s="6" t="str">
        <f t="shared" si="372"/>
        <v>R</v>
      </c>
      <c r="AY258" t="str">
        <f t="shared" si="373"/>
        <v>1.013A.1</v>
      </c>
      <c r="AZ258" t="str">
        <f t="shared" si="374"/>
        <v>1</v>
      </c>
      <c r="BA258" t="str">
        <f t="shared" si="375"/>
        <v>013A.1</v>
      </c>
      <c r="BB258" t="str">
        <f t="shared" si="376"/>
        <v>013A</v>
      </c>
      <c r="BC258" t="str">
        <f>IF(U258&lt;&gt;"",U258,IF(AND(B258&lt;&gt;"",B258&lt;&gt;A258,ISNUMBER(_xlfn.XMATCH(B258,Щиты[Щит]))),B258,""))</f>
        <v/>
      </c>
      <c r="BD258" t="str" cm="1">
        <f t="array" ref="BD258">IF(B258="","",IF(BC258&lt;&gt;"","Щит "&amp;BC258,_xlfn.LET(_xlpm.nm,IFERROR(_xlfn.XLOOKUP(AX258,Коды_код,Коды_имя)&amp;"",""),_xlpm.md,IFERROR(N(_xlfn.XLOOKUP(AX258,Коды_код,Коды_режим)),1),_xlpm.ex,IF(Имя_режим="по экспликации",IFERROR(_xlfn.XLOOKUP(AZ258&amp;"|"&amp;BB258,Экспликация[Этаж]&amp;"|"&amp;Экспликация[Помещение],Экспликация[Название])&amp;"",""),""),_xlpm.rm,IF(BB258="","",IF(_xlpm.ex&lt;&gt;"",". "&amp;_xlpm.ex&amp;IF(Имя_пом="нет"," ("&amp;BB258&amp;")"," (пом. "&amp;BB258&amp;")"),IF(Имя_пом="нет"," ",", пом. ")&amp;BB258)),IF(_xlpm.nm="","",IF(_xlpm.md=2,_xlpm.nm&amp;" шлейф "&amp;AZ258,_xlpm.nm&amp;_xlpm.rm)))))</f>
        <v>Розеточная группа, пом. 013A</v>
      </c>
      <c r="BE258" t="str">
        <f t="shared" si="377"/>
        <v>Розеточная группа, пом. 013A</v>
      </c>
      <c r="BF258">
        <f>IFERROR(_xlfn.XMATCH(A258,Щиты[Щит]),0)</f>
        <v>10</v>
      </c>
      <c r="BG258">
        <f>_xlfn.LET(_xlpm.k,IFERROR(_xlfn.XLOOKUP(A258,Щиты[Щит],Щиты[Листов под вводной узел]),""),IF(_xlpm.k="",1,N(_xlpm.k))*Столбцов_на_лист)</f>
        <v>17</v>
      </c>
      <c r="BH258">
        <f t="shared" si="378"/>
        <v>55</v>
      </c>
      <c r="BI258" t="str">
        <f t="shared" si="379"/>
        <v>линии</v>
      </c>
      <c r="BJ258" s="6">
        <f>IFERROR(N(_xlfn.XLOOKUP(AX258,Коды_код,Коды_квт)),0)</f>
        <v>0</v>
      </c>
      <c r="BK258">
        <f t="shared" si="380"/>
        <v>0</v>
      </c>
      <c r="BL258" t="str">
        <f>IF(B258="","",IF(BC258&lt;&gt;"",IFERROR(_xlfn.XLOOKUP(BC258,Щиты[Щит],Щиты[Руст, кВт]),0),IF(BK258=1,IFERROR(_xlfn.XLOOKUP(A258,Щиты[Щит],Щиты[Руст, кВт]),0),IF(BJ258&gt;0,ROUND(BJ258*MAX(1,N(D258)),3),""))))</f>
        <v/>
      </c>
      <c r="BM258">
        <f t="shared" si="381"/>
        <v>0.06</v>
      </c>
      <c r="BN258" s="6">
        <f>IF(B258="","",IF(BC258&lt;&gt;"",IFERROR(_xlfn.XLOOKUP(BC258,Щиты[Щит],Щиты[Руст, кВт]),0),N(BM258)))</f>
        <v>0.06</v>
      </c>
      <c r="BO258" t="str">
        <f>IF(B258="","",IFERROR(IF(VLOOKUP(AX258,Потребители_обозначение,8,FALSE)=0,"",VLOOKUP(AX258,Потребители_обозначение,8,FALSE)),""))</f>
        <v/>
      </c>
      <c r="BP258">
        <f t="shared" si="382"/>
        <v>230</v>
      </c>
      <c r="BQ258">
        <f>IF(B258="","",IF(BC258&lt;&gt;"",3,IFERROR(IF(N(VLOOKUP(AX258,Потребители_обозначение,9,FALSE))=0,1,VLOOKUP(AX258,Потребители_обозначение,9,FALSE)),1)))</f>
        <v>1</v>
      </c>
      <c r="BR258">
        <f t="shared" si="383"/>
        <v>1</v>
      </c>
      <c r="BS258" t="str">
        <f>IF(B258="","",_xlfn.LET(_xlpm.bc,IFERROR(IF(VLOOKUP(AX258,Потребители_обозначение,6,FALSE)=0,"",VLOOKUP(AX258,Потребители_обозначение,6,FALSE)&amp;""),""),IF(AND(FK258="да",OR(_xlpm.bc="",_xlpm.bc="мс")),Марка_пож,IF(AND(_xlpm.bc="",BC258&lt;&gt;""),"мс",_xlpm.bc))))</f>
        <v/>
      </c>
      <c r="BT258" t="str">
        <f t="shared" si="384"/>
        <v>мс</v>
      </c>
      <c r="BU258">
        <f>IF(B258="","",_xlfn.LET(_xlpm.cc,IFERROR(N(VLOOKUP(AX258,Потребители_обозначение,7,FALSE)),0),IF(_xlpm.cc&gt;0,_xlpm.cc,IF(BT258="","",IF(N(BR258)=3,5,3)))))</f>
        <v>3</v>
      </c>
      <c r="BV258">
        <f t="shared" si="385"/>
        <v>3</v>
      </c>
      <c r="BW258">
        <f>IFERROR(N(VLOOKUP(AX258,Потребители_обозначение,10,FALSE)),0)</f>
        <v>0</v>
      </c>
      <c r="BX258">
        <f>IFERROR(VLOOKUP(AX258,Потребители_обозначение,5,FALSE),0)</f>
        <v>1</v>
      </c>
      <c r="BY258" s="6" cm="1">
        <f t="array" ref="BY258">IF(B258="","",IF(BC258&lt;&gt;"",IFERROR(_xlfn.XLOOKUP(BC258,Щиты[Щит],Щиты[cos φ]),0.95),IF(BK258=1,IFERROR(_xlfn.XLOOKUP(A258,Щиты[Щит],Щиты[cos φ]),0.95),IF(ISNUMBER(Z258),Z258,IFERROR(IF(BX258=2,_xlfn.IFS(BR258=3,VLOOKUP(BN258,Справочная_двигатели,8,FALSE),BR258=1,VLOOKUP(BN258,Справочная_двигатели,10,TRUE)),IF(AND(Методика="нормы 2026",EQ258="Сил"),0.8,0.95)),0.95)))))</f>
        <v>0.95</v>
      </c>
      <c r="BZ258">
        <f t="shared" si="386"/>
        <v>0</v>
      </c>
      <c r="CA258">
        <f t="shared" si="387"/>
        <v>1</v>
      </c>
      <c r="CB258">
        <f t="shared" si="388"/>
        <v>0</v>
      </c>
      <c r="CC258">
        <f t="shared" si="389"/>
        <v>0</v>
      </c>
      <c r="CD258">
        <f t="shared" si="390"/>
        <v>0</v>
      </c>
      <c r="CE258">
        <f t="shared" si="391"/>
        <v>0</v>
      </c>
      <c r="CF258">
        <f t="shared" si="392"/>
        <v>0</v>
      </c>
      <c r="CG258">
        <f>IF(AX258="",0,_xlfn.LET(_xlpm.v,IFERROR(VLOOKUP(B258,УГО_спр,3,FALSE),IFERROR(VLOOKUP(AX258,УГО_спр,3,FALSE),IFERROR(VLOOKUP(LEFT(AX258,2),УГО_спр,3,FALSE),""))),IF(_xlpm.v="да",30,IF(ISNUMBER(_xlpm.v),_xlpm.v,0))))</f>
        <v>30</v>
      </c>
      <c r="CH258">
        <f t="shared" si="393"/>
        <v>30</v>
      </c>
      <c r="CI258" t="str">
        <f>_xlfn.LET(_xlpm.k,IFERROR(_xlfn.XLOOKUP(AX258,Коды_код,Коды_утечка)&amp;"",""),IF(_xlpm.k="","дифавтомат",_xlpm.k))</f>
        <v>дифавтомат</v>
      </c>
      <c r="CJ258">
        <f t="shared" si="394"/>
        <v>30</v>
      </c>
      <c r="CK258">
        <f t="shared" si="395"/>
        <v>30</v>
      </c>
      <c r="CL258">
        <f>IF(B258="",0,IFERROR(--VLOOKUP(B258,УГО_спр,4,FALSE),IFERROR(--VLOOKUP(AX258,УГО_спр,4,FALSE),IFERROR(--VLOOKUP(LEFT(AX258,2),УГО_спр,4,FALSE),0))))</f>
        <v>16</v>
      </c>
      <c r="CM258" t="str">
        <f>IF(B258="","",IFERROR(_xlfn.XLOOKUP(AX258,Коды_код,Коды_апп)&amp;"",""))</f>
        <v/>
      </c>
      <c r="CN258" t="str">
        <f t="shared" si="396"/>
        <v/>
      </c>
      <c r="CO258" t="str" cm="1">
        <f t="array" ref="CO258">IF(TRIM(CN258&amp;"")="","",IFERROR(TRIM(INDEX(_xlfn.TEXTSPLIT(CN258&amp;";;;",";"),1)),""))</f>
        <v/>
      </c>
      <c r="CP258" t="str" cm="1">
        <f t="array" ref="CP258">IF(TRIM(CN258&amp;"")="","",IFERROR(TRIM(INDEX(_xlfn.TEXTSPLIT(CN258&amp;";;;",";"),2)),""))</f>
        <v/>
      </c>
      <c r="CQ258" t="str" cm="1">
        <f t="array" ref="CQ258">IF(TRIM(CN258&amp;"")="","",IFERROR(TRIM(INDEX(_xlfn.TEXTSPLIT(CN258&amp;";;;",";"),3)),""))</f>
        <v/>
      </c>
      <c r="CR258">
        <f t="shared" si="397"/>
        <v>0</v>
      </c>
      <c r="CS258" t="str">
        <f>IF(B258="","",_xlfn.LET(_xlpm.t,LOWER(AV258&amp;""),IF(ISNUMBER(SEARCH("dim",_xlpm.t)),"DIM",IF(ISNUMBER(SEARCH("dali",_xlpm.t)),"DALI",IF(OR(ISNUMBER(SEARCH("relay",_xlpm.t)),ISNUMBER(SEARCH("реле",_xlpm.t))),"Relay",IF(ISNUMBER(SEARCH("кнопк",_xlpm.t)),"",IFERROR(_xlfn.XLOOKUP(AX258,Коды_код,Коды_упр)&amp;"","")))))))</f>
        <v/>
      </c>
      <c r="CT258" t="str">
        <f t="shared" si="398"/>
        <v/>
      </c>
      <c r="CU258">
        <f>IF(B258="","",_xlfn.LET(_xlpm.ig,N(P258)+IF(AF258="вручную",0,N(CB258)),_xlpm.n0,IFERROR(VLOOKUP(_xlpm.ig,Автомат_номиналы,2,TRUE),0),_xlpm.mn,MAX(CL258,IF(AF258="вручную",0,N(CE258))),MAX(_xlpm.n0,_xlpm.mn,IF(CR258=1,Мин_автомат_БП,0))))</f>
        <v>16</v>
      </c>
      <c r="CV258">
        <f t="shared" si="399"/>
        <v>1</v>
      </c>
      <c r="CW258" t="str">
        <f t="shared" si="400"/>
        <v>2P</v>
      </c>
      <c r="CX258" t="str">
        <f>_xlfn.LET(_xlpm.cc,UPPER(TRIM(IFERROR(_xlfn.XLOOKUP(AX258,Коды_код,Коды_хар)&amp;"",""))),IF(OR(_xlpm.cc="B",_xlpm.cc="В"),"B",IF(_xlpm.cc="D","D","С")))</f>
        <v>С</v>
      </c>
      <c r="CY258" t="str">
        <f t="shared" si="401"/>
        <v>2P С16А 30мА</v>
      </c>
      <c r="CZ258" t="str">
        <f t="shared" si="402"/>
        <v>2P С16А 30мА</v>
      </c>
      <c r="DA258" t="str">
        <f t="shared" si="403"/>
        <v>2P С16А 30мА</v>
      </c>
      <c r="DB258" cm="1">
        <f t="array" ref="DB258">IF(DA258="","",_xlfn.LET(_xlpm.t,SUBSTITUTE(SUBSTITUTE(SUBSTITUTE(UPPER(DA258),"С","C"),"А","A"),"В","B"),_xlpm.tk,_xlfn.TEXTSPLIT(_xlpm.t,"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8" t="str">
        <f t="shared" si="404"/>
        <v>ok</v>
      </c>
      <c r="DD258">
        <f t="shared" si="405"/>
        <v>16</v>
      </c>
      <c r="DE258" t="str">
        <f t="shared" si="406"/>
        <v>2P С16А 30мА</v>
      </c>
      <c r="DF258">
        <f t="shared" si="407"/>
        <v>30</v>
      </c>
      <c r="DG258">
        <f t="shared" si="408"/>
        <v>1</v>
      </c>
      <c r="DH258">
        <f t="shared" si="409"/>
        <v>0</v>
      </c>
      <c r="DI258">
        <f t="shared" si="410"/>
        <v>0.27348170645824377</v>
      </c>
      <c r="DJ258">
        <f t="shared" si="411"/>
        <v>1</v>
      </c>
      <c r="DK258">
        <f>IF(ISNUMBER(AL258),AL258,К_прокл)</f>
        <v>1</v>
      </c>
      <c r="DL258">
        <f t="shared" si="412"/>
        <v>2</v>
      </c>
      <c r="DM258">
        <f>IFERROR(N(VLOOKUP(BT258,Кабель_обозначение,3,FALSE)),1)</f>
        <v>1</v>
      </c>
      <c r="DN258">
        <f>IFERROR(N(_xlfn.XLOOKUP(A258,Щиты[Щит],Щиты[ΔU до шин, %])),0)</f>
        <v>1.19</v>
      </c>
      <c r="DO258" t="str">
        <f>IFERROR(_xlfn.XLOOKUP(A258,Щиты[Щит],Щиты[Zпетли на шинах, Ом]),"")</f>
        <v/>
      </c>
      <c r="DP258">
        <f>IFERROR(N(_xlfn.XLOOKUP(A258,Щиты[Щит],Щиты[ΔU до шин (подбор), %])),0)</f>
        <v>1.19</v>
      </c>
      <c r="DQ258" t="str">
        <f>IFERROR(_xlfn.XLOOKUP(A258,Щиты[Щит],Щиты[Zпетли на шинах (подбор), Ом]),"")</f>
        <v/>
      </c>
      <c r="DR258" t="str">
        <f t="shared" si="413"/>
        <v/>
      </c>
      <c r="DS258">
        <f t="shared" si="414"/>
        <v>35</v>
      </c>
      <c r="DT258">
        <f t="shared" si="415"/>
        <v>2</v>
      </c>
      <c r="DU258">
        <f t="shared" si="416"/>
        <v>0.31</v>
      </c>
      <c r="DV258" s="6">
        <f>IF(B258="","",IF(IFERROR(VLOOKUP(AX258,УГО_спр,2,FALSE),"")="Светильник",3,4)+IF(Методика="нормы 2026",MIN(0.5,MAX(0,N(Q258)-100)*0.005),0))</f>
        <v>4</v>
      </c>
      <c r="DW258" cm="1">
        <f t="array" ref="DW258">IF(OR(B258="",BT258="",DM258&lt;&gt;1),"",_xlfn.LET(_xlpm.sz,Iдоп_S,_xlpm.t_,CHOOSE(DL258,Iдоп_1ж,Iдоп_2ж,Iдоп_3ж)*DJ258*DK258,_xlpm.inn,N(DD258),_xlpm.smin,MAX(1.5,BW258),_xlpm.L_,N(Q258)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258)*(_xlpm.rho*_xlpm.L_/_xlpm.sz*N(BY258)+_xlpm.xx*_xlpm.L_*N(DU258)/1000)*N(P258)/((Uн_лин/SQRT(3))*1000)*100,999),_xlpm.kz,IF(OR(DG258=1,NOT(ISNUMBER(DQ258)),_xlpm.L_=0,_xlpm.inn=0),1,IFERROR(--(c_min*(Uн_лин*1000/SQRT(3))/(DQ258+2*ρкз_Cu*_xlpm.L_/_xlpm.sz)&gt;=GY258*_xlpm.inn),0)),_xlpm.ok,IFERROR((_xlpm.sz&gt;=_xlpm.smin)*(_xlpm.t_&gt;=_xlpm.inn)*IF(_xlpm.L_&gt;0,(_xlpm.du_+DP258&lt;=DV258+0.00001),1)*_xlpm.kz,0),_xlpm.r_,_xlfn._xlws.FILTER(_xlpm.sz,_xlpm.ok,"не подобрано"),INDEX(_xlpm.r_,1)))</f>
        <v>1.5</v>
      </c>
      <c r="DX258">
        <f t="shared" si="417"/>
        <v>2.5</v>
      </c>
      <c r="DY258" cm="1">
        <f t="array" ref="DY258">IF(OR(B258="",BT258="",DM258&lt;&gt;1),"",_xlfn.LET(_xlpm.sz,Iдоп_S,_xlpm.t_,CHOOSE(DL258,Iдоп_1ж,Iдоп_2ж,Iдоп_3ж)*DJ258*DK258,_xlpm.ok,IFERROR((_xlpm.sz&gt;=MAX(1.5,BW258))*(_xlpm.t_&gt;=N(DD258)),0),_xlpm.r_,_xlfn._xlws.FILTER(_xlpm.sz,_xlpm.ok,""),INDEX(_xlpm.r_,1)))</f>
        <v>1.5</v>
      </c>
      <c r="DZ258" s="6" cm="1">
        <f t="array" ref="DZ258">IFERROR(ROUNDUP(N(DT258)*(_xlfn.XLOOKUP(DY258,INDEX(Кабель_сопротивление,0,1),INDEX(Кабель_сопротивление,0,3))*N(Q258)/DY258*N(BY258)+_xlfn.XLOOKUP(DY258,INDEX(Кабель_сопротивление,0,1),INDEX(Кабель_сопротивление,0,2))*N(Q258)*N(DU258)/1000)*N(P258)/((Uн_лин/SQRT(3))*1000)*100,2),"")</f>
        <v>0.13</v>
      </c>
      <c r="EA258">
        <f>IFERROR(2*ρкз_Cu*N(Q258)/DY258,"")</f>
        <v>1.3325333333333333</v>
      </c>
      <c r="EB258">
        <f>IFERROR(VLOOKUP(DX258,Кабель_сопротивление,3,FALSE),"")</f>
        <v>2.2499999999999999E-2</v>
      </c>
      <c r="EC258">
        <f>IFERROR(VLOOKUP(DX258,Кабель_сопротивление,2,FALSE),"")</f>
        <v>0.1</v>
      </c>
      <c r="ED258">
        <f t="shared" si="418"/>
        <v>18</v>
      </c>
      <c r="EE258">
        <f t="shared" si="419"/>
        <v>0</v>
      </c>
      <c r="EF258">
        <f t="shared" si="420"/>
        <v>0.17835273575698241</v>
      </c>
      <c r="EG258" s="6">
        <f>IFERROR(ROUNDUP(EF258/((Uн_лин/SQRT(3))*1000)*100,2),"")</f>
        <v>0.08</v>
      </c>
      <c r="EH258" t="str">
        <f>IFERROR(VLOOKUP(BT258,Кабель_обозначение,2,FALSE),"")</f>
        <v>ВВГнг(А)-LS</v>
      </c>
      <c r="EI258" t="str">
        <f t="shared" si="421"/>
        <v>ВВГнг(А)-LS (3х2,5)</v>
      </c>
      <c r="EJ258" t="str">
        <f t="shared" si="422"/>
        <v>ВВГнг(А)-LS (3х2,5)
L=38-0,08%</v>
      </c>
      <c r="EK258">
        <f>IFERROR(2*ρкз_Cu*Q258/DX258,"")</f>
        <v>0.79952000000000001</v>
      </c>
      <c r="EL258">
        <f t="shared" si="423"/>
        <v>0.26600000000000001</v>
      </c>
      <c r="EM258" s="6" t="str">
        <f>IFERROR(IF(OR(B258="",NOT(ISNUMBER(DX258)),N(Q258)=0),"",_xlfn.XLOOKUP(A258,Щиты[Щит],Щиты[Zпетли на шинах, Ом])+EK258),"")</f>
        <v/>
      </c>
      <c r="EN258" s="6" t="str">
        <f>IF(ISNUMBER(EM258),c_min*(Uн_лин*1000/SQRT(3))/EM258,"")</f>
        <v/>
      </c>
      <c r="EO258" s="6" t="str">
        <f>IFERROR(IF(OR(B258="",NOT(ISNUMBER(DX258))),"",1.05*(Uн_лин*1000/SQRT(3))/(_xlfn.XLOOKUP(A258,Щиты[Щит],Щиты[Zmax на шинах, Ом])+EL258)/1000),"")</f>
        <v/>
      </c>
      <c r="EP258" s="6" t="str">
        <f>IF(B258="","",IF(ISNUMBER(Y258),"Сил",IF(IFERROR(_xlfn.XLOOKUP(AX258,Коды_код,Коды_группа)&amp;"","")="","Быт",_xlfn.XLOOKUP(AX258,Коды_код,Коды_группа)&amp;"")))</f>
        <v>Быт</v>
      </c>
      <c r="EQ258" s="6" t="str">
        <f t="shared" si="424"/>
        <v>Быт</v>
      </c>
      <c r="ER258" s="6">
        <f>IF(EQ258="Щит","щит",IF(EQ258="","",IF(EQ258="Быт",IFERROR(_xlfn.XLOOKUP(A258,Щиты[Щит],Щиты[Кс быт]),1),IF(EQ258="Сил",IF(ISNUMBER(Y258),Y258,IF(Методика="нормы 2026",IFERROR(_xlfn.XLOOKUP(A258,Щиты[Щит],Щиты[Кс силовых (табл. 7.5)]),1),1)),IF(OR(EQ258="Пост",EQ258="Отоп"),1,IF(EQ258="ВНГ",0.7,0))))))</f>
        <v>0.57830000000000004</v>
      </c>
      <c r="ES258">
        <f t="shared" si="425"/>
        <v>1</v>
      </c>
      <c r="ET258">
        <f t="shared" si="426"/>
        <v>0.06</v>
      </c>
      <c r="EU258">
        <f t="shared" si="427"/>
        <v>0.06</v>
      </c>
      <c r="EV258">
        <f t="shared" si="428"/>
        <v>0</v>
      </c>
      <c r="EW258">
        <f t="shared" si="429"/>
        <v>0</v>
      </c>
      <c r="EX258">
        <f t="shared" si="430"/>
        <v>0</v>
      </c>
      <c r="EY258">
        <f t="shared" si="431"/>
        <v>0</v>
      </c>
      <c r="EZ258">
        <f t="shared" si="432"/>
        <v>0.06</v>
      </c>
      <c r="FA258">
        <f t="shared" si="433"/>
        <v>5.6999999999999995E-2</v>
      </c>
      <c r="FB258">
        <f t="shared" si="434"/>
        <v>0.06</v>
      </c>
      <c r="FC258" t="str">
        <f t="shared" si="435"/>
        <v>L1</v>
      </c>
      <c r="FD258" t="str">
        <f>IF(B258="","",IF(CA258=0,IF(AW258=1,"",FF257),IF(OR(N(CV258)&gt;=3,N(BR258)&gt;=3),"L1,L2,L3",IFERROR(_xlfn.TEXTBEFORE(_xlfn.TEXTAFTER(_xlfn.XLOOKUP(A258,Щиты[Щит],Щиты[_фазы авто]),";"&amp;AW258&amp;":"),";"),"L1"))))</f>
        <v>L1</v>
      </c>
      <c r="FE258" t="str">
        <f t="shared" si="436"/>
        <v>L1</v>
      </c>
      <c r="FF258" t="str">
        <f t="shared" si="437"/>
        <v>L1</v>
      </c>
      <c r="FG258" cm="1">
        <f t="array" ref="FG258">IFERROR(IF(BX258=2,_xlfn.IFS(BR258=3,VLOOKUP(BN258,Справочная_двигатели,3,FALSE),BR258=1,VLOOKUP(BN258,Справочная_двигатели,5,TRUE)),0),0)</f>
        <v>0</v>
      </c>
      <c r="FH258">
        <f>IFERROR(IF(BX258=3,VLOOKUP(BN258,Справочная_ЛЭД,2,TRUE),0),0)</f>
        <v>0</v>
      </c>
      <c r="FI258" s="6">
        <f t="shared" si="438"/>
        <v>0</v>
      </c>
      <c r="FJ258" t="str" cm="1">
        <f t="array" ref="FJ258">IF(B258="","",IFERROR(INDEX({"I особая","I","II","III"},MATCH(TRIM(AC258&amp;""),{"I особая","I","II","III"},0)),"III"))</f>
        <v>II</v>
      </c>
      <c r="FK258" t="str">
        <f>IF(B258="","",IF(TRIM(AD258&amp;"")&lt;&gt;"",IF(LOWER(TRIM(AD258&amp;""))="да","да","нет"),IF(IFERROR(_xlfn.XLOOKUP(AX258,Коды_код,Коды_пожарная),"")="да","да","нет")))</f>
        <v>нет</v>
      </c>
      <c r="FL258" t="str">
        <f t="shared" si="439"/>
        <v/>
      </c>
      <c r="FM258" t="str">
        <f t="shared" si="440"/>
        <v>основная</v>
      </c>
      <c r="FN258">
        <f t="shared" si="441"/>
        <v>1</v>
      </c>
      <c r="FO258" t="str" cm="1">
        <f t="array" ref="FO258">IF(B258="","",_xlfn.LET(_xlpm.t,IFERROR(_xlfn.XLOOKUP(1,(Шины[Шина]=FM258)*(((Шины[Щит]=A258)+(Шины[Щит]=""))&gt;0),Шины[Тип]),"")&amp;"",IF(_xlpm.t&lt;&gt;"",_xlpm.t,IF(ISNUMBER(SEARCH("ИБП",FM258)),"ИБП",IF(ISNUMBER(SEARCH("ДГУ",FM258)),"ДГУ","Ввод "&amp;FN258)))))</f>
        <v>Ввод 1</v>
      </c>
      <c r="FP258" t="str">
        <f t="shared" si="442"/>
        <v>Ввод 1</v>
      </c>
      <c r="FQ258" t="str">
        <f>IF(B258="","",IF(OR(FO258="ИБП",FO258="ДГУ"),"I особая",IF(FO258="Одиночная","III",_xlfn.XLOOKUP(A258,Щиты[Щит],Щиты[Категория шины «Ввод»],"III"))))</f>
        <v>II</v>
      </c>
      <c r="FR258">
        <f>IF(B258="",0,IFERROR(MATCH(FJ258,{"III","II","I","I особая"},0),1))</f>
        <v>2</v>
      </c>
      <c r="FS258">
        <f t="shared" si="443"/>
        <v>2</v>
      </c>
      <c r="FT258" t="str">
        <f>IF(B258="","",IF(FR258&gt;IFERROR(MATCH(FQ258,{"III","II","I","I особая"},0),1),"НЕ ОБЕСПЕЧЕНА","ОК"))</f>
        <v>ОК</v>
      </c>
      <c r="FU258" t="str">
        <f>IF(A258="","",_xlfn.XLOOKUP(A258,Щиты[Щит],Щиты[Путь],""))</f>
        <v>|ГРЩ-ЖД|ЩР-1|</v>
      </c>
      <c r="FV258" t="str">
        <f>IF(B258="","",IF(AE258&lt;&gt;"",AE258,IF(IFERROR(_xlfn.XLOOKUP(AX258,Коды_код,Коды_вид)&amp;"","")="","Прочее",_xlfn.XLOOKUP(AX258,Коды_код,Коды_вид)&amp;"")))</f>
        <v>Розеточная сеть и бытовые приборы</v>
      </c>
      <c r="FW258">
        <f>IF(BH258="","",INT((BH258-1)/Столбцов_на_лист)+1)</f>
        <v>4</v>
      </c>
      <c r="FX258" t="str">
        <f t="shared" si="444"/>
        <v>ВВГнг(А)-LS (3х2,5) L=38-0,08%</v>
      </c>
      <c r="FY258">
        <f t="shared" si="445"/>
        <v>0.06</v>
      </c>
      <c r="FZ258">
        <f t="shared" si="446"/>
        <v>0.28000000000000003</v>
      </c>
      <c r="GA258">
        <f t="shared" si="447"/>
        <v>1</v>
      </c>
      <c r="GB258">
        <f t="shared" si="448"/>
        <v>0</v>
      </c>
      <c r="GC258">
        <f t="shared" si="449"/>
        <v>1</v>
      </c>
      <c r="GD258">
        <f>IF(BH258="","",IF(AND(CA258=1,GC258=1),COUNTIFS(A$3:A258,A258,CA$3:CA258,1,GC$3:GC258,1),IF(OR(OR(AW258=1,A258&lt;&gt;A257),AF258="вручную",GC258=0),"",IF(AW258=1,"",GE257))))</f>
        <v>34</v>
      </c>
      <c r="GE258">
        <f t="shared" si="450"/>
        <v>34</v>
      </c>
      <c r="GF258">
        <f>IF(B258="","",IFERROR(LOOKUP(INDEX(CHOOSE(DL258,Iдоп_1ж,Iдоп_2ж,Iдоп_3ж),MATCH(DX258,Iдоп_S,0))*DJ258*DK258,{6,10,16,20,25,32,40,50,63,80,100,125,160,200,250,315,400,500,630}),""))</f>
        <v>25</v>
      </c>
      <c r="GG258" t="str">
        <f t="shared" si="451"/>
        <v>QFD34</v>
      </c>
      <c r="GH258" t="str">
        <f t="shared" si="452"/>
        <v>QFD34</v>
      </c>
      <c r="GI258" t="str">
        <f t="shared" si="453"/>
        <v/>
      </c>
      <c r="GJ258">
        <f t="shared" si="454"/>
        <v>0</v>
      </c>
      <c r="GK258" t="str">
        <f>IF(OR(AG258="",AG258="-"),"",IFERROR(VLOOKUP(AG258,Модули_спр,2,FALSE),"R"))</f>
        <v/>
      </c>
      <c r="GL258" t="str">
        <f>IF(GK258="","",GK258&amp;"."&amp;COUNTIFS(A$3:A258,A258,GK$3:GK258,GK258))</f>
        <v/>
      </c>
      <c r="GM258" t="str">
        <f t="shared" si="455"/>
        <v/>
      </c>
      <c r="GN258" t="str">
        <f t="shared" si="456"/>
        <v/>
      </c>
      <c r="GO258" t="str">
        <f t="shared" si="457"/>
        <v/>
      </c>
      <c r="GP258" t="str">
        <f t="shared" si="458"/>
        <v/>
      </c>
      <c r="GQ258">
        <f t="shared" si="459"/>
        <v>1</v>
      </c>
      <c r="GR258" t="str">
        <f>IF(GQ258=1,"XT"&amp;COUNTIFS(A$3:A258,A258,GQ$3:GQ258,1),"")</f>
        <v>XT34</v>
      </c>
      <c r="GS258" t="str">
        <f t="shared" si="460"/>
        <v/>
      </c>
      <c r="GT258" t="str">
        <f t="shared" si="461"/>
        <v>QFD34</v>
      </c>
      <c r="GU258" t="str">
        <f t="shared" si="462"/>
        <v/>
      </c>
      <c r="GV258" t="str">
        <f t="shared" si="463"/>
        <v>ok</v>
      </c>
      <c r="GW258" t="str">
        <f>IF(OR(GO258="",GM258=""),"",IF(GO258&gt;IFERROR(VLOOKUP(GN258,Модули_спр,3,FALSE),99),"ЛИШНИЙ КАНАЛ",IF(AND(AH258&lt;&gt;"=",COUNTIFS(Линии[_модуль гр.],GM258,Линии[Канал (итог)],GO258,Линии[Канал],"&lt;&gt;=",Линии[Щит],A258)&gt;1),"ДУБЛЬ КАНАЛА","")))</f>
        <v/>
      </c>
      <c r="GX258" s="6" t="str">
        <f t="shared" si="464"/>
        <v/>
      </c>
      <c r="GY258">
        <f t="shared" si="465"/>
        <v>10</v>
      </c>
      <c r="GZ258" t="str">
        <f t="shared" si="466"/>
        <v/>
      </c>
      <c r="HA258" t="str">
        <f>IF(AND(B258="",GT258=""),"",_xlfn.TEXTJOIN("; ",TRUE,IF(AND(B258&lt;&gt;"",FE258=""),"нет фазы",""),IF(AND(B258&lt;&gt;"",N(FY258)=0,EQ258&lt;&gt;"Нет"),"нет мощности",""),IF(AND(GS258&lt;&gt;"",COUNTIFS(Линии[Щит],A258,Линии[Клемма (итог)],GS258)&gt;1),"дубль клеммы "&amp;GS258,""),IF(AND(GV258&lt;&gt;"",GV258&lt;&gt;"ok"),GV258,""),IF(GW258&lt;&gt;"",GW258,""),IF(AND(N(BV258)&gt;=4,N(BR258)=1),BV258&amp;" жил на 1 фазе",""),IF(AND(AX258="R",CA258=1,OR(N(CK258)=0,N(CK258)&gt;30)),"розетка без дифзащиты до 30 мА",""),IFERROR(IF(AND(ISNUMBER(R258),R258&gt;DV258),"потери "&amp;FIXED(R258,1)&amp;" % &gt; "&amp;DV258&amp;" %",""),""),IFERROR(IF(LEFT(GZ258,4)="мало","Iкз мало — отключение &gt; 0,4 с",""),""),IF(AND(B258&lt;&gt;"",BH258=""),"не на схеме",""),IF(AND(CA258=0,B258&lt;&gt;"",FE258&lt;&gt;"",IF(AW258=1,"",FF257)&lt;&gt;"",FE258&lt;&gt;IF(AW258=1,"",FF257)),"фаза не как у автомата группы ("&amp;IF(AW258=1,"",FF257)&amp;")","")))</f>
        <v/>
      </c>
      <c r="HB258" s="6">
        <f>IF(OR(CA258=0,DA258=""),"",_xlfn.LET(_xlpm.t,IFERROR(_xlfn.XLOOKUP(DA258,Каталог!$U$4:$U$500,Каталог!$G$4:$G$500),""),_xlpm.k,SEARCH("кА",_xlpm.t),IFERROR(--TRIM(RIGHT(SUBSTITUTE(MID(_xlpm.t,MAX(1,_xlpm.k-4),_xlpm.k-MAX(1,_xlpm.k-4))," ",REPT(" ",9)),5)),"")))</f>
        <v>6</v>
      </c>
      <c r="HC258" t="str">
        <f>IF(OR(HB258="",CA258=0),"",IF(_xlfn.XLOOKUP(A258,Щиты[Щит],Щиты[Iкз max на шинах, кА],"")="","",IF(HB258&lt;_xlfn.XLOOKUP(A258,Щиты[Щит],Щиты[Iкз max на шинах, кА]),"Icu "&amp;HB258&amp;" кА &lt; Iкз max","ok")))</f>
        <v/>
      </c>
      <c r="HD258" t="str">
        <f t="shared" si="467"/>
        <v/>
      </c>
      <c r="HE258" t="str">
        <f t="shared" si="468"/>
        <v>QFD34</v>
      </c>
      <c r="HF258" t="str">
        <f t="shared" si="469"/>
        <v>QFD34|кабель ВВГнг(А)-LS (3х2,5) → Розеточная группа, пом. 013A</v>
      </c>
      <c r="HG258" t="str" cm="1">
        <f t="array" ref="HG258">IF(HF258="","",_xlfn.LET(_xlpm.nd,_xlfn.TEXTSPLIT(HF258,"|"),IF(COLUMNS(_xlpm.nd)&gt;1,A258&amp;"¦"&amp;INDEX(_xlpm.nd,1)&amp;"¦"&amp;INDEX(_xlpm.nd,2),"")))</f>
        <v>ЩР-1¦QFD34¦кабель ВВГнг(А)-LS (3х2,5) → Розеточная группа, пом. 013A</v>
      </c>
      <c r="HH258" t="str">
        <f t="shared" si="470"/>
        <v>R.1.013A.1¦Розеточная группа, пом. 013A</v>
      </c>
      <c r="HI258" t="str" cm="1">
        <f t="array" ref="HI258">IF(HF258="","",_xlfn.LET(_xlpm.nd,_xlfn.TEXTSPLIT(HF258,"|"),IF(COLUMNS(_xlpm.nd)&gt;2,A258&amp;"¦"&amp;INDEX(_xlpm.nd,2)&amp;"¦"&amp;INDEX(_xlpm.nd,3),"")))</f>
        <v/>
      </c>
      <c r="HJ258" t="str">
        <f t="shared" si="471"/>
        <v/>
      </c>
      <c r="HK258" t="str" cm="1">
        <f t="array" ref="HK258">IF(HF258="","",_xlfn.LET(_xlpm.nd,_xlfn.TEXTSPLIT(HF258,"|"),IF(COLUMNS(_xlpm.nd)&gt;3,A258&amp;"¦"&amp;INDEX(_xlpm.nd,3)&amp;"¦"&amp;INDEX(_xlpm.nd,4),"")))</f>
        <v/>
      </c>
      <c r="HL258" t="str">
        <f t="shared" si="472"/>
        <v/>
      </c>
      <c r="HM258" t="str" cm="1">
        <f t="array" ref="HM258">IF(HF258="","",_xlfn.LET(_xlpm.nd,_xlfn.TEXTSPLIT(HF258,"|"),IF(COLUMNS(_xlpm.nd)&gt;4,A258&amp;"¦"&amp;INDEX(_xlpm.nd,4)&amp;"¦"&amp;INDEX(_xlpm.nd,5),"")))</f>
        <v/>
      </c>
      <c r="HN258" t="str">
        <f t="shared" si="473"/>
        <v/>
      </c>
      <c r="HO258" t="str" cm="1">
        <f t="array" ref="HO258">IF(HF258="","",_xlfn.LET(_xlpm.nd,_xlfn.TEXTSPLIT(HF258,"|"),IF(COLUMNS(_xlpm.nd)&gt;5,A258&amp;"¦"&amp;INDEX(_xlpm.nd,5)&amp;"¦"&amp;INDEX(_xlpm.nd,6),"")))</f>
        <v/>
      </c>
      <c r="HP258" t="str">
        <f t="shared" si="474"/>
        <v/>
      </c>
      <c r="HQ258" t="str" cm="1">
        <f t="array" ref="HQ258">IF(HF258="","",_xlfn.LET(_xlpm.nd,_xlfn.TEXTSPLIT(HF258,"|"),IF(COLUMNS(_xlpm.nd)&gt;6,A258&amp;"¦"&amp;INDEX(_xlpm.nd,6)&amp;"¦"&amp;INDEX(_xlpm.nd,7),"")))</f>
        <v/>
      </c>
      <c r="HR258" t="str">
        <f t="shared" si="475"/>
        <v/>
      </c>
      <c r="HS258" t="str">
        <f t="shared" si="476"/>
        <v/>
      </c>
      <c r="HT258" t="str">
        <f t="shared" si="477"/>
        <v>QFD34</v>
      </c>
      <c r="HU258">
        <f t="shared" si="478"/>
        <v>0</v>
      </c>
      <c r="HV258">
        <f t="shared" si="479"/>
        <v>1</v>
      </c>
      <c r="HW258" t="str">
        <f t="shared" si="480"/>
        <v/>
      </c>
      <c r="HX258" t="str">
        <f t="shared" si="481"/>
        <v/>
      </c>
      <c r="HY258" t="str">
        <f t="shared" si="482"/>
        <v/>
      </c>
      <c r="HZ258" t="str">
        <f t="shared" si="483"/>
        <v/>
      </c>
      <c r="IA258" t="str">
        <f>IF(B258="","",IFERROR(VLOOKUP(B258,УГО_спр,2,FALSE),IFERROR(VLOOKUP(AX258,УГО_спр,2,FALSE),IFERROR(VLOOKUP(LEFT(AX258,2),УГО_спр,2,FALSE),""))))</f>
        <v>Розетка</v>
      </c>
      <c r="IB258" t="str">
        <f>IF(B258="","",IF(OR(IA258="",IA258=0),"BOX",IFERROR(IF(VLOOKUP(IA258,УГО_блоки,3,FALSE)&amp;""&lt;&gt;"",VLOOKUP(IA258,УГО_блоки,3,FALSE),VLOOKUP(IA258,УГО_блоки,2,FALSE)),IA258)))</f>
        <v>SOCKET</v>
      </c>
      <c r="IC258">
        <f t="shared" si="484"/>
        <v>1</v>
      </c>
      <c r="ID258" t="str">
        <f>IF(DA258="","",IF(COUNTIF(DA$3:DA258,DA258)=1,MAX(ID$2:ID257)+1,""))</f>
        <v/>
      </c>
      <c r="IE258" t="str">
        <f>IF(CO258="","",IF(COUNTIF(CO$3:CO258,CO258)+COUNTIF(CP$2:CP257,CO258)+COUNTIF(CQ$2:CQ257,CO258)=1,MAX(IE$2:IG257)+1,""))</f>
        <v/>
      </c>
      <c r="IF258" t="str">
        <f>IF(CP258="","",IF(COUNTIF(CO$3:CO258,CP258)+COUNTIF(CP$3:CP258,CP258)+COUNTIF(CQ$2:CQ257,CP258)=1,MAX(IE$2:IG257,IE258)+1,""))</f>
        <v/>
      </c>
      <c r="IG258" t="str">
        <f>IF(CQ258="","",IF(COUNTIF(CO$3:CO258,CQ258)+COUNTIF(CP$3:CP258,CQ258)+COUNTIF(CQ$3:CQ258,CQ258)=1,MAX(IE$2:IG257,IE258,IF258)+1,""))</f>
        <v/>
      </c>
      <c r="IH258" t="str">
        <f t="shared" si="485"/>
        <v>3х2,5</v>
      </c>
      <c r="II258" t="str">
        <f>IF(IH258="","",IF(COUNTIF(IH$3:IH258,IH258)=1,MAX(II$2:II257)+1,""))</f>
        <v/>
      </c>
      <c r="IJ258" t="str">
        <f>IF(GL258="","",COUNTIF(GL$3:GL258,"?*"))</f>
        <v/>
      </c>
      <c r="IK258" t="str">
        <f>IF(OR(GL258="",GN258=""),"",IF(COUNTIFS(GL$3:GL258,"?*",GN$3:GN258,GN258)=1,MAX(IK$2:IK257)+1,""))</f>
        <v/>
      </c>
      <c r="IL258">
        <f t="shared" si="486"/>
        <v>0</v>
      </c>
      <c r="IM258">
        <f>IF(B258="","",COUNTIF(B$3:B258,"?*"))</f>
        <v>256</v>
      </c>
      <c r="IN258">
        <f>IF(GQ258&lt;&gt;1,0,_xlfn.LET(_xlpm.k,MAX(IFERROR(--VLOOKUP(B258,УГО_спр,5,FALSE),0),IFERROR(--VLOOKUP(AX258,УГО_спр,5,FALSE),0),IFERROR(--VLOOKUP(LEFT(AX258,2),УГО_спр,5,FALSE),0)),IF(_xlpm.k&gt;0,_xlpm.k,IF(IFERROR(--LEFT(SUBSTITUTE(IH258,"x","х"),FIND("х",SUBSTITUTE(IH258,"x","х"))-1),3)&gt;3,Каталог!$S$9,1))))</f>
        <v>1</v>
      </c>
      <c r="IO258">
        <f t="shared" si="487"/>
        <v>0</v>
      </c>
      <c r="IP258" t="str">
        <f t="shared" si="488"/>
        <v>авто</v>
      </c>
      <c r="IQ258">
        <f t="shared" si="489"/>
        <v>30</v>
      </c>
      <c r="IR258">
        <f t="shared" si="490"/>
        <v>1</v>
      </c>
      <c r="IS258">
        <f t="shared" si="491"/>
        <v>1</v>
      </c>
    </row>
    <row r="259" spans="1:253" x14ac:dyDescent="0.3">
      <c r="A259" t="s">
        <v>759</v>
      </c>
      <c r="B259" t="s">
        <v>1524</v>
      </c>
      <c r="C259" t="str">
        <f>Линии[[#This Row],[_авто наименование]]</f>
        <v>Розеточная группа, пом. 014A</v>
      </c>
      <c r="D259">
        <v>1</v>
      </c>
      <c r="E259">
        <v>0.12</v>
      </c>
      <c r="G259" t="str">
        <f>Линии[[#This Row],[_авто автомат]]</f>
        <v>2P С16А 30мА</v>
      </c>
      <c r="H259">
        <f>Линии[[#This Row],[_авто утечка]]</f>
        <v>30</v>
      </c>
      <c r="I259" t="str">
        <f>Линии[[#This Row],[_авто управление]]</f>
        <v/>
      </c>
      <c r="J259" t="str">
        <f>Линии[[#This Row],[_авто аппараты]]</f>
        <v/>
      </c>
      <c r="K259">
        <v>2.5</v>
      </c>
      <c r="L259">
        <v>19</v>
      </c>
      <c r="M259" t="str">
        <f>Линии[[#This Row],[_авто фаза]]</f>
        <v>L1</v>
      </c>
      <c r="N259" t="s">
        <v>486</v>
      </c>
      <c r="O259" t="str">
        <f t="shared" ref="O259:O322" si="492">_xlfn.TEXTJOIN("; ",TRUE,HD259,HA259,IF(FT259="НЕ ОБЕСПЕЧЕНА","категория "&amp;FJ259&amp;" не обеспечена (есть "&amp;FQ259&amp;")",""),IF(LEFT(HC259,3)="Icu",HC259,""),IF(AND(B259&lt;&gt;"",DX259="не подобрано"),"сечение не подобрано: проверьте длину и автомат или впишите сечение",""))</f>
        <v/>
      </c>
      <c r="P259" s="6" cm="1">
        <f t="array" ref="P259">IF(B259="","",IF(BC259&lt;&gt;"",IFERROR(_xlfn.XLOOKUP(BC259,Щиты[Щит],Щиты[Iр, А]),""),IF(BK259=1,IFERROR(_xlfn.XLOOKUP(A259,Щиты[Щит],Щиты[Iр, А]),""),IFERROR(_xlfn.IFS(BR259=1,BN259/((Uн_лин/SQRT(3))*BY259),BR259=3,BN259/(SQRT(3)*Uн_лин*BY259)),""))))</f>
        <v>0.54696341291648753</v>
      </c>
      <c r="Q259" s="7">
        <f>IF(B259="","",IFERROR(IF(VLOOKUP(AX259,Потребители_обозначение,4,FALSE)=1,VLOOKUP(AX259,Потребители_обозначение,3,FALSE)*(D259*2-1)+DS259+VLOOKUP(AZ259,Этаж_обозначение,3,FALSE)+VLOOKUP(AZ259,Этаж_обозначение,4,FALSE),VLOOKUP(AX259,Потребители_обозначение,3,FALSE)*(D259*2-1)+DS259),DS259))</f>
        <v>22</v>
      </c>
      <c r="R259" s="6">
        <f t="shared" ref="R259:R322" si="493">IF(ISNUMBER(EG259),EG259+DN259,"")</f>
        <v>1.28</v>
      </c>
      <c r="S259" t="str">
        <f t="shared" ref="S259:S322" si="494">IF(OR(B259="",EH259=""),"",IF(DX259="не подобрано",EH259&amp;" — сечение не подобрано",EI259))</f>
        <v>ВВГнг(А)-LS (3х2,5)</v>
      </c>
      <c r="T259" t="str">
        <f>IF(BH259="","",IF(BI259="вводной узел","узел ","")&amp;"л."&amp;(INT((BH259-1)/Столбцов_на_лист)+1)&amp;" / "&amp;(MOD(BH259-1,Столбцов_на_лист)+1))</f>
        <v>л.4 / 5</v>
      </c>
      <c r="V259">
        <v>1</v>
      </c>
      <c r="W259">
        <v>230</v>
      </c>
      <c r="X259" t="s">
        <v>564</v>
      </c>
      <c r="AC259" t="s">
        <v>815</v>
      </c>
      <c r="AE259" t="s">
        <v>563</v>
      </c>
      <c r="AI259">
        <v>56</v>
      </c>
      <c r="AJ259" t="s">
        <v>11</v>
      </c>
      <c r="AK259">
        <v>3</v>
      </c>
      <c r="AM259">
        <v>3</v>
      </c>
      <c r="AN259">
        <v>19</v>
      </c>
      <c r="AO259">
        <v>0</v>
      </c>
      <c r="AW259" cm="1">
        <f t="array" ref="AW259">ROW()-ROW(Линии[#Headers])</f>
        <v>257</v>
      </c>
      <c r="AX259" s="6" t="str">
        <f t="shared" ref="AX259:AX322" si="495">IF(B259="","",IFERROR(LEFT(B259,SEARCH(".",B259)-1),B259))</f>
        <v>R</v>
      </c>
      <c r="AY259" t="str">
        <f t="shared" ref="AY259:AY322" si="496">IFERROR(RIGHT(B259,LEN(B259)-SEARCH(".",B259)),"")</f>
        <v>1.014A.1</v>
      </c>
      <c r="AZ259" t="str">
        <f t="shared" ref="AZ259:AZ322" si="497">IFERROR(LEFT(AY259,SEARCH(".",AY259)-1),AY259)</f>
        <v>1</v>
      </c>
      <c r="BA259" t="str">
        <f t="shared" ref="BA259:BA322" si="498">IFERROR(RIGHT(AY259,LEN(AY259)-SEARCH(".",AY259)),"")</f>
        <v>014A.1</v>
      </c>
      <c r="BB259" t="str">
        <f t="shared" ref="BB259:BB322" si="499">IFERROR(LEFT(BA259,SEARCH(".",BA259)-1),BA259)</f>
        <v>014A</v>
      </c>
      <c r="BC259" t="str">
        <f>IF(U259&lt;&gt;"",U259,IF(AND(B259&lt;&gt;"",B259&lt;&gt;A259,ISNUMBER(_xlfn.XMATCH(B259,Щиты[Щит]))),B259,""))</f>
        <v/>
      </c>
      <c r="BD259" t="str" cm="1">
        <f t="array" ref="BD259">IF(B259="","",IF(BC259&lt;&gt;"","Щит "&amp;BC259,_xlfn.LET(_xlpm.nm,IFERROR(_xlfn.XLOOKUP(AX259,Коды_код,Коды_имя)&amp;"",""),_xlpm.md,IFERROR(N(_xlfn.XLOOKUP(AX259,Коды_код,Коды_режим)),1),_xlpm.ex,IF(Имя_режим="по экспликации",IFERROR(_xlfn.XLOOKUP(AZ259&amp;"|"&amp;BB259,Экспликация[Этаж]&amp;"|"&amp;Экспликация[Помещение],Экспликация[Название])&amp;"",""),""),_xlpm.rm,IF(BB259="","",IF(_xlpm.ex&lt;&gt;"",". "&amp;_xlpm.ex&amp;IF(Имя_пом="нет"," ("&amp;BB259&amp;")"," (пом. "&amp;BB259&amp;")"),IF(Имя_пом="нет"," ",", пом. ")&amp;BB259)),IF(_xlpm.nm="","",IF(_xlpm.md=2,_xlpm.nm&amp;" шлейф "&amp;AZ259,_xlpm.nm&amp;_xlpm.rm)))))</f>
        <v>Розеточная группа, пом. 014A</v>
      </c>
      <c r="BE259" t="str">
        <f t="shared" ref="BE259:BE322" si="500">IF(TRIM(C259&amp;"")="",BD259,C259)</f>
        <v>Розеточная группа, пом. 014A</v>
      </c>
      <c r="BF259">
        <f>IFERROR(_xlfn.XMATCH(A259,Щиты[Щит]),0)</f>
        <v>10</v>
      </c>
      <c r="BG259">
        <f>_xlfn.LET(_xlpm.k,IFERROR(_xlfn.XLOOKUP(A259,Щиты[Щит],Щиты[Листов под вводной узел]),""),IF(_xlpm.k="",1,N(_xlpm.k))*Столбцов_на_лист)</f>
        <v>17</v>
      </c>
      <c r="BH259">
        <f t="shared" ref="BH259:BH322" si="501">IF(AI259="-","",IF(ISNUMBER(AI259),AI259,_xlfn.LET(_xlpm.prev,IF(OR(AW259=1,A259&lt;&gt;A258),0,N(IF(AW259=1,"",BH258))),_xlpm.nx,_xlpm.prev+1,IF(AND(AF259&lt;&gt;"вручную",_xlpm.nx&lt;=BG259),BG259+1,_xlpm.nx))))</f>
        <v>56</v>
      </c>
      <c r="BI259" t="str">
        <f t="shared" ref="BI259:BI322" si="502">IF(BH259="","",IF(BH259&lt;=BG259,"вводной узел","линии"))</f>
        <v>линии</v>
      </c>
      <c r="BJ259" s="6">
        <f>IFERROR(N(_xlfn.XLOOKUP(AX259,Коды_код,Коды_квт)),0)</f>
        <v>0</v>
      </c>
      <c r="BK259">
        <f t="shared" ref="BK259:BK322" si="503">IF(AND(B259&lt;&gt;"",AX259="Ввод"),1,0)</f>
        <v>0</v>
      </c>
      <c r="BL259" t="str">
        <f>IF(B259="","",IF(BC259&lt;&gt;"",IFERROR(_xlfn.XLOOKUP(BC259,Щиты[Щит],Щиты[Руст, кВт]),0),IF(BK259=1,IFERROR(_xlfn.XLOOKUP(A259,Щиты[Щит],Щиты[Руст, кВт]),0),IF(BJ259&gt;0,ROUND(BJ259*MAX(1,N(D259)),3),""))))</f>
        <v/>
      </c>
      <c r="BM259">
        <f t="shared" ref="BM259:BM322" si="504">IF(TRIM(E259&amp;"")="",BL259,E259)</f>
        <v>0.12</v>
      </c>
      <c r="BN259" s="6">
        <f>IF(B259="","",IF(BC259&lt;&gt;"",IFERROR(_xlfn.XLOOKUP(BC259,Щиты[Щит],Щиты[Руст, кВт]),0),N(BM259)))</f>
        <v>0.12</v>
      </c>
      <c r="BO259" t="str">
        <f>IF(B259="","",IFERROR(IF(VLOOKUP(AX259,Потребители_обозначение,8,FALSE)=0,"",VLOOKUP(AX259,Потребители_обозначение,8,FALSE)),""))</f>
        <v/>
      </c>
      <c r="BP259">
        <f t="shared" ref="BP259:BP322" si="505">IF(TRIM(W259&amp;"")="",BO259,W259)</f>
        <v>230</v>
      </c>
      <c r="BQ259">
        <f>IF(B259="","",IF(BC259&lt;&gt;"",3,IFERROR(IF(N(VLOOKUP(AX259,Потребители_обозначение,9,FALSE))=0,1,VLOOKUP(AX259,Потребители_обозначение,9,FALSE)),1)))</f>
        <v>1</v>
      </c>
      <c r="BR259">
        <f t="shared" ref="BR259:BR322" si="506">IF(B259="","",IF(TRIM(V259&amp;"")="",BQ259,N(V259)))</f>
        <v>1</v>
      </c>
      <c r="BS259" t="str">
        <f>IF(B259="","",_xlfn.LET(_xlpm.bc,IFERROR(IF(VLOOKUP(AX259,Потребители_обозначение,6,FALSE)=0,"",VLOOKUP(AX259,Потребители_обозначение,6,FALSE)&amp;""),""),IF(AND(FK259="да",OR(_xlpm.bc="",_xlpm.bc="мс")),Марка_пож,IF(AND(_xlpm.bc="",BC259&lt;&gt;""),"мс",_xlpm.bc))))</f>
        <v/>
      </c>
      <c r="BT259" t="str">
        <f t="shared" ref="BT259:BT322" si="507">IF(TRIM(AJ259&amp;"")="",BS259,AJ259)</f>
        <v>мс</v>
      </c>
      <c r="BU259">
        <f>IF(B259="","",_xlfn.LET(_xlpm.cc,IFERROR(N(VLOOKUP(AX259,Потребители_обозначение,7,FALSE)),0),IF(_xlpm.cc&gt;0,_xlpm.cc,IF(BT259="","",IF(N(BR259)=3,5,3)))))</f>
        <v>3</v>
      </c>
      <c r="BV259">
        <f t="shared" ref="BV259:BV322" si="508">IF(TRIM(AK259&amp;"")="",BU259,AK259)</f>
        <v>3</v>
      </c>
      <c r="BW259">
        <f>IFERROR(N(VLOOKUP(AX259,Потребители_обозначение,10,FALSE)),0)</f>
        <v>0</v>
      </c>
      <c r="BX259">
        <f>IFERROR(VLOOKUP(AX259,Потребители_обозначение,5,FALSE),0)</f>
        <v>1</v>
      </c>
      <c r="BY259" s="6" cm="1">
        <f t="array" ref="BY259">IF(B259="","",IF(BC259&lt;&gt;"",IFERROR(_xlfn.XLOOKUP(BC259,Щиты[Щит],Щиты[cos φ]),0.95),IF(BK259=1,IFERROR(_xlfn.XLOOKUP(A259,Щиты[Щит],Щиты[cos φ]),0.95),IF(ISNUMBER(Z259),Z259,IFERROR(IF(BX259=2,_xlfn.IFS(BR259=3,VLOOKUP(BN259,Справочная_двигатели,8,FALSE),BR259=1,VLOOKUP(BN259,Справочная_двигатели,10,TRUE)),IF(AND(Методика="нормы 2026",EQ259="Сил"),0.8,0.95)),0.95)))))</f>
        <v>0.95</v>
      </c>
      <c r="BZ259">
        <f t="shared" ref="BZ259:BZ322" si="509">IF(OR(TRIM(F259&amp;"")="гр",TRIM(F259&amp;"")="=",TRIM(F259&amp;"")="^",TRIM(F259&amp;"")="↑"),1,0)</f>
        <v>0</v>
      </c>
      <c r="CA259">
        <f t="shared" ref="CA259:CA322" si="510">IF(AND(B259&lt;&gt;"",BZ259=0),1,0)</f>
        <v>1</v>
      </c>
      <c r="CB259">
        <f t="shared" ref="CB259:CB322" si="511">IF(AND(A260=A259,AF260&lt;&gt;"вручную",OR(B260="",BZ260=1)),IF(B260="",0,N(P260))+N(CB260),0)</f>
        <v>0</v>
      </c>
      <c r="CC259">
        <f t="shared" ref="CC259:CC322" si="512">IF(AND(A260=A259,AF260&lt;&gt;"вручную",OR(B260="",BZ260=1)),IF(B260="",0,N(BN260))+N(CC260),0)</f>
        <v>0</v>
      </c>
      <c r="CD259">
        <f t="shared" ref="CD259:CD322" si="513">IF(AND(A260=A259,AF260&lt;&gt;"вручную",OR(B260="",BZ260=1)),MAX(IF(B260="",0,N(BR260)),N(CD260)),0)</f>
        <v>0</v>
      </c>
      <c r="CE259">
        <f t="shared" ref="CE259:CE322" si="514">IF(AND(A260=A259,AF260&lt;&gt;"вручную",OR(B260="",BZ260=1)),MAX(IF(B260="",0,N(CL260)),N(CE260)),0)</f>
        <v>0</v>
      </c>
      <c r="CF259">
        <f t="shared" ref="CF259:CF322" si="515">IF(AND(A260=A259,AF260&lt;&gt;"вручную",OR(B260="",BZ260=1)),_xlfn.LET(_xlpm.a_,IF(B260="",0,N(CJ260)),_xlpm.b_,N(CF260),IF(_xlpm.a_=0,_xlpm.b_,IF(_xlpm.b_=0,_xlpm.a_,MIN(_xlpm.a_,_xlpm.b_)))),0)</f>
        <v>0</v>
      </c>
      <c r="CG259">
        <f>IF(AX259="",0,_xlfn.LET(_xlpm.v,IFERROR(VLOOKUP(B259,УГО_спр,3,FALSE),IFERROR(VLOOKUP(AX259,УГО_спр,3,FALSE),IFERROR(VLOOKUP(LEFT(AX259,2),УГО_спр,3,FALSE),""))),IF(_xlpm.v="да",30,IF(ISNUMBER(_xlpm.v),_xlpm.v,0))))</f>
        <v>30</v>
      </c>
      <c r="CH259">
        <f t="shared" ref="CH259:CH322" si="516">IF(B259="","",IF(N(CG259)&gt;0,CG259,""))</f>
        <v>30</v>
      </c>
      <c r="CI259" t="str">
        <f>_xlfn.LET(_xlpm.k,IFERROR(_xlfn.XLOOKUP(AX259,Коды_код,Коды_утечка)&amp;"",""),IF(_xlpm.k="","дифавтомат",_xlpm.k))</f>
        <v>дифавтомат</v>
      </c>
      <c r="CJ259">
        <f t="shared" ref="CJ259:CJ322" si="517">IF(B259="",0,_xlfn.LET(_xlpm.v,IF(TRIM(H259&amp;"")="",CH259,H259),_xlpm.nm,IF(_xlpm.v&amp;""="нет",0,IF(_xlpm.v&amp;""="да",30,IFERROR(--_xlpm.v,0))),IF(CI259="УЗО на группу",0,_xlpm.nm)))</f>
        <v>30</v>
      </c>
      <c r="CK259">
        <f t="shared" ref="CK259:CK322" si="518">IF(CA259=0,"",_xlfn.LET(_xlpm.a_,N(CJ259),_xlpm.b_,IF(AF259="вручную",0,N(CF259)),IF(_xlpm.a_=0,_xlpm.b_,IF(_xlpm.b_=0,_xlpm.a_,MIN(_xlpm.a_,_xlpm.b_)))))</f>
        <v>30</v>
      </c>
      <c r="CL259">
        <f>IF(B259="",0,IFERROR(--VLOOKUP(B259,УГО_спр,4,FALSE),IFERROR(--VLOOKUP(AX259,УГО_спр,4,FALSE),IFERROR(--VLOOKUP(LEFT(AX259,2),УГО_спр,4,FALSE),0))))</f>
        <v>16</v>
      </c>
      <c r="CM259" t="str">
        <f>IF(B259="","",IFERROR(_xlfn.XLOOKUP(AX259,Коды_код,Коды_апп)&amp;"",""))</f>
        <v/>
      </c>
      <c r="CN259" t="str">
        <f t="shared" ref="CN259:CN322" si="519">IF(TRIM(J259&amp;"")="",CM259,J259)</f>
        <v/>
      </c>
      <c r="CO259" t="str" cm="1">
        <f t="array" ref="CO259">IF(TRIM(CN259&amp;"")="","",IFERROR(TRIM(INDEX(_xlfn.TEXTSPLIT(CN259&amp;";;;",";"),1)),""))</f>
        <v/>
      </c>
      <c r="CP259" t="str" cm="1">
        <f t="array" ref="CP259">IF(TRIM(CN259&amp;"")="","",IFERROR(TRIM(INDEX(_xlfn.TEXTSPLIT(CN259&amp;";;;",";"),2)),""))</f>
        <v/>
      </c>
      <c r="CQ259" t="str" cm="1">
        <f t="array" ref="CQ259">IF(TRIM(CN259&amp;"")="","",IFERROR(TRIM(INDEX(_xlfn.TEXTSPLIT(CN259&amp;";;;",";"),3)),""))</f>
        <v/>
      </c>
      <c r="CR259">
        <f t="shared" ref="CR259:CR322" si="520">IF(CN259="",0,IF(OR(LEFT(CO259,2)="T ",LEFT(CO259,2)="Т ",ISNUMBER(SEARCH("БП",CN259)),ISNUMBER(SEARCH("; T ",CN259)),ISNUMBER(SEARCH("; Т ",CN259))),1,0))</f>
        <v>0</v>
      </c>
      <c r="CS259" t="str">
        <f>IF(B259="","",_xlfn.LET(_xlpm.t,LOWER(AV259&amp;""),IF(ISNUMBER(SEARCH("dim",_xlpm.t)),"DIM",IF(ISNUMBER(SEARCH("dali",_xlpm.t)),"DALI",IF(OR(ISNUMBER(SEARCH("relay",_xlpm.t)),ISNUMBER(SEARCH("реле",_xlpm.t))),"Relay",IF(ISNUMBER(SEARCH("кнопк",_xlpm.t)),"",IFERROR(_xlfn.XLOOKUP(AX259,Коды_код,Коды_упр)&amp;"","")))))))</f>
        <v/>
      </c>
      <c r="CT259" t="str">
        <f t="shared" ref="CT259:CT322" si="521">IF(TRIM(I259&amp;"")="",CS259,I259)</f>
        <v/>
      </c>
      <c r="CU259">
        <f>IF(B259="","",_xlfn.LET(_xlpm.ig,N(P259)+IF(AF259="вручную",0,N(CB259)),_xlpm.n0,IFERROR(VLOOKUP(_xlpm.ig,Автомат_номиналы,2,TRUE),0),_xlpm.mn,MAX(CL259,IF(AF259="вручную",0,N(CE259))),MAX(_xlpm.n0,_xlpm.mn,IF(CR259=1,Мин_автомат_БП,0))))</f>
        <v>16</v>
      </c>
      <c r="CV259">
        <f t="shared" ref="CV259:CV322" si="522">IF(B259="","",MAX(N(BR259),IF(AF259="вручную",0,N(CD259))))</f>
        <v>1</v>
      </c>
      <c r="CW259" t="str">
        <f t="shared" ref="CW259:CW322" si="523">IF(B259="","",IF(N(CV259)&gt;=3,IF(N(CK259)&gt;0,"4P","3P"),IF(N(CK259)&gt;0,"2P","1P")))</f>
        <v>2P</v>
      </c>
      <c r="CX259" t="str">
        <f>_xlfn.LET(_xlpm.cc,UPPER(TRIM(IFERROR(_xlfn.XLOOKUP(AX259,Коды_код,Коды_хар)&amp;"",""))),IF(OR(_xlpm.cc="B",_xlpm.cc="В"),"B",IF(_xlpm.cc="D","D","С")))</f>
        <v>С</v>
      </c>
      <c r="CY259" t="str">
        <f t="shared" ref="CY259:CY322" si="524">IF(B259="","",IF(CA259=0,IF(AND(AND(NOT(OR(AW259=1,A259&lt;&gt;A258)),AF259&lt;&gt;"вручную",IF(AW259=1,"",DC258)="ok"),IF(AW259=1,"",DE258)&lt;&gt;""),"↑ "&amp;IF(AW259=1,"",DE258),""),IF(N(CU259)=0,"",CW259&amp;" "&amp;CX259&amp;CU259&amp;"А"&amp;IF(N(CK259)&gt;0," "&amp;CK259&amp;"мА",""))))</f>
        <v>2P С16А 30мА</v>
      </c>
      <c r="CZ259" t="str">
        <f t="shared" ref="CZ259:CZ322" si="525">IF(TRIM(G259&amp;"")="",CY259,G259)</f>
        <v>2P С16А 30мА</v>
      </c>
      <c r="DA259" t="str">
        <f t="shared" ref="DA259:DA322" si="526">IF(CA259=0,"",_xlfn.LET(_xlpm.v,TRIM(CZ259&amp;""),IF(_xlpm.v="","",IF(ISNUMBER(--_xlpm.v),CW259&amp;" "&amp;CX259&amp;(--_xlpm.v)&amp;"А"&amp;IF(N(CK259)&gt;0," "&amp;CK259&amp;"мА",""),IF(ISNUMBER(SEARCH("P",UPPER(_xlpm.v))),_xlpm.v,CW259&amp;" "&amp;_xlpm.v)))))</f>
        <v>2P С16А 30мА</v>
      </c>
      <c r="DB259" cm="1">
        <f t="array" ref="DB259">IF(DA259="","",_xlfn.LET(_xlpm.t,SUBSTITUTE(SUBSTITUTE(SUBSTITUTE(UPPER(DA259),"С","C"),"А","A"),"В","B"),_xlpm.tk,_xlfn.TEXTSPLIT(_xlpm.t,"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9" t="str">
        <f t="shared" ref="DC259:DC322" si="527">IF(CA259=1,IF(AF259="вручную","узел","ok"),IF(OR(OR(AW259=1,A259&lt;&gt;A258),AF259="вручную"),"",IF(AW259=1,"",DC258)))</f>
        <v>ok</v>
      </c>
      <c r="DD259">
        <f t="shared" ref="DD259:DD322" si="528">IF(CA259=1,DB259,IF(AND(NOT(OR(AW259=1,A259&lt;&gt;A258)),AF259&lt;&gt;"вручную",IF(AW259=1,"",DC258)="ok"),IF(AW259=1,"",DD258),""))</f>
        <v>16</v>
      </c>
      <c r="DE259" t="str">
        <f t="shared" ref="DE259:DE322" si="529">IF(CA259=1,DA259,IF(AND(NOT(OR(AW259=1,A259&lt;&gt;A258)),AF259&lt;&gt;"вручную",IF(AW259=1,"",DC258)="ok"),IF(AW259=1,"",DE258),""))</f>
        <v>2P С16А 30мА</v>
      </c>
      <c r="DF259">
        <f t="shared" ref="DF259:DF322" si="530">IF(CA259=1,CK259,IF(AND(NOT(OR(AW259=1,A259&lt;&gt;A258)),AF259&lt;&gt;"вручную",IF(AW259=1,"",DC258)="ok"),IF(AW259=1,"",DF258),""))</f>
        <v>30</v>
      </c>
      <c r="DG259">
        <f t="shared" ref="DG259:DG322" si="531">IF(N(DF259)&gt;0,1,0)</f>
        <v>1</v>
      </c>
      <c r="DH259">
        <f t="shared" ref="DH259:DH322" si="532">IF(CA259=1,CR259,IF(AND(NOT(OR(AW259=1,A259&lt;&gt;A258)),AF259&lt;&gt;"вручную",IF(AW259=1,"",DC258)="ok"),N(IF(AW259=1,"",DH258)),0))</f>
        <v>0</v>
      </c>
      <c r="DI259">
        <f t="shared" ref="DI259:DI322" si="533">IF(CA259=1,N(P259)+IF(AF259="вручную",0,N(CB259)),"")</f>
        <v>0.54696341291648753</v>
      </c>
      <c r="DJ259">
        <f t="shared" ref="DJ259:DJ322" si="534">IF(N(BV259)=1,1,IF(BR259=1,1,IF(N(BV259)&gt;=4,0.92,1)))</f>
        <v>1</v>
      </c>
      <c r="DK259">
        <f>IF(ISNUMBER(AL259),AL259,К_прокл)</f>
        <v>1</v>
      </c>
      <c r="DL259">
        <f t="shared" ref="DL259:DL322" si="535">IF(N(BV259)=1,1,IF(BR259=1,2,3))</f>
        <v>2</v>
      </c>
      <c r="DM259">
        <f>IFERROR(N(VLOOKUP(BT259,Кабель_обозначение,3,FALSE)),1)</f>
        <v>1</v>
      </c>
      <c r="DN259">
        <f>IFERROR(N(_xlfn.XLOOKUP(A259,Щиты[Щит],Щиты[ΔU до шин, %])),0)</f>
        <v>1.19</v>
      </c>
      <c r="DO259" t="str">
        <f>IFERROR(_xlfn.XLOOKUP(A259,Щиты[Щит],Щиты[Zпетли на шинах, Ом]),"")</f>
        <v/>
      </c>
      <c r="DP259">
        <f>IFERROR(N(_xlfn.XLOOKUP(A259,Щиты[Щит],Щиты[ΔU до шин (подбор), %])),0)</f>
        <v>1.19</v>
      </c>
      <c r="DQ259" t="str">
        <f>IFERROR(_xlfn.XLOOKUP(A259,Щиты[Щит],Щиты[Zпетли на шинах (подбор), Ом]),"")</f>
        <v/>
      </c>
      <c r="DR259" t="str">
        <f t="shared" ref="DR259:DR322" si="536">IF(COUNT(AR259,AS259)=0,"",ROUNDUP(SUM(AR259,AS259),0))</f>
        <v/>
      </c>
      <c r="DS259">
        <f t="shared" ref="DS259:DS322" si="537">IF(TRIM(L259&amp;"")="",DR259,L259)</f>
        <v>19</v>
      </c>
      <c r="DT259">
        <f t="shared" ref="DT259:DT322" si="538">IF(BR259=1,2,IF(BR259=3,1,""))</f>
        <v>2</v>
      </c>
      <c r="DU259">
        <f t="shared" ref="DU259:DU322" si="539">IFERROR(ROUND(SIN(ACOS(BY259)),2),"")</f>
        <v>0.31</v>
      </c>
      <c r="DV259" s="6">
        <f>IF(B259="","",IF(IFERROR(VLOOKUP(AX259,УГО_спр,2,FALSE),"")="Светильник",3,4)+IF(Методика="нормы 2026",MIN(0.5,MAX(0,N(Q259)-100)*0.005),0))</f>
        <v>4</v>
      </c>
      <c r="DW259" cm="1">
        <f t="array" ref="DW259">IF(OR(B259="",BT259="",DM259&lt;&gt;1),"",_xlfn.LET(_xlpm.sz,Iдоп_S,_xlpm.t_,CHOOSE(DL259,Iдоп_1ж,Iдоп_2ж,Iдоп_3ж)*DJ259*DK259,_xlpm.inn,N(DD259),_xlpm.smin,MAX(1.5,BW259),_xlpm.L_,N(Q259)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259)*(_xlpm.rho*_xlpm.L_/_xlpm.sz*N(BY259)+_xlpm.xx*_xlpm.L_*N(DU259)/1000)*N(P259)/((Uн_лин/SQRT(3))*1000)*100,999),_xlpm.kz,IF(OR(DG259=1,NOT(ISNUMBER(DQ259)),_xlpm.L_=0,_xlpm.inn=0),1,IFERROR(--(c_min*(Uн_лин*1000/SQRT(3))/(DQ259+2*ρкз_Cu*_xlpm.L_/_xlpm.sz)&gt;=GY259*_xlpm.inn),0)),_xlpm.ok,IFERROR((_xlpm.sz&gt;=_xlpm.smin)*(_xlpm.t_&gt;=_xlpm.inn)*IF(_xlpm.L_&gt;0,(_xlpm.du_+DP259&lt;=DV259+0.00001),1)*_xlpm.kz,0),_xlpm.r_,_xlfn._xlws.FILTER(_xlpm.sz,_xlpm.ok,"не подобрано"),INDEX(_xlpm.r_,1)))</f>
        <v>1.5</v>
      </c>
      <c r="DX259">
        <f t="shared" ref="DX259:DX322" si="540">IF(B259="","",IF(TRIM(K259&amp;"")="",DW259,K259))</f>
        <v>2.5</v>
      </c>
      <c r="DY259" cm="1">
        <f t="array" ref="DY259">IF(OR(B259="",BT259="",DM259&lt;&gt;1),"",_xlfn.LET(_xlpm.sz,Iдоп_S,_xlpm.t_,CHOOSE(DL259,Iдоп_1ж,Iдоп_2ж,Iдоп_3ж)*DJ259*DK259,_xlpm.ok,IFERROR((_xlpm.sz&gt;=MAX(1.5,BW259))*(_xlpm.t_&gt;=N(DD259)),0),_xlpm.r_,_xlfn._xlws.FILTER(_xlpm.sz,_xlpm.ok,""),INDEX(_xlpm.r_,1)))</f>
        <v>1.5</v>
      </c>
      <c r="DZ259" s="6" cm="1">
        <f t="array" ref="DZ259">IFERROR(ROUNDUP(N(DT259)*(_xlfn.XLOOKUP(DY259,INDEX(Кабель_сопротивление,0,1),INDEX(Кабель_сопротивление,0,3))*N(Q259)/DY259*N(BY259)+_xlfn.XLOOKUP(DY259,INDEX(Кабель_сопротивление,0,1),INDEX(Кабель_сопротивление,0,2))*N(Q259)*N(DU259)/1000)*N(P259)/((Uн_лин/SQRT(3))*1000)*100,2),"")</f>
        <v>0.15000000000000002</v>
      </c>
      <c r="EA259">
        <f>IFERROR(2*ρкз_Cu*N(Q259)/DY259,"")</f>
        <v>0.77146666666666663</v>
      </c>
      <c r="EB259">
        <f>IFERROR(VLOOKUP(DX259,Кабель_сопротивление,3,FALSE),"")</f>
        <v>2.2499999999999999E-2</v>
      </c>
      <c r="EC259">
        <f>IFERROR(VLOOKUP(DX259,Кабель_сопротивление,2,FALSE),"")</f>
        <v>0.1</v>
      </c>
      <c r="ED259">
        <f t="shared" ref="ED259:ED322" si="541">IF(AN259&lt;&gt;"",AN259,IF(OR(DS259="",AP259=""),"",IF(AP259=1,MAX(0,Q259-ROUNDUP(N(AS259),0)-4),ROUNDUP(N(AR259),0))))</f>
        <v>19</v>
      </c>
      <c r="EE259">
        <f t="shared" ref="EE259:EE322" si="542">IF(AO259&lt;&gt;"",AO259,IF(OR(DS259="",AP259=""),"",IF(AP259=2,MAX(0,Q259-ROUNDUP(N(AR259),0)-4),ROUNDUP(N(AS259),0))))</f>
        <v>0</v>
      </c>
      <c r="EF259">
        <f t="shared" ref="EF259:EF322" si="543">IFERROR(DT259*(EB259*Q259/DX259*BY259+EC259*Q259*DU259/1000)*P259,"")</f>
        <v>0.20651369403440067</v>
      </c>
      <c r="EG259" s="6">
        <f>IFERROR(ROUNDUP(EF259/((Uн_лин/SQRT(3))*1000)*100,2),"")</f>
        <v>0.09</v>
      </c>
      <c r="EH259" t="str">
        <f>IFERROR(VLOOKUP(BT259,Кабель_обозначение,2,FALSE),"")</f>
        <v>ВВГнг(А)-LS</v>
      </c>
      <c r="EI259" t="str">
        <f t="shared" ref="EI259:EI322" si="544">IFERROR(IF(DM259=1,IF(ISNUMBER(DX259),EH259&amp;" ("&amp;BV259&amp;"х"&amp;DX259&amp;")",EH259),EH259),"")</f>
        <v>ВВГнг(А)-LS (3х2,5)</v>
      </c>
      <c r="EJ259" t="str">
        <f t="shared" ref="EJ259:EJ322" si="545">IF(OR(B259="",EH259="",AND(BM259&lt;&gt;"",NOT(ISNUMBER(BM259)))),"",IF(N(DX259)=0,EH259,EI259&amp;CHAR(10)&amp;"L="&amp;Q259&amp;"-"&amp;EG259&amp;"%"))</f>
        <v>ВВГнг(А)-LS (3х2,5)
L=22-0,09%</v>
      </c>
      <c r="EK259">
        <f>IFERROR(2*ρкз_Cu*Q259/DX259,"")</f>
        <v>0.46288000000000001</v>
      </c>
      <c r="EL259">
        <f t="shared" ref="EL259:EL322" si="546">IFERROR(0.0175*N(Q259)/DX259,"")</f>
        <v>0.154</v>
      </c>
      <c r="EM259" s="6" t="str">
        <f>IFERROR(IF(OR(B259="",NOT(ISNUMBER(DX259)),N(Q259)=0),"",_xlfn.XLOOKUP(A259,Щиты[Щит],Щиты[Zпетли на шинах, Ом])+EK259),"")</f>
        <v/>
      </c>
      <c r="EN259" s="6" t="str">
        <f>IF(ISNUMBER(EM259),c_min*(Uн_лин*1000/SQRT(3))/EM259,"")</f>
        <v/>
      </c>
      <c r="EO259" s="6" t="str">
        <f>IFERROR(IF(OR(B259="",NOT(ISNUMBER(DX259))),"",1.05*(Uн_лин*1000/SQRT(3))/(_xlfn.XLOOKUP(A259,Щиты[Щит],Щиты[Zmax на шинах, Ом])+EL259)/1000),"")</f>
        <v/>
      </c>
      <c r="EP259" s="6" t="str">
        <f>IF(B259="","",IF(ISNUMBER(Y259),"Сил",IF(IFERROR(_xlfn.XLOOKUP(AX259,Коды_код,Коды_группа)&amp;"","")="","Быт",_xlfn.XLOOKUP(AX259,Коды_код,Коды_группа)&amp;"")))</f>
        <v>Быт</v>
      </c>
      <c r="EQ259" s="6" t="str">
        <f t="shared" ref="EQ259:EQ322" si="547">IF(B259="","",IF(BC259&lt;&gt;"","Щит",IF(TRIM(X259&amp;"")="",EP259,X259)))</f>
        <v>Быт</v>
      </c>
      <c r="ER259" s="6">
        <f>IF(EQ259="Щит","щит",IF(EQ259="","",IF(EQ259="Быт",IFERROR(_xlfn.XLOOKUP(A259,Щиты[Щит],Щиты[Кс быт]),1),IF(EQ259="Сил",IF(ISNUMBER(Y259),Y259,IF(Методика="нормы 2026",IFERROR(_xlfn.XLOOKUP(A259,Щиты[Щит],Щиты[Кс силовых (табл. 7.5)]),1),1)),IF(OR(EQ259="Пост",EQ259="Отоп"),1,IF(EQ259="ВНГ",0.7,0))))))</f>
        <v>0.57830000000000004</v>
      </c>
      <c r="ES259">
        <f t="shared" ref="ES259:ES322" si="548">IF(EQ259="","",IFERROR(MIN(3,MAX(1,INT(--AA259))),1))</f>
        <v>1</v>
      </c>
      <c r="ET259">
        <f t="shared" ref="ET259:ET322" si="549">IF(OR(EQ259="",EQ259="Нет",EQ259="Щит"),0,N(BN259))</f>
        <v>0.12</v>
      </c>
      <c r="EU259">
        <f t="shared" ref="EU259:EU322" si="550">IF(EQ259="Быт",N(BN259),0)</f>
        <v>0.12</v>
      </c>
      <c r="EV259">
        <f t="shared" ref="EV259:EV322" si="551">IF(EQ259="Сил",N(BN259)*N(ER259),0)</f>
        <v>0</v>
      </c>
      <c r="EW259">
        <f t="shared" ref="EW259:EW322" si="552">IF(EQ259="Пост",N(BN259),0)</f>
        <v>0</v>
      </c>
      <c r="EX259">
        <f t="shared" ref="EX259:EX322" si="553">IF(EQ259="Отоп",N(BN259),0)</f>
        <v>0</v>
      </c>
      <c r="EY259">
        <f t="shared" ref="EY259:EY322" si="554">IF(EQ259="ВНГ",N(BN259)*0.7,0)</f>
        <v>0</v>
      </c>
      <c r="EZ259">
        <f t="shared" ref="EZ259:EZ322" si="555">IF(OR(B259="",EQ259="Щит",EQ259="Нет"),0,N(BN259))</f>
        <v>0.12</v>
      </c>
      <c r="FA259">
        <f t="shared" ref="FA259:FA322" si="556">IF(OR(B259="",EQ259="Щит",EQ259="Нет"),0,N(BN259)*N(BY259))</f>
        <v>0.11399999999999999</v>
      </c>
      <c r="FB259">
        <f t="shared" ref="FB259:FB322" si="557">IF(CA259=1,N(BN259)+IF(AF259="вручную",0,N(CC259)),0)</f>
        <v>0.12</v>
      </c>
      <c r="FC259" t="str">
        <f t="shared" ref="FC259:FC322" si="558">IF(B259="","",IF(_xlfn.ISFORMULA(M259),"",_xlfn.LET(_xlpm.v,UPPER(SUBSTITUTE(TRIM(M259&amp;"")," ","")),IF(_xlpm.v="","",IF(OR(_xlpm.v="1,2,3",_xlpm.v="L1,L2,L3",_xlpm.v="123",_xlpm.v="3Ф"),"L1,L2,L3",IF(OR(_xlpm.v="1",_xlpm.v="2",_xlpm.v="3"),"L"&amp;_xlpm.v,IF(OR(_xlpm.v="L1",_xlpm.v="L2",_xlpm.v="L3"),_xlpm.v,"")))))))</f>
        <v/>
      </c>
      <c r="FD259" t="str">
        <f>IF(B259="","",IF(CA259=0,IF(AW259=1,"",FF258),IF(OR(N(CV259)&gt;=3,N(BR259)&gt;=3),"L1,L2,L3",IFERROR(_xlfn.TEXTBEFORE(_xlfn.TEXTAFTER(_xlfn.XLOOKUP(A259,Щиты[Щит],Щиты[_фазы авто]),";"&amp;AW259&amp;":"),";"),"L1"))))</f>
        <v>L1</v>
      </c>
      <c r="FE259" t="str">
        <f t="shared" ref="FE259:FE322" si="559">IF(B259="","",_xlfn.LET(_xlpm.v,UPPER(SUBSTITUTE(TRIM(M259&amp;"")," ","")),IF(_xlpm.v="",FD259,IF(OR(_xlpm.v="1,2,3",_xlpm.v="L1,L2,L3",_xlpm.v="123",_xlpm.v="3Ф"),"L1,L2,L3",IF(OR(_xlpm.v="1",_xlpm.v="2",_xlpm.v="3"),"L"&amp;_xlpm.v,IF(OR(_xlpm.v="L1",_xlpm.v="L2",_xlpm.v="L3"),_xlpm.v,IF(_xlpm.v="УПР","",_xlpm.v)))))))</f>
        <v>L1</v>
      </c>
      <c r="FF259" t="str">
        <f t="shared" ref="FF259:FF322" si="560">IF(CA259=1,FE259,IF(AND(NOT(OR(AW259=1,A259&lt;&gt;A258)),AF259&lt;&gt;"вручную",IF(AW259=1,"",DC258)="ok"),IF(AW259=1,"",FF258),""))</f>
        <v>L1</v>
      </c>
      <c r="FG259" cm="1">
        <f t="array" ref="FG259">IFERROR(IF(BX259=2,_xlfn.IFS(BR259=3,VLOOKUP(BN259,Справочная_двигатели,3,FALSE),BR259=1,VLOOKUP(BN259,Справочная_двигатели,5,TRUE)),0),0)</f>
        <v>0</v>
      </c>
      <c r="FH259">
        <f>IFERROR(IF(BX259=3,VLOOKUP(BN259,Справочная_ЛЭД,2,TRUE),0),0)</f>
        <v>0</v>
      </c>
      <c r="FI259" s="6">
        <f t="shared" ref="FI259:FI322" si="561">IF(B259="","",IF(FG259=0,FH259,FG259))</f>
        <v>0</v>
      </c>
      <c r="FJ259" t="str" cm="1">
        <f t="array" ref="FJ259">IF(B259="","",IFERROR(INDEX({"I особая","I","II","III"},MATCH(TRIM(AC259&amp;""),{"I особая","I","II","III"},0)),"III"))</f>
        <v>II</v>
      </c>
      <c r="FK259" t="str">
        <f>IF(B259="","",IF(TRIM(AD259&amp;"")&lt;&gt;"",IF(LOWER(TRIM(AD259&amp;""))="да","да","нет"),IF(IFERROR(_xlfn.XLOOKUP(AX259,Коды_код,Коды_пожарная),"")="да","да","нет")))</f>
        <v>нет</v>
      </c>
      <c r="FL259" t="str">
        <f t="shared" ref="FL259:FL322" si="562">IF(AB259&lt;&gt;"",AB259,IF(CA259=1,"",IF(GH259="","",IF(AW259=1,"",FL258))))</f>
        <v/>
      </c>
      <c r="FM259" t="str">
        <f t="shared" ref="FM259:FM322" si="563">IF(B259="","",IF(FL259="","основная",FL259))</f>
        <v>основная</v>
      </c>
      <c r="FN259">
        <f t="shared" ref="FN259:FN322" si="564">IFERROR(MIN(3,MAX(1,INT(--AA259))),1)</f>
        <v>1</v>
      </c>
      <c r="FO259" t="str" cm="1">
        <f t="array" ref="FO259">IF(B259="","",_xlfn.LET(_xlpm.t,IFERROR(_xlfn.XLOOKUP(1,(Шины[Шина]=FM259)*(((Шины[Щит]=A259)+(Шины[Щит]=""))&gt;0),Шины[Тип]),"")&amp;"",IF(_xlpm.t&lt;&gt;"",_xlpm.t,IF(ISNUMBER(SEARCH("ИБП",FM259)),"ИБП",IF(ISNUMBER(SEARCH("ДГУ",FM259)),"ДГУ","Ввод "&amp;FN259)))))</f>
        <v>Ввод 1</v>
      </c>
      <c r="FP259" t="str">
        <f t="shared" ref="FP259:FP322" si="565">IF(B259="","",IF(OR(FO259="ИБП",FO259="ДГУ"),FO259,IF(LEFT(FO259,5)="Ввод ",FO259,"Ввод "&amp;FN259)))</f>
        <v>Ввод 1</v>
      </c>
      <c r="FQ259" t="str">
        <f>IF(B259="","",IF(OR(FO259="ИБП",FO259="ДГУ"),"I особая",IF(FO259="Одиночная","III",_xlfn.XLOOKUP(A259,Щиты[Щит],Щиты[Категория шины «Ввод»],"III"))))</f>
        <v>II</v>
      </c>
      <c r="FR259">
        <f>IF(B259="",0,IFERROR(MATCH(FJ259,{"III","II","I","I особая"},0),1))</f>
        <v>2</v>
      </c>
      <c r="FS259">
        <f t="shared" ref="FS259:FS322" si="566">IF(OR(FO259="ИБП",FO259="ДГУ"),MIN(FR259,3),FR259)</f>
        <v>2</v>
      </c>
      <c r="FT259" t="str">
        <f>IF(B259="","",IF(FR259&gt;IFERROR(MATCH(FQ259,{"III","II","I","I особая"},0),1),"НЕ ОБЕСПЕЧЕНА","ОК"))</f>
        <v>ОК</v>
      </c>
      <c r="FU259" t="str">
        <f>IF(A259="","",_xlfn.XLOOKUP(A259,Щиты[Щит],Щиты[Путь],""))</f>
        <v>|ГРЩ-ЖД|ЩР-1|</v>
      </c>
      <c r="FV259" t="str">
        <f>IF(B259="","",IF(AE259&lt;&gt;"",AE259,IF(IFERROR(_xlfn.XLOOKUP(AX259,Коды_код,Коды_вид)&amp;"","")="","Прочее",_xlfn.XLOOKUP(AX259,Коды_код,Коды_вид)&amp;"")))</f>
        <v>Розеточная сеть и бытовые приборы</v>
      </c>
      <c r="FW259">
        <f>IF(BH259="","",INT((BH259-1)/Столбцов_на_лист)+1)</f>
        <v>4</v>
      </c>
      <c r="FX259" t="str">
        <f t="shared" ref="FX259:FX322" si="567">IF(B259="","",SUBSTITUTE(EJ259,CHAR(10)," "))</f>
        <v>ВВГнг(А)-LS (3х2,5) L=22-0,09%</v>
      </c>
      <c r="FY259">
        <f t="shared" ref="FY259:FY322" si="568">IF(B259="","",IFERROR(--BN259,""))</f>
        <v>0.12</v>
      </c>
      <c r="FZ259">
        <f t="shared" ref="FZ259:FZ322" si="569">IF(B259="","",IFERROR(ROUNDUP(P259,2),""))</f>
        <v>0.55000000000000004</v>
      </c>
      <c r="GA259">
        <f t="shared" ref="GA259:GA322" si="570">IF(B259="","",IFERROR(--BR259,1))</f>
        <v>1</v>
      </c>
      <c r="GB259">
        <f t="shared" ref="GB259:GB322" si="571">IF(OR(AH259="+",AND(B259&lt;&gt;"",B259=IF(AW259=1,"",B258))),1,0)</f>
        <v>0</v>
      </c>
      <c r="GC259">
        <f t="shared" ref="GC259:GC322" si="572">IF(OR(BH259="",AF259="вручную",AND(BI259="вводной узел",AF259&lt;&gt;"рисовать")),0,1)</f>
        <v>1</v>
      </c>
      <c r="GD259">
        <f>IF(BH259="","",IF(AND(CA259=1,GC259=1),COUNTIFS(A$3:A259,A259,CA$3:CA259,1,GC$3:GC259,1),IF(OR(OR(AW259=1,A259&lt;&gt;A258),AF259="вручную",GC259=0),"",IF(AW259=1,"",GE258))))</f>
        <v>35</v>
      </c>
      <c r="GE259">
        <f t="shared" ref="GE259:GE322" si="573">IF(BH259="",IF(OR(AW259=1,A259&lt;&gt;A258),"",IF(AW259=1,"",GE258)),GD259)</f>
        <v>35</v>
      </c>
      <c r="GF259">
        <f>IF(B259="","",IFERROR(LOOKUP(INDEX(CHOOSE(DL259,Iдоп_1ж,Iдоп_2ж,Iдоп_3ж),MATCH(DX259,Iдоп_S,0))*DJ259*DK259,{6,10,16,20,25,32,40,50,63,80,100,125,160,200,250,315,400,500,630}),""))</f>
        <v>25</v>
      </c>
      <c r="GG259" t="str">
        <f t="shared" ref="GG259:GG322" si="574">IF(AND(CA259=1,GC259=1,GD259&lt;&gt;""),IF(N(CK259)&gt;0,"QFD","QF")&amp;GD259,"")</f>
        <v>QFD35</v>
      </c>
      <c r="GH259" t="str">
        <f t="shared" ref="GH259:GH322" si="575">IF(GG259&lt;&gt;"",GG259,IF(OR(OR(AW259=1,A259&lt;&gt;A258),AF259="вручную"),"",IF(AW259=1,"",GH258)))</f>
        <v>QFD35</v>
      </c>
      <c r="GI259" t="str">
        <f t="shared" ref="GI259:GI322" si="576">IF(GG259&lt;&gt;"",_xlfn.TEXTJOIN(" → ",TRUE,CO259,CP259,CQ259),IF(GH259="","",IF(AW259=1,"",GI258)))</f>
        <v/>
      </c>
      <c r="GJ259">
        <f t="shared" ref="GJ259:GJ322" si="577">IF(GI259="",0,IF(OR(LEFT(GI259,2)="T ",LEFT(GI259,2)="Т ",ISNUMBER(SEARCH("→ T ",GI259)),ISNUMBER(SEARCH("→ Т ",GI259)),ISNUMBER(SEARCH("БП",GI259))),1,0))</f>
        <v>0</v>
      </c>
      <c r="GK259" t="str">
        <f>IF(OR(AG259="",AG259="-"),"",IFERROR(VLOOKUP(AG259,Модули_спр,2,FALSE),"R"))</f>
        <v/>
      </c>
      <c r="GL259" t="str">
        <f>IF(GK259="","",GK259&amp;"."&amp;COUNTIFS(A$3:A259,A259,GK$3:GK259,GK259))</f>
        <v/>
      </c>
      <c r="GM259" t="str">
        <f t="shared" ref="GM259:GM322" si="578">IF(AG259="-","",IF(GL259&lt;&gt;"",GL259,IF(OR(AW259=1,A259&lt;&gt;A258),"",IF(AW259=1,"",GM258))))</f>
        <v/>
      </c>
      <c r="GN259" t="str">
        <f t="shared" ref="GN259:GN322" si="579">IF(GM259="","",IF(AND(AG259&lt;&gt;"",AG259&lt;&gt;"-"),AG259,IF(AW259=1,"",GN258)))</f>
        <v/>
      </c>
      <c r="GO259" t="str">
        <f t="shared" ref="GO259:GO322" si="580">IF(AH259="=",IF(AW259=1,"",GP258),IF(ISNUMBER(AH259),AH259,IF(GM259="","",IF(OR(B259&lt;&gt;"",AH259="+",AH259="р"),IF(OR(GL259&lt;&gt;"",IF(AW259=1,"",GP258)=""),1,IF(AW259=1,"",GP258)+1),""))))</f>
        <v/>
      </c>
      <c r="GP259" t="str">
        <f t="shared" ref="GP259:GP322" si="581">IF(GO259&lt;&gt;"",GO259,IF(OR(OR(AW259=1,A259&lt;&gt;A258),AG259="-",GL259&lt;&gt;""),"",IF(AW259=1,"",GP258)))</f>
        <v/>
      </c>
      <c r="GQ259">
        <f t="shared" ref="GQ259:GQ322" si="582">IF(OR(AH259="б/к",AF259="вручную"),0,IF(OR(ISNUMBER(SEARCH("L=",EJ259)),AH259="+",AH259="="),1,0))</f>
        <v>1</v>
      </c>
      <c r="GR259" t="str">
        <f>IF(GQ259=1,"XT"&amp;COUNTIFS(A$3:A259,A259,GQ$3:GQ259,1),"")</f>
        <v>XT35</v>
      </c>
      <c r="GS259" t="str">
        <f t="shared" ref="GS259:GS322" si="583">_xlfn.LET(_xlpm.v,TRIM(N259&amp;""),IF(_xlpm.v="нет","",IF(_xlpm.v="",GR259,_xlpm.v)))</f>
        <v/>
      </c>
      <c r="GT259" t="str">
        <f t="shared" ref="GT259:GT322" si="584">IF(OR(B259&lt;&gt;"",GO259&lt;&gt;"",GQ259=1),GH259,"")</f>
        <v>QFD35</v>
      </c>
      <c r="GU259" t="str">
        <f t="shared" ref="GU259:GU322" si="585">IF(OR(GO259&lt;&gt;"",AND(AG259&lt;&gt;"",AG259&lt;&gt;"-")),GM259,"")</f>
        <v/>
      </c>
      <c r="GV259" t="str">
        <f t="shared" ref="GV259:GV322" si="586">IF(B259="","",IF(AND(CA259=1,DA259&lt;&gt;"",DB259=""),"номинал автомата не распознан",IF(DD259="",IF(BZ259=1,"«гр»: нет автомата выше",""),IF(AND(CA259=1,N(DI259)&gt;N(DD259)),"ПЕРЕГРУЗ",IF(AND(N(DH259)=0,ISNUMBER(GF259),N(GF259)&lt;N(DD259)),"КАБЕЛЬ НЕ ЗАЩИЩЁН","ok")))))</f>
        <v>ok</v>
      </c>
      <c r="GW259" t="str">
        <f>IF(OR(GO259="",GM259=""),"",IF(GO259&gt;IFERROR(VLOOKUP(GN259,Модули_спр,3,FALSE),99),"ЛИШНИЙ КАНАЛ",IF(AND(AH259&lt;&gt;"=",COUNTIFS(Линии[_модуль гр.],GM259,Линии[Канал (итог)],GO259,Линии[Канал],"&lt;&gt;=",Линии[Щит],A259)&gt;1),"ДУБЛЬ КАНАЛА","")))</f>
        <v/>
      </c>
      <c r="GX259" s="6" t="str">
        <f t="shared" ref="GX259:GX322" si="587">IFERROR(IF(ISNUMBER(EN259),EN259/N(DD259),""),"")</f>
        <v/>
      </c>
      <c r="GY259">
        <f t="shared" ref="GY259:GY322" si="588">IF(OR(ISNUMBER(SEARCH(" B"," "&amp;DE259)),ISNUMBER(SEARCH(" В"," "&amp;DE259))),5,IF(ISNUMBER(SEARCH(" D"," "&amp;DE259)),20,10))</f>
        <v>10</v>
      </c>
      <c r="GZ259" t="str">
        <f t="shared" ref="GZ259:GZ322" si="589">IF(NOT(ISNUMBER(GX259)),"",IF(GX259&gt;=GY259,"ok",IF(N(DG259)=1,"ok (дифзащита "&amp;DF259&amp;" мА)","мало: Iкз &lt; "&amp;GY259&amp;"·In")))</f>
        <v/>
      </c>
      <c r="HA259" t="str">
        <f>IF(AND(B259="",GT259=""),"",_xlfn.TEXTJOIN("; ",TRUE,IF(AND(B259&lt;&gt;"",FE259=""),"нет фазы",""),IF(AND(B259&lt;&gt;"",N(FY259)=0,EQ259&lt;&gt;"Нет"),"нет мощности",""),IF(AND(GS259&lt;&gt;"",COUNTIFS(Линии[Щит],A259,Линии[Клемма (итог)],GS259)&gt;1),"дубль клеммы "&amp;GS259,""),IF(AND(GV259&lt;&gt;"",GV259&lt;&gt;"ok"),GV259,""),IF(GW259&lt;&gt;"",GW259,""),IF(AND(N(BV259)&gt;=4,N(BR259)=1),BV259&amp;" жил на 1 фазе",""),IF(AND(AX259="R",CA259=1,OR(N(CK259)=0,N(CK259)&gt;30)),"розетка без дифзащиты до 30 мА",""),IFERROR(IF(AND(ISNUMBER(R259),R259&gt;DV259),"потери "&amp;FIXED(R259,1)&amp;" % &gt; "&amp;DV259&amp;" %",""),""),IFERROR(IF(LEFT(GZ259,4)="мало","Iкз мало — отключение &gt; 0,4 с",""),""),IF(AND(B259&lt;&gt;"",BH259=""),"не на схеме",""),IF(AND(CA259=0,B259&lt;&gt;"",FE259&lt;&gt;"",IF(AW259=1,"",FF258)&lt;&gt;"",FE259&lt;&gt;IF(AW259=1,"",FF258)),"фаза не как у автомата группы ("&amp;IF(AW259=1,"",FF258)&amp;")","")))</f>
        <v/>
      </c>
      <c r="HB259" s="6">
        <f>IF(OR(CA259=0,DA259=""),"",_xlfn.LET(_xlpm.t,IFERROR(_xlfn.XLOOKUP(DA259,Каталог!$U$4:$U$500,Каталог!$G$4:$G$500),""),_xlpm.k,SEARCH("кА",_xlpm.t),IFERROR(--TRIM(RIGHT(SUBSTITUTE(MID(_xlpm.t,MAX(1,_xlpm.k-4),_xlpm.k-MAX(1,_xlpm.k-4))," ",REPT(" ",9)),5)),"")))</f>
        <v>6</v>
      </c>
      <c r="HC259" t="str">
        <f>IF(OR(HB259="",CA259=0),"",IF(_xlfn.XLOOKUP(A259,Щиты[Щит],Щиты[Iкз max на шинах, кА],"")="","",IF(HB259&lt;_xlfn.XLOOKUP(A259,Щиты[Щит],Щиты[Iкз max на шинах, кА]),"Icu "&amp;HB259&amp;" кА &lt; Iкз max","ok")))</f>
        <v/>
      </c>
      <c r="HD259" t="str">
        <f t="shared" ref="HD259:HD322" si="590">IF(OR(AND(AW259&gt;1,N(AW258)&lt;&gt;AW259-1),AND(AW260&lt;&gt;"",N(AW260)&lt;&gt;AW259+1)),"строки сдвинуты (вставка или удаление) — нажмите «Починить формулы»","")</f>
        <v/>
      </c>
      <c r="HE259" t="str">
        <f t="shared" ref="HE259:HE322" si="591">IF(OR(AF259="вручную",BH259="",AND(B259="",GS259="")),"",_xlfn.TEXTJOIN("|",TRUE,GH259,SUBSTITUTE(GI259," → ","|"),IF(GM259&lt;&gt;"",GM259&amp;IF(GO259&lt;&gt;""," к."&amp;GO259,""),""),GS259))</f>
        <v>QFD35</v>
      </c>
      <c r="HF259" t="str">
        <f t="shared" ref="HF259:HF322" si="592">IF(HE259="","",HE259&amp;IF(B259&lt;&gt;"","|кабель "&amp;EI259&amp;" → "&amp;BE259,""))</f>
        <v>QFD35|кабель ВВГнг(А)-LS (3х2,5) → Розеточная группа, пом. 014A</v>
      </c>
      <c r="HG259" t="str" cm="1">
        <f t="array" ref="HG259">IF(HF259="","",_xlfn.LET(_xlpm.nd,_xlfn.TEXTSPLIT(HF259,"|"),IF(COLUMNS(_xlpm.nd)&gt;1,A259&amp;"¦"&amp;INDEX(_xlpm.nd,1)&amp;"¦"&amp;INDEX(_xlpm.nd,2),"")))</f>
        <v>ЩР-1¦QFD35¦кабель ВВГнг(А)-LS (3х2,5) → Розеточная группа, пом. 014A</v>
      </c>
      <c r="HH259" t="str">
        <f t="shared" ref="HH259:HH322" si="593">IF(HG259="","",B259&amp;"¦"&amp;BE259)</f>
        <v>R.1.014A.1¦Розеточная группа, пом. 014A</v>
      </c>
      <c r="HI259" t="str" cm="1">
        <f t="array" ref="HI259">IF(HF259="","",_xlfn.LET(_xlpm.nd,_xlfn.TEXTSPLIT(HF259,"|"),IF(COLUMNS(_xlpm.nd)&gt;2,A259&amp;"¦"&amp;INDEX(_xlpm.nd,2)&amp;"¦"&amp;INDEX(_xlpm.nd,3),"")))</f>
        <v/>
      </c>
      <c r="HJ259" t="str">
        <f t="shared" ref="HJ259:HJ322" si="594">IF(HI259="","",B259&amp;"¦"&amp;BE259)</f>
        <v/>
      </c>
      <c r="HK259" t="str" cm="1">
        <f t="array" ref="HK259">IF(HF259="","",_xlfn.LET(_xlpm.nd,_xlfn.TEXTSPLIT(HF259,"|"),IF(COLUMNS(_xlpm.nd)&gt;3,A259&amp;"¦"&amp;INDEX(_xlpm.nd,3)&amp;"¦"&amp;INDEX(_xlpm.nd,4),"")))</f>
        <v/>
      </c>
      <c r="HL259" t="str">
        <f t="shared" ref="HL259:HL322" si="595">IF(HK259="","",B259&amp;"¦"&amp;BE259)</f>
        <v/>
      </c>
      <c r="HM259" t="str" cm="1">
        <f t="array" ref="HM259">IF(HF259="","",_xlfn.LET(_xlpm.nd,_xlfn.TEXTSPLIT(HF259,"|"),IF(COLUMNS(_xlpm.nd)&gt;4,A259&amp;"¦"&amp;INDEX(_xlpm.nd,4)&amp;"¦"&amp;INDEX(_xlpm.nd,5),"")))</f>
        <v/>
      </c>
      <c r="HN259" t="str">
        <f t="shared" ref="HN259:HN322" si="596">IF(HM259="","",B259&amp;"¦"&amp;BE259)</f>
        <v/>
      </c>
      <c r="HO259" t="str" cm="1">
        <f t="array" ref="HO259">IF(HF259="","",_xlfn.LET(_xlpm.nd,_xlfn.TEXTSPLIT(HF259,"|"),IF(COLUMNS(_xlpm.nd)&gt;5,A259&amp;"¦"&amp;INDEX(_xlpm.nd,5)&amp;"¦"&amp;INDEX(_xlpm.nd,6),"")))</f>
        <v/>
      </c>
      <c r="HP259" t="str">
        <f t="shared" ref="HP259:HP322" si="597">IF(HO259="","",B259&amp;"¦"&amp;BE259)</f>
        <v/>
      </c>
      <c r="HQ259" t="str" cm="1">
        <f t="array" ref="HQ259">IF(HF259="","",_xlfn.LET(_xlpm.nd,_xlfn.TEXTSPLIT(HF259,"|"),IF(COLUMNS(_xlpm.nd)&gt;6,A259&amp;"¦"&amp;INDEX(_xlpm.nd,6)&amp;"¦"&amp;INDEX(_xlpm.nd,7),"")))</f>
        <v/>
      </c>
      <c r="HR259" t="str">
        <f t="shared" ref="HR259:HR322" si="598">IF(HQ259="","",B259&amp;"¦"&amp;BE259)</f>
        <v/>
      </c>
      <c r="HS259" t="str">
        <f t="shared" ref="HS259:HS322" si="599">IF(GU259="","",GN259)</f>
        <v/>
      </c>
      <c r="HT259" t="str">
        <f t="shared" ref="HT259:HT322" si="600">IF(AND(B259="",GO259="",GS259=""),"",_xlfn.TEXTJOIN(" → ",TRUE,GH259,GI259,IF(GM259&lt;&gt;"",GM259&amp;IF(GO259&lt;&gt;""," к."&amp;GO259,""),IF(GO259&lt;&gt;"","к."&amp;GO259,"")),GS259,IF(GB259=1,"(в кабель выше)","")))</f>
        <v>QFD35</v>
      </c>
      <c r="HU259">
        <f t="shared" ref="HU259:HU322" si="601">IF(AB259="",0,1)</f>
        <v>0</v>
      </c>
      <c r="HV259">
        <f t="shared" ref="HV259:HV322" si="602">IF(GG259="",0,IF(LEFT(GG259,3)="QFD",1,0))</f>
        <v>1</v>
      </c>
      <c r="HW259" t="str">
        <f t="shared" ref="HW259:HW322" si="603">IF(AH259="=","=",IF(AH259="+","+",IF(AH259="р","R","")))</f>
        <v/>
      </c>
      <c r="HX259" t="str">
        <f t="shared" ref="HX259:HX322" si="604">IF(CO259="","",IF(OR(LEFT(CO259,1)="T",LEFT(CO259,1)="Т"),"T",IF(LEFT(UPPER(CO259),2)="БП","PS",IF(OR(LEFT(UPPER(CO259),2)="МК",LEFT(UPPER(CO259),2)="MK"),"MK",IF(OR(LEFT(UPPER(CO259),2)="КМ",LEFT(UPPER(CO259),2)="KM"),"KM","X")))))</f>
        <v/>
      </c>
      <c r="HY259" t="str">
        <f t="shared" ref="HY259:HY322" si="605">IF(CP259="","",IF(OR(LEFT(CP259,1)="T",LEFT(CP259,1)="Т"),"T",IF(LEFT(UPPER(CP259),2)="БП","PS",IF(OR(LEFT(UPPER(CP259),2)="МК",LEFT(UPPER(CP259),2)="MK"),"MK",IF(OR(LEFT(UPPER(CP259),2)="КМ",LEFT(UPPER(CP259),2)="KM"),"KM","X")))))</f>
        <v/>
      </c>
      <c r="HZ259" t="str">
        <f t="shared" ref="HZ259:HZ322" si="606">IF(CQ259="","",IF(OR(LEFT(CQ259,1)="T",LEFT(CQ259,1)="Т"),"T",IF(LEFT(UPPER(CQ259),2)="БП","PS",IF(OR(LEFT(UPPER(CQ259),2)="МК",LEFT(UPPER(CQ259),2)="MK"),"MK",IF(OR(LEFT(UPPER(CQ259),2)="КМ",LEFT(UPPER(CQ259),2)="KM"),"KM","X")))))</f>
        <v/>
      </c>
      <c r="IA259" t="str">
        <f>IF(B259="","",IFERROR(VLOOKUP(B259,УГО_спр,2,FALSE),IFERROR(VLOOKUP(AX259,УГО_спр,2,FALSE),IFERROR(VLOOKUP(LEFT(AX259,2),УГО_спр,2,FALSE),""))))</f>
        <v>Розетка</v>
      </c>
      <c r="IB259" t="str">
        <f>IF(B259="","",IF(OR(IA259="",IA259=0),"BOX",IFERROR(IF(VLOOKUP(IA259,УГО_блоки,3,FALSE)&amp;""&lt;&gt;"",VLOOKUP(IA259,УГО_блоки,3,FALSE),VLOOKUP(IA259,УГО_блоки,2,FALSE)),IA259)))</f>
        <v>SOCKET</v>
      </c>
      <c r="IC259">
        <f t="shared" ref="IC259:IC322" si="607">IF(B259="",0,1)</f>
        <v>1</v>
      </c>
      <c r="ID259" t="str">
        <f>IF(DA259="","",IF(COUNTIF(DA$3:DA259,DA259)=1,MAX(ID$2:ID258)+1,""))</f>
        <v/>
      </c>
      <c r="IE259" t="str">
        <f>IF(CO259="","",IF(COUNTIF(CO$3:CO259,CO259)+COUNTIF(CP$2:CP258,CO259)+COUNTIF(CQ$2:CQ258,CO259)=1,MAX(IE$2:IG258)+1,""))</f>
        <v/>
      </c>
      <c r="IF259" t="str">
        <f>IF(CP259="","",IF(COUNTIF(CO$3:CO259,CP259)+COUNTIF(CP$3:CP259,CP259)+COUNTIF(CQ$2:CQ258,CP259)=1,MAX(IE$2:IG258,IE259)+1,""))</f>
        <v/>
      </c>
      <c r="IG259" t="str">
        <f>IF(CQ259="","",IF(COUNTIF(CO$3:CO259,CQ259)+COUNTIF(CP$3:CP259,CQ259)+COUNTIF(CQ$3:CQ259,CQ259)=1,MAX(IE$2:IG258,IE259,IF259)+1,""))</f>
        <v/>
      </c>
      <c r="IH259" t="str">
        <f t="shared" ref="IH259:IH322" si="608">IF(GQ259=1,IFERROR(MID(FX259,FIND(" (",FX259)+2,FIND(")",FX259,FIND(" (",FX259))-FIND(" (",FX259)-2),"?"),"")</f>
        <v>3х2,5</v>
      </c>
      <c r="II259" t="str">
        <f>IF(IH259="","",IF(COUNTIF(IH$3:IH259,IH259)=1,MAX(II$2:II258)+1,""))</f>
        <v/>
      </c>
      <c r="IJ259" t="str">
        <f>IF(GL259="","",COUNTIF(GL$3:GL259,"?*"))</f>
        <v/>
      </c>
      <c r="IK259" t="str">
        <f>IF(OR(GL259="",GN259=""),"",IF(COUNTIFS(GL$3:GL259,"?*",GN$3:GN259,GN259)=1,MAX(IK$2:IK258)+1,""))</f>
        <v/>
      </c>
      <c r="IL259">
        <f t="shared" ref="IL259:IL322" si="609">IF(HA259="",0,IF(OR(ISNUMBER(SEARCH("дубль",HA259)),ISNUMBER(SEARCH("ПЕРЕГРУЗ",HA259)),ISNUMBER(SEARCH("ЗАЩИЩ",HA259)),ISNUMBER(SEARCH("КАНАЛ",HA259)),ISNUMBER(SEARCH("без диф",HA259))),2,1))</f>
        <v>0</v>
      </c>
      <c r="IM259">
        <f>IF(B259="","",COUNTIF(B$3:B259,"?*"))</f>
        <v>257</v>
      </c>
      <c r="IN259">
        <f>IF(GQ259&lt;&gt;1,0,_xlfn.LET(_xlpm.k,MAX(IFERROR(--VLOOKUP(B259,УГО_спр,5,FALSE),0),IFERROR(--VLOOKUP(AX259,УГО_спр,5,FALSE),0),IFERROR(--VLOOKUP(LEFT(AX259,2),УГО_спр,5,FALSE),0)),IF(_xlpm.k&gt;0,_xlpm.k,IF(IFERROR(--LEFT(SUBSTITUTE(IH259,"x","х"),FIND("х",SUBSTITUTE(IH259,"x","х"))-1),3)&gt;3,Каталог!$S$9,1))))</f>
        <v>1</v>
      </c>
      <c r="IO259">
        <f t="shared" ref="IO259:IO322" si="610">IF(GQ259&lt;&gt;1,0,MAX(0,IFERROR(--LEFT(SUBSTITUTE(IH259,"x","х"),FIND("х",SUBSTITUTE(IH259,"x","х"))-1),3)-3*IN259))</f>
        <v>0</v>
      </c>
      <c r="IP259" t="str">
        <f t="shared" ref="IP259:IP322" si="611">IF(CA259=1,"авто","")</f>
        <v>авто</v>
      </c>
      <c r="IQ259">
        <f t="shared" ref="IQ259:IQ322" si="612">IF(CA259=1,IF(N(CK259)&gt;0,CK259,""),"")</f>
        <v>30</v>
      </c>
      <c r="IR259">
        <f t="shared" ref="IR259:IR322" si="613">IF(CA259=1,IF(N(CK259)&gt;0,1,0),"")</f>
        <v>1</v>
      </c>
      <c r="IS259">
        <f t="shared" ref="IS259:IS322" si="614">SUBTOTAL(103,A259)</f>
        <v>1</v>
      </c>
    </row>
    <row r="260" spans="1:253" x14ac:dyDescent="0.3">
      <c r="A260" t="s">
        <v>759</v>
      </c>
      <c r="B260" t="s">
        <v>1525</v>
      </c>
      <c r="C260" t="str">
        <f>Линии[[#This Row],[_авто наименование]]</f>
        <v>Розеточная группа, пом. 015A</v>
      </c>
      <c r="D260">
        <v>3</v>
      </c>
      <c r="E260">
        <v>0.24</v>
      </c>
      <c r="G260" t="str">
        <f>Линии[[#This Row],[_авто автомат]]</f>
        <v>2P С16А 30мА</v>
      </c>
      <c r="H260">
        <f>Линии[[#This Row],[_авто утечка]]</f>
        <v>30</v>
      </c>
      <c r="I260" t="str">
        <f>Линии[[#This Row],[_авто управление]]</f>
        <v/>
      </c>
      <c r="J260" t="str">
        <f>Линии[[#This Row],[_авто аппараты]]</f>
        <v/>
      </c>
      <c r="K260">
        <v>2.5</v>
      </c>
      <c r="L260">
        <v>27</v>
      </c>
      <c r="M260" t="str">
        <f>Линии[[#This Row],[_авто фаза]]</f>
        <v>L3</v>
      </c>
      <c r="N260" t="str">
        <f>Линии[[#This Row],[_авто клемма]]</f>
        <v>XT36</v>
      </c>
      <c r="O260" t="str">
        <f t="shared" si="492"/>
        <v/>
      </c>
      <c r="P260" s="6" cm="1">
        <f t="array" ref="P260">IF(B260="","",IF(BC260&lt;&gt;"",IFERROR(_xlfn.XLOOKUP(BC260,Щиты[Щит],Щиты[Iр, А]),""),IF(BK260=1,IFERROR(_xlfn.XLOOKUP(A260,Щиты[Щит],Щиты[Iр, А]),""),IFERROR(_xlfn.IFS(BR260=1,BN260/((Uн_лин/SQRT(3))*BY260),BR260=3,BN260/(SQRT(3)*Uн_лин*BY260)),""))))</f>
        <v>1.0939268258329751</v>
      </c>
      <c r="Q260" s="7">
        <f>IF(B260="","",IFERROR(IF(VLOOKUP(AX260,Потребители_обозначение,4,FALSE)=1,VLOOKUP(AX260,Потребители_обозначение,3,FALSE)*(D260*2-1)+DS260+VLOOKUP(AZ260,Этаж_обозначение,3,FALSE)+VLOOKUP(AZ260,Этаж_обозначение,4,FALSE),VLOOKUP(AX260,Потребители_обозначение,3,FALSE)*(D260*2-1)+DS260),DS260))</f>
        <v>42</v>
      </c>
      <c r="R260" s="6">
        <f t="shared" si="493"/>
        <v>1.54</v>
      </c>
      <c r="S260" t="str">
        <f t="shared" si="494"/>
        <v>ВВГнг(А)-LS (3х2,5)</v>
      </c>
      <c r="T260" t="str">
        <f>IF(BH260="","",IF(BI260="вводной узел","узел ","")&amp;"л."&amp;(INT((BH260-1)/Столбцов_на_лист)+1)&amp;" / "&amp;(MOD(BH260-1,Столбцов_на_лист)+1))</f>
        <v>л.4 / 6</v>
      </c>
      <c r="V260">
        <v>1</v>
      </c>
      <c r="W260">
        <v>230</v>
      </c>
      <c r="X260" t="s">
        <v>564</v>
      </c>
      <c r="AC260" t="s">
        <v>815</v>
      </c>
      <c r="AE260" t="s">
        <v>563</v>
      </c>
      <c r="AI260">
        <v>57</v>
      </c>
      <c r="AJ260" t="s">
        <v>11</v>
      </c>
      <c r="AK260">
        <v>3</v>
      </c>
      <c r="AM260">
        <v>6</v>
      </c>
      <c r="AN260">
        <v>36</v>
      </c>
      <c r="AO260">
        <v>0</v>
      </c>
      <c r="AW260" cm="1">
        <f t="array" ref="AW260">ROW()-ROW(Линии[#Headers])</f>
        <v>258</v>
      </c>
      <c r="AX260" s="6" t="str">
        <f t="shared" si="495"/>
        <v>R</v>
      </c>
      <c r="AY260" t="str">
        <f t="shared" si="496"/>
        <v>1.015A.1</v>
      </c>
      <c r="AZ260" t="str">
        <f t="shared" si="497"/>
        <v>1</v>
      </c>
      <c r="BA260" t="str">
        <f t="shared" si="498"/>
        <v>015A.1</v>
      </c>
      <c r="BB260" t="str">
        <f t="shared" si="499"/>
        <v>015A</v>
      </c>
      <c r="BC260" t="str">
        <f>IF(U260&lt;&gt;"",U260,IF(AND(B260&lt;&gt;"",B260&lt;&gt;A260,ISNUMBER(_xlfn.XMATCH(B260,Щиты[Щит]))),B260,""))</f>
        <v/>
      </c>
      <c r="BD260" t="str" cm="1">
        <f t="array" ref="BD260">IF(B260="","",IF(BC260&lt;&gt;"","Щит "&amp;BC260,_xlfn.LET(_xlpm.nm,IFERROR(_xlfn.XLOOKUP(AX260,Коды_код,Коды_имя)&amp;"",""),_xlpm.md,IFERROR(N(_xlfn.XLOOKUP(AX260,Коды_код,Коды_режим)),1),_xlpm.ex,IF(Имя_режим="по экспликации",IFERROR(_xlfn.XLOOKUP(AZ260&amp;"|"&amp;BB260,Экспликация[Этаж]&amp;"|"&amp;Экспликация[Помещение],Экспликация[Название])&amp;"",""),""),_xlpm.rm,IF(BB260="","",IF(_xlpm.ex&lt;&gt;"",". "&amp;_xlpm.ex&amp;IF(Имя_пом="нет"," ("&amp;BB260&amp;")"," (пом. "&amp;BB260&amp;")"),IF(Имя_пом="нет"," ",", пом. ")&amp;BB260)),IF(_xlpm.nm="","",IF(_xlpm.md=2,_xlpm.nm&amp;" шлейф "&amp;AZ260,_xlpm.nm&amp;_xlpm.rm)))))</f>
        <v>Розеточная группа, пом. 015A</v>
      </c>
      <c r="BE260" t="str">
        <f t="shared" si="500"/>
        <v>Розеточная группа, пом. 015A</v>
      </c>
      <c r="BF260">
        <f>IFERROR(_xlfn.XMATCH(A260,Щиты[Щит]),0)</f>
        <v>10</v>
      </c>
      <c r="BG260">
        <f>_xlfn.LET(_xlpm.k,IFERROR(_xlfn.XLOOKUP(A260,Щиты[Щит],Щиты[Листов под вводной узел]),""),IF(_xlpm.k="",1,N(_xlpm.k))*Столбцов_на_лист)</f>
        <v>17</v>
      </c>
      <c r="BH260">
        <f t="shared" si="501"/>
        <v>57</v>
      </c>
      <c r="BI260" t="str">
        <f t="shared" si="502"/>
        <v>линии</v>
      </c>
      <c r="BJ260" s="6">
        <f>IFERROR(N(_xlfn.XLOOKUP(AX260,Коды_код,Коды_квт)),0)</f>
        <v>0</v>
      </c>
      <c r="BK260">
        <f t="shared" si="503"/>
        <v>0</v>
      </c>
      <c r="BL260" t="str">
        <f>IF(B260="","",IF(BC260&lt;&gt;"",IFERROR(_xlfn.XLOOKUP(BC260,Щиты[Щит],Щиты[Руст, кВт]),0),IF(BK260=1,IFERROR(_xlfn.XLOOKUP(A260,Щиты[Щит],Щиты[Руст, кВт]),0),IF(BJ260&gt;0,ROUND(BJ260*MAX(1,N(D260)),3),""))))</f>
        <v/>
      </c>
      <c r="BM260">
        <f t="shared" si="504"/>
        <v>0.24</v>
      </c>
      <c r="BN260" s="6">
        <f>IF(B260="","",IF(BC260&lt;&gt;"",IFERROR(_xlfn.XLOOKUP(BC260,Щиты[Щит],Щиты[Руст, кВт]),0),N(BM260)))</f>
        <v>0.24</v>
      </c>
      <c r="BO260" t="str">
        <f>IF(B260="","",IFERROR(IF(VLOOKUP(AX260,Потребители_обозначение,8,FALSE)=0,"",VLOOKUP(AX260,Потребители_обозначение,8,FALSE)),""))</f>
        <v/>
      </c>
      <c r="BP260">
        <f t="shared" si="505"/>
        <v>230</v>
      </c>
      <c r="BQ260">
        <f>IF(B260="","",IF(BC260&lt;&gt;"",3,IFERROR(IF(N(VLOOKUP(AX260,Потребители_обозначение,9,FALSE))=0,1,VLOOKUP(AX260,Потребители_обозначение,9,FALSE)),1)))</f>
        <v>1</v>
      </c>
      <c r="BR260">
        <f t="shared" si="506"/>
        <v>1</v>
      </c>
      <c r="BS260" t="str">
        <f>IF(B260="","",_xlfn.LET(_xlpm.bc,IFERROR(IF(VLOOKUP(AX260,Потребители_обозначение,6,FALSE)=0,"",VLOOKUP(AX260,Потребители_обозначение,6,FALSE)&amp;""),""),IF(AND(FK260="да",OR(_xlpm.bc="",_xlpm.bc="мс")),Марка_пож,IF(AND(_xlpm.bc="",BC260&lt;&gt;""),"мс",_xlpm.bc))))</f>
        <v/>
      </c>
      <c r="BT260" t="str">
        <f t="shared" si="507"/>
        <v>мс</v>
      </c>
      <c r="BU260">
        <f>IF(B260="","",_xlfn.LET(_xlpm.cc,IFERROR(N(VLOOKUP(AX260,Потребители_обозначение,7,FALSE)),0),IF(_xlpm.cc&gt;0,_xlpm.cc,IF(BT260="","",IF(N(BR260)=3,5,3)))))</f>
        <v>3</v>
      </c>
      <c r="BV260">
        <f t="shared" si="508"/>
        <v>3</v>
      </c>
      <c r="BW260">
        <f>IFERROR(N(VLOOKUP(AX260,Потребители_обозначение,10,FALSE)),0)</f>
        <v>0</v>
      </c>
      <c r="BX260">
        <f>IFERROR(VLOOKUP(AX260,Потребители_обозначение,5,FALSE),0)</f>
        <v>1</v>
      </c>
      <c r="BY260" s="6" cm="1">
        <f t="array" ref="BY260">IF(B260="","",IF(BC260&lt;&gt;"",IFERROR(_xlfn.XLOOKUP(BC260,Щиты[Щит],Щиты[cos φ]),0.95),IF(BK260=1,IFERROR(_xlfn.XLOOKUP(A260,Щиты[Щит],Щиты[cos φ]),0.95),IF(ISNUMBER(Z260),Z260,IFERROR(IF(BX260=2,_xlfn.IFS(BR260=3,VLOOKUP(BN260,Справочная_двигатели,8,FALSE),BR260=1,VLOOKUP(BN260,Справочная_двигатели,10,TRUE)),IF(AND(Методика="нормы 2026",EQ260="Сил"),0.8,0.95)),0.95)))))</f>
        <v>0.95</v>
      </c>
      <c r="BZ260">
        <f t="shared" si="509"/>
        <v>0</v>
      </c>
      <c r="CA260">
        <f t="shared" si="510"/>
        <v>1</v>
      </c>
      <c r="CB260">
        <f t="shared" si="511"/>
        <v>0</v>
      </c>
      <c r="CC260">
        <f t="shared" si="512"/>
        <v>0</v>
      </c>
      <c r="CD260">
        <f t="shared" si="513"/>
        <v>0</v>
      </c>
      <c r="CE260">
        <f t="shared" si="514"/>
        <v>0</v>
      </c>
      <c r="CF260">
        <f t="shared" si="515"/>
        <v>0</v>
      </c>
      <c r="CG260">
        <f>IF(AX260="",0,_xlfn.LET(_xlpm.v,IFERROR(VLOOKUP(B260,УГО_спр,3,FALSE),IFERROR(VLOOKUP(AX260,УГО_спр,3,FALSE),IFERROR(VLOOKUP(LEFT(AX260,2),УГО_спр,3,FALSE),""))),IF(_xlpm.v="да",30,IF(ISNUMBER(_xlpm.v),_xlpm.v,0))))</f>
        <v>30</v>
      </c>
      <c r="CH260">
        <f t="shared" si="516"/>
        <v>30</v>
      </c>
      <c r="CI260" t="str">
        <f>_xlfn.LET(_xlpm.k,IFERROR(_xlfn.XLOOKUP(AX260,Коды_код,Коды_утечка)&amp;"",""),IF(_xlpm.k="","дифавтомат",_xlpm.k))</f>
        <v>дифавтомат</v>
      </c>
      <c r="CJ260">
        <f t="shared" si="517"/>
        <v>30</v>
      </c>
      <c r="CK260">
        <f t="shared" si="518"/>
        <v>30</v>
      </c>
      <c r="CL260">
        <f>IF(B260="",0,IFERROR(--VLOOKUP(B260,УГО_спр,4,FALSE),IFERROR(--VLOOKUP(AX260,УГО_спр,4,FALSE),IFERROR(--VLOOKUP(LEFT(AX260,2),УГО_спр,4,FALSE),0))))</f>
        <v>16</v>
      </c>
      <c r="CM260" t="str">
        <f>IF(B260="","",IFERROR(_xlfn.XLOOKUP(AX260,Коды_код,Коды_апп)&amp;"",""))</f>
        <v/>
      </c>
      <c r="CN260" t="str">
        <f t="shared" si="519"/>
        <v/>
      </c>
      <c r="CO260" t="str" cm="1">
        <f t="array" ref="CO260">IF(TRIM(CN260&amp;"")="","",IFERROR(TRIM(INDEX(_xlfn.TEXTSPLIT(CN260&amp;";;;",";"),1)),""))</f>
        <v/>
      </c>
      <c r="CP260" t="str" cm="1">
        <f t="array" ref="CP260">IF(TRIM(CN260&amp;"")="","",IFERROR(TRIM(INDEX(_xlfn.TEXTSPLIT(CN260&amp;";;;",";"),2)),""))</f>
        <v/>
      </c>
      <c r="CQ260" t="str" cm="1">
        <f t="array" ref="CQ260">IF(TRIM(CN260&amp;"")="","",IFERROR(TRIM(INDEX(_xlfn.TEXTSPLIT(CN260&amp;";;;",";"),3)),""))</f>
        <v/>
      </c>
      <c r="CR260">
        <f t="shared" si="520"/>
        <v>0</v>
      </c>
      <c r="CS260" t="str">
        <f>IF(B260="","",_xlfn.LET(_xlpm.t,LOWER(AV260&amp;""),IF(ISNUMBER(SEARCH("dim",_xlpm.t)),"DIM",IF(ISNUMBER(SEARCH("dali",_xlpm.t)),"DALI",IF(OR(ISNUMBER(SEARCH("relay",_xlpm.t)),ISNUMBER(SEARCH("реле",_xlpm.t))),"Relay",IF(ISNUMBER(SEARCH("кнопк",_xlpm.t)),"",IFERROR(_xlfn.XLOOKUP(AX260,Коды_код,Коды_упр)&amp;"","")))))))</f>
        <v/>
      </c>
      <c r="CT260" t="str">
        <f t="shared" si="521"/>
        <v/>
      </c>
      <c r="CU260">
        <f>IF(B260="","",_xlfn.LET(_xlpm.ig,N(P260)+IF(AF260="вручную",0,N(CB260)),_xlpm.n0,IFERROR(VLOOKUP(_xlpm.ig,Автомат_номиналы,2,TRUE),0),_xlpm.mn,MAX(CL260,IF(AF260="вручную",0,N(CE260))),MAX(_xlpm.n0,_xlpm.mn,IF(CR260=1,Мин_автомат_БП,0))))</f>
        <v>16</v>
      </c>
      <c r="CV260">
        <f t="shared" si="522"/>
        <v>1</v>
      </c>
      <c r="CW260" t="str">
        <f t="shared" si="523"/>
        <v>2P</v>
      </c>
      <c r="CX260" t="str">
        <f>_xlfn.LET(_xlpm.cc,UPPER(TRIM(IFERROR(_xlfn.XLOOKUP(AX260,Коды_код,Коды_хар)&amp;"",""))),IF(OR(_xlpm.cc="B",_xlpm.cc="В"),"B",IF(_xlpm.cc="D","D","С")))</f>
        <v>С</v>
      </c>
      <c r="CY260" t="str">
        <f t="shared" si="524"/>
        <v>2P С16А 30мА</v>
      </c>
      <c r="CZ260" t="str">
        <f t="shared" si="525"/>
        <v>2P С16А 30мА</v>
      </c>
      <c r="DA260" t="str">
        <f t="shared" si="526"/>
        <v>2P С16А 30мА</v>
      </c>
      <c r="DB260" cm="1">
        <f t="array" ref="DB260">IF(DA260="","",_xlfn.LET(_xlpm.t,SUBSTITUTE(SUBSTITUTE(SUBSTITUTE(UPPER(DA260),"С","C"),"А","A"),"В","B"),_xlpm.tk,_xlfn.TEXTSPLIT(_xlpm.t,"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0" t="str">
        <f t="shared" si="527"/>
        <v>ok</v>
      </c>
      <c r="DD260">
        <f t="shared" si="528"/>
        <v>16</v>
      </c>
      <c r="DE260" t="str">
        <f t="shared" si="529"/>
        <v>2P С16А 30мА</v>
      </c>
      <c r="DF260">
        <f t="shared" si="530"/>
        <v>30</v>
      </c>
      <c r="DG260">
        <f t="shared" si="531"/>
        <v>1</v>
      </c>
      <c r="DH260">
        <f t="shared" si="532"/>
        <v>0</v>
      </c>
      <c r="DI260">
        <f t="shared" si="533"/>
        <v>1.0939268258329751</v>
      </c>
      <c r="DJ260">
        <f t="shared" si="534"/>
        <v>1</v>
      </c>
      <c r="DK260">
        <f>IF(ISNUMBER(AL260),AL260,К_прокл)</f>
        <v>1</v>
      </c>
      <c r="DL260">
        <f t="shared" si="535"/>
        <v>2</v>
      </c>
      <c r="DM260">
        <f>IFERROR(N(VLOOKUP(BT260,Кабель_обозначение,3,FALSE)),1)</f>
        <v>1</v>
      </c>
      <c r="DN260">
        <f>IFERROR(N(_xlfn.XLOOKUP(A260,Щиты[Щит],Щиты[ΔU до шин, %])),0)</f>
        <v>1.19</v>
      </c>
      <c r="DO260" t="str">
        <f>IFERROR(_xlfn.XLOOKUP(A260,Щиты[Щит],Щиты[Zпетли на шинах, Ом]),"")</f>
        <v/>
      </c>
      <c r="DP260">
        <f>IFERROR(N(_xlfn.XLOOKUP(A260,Щиты[Щит],Щиты[ΔU до шин (подбор), %])),0)</f>
        <v>1.19</v>
      </c>
      <c r="DQ260" t="str">
        <f>IFERROR(_xlfn.XLOOKUP(A260,Щиты[Щит],Щиты[Zпетли на шинах (подбор), Ом]),"")</f>
        <v/>
      </c>
      <c r="DR260" t="str">
        <f t="shared" si="536"/>
        <v/>
      </c>
      <c r="DS260">
        <f t="shared" si="537"/>
        <v>27</v>
      </c>
      <c r="DT260">
        <f t="shared" si="538"/>
        <v>2</v>
      </c>
      <c r="DU260">
        <f t="shared" si="539"/>
        <v>0.31</v>
      </c>
      <c r="DV260" s="6">
        <f>IF(B260="","",IF(IFERROR(VLOOKUP(AX260,УГО_спр,2,FALSE),"")="Светильник",3,4)+IF(Методика="нормы 2026",MIN(0.5,MAX(0,N(Q260)-100)*0.005),0))</f>
        <v>4</v>
      </c>
      <c r="DW260" cm="1">
        <f t="array" ref="DW260">IF(OR(B260="",BT260="",DM260&lt;&gt;1),"",_xlfn.LET(_xlpm.sz,Iдоп_S,_xlpm.t_,CHOOSE(DL260,Iдоп_1ж,Iдоп_2ж,Iдоп_3ж)*DJ260*DK260,_xlpm.inn,N(DD260),_xlpm.smin,MAX(1.5,BW260),_xlpm.L_,N(Q260)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260)*(_xlpm.rho*_xlpm.L_/_xlpm.sz*N(BY260)+_xlpm.xx*_xlpm.L_*N(DU260)/1000)*N(P260)/((Uн_лин/SQRT(3))*1000)*100,999),_xlpm.kz,IF(OR(DG260=1,NOT(ISNUMBER(DQ260)),_xlpm.L_=0,_xlpm.inn=0),1,IFERROR(--(c_min*(Uн_лин*1000/SQRT(3))/(DQ260+2*ρкз_Cu*_xlpm.L_/_xlpm.sz)&gt;=GY260*_xlpm.inn),0)),_xlpm.ok,IFERROR((_xlpm.sz&gt;=_xlpm.smin)*(_xlpm.t_&gt;=_xlpm.inn)*IF(_xlpm.L_&gt;0,(_xlpm.du_+DP260&lt;=DV260+0.00001),1)*_xlpm.kz,0),_xlpm.r_,_xlfn._xlws.FILTER(_xlpm.sz,_xlpm.ok,"не подобрано"),INDEX(_xlpm.r_,1)))</f>
        <v>1.5</v>
      </c>
      <c r="DX260">
        <f t="shared" si="540"/>
        <v>2.5</v>
      </c>
      <c r="DY260" cm="1">
        <f t="array" ref="DY260">IF(OR(B260="",BT260="",DM260&lt;&gt;1),"",_xlfn.LET(_xlpm.sz,Iдоп_S,_xlpm.t_,CHOOSE(DL260,Iдоп_1ж,Iдоп_2ж,Iдоп_3ж)*DJ260*DK260,_xlpm.ok,IFERROR((_xlpm.sz&gt;=MAX(1.5,BW260))*(_xlpm.t_&gt;=N(DD260)),0),_xlpm.r_,_xlfn._xlws.FILTER(_xlpm.sz,_xlpm.ok,""),INDEX(_xlpm.r_,1)))</f>
        <v>1.5</v>
      </c>
      <c r="DZ260" s="6" cm="1">
        <f t="array" ref="DZ260">IFERROR(ROUNDUP(N(DT260)*(_xlfn.XLOOKUP(DY260,INDEX(Кабель_сопротивление,0,1),INDEX(Кабель_сопротивление,0,3))*N(Q260)/DY260*N(BY260)+_xlfn.XLOOKUP(DY260,INDEX(Кабель_сопротивление,0,1),INDEX(Кабель_сопротивление,0,2))*N(Q260)*N(DU260)/1000)*N(P260)/((Uн_лин/SQRT(3))*1000)*100,2),"")</f>
        <v>0.57000000000000006</v>
      </c>
      <c r="EA260">
        <f>IFERROR(2*ρкз_Cu*N(Q260)/DY260,"")</f>
        <v>1.4728000000000001</v>
      </c>
      <c r="EB260">
        <f>IFERROR(VLOOKUP(DX260,Кабель_сопротивление,3,FALSE),"")</f>
        <v>2.2499999999999999E-2</v>
      </c>
      <c r="EC260">
        <f>IFERROR(VLOOKUP(DX260,Кабель_сопротивление,2,FALSE),"")</f>
        <v>0.1</v>
      </c>
      <c r="ED260">
        <f t="shared" si="541"/>
        <v>36</v>
      </c>
      <c r="EE260">
        <f t="shared" si="542"/>
        <v>0</v>
      </c>
      <c r="EF260">
        <f t="shared" si="543"/>
        <v>0.78850683176771175</v>
      </c>
      <c r="EG260" s="6">
        <f>IFERROR(ROUNDUP(EF260/((Uн_лин/SQRT(3))*1000)*100,2),"")</f>
        <v>0.35000000000000003</v>
      </c>
      <c r="EH260" t="str">
        <f>IFERROR(VLOOKUP(BT260,Кабель_обозначение,2,FALSE),"")</f>
        <v>ВВГнг(А)-LS</v>
      </c>
      <c r="EI260" t="str">
        <f t="shared" si="544"/>
        <v>ВВГнг(А)-LS (3х2,5)</v>
      </c>
      <c r="EJ260" t="str">
        <f t="shared" si="545"/>
        <v>ВВГнг(А)-LS (3х2,5)
L=42-0,35%</v>
      </c>
      <c r="EK260">
        <f>IFERROR(2*ρкз_Cu*Q260/DX260,"")</f>
        <v>0.88368000000000002</v>
      </c>
      <c r="EL260">
        <f t="shared" si="546"/>
        <v>0.29400000000000004</v>
      </c>
      <c r="EM260" s="6" t="str">
        <f>IFERROR(IF(OR(B260="",NOT(ISNUMBER(DX260)),N(Q260)=0),"",_xlfn.XLOOKUP(A260,Щиты[Щит],Щиты[Zпетли на шинах, Ом])+EK260),"")</f>
        <v/>
      </c>
      <c r="EN260" s="6" t="str">
        <f>IF(ISNUMBER(EM260),c_min*(Uн_лин*1000/SQRT(3))/EM260,"")</f>
        <v/>
      </c>
      <c r="EO260" s="6" t="str">
        <f>IFERROR(IF(OR(B260="",NOT(ISNUMBER(DX260))),"",1.05*(Uн_лин*1000/SQRT(3))/(_xlfn.XLOOKUP(A260,Щиты[Щит],Щиты[Zmax на шинах, Ом])+EL260)/1000),"")</f>
        <v/>
      </c>
      <c r="EP260" s="6" t="str">
        <f>IF(B260="","",IF(ISNUMBER(Y260),"Сил",IF(IFERROR(_xlfn.XLOOKUP(AX260,Коды_код,Коды_группа)&amp;"","")="","Быт",_xlfn.XLOOKUP(AX260,Коды_код,Коды_группа)&amp;"")))</f>
        <v>Быт</v>
      </c>
      <c r="EQ260" s="6" t="str">
        <f t="shared" si="547"/>
        <v>Быт</v>
      </c>
      <c r="ER260" s="6">
        <f>IF(EQ260="Щит","щит",IF(EQ260="","",IF(EQ260="Быт",IFERROR(_xlfn.XLOOKUP(A260,Щиты[Щит],Щиты[Кс быт]),1),IF(EQ260="Сил",IF(ISNUMBER(Y260),Y260,IF(Методика="нормы 2026",IFERROR(_xlfn.XLOOKUP(A260,Щиты[Щит],Щиты[Кс силовых (табл. 7.5)]),1),1)),IF(OR(EQ260="Пост",EQ260="Отоп"),1,IF(EQ260="ВНГ",0.7,0))))))</f>
        <v>0.57830000000000004</v>
      </c>
      <c r="ES260">
        <f t="shared" si="548"/>
        <v>1</v>
      </c>
      <c r="ET260">
        <f t="shared" si="549"/>
        <v>0.24</v>
      </c>
      <c r="EU260">
        <f t="shared" si="550"/>
        <v>0.24</v>
      </c>
      <c r="EV260">
        <f t="shared" si="551"/>
        <v>0</v>
      </c>
      <c r="EW260">
        <f t="shared" si="552"/>
        <v>0</v>
      </c>
      <c r="EX260">
        <f t="shared" si="553"/>
        <v>0</v>
      </c>
      <c r="EY260">
        <f t="shared" si="554"/>
        <v>0</v>
      </c>
      <c r="EZ260">
        <f t="shared" si="555"/>
        <v>0.24</v>
      </c>
      <c r="FA260">
        <f t="shared" si="556"/>
        <v>0.22799999999999998</v>
      </c>
      <c r="FB260">
        <f t="shared" si="557"/>
        <v>0.24</v>
      </c>
      <c r="FC260" t="str">
        <f t="shared" si="558"/>
        <v/>
      </c>
      <c r="FD260" t="str">
        <f>IF(B260="","",IF(CA260=0,IF(AW260=1,"",FF259),IF(OR(N(CV260)&gt;=3,N(BR260)&gt;=3),"L1,L2,L3",IFERROR(_xlfn.TEXTBEFORE(_xlfn.TEXTAFTER(_xlfn.XLOOKUP(A260,Щиты[Щит],Щиты[_фазы авто]),";"&amp;AW260&amp;":"),";"),"L1"))))</f>
        <v>L3</v>
      </c>
      <c r="FE260" t="str">
        <f t="shared" si="559"/>
        <v>L3</v>
      </c>
      <c r="FF260" t="str">
        <f t="shared" si="560"/>
        <v>L3</v>
      </c>
      <c r="FG260" cm="1">
        <f t="array" ref="FG260">IFERROR(IF(BX260=2,_xlfn.IFS(BR260=3,VLOOKUP(BN260,Справочная_двигатели,3,FALSE),BR260=1,VLOOKUP(BN260,Справочная_двигатели,5,TRUE)),0),0)</f>
        <v>0</v>
      </c>
      <c r="FH260">
        <f>IFERROR(IF(BX260=3,VLOOKUP(BN260,Справочная_ЛЭД,2,TRUE),0),0)</f>
        <v>0</v>
      </c>
      <c r="FI260" s="6">
        <f t="shared" si="561"/>
        <v>0</v>
      </c>
      <c r="FJ260" t="str" cm="1">
        <f t="array" ref="FJ260">IF(B260="","",IFERROR(INDEX({"I особая","I","II","III"},MATCH(TRIM(AC260&amp;""),{"I особая","I","II","III"},0)),"III"))</f>
        <v>II</v>
      </c>
      <c r="FK260" t="str">
        <f>IF(B260="","",IF(TRIM(AD260&amp;"")&lt;&gt;"",IF(LOWER(TRIM(AD260&amp;""))="да","да","нет"),IF(IFERROR(_xlfn.XLOOKUP(AX260,Коды_код,Коды_пожарная),"")="да","да","нет")))</f>
        <v>нет</v>
      </c>
      <c r="FL260" t="str">
        <f t="shared" si="562"/>
        <v/>
      </c>
      <c r="FM260" t="str">
        <f t="shared" si="563"/>
        <v>основная</v>
      </c>
      <c r="FN260">
        <f t="shared" si="564"/>
        <v>1</v>
      </c>
      <c r="FO260" t="str" cm="1">
        <f t="array" ref="FO260">IF(B260="","",_xlfn.LET(_xlpm.t,IFERROR(_xlfn.XLOOKUP(1,(Шины[Шина]=FM260)*(((Шины[Щит]=A260)+(Шины[Щит]=""))&gt;0),Шины[Тип]),"")&amp;"",IF(_xlpm.t&lt;&gt;"",_xlpm.t,IF(ISNUMBER(SEARCH("ИБП",FM260)),"ИБП",IF(ISNUMBER(SEARCH("ДГУ",FM260)),"ДГУ","Ввод "&amp;FN260)))))</f>
        <v>Ввод 1</v>
      </c>
      <c r="FP260" t="str">
        <f t="shared" si="565"/>
        <v>Ввод 1</v>
      </c>
      <c r="FQ260" t="str">
        <f>IF(B260="","",IF(OR(FO260="ИБП",FO260="ДГУ"),"I особая",IF(FO260="Одиночная","III",_xlfn.XLOOKUP(A260,Щиты[Щит],Щиты[Категория шины «Ввод»],"III"))))</f>
        <v>II</v>
      </c>
      <c r="FR260">
        <f>IF(B260="",0,IFERROR(MATCH(FJ260,{"III","II","I","I особая"},0),1))</f>
        <v>2</v>
      </c>
      <c r="FS260">
        <f t="shared" si="566"/>
        <v>2</v>
      </c>
      <c r="FT260" t="str">
        <f>IF(B260="","",IF(FR260&gt;IFERROR(MATCH(FQ260,{"III","II","I","I особая"},0),1),"НЕ ОБЕСПЕЧЕНА","ОК"))</f>
        <v>ОК</v>
      </c>
      <c r="FU260" t="str">
        <f>IF(A260="","",_xlfn.XLOOKUP(A260,Щиты[Щит],Щиты[Путь],""))</f>
        <v>|ГРЩ-ЖД|ЩР-1|</v>
      </c>
      <c r="FV260" t="str">
        <f>IF(B260="","",IF(AE260&lt;&gt;"",AE260,IF(IFERROR(_xlfn.XLOOKUP(AX260,Коды_код,Коды_вид)&amp;"","")="","Прочее",_xlfn.XLOOKUP(AX260,Коды_код,Коды_вид)&amp;"")))</f>
        <v>Розеточная сеть и бытовые приборы</v>
      </c>
      <c r="FW260">
        <f>IF(BH260="","",INT((BH260-1)/Столбцов_на_лист)+1)</f>
        <v>4</v>
      </c>
      <c r="FX260" t="str">
        <f t="shared" si="567"/>
        <v>ВВГнг(А)-LS (3х2,5) L=42-0,35%</v>
      </c>
      <c r="FY260">
        <f t="shared" si="568"/>
        <v>0.24</v>
      </c>
      <c r="FZ260">
        <f t="shared" si="569"/>
        <v>1.1000000000000001</v>
      </c>
      <c r="GA260">
        <f t="shared" si="570"/>
        <v>1</v>
      </c>
      <c r="GB260">
        <f t="shared" si="571"/>
        <v>0</v>
      </c>
      <c r="GC260">
        <f t="shared" si="572"/>
        <v>1</v>
      </c>
      <c r="GD260">
        <f>IF(BH260="","",IF(AND(CA260=1,GC260=1),COUNTIFS(A$3:A260,A260,CA$3:CA260,1,GC$3:GC260,1),IF(OR(OR(AW260=1,A260&lt;&gt;A259),AF260="вручную",GC260=0),"",IF(AW260=1,"",GE259))))</f>
        <v>36</v>
      </c>
      <c r="GE260">
        <f t="shared" si="573"/>
        <v>36</v>
      </c>
      <c r="GF260">
        <f>IF(B260="","",IFERROR(LOOKUP(INDEX(CHOOSE(DL260,Iдоп_1ж,Iдоп_2ж,Iдоп_3ж),MATCH(DX260,Iдоп_S,0))*DJ260*DK260,{6,10,16,20,25,32,40,50,63,80,100,125,160,200,250,315,400,500,630}),""))</f>
        <v>25</v>
      </c>
      <c r="GG260" t="str">
        <f t="shared" si="574"/>
        <v>QFD36</v>
      </c>
      <c r="GH260" t="str">
        <f t="shared" si="575"/>
        <v>QFD36</v>
      </c>
      <c r="GI260" t="str">
        <f t="shared" si="576"/>
        <v/>
      </c>
      <c r="GJ260">
        <f t="shared" si="577"/>
        <v>0</v>
      </c>
      <c r="GK260" t="str">
        <f>IF(OR(AG260="",AG260="-"),"",IFERROR(VLOOKUP(AG260,Модули_спр,2,FALSE),"R"))</f>
        <v/>
      </c>
      <c r="GL260" t="str">
        <f>IF(GK260="","",GK260&amp;"."&amp;COUNTIFS(A$3:A260,A260,GK$3:GK260,GK260))</f>
        <v/>
      </c>
      <c r="GM260" t="str">
        <f t="shared" si="578"/>
        <v/>
      </c>
      <c r="GN260" t="str">
        <f t="shared" si="579"/>
        <v/>
      </c>
      <c r="GO260" t="str">
        <f t="shared" si="580"/>
        <v/>
      </c>
      <c r="GP260" t="str">
        <f t="shared" si="581"/>
        <v/>
      </c>
      <c r="GQ260">
        <f t="shared" si="582"/>
        <v>1</v>
      </c>
      <c r="GR260" t="str">
        <f>IF(GQ260=1,"XT"&amp;COUNTIFS(A$3:A260,A260,GQ$3:GQ260,1),"")</f>
        <v>XT36</v>
      </c>
      <c r="GS260" t="str">
        <f t="shared" si="583"/>
        <v>XT36</v>
      </c>
      <c r="GT260" t="str">
        <f t="shared" si="584"/>
        <v>QFD36</v>
      </c>
      <c r="GU260" t="str">
        <f t="shared" si="585"/>
        <v/>
      </c>
      <c r="GV260" t="str">
        <f t="shared" si="586"/>
        <v>ok</v>
      </c>
      <c r="GW260" t="str">
        <f>IF(OR(GO260="",GM260=""),"",IF(GO260&gt;IFERROR(VLOOKUP(GN260,Модули_спр,3,FALSE),99),"ЛИШНИЙ КАНАЛ",IF(AND(AH260&lt;&gt;"=",COUNTIFS(Линии[_модуль гр.],GM260,Линии[Канал (итог)],GO260,Линии[Канал],"&lt;&gt;=",Линии[Щит],A260)&gt;1),"ДУБЛЬ КАНАЛА","")))</f>
        <v/>
      </c>
      <c r="GX260" s="6" t="str">
        <f t="shared" si="587"/>
        <v/>
      </c>
      <c r="GY260">
        <f t="shared" si="588"/>
        <v>10</v>
      </c>
      <c r="GZ260" t="str">
        <f t="shared" si="589"/>
        <v/>
      </c>
      <c r="HA260" t="str">
        <f>IF(AND(B260="",GT260=""),"",_xlfn.TEXTJOIN("; ",TRUE,IF(AND(B260&lt;&gt;"",FE260=""),"нет фазы",""),IF(AND(B260&lt;&gt;"",N(FY260)=0,EQ260&lt;&gt;"Нет"),"нет мощности",""),IF(AND(GS260&lt;&gt;"",COUNTIFS(Линии[Щит],A260,Линии[Клемма (итог)],GS260)&gt;1),"дубль клеммы "&amp;GS260,""),IF(AND(GV260&lt;&gt;"",GV260&lt;&gt;"ok"),GV260,""),IF(GW260&lt;&gt;"",GW260,""),IF(AND(N(BV260)&gt;=4,N(BR260)=1),BV260&amp;" жил на 1 фазе",""),IF(AND(AX260="R",CA260=1,OR(N(CK260)=0,N(CK260)&gt;30)),"розетка без дифзащиты до 30 мА",""),IFERROR(IF(AND(ISNUMBER(R260),R260&gt;DV260),"потери "&amp;FIXED(R260,1)&amp;" % &gt; "&amp;DV260&amp;" %",""),""),IFERROR(IF(LEFT(GZ260,4)="мало","Iкз мало — отключение &gt; 0,4 с",""),""),IF(AND(B260&lt;&gt;"",BH260=""),"не на схеме",""),IF(AND(CA260=0,B260&lt;&gt;"",FE260&lt;&gt;"",IF(AW260=1,"",FF259)&lt;&gt;"",FE260&lt;&gt;IF(AW260=1,"",FF259)),"фаза не как у автомата группы ("&amp;IF(AW260=1,"",FF259)&amp;")","")))</f>
        <v/>
      </c>
      <c r="HB260" s="6">
        <f>IF(OR(CA260=0,DA260=""),"",_xlfn.LET(_xlpm.t,IFERROR(_xlfn.XLOOKUP(DA260,Каталог!$U$4:$U$500,Каталог!$G$4:$G$500),""),_xlpm.k,SEARCH("кА",_xlpm.t),IFERROR(--TRIM(RIGHT(SUBSTITUTE(MID(_xlpm.t,MAX(1,_xlpm.k-4),_xlpm.k-MAX(1,_xlpm.k-4))," ",REPT(" ",9)),5)),"")))</f>
        <v>6</v>
      </c>
      <c r="HC260" t="str">
        <f>IF(OR(HB260="",CA260=0),"",IF(_xlfn.XLOOKUP(A260,Щиты[Щит],Щиты[Iкз max на шинах, кА],"")="","",IF(HB260&lt;_xlfn.XLOOKUP(A260,Щиты[Щит],Щиты[Iкз max на шинах, кА]),"Icu "&amp;HB260&amp;" кА &lt; Iкз max","ok")))</f>
        <v/>
      </c>
      <c r="HD260" t="str">
        <f t="shared" si="590"/>
        <v/>
      </c>
      <c r="HE260" t="str">
        <f t="shared" si="591"/>
        <v>QFD36|XT36</v>
      </c>
      <c r="HF260" t="str">
        <f t="shared" si="592"/>
        <v>QFD36|XT36|кабель ВВГнг(А)-LS (3х2,5) → Розеточная группа, пом. 015A</v>
      </c>
      <c r="HG260" t="str" cm="1">
        <f t="array" ref="HG260">IF(HF260="","",_xlfn.LET(_xlpm.nd,_xlfn.TEXTSPLIT(HF260,"|"),IF(COLUMNS(_xlpm.nd)&gt;1,A260&amp;"¦"&amp;INDEX(_xlpm.nd,1)&amp;"¦"&amp;INDEX(_xlpm.nd,2),"")))</f>
        <v>ЩР-1¦QFD36¦XT36</v>
      </c>
      <c r="HH260" t="str">
        <f t="shared" si="593"/>
        <v>R.1.015A.1¦Розеточная группа, пом. 015A</v>
      </c>
      <c r="HI260" t="str" cm="1">
        <f t="array" ref="HI260">IF(HF260="","",_xlfn.LET(_xlpm.nd,_xlfn.TEXTSPLIT(HF260,"|"),IF(COLUMNS(_xlpm.nd)&gt;2,A260&amp;"¦"&amp;INDEX(_xlpm.nd,2)&amp;"¦"&amp;INDEX(_xlpm.nd,3),"")))</f>
        <v>ЩР-1¦XT36¦кабель ВВГнг(А)-LS (3х2,5) → Розеточная группа, пом. 015A</v>
      </c>
      <c r="HJ260" t="str">
        <f t="shared" si="594"/>
        <v>R.1.015A.1¦Розеточная группа, пом. 015A</v>
      </c>
      <c r="HK260" t="str" cm="1">
        <f t="array" ref="HK260">IF(HF260="","",_xlfn.LET(_xlpm.nd,_xlfn.TEXTSPLIT(HF260,"|"),IF(COLUMNS(_xlpm.nd)&gt;3,A260&amp;"¦"&amp;INDEX(_xlpm.nd,3)&amp;"¦"&amp;INDEX(_xlpm.nd,4),"")))</f>
        <v/>
      </c>
      <c r="HL260" t="str">
        <f t="shared" si="595"/>
        <v/>
      </c>
      <c r="HM260" t="str" cm="1">
        <f t="array" ref="HM260">IF(HF260="","",_xlfn.LET(_xlpm.nd,_xlfn.TEXTSPLIT(HF260,"|"),IF(COLUMNS(_xlpm.nd)&gt;4,A260&amp;"¦"&amp;INDEX(_xlpm.nd,4)&amp;"¦"&amp;INDEX(_xlpm.nd,5),"")))</f>
        <v/>
      </c>
      <c r="HN260" t="str">
        <f t="shared" si="596"/>
        <v/>
      </c>
      <c r="HO260" t="str" cm="1">
        <f t="array" ref="HO260">IF(HF260="","",_xlfn.LET(_xlpm.nd,_xlfn.TEXTSPLIT(HF260,"|"),IF(COLUMNS(_xlpm.nd)&gt;5,A260&amp;"¦"&amp;INDEX(_xlpm.nd,5)&amp;"¦"&amp;INDEX(_xlpm.nd,6),"")))</f>
        <v/>
      </c>
      <c r="HP260" t="str">
        <f t="shared" si="597"/>
        <v/>
      </c>
      <c r="HQ260" t="str" cm="1">
        <f t="array" ref="HQ260">IF(HF260="","",_xlfn.LET(_xlpm.nd,_xlfn.TEXTSPLIT(HF260,"|"),IF(COLUMNS(_xlpm.nd)&gt;6,A260&amp;"¦"&amp;INDEX(_xlpm.nd,6)&amp;"¦"&amp;INDEX(_xlpm.nd,7),"")))</f>
        <v/>
      </c>
      <c r="HR260" t="str">
        <f t="shared" si="598"/>
        <v/>
      </c>
      <c r="HS260" t="str">
        <f t="shared" si="599"/>
        <v/>
      </c>
      <c r="HT260" t="str">
        <f t="shared" si="600"/>
        <v>QFD36 → XT36</v>
      </c>
      <c r="HU260">
        <f t="shared" si="601"/>
        <v>0</v>
      </c>
      <c r="HV260">
        <f t="shared" si="602"/>
        <v>1</v>
      </c>
      <c r="HW260" t="str">
        <f t="shared" si="603"/>
        <v/>
      </c>
      <c r="HX260" t="str">
        <f t="shared" si="604"/>
        <v/>
      </c>
      <c r="HY260" t="str">
        <f t="shared" si="605"/>
        <v/>
      </c>
      <c r="HZ260" t="str">
        <f t="shared" si="606"/>
        <v/>
      </c>
      <c r="IA260" t="str">
        <f>IF(B260="","",IFERROR(VLOOKUP(B260,УГО_спр,2,FALSE),IFERROR(VLOOKUP(AX260,УГО_спр,2,FALSE),IFERROR(VLOOKUP(LEFT(AX260,2),УГО_спр,2,FALSE),""))))</f>
        <v>Розетка</v>
      </c>
      <c r="IB260" t="str">
        <f>IF(B260="","",IF(OR(IA260="",IA260=0),"BOX",IFERROR(IF(VLOOKUP(IA260,УГО_блоки,3,FALSE)&amp;""&lt;&gt;"",VLOOKUP(IA260,УГО_блоки,3,FALSE),VLOOKUP(IA260,УГО_блоки,2,FALSE)),IA260)))</f>
        <v>SOCKET</v>
      </c>
      <c r="IC260">
        <f t="shared" si="607"/>
        <v>1</v>
      </c>
      <c r="ID260" t="str">
        <f>IF(DA260="","",IF(COUNTIF(DA$3:DA260,DA260)=1,MAX(ID$2:ID259)+1,""))</f>
        <v/>
      </c>
      <c r="IE260" t="str">
        <f>IF(CO260="","",IF(COUNTIF(CO$3:CO260,CO260)+COUNTIF(CP$2:CP259,CO260)+COUNTIF(CQ$2:CQ259,CO260)=1,MAX(IE$2:IG259)+1,""))</f>
        <v/>
      </c>
      <c r="IF260" t="str">
        <f>IF(CP260="","",IF(COUNTIF(CO$3:CO260,CP260)+COUNTIF(CP$3:CP260,CP260)+COUNTIF(CQ$2:CQ259,CP260)=1,MAX(IE$2:IG259,IE260)+1,""))</f>
        <v/>
      </c>
      <c r="IG260" t="str">
        <f>IF(CQ260="","",IF(COUNTIF(CO$3:CO260,CQ260)+COUNTIF(CP$3:CP260,CQ260)+COUNTIF(CQ$3:CQ260,CQ260)=1,MAX(IE$2:IG259,IE260,IF260)+1,""))</f>
        <v/>
      </c>
      <c r="IH260" t="str">
        <f t="shared" si="608"/>
        <v>3х2,5</v>
      </c>
      <c r="II260" t="str">
        <f>IF(IH260="","",IF(COUNTIF(IH$3:IH260,IH260)=1,MAX(II$2:II259)+1,""))</f>
        <v/>
      </c>
      <c r="IJ260" t="str">
        <f>IF(GL260="","",COUNTIF(GL$3:GL260,"?*"))</f>
        <v/>
      </c>
      <c r="IK260" t="str">
        <f>IF(OR(GL260="",GN260=""),"",IF(COUNTIFS(GL$3:GL260,"?*",GN$3:GN260,GN260)=1,MAX(IK$2:IK259)+1,""))</f>
        <v/>
      </c>
      <c r="IL260">
        <f t="shared" si="609"/>
        <v>0</v>
      </c>
      <c r="IM260">
        <f>IF(B260="","",COUNTIF(B$3:B260,"?*"))</f>
        <v>258</v>
      </c>
      <c r="IN260">
        <f>IF(GQ260&lt;&gt;1,0,_xlfn.LET(_xlpm.k,MAX(IFERROR(--VLOOKUP(B260,УГО_спр,5,FALSE),0),IFERROR(--VLOOKUP(AX260,УГО_спр,5,FALSE),0),IFERROR(--VLOOKUP(LEFT(AX260,2),УГО_спр,5,FALSE),0)),IF(_xlpm.k&gt;0,_xlpm.k,IF(IFERROR(--LEFT(SUBSTITUTE(IH260,"x","х"),FIND("х",SUBSTITUTE(IH260,"x","х"))-1),3)&gt;3,Каталог!$S$9,1))))</f>
        <v>1</v>
      </c>
      <c r="IO260">
        <f t="shared" si="610"/>
        <v>0</v>
      </c>
      <c r="IP260" t="str">
        <f t="shared" si="611"/>
        <v>авто</v>
      </c>
      <c r="IQ260">
        <f t="shared" si="612"/>
        <v>30</v>
      </c>
      <c r="IR260">
        <f t="shared" si="613"/>
        <v>1</v>
      </c>
      <c r="IS260">
        <f t="shared" si="614"/>
        <v>1</v>
      </c>
    </row>
    <row r="261" spans="1:253" x14ac:dyDescent="0.3">
      <c r="A261" t="s">
        <v>759</v>
      </c>
      <c r="B261" t="s">
        <v>1526</v>
      </c>
      <c r="C261" t="str">
        <f>Линии[[#This Row],[_авто наименование]]</f>
        <v>Розеточная группа, пом. 016A</v>
      </c>
      <c r="D261">
        <v>3</v>
      </c>
      <c r="E261">
        <v>0.48</v>
      </c>
      <c r="G261" t="str">
        <f>Линии[[#This Row],[_авто автомат]]</f>
        <v>2P С16А 30мА</v>
      </c>
      <c r="H261">
        <f>Линии[[#This Row],[_авто утечка]]</f>
        <v>30</v>
      </c>
      <c r="I261" t="str">
        <f>Линии[[#This Row],[_авто управление]]</f>
        <v/>
      </c>
      <c r="J261" t="str">
        <f>Линии[[#This Row],[_авто аппараты]]</f>
        <v/>
      </c>
      <c r="K261">
        <v>2.5</v>
      </c>
      <c r="L261">
        <v>48</v>
      </c>
      <c r="M261">
        <v>2</v>
      </c>
      <c r="N261" t="str">
        <f>Линии[[#This Row],[_авто клемма]]</f>
        <v>XT37</v>
      </c>
      <c r="O261" t="str">
        <f t="shared" si="492"/>
        <v/>
      </c>
      <c r="P261" s="6" cm="1">
        <f t="array" ref="P261">IF(B261="","",IF(BC261&lt;&gt;"",IFERROR(_xlfn.XLOOKUP(BC261,Щиты[Щит],Щиты[Iр, А]),""),IF(BK261=1,IFERROR(_xlfn.XLOOKUP(A261,Щиты[Щит],Щиты[Iр, А]),""),IFERROR(_xlfn.IFS(BR261=1,BN261/((Uн_лин/SQRT(3))*BY261),BR261=3,BN261/(SQRT(3)*Uн_лин*BY261)),""))))</f>
        <v>2.1878536516659501</v>
      </c>
      <c r="Q261" s="7">
        <f>IF(B261="","",IFERROR(IF(VLOOKUP(AX261,Потребители_обозначение,4,FALSE)=1,VLOOKUP(AX261,Потребители_обозначение,3,FALSE)*(D261*2-1)+DS261+VLOOKUP(AZ261,Этаж_обозначение,3,FALSE)+VLOOKUP(AZ261,Этаж_обозначение,4,FALSE),VLOOKUP(AX261,Потребители_обозначение,3,FALSE)*(D261*2-1)+DS261),DS261))</f>
        <v>63</v>
      </c>
      <c r="R261" s="6">
        <f t="shared" si="493"/>
        <v>2.2199999999999998</v>
      </c>
      <c r="S261" t="str">
        <f t="shared" si="494"/>
        <v>ВВГнг(А)-LS (3х2,5)</v>
      </c>
      <c r="T261" t="str">
        <f>IF(BH261="","",IF(BI261="вводной узел","узел ","")&amp;"л."&amp;(INT((BH261-1)/Столбцов_на_лист)+1)&amp;" / "&amp;(MOD(BH261-1,Столбцов_на_лист)+1))</f>
        <v>л.4 / 7</v>
      </c>
      <c r="V261">
        <v>1</v>
      </c>
      <c r="W261">
        <v>230</v>
      </c>
      <c r="X261" t="s">
        <v>564</v>
      </c>
      <c r="AC261" t="s">
        <v>815</v>
      </c>
      <c r="AE261" t="s">
        <v>563</v>
      </c>
      <c r="AI261">
        <v>58</v>
      </c>
      <c r="AJ261" t="s">
        <v>11</v>
      </c>
      <c r="AK261">
        <v>3</v>
      </c>
      <c r="AM261">
        <v>20</v>
      </c>
      <c r="AN261">
        <v>25</v>
      </c>
      <c r="AO261">
        <v>18</v>
      </c>
      <c r="AW261" cm="1">
        <f t="array" ref="AW261">ROW()-ROW(Линии[#Headers])</f>
        <v>259</v>
      </c>
      <c r="AX261" s="6" t="str">
        <f t="shared" si="495"/>
        <v>R</v>
      </c>
      <c r="AY261" t="str">
        <f t="shared" si="496"/>
        <v>1.016A.1</v>
      </c>
      <c r="AZ261" t="str">
        <f t="shared" si="497"/>
        <v>1</v>
      </c>
      <c r="BA261" t="str">
        <f t="shared" si="498"/>
        <v>016A.1</v>
      </c>
      <c r="BB261" t="str">
        <f t="shared" si="499"/>
        <v>016A</v>
      </c>
      <c r="BC261" t="str">
        <f>IF(U261&lt;&gt;"",U261,IF(AND(B261&lt;&gt;"",B261&lt;&gt;A261,ISNUMBER(_xlfn.XMATCH(B261,Щиты[Щит]))),B261,""))</f>
        <v/>
      </c>
      <c r="BD261" t="str" cm="1">
        <f t="array" ref="BD261">IF(B261="","",IF(BC261&lt;&gt;"","Щит "&amp;BC261,_xlfn.LET(_xlpm.nm,IFERROR(_xlfn.XLOOKUP(AX261,Коды_код,Коды_имя)&amp;"",""),_xlpm.md,IFERROR(N(_xlfn.XLOOKUP(AX261,Коды_код,Коды_режим)),1),_xlpm.ex,IF(Имя_режим="по экспликации",IFERROR(_xlfn.XLOOKUP(AZ261&amp;"|"&amp;BB261,Экспликация[Этаж]&amp;"|"&amp;Экспликация[Помещение],Экспликация[Название])&amp;"",""),""),_xlpm.rm,IF(BB261="","",IF(_xlpm.ex&lt;&gt;"",". "&amp;_xlpm.ex&amp;IF(Имя_пом="нет"," ("&amp;BB261&amp;")"," (пом. "&amp;BB261&amp;")"),IF(Имя_пом="нет"," ",", пом. ")&amp;BB261)),IF(_xlpm.nm="","",IF(_xlpm.md=2,_xlpm.nm&amp;" шлейф "&amp;AZ261,_xlpm.nm&amp;_xlpm.rm)))))</f>
        <v>Розеточная группа, пом. 016A</v>
      </c>
      <c r="BE261" t="str">
        <f t="shared" si="500"/>
        <v>Розеточная группа, пом. 016A</v>
      </c>
      <c r="BF261">
        <f>IFERROR(_xlfn.XMATCH(A261,Щиты[Щит]),0)</f>
        <v>10</v>
      </c>
      <c r="BG261">
        <f>_xlfn.LET(_xlpm.k,IFERROR(_xlfn.XLOOKUP(A261,Щиты[Щит],Щиты[Листов под вводной узел]),""),IF(_xlpm.k="",1,N(_xlpm.k))*Столбцов_на_лист)</f>
        <v>17</v>
      </c>
      <c r="BH261">
        <f t="shared" si="501"/>
        <v>58</v>
      </c>
      <c r="BI261" t="str">
        <f t="shared" si="502"/>
        <v>линии</v>
      </c>
      <c r="BJ261" s="6">
        <f>IFERROR(N(_xlfn.XLOOKUP(AX261,Коды_код,Коды_квт)),0)</f>
        <v>0</v>
      </c>
      <c r="BK261">
        <f t="shared" si="503"/>
        <v>0</v>
      </c>
      <c r="BL261" t="str">
        <f>IF(B261="","",IF(BC261&lt;&gt;"",IFERROR(_xlfn.XLOOKUP(BC261,Щиты[Щит],Щиты[Руст, кВт]),0),IF(BK261=1,IFERROR(_xlfn.XLOOKUP(A261,Щиты[Щит],Щиты[Руст, кВт]),0),IF(BJ261&gt;0,ROUND(BJ261*MAX(1,N(D261)),3),""))))</f>
        <v/>
      </c>
      <c r="BM261">
        <f t="shared" si="504"/>
        <v>0.48</v>
      </c>
      <c r="BN261" s="6">
        <f>IF(B261="","",IF(BC261&lt;&gt;"",IFERROR(_xlfn.XLOOKUP(BC261,Щиты[Щит],Щиты[Руст, кВт]),0),N(BM261)))</f>
        <v>0.48</v>
      </c>
      <c r="BO261" t="str">
        <f>IF(B261="","",IFERROR(IF(VLOOKUP(AX261,Потребители_обозначение,8,FALSE)=0,"",VLOOKUP(AX261,Потребители_обозначение,8,FALSE)),""))</f>
        <v/>
      </c>
      <c r="BP261">
        <f t="shared" si="505"/>
        <v>230</v>
      </c>
      <c r="BQ261">
        <f>IF(B261="","",IF(BC261&lt;&gt;"",3,IFERROR(IF(N(VLOOKUP(AX261,Потребители_обозначение,9,FALSE))=0,1,VLOOKUP(AX261,Потребители_обозначение,9,FALSE)),1)))</f>
        <v>1</v>
      </c>
      <c r="BR261">
        <f t="shared" si="506"/>
        <v>1</v>
      </c>
      <c r="BS261" t="str">
        <f>IF(B261="","",_xlfn.LET(_xlpm.bc,IFERROR(IF(VLOOKUP(AX261,Потребители_обозначение,6,FALSE)=0,"",VLOOKUP(AX261,Потребители_обозначение,6,FALSE)&amp;""),""),IF(AND(FK261="да",OR(_xlpm.bc="",_xlpm.bc="мс")),Марка_пож,IF(AND(_xlpm.bc="",BC261&lt;&gt;""),"мс",_xlpm.bc))))</f>
        <v/>
      </c>
      <c r="BT261" t="str">
        <f t="shared" si="507"/>
        <v>мс</v>
      </c>
      <c r="BU261">
        <f>IF(B261="","",_xlfn.LET(_xlpm.cc,IFERROR(N(VLOOKUP(AX261,Потребители_обозначение,7,FALSE)),0),IF(_xlpm.cc&gt;0,_xlpm.cc,IF(BT261="","",IF(N(BR261)=3,5,3)))))</f>
        <v>3</v>
      </c>
      <c r="BV261">
        <f t="shared" si="508"/>
        <v>3</v>
      </c>
      <c r="BW261">
        <f>IFERROR(N(VLOOKUP(AX261,Потребители_обозначение,10,FALSE)),0)</f>
        <v>0</v>
      </c>
      <c r="BX261">
        <f>IFERROR(VLOOKUP(AX261,Потребители_обозначение,5,FALSE),0)</f>
        <v>1</v>
      </c>
      <c r="BY261" s="6" cm="1">
        <f t="array" ref="BY261">IF(B261="","",IF(BC261&lt;&gt;"",IFERROR(_xlfn.XLOOKUP(BC261,Щиты[Щит],Щиты[cos φ]),0.95),IF(BK261=1,IFERROR(_xlfn.XLOOKUP(A261,Щиты[Щит],Щиты[cos φ]),0.95),IF(ISNUMBER(Z261),Z261,IFERROR(IF(BX261=2,_xlfn.IFS(BR261=3,VLOOKUP(BN261,Справочная_двигатели,8,FALSE),BR261=1,VLOOKUP(BN261,Справочная_двигатели,10,TRUE)),IF(AND(Методика="нормы 2026",EQ261="Сил"),0.8,0.95)),0.95)))))</f>
        <v>0.95</v>
      </c>
      <c r="BZ261">
        <f t="shared" si="509"/>
        <v>0</v>
      </c>
      <c r="CA261">
        <f t="shared" si="510"/>
        <v>1</v>
      </c>
      <c r="CB261">
        <f t="shared" si="511"/>
        <v>0</v>
      </c>
      <c r="CC261">
        <f t="shared" si="512"/>
        <v>0</v>
      </c>
      <c r="CD261">
        <f t="shared" si="513"/>
        <v>0</v>
      </c>
      <c r="CE261">
        <f t="shared" si="514"/>
        <v>0</v>
      </c>
      <c r="CF261">
        <f t="shared" si="515"/>
        <v>0</v>
      </c>
      <c r="CG261">
        <f>IF(AX261="",0,_xlfn.LET(_xlpm.v,IFERROR(VLOOKUP(B261,УГО_спр,3,FALSE),IFERROR(VLOOKUP(AX261,УГО_спр,3,FALSE),IFERROR(VLOOKUP(LEFT(AX261,2),УГО_спр,3,FALSE),""))),IF(_xlpm.v="да",30,IF(ISNUMBER(_xlpm.v),_xlpm.v,0))))</f>
        <v>30</v>
      </c>
      <c r="CH261">
        <f t="shared" si="516"/>
        <v>30</v>
      </c>
      <c r="CI261" t="str">
        <f>_xlfn.LET(_xlpm.k,IFERROR(_xlfn.XLOOKUP(AX261,Коды_код,Коды_утечка)&amp;"",""),IF(_xlpm.k="","дифавтомат",_xlpm.k))</f>
        <v>дифавтомат</v>
      </c>
      <c r="CJ261">
        <f t="shared" si="517"/>
        <v>30</v>
      </c>
      <c r="CK261">
        <f t="shared" si="518"/>
        <v>30</v>
      </c>
      <c r="CL261">
        <f>IF(B261="",0,IFERROR(--VLOOKUP(B261,УГО_спр,4,FALSE),IFERROR(--VLOOKUP(AX261,УГО_спр,4,FALSE),IFERROR(--VLOOKUP(LEFT(AX261,2),УГО_спр,4,FALSE),0))))</f>
        <v>16</v>
      </c>
      <c r="CM261" t="str">
        <f>IF(B261="","",IFERROR(_xlfn.XLOOKUP(AX261,Коды_код,Коды_апп)&amp;"",""))</f>
        <v/>
      </c>
      <c r="CN261" t="str">
        <f t="shared" si="519"/>
        <v/>
      </c>
      <c r="CO261" t="str" cm="1">
        <f t="array" ref="CO261">IF(TRIM(CN261&amp;"")="","",IFERROR(TRIM(INDEX(_xlfn.TEXTSPLIT(CN261&amp;";;;",";"),1)),""))</f>
        <v/>
      </c>
      <c r="CP261" t="str" cm="1">
        <f t="array" ref="CP261">IF(TRIM(CN261&amp;"")="","",IFERROR(TRIM(INDEX(_xlfn.TEXTSPLIT(CN261&amp;";;;",";"),2)),""))</f>
        <v/>
      </c>
      <c r="CQ261" t="str" cm="1">
        <f t="array" ref="CQ261">IF(TRIM(CN261&amp;"")="","",IFERROR(TRIM(INDEX(_xlfn.TEXTSPLIT(CN261&amp;";;;",";"),3)),""))</f>
        <v/>
      </c>
      <c r="CR261">
        <f t="shared" si="520"/>
        <v>0</v>
      </c>
      <c r="CS261" t="str">
        <f>IF(B261="","",_xlfn.LET(_xlpm.t,LOWER(AV261&amp;""),IF(ISNUMBER(SEARCH("dim",_xlpm.t)),"DIM",IF(ISNUMBER(SEARCH("dali",_xlpm.t)),"DALI",IF(OR(ISNUMBER(SEARCH("relay",_xlpm.t)),ISNUMBER(SEARCH("реле",_xlpm.t))),"Relay",IF(ISNUMBER(SEARCH("кнопк",_xlpm.t)),"",IFERROR(_xlfn.XLOOKUP(AX261,Коды_код,Коды_упр)&amp;"","")))))))</f>
        <v/>
      </c>
      <c r="CT261" t="str">
        <f t="shared" si="521"/>
        <v/>
      </c>
      <c r="CU261">
        <f>IF(B261="","",_xlfn.LET(_xlpm.ig,N(P261)+IF(AF261="вручную",0,N(CB261)),_xlpm.n0,IFERROR(VLOOKUP(_xlpm.ig,Автомат_номиналы,2,TRUE),0),_xlpm.mn,MAX(CL261,IF(AF261="вручную",0,N(CE261))),MAX(_xlpm.n0,_xlpm.mn,IF(CR261=1,Мин_автомат_БП,0))))</f>
        <v>16</v>
      </c>
      <c r="CV261">
        <f t="shared" si="522"/>
        <v>1</v>
      </c>
      <c r="CW261" t="str">
        <f t="shared" si="523"/>
        <v>2P</v>
      </c>
      <c r="CX261" t="str">
        <f>_xlfn.LET(_xlpm.cc,UPPER(TRIM(IFERROR(_xlfn.XLOOKUP(AX261,Коды_код,Коды_хар)&amp;"",""))),IF(OR(_xlpm.cc="B",_xlpm.cc="В"),"B",IF(_xlpm.cc="D","D","С")))</f>
        <v>С</v>
      </c>
      <c r="CY261" t="str">
        <f t="shared" si="524"/>
        <v>2P С16А 30мА</v>
      </c>
      <c r="CZ261" t="str">
        <f t="shared" si="525"/>
        <v>2P С16А 30мА</v>
      </c>
      <c r="DA261" t="str">
        <f t="shared" si="526"/>
        <v>2P С16А 30мА</v>
      </c>
      <c r="DB261" cm="1">
        <f t="array" ref="DB261">IF(DA261="","",_xlfn.LET(_xlpm.t,SUBSTITUTE(SUBSTITUTE(SUBSTITUTE(UPPER(DA261),"С","C"),"А","A"),"В","B"),_xlpm.tk,_xlfn.TEXTSPLIT(_xlpm.t,"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1" t="str">
        <f t="shared" si="527"/>
        <v>ok</v>
      </c>
      <c r="DD261">
        <f t="shared" si="528"/>
        <v>16</v>
      </c>
      <c r="DE261" t="str">
        <f t="shared" si="529"/>
        <v>2P С16А 30мА</v>
      </c>
      <c r="DF261">
        <f t="shared" si="530"/>
        <v>30</v>
      </c>
      <c r="DG261">
        <f t="shared" si="531"/>
        <v>1</v>
      </c>
      <c r="DH261">
        <f t="shared" si="532"/>
        <v>0</v>
      </c>
      <c r="DI261">
        <f t="shared" si="533"/>
        <v>2.1878536516659501</v>
      </c>
      <c r="DJ261">
        <f t="shared" si="534"/>
        <v>1</v>
      </c>
      <c r="DK261">
        <f>IF(ISNUMBER(AL261),AL261,К_прокл)</f>
        <v>1</v>
      </c>
      <c r="DL261">
        <f t="shared" si="535"/>
        <v>2</v>
      </c>
      <c r="DM261">
        <f>IFERROR(N(VLOOKUP(BT261,Кабель_обозначение,3,FALSE)),1)</f>
        <v>1</v>
      </c>
      <c r="DN261">
        <f>IFERROR(N(_xlfn.XLOOKUP(A261,Щиты[Щит],Щиты[ΔU до шин, %])),0)</f>
        <v>1.19</v>
      </c>
      <c r="DO261" t="str">
        <f>IFERROR(_xlfn.XLOOKUP(A261,Щиты[Щит],Щиты[Zпетли на шинах, Ом]),"")</f>
        <v/>
      </c>
      <c r="DP261">
        <f>IFERROR(N(_xlfn.XLOOKUP(A261,Щиты[Щит],Щиты[ΔU до шин (подбор), %])),0)</f>
        <v>1.19</v>
      </c>
      <c r="DQ261" t="str">
        <f>IFERROR(_xlfn.XLOOKUP(A261,Щиты[Щит],Щиты[Zпетли на шинах (подбор), Ом]),"")</f>
        <v/>
      </c>
      <c r="DR261" t="str">
        <f t="shared" si="536"/>
        <v/>
      </c>
      <c r="DS261">
        <f t="shared" si="537"/>
        <v>48</v>
      </c>
      <c r="DT261">
        <f t="shared" si="538"/>
        <v>2</v>
      </c>
      <c r="DU261">
        <f t="shared" si="539"/>
        <v>0.31</v>
      </c>
      <c r="DV261" s="6">
        <f>IF(B261="","",IF(IFERROR(VLOOKUP(AX261,УГО_спр,2,FALSE),"")="Светильник",3,4)+IF(Методика="нормы 2026",MIN(0.5,MAX(0,N(Q261)-100)*0.005),0))</f>
        <v>4</v>
      </c>
      <c r="DW261" cm="1">
        <f t="array" ref="DW261">IF(OR(B261="",BT261="",DM261&lt;&gt;1),"",_xlfn.LET(_xlpm.sz,Iдоп_S,_xlpm.t_,CHOOSE(DL261,Iдоп_1ж,Iдоп_2ж,Iдоп_3ж)*DJ261*DK261,_xlpm.inn,N(DD261),_xlpm.smin,MAX(1.5,BW261),_xlpm.L_,N(Q261)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261)*(_xlpm.rho*_xlpm.L_/_xlpm.sz*N(BY261)+_xlpm.xx*_xlpm.L_*N(DU261)/1000)*N(P261)/((Uн_лин/SQRT(3))*1000)*100,999),_xlpm.kz,IF(OR(DG261=1,NOT(ISNUMBER(DQ261)),_xlpm.L_=0,_xlpm.inn=0),1,IFERROR(--(c_min*(Uн_лин*1000/SQRT(3))/(DQ261+2*ρкз_Cu*_xlpm.L_/_xlpm.sz)&gt;=GY261*_xlpm.inn),0)),_xlpm.ok,IFERROR((_xlpm.sz&gt;=_xlpm.smin)*(_xlpm.t_&gt;=_xlpm.inn)*IF(_xlpm.L_&gt;0,(_xlpm.du_+DP261&lt;=DV261+0.00001),1)*_xlpm.kz,0),_xlpm.r_,_xlfn._xlws.FILTER(_xlpm.sz,_xlpm.ok,"не подобрано"),INDEX(_xlpm.r_,1)))</f>
        <v>1.5</v>
      </c>
      <c r="DX261">
        <f t="shared" si="540"/>
        <v>2.5</v>
      </c>
      <c r="DY261" cm="1">
        <f t="array" ref="DY261">IF(OR(B261="",BT261="",DM261&lt;&gt;1),"",_xlfn.LET(_xlpm.sz,Iдоп_S,_xlpm.t_,CHOOSE(DL261,Iдоп_1ж,Iдоп_2ж,Iдоп_3ж)*DJ261*DK261,_xlpm.ok,IFERROR((_xlpm.sz&gt;=MAX(1.5,BW261))*(_xlpm.t_&gt;=N(DD261)),0),_xlpm.r_,_xlfn._xlws.FILTER(_xlpm.sz,_xlpm.ok,""),INDEX(_xlpm.r_,1)))</f>
        <v>1.5</v>
      </c>
      <c r="DZ261" s="6" cm="1">
        <f t="array" ref="DZ261">IFERROR(ROUNDUP(N(DT261)*(_xlfn.XLOOKUP(DY261,INDEX(Кабель_сопротивление,0,1),INDEX(Кабель_сопротивление,0,3))*N(Q261)/DY261*N(BY261)+_xlfn.XLOOKUP(DY261,INDEX(Кабель_сопротивление,0,1),INDEX(Кабель_сопротивление,0,2))*N(Q261)*N(DU261)/1000)*N(P261)/((Uн_лин/SQRT(3))*1000)*100,2),"")</f>
        <v>1.71</v>
      </c>
      <c r="EA261">
        <f>IFERROR(2*ρкз_Cu*N(Q261)/DY261,"")</f>
        <v>2.2092000000000001</v>
      </c>
      <c r="EB261">
        <f>IFERROR(VLOOKUP(DX261,Кабель_сопротивление,3,FALSE),"")</f>
        <v>2.2499999999999999E-2</v>
      </c>
      <c r="EC261">
        <f>IFERROR(VLOOKUP(DX261,Кабель_сопротивление,2,FALSE),"")</f>
        <v>0.1</v>
      </c>
      <c r="ED261">
        <f t="shared" si="541"/>
        <v>25</v>
      </c>
      <c r="EE261">
        <f t="shared" si="542"/>
        <v>18</v>
      </c>
      <c r="EF261">
        <f t="shared" si="543"/>
        <v>2.365520495303135</v>
      </c>
      <c r="EG261" s="6">
        <f>IFERROR(ROUNDUP(EF261/((Uн_лин/SQRT(3))*1000)*100,2),"")</f>
        <v>1.03</v>
      </c>
      <c r="EH261" t="str">
        <f>IFERROR(VLOOKUP(BT261,Кабель_обозначение,2,FALSE),"")</f>
        <v>ВВГнг(А)-LS</v>
      </c>
      <c r="EI261" t="str">
        <f t="shared" si="544"/>
        <v>ВВГнг(А)-LS (3х2,5)</v>
      </c>
      <c r="EJ261" t="str">
        <f t="shared" si="545"/>
        <v>ВВГнг(А)-LS (3х2,5)
L=63-1,03%</v>
      </c>
      <c r="EK261">
        <f>IFERROR(2*ρкз_Cu*Q261/DX261,"")</f>
        <v>1.32552</v>
      </c>
      <c r="EL261">
        <f t="shared" si="546"/>
        <v>0.441</v>
      </c>
      <c r="EM261" s="6" t="str">
        <f>IFERROR(IF(OR(B261="",NOT(ISNUMBER(DX261)),N(Q261)=0),"",_xlfn.XLOOKUP(A261,Щиты[Щит],Щиты[Zпетли на шинах, Ом])+EK261),"")</f>
        <v/>
      </c>
      <c r="EN261" s="6" t="str">
        <f>IF(ISNUMBER(EM261),c_min*(Uн_лин*1000/SQRT(3))/EM261,"")</f>
        <v/>
      </c>
      <c r="EO261" s="6" t="str">
        <f>IFERROR(IF(OR(B261="",NOT(ISNUMBER(DX261))),"",1.05*(Uн_лин*1000/SQRT(3))/(_xlfn.XLOOKUP(A261,Щиты[Щит],Щиты[Zmax на шинах, Ом])+EL261)/1000),"")</f>
        <v/>
      </c>
      <c r="EP261" s="6" t="str">
        <f>IF(B261="","",IF(ISNUMBER(Y261),"Сил",IF(IFERROR(_xlfn.XLOOKUP(AX261,Коды_код,Коды_группа)&amp;"","")="","Быт",_xlfn.XLOOKUP(AX261,Коды_код,Коды_группа)&amp;"")))</f>
        <v>Быт</v>
      </c>
      <c r="EQ261" s="6" t="str">
        <f t="shared" si="547"/>
        <v>Быт</v>
      </c>
      <c r="ER261" s="6">
        <f>IF(EQ261="Щит","щит",IF(EQ261="","",IF(EQ261="Быт",IFERROR(_xlfn.XLOOKUP(A261,Щиты[Щит],Щиты[Кс быт]),1),IF(EQ261="Сил",IF(ISNUMBER(Y261),Y261,IF(Методика="нормы 2026",IFERROR(_xlfn.XLOOKUP(A261,Щиты[Щит],Щиты[Кс силовых (табл. 7.5)]),1),1)),IF(OR(EQ261="Пост",EQ261="Отоп"),1,IF(EQ261="ВНГ",0.7,0))))))</f>
        <v>0.57830000000000004</v>
      </c>
      <c r="ES261">
        <f t="shared" si="548"/>
        <v>1</v>
      </c>
      <c r="ET261">
        <f t="shared" si="549"/>
        <v>0.48</v>
      </c>
      <c r="EU261">
        <f t="shared" si="550"/>
        <v>0.48</v>
      </c>
      <c r="EV261">
        <f t="shared" si="551"/>
        <v>0</v>
      </c>
      <c r="EW261">
        <f t="shared" si="552"/>
        <v>0</v>
      </c>
      <c r="EX261">
        <f t="shared" si="553"/>
        <v>0</v>
      </c>
      <c r="EY261">
        <f t="shared" si="554"/>
        <v>0</v>
      </c>
      <c r="EZ261">
        <f t="shared" si="555"/>
        <v>0.48</v>
      </c>
      <c r="FA261">
        <f t="shared" si="556"/>
        <v>0.45599999999999996</v>
      </c>
      <c r="FB261">
        <f t="shared" si="557"/>
        <v>0.48</v>
      </c>
      <c r="FC261" t="str">
        <f t="shared" si="558"/>
        <v>L2</v>
      </c>
      <c r="FD261" t="str">
        <f>IF(B261="","",IF(CA261=0,IF(AW261=1,"",FF260),IF(OR(N(CV261)&gt;=3,N(BR261)&gt;=3),"L1,L2,L3",IFERROR(_xlfn.TEXTBEFORE(_xlfn.TEXTAFTER(_xlfn.XLOOKUP(A261,Щиты[Щит],Щиты[_фазы авто]),";"&amp;AW261&amp;":"),";"),"L1"))))</f>
        <v>L1</v>
      </c>
      <c r="FE261" t="str">
        <f t="shared" si="559"/>
        <v>L2</v>
      </c>
      <c r="FF261" t="str">
        <f t="shared" si="560"/>
        <v>L2</v>
      </c>
      <c r="FG261" cm="1">
        <f t="array" ref="FG261">IFERROR(IF(BX261=2,_xlfn.IFS(BR261=3,VLOOKUP(BN261,Справочная_двигатели,3,FALSE),BR261=1,VLOOKUP(BN261,Справочная_двигатели,5,TRUE)),0),0)</f>
        <v>0</v>
      </c>
      <c r="FH261">
        <f>IFERROR(IF(BX261=3,VLOOKUP(BN261,Справочная_ЛЭД,2,TRUE),0),0)</f>
        <v>0</v>
      </c>
      <c r="FI261" s="6">
        <f t="shared" si="561"/>
        <v>0</v>
      </c>
      <c r="FJ261" t="str" cm="1">
        <f t="array" ref="FJ261">IF(B261="","",IFERROR(INDEX({"I особая","I","II","III"},MATCH(TRIM(AC261&amp;""),{"I особая","I","II","III"},0)),"III"))</f>
        <v>II</v>
      </c>
      <c r="FK261" t="str">
        <f>IF(B261="","",IF(TRIM(AD261&amp;"")&lt;&gt;"",IF(LOWER(TRIM(AD261&amp;""))="да","да","нет"),IF(IFERROR(_xlfn.XLOOKUP(AX261,Коды_код,Коды_пожарная),"")="да","да","нет")))</f>
        <v>нет</v>
      </c>
      <c r="FL261" t="str">
        <f t="shared" si="562"/>
        <v/>
      </c>
      <c r="FM261" t="str">
        <f t="shared" si="563"/>
        <v>основная</v>
      </c>
      <c r="FN261">
        <f t="shared" si="564"/>
        <v>1</v>
      </c>
      <c r="FO261" t="str" cm="1">
        <f t="array" ref="FO261">IF(B261="","",_xlfn.LET(_xlpm.t,IFERROR(_xlfn.XLOOKUP(1,(Шины[Шина]=FM261)*(((Шины[Щит]=A261)+(Шины[Щит]=""))&gt;0),Шины[Тип]),"")&amp;"",IF(_xlpm.t&lt;&gt;"",_xlpm.t,IF(ISNUMBER(SEARCH("ИБП",FM261)),"ИБП",IF(ISNUMBER(SEARCH("ДГУ",FM261)),"ДГУ","Ввод "&amp;FN261)))))</f>
        <v>Ввод 1</v>
      </c>
      <c r="FP261" t="str">
        <f t="shared" si="565"/>
        <v>Ввод 1</v>
      </c>
      <c r="FQ261" t="str">
        <f>IF(B261="","",IF(OR(FO261="ИБП",FO261="ДГУ"),"I особая",IF(FO261="Одиночная","III",_xlfn.XLOOKUP(A261,Щиты[Щит],Щиты[Категория шины «Ввод»],"III"))))</f>
        <v>II</v>
      </c>
      <c r="FR261">
        <f>IF(B261="",0,IFERROR(MATCH(FJ261,{"III","II","I","I особая"},0),1))</f>
        <v>2</v>
      </c>
      <c r="FS261">
        <f t="shared" si="566"/>
        <v>2</v>
      </c>
      <c r="FT261" t="str">
        <f>IF(B261="","",IF(FR261&gt;IFERROR(MATCH(FQ261,{"III","II","I","I особая"},0),1),"НЕ ОБЕСПЕЧЕНА","ОК"))</f>
        <v>ОК</v>
      </c>
      <c r="FU261" t="str">
        <f>IF(A261="","",_xlfn.XLOOKUP(A261,Щиты[Щит],Щиты[Путь],""))</f>
        <v>|ГРЩ-ЖД|ЩР-1|</v>
      </c>
      <c r="FV261" t="str">
        <f>IF(B261="","",IF(AE261&lt;&gt;"",AE261,IF(IFERROR(_xlfn.XLOOKUP(AX261,Коды_код,Коды_вид)&amp;"","")="","Прочее",_xlfn.XLOOKUP(AX261,Коды_код,Коды_вид)&amp;"")))</f>
        <v>Розеточная сеть и бытовые приборы</v>
      </c>
      <c r="FW261">
        <f>IF(BH261="","",INT((BH261-1)/Столбцов_на_лист)+1)</f>
        <v>4</v>
      </c>
      <c r="FX261" t="str">
        <f t="shared" si="567"/>
        <v>ВВГнг(А)-LS (3х2,5) L=63-1,03%</v>
      </c>
      <c r="FY261">
        <f t="shared" si="568"/>
        <v>0.48</v>
      </c>
      <c r="FZ261">
        <f t="shared" si="569"/>
        <v>2.19</v>
      </c>
      <c r="GA261">
        <f t="shared" si="570"/>
        <v>1</v>
      </c>
      <c r="GB261">
        <f t="shared" si="571"/>
        <v>0</v>
      </c>
      <c r="GC261">
        <f t="shared" si="572"/>
        <v>1</v>
      </c>
      <c r="GD261">
        <f>IF(BH261="","",IF(AND(CA261=1,GC261=1),COUNTIFS(A$3:A261,A261,CA$3:CA261,1,GC$3:GC261,1),IF(OR(OR(AW261=1,A261&lt;&gt;A260),AF261="вручную",GC261=0),"",IF(AW261=1,"",GE260))))</f>
        <v>37</v>
      </c>
      <c r="GE261">
        <f t="shared" si="573"/>
        <v>37</v>
      </c>
      <c r="GF261">
        <f>IF(B261="","",IFERROR(LOOKUP(INDEX(CHOOSE(DL261,Iдоп_1ж,Iдоп_2ж,Iдоп_3ж),MATCH(DX261,Iдоп_S,0))*DJ261*DK261,{6,10,16,20,25,32,40,50,63,80,100,125,160,200,250,315,400,500,630}),""))</f>
        <v>25</v>
      </c>
      <c r="GG261" t="str">
        <f t="shared" si="574"/>
        <v>QFD37</v>
      </c>
      <c r="GH261" t="str">
        <f t="shared" si="575"/>
        <v>QFD37</v>
      </c>
      <c r="GI261" t="str">
        <f t="shared" si="576"/>
        <v/>
      </c>
      <c r="GJ261">
        <f t="shared" si="577"/>
        <v>0</v>
      </c>
      <c r="GK261" t="str">
        <f>IF(OR(AG261="",AG261="-"),"",IFERROR(VLOOKUP(AG261,Модули_спр,2,FALSE),"R"))</f>
        <v/>
      </c>
      <c r="GL261" t="str">
        <f>IF(GK261="","",GK261&amp;"."&amp;COUNTIFS(A$3:A261,A261,GK$3:GK261,GK261))</f>
        <v/>
      </c>
      <c r="GM261" t="str">
        <f t="shared" si="578"/>
        <v/>
      </c>
      <c r="GN261" t="str">
        <f t="shared" si="579"/>
        <v/>
      </c>
      <c r="GO261" t="str">
        <f t="shared" si="580"/>
        <v/>
      </c>
      <c r="GP261" t="str">
        <f t="shared" si="581"/>
        <v/>
      </c>
      <c r="GQ261">
        <f t="shared" si="582"/>
        <v>1</v>
      </c>
      <c r="GR261" t="str">
        <f>IF(GQ261=1,"XT"&amp;COUNTIFS(A$3:A261,A261,GQ$3:GQ261,1),"")</f>
        <v>XT37</v>
      </c>
      <c r="GS261" t="str">
        <f t="shared" si="583"/>
        <v>XT37</v>
      </c>
      <c r="GT261" t="str">
        <f t="shared" si="584"/>
        <v>QFD37</v>
      </c>
      <c r="GU261" t="str">
        <f t="shared" si="585"/>
        <v/>
      </c>
      <c r="GV261" t="str">
        <f t="shared" si="586"/>
        <v>ok</v>
      </c>
      <c r="GW261" t="str">
        <f>IF(OR(GO261="",GM261=""),"",IF(GO261&gt;IFERROR(VLOOKUP(GN261,Модули_спр,3,FALSE),99),"ЛИШНИЙ КАНАЛ",IF(AND(AH261&lt;&gt;"=",COUNTIFS(Линии[_модуль гр.],GM261,Линии[Канал (итог)],GO261,Линии[Канал],"&lt;&gt;=",Линии[Щит],A261)&gt;1),"ДУБЛЬ КАНАЛА","")))</f>
        <v/>
      </c>
      <c r="GX261" s="6" t="str">
        <f t="shared" si="587"/>
        <v/>
      </c>
      <c r="GY261">
        <f t="shared" si="588"/>
        <v>10</v>
      </c>
      <c r="GZ261" t="str">
        <f t="shared" si="589"/>
        <v/>
      </c>
      <c r="HA261" t="str">
        <f>IF(AND(B261="",GT261=""),"",_xlfn.TEXTJOIN("; ",TRUE,IF(AND(B261&lt;&gt;"",FE261=""),"нет фазы",""),IF(AND(B261&lt;&gt;"",N(FY261)=0,EQ261&lt;&gt;"Нет"),"нет мощности",""),IF(AND(GS261&lt;&gt;"",COUNTIFS(Линии[Щит],A261,Линии[Клемма (итог)],GS261)&gt;1),"дубль клеммы "&amp;GS261,""),IF(AND(GV261&lt;&gt;"",GV261&lt;&gt;"ok"),GV261,""),IF(GW261&lt;&gt;"",GW261,""),IF(AND(N(BV261)&gt;=4,N(BR261)=1),BV261&amp;" жил на 1 фазе",""),IF(AND(AX261="R",CA261=1,OR(N(CK261)=0,N(CK261)&gt;30)),"розетка без дифзащиты до 30 мА",""),IFERROR(IF(AND(ISNUMBER(R261),R261&gt;DV261),"потери "&amp;FIXED(R261,1)&amp;" % &gt; "&amp;DV261&amp;" %",""),""),IFERROR(IF(LEFT(GZ261,4)="мало","Iкз мало — отключение &gt; 0,4 с",""),""),IF(AND(B261&lt;&gt;"",BH261=""),"не на схеме",""),IF(AND(CA261=0,B261&lt;&gt;"",FE261&lt;&gt;"",IF(AW261=1,"",FF260)&lt;&gt;"",FE261&lt;&gt;IF(AW261=1,"",FF260)),"фаза не как у автомата группы ("&amp;IF(AW261=1,"",FF260)&amp;")","")))</f>
        <v/>
      </c>
      <c r="HB261" s="6">
        <f>IF(OR(CA261=0,DA261=""),"",_xlfn.LET(_xlpm.t,IFERROR(_xlfn.XLOOKUP(DA261,Каталог!$U$4:$U$500,Каталог!$G$4:$G$500),""),_xlpm.k,SEARCH("кА",_xlpm.t),IFERROR(--TRIM(RIGHT(SUBSTITUTE(MID(_xlpm.t,MAX(1,_xlpm.k-4),_xlpm.k-MAX(1,_xlpm.k-4))," ",REPT(" ",9)),5)),"")))</f>
        <v>6</v>
      </c>
      <c r="HC261" t="str">
        <f>IF(OR(HB261="",CA261=0),"",IF(_xlfn.XLOOKUP(A261,Щиты[Щит],Щиты[Iкз max на шинах, кА],"")="","",IF(HB261&lt;_xlfn.XLOOKUP(A261,Щиты[Щит],Щиты[Iкз max на шинах, кА]),"Icu "&amp;HB261&amp;" кА &lt; Iкз max","ok")))</f>
        <v/>
      </c>
      <c r="HD261" t="str">
        <f t="shared" si="590"/>
        <v/>
      </c>
      <c r="HE261" t="str">
        <f t="shared" si="591"/>
        <v>QFD37|XT37</v>
      </c>
      <c r="HF261" t="str">
        <f t="shared" si="592"/>
        <v>QFD37|XT37|кабель ВВГнг(А)-LS (3х2,5) → Розеточная группа, пом. 016A</v>
      </c>
      <c r="HG261" t="str" cm="1">
        <f t="array" ref="HG261">IF(HF261="","",_xlfn.LET(_xlpm.nd,_xlfn.TEXTSPLIT(HF261,"|"),IF(COLUMNS(_xlpm.nd)&gt;1,A261&amp;"¦"&amp;INDEX(_xlpm.nd,1)&amp;"¦"&amp;INDEX(_xlpm.nd,2),"")))</f>
        <v>ЩР-1¦QFD37¦XT37</v>
      </c>
      <c r="HH261" t="str">
        <f t="shared" si="593"/>
        <v>R.1.016A.1¦Розеточная группа, пом. 016A</v>
      </c>
      <c r="HI261" t="str" cm="1">
        <f t="array" ref="HI261">IF(HF261="","",_xlfn.LET(_xlpm.nd,_xlfn.TEXTSPLIT(HF261,"|"),IF(COLUMNS(_xlpm.nd)&gt;2,A261&amp;"¦"&amp;INDEX(_xlpm.nd,2)&amp;"¦"&amp;INDEX(_xlpm.nd,3),"")))</f>
        <v>ЩР-1¦XT37¦кабель ВВГнг(А)-LS (3х2,5) → Розеточная группа, пом. 016A</v>
      </c>
      <c r="HJ261" t="str">
        <f t="shared" si="594"/>
        <v>R.1.016A.1¦Розеточная группа, пом. 016A</v>
      </c>
      <c r="HK261" t="str" cm="1">
        <f t="array" ref="HK261">IF(HF261="","",_xlfn.LET(_xlpm.nd,_xlfn.TEXTSPLIT(HF261,"|"),IF(COLUMNS(_xlpm.nd)&gt;3,A261&amp;"¦"&amp;INDEX(_xlpm.nd,3)&amp;"¦"&amp;INDEX(_xlpm.nd,4),"")))</f>
        <v/>
      </c>
      <c r="HL261" t="str">
        <f t="shared" si="595"/>
        <v/>
      </c>
      <c r="HM261" t="str" cm="1">
        <f t="array" ref="HM261">IF(HF261="","",_xlfn.LET(_xlpm.nd,_xlfn.TEXTSPLIT(HF261,"|"),IF(COLUMNS(_xlpm.nd)&gt;4,A261&amp;"¦"&amp;INDEX(_xlpm.nd,4)&amp;"¦"&amp;INDEX(_xlpm.nd,5),"")))</f>
        <v/>
      </c>
      <c r="HN261" t="str">
        <f t="shared" si="596"/>
        <v/>
      </c>
      <c r="HO261" t="str" cm="1">
        <f t="array" ref="HO261">IF(HF261="","",_xlfn.LET(_xlpm.nd,_xlfn.TEXTSPLIT(HF261,"|"),IF(COLUMNS(_xlpm.nd)&gt;5,A261&amp;"¦"&amp;INDEX(_xlpm.nd,5)&amp;"¦"&amp;INDEX(_xlpm.nd,6),"")))</f>
        <v/>
      </c>
      <c r="HP261" t="str">
        <f t="shared" si="597"/>
        <v/>
      </c>
      <c r="HQ261" t="str" cm="1">
        <f t="array" ref="HQ261">IF(HF261="","",_xlfn.LET(_xlpm.nd,_xlfn.TEXTSPLIT(HF261,"|"),IF(COLUMNS(_xlpm.nd)&gt;6,A261&amp;"¦"&amp;INDEX(_xlpm.nd,6)&amp;"¦"&amp;INDEX(_xlpm.nd,7),"")))</f>
        <v/>
      </c>
      <c r="HR261" t="str">
        <f t="shared" si="598"/>
        <v/>
      </c>
      <c r="HS261" t="str">
        <f t="shared" si="599"/>
        <v/>
      </c>
      <c r="HT261" t="str">
        <f t="shared" si="600"/>
        <v>QFD37 → XT37</v>
      </c>
      <c r="HU261">
        <f t="shared" si="601"/>
        <v>0</v>
      </c>
      <c r="HV261">
        <f t="shared" si="602"/>
        <v>1</v>
      </c>
      <c r="HW261" t="str">
        <f t="shared" si="603"/>
        <v/>
      </c>
      <c r="HX261" t="str">
        <f t="shared" si="604"/>
        <v/>
      </c>
      <c r="HY261" t="str">
        <f t="shared" si="605"/>
        <v/>
      </c>
      <c r="HZ261" t="str">
        <f t="shared" si="606"/>
        <v/>
      </c>
      <c r="IA261" t="str">
        <f>IF(B261="","",IFERROR(VLOOKUP(B261,УГО_спр,2,FALSE),IFERROR(VLOOKUP(AX261,УГО_спр,2,FALSE),IFERROR(VLOOKUP(LEFT(AX261,2),УГО_спр,2,FALSE),""))))</f>
        <v>Розетка</v>
      </c>
      <c r="IB261" t="str">
        <f>IF(B261="","",IF(OR(IA261="",IA261=0),"BOX",IFERROR(IF(VLOOKUP(IA261,УГО_блоки,3,FALSE)&amp;""&lt;&gt;"",VLOOKUP(IA261,УГО_блоки,3,FALSE),VLOOKUP(IA261,УГО_блоки,2,FALSE)),IA261)))</f>
        <v>SOCKET</v>
      </c>
      <c r="IC261">
        <f t="shared" si="607"/>
        <v>1</v>
      </c>
      <c r="ID261" t="str">
        <f>IF(DA261="","",IF(COUNTIF(DA$3:DA261,DA261)=1,MAX(ID$2:ID260)+1,""))</f>
        <v/>
      </c>
      <c r="IE261" t="str">
        <f>IF(CO261="","",IF(COUNTIF(CO$3:CO261,CO261)+COUNTIF(CP$2:CP260,CO261)+COUNTIF(CQ$2:CQ260,CO261)=1,MAX(IE$2:IG260)+1,""))</f>
        <v/>
      </c>
      <c r="IF261" t="str">
        <f>IF(CP261="","",IF(COUNTIF(CO$3:CO261,CP261)+COUNTIF(CP$3:CP261,CP261)+COUNTIF(CQ$2:CQ260,CP261)=1,MAX(IE$2:IG260,IE261)+1,""))</f>
        <v/>
      </c>
      <c r="IG261" t="str">
        <f>IF(CQ261="","",IF(COUNTIF(CO$3:CO261,CQ261)+COUNTIF(CP$3:CP261,CQ261)+COUNTIF(CQ$3:CQ261,CQ261)=1,MAX(IE$2:IG260,IE261,IF261)+1,""))</f>
        <v/>
      </c>
      <c r="IH261" t="str">
        <f t="shared" si="608"/>
        <v>3х2,5</v>
      </c>
      <c r="II261" t="str">
        <f>IF(IH261="","",IF(COUNTIF(IH$3:IH261,IH261)=1,MAX(II$2:II260)+1,""))</f>
        <v/>
      </c>
      <c r="IJ261" t="str">
        <f>IF(GL261="","",COUNTIF(GL$3:GL261,"?*"))</f>
        <v/>
      </c>
      <c r="IK261" t="str">
        <f>IF(OR(GL261="",GN261=""),"",IF(COUNTIFS(GL$3:GL261,"?*",GN$3:GN261,GN261)=1,MAX(IK$2:IK260)+1,""))</f>
        <v/>
      </c>
      <c r="IL261">
        <f t="shared" si="609"/>
        <v>0</v>
      </c>
      <c r="IM261">
        <f>IF(B261="","",COUNTIF(B$3:B261,"?*"))</f>
        <v>259</v>
      </c>
      <c r="IN261">
        <f>IF(GQ261&lt;&gt;1,0,_xlfn.LET(_xlpm.k,MAX(IFERROR(--VLOOKUP(B261,УГО_спр,5,FALSE),0),IFERROR(--VLOOKUP(AX261,УГО_спр,5,FALSE),0),IFERROR(--VLOOKUP(LEFT(AX261,2),УГО_спр,5,FALSE),0)),IF(_xlpm.k&gt;0,_xlpm.k,IF(IFERROR(--LEFT(SUBSTITUTE(IH261,"x","х"),FIND("х",SUBSTITUTE(IH261,"x","х"))-1),3)&gt;3,Каталог!$S$9,1))))</f>
        <v>1</v>
      </c>
      <c r="IO261">
        <f t="shared" si="610"/>
        <v>0</v>
      </c>
      <c r="IP261" t="str">
        <f t="shared" si="611"/>
        <v>авто</v>
      </c>
      <c r="IQ261">
        <f t="shared" si="612"/>
        <v>30</v>
      </c>
      <c r="IR261">
        <f t="shared" si="613"/>
        <v>1</v>
      </c>
      <c r="IS261">
        <f t="shared" si="614"/>
        <v>1</v>
      </c>
    </row>
    <row r="262" spans="1:253" x14ac:dyDescent="0.3">
      <c r="A262" t="s">
        <v>759</v>
      </c>
      <c r="B262" t="s">
        <v>1527</v>
      </c>
      <c r="C262" t="str">
        <f>Линии[[#This Row],[_авто наименование]]</f>
        <v>Розеточная группа, пом. 017A</v>
      </c>
      <c r="D262">
        <v>2</v>
      </c>
      <c r="E262">
        <v>0.24</v>
      </c>
      <c r="G262" t="str">
        <f>Линии[[#This Row],[_авто автомат]]</f>
        <v>2P С16А 30мА</v>
      </c>
      <c r="H262">
        <f>Линии[[#This Row],[_авто утечка]]</f>
        <v>30</v>
      </c>
      <c r="I262" t="str">
        <f>Линии[[#This Row],[_авто управление]]</f>
        <v/>
      </c>
      <c r="J262" t="str">
        <f>Линии[[#This Row],[_авто аппараты]]</f>
        <v/>
      </c>
      <c r="K262">
        <v>2.5</v>
      </c>
      <c r="L262">
        <v>50</v>
      </c>
      <c r="M262" t="str">
        <f>Линии[[#This Row],[_авто фаза]]</f>
        <v>L2</v>
      </c>
      <c r="N262" t="str">
        <f>Линии[[#This Row],[_авто клемма]]</f>
        <v>XT38</v>
      </c>
      <c r="O262" t="str">
        <f t="shared" si="492"/>
        <v/>
      </c>
      <c r="P262" s="6" cm="1">
        <f t="array" ref="P262">IF(B262="","",IF(BC262&lt;&gt;"",IFERROR(_xlfn.XLOOKUP(BC262,Щиты[Щит],Щиты[Iр, А]),""),IF(BK262=1,IFERROR(_xlfn.XLOOKUP(A262,Щиты[Щит],Щиты[Iр, А]),""),IFERROR(_xlfn.IFS(BR262=1,BN262/((Uн_лин/SQRT(3))*BY262),BR262=3,BN262/(SQRT(3)*Uн_лин*BY262)),""))))</f>
        <v>1.0939268258329751</v>
      </c>
      <c r="Q262" s="7">
        <f>IF(B262="","",IFERROR(IF(VLOOKUP(AX262,Потребители_обозначение,4,FALSE)=1,VLOOKUP(AX262,Потребители_обозначение,3,FALSE)*(D262*2-1)+DS262+VLOOKUP(AZ262,Этаж_обозначение,3,FALSE)+VLOOKUP(AZ262,Этаж_обозначение,4,FALSE),VLOOKUP(AX262,Потребители_обозначение,3,FALSE)*(D262*2-1)+DS262),DS262))</f>
        <v>59</v>
      </c>
      <c r="R262" s="6">
        <f t="shared" si="493"/>
        <v>1.67</v>
      </c>
      <c r="S262" t="str">
        <f t="shared" si="494"/>
        <v>ВВГнг(А)-LS (3х2,5)</v>
      </c>
      <c r="T262" t="str">
        <f>IF(BH262="","",IF(BI262="вводной узел","узел ","")&amp;"л."&amp;(INT((BH262-1)/Столбцов_на_лист)+1)&amp;" / "&amp;(MOD(BH262-1,Столбцов_на_лист)+1))</f>
        <v>л.4 / 8</v>
      </c>
      <c r="V262">
        <v>1</v>
      </c>
      <c r="W262">
        <v>230</v>
      </c>
      <c r="X262" t="s">
        <v>564</v>
      </c>
      <c r="AC262" t="s">
        <v>815</v>
      </c>
      <c r="AE262" t="s">
        <v>563</v>
      </c>
      <c r="AI262">
        <v>59</v>
      </c>
      <c r="AJ262" t="s">
        <v>11</v>
      </c>
      <c r="AK262">
        <v>3</v>
      </c>
      <c r="AM262">
        <v>20</v>
      </c>
      <c r="AN262">
        <v>31</v>
      </c>
      <c r="AO262">
        <v>8</v>
      </c>
      <c r="AW262" cm="1">
        <f t="array" ref="AW262">ROW()-ROW(Линии[#Headers])</f>
        <v>260</v>
      </c>
      <c r="AX262" s="6" t="str">
        <f t="shared" si="495"/>
        <v>R</v>
      </c>
      <c r="AY262" t="str">
        <f t="shared" si="496"/>
        <v>1.017A.1</v>
      </c>
      <c r="AZ262" t="str">
        <f t="shared" si="497"/>
        <v>1</v>
      </c>
      <c r="BA262" t="str">
        <f t="shared" si="498"/>
        <v>017A.1</v>
      </c>
      <c r="BB262" t="str">
        <f t="shared" si="499"/>
        <v>017A</v>
      </c>
      <c r="BC262" t="str">
        <f>IF(U262&lt;&gt;"",U262,IF(AND(B262&lt;&gt;"",B262&lt;&gt;A262,ISNUMBER(_xlfn.XMATCH(B262,Щиты[Щит]))),B262,""))</f>
        <v/>
      </c>
      <c r="BD262" t="str" cm="1">
        <f t="array" ref="BD262">IF(B262="","",IF(BC262&lt;&gt;"","Щит "&amp;BC262,_xlfn.LET(_xlpm.nm,IFERROR(_xlfn.XLOOKUP(AX262,Коды_код,Коды_имя)&amp;"",""),_xlpm.md,IFERROR(N(_xlfn.XLOOKUP(AX262,Коды_код,Коды_режим)),1),_xlpm.ex,IF(Имя_режим="по экспликации",IFERROR(_xlfn.XLOOKUP(AZ262&amp;"|"&amp;BB262,Экспликация[Этаж]&amp;"|"&amp;Экспликация[Помещение],Экспликация[Название])&amp;"",""),""),_xlpm.rm,IF(BB262="","",IF(_xlpm.ex&lt;&gt;"",". "&amp;_xlpm.ex&amp;IF(Имя_пом="нет"," ("&amp;BB262&amp;")"," (пом. "&amp;BB262&amp;")"),IF(Имя_пом="нет"," ",", пом. ")&amp;BB262)),IF(_xlpm.nm="","",IF(_xlpm.md=2,_xlpm.nm&amp;" шлейф "&amp;AZ262,_xlpm.nm&amp;_xlpm.rm)))))</f>
        <v>Розеточная группа, пом. 017A</v>
      </c>
      <c r="BE262" t="str">
        <f t="shared" si="500"/>
        <v>Розеточная группа, пом. 017A</v>
      </c>
      <c r="BF262">
        <f>IFERROR(_xlfn.XMATCH(A262,Щиты[Щит]),0)</f>
        <v>10</v>
      </c>
      <c r="BG262">
        <f>_xlfn.LET(_xlpm.k,IFERROR(_xlfn.XLOOKUP(A262,Щиты[Щит],Щиты[Листов под вводной узел]),""),IF(_xlpm.k="",1,N(_xlpm.k))*Столбцов_на_лист)</f>
        <v>17</v>
      </c>
      <c r="BH262">
        <f t="shared" si="501"/>
        <v>59</v>
      </c>
      <c r="BI262" t="str">
        <f t="shared" si="502"/>
        <v>линии</v>
      </c>
      <c r="BJ262" s="6">
        <f>IFERROR(N(_xlfn.XLOOKUP(AX262,Коды_код,Коды_квт)),0)</f>
        <v>0</v>
      </c>
      <c r="BK262">
        <f t="shared" si="503"/>
        <v>0</v>
      </c>
      <c r="BL262" t="str">
        <f>IF(B262="","",IF(BC262&lt;&gt;"",IFERROR(_xlfn.XLOOKUP(BC262,Щиты[Щит],Щиты[Руст, кВт]),0),IF(BK262=1,IFERROR(_xlfn.XLOOKUP(A262,Щиты[Щит],Щиты[Руст, кВт]),0),IF(BJ262&gt;0,ROUND(BJ262*MAX(1,N(D262)),3),""))))</f>
        <v/>
      </c>
      <c r="BM262">
        <f t="shared" si="504"/>
        <v>0.24</v>
      </c>
      <c r="BN262" s="6">
        <f>IF(B262="","",IF(BC262&lt;&gt;"",IFERROR(_xlfn.XLOOKUP(BC262,Щиты[Щит],Щиты[Руст, кВт]),0),N(BM262)))</f>
        <v>0.24</v>
      </c>
      <c r="BO262" t="str">
        <f>IF(B262="","",IFERROR(IF(VLOOKUP(AX262,Потребители_обозначение,8,FALSE)=0,"",VLOOKUP(AX262,Потребители_обозначение,8,FALSE)),""))</f>
        <v/>
      </c>
      <c r="BP262">
        <f t="shared" si="505"/>
        <v>230</v>
      </c>
      <c r="BQ262">
        <f>IF(B262="","",IF(BC262&lt;&gt;"",3,IFERROR(IF(N(VLOOKUP(AX262,Потребители_обозначение,9,FALSE))=0,1,VLOOKUP(AX262,Потребители_обозначение,9,FALSE)),1)))</f>
        <v>1</v>
      </c>
      <c r="BR262">
        <f t="shared" si="506"/>
        <v>1</v>
      </c>
      <c r="BS262" t="str">
        <f>IF(B262="","",_xlfn.LET(_xlpm.bc,IFERROR(IF(VLOOKUP(AX262,Потребители_обозначение,6,FALSE)=0,"",VLOOKUP(AX262,Потребители_обозначение,6,FALSE)&amp;""),""),IF(AND(FK262="да",OR(_xlpm.bc="",_xlpm.bc="мс")),Марка_пож,IF(AND(_xlpm.bc="",BC262&lt;&gt;""),"мс",_xlpm.bc))))</f>
        <v/>
      </c>
      <c r="BT262" t="str">
        <f t="shared" si="507"/>
        <v>мс</v>
      </c>
      <c r="BU262">
        <f>IF(B262="","",_xlfn.LET(_xlpm.cc,IFERROR(N(VLOOKUP(AX262,Потребители_обозначение,7,FALSE)),0),IF(_xlpm.cc&gt;0,_xlpm.cc,IF(BT262="","",IF(N(BR262)=3,5,3)))))</f>
        <v>3</v>
      </c>
      <c r="BV262">
        <f t="shared" si="508"/>
        <v>3</v>
      </c>
      <c r="BW262">
        <f>IFERROR(N(VLOOKUP(AX262,Потребители_обозначение,10,FALSE)),0)</f>
        <v>0</v>
      </c>
      <c r="BX262">
        <f>IFERROR(VLOOKUP(AX262,Потребители_обозначение,5,FALSE),0)</f>
        <v>1</v>
      </c>
      <c r="BY262" s="6" cm="1">
        <f t="array" ref="BY262">IF(B262="","",IF(BC262&lt;&gt;"",IFERROR(_xlfn.XLOOKUP(BC262,Щиты[Щит],Щиты[cos φ]),0.95),IF(BK262=1,IFERROR(_xlfn.XLOOKUP(A262,Щиты[Щит],Щиты[cos φ]),0.95),IF(ISNUMBER(Z262),Z262,IFERROR(IF(BX262=2,_xlfn.IFS(BR262=3,VLOOKUP(BN262,Справочная_двигатели,8,FALSE),BR262=1,VLOOKUP(BN262,Справочная_двигатели,10,TRUE)),IF(AND(Методика="нормы 2026",EQ262="Сил"),0.8,0.95)),0.95)))))</f>
        <v>0.95</v>
      </c>
      <c r="BZ262">
        <f t="shared" si="509"/>
        <v>0</v>
      </c>
      <c r="CA262">
        <f t="shared" si="510"/>
        <v>1</v>
      </c>
      <c r="CB262">
        <f t="shared" si="511"/>
        <v>0</v>
      </c>
      <c r="CC262">
        <f t="shared" si="512"/>
        <v>0</v>
      </c>
      <c r="CD262">
        <f t="shared" si="513"/>
        <v>0</v>
      </c>
      <c r="CE262">
        <f t="shared" si="514"/>
        <v>0</v>
      </c>
      <c r="CF262">
        <f t="shared" si="515"/>
        <v>0</v>
      </c>
      <c r="CG262">
        <f>IF(AX262="",0,_xlfn.LET(_xlpm.v,IFERROR(VLOOKUP(B262,УГО_спр,3,FALSE),IFERROR(VLOOKUP(AX262,УГО_спр,3,FALSE),IFERROR(VLOOKUP(LEFT(AX262,2),УГО_спр,3,FALSE),""))),IF(_xlpm.v="да",30,IF(ISNUMBER(_xlpm.v),_xlpm.v,0))))</f>
        <v>30</v>
      </c>
      <c r="CH262">
        <f t="shared" si="516"/>
        <v>30</v>
      </c>
      <c r="CI262" t="str">
        <f>_xlfn.LET(_xlpm.k,IFERROR(_xlfn.XLOOKUP(AX262,Коды_код,Коды_утечка)&amp;"",""),IF(_xlpm.k="","дифавтомат",_xlpm.k))</f>
        <v>дифавтомат</v>
      </c>
      <c r="CJ262">
        <f t="shared" si="517"/>
        <v>30</v>
      </c>
      <c r="CK262">
        <f t="shared" si="518"/>
        <v>30</v>
      </c>
      <c r="CL262">
        <f>IF(B262="",0,IFERROR(--VLOOKUP(B262,УГО_спр,4,FALSE),IFERROR(--VLOOKUP(AX262,УГО_спр,4,FALSE),IFERROR(--VLOOKUP(LEFT(AX262,2),УГО_спр,4,FALSE),0))))</f>
        <v>16</v>
      </c>
      <c r="CM262" t="str">
        <f>IF(B262="","",IFERROR(_xlfn.XLOOKUP(AX262,Коды_код,Коды_апп)&amp;"",""))</f>
        <v/>
      </c>
      <c r="CN262" t="str">
        <f t="shared" si="519"/>
        <v/>
      </c>
      <c r="CO262" t="str" cm="1">
        <f t="array" ref="CO262">IF(TRIM(CN262&amp;"")="","",IFERROR(TRIM(INDEX(_xlfn.TEXTSPLIT(CN262&amp;";;;",";"),1)),""))</f>
        <v/>
      </c>
      <c r="CP262" t="str" cm="1">
        <f t="array" ref="CP262">IF(TRIM(CN262&amp;"")="","",IFERROR(TRIM(INDEX(_xlfn.TEXTSPLIT(CN262&amp;";;;",";"),2)),""))</f>
        <v/>
      </c>
      <c r="CQ262" t="str" cm="1">
        <f t="array" ref="CQ262">IF(TRIM(CN262&amp;"")="","",IFERROR(TRIM(INDEX(_xlfn.TEXTSPLIT(CN262&amp;";;;",";"),3)),""))</f>
        <v/>
      </c>
      <c r="CR262">
        <f t="shared" si="520"/>
        <v>0</v>
      </c>
      <c r="CS262" t="str">
        <f>IF(B262="","",_xlfn.LET(_xlpm.t,LOWER(AV262&amp;""),IF(ISNUMBER(SEARCH("dim",_xlpm.t)),"DIM",IF(ISNUMBER(SEARCH("dali",_xlpm.t)),"DALI",IF(OR(ISNUMBER(SEARCH("relay",_xlpm.t)),ISNUMBER(SEARCH("реле",_xlpm.t))),"Relay",IF(ISNUMBER(SEARCH("кнопк",_xlpm.t)),"",IFERROR(_xlfn.XLOOKUP(AX262,Коды_код,Коды_упр)&amp;"","")))))))</f>
        <v/>
      </c>
      <c r="CT262" t="str">
        <f t="shared" si="521"/>
        <v/>
      </c>
      <c r="CU262">
        <f>IF(B262="","",_xlfn.LET(_xlpm.ig,N(P262)+IF(AF262="вручную",0,N(CB262)),_xlpm.n0,IFERROR(VLOOKUP(_xlpm.ig,Автомат_номиналы,2,TRUE),0),_xlpm.mn,MAX(CL262,IF(AF262="вручную",0,N(CE262))),MAX(_xlpm.n0,_xlpm.mn,IF(CR262=1,Мин_автомат_БП,0))))</f>
        <v>16</v>
      </c>
      <c r="CV262">
        <f t="shared" si="522"/>
        <v>1</v>
      </c>
      <c r="CW262" t="str">
        <f t="shared" si="523"/>
        <v>2P</v>
      </c>
      <c r="CX262" t="str">
        <f>_xlfn.LET(_xlpm.cc,UPPER(TRIM(IFERROR(_xlfn.XLOOKUP(AX262,Коды_код,Коды_хар)&amp;"",""))),IF(OR(_xlpm.cc="B",_xlpm.cc="В"),"B",IF(_xlpm.cc="D","D","С")))</f>
        <v>С</v>
      </c>
      <c r="CY262" t="str">
        <f t="shared" si="524"/>
        <v>2P С16А 30мА</v>
      </c>
      <c r="CZ262" t="str">
        <f t="shared" si="525"/>
        <v>2P С16А 30мА</v>
      </c>
      <c r="DA262" t="str">
        <f t="shared" si="526"/>
        <v>2P С16А 30мА</v>
      </c>
      <c r="DB262" cm="1">
        <f t="array" ref="DB262">IF(DA262="","",_xlfn.LET(_xlpm.t,SUBSTITUTE(SUBSTITUTE(SUBSTITUTE(UPPER(DA262),"С","C"),"А","A"),"В","B"),_xlpm.tk,_xlfn.TEXTSPLIT(_xlpm.t,"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2" t="str">
        <f t="shared" si="527"/>
        <v>ok</v>
      </c>
      <c r="DD262">
        <f t="shared" si="528"/>
        <v>16</v>
      </c>
      <c r="DE262" t="str">
        <f t="shared" si="529"/>
        <v>2P С16А 30мА</v>
      </c>
      <c r="DF262">
        <f t="shared" si="530"/>
        <v>30</v>
      </c>
      <c r="DG262">
        <f t="shared" si="531"/>
        <v>1</v>
      </c>
      <c r="DH262">
        <f t="shared" si="532"/>
        <v>0</v>
      </c>
      <c r="DI262">
        <f t="shared" si="533"/>
        <v>1.0939268258329751</v>
      </c>
      <c r="DJ262">
        <f t="shared" si="534"/>
        <v>1</v>
      </c>
      <c r="DK262">
        <f>IF(ISNUMBER(AL262),AL262,К_прокл)</f>
        <v>1</v>
      </c>
      <c r="DL262">
        <f t="shared" si="535"/>
        <v>2</v>
      </c>
      <c r="DM262">
        <f>IFERROR(N(VLOOKUP(BT262,Кабель_обозначение,3,FALSE)),1)</f>
        <v>1</v>
      </c>
      <c r="DN262">
        <f>IFERROR(N(_xlfn.XLOOKUP(A262,Щиты[Щит],Щиты[ΔU до шин, %])),0)</f>
        <v>1.19</v>
      </c>
      <c r="DO262" t="str">
        <f>IFERROR(_xlfn.XLOOKUP(A262,Щиты[Щит],Щиты[Zпетли на шинах, Ом]),"")</f>
        <v/>
      </c>
      <c r="DP262">
        <f>IFERROR(N(_xlfn.XLOOKUP(A262,Щиты[Щит],Щиты[ΔU до шин (подбор), %])),0)</f>
        <v>1.19</v>
      </c>
      <c r="DQ262" t="str">
        <f>IFERROR(_xlfn.XLOOKUP(A262,Щиты[Щит],Щиты[Zпетли на шинах (подбор), Ом]),"")</f>
        <v/>
      </c>
      <c r="DR262" t="str">
        <f t="shared" si="536"/>
        <v/>
      </c>
      <c r="DS262">
        <f t="shared" si="537"/>
        <v>50</v>
      </c>
      <c r="DT262">
        <f t="shared" si="538"/>
        <v>2</v>
      </c>
      <c r="DU262">
        <f t="shared" si="539"/>
        <v>0.31</v>
      </c>
      <c r="DV262" s="6">
        <f>IF(B262="","",IF(IFERROR(VLOOKUP(AX262,УГО_спр,2,FALSE),"")="Светильник",3,4)+IF(Методика="нормы 2026",MIN(0.5,MAX(0,N(Q262)-100)*0.005),0))</f>
        <v>4</v>
      </c>
      <c r="DW262" cm="1">
        <f t="array" ref="DW262">IF(OR(B262="",BT262="",DM262&lt;&gt;1),"",_xlfn.LET(_xlpm.sz,Iдоп_S,_xlpm.t_,CHOOSE(DL262,Iдоп_1ж,Iдоп_2ж,Iдоп_3ж)*DJ262*DK262,_xlpm.inn,N(DD262),_xlpm.smin,MAX(1.5,BW262),_xlpm.L_,N(Q262)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262)*(_xlpm.rho*_xlpm.L_/_xlpm.sz*N(BY262)+_xlpm.xx*_xlpm.L_*N(DU262)/1000)*N(P262)/((Uн_лин/SQRT(3))*1000)*100,999),_xlpm.kz,IF(OR(DG262=1,NOT(ISNUMBER(DQ262)),_xlpm.L_=0,_xlpm.inn=0),1,IFERROR(--(c_min*(Uн_лин*1000/SQRT(3))/(DQ262+2*ρкз_Cu*_xlpm.L_/_xlpm.sz)&gt;=GY262*_xlpm.inn),0)),_xlpm.ok,IFERROR((_xlpm.sz&gt;=_xlpm.smin)*(_xlpm.t_&gt;=_xlpm.inn)*IF(_xlpm.L_&gt;0,(_xlpm.du_+DP262&lt;=DV262+0.00001),1)*_xlpm.kz,0),_xlpm.r_,_xlfn._xlws.FILTER(_xlpm.sz,_xlpm.ok,"не подобрано"),INDEX(_xlpm.r_,1)))</f>
        <v>1.5</v>
      </c>
      <c r="DX262">
        <f t="shared" si="540"/>
        <v>2.5</v>
      </c>
      <c r="DY262" cm="1">
        <f t="array" ref="DY262">IF(OR(B262="",BT262="",DM262&lt;&gt;1),"",_xlfn.LET(_xlpm.sz,Iдоп_S,_xlpm.t_,CHOOSE(DL262,Iдоп_1ж,Iдоп_2ж,Iдоп_3ж)*DJ262*DK262,_xlpm.ok,IFERROR((_xlpm.sz&gt;=MAX(1.5,BW262))*(_xlpm.t_&gt;=N(DD262)),0),_xlpm.r_,_xlfn._xlws.FILTER(_xlpm.sz,_xlpm.ok,""),INDEX(_xlpm.r_,1)))</f>
        <v>1.5</v>
      </c>
      <c r="DZ262" s="6" cm="1">
        <f t="array" ref="DZ262">IFERROR(ROUNDUP(N(DT262)*(_xlfn.XLOOKUP(DY262,INDEX(Кабель_сопротивление,0,1),INDEX(Кабель_сопротивление,0,3))*N(Q262)/DY262*N(BY262)+_xlfn.XLOOKUP(DY262,INDEX(Кабель_сопротивление,0,1),INDEX(Кабель_сопротивление,0,2))*N(Q262)*N(DU262)/1000)*N(P262)/((Uн_лин/SQRT(3))*1000)*100,2),"")</f>
        <v>0.8</v>
      </c>
      <c r="EA262">
        <f>IFERROR(2*ρкз_Cu*N(Q262)/DY262,"")</f>
        <v>2.0689333333333333</v>
      </c>
      <c r="EB262">
        <f>IFERROR(VLOOKUP(DX262,Кабель_сопротивление,3,FALSE),"")</f>
        <v>2.2499999999999999E-2</v>
      </c>
      <c r="EC262">
        <f>IFERROR(VLOOKUP(DX262,Кабель_сопротивление,2,FALSE),"")</f>
        <v>0.1</v>
      </c>
      <c r="ED262">
        <f t="shared" si="541"/>
        <v>31</v>
      </c>
      <c r="EE262">
        <f t="shared" si="542"/>
        <v>8</v>
      </c>
      <c r="EF262">
        <f t="shared" si="543"/>
        <v>1.1076643589117852</v>
      </c>
      <c r="EG262" s="6">
        <f>IFERROR(ROUNDUP(EF262/((Uн_лин/SQRT(3))*1000)*100,2),"")</f>
        <v>0.48</v>
      </c>
      <c r="EH262" t="str">
        <f>IFERROR(VLOOKUP(BT262,Кабель_обозначение,2,FALSE),"")</f>
        <v>ВВГнг(А)-LS</v>
      </c>
      <c r="EI262" t="str">
        <f t="shared" si="544"/>
        <v>ВВГнг(А)-LS (3х2,5)</v>
      </c>
      <c r="EJ262" t="str">
        <f t="shared" si="545"/>
        <v>ВВГнг(А)-LS (3х2,5)
L=59-0,48%</v>
      </c>
      <c r="EK262">
        <f>IFERROR(2*ρкз_Cu*Q262/DX262,"")</f>
        <v>1.24136</v>
      </c>
      <c r="EL262">
        <f t="shared" si="546"/>
        <v>0.41300000000000009</v>
      </c>
      <c r="EM262" s="6" t="str">
        <f>IFERROR(IF(OR(B262="",NOT(ISNUMBER(DX262)),N(Q262)=0),"",_xlfn.XLOOKUP(A262,Щиты[Щит],Щиты[Zпетли на шинах, Ом])+EK262),"")</f>
        <v/>
      </c>
      <c r="EN262" s="6" t="str">
        <f>IF(ISNUMBER(EM262),c_min*(Uн_лин*1000/SQRT(3))/EM262,"")</f>
        <v/>
      </c>
      <c r="EO262" s="6" t="str">
        <f>IFERROR(IF(OR(B262="",NOT(ISNUMBER(DX262))),"",1.05*(Uн_лин*1000/SQRT(3))/(_xlfn.XLOOKUP(A262,Щиты[Щит],Щиты[Zmax на шинах, Ом])+EL262)/1000),"")</f>
        <v/>
      </c>
      <c r="EP262" s="6" t="str">
        <f>IF(B262="","",IF(ISNUMBER(Y262),"Сил",IF(IFERROR(_xlfn.XLOOKUP(AX262,Коды_код,Коды_группа)&amp;"","")="","Быт",_xlfn.XLOOKUP(AX262,Коды_код,Коды_группа)&amp;"")))</f>
        <v>Быт</v>
      </c>
      <c r="EQ262" s="6" t="str">
        <f t="shared" si="547"/>
        <v>Быт</v>
      </c>
      <c r="ER262" s="6">
        <f>IF(EQ262="Щит","щит",IF(EQ262="","",IF(EQ262="Быт",IFERROR(_xlfn.XLOOKUP(A262,Щиты[Щит],Щиты[Кс быт]),1),IF(EQ262="Сил",IF(ISNUMBER(Y262),Y262,IF(Методика="нормы 2026",IFERROR(_xlfn.XLOOKUP(A262,Щиты[Щит],Щиты[Кс силовых (табл. 7.5)]),1),1)),IF(OR(EQ262="Пост",EQ262="Отоп"),1,IF(EQ262="ВНГ",0.7,0))))))</f>
        <v>0.57830000000000004</v>
      </c>
      <c r="ES262">
        <f t="shared" si="548"/>
        <v>1</v>
      </c>
      <c r="ET262">
        <f t="shared" si="549"/>
        <v>0.24</v>
      </c>
      <c r="EU262">
        <f t="shared" si="550"/>
        <v>0.24</v>
      </c>
      <c r="EV262">
        <f t="shared" si="551"/>
        <v>0</v>
      </c>
      <c r="EW262">
        <f t="shared" si="552"/>
        <v>0</v>
      </c>
      <c r="EX262">
        <f t="shared" si="553"/>
        <v>0</v>
      </c>
      <c r="EY262">
        <f t="shared" si="554"/>
        <v>0</v>
      </c>
      <c r="EZ262">
        <f t="shared" si="555"/>
        <v>0.24</v>
      </c>
      <c r="FA262">
        <f t="shared" si="556"/>
        <v>0.22799999999999998</v>
      </c>
      <c r="FB262">
        <f t="shared" si="557"/>
        <v>0.24</v>
      </c>
      <c r="FC262" t="str">
        <f t="shared" si="558"/>
        <v/>
      </c>
      <c r="FD262" t="str">
        <f>IF(B262="","",IF(CA262=0,IF(AW262=1,"",FF261),IF(OR(N(CV262)&gt;=3,N(BR262)&gt;=3),"L1,L2,L3",IFERROR(_xlfn.TEXTBEFORE(_xlfn.TEXTAFTER(_xlfn.XLOOKUP(A262,Щиты[Щит],Щиты[_фазы авто]),";"&amp;AW262&amp;":"),";"),"L1"))))</f>
        <v>L2</v>
      </c>
      <c r="FE262" t="str">
        <f t="shared" si="559"/>
        <v>L2</v>
      </c>
      <c r="FF262" t="str">
        <f t="shared" si="560"/>
        <v>L2</v>
      </c>
      <c r="FG262" cm="1">
        <f t="array" ref="FG262">IFERROR(IF(BX262=2,_xlfn.IFS(BR262=3,VLOOKUP(BN262,Справочная_двигатели,3,FALSE),BR262=1,VLOOKUP(BN262,Справочная_двигатели,5,TRUE)),0),0)</f>
        <v>0</v>
      </c>
      <c r="FH262">
        <f>IFERROR(IF(BX262=3,VLOOKUP(BN262,Справочная_ЛЭД,2,TRUE),0),0)</f>
        <v>0</v>
      </c>
      <c r="FI262" s="6">
        <f t="shared" si="561"/>
        <v>0</v>
      </c>
      <c r="FJ262" t="str" cm="1">
        <f t="array" ref="FJ262">IF(B262="","",IFERROR(INDEX({"I особая","I","II","III"},MATCH(TRIM(AC262&amp;""),{"I особая","I","II","III"},0)),"III"))</f>
        <v>II</v>
      </c>
      <c r="FK262" t="str">
        <f>IF(B262="","",IF(TRIM(AD262&amp;"")&lt;&gt;"",IF(LOWER(TRIM(AD262&amp;""))="да","да","нет"),IF(IFERROR(_xlfn.XLOOKUP(AX262,Коды_код,Коды_пожарная),"")="да","да","нет")))</f>
        <v>нет</v>
      </c>
      <c r="FL262" t="str">
        <f t="shared" si="562"/>
        <v/>
      </c>
      <c r="FM262" t="str">
        <f t="shared" si="563"/>
        <v>основная</v>
      </c>
      <c r="FN262">
        <f t="shared" si="564"/>
        <v>1</v>
      </c>
      <c r="FO262" t="str" cm="1">
        <f t="array" ref="FO262">IF(B262="","",_xlfn.LET(_xlpm.t,IFERROR(_xlfn.XLOOKUP(1,(Шины[Шина]=FM262)*(((Шины[Щит]=A262)+(Шины[Щит]=""))&gt;0),Шины[Тип]),"")&amp;"",IF(_xlpm.t&lt;&gt;"",_xlpm.t,IF(ISNUMBER(SEARCH("ИБП",FM262)),"ИБП",IF(ISNUMBER(SEARCH("ДГУ",FM262)),"ДГУ","Ввод "&amp;FN262)))))</f>
        <v>Ввод 1</v>
      </c>
      <c r="FP262" t="str">
        <f t="shared" si="565"/>
        <v>Ввод 1</v>
      </c>
      <c r="FQ262" t="str">
        <f>IF(B262="","",IF(OR(FO262="ИБП",FO262="ДГУ"),"I особая",IF(FO262="Одиночная","III",_xlfn.XLOOKUP(A262,Щиты[Щит],Щиты[Категория шины «Ввод»],"III"))))</f>
        <v>II</v>
      </c>
      <c r="FR262">
        <f>IF(B262="",0,IFERROR(MATCH(FJ262,{"III","II","I","I особая"},0),1))</f>
        <v>2</v>
      </c>
      <c r="FS262">
        <f t="shared" si="566"/>
        <v>2</v>
      </c>
      <c r="FT262" t="str">
        <f>IF(B262="","",IF(FR262&gt;IFERROR(MATCH(FQ262,{"III","II","I","I особая"},0),1),"НЕ ОБЕСПЕЧЕНА","ОК"))</f>
        <v>ОК</v>
      </c>
      <c r="FU262" t="str">
        <f>IF(A262="","",_xlfn.XLOOKUP(A262,Щиты[Щит],Щиты[Путь],""))</f>
        <v>|ГРЩ-ЖД|ЩР-1|</v>
      </c>
      <c r="FV262" t="str">
        <f>IF(B262="","",IF(AE262&lt;&gt;"",AE262,IF(IFERROR(_xlfn.XLOOKUP(AX262,Коды_код,Коды_вид)&amp;"","")="","Прочее",_xlfn.XLOOKUP(AX262,Коды_код,Коды_вид)&amp;"")))</f>
        <v>Розеточная сеть и бытовые приборы</v>
      </c>
      <c r="FW262">
        <f>IF(BH262="","",INT((BH262-1)/Столбцов_на_лист)+1)</f>
        <v>4</v>
      </c>
      <c r="FX262" t="str">
        <f t="shared" si="567"/>
        <v>ВВГнг(А)-LS (3х2,5) L=59-0,48%</v>
      </c>
      <c r="FY262">
        <f t="shared" si="568"/>
        <v>0.24</v>
      </c>
      <c r="FZ262">
        <f t="shared" si="569"/>
        <v>1.1000000000000001</v>
      </c>
      <c r="GA262">
        <f t="shared" si="570"/>
        <v>1</v>
      </c>
      <c r="GB262">
        <f t="shared" si="571"/>
        <v>0</v>
      </c>
      <c r="GC262">
        <f t="shared" si="572"/>
        <v>1</v>
      </c>
      <c r="GD262">
        <f>IF(BH262="","",IF(AND(CA262=1,GC262=1),COUNTIFS(A$3:A262,A262,CA$3:CA262,1,GC$3:GC262,1),IF(OR(OR(AW262=1,A262&lt;&gt;A261),AF262="вручную",GC262=0),"",IF(AW262=1,"",GE261))))</f>
        <v>38</v>
      </c>
      <c r="GE262">
        <f t="shared" si="573"/>
        <v>38</v>
      </c>
      <c r="GF262">
        <f>IF(B262="","",IFERROR(LOOKUP(INDEX(CHOOSE(DL262,Iдоп_1ж,Iдоп_2ж,Iдоп_3ж),MATCH(DX262,Iдоп_S,0))*DJ262*DK262,{6,10,16,20,25,32,40,50,63,80,100,125,160,200,250,315,400,500,630}),""))</f>
        <v>25</v>
      </c>
      <c r="GG262" t="str">
        <f t="shared" si="574"/>
        <v>QFD38</v>
      </c>
      <c r="GH262" t="str">
        <f t="shared" si="575"/>
        <v>QFD38</v>
      </c>
      <c r="GI262" t="str">
        <f t="shared" si="576"/>
        <v/>
      </c>
      <c r="GJ262">
        <f t="shared" si="577"/>
        <v>0</v>
      </c>
      <c r="GK262" t="str">
        <f>IF(OR(AG262="",AG262="-"),"",IFERROR(VLOOKUP(AG262,Модули_спр,2,FALSE),"R"))</f>
        <v/>
      </c>
      <c r="GL262" t="str">
        <f>IF(GK262="","",GK262&amp;"."&amp;COUNTIFS(A$3:A262,A262,GK$3:GK262,GK262))</f>
        <v/>
      </c>
      <c r="GM262" t="str">
        <f t="shared" si="578"/>
        <v/>
      </c>
      <c r="GN262" t="str">
        <f t="shared" si="579"/>
        <v/>
      </c>
      <c r="GO262" t="str">
        <f t="shared" si="580"/>
        <v/>
      </c>
      <c r="GP262" t="str">
        <f t="shared" si="581"/>
        <v/>
      </c>
      <c r="GQ262">
        <f t="shared" si="582"/>
        <v>1</v>
      </c>
      <c r="GR262" t="str">
        <f>IF(GQ262=1,"XT"&amp;COUNTIFS(A$3:A262,A262,GQ$3:GQ262,1),"")</f>
        <v>XT38</v>
      </c>
      <c r="GS262" t="str">
        <f t="shared" si="583"/>
        <v>XT38</v>
      </c>
      <c r="GT262" t="str">
        <f t="shared" si="584"/>
        <v>QFD38</v>
      </c>
      <c r="GU262" t="str">
        <f t="shared" si="585"/>
        <v/>
      </c>
      <c r="GV262" t="str">
        <f t="shared" si="586"/>
        <v>ok</v>
      </c>
      <c r="GW262" t="str">
        <f>IF(OR(GO262="",GM262=""),"",IF(GO262&gt;IFERROR(VLOOKUP(GN262,Модули_спр,3,FALSE),99),"ЛИШНИЙ КАНАЛ",IF(AND(AH262&lt;&gt;"=",COUNTIFS(Линии[_модуль гр.],GM262,Линии[Канал (итог)],GO262,Линии[Канал],"&lt;&gt;=",Линии[Щит],A262)&gt;1),"ДУБЛЬ КАНАЛА","")))</f>
        <v/>
      </c>
      <c r="GX262" s="6" t="str">
        <f t="shared" si="587"/>
        <v/>
      </c>
      <c r="GY262">
        <f t="shared" si="588"/>
        <v>10</v>
      </c>
      <c r="GZ262" t="str">
        <f t="shared" si="589"/>
        <v/>
      </c>
      <c r="HA262" t="str">
        <f>IF(AND(B262="",GT262=""),"",_xlfn.TEXTJOIN("; ",TRUE,IF(AND(B262&lt;&gt;"",FE262=""),"нет фазы",""),IF(AND(B262&lt;&gt;"",N(FY262)=0,EQ262&lt;&gt;"Нет"),"нет мощности",""),IF(AND(GS262&lt;&gt;"",COUNTIFS(Линии[Щит],A262,Линии[Клемма (итог)],GS262)&gt;1),"дубль клеммы "&amp;GS262,""),IF(AND(GV262&lt;&gt;"",GV262&lt;&gt;"ok"),GV262,""),IF(GW262&lt;&gt;"",GW262,""),IF(AND(N(BV262)&gt;=4,N(BR262)=1),BV262&amp;" жил на 1 фазе",""),IF(AND(AX262="R",CA262=1,OR(N(CK262)=0,N(CK262)&gt;30)),"розетка без дифзащиты до 30 мА",""),IFERROR(IF(AND(ISNUMBER(R262),R262&gt;DV262),"потери "&amp;FIXED(R262,1)&amp;" % &gt; "&amp;DV262&amp;" %",""),""),IFERROR(IF(LEFT(GZ262,4)="мало","Iкз мало — отключение &gt; 0,4 с",""),""),IF(AND(B262&lt;&gt;"",BH262=""),"не на схеме",""),IF(AND(CA262=0,B262&lt;&gt;"",FE262&lt;&gt;"",IF(AW262=1,"",FF261)&lt;&gt;"",FE262&lt;&gt;IF(AW262=1,"",FF261)),"фаза не как у автомата группы ("&amp;IF(AW262=1,"",FF261)&amp;")","")))</f>
        <v/>
      </c>
      <c r="HB262" s="6">
        <f>IF(OR(CA262=0,DA262=""),"",_xlfn.LET(_xlpm.t,IFERROR(_xlfn.XLOOKUP(DA262,Каталог!$U$4:$U$500,Каталог!$G$4:$G$500),""),_xlpm.k,SEARCH("кА",_xlpm.t),IFERROR(--TRIM(RIGHT(SUBSTITUTE(MID(_xlpm.t,MAX(1,_xlpm.k-4),_xlpm.k-MAX(1,_xlpm.k-4))," ",REPT(" ",9)),5)),"")))</f>
        <v>6</v>
      </c>
      <c r="HC262" t="str">
        <f>IF(OR(HB262="",CA262=0),"",IF(_xlfn.XLOOKUP(A262,Щиты[Щит],Щиты[Iкз max на шинах, кА],"")="","",IF(HB262&lt;_xlfn.XLOOKUP(A262,Щиты[Щит],Щиты[Iкз max на шинах, кА]),"Icu "&amp;HB262&amp;" кА &lt; Iкз max","ok")))</f>
        <v/>
      </c>
      <c r="HD262" t="str">
        <f t="shared" si="590"/>
        <v/>
      </c>
      <c r="HE262" t="str">
        <f t="shared" si="591"/>
        <v>QFD38|XT38</v>
      </c>
      <c r="HF262" t="str">
        <f t="shared" si="592"/>
        <v>QFD38|XT38|кабель ВВГнг(А)-LS (3х2,5) → Розеточная группа, пом. 017A</v>
      </c>
      <c r="HG262" t="str" cm="1">
        <f t="array" ref="HG262">IF(HF262="","",_xlfn.LET(_xlpm.nd,_xlfn.TEXTSPLIT(HF262,"|"),IF(COLUMNS(_xlpm.nd)&gt;1,A262&amp;"¦"&amp;INDEX(_xlpm.nd,1)&amp;"¦"&amp;INDEX(_xlpm.nd,2),"")))</f>
        <v>ЩР-1¦QFD38¦XT38</v>
      </c>
      <c r="HH262" t="str">
        <f t="shared" si="593"/>
        <v>R.1.017A.1¦Розеточная группа, пом. 017A</v>
      </c>
      <c r="HI262" t="str" cm="1">
        <f t="array" ref="HI262">IF(HF262="","",_xlfn.LET(_xlpm.nd,_xlfn.TEXTSPLIT(HF262,"|"),IF(COLUMNS(_xlpm.nd)&gt;2,A262&amp;"¦"&amp;INDEX(_xlpm.nd,2)&amp;"¦"&amp;INDEX(_xlpm.nd,3),"")))</f>
        <v>ЩР-1¦XT38¦кабель ВВГнг(А)-LS (3х2,5) → Розеточная группа, пом. 017A</v>
      </c>
      <c r="HJ262" t="str">
        <f t="shared" si="594"/>
        <v>R.1.017A.1¦Розеточная группа, пом. 017A</v>
      </c>
      <c r="HK262" t="str" cm="1">
        <f t="array" ref="HK262">IF(HF262="","",_xlfn.LET(_xlpm.nd,_xlfn.TEXTSPLIT(HF262,"|"),IF(COLUMNS(_xlpm.nd)&gt;3,A262&amp;"¦"&amp;INDEX(_xlpm.nd,3)&amp;"¦"&amp;INDEX(_xlpm.nd,4),"")))</f>
        <v/>
      </c>
      <c r="HL262" t="str">
        <f t="shared" si="595"/>
        <v/>
      </c>
      <c r="HM262" t="str" cm="1">
        <f t="array" ref="HM262">IF(HF262="","",_xlfn.LET(_xlpm.nd,_xlfn.TEXTSPLIT(HF262,"|"),IF(COLUMNS(_xlpm.nd)&gt;4,A262&amp;"¦"&amp;INDEX(_xlpm.nd,4)&amp;"¦"&amp;INDEX(_xlpm.nd,5),"")))</f>
        <v/>
      </c>
      <c r="HN262" t="str">
        <f t="shared" si="596"/>
        <v/>
      </c>
      <c r="HO262" t="str" cm="1">
        <f t="array" ref="HO262">IF(HF262="","",_xlfn.LET(_xlpm.nd,_xlfn.TEXTSPLIT(HF262,"|"),IF(COLUMNS(_xlpm.nd)&gt;5,A262&amp;"¦"&amp;INDEX(_xlpm.nd,5)&amp;"¦"&amp;INDEX(_xlpm.nd,6),"")))</f>
        <v/>
      </c>
      <c r="HP262" t="str">
        <f t="shared" si="597"/>
        <v/>
      </c>
      <c r="HQ262" t="str" cm="1">
        <f t="array" ref="HQ262">IF(HF262="","",_xlfn.LET(_xlpm.nd,_xlfn.TEXTSPLIT(HF262,"|"),IF(COLUMNS(_xlpm.nd)&gt;6,A262&amp;"¦"&amp;INDEX(_xlpm.nd,6)&amp;"¦"&amp;INDEX(_xlpm.nd,7),"")))</f>
        <v/>
      </c>
      <c r="HR262" t="str">
        <f t="shared" si="598"/>
        <v/>
      </c>
      <c r="HS262" t="str">
        <f t="shared" si="599"/>
        <v/>
      </c>
      <c r="HT262" t="str">
        <f t="shared" si="600"/>
        <v>QFD38 → XT38</v>
      </c>
      <c r="HU262">
        <f t="shared" si="601"/>
        <v>0</v>
      </c>
      <c r="HV262">
        <f t="shared" si="602"/>
        <v>1</v>
      </c>
      <c r="HW262" t="str">
        <f t="shared" si="603"/>
        <v/>
      </c>
      <c r="HX262" t="str">
        <f t="shared" si="604"/>
        <v/>
      </c>
      <c r="HY262" t="str">
        <f t="shared" si="605"/>
        <v/>
      </c>
      <c r="HZ262" t="str">
        <f t="shared" si="606"/>
        <v/>
      </c>
      <c r="IA262" t="str">
        <f>IF(B262="","",IFERROR(VLOOKUP(B262,УГО_спр,2,FALSE),IFERROR(VLOOKUP(AX262,УГО_спр,2,FALSE),IFERROR(VLOOKUP(LEFT(AX262,2),УГО_спр,2,FALSE),""))))</f>
        <v>Розетка</v>
      </c>
      <c r="IB262" t="str">
        <f>IF(B262="","",IF(OR(IA262="",IA262=0),"BOX",IFERROR(IF(VLOOKUP(IA262,УГО_блоки,3,FALSE)&amp;""&lt;&gt;"",VLOOKUP(IA262,УГО_блоки,3,FALSE),VLOOKUP(IA262,УГО_блоки,2,FALSE)),IA262)))</f>
        <v>SOCKET</v>
      </c>
      <c r="IC262">
        <f t="shared" si="607"/>
        <v>1</v>
      </c>
      <c r="ID262" t="str">
        <f>IF(DA262="","",IF(COUNTIF(DA$3:DA262,DA262)=1,MAX(ID$2:ID261)+1,""))</f>
        <v/>
      </c>
      <c r="IE262" t="str">
        <f>IF(CO262="","",IF(COUNTIF(CO$3:CO262,CO262)+COUNTIF(CP$2:CP261,CO262)+COUNTIF(CQ$2:CQ261,CO262)=1,MAX(IE$2:IG261)+1,""))</f>
        <v/>
      </c>
      <c r="IF262" t="str">
        <f>IF(CP262="","",IF(COUNTIF(CO$3:CO262,CP262)+COUNTIF(CP$3:CP262,CP262)+COUNTIF(CQ$2:CQ261,CP262)=1,MAX(IE$2:IG261,IE262)+1,""))</f>
        <v/>
      </c>
      <c r="IG262" t="str">
        <f>IF(CQ262="","",IF(COUNTIF(CO$3:CO262,CQ262)+COUNTIF(CP$3:CP262,CQ262)+COUNTIF(CQ$3:CQ262,CQ262)=1,MAX(IE$2:IG261,IE262,IF262)+1,""))</f>
        <v/>
      </c>
      <c r="IH262" t="str">
        <f t="shared" si="608"/>
        <v>3х2,5</v>
      </c>
      <c r="II262" t="str">
        <f>IF(IH262="","",IF(COUNTIF(IH$3:IH262,IH262)=1,MAX(II$2:II261)+1,""))</f>
        <v/>
      </c>
      <c r="IJ262" t="str">
        <f>IF(GL262="","",COUNTIF(GL$3:GL262,"?*"))</f>
        <v/>
      </c>
      <c r="IK262" t="str">
        <f>IF(OR(GL262="",GN262=""),"",IF(COUNTIFS(GL$3:GL262,"?*",GN$3:GN262,GN262)=1,MAX(IK$2:IK261)+1,""))</f>
        <v/>
      </c>
      <c r="IL262">
        <f t="shared" si="609"/>
        <v>0</v>
      </c>
      <c r="IM262">
        <f>IF(B262="","",COUNTIF(B$3:B262,"?*"))</f>
        <v>260</v>
      </c>
      <c r="IN262">
        <f>IF(GQ262&lt;&gt;1,0,_xlfn.LET(_xlpm.k,MAX(IFERROR(--VLOOKUP(B262,УГО_спр,5,FALSE),0),IFERROR(--VLOOKUP(AX262,УГО_спр,5,FALSE),0),IFERROR(--VLOOKUP(LEFT(AX262,2),УГО_спр,5,FALSE),0)),IF(_xlpm.k&gt;0,_xlpm.k,IF(IFERROR(--LEFT(SUBSTITUTE(IH262,"x","х"),FIND("х",SUBSTITUTE(IH262,"x","х"))-1),3)&gt;3,Каталог!$S$9,1))))</f>
        <v>1</v>
      </c>
      <c r="IO262">
        <f t="shared" si="610"/>
        <v>0</v>
      </c>
      <c r="IP262" t="str">
        <f t="shared" si="611"/>
        <v>авто</v>
      </c>
      <c r="IQ262">
        <f t="shared" si="612"/>
        <v>30</v>
      </c>
      <c r="IR262">
        <f t="shared" si="613"/>
        <v>1</v>
      </c>
      <c r="IS262">
        <f t="shared" si="614"/>
        <v>1</v>
      </c>
    </row>
    <row r="263" spans="1:253" x14ac:dyDescent="0.3">
      <c r="A263" t="s">
        <v>759</v>
      </c>
      <c r="B263" t="s">
        <v>1528</v>
      </c>
      <c r="C263" t="str">
        <f>Линии[[#This Row],[_авто наименование]]</f>
        <v>Розеточная группа, пом. 017A</v>
      </c>
      <c r="D263">
        <v>2</v>
      </c>
      <c r="E263">
        <v>0.24</v>
      </c>
      <c r="G263" t="str">
        <f>Линии[[#This Row],[_авто автомат]]</f>
        <v>2P С16А 30мА</v>
      </c>
      <c r="H263">
        <f>Линии[[#This Row],[_авто утечка]]</f>
        <v>30</v>
      </c>
      <c r="I263" t="str">
        <f>Линии[[#This Row],[_авто управление]]</f>
        <v/>
      </c>
      <c r="J263" t="str">
        <f>Линии[[#This Row],[_авто аппараты]]</f>
        <v/>
      </c>
      <c r="K263">
        <v>2.5</v>
      </c>
      <c r="L263">
        <v>48</v>
      </c>
      <c r="M263" t="str">
        <f>Линии[[#This Row],[_авто фаза]]</f>
        <v>L1</v>
      </c>
      <c r="N263" t="str">
        <f>Линии[[#This Row],[_авто клемма]]</f>
        <v>XT39</v>
      </c>
      <c r="O263" t="str">
        <f t="shared" si="492"/>
        <v/>
      </c>
      <c r="P263" s="6" cm="1">
        <f t="array" ref="P263">IF(B263="","",IF(BC263&lt;&gt;"",IFERROR(_xlfn.XLOOKUP(BC263,Щиты[Щит],Щиты[Iр, А]),""),IF(BK263=1,IFERROR(_xlfn.XLOOKUP(A263,Щиты[Щит],Щиты[Iр, А]),""),IFERROR(_xlfn.IFS(BR263=1,BN263/((Uн_лин/SQRT(3))*BY263),BR263=3,BN263/(SQRT(3)*Uн_лин*BY263)),""))))</f>
        <v>1.0939268258329751</v>
      </c>
      <c r="Q263" s="7">
        <f>IF(B263="","",IFERROR(IF(VLOOKUP(AX263,Потребители_обозначение,4,FALSE)=1,VLOOKUP(AX263,Потребители_обозначение,3,FALSE)*(D263*2-1)+DS263+VLOOKUP(AZ263,Этаж_обозначение,3,FALSE)+VLOOKUP(AZ263,Этаж_обозначение,4,FALSE),VLOOKUP(AX263,Потребители_обозначение,3,FALSE)*(D263*2-1)+DS263),DS263))</f>
        <v>57</v>
      </c>
      <c r="R263" s="6">
        <f t="shared" si="493"/>
        <v>1.66</v>
      </c>
      <c r="S263" t="str">
        <f t="shared" si="494"/>
        <v>ВВГнг(А)-LS (3х2,5)</v>
      </c>
      <c r="T263" t="str">
        <f>IF(BH263="","",IF(BI263="вводной узел","узел ","")&amp;"л."&amp;(INT((BH263-1)/Столбцов_на_лист)+1)&amp;" / "&amp;(MOD(BH263-1,Столбцов_на_лист)+1))</f>
        <v>л.4 / 11</v>
      </c>
      <c r="V263">
        <v>1</v>
      </c>
      <c r="W263">
        <v>230</v>
      </c>
      <c r="X263" t="s">
        <v>564</v>
      </c>
      <c r="AC263" t="s">
        <v>815</v>
      </c>
      <c r="AE263" t="s">
        <v>563</v>
      </c>
      <c r="AI263">
        <v>62</v>
      </c>
      <c r="AJ263" t="s">
        <v>11</v>
      </c>
      <c r="AK263">
        <v>3</v>
      </c>
      <c r="AM263">
        <v>20</v>
      </c>
      <c r="AN263">
        <v>23</v>
      </c>
      <c r="AO263">
        <v>14</v>
      </c>
      <c r="AW263" cm="1">
        <f t="array" ref="AW263">ROW()-ROW(Линии[#Headers])</f>
        <v>261</v>
      </c>
      <c r="AX263" s="6" t="str">
        <f t="shared" si="495"/>
        <v>R</v>
      </c>
      <c r="AY263" t="str">
        <f t="shared" si="496"/>
        <v>1.017A.2</v>
      </c>
      <c r="AZ263" t="str">
        <f t="shared" si="497"/>
        <v>1</v>
      </c>
      <c r="BA263" t="str">
        <f t="shared" si="498"/>
        <v>017A.2</v>
      </c>
      <c r="BB263" t="str">
        <f t="shared" si="499"/>
        <v>017A</v>
      </c>
      <c r="BC263" t="str">
        <f>IF(U263&lt;&gt;"",U263,IF(AND(B263&lt;&gt;"",B263&lt;&gt;A263,ISNUMBER(_xlfn.XMATCH(B263,Щиты[Щит]))),B263,""))</f>
        <v/>
      </c>
      <c r="BD263" t="str" cm="1">
        <f t="array" ref="BD263">IF(B263="","",IF(BC263&lt;&gt;"","Щит "&amp;BC263,_xlfn.LET(_xlpm.nm,IFERROR(_xlfn.XLOOKUP(AX263,Коды_код,Коды_имя)&amp;"",""),_xlpm.md,IFERROR(N(_xlfn.XLOOKUP(AX263,Коды_код,Коды_режим)),1),_xlpm.ex,IF(Имя_режим="по экспликации",IFERROR(_xlfn.XLOOKUP(AZ263&amp;"|"&amp;BB263,Экспликация[Этаж]&amp;"|"&amp;Экспликация[Помещение],Экспликация[Название])&amp;"",""),""),_xlpm.rm,IF(BB263="","",IF(_xlpm.ex&lt;&gt;"",". "&amp;_xlpm.ex&amp;IF(Имя_пом="нет"," ("&amp;BB263&amp;")"," (пом. "&amp;BB263&amp;")"),IF(Имя_пом="нет"," ",", пом. ")&amp;BB263)),IF(_xlpm.nm="","",IF(_xlpm.md=2,_xlpm.nm&amp;" шлейф "&amp;AZ263,_xlpm.nm&amp;_xlpm.rm)))))</f>
        <v>Розеточная группа, пом. 017A</v>
      </c>
      <c r="BE263" t="str">
        <f t="shared" si="500"/>
        <v>Розеточная группа, пом. 017A</v>
      </c>
      <c r="BF263">
        <f>IFERROR(_xlfn.XMATCH(A263,Щиты[Щит]),0)</f>
        <v>10</v>
      </c>
      <c r="BG263">
        <f>_xlfn.LET(_xlpm.k,IFERROR(_xlfn.XLOOKUP(A263,Щиты[Щит],Щиты[Листов под вводной узел]),""),IF(_xlpm.k="",1,N(_xlpm.k))*Столбцов_на_лист)</f>
        <v>17</v>
      </c>
      <c r="BH263">
        <f t="shared" si="501"/>
        <v>62</v>
      </c>
      <c r="BI263" t="str">
        <f t="shared" si="502"/>
        <v>линии</v>
      </c>
      <c r="BJ263" s="6">
        <f>IFERROR(N(_xlfn.XLOOKUP(AX263,Коды_код,Коды_квт)),0)</f>
        <v>0</v>
      </c>
      <c r="BK263">
        <f t="shared" si="503"/>
        <v>0</v>
      </c>
      <c r="BL263" t="str">
        <f>IF(B263="","",IF(BC263&lt;&gt;"",IFERROR(_xlfn.XLOOKUP(BC263,Щиты[Щит],Щиты[Руст, кВт]),0),IF(BK263=1,IFERROR(_xlfn.XLOOKUP(A263,Щиты[Щит],Щиты[Руст, кВт]),0),IF(BJ263&gt;0,ROUND(BJ263*MAX(1,N(D263)),3),""))))</f>
        <v/>
      </c>
      <c r="BM263">
        <f t="shared" si="504"/>
        <v>0.24</v>
      </c>
      <c r="BN263" s="6">
        <f>IF(B263="","",IF(BC263&lt;&gt;"",IFERROR(_xlfn.XLOOKUP(BC263,Щиты[Щит],Щиты[Руст, кВт]),0),N(BM263)))</f>
        <v>0.24</v>
      </c>
      <c r="BO263" t="str">
        <f>IF(B263="","",IFERROR(IF(VLOOKUP(AX263,Потребители_обозначение,8,FALSE)=0,"",VLOOKUP(AX263,Потребители_обозначение,8,FALSE)),""))</f>
        <v/>
      </c>
      <c r="BP263">
        <f t="shared" si="505"/>
        <v>230</v>
      </c>
      <c r="BQ263">
        <f>IF(B263="","",IF(BC263&lt;&gt;"",3,IFERROR(IF(N(VLOOKUP(AX263,Потребители_обозначение,9,FALSE))=0,1,VLOOKUP(AX263,Потребители_обозначение,9,FALSE)),1)))</f>
        <v>1</v>
      </c>
      <c r="BR263">
        <f t="shared" si="506"/>
        <v>1</v>
      </c>
      <c r="BS263" t="str">
        <f>IF(B263="","",_xlfn.LET(_xlpm.bc,IFERROR(IF(VLOOKUP(AX263,Потребители_обозначение,6,FALSE)=0,"",VLOOKUP(AX263,Потребители_обозначение,6,FALSE)&amp;""),""),IF(AND(FK263="да",OR(_xlpm.bc="",_xlpm.bc="мс")),Марка_пож,IF(AND(_xlpm.bc="",BC263&lt;&gt;""),"мс",_xlpm.bc))))</f>
        <v/>
      </c>
      <c r="BT263" t="str">
        <f t="shared" si="507"/>
        <v>мс</v>
      </c>
      <c r="BU263">
        <f>IF(B263="","",_xlfn.LET(_xlpm.cc,IFERROR(N(VLOOKUP(AX263,Потребители_обозначение,7,FALSE)),0),IF(_xlpm.cc&gt;0,_xlpm.cc,IF(BT263="","",IF(N(BR263)=3,5,3)))))</f>
        <v>3</v>
      </c>
      <c r="BV263">
        <f t="shared" si="508"/>
        <v>3</v>
      </c>
      <c r="BW263">
        <f>IFERROR(N(VLOOKUP(AX263,Потребители_обозначение,10,FALSE)),0)</f>
        <v>0</v>
      </c>
      <c r="BX263">
        <f>IFERROR(VLOOKUP(AX263,Потребители_обозначение,5,FALSE),0)</f>
        <v>1</v>
      </c>
      <c r="BY263" s="6" cm="1">
        <f t="array" ref="BY263">IF(B263="","",IF(BC263&lt;&gt;"",IFERROR(_xlfn.XLOOKUP(BC263,Щиты[Щит],Щиты[cos φ]),0.95),IF(BK263=1,IFERROR(_xlfn.XLOOKUP(A263,Щиты[Щит],Щиты[cos φ]),0.95),IF(ISNUMBER(Z263),Z263,IFERROR(IF(BX263=2,_xlfn.IFS(BR263=3,VLOOKUP(BN263,Справочная_двигатели,8,FALSE),BR263=1,VLOOKUP(BN263,Справочная_двигатели,10,TRUE)),IF(AND(Методика="нормы 2026",EQ263="Сил"),0.8,0.95)),0.95)))))</f>
        <v>0.95</v>
      </c>
      <c r="BZ263">
        <f t="shared" si="509"/>
        <v>0</v>
      </c>
      <c r="CA263">
        <f t="shared" si="510"/>
        <v>1</v>
      </c>
      <c r="CB263">
        <f t="shared" si="511"/>
        <v>0</v>
      </c>
      <c r="CC263">
        <f t="shared" si="512"/>
        <v>0</v>
      </c>
      <c r="CD263">
        <f t="shared" si="513"/>
        <v>0</v>
      </c>
      <c r="CE263">
        <f t="shared" si="514"/>
        <v>0</v>
      </c>
      <c r="CF263">
        <f t="shared" si="515"/>
        <v>0</v>
      </c>
      <c r="CG263">
        <f>IF(AX263="",0,_xlfn.LET(_xlpm.v,IFERROR(VLOOKUP(B263,УГО_спр,3,FALSE),IFERROR(VLOOKUP(AX263,УГО_спр,3,FALSE),IFERROR(VLOOKUP(LEFT(AX263,2),УГО_спр,3,FALSE),""))),IF(_xlpm.v="да",30,IF(ISNUMBER(_xlpm.v),_xlpm.v,0))))</f>
        <v>30</v>
      </c>
      <c r="CH263">
        <f t="shared" si="516"/>
        <v>30</v>
      </c>
      <c r="CI263" t="str">
        <f>_xlfn.LET(_xlpm.k,IFERROR(_xlfn.XLOOKUP(AX263,Коды_код,Коды_утечка)&amp;"",""),IF(_xlpm.k="","дифавтомат",_xlpm.k))</f>
        <v>дифавтомат</v>
      </c>
      <c r="CJ263">
        <f t="shared" si="517"/>
        <v>30</v>
      </c>
      <c r="CK263">
        <f t="shared" si="518"/>
        <v>30</v>
      </c>
      <c r="CL263">
        <f>IF(B263="",0,IFERROR(--VLOOKUP(B263,УГО_спр,4,FALSE),IFERROR(--VLOOKUP(AX263,УГО_спр,4,FALSE),IFERROR(--VLOOKUP(LEFT(AX263,2),УГО_спр,4,FALSE),0))))</f>
        <v>16</v>
      </c>
      <c r="CM263" t="str">
        <f>IF(B263="","",IFERROR(_xlfn.XLOOKUP(AX263,Коды_код,Коды_апп)&amp;"",""))</f>
        <v/>
      </c>
      <c r="CN263" t="str">
        <f t="shared" si="519"/>
        <v/>
      </c>
      <c r="CO263" t="str" cm="1">
        <f t="array" ref="CO263">IF(TRIM(CN263&amp;"")="","",IFERROR(TRIM(INDEX(_xlfn.TEXTSPLIT(CN263&amp;";;;",";"),1)),""))</f>
        <v/>
      </c>
      <c r="CP263" t="str" cm="1">
        <f t="array" ref="CP263">IF(TRIM(CN263&amp;"")="","",IFERROR(TRIM(INDEX(_xlfn.TEXTSPLIT(CN263&amp;";;;",";"),2)),""))</f>
        <v/>
      </c>
      <c r="CQ263" t="str" cm="1">
        <f t="array" ref="CQ263">IF(TRIM(CN263&amp;"")="","",IFERROR(TRIM(INDEX(_xlfn.TEXTSPLIT(CN263&amp;";;;",";"),3)),""))</f>
        <v/>
      </c>
      <c r="CR263">
        <f t="shared" si="520"/>
        <v>0</v>
      </c>
      <c r="CS263" t="str">
        <f>IF(B263="","",_xlfn.LET(_xlpm.t,LOWER(AV263&amp;""),IF(ISNUMBER(SEARCH("dim",_xlpm.t)),"DIM",IF(ISNUMBER(SEARCH("dali",_xlpm.t)),"DALI",IF(OR(ISNUMBER(SEARCH("relay",_xlpm.t)),ISNUMBER(SEARCH("реле",_xlpm.t))),"Relay",IF(ISNUMBER(SEARCH("кнопк",_xlpm.t)),"",IFERROR(_xlfn.XLOOKUP(AX263,Коды_код,Коды_упр)&amp;"","")))))))</f>
        <v/>
      </c>
      <c r="CT263" t="str">
        <f t="shared" si="521"/>
        <v/>
      </c>
      <c r="CU263">
        <f>IF(B263="","",_xlfn.LET(_xlpm.ig,N(P263)+IF(AF263="вручную",0,N(CB263)),_xlpm.n0,IFERROR(VLOOKUP(_xlpm.ig,Автомат_номиналы,2,TRUE),0),_xlpm.mn,MAX(CL263,IF(AF263="вручную",0,N(CE263))),MAX(_xlpm.n0,_xlpm.mn,IF(CR263=1,Мин_автомат_БП,0))))</f>
        <v>16</v>
      </c>
      <c r="CV263">
        <f t="shared" si="522"/>
        <v>1</v>
      </c>
      <c r="CW263" t="str">
        <f t="shared" si="523"/>
        <v>2P</v>
      </c>
      <c r="CX263" t="str">
        <f>_xlfn.LET(_xlpm.cc,UPPER(TRIM(IFERROR(_xlfn.XLOOKUP(AX263,Коды_код,Коды_хар)&amp;"",""))),IF(OR(_xlpm.cc="B",_xlpm.cc="В"),"B",IF(_xlpm.cc="D","D","С")))</f>
        <v>С</v>
      </c>
      <c r="CY263" t="str">
        <f t="shared" si="524"/>
        <v>2P С16А 30мА</v>
      </c>
      <c r="CZ263" t="str">
        <f t="shared" si="525"/>
        <v>2P С16А 30мА</v>
      </c>
      <c r="DA263" t="str">
        <f t="shared" si="526"/>
        <v>2P С16А 30мА</v>
      </c>
      <c r="DB263" cm="1">
        <f t="array" ref="DB263">IF(DA263="","",_xlfn.LET(_xlpm.t,SUBSTITUTE(SUBSTITUTE(SUBSTITUTE(UPPER(DA263),"С","C"),"А","A"),"В","B"),_xlpm.tk,_xlfn.TEXTSPLIT(_xlpm.t,"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3" t="str">
        <f t="shared" si="527"/>
        <v>ok</v>
      </c>
      <c r="DD263">
        <f t="shared" si="528"/>
        <v>16</v>
      </c>
      <c r="DE263" t="str">
        <f t="shared" si="529"/>
        <v>2P С16А 30мА</v>
      </c>
      <c r="DF263">
        <f t="shared" si="530"/>
        <v>30</v>
      </c>
      <c r="DG263">
        <f t="shared" si="531"/>
        <v>1</v>
      </c>
      <c r="DH263">
        <f t="shared" si="532"/>
        <v>0</v>
      </c>
      <c r="DI263">
        <f t="shared" si="533"/>
        <v>1.0939268258329751</v>
      </c>
      <c r="DJ263">
        <f t="shared" si="534"/>
        <v>1</v>
      </c>
      <c r="DK263">
        <f>IF(ISNUMBER(AL263),AL263,К_прокл)</f>
        <v>1</v>
      </c>
      <c r="DL263">
        <f t="shared" si="535"/>
        <v>2</v>
      </c>
      <c r="DM263">
        <f>IFERROR(N(VLOOKUP(BT263,Кабель_обозначение,3,FALSE)),1)</f>
        <v>1</v>
      </c>
      <c r="DN263">
        <f>IFERROR(N(_xlfn.XLOOKUP(A263,Щиты[Щит],Щиты[ΔU до шин, %])),0)</f>
        <v>1.19</v>
      </c>
      <c r="DO263" t="str">
        <f>IFERROR(_xlfn.XLOOKUP(A263,Щиты[Щит],Щиты[Zпетли на шинах, Ом]),"")</f>
        <v/>
      </c>
      <c r="DP263">
        <f>IFERROR(N(_xlfn.XLOOKUP(A263,Щиты[Щит],Щиты[ΔU до шин (подбор), %])),0)</f>
        <v>1.19</v>
      </c>
      <c r="DQ263" t="str">
        <f>IFERROR(_xlfn.XLOOKUP(A263,Щиты[Щит],Щиты[Zпетли на шинах (подбор), Ом]),"")</f>
        <v/>
      </c>
      <c r="DR263" t="str">
        <f t="shared" si="536"/>
        <v/>
      </c>
      <c r="DS263">
        <f t="shared" si="537"/>
        <v>48</v>
      </c>
      <c r="DT263">
        <f t="shared" si="538"/>
        <v>2</v>
      </c>
      <c r="DU263">
        <f t="shared" si="539"/>
        <v>0.31</v>
      </c>
      <c r="DV263" s="6">
        <f>IF(B263="","",IF(IFERROR(VLOOKUP(AX263,УГО_спр,2,FALSE),"")="Светильник",3,4)+IF(Методика="нормы 2026",MIN(0.5,MAX(0,N(Q263)-100)*0.005),0))</f>
        <v>4</v>
      </c>
      <c r="DW263" cm="1">
        <f t="array" ref="DW263">IF(OR(B263="",BT263="",DM263&lt;&gt;1),"",_xlfn.LET(_xlpm.sz,Iдоп_S,_xlpm.t_,CHOOSE(DL263,Iдоп_1ж,Iдоп_2ж,Iдоп_3ж)*DJ263*DK263,_xlpm.inn,N(DD263),_xlpm.smin,MAX(1.5,BW263),_xlpm.L_,N(Q263)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263)*(_xlpm.rho*_xlpm.L_/_xlpm.sz*N(BY263)+_xlpm.xx*_xlpm.L_*N(DU263)/1000)*N(P263)/((Uн_лин/SQRT(3))*1000)*100,999),_xlpm.kz,IF(OR(DG263=1,NOT(ISNUMBER(DQ263)),_xlpm.L_=0,_xlpm.inn=0),1,IFERROR(--(c_min*(Uн_лин*1000/SQRT(3))/(DQ263+2*ρкз_Cu*_xlpm.L_/_xlpm.sz)&gt;=GY263*_xlpm.inn),0)),_xlpm.ok,IFERROR((_xlpm.sz&gt;=_xlpm.smin)*(_xlpm.t_&gt;=_xlpm.inn)*IF(_xlpm.L_&gt;0,(_xlpm.du_+DP263&lt;=DV263+0.00001),1)*_xlpm.kz,0),_xlpm.r_,_xlfn._xlws.FILTER(_xlpm.sz,_xlpm.ok,"не подобрано"),INDEX(_xlpm.r_,1)))</f>
        <v>1.5</v>
      </c>
      <c r="DX263">
        <f t="shared" si="540"/>
        <v>2.5</v>
      </c>
      <c r="DY263" cm="1">
        <f t="array" ref="DY263">IF(OR(B263="",BT263="",DM263&lt;&gt;1),"",_xlfn.LET(_xlpm.sz,Iдоп_S,_xlpm.t_,CHOOSE(DL263,Iдоп_1ж,Iдоп_2ж,Iдоп_3ж)*DJ263*DK263,_xlpm.ok,IFERROR((_xlpm.sz&gt;=MAX(1.5,BW263))*(_xlpm.t_&gt;=N(DD263)),0),_xlpm.r_,_xlfn._xlws.FILTER(_xlpm.sz,_xlpm.ok,""),INDEX(_xlpm.r_,1)))</f>
        <v>1.5</v>
      </c>
      <c r="DZ263" s="6" cm="1">
        <f t="array" ref="DZ263">IFERROR(ROUNDUP(N(DT263)*(_xlfn.XLOOKUP(DY263,INDEX(Кабель_сопротивление,0,1),INDEX(Кабель_сопротивление,0,3))*N(Q263)/DY263*N(BY263)+_xlfn.XLOOKUP(DY263,INDEX(Кабель_сопротивление,0,1),INDEX(Кабель_сопротивление,0,2))*N(Q263)*N(DU263)/1000)*N(P263)/((Uн_лин/SQRT(3))*1000)*100,2),"")</f>
        <v>0.78</v>
      </c>
      <c r="EA263">
        <f>IFERROR(2*ρкз_Cu*N(Q263)/DY263,"")</f>
        <v>1.9988000000000001</v>
      </c>
      <c r="EB263">
        <f>IFERROR(VLOOKUP(DX263,Кабель_сопротивление,3,FALSE),"")</f>
        <v>2.2499999999999999E-2</v>
      </c>
      <c r="EC263">
        <f>IFERROR(VLOOKUP(DX263,Кабель_сопротивление,2,FALSE),"")</f>
        <v>0.1</v>
      </c>
      <c r="ED263">
        <f t="shared" si="541"/>
        <v>23</v>
      </c>
      <c r="EE263">
        <f t="shared" si="542"/>
        <v>14</v>
      </c>
      <c r="EF263">
        <f t="shared" si="543"/>
        <v>1.0701164145418947</v>
      </c>
      <c r="EG263" s="6">
        <f>IFERROR(ROUNDUP(EF263/((Uн_лин/SQRT(3))*1000)*100,2),"")</f>
        <v>0.47000000000000003</v>
      </c>
      <c r="EH263" t="str">
        <f>IFERROR(VLOOKUP(BT263,Кабель_обозначение,2,FALSE),"")</f>
        <v>ВВГнг(А)-LS</v>
      </c>
      <c r="EI263" t="str">
        <f t="shared" si="544"/>
        <v>ВВГнг(А)-LS (3х2,5)</v>
      </c>
      <c r="EJ263" t="str">
        <f t="shared" si="545"/>
        <v>ВВГнг(А)-LS (3х2,5)
L=57-0,47%</v>
      </c>
      <c r="EK263">
        <f>IFERROR(2*ρкз_Cu*Q263/DX263,"")</f>
        <v>1.1992800000000001</v>
      </c>
      <c r="EL263">
        <f t="shared" si="546"/>
        <v>0.39900000000000002</v>
      </c>
      <c r="EM263" s="6" t="str">
        <f>IFERROR(IF(OR(B263="",NOT(ISNUMBER(DX263)),N(Q263)=0),"",_xlfn.XLOOKUP(A263,Щиты[Щит],Щиты[Zпетли на шинах, Ом])+EK263),"")</f>
        <v/>
      </c>
      <c r="EN263" s="6" t="str">
        <f>IF(ISNUMBER(EM263),c_min*(Uн_лин*1000/SQRT(3))/EM263,"")</f>
        <v/>
      </c>
      <c r="EO263" s="6" t="str">
        <f>IFERROR(IF(OR(B263="",NOT(ISNUMBER(DX263))),"",1.05*(Uн_лин*1000/SQRT(3))/(_xlfn.XLOOKUP(A263,Щиты[Щит],Щиты[Zmax на шинах, Ом])+EL263)/1000),"")</f>
        <v/>
      </c>
      <c r="EP263" s="6" t="str">
        <f>IF(B263="","",IF(ISNUMBER(Y263),"Сил",IF(IFERROR(_xlfn.XLOOKUP(AX263,Коды_код,Коды_группа)&amp;"","")="","Быт",_xlfn.XLOOKUP(AX263,Коды_код,Коды_группа)&amp;"")))</f>
        <v>Быт</v>
      </c>
      <c r="EQ263" s="6" t="str">
        <f t="shared" si="547"/>
        <v>Быт</v>
      </c>
      <c r="ER263" s="6">
        <f>IF(EQ263="Щит","щит",IF(EQ263="","",IF(EQ263="Быт",IFERROR(_xlfn.XLOOKUP(A263,Щиты[Щит],Щиты[Кс быт]),1),IF(EQ263="Сил",IF(ISNUMBER(Y263),Y263,IF(Методика="нормы 2026",IFERROR(_xlfn.XLOOKUP(A263,Щиты[Щит],Щиты[Кс силовых (табл. 7.5)]),1),1)),IF(OR(EQ263="Пост",EQ263="Отоп"),1,IF(EQ263="ВНГ",0.7,0))))))</f>
        <v>0.57830000000000004</v>
      </c>
      <c r="ES263">
        <f t="shared" si="548"/>
        <v>1</v>
      </c>
      <c r="ET263">
        <f t="shared" si="549"/>
        <v>0.24</v>
      </c>
      <c r="EU263">
        <f t="shared" si="550"/>
        <v>0.24</v>
      </c>
      <c r="EV263">
        <f t="shared" si="551"/>
        <v>0</v>
      </c>
      <c r="EW263">
        <f t="shared" si="552"/>
        <v>0</v>
      </c>
      <c r="EX263">
        <f t="shared" si="553"/>
        <v>0</v>
      </c>
      <c r="EY263">
        <f t="shared" si="554"/>
        <v>0</v>
      </c>
      <c r="EZ263">
        <f t="shared" si="555"/>
        <v>0.24</v>
      </c>
      <c r="FA263">
        <f t="shared" si="556"/>
        <v>0.22799999999999998</v>
      </c>
      <c r="FB263">
        <f t="shared" si="557"/>
        <v>0.24</v>
      </c>
      <c r="FC263" t="str">
        <f t="shared" si="558"/>
        <v/>
      </c>
      <c r="FD263" t="str">
        <f>IF(B263="","",IF(CA263=0,IF(AW263=1,"",FF262),IF(OR(N(CV263)&gt;=3,N(BR263)&gt;=3),"L1,L2,L3",IFERROR(_xlfn.TEXTBEFORE(_xlfn.TEXTAFTER(_xlfn.XLOOKUP(A263,Щиты[Щит],Щиты[_фазы авто]),";"&amp;AW263&amp;":"),";"),"L1"))))</f>
        <v>L1</v>
      </c>
      <c r="FE263" t="str">
        <f t="shared" si="559"/>
        <v>L1</v>
      </c>
      <c r="FF263" t="str">
        <f t="shared" si="560"/>
        <v>L1</v>
      </c>
      <c r="FG263" cm="1">
        <f t="array" ref="FG263">IFERROR(IF(BX263=2,_xlfn.IFS(BR263=3,VLOOKUP(BN263,Справочная_двигатели,3,FALSE),BR263=1,VLOOKUP(BN263,Справочная_двигатели,5,TRUE)),0),0)</f>
        <v>0</v>
      </c>
      <c r="FH263">
        <f>IFERROR(IF(BX263=3,VLOOKUP(BN263,Справочная_ЛЭД,2,TRUE),0),0)</f>
        <v>0</v>
      </c>
      <c r="FI263" s="6">
        <f t="shared" si="561"/>
        <v>0</v>
      </c>
      <c r="FJ263" t="str" cm="1">
        <f t="array" ref="FJ263">IF(B263="","",IFERROR(INDEX({"I особая","I","II","III"},MATCH(TRIM(AC263&amp;""),{"I особая","I","II","III"},0)),"III"))</f>
        <v>II</v>
      </c>
      <c r="FK263" t="str">
        <f>IF(B263="","",IF(TRIM(AD263&amp;"")&lt;&gt;"",IF(LOWER(TRIM(AD263&amp;""))="да","да","нет"),IF(IFERROR(_xlfn.XLOOKUP(AX263,Коды_код,Коды_пожарная),"")="да","да","нет")))</f>
        <v>нет</v>
      </c>
      <c r="FL263" t="str">
        <f t="shared" si="562"/>
        <v/>
      </c>
      <c r="FM263" t="str">
        <f t="shared" si="563"/>
        <v>основная</v>
      </c>
      <c r="FN263">
        <f t="shared" si="564"/>
        <v>1</v>
      </c>
      <c r="FO263" t="str" cm="1">
        <f t="array" ref="FO263">IF(B263="","",_xlfn.LET(_xlpm.t,IFERROR(_xlfn.XLOOKUP(1,(Шины[Шина]=FM263)*(((Шины[Щит]=A263)+(Шины[Щит]=""))&gt;0),Шины[Тип]),"")&amp;"",IF(_xlpm.t&lt;&gt;"",_xlpm.t,IF(ISNUMBER(SEARCH("ИБП",FM263)),"ИБП",IF(ISNUMBER(SEARCH("ДГУ",FM263)),"ДГУ","Ввод "&amp;FN263)))))</f>
        <v>Ввод 1</v>
      </c>
      <c r="FP263" t="str">
        <f t="shared" si="565"/>
        <v>Ввод 1</v>
      </c>
      <c r="FQ263" t="str">
        <f>IF(B263="","",IF(OR(FO263="ИБП",FO263="ДГУ"),"I особая",IF(FO263="Одиночная","III",_xlfn.XLOOKUP(A263,Щиты[Щит],Щиты[Категория шины «Ввод»],"III"))))</f>
        <v>II</v>
      </c>
      <c r="FR263">
        <f>IF(B263="",0,IFERROR(MATCH(FJ263,{"III","II","I","I особая"},0),1))</f>
        <v>2</v>
      </c>
      <c r="FS263">
        <f t="shared" si="566"/>
        <v>2</v>
      </c>
      <c r="FT263" t="str">
        <f>IF(B263="","",IF(FR263&gt;IFERROR(MATCH(FQ263,{"III","II","I","I особая"},0),1),"НЕ ОБЕСПЕЧЕНА","ОК"))</f>
        <v>ОК</v>
      </c>
      <c r="FU263" t="str">
        <f>IF(A263="","",_xlfn.XLOOKUP(A263,Щиты[Щит],Щиты[Путь],""))</f>
        <v>|ГРЩ-ЖД|ЩР-1|</v>
      </c>
      <c r="FV263" t="str">
        <f>IF(B263="","",IF(AE263&lt;&gt;"",AE263,IF(IFERROR(_xlfn.XLOOKUP(AX263,Коды_код,Коды_вид)&amp;"","")="","Прочее",_xlfn.XLOOKUP(AX263,Коды_код,Коды_вид)&amp;"")))</f>
        <v>Розеточная сеть и бытовые приборы</v>
      </c>
      <c r="FW263">
        <f>IF(BH263="","",INT((BH263-1)/Столбцов_на_лист)+1)</f>
        <v>4</v>
      </c>
      <c r="FX263" t="str">
        <f t="shared" si="567"/>
        <v>ВВГнг(А)-LS (3х2,5) L=57-0,47%</v>
      </c>
      <c r="FY263">
        <f t="shared" si="568"/>
        <v>0.24</v>
      </c>
      <c r="FZ263">
        <f t="shared" si="569"/>
        <v>1.1000000000000001</v>
      </c>
      <c r="GA263">
        <f t="shared" si="570"/>
        <v>1</v>
      </c>
      <c r="GB263">
        <f t="shared" si="571"/>
        <v>0</v>
      </c>
      <c r="GC263">
        <f t="shared" si="572"/>
        <v>1</v>
      </c>
      <c r="GD263">
        <f>IF(BH263="","",IF(AND(CA263=1,GC263=1),COUNTIFS(A$3:A263,A263,CA$3:CA263,1,GC$3:GC263,1),IF(OR(OR(AW263=1,A263&lt;&gt;A262),AF263="вручную",GC263=0),"",IF(AW263=1,"",GE262))))</f>
        <v>39</v>
      </c>
      <c r="GE263">
        <f t="shared" si="573"/>
        <v>39</v>
      </c>
      <c r="GF263">
        <f>IF(B263="","",IFERROR(LOOKUP(INDEX(CHOOSE(DL263,Iдоп_1ж,Iдоп_2ж,Iдоп_3ж),MATCH(DX263,Iдоп_S,0))*DJ263*DK263,{6,10,16,20,25,32,40,50,63,80,100,125,160,200,250,315,400,500,630}),""))</f>
        <v>25</v>
      </c>
      <c r="GG263" t="str">
        <f t="shared" si="574"/>
        <v>QFD39</v>
      </c>
      <c r="GH263" t="str">
        <f t="shared" si="575"/>
        <v>QFD39</v>
      </c>
      <c r="GI263" t="str">
        <f t="shared" si="576"/>
        <v/>
      </c>
      <c r="GJ263">
        <f t="shared" si="577"/>
        <v>0</v>
      </c>
      <c r="GK263" t="str">
        <f>IF(OR(AG263="",AG263="-"),"",IFERROR(VLOOKUP(AG263,Модули_спр,2,FALSE),"R"))</f>
        <v/>
      </c>
      <c r="GL263" t="str">
        <f>IF(GK263="","",GK263&amp;"."&amp;COUNTIFS(A$3:A263,A263,GK$3:GK263,GK263))</f>
        <v/>
      </c>
      <c r="GM263" t="str">
        <f t="shared" si="578"/>
        <v/>
      </c>
      <c r="GN263" t="str">
        <f t="shared" si="579"/>
        <v/>
      </c>
      <c r="GO263" t="str">
        <f t="shared" si="580"/>
        <v/>
      </c>
      <c r="GP263" t="str">
        <f t="shared" si="581"/>
        <v/>
      </c>
      <c r="GQ263">
        <f t="shared" si="582"/>
        <v>1</v>
      </c>
      <c r="GR263" t="str">
        <f>IF(GQ263=1,"XT"&amp;COUNTIFS(A$3:A263,A263,GQ$3:GQ263,1),"")</f>
        <v>XT39</v>
      </c>
      <c r="GS263" t="str">
        <f t="shared" si="583"/>
        <v>XT39</v>
      </c>
      <c r="GT263" t="str">
        <f t="shared" si="584"/>
        <v>QFD39</v>
      </c>
      <c r="GU263" t="str">
        <f t="shared" si="585"/>
        <v/>
      </c>
      <c r="GV263" t="str">
        <f t="shared" si="586"/>
        <v>ok</v>
      </c>
      <c r="GW263" t="str">
        <f>IF(OR(GO263="",GM263=""),"",IF(GO263&gt;IFERROR(VLOOKUP(GN263,Модули_спр,3,FALSE),99),"ЛИШНИЙ КАНАЛ",IF(AND(AH263&lt;&gt;"=",COUNTIFS(Линии[_модуль гр.],GM263,Линии[Канал (итог)],GO263,Линии[Канал],"&lt;&gt;=",Линии[Щит],A263)&gt;1),"ДУБЛЬ КАНАЛА","")))</f>
        <v/>
      </c>
      <c r="GX263" s="6" t="str">
        <f t="shared" si="587"/>
        <v/>
      </c>
      <c r="GY263">
        <f t="shared" si="588"/>
        <v>10</v>
      </c>
      <c r="GZ263" t="str">
        <f t="shared" si="589"/>
        <v/>
      </c>
      <c r="HA263" t="str">
        <f>IF(AND(B263="",GT263=""),"",_xlfn.TEXTJOIN("; ",TRUE,IF(AND(B263&lt;&gt;"",FE263=""),"нет фазы",""),IF(AND(B263&lt;&gt;"",N(FY263)=0,EQ263&lt;&gt;"Нет"),"нет мощности",""),IF(AND(GS263&lt;&gt;"",COUNTIFS(Линии[Щит],A263,Линии[Клемма (итог)],GS263)&gt;1),"дубль клеммы "&amp;GS263,""),IF(AND(GV263&lt;&gt;"",GV263&lt;&gt;"ok"),GV263,""),IF(GW263&lt;&gt;"",GW263,""),IF(AND(N(BV263)&gt;=4,N(BR263)=1),BV263&amp;" жил на 1 фазе",""),IF(AND(AX263="R",CA263=1,OR(N(CK263)=0,N(CK263)&gt;30)),"розетка без дифзащиты до 30 мА",""),IFERROR(IF(AND(ISNUMBER(R263),R263&gt;DV263),"потери "&amp;FIXED(R263,1)&amp;" % &gt; "&amp;DV263&amp;" %",""),""),IFERROR(IF(LEFT(GZ263,4)="мало","Iкз мало — отключение &gt; 0,4 с",""),""),IF(AND(B263&lt;&gt;"",BH263=""),"не на схеме",""),IF(AND(CA263=0,B263&lt;&gt;"",FE263&lt;&gt;"",IF(AW263=1,"",FF262)&lt;&gt;"",FE263&lt;&gt;IF(AW263=1,"",FF262)),"фаза не как у автомата группы ("&amp;IF(AW263=1,"",FF262)&amp;")","")))</f>
        <v/>
      </c>
      <c r="HB263" s="6">
        <f>IF(OR(CA263=0,DA263=""),"",_xlfn.LET(_xlpm.t,IFERROR(_xlfn.XLOOKUP(DA263,Каталог!$U$4:$U$500,Каталог!$G$4:$G$500),""),_xlpm.k,SEARCH("кА",_xlpm.t),IFERROR(--TRIM(RIGHT(SUBSTITUTE(MID(_xlpm.t,MAX(1,_xlpm.k-4),_xlpm.k-MAX(1,_xlpm.k-4))," ",REPT(" ",9)),5)),"")))</f>
        <v>6</v>
      </c>
      <c r="HC263" t="str">
        <f>IF(OR(HB263="",CA263=0),"",IF(_xlfn.XLOOKUP(A263,Щиты[Щит],Щиты[Iкз max на шинах, кА],"")="","",IF(HB263&lt;_xlfn.XLOOKUP(A263,Щиты[Щит],Щиты[Iкз max на шинах, кА]),"Icu "&amp;HB263&amp;" кА &lt; Iкз max","ok")))</f>
        <v/>
      </c>
      <c r="HD263" t="str">
        <f t="shared" si="590"/>
        <v/>
      </c>
      <c r="HE263" t="str">
        <f t="shared" si="591"/>
        <v>QFD39|XT39</v>
      </c>
      <c r="HF263" t="str">
        <f t="shared" si="592"/>
        <v>QFD39|XT39|кабель ВВГнг(А)-LS (3х2,5) → Розеточная группа, пом. 017A</v>
      </c>
      <c r="HG263" t="str" cm="1">
        <f t="array" ref="HG263">IF(HF263="","",_xlfn.LET(_xlpm.nd,_xlfn.TEXTSPLIT(HF263,"|"),IF(COLUMNS(_xlpm.nd)&gt;1,A263&amp;"¦"&amp;INDEX(_xlpm.nd,1)&amp;"¦"&amp;INDEX(_xlpm.nd,2),"")))</f>
        <v>ЩР-1¦QFD39¦XT39</v>
      </c>
      <c r="HH263" t="str">
        <f t="shared" si="593"/>
        <v>R.1.017A.2¦Розеточная группа, пом. 017A</v>
      </c>
      <c r="HI263" t="str" cm="1">
        <f t="array" ref="HI263">IF(HF263="","",_xlfn.LET(_xlpm.nd,_xlfn.TEXTSPLIT(HF263,"|"),IF(COLUMNS(_xlpm.nd)&gt;2,A263&amp;"¦"&amp;INDEX(_xlpm.nd,2)&amp;"¦"&amp;INDEX(_xlpm.nd,3),"")))</f>
        <v>ЩР-1¦XT39¦кабель ВВГнг(А)-LS (3х2,5) → Розеточная группа, пом. 017A</v>
      </c>
      <c r="HJ263" t="str">
        <f t="shared" si="594"/>
        <v>R.1.017A.2¦Розеточная группа, пом. 017A</v>
      </c>
      <c r="HK263" t="str" cm="1">
        <f t="array" ref="HK263">IF(HF263="","",_xlfn.LET(_xlpm.nd,_xlfn.TEXTSPLIT(HF263,"|"),IF(COLUMNS(_xlpm.nd)&gt;3,A263&amp;"¦"&amp;INDEX(_xlpm.nd,3)&amp;"¦"&amp;INDEX(_xlpm.nd,4),"")))</f>
        <v/>
      </c>
      <c r="HL263" t="str">
        <f t="shared" si="595"/>
        <v/>
      </c>
      <c r="HM263" t="str" cm="1">
        <f t="array" ref="HM263">IF(HF263="","",_xlfn.LET(_xlpm.nd,_xlfn.TEXTSPLIT(HF263,"|"),IF(COLUMNS(_xlpm.nd)&gt;4,A263&amp;"¦"&amp;INDEX(_xlpm.nd,4)&amp;"¦"&amp;INDEX(_xlpm.nd,5),"")))</f>
        <v/>
      </c>
      <c r="HN263" t="str">
        <f t="shared" si="596"/>
        <v/>
      </c>
      <c r="HO263" t="str" cm="1">
        <f t="array" ref="HO263">IF(HF263="","",_xlfn.LET(_xlpm.nd,_xlfn.TEXTSPLIT(HF263,"|"),IF(COLUMNS(_xlpm.nd)&gt;5,A263&amp;"¦"&amp;INDEX(_xlpm.nd,5)&amp;"¦"&amp;INDEX(_xlpm.nd,6),"")))</f>
        <v/>
      </c>
      <c r="HP263" t="str">
        <f t="shared" si="597"/>
        <v/>
      </c>
      <c r="HQ263" t="str" cm="1">
        <f t="array" ref="HQ263">IF(HF263="","",_xlfn.LET(_xlpm.nd,_xlfn.TEXTSPLIT(HF263,"|"),IF(COLUMNS(_xlpm.nd)&gt;6,A263&amp;"¦"&amp;INDEX(_xlpm.nd,6)&amp;"¦"&amp;INDEX(_xlpm.nd,7),"")))</f>
        <v/>
      </c>
      <c r="HR263" t="str">
        <f t="shared" si="598"/>
        <v/>
      </c>
      <c r="HS263" t="str">
        <f t="shared" si="599"/>
        <v/>
      </c>
      <c r="HT263" t="str">
        <f t="shared" si="600"/>
        <v>QFD39 → XT39</v>
      </c>
      <c r="HU263">
        <f t="shared" si="601"/>
        <v>0</v>
      </c>
      <c r="HV263">
        <f t="shared" si="602"/>
        <v>1</v>
      </c>
      <c r="HW263" t="str">
        <f t="shared" si="603"/>
        <v/>
      </c>
      <c r="HX263" t="str">
        <f t="shared" si="604"/>
        <v/>
      </c>
      <c r="HY263" t="str">
        <f t="shared" si="605"/>
        <v/>
      </c>
      <c r="HZ263" t="str">
        <f t="shared" si="606"/>
        <v/>
      </c>
      <c r="IA263" t="str">
        <f>IF(B263="","",IFERROR(VLOOKUP(B263,УГО_спр,2,FALSE),IFERROR(VLOOKUP(AX263,УГО_спр,2,FALSE),IFERROR(VLOOKUP(LEFT(AX263,2),УГО_спр,2,FALSE),""))))</f>
        <v>Розетка</v>
      </c>
      <c r="IB263" t="str">
        <f>IF(B263="","",IF(OR(IA263="",IA263=0),"BOX",IFERROR(IF(VLOOKUP(IA263,УГО_блоки,3,FALSE)&amp;""&lt;&gt;"",VLOOKUP(IA263,УГО_блоки,3,FALSE),VLOOKUP(IA263,УГО_блоки,2,FALSE)),IA263)))</f>
        <v>SOCKET</v>
      </c>
      <c r="IC263">
        <f t="shared" si="607"/>
        <v>1</v>
      </c>
      <c r="ID263" t="str">
        <f>IF(DA263="","",IF(COUNTIF(DA$3:DA263,DA263)=1,MAX(ID$2:ID262)+1,""))</f>
        <v/>
      </c>
      <c r="IE263" t="str">
        <f>IF(CO263="","",IF(COUNTIF(CO$3:CO263,CO263)+COUNTIF(CP$2:CP262,CO263)+COUNTIF(CQ$2:CQ262,CO263)=1,MAX(IE$2:IG262)+1,""))</f>
        <v/>
      </c>
      <c r="IF263" t="str">
        <f>IF(CP263="","",IF(COUNTIF(CO$3:CO263,CP263)+COUNTIF(CP$3:CP263,CP263)+COUNTIF(CQ$2:CQ262,CP263)=1,MAX(IE$2:IG262,IE263)+1,""))</f>
        <v/>
      </c>
      <c r="IG263" t="str">
        <f>IF(CQ263="","",IF(COUNTIF(CO$3:CO263,CQ263)+COUNTIF(CP$3:CP263,CQ263)+COUNTIF(CQ$3:CQ263,CQ263)=1,MAX(IE$2:IG262,IE263,IF263)+1,""))</f>
        <v/>
      </c>
      <c r="IH263" t="str">
        <f t="shared" si="608"/>
        <v>3х2,5</v>
      </c>
      <c r="II263" t="str">
        <f>IF(IH263="","",IF(COUNTIF(IH$3:IH263,IH263)=1,MAX(II$2:II262)+1,""))</f>
        <v/>
      </c>
      <c r="IJ263" t="str">
        <f>IF(GL263="","",COUNTIF(GL$3:GL263,"?*"))</f>
        <v/>
      </c>
      <c r="IK263" t="str">
        <f>IF(OR(GL263="",GN263=""),"",IF(COUNTIFS(GL$3:GL263,"?*",GN$3:GN263,GN263)=1,MAX(IK$2:IK262)+1,""))</f>
        <v/>
      </c>
      <c r="IL263">
        <f t="shared" si="609"/>
        <v>0</v>
      </c>
      <c r="IM263">
        <f>IF(B263="","",COUNTIF(B$3:B263,"?*"))</f>
        <v>261</v>
      </c>
      <c r="IN263">
        <f>IF(GQ263&lt;&gt;1,0,_xlfn.LET(_xlpm.k,MAX(IFERROR(--VLOOKUP(B263,УГО_спр,5,FALSE),0),IFERROR(--VLOOKUP(AX263,УГО_спр,5,FALSE),0),IFERROR(--VLOOKUP(LEFT(AX263,2),УГО_спр,5,FALSE),0)),IF(_xlpm.k&gt;0,_xlpm.k,IF(IFERROR(--LEFT(SUBSTITUTE(IH263,"x","х"),FIND("х",SUBSTITUTE(IH263,"x","х"))-1),3)&gt;3,Каталог!$S$9,1))))</f>
        <v>1</v>
      </c>
      <c r="IO263">
        <f t="shared" si="610"/>
        <v>0</v>
      </c>
      <c r="IP263" t="str">
        <f t="shared" si="611"/>
        <v>авто</v>
      </c>
      <c r="IQ263">
        <f t="shared" si="612"/>
        <v>30</v>
      </c>
      <c r="IR263">
        <f t="shared" si="613"/>
        <v>1</v>
      </c>
      <c r="IS263">
        <f t="shared" si="614"/>
        <v>1</v>
      </c>
    </row>
    <row r="264" spans="1:253" x14ac:dyDescent="0.3">
      <c r="A264" t="s">
        <v>759</v>
      </c>
      <c r="B264" t="s">
        <v>1529</v>
      </c>
      <c r="C264" t="str">
        <f>Линии[[#This Row],[_авто наименование]]</f>
        <v>Розеточная группа, пом. 018A</v>
      </c>
      <c r="D264">
        <v>1</v>
      </c>
      <c r="E264">
        <v>0.12</v>
      </c>
      <c r="G264" t="str">
        <f>Линии[[#This Row],[_авто автомат]]</f>
        <v>2P С16А 30мА</v>
      </c>
      <c r="H264">
        <f>Линии[[#This Row],[_авто утечка]]</f>
        <v>30</v>
      </c>
      <c r="I264" t="str">
        <f>Линии[[#This Row],[_авто управление]]</f>
        <v/>
      </c>
      <c r="J264" t="str">
        <f>Линии[[#This Row],[_авто аппараты]]</f>
        <v/>
      </c>
      <c r="K264">
        <v>2.5</v>
      </c>
      <c r="L264">
        <v>39</v>
      </c>
      <c r="M264" t="str">
        <f>Линии[[#This Row],[_авто фаза]]</f>
        <v>L2</v>
      </c>
      <c r="N264" t="str">
        <f>Линии[[#This Row],[_авто клемма]]</f>
        <v>XT40</v>
      </c>
      <c r="O264" t="str">
        <f t="shared" si="492"/>
        <v/>
      </c>
      <c r="P264" s="6" cm="1">
        <f t="array" ref="P264">IF(B264="","",IF(BC264&lt;&gt;"",IFERROR(_xlfn.XLOOKUP(BC264,Щиты[Щит],Щиты[Iр, А]),""),IF(BK264=1,IFERROR(_xlfn.XLOOKUP(A264,Щиты[Щит],Щиты[Iр, А]),""),IFERROR(_xlfn.IFS(BR264=1,BN264/((Uн_лин/SQRT(3))*BY264),BR264=3,BN264/(SQRT(3)*Uн_лин*BY264)),""))))</f>
        <v>0.54696341291648753</v>
      </c>
      <c r="Q264" s="7">
        <f>IF(B264="","",IFERROR(IF(VLOOKUP(AX264,Потребители_обозначение,4,FALSE)=1,VLOOKUP(AX264,Потребители_обозначение,3,FALSE)*(D264*2-1)+DS264+VLOOKUP(AZ264,Этаж_обозначение,3,FALSE)+VLOOKUP(AZ264,Этаж_обозначение,4,FALSE),VLOOKUP(AX264,Потребители_обозначение,3,FALSE)*(D264*2-1)+DS264),DS264))</f>
        <v>42</v>
      </c>
      <c r="R264" s="6">
        <f t="shared" si="493"/>
        <v>1.3699999999999999</v>
      </c>
      <c r="S264" t="str">
        <f t="shared" si="494"/>
        <v>ВВГнг(А)-LS (3х2,5)</v>
      </c>
      <c r="T264" t="str">
        <f>IF(BH264="","",IF(BI264="вводной узел","узел ","")&amp;"л."&amp;(INT((BH264-1)/Столбцов_на_лист)+1)&amp;" / "&amp;(MOD(BH264-1,Столбцов_на_лист)+1))</f>
        <v>л.4 / 12</v>
      </c>
      <c r="V264">
        <v>1</v>
      </c>
      <c r="W264">
        <v>230</v>
      </c>
      <c r="X264" t="s">
        <v>564</v>
      </c>
      <c r="AC264" t="s">
        <v>815</v>
      </c>
      <c r="AE264" t="s">
        <v>563</v>
      </c>
      <c r="AI264">
        <v>63</v>
      </c>
      <c r="AJ264" t="s">
        <v>11</v>
      </c>
      <c r="AK264">
        <v>3</v>
      </c>
      <c r="AM264">
        <v>20</v>
      </c>
      <c r="AN264">
        <v>18</v>
      </c>
      <c r="AO264">
        <v>4</v>
      </c>
      <c r="AW264" cm="1">
        <f t="array" ref="AW264">ROW()-ROW(Линии[#Headers])</f>
        <v>262</v>
      </c>
      <c r="AX264" s="6" t="str">
        <f t="shared" si="495"/>
        <v>R</v>
      </c>
      <c r="AY264" t="str">
        <f t="shared" si="496"/>
        <v>1.018A.1</v>
      </c>
      <c r="AZ264" t="str">
        <f t="shared" si="497"/>
        <v>1</v>
      </c>
      <c r="BA264" t="str">
        <f t="shared" si="498"/>
        <v>018A.1</v>
      </c>
      <c r="BB264" t="str">
        <f t="shared" si="499"/>
        <v>018A</v>
      </c>
      <c r="BC264" t="str">
        <f>IF(U264&lt;&gt;"",U264,IF(AND(B264&lt;&gt;"",B264&lt;&gt;A264,ISNUMBER(_xlfn.XMATCH(B264,Щиты[Щит]))),B264,""))</f>
        <v/>
      </c>
      <c r="BD264" t="str" cm="1">
        <f t="array" ref="BD264">IF(B264="","",IF(BC264&lt;&gt;"","Щит "&amp;BC264,_xlfn.LET(_xlpm.nm,IFERROR(_xlfn.XLOOKUP(AX264,Коды_код,Коды_имя)&amp;"",""),_xlpm.md,IFERROR(N(_xlfn.XLOOKUP(AX264,Коды_код,Коды_режим)),1),_xlpm.ex,IF(Имя_режим="по экспликации",IFERROR(_xlfn.XLOOKUP(AZ264&amp;"|"&amp;BB264,Экспликация[Этаж]&amp;"|"&amp;Экспликация[Помещение],Экспликация[Название])&amp;"",""),""),_xlpm.rm,IF(BB264="","",IF(_xlpm.ex&lt;&gt;"",". "&amp;_xlpm.ex&amp;IF(Имя_пом="нет"," ("&amp;BB264&amp;")"," (пом. "&amp;BB264&amp;")"),IF(Имя_пом="нет"," ",", пом. ")&amp;BB264)),IF(_xlpm.nm="","",IF(_xlpm.md=2,_xlpm.nm&amp;" шлейф "&amp;AZ264,_xlpm.nm&amp;_xlpm.rm)))))</f>
        <v>Розеточная группа, пом. 018A</v>
      </c>
      <c r="BE264" t="str">
        <f t="shared" si="500"/>
        <v>Розеточная группа, пом. 018A</v>
      </c>
      <c r="BF264">
        <f>IFERROR(_xlfn.XMATCH(A264,Щиты[Щит]),0)</f>
        <v>10</v>
      </c>
      <c r="BG264">
        <f>_xlfn.LET(_xlpm.k,IFERROR(_xlfn.XLOOKUP(A264,Щиты[Щит],Щиты[Листов под вводной узел]),""),IF(_xlpm.k="",1,N(_xlpm.k))*Столбцов_на_лист)</f>
        <v>17</v>
      </c>
      <c r="BH264">
        <f t="shared" si="501"/>
        <v>63</v>
      </c>
      <c r="BI264" t="str">
        <f t="shared" si="502"/>
        <v>линии</v>
      </c>
      <c r="BJ264" s="6">
        <f>IFERROR(N(_xlfn.XLOOKUP(AX264,Коды_код,Коды_квт)),0)</f>
        <v>0</v>
      </c>
      <c r="BK264">
        <f t="shared" si="503"/>
        <v>0</v>
      </c>
      <c r="BL264" t="str">
        <f>IF(B264="","",IF(BC264&lt;&gt;"",IFERROR(_xlfn.XLOOKUP(BC264,Щиты[Щит],Щиты[Руст, кВт]),0),IF(BK264=1,IFERROR(_xlfn.XLOOKUP(A264,Щиты[Щит],Щиты[Руст, кВт]),0),IF(BJ264&gt;0,ROUND(BJ264*MAX(1,N(D264)),3),""))))</f>
        <v/>
      </c>
      <c r="BM264">
        <f t="shared" si="504"/>
        <v>0.12</v>
      </c>
      <c r="BN264" s="6">
        <f>IF(B264="","",IF(BC264&lt;&gt;"",IFERROR(_xlfn.XLOOKUP(BC264,Щиты[Щит],Щиты[Руст, кВт]),0),N(BM264)))</f>
        <v>0.12</v>
      </c>
      <c r="BO264" t="str">
        <f>IF(B264="","",IFERROR(IF(VLOOKUP(AX264,Потребители_обозначение,8,FALSE)=0,"",VLOOKUP(AX264,Потребители_обозначение,8,FALSE)),""))</f>
        <v/>
      </c>
      <c r="BP264">
        <f t="shared" si="505"/>
        <v>230</v>
      </c>
      <c r="BQ264">
        <f>IF(B264="","",IF(BC264&lt;&gt;"",3,IFERROR(IF(N(VLOOKUP(AX264,Потребители_обозначение,9,FALSE))=0,1,VLOOKUP(AX264,Потребители_обозначение,9,FALSE)),1)))</f>
        <v>1</v>
      </c>
      <c r="BR264">
        <f t="shared" si="506"/>
        <v>1</v>
      </c>
      <c r="BS264" t="str">
        <f>IF(B264="","",_xlfn.LET(_xlpm.bc,IFERROR(IF(VLOOKUP(AX264,Потребители_обозначение,6,FALSE)=0,"",VLOOKUP(AX264,Потребители_обозначение,6,FALSE)&amp;""),""),IF(AND(FK264="да",OR(_xlpm.bc="",_xlpm.bc="мс")),Марка_пож,IF(AND(_xlpm.bc="",BC264&lt;&gt;""),"мс",_xlpm.bc))))</f>
        <v/>
      </c>
      <c r="BT264" t="str">
        <f t="shared" si="507"/>
        <v>мс</v>
      </c>
      <c r="BU264">
        <f>IF(B264="","",_xlfn.LET(_xlpm.cc,IFERROR(N(VLOOKUP(AX264,Потребители_обозначение,7,FALSE)),0),IF(_xlpm.cc&gt;0,_xlpm.cc,IF(BT264="","",IF(N(BR264)=3,5,3)))))</f>
        <v>3</v>
      </c>
      <c r="BV264">
        <f t="shared" si="508"/>
        <v>3</v>
      </c>
      <c r="BW264">
        <f>IFERROR(N(VLOOKUP(AX264,Потребители_обозначение,10,FALSE)),0)</f>
        <v>0</v>
      </c>
      <c r="BX264">
        <f>IFERROR(VLOOKUP(AX264,Потребители_обозначение,5,FALSE),0)</f>
        <v>1</v>
      </c>
      <c r="BY264" s="6" cm="1">
        <f t="array" ref="BY264">IF(B264="","",IF(BC264&lt;&gt;"",IFERROR(_xlfn.XLOOKUP(BC264,Щиты[Щит],Щиты[cos φ]),0.95),IF(BK264=1,IFERROR(_xlfn.XLOOKUP(A264,Щиты[Щит],Щиты[cos φ]),0.95),IF(ISNUMBER(Z264),Z264,IFERROR(IF(BX264=2,_xlfn.IFS(BR264=3,VLOOKUP(BN264,Справочная_двигатели,8,FALSE),BR264=1,VLOOKUP(BN264,Справочная_двигатели,10,TRUE)),IF(AND(Методика="нормы 2026",EQ264="Сил"),0.8,0.95)),0.95)))))</f>
        <v>0.95</v>
      </c>
      <c r="BZ264">
        <f t="shared" si="509"/>
        <v>0</v>
      </c>
      <c r="CA264">
        <f t="shared" si="510"/>
        <v>1</v>
      </c>
      <c r="CB264">
        <f t="shared" si="511"/>
        <v>0</v>
      </c>
      <c r="CC264">
        <f t="shared" si="512"/>
        <v>0</v>
      </c>
      <c r="CD264">
        <f t="shared" si="513"/>
        <v>0</v>
      </c>
      <c r="CE264">
        <f t="shared" si="514"/>
        <v>0</v>
      </c>
      <c r="CF264">
        <f t="shared" si="515"/>
        <v>0</v>
      </c>
      <c r="CG264">
        <f>IF(AX264="",0,_xlfn.LET(_xlpm.v,IFERROR(VLOOKUP(B264,УГО_спр,3,FALSE),IFERROR(VLOOKUP(AX264,УГО_спр,3,FALSE),IFERROR(VLOOKUP(LEFT(AX264,2),УГО_спр,3,FALSE),""))),IF(_xlpm.v="да",30,IF(ISNUMBER(_xlpm.v),_xlpm.v,0))))</f>
        <v>30</v>
      </c>
      <c r="CH264">
        <f t="shared" si="516"/>
        <v>30</v>
      </c>
      <c r="CI264" t="str">
        <f>_xlfn.LET(_xlpm.k,IFERROR(_xlfn.XLOOKUP(AX264,Коды_код,Коды_утечка)&amp;"",""),IF(_xlpm.k="","дифавтомат",_xlpm.k))</f>
        <v>дифавтомат</v>
      </c>
      <c r="CJ264">
        <f t="shared" si="517"/>
        <v>30</v>
      </c>
      <c r="CK264">
        <f t="shared" si="518"/>
        <v>30</v>
      </c>
      <c r="CL264">
        <f>IF(B264="",0,IFERROR(--VLOOKUP(B264,УГО_спр,4,FALSE),IFERROR(--VLOOKUP(AX264,УГО_спр,4,FALSE),IFERROR(--VLOOKUP(LEFT(AX264,2),УГО_спр,4,FALSE),0))))</f>
        <v>16</v>
      </c>
      <c r="CM264" t="str">
        <f>IF(B264="","",IFERROR(_xlfn.XLOOKUP(AX264,Коды_код,Коды_апп)&amp;"",""))</f>
        <v/>
      </c>
      <c r="CN264" t="str">
        <f t="shared" si="519"/>
        <v/>
      </c>
      <c r="CO264" t="str" cm="1">
        <f t="array" ref="CO264">IF(TRIM(CN264&amp;"")="","",IFERROR(TRIM(INDEX(_xlfn.TEXTSPLIT(CN264&amp;";;;",";"),1)),""))</f>
        <v/>
      </c>
      <c r="CP264" t="str" cm="1">
        <f t="array" ref="CP264">IF(TRIM(CN264&amp;"")="","",IFERROR(TRIM(INDEX(_xlfn.TEXTSPLIT(CN264&amp;";;;",";"),2)),""))</f>
        <v/>
      </c>
      <c r="CQ264" t="str" cm="1">
        <f t="array" ref="CQ264">IF(TRIM(CN264&amp;"")="","",IFERROR(TRIM(INDEX(_xlfn.TEXTSPLIT(CN264&amp;";;;",";"),3)),""))</f>
        <v/>
      </c>
      <c r="CR264">
        <f t="shared" si="520"/>
        <v>0</v>
      </c>
      <c r="CS264" t="str">
        <f>IF(B264="","",_xlfn.LET(_xlpm.t,LOWER(AV264&amp;""),IF(ISNUMBER(SEARCH("dim",_xlpm.t)),"DIM",IF(ISNUMBER(SEARCH("dali",_xlpm.t)),"DALI",IF(OR(ISNUMBER(SEARCH("relay",_xlpm.t)),ISNUMBER(SEARCH("реле",_xlpm.t))),"Relay",IF(ISNUMBER(SEARCH("кнопк",_xlpm.t)),"",IFERROR(_xlfn.XLOOKUP(AX264,Коды_код,Коды_упр)&amp;"","")))))))</f>
        <v/>
      </c>
      <c r="CT264" t="str">
        <f t="shared" si="521"/>
        <v/>
      </c>
      <c r="CU264">
        <f>IF(B264="","",_xlfn.LET(_xlpm.ig,N(P264)+IF(AF264="вручную",0,N(CB264)),_xlpm.n0,IFERROR(VLOOKUP(_xlpm.ig,Автомат_номиналы,2,TRUE),0),_xlpm.mn,MAX(CL264,IF(AF264="вручную",0,N(CE264))),MAX(_xlpm.n0,_xlpm.mn,IF(CR264=1,Мин_автомат_БП,0))))</f>
        <v>16</v>
      </c>
      <c r="CV264">
        <f t="shared" si="522"/>
        <v>1</v>
      </c>
      <c r="CW264" t="str">
        <f t="shared" si="523"/>
        <v>2P</v>
      </c>
      <c r="CX264" t="str">
        <f>_xlfn.LET(_xlpm.cc,UPPER(TRIM(IFERROR(_xlfn.XLOOKUP(AX264,Коды_код,Коды_хар)&amp;"",""))),IF(OR(_xlpm.cc="B",_xlpm.cc="В"),"B",IF(_xlpm.cc="D","D","С")))</f>
        <v>С</v>
      </c>
      <c r="CY264" t="str">
        <f t="shared" si="524"/>
        <v>2P С16А 30мА</v>
      </c>
      <c r="CZ264" t="str">
        <f t="shared" si="525"/>
        <v>2P С16А 30мА</v>
      </c>
      <c r="DA264" t="str">
        <f t="shared" si="526"/>
        <v>2P С16А 30мА</v>
      </c>
      <c r="DB264" cm="1">
        <f t="array" ref="DB264">IF(DA264="","",_xlfn.LET(_xlpm.t,SUBSTITUTE(SUBSTITUTE(SUBSTITUTE(UPPER(DA264),"С","C"),"А","A"),"В","B"),_xlpm.tk,_xlfn.TEXTSPLIT(_xlpm.t,"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4" t="str">
        <f t="shared" si="527"/>
        <v>ok</v>
      </c>
      <c r="DD264">
        <f t="shared" si="528"/>
        <v>16</v>
      </c>
      <c r="DE264" t="str">
        <f t="shared" si="529"/>
        <v>2P С16А 30мА</v>
      </c>
      <c r="DF264">
        <f t="shared" si="530"/>
        <v>30</v>
      </c>
      <c r="DG264">
        <f t="shared" si="531"/>
        <v>1</v>
      </c>
      <c r="DH264">
        <f t="shared" si="532"/>
        <v>0</v>
      </c>
      <c r="DI264">
        <f t="shared" si="533"/>
        <v>0.54696341291648753</v>
      </c>
      <c r="DJ264">
        <f t="shared" si="534"/>
        <v>1</v>
      </c>
      <c r="DK264">
        <f>IF(ISNUMBER(AL264),AL264,К_прокл)</f>
        <v>1</v>
      </c>
      <c r="DL264">
        <f t="shared" si="535"/>
        <v>2</v>
      </c>
      <c r="DM264">
        <f>IFERROR(N(VLOOKUP(BT264,Кабель_обозначение,3,FALSE)),1)</f>
        <v>1</v>
      </c>
      <c r="DN264">
        <f>IFERROR(N(_xlfn.XLOOKUP(A264,Щиты[Щит],Щиты[ΔU до шин, %])),0)</f>
        <v>1.19</v>
      </c>
      <c r="DO264" t="str">
        <f>IFERROR(_xlfn.XLOOKUP(A264,Щиты[Щит],Щиты[Zпетли на шинах, Ом]),"")</f>
        <v/>
      </c>
      <c r="DP264">
        <f>IFERROR(N(_xlfn.XLOOKUP(A264,Щиты[Щит],Щиты[ΔU до шин (подбор), %])),0)</f>
        <v>1.19</v>
      </c>
      <c r="DQ264" t="str">
        <f>IFERROR(_xlfn.XLOOKUP(A264,Щиты[Щит],Щиты[Zпетли на шинах (подбор), Ом]),"")</f>
        <v/>
      </c>
      <c r="DR264" t="str">
        <f t="shared" si="536"/>
        <v/>
      </c>
      <c r="DS264">
        <f t="shared" si="537"/>
        <v>39</v>
      </c>
      <c r="DT264">
        <f t="shared" si="538"/>
        <v>2</v>
      </c>
      <c r="DU264">
        <f t="shared" si="539"/>
        <v>0.31</v>
      </c>
      <c r="DV264" s="6">
        <f>IF(B264="","",IF(IFERROR(VLOOKUP(AX264,УГО_спр,2,FALSE),"")="Светильник",3,4)+IF(Методика="нормы 2026",MIN(0.5,MAX(0,N(Q264)-100)*0.005),0))</f>
        <v>4</v>
      </c>
      <c r="DW264" cm="1">
        <f t="array" ref="DW264">IF(OR(B264="",BT264="",DM264&lt;&gt;1),"",_xlfn.LET(_xlpm.sz,Iдоп_S,_xlpm.t_,CHOOSE(DL264,Iдоп_1ж,Iдоп_2ж,Iдоп_3ж)*DJ264*DK264,_xlpm.inn,N(DD264),_xlpm.smin,MAX(1.5,BW264),_xlpm.L_,N(Q264)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264)*(_xlpm.rho*_xlpm.L_/_xlpm.sz*N(BY264)+_xlpm.xx*_xlpm.L_*N(DU264)/1000)*N(P264)/((Uн_лин/SQRT(3))*1000)*100,999),_xlpm.kz,IF(OR(DG264=1,NOT(ISNUMBER(DQ264)),_xlpm.L_=0,_xlpm.inn=0),1,IFERROR(--(c_min*(Uн_лин*1000/SQRT(3))/(DQ264+2*ρкз_Cu*_xlpm.L_/_xlpm.sz)&gt;=GY264*_xlpm.inn),0)),_xlpm.ok,IFERROR((_xlpm.sz&gt;=_xlpm.smin)*(_xlpm.t_&gt;=_xlpm.inn)*IF(_xlpm.L_&gt;0,(_xlpm.du_+DP264&lt;=DV264+0.00001),1)*_xlpm.kz,0),_xlpm.r_,_xlfn._xlws.FILTER(_xlpm.sz,_xlpm.ok,"не подобрано"),INDEX(_xlpm.r_,1)))</f>
        <v>1.5</v>
      </c>
      <c r="DX264">
        <f t="shared" si="540"/>
        <v>2.5</v>
      </c>
      <c r="DY264" cm="1">
        <f t="array" ref="DY264">IF(OR(B264="",BT264="",DM264&lt;&gt;1),"",_xlfn.LET(_xlpm.sz,Iдоп_S,_xlpm.t_,CHOOSE(DL264,Iдоп_1ж,Iдоп_2ж,Iдоп_3ж)*DJ264*DK264,_xlpm.ok,IFERROR((_xlpm.sz&gt;=MAX(1.5,BW264))*(_xlpm.t_&gt;=N(DD264)),0),_xlpm.r_,_xlfn._xlws.FILTER(_xlpm.sz,_xlpm.ok,""),INDEX(_xlpm.r_,1)))</f>
        <v>1.5</v>
      </c>
      <c r="DZ264" s="6" cm="1">
        <f t="array" ref="DZ264">IFERROR(ROUNDUP(N(DT264)*(_xlfn.XLOOKUP(DY264,INDEX(Кабель_сопротивление,0,1),INDEX(Кабель_сопротивление,0,3))*N(Q264)/DY264*N(BY264)+_xlfn.XLOOKUP(DY264,INDEX(Кабель_сопротивление,0,1),INDEX(Кабель_сопротивление,0,2))*N(Q264)*N(DU264)/1000)*N(P264)/((Uн_лин/SQRT(3))*1000)*100,2),"")</f>
        <v>0.29000000000000004</v>
      </c>
      <c r="EA264">
        <f>IFERROR(2*ρкз_Cu*N(Q264)/DY264,"")</f>
        <v>1.4728000000000001</v>
      </c>
      <c r="EB264">
        <f>IFERROR(VLOOKUP(DX264,Кабель_сопротивление,3,FALSE),"")</f>
        <v>2.2499999999999999E-2</v>
      </c>
      <c r="EC264">
        <f>IFERROR(VLOOKUP(DX264,Кабель_сопротивление,2,FALSE),"")</f>
        <v>0.1</v>
      </c>
      <c r="ED264">
        <f t="shared" si="541"/>
        <v>18</v>
      </c>
      <c r="EE264">
        <f t="shared" si="542"/>
        <v>4</v>
      </c>
      <c r="EF264">
        <f t="shared" si="543"/>
        <v>0.39425341588385587</v>
      </c>
      <c r="EG264" s="6">
        <f>IFERROR(ROUNDUP(EF264/((Uн_лин/SQRT(3))*1000)*100,2),"")</f>
        <v>0.18000000000000002</v>
      </c>
      <c r="EH264" t="str">
        <f>IFERROR(VLOOKUP(BT264,Кабель_обозначение,2,FALSE),"")</f>
        <v>ВВГнг(А)-LS</v>
      </c>
      <c r="EI264" t="str">
        <f t="shared" si="544"/>
        <v>ВВГнг(А)-LS (3х2,5)</v>
      </c>
      <c r="EJ264" t="str">
        <f t="shared" si="545"/>
        <v>ВВГнг(А)-LS (3х2,5)
L=42-0,18%</v>
      </c>
      <c r="EK264">
        <f>IFERROR(2*ρкз_Cu*Q264/DX264,"")</f>
        <v>0.88368000000000002</v>
      </c>
      <c r="EL264">
        <f t="shared" si="546"/>
        <v>0.29400000000000004</v>
      </c>
      <c r="EM264" s="6" t="str">
        <f>IFERROR(IF(OR(B264="",NOT(ISNUMBER(DX264)),N(Q264)=0),"",_xlfn.XLOOKUP(A264,Щиты[Щит],Щиты[Zпетли на шинах, Ом])+EK264),"")</f>
        <v/>
      </c>
      <c r="EN264" s="6" t="str">
        <f>IF(ISNUMBER(EM264),c_min*(Uн_лин*1000/SQRT(3))/EM264,"")</f>
        <v/>
      </c>
      <c r="EO264" s="6" t="str">
        <f>IFERROR(IF(OR(B264="",NOT(ISNUMBER(DX264))),"",1.05*(Uн_лин*1000/SQRT(3))/(_xlfn.XLOOKUP(A264,Щиты[Щит],Щиты[Zmax на шинах, Ом])+EL264)/1000),"")</f>
        <v/>
      </c>
      <c r="EP264" s="6" t="str">
        <f>IF(B264="","",IF(ISNUMBER(Y264),"Сил",IF(IFERROR(_xlfn.XLOOKUP(AX264,Коды_код,Коды_группа)&amp;"","")="","Быт",_xlfn.XLOOKUP(AX264,Коды_код,Коды_группа)&amp;"")))</f>
        <v>Быт</v>
      </c>
      <c r="EQ264" s="6" t="str">
        <f t="shared" si="547"/>
        <v>Быт</v>
      </c>
      <c r="ER264" s="6">
        <f>IF(EQ264="Щит","щит",IF(EQ264="","",IF(EQ264="Быт",IFERROR(_xlfn.XLOOKUP(A264,Щиты[Щит],Щиты[Кс быт]),1),IF(EQ264="Сил",IF(ISNUMBER(Y264),Y264,IF(Методика="нормы 2026",IFERROR(_xlfn.XLOOKUP(A264,Щиты[Щит],Щиты[Кс силовых (табл. 7.5)]),1),1)),IF(OR(EQ264="Пост",EQ264="Отоп"),1,IF(EQ264="ВНГ",0.7,0))))))</f>
        <v>0.57830000000000004</v>
      </c>
      <c r="ES264">
        <f t="shared" si="548"/>
        <v>1</v>
      </c>
      <c r="ET264">
        <f t="shared" si="549"/>
        <v>0.12</v>
      </c>
      <c r="EU264">
        <f t="shared" si="550"/>
        <v>0.12</v>
      </c>
      <c r="EV264">
        <f t="shared" si="551"/>
        <v>0</v>
      </c>
      <c r="EW264">
        <f t="shared" si="552"/>
        <v>0</v>
      </c>
      <c r="EX264">
        <f t="shared" si="553"/>
        <v>0</v>
      </c>
      <c r="EY264">
        <f t="shared" si="554"/>
        <v>0</v>
      </c>
      <c r="EZ264">
        <f t="shared" si="555"/>
        <v>0.12</v>
      </c>
      <c r="FA264">
        <f t="shared" si="556"/>
        <v>0.11399999999999999</v>
      </c>
      <c r="FB264">
        <f t="shared" si="557"/>
        <v>0.12</v>
      </c>
      <c r="FC264" t="str">
        <f t="shared" si="558"/>
        <v/>
      </c>
      <c r="FD264" t="str">
        <f>IF(B264="","",IF(CA264=0,IF(AW264=1,"",FF263),IF(OR(N(CV264)&gt;=3,N(BR264)&gt;=3),"L1,L2,L3",IFERROR(_xlfn.TEXTBEFORE(_xlfn.TEXTAFTER(_xlfn.XLOOKUP(A264,Щиты[Щит],Щиты[_фазы авто]),";"&amp;AW264&amp;":"),";"),"L1"))))</f>
        <v>L2</v>
      </c>
      <c r="FE264" t="str">
        <f t="shared" si="559"/>
        <v>L2</v>
      </c>
      <c r="FF264" t="str">
        <f t="shared" si="560"/>
        <v>L2</v>
      </c>
      <c r="FG264" cm="1">
        <f t="array" ref="FG264">IFERROR(IF(BX264=2,_xlfn.IFS(BR264=3,VLOOKUP(BN264,Справочная_двигатели,3,FALSE),BR264=1,VLOOKUP(BN264,Справочная_двигатели,5,TRUE)),0),0)</f>
        <v>0</v>
      </c>
      <c r="FH264">
        <f>IFERROR(IF(BX264=3,VLOOKUP(BN264,Справочная_ЛЭД,2,TRUE),0),0)</f>
        <v>0</v>
      </c>
      <c r="FI264" s="6">
        <f t="shared" si="561"/>
        <v>0</v>
      </c>
      <c r="FJ264" t="str" cm="1">
        <f t="array" ref="FJ264">IF(B264="","",IFERROR(INDEX({"I особая","I","II","III"},MATCH(TRIM(AC264&amp;""),{"I особая","I","II","III"},0)),"III"))</f>
        <v>II</v>
      </c>
      <c r="FK264" t="str">
        <f>IF(B264="","",IF(TRIM(AD264&amp;"")&lt;&gt;"",IF(LOWER(TRIM(AD264&amp;""))="да","да","нет"),IF(IFERROR(_xlfn.XLOOKUP(AX264,Коды_код,Коды_пожарная),"")="да","да","нет")))</f>
        <v>нет</v>
      </c>
      <c r="FL264" t="str">
        <f t="shared" si="562"/>
        <v/>
      </c>
      <c r="FM264" t="str">
        <f t="shared" si="563"/>
        <v>основная</v>
      </c>
      <c r="FN264">
        <f t="shared" si="564"/>
        <v>1</v>
      </c>
      <c r="FO264" t="str" cm="1">
        <f t="array" ref="FO264">IF(B264="","",_xlfn.LET(_xlpm.t,IFERROR(_xlfn.XLOOKUP(1,(Шины[Шина]=FM264)*(((Шины[Щит]=A264)+(Шины[Щит]=""))&gt;0),Шины[Тип]),"")&amp;"",IF(_xlpm.t&lt;&gt;"",_xlpm.t,IF(ISNUMBER(SEARCH("ИБП",FM264)),"ИБП",IF(ISNUMBER(SEARCH("ДГУ",FM264)),"ДГУ","Ввод "&amp;FN264)))))</f>
        <v>Ввод 1</v>
      </c>
      <c r="FP264" t="str">
        <f t="shared" si="565"/>
        <v>Ввод 1</v>
      </c>
      <c r="FQ264" t="str">
        <f>IF(B264="","",IF(OR(FO264="ИБП",FO264="ДГУ"),"I особая",IF(FO264="Одиночная","III",_xlfn.XLOOKUP(A264,Щиты[Щит],Щиты[Категория шины «Ввод»],"III"))))</f>
        <v>II</v>
      </c>
      <c r="FR264">
        <f>IF(B264="",0,IFERROR(MATCH(FJ264,{"III","II","I","I особая"},0),1))</f>
        <v>2</v>
      </c>
      <c r="FS264">
        <f t="shared" si="566"/>
        <v>2</v>
      </c>
      <c r="FT264" t="str">
        <f>IF(B264="","",IF(FR264&gt;IFERROR(MATCH(FQ264,{"III","II","I","I особая"},0),1),"НЕ ОБЕСПЕЧЕНА","ОК"))</f>
        <v>ОК</v>
      </c>
      <c r="FU264" t="str">
        <f>IF(A264="","",_xlfn.XLOOKUP(A264,Щиты[Щит],Щиты[Путь],""))</f>
        <v>|ГРЩ-ЖД|ЩР-1|</v>
      </c>
      <c r="FV264" t="str">
        <f>IF(B264="","",IF(AE264&lt;&gt;"",AE264,IF(IFERROR(_xlfn.XLOOKUP(AX264,Коды_код,Коды_вид)&amp;"","")="","Прочее",_xlfn.XLOOKUP(AX264,Коды_код,Коды_вид)&amp;"")))</f>
        <v>Розеточная сеть и бытовые приборы</v>
      </c>
      <c r="FW264">
        <f>IF(BH264="","",INT((BH264-1)/Столбцов_на_лист)+1)</f>
        <v>4</v>
      </c>
      <c r="FX264" t="str">
        <f t="shared" si="567"/>
        <v>ВВГнг(А)-LS (3х2,5) L=42-0,18%</v>
      </c>
      <c r="FY264">
        <f t="shared" si="568"/>
        <v>0.12</v>
      </c>
      <c r="FZ264">
        <f t="shared" si="569"/>
        <v>0.55000000000000004</v>
      </c>
      <c r="GA264">
        <f t="shared" si="570"/>
        <v>1</v>
      </c>
      <c r="GB264">
        <f t="shared" si="571"/>
        <v>0</v>
      </c>
      <c r="GC264">
        <f t="shared" si="572"/>
        <v>1</v>
      </c>
      <c r="GD264">
        <f>IF(BH264="","",IF(AND(CA264=1,GC264=1),COUNTIFS(A$3:A264,A264,CA$3:CA264,1,GC$3:GC264,1),IF(OR(OR(AW264=1,A264&lt;&gt;A263),AF264="вручную",GC264=0),"",IF(AW264=1,"",GE263))))</f>
        <v>40</v>
      </c>
      <c r="GE264">
        <f t="shared" si="573"/>
        <v>40</v>
      </c>
      <c r="GF264">
        <f>IF(B264="","",IFERROR(LOOKUP(INDEX(CHOOSE(DL264,Iдоп_1ж,Iдоп_2ж,Iдоп_3ж),MATCH(DX264,Iдоп_S,0))*DJ264*DK264,{6,10,16,20,25,32,40,50,63,80,100,125,160,200,250,315,400,500,630}),""))</f>
        <v>25</v>
      </c>
      <c r="GG264" t="str">
        <f t="shared" si="574"/>
        <v>QFD40</v>
      </c>
      <c r="GH264" t="str">
        <f t="shared" si="575"/>
        <v>QFD40</v>
      </c>
      <c r="GI264" t="str">
        <f t="shared" si="576"/>
        <v/>
      </c>
      <c r="GJ264">
        <f t="shared" si="577"/>
        <v>0</v>
      </c>
      <c r="GK264" t="str">
        <f>IF(OR(AG264="",AG264="-"),"",IFERROR(VLOOKUP(AG264,Модули_спр,2,FALSE),"R"))</f>
        <v/>
      </c>
      <c r="GL264" t="str">
        <f>IF(GK264="","",GK264&amp;"."&amp;COUNTIFS(A$3:A264,A264,GK$3:GK264,GK264))</f>
        <v/>
      </c>
      <c r="GM264" t="str">
        <f t="shared" si="578"/>
        <v/>
      </c>
      <c r="GN264" t="str">
        <f t="shared" si="579"/>
        <v/>
      </c>
      <c r="GO264" t="str">
        <f t="shared" si="580"/>
        <v/>
      </c>
      <c r="GP264" t="str">
        <f t="shared" si="581"/>
        <v/>
      </c>
      <c r="GQ264">
        <f t="shared" si="582"/>
        <v>1</v>
      </c>
      <c r="GR264" t="str">
        <f>IF(GQ264=1,"XT"&amp;COUNTIFS(A$3:A264,A264,GQ$3:GQ264,1),"")</f>
        <v>XT40</v>
      </c>
      <c r="GS264" t="str">
        <f t="shared" si="583"/>
        <v>XT40</v>
      </c>
      <c r="GT264" t="str">
        <f t="shared" si="584"/>
        <v>QFD40</v>
      </c>
      <c r="GU264" t="str">
        <f t="shared" si="585"/>
        <v/>
      </c>
      <c r="GV264" t="str">
        <f t="shared" si="586"/>
        <v>ok</v>
      </c>
      <c r="GW264" t="str">
        <f>IF(OR(GO264="",GM264=""),"",IF(GO264&gt;IFERROR(VLOOKUP(GN264,Модули_спр,3,FALSE),99),"ЛИШНИЙ КАНАЛ",IF(AND(AH264&lt;&gt;"=",COUNTIFS(Линии[_модуль гр.],GM264,Линии[Канал (итог)],GO264,Линии[Канал],"&lt;&gt;=",Линии[Щит],A264)&gt;1),"ДУБЛЬ КАНАЛА","")))</f>
        <v/>
      </c>
      <c r="GX264" s="6" t="str">
        <f t="shared" si="587"/>
        <v/>
      </c>
      <c r="GY264">
        <f t="shared" si="588"/>
        <v>10</v>
      </c>
      <c r="GZ264" t="str">
        <f t="shared" si="589"/>
        <v/>
      </c>
      <c r="HA264" t="str">
        <f>IF(AND(B264="",GT264=""),"",_xlfn.TEXTJOIN("; ",TRUE,IF(AND(B264&lt;&gt;"",FE264=""),"нет фазы",""),IF(AND(B264&lt;&gt;"",N(FY264)=0,EQ264&lt;&gt;"Нет"),"нет мощности",""),IF(AND(GS264&lt;&gt;"",COUNTIFS(Линии[Щит],A264,Линии[Клемма (итог)],GS264)&gt;1),"дубль клеммы "&amp;GS264,""),IF(AND(GV264&lt;&gt;"",GV264&lt;&gt;"ok"),GV264,""),IF(GW264&lt;&gt;"",GW264,""),IF(AND(N(BV264)&gt;=4,N(BR264)=1),BV264&amp;" жил на 1 фазе",""),IF(AND(AX264="R",CA264=1,OR(N(CK264)=0,N(CK264)&gt;30)),"розетка без дифзащиты до 30 мА",""),IFERROR(IF(AND(ISNUMBER(R264),R264&gt;DV264),"потери "&amp;FIXED(R264,1)&amp;" % &gt; "&amp;DV264&amp;" %",""),""),IFERROR(IF(LEFT(GZ264,4)="мало","Iкз мало — отключение &gt; 0,4 с",""),""),IF(AND(B264&lt;&gt;"",BH264=""),"не на схеме",""),IF(AND(CA264=0,B264&lt;&gt;"",FE264&lt;&gt;"",IF(AW264=1,"",FF263)&lt;&gt;"",FE264&lt;&gt;IF(AW264=1,"",FF263)),"фаза не как у автомата группы ("&amp;IF(AW264=1,"",FF263)&amp;")","")))</f>
        <v/>
      </c>
      <c r="HB264" s="6">
        <f>IF(OR(CA264=0,DA264=""),"",_xlfn.LET(_xlpm.t,IFERROR(_xlfn.XLOOKUP(DA264,Каталог!$U$4:$U$500,Каталог!$G$4:$G$500),""),_xlpm.k,SEARCH("кА",_xlpm.t),IFERROR(--TRIM(RIGHT(SUBSTITUTE(MID(_xlpm.t,MAX(1,_xlpm.k-4),_xlpm.k-MAX(1,_xlpm.k-4))," ",REPT(" ",9)),5)),"")))</f>
        <v>6</v>
      </c>
      <c r="HC264" t="str">
        <f>IF(OR(HB264="",CA264=0),"",IF(_xlfn.XLOOKUP(A264,Щиты[Щит],Щиты[Iкз max на шинах, кА],"")="","",IF(HB264&lt;_xlfn.XLOOKUP(A264,Щиты[Щит],Щиты[Iкз max на шинах, кА]),"Icu "&amp;HB264&amp;" кА &lt; Iкз max","ok")))</f>
        <v/>
      </c>
      <c r="HD264" t="str">
        <f t="shared" si="590"/>
        <v/>
      </c>
      <c r="HE264" t="str">
        <f t="shared" si="591"/>
        <v>QFD40|XT40</v>
      </c>
      <c r="HF264" t="str">
        <f t="shared" si="592"/>
        <v>QFD40|XT40|кабель ВВГнг(А)-LS (3х2,5) → Розеточная группа, пом. 018A</v>
      </c>
      <c r="HG264" t="str" cm="1">
        <f t="array" ref="HG264">IF(HF264="","",_xlfn.LET(_xlpm.nd,_xlfn.TEXTSPLIT(HF264,"|"),IF(COLUMNS(_xlpm.nd)&gt;1,A264&amp;"¦"&amp;INDEX(_xlpm.nd,1)&amp;"¦"&amp;INDEX(_xlpm.nd,2),"")))</f>
        <v>ЩР-1¦QFD40¦XT40</v>
      </c>
      <c r="HH264" t="str">
        <f t="shared" si="593"/>
        <v>R.1.018A.1¦Розеточная группа, пом. 018A</v>
      </c>
      <c r="HI264" t="str" cm="1">
        <f t="array" ref="HI264">IF(HF264="","",_xlfn.LET(_xlpm.nd,_xlfn.TEXTSPLIT(HF264,"|"),IF(COLUMNS(_xlpm.nd)&gt;2,A264&amp;"¦"&amp;INDEX(_xlpm.nd,2)&amp;"¦"&amp;INDEX(_xlpm.nd,3),"")))</f>
        <v>ЩР-1¦XT40¦кабель ВВГнг(А)-LS (3х2,5) → Розеточная группа, пом. 018A</v>
      </c>
      <c r="HJ264" t="str">
        <f t="shared" si="594"/>
        <v>R.1.018A.1¦Розеточная группа, пом. 018A</v>
      </c>
      <c r="HK264" t="str" cm="1">
        <f t="array" ref="HK264">IF(HF264="","",_xlfn.LET(_xlpm.nd,_xlfn.TEXTSPLIT(HF264,"|"),IF(COLUMNS(_xlpm.nd)&gt;3,A264&amp;"¦"&amp;INDEX(_xlpm.nd,3)&amp;"¦"&amp;INDEX(_xlpm.nd,4),"")))</f>
        <v/>
      </c>
      <c r="HL264" t="str">
        <f t="shared" si="595"/>
        <v/>
      </c>
      <c r="HM264" t="str" cm="1">
        <f t="array" ref="HM264">IF(HF264="","",_xlfn.LET(_xlpm.nd,_xlfn.TEXTSPLIT(HF264,"|"),IF(COLUMNS(_xlpm.nd)&gt;4,A264&amp;"¦"&amp;INDEX(_xlpm.nd,4)&amp;"¦"&amp;INDEX(_xlpm.nd,5),"")))</f>
        <v/>
      </c>
      <c r="HN264" t="str">
        <f t="shared" si="596"/>
        <v/>
      </c>
      <c r="HO264" t="str" cm="1">
        <f t="array" ref="HO264">IF(HF264="","",_xlfn.LET(_xlpm.nd,_xlfn.TEXTSPLIT(HF264,"|"),IF(COLUMNS(_xlpm.nd)&gt;5,A264&amp;"¦"&amp;INDEX(_xlpm.nd,5)&amp;"¦"&amp;INDEX(_xlpm.nd,6),"")))</f>
        <v/>
      </c>
      <c r="HP264" t="str">
        <f t="shared" si="597"/>
        <v/>
      </c>
      <c r="HQ264" t="str" cm="1">
        <f t="array" ref="HQ264">IF(HF264="","",_xlfn.LET(_xlpm.nd,_xlfn.TEXTSPLIT(HF264,"|"),IF(COLUMNS(_xlpm.nd)&gt;6,A264&amp;"¦"&amp;INDEX(_xlpm.nd,6)&amp;"¦"&amp;INDEX(_xlpm.nd,7),"")))</f>
        <v/>
      </c>
      <c r="HR264" t="str">
        <f t="shared" si="598"/>
        <v/>
      </c>
      <c r="HS264" t="str">
        <f t="shared" si="599"/>
        <v/>
      </c>
      <c r="HT264" t="str">
        <f t="shared" si="600"/>
        <v>QFD40 → XT40</v>
      </c>
      <c r="HU264">
        <f t="shared" si="601"/>
        <v>0</v>
      </c>
      <c r="HV264">
        <f t="shared" si="602"/>
        <v>1</v>
      </c>
      <c r="HW264" t="str">
        <f t="shared" si="603"/>
        <v/>
      </c>
      <c r="HX264" t="str">
        <f t="shared" si="604"/>
        <v/>
      </c>
      <c r="HY264" t="str">
        <f t="shared" si="605"/>
        <v/>
      </c>
      <c r="HZ264" t="str">
        <f t="shared" si="606"/>
        <v/>
      </c>
      <c r="IA264" t="str">
        <f>IF(B264="","",IFERROR(VLOOKUP(B264,УГО_спр,2,FALSE),IFERROR(VLOOKUP(AX264,УГО_спр,2,FALSE),IFERROR(VLOOKUP(LEFT(AX264,2),УГО_спр,2,FALSE),""))))</f>
        <v>Розетка</v>
      </c>
      <c r="IB264" t="str">
        <f>IF(B264="","",IF(OR(IA264="",IA264=0),"BOX",IFERROR(IF(VLOOKUP(IA264,УГО_блоки,3,FALSE)&amp;""&lt;&gt;"",VLOOKUP(IA264,УГО_блоки,3,FALSE),VLOOKUP(IA264,УГО_блоки,2,FALSE)),IA264)))</f>
        <v>SOCKET</v>
      </c>
      <c r="IC264">
        <f t="shared" si="607"/>
        <v>1</v>
      </c>
      <c r="ID264" t="str">
        <f>IF(DA264="","",IF(COUNTIF(DA$3:DA264,DA264)=1,MAX(ID$2:ID263)+1,""))</f>
        <v/>
      </c>
      <c r="IE264" t="str">
        <f>IF(CO264="","",IF(COUNTIF(CO$3:CO264,CO264)+COUNTIF(CP$2:CP263,CO264)+COUNTIF(CQ$2:CQ263,CO264)=1,MAX(IE$2:IG263)+1,""))</f>
        <v/>
      </c>
      <c r="IF264" t="str">
        <f>IF(CP264="","",IF(COUNTIF(CO$3:CO264,CP264)+COUNTIF(CP$3:CP264,CP264)+COUNTIF(CQ$2:CQ263,CP264)=1,MAX(IE$2:IG263,IE264)+1,""))</f>
        <v/>
      </c>
      <c r="IG264" t="str">
        <f>IF(CQ264="","",IF(COUNTIF(CO$3:CO264,CQ264)+COUNTIF(CP$3:CP264,CQ264)+COUNTIF(CQ$3:CQ264,CQ264)=1,MAX(IE$2:IG263,IE264,IF264)+1,""))</f>
        <v/>
      </c>
      <c r="IH264" t="str">
        <f t="shared" si="608"/>
        <v>3х2,5</v>
      </c>
      <c r="II264" t="str">
        <f>IF(IH264="","",IF(COUNTIF(IH$3:IH264,IH264)=1,MAX(II$2:II263)+1,""))</f>
        <v/>
      </c>
      <c r="IJ264" t="str">
        <f>IF(GL264="","",COUNTIF(GL$3:GL264,"?*"))</f>
        <v/>
      </c>
      <c r="IK264" t="str">
        <f>IF(OR(GL264="",GN264=""),"",IF(COUNTIFS(GL$3:GL264,"?*",GN$3:GN264,GN264)=1,MAX(IK$2:IK263)+1,""))</f>
        <v/>
      </c>
      <c r="IL264">
        <f t="shared" si="609"/>
        <v>0</v>
      </c>
      <c r="IM264">
        <f>IF(B264="","",COUNTIF(B$3:B264,"?*"))</f>
        <v>262</v>
      </c>
      <c r="IN264">
        <f>IF(GQ264&lt;&gt;1,0,_xlfn.LET(_xlpm.k,MAX(IFERROR(--VLOOKUP(B264,УГО_спр,5,FALSE),0),IFERROR(--VLOOKUP(AX264,УГО_спр,5,FALSE),0),IFERROR(--VLOOKUP(LEFT(AX264,2),УГО_спр,5,FALSE),0)),IF(_xlpm.k&gt;0,_xlpm.k,IF(IFERROR(--LEFT(SUBSTITUTE(IH264,"x","х"),FIND("х",SUBSTITUTE(IH264,"x","х"))-1),3)&gt;3,Каталог!$S$9,1))))</f>
        <v>1</v>
      </c>
      <c r="IO264">
        <f t="shared" si="610"/>
        <v>0</v>
      </c>
      <c r="IP264" t="str">
        <f t="shared" si="611"/>
        <v>авто</v>
      </c>
      <c r="IQ264">
        <f t="shared" si="612"/>
        <v>30</v>
      </c>
      <c r="IR264">
        <f t="shared" si="613"/>
        <v>1</v>
      </c>
      <c r="IS264">
        <f t="shared" si="614"/>
        <v>1</v>
      </c>
    </row>
    <row r="265" spans="1:253" x14ac:dyDescent="0.3">
      <c r="A265" t="s">
        <v>759</v>
      </c>
      <c r="B265" t="s">
        <v>1530</v>
      </c>
      <c r="C265" t="s">
        <v>1671</v>
      </c>
      <c r="D265">
        <v>1</v>
      </c>
      <c r="E265">
        <v>0.03</v>
      </c>
      <c r="G265" t="str">
        <f>Линии[[#This Row],[_авто автомат]]</f>
        <v>2P С16А 30мА</v>
      </c>
      <c r="H265">
        <f>Линии[[#This Row],[_авто утечка]]</f>
        <v>30</v>
      </c>
      <c r="I265" t="str">
        <f>Линии[[#This Row],[_авто управление]]</f>
        <v/>
      </c>
      <c r="J265" t="str">
        <f>Линии[[#This Row],[_авто аппараты]]</f>
        <v/>
      </c>
      <c r="K265">
        <v>2.5</v>
      </c>
      <c r="L265">
        <v>37</v>
      </c>
      <c r="M265" t="str">
        <f>Линии[[#This Row],[_авто фаза]]</f>
        <v>L2</v>
      </c>
      <c r="N265" t="str">
        <f>Линии[[#This Row],[_авто клемма]]</f>
        <v>XT41</v>
      </c>
      <c r="O265" t="str">
        <f t="shared" si="492"/>
        <v/>
      </c>
      <c r="P265" s="6" cm="1">
        <f t="array" ref="P265">IF(B265="","",IF(BC265&lt;&gt;"",IFERROR(_xlfn.XLOOKUP(BC265,Щиты[Щит],Щиты[Iр, А]),""),IF(BK265=1,IFERROR(_xlfn.XLOOKUP(A265,Щиты[Щит],Щиты[Iр, А]),""),IFERROR(_xlfn.IFS(BR265=1,BN265/((Uн_лин/SQRT(3))*BY265),BR265=3,BN265/(SQRT(3)*Uн_лин*BY265)),""))))</f>
        <v>0.13674085322912188</v>
      </c>
      <c r="Q265" s="7">
        <f>IF(B265="","",IFERROR(IF(VLOOKUP(AX265,Потребители_обозначение,4,FALSE)=1,VLOOKUP(AX265,Потребители_обозначение,3,FALSE)*(D265*2-1)+DS265+VLOOKUP(AZ265,Этаж_обозначение,3,FALSE)+VLOOKUP(AZ265,Этаж_обозначение,4,FALSE),VLOOKUP(AX265,Потребители_обозначение,3,FALSE)*(D265*2-1)+DS265),DS265))</f>
        <v>40</v>
      </c>
      <c r="R265" s="6">
        <f t="shared" si="493"/>
        <v>1.24</v>
      </c>
      <c r="S265" t="str">
        <f t="shared" si="494"/>
        <v>ВВГнг(А)-LS (3х2,5)</v>
      </c>
      <c r="T265" t="str">
        <f>IF(BH265="","",IF(BI265="вводной узел","узел ","")&amp;"л."&amp;(INT((BH265-1)/Столбцов_на_лист)+1)&amp;" / "&amp;(MOD(BH265-1,Столбцов_на_лист)+1))</f>
        <v>л.4 / 13</v>
      </c>
      <c r="V265">
        <v>1</v>
      </c>
      <c r="W265">
        <v>230</v>
      </c>
      <c r="X265" t="s">
        <v>564</v>
      </c>
      <c r="AC265" t="s">
        <v>815</v>
      </c>
      <c r="AE265" t="s">
        <v>563</v>
      </c>
      <c r="AI265">
        <v>64</v>
      </c>
      <c r="AJ265" t="s">
        <v>11</v>
      </c>
      <c r="AK265">
        <v>3</v>
      </c>
      <c r="AM265">
        <v>20</v>
      </c>
      <c r="AO265">
        <v>0</v>
      </c>
      <c r="AW265" cm="1">
        <f t="array" ref="AW265">ROW()-ROW(Линии[#Headers])</f>
        <v>263</v>
      </c>
      <c r="AX265" s="6" t="str">
        <f t="shared" si="495"/>
        <v>R</v>
      </c>
      <c r="AY265" t="str">
        <f t="shared" si="496"/>
        <v>1.019A.1</v>
      </c>
      <c r="AZ265" t="str">
        <f t="shared" si="497"/>
        <v>1</v>
      </c>
      <c r="BA265" t="str">
        <f t="shared" si="498"/>
        <v>019A.1</v>
      </c>
      <c r="BB265" t="str">
        <f t="shared" si="499"/>
        <v>019A</v>
      </c>
      <c r="BC265" t="str">
        <f>IF(U265&lt;&gt;"",U265,IF(AND(B265&lt;&gt;"",B265&lt;&gt;A265,ISNUMBER(_xlfn.XMATCH(B265,Щиты[Щит]))),B265,""))</f>
        <v/>
      </c>
      <c r="BD265" t="str" cm="1">
        <f t="array" ref="BD265">IF(B265="","",IF(BC265&lt;&gt;"","Щит "&amp;BC265,_xlfn.LET(_xlpm.nm,IFERROR(_xlfn.XLOOKUP(AX265,Коды_код,Коды_имя)&amp;"",""),_xlpm.md,IFERROR(N(_xlfn.XLOOKUP(AX265,Коды_код,Коды_режим)),1),_xlpm.ex,IF(Имя_режим="по экспликации",IFERROR(_xlfn.XLOOKUP(AZ265&amp;"|"&amp;BB265,Экспликация[Этаж]&amp;"|"&amp;Экспликация[Помещение],Экспликация[Название])&amp;"",""),""),_xlpm.rm,IF(BB265="","",IF(_xlpm.ex&lt;&gt;"",". "&amp;_xlpm.ex&amp;IF(Имя_пом="нет"," ("&amp;BB265&amp;")"," (пом. "&amp;BB265&amp;")"),IF(Имя_пом="нет"," ",", пом. ")&amp;BB265)),IF(_xlpm.nm="","",IF(_xlpm.md=2,_xlpm.nm&amp;" шлейф "&amp;AZ265,_xlpm.nm&amp;_xlpm.rm)))))</f>
        <v>Розеточная группа, пом. 019A</v>
      </c>
      <c r="BE265" t="str">
        <f t="shared" si="500"/>
        <v>Розеточная группа Первый этаж Пом. №019A Полотенцесушитель</v>
      </c>
      <c r="BF265">
        <f>IFERROR(_xlfn.XMATCH(A265,Щиты[Щит]),0)</f>
        <v>10</v>
      </c>
      <c r="BG265">
        <f>_xlfn.LET(_xlpm.k,IFERROR(_xlfn.XLOOKUP(A265,Щиты[Щит],Щиты[Листов под вводной узел]),""),IF(_xlpm.k="",1,N(_xlpm.k))*Столбцов_на_лист)</f>
        <v>17</v>
      </c>
      <c r="BH265">
        <f t="shared" si="501"/>
        <v>64</v>
      </c>
      <c r="BI265" t="str">
        <f t="shared" si="502"/>
        <v>линии</v>
      </c>
      <c r="BJ265" s="6">
        <f>IFERROR(N(_xlfn.XLOOKUP(AX265,Коды_код,Коды_квт)),0)</f>
        <v>0</v>
      </c>
      <c r="BK265">
        <f t="shared" si="503"/>
        <v>0</v>
      </c>
      <c r="BL265" t="str">
        <f>IF(B265="","",IF(BC265&lt;&gt;"",IFERROR(_xlfn.XLOOKUP(BC265,Щиты[Щит],Щиты[Руст, кВт]),0),IF(BK265=1,IFERROR(_xlfn.XLOOKUP(A265,Щиты[Щит],Щиты[Руст, кВт]),0),IF(BJ265&gt;0,ROUND(BJ265*MAX(1,N(D265)),3),""))))</f>
        <v/>
      </c>
      <c r="BM265">
        <f t="shared" si="504"/>
        <v>0.03</v>
      </c>
      <c r="BN265" s="6">
        <f>IF(B265="","",IF(BC265&lt;&gt;"",IFERROR(_xlfn.XLOOKUP(BC265,Щиты[Щит],Щиты[Руст, кВт]),0),N(BM265)))</f>
        <v>0.03</v>
      </c>
      <c r="BO265" t="str">
        <f>IF(B265="","",IFERROR(IF(VLOOKUP(AX265,Потребители_обозначение,8,FALSE)=0,"",VLOOKUP(AX265,Потребители_обозначение,8,FALSE)),""))</f>
        <v/>
      </c>
      <c r="BP265">
        <f t="shared" si="505"/>
        <v>230</v>
      </c>
      <c r="BQ265">
        <f>IF(B265="","",IF(BC265&lt;&gt;"",3,IFERROR(IF(N(VLOOKUP(AX265,Потребители_обозначение,9,FALSE))=0,1,VLOOKUP(AX265,Потребители_обозначение,9,FALSE)),1)))</f>
        <v>1</v>
      </c>
      <c r="BR265">
        <f t="shared" si="506"/>
        <v>1</v>
      </c>
      <c r="BS265" t="str">
        <f>IF(B265="","",_xlfn.LET(_xlpm.bc,IFERROR(IF(VLOOKUP(AX265,Потребители_обозначение,6,FALSE)=0,"",VLOOKUP(AX265,Потребители_обозначение,6,FALSE)&amp;""),""),IF(AND(FK265="да",OR(_xlpm.bc="",_xlpm.bc="мс")),Марка_пож,IF(AND(_xlpm.bc="",BC265&lt;&gt;""),"мс",_xlpm.bc))))</f>
        <v/>
      </c>
      <c r="BT265" t="str">
        <f t="shared" si="507"/>
        <v>мс</v>
      </c>
      <c r="BU265">
        <f>IF(B265="","",_xlfn.LET(_xlpm.cc,IFERROR(N(VLOOKUP(AX265,Потребители_обозначение,7,FALSE)),0),IF(_xlpm.cc&gt;0,_xlpm.cc,IF(BT265="","",IF(N(BR265)=3,5,3)))))</f>
        <v>3</v>
      </c>
      <c r="BV265">
        <f t="shared" si="508"/>
        <v>3</v>
      </c>
      <c r="BW265">
        <f>IFERROR(N(VLOOKUP(AX265,Потребители_обозначение,10,FALSE)),0)</f>
        <v>0</v>
      </c>
      <c r="BX265">
        <f>IFERROR(VLOOKUP(AX265,Потребители_обозначение,5,FALSE),0)</f>
        <v>1</v>
      </c>
      <c r="BY265" s="6" cm="1">
        <f t="array" ref="BY265">IF(B265="","",IF(BC265&lt;&gt;"",IFERROR(_xlfn.XLOOKUP(BC265,Щиты[Щит],Щиты[cos φ]),0.95),IF(BK265=1,IFERROR(_xlfn.XLOOKUP(A265,Щиты[Щит],Щиты[cos φ]),0.95),IF(ISNUMBER(Z265),Z265,IFERROR(IF(BX265=2,_xlfn.IFS(BR265=3,VLOOKUP(BN265,Справочная_двигатели,8,FALSE),BR265=1,VLOOKUP(BN265,Справочная_двигатели,10,TRUE)),IF(AND(Методика="нормы 2026",EQ265="Сил"),0.8,0.95)),0.95)))))</f>
        <v>0.95</v>
      </c>
      <c r="BZ265">
        <f t="shared" si="509"/>
        <v>0</v>
      </c>
      <c r="CA265">
        <f t="shared" si="510"/>
        <v>1</v>
      </c>
      <c r="CB265">
        <f t="shared" si="511"/>
        <v>0</v>
      </c>
      <c r="CC265">
        <f t="shared" si="512"/>
        <v>0</v>
      </c>
      <c r="CD265">
        <f t="shared" si="513"/>
        <v>0</v>
      </c>
      <c r="CE265">
        <f t="shared" si="514"/>
        <v>0</v>
      </c>
      <c r="CF265">
        <f t="shared" si="515"/>
        <v>0</v>
      </c>
      <c r="CG265">
        <f>IF(AX265="",0,_xlfn.LET(_xlpm.v,IFERROR(VLOOKUP(B265,УГО_спр,3,FALSE),IFERROR(VLOOKUP(AX265,УГО_спр,3,FALSE),IFERROR(VLOOKUP(LEFT(AX265,2),УГО_спр,3,FALSE),""))),IF(_xlpm.v="да",30,IF(ISNUMBER(_xlpm.v),_xlpm.v,0))))</f>
        <v>30</v>
      </c>
      <c r="CH265">
        <f t="shared" si="516"/>
        <v>30</v>
      </c>
      <c r="CI265" t="str">
        <f>_xlfn.LET(_xlpm.k,IFERROR(_xlfn.XLOOKUP(AX265,Коды_код,Коды_утечка)&amp;"",""),IF(_xlpm.k="","дифавтомат",_xlpm.k))</f>
        <v>дифавтомат</v>
      </c>
      <c r="CJ265">
        <f t="shared" si="517"/>
        <v>30</v>
      </c>
      <c r="CK265">
        <f t="shared" si="518"/>
        <v>30</v>
      </c>
      <c r="CL265">
        <f>IF(B265="",0,IFERROR(--VLOOKUP(B265,УГО_спр,4,FALSE),IFERROR(--VLOOKUP(AX265,УГО_спр,4,FALSE),IFERROR(--VLOOKUP(LEFT(AX265,2),УГО_спр,4,FALSE),0))))</f>
        <v>16</v>
      </c>
      <c r="CM265" t="str">
        <f>IF(B265="","",IFERROR(_xlfn.XLOOKUP(AX265,Коды_код,Коды_апп)&amp;"",""))</f>
        <v/>
      </c>
      <c r="CN265" t="str">
        <f t="shared" si="519"/>
        <v/>
      </c>
      <c r="CO265" t="str" cm="1">
        <f t="array" ref="CO265">IF(TRIM(CN265&amp;"")="","",IFERROR(TRIM(INDEX(_xlfn.TEXTSPLIT(CN265&amp;";;;",";"),1)),""))</f>
        <v/>
      </c>
      <c r="CP265" t="str" cm="1">
        <f t="array" ref="CP265">IF(TRIM(CN265&amp;"")="","",IFERROR(TRIM(INDEX(_xlfn.TEXTSPLIT(CN265&amp;";;;",";"),2)),""))</f>
        <v/>
      </c>
      <c r="CQ265" t="str" cm="1">
        <f t="array" ref="CQ265">IF(TRIM(CN265&amp;"")="","",IFERROR(TRIM(INDEX(_xlfn.TEXTSPLIT(CN265&amp;";;;",";"),3)),""))</f>
        <v/>
      </c>
      <c r="CR265">
        <f t="shared" si="520"/>
        <v>0</v>
      </c>
      <c r="CS265" t="str">
        <f>IF(B265="","",_xlfn.LET(_xlpm.t,LOWER(AV265&amp;""),IF(ISNUMBER(SEARCH("dim",_xlpm.t)),"DIM",IF(ISNUMBER(SEARCH("dali",_xlpm.t)),"DALI",IF(OR(ISNUMBER(SEARCH("relay",_xlpm.t)),ISNUMBER(SEARCH("реле",_xlpm.t))),"Relay",IF(ISNUMBER(SEARCH("кнопк",_xlpm.t)),"",IFERROR(_xlfn.XLOOKUP(AX265,Коды_код,Коды_упр)&amp;"","")))))))</f>
        <v/>
      </c>
      <c r="CT265" t="str">
        <f t="shared" si="521"/>
        <v/>
      </c>
      <c r="CU265">
        <f>IF(B265="","",_xlfn.LET(_xlpm.ig,N(P265)+IF(AF265="вручную",0,N(CB265)),_xlpm.n0,IFERROR(VLOOKUP(_xlpm.ig,Автомат_номиналы,2,TRUE),0),_xlpm.mn,MAX(CL265,IF(AF265="вручную",0,N(CE265))),MAX(_xlpm.n0,_xlpm.mn,IF(CR265=1,Мин_автомат_БП,0))))</f>
        <v>16</v>
      </c>
      <c r="CV265">
        <f t="shared" si="522"/>
        <v>1</v>
      </c>
      <c r="CW265" t="str">
        <f t="shared" si="523"/>
        <v>2P</v>
      </c>
      <c r="CX265" t="str">
        <f>_xlfn.LET(_xlpm.cc,UPPER(TRIM(IFERROR(_xlfn.XLOOKUP(AX265,Коды_код,Коды_хар)&amp;"",""))),IF(OR(_xlpm.cc="B",_xlpm.cc="В"),"B",IF(_xlpm.cc="D","D","С")))</f>
        <v>С</v>
      </c>
      <c r="CY265" t="str">
        <f t="shared" si="524"/>
        <v>2P С16А 30мА</v>
      </c>
      <c r="CZ265" t="str">
        <f t="shared" si="525"/>
        <v>2P С16А 30мА</v>
      </c>
      <c r="DA265" t="str">
        <f t="shared" si="526"/>
        <v>2P С16А 30мА</v>
      </c>
      <c r="DB265" cm="1">
        <f t="array" ref="DB265">IF(DA265="","",_xlfn.LET(_xlpm.t,SUBSTITUTE(SUBSTITUTE(SUBSTITUTE(UPPER(DA265),"С","C"),"А","A"),"В","B"),_xlpm.tk,_xlfn.TEXTSPLIT(_xlpm.t,"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5" t="str">
        <f t="shared" si="527"/>
        <v>ok</v>
      </c>
      <c r="DD265">
        <f t="shared" si="528"/>
        <v>16</v>
      </c>
      <c r="DE265" t="str">
        <f t="shared" si="529"/>
        <v>2P С16А 30мА</v>
      </c>
      <c r="DF265">
        <f t="shared" si="530"/>
        <v>30</v>
      </c>
      <c r="DG265">
        <f t="shared" si="531"/>
        <v>1</v>
      </c>
      <c r="DH265">
        <f t="shared" si="532"/>
        <v>0</v>
      </c>
      <c r="DI265">
        <f t="shared" si="533"/>
        <v>0.13674085322912188</v>
      </c>
      <c r="DJ265">
        <f t="shared" si="534"/>
        <v>1</v>
      </c>
      <c r="DK265">
        <f>IF(ISNUMBER(AL265),AL265,К_прокл)</f>
        <v>1</v>
      </c>
      <c r="DL265">
        <f t="shared" si="535"/>
        <v>2</v>
      </c>
      <c r="DM265">
        <f>IFERROR(N(VLOOKUP(BT265,Кабель_обозначение,3,FALSE)),1)</f>
        <v>1</v>
      </c>
      <c r="DN265">
        <f>IFERROR(N(_xlfn.XLOOKUP(A265,Щиты[Щит],Щиты[ΔU до шин, %])),0)</f>
        <v>1.19</v>
      </c>
      <c r="DO265" t="str">
        <f>IFERROR(_xlfn.XLOOKUP(A265,Щиты[Щит],Щиты[Zпетли на шинах, Ом]),"")</f>
        <v/>
      </c>
      <c r="DP265">
        <f>IFERROR(N(_xlfn.XLOOKUP(A265,Щиты[Щит],Щиты[ΔU до шин (подбор), %])),0)</f>
        <v>1.19</v>
      </c>
      <c r="DQ265" t="str">
        <f>IFERROR(_xlfn.XLOOKUP(A265,Щиты[Щит],Щиты[Zпетли на шинах (подбор), Ом]),"")</f>
        <v/>
      </c>
      <c r="DR265" t="str">
        <f t="shared" si="536"/>
        <v/>
      </c>
      <c r="DS265">
        <f t="shared" si="537"/>
        <v>37</v>
      </c>
      <c r="DT265">
        <f t="shared" si="538"/>
        <v>2</v>
      </c>
      <c r="DU265">
        <f t="shared" si="539"/>
        <v>0.31</v>
      </c>
      <c r="DV265" s="6">
        <f>IF(B265="","",IF(IFERROR(VLOOKUP(AX265,УГО_спр,2,FALSE),"")="Светильник",3,4)+IF(Методика="нормы 2026",MIN(0.5,MAX(0,N(Q265)-100)*0.005),0))</f>
        <v>4</v>
      </c>
      <c r="DW265" cm="1">
        <f t="array" ref="DW265">IF(OR(B265="",BT265="",DM265&lt;&gt;1),"",_xlfn.LET(_xlpm.sz,Iдоп_S,_xlpm.t_,CHOOSE(DL265,Iдоп_1ж,Iдоп_2ж,Iдоп_3ж)*DJ265*DK265,_xlpm.inn,N(DD265),_xlpm.smin,MAX(1.5,BW265),_xlpm.L_,N(Q265)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265)*(_xlpm.rho*_xlpm.L_/_xlpm.sz*N(BY265)+_xlpm.xx*_xlpm.L_*N(DU265)/1000)*N(P265)/((Uн_лин/SQRT(3))*1000)*100,999),_xlpm.kz,IF(OR(DG265=1,NOT(ISNUMBER(DQ265)),_xlpm.L_=0,_xlpm.inn=0),1,IFERROR(--(c_min*(Uн_лин*1000/SQRT(3))/(DQ265+2*ρкз_Cu*_xlpm.L_/_xlpm.sz)&gt;=GY265*_xlpm.inn),0)),_xlpm.ok,IFERROR((_xlpm.sz&gt;=_xlpm.smin)*(_xlpm.t_&gt;=_xlpm.inn)*IF(_xlpm.L_&gt;0,(_xlpm.du_+DP265&lt;=DV265+0.00001),1)*_xlpm.kz,0),_xlpm.r_,_xlfn._xlws.FILTER(_xlpm.sz,_xlpm.ok,"не подобрано"),INDEX(_xlpm.r_,1)))</f>
        <v>1.5</v>
      </c>
      <c r="DX265">
        <f t="shared" si="540"/>
        <v>2.5</v>
      </c>
      <c r="DY265" cm="1">
        <f t="array" ref="DY265">IF(OR(B265="",BT265="",DM265&lt;&gt;1),"",_xlfn.LET(_xlpm.sz,Iдоп_S,_xlpm.t_,CHOOSE(DL265,Iдоп_1ж,Iдоп_2ж,Iдоп_3ж)*DJ265*DK265,_xlpm.ok,IFERROR((_xlpm.sz&gt;=MAX(1.5,BW265))*(_xlpm.t_&gt;=N(DD265)),0),_xlpm.r_,_xlfn._xlws.FILTER(_xlpm.sz,_xlpm.ok,""),INDEX(_xlpm.r_,1)))</f>
        <v>1.5</v>
      </c>
      <c r="DZ265" s="6" cm="1">
        <f t="array" ref="DZ265">IFERROR(ROUNDUP(N(DT265)*(_xlfn.XLOOKUP(DY265,INDEX(Кабель_сопротивление,0,1),INDEX(Кабель_сопротивление,0,3))*N(Q265)/DY265*N(BY265)+_xlfn.XLOOKUP(DY265,INDEX(Кабель_сопротивление,0,1),INDEX(Кабель_сопротивление,0,2))*N(Q265)*N(DU265)/1000)*N(P265)/((Uн_лин/SQRT(3))*1000)*100,2),"")</f>
        <v>6.9999999999999993E-2</v>
      </c>
      <c r="EA265">
        <f>IFERROR(2*ρкз_Cu*N(Q265)/DY265,"")</f>
        <v>1.4026666666666667</v>
      </c>
      <c r="EB265">
        <f>IFERROR(VLOOKUP(DX265,Кабель_сопротивление,3,FALSE),"")</f>
        <v>2.2499999999999999E-2</v>
      </c>
      <c r="EC265">
        <f>IFERROR(VLOOKUP(DX265,Кабель_сопротивление,2,FALSE),"")</f>
        <v>0.1</v>
      </c>
      <c r="ED265" t="str">
        <f t="shared" si="541"/>
        <v/>
      </c>
      <c r="EE265">
        <f t="shared" si="542"/>
        <v>0</v>
      </c>
      <c r="EF265">
        <f t="shared" si="543"/>
        <v>9.3869860924727586E-2</v>
      </c>
      <c r="EG265" s="6">
        <f>IFERROR(ROUNDUP(EF265/((Uн_лин/SQRT(3))*1000)*100,2),"")</f>
        <v>0.05</v>
      </c>
      <c r="EH265" t="str">
        <f>IFERROR(VLOOKUP(BT265,Кабель_обозначение,2,FALSE),"")</f>
        <v>ВВГнг(А)-LS</v>
      </c>
      <c r="EI265" t="str">
        <f t="shared" si="544"/>
        <v>ВВГнг(А)-LS (3х2,5)</v>
      </c>
      <c r="EJ265" t="str">
        <f t="shared" si="545"/>
        <v>ВВГнг(А)-LS (3х2,5)
L=40-0,05%</v>
      </c>
      <c r="EK265">
        <f>IFERROR(2*ρкз_Cu*Q265/DX265,"")</f>
        <v>0.84160000000000001</v>
      </c>
      <c r="EL265">
        <f t="shared" si="546"/>
        <v>0.28000000000000003</v>
      </c>
      <c r="EM265" s="6" t="str">
        <f>IFERROR(IF(OR(B265="",NOT(ISNUMBER(DX265)),N(Q265)=0),"",_xlfn.XLOOKUP(A265,Щиты[Щит],Щиты[Zпетли на шинах, Ом])+EK265),"")</f>
        <v/>
      </c>
      <c r="EN265" s="6" t="str">
        <f>IF(ISNUMBER(EM265),c_min*(Uн_лин*1000/SQRT(3))/EM265,"")</f>
        <v/>
      </c>
      <c r="EO265" s="6" t="str">
        <f>IFERROR(IF(OR(B265="",NOT(ISNUMBER(DX265))),"",1.05*(Uн_лин*1000/SQRT(3))/(_xlfn.XLOOKUP(A265,Щиты[Щит],Щиты[Zmax на шинах, Ом])+EL265)/1000),"")</f>
        <v/>
      </c>
      <c r="EP265" s="6" t="str">
        <f>IF(B265="","",IF(ISNUMBER(Y265),"Сил",IF(IFERROR(_xlfn.XLOOKUP(AX265,Коды_код,Коды_группа)&amp;"","")="","Быт",_xlfn.XLOOKUP(AX265,Коды_код,Коды_группа)&amp;"")))</f>
        <v>Быт</v>
      </c>
      <c r="EQ265" s="6" t="str">
        <f t="shared" si="547"/>
        <v>Быт</v>
      </c>
      <c r="ER265" s="6">
        <f>IF(EQ265="Щит","щит",IF(EQ265="","",IF(EQ265="Быт",IFERROR(_xlfn.XLOOKUP(A265,Щиты[Щит],Щиты[Кс быт]),1),IF(EQ265="Сил",IF(ISNUMBER(Y265),Y265,IF(Методика="нормы 2026",IFERROR(_xlfn.XLOOKUP(A265,Щиты[Щит],Щиты[Кс силовых (табл. 7.5)]),1),1)),IF(OR(EQ265="Пост",EQ265="Отоп"),1,IF(EQ265="ВНГ",0.7,0))))))</f>
        <v>0.57830000000000004</v>
      </c>
      <c r="ES265">
        <f t="shared" si="548"/>
        <v>1</v>
      </c>
      <c r="ET265">
        <f t="shared" si="549"/>
        <v>0.03</v>
      </c>
      <c r="EU265">
        <f t="shared" si="550"/>
        <v>0.03</v>
      </c>
      <c r="EV265">
        <f t="shared" si="551"/>
        <v>0</v>
      </c>
      <c r="EW265">
        <f t="shared" si="552"/>
        <v>0</v>
      </c>
      <c r="EX265">
        <f t="shared" si="553"/>
        <v>0</v>
      </c>
      <c r="EY265">
        <f t="shared" si="554"/>
        <v>0</v>
      </c>
      <c r="EZ265">
        <f t="shared" si="555"/>
        <v>0.03</v>
      </c>
      <c r="FA265">
        <f t="shared" si="556"/>
        <v>2.8499999999999998E-2</v>
      </c>
      <c r="FB265">
        <f t="shared" si="557"/>
        <v>0.03</v>
      </c>
      <c r="FC265" t="str">
        <f t="shared" si="558"/>
        <v/>
      </c>
      <c r="FD265" t="str">
        <f>IF(B265="","",IF(CA265=0,IF(AW265=1,"",FF264),IF(OR(N(CV265)&gt;=3,N(BR265)&gt;=3),"L1,L2,L3",IFERROR(_xlfn.TEXTBEFORE(_xlfn.TEXTAFTER(_xlfn.XLOOKUP(A265,Щиты[Щит],Щиты[_фазы авто]),";"&amp;AW265&amp;":"),";"),"L1"))))</f>
        <v>L2</v>
      </c>
      <c r="FE265" t="str">
        <f t="shared" si="559"/>
        <v>L2</v>
      </c>
      <c r="FF265" t="str">
        <f t="shared" si="560"/>
        <v>L2</v>
      </c>
      <c r="FG265" cm="1">
        <f t="array" ref="FG265">IFERROR(IF(BX265=2,_xlfn.IFS(BR265=3,VLOOKUP(BN265,Справочная_двигатели,3,FALSE),BR265=1,VLOOKUP(BN265,Справочная_двигатели,5,TRUE)),0),0)</f>
        <v>0</v>
      </c>
      <c r="FH265">
        <f>IFERROR(IF(BX265=3,VLOOKUP(BN265,Справочная_ЛЭД,2,TRUE),0),0)</f>
        <v>0</v>
      </c>
      <c r="FI265" s="6">
        <f t="shared" si="561"/>
        <v>0</v>
      </c>
      <c r="FJ265" t="str" cm="1">
        <f t="array" ref="FJ265">IF(B265="","",IFERROR(INDEX({"I особая","I","II","III"},MATCH(TRIM(AC265&amp;""),{"I особая","I","II","III"},0)),"III"))</f>
        <v>II</v>
      </c>
      <c r="FK265" t="str">
        <f>IF(B265="","",IF(TRIM(AD265&amp;"")&lt;&gt;"",IF(LOWER(TRIM(AD265&amp;""))="да","да","нет"),IF(IFERROR(_xlfn.XLOOKUP(AX265,Коды_код,Коды_пожарная),"")="да","да","нет")))</f>
        <v>нет</v>
      </c>
      <c r="FL265" t="str">
        <f t="shared" si="562"/>
        <v/>
      </c>
      <c r="FM265" t="str">
        <f t="shared" si="563"/>
        <v>основная</v>
      </c>
      <c r="FN265">
        <f t="shared" si="564"/>
        <v>1</v>
      </c>
      <c r="FO265" t="str" cm="1">
        <f t="array" ref="FO265">IF(B265="","",_xlfn.LET(_xlpm.t,IFERROR(_xlfn.XLOOKUP(1,(Шины[Шина]=FM265)*(((Шины[Щит]=A265)+(Шины[Щит]=""))&gt;0),Шины[Тип]),"")&amp;"",IF(_xlpm.t&lt;&gt;"",_xlpm.t,IF(ISNUMBER(SEARCH("ИБП",FM265)),"ИБП",IF(ISNUMBER(SEARCH("ДГУ",FM265)),"ДГУ","Ввод "&amp;FN265)))))</f>
        <v>Ввод 1</v>
      </c>
      <c r="FP265" t="str">
        <f t="shared" si="565"/>
        <v>Ввод 1</v>
      </c>
      <c r="FQ265" t="str">
        <f>IF(B265="","",IF(OR(FO265="ИБП",FO265="ДГУ"),"I особая",IF(FO265="Одиночная","III",_xlfn.XLOOKUP(A265,Щиты[Щит],Щиты[Категория шины «Ввод»],"III"))))</f>
        <v>II</v>
      </c>
      <c r="FR265">
        <f>IF(B265="",0,IFERROR(MATCH(FJ265,{"III","II","I","I особая"},0),1))</f>
        <v>2</v>
      </c>
      <c r="FS265">
        <f t="shared" si="566"/>
        <v>2</v>
      </c>
      <c r="FT265" t="str">
        <f>IF(B265="","",IF(FR265&gt;IFERROR(MATCH(FQ265,{"III","II","I","I особая"},0),1),"НЕ ОБЕСПЕЧЕНА","ОК"))</f>
        <v>ОК</v>
      </c>
      <c r="FU265" t="str">
        <f>IF(A265="","",_xlfn.XLOOKUP(A265,Щиты[Щит],Щиты[Путь],""))</f>
        <v>|ГРЩ-ЖД|ЩР-1|</v>
      </c>
      <c r="FV265" t="str">
        <f>IF(B265="","",IF(AE265&lt;&gt;"",AE265,IF(IFERROR(_xlfn.XLOOKUP(AX265,Коды_код,Коды_вид)&amp;"","")="","Прочее",_xlfn.XLOOKUP(AX265,Коды_код,Коды_вид)&amp;"")))</f>
        <v>Розеточная сеть и бытовые приборы</v>
      </c>
      <c r="FW265">
        <f>IF(BH265="","",INT((BH265-1)/Столбцов_на_лист)+1)</f>
        <v>4</v>
      </c>
      <c r="FX265" t="str">
        <f t="shared" si="567"/>
        <v>ВВГнг(А)-LS (3х2,5) L=40-0,05%</v>
      </c>
      <c r="FY265">
        <f t="shared" si="568"/>
        <v>0.03</v>
      </c>
      <c r="FZ265">
        <f t="shared" si="569"/>
        <v>0.14000000000000001</v>
      </c>
      <c r="GA265">
        <f t="shared" si="570"/>
        <v>1</v>
      </c>
      <c r="GB265">
        <f t="shared" si="571"/>
        <v>0</v>
      </c>
      <c r="GC265">
        <f t="shared" si="572"/>
        <v>1</v>
      </c>
      <c r="GD265">
        <f>IF(BH265="","",IF(AND(CA265=1,GC265=1),COUNTIFS(A$3:A265,A265,CA$3:CA265,1,GC$3:GC265,1),IF(OR(OR(AW265=1,A265&lt;&gt;A264),AF265="вручную",GC265=0),"",IF(AW265=1,"",GE264))))</f>
        <v>41</v>
      </c>
      <c r="GE265">
        <f t="shared" si="573"/>
        <v>41</v>
      </c>
      <c r="GF265">
        <f>IF(B265="","",IFERROR(LOOKUP(INDEX(CHOOSE(DL265,Iдоп_1ж,Iдоп_2ж,Iдоп_3ж),MATCH(DX265,Iдоп_S,0))*DJ265*DK265,{6,10,16,20,25,32,40,50,63,80,100,125,160,200,250,315,400,500,630}),""))</f>
        <v>25</v>
      </c>
      <c r="GG265" t="str">
        <f t="shared" si="574"/>
        <v>QFD41</v>
      </c>
      <c r="GH265" t="str">
        <f t="shared" si="575"/>
        <v>QFD41</v>
      </c>
      <c r="GI265" t="str">
        <f t="shared" si="576"/>
        <v/>
      </c>
      <c r="GJ265">
        <f t="shared" si="577"/>
        <v>0</v>
      </c>
      <c r="GK265" t="str">
        <f>IF(OR(AG265="",AG265="-"),"",IFERROR(VLOOKUP(AG265,Модули_спр,2,FALSE),"R"))</f>
        <v/>
      </c>
      <c r="GL265" t="str">
        <f>IF(GK265="","",GK265&amp;"."&amp;COUNTIFS(A$3:A265,A265,GK$3:GK265,GK265))</f>
        <v/>
      </c>
      <c r="GM265" t="str">
        <f t="shared" si="578"/>
        <v/>
      </c>
      <c r="GN265" t="str">
        <f t="shared" si="579"/>
        <v/>
      </c>
      <c r="GO265" t="str">
        <f t="shared" si="580"/>
        <v/>
      </c>
      <c r="GP265" t="str">
        <f t="shared" si="581"/>
        <v/>
      </c>
      <c r="GQ265">
        <f t="shared" si="582"/>
        <v>1</v>
      </c>
      <c r="GR265" t="str">
        <f>IF(GQ265=1,"XT"&amp;COUNTIFS(A$3:A265,A265,GQ$3:GQ265,1),"")</f>
        <v>XT41</v>
      </c>
      <c r="GS265" t="str">
        <f t="shared" si="583"/>
        <v>XT41</v>
      </c>
      <c r="GT265" t="str">
        <f t="shared" si="584"/>
        <v>QFD41</v>
      </c>
      <c r="GU265" t="str">
        <f t="shared" si="585"/>
        <v/>
      </c>
      <c r="GV265" t="str">
        <f t="shared" si="586"/>
        <v>ok</v>
      </c>
      <c r="GW265" t="str">
        <f>IF(OR(GO265="",GM265=""),"",IF(GO265&gt;IFERROR(VLOOKUP(GN265,Модули_спр,3,FALSE),99),"ЛИШНИЙ КАНАЛ",IF(AND(AH265&lt;&gt;"=",COUNTIFS(Линии[_модуль гр.],GM265,Линии[Канал (итог)],GO265,Линии[Канал],"&lt;&gt;=",Линии[Щит],A265)&gt;1),"ДУБЛЬ КАНАЛА","")))</f>
        <v/>
      </c>
      <c r="GX265" s="6" t="str">
        <f t="shared" si="587"/>
        <v/>
      </c>
      <c r="GY265">
        <f t="shared" si="588"/>
        <v>10</v>
      </c>
      <c r="GZ265" t="str">
        <f t="shared" si="589"/>
        <v/>
      </c>
      <c r="HA265" t="str">
        <f>IF(AND(B265="",GT265=""),"",_xlfn.TEXTJOIN("; ",TRUE,IF(AND(B265&lt;&gt;"",FE265=""),"нет фазы",""),IF(AND(B265&lt;&gt;"",N(FY265)=0,EQ265&lt;&gt;"Нет"),"нет мощности",""),IF(AND(GS265&lt;&gt;"",COUNTIFS(Линии[Щит],A265,Линии[Клемма (итог)],GS265)&gt;1),"дубль клеммы "&amp;GS265,""),IF(AND(GV265&lt;&gt;"",GV265&lt;&gt;"ok"),GV265,""),IF(GW265&lt;&gt;"",GW265,""),IF(AND(N(BV265)&gt;=4,N(BR265)=1),BV265&amp;" жил на 1 фазе",""),IF(AND(AX265="R",CA265=1,OR(N(CK265)=0,N(CK265)&gt;30)),"розетка без дифзащиты до 30 мА",""),IFERROR(IF(AND(ISNUMBER(R265),R265&gt;DV265),"потери "&amp;FIXED(R265,1)&amp;" % &gt; "&amp;DV265&amp;" %",""),""),IFERROR(IF(LEFT(GZ265,4)="мало","Iкз мало — отключение &gt; 0,4 с",""),""),IF(AND(B265&lt;&gt;"",BH265=""),"не на схеме",""),IF(AND(CA265=0,B265&lt;&gt;"",FE265&lt;&gt;"",IF(AW265=1,"",FF264)&lt;&gt;"",FE265&lt;&gt;IF(AW265=1,"",FF264)),"фаза не как у автомата группы ("&amp;IF(AW265=1,"",FF264)&amp;")","")))</f>
        <v/>
      </c>
      <c r="HB265" s="6">
        <f>IF(OR(CA265=0,DA265=""),"",_xlfn.LET(_xlpm.t,IFERROR(_xlfn.XLOOKUP(DA265,Каталог!$U$4:$U$500,Каталог!$G$4:$G$500),""),_xlpm.k,SEARCH("кА",_xlpm.t),IFERROR(--TRIM(RIGHT(SUBSTITUTE(MID(_xlpm.t,MAX(1,_xlpm.k-4),_xlpm.k-MAX(1,_xlpm.k-4))," ",REPT(" ",9)),5)),"")))</f>
        <v>6</v>
      </c>
      <c r="HC265" t="str">
        <f>IF(OR(HB265="",CA265=0),"",IF(_xlfn.XLOOKUP(A265,Щиты[Щит],Щиты[Iкз max на шинах, кА],"")="","",IF(HB265&lt;_xlfn.XLOOKUP(A265,Щиты[Щит],Щиты[Iкз max на шинах, кА]),"Icu "&amp;HB265&amp;" кА &lt; Iкз max","ok")))</f>
        <v/>
      </c>
      <c r="HD265" t="str">
        <f t="shared" si="590"/>
        <v/>
      </c>
      <c r="HE265" t="str">
        <f t="shared" si="591"/>
        <v>QFD41|XT41</v>
      </c>
      <c r="HF265" t="str">
        <f t="shared" si="592"/>
        <v>QFD41|XT41|кабель ВВГнг(А)-LS (3х2,5) → Розеточная группа Первый этаж Пом. №019A Полотенцесушитель</v>
      </c>
      <c r="HG265" t="str" cm="1">
        <f t="array" ref="HG265">IF(HF265="","",_xlfn.LET(_xlpm.nd,_xlfn.TEXTSPLIT(HF265,"|"),IF(COLUMNS(_xlpm.nd)&gt;1,A265&amp;"¦"&amp;INDEX(_xlpm.nd,1)&amp;"¦"&amp;INDEX(_xlpm.nd,2),"")))</f>
        <v>ЩР-1¦QFD41¦XT41</v>
      </c>
      <c r="HH265" t="str">
        <f t="shared" si="593"/>
        <v>R.1.019A.1¦Розеточная группа Первый этаж Пом. №019A Полотенцесушитель</v>
      </c>
      <c r="HI265" t="str" cm="1">
        <f t="array" ref="HI265">IF(HF265="","",_xlfn.LET(_xlpm.nd,_xlfn.TEXTSPLIT(HF265,"|"),IF(COLUMNS(_xlpm.nd)&gt;2,A265&amp;"¦"&amp;INDEX(_xlpm.nd,2)&amp;"¦"&amp;INDEX(_xlpm.nd,3),"")))</f>
        <v>ЩР-1¦XT41¦кабель ВВГнг(А)-LS (3х2,5) → Розеточная группа Первый этаж Пом. №019A Полотенцесушитель</v>
      </c>
      <c r="HJ265" t="str">
        <f t="shared" si="594"/>
        <v>R.1.019A.1¦Розеточная группа Первый этаж Пом. №019A Полотенцесушитель</v>
      </c>
      <c r="HK265" t="str" cm="1">
        <f t="array" ref="HK265">IF(HF265="","",_xlfn.LET(_xlpm.nd,_xlfn.TEXTSPLIT(HF265,"|"),IF(COLUMNS(_xlpm.nd)&gt;3,A265&amp;"¦"&amp;INDEX(_xlpm.nd,3)&amp;"¦"&amp;INDEX(_xlpm.nd,4),"")))</f>
        <v/>
      </c>
      <c r="HL265" t="str">
        <f t="shared" si="595"/>
        <v/>
      </c>
      <c r="HM265" t="str" cm="1">
        <f t="array" ref="HM265">IF(HF265="","",_xlfn.LET(_xlpm.nd,_xlfn.TEXTSPLIT(HF265,"|"),IF(COLUMNS(_xlpm.nd)&gt;4,A265&amp;"¦"&amp;INDEX(_xlpm.nd,4)&amp;"¦"&amp;INDEX(_xlpm.nd,5),"")))</f>
        <v/>
      </c>
      <c r="HN265" t="str">
        <f t="shared" si="596"/>
        <v/>
      </c>
      <c r="HO265" t="str" cm="1">
        <f t="array" ref="HO265">IF(HF265="","",_xlfn.LET(_xlpm.nd,_xlfn.TEXTSPLIT(HF265,"|"),IF(COLUMNS(_xlpm.nd)&gt;5,A265&amp;"¦"&amp;INDEX(_xlpm.nd,5)&amp;"¦"&amp;INDEX(_xlpm.nd,6),"")))</f>
        <v/>
      </c>
      <c r="HP265" t="str">
        <f t="shared" si="597"/>
        <v/>
      </c>
      <c r="HQ265" t="str" cm="1">
        <f t="array" ref="HQ265">IF(HF265="","",_xlfn.LET(_xlpm.nd,_xlfn.TEXTSPLIT(HF265,"|"),IF(COLUMNS(_xlpm.nd)&gt;6,A265&amp;"¦"&amp;INDEX(_xlpm.nd,6)&amp;"¦"&amp;INDEX(_xlpm.nd,7),"")))</f>
        <v/>
      </c>
      <c r="HR265" t="str">
        <f t="shared" si="598"/>
        <v/>
      </c>
      <c r="HS265" t="str">
        <f t="shared" si="599"/>
        <v/>
      </c>
      <c r="HT265" t="str">
        <f t="shared" si="600"/>
        <v>QFD41 → XT41</v>
      </c>
      <c r="HU265">
        <f t="shared" si="601"/>
        <v>0</v>
      </c>
      <c r="HV265">
        <f t="shared" si="602"/>
        <v>1</v>
      </c>
      <c r="HW265" t="str">
        <f t="shared" si="603"/>
        <v/>
      </c>
      <c r="HX265" t="str">
        <f t="shared" si="604"/>
        <v/>
      </c>
      <c r="HY265" t="str">
        <f t="shared" si="605"/>
        <v/>
      </c>
      <c r="HZ265" t="str">
        <f t="shared" si="606"/>
        <v/>
      </c>
      <c r="IA265" t="str">
        <f>IF(B265="","",IFERROR(VLOOKUP(B265,УГО_спр,2,FALSE),IFERROR(VLOOKUP(AX265,УГО_спр,2,FALSE),IFERROR(VLOOKUP(LEFT(AX265,2),УГО_спр,2,FALSE),""))))</f>
        <v>Розетка</v>
      </c>
      <c r="IB265" t="str">
        <f>IF(B265="","",IF(OR(IA265="",IA265=0),"BOX",IFERROR(IF(VLOOKUP(IA265,УГО_блоки,3,FALSE)&amp;""&lt;&gt;"",VLOOKUP(IA265,УГО_блоки,3,FALSE),VLOOKUP(IA265,УГО_блоки,2,FALSE)),IA265)))</f>
        <v>SOCKET</v>
      </c>
      <c r="IC265">
        <f t="shared" si="607"/>
        <v>1</v>
      </c>
      <c r="ID265" t="str">
        <f>IF(DA265="","",IF(COUNTIF(DA$3:DA265,DA265)=1,MAX(ID$2:ID264)+1,""))</f>
        <v/>
      </c>
      <c r="IE265" t="str">
        <f>IF(CO265="","",IF(COUNTIF(CO$3:CO265,CO265)+COUNTIF(CP$2:CP264,CO265)+COUNTIF(CQ$2:CQ264,CO265)=1,MAX(IE$2:IG264)+1,""))</f>
        <v/>
      </c>
      <c r="IF265" t="str">
        <f>IF(CP265="","",IF(COUNTIF(CO$3:CO265,CP265)+COUNTIF(CP$3:CP265,CP265)+COUNTIF(CQ$2:CQ264,CP265)=1,MAX(IE$2:IG264,IE265)+1,""))</f>
        <v/>
      </c>
      <c r="IG265" t="str">
        <f>IF(CQ265="","",IF(COUNTIF(CO$3:CO265,CQ265)+COUNTIF(CP$3:CP265,CQ265)+COUNTIF(CQ$3:CQ265,CQ265)=1,MAX(IE$2:IG264,IE265,IF265)+1,""))</f>
        <v/>
      </c>
      <c r="IH265" t="str">
        <f t="shared" si="608"/>
        <v>3х2,5</v>
      </c>
      <c r="II265" t="str">
        <f>IF(IH265="","",IF(COUNTIF(IH$3:IH265,IH265)=1,MAX(II$2:II264)+1,""))</f>
        <v/>
      </c>
      <c r="IJ265" t="str">
        <f>IF(GL265="","",COUNTIF(GL$3:GL265,"?*"))</f>
        <v/>
      </c>
      <c r="IK265" t="str">
        <f>IF(OR(GL265="",GN265=""),"",IF(COUNTIFS(GL$3:GL265,"?*",GN$3:GN265,GN265)=1,MAX(IK$2:IK264)+1,""))</f>
        <v/>
      </c>
      <c r="IL265">
        <f t="shared" si="609"/>
        <v>0</v>
      </c>
      <c r="IM265">
        <f>IF(B265="","",COUNTIF(B$3:B265,"?*"))</f>
        <v>263</v>
      </c>
      <c r="IN265">
        <f>IF(GQ265&lt;&gt;1,0,_xlfn.LET(_xlpm.k,MAX(IFERROR(--VLOOKUP(B265,УГО_спр,5,FALSE),0),IFERROR(--VLOOKUP(AX265,УГО_спр,5,FALSE),0),IFERROR(--VLOOKUP(LEFT(AX265,2),УГО_спр,5,FALSE),0)),IF(_xlpm.k&gt;0,_xlpm.k,IF(IFERROR(--LEFT(SUBSTITUTE(IH265,"x","х"),FIND("х",SUBSTITUTE(IH265,"x","х"))-1),3)&gt;3,Каталог!$S$9,1))))</f>
        <v>1</v>
      </c>
      <c r="IO265">
        <f t="shared" si="610"/>
        <v>0</v>
      </c>
      <c r="IP265" t="str">
        <f t="shared" si="611"/>
        <v>авто</v>
      </c>
      <c r="IQ265">
        <f t="shared" si="612"/>
        <v>30</v>
      </c>
      <c r="IR265">
        <f t="shared" si="613"/>
        <v>1</v>
      </c>
      <c r="IS265">
        <f t="shared" si="614"/>
        <v>1</v>
      </c>
    </row>
    <row r="266" spans="1:253" x14ac:dyDescent="0.3">
      <c r="A266" t="s">
        <v>759</v>
      </c>
      <c r="B266" t="s">
        <v>1531</v>
      </c>
      <c r="C266" t="str">
        <f>Линии[[#This Row],[_авто наименование]]</f>
        <v>Розеточная группа, пом. 020A</v>
      </c>
      <c r="D266">
        <v>2</v>
      </c>
      <c r="E266">
        <v>0.12</v>
      </c>
      <c r="G266" t="str">
        <f>Линии[[#This Row],[_авто автомат]]</f>
        <v>2P С16А 30мА</v>
      </c>
      <c r="H266">
        <f>Линии[[#This Row],[_авто утечка]]</f>
        <v>30</v>
      </c>
      <c r="I266" t="str">
        <f>Линии[[#This Row],[_авто управление]]</f>
        <v/>
      </c>
      <c r="J266" t="str">
        <f>Линии[[#This Row],[_авто аппараты]]</f>
        <v/>
      </c>
      <c r="K266">
        <v>2.5</v>
      </c>
      <c r="L266">
        <v>45</v>
      </c>
      <c r="M266" t="str">
        <f>Линии[[#This Row],[_авто фаза]]</f>
        <v>L3</v>
      </c>
      <c r="N266" t="str">
        <f>Линии[[#This Row],[_авто клемма]]</f>
        <v>XT42</v>
      </c>
      <c r="O266" t="str">
        <f t="shared" si="492"/>
        <v/>
      </c>
      <c r="P266" s="6" cm="1">
        <f t="array" ref="P266">IF(B266="","",IF(BC266&lt;&gt;"",IFERROR(_xlfn.XLOOKUP(BC266,Щиты[Щит],Щиты[Iр, А]),""),IF(BK266=1,IFERROR(_xlfn.XLOOKUP(A266,Щиты[Щит],Щиты[Iр, А]),""),IFERROR(_xlfn.IFS(BR266=1,BN266/((Uн_лин/SQRT(3))*BY266),BR266=3,BN266/(SQRT(3)*Uн_лин*BY266)),""))))</f>
        <v>0.54696341291648753</v>
      </c>
      <c r="Q266" s="7">
        <f>IF(B266="","",IFERROR(IF(VLOOKUP(AX266,Потребители_обозначение,4,FALSE)=1,VLOOKUP(AX266,Потребители_обозначение,3,FALSE)*(D266*2-1)+DS266+VLOOKUP(AZ266,Этаж_обозначение,3,FALSE)+VLOOKUP(AZ266,Этаж_обозначение,4,FALSE),VLOOKUP(AX266,Потребители_обозначение,3,FALSE)*(D266*2-1)+DS266),DS266))</f>
        <v>54</v>
      </c>
      <c r="R266" s="6">
        <f t="shared" si="493"/>
        <v>1.41</v>
      </c>
      <c r="S266" t="str">
        <f t="shared" si="494"/>
        <v>ВВГнг(А)-LS (3х2,5)</v>
      </c>
      <c r="T266" t="str">
        <f>IF(BH266="","",IF(BI266="вводной узел","узел ","")&amp;"л."&amp;(INT((BH266-1)/Столбцов_на_лист)+1)&amp;" / "&amp;(MOD(BH266-1,Столбцов_на_лист)+1))</f>
        <v>л.4 / 14</v>
      </c>
      <c r="V266">
        <v>1</v>
      </c>
      <c r="W266">
        <v>230</v>
      </c>
      <c r="X266" t="s">
        <v>564</v>
      </c>
      <c r="AC266" t="s">
        <v>815</v>
      </c>
      <c r="AE266" t="s">
        <v>563</v>
      </c>
      <c r="AI266">
        <v>65</v>
      </c>
      <c r="AJ266" t="s">
        <v>11</v>
      </c>
      <c r="AK266">
        <v>3</v>
      </c>
      <c r="AM266">
        <v>20</v>
      </c>
      <c r="AN266">
        <v>34</v>
      </c>
      <c r="AO266">
        <v>0</v>
      </c>
      <c r="AW266" cm="1">
        <f t="array" ref="AW266">ROW()-ROW(Линии[#Headers])</f>
        <v>264</v>
      </c>
      <c r="AX266" s="6" t="str">
        <f t="shared" si="495"/>
        <v>R</v>
      </c>
      <c r="AY266" t="str">
        <f t="shared" si="496"/>
        <v>1.020A.2</v>
      </c>
      <c r="AZ266" t="str">
        <f t="shared" si="497"/>
        <v>1</v>
      </c>
      <c r="BA266" t="str">
        <f t="shared" si="498"/>
        <v>020A.2</v>
      </c>
      <c r="BB266" t="str">
        <f t="shared" si="499"/>
        <v>020A</v>
      </c>
      <c r="BC266" t="str">
        <f>IF(U266&lt;&gt;"",U266,IF(AND(B266&lt;&gt;"",B266&lt;&gt;A266,ISNUMBER(_xlfn.XMATCH(B266,Щиты[Щит]))),B266,""))</f>
        <v/>
      </c>
      <c r="BD266" t="str" cm="1">
        <f t="array" ref="BD266">IF(B266="","",IF(BC266&lt;&gt;"","Щит "&amp;BC266,_xlfn.LET(_xlpm.nm,IFERROR(_xlfn.XLOOKUP(AX266,Коды_код,Коды_имя)&amp;"",""),_xlpm.md,IFERROR(N(_xlfn.XLOOKUP(AX266,Коды_код,Коды_режим)),1),_xlpm.ex,IF(Имя_режим="по экспликации",IFERROR(_xlfn.XLOOKUP(AZ266&amp;"|"&amp;BB266,Экспликация[Этаж]&amp;"|"&amp;Экспликация[Помещение],Экспликация[Название])&amp;"",""),""),_xlpm.rm,IF(BB266="","",IF(_xlpm.ex&lt;&gt;"",". "&amp;_xlpm.ex&amp;IF(Имя_пом="нет"," ("&amp;BB266&amp;")"," (пом. "&amp;BB266&amp;")"),IF(Имя_пом="нет"," ",", пом. ")&amp;BB266)),IF(_xlpm.nm="","",IF(_xlpm.md=2,_xlpm.nm&amp;" шлейф "&amp;AZ266,_xlpm.nm&amp;_xlpm.rm)))))</f>
        <v>Розеточная группа, пом. 020A</v>
      </c>
      <c r="BE266" t="str">
        <f t="shared" si="500"/>
        <v>Розеточная группа, пом. 020A</v>
      </c>
      <c r="BF266">
        <f>IFERROR(_xlfn.XMATCH(A266,Щиты[Щит]),0)</f>
        <v>10</v>
      </c>
      <c r="BG266">
        <f>_xlfn.LET(_xlpm.k,IFERROR(_xlfn.XLOOKUP(A266,Щиты[Щит],Щиты[Листов под вводной узел]),""),IF(_xlpm.k="",1,N(_xlpm.k))*Столбцов_на_лист)</f>
        <v>17</v>
      </c>
      <c r="BH266">
        <f t="shared" si="501"/>
        <v>65</v>
      </c>
      <c r="BI266" t="str">
        <f t="shared" si="502"/>
        <v>линии</v>
      </c>
      <c r="BJ266" s="6">
        <f>IFERROR(N(_xlfn.XLOOKUP(AX266,Коды_код,Коды_квт)),0)</f>
        <v>0</v>
      </c>
      <c r="BK266">
        <f t="shared" si="503"/>
        <v>0</v>
      </c>
      <c r="BL266" t="str">
        <f>IF(B266="","",IF(BC266&lt;&gt;"",IFERROR(_xlfn.XLOOKUP(BC266,Щиты[Щит],Щиты[Руст, кВт]),0),IF(BK266=1,IFERROR(_xlfn.XLOOKUP(A266,Щиты[Щит],Щиты[Руст, кВт]),0),IF(BJ266&gt;0,ROUND(BJ266*MAX(1,N(D266)),3),""))))</f>
        <v/>
      </c>
      <c r="BM266">
        <f t="shared" si="504"/>
        <v>0.12</v>
      </c>
      <c r="BN266" s="6">
        <f>IF(B266="","",IF(BC266&lt;&gt;"",IFERROR(_xlfn.XLOOKUP(BC266,Щиты[Щит],Щиты[Руст, кВт]),0),N(BM266)))</f>
        <v>0.12</v>
      </c>
      <c r="BO266" t="str">
        <f>IF(B266="","",IFERROR(IF(VLOOKUP(AX266,Потребители_обозначение,8,FALSE)=0,"",VLOOKUP(AX266,Потребители_обозначение,8,FALSE)),""))</f>
        <v/>
      </c>
      <c r="BP266">
        <f t="shared" si="505"/>
        <v>230</v>
      </c>
      <c r="BQ266">
        <f>IF(B266="","",IF(BC266&lt;&gt;"",3,IFERROR(IF(N(VLOOKUP(AX266,Потребители_обозначение,9,FALSE))=0,1,VLOOKUP(AX266,Потребители_обозначение,9,FALSE)),1)))</f>
        <v>1</v>
      </c>
      <c r="BR266">
        <f t="shared" si="506"/>
        <v>1</v>
      </c>
      <c r="BS266" t="str">
        <f>IF(B266="","",_xlfn.LET(_xlpm.bc,IFERROR(IF(VLOOKUP(AX266,Потребители_обозначение,6,FALSE)=0,"",VLOOKUP(AX266,Потребители_обозначение,6,FALSE)&amp;""),""),IF(AND(FK266="да",OR(_xlpm.bc="",_xlpm.bc="мс")),Марка_пож,IF(AND(_xlpm.bc="",BC266&lt;&gt;""),"мс",_xlpm.bc))))</f>
        <v/>
      </c>
      <c r="BT266" t="str">
        <f t="shared" si="507"/>
        <v>мс</v>
      </c>
      <c r="BU266">
        <f>IF(B266="","",_xlfn.LET(_xlpm.cc,IFERROR(N(VLOOKUP(AX266,Потребители_обозначение,7,FALSE)),0),IF(_xlpm.cc&gt;0,_xlpm.cc,IF(BT266="","",IF(N(BR266)=3,5,3)))))</f>
        <v>3</v>
      </c>
      <c r="BV266">
        <f t="shared" si="508"/>
        <v>3</v>
      </c>
      <c r="BW266">
        <f>IFERROR(N(VLOOKUP(AX266,Потребители_обозначение,10,FALSE)),0)</f>
        <v>0</v>
      </c>
      <c r="BX266">
        <f>IFERROR(VLOOKUP(AX266,Потребители_обозначение,5,FALSE),0)</f>
        <v>1</v>
      </c>
      <c r="BY266" s="6" cm="1">
        <f t="array" ref="BY266">IF(B266="","",IF(BC266&lt;&gt;"",IFERROR(_xlfn.XLOOKUP(BC266,Щиты[Щит],Щиты[cos φ]),0.95),IF(BK266=1,IFERROR(_xlfn.XLOOKUP(A266,Щиты[Щит],Щиты[cos φ]),0.95),IF(ISNUMBER(Z266),Z266,IFERROR(IF(BX266=2,_xlfn.IFS(BR266=3,VLOOKUP(BN266,Справочная_двигатели,8,FALSE),BR266=1,VLOOKUP(BN266,Справочная_двигатели,10,TRUE)),IF(AND(Методика="нормы 2026",EQ266="Сил"),0.8,0.95)),0.95)))))</f>
        <v>0.95</v>
      </c>
      <c r="BZ266">
        <f t="shared" si="509"/>
        <v>0</v>
      </c>
      <c r="CA266">
        <f t="shared" si="510"/>
        <v>1</v>
      </c>
      <c r="CB266">
        <f t="shared" si="511"/>
        <v>0</v>
      </c>
      <c r="CC266">
        <f t="shared" si="512"/>
        <v>0</v>
      </c>
      <c r="CD266">
        <f t="shared" si="513"/>
        <v>0</v>
      </c>
      <c r="CE266">
        <f t="shared" si="514"/>
        <v>0</v>
      </c>
      <c r="CF266">
        <f t="shared" si="515"/>
        <v>0</v>
      </c>
      <c r="CG266">
        <f>IF(AX266="",0,_xlfn.LET(_xlpm.v,IFERROR(VLOOKUP(B266,УГО_спр,3,FALSE),IFERROR(VLOOKUP(AX266,УГО_спр,3,FALSE),IFERROR(VLOOKUP(LEFT(AX266,2),УГО_спр,3,FALSE),""))),IF(_xlpm.v="да",30,IF(ISNUMBER(_xlpm.v),_xlpm.v,0))))</f>
        <v>30</v>
      </c>
      <c r="CH266">
        <f t="shared" si="516"/>
        <v>30</v>
      </c>
      <c r="CI266" t="str">
        <f>_xlfn.LET(_xlpm.k,IFERROR(_xlfn.XLOOKUP(AX266,Коды_код,Коды_утечка)&amp;"",""),IF(_xlpm.k="","дифавтомат",_xlpm.k))</f>
        <v>дифавтомат</v>
      </c>
      <c r="CJ266">
        <f t="shared" si="517"/>
        <v>30</v>
      </c>
      <c r="CK266">
        <f t="shared" si="518"/>
        <v>30</v>
      </c>
      <c r="CL266">
        <f>IF(B266="",0,IFERROR(--VLOOKUP(B266,УГО_спр,4,FALSE),IFERROR(--VLOOKUP(AX266,УГО_спр,4,FALSE),IFERROR(--VLOOKUP(LEFT(AX266,2),УГО_спр,4,FALSE),0))))</f>
        <v>16</v>
      </c>
      <c r="CM266" t="str">
        <f>IF(B266="","",IFERROR(_xlfn.XLOOKUP(AX266,Коды_код,Коды_апп)&amp;"",""))</f>
        <v/>
      </c>
      <c r="CN266" t="str">
        <f t="shared" si="519"/>
        <v/>
      </c>
      <c r="CO266" t="str" cm="1">
        <f t="array" ref="CO266">IF(TRIM(CN266&amp;"")="","",IFERROR(TRIM(INDEX(_xlfn.TEXTSPLIT(CN266&amp;";;;",";"),1)),""))</f>
        <v/>
      </c>
      <c r="CP266" t="str" cm="1">
        <f t="array" ref="CP266">IF(TRIM(CN266&amp;"")="","",IFERROR(TRIM(INDEX(_xlfn.TEXTSPLIT(CN266&amp;";;;",";"),2)),""))</f>
        <v/>
      </c>
      <c r="CQ266" t="str" cm="1">
        <f t="array" ref="CQ266">IF(TRIM(CN266&amp;"")="","",IFERROR(TRIM(INDEX(_xlfn.TEXTSPLIT(CN266&amp;";;;",";"),3)),""))</f>
        <v/>
      </c>
      <c r="CR266">
        <f t="shared" si="520"/>
        <v>0</v>
      </c>
      <c r="CS266" t="str">
        <f>IF(B266="","",_xlfn.LET(_xlpm.t,LOWER(AV266&amp;""),IF(ISNUMBER(SEARCH("dim",_xlpm.t)),"DIM",IF(ISNUMBER(SEARCH("dali",_xlpm.t)),"DALI",IF(OR(ISNUMBER(SEARCH("relay",_xlpm.t)),ISNUMBER(SEARCH("реле",_xlpm.t))),"Relay",IF(ISNUMBER(SEARCH("кнопк",_xlpm.t)),"",IFERROR(_xlfn.XLOOKUP(AX266,Коды_код,Коды_упр)&amp;"","")))))))</f>
        <v/>
      </c>
      <c r="CT266" t="str">
        <f t="shared" si="521"/>
        <v/>
      </c>
      <c r="CU266">
        <f>IF(B266="","",_xlfn.LET(_xlpm.ig,N(P266)+IF(AF266="вручную",0,N(CB266)),_xlpm.n0,IFERROR(VLOOKUP(_xlpm.ig,Автомат_номиналы,2,TRUE),0),_xlpm.mn,MAX(CL266,IF(AF266="вручную",0,N(CE266))),MAX(_xlpm.n0,_xlpm.mn,IF(CR266=1,Мин_автомат_БП,0))))</f>
        <v>16</v>
      </c>
      <c r="CV266">
        <f t="shared" si="522"/>
        <v>1</v>
      </c>
      <c r="CW266" t="str">
        <f t="shared" si="523"/>
        <v>2P</v>
      </c>
      <c r="CX266" t="str">
        <f>_xlfn.LET(_xlpm.cc,UPPER(TRIM(IFERROR(_xlfn.XLOOKUP(AX266,Коды_код,Коды_хар)&amp;"",""))),IF(OR(_xlpm.cc="B",_xlpm.cc="В"),"B",IF(_xlpm.cc="D","D","С")))</f>
        <v>С</v>
      </c>
      <c r="CY266" t="str">
        <f t="shared" si="524"/>
        <v>2P С16А 30мА</v>
      </c>
      <c r="CZ266" t="str">
        <f t="shared" si="525"/>
        <v>2P С16А 30мА</v>
      </c>
      <c r="DA266" t="str">
        <f t="shared" si="526"/>
        <v>2P С16А 30мА</v>
      </c>
      <c r="DB266" cm="1">
        <f t="array" ref="DB266">IF(DA266="","",_xlfn.LET(_xlpm.t,SUBSTITUTE(SUBSTITUTE(SUBSTITUTE(UPPER(DA266),"С","C"),"А","A"),"В","B"),_xlpm.tk,_xlfn.TEXTSPLIT(_xlpm.t,"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6" t="str">
        <f t="shared" si="527"/>
        <v>ok</v>
      </c>
      <c r="DD266">
        <f t="shared" si="528"/>
        <v>16</v>
      </c>
      <c r="DE266" t="str">
        <f t="shared" si="529"/>
        <v>2P С16А 30мА</v>
      </c>
      <c r="DF266">
        <f t="shared" si="530"/>
        <v>30</v>
      </c>
      <c r="DG266">
        <f t="shared" si="531"/>
        <v>1</v>
      </c>
      <c r="DH266">
        <f t="shared" si="532"/>
        <v>0</v>
      </c>
      <c r="DI266">
        <f t="shared" si="533"/>
        <v>0.54696341291648753</v>
      </c>
      <c r="DJ266">
        <f t="shared" si="534"/>
        <v>1</v>
      </c>
      <c r="DK266">
        <f>IF(ISNUMBER(AL266),AL266,К_прокл)</f>
        <v>1</v>
      </c>
      <c r="DL266">
        <f t="shared" si="535"/>
        <v>2</v>
      </c>
      <c r="DM266">
        <f>IFERROR(N(VLOOKUP(BT266,Кабель_обозначение,3,FALSE)),1)</f>
        <v>1</v>
      </c>
      <c r="DN266">
        <f>IFERROR(N(_xlfn.XLOOKUP(A266,Щиты[Щит],Щиты[ΔU до шин, %])),0)</f>
        <v>1.19</v>
      </c>
      <c r="DO266" t="str">
        <f>IFERROR(_xlfn.XLOOKUP(A266,Щиты[Щит],Щиты[Zпетли на шинах, Ом]),"")</f>
        <v/>
      </c>
      <c r="DP266">
        <f>IFERROR(N(_xlfn.XLOOKUP(A266,Щиты[Щит],Щиты[ΔU до шин (подбор), %])),0)</f>
        <v>1.19</v>
      </c>
      <c r="DQ266" t="str">
        <f>IFERROR(_xlfn.XLOOKUP(A266,Щиты[Щит],Щиты[Zпетли на шинах (подбор), Ом]),"")</f>
        <v/>
      </c>
      <c r="DR266" t="str">
        <f t="shared" si="536"/>
        <v/>
      </c>
      <c r="DS266">
        <f t="shared" si="537"/>
        <v>45</v>
      </c>
      <c r="DT266">
        <f t="shared" si="538"/>
        <v>2</v>
      </c>
      <c r="DU266">
        <f t="shared" si="539"/>
        <v>0.31</v>
      </c>
      <c r="DV266" s="6">
        <f>IF(B266="","",IF(IFERROR(VLOOKUP(AX266,УГО_спр,2,FALSE),"")="Светильник",3,4)+IF(Методика="нормы 2026",MIN(0.5,MAX(0,N(Q266)-100)*0.005),0))</f>
        <v>4</v>
      </c>
      <c r="DW266" cm="1">
        <f t="array" ref="DW266">IF(OR(B266="",BT266="",DM266&lt;&gt;1),"",_xlfn.LET(_xlpm.sz,Iдоп_S,_xlpm.t_,CHOOSE(DL266,Iдоп_1ж,Iдоп_2ж,Iдоп_3ж)*DJ266*DK266,_xlpm.inn,N(DD266),_xlpm.smin,MAX(1.5,BW266),_xlpm.L_,N(Q266)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266)*(_xlpm.rho*_xlpm.L_/_xlpm.sz*N(BY266)+_xlpm.xx*_xlpm.L_*N(DU266)/1000)*N(P266)/((Uн_лин/SQRT(3))*1000)*100,999),_xlpm.kz,IF(OR(DG266=1,NOT(ISNUMBER(DQ266)),_xlpm.L_=0,_xlpm.inn=0),1,IFERROR(--(c_min*(Uн_лин*1000/SQRT(3))/(DQ266+2*ρкз_Cu*_xlpm.L_/_xlpm.sz)&gt;=GY266*_xlpm.inn),0)),_xlpm.ok,IFERROR((_xlpm.sz&gt;=_xlpm.smin)*(_xlpm.t_&gt;=_xlpm.inn)*IF(_xlpm.L_&gt;0,(_xlpm.du_+DP266&lt;=DV266+0.00001),1)*_xlpm.kz,0),_xlpm.r_,_xlfn._xlws.FILTER(_xlpm.sz,_xlpm.ok,"не подобрано"),INDEX(_xlpm.r_,1)))</f>
        <v>1.5</v>
      </c>
      <c r="DX266">
        <f t="shared" si="540"/>
        <v>2.5</v>
      </c>
      <c r="DY266" cm="1">
        <f t="array" ref="DY266">IF(OR(B266="",BT266="",DM266&lt;&gt;1),"",_xlfn.LET(_xlpm.sz,Iдоп_S,_xlpm.t_,CHOOSE(DL266,Iдоп_1ж,Iдоп_2ж,Iдоп_3ж)*DJ266*DK266,_xlpm.ok,IFERROR((_xlpm.sz&gt;=MAX(1.5,BW266))*(_xlpm.t_&gt;=N(DD266)),0),_xlpm.r_,_xlfn._xlws.FILTER(_xlpm.sz,_xlpm.ok,""),INDEX(_xlpm.r_,1)))</f>
        <v>1.5</v>
      </c>
      <c r="DZ266" s="6" cm="1">
        <f t="array" ref="DZ266">IFERROR(ROUNDUP(N(DT266)*(_xlfn.XLOOKUP(DY266,INDEX(Кабель_сопротивление,0,1),INDEX(Кабель_сопротивление,0,3))*N(Q266)/DY266*N(BY266)+_xlfn.XLOOKUP(DY266,INDEX(Кабель_сопротивление,0,1),INDEX(Кабель_сопротивление,0,2))*N(Q266)*N(DU266)/1000)*N(P266)/((Uн_лин/SQRT(3))*1000)*100,2),"")</f>
        <v>0.37</v>
      </c>
      <c r="EA266">
        <f>IFERROR(2*ρкз_Cu*N(Q266)/DY266,"")</f>
        <v>1.8936000000000002</v>
      </c>
      <c r="EB266">
        <f>IFERROR(VLOOKUP(DX266,Кабель_сопротивление,3,FALSE),"")</f>
        <v>2.2499999999999999E-2</v>
      </c>
      <c r="EC266">
        <f>IFERROR(VLOOKUP(DX266,Кабель_сопротивление,2,FALSE),"")</f>
        <v>0.1</v>
      </c>
      <c r="ED266">
        <f t="shared" si="541"/>
        <v>34</v>
      </c>
      <c r="EE266">
        <f t="shared" si="542"/>
        <v>0</v>
      </c>
      <c r="EF266">
        <f t="shared" si="543"/>
        <v>0.50689724899352884</v>
      </c>
      <c r="EG266" s="6">
        <f>IFERROR(ROUNDUP(EF266/((Uн_лин/SQRT(3))*1000)*100,2),"")</f>
        <v>0.22</v>
      </c>
      <c r="EH266" t="str">
        <f>IFERROR(VLOOKUP(BT266,Кабель_обозначение,2,FALSE),"")</f>
        <v>ВВГнг(А)-LS</v>
      </c>
      <c r="EI266" t="str">
        <f t="shared" si="544"/>
        <v>ВВГнг(А)-LS (3х2,5)</v>
      </c>
      <c r="EJ266" t="str">
        <f t="shared" si="545"/>
        <v>ВВГнг(А)-LS (3х2,5)
L=54-0,22%</v>
      </c>
      <c r="EK266">
        <f>IFERROR(2*ρкз_Cu*Q266/DX266,"")</f>
        <v>1.1361600000000001</v>
      </c>
      <c r="EL266">
        <f t="shared" si="546"/>
        <v>0.378</v>
      </c>
      <c r="EM266" s="6" t="str">
        <f>IFERROR(IF(OR(B266="",NOT(ISNUMBER(DX266)),N(Q266)=0),"",_xlfn.XLOOKUP(A266,Щиты[Щит],Щиты[Zпетли на шинах, Ом])+EK266),"")</f>
        <v/>
      </c>
      <c r="EN266" s="6" t="str">
        <f>IF(ISNUMBER(EM266),c_min*(Uн_лин*1000/SQRT(3))/EM266,"")</f>
        <v/>
      </c>
      <c r="EO266" s="6" t="str">
        <f>IFERROR(IF(OR(B266="",NOT(ISNUMBER(DX266))),"",1.05*(Uн_лин*1000/SQRT(3))/(_xlfn.XLOOKUP(A266,Щиты[Щит],Щиты[Zmax на шинах, Ом])+EL266)/1000),"")</f>
        <v/>
      </c>
      <c r="EP266" s="6" t="str">
        <f>IF(B266="","",IF(ISNUMBER(Y266),"Сил",IF(IFERROR(_xlfn.XLOOKUP(AX266,Коды_код,Коды_группа)&amp;"","")="","Быт",_xlfn.XLOOKUP(AX266,Коды_код,Коды_группа)&amp;"")))</f>
        <v>Быт</v>
      </c>
      <c r="EQ266" s="6" t="str">
        <f t="shared" si="547"/>
        <v>Быт</v>
      </c>
      <c r="ER266" s="6">
        <f>IF(EQ266="Щит","щит",IF(EQ266="","",IF(EQ266="Быт",IFERROR(_xlfn.XLOOKUP(A266,Щиты[Щит],Щиты[Кс быт]),1),IF(EQ266="Сил",IF(ISNUMBER(Y266),Y266,IF(Методика="нормы 2026",IFERROR(_xlfn.XLOOKUP(A266,Щиты[Щит],Щиты[Кс силовых (табл. 7.5)]),1),1)),IF(OR(EQ266="Пост",EQ266="Отоп"),1,IF(EQ266="ВНГ",0.7,0))))))</f>
        <v>0.57830000000000004</v>
      </c>
      <c r="ES266">
        <f t="shared" si="548"/>
        <v>1</v>
      </c>
      <c r="ET266">
        <f t="shared" si="549"/>
        <v>0.12</v>
      </c>
      <c r="EU266">
        <f t="shared" si="550"/>
        <v>0.12</v>
      </c>
      <c r="EV266">
        <f t="shared" si="551"/>
        <v>0</v>
      </c>
      <c r="EW266">
        <f t="shared" si="552"/>
        <v>0</v>
      </c>
      <c r="EX266">
        <f t="shared" si="553"/>
        <v>0</v>
      </c>
      <c r="EY266">
        <f t="shared" si="554"/>
        <v>0</v>
      </c>
      <c r="EZ266">
        <f t="shared" si="555"/>
        <v>0.12</v>
      </c>
      <c r="FA266">
        <f t="shared" si="556"/>
        <v>0.11399999999999999</v>
      </c>
      <c r="FB266">
        <f t="shared" si="557"/>
        <v>0.12</v>
      </c>
      <c r="FC266" t="str">
        <f t="shared" si="558"/>
        <v/>
      </c>
      <c r="FD266" t="str">
        <f>IF(B266="","",IF(CA266=0,IF(AW266=1,"",FF265),IF(OR(N(CV266)&gt;=3,N(BR266)&gt;=3),"L1,L2,L3",IFERROR(_xlfn.TEXTBEFORE(_xlfn.TEXTAFTER(_xlfn.XLOOKUP(A266,Щиты[Щит],Щиты[_фазы авто]),";"&amp;AW266&amp;":"),";"),"L1"))))</f>
        <v>L3</v>
      </c>
      <c r="FE266" t="str">
        <f t="shared" si="559"/>
        <v>L3</v>
      </c>
      <c r="FF266" t="str">
        <f t="shared" si="560"/>
        <v>L3</v>
      </c>
      <c r="FG266" cm="1">
        <f t="array" ref="FG266">IFERROR(IF(BX266=2,_xlfn.IFS(BR266=3,VLOOKUP(BN266,Справочная_двигатели,3,FALSE),BR266=1,VLOOKUP(BN266,Справочная_двигатели,5,TRUE)),0),0)</f>
        <v>0</v>
      </c>
      <c r="FH266">
        <f>IFERROR(IF(BX266=3,VLOOKUP(BN266,Справочная_ЛЭД,2,TRUE),0),0)</f>
        <v>0</v>
      </c>
      <c r="FI266" s="6">
        <f t="shared" si="561"/>
        <v>0</v>
      </c>
      <c r="FJ266" t="str" cm="1">
        <f t="array" ref="FJ266">IF(B266="","",IFERROR(INDEX({"I особая","I","II","III"},MATCH(TRIM(AC266&amp;""),{"I особая","I","II","III"},0)),"III"))</f>
        <v>II</v>
      </c>
      <c r="FK266" t="str">
        <f>IF(B266="","",IF(TRIM(AD266&amp;"")&lt;&gt;"",IF(LOWER(TRIM(AD266&amp;""))="да","да","нет"),IF(IFERROR(_xlfn.XLOOKUP(AX266,Коды_код,Коды_пожарная),"")="да","да","нет")))</f>
        <v>нет</v>
      </c>
      <c r="FL266" t="str">
        <f t="shared" si="562"/>
        <v/>
      </c>
      <c r="FM266" t="str">
        <f t="shared" si="563"/>
        <v>основная</v>
      </c>
      <c r="FN266">
        <f t="shared" si="564"/>
        <v>1</v>
      </c>
      <c r="FO266" t="str" cm="1">
        <f t="array" ref="FO266">IF(B266="","",_xlfn.LET(_xlpm.t,IFERROR(_xlfn.XLOOKUP(1,(Шины[Шина]=FM266)*(((Шины[Щит]=A266)+(Шины[Щит]=""))&gt;0),Шины[Тип]),"")&amp;"",IF(_xlpm.t&lt;&gt;"",_xlpm.t,IF(ISNUMBER(SEARCH("ИБП",FM266)),"ИБП",IF(ISNUMBER(SEARCH("ДГУ",FM266)),"ДГУ","Ввод "&amp;FN266)))))</f>
        <v>Ввод 1</v>
      </c>
      <c r="FP266" t="str">
        <f t="shared" si="565"/>
        <v>Ввод 1</v>
      </c>
      <c r="FQ266" t="str">
        <f>IF(B266="","",IF(OR(FO266="ИБП",FO266="ДГУ"),"I особая",IF(FO266="Одиночная","III",_xlfn.XLOOKUP(A266,Щиты[Щит],Щиты[Категория шины «Ввод»],"III"))))</f>
        <v>II</v>
      </c>
      <c r="FR266">
        <f>IF(B266="",0,IFERROR(MATCH(FJ266,{"III","II","I","I особая"},0),1))</f>
        <v>2</v>
      </c>
      <c r="FS266">
        <f t="shared" si="566"/>
        <v>2</v>
      </c>
      <c r="FT266" t="str">
        <f>IF(B266="","",IF(FR266&gt;IFERROR(MATCH(FQ266,{"III","II","I","I особая"},0),1),"НЕ ОБЕСПЕЧЕНА","ОК"))</f>
        <v>ОК</v>
      </c>
      <c r="FU266" t="str">
        <f>IF(A266="","",_xlfn.XLOOKUP(A266,Щиты[Щит],Щиты[Путь],""))</f>
        <v>|ГРЩ-ЖД|ЩР-1|</v>
      </c>
      <c r="FV266" t="str">
        <f>IF(B266="","",IF(AE266&lt;&gt;"",AE266,IF(IFERROR(_xlfn.XLOOKUP(AX266,Коды_код,Коды_вид)&amp;"","")="","Прочее",_xlfn.XLOOKUP(AX266,Коды_код,Коды_вид)&amp;"")))</f>
        <v>Розеточная сеть и бытовые приборы</v>
      </c>
      <c r="FW266">
        <f>IF(BH266="","",INT((BH266-1)/Столбцов_на_лист)+1)</f>
        <v>4</v>
      </c>
      <c r="FX266" t="str">
        <f t="shared" si="567"/>
        <v>ВВГнг(А)-LS (3х2,5) L=54-0,22%</v>
      </c>
      <c r="FY266">
        <f t="shared" si="568"/>
        <v>0.12</v>
      </c>
      <c r="FZ266">
        <f t="shared" si="569"/>
        <v>0.55000000000000004</v>
      </c>
      <c r="GA266">
        <f t="shared" si="570"/>
        <v>1</v>
      </c>
      <c r="GB266">
        <f t="shared" si="571"/>
        <v>0</v>
      </c>
      <c r="GC266">
        <f t="shared" si="572"/>
        <v>1</v>
      </c>
      <c r="GD266">
        <f>IF(BH266="","",IF(AND(CA266=1,GC266=1),COUNTIFS(A$3:A266,A266,CA$3:CA266,1,GC$3:GC266,1),IF(OR(OR(AW266=1,A266&lt;&gt;A265),AF266="вручную",GC266=0),"",IF(AW266=1,"",GE265))))</f>
        <v>42</v>
      </c>
      <c r="GE266">
        <f t="shared" si="573"/>
        <v>42</v>
      </c>
      <c r="GF266">
        <f>IF(B266="","",IFERROR(LOOKUP(INDEX(CHOOSE(DL266,Iдоп_1ж,Iдоп_2ж,Iдоп_3ж),MATCH(DX266,Iдоп_S,0))*DJ266*DK266,{6,10,16,20,25,32,40,50,63,80,100,125,160,200,250,315,400,500,630}),""))</f>
        <v>25</v>
      </c>
      <c r="GG266" t="str">
        <f t="shared" si="574"/>
        <v>QFD42</v>
      </c>
      <c r="GH266" t="str">
        <f t="shared" si="575"/>
        <v>QFD42</v>
      </c>
      <c r="GI266" t="str">
        <f t="shared" si="576"/>
        <v/>
      </c>
      <c r="GJ266">
        <f t="shared" si="577"/>
        <v>0</v>
      </c>
      <c r="GK266" t="str">
        <f>IF(OR(AG266="",AG266="-"),"",IFERROR(VLOOKUP(AG266,Модули_спр,2,FALSE),"R"))</f>
        <v/>
      </c>
      <c r="GL266" t="str">
        <f>IF(GK266="","",GK266&amp;"."&amp;COUNTIFS(A$3:A266,A266,GK$3:GK266,GK266))</f>
        <v/>
      </c>
      <c r="GM266" t="str">
        <f t="shared" si="578"/>
        <v/>
      </c>
      <c r="GN266" t="str">
        <f t="shared" si="579"/>
        <v/>
      </c>
      <c r="GO266" t="str">
        <f t="shared" si="580"/>
        <v/>
      </c>
      <c r="GP266" t="str">
        <f t="shared" si="581"/>
        <v/>
      </c>
      <c r="GQ266">
        <f t="shared" si="582"/>
        <v>1</v>
      </c>
      <c r="GR266" t="str">
        <f>IF(GQ266=1,"XT"&amp;COUNTIFS(A$3:A266,A266,GQ$3:GQ266,1),"")</f>
        <v>XT42</v>
      </c>
      <c r="GS266" t="str">
        <f t="shared" si="583"/>
        <v>XT42</v>
      </c>
      <c r="GT266" t="str">
        <f t="shared" si="584"/>
        <v>QFD42</v>
      </c>
      <c r="GU266" t="str">
        <f t="shared" si="585"/>
        <v/>
      </c>
      <c r="GV266" t="str">
        <f t="shared" si="586"/>
        <v>ok</v>
      </c>
      <c r="GW266" t="str">
        <f>IF(OR(GO266="",GM266=""),"",IF(GO266&gt;IFERROR(VLOOKUP(GN266,Модули_спр,3,FALSE),99),"ЛИШНИЙ КАНАЛ",IF(AND(AH266&lt;&gt;"=",COUNTIFS(Линии[_модуль гр.],GM266,Линии[Канал (итог)],GO266,Линии[Канал],"&lt;&gt;=",Линии[Щит],A266)&gt;1),"ДУБЛЬ КАНАЛА","")))</f>
        <v/>
      </c>
      <c r="GX266" s="6" t="str">
        <f t="shared" si="587"/>
        <v/>
      </c>
      <c r="GY266">
        <f t="shared" si="588"/>
        <v>10</v>
      </c>
      <c r="GZ266" t="str">
        <f t="shared" si="589"/>
        <v/>
      </c>
      <c r="HA266" t="str">
        <f>IF(AND(B266="",GT266=""),"",_xlfn.TEXTJOIN("; ",TRUE,IF(AND(B266&lt;&gt;"",FE266=""),"нет фазы",""),IF(AND(B266&lt;&gt;"",N(FY266)=0,EQ266&lt;&gt;"Нет"),"нет мощности",""),IF(AND(GS266&lt;&gt;"",COUNTIFS(Линии[Щит],A266,Линии[Клемма (итог)],GS266)&gt;1),"дубль клеммы "&amp;GS266,""),IF(AND(GV266&lt;&gt;"",GV266&lt;&gt;"ok"),GV266,""),IF(GW266&lt;&gt;"",GW266,""),IF(AND(N(BV266)&gt;=4,N(BR266)=1),BV266&amp;" жил на 1 фазе",""),IF(AND(AX266="R",CA266=1,OR(N(CK266)=0,N(CK266)&gt;30)),"розетка без дифзащиты до 30 мА",""),IFERROR(IF(AND(ISNUMBER(R266),R266&gt;DV266),"потери "&amp;FIXED(R266,1)&amp;" % &gt; "&amp;DV266&amp;" %",""),""),IFERROR(IF(LEFT(GZ266,4)="мало","Iкз мало — отключение &gt; 0,4 с",""),""),IF(AND(B266&lt;&gt;"",BH266=""),"не на схеме",""),IF(AND(CA266=0,B266&lt;&gt;"",FE266&lt;&gt;"",IF(AW266=1,"",FF265)&lt;&gt;"",FE266&lt;&gt;IF(AW266=1,"",FF265)),"фаза не как у автомата группы ("&amp;IF(AW266=1,"",FF265)&amp;")","")))</f>
        <v/>
      </c>
      <c r="HB266" s="6">
        <f>IF(OR(CA266=0,DA266=""),"",_xlfn.LET(_xlpm.t,IFERROR(_xlfn.XLOOKUP(DA266,Каталог!$U$4:$U$500,Каталог!$G$4:$G$500),""),_xlpm.k,SEARCH("кА",_xlpm.t),IFERROR(--TRIM(RIGHT(SUBSTITUTE(MID(_xlpm.t,MAX(1,_xlpm.k-4),_xlpm.k-MAX(1,_xlpm.k-4))," ",REPT(" ",9)),5)),"")))</f>
        <v>6</v>
      </c>
      <c r="HC266" t="str">
        <f>IF(OR(HB266="",CA266=0),"",IF(_xlfn.XLOOKUP(A266,Щиты[Щит],Щиты[Iкз max на шинах, кА],"")="","",IF(HB266&lt;_xlfn.XLOOKUP(A266,Щиты[Щит],Щиты[Iкз max на шинах, кА]),"Icu "&amp;HB266&amp;" кА &lt; Iкз max","ok")))</f>
        <v/>
      </c>
      <c r="HD266" t="str">
        <f t="shared" si="590"/>
        <v/>
      </c>
      <c r="HE266" t="str">
        <f t="shared" si="591"/>
        <v>QFD42|XT42</v>
      </c>
      <c r="HF266" t="str">
        <f t="shared" si="592"/>
        <v>QFD42|XT42|кабель ВВГнг(А)-LS (3х2,5) → Розеточная группа, пом. 020A</v>
      </c>
      <c r="HG266" t="str" cm="1">
        <f t="array" ref="HG266">IF(HF266="","",_xlfn.LET(_xlpm.nd,_xlfn.TEXTSPLIT(HF266,"|"),IF(COLUMNS(_xlpm.nd)&gt;1,A266&amp;"¦"&amp;INDEX(_xlpm.nd,1)&amp;"¦"&amp;INDEX(_xlpm.nd,2),"")))</f>
        <v>ЩР-1¦QFD42¦XT42</v>
      </c>
      <c r="HH266" t="str">
        <f t="shared" si="593"/>
        <v>R.1.020A.2¦Розеточная группа, пом. 020A</v>
      </c>
      <c r="HI266" t="str" cm="1">
        <f t="array" ref="HI266">IF(HF266="","",_xlfn.LET(_xlpm.nd,_xlfn.TEXTSPLIT(HF266,"|"),IF(COLUMNS(_xlpm.nd)&gt;2,A266&amp;"¦"&amp;INDEX(_xlpm.nd,2)&amp;"¦"&amp;INDEX(_xlpm.nd,3),"")))</f>
        <v>ЩР-1¦XT42¦кабель ВВГнг(А)-LS (3х2,5) → Розеточная группа, пом. 020A</v>
      </c>
      <c r="HJ266" t="str">
        <f t="shared" si="594"/>
        <v>R.1.020A.2¦Розеточная группа, пом. 020A</v>
      </c>
      <c r="HK266" t="str" cm="1">
        <f t="array" ref="HK266">IF(HF266="","",_xlfn.LET(_xlpm.nd,_xlfn.TEXTSPLIT(HF266,"|"),IF(COLUMNS(_xlpm.nd)&gt;3,A266&amp;"¦"&amp;INDEX(_xlpm.nd,3)&amp;"¦"&amp;INDEX(_xlpm.nd,4),"")))</f>
        <v/>
      </c>
      <c r="HL266" t="str">
        <f t="shared" si="595"/>
        <v/>
      </c>
      <c r="HM266" t="str" cm="1">
        <f t="array" ref="HM266">IF(HF266="","",_xlfn.LET(_xlpm.nd,_xlfn.TEXTSPLIT(HF266,"|"),IF(COLUMNS(_xlpm.nd)&gt;4,A266&amp;"¦"&amp;INDEX(_xlpm.nd,4)&amp;"¦"&amp;INDEX(_xlpm.nd,5),"")))</f>
        <v/>
      </c>
      <c r="HN266" t="str">
        <f t="shared" si="596"/>
        <v/>
      </c>
      <c r="HO266" t="str" cm="1">
        <f t="array" ref="HO266">IF(HF266="","",_xlfn.LET(_xlpm.nd,_xlfn.TEXTSPLIT(HF266,"|"),IF(COLUMNS(_xlpm.nd)&gt;5,A266&amp;"¦"&amp;INDEX(_xlpm.nd,5)&amp;"¦"&amp;INDEX(_xlpm.nd,6),"")))</f>
        <v/>
      </c>
      <c r="HP266" t="str">
        <f t="shared" si="597"/>
        <v/>
      </c>
      <c r="HQ266" t="str" cm="1">
        <f t="array" ref="HQ266">IF(HF266="","",_xlfn.LET(_xlpm.nd,_xlfn.TEXTSPLIT(HF266,"|"),IF(COLUMNS(_xlpm.nd)&gt;6,A266&amp;"¦"&amp;INDEX(_xlpm.nd,6)&amp;"¦"&amp;INDEX(_xlpm.nd,7),"")))</f>
        <v/>
      </c>
      <c r="HR266" t="str">
        <f t="shared" si="598"/>
        <v/>
      </c>
      <c r="HS266" t="str">
        <f t="shared" si="599"/>
        <v/>
      </c>
      <c r="HT266" t="str">
        <f t="shared" si="600"/>
        <v>QFD42 → XT42</v>
      </c>
      <c r="HU266">
        <f t="shared" si="601"/>
        <v>0</v>
      </c>
      <c r="HV266">
        <f t="shared" si="602"/>
        <v>1</v>
      </c>
      <c r="HW266" t="str">
        <f t="shared" si="603"/>
        <v/>
      </c>
      <c r="HX266" t="str">
        <f t="shared" si="604"/>
        <v/>
      </c>
      <c r="HY266" t="str">
        <f t="shared" si="605"/>
        <v/>
      </c>
      <c r="HZ266" t="str">
        <f t="shared" si="606"/>
        <v/>
      </c>
      <c r="IA266" t="str">
        <f>IF(B266="","",IFERROR(VLOOKUP(B266,УГО_спр,2,FALSE),IFERROR(VLOOKUP(AX266,УГО_спр,2,FALSE),IFERROR(VLOOKUP(LEFT(AX266,2),УГО_спр,2,FALSE),""))))</f>
        <v>Розетка</v>
      </c>
      <c r="IB266" t="str">
        <f>IF(B266="","",IF(OR(IA266="",IA266=0),"BOX",IFERROR(IF(VLOOKUP(IA266,УГО_блоки,3,FALSE)&amp;""&lt;&gt;"",VLOOKUP(IA266,УГО_блоки,3,FALSE),VLOOKUP(IA266,УГО_блоки,2,FALSE)),IA266)))</f>
        <v>SOCKET</v>
      </c>
      <c r="IC266">
        <f t="shared" si="607"/>
        <v>1</v>
      </c>
      <c r="ID266" t="str">
        <f>IF(DA266="","",IF(COUNTIF(DA$3:DA266,DA266)=1,MAX(ID$2:ID265)+1,""))</f>
        <v/>
      </c>
      <c r="IE266" t="str">
        <f>IF(CO266="","",IF(COUNTIF(CO$3:CO266,CO266)+COUNTIF(CP$2:CP265,CO266)+COUNTIF(CQ$2:CQ265,CO266)=1,MAX(IE$2:IG265)+1,""))</f>
        <v/>
      </c>
      <c r="IF266" t="str">
        <f>IF(CP266="","",IF(COUNTIF(CO$3:CO266,CP266)+COUNTIF(CP$3:CP266,CP266)+COUNTIF(CQ$2:CQ265,CP266)=1,MAX(IE$2:IG265,IE266)+1,""))</f>
        <v/>
      </c>
      <c r="IG266" t="str">
        <f>IF(CQ266="","",IF(COUNTIF(CO$3:CO266,CQ266)+COUNTIF(CP$3:CP266,CQ266)+COUNTIF(CQ$3:CQ266,CQ266)=1,MAX(IE$2:IG265,IE266,IF266)+1,""))</f>
        <v/>
      </c>
      <c r="IH266" t="str">
        <f t="shared" si="608"/>
        <v>3х2,5</v>
      </c>
      <c r="II266" t="str">
        <f>IF(IH266="","",IF(COUNTIF(IH$3:IH266,IH266)=1,MAX(II$2:II265)+1,""))</f>
        <v/>
      </c>
      <c r="IJ266" t="str">
        <f>IF(GL266="","",COUNTIF(GL$3:GL266,"?*"))</f>
        <v/>
      </c>
      <c r="IK266" t="str">
        <f>IF(OR(GL266="",GN266=""),"",IF(COUNTIFS(GL$3:GL266,"?*",GN$3:GN266,GN266)=1,MAX(IK$2:IK265)+1,""))</f>
        <v/>
      </c>
      <c r="IL266">
        <f t="shared" si="609"/>
        <v>0</v>
      </c>
      <c r="IM266">
        <f>IF(B266="","",COUNTIF(B$3:B266,"?*"))</f>
        <v>264</v>
      </c>
      <c r="IN266">
        <f>IF(GQ266&lt;&gt;1,0,_xlfn.LET(_xlpm.k,MAX(IFERROR(--VLOOKUP(B266,УГО_спр,5,FALSE),0),IFERROR(--VLOOKUP(AX266,УГО_спр,5,FALSE),0),IFERROR(--VLOOKUP(LEFT(AX266,2),УГО_спр,5,FALSE),0)),IF(_xlpm.k&gt;0,_xlpm.k,IF(IFERROR(--LEFT(SUBSTITUTE(IH266,"x","х"),FIND("х",SUBSTITUTE(IH266,"x","х"))-1),3)&gt;3,Каталог!$S$9,1))))</f>
        <v>1</v>
      </c>
      <c r="IO266">
        <f t="shared" si="610"/>
        <v>0</v>
      </c>
      <c r="IP266" t="str">
        <f t="shared" si="611"/>
        <v>авто</v>
      </c>
      <c r="IQ266">
        <f t="shared" si="612"/>
        <v>30</v>
      </c>
      <c r="IR266">
        <f t="shared" si="613"/>
        <v>1</v>
      </c>
      <c r="IS266">
        <f t="shared" si="614"/>
        <v>1</v>
      </c>
    </row>
    <row r="267" spans="1:253" x14ac:dyDescent="0.3">
      <c r="A267" t="s">
        <v>759</v>
      </c>
      <c r="B267" t="s">
        <v>1532</v>
      </c>
      <c r="C267" t="s">
        <v>1672</v>
      </c>
      <c r="D267">
        <v>1</v>
      </c>
      <c r="E267">
        <v>1.5</v>
      </c>
      <c r="G267" t="str">
        <f>Линии[[#This Row],[_авто автомат]]</f>
        <v>2P С16А 30мА</v>
      </c>
      <c r="H267">
        <f>Линии[[#This Row],[_авто утечка]]</f>
        <v>30</v>
      </c>
      <c r="I267" t="str">
        <f>Линии[[#This Row],[_авто управление]]</f>
        <v/>
      </c>
      <c r="J267" t="str">
        <f>Линии[[#This Row],[_авто аппараты]]</f>
        <v/>
      </c>
      <c r="K267">
        <v>2.5</v>
      </c>
      <c r="L267">
        <v>36</v>
      </c>
      <c r="M267" t="str">
        <f>Линии[[#This Row],[_авто фаза]]</f>
        <v>L2</v>
      </c>
      <c r="N267" t="str">
        <f>Линии[[#This Row],[_авто клемма]]</f>
        <v>XT43</v>
      </c>
      <c r="O267" t="str">
        <f t="shared" si="492"/>
        <v/>
      </c>
      <c r="P267" s="6" cm="1">
        <f t="array" ref="P267">IF(B267="","",IF(BC267&lt;&gt;"",IFERROR(_xlfn.XLOOKUP(BC267,Щиты[Щит],Щиты[Iр, А]),""),IF(BK267=1,IFERROR(_xlfn.XLOOKUP(A267,Щиты[Щит],Щиты[Iр, А]),""),IFERROR(_xlfn.IFS(BR267=1,BN267/((Uн_лин/SQRT(3))*BY267),BR267=3,BN267/(SQRT(3)*Uн_лин*BY267)),""))))</f>
        <v>6.8370426614560946</v>
      </c>
      <c r="Q267" s="7">
        <f>IF(B267="","",IFERROR(IF(VLOOKUP(AX267,Потребители_обозначение,4,FALSE)=1,VLOOKUP(AX267,Потребители_обозначение,3,FALSE)*(D267*2-1)+DS267+VLOOKUP(AZ267,Этаж_обозначение,3,FALSE)+VLOOKUP(AZ267,Этаж_обозначение,4,FALSE),VLOOKUP(AX267,Потребители_обозначение,3,FALSE)*(D267*2-1)+DS267),DS267))</f>
        <v>39</v>
      </c>
      <c r="R267" s="6">
        <f t="shared" si="493"/>
        <v>3.1799999999999997</v>
      </c>
      <c r="S267" t="str">
        <f t="shared" si="494"/>
        <v>ВВГнг(А)-LS (3х2,5)</v>
      </c>
      <c r="T267" t="str">
        <f>IF(BH267="","",IF(BI267="вводной узел","узел ","")&amp;"л."&amp;(INT((BH267-1)/Столбцов_на_лист)+1)&amp;" / "&amp;(MOD(BH267-1,Столбцов_на_лист)+1))</f>
        <v>л.4 / 15</v>
      </c>
      <c r="V267">
        <v>1</v>
      </c>
      <c r="W267">
        <v>230</v>
      </c>
      <c r="X267" t="s">
        <v>564</v>
      </c>
      <c r="AC267" t="s">
        <v>815</v>
      </c>
      <c r="AE267" t="s">
        <v>563</v>
      </c>
      <c r="AI267">
        <v>66</v>
      </c>
      <c r="AJ267" t="s">
        <v>11</v>
      </c>
      <c r="AK267">
        <v>3</v>
      </c>
      <c r="AM267">
        <v>20</v>
      </c>
      <c r="AN267">
        <v>19</v>
      </c>
      <c r="AO267">
        <v>0</v>
      </c>
      <c r="AW267" cm="1">
        <f t="array" ref="AW267">ROW()-ROW(Линии[#Headers])</f>
        <v>265</v>
      </c>
      <c r="AX267" s="6" t="str">
        <f t="shared" si="495"/>
        <v>R</v>
      </c>
      <c r="AY267" t="str">
        <f t="shared" si="496"/>
        <v>1.021A.1</v>
      </c>
      <c r="AZ267" t="str">
        <f t="shared" si="497"/>
        <v>1</v>
      </c>
      <c r="BA267" t="str">
        <f t="shared" si="498"/>
        <v>021A.1</v>
      </c>
      <c r="BB267" t="str">
        <f t="shared" si="499"/>
        <v>021A</v>
      </c>
      <c r="BC267" t="str">
        <f>IF(U267&lt;&gt;"",U267,IF(AND(B267&lt;&gt;"",B267&lt;&gt;A267,ISNUMBER(_xlfn.XMATCH(B267,Щиты[Щит]))),B267,""))</f>
        <v/>
      </c>
      <c r="BD267" t="str" cm="1">
        <f t="array" ref="BD267">IF(B267="","",IF(BC267&lt;&gt;"","Щит "&amp;BC267,_xlfn.LET(_xlpm.nm,IFERROR(_xlfn.XLOOKUP(AX267,Коды_код,Коды_имя)&amp;"",""),_xlpm.md,IFERROR(N(_xlfn.XLOOKUP(AX267,Коды_код,Коды_режим)),1),_xlpm.ex,IF(Имя_режим="по экспликации",IFERROR(_xlfn.XLOOKUP(AZ267&amp;"|"&amp;BB267,Экспликация[Этаж]&amp;"|"&amp;Экспликация[Помещение],Экспликация[Название])&amp;"",""),""),_xlpm.rm,IF(BB267="","",IF(_xlpm.ex&lt;&gt;"",". "&amp;_xlpm.ex&amp;IF(Имя_пом="нет"," ("&amp;BB267&amp;")"," (пом. "&amp;BB267&amp;")"),IF(Имя_пом="нет"," ",", пом. ")&amp;BB267)),IF(_xlpm.nm="","",IF(_xlpm.md=2,_xlpm.nm&amp;" шлейф "&amp;AZ267,_xlpm.nm&amp;_xlpm.rm)))))</f>
        <v>Розеточная группа, пом. 021A</v>
      </c>
      <c r="BE267" t="str">
        <f t="shared" si="500"/>
        <v>Розеточная группа Первый этаж Пом. №021A Кофемашина</v>
      </c>
      <c r="BF267">
        <f>IFERROR(_xlfn.XMATCH(A267,Щиты[Щит]),0)</f>
        <v>10</v>
      </c>
      <c r="BG267">
        <f>_xlfn.LET(_xlpm.k,IFERROR(_xlfn.XLOOKUP(A267,Щиты[Щит],Щиты[Листов под вводной узел]),""),IF(_xlpm.k="",1,N(_xlpm.k))*Столбцов_на_лист)</f>
        <v>17</v>
      </c>
      <c r="BH267">
        <f t="shared" si="501"/>
        <v>66</v>
      </c>
      <c r="BI267" t="str">
        <f t="shared" si="502"/>
        <v>линии</v>
      </c>
      <c r="BJ267" s="6">
        <f>IFERROR(N(_xlfn.XLOOKUP(AX267,Коды_код,Коды_квт)),0)</f>
        <v>0</v>
      </c>
      <c r="BK267">
        <f t="shared" si="503"/>
        <v>0</v>
      </c>
      <c r="BL267" t="str">
        <f>IF(B267="","",IF(BC267&lt;&gt;"",IFERROR(_xlfn.XLOOKUP(BC267,Щиты[Щит],Щиты[Руст, кВт]),0),IF(BK267=1,IFERROR(_xlfn.XLOOKUP(A267,Щиты[Щит],Щиты[Руст, кВт]),0),IF(BJ267&gt;0,ROUND(BJ267*MAX(1,N(D267)),3),""))))</f>
        <v/>
      </c>
      <c r="BM267">
        <f t="shared" si="504"/>
        <v>1.5</v>
      </c>
      <c r="BN267" s="6">
        <f>IF(B267="","",IF(BC267&lt;&gt;"",IFERROR(_xlfn.XLOOKUP(BC267,Щиты[Щит],Щиты[Руст, кВт]),0),N(BM267)))</f>
        <v>1.5</v>
      </c>
      <c r="BO267" t="str">
        <f>IF(B267="","",IFERROR(IF(VLOOKUP(AX267,Потребители_обозначение,8,FALSE)=0,"",VLOOKUP(AX267,Потребители_обозначение,8,FALSE)),""))</f>
        <v/>
      </c>
      <c r="BP267">
        <f t="shared" si="505"/>
        <v>230</v>
      </c>
      <c r="BQ267">
        <f>IF(B267="","",IF(BC267&lt;&gt;"",3,IFERROR(IF(N(VLOOKUP(AX267,Потребители_обозначение,9,FALSE))=0,1,VLOOKUP(AX267,Потребители_обозначение,9,FALSE)),1)))</f>
        <v>1</v>
      </c>
      <c r="BR267">
        <f t="shared" si="506"/>
        <v>1</v>
      </c>
      <c r="BS267" t="str">
        <f>IF(B267="","",_xlfn.LET(_xlpm.bc,IFERROR(IF(VLOOKUP(AX267,Потребители_обозначение,6,FALSE)=0,"",VLOOKUP(AX267,Потребители_обозначение,6,FALSE)&amp;""),""),IF(AND(FK267="да",OR(_xlpm.bc="",_xlpm.bc="мс")),Марка_пож,IF(AND(_xlpm.bc="",BC267&lt;&gt;""),"мс",_xlpm.bc))))</f>
        <v/>
      </c>
      <c r="BT267" t="str">
        <f t="shared" si="507"/>
        <v>мс</v>
      </c>
      <c r="BU267">
        <f>IF(B267="","",_xlfn.LET(_xlpm.cc,IFERROR(N(VLOOKUP(AX267,Потребители_обозначение,7,FALSE)),0),IF(_xlpm.cc&gt;0,_xlpm.cc,IF(BT267="","",IF(N(BR267)=3,5,3)))))</f>
        <v>3</v>
      </c>
      <c r="BV267">
        <f t="shared" si="508"/>
        <v>3</v>
      </c>
      <c r="BW267">
        <f>IFERROR(N(VLOOKUP(AX267,Потребители_обозначение,10,FALSE)),0)</f>
        <v>0</v>
      </c>
      <c r="BX267">
        <f>IFERROR(VLOOKUP(AX267,Потребители_обозначение,5,FALSE),0)</f>
        <v>1</v>
      </c>
      <c r="BY267" s="6" cm="1">
        <f t="array" ref="BY267">IF(B267="","",IF(BC267&lt;&gt;"",IFERROR(_xlfn.XLOOKUP(BC267,Щиты[Щит],Щиты[cos φ]),0.95),IF(BK267=1,IFERROR(_xlfn.XLOOKUP(A267,Щиты[Щит],Щиты[cos φ]),0.95),IF(ISNUMBER(Z267),Z267,IFERROR(IF(BX267=2,_xlfn.IFS(BR267=3,VLOOKUP(BN267,Справочная_двигатели,8,FALSE),BR267=1,VLOOKUP(BN267,Справочная_двигатели,10,TRUE)),IF(AND(Методика="нормы 2026",EQ267="Сил"),0.8,0.95)),0.95)))))</f>
        <v>0.95</v>
      </c>
      <c r="BZ267">
        <f t="shared" si="509"/>
        <v>0</v>
      </c>
      <c r="CA267">
        <f t="shared" si="510"/>
        <v>1</v>
      </c>
      <c r="CB267">
        <f t="shared" si="511"/>
        <v>0</v>
      </c>
      <c r="CC267">
        <f t="shared" si="512"/>
        <v>0</v>
      </c>
      <c r="CD267">
        <f t="shared" si="513"/>
        <v>0</v>
      </c>
      <c r="CE267">
        <f t="shared" si="514"/>
        <v>0</v>
      </c>
      <c r="CF267">
        <f t="shared" si="515"/>
        <v>0</v>
      </c>
      <c r="CG267">
        <f>IF(AX267="",0,_xlfn.LET(_xlpm.v,IFERROR(VLOOKUP(B267,УГО_спр,3,FALSE),IFERROR(VLOOKUP(AX267,УГО_спр,3,FALSE),IFERROR(VLOOKUP(LEFT(AX267,2),УГО_спр,3,FALSE),""))),IF(_xlpm.v="да",30,IF(ISNUMBER(_xlpm.v),_xlpm.v,0))))</f>
        <v>30</v>
      </c>
      <c r="CH267">
        <f t="shared" si="516"/>
        <v>30</v>
      </c>
      <c r="CI267" t="str">
        <f>_xlfn.LET(_xlpm.k,IFERROR(_xlfn.XLOOKUP(AX267,Коды_код,Коды_утечка)&amp;"",""),IF(_xlpm.k="","дифавтомат",_xlpm.k))</f>
        <v>дифавтомат</v>
      </c>
      <c r="CJ267">
        <f t="shared" si="517"/>
        <v>30</v>
      </c>
      <c r="CK267">
        <f t="shared" si="518"/>
        <v>30</v>
      </c>
      <c r="CL267">
        <f>IF(B267="",0,IFERROR(--VLOOKUP(B267,УГО_спр,4,FALSE),IFERROR(--VLOOKUP(AX267,УГО_спр,4,FALSE),IFERROR(--VLOOKUP(LEFT(AX267,2),УГО_спр,4,FALSE),0))))</f>
        <v>16</v>
      </c>
      <c r="CM267" t="str">
        <f>IF(B267="","",IFERROR(_xlfn.XLOOKUP(AX267,Коды_код,Коды_апп)&amp;"",""))</f>
        <v/>
      </c>
      <c r="CN267" t="str">
        <f t="shared" si="519"/>
        <v/>
      </c>
      <c r="CO267" t="str" cm="1">
        <f t="array" ref="CO267">IF(TRIM(CN267&amp;"")="","",IFERROR(TRIM(INDEX(_xlfn.TEXTSPLIT(CN267&amp;";;;",";"),1)),""))</f>
        <v/>
      </c>
      <c r="CP267" t="str" cm="1">
        <f t="array" ref="CP267">IF(TRIM(CN267&amp;"")="","",IFERROR(TRIM(INDEX(_xlfn.TEXTSPLIT(CN267&amp;";;;",";"),2)),""))</f>
        <v/>
      </c>
      <c r="CQ267" t="str" cm="1">
        <f t="array" ref="CQ267">IF(TRIM(CN267&amp;"")="","",IFERROR(TRIM(INDEX(_xlfn.TEXTSPLIT(CN267&amp;";;;",";"),3)),""))</f>
        <v/>
      </c>
      <c r="CR267">
        <f t="shared" si="520"/>
        <v>0</v>
      </c>
      <c r="CS267" t="str">
        <f>IF(B267="","",_xlfn.LET(_xlpm.t,LOWER(AV267&amp;""),IF(ISNUMBER(SEARCH("dim",_xlpm.t)),"DIM",IF(ISNUMBER(SEARCH("dali",_xlpm.t)),"DALI",IF(OR(ISNUMBER(SEARCH("relay",_xlpm.t)),ISNUMBER(SEARCH("реле",_xlpm.t))),"Relay",IF(ISNUMBER(SEARCH("кнопк",_xlpm.t)),"",IFERROR(_xlfn.XLOOKUP(AX267,Коды_код,Коды_упр)&amp;"","")))))))</f>
        <v/>
      </c>
      <c r="CT267" t="str">
        <f t="shared" si="521"/>
        <v/>
      </c>
      <c r="CU267">
        <f>IF(B267="","",_xlfn.LET(_xlpm.ig,N(P267)+IF(AF267="вручную",0,N(CB267)),_xlpm.n0,IFERROR(VLOOKUP(_xlpm.ig,Автомат_номиналы,2,TRUE),0),_xlpm.mn,MAX(CL267,IF(AF267="вручную",0,N(CE267))),MAX(_xlpm.n0,_xlpm.mn,IF(CR267=1,Мин_автомат_БП,0))))</f>
        <v>16</v>
      </c>
      <c r="CV267">
        <f t="shared" si="522"/>
        <v>1</v>
      </c>
      <c r="CW267" t="str">
        <f t="shared" si="523"/>
        <v>2P</v>
      </c>
      <c r="CX267" t="str">
        <f>_xlfn.LET(_xlpm.cc,UPPER(TRIM(IFERROR(_xlfn.XLOOKUP(AX267,Коды_код,Коды_хар)&amp;"",""))),IF(OR(_xlpm.cc="B",_xlpm.cc="В"),"B",IF(_xlpm.cc="D","D","С")))</f>
        <v>С</v>
      </c>
      <c r="CY267" t="str">
        <f t="shared" si="524"/>
        <v>2P С16А 30мА</v>
      </c>
      <c r="CZ267" t="str">
        <f t="shared" si="525"/>
        <v>2P С16А 30мА</v>
      </c>
      <c r="DA267" t="str">
        <f t="shared" si="526"/>
        <v>2P С16А 30мА</v>
      </c>
      <c r="DB267" cm="1">
        <f t="array" ref="DB267">IF(DA267="","",_xlfn.LET(_xlpm.t,SUBSTITUTE(SUBSTITUTE(SUBSTITUTE(UPPER(DA267),"С","C"),"А","A"),"В","B"),_xlpm.tk,_xlfn.TEXTSPLIT(_xlpm.t,"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7" t="str">
        <f t="shared" si="527"/>
        <v>ok</v>
      </c>
      <c r="DD267">
        <f t="shared" si="528"/>
        <v>16</v>
      </c>
      <c r="DE267" t="str">
        <f t="shared" si="529"/>
        <v>2P С16А 30мА</v>
      </c>
      <c r="DF267">
        <f t="shared" si="530"/>
        <v>30</v>
      </c>
      <c r="DG267">
        <f t="shared" si="531"/>
        <v>1</v>
      </c>
      <c r="DH267">
        <f t="shared" si="532"/>
        <v>0</v>
      </c>
      <c r="DI267">
        <f t="shared" si="533"/>
        <v>6.8370426614560946</v>
      </c>
      <c r="DJ267">
        <f t="shared" si="534"/>
        <v>1</v>
      </c>
      <c r="DK267">
        <f>IF(ISNUMBER(AL267),AL267,К_прокл)</f>
        <v>1</v>
      </c>
      <c r="DL267">
        <f t="shared" si="535"/>
        <v>2</v>
      </c>
      <c r="DM267">
        <f>IFERROR(N(VLOOKUP(BT267,Кабель_обозначение,3,FALSE)),1)</f>
        <v>1</v>
      </c>
      <c r="DN267">
        <f>IFERROR(N(_xlfn.XLOOKUP(A267,Щиты[Щит],Щиты[ΔU до шин, %])),0)</f>
        <v>1.19</v>
      </c>
      <c r="DO267" t="str">
        <f>IFERROR(_xlfn.XLOOKUP(A267,Щиты[Щит],Щиты[Zпетли на шинах, Ом]),"")</f>
        <v/>
      </c>
      <c r="DP267">
        <f>IFERROR(N(_xlfn.XLOOKUP(A267,Щиты[Щит],Щиты[ΔU до шин (подбор), %])),0)</f>
        <v>1.19</v>
      </c>
      <c r="DQ267" t="str">
        <f>IFERROR(_xlfn.XLOOKUP(A267,Щиты[Щит],Щиты[Zпетли на шинах (подбор), Ом]),"")</f>
        <v/>
      </c>
      <c r="DR267" t="str">
        <f t="shared" si="536"/>
        <v/>
      </c>
      <c r="DS267">
        <f t="shared" si="537"/>
        <v>36</v>
      </c>
      <c r="DT267">
        <f t="shared" si="538"/>
        <v>2</v>
      </c>
      <c r="DU267">
        <f t="shared" si="539"/>
        <v>0.31</v>
      </c>
      <c r="DV267" s="6">
        <f>IF(B267="","",IF(IFERROR(VLOOKUP(AX267,УГО_спр,2,FALSE),"")="Светильник",3,4)+IF(Методика="нормы 2026",MIN(0.5,MAX(0,N(Q267)-100)*0.005),0))</f>
        <v>4</v>
      </c>
      <c r="DW267" cm="1">
        <f t="array" ref="DW267">IF(OR(B267="",BT267="",DM267&lt;&gt;1),"",_xlfn.LET(_xlpm.sz,Iдоп_S,_xlpm.t_,CHOOSE(DL267,Iдоп_1ж,Iдоп_2ж,Iдоп_3ж)*DJ267*DK267,_xlpm.inn,N(DD267),_xlpm.smin,MAX(1.5,BW267),_xlpm.L_,N(Q267)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267)*(_xlpm.rho*_xlpm.L_/_xlpm.sz*N(BY267)+_xlpm.xx*_xlpm.L_*N(DU267)/1000)*N(P267)/((Uн_лин/SQRT(3))*1000)*100,999),_xlpm.kz,IF(OR(DG267=1,NOT(ISNUMBER(DQ267)),_xlpm.L_=0,_xlpm.inn=0),1,IFERROR(--(c_min*(Uн_лин*1000/SQRT(3))/(DQ267+2*ρкз_Cu*_xlpm.L_/_xlpm.sz)&gt;=GY267*_xlpm.inn),0)),_xlpm.ok,IFERROR((_xlpm.sz&gt;=_xlpm.smin)*(_xlpm.t_&gt;=_xlpm.inn)*IF(_xlpm.L_&gt;0,(_xlpm.du_+DP267&lt;=DV267+0.00001),1)*_xlpm.kz,0),_xlpm.r_,_xlfn._xlws.FILTER(_xlpm.sz,_xlpm.ok,"не подобрано"),INDEX(_xlpm.r_,1)))</f>
        <v>2.5</v>
      </c>
      <c r="DX267">
        <f t="shared" si="540"/>
        <v>2.5</v>
      </c>
      <c r="DY267" cm="1">
        <f t="array" ref="DY267">IF(OR(B267="",BT267="",DM267&lt;&gt;1),"",_xlfn.LET(_xlpm.sz,Iдоп_S,_xlpm.t_,CHOOSE(DL267,Iдоп_1ж,Iдоп_2ж,Iдоп_3ж)*DJ267*DK267,_xlpm.ok,IFERROR((_xlpm.sz&gt;=MAX(1.5,BW267))*(_xlpm.t_&gt;=N(DD267)),0),_xlpm.r_,_xlfn._xlws.FILTER(_xlpm.sz,_xlpm.ok,""),INDEX(_xlpm.r_,1)))</f>
        <v>1.5</v>
      </c>
      <c r="DZ267" s="6" cm="1">
        <f t="array" ref="DZ267">IFERROR(ROUNDUP(N(DT267)*(_xlfn.XLOOKUP(DY267,INDEX(Кабель_сопротивление,0,1),INDEX(Кабель_сопротивление,0,3))*N(Q267)/DY267*N(BY267)+_xlfn.XLOOKUP(DY267,INDEX(Кабель_сопротивление,0,1),INDEX(Кабель_сопротивление,0,2))*N(Q267)*N(DU267)/1000)*N(P267)/((Uн_лин/SQRT(3))*1000)*100,2),"")</f>
        <v>3.3</v>
      </c>
      <c r="EA267">
        <f>IFERROR(2*ρкз_Cu*N(Q267)/DY267,"")</f>
        <v>1.3676000000000001</v>
      </c>
      <c r="EB267">
        <f>IFERROR(VLOOKUP(DX267,Кабель_сопротивление,3,FALSE),"")</f>
        <v>2.2499999999999999E-2</v>
      </c>
      <c r="EC267">
        <f>IFERROR(VLOOKUP(DX267,Кабель_сопротивление,2,FALSE),"")</f>
        <v>0.1</v>
      </c>
      <c r="ED267">
        <f t="shared" si="541"/>
        <v>19</v>
      </c>
      <c r="EE267">
        <f t="shared" si="542"/>
        <v>0</v>
      </c>
      <c r="EF267">
        <f t="shared" si="543"/>
        <v>4.5761557200804699</v>
      </c>
      <c r="EG267" s="6">
        <f>IFERROR(ROUNDUP(EF267/((Uн_лин/SQRT(3))*1000)*100,2),"")</f>
        <v>1.99</v>
      </c>
      <c r="EH267" t="str">
        <f>IFERROR(VLOOKUP(BT267,Кабель_обозначение,2,FALSE),"")</f>
        <v>ВВГнг(А)-LS</v>
      </c>
      <c r="EI267" t="str">
        <f t="shared" si="544"/>
        <v>ВВГнг(А)-LS (3х2,5)</v>
      </c>
      <c r="EJ267" t="str">
        <f t="shared" si="545"/>
        <v>ВВГнг(А)-LS (3х2,5)
L=39-1,99%</v>
      </c>
      <c r="EK267">
        <f>IFERROR(2*ρкз_Cu*Q267/DX267,"")</f>
        <v>0.82056000000000007</v>
      </c>
      <c r="EL267">
        <f t="shared" si="546"/>
        <v>0.27300000000000002</v>
      </c>
      <c r="EM267" s="6" t="str">
        <f>IFERROR(IF(OR(B267="",NOT(ISNUMBER(DX267)),N(Q267)=0),"",_xlfn.XLOOKUP(A267,Щиты[Щит],Щиты[Zпетли на шинах, Ом])+EK267),"")</f>
        <v/>
      </c>
      <c r="EN267" s="6" t="str">
        <f>IF(ISNUMBER(EM267),c_min*(Uн_лин*1000/SQRT(3))/EM267,"")</f>
        <v/>
      </c>
      <c r="EO267" s="6" t="str">
        <f>IFERROR(IF(OR(B267="",NOT(ISNUMBER(DX267))),"",1.05*(Uн_лин*1000/SQRT(3))/(_xlfn.XLOOKUP(A267,Щиты[Щит],Щиты[Zmax на шинах, Ом])+EL267)/1000),"")</f>
        <v/>
      </c>
      <c r="EP267" s="6" t="str">
        <f>IF(B267="","",IF(ISNUMBER(Y267),"Сил",IF(IFERROR(_xlfn.XLOOKUP(AX267,Коды_код,Коды_группа)&amp;"","")="","Быт",_xlfn.XLOOKUP(AX267,Коды_код,Коды_группа)&amp;"")))</f>
        <v>Быт</v>
      </c>
      <c r="EQ267" s="6" t="str">
        <f t="shared" si="547"/>
        <v>Быт</v>
      </c>
      <c r="ER267" s="6">
        <f>IF(EQ267="Щит","щит",IF(EQ267="","",IF(EQ267="Быт",IFERROR(_xlfn.XLOOKUP(A267,Щиты[Щит],Щиты[Кс быт]),1),IF(EQ267="Сил",IF(ISNUMBER(Y267),Y267,IF(Методика="нормы 2026",IFERROR(_xlfn.XLOOKUP(A267,Щиты[Щит],Щиты[Кс силовых (табл. 7.5)]),1),1)),IF(OR(EQ267="Пост",EQ267="Отоп"),1,IF(EQ267="ВНГ",0.7,0))))))</f>
        <v>0.57830000000000004</v>
      </c>
      <c r="ES267">
        <f t="shared" si="548"/>
        <v>1</v>
      </c>
      <c r="ET267">
        <f t="shared" si="549"/>
        <v>1.5</v>
      </c>
      <c r="EU267">
        <f t="shared" si="550"/>
        <v>1.5</v>
      </c>
      <c r="EV267">
        <f t="shared" si="551"/>
        <v>0</v>
      </c>
      <c r="EW267">
        <f t="shared" si="552"/>
        <v>0</v>
      </c>
      <c r="EX267">
        <f t="shared" si="553"/>
        <v>0</v>
      </c>
      <c r="EY267">
        <f t="shared" si="554"/>
        <v>0</v>
      </c>
      <c r="EZ267">
        <f t="shared" si="555"/>
        <v>1.5</v>
      </c>
      <c r="FA267">
        <f t="shared" si="556"/>
        <v>1.4249999999999998</v>
      </c>
      <c r="FB267">
        <f t="shared" si="557"/>
        <v>1.5</v>
      </c>
      <c r="FC267" t="str">
        <f t="shared" si="558"/>
        <v/>
      </c>
      <c r="FD267" t="str">
        <f>IF(B267="","",IF(CA267=0,IF(AW267=1,"",FF266),IF(OR(N(CV267)&gt;=3,N(BR267)&gt;=3),"L1,L2,L3",IFERROR(_xlfn.TEXTBEFORE(_xlfn.TEXTAFTER(_xlfn.XLOOKUP(A267,Щиты[Щит],Щиты[_фазы авто]),";"&amp;AW267&amp;":"),";"),"L1"))))</f>
        <v>L2</v>
      </c>
      <c r="FE267" t="str">
        <f t="shared" si="559"/>
        <v>L2</v>
      </c>
      <c r="FF267" t="str">
        <f t="shared" si="560"/>
        <v>L2</v>
      </c>
      <c r="FG267" cm="1">
        <f t="array" ref="FG267">IFERROR(IF(BX267=2,_xlfn.IFS(BR267=3,VLOOKUP(BN267,Справочная_двигатели,3,FALSE),BR267=1,VLOOKUP(BN267,Справочная_двигатели,5,TRUE)),0),0)</f>
        <v>0</v>
      </c>
      <c r="FH267">
        <f>IFERROR(IF(BX267=3,VLOOKUP(BN267,Справочная_ЛЭД,2,TRUE),0),0)</f>
        <v>0</v>
      </c>
      <c r="FI267" s="6">
        <f t="shared" si="561"/>
        <v>0</v>
      </c>
      <c r="FJ267" t="str" cm="1">
        <f t="array" ref="FJ267">IF(B267="","",IFERROR(INDEX({"I особая","I","II","III"},MATCH(TRIM(AC267&amp;""),{"I особая","I","II","III"},0)),"III"))</f>
        <v>II</v>
      </c>
      <c r="FK267" t="str">
        <f>IF(B267="","",IF(TRIM(AD267&amp;"")&lt;&gt;"",IF(LOWER(TRIM(AD267&amp;""))="да","да","нет"),IF(IFERROR(_xlfn.XLOOKUP(AX267,Коды_код,Коды_пожарная),"")="да","да","нет")))</f>
        <v>нет</v>
      </c>
      <c r="FL267" t="str">
        <f t="shared" si="562"/>
        <v/>
      </c>
      <c r="FM267" t="str">
        <f t="shared" si="563"/>
        <v>основная</v>
      </c>
      <c r="FN267">
        <f t="shared" si="564"/>
        <v>1</v>
      </c>
      <c r="FO267" t="str" cm="1">
        <f t="array" ref="FO267">IF(B267="","",_xlfn.LET(_xlpm.t,IFERROR(_xlfn.XLOOKUP(1,(Шины[Шина]=FM267)*(((Шины[Щит]=A267)+(Шины[Щит]=""))&gt;0),Шины[Тип]),"")&amp;"",IF(_xlpm.t&lt;&gt;"",_xlpm.t,IF(ISNUMBER(SEARCH("ИБП",FM267)),"ИБП",IF(ISNUMBER(SEARCH("ДГУ",FM267)),"ДГУ","Ввод "&amp;FN267)))))</f>
        <v>Ввод 1</v>
      </c>
      <c r="FP267" t="str">
        <f t="shared" si="565"/>
        <v>Ввод 1</v>
      </c>
      <c r="FQ267" t="str">
        <f>IF(B267="","",IF(OR(FO267="ИБП",FO267="ДГУ"),"I особая",IF(FO267="Одиночная","III",_xlfn.XLOOKUP(A267,Щиты[Щит],Щиты[Категория шины «Ввод»],"III"))))</f>
        <v>II</v>
      </c>
      <c r="FR267">
        <f>IF(B267="",0,IFERROR(MATCH(FJ267,{"III","II","I","I особая"},0),1))</f>
        <v>2</v>
      </c>
      <c r="FS267">
        <f t="shared" si="566"/>
        <v>2</v>
      </c>
      <c r="FT267" t="str">
        <f>IF(B267="","",IF(FR267&gt;IFERROR(MATCH(FQ267,{"III","II","I","I особая"},0),1),"НЕ ОБЕСПЕЧЕНА","ОК"))</f>
        <v>ОК</v>
      </c>
      <c r="FU267" t="str">
        <f>IF(A267="","",_xlfn.XLOOKUP(A267,Щиты[Щит],Щиты[Путь],""))</f>
        <v>|ГРЩ-ЖД|ЩР-1|</v>
      </c>
      <c r="FV267" t="str">
        <f>IF(B267="","",IF(AE267&lt;&gt;"",AE267,IF(IFERROR(_xlfn.XLOOKUP(AX267,Коды_код,Коды_вид)&amp;"","")="","Прочее",_xlfn.XLOOKUP(AX267,Коды_код,Коды_вид)&amp;"")))</f>
        <v>Розеточная сеть и бытовые приборы</v>
      </c>
      <c r="FW267">
        <f>IF(BH267="","",INT((BH267-1)/Столбцов_на_лист)+1)</f>
        <v>4</v>
      </c>
      <c r="FX267" t="str">
        <f t="shared" si="567"/>
        <v>ВВГнг(А)-LS (3х2,5) L=39-1,99%</v>
      </c>
      <c r="FY267">
        <f t="shared" si="568"/>
        <v>1.5</v>
      </c>
      <c r="FZ267">
        <f t="shared" si="569"/>
        <v>6.84</v>
      </c>
      <c r="GA267">
        <f t="shared" si="570"/>
        <v>1</v>
      </c>
      <c r="GB267">
        <f t="shared" si="571"/>
        <v>0</v>
      </c>
      <c r="GC267">
        <f t="shared" si="572"/>
        <v>1</v>
      </c>
      <c r="GD267">
        <f>IF(BH267="","",IF(AND(CA267=1,GC267=1),COUNTIFS(A$3:A267,A267,CA$3:CA267,1,GC$3:GC267,1),IF(OR(OR(AW267=1,A267&lt;&gt;A266),AF267="вручную",GC267=0),"",IF(AW267=1,"",GE266))))</f>
        <v>43</v>
      </c>
      <c r="GE267">
        <f t="shared" si="573"/>
        <v>43</v>
      </c>
      <c r="GF267">
        <f>IF(B267="","",IFERROR(LOOKUP(INDEX(CHOOSE(DL267,Iдоп_1ж,Iдоп_2ж,Iдоп_3ж),MATCH(DX267,Iдоп_S,0))*DJ267*DK267,{6,10,16,20,25,32,40,50,63,80,100,125,160,200,250,315,400,500,630}),""))</f>
        <v>25</v>
      </c>
      <c r="GG267" t="str">
        <f t="shared" si="574"/>
        <v>QFD43</v>
      </c>
      <c r="GH267" t="str">
        <f t="shared" si="575"/>
        <v>QFD43</v>
      </c>
      <c r="GI267" t="str">
        <f t="shared" si="576"/>
        <v/>
      </c>
      <c r="GJ267">
        <f t="shared" si="577"/>
        <v>0</v>
      </c>
      <c r="GK267" t="str">
        <f>IF(OR(AG267="",AG267="-"),"",IFERROR(VLOOKUP(AG267,Модули_спр,2,FALSE),"R"))</f>
        <v/>
      </c>
      <c r="GL267" t="str">
        <f>IF(GK267="","",GK267&amp;"."&amp;COUNTIFS(A$3:A267,A267,GK$3:GK267,GK267))</f>
        <v/>
      </c>
      <c r="GM267" t="str">
        <f t="shared" si="578"/>
        <v/>
      </c>
      <c r="GN267" t="str">
        <f t="shared" si="579"/>
        <v/>
      </c>
      <c r="GO267" t="str">
        <f t="shared" si="580"/>
        <v/>
      </c>
      <c r="GP267" t="str">
        <f t="shared" si="581"/>
        <v/>
      </c>
      <c r="GQ267">
        <f t="shared" si="582"/>
        <v>1</v>
      </c>
      <c r="GR267" t="str">
        <f>IF(GQ267=1,"XT"&amp;COUNTIFS(A$3:A267,A267,GQ$3:GQ267,1),"")</f>
        <v>XT43</v>
      </c>
      <c r="GS267" t="str">
        <f t="shared" si="583"/>
        <v>XT43</v>
      </c>
      <c r="GT267" t="str">
        <f t="shared" si="584"/>
        <v>QFD43</v>
      </c>
      <c r="GU267" t="str">
        <f t="shared" si="585"/>
        <v/>
      </c>
      <c r="GV267" t="str">
        <f t="shared" si="586"/>
        <v>ok</v>
      </c>
      <c r="GW267" t="str">
        <f>IF(OR(GO267="",GM267=""),"",IF(GO267&gt;IFERROR(VLOOKUP(GN267,Модули_спр,3,FALSE),99),"ЛИШНИЙ КАНАЛ",IF(AND(AH267&lt;&gt;"=",COUNTIFS(Линии[_модуль гр.],GM267,Линии[Канал (итог)],GO267,Линии[Канал],"&lt;&gt;=",Линии[Щит],A267)&gt;1),"ДУБЛЬ КАНАЛА","")))</f>
        <v/>
      </c>
      <c r="GX267" s="6" t="str">
        <f t="shared" si="587"/>
        <v/>
      </c>
      <c r="GY267">
        <f t="shared" si="588"/>
        <v>10</v>
      </c>
      <c r="GZ267" t="str">
        <f t="shared" si="589"/>
        <v/>
      </c>
      <c r="HA267" t="str">
        <f>IF(AND(B267="",GT267=""),"",_xlfn.TEXTJOIN("; ",TRUE,IF(AND(B267&lt;&gt;"",FE267=""),"нет фазы",""),IF(AND(B267&lt;&gt;"",N(FY267)=0,EQ267&lt;&gt;"Нет"),"нет мощности",""),IF(AND(GS267&lt;&gt;"",COUNTIFS(Линии[Щит],A267,Линии[Клемма (итог)],GS267)&gt;1),"дубль клеммы "&amp;GS267,""),IF(AND(GV267&lt;&gt;"",GV267&lt;&gt;"ok"),GV267,""),IF(GW267&lt;&gt;"",GW267,""),IF(AND(N(BV267)&gt;=4,N(BR267)=1),BV267&amp;" жил на 1 фазе",""),IF(AND(AX267="R",CA267=1,OR(N(CK267)=0,N(CK267)&gt;30)),"розетка без дифзащиты до 30 мА",""),IFERROR(IF(AND(ISNUMBER(R267),R267&gt;DV267),"потери "&amp;FIXED(R267,1)&amp;" % &gt; "&amp;DV267&amp;" %",""),""),IFERROR(IF(LEFT(GZ267,4)="мало","Iкз мало — отключение &gt; 0,4 с",""),""),IF(AND(B267&lt;&gt;"",BH267=""),"не на схеме",""),IF(AND(CA267=0,B267&lt;&gt;"",FE267&lt;&gt;"",IF(AW267=1,"",FF266)&lt;&gt;"",FE267&lt;&gt;IF(AW267=1,"",FF266)),"фаза не как у автомата группы ("&amp;IF(AW267=1,"",FF266)&amp;")","")))</f>
        <v/>
      </c>
      <c r="HB267" s="6">
        <f>IF(OR(CA267=0,DA267=""),"",_xlfn.LET(_xlpm.t,IFERROR(_xlfn.XLOOKUP(DA267,Каталог!$U$4:$U$500,Каталог!$G$4:$G$500),""),_xlpm.k,SEARCH("кА",_xlpm.t),IFERROR(--TRIM(RIGHT(SUBSTITUTE(MID(_xlpm.t,MAX(1,_xlpm.k-4),_xlpm.k-MAX(1,_xlpm.k-4))," ",REPT(" ",9)),5)),"")))</f>
        <v>6</v>
      </c>
      <c r="HC267" t="str">
        <f>IF(OR(HB267="",CA267=0),"",IF(_xlfn.XLOOKUP(A267,Щиты[Щит],Щиты[Iкз max на шинах, кА],"")="","",IF(HB267&lt;_xlfn.XLOOKUP(A267,Щиты[Щит],Щиты[Iкз max на шинах, кА]),"Icu "&amp;HB267&amp;" кА &lt; Iкз max","ok")))</f>
        <v/>
      </c>
      <c r="HD267" t="str">
        <f t="shared" si="590"/>
        <v/>
      </c>
      <c r="HE267" t="str">
        <f t="shared" si="591"/>
        <v>QFD43|XT43</v>
      </c>
      <c r="HF267" t="str">
        <f t="shared" si="592"/>
        <v>QFD43|XT43|кабель ВВГнг(А)-LS (3х2,5) → Розеточная группа Первый этаж Пом. №021A Кофемашина</v>
      </c>
      <c r="HG267" t="str" cm="1">
        <f t="array" ref="HG267">IF(HF267="","",_xlfn.LET(_xlpm.nd,_xlfn.TEXTSPLIT(HF267,"|"),IF(COLUMNS(_xlpm.nd)&gt;1,A267&amp;"¦"&amp;INDEX(_xlpm.nd,1)&amp;"¦"&amp;INDEX(_xlpm.nd,2),"")))</f>
        <v>ЩР-1¦QFD43¦XT43</v>
      </c>
      <c r="HH267" t="str">
        <f t="shared" si="593"/>
        <v>R.1.021A.1¦Розеточная группа Первый этаж Пом. №021A Кофемашина</v>
      </c>
      <c r="HI267" t="str" cm="1">
        <f t="array" ref="HI267">IF(HF267="","",_xlfn.LET(_xlpm.nd,_xlfn.TEXTSPLIT(HF267,"|"),IF(COLUMNS(_xlpm.nd)&gt;2,A267&amp;"¦"&amp;INDEX(_xlpm.nd,2)&amp;"¦"&amp;INDEX(_xlpm.nd,3),"")))</f>
        <v>ЩР-1¦XT43¦кабель ВВГнг(А)-LS (3х2,5) → Розеточная группа Первый этаж Пом. №021A Кофемашина</v>
      </c>
      <c r="HJ267" t="str">
        <f t="shared" si="594"/>
        <v>R.1.021A.1¦Розеточная группа Первый этаж Пом. №021A Кофемашина</v>
      </c>
      <c r="HK267" t="str" cm="1">
        <f t="array" ref="HK267">IF(HF267="","",_xlfn.LET(_xlpm.nd,_xlfn.TEXTSPLIT(HF267,"|"),IF(COLUMNS(_xlpm.nd)&gt;3,A267&amp;"¦"&amp;INDEX(_xlpm.nd,3)&amp;"¦"&amp;INDEX(_xlpm.nd,4),"")))</f>
        <v/>
      </c>
      <c r="HL267" t="str">
        <f t="shared" si="595"/>
        <v/>
      </c>
      <c r="HM267" t="str" cm="1">
        <f t="array" ref="HM267">IF(HF267="","",_xlfn.LET(_xlpm.nd,_xlfn.TEXTSPLIT(HF267,"|"),IF(COLUMNS(_xlpm.nd)&gt;4,A267&amp;"¦"&amp;INDEX(_xlpm.nd,4)&amp;"¦"&amp;INDEX(_xlpm.nd,5),"")))</f>
        <v/>
      </c>
      <c r="HN267" t="str">
        <f t="shared" si="596"/>
        <v/>
      </c>
      <c r="HO267" t="str" cm="1">
        <f t="array" ref="HO267">IF(HF267="","",_xlfn.LET(_xlpm.nd,_xlfn.TEXTSPLIT(HF267,"|"),IF(COLUMNS(_xlpm.nd)&gt;5,A267&amp;"¦"&amp;INDEX(_xlpm.nd,5)&amp;"¦"&amp;INDEX(_xlpm.nd,6),"")))</f>
        <v/>
      </c>
      <c r="HP267" t="str">
        <f t="shared" si="597"/>
        <v/>
      </c>
      <c r="HQ267" t="str" cm="1">
        <f t="array" ref="HQ267">IF(HF267="","",_xlfn.LET(_xlpm.nd,_xlfn.TEXTSPLIT(HF267,"|"),IF(COLUMNS(_xlpm.nd)&gt;6,A267&amp;"¦"&amp;INDEX(_xlpm.nd,6)&amp;"¦"&amp;INDEX(_xlpm.nd,7),"")))</f>
        <v/>
      </c>
      <c r="HR267" t="str">
        <f t="shared" si="598"/>
        <v/>
      </c>
      <c r="HS267" t="str">
        <f t="shared" si="599"/>
        <v/>
      </c>
      <c r="HT267" t="str">
        <f t="shared" si="600"/>
        <v>QFD43 → XT43</v>
      </c>
      <c r="HU267">
        <f t="shared" si="601"/>
        <v>0</v>
      </c>
      <c r="HV267">
        <f t="shared" si="602"/>
        <v>1</v>
      </c>
      <c r="HW267" t="str">
        <f t="shared" si="603"/>
        <v/>
      </c>
      <c r="HX267" t="str">
        <f t="shared" si="604"/>
        <v/>
      </c>
      <c r="HY267" t="str">
        <f t="shared" si="605"/>
        <v/>
      </c>
      <c r="HZ267" t="str">
        <f t="shared" si="606"/>
        <v/>
      </c>
      <c r="IA267" t="str">
        <f>IF(B267="","",IFERROR(VLOOKUP(B267,УГО_спр,2,FALSE),IFERROR(VLOOKUP(AX267,УГО_спр,2,FALSE),IFERROR(VLOOKUP(LEFT(AX267,2),УГО_спр,2,FALSE),""))))</f>
        <v>Розетка</v>
      </c>
      <c r="IB267" t="str">
        <f>IF(B267="","",IF(OR(IA267="",IA267=0),"BOX",IFERROR(IF(VLOOKUP(IA267,УГО_блоки,3,FALSE)&amp;""&lt;&gt;"",VLOOKUP(IA267,УГО_блоки,3,FALSE),VLOOKUP(IA267,УГО_блоки,2,FALSE)),IA267)))</f>
        <v>SOCKET</v>
      </c>
      <c r="IC267">
        <f t="shared" si="607"/>
        <v>1</v>
      </c>
      <c r="ID267" t="str">
        <f>IF(DA267="","",IF(COUNTIF(DA$3:DA267,DA267)=1,MAX(ID$2:ID266)+1,""))</f>
        <v/>
      </c>
      <c r="IE267" t="str">
        <f>IF(CO267="","",IF(COUNTIF(CO$3:CO267,CO267)+COUNTIF(CP$2:CP266,CO267)+COUNTIF(CQ$2:CQ266,CO267)=1,MAX(IE$2:IG266)+1,""))</f>
        <v/>
      </c>
      <c r="IF267" t="str">
        <f>IF(CP267="","",IF(COUNTIF(CO$3:CO267,CP267)+COUNTIF(CP$3:CP267,CP267)+COUNTIF(CQ$2:CQ266,CP267)=1,MAX(IE$2:IG266,IE267)+1,""))</f>
        <v/>
      </c>
      <c r="IG267" t="str">
        <f>IF(CQ267="","",IF(COUNTIF(CO$3:CO267,CQ267)+COUNTIF(CP$3:CP267,CQ267)+COUNTIF(CQ$3:CQ267,CQ267)=1,MAX(IE$2:IG266,IE267,IF267)+1,""))</f>
        <v/>
      </c>
      <c r="IH267" t="str">
        <f t="shared" si="608"/>
        <v>3х2,5</v>
      </c>
      <c r="II267" t="str">
        <f>IF(IH267="","",IF(COUNTIF(IH$3:IH267,IH267)=1,MAX(II$2:II266)+1,""))</f>
        <v/>
      </c>
      <c r="IJ267" t="str">
        <f>IF(GL267="","",COUNTIF(GL$3:GL267,"?*"))</f>
        <v/>
      </c>
      <c r="IK267" t="str">
        <f>IF(OR(GL267="",GN267=""),"",IF(COUNTIFS(GL$3:GL267,"?*",GN$3:GN267,GN267)=1,MAX(IK$2:IK266)+1,""))</f>
        <v/>
      </c>
      <c r="IL267">
        <f t="shared" si="609"/>
        <v>0</v>
      </c>
      <c r="IM267">
        <f>IF(B267="","",COUNTIF(B$3:B267,"?*"))</f>
        <v>265</v>
      </c>
      <c r="IN267">
        <f>IF(GQ267&lt;&gt;1,0,_xlfn.LET(_xlpm.k,MAX(IFERROR(--VLOOKUP(B267,УГО_спр,5,FALSE),0),IFERROR(--VLOOKUP(AX267,УГО_спр,5,FALSE),0),IFERROR(--VLOOKUP(LEFT(AX267,2),УГО_спр,5,FALSE),0)),IF(_xlpm.k&gt;0,_xlpm.k,IF(IFERROR(--LEFT(SUBSTITUTE(IH267,"x","х"),FIND("х",SUBSTITUTE(IH267,"x","х"))-1),3)&gt;3,Каталог!$S$9,1))))</f>
        <v>1</v>
      </c>
      <c r="IO267">
        <f t="shared" si="610"/>
        <v>0</v>
      </c>
      <c r="IP267" t="str">
        <f t="shared" si="611"/>
        <v>авто</v>
      </c>
      <c r="IQ267">
        <f t="shared" si="612"/>
        <v>30</v>
      </c>
      <c r="IR267">
        <f t="shared" si="613"/>
        <v>1</v>
      </c>
      <c r="IS267">
        <f t="shared" si="614"/>
        <v>1</v>
      </c>
    </row>
    <row r="268" spans="1:253" x14ac:dyDescent="0.3">
      <c r="A268" t="s">
        <v>759</v>
      </c>
      <c r="B268" t="s">
        <v>1533</v>
      </c>
      <c r="C268" t="s">
        <v>1673</v>
      </c>
      <c r="D268">
        <v>1</v>
      </c>
      <c r="E268">
        <v>2</v>
      </c>
      <c r="G268" t="str">
        <f>Линии[[#This Row],[_авто автомат]]</f>
        <v>2P С16А 30мА</v>
      </c>
      <c r="H268">
        <f>Линии[[#This Row],[_авто утечка]]</f>
        <v>30</v>
      </c>
      <c r="I268" t="str">
        <f>Линии[[#This Row],[_авто управление]]</f>
        <v/>
      </c>
      <c r="J268" t="str">
        <f>Линии[[#This Row],[_авто аппараты]]</f>
        <v/>
      </c>
      <c r="K268">
        <v>2.5</v>
      </c>
      <c r="L268">
        <v>39</v>
      </c>
      <c r="M268" t="str">
        <f>Линии[[#This Row],[_авто фаза]]</f>
        <v>L3</v>
      </c>
      <c r="N268" t="str">
        <f>Линии[[#This Row],[_авто клемма]]</f>
        <v>XT44</v>
      </c>
      <c r="O268" t="str">
        <f t="shared" si="492"/>
        <v>потери 4,0 % &gt; 4 %</v>
      </c>
      <c r="P268" s="6" cm="1">
        <f t="array" ref="P268">IF(B268="","",IF(BC268&lt;&gt;"",IFERROR(_xlfn.XLOOKUP(BC268,Щиты[Щит],Щиты[Iр, А]),""),IF(BK268=1,IFERROR(_xlfn.XLOOKUP(A268,Щиты[Щит],Щиты[Iр, А]),""),IFERROR(_xlfn.IFS(BR268=1,BN268/((Uн_лин/SQRT(3))*BY268),BR268=3,BN268/(SQRT(3)*Uн_лин*BY268)),""))))</f>
        <v>9.1160568819414589</v>
      </c>
      <c r="Q268" s="7">
        <f>IF(B268="","",IFERROR(IF(VLOOKUP(AX268,Потребители_обозначение,4,FALSE)=1,VLOOKUP(AX268,Потребители_обозначение,3,FALSE)*(D268*2-1)+DS268+VLOOKUP(AZ268,Этаж_обозначение,3,FALSE)+VLOOKUP(AZ268,Этаж_обозначение,4,FALSE),VLOOKUP(AX268,Потребители_обозначение,3,FALSE)*(D268*2-1)+DS268),DS268))</f>
        <v>42</v>
      </c>
      <c r="R268" s="6">
        <f t="shared" si="493"/>
        <v>4.0399999999999991</v>
      </c>
      <c r="S268" t="str">
        <f t="shared" si="494"/>
        <v>ВВГнг(А)-LS (3х2,5)</v>
      </c>
      <c r="T268" t="str">
        <f>IF(BH268="","",IF(BI268="вводной узел","узел ","")&amp;"л."&amp;(INT((BH268-1)/Столбцов_на_лист)+1)&amp;" / "&amp;(MOD(BH268-1,Столбцов_на_лист)+1))</f>
        <v>л.4 / 16</v>
      </c>
      <c r="V268">
        <v>1</v>
      </c>
      <c r="W268">
        <v>230</v>
      </c>
      <c r="X268" t="s">
        <v>564</v>
      </c>
      <c r="AC268" t="s">
        <v>815</v>
      </c>
      <c r="AE268" t="s">
        <v>563</v>
      </c>
      <c r="AI268">
        <v>67</v>
      </c>
      <c r="AJ268" t="s">
        <v>11</v>
      </c>
      <c r="AK268">
        <v>3</v>
      </c>
      <c r="AM268">
        <v>20</v>
      </c>
      <c r="AN268">
        <v>22</v>
      </c>
      <c r="AO268">
        <v>0</v>
      </c>
      <c r="AW268" cm="1">
        <f t="array" ref="AW268">ROW()-ROW(Линии[#Headers])</f>
        <v>266</v>
      </c>
      <c r="AX268" s="6" t="str">
        <f t="shared" si="495"/>
        <v>R</v>
      </c>
      <c r="AY268" t="str">
        <f t="shared" si="496"/>
        <v>1.021A.10</v>
      </c>
      <c r="AZ268" t="str">
        <f t="shared" si="497"/>
        <v>1</v>
      </c>
      <c r="BA268" t="str">
        <f t="shared" si="498"/>
        <v>021A.10</v>
      </c>
      <c r="BB268" t="str">
        <f t="shared" si="499"/>
        <v>021A</v>
      </c>
      <c r="BC268" t="str">
        <f>IF(U268&lt;&gt;"",U268,IF(AND(B268&lt;&gt;"",B268&lt;&gt;A268,ISNUMBER(_xlfn.XMATCH(B268,Щиты[Щит]))),B268,""))</f>
        <v/>
      </c>
      <c r="BD268" t="str" cm="1">
        <f t="array" ref="BD268">IF(B268="","",IF(BC268&lt;&gt;"","Щит "&amp;BC268,_xlfn.LET(_xlpm.nm,IFERROR(_xlfn.XLOOKUP(AX268,Коды_код,Коды_имя)&amp;"",""),_xlpm.md,IFERROR(N(_xlfn.XLOOKUP(AX268,Коды_код,Коды_режим)),1),_xlpm.ex,IF(Имя_режим="по экспликации",IFERROR(_xlfn.XLOOKUP(AZ268&amp;"|"&amp;BB268,Экспликация[Этаж]&amp;"|"&amp;Экспликация[Помещение],Экспликация[Название])&amp;"",""),""),_xlpm.rm,IF(BB268="","",IF(_xlpm.ex&lt;&gt;"",". "&amp;_xlpm.ex&amp;IF(Имя_пом="нет"," ("&amp;BB268&amp;")"," (пом. "&amp;BB268&amp;")"),IF(Имя_пом="нет"," ",", пом. ")&amp;BB268)),IF(_xlpm.nm="","",IF(_xlpm.md=2,_xlpm.nm&amp;" шлейф "&amp;AZ268,_xlpm.nm&amp;_xlpm.rm)))))</f>
        <v>Розеточная группа, пом. 021A</v>
      </c>
      <c r="BE268" t="str">
        <f t="shared" si="500"/>
        <v>Розеточная группа Первый этаж Пом. №021A ПММ</v>
      </c>
      <c r="BF268">
        <f>IFERROR(_xlfn.XMATCH(A268,Щиты[Щит]),0)</f>
        <v>10</v>
      </c>
      <c r="BG268">
        <f>_xlfn.LET(_xlpm.k,IFERROR(_xlfn.XLOOKUP(A268,Щиты[Щит],Щиты[Листов под вводной узел]),""),IF(_xlpm.k="",1,N(_xlpm.k))*Столбцов_на_лист)</f>
        <v>17</v>
      </c>
      <c r="BH268">
        <f t="shared" si="501"/>
        <v>67</v>
      </c>
      <c r="BI268" t="str">
        <f t="shared" si="502"/>
        <v>линии</v>
      </c>
      <c r="BJ268" s="6">
        <f>IFERROR(N(_xlfn.XLOOKUP(AX268,Коды_код,Коды_квт)),0)</f>
        <v>0</v>
      </c>
      <c r="BK268">
        <f t="shared" si="503"/>
        <v>0</v>
      </c>
      <c r="BL268" t="str">
        <f>IF(B268="","",IF(BC268&lt;&gt;"",IFERROR(_xlfn.XLOOKUP(BC268,Щиты[Щит],Щиты[Руст, кВт]),0),IF(BK268=1,IFERROR(_xlfn.XLOOKUP(A268,Щиты[Щит],Щиты[Руст, кВт]),0),IF(BJ268&gt;0,ROUND(BJ268*MAX(1,N(D268)),3),""))))</f>
        <v/>
      </c>
      <c r="BM268">
        <f t="shared" si="504"/>
        <v>2</v>
      </c>
      <c r="BN268" s="6">
        <f>IF(B268="","",IF(BC268&lt;&gt;"",IFERROR(_xlfn.XLOOKUP(BC268,Щиты[Щит],Щиты[Руст, кВт]),0),N(BM268)))</f>
        <v>2</v>
      </c>
      <c r="BO268" t="str">
        <f>IF(B268="","",IFERROR(IF(VLOOKUP(AX268,Потребители_обозначение,8,FALSE)=0,"",VLOOKUP(AX268,Потребители_обозначение,8,FALSE)),""))</f>
        <v/>
      </c>
      <c r="BP268">
        <f t="shared" si="505"/>
        <v>230</v>
      </c>
      <c r="BQ268">
        <f>IF(B268="","",IF(BC268&lt;&gt;"",3,IFERROR(IF(N(VLOOKUP(AX268,Потребители_обозначение,9,FALSE))=0,1,VLOOKUP(AX268,Потребители_обозначение,9,FALSE)),1)))</f>
        <v>1</v>
      </c>
      <c r="BR268">
        <f t="shared" si="506"/>
        <v>1</v>
      </c>
      <c r="BS268" t="str">
        <f>IF(B268="","",_xlfn.LET(_xlpm.bc,IFERROR(IF(VLOOKUP(AX268,Потребители_обозначение,6,FALSE)=0,"",VLOOKUP(AX268,Потребители_обозначение,6,FALSE)&amp;""),""),IF(AND(FK268="да",OR(_xlpm.bc="",_xlpm.bc="мс")),Марка_пож,IF(AND(_xlpm.bc="",BC268&lt;&gt;""),"мс",_xlpm.bc))))</f>
        <v/>
      </c>
      <c r="BT268" t="str">
        <f t="shared" si="507"/>
        <v>мс</v>
      </c>
      <c r="BU268">
        <f>IF(B268="","",_xlfn.LET(_xlpm.cc,IFERROR(N(VLOOKUP(AX268,Потребители_обозначение,7,FALSE)),0),IF(_xlpm.cc&gt;0,_xlpm.cc,IF(BT268="","",IF(N(BR268)=3,5,3)))))</f>
        <v>3</v>
      </c>
      <c r="BV268">
        <f t="shared" si="508"/>
        <v>3</v>
      </c>
      <c r="BW268">
        <f>IFERROR(N(VLOOKUP(AX268,Потребители_обозначение,10,FALSE)),0)</f>
        <v>0</v>
      </c>
      <c r="BX268">
        <f>IFERROR(VLOOKUP(AX268,Потребители_обозначение,5,FALSE),0)</f>
        <v>1</v>
      </c>
      <c r="BY268" s="6" cm="1">
        <f t="array" ref="BY268">IF(B268="","",IF(BC268&lt;&gt;"",IFERROR(_xlfn.XLOOKUP(BC268,Щиты[Щит],Щиты[cos φ]),0.95),IF(BK268=1,IFERROR(_xlfn.XLOOKUP(A268,Щиты[Щит],Щиты[cos φ]),0.95),IF(ISNUMBER(Z268),Z268,IFERROR(IF(BX268=2,_xlfn.IFS(BR268=3,VLOOKUP(BN268,Справочная_двигатели,8,FALSE),BR268=1,VLOOKUP(BN268,Справочная_двигатели,10,TRUE)),IF(AND(Методика="нормы 2026",EQ268="Сил"),0.8,0.95)),0.95)))))</f>
        <v>0.95</v>
      </c>
      <c r="BZ268">
        <f t="shared" si="509"/>
        <v>0</v>
      </c>
      <c r="CA268">
        <f t="shared" si="510"/>
        <v>1</v>
      </c>
      <c r="CB268">
        <f t="shared" si="511"/>
        <v>0</v>
      </c>
      <c r="CC268">
        <f t="shared" si="512"/>
        <v>0</v>
      </c>
      <c r="CD268">
        <f t="shared" si="513"/>
        <v>0</v>
      </c>
      <c r="CE268">
        <f t="shared" si="514"/>
        <v>0</v>
      </c>
      <c r="CF268">
        <f t="shared" si="515"/>
        <v>0</v>
      </c>
      <c r="CG268">
        <f>IF(AX268="",0,_xlfn.LET(_xlpm.v,IFERROR(VLOOKUP(B268,УГО_спр,3,FALSE),IFERROR(VLOOKUP(AX268,УГО_спр,3,FALSE),IFERROR(VLOOKUP(LEFT(AX268,2),УГО_спр,3,FALSE),""))),IF(_xlpm.v="да",30,IF(ISNUMBER(_xlpm.v),_xlpm.v,0))))</f>
        <v>30</v>
      </c>
      <c r="CH268">
        <f t="shared" si="516"/>
        <v>30</v>
      </c>
      <c r="CI268" t="str">
        <f>_xlfn.LET(_xlpm.k,IFERROR(_xlfn.XLOOKUP(AX268,Коды_код,Коды_утечка)&amp;"",""),IF(_xlpm.k="","дифавтомат",_xlpm.k))</f>
        <v>дифавтомат</v>
      </c>
      <c r="CJ268">
        <f t="shared" si="517"/>
        <v>30</v>
      </c>
      <c r="CK268">
        <f t="shared" si="518"/>
        <v>30</v>
      </c>
      <c r="CL268">
        <f>IF(B268="",0,IFERROR(--VLOOKUP(B268,УГО_спр,4,FALSE),IFERROR(--VLOOKUP(AX268,УГО_спр,4,FALSE),IFERROR(--VLOOKUP(LEFT(AX268,2),УГО_спр,4,FALSE),0))))</f>
        <v>16</v>
      </c>
      <c r="CM268" t="str">
        <f>IF(B268="","",IFERROR(_xlfn.XLOOKUP(AX268,Коды_код,Коды_апп)&amp;"",""))</f>
        <v/>
      </c>
      <c r="CN268" t="str">
        <f t="shared" si="519"/>
        <v/>
      </c>
      <c r="CO268" t="str" cm="1">
        <f t="array" ref="CO268">IF(TRIM(CN268&amp;"")="","",IFERROR(TRIM(INDEX(_xlfn.TEXTSPLIT(CN268&amp;";;;",";"),1)),""))</f>
        <v/>
      </c>
      <c r="CP268" t="str" cm="1">
        <f t="array" ref="CP268">IF(TRIM(CN268&amp;"")="","",IFERROR(TRIM(INDEX(_xlfn.TEXTSPLIT(CN268&amp;";;;",";"),2)),""))</f>
        <v/>
      </c>
      <c r="CQ268" t="str" cm="1">
        <f t="array" ref="CQ268">IF(TRIM(CN268&amp;"")="","",IFERROR(TRIM(INDEX(_xlfn.TEXTSPLIT(CN268&amp;";;;",";"),3)),""))</f>
        <v/>
      </c>
      <c r="CR268">
        <f t="shared" si="520"/>
        <v>0</v>
      </c>
      <c r="CS268" t="str">
        <f>IF(B268="","",_xlfn.LET(_xlpm.t,LOWER(AV268&amp;""),IF(ISNUMBER(SEARCH("dim",_xlpm.t)),"DIM",IF(ISNUMBER(SEARCH("dali",_xlpm.t)),"DALI",IF(OR(ISNUMBER(SEARCH("relay",_xlpm.t)),ISNUMBER(SEARCH("реле",_xlpm.t))),"Relay",IF(ISNUMBER(SEARCH("кнопк",_xlpm.t)),"",IFERROR(_xlfn.XLOOKUP(AX268,Коды_код,Коды_упр)&amp;"","")))))))</f>
        <v/>
      </c>
      <c r="CT268" t="str">
        <f t="shared" si="521"/>
        <v/>
      </c>
      <c r="CU268">
        <f>IF(B268="","",_xlfn.LET(_xlpm.ig,N(P268)+IF(AF268="вручную",0,N(CB268)),_xlpm.n0,IFERROR(VLOOKUP(_xlpm.ig,Автомат_номиналы,2,TRUE),0),_xlpm.mn,MAX(CL268,IF(AF268="вручную",0,N(CE268))),MAX(_xlpm.n0,_xlpm.mn,IF(CR268=1,Мин_автомат_БП,0))))</f>
        <v>16</v>
      </c>
      <c r="CV268">
        <f t="shared" si="522"/>
        <v>1</v>
      </c>
      <c r="CW268" t="str">
        <f t="shared" si="523"/>
        <v>2P</v>
      </c>
      <c r="CX268" t="str">
        <f>_xlfn.LET(_xlpm.cc,UPPER(TRIM(IFERROR(_xlfn.XLOOKUP(AX268,Коды_код,Коды_хар)&amp;"",""))),IF(OR(_xlpm.cc="B",_xlpm.cc="В"),"B",IF(_xlpm.cc="D","D","С")))</f>
        <v>С</v>
      </c>
      <c r="CY268" t="str">
        <f t="shared" si="524"/>
        <v>2P С16А 30мА</v>
      </c>
      <c r="CZ268" t="str">
        <f t="shared" si="525"/>
        <v>2P С16А 30мА</v>
      </c>
      <c r="DA268" t="str">
        <f t="shared" si="526"/>
        <v>2P С16А 30мА</v>
      </c>
      <c r="DB268" cm="1">
        <f t="array" ref="DB268">IF(DA268="","",_xlfn.LET(_xlpm.t,SUBSTITUTE(SUBSTITUTE(SUBSTITUTE(UPPER(DA268),"С","C"),"А","A"),"В","B"),_xlpm.tk,_xlfn.TEXTSPLIT(_xlpm.t,"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8" t="str">
        <f t="shared" si="527"/>
        <v>ok</v>
      </c>
      <c r="DD268">
        <f t="shared" si="528"/>
        <v>16</v>
      </c>
      <c r="DE268" t="str">
        <f t="shared" si="529"/>
        <v>2P С16А 30мА</v>
      </c>
      <c r="DF268">
        <f t="shared" si="530"/>
        <v>30</v>
      </c>
      <c r="DG268">
        <f t="shared" si="531"/>
        <v>1</v>
      </c>
      <c r="DH268">
        <f t="shared" si="532"/>
        <v>0</v>
      </c>
      <c r="DI268">
        <f t="shared" si="533"/>
        <v>9.1160568819414589</v>
      </c>
      <c r="DJ268">
        <f t="shared" si="534"/>
        <v>1</v>
      </c>
      <c r="DK268">
        <f>IF(ISNUMBER(AL268),AL268,К_прокл)</f>
        <v>1</v>
      </c>
      <c r="DL268">
        <f t="shared" si="535"/>
        <v>2</v>
      </c>
      <c r="DM268">
        <f>IFERROR(N(VLOOKUP(BT268,Кабель_обозначение,3,FALSE)),1)</f>
        <v>1</v>
      </c>
      <c r="DN268">
        <f>IFERROR(N(_xlfn.XLOOKUP(A268,Щиты[Щит],Щиты[ΔU до шин, %])),0)</f>
        <v>1.19</v>
      </c>
      <c r="DO268" t="str">
        <f>IFERROR(_xlfn.XLOOKUP(A268,Щиты[Щит],Щиты[Zпетли на шинах, Ом]),"")</f>
        <v/>
      </c>
      <c r="DP268">
        <f>IFERROR(N(_xlfn.XLOOKUP(A268,Щиты[Щит],Щиты[ΔU до шин (подбор), %])),0)</f>
        <v>1.19</v>
      </c>
      <c r="DQ268" t="str">
        <f>IFERROR(_xlfn.XLOOKUP(A268,Щиты[Щит],Щиты[Zпетли на шинах (подбор), Ом]),"")</f>
        <v/>
      </c>
      <c r="DR268" t="str">
        <f t="shared" si="536"/>
        <v/>
      </c>
      <c r="DS268">
        <f t="shared" si="537"/>
        <v>39</v>
      </c>
      <c r="DT268">
        <f t="shared" si="538"/>
        <v>2</v>
      </c>
      <c r="DU268">
        <f t="shared" si="539"/>
        <v>0.31</v>
      </c>
      <c r="DV268" s="6">
        <f>IF(B268="","",IF(IFERROR(VLOOKUP(AX268,УГО_спр,2,FALSE),"")="Светильник",3,4)+IF(Методика="нормы 2026",MIN(0.5,MAX(0,N(Q268)-100)*0.005),0))</f>
        <v>4</v>
      </c>
      <c r="DW268" cm="1">
        <f t="array" ref="DW268">IF(OR(B268="",BT268="",DM268&lt;&gt;1),"",_xlfn.LET(_xlpm.sz,Iдоп_S,_xlpm.t_,CHOOSE(DL268,Iдоп_1ж,Iдоп_2ж,Iдоп_3ж)*DJ268*DK268,_xlpm.inn,N(DD268),_xlpm.smin,MAX(1.5,BW268),_xlpm.L_,N(Q268)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268)*(_xlpm.rho*_xlpm.L_/_xlpm.sz*N(BY268)+_xlpm.xx*_xlpm.L_*N(DU268)/1000)*N(P268)/((Uн_лин/SQRT(3))*1000)*100,999),_xlpm.kz,IF(OR(DG268=1,NOT(ISNUMBER(DQ268)),_xlpm.L_=0,_xlpm.inn=0),1,IFERROR(--(c_min*(Uн_лин*1000/SQRT(3))/(DQ268+2*ρкз_Cu*_xlpm.L_/_xlpm.sz)&gt;=GY268*_xlpm.inn),0)),_xlpm.ok,IFERROR((_xlpm.sz&gt;=_xlpm.smin)*(_xlpm.t_&gt;=_xlpm.inn)*IF(_xlpm.L_&gt;0,(_xlpm.du_+DP268&lt;=DV268+0.00001),1)*_xlpm.kz,0),_xlpm.r_,_xlfn._xlws.FILTER(_xlpm.sz,_xlpm.ok,"не подобрано"),INDEX(_xlpm.r_,1)))</f>
        <v>4</v>
      </c>
      <c r="DX268">
        <f t="shared" si="540"/>
        <v>2.5</v>
      </c>
      <c r="DY268" cm="1">
        <f t="array" ref="DY268">IF(OR(B268="",BT268="",DM268&lt;&gt;1),"",_xlfn.LET(_xlpm.sz,Iдоп_S,_xlpm.t_,CHOOSE(DL268,Iдоп_1ж,Iдоп_2ж,Iдоп_3ж)*DJ268*DK268,_xlpm.ok,IFERROR((_xlpm.sz&gt;=MAX(1.5,BW268))*(_xlpm.t_&gt;=N(DD268)),0),_xlpm.r_,_xlfn._xlws.FILTER(_xlpm.sz,_xlpm.ok,""),INDEX(_xlpm.r_,1)))</f>
        <v>1.5</v>
      </c>
      <c r="DZ268" s="6" cm="1">
        <f t="array" ref="DZ268">IFERROR(ROUNDUP(N(DT268)*(_xlfn.XLOOKUP(DY268,INDEX(Кабель_сопротивление,0,1),INDEX(Кабель_сопротивление,0,3))*N(Q268)/DY268*N(BY268)+_xlfn.XLOOKUP(DY268,INDEX(Кабель_сопротивление,0,1),INDEX(Кабель_сопротивление,0,2))*N(Q268)*N(DU268)/1000)*N(P268)/((Uн_лин/SQRT(3))*1000)*100,2),"")</f>
        <v>4.74</v>
      </c>
      <c r="EA268">
        <f>IFERROR(2*ρкз_Cu*N(Q268)/DY268,"")</f>
        <v>1.4728000000000001</v>
      </c>
      <c r="EB268">
        <f>IFERROR(VLOOKUP(DX268,Кабель_сопротивление,3,FALSE),"")</f>
        <v>2.2499999999999999E-2</v>
      </c>
      <c r="EC268">
        <f>IFERROR(VLOOKUP(DX268,Кабель_сопротивление,2,FALSE),"")</f>
        <v>0.1</v>
      </c>
      <c r="ED268">
        <f t="shared" si="541"/>
        <v>22</v>
      </c>
      <c r="EE268">
        <f t="shared" si="542"/>
        <v>0</v>
      </c>
      <c r="EF268">
        <f t="shared" si="543"/>
        <v>6.5708902647309317</v>
      </c>
      <c r="EG268" s="6">
        <f>IFERROR(ROUNDUP(EF268/((Uн_лин/SQRT(3))*1000)*100,2),"")</f>
        <v>2.8499999999999996</v>
      </c>
      <c r="EH268" t="str">
        <f>IFERROR(VLOOKUP(BT268,Кабель_обозначение,2,FALSE),"")</f>
        <v>ВВГнг(А)-LS</v>
      </c>
      <c r="EI268" t="str">
        <f t="shared" si="544"/>
        <v>ВВГнг(А)-LS (3х2,5)</v>
      </c>
      <c r="EJ268" t="str">
        <f t="shared" si="545"/>
        <v>ВВГнг(А)-LS (3х2,5)
L=42-2,85%</v>
      </c>
      <c r="EK268">
        <f>IFERROR(2*ρкз_Cu*Q268/DX268,"")</f>
        <v>0.88368000000000002</v>
      </c>
      <c r="EL268">
        <f t="shared" si="546"/>
        <v>0.29400000000000004</v>
      </c>
      <c r="EM268" s="6" t="str">
        <f>IFERROR(IF(OR(B268="",NOT(ISNUMBER(DX268)),N(Q268)=0),"",_xlfn.XLOOKUP(A268,Щиты[Щит],Щиты[Zпетли на шинах, Ом])+EK268),"")</f>
        <v/>
      </c>
      <c r="EN268" s="6" t="str">
        <f>IF(ISNUMBER(EM268),c_min*(Uн_лин*1000/SQRT(3))/EM268,"")</f>
        <v/>
      </c>
      <c r="EO268" s="6" t="str">
        <f>IFERROR(IF(OR(B268="",NOT(ISNUMBER(DX268))),"",1.05*(Uн_лин*1000/SQRT(3))/(_xlfn.XLOOKUP(A268,Щиты[Щит],Щиты[Zmax на шинах, Ом])+EL268)/1000),"")</f>
        <v/>
      </c>
      <c r="EP268" s="6" t="str">
        <f>IF(B268="","",IF(ISNUMBER(Y268),"Сил",IF(IFERROR(_xlfn.XLOOKUP(AX268,Коды_код,Коды_группа)&amp;"","")="","Быт",_xlfn.XLOOKUP(AX268,Коды_код,Коды_группа)&amp;"")))</f>
        <v>Быт</v>
      </c>
      <c r="EQ268" s="6" t="str">
        <f t="shared" si="547"/>
        <v>Быт</v>
      </c>
      <c r="ER268" s="6">
        <f>IF(EQ268="Щит","щит",IF(EQ268="","",IF(EQ268="Быт",IFERROR(_xlfn.XLOOKUP(A268,Щиты[Щит],Щиты[Кс быт]),1),IF(EQ268="Сил",IF(ISNUMBER(Y268),Y268,IF(Методика="нормы 2026",IFERROR(_xlfn.XLOOKUP(A268,Щиты[Щит],Щиты[Кс силовых (табл. 7.5)]),1),1)),IF(OR(EQ268="Пост",EQ268="Отоп"),1,IF(EQ268="ВНГ",0.7,0))))))</f>
        <v>0.57830000000000004</v>
      </c>
      <c r="ES268">
        <f t="shared" si="548"/>
        <v>1</v>
      </c>
      <c r="ET268">
        <f t="shared" si="549"/>
        <v>2</v>
      </c>
      <c r="EU268">
        <f t="shared" si="550"/>
        <v>2</v>
      </c>
      <c r="EV268">
        <f t="shared" si="551"/>
        <v>0</v>
      </c>
      <c r="EW268">
        <f t="shared" si="552"/>
        <v>0</v>
      </c>
      <c r="EX268">
        <f t="shared" si="553"/>
        <v>0</v>
      </c>
      <c r="EY268">
        <f t="shared" si="554"/>
        <v>0</v>
      </c>
      <c r="EZ268">
        <f t="shared" si="555"/>
        <v>2</v>
      </c>
      <c r="FA268">
        <f t="shared" si="556"/>
        <v>1.9</v>
      </c>
      <c r="FB268">
        <f t="shared" si="557"/>
        <v>2</v>
      </c>
      <c r="FC268" t="str">
        <f t="shared" si="558"/>
        <v/>
      </c>
      <c r="FD268" t="str">
        <f>IF(B268="","",IF(CA268=0,IF(AW268=1,"",FF267),IF(OR(N(CV268)&gt;=3,N(BR268)&gt;=3),"L1,L2,L3",IFERROR(_xlfn.TEXTBEFORE(_xlfn.TEXTAFTER(_xlfn.XLOOKUP(A268,Щиты[Щит],Щиты[_фазы авто]),";"&amp;AW268&amp;":"),";"),"L1"))))</f>
        <v>L3</v>
      </c>
      <c r="FE268" t="str">
        <f t="shared" si="559"/>
        <v>L3</v>
      </c>
      <c r="FF268" t="str">
        <f t="shared" si="560"/>
        <v>L3</v>
      </c>
      <c r="FG268" cm="1">
        <f t="array" ref="FG268">IFERROR(IF(BX268=2,_xlfn.IFS(BR268=3,VLOOKUP(BN268,Справочная_двигатели,3,FALSE),BR268=1,VLOOKUP(BN268,Справочная_двигатели,5,TRUE)),0),0)</f>
        <v>0</v>
      </c>
      <c r="FH268">
        <f>IFERROR(IF(BX268=3,VLOOKUP(BN268,Справочная_ЛЭД,2,TRUE),0),0)</f>
        <v>0</v>
      </c>
      <c r="FI268" s="6">
        <f t="shared" si="561"/>
        <v>0</v>
      </c>
      <c r="FJ268" t="str" cm="1">
        <f t="array" ref="FJ268">IF(B268="","",IFERROR(INDEX({"I особая","I","II","III"},MATCH(TRIM(AC268&amp;""),{"I особая","I","II","III"},0)),"III"))</f>
        <v>II</v>
      </c>
      <c r="FK268" t="str">
        <f>IF(B268="","",IF(TRIM(AD268&amp;"")&lt;&gt;"",IF(LOWER(TRIM(AD268&amp;""))="да","да","нет"),IF(IFERROR(_xlfn.XLOOKUP(AX268,Коды_код,Коды_пожарная),"")="да","да","нет")))</f>
        <v>нет</v>
      </c>
      <c r="FL268" t="str">
        <f t="shared" si="562"/>
        <v/>
      </c>
      <c r="FM268" t="str">
        <f t="shared" si="563"/>
        <v>основная</v>
      </c>
      <c r="FN268">
        <f t="shared" si="564"/>
        <v>1</v>
      </c>
      <c r="FO268" t="str" cm="1">
        <f t="array" ref="FO268">IF(B268="","",_xlfn.LET(_xlpm.t,IFERROR(_xlfn.XLOOKUP(1,(Шины[Шина]=FM268)*(((Шины[Щит]=A268)+(Шины[Щит]=""))&gt;0),Шины[Тип]),"")&amp;"",IF(_xlpm.t&lt;&gt;"",_xlpm.t,IF(ISNUMBER(SEARCH("ИБП",FM268)),"ИБП",IF(ISNUMBER(SEARCH("ДГУ",FM268)),"ДГУ","Ввод "&amp;FN268)))))</f>
        <v>Ввод 1</v>
      </c>
      <c r="FP268" t="str">
        <f t="shared" si="565"/>
        <v>Ввод 1</v>
      </c>
      <c r="FQ268" t="str">
        <f>IF(B268="","",IF(OR(FO268="ИБП",FO268="ДГУ"),"I особая",IF(FO268="Одиночная","III",_xlfn.XLOOKUP(A268,Щиты[Щит],Щиты[Категория шины «Ввод»],"III"))))</f>
        <v>II</v>
      </c>
      <c r="FR268">
        <f>IF(B268="",0,IFERROR(MATCH(FJ268,{"III","II","I","I особая"},0),1))</f>
        <v>2</v>
      </c>
      <c r="FS268">
        <f t="shared" si="566"/>
        <v>2</v>
      </c>
      <c r="FT268" t="str">
        <f>IF(B268="","",IF(FR268&gt;IFERROR(MATCH(FQ268,{"III","II","I","I особая"},0),1),"НЕ ОБЕСПЕЧЕНА","ОК"))</f>
        <v>ОК</v>
      </c>
      <c r="FU268" t="str">
        <f>IF(A268="","",_xlfn.XLOOKUP(A268,Щиты[Щит],Щиты[Путь],""))</f>
        <v>|ГРЩ-ЖД|ЩР-1|</v>
      </c>
      <c r="FV268" t="str">
        <f>IF(B268="","",IF(AE268&lt;&gt;"",AE268,IF(IFERROR(_xlfn.XLOOKUP(AX268,Коды_код,Коды_вид)&amp;"","")="","Прочее",_xlfn.XLOOKUP(AX268,Коды_код,Коды_вид)&amp;"")))</f>
        <v>Розеточная сеть и бытовые приборы</v>
      </c>
      <c r="FW268">
        <f>IF(BH268="","",INT((BH268-1)/Столбцов_на_лист)+1)</f>
        <v>4</v>
      </c>
      <c r="FX268" t="str">
        <f t="shared" si="567"/>
        <v>ВВГнг(А)-LS (3х2,5) L=42-2,85%</v>
      </c>
      <c r="FY268">
        <f t="shared" si="568"/>
        <v>2</v>
      </c>
      <c r="FZ268">
        <f t="shared" si="569"/>
        <v>9.1199999999999992</v>
      </c>
      <c r="GA268">
        <f t="shared" si="570"/>
        <v>1</v>
      </c>
      <c r="GB268">
        <f t="shared" si="571"/>
        <v>0</v>
      </c>
      <c r="GC268">
        <f t="shared" si="572"/>
        <v>1</v>
      </c>
      <c r="GD268">
        <f>IF(BH268="","",IF(AND(CA268=1,GC268=1),COUNTIFS(A$3:A268,A268,CA$3:CA268,1,GC$3:GC268,1),IF(OR(OR(AW268=1,A268&lt;&gt;A267),AF268="вручную",GC268=0),"",IF(AW268=1,"",GE267))))</f>
        <v>44</v>
      </c>
      <c r="GE268">
        <f t="shared" si="573"/>
        <v>44</v>
      </c>
      <c r="GF268">
        <f>IF(B268="","",IFERROR(LOOKUP(INDEX(CHOOSE(DL268,Iдоп_1ж,Iдоп_2ж,Iдоп_3ж),MATCH(DX268,Iдоп_S,0))*DJ268*DK268,{6,10,16,20,25,32,40,50,63,80,100,125,160,200,250,315,400,500,630}),""))</f>
        <v>25</v>
      </c>
      <c r="GG268" t="str">
        <f t="shared" si="574"/>
        <v>QFD44</v>
      </c>
      <c r="GH268" t="str">
        <f t="shared" si="575"/>
        <v>QFD44</v>
      </c>
      <c r="GI268" t="str">
        <f t="shared" si="576"/>
        <v/>
      </c>
      <c r="GJ268">
        <f t="shared" si="577"/>
        <v>0</v>
      </c>
      <c r="GK268" t="str">
        <f>IF(OR(AG268="",AG268="-"),"",IFERROR(VLOOKUP(AG268,Модули_спр,2,FALSE),"R"))</f>
        <v/>
      </c>
      <c r="GL268" t="str">
        <f>IF(GK268="","",GK268&amp;"."&amp;COUNTIFS(A$3:A268,A268,GK$3:GK268,GK268))</f>
        <v/>
      </c>
      <c r="GM268" t="str">
        <f t="shared" si="578"/>
        <v/>
      </c>
      <c r="GN268" t="str">
        <f t="shared" si="579"/>
        <v/>
      </c>
      <c r="GO268" t="str">
        <f t="shared" si="580"/>
        <v/>
      </c>
      <c r="GP268" t="str">
        <f t="shared" si="581"/>
        <v/>
      </c>
      <c r="GQ268">
        <f t="shared" si="582"/>
        <v>1</v>
      </c>
      <c r="GR268" t="str">
        <f>IF(GQ268=1,"XT"&amp;COUNTIFS(A$3:A268,A268,GQ$3:GQ268,1),"")</f>
        <v>XT44</v>
      </c>
      <c r="GS268" t="str">
        <f t="shared" si="583"/>
        <v>XT44</v>
      </c>
      <c r="GT268" t="str">
        <f t="shared" si="584"/>
        <v>QFD44</v>
      </c>
      <c r="GU268" t="str">
        <f t="shared" si="585"/>
        <v/>
      </c>
      <c r="GV268" t="str">
        <f t="shared" si="586"/>
        <v>ok</v>
      </c>
      <c r="GW268" t="str">
        <f>IF(OR(GO268="",GM268=""),"",IF(GO268&gt;IFERROR(VLOOKUP(GN268,Модули_спр,3,FALSE),99),"ЛИШНИЙ КАНАЛ",IF(AND(AH268&lt;&gt;"=",COUNTIFS(Линии[_модуль гр.],GM268,Линии[Канал (итог)],GO268,Линии[Канал],"&lt;&gt;=",Линии[Щит],A268)&gt;1),"ДУБЛЬ КАНАЛА","")))</f>
        <v/>
      </c>
      <c r="GX268" s="6" t="str">
        <f t="shared" si="587"/>
        <v/>
      </c>
      <c r="GY268">
        <f t="shared" si="588"/>
        <v>10</v>
      </c>
      <c r="GZ268" t="str">
        <f t="shared" si="589"/>
        <v/>
      </c>
      <c r="HA268" t="str">
        <f>IF(AND(B268="",GT268=""),"",_xlfn.TEXTJOIN("; ",TRUE,IF(AND(B268&lt;&gt;"",FE268=""),"нет фазы",""),IF(AND(B268&lt;&gt;"",N(FY268)=0,EQ268&lt;&gt;"Нет"),"нет мощности",""),IF(AND(GS268&lt;&gt;"",COUNTIFS(Линии[Щит],A268,Линии[Клемма (итог)],GS268)&gt;1),"дубль клеммы "&amp;GS268,""),IF(AND(GV268&lt;&gt;"",GV268&lt;&gt;"ok"),GV268,""),IF(GW268&lt;&gt;"",GW268,""),IF(AND(N(BV268)&gt;=4,N(BR268)=1),BV268&amp;" жил на 1 фазе",""),IF(AND(AX268="R",CA268=1,OR(N(CK268)=0,N(CK268)&gt;30)),"розетка без дифзащиты до 30 мА",""),IFERROR(IF(AND(ISNUMBER(R268),R268&gt;DV268),"потери "&amp;FIXED(R268,1)&amp;" % &gt; "&amp;DV268&amp;" %",""),""),IFERROR(IF(LEFT(GZ268,4)="мало","Iкз мало — отключение &gt; 0,4 с",""),""),IF(AND(B268&lt;&gt;"",BH268=""),"не на схеме",""),IF(AND(CA268=0,B268&lt;&gt;"",FE268&lt;&gt;"",IF(AW268=1,"",FF267)&lt;&gt;"",FE268&lt;&gt;IF(AW268=1,"",FF267)),"фаза не как у автомата группы ("&amp;IF(AW268=1,"",FF267)&amp;")","")))</f>
        <v>потери 4,0 % &gt; 4 %</v>
      </c>
      <c r="HB268" s="6">
        <f>IF(OR(CA268=0,DA268=""),"",_xlfn.LET(_xlpm.t,IFERROR(_xlfn.XLOOKUP(DA268,Каталог!$U$4:$U$500,Каталог!$G$4:$G$500),""),_xlpm.k,SEARCH("кА",_xlpm.t),IFERROR(--TRIM(RIGHT(SUBSTITUTE(MID(_xlpm.t,MAX(1,_xlpm.k-4),_xlpm.k-MAX(1,_xlpm.k-4))," ",REPT(" ",9)),5)),"")))</f>
        <v>6</v>
      </c>
      <c r="HC268" t="str">
        <f>IF(OR(HB268="",CA268=0),"",IF(_xlfn.XLOOKUP(A268,Щиты[Щит],Щиты[Iкз max на шинах, кА],"")="","",IF(HB268&lt;_xlfn.XLOOKUP(A268,Щиты[Щит],Щиты[Iкз max на шинах, кА]),"Icu "&amp;HB268&amp;" кА &lt; Iкз max","ok")))</f>
        <v/>
      </c>
      <c r="HD268" t="str">
        <f t="shared" si="590"/>
        <v/>
      </c>
      <c r="HE268" t="str">
        <f t="shared" si="591"/>
        <v>QFD44|XT44</v>
      </c>
      <c r="HF268" t="str">
        <f t="shared" si="592"/>
        <v>QFD44|XT44|кабель ВВГнг(А)-LS (3х2,5) → Розеточная группа Первый этаж Пом. №021A ПММ</v>
      </c>
      <c r="HG268" t="str" cm="1">
        <f t="array" ref="HG268">IF(HF268="","",_xlfn.LET(_xlpm.nd,_xlfn.TEXTSPLIT(HF268,"|"),IF(COLUMNS(_xlpm.nd)&gt;1,A268&amp;"¦"&amp;INDEX(_xlpm.nd,1)&amp;"¦"&amp;INDEX(_xlpm.nd,2),"")))</f>
        <v>ЩР-1¦QFD44¦XT44</v>
      </c>
      <c r="HH268" t="str">
        <f t="shared" si="593"/>
        <v>R.1.021A.10¦Розеточная группа Первый этаж Пом. №021A ПММ</v>
      </c>
      <c r="HI268" t="str" cm="1">
        <f t="array" ref="HI268">IF(HF268="","",_xlfn.LET(_xlpm.nd,_xlfn.TEXTSPLIT(HF268,"|"),IF(COLUMNS(_xlpm.nd)&gt;2,A268&amp;"¦"&amp;INDEX(_xlpm.nd,2)&amp;"¦"&amp;INDEX(_xlpm.nd,3),"")))</f>
        <v>ЩР-1¦XT44¦кабель ВВГнг(А)-LS (3х2,5) → Розеточная группа Первый этаж Пом. №021A ПММ</v>
      </c>
      <c r="HJ268" t="str">
        <f t="shared" si="594"/>
        <v>R.1.021A.10¦Розеточная группа Первый этаж Пом. №021A ПММ</v>
      </c>
      <c r="HK268" t="str" cm="1">
        <f t="array" ref="HK268">IF(HF268="","",_xlfn.LET(_xlpm.nd,_xlfn.TEXTSPLIT(HF268,"|"),IF(COLUMNS(_xlpm.nd)&gt;3,A268&amp;"¦"&amp;INDEX(_xlpm.nd,3)&amp;"¦"&amp;INDEX(_xlpm.nd,4),"")))</f>
        <v/>
      </c>
      <c r="HL268" t="str">
        <f t="shared" si="595"/>
        <v/>
      </c>
      <c r="HM268" t="str" cm="1">
        <f t="array" ref="HM268">IF(HF268="","",_xlfn.LET(_xlpm.nd,_xlfn.TEXTSPLIT(HF268,"|"),IF(COLUMNS(_xlpm.nd)&gt;4,A268&amp;"¦"&amp;INDEX(_xlpm.nd,4)&amp;"¦"&amp;INDEX(_xlpm.nd,5),"")))</f>
        <v/>
      </c>
      <c r="HN268" t="str">
        <f t="shared" si="596"/>
        <v/>
      </c>
      <c r="HO268" t="str" cm="1">
        <f t="array" ref="HO268">IF(HF268="","",_xlfn.LET(_xlpm.nd,_xlfn.TEXTSPLIT(HF268,"|"),IF(COLUMNS(_xlpm.nd)&gt;5,A268&amp;"¦"&amp;INDEX(_xlpm.nd,5)&amp;"¦"&amp;INDEX(_xlpm.nd,6),"")))</f>
        <v/>
      </c>
      <c r="HP268" t="str">
        <f t="shared" si="597"/>
        <v/>
      </c>
      <c r="HQ268" t="str" cm="1">
        <f t="array" ref="HQ268">IF(HF268="","",_xlfn.LET(_xlpm.nd,_xlfn.TEXTSPLIT(HF268,"|"),IF(COLUMNS(_xlpm.nd)&gt;6,A268&amp;"¦"&amp;INDEX(_xlpm.nd,6)&amp;"¦"&amp;INDEX(_xlpm.nd,7),"")))</f>
        <v/>
      </c>
      <c r="HR268" t="str">
        <f t="shared" si="598"/>
        <v/>
      </c>
      <c r="HS268" t="str">
        <f t="shared" si="599"/>
        <v/>
      </c>
      <c r="HT268" t="str">
        <f t="shared" si="600"/>
        <v>QFD44 → XT44</v>
      </c>
      <c r="HU268">
        <f t="shared" si="601"/>
        <v>0</v>
      </c>
      <c r="HV268">
        <f t="shared" si="602"/>
        <v>1</v>
      </c>
      <c r="HW268" t="str">
        <f t="shared" si="603"/>
        <v/>
      </c>
      <c r="HX268" t="str">
        <f t="shared" si="604"/>
        <v/>
      </c>
      <c r="HY268" t="str">
        <f t="shared" si="605"/>
        <v/>
      </c>
      <c r="HZ268" t="str">
        <f t="shared" si="606"/>
        <v/>
      </c>
      <c r="IA268" t="str">
        <f>IF(B268="","",IFERROR(VLOOKUP(B268,УГО_спр,2,FALSE),IFERROR(VLOOKUP(AX268,УГО_спр,2,FALSE),IFERROR(VLOOKUP(LEFT(AX268,2),УГО_спр,2,FALSE),""))))</f>
        <v>Розетка</v>
      </c>
      <c r="IB268" t="str">
        <f>IF(B268="","",IF(OR(IA268="",IA268=0),"BOX",IFERROR(IF(VLOOKUP(IA268,УГО_блоки,3,FALSE)&amp;""&lt;&gt;"",VLOOKUP(IA268,УГО_блоки,3,FALSE),VLOOKUP(IA268,УГО_блоки,2,FALSE)),IA268)))</f>
        <v>SOCKET</v>
      </c>
      <c r="IC268">
        <f t="shared" si="607"/>
        <v>1</v>
      </c>
      <c r="ID268" t="str">
        <f>IF(DA268="","",IF(COUNTIF(DA$3:DA268,DA268)=1,MAX(ID$2:ID267)+1,""))</f>
        <v/>
      </c>
      <c r="IE268" t="str">
        <f>IF(CO268="","",IF(COUNTIF(CO$3:CO268,CO268)+COUNTIF(CP$2:CP267,CO268)+COUNTIF(CQ$2:CQ267,CO268)=1,MAX(IE$2:IG267)+1,""))</f>
        <v/>
      </c>
      <c r="IF268" t="str">
        <f>IF(CP268="","",IF(COUNTIF(CO$3:CO268,CP268)+COUNTIF(CP$3:CP268,CP268)+COUNTIF(CQ$2:CQ267,CP268)=1,MAX(IE$2:IG267,IE268)+1,""))</f>
        <v/>
      </c>
      <c r="IG268" t="str">
        <f>IF(CQ268="","",IF(COUNTIF(CO$3:CO268,CQ268)+COUNTIF(CP$3:CP268,CQ268)+COUNTIF(CQ$3:CQ268,CQ268)=1,MAX(IE$2:IG267,IE268,IF268)+1,""))</f>
        <v/>
      </c>
      <c r="IH268" t="str">
        <f t="shared" si="608"/>
        <v>3х2,5</v>
      </c>
      <c r="II268" t="str">
        <f>IF(IH268="","",IF(COUNTIF(IH$3:IH268,IH268)=1,MAX(II$2:II267)+1,""))</f>
        <v/>
      </c>
      <c r="IJ268" t="str">
        <f>IF(GL268="","",COUNTIF(GL$3:GL268,"?*"))</f>
        <v/>
      </c>
      <c r="IK268" t="str">
        <f>IF(OR(GL268="",GN268=""),"",IF(COUNTIFS(GL$3:GL268,"?*",GN$3:GN268,GN268)=1,MAX(IK$2:IK267)+1,""))</f>
        <v/>
      </c>
      <c r="IL268">
        <f t="shared" si="609"/>
        <v>1</v>
      </c>
      <c r="IM268">
        <f>IF(B268="","",COUNTIF(B$3:B268,"?*"))</f>
        <v>266</v>
      </c>
      <c r="IN268">
        <f>IF(GQ268&lt;&gt;1,0,_xlfn.LET(_xlpm.k,MAX(IFERROR(--VLOOKUP(B268,УГО_спр,5,FALSE),0),IFERROR(--VLOOKUP(AX268,УГО_спр,5,FALSE),0),IFERROR(--VLOOKUP(LEFT(AX268,2),УГО_спр,5,FALSE),0)),IF(_xlpm.k&gt;0,_xlpm.k,IF(IFERROR(--LEFT(SUBSTITUTE(IH268,"x","х"),FIND("х",SUBSTITUTE(IH268,"x","х"))-1),3)&gt;3,Каталог!$S$9,1))))</f>
        <v>1</v>
      </c>
      <c r="IO268">
        <f t="shared" si="610"/>
        <v>0</v>
      </c>
      <c r="IP268" t="str">
        <f t="shared" si="611"/>
        <v>авто</v>
      </c>
      <c r="IQ268">
        <f t="shared" si="612"/>
        <v>30</v>
      </c>
      <c r="IR268">
        <f t="shared" si="613"/>
        <v>1</v>
      </c>
      <c r="IS268">
        <f t="shared" si="614"/>
        <v>1</v>
      </c>
    </row>
    <row r="269" spans="1:253" x14ac:dyDescent="0.3">
      <c r="A269" t="s">
        <v>759</v>
      </c>
      <c r="B269" t="s">
        <v>1534</v>
      </c>
      <c r="C269" t="str">
        <f>Линии[[#This Row],[_авто наименование]]</f>
        <v>Розеточная группа, пом. 021A</v>
      </c>
      <c r="D269">
        <v>1</v>
      </c>
      <c r="E269">
        <v>0.18</v>
      </c>
      <c r="G269" t="str">
        <f>Линии[[#This Row],[_авто автомат]]</f>
        <v>2P С16А 30мА</v>
      </c>
      <c r="H269">
        <f>Линии[[#This Row],[_авто утечка]]</f>
        <v>30</v>
      </c>
      <c r="I269" t="str">
        <f>Линии[[#This Row],[_авто управление]]</f>
        <v/>
      </c>
      <c r="J269" t="str">
        <f>Линии[[#This Row],[_авто аппараты]]</f>
        <v/>
      </c>
      <c r="K269">
        <v>2.5</v>
      </c>
      <c r="L269">
        <v>3</v>
      </c>
      <c r="M269" t="str">
        <f>Линии[[#This Row],[_авто фаза]]</f>
        <v>L3</v>
      </c>
      <c r="N269" t="str">
        <f>Линии[[#This Row],[_авто клемма]]</f>
        <v>XT45</v>
      </c>
      <c r="O269" t="str">
        <f t="shared" si="492"/>
        <v/>
      </c>
      <c r="P269" s="6" cm="1">
        <f t="array" ref="P269">IF(B269="","",IF(BC269&lt;&gt;"",IFERROR(_xlfn.XLOOKUP(BC269,Щиты[Щит],Щиты[Iр, А]),""),IF(BK269=1,IFERROR(_xlfn.XLOOKUP(A269,Щиты[Щит],Щиты[Iр, А]),""),IFERROR(_xlfn.IFS(BR269=1,BN269/((Uн_лин/SQRT(3))*BY269),BR269=3,BN269/(SQRT(3)*Uн_лин*BY269)),""))))</f>
        <v>0.8204451193747313</v>
      </c>
      <c r="Q269" s="7">
        <f>IF(B269="","",IFERROR(IF(VLOOKUP(AX269,Потребители_обозначение,4,FALSE)=1,VLOOKUP(AX269,Потребители_обозначение,3,FALSE)*(D269*2-1)+DS269+VLOOKUP(AZ269,Этаж_обозначение,3,FALSE)+VLOOKUP(AZ269,Этаж_обозначение,4,FALSE),VLOOKUP(AX269,Потребители_обозначение,3,FALSE)*(D269*2-1)+DS269),DS269))</f>
        <v>6</v>
      </c>
      <c r="R269" s="6">
        <f t="shared" si="493"/>
        <v>1.23</v>
      </c>
      <c r="S269" t="str">
        <f t="shared" si="494"/>
        <v>ВВГнг(А)-LS (3х2,5)</v>
      </c>
      <c r="T269" t="str">
        <f>IF(BH269="","",IF(BI269="вводной узел","узел ","")&amp;"л."&amp;(INT((BH269-1)/Столбцов_на_лист)+1)&amp;" / "&amp;(MOD(BH269-1,Столбцов_на_лист)+1))</f>
        <v>л.4 / 17</v>
      </c>
      <c r="V269">
        <v>1</v>
      </c>
      <c r="W269">
        <v>230</v>
      </c>
      <c r="X269" t="s">
        <v>564</v>
      </c>
      <c r="AC269" t="s">
        <v>815</v>
      </c>
      <c r="AE269" t="s">
        <v>563</v>
      </c>
      <c r="AI269">
        <v>68</v>
      </c>
      <c r="AJ269" t="s">
        <v>11</v>
      </c>
      <c r="AK269">
        <v>3</v>
      </c>
      <c r="AM269">
        <v>0</v>
      </c>
      <c r="AN269">
        <v>3</v>
      </c>
      <c r="AO269">
        <v>0</v>
      </c>
      <c r="AW269" cm="1">
        <f t="array" ref="AW269">ROW()-ROW(Линии[#Headers])</f>
        <v>267</v>
      </c>
      <c r="AX269" s="6" t="str">
        <f t="shared" si="495"/>
        <v>R</v>
      </c>
      <c r="AY269" t="str">
        <f t="shared" si="496"/>
        <v>1.021A.11</v>
      </c>
      <c r="AZ269" t="str">
        <f t="shared" si="497"/>
        <v>1</v>
      </c>
      <c r="BA269" t="str">
        <f t="shared" si="498"/>
        <v>021A.11</v>
      </c>
      <c r="BB269" t="str">
        <f t="shared" si="499"/>
        <v>021A</v>
      </c>
      <c r="BC269" t="str">
        <f>IF(U269&lt;&gt;"",U269,IF(AND(B269&lt;&gt;"",B269&lt;&gt;A269,ISNUMBER(_xlfn.XMATCH(B269,Щиты[Щит]))),B269,""))</f>
        <v/>
      </c>
      <c r="BD269" t="str" cm="1">
        <f t="array" ref="BD269">IF(B269="","",IF(BC269&lt;&gt;"","Щит "&amp;BC269,_xlfn.LET(_xlpm.nm,IFERROR(_xlfn.XLOOKUP(AX269,Коды_код,Коды_имя)&amp;"",""),_xlpm.md,IFERROR(N(_xlfn.XLOOKUP(AX269,Коды_код,Коды_режим)),1),_xlpm.ex,IF(Имя_режим="по экспликации",IFERROR(_xlfn.XLOOKUP(AZ269&amp;"|"&amp;BB269,Экспликация[Этаж]&amp;"|"&amp;Экспликация[Помещение],Экспликация[Название])&amp;"",""),""),_xlpm.rm,IF(BB269="","",IF(_xlpm.ex&lt;&gt;"",". "&amp;_xlpm.ex&amp;IF(Имя_пом="нет"," ("&amp;BB269&amp;")"," (пом. "&amp;BB269&amp;")"),IF(Имя_пом="нет"," ",", пом. ")&amp;BB269)),IF(_xlpm.nm="","",IF(_xlpm.md=2,_xlpm.nm&amp;" шлейф "&amp;AZ269,_xlpm.nm&amp;_xlpm.rm)))))</f>
        <v>Розеточная группа, пом. 021A</v>
      </c>
      <c r="BE269" t="str">
        <f t="shared" si="500"/>
        <v>Розеточная группа, пом. 021A</v>
      </c>
      <c r="BF269">
        <f>IFERROR(_xlfn.XMATCH(A269,Щиты[Щит]),0)</f>
        <v>10</v>
      </c>
      <c r="BG269">
        <f>_xlfn.LET(_xlpm.k,IFERROR(_xlfn.XLOOKUP(A269,Щиты[Щит],Щиты[Листов под вводной узел]),""),IF(_xlpm.k="",1,N(_xlpm.k))*Столбцов_на_лист)</f>
        <v>17</v>
      </c>
      <c r="BH269">
        <f t="shared" si="501"/>
        <v>68</v>
      </c>
      <c r="BI269" t="str">
        <f t="shared" si="502"/>
        <v>линии</v>
      </c>
      <c r="BJ269" s="6">
        <f>IFERROR(N(_xlfn.XLOOKUP(AX269,Коды_код,Коды_квт)),0)</f>
        <v>0</v>
      </c>
      <c r="BK269">
        <f t="shared" si="503"/>
        <v>0</v>
      </c>
      <c r="BL269" t="str">
        <f>IF(B269="","",IF(BC269&lt;&gt;"",IFERROR(_xlfn.XLOOKUP(BC269,Щиты[Щит],Щиты[Руст, кВт]),0),IF(BK269=1,IFERROR(_xlfn.XLOOKUP(A269,Щиты[Щит],Щиты[Руст, кВт]),0),IF(BJ269&gt;0,ROUND(BJ269*MAX(1,N(D269)),3),""))))</f>
        <v/>
      </c>
      <c r="BM269">
        <f t="shared" si="504"/>
        <v>0.18</v>
      </c>
      <c r="BN269" s="6">
        <f>IF(B269="","",IF(BC269&lt;&gt;"",IFERROR(_xlfn.XLOOKUP(BC269,Щиты[Щит],Щиты[Руст, кВт]),0),N(BM269)))</f>
        <v>0.18</v>
      </c>
      <c r="BO269" t="str">
        <f>IF(B269="","",IFERROR(IF(VLOOKUP(AX269,Потребители_обозначение,8,FALSE)=0,"",VLOOKUP(AX269,Потребители_обозначение,8,FALSE)),""))</f>
        <v/>
      </c>
      <c r="BP269">
        <f t="shared" si="505"/>
        <v>230</v>
      </c>
      <c r="BQ269">
        <f>IF(B269="","",IF(BC269&lt;&gt;"",3,IFERROR(IF(N(VLOOKUP(AX269,Потребители_обозначение,9,FALSE))=0,1,VLOOKUP(AX269,Потребители_обозначение,9,FALSE)),1)))</f>
        <v>1</v>
      </c>
      <c r="BR269">
        <f t="shared" si="506"/>
        <v>1</v>
      </c>
      <c r="BS269" t="str">
        <f>IF(B269="","",_xlfn.LET(_xlpm.bc,IFERROR(IF(VLOOKUP(AX269,Потребители_обозначение,6,FALSE)=0,"",VLOOKUP(AX269,Потребители_обозначение,6,FALSE)&amp;""),""),IF(AND(FK269="да",OR(_xlpm.bc="",_xlpm.bc="мс")),Марка_пож,IF(AND(_xlpm.bc="",BC269&lt;&gt;""),"мс",_xlpm.bc))))</f>
        <v/>
      </c>
      <c r="BT269" t="str">
        <f t="shared" si="507"/>
        <v>мс</v>
      </c>
      <c r="BU269">
        <f>IF(B269="","",_xlfn.LET(_xlpm.cc,IFERROR(N(VLOOKUP(AX269,Потребители_обозначение,7,FALSE)),0),IF(_xlpm.cc&gt;0,_xlpm.cc,IF(BT269="","",IF(N(BR269)=3,5,3)))))</f>
        <v>3</v>
      </c>
      <c r="BV269">
        <f t="shared" si="508"/>
        <v>3</v>
      </c>
      <c r="BW269">
        <f>IFERROR(N(VLOOKUP(AX269,Потребители_обозначение,10,FALSE)),0)</f>
        <v>0</v>
      </c>
      <c r="BX269">
        <f>IFERROR(VLOOKUP(AX269,Потребители_обозначение,5,FALSE),0)</f>
        <v>1</v>
      </c>
      <c r="BY269" s="6" cm="1">
        <f t="array" ref="BY269">IF(B269="","",IF(BC269&lt;&gt;"",IFERROR(_xlfn.XLOOKUP(BC269,Щиты[Щит],Щиты[cos φ]),0.95),IF(BK269=1,IFERROR(_xlfn.XLOOKUP(A269,Щиты[Щит],Щиты[cos φ]),0.95),IF(ISNUMBER(Z269),Z269,IFERROR(IF(BX269=2,_xlfn.IFS(BR269=3,VLOOKUP(BN269,Справочная_двигатели,8,FALSE),BR269=1,VLOOKUP(BN269,Справочная_двигатели,10,TRUE)),IF(AND(Методика="нормы 2026",EQ269="Сил"),0.8,0.95)),0.95)))))</f>
        <v>0.95</v>
      </c>
      <c r="BZ269">
        <f t="shared" si="509"/>
        <v>0</v>
      </c>
      <c r="CA269">
        <f t="shared" si="510"/>
        <v>1</v>
      </c>
      <c r="CB269">
        <f t="shared" si="511"/>
        <v>0</v>
      </c>
      <c r="CC269">
        <f t="shared" si="512"/>
        <v>0</v>
      </c>
      <c r="CD269">
        <f t="shared" si="513"/>
        <v>0</v>
      </c>
      <c r="CE269">
        <f t="shared" si="514"/>
        <v>0</v>
      </c>
      <c r="CF269">
        <f t="shared" si="515"/>
        <v>0</v>
      </c>
      <c r="CG269">
        <f>IF(AX269="",0,_xlfn.LET(_xlpm.v,IFERROR(VLOOKUP(B269,УГО_спр,3,FALSE),IFERROR(VLOOKUP(AX269,УГО_спр,3,FALSE),IFERROR(VLOOKUP(LEFT(AX269,2),УГО_спр,3,FALSE),""))),IF(_xlpm.v="да",30,IF(ISNUMBER(_xlpm.v),_xlpm.v,0))))</f>
        <v>30</v>
      </c>
      <c r="CH269">
        <f t="shared" si="516"/>
        <v>30</v>
      </c>
      <c r="CI269" t="str">
        <f>_xlfn.LET(_xlpm.k,IFERROR(_xlfn.XLOOKUP(AX269,Коды_код,Коды_утечка)&amp;"",""),IF(_xlpm.k="","дифавтомат",_xlpm.k))</f>
        <v>дифавтомат</v>
      </c>
      <c r="CJ269">
        <f t="shared" si="517"/>
        <v>30</v>
      </c>
      <c r="CK269">
        <f t="shared" si="518"/>
        <v>30</v>
      </c>
      <c r="CL269">
        <f>IF(B269="",0,IFERROR(--VLOOKUP(B269,УГО_спр,4,FALSE),IFERROR(--VLOOKUP(AX269,УГО_спр,4,FALSE),IFERROR(--VLOOKUP(LEFT(AX269,2),УГО_спр,4,FALSE),0))))</f>
        <v>16</v>
      </c>
      <c r="CM269" t="str">
        <f>IF(B269="","",IFERROR(_xlfn.XLOOKUP(AX269,Коды_код,Коды_апп)&amp;"",""))</f>
        <v/>
      </c>
      <c r="CN269" t="str">
        <f t="shared" si="519"/>
        <v/>
      </c>
      <c r="CO269" t="str" cm="1">
        <f t="array" ref="CO269">IF(TRIM(CN269&amp;"")="","",IFERROR(TRIM(INDEX(_xlfn.TEXTSPLIT(CN269&amp;";;;",";"),1)),""))</f>
        <v/>
      </c>
      <c r="CP269" t="str" cm="1">
        <f t="array" ref="CP269">IF(TRIM(CN269&amp;"")="","",IFERROR(TRIM(INDEX(_xlfn.TEXTSPLIT(CN269&amp;";;;",";"),2)),""))</f>
        <v/>
      </c>
      <c r="CQ269" t="str" cm="1">
        <f t="array" ref="CQ269">IF(TRIM(CN269&amp;"")="","",IFERROR(TRIM(INDEX(_xlfn.TEXTSPLIT(CN269&amp;";;;",";"),3)),""))</f>
        <v/>
      </c>
      <c r="CR269">
        <f t="shared" si="520"/>
        <v>0</v>
      </c>
      <c r="CS269" t="str">
        <f>IF(B269="","",_xlfn.LET(_xlpm.t,LOWER(AV269&amp;""),IF(ISNUMBER(SEARCH("dim",_xlpm.t)),"DIM",IF(ISNUMBER(SEARCH("dali",_xlpm.t)),"DALI",IF(OR(ISNUMBER(SEARCH("relay",_xlpm.t)),ISNUMBER(SEARCH("реле",_xlpm.t))),"Relay",IF(ISNUMBER(SEARCH("кнопк",_xlpm.t)),"",IFERROR(_xlfn.XLOOKUP(AX269,Коды_код,Коды_упр)&amp;"","")))))))</f>
        <v/>
      </c>
      <c r="CT269" t="str">
        <f t="shared" si="521"/>
        <v/>
      </c>
      <c r="CU269">
        <f>IF(B269="","",_xlfn.LET(_xlpm.ig,N(P269)+IF(AF269="вручную",0,N(CB269)),_xlpm.n0,IFERROR(VLOOKUP(_xlpm.ig,Автомат_номиналы,2,TRUE),0),_xlpm.mn,MAX(CL269,IF(AF269="вручную",0,N(CE269))),MAX(_xlpm.n0,_xlpm.mn,IF(CR269=1,Мин_автомат_БП,0))))</f>
        <v>16</v>
      </c>
      <c r="CV269">
        <f t="shared" si="522"/>
        <v>1</v>
      </c>
      <c r="CW269" t="str">
        <f t="shared" si="523"/>
        <v>2P</v>
      </c>
      <c r="CX269" t="str">
        <f>_xlfn.LET(_xlpm.cc,UPPER(TRIM(IFERROR(_xlfn.XLOOKUP(AX269,Коды_код,Коды_хар)&amp;"",""))),IF(OR(_xlpm.cc="B",_xlpm.cc="В"),"B",IF(_xlpm.cc="D","D","С")))</f>
        <v>С</v>
      </c>
      <c r="CY269" t="str">
        <f t="shared" si="524"/>
        <v>2P С16А 30мА</v>
      </c>
      <c r="CZ269" t="str">
        <f t="shared" si="525"/>
        <v>2P С16А 30мА</v>
      </c>
      <c r="DA269" t="str">
        <f t="shared" si="526"/>
        <v>2P С16А 30мА</v>
      </c>
      <c r="DB269" cm="1">
        <f t="array" ref="DB269">IF(DA269="","",_xlfn.LET(_xlpm.t,SUBSTITUTE(SUBSTITUTE(SUBSTITUTE(UPPER(DA269),"С","C"),"А","A"),"В","B"),_xlpm.tk,_xlfn.TEXTSPLIT(_xlpm.t,"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9" t="str">
        <f t="shared" si="527"/>
        <v>ok</v>
      </c>
      <c r="DD269">
        <f t="shared" si="528"/>
        <v>16</v>
      </c>
      <c r="DE269" t="str">
        <f t="shared" si="529"/>
        <v>2P С16А 30мА</v>
      </c>
      <c r="DF269">
        <f t="shared" si="530"/>
        <v>30</v>
      </c>
      <c r="DG269">
        <f t="shared" si="531"/>
        <v>1</v>
      </c>
      <c r="DH269">
        <f t="shared" si="532"/>
        <v>0</v>
      </c>
      <c r="DI269">
        <f t="shared" si="533"/>
        <v>0.8204451193747313</v>
      </c>
      <c r="DJ269">
        <f t="shared" si="534"/>
        <v>1</v>
      </c>
      <c r="DK269">
        <f>IF(ISNUMBER(AL269),AL269,К_прокл)</f>
        <v>1</v>
      </c>
      <c r="DL269">
        <f t="shared" si="535"/>
        <v>2</v>
      </c>
      <c r="DM269">
        <f>IFERROR(N(VLOOKUP(BT269,Кабель_обозначение,3,FALSE)),1)</f>
        <v>1</v>
      </c>
      <c r="DN269">
        <f>IFERROR(N(_xlfn.XLOOKUP(A269,Щиты[Щит],Щиты[ΔU до шин, %])),0)</f>
        <v>1.19</v>
      </c>
      <c r="DO269" t="str">
        <f>IFERROR(_xlfn.XLOOKUP(A269,Щиты[Щит],Щиты[Zпетли на шинах, Ом]),"")</f>
        <v/>
      </c>
      <c r="DP269">
        <f>IFERROR(N(_xlfn.XLOOKUP(A269,Щиты[Щит],Щиты[ΔU до шин (подбор), %])),0)</f>
        <v>1.19</v>
      </c>
      <c r="DQ269" t="str">
        <f>IFERROR(_xlfn.XLOOKUP(A269,Щиты[Щит],Щиты[Zпетли на шинах (подбор), Ом]),"")</f>
        <v/>
      </c>
      <c r="DR269" t="str">
        <f t="shared" si="536"/>
        <v/>
      </c>
      <c r="DS269">
        <f t="shared" si="537"/>
        <v>3</v>
      </c>
      <c r="DT269">
        <f t="shared" si="538"/>
        <v>2</v>
      </c>
      <c r="DU269">
        <f t="shared" si="539"/>
        <v>0.31</v>
      </c>
      <c r="DV269" s="6">
        <f>IF(B269="","",IF(IFERROR(VLOOKUP(AX269,УГО_спр,2,FALSE),"")="Светильник",3,4)+IF(Методика="нормы 2026",MIN(0.5,MAX(0,N(Q269)-100)*0.005),0))</f>
        <v>4</v>
      </c>
      <c r="DW269" cm="1">
        <f t="array" ref="DW269">IF(OR(B269="",BT269="",DM269&lt;&gt;1),"",_xlfn.LET(_xlpm.sz,Iдоп_S,_xlpm.t_,CHOOSE(DL269,Iдоп_1ж,Iдоп_2ж,Iдоп_3ж)*DJ269*DK269,_xlpm.inn,N(DD269),_xlpm.smin,MAX(1.5,BW269),_xlpm.L_,N(Q269)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269)*(_xlpm.rho*_xlpm.L_/_xlpm.sz*N(BY269)+_xlpm.xx*_xlpm.L_*N(DU269)/1000)*N(P269)/((Uн_лин/SQRT(3))*1000)*100,999),_xlpm.kz,IF(OR(DG269=1,NOT(ISNUMBER(DQ269)),_xlpm.L_=0,_xlpm.inn=0),1,IFERROR(--(c_min*(Uн_лин*1000/SQRT(3))/(DQ269+2*ρкз_Cu*_xlpm.L_/_xlpm.sz)&gt;=GY269*_xlpm.inn),0)),_xlpm.ok,IFERROR((_xlpm.sz&gt;=_xlpm.smin)*(_xlpm.t_&gt;=_xlpm.inn)*IF(_xlpm.L_&gt;0,(_xlpm.du_+DP269&lt;=DV269+0.00001),1)*_xlpm.kz,0),_xlpm.r_,_xlfn._xlws.FILTER(_xlpm.sz,_xlpm.ok,"не подобрано"),INDEX(_xlpm.r_,1)))</f>
        <v>1.5</v>
      </c>
      <c r="DX269">
        <f t="shared" si="540"/>
        <v>2.5</v>
      </c>
      <c r="DY269" cm="1">
        <f t="array" ref="DY269">IF(OR(B269="",BT269="",DM269&lt;&gt;1),"",_xlfn.LET(_xlpm.sz,Iдоп_S,_xlpm.t_,CHOOSE(DL269,Iдоп_1ж,Iдоп_2ж,Iдоп_3ж)*DJ269*DK269,_xlpm.ok,IFERROR((_xlpm.sz&gt;=MAX(1.5,BW269))*(_xlpm.t_&gt;=N(DD269)),0),_xlpm.r_,_xlfn._xlws.FILTER(_xlpm.sz,_xlpm.ok,""),INDEX(_xlpm.r_,1)))</f>
        <v>1.5</v>
      </c>
      <c r="DZ269" s="6" cm="1">
        <f t="array" ref="DZ269">IFERROR(ROUNDUP(N(DT269)*(_xlfn.XLOOKUP(DY269,INDEX(Кабель_сопротивление,0,1),INDEX(Кабель_сопротивление,0,3))*N(Q269)/DY269*N(BY269)+_xlfn.XLOOKUP(DY269,INDEX(Кабель_сопротивление,0,1),INDEX(Кабель_сопротивление,0,2))*N(Q269)*N(DU269)/1000)*N(P269)/((Uн_лин/SQRT(3))*1000)*100,2),"")</f>
        <v>6.9999999999999993E-2</v>
      </c>
      <c r="EA269">
        <f>IFERROR(2*ρкз_Cu*N(Q269)/DY269,"")</f>
        <v>0.2104</v>
      </c>
      <c r="EB269">
        <f>IFERROR(VLOOKUP(DX269,Кабель_сопротивление,3,FALSE),"")</f>
        <v>2.2499999999999999E-2</v>
      </c>
      <c r="EC269">
        <f>IFERROR(VLOOKUP(DX269,Кабель_сопротивление,2,FALSE),"")</f>
        <v>0.1</v>
      </c>
      <c r="ED269">
        <f t="shared" si="541"/>
        <v>3</v>
      </c>
      <c r="EE269">
        <f t="shared" si="542"/>
        <v>0</v>
      </c>
      <c r="EF269">
        <f t="shared" si="543"/>
        <v>8.4482874832254834E-2</v>
      </c>
      <c r="EG269" s="6">
        <f>IFERROR(ROUNDUP(EF269/((Uн_лин/SQRT(3))*1000)*100,2),"")</f>
        <v>0.04</v>
      </c>
      <c r="EH269" t="str">
        <f>IFERROR(VLOOKUP(BT269,Кабель_обозначение,2,FALSE),"")</f>
        <v>ВВГнг(А)-LS</v>
      </c>
      <c r="EI269" t="str">
        <f t="shared" si="544"/>
        <v>ВВГнг(А)-LS (3х2,5)</v>
      </c>
      <c r="EJ269" t="str">
        <f t="shared" si="545"/>
        <v>ВВГнг(А)-LS (3х2,5)
L=6-0,04%</v>
      </c>
      <c r="EK269">
        <f>IFERROR(2*ρкз_Cu*Q269/DX269,"")</f>
        <v>0.12623999999999999</v>
      </c>
      <c r="EL269">
        <f t="shared" si="546"/>
        <v>4.2000000000000003E-2</v>
      </c>
      <c r="EM269" s="6" t="str">
        <f>IFERROR(IF(OR(B269="",NOT(ISNUMBER(DX269)),N(Q269)=0),"",_xlfn.XLOOKUP(A269,Щиты[Щит],Щиты[Zпетли на шинах, Ом])+EK269),"")</f>
        <v/>
      </c>
      <c r="EN269" s="6" t="str">
        <f>IF(ISNUMBER(EM269),c_min*(Uн_лин*1000/SQRT(3))/EM269,"")</f>
        <v/>
      </c>
      <c r="EO269" s="6" t="str">
        <f>IFERROR(IF(OR(B269="",NOT(ISNUMBER(DX269))),"",1.05*(Uн_лин*1000/SQRT(3))/(_xlfn.XLOOKUP(A269,Щиты[Щит],Щиты[Zmax на шинах, Ом])+EL269)/1000),"")</f>
        <v/>
      </c>
      <c r="EP269" s="6" t="str">
        <f>IF(B269="","",IF(ISNUMBER(Y269),"Сил",IF(IFERROR(_xlfn.XLOOKUP(AX269,Коды_код,Коды_группа)&amp;"","")="","Быт",_xlfn.XLOOKUP(AX269,Коды_код,Коды_группа)&amp;"")))</f>
        <v>Быт</v>
      </c>
      <c r="EQ269" s="6" t="str">
        <f t="shared" si="547"/>
        <v>Быт</v>
      </c>
      <c r="ER269" s="6">
        <f>IF(EQ269="Щит","щит",IF(EQ269="","",IF(EQ269="Быт",IFERROR(_xlfn.XLOOKUP(A269,Щиты[Щит],Щиты[Кс быт]),1),IF(EQ269="Сил",IF(ISNUMBER(Y269),Y269,IF(Методика="нормы 2026",IFERROR(_xlfn.XLOOKUP(A269,Щиты[Щит],Щиты[Кс силовых (табл. 7.5)]),1),1)),IF(OR(EQ269="Пост",EQ269="Отоп"),1,IF(EQ269="ВНГ",0.7,0))))))</f>
        <v>0.57830000000000004</v>
      </c>
      <c r="ES269">
        <f t="shared" si="548"/>
        <v>1</v>
      </c>
      <c r="ET269">
        <f t="shared" si="549"/>
        <v>0.18</v>
      </c>
      <c r="EU269">
        <f t="shared" si="550"/>
        <v>0.18</v>
      </c>
      <c r="EV269">
        <f t="shared" si="551"/>
        <v>0</v>
      </c>
      <c r="EW269">
        <f t="shared" si="552"/>
        <v>0</v>
      </c>
      <c r="EX269">
        <f t="shared" si="553"/>
        <v>0</v>
      </c>
      <c r="EY269">
        <f t="shared" si="554"/>
        <v>0</v>
      </c>
      <c r="EZ269">
        <f t="shared" si="555"/>
        <v>0.18</v>
      </c>
      <c r="FA269">
        <f t="shared" si="556"/>
        <v>0.17099999999999999</v>
      </c>
      <c r="FB269">
        <f t="shared" si="557"/>
        <v>0.18</v>
      </c>
      <c r="FC269" t="str">
        <f t="shared" si="558"/>
        <v/>
      </c>
      <c r="FD269" t="str">
        <f>IF(B269="","",IF(CA269=0,IF(AW269=1,"",FF268),IF(OR(N(CV269)&gt;=3,N(BR269)&gt;=3),"L1,L2,L3",IFERROR(_xlfn.TEXTBEFORE(_xlfn.TEXTAFTER(_xlfn.XLOOKUP(A269,Щиты[Щит],Щиты[_фазы авто]),";"&amp;AW269&amp;":"),";"),"L1"))))</f>
        <v>L3</v>
      </c>
      <c r="FE269" t="str">
        <f t="shared" si="559"/>
        <v>L3</v>
      </c>
      <c r="FF269" t="str">
        <f t="shared" si="560"/>
        <v>L3</v>
      </c>
      <c r="FG269" cm="1">
        <f t="array" ref="FG269">IFERROR(IF(BX269=2,_xlfn.IFS(BR269=3,VLOOKUP(BN269,Справочная_двигатели,3,FALSE),BR269=1,VLOOKUP(BN269,Справочная_двигатели,5,TRUE)),0),0)</f>
        <v>0</v>
      </c>
      <c r="FH269">
        <f>IFERROR(IF(BX269=3,VLOOKUP(BN269,Справочная_ЛЭД,2,TRUE),0),0)</f>
        <v>0</v>
      </c>
      <c r="FI269" s="6">
        <f t="shared" si="561"/>
        <v>0</v>
      </c>
      <c r="FJ269" t="str" cm="1">
        <f t="array" ref="FJ269">IF(B269="","",IFERROR(INDEX({"I особая","I","II","III"},MATCH(TRIM(AC269&amp;""),{"I особая","I","II","III"},0)),"III"))</f>
        <v>II</v>
      </c>
      <c r="FK269" t="str">
        <f>IF(B269="","",IF(TRIM(AD269&amp;"")&lt;&gt;"",IF(LOWER(TRIM(AD269&amp;""))="да","да","нет"),IF(IFERROR(_xlfn.XLOOKUP(AX269,Коды_код,Коды_пожарная),"")="да","да","нет")))</f>
        <v>нет</v>
      </c>
      <c r="FL269" t="str">
        <f t="shared" si="562"/>
        <v/>
      </c>
      <c r="FM269" t="str">
        <f t="shared" si="563"/>
        <v>основная</v>
      </c>
      <c r="FN269">
        <f t="shared" si="564"/>
        <v>1</v>
      </c>
      <c r="FO269" t="str" cm="1">
        <f t="array" ref="FO269">IF(B269="","",_xlfn.LET(_xlpm.t,IFERROR(_xlfn.XLOOKUP(1,(Шины[Шина]=FM269)*(((Шины[Щит]=A269)+(Шины[Щит]=""))&gt;0),Шины[Тип]),"")&amp;"",IF(_xlpm.t&lt;&gt;"",_xlpm.t,IF(ISNUMBER(SEARCH("ИБП",FM269)),"ИБП",IF(ISNUMBER(SEARCH("ДГУ",FM269)),"ДГУ","Ввод "&amp;FN269)))))</f>
        <v>Ввод 1</v>
      </c>
      <c r="FP269" t="str">
        <f t="shared" si="565"/>
        <v>Ввод 1</v>
      </c>
      <c r="FQ269" t="str">
        <f>IF(B269="","",IF(OR(FO269="ИБП",FO269="ДГУ"),"I особая",IF(FO269="Одиночная","III",_xlfn.XLOOKUP(A269,Щиты[Щит],Щиты[Категория шины «Ввод»],"III"))))</f>
        <v>II</v>
      </c>
      <c r="FR269">
        <f>IF(B269="",0,IFERROR(MATCH(FJ269,{"III","II","I","I особая"},0),1))</f>
        <v>2</v>
      </c>
      <c r="FS269">
        <f t="shared" si="566"/>
        <v>2</v>
      </c>
      <c r="FT269" t="str">
        <f>IF(B269="","",IF(FR269&gt;IFERROR(MATCH(FQ269,{"III","II","I","I особая"},0),1),"НЕ ОБЕСПЕЧЕНА","ОК"))</f>
        <v>ОК</v>
      </c>
      <c r="FU269" t="str">
        <f>IF(A269="","",_xlfn.XLOOKUP(A269,Щиты[Щит],Щиты[Путь],""))</f>
        <v>|ГРЩ-ЖД|ЩР-1|</v>
      </c>
      <c r="FV269" t="str">
        <f>IF(B269="","",IF(AE269&lt;&gt;"",AE269,IF(IFERROR(_xlfn.XLOOKUP(AX269,Коды_код,Коды_вид)&amp;"","")="","Прочее",_xlfn.XLOOKUP(AX269,Коды_код,Коды_вид)&amp;"")))</f>
        <v>Розеточная сеть и бытовые приборы</v>
      </c>
      <c r="FW269">
        <f>IF(BH269="","",INT((BH269-1)/Столбцов_на_лист)+1)</f>
        <v>4</v>
      </c>
      <c r="FX269" t="str">
        <f t="shared" si="567"/>
        <v>ВВГнг(А)-LS (3х2,5) L=6-0,04%</v>
      </c>
      <c r="FY269">
        <f t="shared" si="568"/>
        <v>0.18</v>
      </c>
      <c r="FZ269">
        <f t="shared" si="569"/>
        <v>0.83</v>
      </c>
      <c r="GA269">
        <f t="shared" si="570"/>
        <v>1</v>
      </c>
      <c r="GB269">
        <f t="shared" si="571"/>
        <v>0</v>
      </c>
      <c r="GC269">
        <f t="shared" si="572"/>
        <v>1</v>
      </c>
      <c r="GD269">
        <f>IF(BH269="","",IF(AND(CA269=1,GC269=1),COUNTIFS(A$3:A269,A269,CA$3:CA269,1,GC$3:GC269,1),IF(OR(OR(AW269=1,A269&lt;&gt;A268),AF269="вручную",GC269=0),"",IF(AW269=1,"",GE268))))</f>
        <v>45</v>
      </c>
      <c r="GE269">
        <f t="shared" si="573"/>
        <v>45</v>
      </c>
      <c r="GF269">
        <f>IF(B269="","",IFERROR(LOOKUP(INDEX(CHOOSE(DL269,Iдоп_1ж,Iдоп_2ж,Iдоп_3ж),MATCH(DX269,Iдоп_S,0))*DJ269*DK269,{6,10,16,20,25,32,40,50,63,80,100,125,160,200,250,315,400,500,630}),""))</f>
        <v>25</v>
      </c>
      <c r="GG269" t="str">
        <f t="shared" si="574"/>
        <v>QFD45</v>
      </c>
      <c r="GH269" t="str">
        <f t="shared" si="575"/>
        <v>QFD45</v>
      </c>
      <c r="GI269" t="str">
        <f t="shared" si="576"/>
        <v/>
      </c>
      <c r="GJ269">
        <f t="shared" si="577"/>
        <v>0</v>
      </c>
      <c r="GK269" t="str">
        <f>IF(OR(AG269="",AG269="-"),"",IFERROR(VLOOKUP(AG269,Модули_спр,2,FALSE),"R"))</f>
        <v/>
      </c>
      <c r="GL269" t="str">
        <f>IF(GK269="","",GK269&amp;"."&amp;COUNTIFS(A$3:A269,A269,GK$3:GK269,GK269))</f>
        <v/>
      </c>
      <c r="GM269" t="str">
        <f t="shared" si="578"/>
        <v/>
      </c>
      <c r="GN269" t="str">
        <f t="shared" si="579"/>
        <v/>
      </c>
      <c r="GO269" t="str">
        <f t="shared" si="580"/>
        <v/>
      </c>
      <c r="GP269" t="str">
        <f t="shared" si="581"/>
        <v/>
      </c>
      <c r="GQ269">
        <f t="shared" si="582"/>
        <v>1</v>
      </c>
      <c r="GR269" t="str">
        <f>IF(GQ269=1,"XT"&amp;COUNTIFS(A$3:A269,A269,GQ$3:GQ269,1),"")</f>
        <v>XT45</v>
      </c>
      <c r="GS269" t="str">
        <f t="shared" si="583"/>
        <v>XT45</v>
      </c>
      <c r="GT269" t="str">
        <f t="shared" si="584"/>
        <v>QFD45</v>
      </c>
      <c r="GU269" t="str">
        <f t="shared" si="585"/>
        <v/>
      </c>
      <c r="GV269" t="str">
        <f t="shared" si="586"/>
        <v>ok</v>
      </c>
      <c r="GW269" t="str">
        <f>IF(OR(GO269="",GM269=""),"",IF(GO269&gt;IFERROR(VLOOKUP(GN269,Модули_спр,3,FALSE),99),"ЛИШНИЙ КАНАЛ",IF(AND(AH269&lt;&gt;"=",COUNTIFS(Линии[_модуль гр.],GM269,Линии[Канал (итог)],GO269,Линии[Канал],"&lt;&gt;=",Линии[Щит],A269)&gt;1),"ДУБЛЬ КАНАЛА","")))</f>
        <v/>
      </c>
      <c r="GX269" s="6" t="str">
        <f t="shared" si="587"/>
        <v/>
      </c>
      <c r="GY269">
        <f t="shared" si="588"/>
        <v>10</v>
      </c>
      <c r="GZ269" t="str">
        <f t="shared" si="589"/>
        <v/>
      </c>
      <c r="HA269" t="str">
        <f>IF(AND(B269="",GT269=""),"",_xlfn.TEXTJOIN("; ",TRUE,IF(AND(B269&lt;&gt;"",FE269=""),"нет фазы",""),IF(AND(B269&lt;&gt;"",N(FY269)=0,EQ269&lt;&gt;"Нет"),"нет мощности",""),IF(AND(GS269&lt;&gt;"",COUNTIFS(Линии[Щит],A269,Линии[Клемма (итог)],GS269)&gt;1),"дубль клеммы "&amp;GS269,""),IF(AND(GV269&lt;&gt;"",GV269&lt;&gt;"ok"),GV269,""),IF(GW269&lt;&gt;"",GW269,""),IF(AND(N(BV269)&gt;=4,N(BR269)=1),BV269&amp;" жил на 1 фазе",""),IF(AND(AX269="R",CA269=1,OR(N(CK269)=0,N(CK269)&gt;30)),"розетка без дифзащиты до 30 мА",""),IFERROR(IF(AND(ISNUMBER(R269),R269&gt;DV269),"потери "&amp;FIXED(R269,1)&amp;" % &gt; "&amp;DV269&amp;" %",""),""),IFERROR(IF(LEFT(GZ269,4)="мало","Iкз мало — отключение &gt; 0,4 с",""),""),IF(AND(B269&lt;&gt;"",BH269=""),"не на схеме",""),IF(AND(CA269=0,B269&lt;&gt;"",FE269&lt;&gt;"",IF(AW269=1,"",FF268)&lt;&gt;"",FE269&lt;&gt;IF(AW269=1,"",FF268)),"фаза не как у автомата группы ("&amp;IF(AW269=1,"",FF268)&amp;")","")))</f>
        <v/>
      </c>
      <c r="HB269" s="6">
        <f>IF(OR(CA269=0,DA269=""),"",_xlfn.LET(_xlpm.t,IFERROR(_xlfn.XLOOKUP(DA269,Каталог!$U$4:$U$500,Каталог!$G$4:$G$500),""),_xlpm.k,SEARCH("кА",_xlpm.t),IFERROR(--TRIM(RIGHT(SUBSTITUTE(MID(_xlpm.t,MAX(1,_xlpm.k-4),_xlpm.k-MAX(1,_xlpm.k-4))," ",REPT(" ",9)),5)),"")))</f>
        <v>6</v>
      </c>
      <c r="HC269" t="str">
        <f>IF(OR(HB269="",CA269=0),"",IF(_xlfn.XLOOKUP(A269,Щиты[Щит],Щиты[Iкз max на шинах, кА],"")="","",IF(HB269&lt;_xlfn.XLOOKUP(A269,Щиты[Щит],Щиты[Iкз max на шинах, кА]),"Icu "&amp;HB269&amp;" кА &lt; Iкз max","ok")))</f>
        <v/>
      </c>
      <c r="HD269" t="str">
        <f t="shared" si="590"/>
        <v/>
      </c>
      <c r="HE269" t="str">
        <f t="shared" si="591"/>
        <v>QFD45|XT45</v>
      </c>
      <c r="HF269" t="str">
        <f t="shared" si="592"/>
        <v>QFD45|XT45|кабель ВВГнг(А)-LS (3х2,5) → Розеточная группа, пом. 021A</v>
      </c>
      <c r="HG269" t="str" cm="1">
        <f t="array" ref="HG269">IF(HF269="","",_xlfn.LET(_xlpm.nd,_xlfn.TEXTSPLIT(HF269,"|"),IF(COLUMNS(_xlpm.nd)&gt;1,A269&amp;"¦"&amp;INDEX(_xlpm.nd,1)&amp;"¦"&amp;INDEX(_xlpm.nd,2),"")))</f>
        <v>ЩР-1¦QFD45¦XT45</v>
      </c>
      <c r="HH269" t="str">
        <f t="shared" si="593"/>
        <v>R.1.021A.11¦Розеточная группа, пом. 021A</v>
      </c>
      <c r="HI269" t="str" cm="1">
        <f t="array" ref="HI269">IF(HF269="","",_xlfn.LET(_xlpm.nd,_xlfn.TEXTSPLIT(HF269,"|"),IF(COLUMNS(_xlpm.nd)&gt;2,A269&amp;"¦"&amp;INDEX(_xlpm.nd,2)&amp;"¦"&amp;INDEX(_xlpm.nd,3),"")))</f>
        <v>ЩР-1¦XT45¦кабель ВВГнг(А)-LS (3х2,5) → Розеточная группа, пом. 021A</v>
      </c>
      <c r="HJ269" t="str">
        <f t="shared" si="594"/>
        <v>R.1.021A.11¦Розеточная группа, пом. 021A</v>
      </c>
      <c r="HK269" t="str" cm="1">
        <f t="array" ref="HK269">IF(HF269="","",_xlfn.LET(_xlpm.nd,_xlfn.TEXTSPLIT(HF269,"|"),IF(COLUMNS(_xlpm.nd)&gt;3,A269&amp;"¦"&amp;INDEX(_xlpm.nd,3)&amp;"¦"&amp;INDEX(_xlpm.nd,4),"")))</f>
        <v/>
      </c>
      <c r="HL269" t="str">
        <f t="shared" si="595"/>
        <v/>
      </c>
      <c r="HM269" t="str" cm="1">
        <f t="array" ref="HM269">IF(HF269="","",_xlfn.LET(_xlpm.nd,_xlfn.TEXTSPLIT(HF269,"|"),IF(COLUMNS(_xlpm.nd)&gt;4,A269&amp;"¦"&amp;INDEX(_xlpm.nd,4)&amp;"¦"&amp;INDEX(_xlpm.nd,5),"")))</f>
        <v/>
      </c>
      <c r="HN269" t="str">
        <f t="shared" si="596"/>
        <v/>
      </c>
      <c r="HO269" t="str" cm="1">
        <f t="array" ref="HO269">IF(HF269="","",_xlfn.LET(_xlpm.nd,_xlfn.TEXTSPLIT(HF269,"|"),IF(COLUMNS(_xlpm.nd)&gt;5,A269&amp;"¦"&amp;INDEX(_xlpm.nd,5)&amp;"¦"&amp;INDEX(_xlpm.nd,6),"")))</f>
        <v/>
      </c>
      <c r="HP269" t="str">
        <f t="shared" si="597"/>
        <v/>
      </c>
      <c r="HQ269" t="str" cm="1">
        <f t="array" ref="HQ269">IF(HF269="","",_xlfn.LET(_xlpm.nd,_xlfn.TEXTSPLIT(HF269,"|"),IF(COLUMNS(_xlpm.nd)&gt;6,A269&amp;"¦"&amp;INDEX(_xlpm.nd,6)&amp;"¦"&amp;INDEX(_xlpm.nd,7),"")))</f>
        <v/>
      </c>
      <c r="HR269" t="str">
        <f t="shared" si="598"/>
        <v/>
      </c>
      <c r="HS269" t="str">
        <f t="shared" si="599"/>
        <v/>
      </c>
      <c r="HT269" t="str">
        <f t="shared" si="600"/>
        <v>QFD45 → XT45</v>
      </c>
      <c r="HU269">
        <f t="shared" si="601"/>
        <v>0</v>
      </c>
      <c r="HV269">
        <f t="shared" si="602"/>
        <v>1</v>
      </c>
      <c r="HW269" t="str">
        <f t="shared" si="603"/>
        <v/>
      </c>
      <c r="HX269" t="str">
        <f t="shared" si="604"/>
        <v/>
      </c>
      <c r="HY269" t="str">
        <f t="shared" si="605"/>
        <v/>
      </c>
      <c r="HZ269" t="str">
        <f t="shared" si="606"/>
        <v/>
      </c>
      <c r="IA269" t="str">
        <f>IF(B269="","",IFERROR(VLOOKUP(B269,УГО_спр,2,FALSE),IFERROR(VLOOKUP(AX269,УГО_спр,2,FALSE),IFERROR(VLOOKUP(LEFT(AX269,2),УГО_спр,2,FALSE),""))))</f>
        <v>Розетка</v>
      </c>
      <c r="IB269" t="str">
        <f>IF(B269="","",IF(OR(IA269="",IA269=0),"BOX",IFERROR(IF(VLOOKUP(IA269,УГО_блоки,3,FALSE)&amp;""&lt;&gt;"",VLOOKUP(IA269,УГО_блоки,3,FALSE),VLOOKUP(IA269,УГО_блоки,2,FALSE)),IA269)))</f>
        <v>SOCKET</v>
      </c>
      <c r="IC269">
        <f t="shared" si="607"/>
        <v>1</v>
      </c>
      <c r="ID269" t="str">
        <f>IF(DA269="","",IF(COUNTIF(DA$3:DA269,DA269)=1,MAX(ID$2:ID268)+1,""))</f>
        <v/>
      </c>
      <c r="IE269" t="str">
        <f>IF(CO269="","",IF(COUNTIF(CO$3:CO269,CO269)+COUNTIF(CP$2:CP268,CO269)+COUNTIF(CQ$2:CQ268,CO269)=1,MAX(IE$2:IG268)+1,""))</f>
        <v/>
      </c>
      <c r="IF269" t="str">
        <f>IF(CP269="","",IF(COUNTIF(CO$3:CO269,CP269)+COUNTIF(CP$3:CP269,CP269)+COUNTIF(CQ$2:CQ268,CP269)=1,MAX(IE$2:IG268,IE269)+1,""))</f>
        <v/>
      </c>
      <c r="IG269" t="str">
        <f>IF(CQ269="","",IF(COUNTIF(CO$3:CO269,CQ269)+COUNTIF(CP$3:CP269,CQ269)+COUNTIF(CQ$3:CQ269,CQ269)=1,MAX(IE$2:IG268,IE269,IF269)+1,""))</f>
        <v/>
      </c>
      <c r="IH269" t="str">
        <f t="shared" si="608"/>
        <v>3х2,5</v>
      </c>
      <c r="II269" t="str">
        <f>IF(IH269="","",IF(COUNTIF(IH$3:IH269,IH269)=1,MAX(II$2:II268)+1,""))</f>
        <v/>
      </c>
      <c r="IJ269" t="str">
        <f>IF(GL269="","",COUNTIF(GL$3:GL269,"?*"))</f>
        <v/>
      </c>
      <c r="IK269" t="str">
        <f>IF(OR(GL269="",GN269=""),"",IF(COUNTIFS(GL$3:GL269,"?*",GN$3:GN269,GN269)=1,MAX(IK$2:IK268)+1,""))</f>
        <v/>
      </c>
      <c r="IL269">
        <f t="shared" si="609"/>
        <v>0</v>
      </c>
      <c r="IM269">
        <f>IF(B269="","",COUNTIF(B$3:B269,"?*"))</f>
        <v>267</v>
      </c>
      <c r="IN269">
        <f>IF(GQ269&lt;&gt;1,0,_xlfn.LET(_xlpm.k,MAX(IFERROR(--VLOOKUP(B269,УГО_спр,5,FALSE),0),IFERROR(--VLOOKUP(AX269,УГО_спр,5,FALSE),0),IFERROR(--VLOOKUP(LEFT(AX269,2),УГО_спр,5,FALSE),0)),IF(_xlpm.k&gt;0,_xlpm.k,IF(IFERROR(--LEFT(SUBSTITUTE(IH269,"x","х"),FIND("х",SUBSTITUTE(IH269,"x","х"))-1),3)&gt;3,Каталог!$S$9,1))))</f>
        <v>1</v>
      </c>
      <c r="IO269">
        <f t="shared" si="610"/>
        <v>0</v>
      </c>
      <c r="IP269" t="str">
        <f t="shared" si="611"/>
        <v>авто</v>
      </c>
      <c r="IQ269">
        <f t="shared" si="612"/>
        <v>30</v>
      </c>
      <c r="IR269">
        <f t="shared" si="613"/>
        <v>1</v>
      </c>
      <c r="IS269">
        <f t="shared" si="614"/>
        <v>1</v>
      </c>
    </row>
    <row r="270" spans="1:253" x14ac:dyDescent="0.3">
      <c r="A270" t="s">
        <v>759</v>
      </c>
      <c r="B270" t="s">
        <v>1535</v>
      </c>
      <c r="C270" t="s">
        <v>1674</v>
      </c>
      <c r="D270">
        <v>1</v>
      </c>
      <c r="E270">
        <v>3.7</v>
      </c>
      <c r="G270" t="str">
        <f>Линии[[#This Row],[_авто автомат]]</f>
        <v>2P С20А 30мА</v>
      </c>
      <c r="H270">
        <f>Линии[[#This Row],[_авто утечка]]</f>
        <v>30</v>
      </c>
      <c r="I270" t="str">
        <f>Линии[[#This Row],[_авто управление]]</f>
        <v/>
      </c>
      <c r="J270" t="str">
        <f>Линии[[#This Row],[_авто аппараты]]</f>
        <v/>
      </c>
      <c r="K270">
        <v>4</v>
      </c>
      <c r="L270">
        <v>36</v>
      </c>
      <c r="M270" t="str">
        <f>Линии[[#This Row],[_авто фаза]]</f>
        <v>L2</v>
      </c>
      <c r="N270" t="str">
        <f>Линии[[#This Row],[_авто клемма]]</f>
        <v>XT46</v>
      </c>
      <c r="O270" t="str">
        <f t="shared" si="492"/>
        <v>потери 4,3 % &gt; 4 %</v>
      </c>
      <c r="P270" s="6" cm="1">
        <f t="array" ref="P270">IF(B270="","",IF(BC270&lt;&gt;"",IFERROR(_xlfn.XLOOKUP(BC270,Щиты[Щит],Щиты[Iр, А]),""),IF(BK270=1,IFERROR(_xlfn.XLOOKUP(A270,Щиты[Щит],Щиты[Iр, А]),""),IFERROR(_xlfn.IFS(BR270=1,BN270/((Uн_лин/SQRT(3))*BY270),BR270=3,BN270/(SQRT(3)*Uн_лин*BY270)),""))))</f>
        <v>16.864705231591699</v>
      </c>
      <c r="Q270" s="7">
        <f>IF(B270="","",IFERROR(IF(VLOOKUP(AX270,Потребители_обозначение,4,FALSE)=1,VLOOKUP(AX270,Потребители_обозначение,3,FALSE)*(D270*2-1)+DS270+VLOOKUP(AZ270,Этаж_обозначение,3,FALSE)+VLOOKUP(AZ270,Этаж_обозначение,4,FALSE),VLOOKUP(AX270,Потребители_обозначение,3,FALSE)*(D270*2-1)+DS270),DS270))</f>
        <v>39</v>
      </c>
      <c r="R270" s="6">
        <f t="shared" si="493"/>
        <v>4.26</v>
      </c>
      <c r="S270" t="str">
        <f t="shared" si="494"/>
        <v>ВВГнг(А)-LS (3х4)</v>
      </c>
      <c r="T270" t="str">
        <f>IF(BH270="","",IF(BI270="вводной узел","узел ","")&amp;"л."&amp;(INT((BH270-1)/Столбцов_на_лист)+1)&amp;" / "&amp;(MOD(BH270-1,Столбцов_на_лист)+1))</f>
        <v>л.5 / 1</v>
      </c>
      <c r="V270">
        <v>1</v>
      </c>
      <c r="W270">
        <v>230</v>
      </c>
      <c r="X270" t="s">
        <v>564</v>
      </c>
      <c r="AC270" t="s">
        <v>815</v>
      </c>
      <c r="AE270" t="s">
        <v>563</v>
      </c>
      <c r="AI270">
        <v>69</v>
      </c>
      <c r="AJ270" t="s">
        <v>11</v>
      </c>
      <c r="AK270">
        <v>3</v>
      </c>
      <c r="AM270">
        <v>20</v>
      </c>
      <c r="AN270">
        <v>19</v>
      </c>
      <c r="AO270">
        <v>0</v>
      </c>
      <c r="AW270" cm="1">
        <f t="array" ref="AW270">ROW()-ROW(Линии[#Headers])</f>
        <v>268</v>
      </c>
      <c r="AX270" s="6" t="str">
        <f t="shared" si="495"/>
        <v>R</v>
      </c>
      <c r="AY270" t="str">
        <f t="shared" si="496"/>
        <v>1.021A.2</v>
      </c>
      <c r="AZ270" t="str">
        <f t="shared" si="497"/>
        <v>1</v>
      </c>
      <c r="BA270" t="str">
        <f t="shared" si="498"/>
        <v>021A.2</v>
      </c>
      <c r="BB270" t="str">
        <f t="shared" si="499"/>
        <v>021A</v>
      </c>
      <c r="BC270" t="str">
        <f>IF(U270&lt;&gt;"",U270,IF(AND(B270&lt;&gt;"",B270&lt;&gt;A270,ISNUMBER(_xlfn.XMATCH(B270,Щиты[Щит]))),B270,""))</f>
        <v/>
      </c>
      <c r="BD270" t="str" cm="1">
        <f t="array" ref="BD270">IF(B270="","",IF(BC270&lt;&gt;"","Щит "&amp;BC270,_xlfn.LET(_xlpm.nm,IFERROR(_xlfn.XLOOKUP(AX270,Коды_код,Коды_имя)&amp;"",""),_xlpm.md,IFERROR(N(_xlfn.XLOOKUP(AX270,Коды_код,Коды_режим)),1),_xlpm.ex,IF(Имя_режим="по экспликации",IFERROR(_xlfn.XLOOKUP(AZ270&amp;"|"&amp;BB270,Экспликация[Этаж]&amp;"|"&amp;Экспликация[Помещение],Экспликация[Название])&amp;"",""),""),_xlpm.rm,IF(BB270="","",IF(_xlpm.ex&lt;&gt;"",". "&amp;_xlpm.ex&amp;IF(Имя_пом="нет"," ("&amp;BB270&amp;")"," (пом. "&amp;BB270&amp;")"),IF(Имя_пом="нет"," ",", пом. ")&amp;BB270)),IF(_xlpm.nm="","",IF(_xlpm.md=2,_xlpm.nm&amp;" шлейф "&amp;AZ270,_xlpm.nm&amp;_xlpm.rm)))))</f>
        <v>Розеточная группа, пом. 021A</v>
      </c>
      <c r="BE270" t="str">
        <f t="shared" si="500"/>
        <v>Розеточная группа Первый этаж Пом. №021A Духовой шкаф</v>
      </c>
      <c r="BF270">
        <f>IFERROR(_xlfn.XMATCH(A270,Щиты[Щит]),0)</f>
        <v>10</v>
      </c>
      <c r="BG270">
        <f>_xlfn.LET(_xlpm.k,IFERROR(_xlfn.XLOOKUP(A270,Щиты[Щит],Щиты[Листов под вводной узел]),""),IF(_xlpm.k="",1,N(_xlpm.k))*Столбцов_на_лист)</f>
        <v>17</v>
      </c>
      <c r="BH270">
        <f t="shared" si="501"/>
        <v>69</v>
      </c>
      <c r="BI270" t="str">
        <f t="shared" si="502"/>
        <v>линии</v>
      </c>
      <c r="BJ270" s="6">
        <f>IFERROR(N(_xlfn.XLOOKUP(AX270,Коды_код,Коды_квт)),0)</f>
        <v>0</v>
      </c>
      <c r="BK270">
        <f t="shared" si="503"/>
        <v>0</v>
      </c>
      <c r="BL270" t="str">
        <f>IF(B270="","",IF(BC270&lt;&gt;"",IFERROR(_xlfn.XLOOKUP(BC270,Щиты[Щит],Щиты[Руст, кВт]),0),IF(BK270=1,IFERROR(_xlfn.XLOOKUP(A270,Щиты[Щит],Щиты[Руст, кВт]),0),IF(BJ270&gt;0,ROUND(BJ270*MAX(1,N(D270)),3),""))))</f>
        <v/>
      </c>
      <c r="BM270">
        <f t="shared" si="504"/>
        <v>3.7</v>
      </c>
      <c r="BN270" s="6">
        <f>IF(B270="","",IF(BC270&lt;&gt;"",IFERROR(_xlfn.XLOOKUP(BC270,Щиты[Щит],Щиты[Руст, кВт]),0),N(BM270)))</f>
        <v>3.7</v>
      </c>
      <c r="BO270" t="str">
        <f>IF(B270="","",IFERROR(IF(VLOOKUP(AX270,Потребители_обозначение,8,FALSE)=0,"",VLOOKUP(AX270,Потребители_обозначение,8,FALSE)),""))</f>
        <v/>
      </c>
      <c r="BP270">
        <f t="shared" si="505"/>
        <v>230</v>
      </c>
      <c r="BQ270">
        <f>IF(B270="","",IF(BC270&lt;&gt;"",3,IFERROR(IF(N(VLOOKUP(AX270,Потребители_обозначение,9,FALSE))=0,1,VLOOKUP(AX270,Потребители_обозначение,9,FALSE)),1)))</f>
        <v>1</v>
      </c>
      <c r="BR270">
        <f t="shared" si="506"/>
        <v>1</v>
      </c>
      <c r="BS270" t="str">
        <f>IF(B270="","",_xlfn.LET(_xlpm.bc,IFERROR(IF(VLOOKUP(AX270,Потребители_обозначение,6,FALSE)=0,"",VLOOKUP(AX270,Потребители_обозначение,6,FALSE)&amp;""),""),IF(AND(FK270="да",OR(_xlpm.bc="",_xlpm.bc="мс")),Марка_пож,IF(AND(_xlpm.bc="",BC270&lt;&gt;""),"мс",_xlpm.bc))))</f>
        <v/>
      </c>
      <c r="BT270" t="str">
        <f t="shared" si="507"/>
        <v>мс</v>
      </c>
      <c r="BU270">
        <f>IF(B270="","",_xlfn.LET(_xlpm.cc,IFERROR(N(VLOOKUP(AX270,Потребители_обозначение,7,FALSE)),0),IF(_xlpm.cc&gt;0,_xlpm.cc,IF(BT270="","",IF(N(BR270)=3,5,3)))))</f>
        <v>3</v>
      </c>
      <c r="BV270">
        <f t="shared" si="508"/>
        <v>3</v>
      </c>
      <c r="BW270">
        <f>IFERROR(N(VLOOKUP(AX270,Потребители_обозначение,10,FALSE)),0)</f>
        <v>0</v>
      </c>
      <c r="BX270">
        <f>IFERROR(VLOOKUP(AX270,Потребители_обозначение,5,FALSE),0)</f>
        <v>1</v>
      </c>
      <c r="BY270" s="6" cm="1">
        <f t="array" ref="BY270">IF(B270="","",IF(BC270&lt;&gt;"",IFERROR(_xlfn.XLOOKUP(BC270,Щиты[Щит],Щиты[cos φ]),0.95),IF(BK270=1,IFERROR(_xlfn.XLOOKUP(A270,Щиты[Щит],Щиты[cos φ]),0.95),IF(ISNUMBER(Z270),Z270,IFERROR(IF(BX270=2,_xlfn.IFS(BR270=3,VLOOKUP(BN270,Справочная_двигатели,8,FALSE),BR270=1,VLOOKUP(BN270,Справочная_двигатели,10,TRUE)),IF(AND(Методика="нормы 2026",EQ270="Сил"),0.8,0.95)),0.95)))))</f>
        <v>0.95</v>
      </c>
      <c r="BZ270">
        <f t="shared" si="509"/>
        <v>0</v>
      </c>
      <c r="CA270">
        <f t="shared" si="510"/>
        <v>1</v>
      </c>
      <c r="CB270">
        <f t="shared" si="511"/>
        <v>0</v>
      </c>
      <c r="CC270">
        <f t="shared" si="512"/>
        <v>0</v>
      </c>
      <c r="CD270">
        <f t="shared" si="513"/>
        <v>0</v>
      </c>
      <c r="CE270">
        <f t="shared" si="514"/>
        <v>0</v>
      </c>
      <c r="CF270">
        <f t="shared" si="515"/>
        <v>0</v>
      </c>
      <c r="CG270">
        <f>IF(AX270="",0,_xlfn.LET(_xlpm.v,IFERROR(VLOOKUP(B270,УГО_спр,3,FALSE),IFERROR(VLOOKUP(AX270,УГО_спр,3,FALSE),IFERROR(VLOOKUP(LEFT(AX270,2),УГО_спр,3,FALSE),""))),IF(_xlpm.v="да",30,IF(ISNUMBER(_xlpm.v),_xlpm.v,0))))</f>
        <v>30</v>
      </c>
      <c r="CH270">
        <f t="shared" si="516"/>
        <v>30</v>
      </c>
      <c r="CI270" t="str">
        <f>_xlfn.LET(_xlpm.k,IFERROR(_xlfn.XLOOKUP(AX270,Коды_код,Коды_утечка)&amp;"",""),IF(_xlpm.k="","дифавтомат",_xlpm.k))</f>
        <v>дифавтомат</v>
      </c>
      <c r="CJ270">
        <f t="shared" si="517"/>
        <v>30</v>
      </c>
      <c r="CK270">
        <f t="shared" si="518"/>
        <v>30</v>
      </c>
      <c r="CL270">
        <f>IF(B270="",0,IFERROR(--VLOOKUP(B270,УГО_спр,4,FALSE),IFERROR(--VLOOKUP(AX270,УГО_спр,4,FALSE),IFERROR(--VLOOKUP(LEFT(AX270,2),УГО_спр,4,FALSE),0))))</f>
        <v>16</v>
      </c>
      <c r="CM270" t="str">
        <f>IF(B270="","",IFERROR(_xlfn.XLOOKUP(AX270,Коды_код,Коды_апп)&amp;"",""))</f>
        <v/>
      </c>
      <c r="CN270" t="str">
        <f t="shared" si="519"/>
        <v/>
      </c>
      <c r="CO270" t="str" cm="1">
        <f t="array" ref="CO270">IF(TRIM(CN270&amp;"")="","",IFERROR(TRIM(INDEX(_xlfn.TEXTSPLIT(CN270&amp;";;;",";"),1)),""))</f>
        <v/>
      </c>
      <c r="CP270" t="str" cm="1">
        <f t="array" ref="CP270">IF(TRIM(CN270&amp;"")="","",IFERROR(TRIM(INDEX(_xlfn.TEXTSPLIT(CN270&amp;";;;",";"),2)),""))</f>
        <v/>
      </c>
      <c r="CQ270" t="str" cm="1">
        <f t="array" ref="CQ270">IF(TRIM(CN270&amp;"")="","",IFERROR(TRIM(INDEX(_xlfn.TEXTSPLIT(CN270&amp;";;;",";"),3)),""))</f>
        <v/>
      </c>
      <c r="CR270">
        <f t="shared" si="520"/>
        <v>0</v>
      </c>
      <c r="CS270" t="str">
        <f>IF(B270="","",_xlfn.LET(_xlpm.t,LOWER(AV270&amp;""),IF(ISNUMBER(SEARCH("dim",_xlpm.t)),"DIM",IF(ISNUMBER(SEARCH("dali",_xlpm.t)),"DALI",IF(OR(ISNUMBER(SEARCH("relay",_xlpm.t)),ISNUMBER(SEARCH("реле",_xlpm.t))),"Relay",IF(ISNUMBER(SEARCH("кнопк",_xlpm.t)),"",IFERROR(_xlfn.XLOOKUP(AX270,Коды_код,Коды_упр)&amp;"","")))))))</f>
        <v/>
      </c>
      <c r="CT270" t="str">
        <f t="shared" si="521"/>
        <v/>
      </c>
      <c r="CU270">
        <f>IF(B270="","",_xlfn.LET(_xlpm.ig,N(P270)+IF(AF270="вручную",0,N(CB270)),_xlpm.n0,IFERROR(VLOOKUP(_xlpm.ig,Автомат_номиналы,2,TRUE),0),_xlpm.mn,MAX(CL270,IF(AF270="вручную",0,N(CE270))),MAX(_xlpm.n0,_xlpm.mn,IF(CR270=1,Мин_автомат_БП,0))))</f>
        <v>20</v>
      </c>
      <c r="CV270">
        <f t="shared" si="522"/>
        <v>1</v>
      </c>
      <c r="CW270" t="str">
        <f t="shared" si="523"/>
        <v>2P</v>
      </c>
      <c r="CX270" t="str">
        <f>_xlfn.LET(_xlpm.cc,UPPER(TRIM(IFERROR(_xlfn.XLOOKUP(AX270,Коды_код,Коды_хар)&amp;"",""))),IF(OR(_xlpm.cc="B",_xlpm.cc="В"),"B",IF(_xlpm.cc="D","D","С")))</f>
        <v>С</v>
      </c>
      <c r="CY270" t="str">
        <f t="shared" si="524"/>
        <v>2P С20А 30мА</v>
      </c>
      <c r="CZ270" t="str">
        <f t="shared" si="525"/>
        <v>2P С20А 30мА</v>
      </c>
      <c r="DA270" t="str">
        <f t="shared" si="526"/>
        <v>2P С20А 30мА</v>
      </c>
      <c r="DB270" cm="1">
        <f t="array" ref="DB270">IF(DA270="","",_xlfn.LET(_xlpm.t,SUBSTITUTE(SUBSTITUTE(SUBSTITUTE(UPPER(DA270),"С","C"),"А","A"),"В","B"),_xlpm.tk,_xlfn.TEXTSPLIT(_xlpm.t,"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270" t="str">
        <f t="shared" si="527"/>
        <v>ok</v>
      </c>
      <c r="DD270">
        <f t="shared" si="528"/>
        <v>20</v>
      </c>
      <c r="DE270" t="str">
        <f t="shared" si="529"/>
        <v>2P С20А 30мА</v>
      </c>
      <c r="DF270">
        <f t="shared" si="530"/>
        <v>30</v>
      </c>
      <c r="DG270">
        <f t="shared" si="531"/>
        <v>1</v>
      </c>
      <c r="DH270">
        <f t="shared" si="532"/>
        <v>0</v>
      </c>
      <c r="DI270">
        <f t="shared" si="533"/>
        <v>16.864705231591699</v>
      </c>
      <c r="DJ270">
        <f t="shared" si="534"/>
        <v>1</v>
      </c>
      <c r="DK270">
        <f>IF(ISNUMBER(AL270),AL270,К_прокл)</f>
        <v>1</v>
      </c>
      <c r="DL270">
        <f t="shared" si="535"/>
        <v>2</v>
      </c>
      <c r="DM270">
        <f>IFERROR(N(VLOOKUP(BT270,Кабель_обозначение,3,FALSE)),1)</f>
        <v>1</v>
      </c>
      <c r="DN270">
        <f>IFERROR(N(_xlfn.XLOOKUP(A270,Щиты[Щит],Щиты[ΔU до шин, %])),0)</f>
        <v>1.19</v>
      </c>
      <c r="DO270" t="str">
        <f>IFERROR(_xlfn.XLOOKUP(A270,Щиты[Щит],Щиты[Zпетли на шинах, Ом]),"")</f>
        <v/>
      </c>
      <c r="DP270">
        <f>IFERROR(N(_xlfn.XLOOKUP(A270,Щиты[Щит],Щиты[ΔU до шин (подбор), %])),0)</f>
        <v>1.19</v>
      </c>
      <c r="DQ270" t="str">
        <f>IFERROR(_xlfn.XLOOKUP(A270,Щиты[Щит],Щиты[Zпетли на шинах (подбор), Ом]),"")</f>
        <v/>
      </c>
      <c r="DR270" t="str">
        <f t="shared" si="536"/>
        <v/>
      </c>
      <c r="DS270">
        <f t="shared" si="537"/>
        <v>36</v>
      </c>
      <c r="DT270">
        <f t="shared" si="538"/>
        <v>2</v>
      </c>
      <c r="DU270">
        <f t="shared" si="539"/>
        <v>0.31</v>
      </c>
      <c r="DV270" s="6">
        <f>IF(B270="","",IF(IFERROR(VLOOKUP(AX270,УГО_спр,2,FALSE),"")="Светильник",3,4)+IF(Методика="нормы 2026",MIN(0.5,MAX(0,N(Q270)-100)*0.005),0))</f>
        <v>4</v>
      </c>
      <c r="DW270" cm="1">
        <f t="array" ref="DW270">IF(OR(B270="",BT270="",DM270&lt;&gt;1),"",_xlfn.LET(_xlpm.sz,Iдоп_S,_xlpm.t_,CHOOSE(DL270,Iдоп_1ж,Iдоп_2ж,Iдоп_3ж)*DJ270*DK270,_xlpm.inn,N(DD270),_xlpm.smin,MAX(1.5,BW270),_xlpm.L_,N(Q270)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270)*(_xlpm.rho*_xlpm.L_/_xlpm.sz*N(BY270)+_xlpm.xx*_xlpm.L_*N(DU270)/1000)*N(P270)/((Uн_лин/SQRT(3))*1000)*100,999),_xlpm.kz,IF(OR(DG270=1,NOT(ISNUMBER(DQ270)),_xlpm.L_=0,_xlpm.inn=0),1,IFERROR(--(c_min*(Uн_лин*1000/SQRT(3))/(DQ270+2*ρкз_Cu*_xlpm.L_/_xlpm.sz)&gt;=GY270*_xlpm.inn),0)),_xlpm.ok,IFERROR((_xlpm.sz&gt;=_xlpm.smin)*(_xlpm.t_&gt;=_xlpm.inn)*IF(_xlpm.L_&gt;0,(_xlpm.du_+DP270&lt;=DV270+0.00001),1)*_xlpm.kz,0),_xlpm.r_,_xlfn._xlws.FILTER(_xlpm.sz,_xlpm.ok,"не подобрано"),INDEX(_xlpm.r_,1)))</f>
        <v>6</v>
      </c>
      <c r="DX270">
        <f t="shared" si="540"/>
        <v>4</v>
      </c>
      <c r="DY270" cm="1">
        <f t="array" ref="DY270">IF(OR(B270="",BT270="",DM270&lt;&gt;1),"",_xlfn.LET(_xlpm.sz,Iдоп_S,_xlpm.t_,CHOOSE(DL270,Iдоп_1ж,Iдоп_2ж,Iдоп_3ж)*DJ270*DK270,_xlpm.ok,IFERROR((_xlpm.sz&gt;=MAX(1.5,BW270))*(_xlpm.t_&gt;=N(DD270)),0),_xlpm.r_,_xlfn._xlws.FILTER(_xlpm.sz,_xlpm.ok,""),INDEX(_xlpm.r_,1)))</f>
        <v>2.5</v>
      </c>
      <c r="DZ270" s="6" cm="1">
        <f t="array" ref="DZ270">IFERROR(ROUNDUP(N(DT270)*(_xlfn.XLOOKUP(DY270,INDEX(Кабель_сопротивление,0,1),INDEX(Кабель_сопротивление,0,3))*N(Q270)/DY270*N(BY270)+_xlfn.XLOOKUP(DY270,INDEX(Кабель_сопротивление,0,1),INDEX(Кабель_сопротивление,0,2))*N(Q270)*N(DU270)/1000)*N(P270)/((Uн_лин/SQRT(3))*1000)*100,2),"")</f>
        <v>4.8899999999999997</v>
      </c>
      <c r="EA270">
        <f>IFERROR(2*ρкз_Cu*N(Q270)/DY270,"")</f>
        <v>0.82056000000000007</v>
      </c>
      <c r="EB270">
        <f>IFERROR(VLOOKUP(DX270,Кабель_сопротивление,3,FALSE),"")</f>
        <v>2.2499999999999999E-2</v>
      </c>
      <c r="EC270">
        <f>IFERROR(VLOOKUP(DX270,Кабель_сопротивление,2,FALSE),"")</f>
        <v>9.5000000000000001E-2</v>
      </c>
      <c r="ED270">
        <f t="shared" si="541"/>
        <v>19</v>
      </c>
      <c r="EE270">
        <f t="shared" si="542"/>
        <v>0</v>
      </c>
      <c r="EF270">
        <f t="shared" si="543"/>
        <v>7.0681598637303038</v>
      </c>
      <c r="EG270" s="6">
        <f>IFERROR(ROUNDUP(EF270/((Uн_лин/SQRT(3))*1000)*100,2),"")</f>
        <v>3.07</v>
      </c>
      <c r="EH270" t="str">
        <f>IFERROR(VLOOKUP(BT270,Кабель_обозначение,2,FALSE),"")</f>
        <v>ВВГнг(А)-LS</v>
      </c>
      <c r="EI270" t="str">
        <f t="shared" si="544"/>
        <v>ВВГнг(А)-LS (3х4)</v>
      </c>
      <c r="EJ270" t="str">
        <f t="shared" si="545"/>
        <v>ВВГнг(А)-LS (3х4)
L=39-3,07%</v>
      </c>
      <c r="EK270">
        <f>IFERROR(2*ρкз_Cu*Q270/DX270,"")</f>
        <v>0.51285000000000003</v>
      </c>
      <c r="EL270">
        <f t="shared" si="546"/>
        <v>0.17062500000000003</v>
      </c>
      <c r="EM270" s="6" t="str">
        <f>IFERROR(IF(OR(B270="",NOT(ISNUMBER(DX270)),N(Q270)=0),"",_xlfn.XLOOKUP(A270,Щиты[Щит],Щиты[Zпетли на шинах, Ом])+EK270),"")</f>
        <v/>
      </c>
      <c r="EN270" s="6" t="str">
        <f>IF(ISNUMBER(EM270),c_min*(Uн_лин*1000/SQRT(3))/EM270,"")</f>
        <v/>
      </c>
      <c r="EO270" s="6" t="str">
        <f>IFERROR(IF(OR(B270="",NOT(ISNUMBER(DX270))),"",1.05*(Uн_лин*1000/SQRT(3))/(_xlfn.XLOOKUP(A270,Щиты[Щит],Щиты[Zmax на шинах, Ом])+EL270)/1000),"")</f>
        <v/>
      </c>
      <c r="EP270" s="6" t="str">
        <f>IF(B270="","",IF(ISNUMBER(Y270),"Сил",IF(IFERROR(_xlfn.XLOOKUP(AX270,Коды_код,Коды_группа)&amp;"","")="","Быт",_xlfn.XLOOKUP(AX270,Коды_код,Коды_группа)&amp;"")))</f>
        <v>Быт</v>
      </c>
      <c r="EQ270" s="6" t="str">
        <f t="shared" si="547"/>
        <v>Быт</v>
      </c>
      <c r="ER270" s="6">
        <f>IF(EQ270="Щит","щит",IF(EQ270="","",IF(EQ270="Быт",IFERROR(_xlfn.XLOOKUP(A270,Щиты[Щит],Щиты[Кс быт]),1),IF(EQ270="Сил",IF(ISNUMBER(Y270),Y270,IF(Методика="нормы 2026",IFERROR(_xlfn.XLOOKUP(A270,Щиты[Щит],Щиты[Кс силовых (табл. 7.5)]),1),1)),IF(OR(EQ270="Пост",EQ270="Отоп"),1,IF(EQ270="ВНГ",0.7,0))))))</f>
        <v>0.57830000000000004</v>
      </c>
      <c r="ES270">
        <f t="shared" si="548"/>
        <v>1</v>
      </c>
      <c r="ET270">
        <f t="shared" si="549"/>
        <v>3.7</v>
      </c>
      <c r="EU270">
        <f t="shared" si="550"/>
        <v>3.7</v>
      </c>
      <c r="EV270">
        <f t="shared" si="551"/>
        <v>0</v>
      </c>
      <c r="EW270">
        <f t="shared" si="552"/>
        <v>0</v>
      </c>
      <c r="EX270">
        <f t="shared" si="553"/>
        <v>0</v>
      </c>
      <c r="EY270">
        <f t="shared" si="554"/>
        <v>0</v>
      </c>
      <c r="EZ270">
        <f t="shared" si="555"/>
        <v>3.7</v>
      </c>
      <c r="FA270">
        <f t="shared" si="556"/>
        <v>3.5150000000000001</v>
      </c>
      <c r="FB270">
        <f t="shared" si="557"/>
        <v>3.7</v>
      </c>
      <c r="FC270" t="str">
        <f t="shared" si="558"/>
        <v/>
      </c>
      <c r="FD270" t="str">
        <f>IF(B270="","",IF(CA270=0,IF(AW270=1,"",FF269),IF(OR(N(CV270)&gt;=3,N(BR270)&gt;=3),"L1,L2,L3",IFERROR(_xlfn.TEXTBEFORE(_xlfn.TEXTAFTER(_xlfn.XLOOKUP(A270,Щиты[Щит],Щиты[_фазы авто]),";"&amp;AW270&amp;":"),";"),"L1"))))</f>
        <v>L2</v>
      </c>
      <c r="FE270" t="str">
        <f t="shared" si="559"/>
        <v>L2</v>
      </c>
      <c r="FF270" t="str">
        <f t="shared" si="560"/>
        <v>L2</v>
      </c>
      <c r="FG270" cm="1">
        <f t="array" ref="FG270">IFERROR(IF(BX270=2,_xlfn.IFS(BR270=3,VLOOKUP(BN270,Справочная_двигатели,3,FALSE),BR270=1,VLOOKUP(BN270,Справочная_двигатели,5,TRUE)),0),0)</f>
        <v>0</v>
      </c>
      <c r="FH270">
        <f>IFERROR(IF(BX270=3,VLOOKUP(BN270,Справочная_ЛЭД,2,TRUE),0),0)</f>
        <v>0</v>
      </c>
      <c r="FI270" s="6">
        <f t="shared" si="561"/>
        <v>0</v>
      </c>
      <c r="FJ270" t="str" cm="1">
        <f t="array" ref="FJ270">IF(B270="","",IFERROR(INDEX({"I особая","I","II","III"},MATCH(TRIM(AC270&amp;""),{"I особая","I","II","III"},0)),"III"))</f>
        <v>II</v>
      </c>
      <c r="FK270" t="str">
        <f>IF(B270="","",IF(TRIM(AD270&amp;"")&lt;&gt;"",IF(LOWER(TRIM(AD270&amp;""))="да","да","нет"),IF(IFERROR(_xlfn.XLOOKUP(AX270,Коды_код,Коды_пожарная),"")="да","да","нет")))</f>
        <v>нет</v>
      </c>
      <c r="FL270" t="str">
        <f t="shared" si="562"/>
        <v/>
      </c>
      <c r="FM270" t="str">
        <f t="shared" si="563"/>
        <v>основная</v>
      </c>
      <c r="FN270">
        <f t="shared" si="564"/>
        <v>1</v>
      </c>
      <c r="FO270" t="str" cm="1">
        <f t="array" ref="FO270">IF(B270="","",_xlfn.LET(_xlpm.t,IFERROR(_xlfn.XLOOKUP(1,(Шины[Шина]=FM270)*(((Шины[Щит]=A270)+(Шины[Щит]=""))&gt;0),Шины[Тип]),"")&amp;"",IF(_xlpm.t&lt;&gt;"",_xlpm.t,IF(ISNUMBER(SEARCH("ИБП",FM270)),"ИБП",IF(ISNUMBER(SEARCH("ДГУ",FM270)),"ДГУ","Ввод "&amp;FN270)))))</f>
        <v>Ввод 1</v>
      </c>
      <c r="FP270" t="str">
        <f t="shared" si="565"/>
        <v>Ввод 1</v>
      </c>
      <c r="FQ270" t="str">
        <f>IF(B270="","",IF(OR(FO270="ИБП",FO270="ДГУ"),"I особая",IF(FO270="Одиночная","III",_xlfn.XLOOKUP(A270,Щиты[Щит],Щиты[Категория шины «Ввод»],"III"))))</f>
        <v>II</v>
      </c>
      <c r="FR270">
        <f>IF(B270="",0,IFERROR(MATCH(FJ270,{"III","II","I","I особая"},0),1))</f>
        <v>2</v>
      </c>
      <c r="FS270">
        <f t="shared" si="566"/>
        <v>2</v>
      </c>
      <c r="FT270" t="str">
        <f>IF(B270="","",IF(FR270&gt;IFERROR(MATCH(FQ270,{"III","II","I","I особая"},0),1),"НЕ ОБЕСПЕЧЕНА","ОК"))</f>
        <v>ОК</v>
      </c>
      <c r="FU270" t="str">
        <f>IF(A270="","",_xlfn.XLOOKUP(A270,Щиты[Щит],Щиты[Путь],""))</f>
        <v>|ГРЩ-ЖД|ЩР-1|</v>
      </c>
      <c r="FV270" t="str">
        <f>IF(B270="","",IF(AE270&lt;&gt;"",AE270,IF(IFERROR(_xlfn.XLOOKUP(AX270,Коды_код,Коды_вид)&amp;"","")="","Прочее",_xlfn.XLOOKUP(AX270,Коды_код,Коды_вид)&amp;"")))</f>
        <v>Розеточная сеть и бытовые приборы</v>
      </c>
      <c r="FW270">
        <f>IF(BH270="","",INT((BH270-1)/Столбцов_на_лист)+1)</f>
        <v>5</v>
      </c>
      <c r="FX270" t="str">
        <f t="shared" si="567"/>
        <v>ВВГнг(А)-LS (3х4) L=39-3,07%</v>
      </c>
      <c r="FY270">
        <f t="shared" si="568"/>
        <v>3.7</v>
      </c>
      <c r="FZ270">
        <f t="shared" si="569"/>
        <v>16.87</v>
      </c>
      <c r="GA270">
        <f t="shared" si="570"/>
        <v>1</v>
      </c>
      <c r="GB270">
        <f t="shared" si="571"/>
        <v>0</v>
      </c>
      <c r="GC270">
        <f t="shared" si="572"/>
        <v>1</v>
      </c>
      <c r="GD270">
        <f>IF(BH270="","",IF(AND(CA270=1,GC270=1),COUNTIFS(A$3:A270,A270,CA$3:CA270,1,GC$3:GC270,1),IF(OR(OR(AW270=1,A270&lt;&gt;A269),AF270="вручную",GC270=0),"",IF(AW270=1,"",GE269))))</f>
        <v>46</v>
      </c>
      <c r="GE270">
        <f t="shared" si="573"/>
        <v>46</v>
      </c>
      <c r="GF270">
        <f>IF(B270="","",IFERROR(LOOKUP(INDEX(CHOOSE(DL270,Iдоп_1ж,Iдоп_2ж,Iдоп_3ж),MATCH(DX270,Iдоп_S,0))*DJ270*DK270,{6,10,16,20,25,32,40,50,63,80,100,125,160,200,250,315,400,500,630}),""))</f>
        <v>32</v>
      </c>
      <c r="GG270" t="str">
        <f t="shared" si="574"/>
        <v>QFD46</v>
      </c>
      <c r="GH270" t="str">
        <f t="shared" si="575"/>
        <v>QFD46</v>
      </c>
      <c r="GI270" t="str">
        <f t="shared" si="576"/>
        <v/>
      </c>
      <c r="GJ270">
        <f t="shared" si="577"/>
        <v>0</v>
      </c>
      <c r="GK270" t="str">
        <f>IF(OR(AG270="",AG270="-"),"",IFERROR(VLOOKUP(AG270,Модули_спр,2,FALSE),"R"))</f>
        <v/>
      </c>
      <c r="GL270" t="str">
        <f>IF(GK270="","",GK270&amp;"."&amp;COUNTIFS(A$3:A270,A270,GK$3:GK270,GK270))</f>
        <v/>
      </c>
      <c r="GM270" t="str">
        <f t="shared" si="578"/>
        <v/>
      </c>
      <c r="GN270" t="str">
        <f t="shared" si="579"/>
        <v/>
      </c>
      <c r="GO270" t="str">
        <f t="shared" si="580"/>
        <v/>
      </c>
      <c r="GP270" t="str">
        <f t="shared" si="581"/>
        <v/>
      </c>
      <c r="GQ270">
        <f t="shared" si="582"/>
        <v>1</v>
      </c>
      <c r="GR270" t="str">
        <f>IF(GQ270=1,"XT"&amp;COUNTIFS(A$3:A270,A270,GQ$3:GQ270,1),"")</f>
        <v>XT46</v>
      </c>
      <c r="GS270" t="str">
        <f t="shared" si="583"/>
        <v>XT46</v>
      </c>
      <c r="GT270" t="str">
        <f t="shared" si="584"/>
        <v>QFD46</v>
      </c>
      <c r="GU270" t="str">
        <f t="shared" si="585"/>
        <v/>
      </c>
      <c r="GV270" t="str">
        <f t="shared" si="586"/>
        <v>ok</v>
      </c>
      <c r="GW270" t="str">
        <f>IF(OR(GO270="",GM270=""),"",IF(GO270&gt;IFERROR(VLOOKUP(GN270,Модули_спр,3,FALSE),99),"ЛИШНИЙ КАНАЛ",IF(AND(AH270&lt;&gt;"=",COUNTIFS(Линии[_модуль гр.],GM270,Линии[Канал (итог)],GO270,Линии[Канал],"&lt;&gt;=",Линии[Щит],A270)&gt;1),"ДУБЛЬ КАНАЛА","")))</f>
        <v/>
      </c>
      <c r="GX270" s="6" t="str">
        <f t="shared" si="587"/>
        <v/>
      </c>
      <c r="GY270">
        <f t="shared" si="588"/>
        <v>10</v>
      </c>
      <c r="GZ270" t="str">
        <f t="shared" si="589"/>
        <v/>
      </c>
      <c r="HA270" t="str">
        <f>IF(AND(B270="",GT270=""),"",_xlfn.TEXTJOIN("; ",TRUE,IF(AND(B270&lt;&gt;"",FE270=""),"нет фазы",""),IF(AND(B270&lt;&gt;"",N(FY270)=0,EQ270&lt;&gt;"Нет"),"нет мощности",""),IF(AND(GS270&lt;&gt;"",COUNTIFS(Линии[Щит],A270,Линии[Клемма (итог)],GS270)&gt;1),"дубль клеммы "&amp;GS270,""),IF(AND(GV270&lt;&gt;"",GV270&lt;&gt;"ok"),GV270,""),IF(GW270&lt;&gt;"",GW270,""),IF(AND(N(BV270)&gt;=4,N(BR270)=1),BV270&amp;" жил на 1 фазе",""),IF(AND(AX270="R",CA270=1,OR(N(CK270)=0,N(CK270)&gt;30)),"розетка без дифзащиты до 30 мА",""),IFERROR(IF(AND(ISNUMBER(R270),R270&gt;DV270),"потери "&amp;FIXED(R270,1)&amp;" % &gt; "&amp;DV270&amp;" %",""),""),IFERROR(IF(LEFT(GZ270,4)="мало","Iкз мало — отключение &gt; 0,4 с",""),""),IF(AND(B270&lt;&gt;"",BH270=""),"не на схеме",""),IF(AND(CA270=0,B270&lt;&gt;"",FE270&lt;&gt;"",IF(AW270=1,"",FF269)&lt;&gt;"",FE270&lt;&gt;IF(AW270=1,"",FF269)),"фаза не как у автомата группы ("&amp;IF(AW270=1,"",FF269)&amp;")","")))</f>
        <v>потери 4,3 % &gt; 4 %</v>
      </c>
      <c r="HB270" s="6">
        <f>IF(OR(CA270=0,DA270=""),"",_xlfn.LET(_xlpm.t,IFERROR(_xlfn.XLOOKUP(DA270,Каталог!$U$4:$U$500,Каталог!$G$4:$G$500),""),_xlpm.k,SEARCH("кА",_xlpm.t),IFERROR(--TRIM(RIGHT(SUBSTITUTE(MID(_xlpm.t,MAX(1,_xlpm.k-4),_xlpm.k-MAX(1,_xlpm.k-4))," ",REPT(" ",9)),5)),"")))</f>
        <v>6</v>
      </c>
      <c r="HC270" t="str">
        <f>IF(OR(HB270="",CA270=0),"",IF(_xlfn.XLOOKUP(A270,Щиты[Щит],Щиты[Iкз max на шинах, кА],"")="","",IF(HB270&lt;_xlfn.XLOOKUP(A270,Щиты[Щит],Щиты[Iкз max на шинах, кА]),"Icu "&amp;HB270&amp;" кА &lt; Iкз max","ok")))</f>
        <v/>
      </c>
      <c r="HD270" t="str">
        <f t="shared" si="590"/>
        <v/>
      </c>
      <c r="HE270" t="str">
        <f t="shared" si="591"/>
        <v>QFD46|XT46</v>
      </c>
      <c r="HF270" t="str">
        <f t="shared" si="592"/>
        <v>QFD46|XT46|кабель ВВГнг(А)-LS (3х4) → Розеточная группа Первый этаж Пом. №021A Духовой шкаф</v>
      </c>
      <c r="HG270" t="str" cm="1">
        <f t="array" ref="HG270">IF(HF270="","",_xlfn.LET(_xlpm.nd,_xlfn.TEXTSPLIT(HF270,"|"),IF(COLUMNS(_xlpm.nd)&gt;1,A270&amp;"¦"&amp;INDEX(_xlpm.nd,1)&amp;"¦"&amp;INDEX(_xlpm.nd,2),"")))</f>
        <v>ЩР-1¦QFD46¦XT46</v>
      </c>
      <c r="HH270" t="str">
        <f t="shared" si="593"/>
        <v>R.1.021A.2¦Розеточная группа Первый этаж Пом. №021A Духовой шкаф</v>
      </c>
      <c r="HI270" t="str" cm="1">
        <f t="array" ref="HI270">IF(HF270="","",_xlfn.LET(_xlpm.nd,_xlfn.TEXTSPLIT(HF270,"|"),IF(COLUMNS(_xlpm.nd)&gt;2,A270&amp;"¦"&amp;INDEX(_xlpm.nd,2)&amp;"¦"&amp;INDEX(_xlpm.nd,3),"")))</f>
        <v>ЩР-1¦XT46¦кабель ВВГнг(А)-LS (3х4) → Розеточная группа Первый этаж Пом. №021A Духовой шкаф</v>
      </c>
      <c r="HJ270" t="str">
        <f t="shared" si="594"/>
        <v>R.1.021A.2¦Розеточная группа Первый этаж Пом. №021A Духовой шкаф</v>
      </c>
      <c r="HK270" t="str" cm="1">
        <f t="array" ref="HK270">IF(HF270="","",_xlfn.LET(_xlpm.nd,_xlfn.TEXTSPLIT(HF270,"|"),IF(COLUMNS(_xlpm.nd)&gt;3,A270&amp;"¦"&amp;INDEX(_xlpm.nd,3)&amp;"¦"&amp;INDEX(_xlpm.nd,4),"")))</f>
        <v/>
      </c>
      <c r="HL270" t="str">
        <f t="shared" si="595"/>
        <v/>
      </c>
      <c r="HM270" t="str" cm="1">
        <f t="array" ref="HM270">IF(HF270="","",_xlfn.LET(_xlpm.nd,_xlfn.TEXTSPLIT(HF270,"|"),IF(COLUMNS(_xlpm.nd)&gt;4,A270&amp;"¦"&amp;INDEX(_xlpm.nd,4)&amp;"¦"&amp;INDEX(_xlpm.nd,5),"")))</f>
        <v/>
      </c>
      <c r="HN270" t="str">
        <f t="shared" si="596"/>
        <v/>
      </c>
      <c r="HO270" t="str" cm="1">
        <f t="array" ref="HO270">IF(HF270="","",_xlfn.LET(_xlpm.nd,_xlfn.TEXTSPLIT(HF270,"|"),IF(COLUMNS(_xlpm.nd)&gt;5,A270&amp;"¦"&amp;INDEX(_xlpm.nd,5)&amp;"¦"&amp;INDEX(_xlpm.nd,6),"")))</f>
        <v/>
      </c>
      <c r="HP270" t="str">
        <f t="shared" si="597"/>
        <v/>
      </c>
      <c r="HQ270" t="str" cm="1">
        <f t="array" ref="HQ270">IF(HF270="","",_xlfn.LET(_xlpm.nd,_xlfn.TEXTSPLIT(HF270,"|"),IF(COLUMNS(_xlpm.nd)&gt;6,A270&amp;"¦"&amp;INDEX(_xlpm.nd,6)&amp;"¦"&amp;INDEX(_xlpm.nd,7),"")))</f>
        <v/>
      </c>
      <c r="HR270" t="str">
        <f t="shared" si="598"/>
        <v/>
      </c>
      <c r="HS270" t="str">
        <f t="shared" si="599"/>
        <v/>
      </c>
      <c r="HT270" t="str">
        <f t="shared" si="600"/>
        <v>QFD46 → XT46</v>
      </c>
      <c r="HU270">
        <f t="shared" si="601"/>
        <v>0</v>
      </c>
      <c r="HV270">
        <f t="shared" si="602"/>
        <v>1</v>
      </c>
      <c r="HW270" t="str">
        <f t="shared" si="603"/>
        <v/>
      </c>
      <c r="HX270" t="str">
        <f t="shared" si="604"/>
        <v/>
      </c>
      <c r="HY270" t="str">
        <f t="shared" si="605"/>
        <v/>
      </c>
      <c r="HZ270" t="str">
        <f t="shared" si="606"/>
        <v/>
      </c>
      <c r="IA270" t="str">
        <f>IF(B270="","",IFERROR(VLOOKUP(B270,УГО_спр,2,FALSE),IFERROR(VLOOKUP(AX270,УГО_спр,2,FALSE),IFERROR(VLOOKUP(LEFT(AX270,2),УГО_спр,2,FALSE),""))))</f>
        <v>Розетка</v>
      </c>
      <c r="IB270" t="str">
        <f>IF(B270="","",IF(OR(IA270="",IA270=0),"BOX",IFERROR(IF(VLOOKUP(IA270,УГО_блоки,3,FALSE)&amp;""&lt;&gt;"",VLOOKUP(IA270,УГО_блоки,3,FALSE),VLOOKUP(IA270,УГО_блоки,2,FALSE)),IA270)))</f>
        <v>SOCKET</v>
      </c>
      <c r="IC270">
        <f t="shared" si="607"/>
        <v>1</v>
      </c>
      <c r="ID270" t="str">
        <f>IF(DA270="","",IF(COUNTIF(DA$3:DA270,DA270)=1,MAX(ID$2:ID269)+1,""))</f>
        <v/>
      </c>
      <c r="IE270" t="str">
        <f>IF(CO270="","",IF(COUNTIF(CO$3:CO270,CO270)+COUNTIF(CP$2:CP269,CO270)+COUNTIF(CQ$2:CQ269,CO270)=1,MAX(IE$2:IG269)+1,""))</f>
        <v/>
      </c>
      <c r="IF270" t="str">
        <f>IF(CP270="","",IF(COUNTIF(CO$3:CO270,CP270)+COUNTIF(CP$3:CP270,CP270)+COUNTIF(CQ$2:CQ269,CP270)=1,MAX(IE$2:IG269,IE270)+1,""))</f>
        <v/>
      </c>
      <c r="IG270" t="str">
        <f>IF(CQ270="","",IF(COUNTIF(CO$3:CO270,CQ270)+COUNTIF(CP$3:CP270,CQ270)+COUNTIF(CQ$3:CQ270,CQ270)=1,MAX(IE$2:IG269,IE270,IF270)+1,""))</f>
        <v/>
      </c>
      <c r="IH270" t="str">
        <f t="shared" si="608"/>
        <v>3х4</v>
      </c>
      <c r="II270" t="str">
        <f>IF(IH270="","",IF(COUNTIF(IH$3:IH270,IH270)=1,MAX(II$2:II269)+1,""))</f>
        <v/>
      </c>
      <c r="IJ270" t="str">
        <f>IF(GL270="","",COUNTIF(GL$3:GL270,"?*"))</f>
        <v/>
      </c>
      <c r="IK270" t="str">
        <f>IF(OR(GL270="",GN270=""),"",IF(COUNTIFS(GL$3:GL270,"?*",GN$3:GN270,GN270)=1,MAX(IK$2:IK269)+1,""))</f>
        <v/>
      </c>
      <c r="IL270">
        <f t="shared" si="609"/>
        <v>1</v>
      </c>
      <c r="IM270">
        <f>IF(B270="","",COUNTIF(B$3:B270,"?*"))</f>
        <v>268</v>
      </c>
      <c r="IN270">
        <f>IF(GQ270&lt;&gt;1,0,_xlfn.LET(_xlpm.k,MAX(IFERROR(--VLOOKUP(B270,УГО_спр,5,FALSE),0),IFERROR(--VLOOKUP(AX270,УГО_спр,5,FALSE),0),IFERROR(--VLOOKUP(LEFT(AX270,2),УГО_спр,5,FALSE),0)),IF(_xlpm.k&gt;0,_xlpm.k,IF(IFERROR(--LEFT(SUBSTITUTE(IH270,"x","х"),FIND("х",SUBSTITUTE(IH270,"x","х"))-1),3)&gt;3,Каталог!$S$9,1))))</f>
        <v>1</v>
      </c>
      <c r="IO270">
        <f t="shared" si="610"/>
        <v>0</v>
      </c>
      <c r="IP270" t="str">
        <f t="shared" si="611"/>
        <v>авто</v>
      </c>
      <c r="IQ270">
        <f t="shared" si="612"/>
        <v>30</v>
      </c>
      <c r="IR270">
        <f t="shared" si="613"/>
        <v>1</v>
      </c>
      <c r="IS270">
        <f t="shared" si="614"/>
        <v>1</v>
      </c>
    </row>
    <row r="271" spans="1:253" x14ac:dyDescent="0.3">
      <c r="A271" t="s">
        <v>759</v>
      </c>
      <c r="B271" t="s">
        <v>1536</v>
      </c>
      <c r="C271" t="s">
        <v>1675</v>
      </c>
      <c r="D271">
        <v>1</v>
      </c>
      <c r="E271">
        <v>1.6</v>
      </c>
      <c r="G271" t="str">
        <f>Линии[[#This Row],[_авто автомат]]</f>
        <v>2P С16А 30мА</v>
      </c>
      <c r="H271">
        <f>Линии[[#This Row],[_авто утечка]]</f>
        <v>30</v>
      </c>
      <c r="I271" t="str">
        <f>Линии[[#This Row],[_авто управление]]</f>
        <v/>
      </c>
      <c r="J271" t="str">
        <f>Линии[[#This Row],[_авто аппараты]]</f>
        <v/>
      </c>
      <c r="K271">
        <v>2.5</v>
      </c>
      <c r="L271">
        <v>36</v>
      </c>
      <c r="M271" t="str">
        <f>Линии[[#This Row],[_авто фаза]]</f>
        <v>L1</v>
      </c>
      <c r="N271" t="str">
        <f>Линии[[#This Row],[_авто клемма]]</f>
        <v>XT47</v>
      </c>
      <c r="O271" t="str">
        <f t="shared" si="492"/>
        <v/>
      </c>
      <c r="P271" s="6" cm="1">
        <f t="array" ref="P271">IF(B271="","",IF(BC271&lt;&gt;"",IFERROR(_xlfn.XLOOKUP(BC271,Щиты[Щит],Щиты[Iр, А]),""),IF(BK271=1,IFERROR(_xlfn.XLOOKUP(A271,Щиты[Щит],Щиты[Iр, А]),""),IFERROR(_xlfn.IFS(BR271=1,BN271/((Uн_лин/SQRT(3))*BY271),BR271=3,BN271/(SQRT(3)*Uн_лин*BY271)),""))))</f>
        <v>7.292845505553168</v>
      </c>
      <c r="Q271" s="7">
        <f>IF(B271="","",IFERROR(IF(VLOOKUP(AX271,Потребители_обозначение,4,FALSE)=1,VLOOKUP(AX271,Потребители_обозначение,3,FALSE)*(D271*2-1)+DS271+VLOOKUP(AZ271,Этаж_обозначение,3,FALSE)+VLOOKUP(AZ271,Этаж_обозначение,4,FALSE),VLOOKUP(AX271,Потребители_обозначение,3,FALSE)*(D271*2-1)+DS271),DS271))</f>
        <v>39</v>
      </c>
      <c r="R271" s="6">
        <f t="shared" si="493"/>
        <v>3.3099999999999996</v>
      </c>
      <c r="S271" t="str">
        <f t="shared" si="494"/>
        <v>ВВГнг(А)-LS (3х2,5)</v>
      </c>
      <c r="T271" t="str">
        <f>IF(BH271="","",IF(BI271="вводной узел","узел ","")&amp;"л."&amp;(INT((BH271-1)/Столбцов_на_лист)+1)&amp;" / "&amp;(MOD(BH271-1,Столбцов_на_лист)+1))</f>
        <v>л.5 / 2</v>
      </c>
      <c r="V271">
        <v>1</v>
      </c>
      <c r="W271">
        <v>230</v>
      </c>
      <c r="X271" t="s">
        <v>564</v>
      </c>
      <c r="AC271" t="s">
        <v>815</v>
      </c>
      <c r="AE271" t="s">
        <v>563</v>
      </c>
      <c r="AI271">
        <v>70</v>
      </c>
      <c r="AJ271" t="s">
        <v>11</v>
      </c>
      <c r="AK271">
        <v>3</v>
      </c>
      <c r="AM271">
        <v>20</v>
      </c>
      <c r="AN271">
        <v>19</v>
      </c>
      <c r="AO271">
        <v>0</v>
      </c>
      <c r="AW271" cm="1">
        <f t="array" ref="AW271">ROW()-ROW(Линии[#Headers])</f>
        <v>269</v>
      </c>
      <c r="AX271" s="6" t="str">
        <f t="shared" si="495"/>
        <v>R</v>
      </c>
      <c r="AY271" t="str">
        <f t="shared" si="496"/>
        <v>1.021A.3</v>
      </c>
      <c r="AZ271" t="str">
        <f t="shared" si="497"/>
        <v>1</v>
      </c>
      <c r="BA271" t="str">
        <f t="shared" si="498"/>
        <v>021A.3</v>
      </c>
      <c r="BB271" t="str">
        <f t="shared" si="499"/>
        <v>021A</v>
      </c>
      <c r="BC271" t="str">
        <f>IF(U271&lt;&gt;"",U271,IF(AND(B271&lt;&gt;"",B271&lt;&gt;A271,ISNUMBER(_xlfn.XMATCH(B271,Щиты[Щит]))),B271,""))</f>
        <v/>
      </c>
      <c r="BD271" t="str" cm="1">
        <f t="array" ref="BD271">IF(B271="","",IF(BC271&lt;&gt;"","Щит "&amp;BC271,_xlfn.LET(_xlpm.nm,IFERROR(_xlfn.XLOOKUP(AX271,Коды_код,Коды_имя)&amp;"",""),_xlpm.md,IFERROR(N(_xlfn.XLOOKUP(AX271,Коды_код,Коды_режим)),1),_xlpm.ex,IF(Имя_режим="по экспликации",IFERROR(_xlfn.XLOOKUP(AZ271&amp;"|"&amp;BB271,Экспликация[Этаж]&amp;"|"&amp;Экспликация[Помещение],Экспликация[Название])&amp;"",""),""),_xlpm.rm,IF(BB271="","",IF(_xlpm.ex&lt;&gt;"",". "&amp;_xlpm.ex&amp;IF(Имя_пом="нет"," ("&amp;BB271&amp;")"," (пом. "&amp;BB271&amp;")"),IF(Имя_пом="нет"," ",", пом. ")&amp;BB271)),IF(_xlpm.nm="","",IF(_xlpm.md=2,_xlpm.nm&amp;" шлейф "&amp;AZ271,_xlpm.nm&amp;_xlpm.rm)))))</f>
        <v>Розеточная группа, пом. 021A</v>
      </c>
      <c r="BE271" t="str">
        <f t="shared" si="500"/>
        <v>Розеточная группа Первый этаж Пом. №021A Микроволновая печь</v>
      </c>
      <c r="BF271">
        <f>IFERROR(_xlfn.XMATCH(A271,Щиты[Щит]),0)</f>
        <v>10</v>
      </c>
      <c r="BG271">
        <f>_xlfn.LET(_xlpm.k,IFERROR(_xlfn.XLOOKUP(A271,Щиты[Щит],Щиты[Листов под вводной узел]),""),IF(_xlpm.k="",1,N(_xlpm.k))*Столбцов_на_лист)</f>
        <v>17</v>
      </c>
      <c r="BH271">
        <f t="shared" si="501"/>
        <v>70</v>
      </c>
      <c r="BI271" t="str">
        <f t="shared" si="502"/>
        <v>линии</v>
      </c>
      <c r="BJ271" s="6">
        <f>IFERROR(N(_xlfn.XLOOKUP(AX271,Коды_код,Коды_квт)),0)</f>
        <v>0</v>
      </c>
      <c r="BK271">
        <f t="shared" si="503"/>
        <v>0</v>
      </c>
      <c r="BL271" t="str">
        <f>IF(B271="","",IF(BC271&lt;&gt;"",IFERROR(_xlfn.XLOOKUP(BC271,Щиты[Щит],Щиты[Руст, кВт]),0),IF(BK271=1,IFERROR(_xlfn.XLOOKUP(A271,Щиты[Щит],Щиты[Руст, кВт]),0),IF(BJ271&gt;0,ROUND(BJ271*MAX(1,N(D271)),3),""))))</f>
        <v/>
      </c>
      <c r="BM271">
        <f t="shared" si="504"/>
        <v>1.6</v>
      </c>
      <c r="BN271" s="6">
        <f>IF(B271="","",IF(BC271&lt;&gt;"",IFERROR(_xlfn.XLOOKUP(BC271,Щиты[Щит],Щиты[Руст, кВт]),0),N(BM271)))</f>
        <v>1.6</v>
      </c>
      <c r="BO271" t="str">
        <f>IF(B271="","",IFERROR(IF(VLOOKUP(AX271,Потребители_обозначение,8,FALSE)=0,"",VLOOKUP(AX271,Потребители_обозначение,8,FALSE)),""))</f>
        <v/>
      </c>
      <c r="BP271">
        <f t="shared" si="505"/>
        <v>230</v>
      </c>
      <c r="BQ271">
        <f>IF(B271="","",IF(BC271&lt;&gt;"",3,IFERROR(IF(N(VLOOKUP(AX271,Потребители_обозначение,9,FALSE))=0,1,VLOOKUP(AX271,Потребители_обозначение,9,FALSE)),1)))</f>
        <v>1</v>
      </c>
      <c r="BR271">
        <f t="shared" si="506"/>
        <v>1</v>
      </c>
      <c r="BS271" t="str">
        <f>IF(B271="","",_xlfn.LET(_xlpm.bc,IFERROR(IF(VLOOKUP(AX271,Потребители_обозначение,6,FALSE)=0,"",VLOOKUP(AX271,Потребители_обозначение,6,FALSE)&amp;""),""),IF(AND(FK271="да",OR(_xlpm.bc="",_xlpm.bc="мс")),Марка_пож,IF(AND(_xlpm.bc="",BC271&lt;&gt;""),"мс",_xlpm.bc))))</f>
        <v/>
      </c>
      <c r="BT271" t="str">
        <f t="shared" si="507"/>
        <v>мс</v>
      </c>
      <c r="BU271">
        <f>IF(B271="","",_xlfn.LET(_xlpm.cc,IFERROR(N(VLOOKUP(AX271,Потребители_обозначение,7,FALSE)),0),IF(_xlpm.cc&gt;0,_xlpm.cc,IF(BT271="","",IF(N(BR271)=3,5,3)))))</f>
        <v>3</v>
      </c>
      <c r="BV271">
        <f t="shared" si="508"/>
        <v>3</v>
      </c>
      <c r="BW271">
        <f>IFERROR(N(VLOOKUP(AX271,Потребители_обозначение,10,FALSE)),0)</f>
        <v>0</v>
      </c>
      <c r="BX271">
        <f>IFERROR(VLOOKUP(AX271,Потребители_обозначение,5,FALSE),0)</f>
        <v>1</v>
      </c>
      <c r="BY271" s="6" cm="1">
        <f t="array" ref="BY271">IF(B271="","",IF(BC271&lt;&gt;"",IFERROR(_xlfn.XLOOKUP(BC271,Щиты[Щит],Щиты[cos φ]),0.95),IF(BK271=1,IFERROR(_xlfn.XLOOKUP(A271,Щиты[Щит],Щиты[cos φ]),0.95),IF(ISNUMBER(Z271),Z271,IFERROR(IF(BX271=2,_xlfn.IFS(BR271=3,VLOOKUP(BN271,Справочная_двигатели,8,FALSE),BR271=1,VLOOKUP(BN271,Справочная_двигатели,10,TRUE)),IF(AND(Методика="нормы 2026",EQ271="Сил"),0.8,0.95)),0.95)))))</f>
        <v>0.95</v>
      </c>
      <c r="BZ271">
        <f t="shared" si="509"/>
        <v>0</v>
      </c>
      <c r="CA271">
        <f t="shared" si="510"/>
        <v>1</v>
      </c>
      <c r="CB271">
        <f t="shared" si="511"/>
        <v>0</v>
      </c>
      <c r="CC271">
        <f t="shared" si="512"/>
        <v>0</v>
      </c>
      <c r="CD271">
        <f t="shared" si="513"/>
        <v>0</v>
      </c>
      <c r="CE271">
        <f t="shared" si="514"/>
        <v>0</v>
      </c>
      <c r="CF271">
        <f t="shared" si="515"/>
        <v>0</v>
      </c>
      <c r="CG271">
        <f>IF(AX271="",0,_xlfn.LET(_xlpm.v,IFERROR(VLOOKUP(B271,УГО_спр,3,FALSE),IFERROR(VLOOKUP(AX271,УГО_спр,3,FALSE),IFERROR(VLOOKUP(LEFT(AX271,2),УГО_спр,3,FALSE),""))),IF(_xlpm.v="да",30,IF(ISNUMBER(_xlpm.v),_xlpm.v,0))))</f>
        <v>30</v>
      </c>
      <c r="CH271">
        <f t="shared" si="516"/>
        <v>30</v>
      </c>
      <c r="CI271" t="str">
        <f>_xlfn.LET(_xlpm.k,IFERROR(_xlfn.XLOOKUP(AX271,Коды_код,Коды_утечка)&amp;"",""),IF(_xlpm.k="","дифавтомат",_xlpm.k))</f>
        <v>дифавтомат</v>
      </c>
      <c r="CJ271">
        <f t="shared" si="517"/>
        <v>30</v>
      </c>
      <c r="CK271">
        <f t="shared" si="518"/>
        <v>30</v>
      </c>
      <c r="CL271">
        <f>IF(B271="",0,IFERROR(--VLOOKUP(B271,УГО_спр,4,FALSE),IFERROR(--VLOOKUP(AX271,УГО_спр,4,FALSE),IFERROR(--VLOOKUP(LEFT(AX271,2),УГО_спр,4,FALSE),0))))</f>
        <v>16</v>
      </c>
      <c r="CM271" t="str">
        <f>IF(B271="","",IFERROR(_xlfn.XLOOKUP(AX271,Коды_код,Коды_апп)&amp;"",""))</f>
        <v/>
      </c>
      <c r="CN271" t="str">
        <f t="shared" si="519"/>
        <v/>
      </c>
      <c r="CO271" t="str" cm="1">
        <f t="array" ref="CO271">IF(TRIM(CN271&amp;"")="","",IFERROR(TRIM(INDEX(_xlfn.TEXTSPLIT(CN271&amp;";;;",";"),1)),""))</f>
        <v/>
      </c>
      <c r="CP271" t="str" cm="1">
        <f t="array" ref="CP271">IF(TRIM(CN271&amp;"")="","",IFERROR(TRIM(INDEX(_xlfn.TEXTSPLIT(CN271&amp;";;;",";"),2)),""))</f>
        <v/>
      </c>
      <c r="CQ271" t="str" cm="1">
        <f t="array" ref="CQ271">IF(TRIM(CN271&amp;"")="","",IFERROR(TRIM(INDEX(_xlfn.TEXTSPLIT(CN271&amp;";;;",";"),3)),""))</f>
        <v/>
      </c>
      <c r="CR271">
        <f t="shared" si="520"/>
        <v>0</v>
      </c>
      <c r="CS271" t="str">
        <f>IF(B271="","",_xlfn.LET(_xlpm.t,LOWER(AV271&amp;""),IF(ISNUMBER(SEARCH("dim",_xlpm.t)),"DIM",IF(ISNUMBER(SEARCH("dali",_xlpm.t)),"DALI",IF(OR(ISNUMBER(SEARCH("relay",_xlpm.t)),ISNUMBER(SEARCH("реле",_xlpm.t))),"Relay",IF(ISNUMBER(SEARCH("кнопк",_xlpm.t)),"",IFERROR(_xlfn.XLOOKUP(AX271,Коды_код,Коды_упр)&amp;"","")))))))</f>
        <v/>
      </c>
      <c r="CT271" t="str">
        <f t="shared" si="521"/>
        <v/>
      </c>
      <c r="CU271">
        <f>IF(B271="","",_xlfn.LET(_xlpm.ig,N(P271)+IF(AF271="вручную",0,N(CB271)),_xlpm.n0,IFERROR(VLOOKUP(_xlpm.ig,Автомат_номиналы,2,TRUE),0),_xlpm.mn,MAX(CL271,IF(AF271="вручную",0,N(CE271))),MAX(_xlpm.n0,_xlpm.mn,IF(CR271=1,Мин_автомат_БП,0))))</f>
        <v>16</v>
      </c>
      <c r="CV271">
        <f t="shared" si="522"/>
        <v>1</v>
      </c>
      <c r="CW271" t="str">
        <f t="shared" si="523"/>
        <v>2P</v>
      </c>
      <c r="CX271" t="str">
        <f>_xlfn.LET(_xlpm.cc,UPPER(TRIM(IFERROR(_xlfn.XLOOKUP(AX271,Коды_код,Коды_хар)&amp;"",""))),IF(OR(_xlpm.cc="B",_xlpm.cc="В"),"B",IF(_xlpm.cc="D","D","С")))</f>
        <v>С</v>
      </c>
      <c r="CY271" t="str">
        <f t="shared" si="524"/>
        <v>2P С16А 30мА</v>
      </c>
      <c r="CZ271" t="str">
        <f t="shared" si="525"/>
        <v>2P С16А 30мА</v>
      </c>
      <c r="DA271" t="str">
        <f t="shared" si="526"/>
        <v>2P С16А 30мА</v>
      </c>
      <c r="DB271" cm="1">
        <f t="array" ref="DB271">IF(DA271="","",_xlfn.LET(_xlpm.t,SUBSTITUTE(SUBSTITUTE(SUBSTITUTE(UPPER(DA271),"С","C"),"А","A"),"В","B"),_xlpm.tk,_xlfn.TEXTSPLIT(_xlpm.t,"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1" t="str">
        <f t="shared" si="527"/>
        <v>ok</v>
      </c>
      <c r="DD271">
        <f t="shared" si="528"/>
        <v>16</v>
      </c>
      <c r="DE271" t="str">
        <f t="shared" si="529"/>
        <v>2P С16А 30мА</v>
      </c>
      <c r="DF271">
        <f t="shared" si="530"/>
        <v>30</v>
      </c>
      <c r="DG271">
        <f t="shared" si="531"/>
        <v>1</v>
      </c>
      <c r="DH271">
        <f t="shared" si="532"/>
        <v>0</v>
      </c>
      <c r="DI271">
        <f t="shared" si="533"/>
        <v>7.292845505553168</v>
      </c>
      <c r="DJ271">
        <f t="shared" si="534"/>
        <v>1</v>
      </c>
      <c r="DK271">
        <f>IF(ISNUMBER(AL271),AL271,К_прокл)</f>
        <v>1</v>
      </c>
      <c r="DL271">
        <f t="shared" si="535"/>
        <v>2</v>
      </c>
      <c r="DM271">
        <f>IFERROR(N(VLOOKUP(BT271,Кабель_обозначение,3,FALSE)),1)</f>
        <v>1</v>
      </c>
      <c r="DN271">
        <f>IFERROR(N(_xlfn.XLOOKUP(A271,Щиты[Щит],Щиты[ΔU до шин, %])),0)</f>
        <v>1.19</v>
      </c>
      <c r="DO271" t="str">
        <f>IFERROR(_xlfn.XLOOKUP(A271,Щиты[Щит],Щиты[Zпетли на шинах, Ом]),"")</f>
        <v/>
      </c>
      <c r="DP271">
        <f>IFERROR(N(_xlfn.XLOOKUP(A271,Щиты[Щит],Щиты[ΔU до шин (подбор), %])),0)</f>
        <v>1.19</v>
      </c>
      <c r="DQ271" t="str">
        <f>IFERROR(_xlfn.XLOOKUP(A271,Щиты[Щит],Щиты[Zпетли на шинах (подбор), Ом]),"")</f>
        <v/>
      </c>
      <c r="DR271" t="str">
        <f t="shared" si="536"/>
        <v/>
      </c>
      <c r="DS271">
        <f t="shared" si="537"/>
        <v>36</v>
      </c>
      <c r="DT271">
        <f t="shared" si="538"/>
        <v>2</v>
      </c>
      <c r="DU271">
        <f t="shared" si="539"/>
        <v>0.31</v>
      </c>
      <c r="DV271" s="6">
        <f>IF(B271="","",IF(IFERROR(VLOOKUP(AX271,УГО_спр,2,FALSE),"")="Светильник",3,4)+IF(Методика="нормы 2026",MIN(0.5,MAX(0,N(Q271)-100)*0.005),0))</f>
        <v>4</v>
      </c>
      <c r="DW271" cm="1">
        <f t="array" ref="DW271">IF(OR(B271="",BT271="",DM271&lt;&gt;1),"",_xlfn.LET(_xlpm.sz,Iдоп_S,_xlpm.t_,CHOOSE(DL271,Iдоп_1ж,Iдоп_2ж,Iдоп_3ж)*DJ271*DK271,_xlpm.inn,N(DD271),_xlpm.smin,MAX(1.5,BW271),_xlpm.L_,N(Q271)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271)*(_xlpm.rho*_xlpm.L_/_xlpm.sz*N(BY271)+_xlpm.xx*_xlpm.L_*N(DU271)/1000)*N(P271)/((Uн_лин/SQRT(3))*1000)*100,999),_xlpm.kz,IF(OR(DG271=1,NOT(ISNUMBER(DQ271)),_xlpm.L_=0,_xlpm.inn=0),1,IFERROR(--(c_min*(Uн_лин*1000/SQRT(3))/(DQ271+2*ρкз_Cu*_xlpm.L_/_xlpm.sz)&gt;=GY271*_xlpm.inn),0)),_xlpm.ok,IFERROR((_xlpm.sz&gt;=_xlpm.smin)*(_xlpm.t_&gt;=_xlpm.inn)*IF(_xlpm.L_&gt;0,(_xlpm.du_+DP271&lt;=DV271+0.00001),1)*_xlpm.kz,0),_xlpm.r_,_xlfn._xlws.FILTER(_xlpm.sz,_xlpm.ok,"не подобрано"),INDEX(_xlpm.r_,1)))</f>
        <v>2.5</v>
      </c>
      <c r="DX271">
        <f t="shared" si="540"/>
        <v>2.5</v>
      </c>
      <c r="DY271" cm="1">
        <f t="array" ref="DY271">IF(OR(B271="",BT271="",DM271&lt;&gt;1),"",_xlfn.LET(_xlpm.sz,Iдоп_S,_xlpm.t_,CHOOSE(DL271,Iдоп_1ж,Iдоп_2ж,Iдоп_3ж)*DJ271*DK271,_xlpm.ok,IFERROR((_xlpm.sz&gt;=MAX(1.5,BW271))*(_xlpm.t_&gt;=N(DD271)),0),_xlpm.r_,_xlfn._xlws.FILTER(_xlpm.sz,_xlpm.ok,""),INDEX(_xlpm.r_,1)))</f>
        <v>1.5</v>
      </c>
      <c r="DZ271" s="6" cm="1">
        <f t="array" ref="DZ271">IFERROR(ROUNDUP(N(DT271)*(_xlfn.XLOOKUP(DY271,INDEX(Кабель_сопротивление,0,1),INDEX(Кабель_сопротивление,0,3))*N(Q271)/DY271*N(BY271)+_xlfn.XLOOKUP(DY271,INDEX(Кабель_сопротивление,0,1),INDEX(Кабель_сопротивление,0,2))*N(Q271)*N(DU271)/1000)*N(P271)/((Uн_лин/SQRT(3))*1000)*100,2),"")</f>
        <v>3.5199999999999996</v>
      </c>
      <c r="EA271">
        <f>IFERROR(2*ρкз_Cu*N(Q271)/DY271,"")</f>
        <v>1.3676000000000001</v>
      </c>
      <c r="EB271">
        <f>IFERROR(VLOOKUP(DX271,Кабель_сопротивление,3,FALSE),"")</f>
        <v>2.2499999999999999E-2</v>
      </c>
      <c r="EC271">
        <f>IFERROR(VLOOKUP(DX271,Кабель_сопротивление,2,FALSE),"")</f>
        <v>0.1</v>
      </c>
      <c r="ED271">
        <f t="shared" si="541"/>
        <v>19</v>
      </c>
      <c r="EE271">
        <f t="shared" si="542"/>
        <v>0</v>
      </c>
      <c r="EF271">
        <f t="shared" si="543"/>
        <v>4.8812327680858347</v>
      </c>
      <c r="EG271" s="6">
        <f>IFERROR(ROUNDUP(EF271/((Uн_лин/SQRT(3))*1000)*100,2),"")</f>
        <v>2.1199999999999997</v>
      </c>
      <c r="EH271" t="str">
        <f>IFERROR(VLOOKUP(BT271,Кабель_обозначение,2,FALSE),"")</f>
        <v>ВВГнг(А)-LS</v>
      </c>
      <c r="EI271" t="str">
        <f t="shared" si="544"/>
        <v>ВВГнг(А)-LS (3х2,5)</v>
      </c>
      <c r="EJ271" t="str">
        <f t="shared" si="545"/>
        <v>ВВГнг(А)-LS (3х2,5)
L=39-2,12%</v>
      </c>
      <c r="EK271">
        <f>IFERROR(2*ρкз_Cu*Q271/DX271,"")</f>
        <v>0.82056000000000007</v>
      </c>
      <c r="EL271">
        <f t="shared" si="546"/>
        <v>0.27300000000000002</v>
      </c>
      <c r="EM271" s="6" t="str">
        <f>IFERROR(IF(OR(B271="",NOT(ISNUMBER(DX271)),N(Q271)=0),"",_xlfn.XLOOKUP(A271,Щиты[Щит],Щиты[Zпетли на шинах, Ом])+EK271),"")</f>
        <v/>
      </c>
      <c r="EN271" s="6" t="str">
        <f>IF(ISNUMBER(EM271),c_min*(Uн_лин*1000/SQRT(3))/EM271,"")</f>
        <v/>
      </c>
      <c r="EO271" s="6" t="str">
        <f>IFERROR(IF(OR(B271="",NOT(ISNUMBER(DX271))),"",1.05*(Uн_лин*1000/SQRT(3))/(_xlfn.XLOOKUP(A271,Щиты[Щит],Щиты[Zmax на шинах, Ом])+EL271)/1000),"")</f>
        <v/>
      </c>
      <c r="EP271" s="6" t="str">
        <f>IF(B271="","",IF(ISNUMBER(Y271),"Сил",IF(IFERROR(_xlfn.XLOOKUP(AX271,Коды_код,Коды_группа)&amp;"","")="","Быт",_xlfn.XLOOKUP(AX271,Коды_код,Коды_группа)&amp;"")))</f>
        <v>Быт</v>
      </c>
      <c r="EQ271" s="6" t="str">
        <f t="shared" si="547"/>
        <v>Быт</v>
      </c>
      <c r="ER271" s="6">
        <f>IF(EQ271="Щит","щит",IF(EQ271="","",IF(EQ271="Быт",IFERROR(_xlfn.XLOOKUP(A271,Щиты[Щит],Щиты[Кс быт]),1),IF(EQ271="Сил",IF(ISNUMBER(Y271),Y271,IF(Методика="нормы 2026",IFERROR(_xlfn.XLOOKUP(A271,Щиты[Щит],Щиты[Кс силовых (табл. 7.5)]),1),1)),IF(OR(EQ271="Пост",EQ271="Отоп"),1,IF(EQ271="ВНГ",0.7,0))))))</f>
        <v>0.57830000000000004</v>
      </c>
      <c r="ES271">
        <f t="shared" si="548"/>
        <v>1</v>
      </c>
      <c r="ET271">
        <f t="shared" si="549"/>
        <v>1.6</v>
      </c>
      <c r="EU271">
        <f t="shared" si="550"/>
        <v>1.6</v>
      </c>
      <c r="EV271">
        <f t="shared" si="551"/>
        <v>0</v>
      </c>
      <c r="EW271">
        <f t="shared" si="552"/>
        <v>0</v>
      </c>
      <c r="EX271">
        <f t="shared" si="553"/>
        <v>0</v>
      </c>
      <c r="EY271">
        <f t="shared" si="554"/>
        <v>0</v>
      </c>
      <c r="EZ271">
        <f t="shared" si="555"/>
        <v>1.6</v>
      </c>
      <c r="FA271">
        <f t="shared" si="556"/>
        <v>1.52</v>
      </c>
      <c r="FB271">
        <f t="shared" si="557"/>
        <v>1.6</v>
      </c>
      <c r="FC271" t="str">
        <f t="shared" si="558"/>
        <v/>
      </c>
      <c r="FD271" t="str">
        <f>IF(B271="","",IF(CA271=0,IF(AW271=1,"",FF270),IF(OR(N(CV271)&gt;=3,N(BR271)&gt;=3),"L1,L2,L3",IFERROR(_xlfn.TEXTBEFORE(_xlfn.TEXTAFTER(_xlfn.XLOOKUP(A271,Щиты[Щит],Щиты[_фазы авто]),";"&amp;AW271&amp;":"),";"),"L1"))))</f>
        <v>L1</v>
      </c>
      <c r="FE271" t="str">
        <f t="shared" si="559"/>
        <v>L1</v>
      </c>
      <c r="FF271" t="str">
        <f t="shared" si="560"/>
        <v>L1</v>
      </c>
      <c r="FG271" cm="1">
        <f t="array" ref="FG271">IFERROR(IF(BX271=2,_xlfn.IFS(BR271=3,VLOOKUP(BN271,Справочная_двигатели,3,FALSE),BR271=1,VLOOKUP(BN271,Справочная_двигатели,5,TRUE)),0),0)</f>
        <v>0</v>
      </c>
      <c r="FH271">
        <f>IFERROR(IF(BX271=3,VLOOKUP(BN271,Справочная_ЛЭД,2,TRUE),0),0)</f>
        <v>0</v>
      </c>
      <c r="FI271" s="6">
        <f t="shared" si="561"/>
        <v>0</v>
      </c>
      <c r="FJ271" t="str" cm="1">
        <f t="array" ref="FJ271">IF(B271="","",IFERROR(INDEX({"I особая","I","II","III"},MATCH(TRIM(AC271&amp;""),{"I особая","I","II","III"},0)),"III"))</f>
        <v>II</v>
      </c>
      <c r="FK271" t="str">
        <f>IF(B271="","",IF(TRIM(AD271&amp;"")&lt;&gt;"",IF(LOWER(TRIM(AD271&amp;""))="да","да","нет"),IF(IFERROR(_xlfn.XLOOKUP(AX271,Коды_код,Коды_пожарная),"")="да","да","нет")))</f>
        <v>нет</v>
      </c>
      <c r="FL271" t="str">
        <f t="shared" si="562"/>
        <v/>
      </c>
      <c r="FM271" t="str">
        <f t="shared" si="563"/>
        <v>основная</v>
      </c>
      <c r="FN271">
        <f t="shared" si="564"/>
        <v>1</v>
      </c>
      <c r="FO271" t="str" cm="1">
        <f t="array" ref="FO271">IF(B271="","",_xlfn.LET(_xlpm.t,IFERROR(_xlfn.XLOOKUP(1,(Шины[Шина]=FM271)*(((Шины[Щит]=A271)+(Шины[Щит]=""))&gt;0),Шины[Тип]),"")&amp;"",IF(_xlpm.t&lt;&gt;"",_xlpm.t,IF(ISNUMBER(SEARCH("ИБП",FM271)),"ИБП",IF(ISNUMBER(SEARCH("ДГУ",FM271)),"ДГУ","Ввод "&amp;FN271)))))</f>
        <v>Ввод 1</v>
      </c>
      <c r="FP271" t="str">
        <f t="shared" si="565"/>
        <v>Ввод 1</v>
      </c>
      <c r="FQ271" t="str">
        <f>IF(B271="","",IF(OR(FO271="ИБП",FO271="ДГУ"),"I особая",IF(FO271="Одиночная","III",_xlfn.XLOOKUP(A271,Щиты[Щит],Щиты[Категория шины «Ввод»],"III"))))</f>
        <v>II</v>
      </c>
      <c r="FR271">
        <f>IF(B271="",0,IFERROR(MATCH(FJ271,{"III","II","I","I особая"},0),1))</f>
        <v>2</v>
      </c>
      <c r="FS271">
        <f t="shared" si="566"/>
        <v>2</v>
      </c>
      <c r="FT271" t="str">
        <f>IF(B271="","",IF(FR271&gt;IFERROR(MATCH(FQ271,{"III","II","I","I особая"},0),1),"НЕ ОБЕСПЕЧЕНА","ОК"))</f>
        <v>ОК</v>
      </c>
      <c r="FU271" t="str">
        <f>IF(A271="","",_xlfn.XLOOKUP(A271,Щиты[Щит],Щиты[Путь],""))</f>
        <v>|ГРЩ-ЖД|ЩР-1|</v>
      </c>
      <c r="FV271" t="str">
        <f>IF(B271="","",IF(AE271&lt;&gt;"",AE271,IF(IFERROR(_xlfn.XLOOKUP(AX271,Коды_код,Коды_вид)&amp;"","")="","Прочее",_xlfn.XLOOKUP(AX271,Коды_код,Коды_вид)&amp;"")))</f>
        <v>Розеточная сеть и бытовые приборы</v>
      </c>
      <c r="FW271">
        <f>IF(BH271="","",INT((BH271-1)/Столбцов_на_лист)+1)</f>
        <v>5</v>
      </c>
      <c r="FX271" t="str">
        <f t="shared" si="567"/>
        <v>ВВГнг(А)-LS (3х2,5) L=39-2,12%</v>
      </c>
      <c r="FY271">
        <f t="shared" si="568"/>
        <v>1.6</v>
      </c>
      <c r="FZ271">
        <f t="shared" si="569"/>
        <v>7.3</v>
      </c>
      <c r="GA271">
        <f t="shared" si="570"/>
        <v>1</v>
      </c>
      <c r="GB271">
        <f t="shared" si="571"/>
        <v>0</v>
      </c>
      <c r="GC271">
        <f t="shared" si="572"/>
        <v>1</v>
      </c>
      <c r="GD271">
        <f>IF(BH271="","",IF(AND(CA271=1,GC271=1),COUNTIFS(A$3:A271,A271,CA$3:CA271,1,GC$3:GC271,1),IF(OR(OR(AW271=1,A271&lt;&gt;A270),AF271="вручную",GC271=0),"",IF(AW271=1,"",GE270))))</f>
        <v>47</v>
      </c>
      <c r="GE271">
        <f t="shared" si="573"/>
        <v>47</v>
      </c>
      <c r="GF271">
        <f>IF(B271="","",IFERROR(LOOKUP(INDEX(CHOOSE(DL271,Iдоп_1ж,Iдоп_2ж,Iдоп_3ж),MATCH(DX271,Iдоп_S,0))*DJ271*DK271,{6,10,16,20,25,32,40,50,63,80,100,125,160,200,250,315,400,500,630}),""))</f>
        <v>25</v>
      </c>
      <c r="GG271" t="str">
        <f t="shared" si="574"/>
        <v>QFD47</v>
      </c>
      <c r="GH271" t="str">
        <f t="shared" si="575"/>
        <v>QFD47</v>
      </c>
      <c r="GI271" t="str">
        <f t="shared" si="576"/>
        <v/>
      </c>
      <c r="GJ271">
        <f t="shared" si="577"/>
        <v>0</v>
      </c>
      <c r="GK271" t="str">
        <f>IF(OR(AG271="",AG271="-"),"",IFERROR(VLOOKUP(AG271,Модули_спр,2,FALSE),"R"))</f>
        <v/>
      </c>
      <c r="GL271" t="str">
        <f>IF(GK271="","",GK271&amp;"."&amp;COUNTIFS(A$3:A271,A271,GK$3:GK271,GK271))</f>
        <v/>
      </c>
      <c r="GM271" t="str">
        <f t="shared" si="578"/>
        <v/>
      </c>
      <c r="GN271" t="str">
        <f t="shared" si="579"/>
        <v/>
      </c>
      <c r="GO271" t="str">
        <f t="shared" si="580"/>
        <v/>
      </c>
      <c r="GP271" t="str">
        <f t="shared" si="581"/>
        <v/>
      </c>
      <c r="GQ271">
        <f t="shared" si="582"/>
        <v>1</v>
      </c>
      <c r="GR271" t="str">
        <f>IF(GQ271=1,"XT"&amp;COUNTIFS(A$3:A271,A271,GQ$3:GQ271,1),"")</f>
        <v>XT47</v>
      </c>
      <c r="GS271" t="str">
        <f t="shared" si="583"/>
        <v>XT47</v>
      </c>
      <c r="GT271" t="str">
        <f t="shared" si="584"/>
        <v>QFD47</v>
      </c>
      <c r="GU271" t="str">
        <f t="shared" si="585"/>
        <v/>
      </c>
      <c r="GV271" t="str">
        <f t="shared" si="586"/>
        <v>ok</v>
      </c>
      <c r="GW271" t="str">
        <f>IF(OR(GO271="",GM271=""),"",IF(GO271&gt;IFERROR(VLOOKUP(GN271,Модули_спр,3,FALSE),99),"ЛИШНИЙ КАНАЛ",IF(AND(AH271&lt;&gt;"=",COUNTIFS(Линии[_модуль гр.],GM271,Линии[Канал (итог)],GO271,Линии[Канал],"&lt;&gt;=",Линии[Щит],A271)&gt;1),"ДУБЛЬ КАНАЛА","")))</f>
        <v/>
      </c>
      <c r="GX271" s="6" t="str">
        <f t="shared" si="587"/>
        <v/>
      </c>
      <c r="GY271">
        <f t="shared" si="588"/>
        <v>10</v>
      </c>
      <c r="GZ271" t="str">
        <f t="shared" si="589"/>
        <v/>
      </c>
      <c r="HA271" t="str">
        <f>IF(AND(B271="",GT271=""),"",_xlfn.TEXTJOIN("; ",TRUE,IF(AND(B271&lt;&gt;"",FE271=""),"нет фазы",""),IF(AND(B271&lt;&gt;"",N(FY271)=0,EQ271&lt;&gt;"Нет"),"нет мощности",""),IF(AND(GS271&lt;&gt;"",COUNTIFS(Линии[Щит],A271,Линии[Клемма (итог)],GS271)&gt;1),"дубль клеммы "&amp;GS271,""),IF(AND(GV271&lt;&gt;"",GV271&lt;&gt;"ok"),GV271,""),IF(GW271&lt;&gt;"",GW271,""),IF(AND(N(BV271)&gt;=4,N(BR271)=1),BV271&amp;" жил на 1 фазе",""),IF(AND(AX271="R",CA271=1,OR(N(CK271)=0,N(CK271)&gt;30)),"розетка без дифзащиты до 30 мА",""),IFERROR(IF(AND(ISNUMBER(R271),R271&gt;DV271),"потери "&amp;FIXED(R271,1)&amp;" % &gt; "&amp;DV271&amp;" %",""),""),IFERROR(IF(LEFT(GZ271,4)="мало","Iкз мало — отключение &gt; 0,4 с",""),""),IF(AND(B271&lt;&gt;"",BH271=""),"не на схеме",""),IF(AND(CA271=0,B271&lt;&gt;"",FE271&lt;&gt;"",IF(AW271=1,"",FF270)&lt;&gt;"",FE271&lt;&gt;IF(AW271=1,"",FF270)),"фаза не как у автомата группы ("&amp;IF(AW271=1,"",FF270)&amp;")","")))</f>
        <v/>
      </c>
      <c r="HB271" s="6">
        <f>IF(OR(CA271=0,DA271=""),"",_xlfn.LET(_xlpm.t,IFERROR(_xlfn.XLOOKUP(DA271,Каталог!$U$4:$U$500,Каталог!$G$4:$G$500),""),_xlpm.k,SEARCH("кА",_xlpm.t),IFERROR(--TRIM(RIGHT(SUBSTITUTE(MID(_xlpm.t,MAX(1,_xlpm.k-4),_xlpm.k-MAX(1,_xlpm.k-4))," ",REPT(" ",9)),5)),"")))</f>
        <v>6</v>
      </c>
      <c r="HC271" t="str">
        <f>IF(OR(HB271="",CA271=0),"",IF(_xlfn.XLOOKUP(A271,Щиты[Щит],Щиты[Iкз max на шинах, кА],"")="","",IF(HB271&lt;_xlfn.XLOOKUP(A271,Щиты[Щит],Щиты[Iкз max на шинах, кА]),"Icu "&amp;HB271&amp;" кА &lt; Iкз max","ok")))</f>
        <v/>
      </c>
      <c r="HD271" t="str">
        <f t="shared" si="590"/>
        <v/>
      </c>
      <c r="HE271" t="str">
        <f t="shared" si="591"/>
        <v>QFD47|XT47</v>
      </c>
      <c r="HF271" t="str">
        <f t="shared" si="592"/>
        <v>QFD47|XT47|кабель ВВГнг(А)-LS (3х2,5) → Розеточная группа Первый этаж Пом. №021A Микроволновая печь</v>
      </c>
      <c r="HG271" t="str" cm="1">
        <f t="array" ref="HG271">IF(HF271="","",_xlfn.LET(_xlpm.nd,_xlfn.TEXTSPLIT(HF271,"|"),IF(COLUMNS(_xlpm.nd)&gt;1,A271&amp;"¦"&amp;INDEX(_xlpm.nd,1)&amp;"¦"&amp;INDEX(_xlpm.nd,2),"")))</f>
        <v>ЩР-1¦QFD47¦XT47</v>
      </c>
      <c r="HH271" t="str">
        <f t="shared" si="593"/>
        <v>R.1.021A.3¦Розеточная группа Первый этаж Пом. №021A Микроволновая печь</v>
      </c>
      <c r="HI271" t="str" cm="1">
        <f t="array" ref="HI271">IF(HF271="","",_xlfn.LET(_xlpm.nd,_xlfn.TEXTSPLIT(HF271,"|"),IF(COLUMNS(_xlpm.nd)&gt;2,A271&amp;"¦"&amp;INDEX(_xlpm.nd,2)&amp;"¦"&amp;INDEX(_xlpm.nd,3),"")))</f>
        <v>ЩР-1¦XT47¦кабель ВВГнг(А)-LS (3х2,5) → Розеточная группа Первый этаж Пом. №021A Микроволновая печь</v>
      </c>
      <c r="HJ271" t="str">
        <f t="shared" si="594"/>
        <v>R.1.021A.3¦Розеточная группа Первый этаж Пом. №021A Микроволновая печь</v>
      </c>
      <c r="HK271" t="str" cm="1">
        <f t="array" ref="HK271">IF(HF271="","",_xlfn.LET(_xlpm.nd,_xlfn.TEXTSPLIT(HF271,"|"),IF(COLUMNS(_xlpm.nd)&gt;3,A271&amp;"¦"&amp;INDEX(_xlpm.nd,3)&amp;"¦"&amp;INDEX(_xlpm.nd,4),"")))</f>
        <v/>
      </c>
      <c r="HL271" t="str">
        <f t="shared" si="595"/>
        <v/>
      </c>
      <c r="HM271" t="str" cm="1">
        <f t="array" ref="HM271">IF(HF271="","",_xlfn.LET(_xlpm.nd,_xlfn.TEXTSPLIT(HF271,"|"),IF(COLUMNS(_xlpm.nd)&gt;4,A271&amp;"¦"&amp;INDEX(_xlpm.nd,4)&amp;"¦"&amp;INDEX(_xlpm.nd,5),"")))</f>
        <v/>
      </c>
      <c r="HN271" t="str">
        <f t="shared" si="596"/>
        <v/>
      </c>
      <c r="HO271" t="str" cm="1">
        <f t="array" ref="HO271">IF(HF271="","",_xlfn.LET(_xlpm.nd,_xlfn.TEXTSPLIT(HF271,"|"),IF(COLUMNS(_xlpm.nd)&gt;5,A271&amp;"¦"&amp;INDEX(_xlpm.nd,5)&amp;"¦"&amp;INDEX(_xlpm.nd,6),"")))</f>
        <v/>
      </c>
      <c r="HP271" t="str">
        <f t="shared" si="597"/>
        <v/>
      </c>
      <c r="HQ271" t="str" cm="1">
        <f t="array" ref="HQ271">IF(HF271="","",_xlfn.LET(_xlpm.nd,_xlfn.TEXTSPLIT(HF271,"|"),IF(COLUMNS(_xlpm.nd)&gt;6,A271&amp;"¦"&amp;INDEX(_xlpm.nd,6)&amp;"¦"&amp;INDEX(_xlpm.nd,7),"")))</f>
        <v/>
      </c>
      <c r="HR271" t="str">
        <f t="shared" si="598"/>
        <v/>
      </c>
      <c r="HS271" t="str">
        <f t="shared" si="599"/>
        <v/>
      </c>
      <c r="HT271" t="str">
        <f t="shared" si="600"/>
        <v>QFD47 → XT47</v>
      </c>
      <c r="HU271">
        <f t="shared" si="601"/>
        <v>0</v>
      </c>
      <c r="HV271">
        <f t="shared" si="602"/>
        <v>1</v>
      </c>
      <c r="HW271" t="str">
        <f t="shared" si="603"/>
        <v/>
      </c>
      <c r="HX271" t="str">
        <f t="shared" si="604"/>
        <v/>
      </c>
      <c r="HY271" t="str">
        <f t="shared" si="605"/>
        <v/>
      </c>
      <c r="HZ271" t="str">
        <f t="shared" si="606"/>
        <v/>
      </c>
      <c r="IA271" t="str">
        <f>IF(B271="","",IFERROR(VLOOKUP(B271,УГО_спр,2,FALSE),IFERROR(VLOOKUP(AX271,УГО_спр,2,FALSE),IFERROR(VLOOKUP(LEFT(AX271,2),УГО_спр,2,FALSE),""))))</f>
        <v>Розетка</v>
      </c>
      <c r="IB271" t="str">
        <f>IF(B271="","",IF(OR(IA271="",IA271=0),"BOX",IFERROR(IF(VLOOKUP(IA271,УГО_блоки,3,FALSE)&amp;""&lt;&gt;"",VLOOKUP(IA271,УГО_блоки,3,FALSE),VLOOKUP(IA271,УГО_блоки,2,FALSE)),IA271)))</f>
        <v>SOCKET</v>
      </c>
      <c r="IC271">
        <f t="shared" si="607"/>
        <v>1</v>
      </c>
      <c r="ID271" t="str">
        <f>IF(DA271="","",IF(COUNTIF(DA$3:DA271,DA271)=1,MAX(ID$2:ID270)+1,""))</f>
        <v/>
      </c>
      <c r="IE271" t="str">
        <f>IF(CO271="","",IF(COUNTIF(CO$3:CO271,CO271)+COUNTIF(CP$2:CP270,CO271)+COUNTIF(CQ$2:CQ270,CO271)=1,MAX(IE$2:IG270)+1,""))</f>
        <v/>
      </c>
      <c r="IF271" t="str">
        <f>IF(CP271="","",IF(COUNTIF(CO$3:CO271,CP271)+COUNTIF(CP$3:CP271,CP271)+COUNTIF(CQ$2:CQ270,CP271)=1,MAX(IE$2:IG270,IE271)+1,""))</f>
        <v/>
      </c>
      <c r="IG271" t="str">
        <f>IF(CQ271="","",IF(COUNTIF(CO$3:CO271,CQ271)+COUNTIF(CP$3:CP271,CQ271)+COUNTIF(CQ$3:CQ271,CQ271)=1,MAX(IE$2:IG270,IE271,IF271)+1,""))</f>
        <v/>
      </c>
      <c r="IH271" t="str">
        <f t="shared" si="608"/>
        <v>3х2,5</v>
      </c>
      <c r="II271" t="str">
        <f>IF(IH271="","",IF(COUNTIF(IH$3:IH271,IH271)=1,MAX(II$2:II270)+1,""))</f>
        <v/>
      </c>
      <c r="IJ271" t="str">
        <f>IF(GL271="","",COUNTIF(GL$3:GL271,"?*"))</f>
        <v/>
      </c>
      <c r="IK271" t="str">
        <f>IF(OR(GL271="",GN271=""),"",IF(COUNTIFS(GL$3:GL271,"?*",GN$3:GN271,GN271)=1,MAX(IK$2:IK270)+1,""))</f>
        <v/>
      </c>
      <c r="IL271">
        <f t="shared" si="609"/>
        <v>0</v>
      </c>
      <c r="IM271">
        <f>IF(B271="","",COUNTIF(B$3:B271,"?*"))</f>
        <v>269</v>
      </c>
      <c r="IN271">
        <f>IF(GQ271&lt;&gt;1,0,_xlfn.LET(_xlpm.k,MAX(IFERROR(--VLOOKUP(B271,УГО_спр,5,FALSE),0),IFERROR(--VLOOKUP(AX271,УГО_спр,5,FALSE),0),IFERROR(--VLOOKUP(LEFT(AX271,2),УГО_спр,5,FALSE),0)),IF(_xlpm.k&gt;0,_xlpm.k,IF(IFERROR(--LEFT(SUBSTITUTE(IH271,"x","х"),FIND("х",SUBSTITUTE(IH271,"x","х"))-1),3)&gt;3,Каталог!$S$9,1))))</f>
        <v>1</v>
      </c>
      <c r="IO271">
        <f t="shared" si="610"/>
        <v>0</v>
      </c>
      <c r="IP271" t="str">
        <f t="shared" si="611"/>
        <v>авто</v>
      </c>
      <c r="IQ271">
        <f t="shared" si="612"/>
        <v>30</v>
      </c>
      <c r="IR271">
        <f t="shared" si="613"/>
        <v>1</v>
      </c>
      <c r="IS271">
        <f t="shared" si="614"/>
        <v>1</v>
      </c>
    </row>
    <row r="272" spans="1:253" x14ac:dyDescent="0.3">
      <c r="A272" t="s">
        <v>759</v>
      </c>
      <c r="B272" t="s">
        <v>1537</v>
      </c>
      <c r="C272" t="s">
        <v>1676</v>
      </c>
      <c r="D272">
        <v>1</v>
      </c>
      <c r="E272">
        <v>0.62</v>
      </c>
      <c r="G272" t="str">
        <f>Линии[[#This Row],[_авто автомат]]</f>
        <v>2P С16А 30мА</v>
      </c>
      <c r="H272">
        <f>Линии[[#This Row],[_авто утечка]]</f>
        <v>30</v>
      </c>
      <c r="I272" t="str">
        <f>Линии[[#This Row],[_авто управление]]</f>
        <v/>
      </c>
      <c r="J272" t="str">
        <f>Линии[[#This Row],[_авто аппараты]]</f>
        <v/>
      </c>
      <c r="K272">
        <v>2.5</v>
      </c>
      <c r="L272">
        <v>39</v>
      </c>
      <c r="M272" t="str">
        <f>Линии[[#This Row],[_авто фаза]]</f>
        <v>L2</v>
      </c>
      <c r="N272" t="str">
        <f>Линии[[#This Row],[_авто клемма]]</f>
        <v>XT48</v>
      </c>
      <c r="O272" t="str">
        <f t="shared" si="492"/>
        <v/>
      </c>
      <c r="P272" s="6" cm="1">
        <f t="array" ref="P272">IF(B272="","",IF(BC272&lt;&gt;"",IFERROR(_xlfn.XLOOKUP(BC272,Щиты[Щит],Щиты[Iр, А]),""),IF(BK272=1,IFERROR(_xlfn.XLOOKUP(A272,Щиты[Щит],Щиты[Iр, А]),""),IFERROR(_xlfn.IFS(BR272=1,BN272/((Uн_лин/SQRT(3))*BY272),BR272=3,BN272/(SQRT(3)*Uн_лин*BY272)),""))))</f>
        <v>2.8259776334018523</v>
      </c>
      <c r="Q272" s="7">
        <f>IF(B272="","",IFERROR(IF(VLOOKUP(AX272,Потребители_обозначение,4,FALSE)=1,VLOOKUP(AX272,Потребители_обозначение,3,FALSE)*(D272*2-1)+DS272+VLOOKUP(AZ272,Этаж_обозначение,3,FALSE)+VLOOKUP(AZ272,Этаж_обозначение,4,FALSE),VLOOKUP(AX272,Потребители_обозначение,3,FALSE)*(D272*2-1)+DS272),DS272))</f>
        <v>42</v>
      </c>
      <c r="R272" s="6">
        <f t="shared" si="493"/>
        <v>2.08</v>
      </c>
      <c r="S272" t="str">
        <f t="shared" si="494"/>
        <v>ВВГнг(А)-LS (3х2,5)</v>
      </c>
      <c r="T272" t="str">
        <f>IF(BH272="","",IF(BI272="вводной узел","узел ","")&amp;"л."&amp;(INT((BH272-1)/Столбцов_на_лист)+1)&amp;" / "&amp;(MOD(BH272-1,Столбцов_на_лист)+1))</f>
        <v>л.5 / 3</v>
      </c>
      <c r="V272">
        <v>1</v>
      </c>
      <c r="W272">
        <v>230</v>
      </c>
      <c r="X272" t="s">
        <v>564</v>
      </c>
      <c r="AC272" t="s">
        <v>815</v>
      </c>
      <c r="AE272" t="s">
        <v>563</v>
      </c>
      <c r="AI272">
        <v>71</v>
      </c>
      <c r="AJ272" t="s">
        <v>11</v>
      </c>
      <c r="AK272">
        <v>3</v>
      </c>
      <c r="AM272">
        <v>20</v>
      </c>
      <c r="AN272">
        <v>22</v>
      </c>
      <c r="AO272">
        <v>0</v>
      </c>
      <c r="AW272" cm="1">
        <f t="array" ref="AW272">ROW()-ROW(Линии[#Headers])</f>
        <v>270</v>
      </c>
      <c r="AX272" s="6" t="str">
        <f t="shared" si="495"/>
        <v>R</v>
      </c>
      <c r="AY272" t="str">
        <f t="shared" si="496"/>
        <v>1.021A.4</v>
      </c>
      <c r="AZ272" t="str">
        <f t="shared" si="497"/>
        <v>1</v>
      </c>
      <c r="BA272" t="str">
        <f t="shared" si="498"/>
        <v>021A.4</v>
      </c>
      <c r="BB272" t="str">
        <f t="shared" si="499"/>
        <v>021A</v>
      </c>
      <c r="BC272" t="str">
        <f>IF(U272&lt;&gt;"",U272,IF(AND(B272&lt;&gt;"",B272&lt;&gt;A272,ISNUMBER(_xlfn.XMATCH(B272,Щиты[Щит]))),B272,""))</f>
        <v/>
      </c>
      <c r="BD272" t="str" cm="1">
        <f t="array" ref="BD272">IF(B272="","",IF(BC272&lt;&gt;"","Щит "&amp;BC272,_xlfn.LET(_xlpm.nm,IFERROR(_xlfn.XLOOKUP(AX272,Коды_код,Коды_имя)&amp;"",""),_xlpm.md,IFERROR(N(_xlfn.XLOOKUP(AX272,Коды_код,Коды_режим)),1),_xlpm.ex,IF(Имя_режим="по экспликации",IFERROR(_xlfn.XLOOKUP(AZ272&amp;"|"&amp;BB272,Экспликация[Этаж]&amp;"|"&amp;Экспликация[Помещение],Экспликация[Название])&amp;"",""),""),_xlpm.rm,IF(BB272="","",IF(_xlpm.ex&lt;&gt;"",". "&amp;_xlpm.ex&amp;IF(Имя_пом="нет"," ("&amp;BB272&amp;")"," (пом. "&amp;BB272&amp;")"),IF(Имя_пом="нет"," ",", пом. ")&amp;BB272)),IF(_xlpm.nm="","",IF(_xlpm.md=2,_xlpm.nm&amp;" шлейф "&amp;AZ272,_xlpm.nm&amp;_xlpm.rm)))))</f>
        <v>Розеточная группа, пом. 021A</v>
      </c>
      <c r="BE272" t="str">
        <f t="shared" si="500"/>
        <v>Розеточная группа Первый этаж Пом. №021A Холодильник, морозильная камера</v>
      </c>
      <c r="BF272">
        <f>IFERROR(_xlfn.XMATCH(A272,Щиты[Щит]),0)</f>
        <v>10</v>
      </c>
      <c r="BG272">
        <f>_xlfn.LET(_xlpm.k,IFERROR(_xlfn.XLOOKUP(A272,Щиты[Щит],Щиты[Листов под вводной узел]),""),IF(_xlpm.k="",1,N(_xlpm.k))*Столбцов_на_лист)</f>
        <v>17</v>
      </c>
      <c r="BH272">
        <f t="shared" si="501"/>
        <v>71</v>
      </c>
      <c r="BI272" t="str">
        <f t="shared" si="502"/>
        <v>линии</v>
      </c>
      <c r="BJ272" s="6">
        <f>IFERROR(N(_xlfn.XLOOKUP(AX272,Коды_код,Коды_квт)),0)</f>
        <v>0</v>
      </c>
      <c r="BK272">
        <f t="shared" si="503"/>
        <v>0</v>
      </c>
      <c r="BL272" t="str">
        <f>IF(B272="","",IF(BC272&lt;&gt;"",IFERROR(_xlfn.XLOOKUP(BC272,Щиты[Щит],Щиты[Руст, кВт]),0),IF(BK272=1,IFERROR(_xlfn.XLOOKUP(A272,Щиты[Щит],Щиты[Руст, кВт]),0),IF(BJ272&gt;0,ROUND(BJ272*MAX(1,N(D272)),3),""))))</f>
        <v/>
      </c>
      <c r="BM272">
        <f t="shared" si="504"/>
        <v>0.62</v>
      </c>
      <c r="BN272" s="6">
        <f>IF(B272="","",IF(BC272&lt;&gt;"",IFERROR(_xlfn.XLOOKUP(BC272,Щиты[Щит],Щиты[Руст, кВт]),0),N(BM272)))</f>
        <v>0.62</v>
      </c>
      <c r="BO272" t="str">
        <f>IF(B272="","",IFERROR(IF(VLOOKUP(AX272,Потребители_обозначение,8,FALSE)=0,"",VLOOKUP(AX272,Потребители_обозначение,8,FALSE)),""))</f>
        <v/>
      </c>
      <c r="BP272">
        <f t="shared" si="505"/>
        <v>230</v>
      </c>
      <c r="BQ272">
        <f>IF(B272="","",IF(BC272&lt;&gt;"",3,IFERROR(IF(N(VLOOKUP(AX272,Потребители_обозначение,9,FALSE))=0,1,VLOOKUP(AX272,Потребители_обозначение,9,FALSE)),1)))</f>
        <v>1</v>
      </c>
      <c r="BR272">
        <f t="shared" si="506"/>
        <v>1</v>
      </c>
      <c r="BS272" t="str">
        <f>IF(B272="","",_xlfn.LET(_xlpm.bc,IFERROR(IF(VLOOKUP(AX272,Потребители_обозначение,6,FALSE)=0,"",VLOOKUP(AX272,Потребители_обозначение,6,FALSE)&amp;""),""),IF(AND(FK272="да",OR(_xlpm.bc="",_xlpm.bc="мс")),Марка_пож,IF(AND(_xlpm.bc="",BC272&lt;&gt;""),"мс",_xlpm.bc))))</f>
        <v/>
      </c>
      <c r="BT272" t="str">
        <f t="shared" si="507"/>
        <v>мс</v>
      </c>
      <c r="BU272">
        <f>IF(B272="","",_xlfn.LET(_xlpm.cc,IFERROR(N(VLOOKUP(AX272,Потребители_обозначение,7,FALSE)),0),IF(_xlpm.cc&gt;0,_xlpm.cc,IF(BT272="","",IF(N(BR272)=3,5,3)))))</f>
        <v>3</v>
      </c>
      <c r="BV272">
        <f t="shared" si="508"/>
        <v>3</v>
      </c>
      <c r="BW272">
        <f>IFERROR(N(VLOOKUP(AX272,Потребители_обозначение,10,FALSE)),0)</f>
        <v>0</v>
      </c>
      <c r="BX272">
        <f>IFERROR(VLOOKUP(AX272,Потребители_обозначение,5,FALSE),0)</f>
        <v>1</v>
      </c>
      <c r="BY272" s="6" cm="1">
        <f t="array" ref="BY272">IF(B272="","",IF(BC272&lt;&gt;"",IFERROR(_xlfn.XLOOKUP(BC272,Щиты[Щит],Щиты[cos φ]),0.95),IF(BK272=1,IFERROR(_xlfn.XLOOKUP(A272,Щиты[Щит],Щиты[cos φ]),0.95),IF(ISNUMBER(Z272),Z272,IFERROR(IF(BX272=2,_xlfn.IFS(BR272=3,VLOOKUP(BN272,Справочная_двигатели,8,FALSE),BR272=1,VLOOKUP(BN272,Справочная_двигатели,10,TRUE)),IF(AND(Методика="нормы 2026",EQ272="Сил"),0.8,0.95)),0.95)))))</f>
        <v>0.95</v>
      </c>
      <c r="BZ272">
        <f t="shared" si="509"/>
        <v>0</v>
      </c>
      <c r="CA272">
        <f t="shared" si="510"/>
        <v>1</v>
      </c>
      <c r="CB272">
        <f t="shared" si="511"/>
        <v>0</v>
      </c>
      <c r="CC272">
        <f t="shared" si="512"/>
        <v>0</v>
      </c>
      <c r="CD272">
        <f t="shared" si="513"/>
        <v>0</v>
      </c>
      <c r="CE272">
        <f t="shared" si="514"/>
        <v>0</v>
      </c>
      <c r="CF272">
        <f t="shared" si="515"/>
        <v>0</v>
      </c>
      <c r="CG272">
        <f>IF(AX272="",0,_xlfn.LET(_xlpm.v,IFERROR(VLOOKUP(B272,УГО_спр,3,FALSE),IFERROR(VLOOKUP(AX272,УГО_спр,3,FALSE),IFERROR(VLOOKUP(LEFT(AX272,2),УГО_спр,3,FALSE),""))),IF(_xlpm.v="да",30,IF(ISNUMBER(_xlpm.v),_xlpm.v,0))))</f>
        <v>30</v>
      </c>
      <c r="CH272">
        <f t="shared" si="516"/>
        <v>30</v>
      </c>
      <c r="CI272" t="str">
        <f>_xlfn.LET(_xlpm.k,IFERROR(_xlfn.XLOOKUP(AX272,Коды_код,Коды_утечка)&amp;"",""),IF(_xlpm.k="","дифавтомат",_xlpm.k))</f>
        <v>дифавтомат</v>
      </c>
      <c r="CJ272">
        <f t="shared" si="517"/>
        <v>30</v>
      </c>
      <c r="CK272">
        <f t="shared" si="518"/>
        <v>30</v>
      </c>
      <c r="CL272">
        <f>IF(B272="",0,IFERROR(--VLOOKUP(B272,УГО_спр,4,FALSE),IFERROR(--VLOOKUP(AX272,УГО_спр,4,FALSE),IFERROR(--VLOOKUP(LEFT(AX272,2),УГО_спр,4,FALSE),0))))</f>
        <v>16</v>
      </c>
      <c r="CM272" t="str">
        <f>IF(B272="","",IFERROR(_xlfn.XLOOKUP(AX272,Коды_код,Коды_апп)&amp;"",""))</f>
        <v/>
      </c>
      <c r="CN272" t="str">
        <f t="shared" si="519"/>
        <v/>
      </c>
      <c r="CO272" t="str" cm="1">
        <f t="array" ref="CO272">IF(TRIM(CN272&amp;"")="","",IFERROR(TRIM(INDEX(_xlfn.TEXTSPLIT(CN272&amp;";;;",";"),1)),""))</f>
        <v/>
      </c>
      <c r="CP272" t="str" cm="1">
        <f t="array" ref="CP272">IF(TRIM(CN272&amp;"")="","",IFERROR(TRIM(INDEX(_xlfn.TEXTSPLIT(CN272&amp;";;;",";"),2)),""))</f>
        <v/>
      </c>
      <c r="CQ272" t="str" cm="1">
        <f t="array" ref="CQ272">IF(TRIM(CN272&amp;"")="","",IFERROR(TRIM(INDEX(_xlfn.TEXTSPLIT(CN272&amp;";;;",";"),3)),""))</f>
        <v/>
      </c>
      <c r="CR272">
        <f t="shared" si="520"/>
        <v>0</v>
      </c>
      <c r="CS272" t="str">
        <f>IF(B272="","",_xlfn.LET(_xlpm.t,LOWER(AV272&amp;""),IF(ISNUMBER(SEARCH("dim",_xlpm.t)),"DIM",IF(ISNUMBER(SEARCH("dali",_xlpm.t)),"DALI",IF(OR(ISNUMBER(SEARCH("relay",_xlpm.t)),ISNUMBER(SEARCH("реле",_xlpm.t))),"Relay",IF(ISNUMBER(SEARCH("кнопк",_xlpm.t)),"",IFERROR(_xlfn.XLOOKUP(AX272,Коды_код,Коды_упр)&amp;"","")))))))</f>
        <v/>
      </c>
      <c r="CT272" t="str">
        <f t="shared" si="521"/>
        <v/>
      </c>
      <c r="CU272">
        <f>IF(B272="","",_xlfn.LET(_xlpm.ig,N(P272)+IF(AF272="вручную",0,N(CB272)),_xlpm.n0,IFERROR(VLOOKUP(_xlpm.ig,Автомат_номиналы,2,TRUE),0),_xlpm.mn,MAX(CL272,IF(AF272="вручную",0,N(CE272))),MAX(_xlpm.n0,_xlpm.mn,IF(CR272=1,Мин_автомат_БП,0))))</f>
        <v>16</v>
      </c>
      <c r="CV272">
        <f t="shared" si="522"/>
        <v>1</v>
      </c>
      <c r="CW272" t="str">
        <f t="shared" si="523"/>
        <v>2P</v>
      </c>
      <c r="CX272" t="str">
        <f>_xlfn.LET(_xlpm.cc,UPPER(TRIM(IFERROR(_xlfn.XLOOKUP(AX272,Коды_код,Коды_хар)&amp;"",""))),IF(OR(_xlpm.cc="B",_xlpm.cc="В"),"B",IF(_xlpm.cc="D","D","С")))</f>
        <v>С</v>
      </c>
      <c r="CY272" t="str">
        <f t="shared" si="524"/>
        <v>2P С16А 30мА</v>
      </c>
      <c r="CZ272" t="str">
        <f t="shared" si="525"/>
        <v>2P С16А 30мА</v>
      </c>
      <c r="DA272" t="str">
        <f t="shared" si="526"/>
        <v>2P С16А 30мА</v>
      </c>
      <c r="DB272" cm="1">
        <f t="array" ref="DB272">IF(DA272="","",_xlfn.LET(_xlpm.t,SUBSTITUTE(SUBSTITUTE(SUBSTITUTE(UPPER(DA272),"С","C"),"А","A"),"В","B"),_xlpm.tk,_xlfn.TEXTSPLIT(_xlpm.t,"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2" t="str">
        <f t="shared" si="527"/>
        <v>ok</v>
      </c>
      <c r="DD272">
        <f t="shared" si="528"/>
        <v>16</v>
      </c>
      <c r="DE272" t="str">
        <f t="shared" si="529"/>
        <v>2P С16А 30мА</v>
      </c>
      <c r="DF272">
        <f t="shared" si="530"/>
        <v>30</v>
      </c>
      <c r="DG272">
        <f t="shared" si="531"/>
        <v>1</v>
      </c>
      <c r="DH272">
        <f t="shared" si="532"/>
        <v>0</v>
      </c>
      <c r="DI272">
        <f t="shared" si="533"/>
        <v>2.8259776334018523</v>
      </c>
      <c r="DJ272">
        <f t="shared" si="534"/>
        <v>1</v>
      </c>
      <c r="DK272">
        <f>IF(ISNUMBER(AL272),AL272,К_прокл)</f>
        <v>1</v>
      </c>
      <c r="DL272">
        <f t="shared" si="535"/>
        <v>2</v>
      </c>
      <c r="DM272">
        <f>IFERROR(N(VLOOKUP(BT272,Кабель_обозначение,3,FALSE)),1)</f>
        <v>1</v>
      </c>
      <c r="DN272">
        <f>IFERROR(N(_xlfn.XLOOKUP(A272,Щиты[Щит],Щиты[ΔU до шин, %])),0)</f>
        <v>1.19</v>
      </c>
      <c r="DO272" t="str">
        <f>IFERROR(_xlfn.XLOOKUP(A272,Щиты[Щит],Щиты[Zпетли на шинах, Ом]),"")</f>
        <v/>
      </c>
      <c r="DP272">
        <f>IFERROR(N(_xlfn.XLOOKUP(A272,Щиты[Щит],Щиты[ΔU до шин (подбор), %])),0)</f>
        <v>1.19</v>
      </c>
      <c r="DQ272" t="str">
        <f>IFERROR(_xlfn.XLOOKUP(A272,Щиты[Щит],Щиты[Zпетли на шинах (подбор), Ом]),"")</f>
        <v/>
      </c>
      <c r="DR272" t="str">
        <f t="shared" si="536"/>
        <v/>
      </c>
      <c r="DS272">
        <f t="shared" si="537"/>
        <v>39</v>
      </c>
      <c r="DT272">
        <f t="shared" si="538"/>
        <v>2</v>
      </c>
      <c r="DU272">
        <f t="shared" si="539"/>
        <v>0.31</v>
      </c>
      <c r="DV272" s="6">
        <f>IF(B272="","",IF(IFERROR(VLOOKUP(AX272,УГО_спр,2,FALSE),"")="Светильник",3,4)+IF(Методика="нормы 2026",MIN(0.5,MAX(0,N(Q272)-100)*0.005),0))</f>
        <v>4</v>
      </c>
      <c r="DW272" cm="1">
        <f t="array" ref="DW272">IF(OR(B272="",BT272="",DM272&lt;&gt;1),"",_xlfn.LET(_xlpm.sz,Iдоп_S,_xlpm.t_,CHOOSE(DL272,Iдоп_1ж,Iдоп_2ж,Iдоп_3ж)*DJ272*DK272,_xlpm.inn,N(DD272),_xlpm.smin,MAX(1.5,BW272),_xlpm.L_,N(Q272)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272)*(_xlpm.rho*_xlpm.L_/_xlpm.sz*N(BY272)+_xlpm.xx*_xlpm.L_*N(DU272)/1000)*N(P272)/((Uн_лин/SQRT(3))*1000)*100,999),_xlpm.kz,IF(OR(DG272=1,NOT(ISNUMBER(DQ272)),_xlpm.L_=0,_xlpm.inn=0),1,IFERROR(--(c_min*(Uн_лин*1000/SQRT(3))/(DQ272+2*ρкз_Cu*_xlpm.L_/_xlpm.sz)&gt;=GY272*_xlpm.inn),0)),_xlpm.ok,IFERROR((_xlpm.sz&gt;=_xlpm.smin)*(_xlpm.t_&gt;=_xlpm.inn)*IF(_xlpm.L_&gt;0,(_xlpm.du_+DP272&lt;=DV272+0.00001),1)*_xlpm.kz,0),_xlpm.r_,_xlfn._xlws.FILTER(_xlpm.sz,_xlpm.ok,"не подобрано"),INDEX(_xlpm.r_,1)))</f>
        <v>1.5</v>
      </c>
      <c r="DX272">
        <f t="shared" si="540"/>
        <v>2.5</v>
      </c>
      <c r="DY272" cm="1">
        <f t="array" ref="DY272">IF(OR(B272="",BT272="",DM272&lt;&gt;1),"",_xlfn.LET(_xlpm.sz,Iдоп_S,_xlpm.t_,CHOOSE(DL272,Iдоп_1ж,Iдоп_2ж,Iдоп_3ж)*DJ272*DK272,_xlpm.ok,IFERROR((_xlpm.sz&gt;=MAX(1.5,BW272))*(_xlpm.t_&gt;=N(DD272)),0),_xlpm.r_,_xlfn._xlws.FILTER(_xlpm.sz,_xlpm.ok,""),INDEX(_xlpm.r_,1)))</f>
        <v>1.5</v>
      </c>
      <c r="DZ272" s="6" cm="1">
        <f t="array" ref="DZ272">IFERROR(ROUNDUP(N(DT272)*(_xlfn.XLOOKUP(DY272,INDEX(Кабель_сопротивление,0,1),INDEX(Кабель_сопротивление,0,3))*N(Q272)/DY272*N(BY272)+_xlfn.XLOOKUP(DY272,INDEX(Кабель_сопротивление,0,1),INDEX(Кабель_сопротивление,0,2))*N(Q272)*N(DU272)/1000)*N(P272)/((Uн_лин/SQRT(3))*1000)*100,2),"")</f>
        <v>1.47</v>
      </c>
      <c r="EA272">
        <f>IFERROR(2*ρкз_Cu*N(Q272)/DY272,"")</f>
        <v>1.4728000000000001</v>
      </c>
      <c r="EB272">
        <f>IFERROR(VLOOKUP(DX272,Кабель_сопротивление,3,FALSE),"")</f>
        <v>2.2499999999999999E-2</v>
      </c>
      <c r="EC272">
        <f>IFERROR(VLOOKUP(DX272,Кабель_сопротивление,2,FALSE),"")</f>
        <v>0.1</v>
      </c>
      <c r="ED272">
        <f t="shared" si="541"/>
        <v>22</v>
      </c>
      <c r="EE272">
        <f t="shared" si="542"/>
        <v>0</v>
      </c>
      <c r="EF272">
        <f t="shared" si="543"/>
        <v>2.0369759820665889</v>
      </c>
      <c r="EG272" s="6">
        <f>IFERROR(ROUNDUP(EF272/((Uн_лин/SQRT(3))*1000)*100,2),"")</f>
        <v>0.89</v>
      </c>
      <c r="EH272" t="str">
        <f>IFERROR(VLOOKUP(BT272,Кабель_обозначение,2,FALSE),"")</f>
        <v>ВВГнг(А)-LS</v>
      </c>
      <c r="EI272" t="str">
        <f t="shared" si="544"/>
        <v>ВВГнг(А)-LS (3х2,5)</v>
      </c>
      <c r="EJ272" t="str">
        <f t="shared" si="545"/>
        <v>ВВГнг(А)-LS (3х2,5)
L=42-0,89%</v>
      </c>
      <c r="EK272">
        <f>IFERROR(2*ρкз_Cu*Q272/DX272,"")</f>
        <v>0.88368000000000002</v>
      </c>
      <c r="EL272">
        <f t="shared" si="546"/>
        <v>0.29400000000000004</v>
      </c>
      <c r="EM272" s="6" t="str">
        <f>IFERROR(IF(OR(B272="",NOT(ISNUMBER(DX272)),N(Q272)=0),"",_xlfn.XLOOKUP(A272,Щиты[Щит],Щиты[Zпетли на шинах, Ом])+EK272),"")</f>
        <v/>
      </c>
      <c r="EN272" s="6" t="str">
        <f>IF(ISNUMBER(EM272),c_min*(Uн_лин*1000/SQRT(3))/EM272,"")</f>
        <v/>
      </c>
      <c r="EO272" s="6" t="str">
        <f>IFERROR(IF(OR(B272="",NOT(ISNUMBER(DX272))),"",1.05*(Uн_лин*1000/SQRT(3))/(_xlfn.XLOOKUP(A272,Щиты[Щит],Щиты[Zmax на шинах, Ом])+EL272)/1000),"")</f>
        <v/>
      </c>
      <c r="EP272" s="6" t="str">
        <f>IF(B272="","",IF(ISNUMBER(Y272),"Сил",IF(IFERROR(_xlfn.XLOOKUP(AX272,Коды_код,Коды_группа)&amp;"","")="","Быт",_xlfn.XLOOKUP(AX272,Коды_код,Коды_группа)&amp;"")))</f>
        <v>Быт</v>
      </c>
      <c r="EQ272" s="6" t="str">
        <f t="shared" si="547"/>
        <v>Быт</v>
      </c>
      <c r="ER272" s="6">
        <f>IF(EQ272="Щит","щит",IF(EQ272="","",IF(EQ272="Быт",IFERROR(_xlfn.XLOOKUP(A272,Щиты[Щит],Щиты[Кс быт]),1),IF(EQ272="Сил",IF(ISNUMBER(Y272),Y272,IF(Методика="нормы 2026",IFERROR(_xlfn.XLOOKUP(A272,Щиты[Щит],Щиты[Кс силовых (табл. 7.5)]),1),1)),IF(OR(EQ272="Пост",EQ272="Отоп"),1,IF(EQ272="ВНГ",0.7,0))))))</f>
        <v>0.57830000000000004</v>
      </c>
      <c r="ES272">
        <f t="shared" si="548"/>
        <v>1</v>
      </c>
      <c r="ET272">
        <f t="shared" si="549"/>
        <v>0.62</v>
      </c>
      <c r="EU272">
        <f t="shared" si="550"/>
        <v>0.62</v>
      </c>
      <c r="EV272">
        <f t="shared" si="551"/>
        <v>0</v>
      </c>
      <c r="EW272">
        <f t="shared" si="552"/>
        <v>0</v>
      </c>
      <c r="EX272">
        <f t="shared" si="553"/>
        <v>0</v>
      </c>
      <c r="EY272">
        <f t="shared" si="554"/>
        <v>0</v>
      </c>
      <c r="EZ272">
        <f t="shared" si="555"/>
        <v>0.62</v>
      </c>
      <c r="FA272">
        <f t="shared" si="556"/>
        <v>0.58899999999999997</v>
      </c>
      <c r="FB272">
        <f t="shared" si="557"/>
        <v>0.62</v>
      </c>
      <c r="FC272" t="str">
        <f t="shared" si="558"/>
        <v/>
      </c>
      <c r="FD272" t="str">
        <f>IF(B272="","",IF(CA272=0,IF(AW272=1,"",FF271),IF(OR(N(CV272)&gt;=3,N(BR272)&gt;=3),"L1,L2,L3",IFERROR(_xlfn.TEXTBEFORE(_xlfn.TEXTAFTER(_xlfn.XLOOKUP(A272,Щиты[Щит],Щиты[_фазы авто]),";"&amp;AW272&amp;":"),";"),"L1"))))</f>
        <v>L2</v>
      </c>
      <c r="FE272" t="str">
        <f t="shared" si="559"/>
        <v>L2</v>
      </c>
      <c r="FF272" t="str">
        <f t="shared" si="560"/>
        <v>L2</v>
      </c>
      <c r="FG272" cm="1">
        <f t="array" ref="FG272">IFERROR(IF(BX272=2,_xlfn.IFS(BR272=3,VLOOKUP(BN272,Справочная_двигатели,3,FALSE),BR272=1,VLOOKUP(BN272,Справочная_двигатели,5,TRUE)),0),0)</f>
        <v>0</v>
      </c>
      <c r="FH272">
        <f>IFERROR(IF(BX272=3,VLOOKUP(BN272,Справочная_ЛЭД,2,TRUE),0),0)</f>
        <v>0</v>
      </c>
      <c r="FI272" s="6">
        <f t="shared" si="561"/>
        <v>0</v>
      </c>
      <c r="FJ272" t="str" cm="1">
        <f t="array" ref="FJ272">IF(B272="","",IFERROR(INDEX({"I особая","I","II","III"},MATCH(TRIM(AC272&amp;""),{"I особая","I","II","III"},0)),"III"))</f>
        <v>II</v>
      </c>
      <c r="FK272" t="str">
        <f>IF(B272="","",IF(TRIM(AD272&amp;"")&lt;&gt;"",IF(LOWER(TRIM(AD272&amp;""))="да","да","нет"),IF(IFERROR(_xlfn.XLOOKUP(AX272,Коды_код,Коды_пожарная),"")="да","да","нет")))</f>
        <v>нет</v>
      </c>
      <c r="FL272" t="str">
        <f t="shared" si="562"/>
        <v/>
      </c>
      <c r="FM272" t="str">
        <f t="shared" si="563"/>
        <v>основная</v>
      </c>
      <c r="FN272">
        <f t="shared" si="564"/>
        <v>1</v>
      </c>
      <c r="FO272" t="str" cm="1">
        <f t="array" ref="FO272">IF(B272="","",_xlfn.LET(_xlpm.t,IFERROR(_xlfn.XLOOKUP(1,(Шины[Шина]=FM272)*(((Шины[Щит]=A272)+(Шины[Щит]=""))&gt;0),Шины[Тип]),"")&amp;"",IF(_xlpm.t&lt;&gt;"",_xlpm.t,IF(ISNUMBER(SEARCH("ИБП",FM272)),"ИБП",IF(ISNUMBER(SEARCH("ДГУ",FM272)),"ДГУ","Ввод "&amp;FN272)))))</f>
        <v>Ввод 1</v>
      </c>
      <c r="FP272" t="str">
        <f t="shared" si="565"/>
        <v>Ввод 1</v>
      </c>
      <c r="FQ272" t="str">
        <f>IF(B272="","",IF(OR(FO272="ИБП",FO272="ДГУ"),"I особая",IF(FO272="Одиночная","III",_xlfn.XLOOKUP(A272,Щиты[Щит],Щиты[Категория шины «Ввод»],"III"))))</f>
        <v>II</v>
      </c>
      <c r="FR272">
        <f>IF(B272="",0,IFERROR(MATCH(FJ272,{"III","II","I","I особая"},0),1))</f>
        <v>2</v>
      </c>
      <c r="FS272">
        <f t="shared" si="566"/>
        <v>2</v>
      </c>
      <c r="FT272" t="str">
        <f>IF(B272="","",IF(FR272&gt;IFERROR(MATCH(FQ272,{"III","II","I","I особая"},0),1),"НЕ ОБЕСПЕЧЕНА","ОК"))</f>
        <v>ОК</v>
      </c>
      <c r="FU272" t="str">
        <f>IF(A272="","",_xlfn.XLOOKUP(A272,Щиты[Щит],Щиты[Путь],""))</f>
        <v>|ГРЩ-ЖД|ЩР-1|</v>
      </c>
      <c r="FV272" t="str">
        <f>IF(B272="","",IF(AE272&lt;&gt;"",AE272,IF(IFERROR(_xlfn.XLOOKUP(AX272,Коды_код,Коды_вид)&amp;"","")="","Прочее",_xlfn.XLOOKUP(AX272,Коды_код,Коды_вид)&amp;"")))</f>
        <v>Розеточная сеть и бытовые приборы</v>
      </c>
      <c r="FW272">
        <f>IF(BH272="","",INT((BH272-1)/Столбцов_на_лист)+1)</f>
        <v>5</v>
      </c>
      <c r="FX272" t="str">
        <f t="shared" si="567"/>
        <v>ВВГнг(А)-LS (3х2,5) L=42-0,89%</v>
      </c>
      <c r="FY272">
        <f t="shared" si="568"/>
        <v>0.62</v>
      </c>
      <c r="FZ272">
        <f t="shared" si="569"/>
        <v>2.8299999999999996</v>
      </c>
      <c r="GA272">
        <f t="shared" si="570"/>
        <v>1</v>
      </c>
      <c r="GB272">
        <f t="shared" si="571"/>
        <v>0</v>
      </c>
      <c r="GC272">
        <f t="shared" si="572"/>
        <v>1</v>
      </c>
      <c r="GD272">
        <f>IF(BH272="","",IF(AND(CA272=1,GC272=1),COUNTIFS(A$3:A272,A272,CA$3:CA272,1,GC$3:GC272,1),IF(OR(OR(AW272=1,A272&lt;&gt;A271),AF272="вручную",GC272=0),"",IF(AW272=1,"",GE271))))</f>
        <v>48</v>
      </c>
      <c r="GE272">
        <f t="shared" si="573"/>
        <v>48</v>
      </c>
      <c r="GF272">
        <f>IF(B272="","",IFERROR(LOOKUP(INDEX(CHOOSE(DL272,Iдоп_1ж,Iдоп_2ж,Iдоп_3ж),MATCH(DX272,Iдоп_S,0))*DJ272*DK272,{6,10,16,20,25,32,40,50,63,80,100,125,160,200,250,315,400,500,630}),""))</f>
        <v>25</v>
      </c>
      <c r="GG272" t="str">
        <f t="shared" si="574"/>
        <v>QFD48</v>
      </c>
      <c r="GH272" t="str">
        <f t="shared" si="575"/>
        <v>QFD48</v>
      </c>
      <c r="GI272" t="str">
        <f t="shared" si="576"/>
        <v/>
      </c>
      <c r="GJ272">
        <f t="shared" si="577"/>
        <v>0</v>
      </c>
      <c r="GK272" t="str">
        <f>IF(OR(AG272="",AG272="-"),"",IFERROR(VLOOKUP(AG272,Модули_спр,2,FALSE),"R"))</f>
        <v/>
      </c>
      <c r="GL272" t="str">
        <f>IF(GK272="","",GK272&amp;"."&amp;COUNTIFS(A$3:A272,A272,GK$3:GK272,GK272))</f>
        <v/>
      </c>
      <c r="GM272" t="str">
        <f t="shared" si="578"/>
        <v/>
      </c>
      <c r="GN272" t="str">
        <f t="shared" si="579"/>
        <v/>
      </c>
      <c r="GO272" t="str">
        <f t="shared" si="580"/>
        <v/>
      </c>
      <c r="GP272" t="str">
        <f t="shared" si="581"/>
        <v/>
      </c>
      <c r="GQ272">
        <f t="shared" si="582"/>
        <v>1</v>
      </c>
      <c r="GR272" t="str">
        <f>IF(GQ272=1,"XT"&amp;COUNTIFS(A$3:A272,A272,GQ$3:GQ272,1),"")</f>
        <v>XT48</v>
      </c>
      <c r="GS272" t="str">
        <f t="shared" si="583"/>
        <v>XT48</v>
      </c>
      <c r="GT272" t="str">
        <f t="shared" si="584"/>
        <v>QFD48</v>
      </c>
      <c r="GU272" t="str">
        <f t="shared" si="585"/>
        <v/>
      </c>
      <c r="GV272" t="str">
        <f t="shared" si="586"/>
        <v>ok</v>
      </c>
      <c r="GW272" t="str">
        <f>IF(OR(GO272="",GM272=""),"",IF(GO272&gt;IFERROR(VLOOKUP(GN272,Модули_спр,3,FALSE),99),"ЛИШНИЙ КАНАЛ",IF(AND(AH272&lt;&gt;"=",COUNTIFS(Линии[_модуль гр.],GM272,Линии[Канал (итог)],GO272,Линии[Канал],"&lt;&gt;=",Линии[Щит],A272)&gt;1),"ДУБЛЬ КАНАЛА","")))</f>
        <v/>
      </c>
      <c r="GX272" s="6" t="str">
        <f t="shared" si="587"/>
        <v/>
      </c>
      <c r="GY272">
        <f t="shared" si="588"/>
        <v>10</v>
      </c>
      <c r="GZ272" t="str">
        <f t="shared" si="589"/>
        <v/>
      </c>
      <c r="HA272" t="str">
        <f>IF(AND(B272="",GT272=""),"",_xlfn.TEXTJOIN("; ",TRUE,IF(AND(B272&lt;&gt;"",FE272=""),"нет фазы",""),IF(AND(B272&lt;&gt;"",N(FY272)=0,EQ272&lt;&gt;"Нет"),"нет мощности",""),IF(AND(GS272&lt;&gt;"",COUNTIFS(Линии[Щит],A272,Линии[Клемма (итог)],GS272)&gt;1),"дубль клеммы "&amp;GS272,""),IF(AND(GV272&lt;&gt;"",GV272&lt;&gt;"ok"),GV272,""),IF(GW272&lt;&gt;"",GW272,""),IF(AND(N(BV272)&gt;=4,N(BR272)=1),BV272&amp;" жил на 1 фазе",""),IF(AND(AX272="R",CA272=1,OR(N(CK272)=0,N(CK272)&gt;30)),"розетка без дифзащиты до 30 мА",""),IFERROR(IF(AND(ISNUMBER(R272),R272&gt;DV272),"потери "&amp;FIXED(R272,1)&amp;" % &gt; "&amp;DV272&amp;" %",""),""),IFERROR(IF(LEFT(GZ272,4)="мало","Iкз мало — отключение &gt; 0,4 с",""),""),IF(AND(B272&lt;&gt;"",BH272=""),"не на схеме",""),IF(AND(CA272=0,B272&lt;&gt;"",FE272&lt;&gt;"",IF(AW272=1,"",FF271)&lt;&gt;"",FE272&lt;&gt;IF(AW272=1,"",FF271)),"фаза не как у автомата группы ("&amp;IF(AW272=1,"",FF271)&amp;")","")))</f>
        <v/>
      </c>
      <c r="HB272" s="6">
        <f>IF(OR(CA272=0,DA272=""),"",_xlfn.LET(_xlpm.t,IFERROR(_xlfn.XLOOKUP(DA272,Каталог!$U$4:$U$500,Каталог!$G$4:$G$500),""),_xlpm.k,SEARCH("кА",_xlpm.t),IFERROR(--TRIM(RIGHT(SUBSTITUTE(MID(_xlpm.t,MAX(1,_xlpm.k-4),_xlpm.k-MAX(1,_xlpm.k-4))," ",REPT(" ",9)),5)),"")))</f>
        <v>6</v>
      </c>
      <c r="HC272" t="str">
        <f>IF(OR(HB272="",CA272=0),"",IF(_xlfn.XLOOKUP(A272,Щиты[Щит],Щиты[Iкз max на шинах, кА],"")="","",IF(HB272&lt;_xlfn.XLOOKUP(A272,Щиты[Щит],Щиты[Iкз max на шинах, кА]),"Icu "&amp;HB272&amp;" кА &lt; Iкз max","ok")))</f>
        <v/>
      </c>
      <c r="HD272" t="str">
        <f t="shared" si="590"/>
        <v/>
      </c>
      <c r="HE272" t="str">
        <f t="shared" si="591"/>
        <v>QFD48|XT48</v>
      </c>
      <c r="HF272" t="str">
        <f t="shared" si="592"/>
        <v>QFD48|XT48|кабель ВВГнг(А)-LS (3х2,5) → Розеточная группа Первый этаж Пом. №021A Холодильник, морозильная камера</v>
      </c>
      <c r="HG272" t="str" cm="1">
        <f t="array" ref="HG272">IF(HF272="","",_xlfn.LET(_xlpm.nd,_xlfn.TEXTSPLIT(HF272,"|"),IF(COLUMNS(_xlpm.nd)&gt;1,A272&amp;"¦"&amp;INDEX(_xlpm.nd,1)&amp;"¦"&amp;INDEX(_xlpm.nd,2),"")))</f>
        <v>ЩР-1¦QFD48¦XT48</v>
      </c>
      <c r="HH272" t="str">
        <f t="shared" si="593"/>
        <v>R.1.021A.4¦Розеточная группа Первый этаж Пом. №021A Холодильник, морозильная камера</v>
      </c>
      <c r="HI272" t="str" cm="1">
        <f t="array" ref="HI272">IF(HF272="","",_xlfn.LET(_xlpm.nd,_xlfn.TEXTSPLIT(HF272,"|"),IF(COLUMNS(_xlpm.nd)&gt;2,A272&amp;"¦"&amp;INDEX(_xlpm.nd,2)&amp;"¦"&amp;INDEX(_xlpm.nd,3),"")))</f>
        <v>ЩР-1¦XT48¦кабель ВВГнг(А)-LS (3х2,5) → Розеточная группа Первый этаж Пом. №021A Холодильник, морозильная камера</v>
      </c>
      <c r="HJ272" t="str">
        <f t="shared" si="594"/>
        <v>R.1.021A.4¦Розеточная группа Первый этаж Пом. №021A Холодильник, морозильная камера</v>
      </c>
      <c r="HK272" t="str" cm="1">
        <f t="array" ref="HK272">IF(HF272="","",_xlfn.LET(_xlpm.nd,_xlfn.TEXTSPLIT(HF272,"|"),IF(COLUMNS(_xlpm.nd)&gt;3,A272&amp;"¦"&amp;INDEX(_xlpm.nd,3)&amp;"¦"&amp;INDEX(_xlpm.nd,4),"")))</f>
        <v/>
      </c>
      <c r="HL272" t="str">
        <f t="shared" si="595"/>
        <v/>
      </c>
      <c r="HM272" t="str" cm="1">
        <f t="array" ref="HM272">IF(HF272="","",_xlfn.LET(_xlpm.nd,_xlfn.TEXTSPLIT(HF272,"|"),IF(COLUMNS(_xlpm.nd)&gt;4,A272&amp;"¦"&amp;INDEX(_xlpm.nd,4)&amp;"¦"&amp;INDEX(_xlpm.nd,5),"")))</f>
        <v/>
      </c>
      <c r="HN272" t="str">
        <f t="shared" si="596"/>
        <v/>
      </c>
      <c r="HO272" t="str" cm="1">
        <f t="array" ref="HO272">IF(HF272="","",_xlfn.LET(_xlpm.nd,_xlfn.TEXTSPLIT(HF272,"|"),IF(COLUMNS(_xlpm.nd)&gt;5,A272&amp;"¦"&amp;INDEX(_xlpm.nd,5)&amp;"¦"&amp;INDEX(_xlpm.nd,6),"")))</f>
        <v/>
      </c>
      <c r="HP272" t="str">
        <f t="shared" si="597"/>
        <v/>
      </c>
      <c r="HQ272" t="str" cm="1">
        <f t="array" ref="HQ272">IF(HF272="","",_xlfn.LET(_xlpm.nd,_xlfn.TEXTSPLIT(HF272,"|"),IF(COLUMNS(_xlpm.nd)&gt;6,A272&amp;"¦"&amp;INDEX(_xlpm.nd,6)&amp;"¦"&amp;INDEX(_xlpm.nd,7),"")))</f>
        <v/>
      </c>
      <c r="HR272" t="str">
        <f t="shared" si="598"/>
        <v/>
      </c>
      <c r="HS272" t="str">
        <f t="shared" si="599"/>
        <v/>
      </c>
      <c r="HT272" t="str">
        <f t="shared" si="600"/>
        <v>QFD48 → XT48</v>
      </c>
      <c r="HU272">
        <f t="shared" si="601"/>
        <v>0</v>
      </c>
      <c r="HV272">
        <f t="shared" si="602"/>
        <v>1</v>
      </c>
      <c r="HW272" t="str">
        <f t="shared" si="603"/>
        <v/>
      </c>
      <c r="HX272" t="str">
        <f t="shared" si="604"/>
        <v/>
      </c>
      <c r="HY272" t="str">
        <f t="shared" si="605"/>
        <v/>
      </c>
      <c r="HZ272" t="str">
        <f t="shared" si="606"/>
        <v/>
      </c>
      <c r="IA272" t="str">
        <f>IF(B272="","",IFERROR(VLOOKUP(B272,УГО_спр,2,FALSE),IFERROR(VLOOKUP(AX272,УГО_спр,2,FALSE),IFERROR(VLOOKUP(LEFT(AX272,2),УГО_спр,2,FALSE),""))))</f>
        <v>Розетка</v>
      </c>
      <c r="IB272" t="str">
        <f>IF(B272="","",IF(OR(IA272="",IA272=0),"BOX",IFERROR(IF(VLOOKUP(IA272,УГО_блоки,3,FALSE)&amp;""&lt;&gt;"",VLOOKUP(IA272,УГО_блоки,3,FALSE),VLOOKUP(IA272,УГО_блоки,2,FALSE)),IA272)))</f>
        <v>SOCKET</v>
      </c>
      <c r="IC272">
        <f t="shared" si="607"/>
        <v>1</v>
      </c>
      <c r="ID272" t="str">
        <f>IF(DA272="","",IF(COUNTIF(DA$3:DA272,DA272)=1,MAX(ID$2:ID271)+1,""))</f>
        <v/>
      </c>
      <c r="IE272" t="str">
        <f>IF(CO272="","",IF(COUNTIF(CO$3:CO272,CO272)+COUNTIF(CP$2:CP271,CO272)+COUNTIF(CQ$2:CQ271,CO272)=1,MAX(IE$2:IG271)+1,""))</f>
        <v/>
      </c>
      <c r="IF272" t="str">
        <f>IF(CP272="","",IF(COUNTIF(CO$3:CO272,CP272)+COUNTIF(CP$3:CP272,CP272)+COUNTIF(CQ$2:CQ271,CP272)=1,MAX(IE$2:IG271,IE272)+1,""))</f>
        <v/>
      </c>
      <c r="IG272" t="str">
        <f>IF(CQ272="","",IF(COUNTIF(CO$3:CO272,CQ272)+COUNTIF(CP$3:CP272,CQ272)+COUNTIF(CQ$3:CQ272,CQ272)=1,MAX(IE$2:IG271,IE272,IF272)+1,""))</f>
        <v/>
      </c>
      <c r="IH272" t="str">
        <f t="shared" si="608"/>
        <v>3х2,5</v>
      </c>
      <c r="II272" t="str">
        <f>IF(IH272="","",IF(COUNTIF(IH$3:IH272,IH272)=1,MAX(II$2:II271)+1,""))</f>
        <v/>
      </c>
      <c r="IJ272" t="str">
        <f>IF(GL272="","",COUNTIF(GL$3:GL272,"?*"))</f>
        <v/>
      </c>
      <c r="IK272" t="str">
        <f>IF(OR(GL272="",GN272=""),"",IF(COUNTIFS(GL$3:GL272,"?*",GN$3:GN272,GN272)=1,MAX(IK$2:IK271)+1,""))</f>
        <v/>
      </c>
      <c r="IL272">
        <f t="shared" si="609"/>
        <v>0</v>
      </c>
      <c r="IM272">
        <f>IF(B272="","",COUNTIF(B$3:B272,"?*"))</f>
        <v>270</v>
      </c>
      <c r="IN272">
        <f>IF(GQ272&lt;&gt;1,0,_xlfn.LET(_xlpm.k,MAX(IFERROR(--VLOOKUP(B272,УГО_спр,5,FALSE),0),IFERROR(--VLOOKUP(AX272,УГО_спр,5,FALSE),0),IFERROR(--VLOOKUP(LEFT(AX272,2),УГО_спр,5,FALSE),0)),IF(_xlpm.k&gt;0,_xlpm.k,IF(IFERROR(--LEFT(SUBSTITUTE(IH272,"x","х"),FIND("х",SUBSTITUTE(IH272,"x","х"))-1),3)&gt;3,Каталог!$S$9,1))))</f>
        <v>1</v>
      </c>
      <c r="IO272">
        <f t="shared" si="610"/>
        <v>0</v>
      </c>
      <c r="IP272" t="str">
        <f t="shared" si="611"/>
        <v>авто</v>
      </c>
      <c r="IQ272">
        <f t="shared" si="612"/>
        <v>30</v>
      </c>
      <c r="IR272">
        <f t="shared" si="613"/>
        <v>1</v>
      </c>
      <c r="IS272">
        <f t="shared" si="614"/>
        <v>1</v>
      </c>
    </row>
    <row r="273" spans="1:253" x14ac:dyDescent="0.3">
      <c r="A273" t="s">
        <v>759</v>
      </c>
      <c r="B273" t="s">
        <v>1538</v>
      </c>
      <c r="C273" t="s">
        <v>1677</v>
      </c>
      <c r="D273">
        <v>1</v>
      </c>
      <c r="E273">
        <v>0.09</v>
      </c>
      <c r="G273" t="str">
        <f>Линии[[#This Row],[_авто автомат]]</f>
        <v>2P С16А 30мА</v>
      </c>
      <c r="H273">
        <f>Линии[[#This Row],[_авто утечка]]</f>
        <v>30</v>
      </c>
      <c r="I273" t="str">
        <f>Линии[[#This Row],[_авто управление]]</f>
        <v/>
      </c>
      <c r="J273" t="str">
        <f>Линии[[#This Row],[_авто аппараты]]</f>
        <v/>
      </c>
      <c r="K273">
        <v>2.5</v>
      </c>
      <c r="L273">
        <v>39</v>
      </c>
      <c r="M273" t="str">
        <f>Линии[[#This Row],[_авто фаза]]</f>
        <v>L2</v>
      </c>
      <c r="N273" t="str">
        <f>Линии[[#This Row],[_авто клемма]]</f>
        <v>XT49</v>
      </c>
      <c r="O273" t="str">
        <f t="shared" si="492"/>
        <v/>
      </c>
      <c r="P273" s="6" cm="1">
        <f t="array" ref="P273">IF(B273="","",IF(BC273&lt;&gt;"",IFERROR(_xlfn.XLOOKUP(BC273,Щиты[Щит],Щиты[Iр, А]),""),IF(BK273=1,IFERROR(_xlfn.XLOOKUP(A273,Щиты[Щит],Щиты[Iр, А]),""),IFERROR(_xlfn.IFS(BR273=1,BN273/((Uн_лин/SQRT(3))*BY273),BR273=3,BN273/(SQRT(3)*Uн_лин*BY273)),""))))</f>
        <v>0.41022255968736565</v>
      </c>
      <c r="Q273" s="7">
        <f>IF(B273="","",IFERROR(IF(VLOOKUP(AX273,Потребители_обозначение,4,FALSE)=1,VLOOKUP(AX273,Потребители_обозначение,3,FALSE)*(D273*2-1)+DS273+VLOOKUP(AZ273,Этаж_обозначение,3,FALSE)+VLOOKUP(AZ273,Этаж_обозначение,4,FALSE),VLOOKUP(AX273,Потребители_обозначение,3,FALSE)*(D273*2-1)+DS273),DS273))</f>
        <v>42</v>
      </c>
      <c r="R273" s="6">
        <f t="shared" si="493"/>
        <v>1.3199999999999998</v>
      </c>
      <c r="S273" t="str">
        <f t="shared" si="494"/>
        <v>ВВГнг(А)-LS (3х2,5)</v>
      </c>
      <c r="T273" t="str">
        <f>IF(BH273="","",IF(BI273="вводной узел","узел ","")&amp;"л."&amp;(INT((BH273-1)/Столбцов_на_лист)+1)&amp;" / "&amp;(MOD(BH273-1,Столбцов_на_лист)+1))</f>
        <v>л.5 / 4</v>
      </c>
      <c r="V273">
        <v>1</v>
      </c>
      <c r="W273">
        <v>230</v>
      </c>
      <c r="X273" t="s">
        <v>564</v>
      </c>
      <c r="AC273" t="s">
        <v>815</v>
      </c>
      <c r="AE273" t="s">
        <v>563</v>
      </c>
      <c r="AI273">
        <v>72</v>
      </c>
      <c r="AJ273" t="s">
        <v>11</v>
      </c>
      <c r="AK273">
        <v>3</v>
      </c>
      <c r="AM273">
        <v>20</v>
      </c>
      <c r="AN273">
        <v>22</v>
      </c>
      <c r="AO273">
        <v>0</v>
      </c>
      <c r="AW273" cm="1">
        <f t="array" ref="AW273">ROW()-ROW(Линии[#Headers])</f>
        <v>271</v>
      </c>
      <c r="AX273" s="6" t="str">
        <f t="shared" si="495"/>
        <v>R</v>
      </c>
      <c r="AY273" t="str">
        <f t="shared" si="496"/>
        <v>1.021A.6</v>
      </c>
      <c r="AZ273" t="str">
        <f t="shared" si="497"/>
        <v>1</v>
      </c>
      <c r="BA273" t="str">
        <f t="shared" si="498"/>
        <v>021A.6</v>
      </c>
      <c r="BB273" t="str">
        <f t="shared" si="499"/>
        <v>021A</v>
      </c>
      <c r="BC273" t="str">
        <f>IF(U273&lt;&gt;"",U273,IF(AND(B273&lt;&gt;"",B273&lt;&gt;A273,ISNUMBER(_xlfn.XMATCH(B273,Щиты[Щит]))),B273,""))</f>
        <v/>
      </c>
      <c r="BD273" t="str" cm="1">
        <f t="array" ref="BD273">IF(B273="","",IF(BC273&lt;&gt;"","Щит "&amp;BC273,_xlfn.LET(_xlpm.nm,IFERROR(_xlfn.XLOOKUP(AX273,Коды_код,Коды_имя)&amp;"",""),_xlpm.md,IFERROR(N(_xlfn.XLOOKUP(AX273,Коды_код,Коды_режим)),1),_xlpm.ex,IF(Имя_режим="по экспликации",IFERROR(_xlfn.XLOOKUP(AZ273&amp;"|"&amp;BB273,Экспликация[Этаж]&amp;"|"&amp;Экспликация[Помещение],Экспликация[Название])&amp;"",""),""),_xlpm.rm,IF(BB273="","",IF(_xlpm.ex&lt;&gt;"",". "&amp;_xlpm.ex&amp;IF(Имя_пом="нет"," ("&amp;BB273&amp;")"," (пом. "&amp;BB273&amp;")"),IF(Имя_пом="нет"," ",", пом. ")&amp;BB273)),IF(_xlpm.nm="","",IF(_xlpm.md=2,_xlpm.nm&amp;" шлейф "&amp;AZ273,_xlpm.nm&amp;_xlpm.rm)))))</f>
        <v>Розеточная группа, пом. 021A</v>
      </c>
      <c r="BE273" t="str">
        <f t="shared" si="500"/>
        <v>Розеточная группа Первый этаж Пом. №021A Вывод для вытяжки</v>
      </c>
      <c r="BF273">
        <f>IFERROR(_xlfn.XMATCH(A273,Щиты[Щит]),0)</f>
        <v>10</v>
      </c>
      <c r="BG273">
        <f>_xlfn.LET(_xlpm.k,IFERROR(_xlfn.XLOOKUP(A273,Щиты[Щит],Щиты[Листов под вводной узел]),""),IF(_xlpm.k="",1,N(_xlpm.k))*Столбцов_на_лист)</f>
        <v>17</v>
      </c>
      <c r="BH273">
        <f t="shared" si="501"/>
        <v>72</v>
      </c>
      <c r="BI273" t="str">
        <f t="shared" si="502"/>
        <v>линии</v>
      </c>
      <c r="BJ273" s="6">
        <f>IFERROR(N(_xlfn.XLOOKUP(AX273,Коды_код,Коды_квт)),0)</f>
        <v>0</v>
      </c>
      <c r="BK273">
        <f t="shared" si="503"/>
        <v>0</v>
      </c>
      <c r="BL273" t="str">
        <f>IF(B273="","",IF(BC273&lt;&gt;"",IFERROR(_xlfn.XLOOKUP(BC273,Щиты[Щит],Щиты[Руст, кВт]),0),IF(BK273=1,IFERROR(_xlfn.XLOOKUP(A273,Щиты[Щит],Щиты[Руст, кВт]),0),IF(BJ273&gt;0,ROUND(BJ273*MAX(1,N(D273)),3),""))))</f>
        <v/>
      </c>
      <c r="BM273">
        <f t="shared" si="504"/>
        <v>0.09</v>
      </c>
      <c r="BN273" s="6">
        <f>IF(B273="","",IF(BC273&lt;&gt;"",IFERROR(_xlfn.XLOOKUP(BC273,Щиты[Щит],Щиты[Руст, кВт]),0),N(BM273)))</f>
        <v>0.09</v>
      </c>
      <c r="BO273" t="str">
        <f>IF(B273="","",IFERROR(IF(VLOOKUP(AX273,Потребители_обозначение,8,FALSE)=0,"",VLOOKUP(AX273,Потребители_обозначение,8,FALSE)),""))</f>
        <v/>
      </c>
      <c r="BP273">
        <f t="shared" si="505"/>
        <v>230</v>
      </c>
      <c r="BQ273">
        <f>IF(B273="","",IF(BC273&lt;&gt;"",3,IFERROR(IF(N(VLOOKUP(AX273,Потребители_обозначение,9,FALSE))=0,1,VLOOKUP(AX273,Потребители_обозначение,9,FALSE)),1)))</f>
        <v>1</v>
      </c>
      <c r="BR273">
        <f t="shared" si="506"/>
        <v>1</v>
      </c>
      <c r="BS273" t="str">
        <f>IF(B273="","",_xlfn.LET(_xlpm.bc,IFERROR(IF(VLOOKUP(AX273,Потребители_обозначение,6,FALSE)=0,"",VLOOKUP(AX273,Потребители_обозначение,6,FALSE)&amp;""),""),IF(AND(FK273="да",OR(_xlpm.bc="",_xlpm.bc="мс")),Марка_пож,IF(AND(_xlpm.bc="",BC273&lt;&gt;""),"мс",_xlpm.bc))))</f>
        <v/>
      </c>
      <c r="BT273" t="str">
        <f t="shared" si="507"/>
        <v>мс</v>
      </c>
      <c r="BU273">
        <f>IF(B273="","",_xlfn.LET(_xlpm.cc,IFERROR(N(VLOOKUP(AX273,Потребители_обозначение,7,FALSE)),0),IF(_xlpm.cc&gt;0,_xlpm.cc,IF(BT273="","",IF(N(BR273)=3,5,3)))))</f>
        <v>3</v>
      </c>
      <c r="BV273">
        <f t="shared" si="508"/>
        <v>3</v>
      </c>
      <c r="BW273">
        <f>IFERROR(N(VLOOKUP(AX273,Потребители_обозначение,10,FALSE)),0)</f>
        <v>0</v>
      </c>
      <c r="BX273">
        <f>IFERROR(VLOOKUP(AX273,Потребители_обозначение,5,FALSE),0)</f>
        <v>1</v>
      </c>
      <c r="BY273" s="6" cm="1">
        <f t="array" ref="BY273">IF(B273="","",IF(BC273&lt;&gt;"",IFERROR(_xlfn.XLOOKUP(BC273,Щиты[Щит],Щиты[cos φ]),0.95),IF(BK273=1,IFERROR(_xlfn.XLOOKUP(A273,Щиты[Щит],Щиты[cos φ]),0.95),IF(ISNUMBER(Z273),Z273,IFERROR(IF(BX273=2,_xlfn.IFS(BR273=3,VLOOKUP(BN273,Справочная_двигатели,8,FALSE),BR273=1,VLOOKUP(BN273,Справочная_двигатели,10,TRUE)),IF(AND(Методика="нормы 2026",EQ273="Сил"),0.8,0.95)),0.95)))))</f>
        <v>0.95</v>
      </c>
      <c r="BZ273">
        <f t="shared" si="509"/>
        <v>0</v>
      </c>
      <c r="CA273">
        <f t="shared" si="510"/>
        <v>1</v>
      </c>
      <c r="CB273">
        <f t="shared" si="511"/>
        <v>0</v>
      </c>
      <c r="CC273">
        <f t="shared" si="512"/>
        <v>0</v>
      </c>
      <c r="CD273">
        <f t="shared" si="513"/>
        <v>0</v>
      </c>
      <c r="CE273">
        <f t="shared" si="514"/>
        <v>0</v>
      </c>
      <c r="CF273">
        <f t="shared" si="515"/>
        <v>0</v>
      </c>
      <c r="CG273">
        <f>IF(AX273="",0,_xlfn.LET(_xlpm.v,IFERROR(VLOOKUP(B273,УГО_спр,3,FALSE),IFERROR(VLOOKUP(AX273,УГО_спр,3,FALSE),IFERROR(VLOOKUP(LEFT(AX273,2),УГО_спр,3,FALSE),""))),IF(_xlpm.v="да",30,IF(ISNUMBER(_xlpm.v),_xlpm.v,0))))</f>
        <v>30</v>
      </c>
      <c r="CH273">
        <f t="shared" si="516"/>
        <v>30</v>
      </c>
      <c r="CI273" t="str">
        <f>_xlfn.LET(_xlpm.k,IFERROR(_xlfn.XLOOKUP(AX273,Коды_код,Коды_утечка)&amp;"",""),IF(_xlpm.k="","дифавтомат",_xlpm.k))</f>
        <v>дифавтомат</v>
      </c>
      <c r="CJ273">
        <f t="shared" si="517"/>
        <v>30</v>
      </c>
      <c r="CK273">
        <f t="shared" si="518"/>
        <v>30</v>
      </c>
      <c r="CL273">
        <f>IF(B273="",0,IFERROR(--VLOOKUP(B273,УГО_спр,4,FALSE),IFERROR(--VLOOKUP(AX273,УГО_спр,4,FALSE),IFERROR(--VLOOKUP(LEFT(AX273,2),УГО_спр,4,FALSE),0))))</f>
        <v>16</v>
      </c>
      <c r="CM273" t="str">
        <f>IF(B273="","",IFERROR(_xlfn.XLOOKUP(AX273,Коды_код,Коды_апп)&amp;"",""))</f>
        <v/>
      </c>
      <c r="CN273" t="str">
        <f t="shared" si="519"/>
        <v/>
      </c>
      <c r="CO273" t="str" cm="1">
        <f t="array" ref="CO273">IF(TRIM(CN273&amp;"")="","",IFERROR(TRIM(INDEX(_xlfn.TEXTSPLIT(CN273&amp;";;;",";"),1)),""))</f>
        <v/>
      </c>
      <c r="CP273" t="str" cm="1">
        <f t="array" ref="CP273">IF(TRIM(CN273&amp;"")="","",IFERROR(TRIM(INDEX(_xlfn.TEXTSPLIT(CN273&amp;";;;",";"),2)),""))</f>
        <v/>
      </c>
      <c r="CQ273" t="str" cm="1">
        <f t="array" ref="CQ273">IF(TRIM(CN273&amp;"")="","",IFERROR(TRIM(INDEX(_xlfn.TEXTSPLIT(CN273&amp;";;;",";"),3)),""))</f>
        <v/>
      </c>
      <c r="CR273">
        <f t="shared" si="520"/>
        <v>0</v>
      </c>
      <c r="CS273" t="str">
        <f>IF(B273="","",_xlfn.LET(_xlpm.t,LOWER(AV273&amp;""),IF(ISNUMBER(SEARCH("dim",_xlpm.t)),"DIM",IF(ISNUMBER(SEARCH("dali",_xlpm.t)),"DALI",IF(OR(ISNUMBER(SEARCH("relay",_xlpm.t)),ISNUMBER(SEARCH("реле",_xlpm.t))),"Relay",IF(ISNUMBER(SEARCH("кнопк",_xlpm.t)),"",IFERROR(_xlfn.XLOOKUP(AX273,Коды_код,Коды_упр)&amp;"","")))))))</f>
        <v/>
      </c>
      <c r="CT273" t="str">
        <f t="shared" si="521"/>
        <v/>
      </c>
      <c r="CU273">
        <f>IF(B273="","",_xlfn.LET(_xlpm.ig,N(P273)+IF(AF273="вручную",0,N(CB273)),_xlpm.n0,IFERROR(VLOOKUP(_xlpm.ig,Автомат_номиналы,2,TRUE),0),_xlpm.mn,MAX(CL273,IF(AF273="вручную",0,N(CE273))),MAX(_xlpm.n0,_xlpm.mn,IF(CR273=1,Мин_автомат_БП,0))))</f>
        <v>16</v>
      </c>
      <c r="CV273">
        <f t="shared" si="522"/>
        <v>1</v>
      </c>
      <c r="CW273" t="str">
        <f t="shared" si="523"/>
        <v>2P</v>
      </c>
      <c r="CX273" t="str">
        <f>_xlfn.LET(_xlpm.cc,UPPER(TRIM(IFERROR(_xlfn.XLOOKUP(AX273,Коды_код,Коды_хар)&amp;"",""))),IF(OR(_xlpm.cc="B",_xlpm.cc="В"),"B",IF(_xlpm.cc="D","D","С")))</f>
        <v>С</v>
      </c>
      <c r="CY273" t="str">
        <f t="shared" si="524"/>
        <v>2P С16А 30мА</v>
      </c>
      <c r="CZ273" t="str">
        <f t="shared" si="525"/>
        <v>2P С16А 30мА</v>
      </c>
      <c r="DA273" t="str">
        <f t="shared" si="526"/>
        <v>2P С16А 30мА</v>
      </c>
      <c r="DB273" cm="1">
        <f t="array" ref="DB273">IF(DA273="","",_xlfn.LET(_xlpm.t,SUBSTITUTE(SUBSTITUTE(SUBSTITUTE(UPPER(DA273),"С","C"),"А","A"),"В","B"),_xlpm.tk,_xlfn.TEXTSPLIT(_xlpm.t,"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3" t="str">
        <f t="shared" si="527"/>
        <v>ok</v>
      </c>
      <c r="DD273">
        <f t="shared" si="528"/>
        <v>16</v>
      </c>
      <c r="DE273" t="str">
        <f t="shared" si="529"/>
        <v>2P С16А 30мА</v>
      </c>
      <c r="DF273">
        <f t="shared" si="530"/>
        <v>30</v>
      </c>
      <c r="DG273">
        <f t="shared" si="531"/>
        <v>1</v>
      </c>
      <c r="DH273">
        <f t="shared" si="532"/>
        <v>0</v>
      </c>
      <c r="DI273">
        <f t="shared" si="533"/>
        <v>0.41022255968736565</v>
      </c>
      <c r="DJ273">
        <f t="shared" si="534"/>
        <v>1</v>
      </c>
      <c r="DK273">
        <f>IF(ISNUMBER(AL273),AL273,К_прокл)</f>
        <v>1</v>
      </c>
      <c r="DL273">
        <f t="shared" si="535"/>
        <v>2</v>
      </c>
      <c r="DM273">
        <f>IFERROR(N(VLOOKUP(BT273,Кабель_обозначение,3,FALSE)),1)</f>
        <v>1</v>
      </c>
      <c r="DN273">
        <f>IFERROR(N(_xlfn.XLOOKUP(A273,Щиты[Щит],Щиты[ΔU до шин, %])),0)</f>
        <v>1.19</v>
      </c>
      <c r="DO273" t="str">
        <f>IFERROR(_xlfn.XLOOKUP(A273,Щиты[Щит],Щиты[Zпетли на шинах, Ом]),"")</f>
        <v/>
      </c>
      <c r="DP273">
        <f>IFERROR(N(_xlfn.XLOOKUP(A273,Щиты[Щит],Щиты[ΔU до шин (подбор), %])),0)</f>
        <v>1.19</v>
      </c>
      <c r="DQ273" t="str">
        <f>IFERROR(_xlfn.XLOOKUP(A273,Щиты[Щит],Щиты[Zпетли на шинах (подбор), Ом]),"")</f>
        <v/>
      </c>
      <c r="DR273" t="str">
        <f t="shared" si="536"/>
        <v/>
      </c>
      <c r="DS273">
        <f t="shared" si="537"/>
        <v>39</v>
      </c>
      <c r="DT273">
        <f t="shared" si="538"/>
        <v>2</v>
      </c>
      <c r="DU273">
        <f t="shared" si="539"/>
        <v>0.31</v>
      </c>
      <c r="DV273" s="6">
        <f>IF(B273="","",IF(IFERROR(VLOOKUP(AX273,УГО_спр,2,FALSE),"")="Светильник",3,4)+IF(Методика="нормы 2026",MIN(0.5,MAX(0,N(Q273)-100)*0.005),0))</f>
        <v>4</v>
      </c>
      <c r="DW273" cm="1">
        <f t="array" ref="DW273">IF(OR(B273="",BT273="",DM273&lt;&gt;1),"",_xlfn.LET(_xlpm.sz,Iдоп_S,_xlpm.t_,CHOOSE(DL273,Iдоп_1ж,Iдоп_2ж,Iдоп_3ж)*DJ273*DK273,_xlpm.inn,N(DD273),_xlpm.smin,MAX(1.5,BW273),_xlpm.L_,N(Q273)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273)*(_xlpm.rho*_xlpm.L_/_xlpm.sz*N(BY273)+_xlpm.xx*_xlpm.L_*N(DU273)/1000)*N(P273)/((Uн_лин/SQRT(3))*1000)*100,999),_xlpm.kz,IF(OR(DG273=1,NOT(ISNUMBER(DQ273)),_xlpm.L_=0,_xlpm.inn=0),1,IFERROR(--(c_min*(Uн_лин*1000/SQRT(3))/(DQ273+2*ρкз_Cu*_xlpm.L_/_xlpm.sz)&gt;=GY273*_xlpm.inn),0)),_xlpm.ok,IFERROR((_xlpm.sz&gt;=_xlpm.smin)*(_xlpm.t_&gt;=_xlpm.inn)*IF(_xlpm.L_&gt;0,(_xlpm.du_+DP273&lt;=DV273+0.00001),1)*_xlpm.kz,0),_xlpm.r_,_xlfn._xlws.FILTER(_xlpm.sz,_xlpm.ok,"не подобрано"),INDEX(_xlpm.r_,1)))</f>
        <v>1.5</v>
      </c>
      <c r="DX273">
        <f t="shared" si="540"/>
        <v>2.5</v>
      </c>
      <c r="DY273" cm="1">
        <f t="array" ref="DY273">IF(OR(B273="",BT273="",DM273&lt;&gt;1),"",_xlfn.LET(_xlpm.sz,Iдоп_S,_xlpm.t_,CHOOSE(DL273,Iдоп_1ж,Iдоп_2ж,Iдоп_3ж)*DJ273*DK273,_xlpm.ok,IFERROR((_xlpm.sz&gt;=MAX(1.5,BW273))*(_xlpm.t_&gt;=N(DD273)),0),_xlpm.r_,_xlfn._xlws.FILTER(_xlpm.sz,_xlpm.ok,""),INDEX(_xlpm.r_,1)))</f>
        <v>1.5</v>
      </c>
      <c r="DZ273" s="6" cm="1">
        <f t="array" ref="DZ273">IFERROR(ROUNDUP(N(DT273)*(_xlfn.XLOOKUP(DY273,INDEX(Кабель_сопротивление,0,1),INDEX(Кабель_сопротивление,0,3))*N(Q273)/DY273*N(BY273)+_xlfn.XLOOKUP(DY273,INDEX(Кабель_сопротивление,0,1),INDEX(Кабель_сопротивление,0,2))*N(Q273)*N(DU273)/1000)*N(P273)/((Uн_лин/SQRT(3))*1000)*100,2),"")</f>
        <v>0.22</v>
      </c>
      <c r="EA273">
        <f>IFERROR(2*ρкз_Cu*N(Q273)/DY273,"")</f>
        <v>1.4728000000000001</v>
      </c>
      <c r="EB273">
        <f>IFERROR(VLOOKUP(DX273,Кабель_сопротивление,3,FALSE),"")</f>
        <v>2.2499999999999999E-2</v>
      </c>
      <c r="EC273">
        <f>IFERROR(VLOOKUP(DX273,Кабель_сопротивление,2,FALSE),"")</f>
        <v>0.1</v>
      </c>
      <c r="ED273">
        <f t="shared" si="541"/>
        <v>22</v>
      </c>
      <c r="EE273">
        <f t="shared" si="542"/>
        <v>0</v>
      </c>
      <c r="EF273">
        <f t="shared" si="543"/>
        <v>0.29569006191289193</v>
      </c>
      <c r="EG273" s="6">
        <f>IFERROR(ROUNDUP(EF273/((Uн_лин/SQRT(3))*1000)*100,2),"")</f>
        <v>0.13</v>
      </c>
      <c r="EH273" t="str">
        <f>IFERROR(VLOOKUP(BT273,Кабель_обозначение,2,FALSE),"")</f>
        <v>ВВГнг(А)-LS</v>
      </c>
      <c r="EI273" t="str">
        <f t="shared" si="544"/>
        <v>ВВГнг(А)-LS (3х2,5)</v>
      </c>
      <c r="EJ273" t="str">
        <f t="shared" si="545"/>
        <v>ВВГнг(А)-LS (3х2,5)
L=42-0,13%</v>
      </c>
      <c r="EK273">
        <f>IFERROR(2*ρкз_Cu*Q273/DX273,"")</f>
        <v>0.88368000000000002</v>
      </c>
      <c r="EL273">
        <f t="shared" si="546"/>
        <v>0.29400000000000004</v>
      </c>
      <c r="EM273" s="6" t="str">
        <f>IFERROR(IF(OR(B273="",NOT(ISNUMBER(DX273)),N(Q273)=0),"",_xlfn.XLOOKUP(A273,Щиты[Щит],Щиты[Zпетли на шинах, Ом])+EK273),"")</f>
        <v/>
      </c>
      <c r="EN273" s="6" t="str">
        <f>IF(ISNUMBER(EM273),c_min*(Uн_лин*1000/SQRT(3))/EM273,"")</f>
        <v/>
      </c>
      <c r="EO273" s="6" t="str">
        <f>IFERROR(IF(OR(B273="",NOT(ISNUMBER(DX273))),"",1.05*(Uн_лин*1000/SQRT(3))/(_xlfn.XLOOKUP(A273,Щиты[Щит],Щиты[Zmax на шинах, Ом])+EL273)/1000),"")</f>
        <v/>
      </c>
      <c r="EP273" s="6" t="str">
        <f>IF(B273="","",IF(ISNUMBER(Y273),"Сил",IF(IFERROR(_xlfn.XLOOKUP(AX273,Коды_код,Коды_группа)&amp;"","")="","Быт",_xlfn.XLOOKUP(AX273,Коды_код,Коды_группа)&amp;"")))</f>
        <v>Быт</v>
      </c>
      <c r="EQ273" s="6" t="str">
        <f t="shared" si="547"/>
        <v>Быт</v>
      </c>
      <c r="ER273" s="6">
        <f>IF(EQ273="Щит","щит",IF(EQ273="","",IF(EQ273="Быт",IFERROR(_xlfn.XLOOKUP(A273,Щиты[Щит],Щиты[Кс быт]),1),IF(EQ273="Сил",IF(ISNUMBER(Y273),Y273,IF(Методика="нормы 2026",IFERROR(_xlfn.XLOOKUP(A273,Щиты[Щит],Щиты[Кс силовых (табл. 7.5)]),1),1)),IF(OR(EQ273="Пост",EQ273="Отоп"),1,IF(EQ273="ВНГ",0.7,0))))))</f>
        <v>0.57830000000000004</v>
      </c>
      <c r="ES273">
        <f t="shared" si="548"/>
        <v>1</v>
      </c>
      <c r="ET273">
        <f t="shared" si="549"/>
        <v>0.09</v>
      </c>
      <c r="EU273">
        <f t="shared" si="550"/>
        <v>0.09</v>
      </c>
      <c r="EV273">
        <f t="shared" si="551"/>
        <v>0</v>
      </c>
      <c r="EW273">
        <f t="shared" si="552"/>
        <v>0</v>
      </c>
      <c r="EX273">
        <f t="shared" si="553"/>
        <v>0</v>
      </c>
      <c r="EY273">
        <f t="shared" si="554"/>
        <v>0</v>
      </c>
      <c r="EZ273">
        <f t="shared" si="555"/>
        <v>0.09</v>
      </c>
      <c r="FA273">
        <f t="shared" si="556"/>
        <v>8.5499999999999993E-2</v>
      </c>
      <c r="FB273">
        <f t="shared" si="557"/>
        <v>0.09</v>
      </c>
      <c r="FC273" t="str">
        <f t="shared" si="558"/>
        <v/>
      </c>
      <c r="FD273" t="str">
        <f>IF(B273="","",IF(CA273=0,IF(AW273=1,"",FF272),IF(OR(N(CV273)&gt;=3,N(BR273)&gt;=3),"L1,L2,L3",IFERROR(_xlfn.TEXTBEFORE(_xlfn.TEXTAFTER(_xlfn.XLOOKUP(A273,Щиты[Щит],Щиты[_фазы авто]),";"&amp;AW273&amp;":"),";"),"L1"))))</f>
        <v>L2</v>
      </c>
      <c r="FE273" t="str">
        <f t="shared" si="559"/>
        <v>L2</v>
      </c>
      <c r="FF273" t="str">
        <f t="shared" si="560"/>
        <v>L2</v>
      </c>
      <c r="FG273" cm="1">
        <f t="array" ref="FG273">IFERROR(IF(BX273=2,_xlfn.IFS(BR273=3,VLOOKUP(BN273,Справочная_двигатели,3,FALSE),BR273=1,VLOOKUP(BN273,Справочная_двигатели,5,TRUE)),0),0)</f>
        <v>0</v>
      </c>
      <c r="FH273">
        <f>IFERROR(IF(BX273=3,VLOOKUP(BN273,Справочная_ЛЭД,2,TRUE),0),0)</f>
        <v>0</v>
      </c>
      <c r="FI273" s="6">
        <f t="shared" si="561"/>
        <v>0</v>
      </c>
      <c r="FJ273" t="str" cm="1">
        <f t="array" ref="FJ273">IF(B273="","",IFERROR(INDEX({"I особая","I","II","III"},MATCH(TRIM(AC273&amp;""),{"I особая","I","II","III"},0)),"III"))</f>
        <v>II</v>
      </c>
      <c r="FK273" t="str">
        <f>IF(B273="","",IF(TRIM(AD273&amp;"")&lt;&gt;"",IF(LOWER(TRIM(AD273&amp;""))="да","да","нет"),IF(IFERROR(_xlfn.XLOOKUP(AX273,Коды_код,Коды_пожарная),"")="да","да","нет")))</f>
        <v>нет</v>
      </c>
      <c r="FL273" t="str">
        <f t="shared" si="562"/>
        <v/>
      </c>
      <c r="FM273" t="str">
        <f t="shared" si="563"/>
        <v>основная</v>
      </c>
      <c r="FN273">
        <f t="shared" si="564"/>
        <v>1</v>
      </c>
      <c r="FO273" t="str" cm="1">
        <f t="array" ref="FO273">IF(B273="","",_xlfn.LET(_xlpm.t,IFERROR(_xlfn.XLOOKUP(1,(Шины[Шина]=FM273)*(((Шины[Щит]=A273)+(Шины[Щит]=""))&gt;0),Шины[Тип]),"")&amp;"",IF(_xlpm.t&lt;&gt;"",_xlpm.t,IF(ISNUMBER(SEARCH("ИБП",FM273)),"ИБП",IF(ISNUMBER(SEARCH("ДГУ",FM273)),"ДГУ","Ввод "&amp;FN273)))))</f>
        <v>Ввод 1</v>
      </c>
      <c r="FP273" t="str">
        <f t="shared" si="565"/>
        <v>Ввод 1</v>
      </c>
      <c r="FQ273" t="str">
        <f>IF(B273="","",IF(OR(FO273="ИБП",FO273="ДГУ"),"I особая",IF(FO273="Одиночная","III",_xlfn.XLOOKUP(A273,Щиты[Щит],Щиты[Категория шины «Ввод»],"III"))))</f>
        <v>II</v>
      </c>
      <c r="FR273">
        <f>IF(B273="",0,IFERROR(MATCH(FJ273,{"III","II","I","I особая"},0),1))</f>
        <v>2</v>
      </c>
      <c r="FS273">
        <f t="shared" si="566"/>
        <v>2</v>
      </c>
      <c r="FT273" t="str">
        <f>IF(B273="","",IF(FR273&gt;IFERROR(MATCH(FQ273,{"III","II","I","I особая"},0),1),"НЕ ОБЕСПЕЧЕНА","ОК"))</f>
        <v>ОК</v>
      </c>
      <c r="FU273" t="str">
        <f>IF(A273="","",_xlfn.XLOOKUP(A273,Щиты[Щит],Щиты[Путь],""))</f>
        <v>|ГРЩ-ЖД|ЩР-1|</v>
      </c>
      <c r="FV273" t="str">
        <f>IF(B273="","",IF(AE273&lt;&gt;"",AE273,IF(IFERROR(_xlfn.XLOOKUP(AX273,Коды_код,Коды_вид)&amp;"","")="","Прочее",_xlfn.XLOOKUP(AX273,Коды_код,Коды_вид)&amp;"")))</f>
        <v>Розеточная сеть и бытовые приборы</v>
      </c>
      <c r="FW273">
        <f>IF(BH273="","",INT((BH273-1)/Столбцов_на_лист)+1)</f>
        <v>5</v>
      </c>
      <c r="FX273" t="str">
        <f t="shared" si="567"/>
        <v>ВВГнг(А)-LS (3х2,5) L=42-0,13%</v>
      </c>
      <c r="FY273">
        <f t="shared" si="568"/>
        <v>0.09</v>
      </c>
      <c r="FZ273">
        <f t="shared" si="569"/>
        <v>0.42</v>
      </c>
      <c r="GA273">
        <f t="shared" si="570"/>
        <v>1</v>
      </c>
      <c r="GB273">
        <f t="shared" si="571"/>
        <v>0</v>
      </c>
      <c r="GC273">
        <f t="shared" si="572"/>
        <v>1</v>
      </c>
      <c r="GD273">
        <f>IF(BH273="","",IF(AND(CA273=1,GC273=1),COUNTIFS(A$3:A273,A273,CA$3:CA273,1,GC$3:GC273,1),IF(OR(OR(AW273=1,A273&lt;&gt;A272),AF273="вручную",GC273=0),"",IF(AW273=1,"",GE272))))</f>
        <v>49</v>
      </c>
      <c r="GE273">
        <f t="shared" si="573"/>
        <v>49</v>
      </c>
      <c r="GF273">
        <f>IF(B273="","",IFERROR(LOOKUP(INDEX(CHOOSE(DL273,Iдоп_1ж,Iдоп_2ж,Iдоп_3ж),MATCH(DX273,Iдоп_S,0))*DJ273*DK273,{6,10,16,20,25,32,40,50,63,80,100,125,160,200,250,315,400,500,630}),""))</f>
        <v>25</v>
      </c>
      <c r="GG273" t="str">
        <f t="shared" si="574"/>
        <v>QFD49</v>
      </c>
      <c r="GH273" t="str">
        <f t="shared" si="575"/>
        <v>QFD49</v>
      </c>
      <c r="GI273" t="str">
        <f t="shared" si="576"/>
        <v/>
      </c>
      <c r="GJ273">
        <f t="shared" si="577"/>
        <v>0</v>
      </c>
      <c r="GK273" t="str">
        <f>IF(OR(AG273="",AG273="-"),"",IFERROR(VLOOKUP(AG273,Модули_спр,2,FALSE),"R"))</f>
        <v/>
      </c>
      <c r="GL273" t="str">
        <f>IF(GK273="","",GK273&amp;"."&amp;COUNTIFS(A$3:A273,A273,GK$3:GK273,GK273))</f>
        <v/>
      </c>
      <c r="GM273" t="str">
        <f t="shared" si="578"/>
        <v/>
      </c>
      <c r="GN273" t="str">
        <f t="shared" si="579"/>
        <v/>
      </c>
      <c r="GO273" t="str">
        <f t="shared" si="580"/>
        <v/>
      </c>
      <c r="GP273" t="str">
        <f t="shared" si="581"/>
        <v/>
      </c>
      <c r="GQ273">
        <f t="shared" si="582"/>
        <v>1</v>
      </c>
      <c r="GR273" t="str">
        <f>IF(GQ273=1,"XT"&amp;COUNTIFS(A$3:A273,A273,GQ$3:GQ273,1),"")</f>
        <v>XT49</v>
      </c>
      <c r="GS273" t="str">
        <f t="shared" si="583"/>
        <v>XT49</v>
      </c>
      <c r="GT273" t="str">
        <f t="shared" si="584"/>
        <v>QFD49</v>
      </c>
      <c r="GU273" t="str">
        <f t="shared" si="585"/>
        <v/>
      </c>
      <c r="GV273" t="str">
        <f t="shared" si="586"/>
        <v>ok</v>
      </c>
      <c r="GW273" t="str">
        <f>IF(OR(GO273="",GM273=""),"",IF(GO273&gt;IFERROR(VLOOKUP(GN273,Модули_спр,3,FALSE),99),"ЛИШНИЙ КАНАЛ",IF(AND(AH273&lt;&gt;"=",COUNTIFS(Линии[_модуль гр.],GM273,Линии[Канал (итог)],GO273,Линии[Канал],"&lt;&gt;=",Линии[Щит],A273)&gt;1),"ДУБЛЬ КАНАЛА","")))</f>
        <v/>
      </c>
      <c r="GX273" s="6" t="str">
        <f t="shared" si="587"/>
        <v/>
      </c>
      <c r="GY273">
        <f t="shared" si="588"/>
        <v>10</v>
      </c>
      <c r="GZ273" t="str">
        <f t="shared" si="589"/>
        <v/>
      </c>
      <c r="HA273" t="str">
        <f>IF(AND(B273="",GT273=""),"",_xlfn.TEXTJOIN("; ",TRUE,IF(AND(B273&lt;&gt;"",FE273=""),"нет фазы",""),IF(AND(B273&lt;&gt;"",N(FY273)=0,EQ273&lt;&gt;"Нет"),"нет мощности",""),IF(AND(GS273&lt;&gt;"",COUNTIFS(Линии[Щит],A273,Линии[Клемма (итог)],GS273)&gt;1),"дубль клеммы "&amp;GS273,""),IF(AND(GV273&lt;&gt;"",GV273&lt;&gt;"ok"),GV273,""),IF(GW273&lt;&gt;"",GW273,""),IF(AND(N(BV273)&gt;=4,N(BR273)=1),BV273&amp;" жил на 1 фазе",""),IF(AND(AX273="R",CA273=1,OR(N(CK273)=0,N(CK273)&gt;30)),"розетка без дифзащиты до 30 мА",""),IFERROR(IF(AND(ISNUMBER(R273),R273&gt;DV273),"потери "&amp;FIXED(R273,1)&amp;" % &gt; "&amp;DV273&amp;" %",""),""),IFERROR(IF(LEFT(GZ273,4)="мало","Iкз мало — отключение &gt; 0,4 с",""),""),IF(AND(B273&lt;&gt;"",BH273=""),"не на схеме",""),IF(AND(CA273=0,B273&lt;&gt;"",FE273&lt;&gt;"",IF(AW273=1,"",FF272)&lt;&gt;"",FE273&lt;&gt;IF(AW273=1,"",FF272)),"фаза не как у автомата группы ("&amp;IF(AW273=1,"",FF272)&amp;")","")))</f>
        <v/>
      </c>
      <c r="HB273" s="6">
        <f>IF(OR(CA273=0,DA273=""),"",_xlfn.LET(_xlpm.t,IFERROR(_xlfn.XLOOKUP(DA273,Каталог!$U$4:$U$500,Каталог!$G$4:$G$500),""),_xlpm.k,SEARCH("кА",_xlpm.t),IFERROR(--TRIM(RIGHT(SUBSTITUTE(MID(_xlpm.t,MAX(1,_xlpm.k-4),_xlpm.k-MAX(1,_xlpm.k-4))," ",REPT(" ",9)),5)),"")))</f>
        <v>6</v>
      </c>
      <c r="HC273" t="str">
        <f>IF(OR(HB273="",CA273=0),"",IF(_xlfn.XLOOKUP(A273,Щиты[Щит],Щиты[Iкз max на шинах, кА],"")="","",IF(HB273&lt;_xlfn.XLOOKUP(A273,Щиты[Щит],Щиты[Iкз max на шинах, кА]),"Icu "&amp;HB273&amp;" кА &lt; Iкз max","ok")))</f>
        <v/>
      </c>
      <c r="HD273" t="str">
        <f t="shared" si="590"/>
        <v/>
      </c>
      <c r="HE273" t="str">
        <f t="shared" si="591"/>
        <v>QFD49|XT49</v>
      </c>
      <c r="HF273" t="str">
        <f t="shared" si="592"/>
        <v>QFD49|XT49|кабель ВВГнг(А)-LS (3х2,5) → Розеточная группа Первый этаж Пом. №021A Вывод для вытяжки</v>
      </c>
      <c r="HG273" t="str" cm="1">
        <f t="array" ref="HG273">IF(HF273="","",_xlfn.LET(_xlpm.nd,_xlfn.TEXTSPLIT(HF273,"|"),IF(COLUMNS(_xlpm.nd)&gt;1,A273&amp;"¦"&amp;INDEX(_xlpm.nd,1)&amp;"¦"&amp;INDEX(_xlpm.nd,2),"")))</f>
        <v>ЩР-1¦QFD49¦XT49</v>
      </c>
      <c r="HH273" t="str">
        <f t="shared" si="593"/>
        <v>R.1.021A.6¦Розеточная группа Первый этаж Пом. №021A Вывод для вытяжки</v>
      </c>
      <c r="HI273" t="str" cm="1">
        <f t="array" ref="HI273">IF(HF273="","",_xlfn.LET(_xlpm.nd,_xlfn.TEXTSPLIT(HF273,"|"),IF(COLUMNS(_xlpm.nd)&gt;2,A273&amp;"¦"&amp;INDEX(_xlpm.nd,2)&amp;"¦"&amp;INDEX(_xlpm.nd,3),"")))</f>
        <v>ЩР-1¦XT49¦кабель ВВГнг(А)-LS (3х2,5) → Розеточная группа Первый этаж Пом. №021A Вывод для вытяжки</v>
      </c>
      <c r="HJ273" t="str">
        <f t="shared" si="594"/>
        <v>R.1.021A.6¦Розеточная группа Первый этаж Пом. №021A Вывод для вытяжки</v>
      </c>
      <c r="HK273" t="str" cm="1">
        <f t="array" ref="HK273">IF(HF273="","",_xlfn.LET(_xlpm.nd,_xlfn.TEXTSPLIT(HF273,"|"),IF(COLUMNS(_xlpm.nd)&gt;3,A273&amp;"¦"&amp;INDEX(_xlpm.nd,3)&amp;"¦"&amp;INDEX(_xlpm.nd,4),"")))</f>
        <v/>
      </c>
      <c r="HL273" t="str">
        <f t="shared" si="595"/>
        <v/>
      </c>
      <c r="HM273" t="str" cm="1">
        <f t="array" ref="HM273">IF(HF273="","",_xlfn.LET(_xlpm.nd,_xlfn.TEXTSPLIT(HF273,"|"),IF(COLUMNS(_xlpm.nd)&gt;4,A273&amp;"¦"&amp;INDEX(_xlpm.nd,4)&amp;"¦"&amp;INDEX(_xlpm.nd,5),"")))</f>
        <v/>
      </c>
      <c r="HN273" t="str">
        <f t="shared" si="596"/>
        <v/>
      </c>
      <c r="HO273" t="str" cm="1">
        <f t="array" ref="HO273">IF(HF273="","",_xlfn.LET(_xlpm.nd,_xlfn.TEXTSPLIT(HF273,"|"),IF(COLUMNS(_xlpm.nd)&gt;5,A273&amp;"¦"&amp;INDEX(_xlpm.nd,5)&amp;"¦"&amp;INDEX(_xlpm.nd,6),"")))</f>
        <v/>
      </c>
      <c r="HP273" t="str">
        <f t="shared" si="597"/>
        <v/>
      </c>
      <c r="HQ273" t="str" cm="1">
        <f t="array" ref="HQ273">IF(HF273="","",_xlfn.LET(_xlpm.nd,_xlfn.TEXTSPLIT(HF273,"|"),IF(COLUMNS(_xlpm.nd)&gt;6,A273&amp;"¦"&amp;INDEX(_xlpm.nd,6)&amp;"¦"&amp;INDEX(_xlpm.nd,7),"")))</f>
        <v/>
      </c>
      <c r="HR273" t="str">
        <f t="shared" si="598"/>
        <v/>
      </c>
      <c r="HS273" t="str">
        <f t="shared" si="599"/>
        <v/>
      </c>
      <c r="HT273" t="str">
        <f t="shared" si="600"/>
        <v>QFD49 → XT49</v>
      </c>
      <c r="HU273">
        <f t="shared" si="601"/>
        <v>0</v>
      </c>
      <c r="HV273">
        <f t="shared" si="602"/>
        <v>1</v>
      </c>
      <c r="HW273" t="str">
        <f t="shared" si="603"/>
        <v/>
      </c>
      <c r="HX273" t="str">
        <f t="shared" si="604"/>
        <v/>
      </c>
      <c r="HY273" t="str">
        <f t="shared" si="605"/>
        <v/>
      </c>
      <c r="HZ273" t="str">
        <f t="shared" si="606"/>
        <v/>
      </c>
      <c r="IA273" t="str">
        <f>IF(B273="","",IFERROR(VLOOKUP(B273,УГО_спр,2,FALSE),IFERROR(VLOOKUP(AX273,УГО_спр,2,FALSE),IFERROR(VLOOKUP(LEFT(AX273,2),УГО_спр,2,FALSE),""))))</f>
        <v>Розетка</v>
      </c>
      <c r="IB273" t="str">
        <f>IF(B273="","",IF(OR(IA273="",IA273=0),"BOX",IFERROR(IF(VLOOKUP(IA273,УГО_блоки,3,FALSE)&amp;""&lt;&gt;"",VLOOKUP(IA273,УГО_блоки,3,FALSE),VLOOKUP(IA273,УГО_блоки,2,FALSE)),IA273)))</f>
        <v>SOCKET</v>
      </c>
      <c r="IC273">
        <f t="shared" si="607"/>
        <v>1</v>
      </c>
      <c r="ID273" t="str">
        <f>IF(DA273="","",IF(COUNTIF(DA$3:DA273,DA273)=1,MAX(ID$2:ID272)+1,""))</f>
        <v/>
      </c>
      <c r="IE273" t="str">
        <f>IF(CO273="","",IF(COUNTIF(CO$3:CO273,CO273)+COUNTIF(CP$2:CP272,CO273)+COUNTIF(CQ$2:CQ272,CO273)=1,MAX(IE$2:IG272)+1,""))</f>
        <v/>
      </c>
      <c r="IF273" t="str">
        <f>IF(CP273="","",IF(COUNTIF(CO$3:CO273,CP273)+COUNTIF(CP$3:CP273,CP273)+COUNTIF(CQ$2:CQ272,CP273)=1,MAX(IE$2:IG272,IE273)+1,""))</f>
        <v/>
      </c>
      <c r="IG273" t="str">
        <f>IF(CQ273="","",IF(COUNTIF(CO$3:CO273,CQ273)+COUNTIF(CP$3:CP273,CQ273)+COUNTIF(CQ$3:CQ273,CQ273)=1,MAX(IE$2:IG272,IE273,IF273)+1,""))</f>
        <v/>
      </c>
      <c r="IH273" t="str">
        <f t="shared" si="608"/>
        <v>3х2,5</v>
      </c>
      <c r="II273" t="str">
        <f>IF(IH273="","",IF(COUNTIF(IH$3:IH273,IH273)=1,MAX(II$2:II272)+1,""))</f>
        <v/>
      </c>
      <c r="IJ273" t="str">
        <f>IF(GL273="","",COUNTIF(GL$3:GL273,"?*"))</f>
        <v/>
      </c>
      <c r="IK273" t="str">
        <f>IF(OR(GL273="",GN273=""),"",IF(COUNTIFS(GL$3:GL273,"?*",GN$3:GN273,GN273)=1,MAX(IK$2:IK272)+1,""))</f>
        <v/>
      </c>
      <c r="IL273">
        <f t="shared" si="609"/>
        <v>0</v>
      </c>
      <c r="IM273">
        <f>IF(B273="","",COUNTIF(B$3:B273,"?*"))</f>
        <v>271</v>
      </c>
      <c r="IN273">
        <f>IF(GQ273&lt;&gt;1,0,_xlfn.LET(_xlpm.k,MAX(IFERROR(--VLOOKUP(B273,УГО_спр,5,FALSE),0),IFERROR(--VLOOKUP(AX273,УГО_спр,5,FALSE),0),IFERROR(--VLOOKUP(LEFT(AX273,2),УГО_спр,5,FALSE),0)),IF(_xlpm.k&gt;0,_xlpm.k,IF(IFERROR(--LEFT(SUBSTITUTE(IH273,"x","х"),FIND("х",SUBSTITUTE(IH273,"x","х"))-1),3)&gt;3,Каталог!$S$9,1))))</f>
        <v>1</v>
      </c>
      <c r="IO273">
        <f t="shared" si="610"/>
        <v>0</v>
      </c>
      <c r="IP273" t="str">
        <f t="shared" si="611"/>
        <v>авто</v>
      </c>
      <c r="IQ273">
        <f t="shared" si="612"/>
        <v>30</v>
      </c>
      <c r="IR273">
        <f t="shared" si="613"/>
        <v>1</v>
      </c>
      <c r="IS273">
        <f t="shared" si="614"/>
        <v>1</v>
      </c>
    </row>
    <row r="274" spans="1:253" x14ac:dyDescent="0.3">
      <c r="A274" t="s">
        <v>759</v>
      </c>
      <c r="B274" t="s">
        <v>1539</v>
      </c>
      <c r="C274" t="s">
        <v>1678</v>
      </c>
      <c r="D274">
        <v>1</v>
      </c>
      <c r="E274">
        <v>7.36</v>
      </c>
      <c r="G274" t="str">
        <f>Линии[[#This Row],[_авто автомат]]</f>
        <v>4P С16А 30мА</v>
      </c>
      <c r="H274">
        <f>Линии[[#This Row],[_авто утечка]]</f>
        <v>30</v>
      </c>
      <c r="I274" t="str">
        <f>Линии[[#This Row],[_авто управление]]</f>
        <v/>
      </c>
      <c r="J274" t="str">
        <f>Линии[[#This Row],[_авто аппараты]]</f>
        <v/>
      </c>
      <c r="K274">
        <v>4</v>
      </c>
      <c r="L274">
        <v>39</v>
      </c>
      <c r="M274" t="str">
        <f>Линии[[#This Row],[_авто фаза]]</f>
        <v>L1,L2,L3</v>
      </c>
      <c r="N274" t="str">
        <f>Линии[[#This Row],[_авто клемма]]</f>
        <v>XT50</v>
      </c>
      <c r="O274" t="str">
        <f t="shared" si="492"/>
        <v/>
      </c>
      <c r="P274" s="6" cm="1">
        <f t="array" ref="P274">IF(B274="","",IF(BC274&lt;&gt;"",IFERROR(_xlfn.XLOOKUP(BC274,Щиты[Щит],Щиты[Iр, А]),""),IF(BK274=1,IFERROR(_xlfn.XLOOKUP(A274,Щиты[Щит],Щиты[Iр, А]),""),IFERROR(_xlfn.IFS(BR274=1,BN274/((Uн_лин/SQRT(3))*BY274),BR274=3,BN274/(SQRT(3)*Uн_лин*BY274)),""))))</f>
        <v>11.182363108514858</v>
      </c>
      <c r="Q274" s="7">
        <f>IF(B274="","",IFERROR(IF(VLOOKUP(AX274,Потребители_обозначение,4,FALSE)=1,VLOOKUP(AX274,Потребители_обозначение,3,FALSE)*(D274*2-1)+DS274+VLOOKUP(AZ274,Этаж_обозначение,3,FALSE)+VLOOKUP(AZ274,Этаж_обозначение,4,FALSE),VLOOKUP(AX274,Потребители_обозначение,3,FALSE)*(D274*2-1)+DS274),DS274))</f>
        <v>42</v>
      </c>
      <c r="R274" s="6">
        <f t="shared" si="493"/>
        <v>2.29</v>
      </c>
      <c r="S274" t="str">
        <f t="shared" si="494"/>
        <v>ВВГнг(А)-LS (5х4)</v>
      </c>
      <c r="T274" t="str">
        <f>IF(BH274="","",IF(BI274="вводной узел","узел ","")&amp;"л."&amp;(INT((BH274-1)/Столбцов_на_лист)+1)&amp;" / "&amp;(MOD(BH274-1,Столбцов_на_лист)+1))</f>
        <v>л.5 / 5</v>
      </c>
      <c r="V274">
        <v>3</v>
      </c>
      <c r="W274">
        <v>400</v>
      </c>
      <c r="X274" t="s">
        <v>564</v>
      </c>
      <c r="AC274" t="s">
        <v>815</v>
      </c>
      <c r="AE274" t="s">
        <v>563</v>
      </c>
      <c r="AI274">
        <v>73</v>
      </c>
      <c r="AJ274" t="s">
        <v>11</v>
      </c>
      <c r="AK274">
        <v>5</v>
      </c>
      <c r="AM274">
        <v>20</v>
      </c>
      <c r="AN274">
        <v>22</v>
      </c>
      <c r="AO274">
        <v>0</v>
      </c>
      <c r="AW274" cm="1">
        <f t="array" ref="AW274">ROW()-ROW(Линии[#Headers])</f>
        <v>272</v>
      </c>
      <c r="AX274" s="6" t="str">
        <f t="shared" si="495"/>
        <v>R</v>
      </c>
      <c r="AY274" t="str">
        <f t="shared" si="496"/>
        <v>1.021A.7</v>
      </c>
      <c r="AZ274" t="str">
        <f t="shared" si="497"/>
        <v>1</v>
      </c>
      <c r="BA274" t="str">
        <f t="shared" si="498"/>
        <v>021A.7</v>
      </c>
      <c r="BB274" t="str">
        <f t="shared" si="499"/>
        <v>021A</v>
      </c>
      <c r="BC274" t="str">
        <f>IF(U274&lt;&gt;"",U274,IF(AND(B274&lt;&gt;"",B274&lt;&gt;A274,ISNUMBER(_xlfn.XMATCH(B274,Щиты[Щит]))),B274,""))</f>
        <v/>
      </c>
      <c r="BD274" t="str" cm="1">
        <f t="array" ref="BD274">IF(B274="","",IF(BC274&lt;&gt;"","Щит "&amp;BC274,_xlfn.LET(_xlpm.nm,IFERROR(_xlfn.XLOOKUP(AX274,Коды_код,Коды_имя)&amp;"",""),_xlpm.md,IFERROR(N(_xlfn.XLOOKUP(AX274,Коды_код,Коды_режим)),1),_xlpm.ex,IF(Имя_режим="по экспликации",IFERROR(_xlfn.XLOOKUP(AZ274&amp;"|"&amp;BB274,Экспликация[Этаж]&amp;"|"&amp;Экспликация[Помещение],Экспликация[Название])&amp;"",""),""),_xlpm.rm,IF(BB274="","",IF(_xlpm.ex&lt;&gt;"",". "&amp;_xlpm.ex&amp;IF(Имя_пом="нет"," ("&amp;BB274&amp;")"," (пом. "&amp;BB274&amp;")"),IF(Имя_пом="нет"," ",", пом. ")&amp;BB274)),IF(_xlpm.nm="","",IF(_xlpm.md=2,_xlpm.nm&amp;" шлейф "&amp;AZ274,_xlpm.nm&amp;_xlpm.rm)))))</f>
        <v>Розеточная группа, пом. 021A</v>
      </c>
      <c r="BE274" t="str">
        <f t="shared" si="500"/>
        <v>Розеточная группа Первый этаж Пом. №021A Вывод на варочную панель</v>
      </c>
      <c r="BF274">
        <f>IFERROR(_xlfn.XMATCH(A274,Щиты[Щит]),0)</f>
        <v>10</v>
      </c>
      <c r="BG274">
        <f>_xlfn.LET(_xlpm.k,IFERROR(_xlfn.XLOOKUP(A274,Щиты[Щит],Щиты[Листов под вводной узел]),""),IF(_xlpm.k="",1,N(_xlpm.k))*Столбцов_на_лист)</f>
        <v>17</v>
      </c>
      <c r="BH274">
        <f t="shared" si="501"/>
        <v>73</v>
      </c>
      <c r="BI274" t="str">
        <f t="shared" si="502"/>
        <v>линии</v>
      </c>
      <c r="BJ274" s="6">
        <f>IFERROR(N(_xlfn.XLOOKUP(AX274,Коды_код,Коды_квт)),0)</f>
        <v>0</v>
      </c>
      <c r="BK274">
        <f t="shared" si="503"/>
        <v>0</v>
      </c>
      <c r="BL274" t="str">
        <f>IF(B274="","",IF(BC274&lt;&gt;"",IFERROR(_xlfn.XLOOKUP(BC274,Щиты[Щит],Щиты[Руст, кВт]),0),IF(BK274=1,IFERROR(_xlfn.XLOOKUP(A274,Щиты[Щит],Щиты[Руст, кВт]),0),IF(BJ274&gt;0,ROUND(BJ274*MAX(1,N(D274)),3),""))))</f>
        <v/>
      </c>
      <c r="BM274">
        <f t="shared" si="504"/>
        <v>7.36</v>
      </c>
      <c r="BN274" s="6">
        <f>IF(B274="","",IF(BC274&lt;&gt;"",IFERROR(_xlfn.XLOOKUP(BC274,Щиты[Щит],Щиты[Руст, кВт]),0),N(BM274)))</f>
        <v>7.36</v>
      </c>
      <c r="BO274" t="str">
        <f>IF(B274="","",IFERROR(IF(VLOOKUP(AX274,Потребители_обозначение,8,FALSE)=0,"",VLOOKUP(AX274,Потребители_обозначение,8,FALSE)),""))</f>
        <v/>
      </c>
      <c r="BP274">
        <f t="shared" si="505"/>
        <v>400</v>
      </c>
      <c r="BQ274">
        <f>IF(B274="","",IF(BC274&lt;&gt;"",3,IFERROR(IF(N(VLOOKUP(AX274,Потребители_обозначение,9,FALSE))=0,1,VLOOKUP(AX274,Потребители_обозначение,9,FALSE)),1)))</f>
        <v>1</v>
      </c>
      <c r="BR274">
        <f t="shared" si="506"/>
        <v>3</v>
      </c>
      <c r="BS274" t="str">
        <f>IF(B274="","",_xlfn.LET(_xlpm.bc,IFERROR(IF(VLOOKUP(AX274,Потребители_обозначение,6,FALSE)=0,"",VLOOKUP(AX274,Потребители_обозначение,6,FALSE)&amp;""),""),IF(AND(FK274="да",OR(_xlpm.bc="",_xlpm.bc="мс")),Марка_пож,IF(AND(_xlpm.bc="",BC274&lt;&gt;""),"мс",_xlpm.bc))))</f>
        <v/>
      </c>
      <c r="BT274" t="str">
        <f t="shared" si="507"/>
        <v>мс</v>
      </c>
      <c r="BU274">
        <f>IF(B274="","",_xlfn.LET(_xlpm.cc,IFERROR(N(VLOOKUP(AX274,Потребители_обозначение,7,FALSE)),0),IF(_xlpm.cc&gt;0,_xlpm.cc,IF(BT274="","",IF(N(BR274)=3,5,3)))))</f>
        <v>5</v>
      </c>
      <c r="BV274">
        <f t="shared" si="508"/>
        <v>5</v>
      </c>
      <c r="BW274">
        <f>IFERROR(N(VLOOKUP(AX274,Потребители_обозначение,10,FALSE)),0)</f>
        <v>0</v>
      </c>
      <c r="BX274">
        <f>IFERROR(VLOOKUP(AX274,Потребители_обозначение,5,FALSE),0)</f>
        <v>1</v>
      </c>
      <c r="BY274" s="6" cm="1">
        <f t="array" ref="BY274">IF(B274="","",IF(BC274&lt;&gt;"",IFERROR(_xlfn.XLOOKUP(BC274,Щиты[Щит],Щиты[cos φ]),0.95),IF(BK274=1,IFERROR(_xlfn.XLOOKUP(A274,Щиты[Щит],Щиты[cos φ]),0.95),IF(ISNUMBER(Z274),Z274,IFERROR(IF(BX274=2,_xlfn.IFS(BR274=3,VLOOKUP(BN274,Справочная_двигатели,8,FALSE),BR274=1,VLOOKUP(BN274,Справочная_двигатели,10,TRUE)),IF(AND(Методика="нормы 2026",EQ274="Сил"),0.8,0.95)),0.95)))))</f>
        <v>0.95</v>
      </c>
      <c r="BZ274">
        <f t="shared" si="509"/>
        <v>0</v>
      </c>
      <c r="CA274">
        <f t="shared" si="510"/>
        <v>1</v>
      </c>
      <c r="CB274">
        <f t="shared" si="511"/>
        <v>0</v>
      </c>
      <c r="CC274">
        <f t="shared" si="512"/>
        <v>0</v>
      </c>
      <c r="CD274">
        <f t="shared" si="513"/>
        <v>0</v>
      </c>
      <c r="CE274">
        <f t="shared" si="514"/>
        <v>0</v>
      </c>
      <c r="CF274">
        <f t="shared" si="515"/>
        <v>0</v>
      </c>
      <c r="CG274">
        <f>IF(AX274="",0,_xlfn.LET(_xlpm.v,IFERROR(VLOOKUP(B274,УГО_спр,3,FALSE),IFERROR(VLOOKUP(AX274,УГО_спр,3,FALSE),IFERROR(VLOOKUP(LEFT(AX274,2),УГО_спр,3,FALSE),""))),IF(_xlpm.v="да",30,IF(ISNUMBER(_xlpm.v),_xlpm.v,0))))</f>
        <v>30</v>
      </c>
      <c r="CH274">
        <f t="shared" si="516"/>
        <v>30</v>
      </c>
      <c r="CI274" t="str">
        <f>_xlfn.LET(_xlpm.k,IFERROR(_xlfn.XLOOKUP(AX274,Коды_код,Коды_утечка)&amp;"",""),IF(_xlpm.k="","дифавтомат",_xlpm.k))</f>
        <v>дифавтомат</v>
      </c>
      <c r="CJ274">
        <f t="shared" si="517"/>
        <v>30</v>
      </c>
      <c r="CK274">
        <f t="shared" si="518"/>
        <v>30</v>
      </c>
      <c r="CL274">
        <f>IF(B274="",0,IFERROR(--VLOOKUP(B274,УГО_спр,4,FALSE),IFERROR(--VLOOKUP(AX274,УГО_спр,4,FALSE),IFERROR(--VLOOKUP(LEFT(AX274,2),УГО_спр,4,FALSE),0))))</f>
        <v>16</v>
      </c>
      <c r="CM274" t="str">
        <f>IF(B274="","",IFERROR(_xlfn.XLOOKUP(AX274,Коды_код,Коды_апп)&amp;"",""))</f>
        <v/>
      </c>
      <c r="CN274" t="str">
        <f t="shared" si="519"/>
        <v/>
      </c>
      <c r="CO274" t="str" cm="1">
        <f t="array" ref="CO274">IF(TRIM(CN274&amp;"")="","",IFERROR(TRIM(INDEX(_xlfn.TEXTSPLIT(CN274&amp;";;;",";"),1)),""))</f>
        <v/>
      </c>
      <c r="CP274" t="str" cm="1">
        <f t="array" ref="CP274">IF(TRIM(CN274&amp;"")="","",IFERROR(TRIM(INDEX(_xlfn.TEXTSPLIT(CN274&amp;";;;",";"),2)),""))</f>
        <v/>
      </c>
      <c r="CQ274" t="str" cm="1">
        <f t="array" ref="CQ274">IF(TRIM(CN274&amp;"")="","",IFERROR(TRIM(INDEX(_xlfn.TEXTSPLIT(CN274&amp;";;;",";"),3)),""))</f>
        <v/>
      </c>
      <c r="CR274">
        <f t="shared" si="520"/>
        <v>0</v>
      </c>
      <c r="CS274" t="str">
        <f>IF(B274="","",_xlfn.LET(_xlpm.t,LOWER(AV274&amp;""),IF(ISNUMBER(SEARCH("dim",_xlpm.t)),"DIM",IF(ISNUMBER(SEARCH("dali",_xlpm.t)),"DALI",IF(OR(ISNUMBER(SEARCH("relay",_xlpm.t)),ISNUMBER(SEARCH("реле",_xlpm.t))),"Relay",IF(ISNUMBER(SEARCH("кнопк",_xlpm.t)),"",IFERROR(_xlfn.XLOOKUP(AX274,Коды_код,Коды_упр)&amp;"","")))))))</f>
        <v/>
      </c>
      <c r="CT274" t="str">
        <f t="shared" si="521"/>
        <v/>
      </c>
      <c r="CU274">
        <f>IF(B274="","",_xlfn.LET(_xlpm.ig,N(P274)+IF(AF274="вручную",0,N(CB274)),_xlpm.n0,IFERROR(VLOOKUP(_xlpm.ig,Автомат_номиналы,2,TRUE),0),_xlpm.mn,MAX(CL274,IF(AF274="вручную",0,N(CE274))),MAX(_xlpm.n0,_xlpm.mn,IF(CR274=1,Мин_автомат_БП,0))))</f>
        <v>16</v>
      </c>
      <c r="CV274">
        <f t="shared" si="522"/>
        <v>3</v>
      </c>
      <c r="CW274" t="str">
        <f t="shared" si="523"/>
        <v>4P</v>
      </c>
      <c r="CX274" t="str">
        <f>_xlfn.LET(_xlpm.cc,UPPER(TRIM(IFERROR(_xlfn.XLOOKUP(AX274,Коды_код,Коды_хар)&amp;"",""))),IF(OR(_xlpm.cc="B",_xlpm.cc="В"),"B",IF(_xlpm.cc="D","D","С")))</f>
        <v>С</v>
      </c>
      <c r="CY274" t="str">
        <f t="shared" si="524"/>
        <v>4P С16А 30мА</v>
      </c>
      <c r="CZ274" t="str">
        <f t="shared" si="525"/>
        <v>4P С16А 30мА</v>
      </c>
      <c r="DA274" t="str">
        <f t="shared" si="526"/>
        <v>4P С16А 30мА</v>
      </c>
      <c r="DB274" cm="1">
        <f t="array" ref="DB274">IF(DA274="","",_xlfn.LET(_xlpm.t,SUBSTITUTE(SUBSTITUTE(SUBSTITUTE(UPPER(DA274),"С","C"),"А","A"),"В","B"),_xlpm.tk,_xlfn.TEXTSPLIT(_xlpm.t,"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4" t="str">
        <f t="shared" si="527"/>
        <v>ok</v>
      </c>
      <c r="DD274">
        <f t="shared" si="528"/>
        <v>16</v>
      </c>
      <c r="DE274" t="str">
        <f t="shared" si="529"/>
        <v>4P С16А 30мА</v>
      </c>
      <c r="DF274">
        <f t="shared" si="530"/>
        <v>30</v>
      </c>
      <c r="DG274">
        <f t="shared" si="531"/>
        <v>1</v>
      </c>
      <c r="DH274">
        <f t="shared" si="532"/>
        <v>0</v>
      </c>
      <c r="DI274">
        <f t="shared" si="533"/>
        <v>11.182363108514858</v>
      </c>
      <c r="DJ274">
        <f t="shared" si="534"/>
        <v>0.92</v>
      </c>
      <c r="DK274">
        <f>IF(ISNUMBER(AL274),AL274,К_прокл)</f>
        <v>1</v>
      </c>
      <c r="DL274">
        <f t="shared" si="535"/>
        <v>3</v>
      </c>
      <c r="DM274">
        <f>IFERROR(N(VLOOKUP(BT274,Кабель_обозначение,3,FALSE)),1)</f>
        <v>1</v>
      </c>
      <c r="DN274">
        <f>IFERROR(N(_xlfn.XLOOKUP(A274,Щиты[Щит],Щиты[ΔU до шин, %])),0)</f>
        <v>1.19</v>
      </c>
      <c r="DO274" t="str">
        <f>IFERROR(_xlfn.XLOOKUP(A274,Щиты[Щит],Щиты[Zпетли на шинах, Ом]),"")</f>
        <v/>
      </c>
      <c r="DP274">
        <f>IFERROR(N(_xlfn.XLOOKUP(A274,Щиты[Щит],Щиты[ΔU до шин (подбор), %])),0)</f>
        <v>1.19</v>
      </c>
      <c r="DQ274" t="str">
        <f>IFERROR(_xlfn.XLOOKUP(A274,Щиты[Щит],Щиты[Zпетли на шинах (подбор), Ом]),"")</f>
        <v/>
      </c>
      <c r="DR274" t="str">
        <f t="shared" si="536"/>
        <v/>
      </c>
      <c r="DS274">
        <f t="shared" si="537"/>
        <v>39</v>
      </c>
      <c r="DT274">
        <f t="shared" si="538"/>
        <v>1</v>
      </c>
      <c r="DU274">
        <f t="shared" si="539"/>
        <v>0.31</v>
      </c>
      <c r="DV274" s="6">
        <f>IF(B274="","",IF(IFERROR(VLOOKUP(AX274,УГО_спр,2,FALSE),"")="Светильник",3,4)+IF(Методика="нормы 2026",MIN(0.5,MAX(0,N(Q274)-100)*0.005),0))</f>
        <v>4</v>
      </c>
      <c r="DW274" cm="1">
        <f t="array" ref="DW274">IF(OR(B274="",BT274="",DM274&lt;&gt;1),"",_xlfn.LET(_xlpm.sz,Iдоп_S,_xlpm.t_,CHOOSE(DL274,Iдоп_1ж,Iдоп_2ж,Iдоп_3ж)*DJ274*DK274,_xlpm.inn,N(DD274),_xlpm.smin,MAX(1.5,BW274),_xlpm.L_,N(Q274)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274)*(_xlpm.rho*_xlpm.L_/_xlpm.sz*N(BY274)+_xlpm.xx*_xlpm.L_*N(DU274)/1000)*N(P274)/((Uн_лин/SQRT(3))*1000)*100,999),_xlpm.kz,IF(OR(DG274=1,NOT(ISNUMBER(DQ274)),_xlpm.L_=0,_xlpm.inn=0),1,IFERROR(--(c_min*(Uн_лин*1000/SQRT(3))/(DQ274+2*ρкз_Cu*_xlpm.L_/_xlpm.sz)&gt;=GY274*_xlpm.inn),0)),_xlpm.ok,IFERROR((_xlpm.sz&gt;=_xlpm.smin)*(_xlpm.t_&gt;=_xlpm.inn)*IF(_xlpm.L_&gt;0,(_xlpm.du_+DP274&lt;=DV274+0.00001),1)*_xlpm.kz,0),_xlpm.r_,_xlfn._xlws.FILTER(_xlpm.sz,_xlpm.ok,"не подобрано"),INDEX(_xlpm.r_,1)))</f>
        <v>2.5</v>
      </c>
      <c r="DX274">
        <f t="shared" si="540"/>
        <v>4</v>
      </c>
      <c r="DY274" cm="1">
        <f t="array" ref="DY274">IF(OR(B274="",BT274="",DM274&lt;&gt;1),"",_xlfn.LET(_xlpm.sz,Iдоп_S,_xlpm.t_,CHOOSE(DL274,Iдоп_1ж,Iдоп_2ж,Iдоп_3ж)*DJ274*DK274,_xlpm.ok,IFERROR((_xlpm.sz&gt;=MAX(1.5,BW274))*(_xlpm.t_&gt;=N(DD274)),0),_xlpm.r_,_xlfn._xlws.FILTER(_xlpm.sz,_xlpm.ok,""),INDEX(_xlpm.r_,1)))</f>
        <v>1.5</v>
      </c>
      <c r="DZ274" s="6" cm="1">
        <f t="array" ref="DZ274">IFERROR(ROUNDUP(N(DT274)*(_xlfn.XLOOKUP(DY274,INDEX(Кабель_сопротивление,0,1),INDEX(Кабель_сопротивление,0,3))*N(Q274)/DY274*N(BY274)+_xlfn.XLOOKUP(DY274,INDEX(Кабель_сопротивление,0,1),INDEX(Кабель_сопротивление,0,2))*N(Q274)*N(DU274)/1000)*N(P274)/((Uн_лин/SQRT(3))*1000)*100,2),"")</f>
        <v>2.9099999999999997</v>
      </c>
      <c r="EA274">
        <f>IFERROR(2*ρкз_Cu*N(Q274)/DY274,"")</f>
        <v>1.4728000000000001</v>
      </c>
      <c r="EB274">
        <f>IFERROR(VLOOKUP(DX274,Кабель_сопротивление,3,FALSE),"")</f>
        <v>2.2499999999999999E-2</v>
      </c>
      <c r="EC274">
        <f>IFERROR(VLOOKUP(DX274,Кабель_сопротивление,2,FALSE),"")</f>
        <v>9.5000000000000001E-2</v>
      </c>
      <c r="ED274">
        <f t="shared" si="541"/>
        <v>22</v>
      </c>
      <c r="EE274">
        <f t="shared" si="542"/>
        <v>0</v>
      </c>
      <c r="EF274">
        <f t="shared" si="543"/>
        <v>2.5235730850962255</v>
      </c>
      <c r="EG274" s="6">
        <f>IFERROR(ROUNDUP(EF274/((Uн_лин/SQRT(3))*1000)*100,2),"")</f>
        <v>1.1000000000000001</v>
      </c>
      <c r="EH274" t="str">
        <f>IFERROR(VLOOKUP(BT274,Кабель_обозначение,2,FALSE),"")</f>
        <v>ВВГнг(А)-LS</v>
      </c>
      <c r="EI274" t="str">
        <f t="shared" si="544"/>
        <v>ВВГнг(А)-LS (5х4)</v>
      </c>
      <c r="EJ274" t="str">
        <f t="shared" si="545"/>
        <v>ВВГнг(А)-LS (5х4)
L=42-1,1%</v>
      </c>
      <c r="EK274">
        <f>IFERROR(2*ρкз_Cu*Q274/DX274,"")</f>
        <v>0.55230000000000001</v>
      </c>
      <c r="EL274">
        <f t="shared" si="546"/>
        <v>0.18375000000000002</v>
      </c>
      <c r="EM274" s="6" t="str">
        <f>IFERROR(IF(OR(B274="",NOT(ISNUMBER(DX274)),N(Q274)=0),"",_xlfn.XLOOKUP(A274,Щиты[Щит],Щиты[Zпетли на шинах, Ом])+EK274),"")</f>
        <v/>
      </c>
      <c r="EN274" s="6" t="str">
        <f>IF(ISNUMBER(EM274),c_min*(Uн_лин*1000/SQRT(3))/EM274,"")</f>
        <v/>
      </c>
      <c r="EO274" s="6" t="str">
        <f>IFERROR(IF(OR(B274="",NOT(ISNUMBER(DX274))),"",1.05*(Uн_лин*1000/SQRT(3))/(_xlfn.XLOOKUP(A274,Щиты[Щит],Щиты[Zmax на шинах, Ом])+EL274)/1000),"")</f>
        <v/>
      </c>
      <c r="EP274" s="6" t="str">
        <f>IF(B274="","",IF(ISNUMBER(Y274),"Сил",IF(IFERROR(_xlfn.XLOOKUP(AX274,Коды_код,Коды_группа)&amp;"","")="","Быт",_xlfn.XLOOKUP(AX274,Коды_код,Коды_группа)&amp;"")))</f>
        <v>Быт</v>
      </c>
      <c r="EQ274" s="6" t="str">
        <f t="shared" si="547"/>
        <v>Быт</v>
      </c>
      <c r="ER274" s="6">
        <f>IF(EQ274="Щит","щит",IF(EQ274="","",IF(EQ274="Быт",IFERROR(_xlfn.XLOOKUP(A274,Щиты[Щит],Щиты[Кс быт]),1),IF(EQ274="Сил",IF(ISNUMBER(Y274),Y274,IF(Методика="нормы 2026",IFERROR(_xlfn.XLOOKUP(A274,Щиты[Щит],Щиты[Кс силовых (табл. 7.5)]),1),1)),IF(OR(EQ274="Пост",EQ274="Отоп"),1,IF(EQ274="ВНГ",0.7,0))))))</f>
        <v>0.57830000000000004</v>
      </c>
      <c r="ES274">
        <f t="shared" si="548"/>
        <v>1</v>
      </c>
      <c r="ET274">
        <f t="shared" si="549"/>
        <v>7.36</v>
      </c>
      <c r="EU274">
        <f t="shared" si="550"/>
        <v>7.36</v>
      </c>
      <c r="EV274">
        <f t="shared" si="551"/>
        <v>0</v>
      </c>
      <c r="EW274">
        <f t="shared" si="552"/>
        <v>0</v>
      </c>
      <c r="EX274">
        <f t="shared" si="553"/>
        <v>0</v>
      </c>
      <c r="EY274">
        <f t="shared" si="554"/>
        <v>0</v>
      </c>
      <c r="EZ274">
        <f t="shared" si="555"/>
        <v>7.36</v>
      </c>
      <c r="FA274">
        <f t="shared" si="556"/>
        <v>6.992</v>
      </c>
      <c r="FB274">
        <f t="shared" si="557"/>
        <v>7.36</v>
      </c>
      <c r="FC274" t="str">
        <f t="shared" si="558"/>
        <v/>
      </c>
      <c r="FD274" t="str">
        <f>IF(B274="","",IF(CA274=0,IF(AW274=1,"",FF273),IF(OR(N(CV274)&gt;=3,N(BR274)&gt;=3),"L1,L2,L3",IFERROR(_xlfn.TEXTBEFORE(_xlfn.TEXTAFTER(_xlfn.XLOOKUP(A274,Щиты[Щит],Щиты[_фазы авто]),";"&amp;AW274&amp;":"),";"),"L1"))))</f>
        <v>L1,L2,L3</v>
      </c>
      <c r="FE274" t="str">
        <f t="shared" si="559"/>
        <v>L1,L2,L3</v>
      </c>
      <c r="FF274" t="str">
        <f t="shared" si="560"/>
        <v>L1,L2,L3</v>
      </c>
      <c r="FG274" cm="1">
        <f t="array" ref="FG274">IFERROR(IF(BX274=2,_xlfn.IFS(BR274=3,VLOOKUP(BN274,Справочная_двигатели,3,FALSE),BR274=1,VLOOKUP(BN274,Справочная_двигатели,5,TRUE)),0),0)</f>
        <v>0</v>
      </c>
      <c r="FH274">
        <f>IFERROR(IF(BX274=3,VLOOKUP(BN274,Справочная_ЛЭД,2,TRUE),0),0)</f>
        <v>0</v>
      </c>
      <c r="FI274" s="6">
        <f t="shared" si="561"/>
        <v>0</v>
      </c>
      <c r="FJ274" t="str" cm="1">
        <f t="array" ref="FJ274">IF(B274="","",IFERROR(INDEX({"I особая","I","II","III"},MATCH(TRIM(AC274&amp;""),{"I особая","I","II","III"},0)),"III"))</f>
        <v>II</v>
      </c>
      <c r="FK274" t="str">
        <f>IF(B274="","",IF(TRIM(AD274&amp;"")&lt;&gt;"",IF(LOWER(TRIM(AD274&amp;""))="да","да","нет"),IF(IFERROR(_xlfn.XLOOKUP(AX274,Коды_код,Коды_пожарная),"")="да","да","нет")))</f>
        <v>нет</v>
      </c>
      <c r="FL274" t="str">
        <f t="shared" si="562"/>
        <v/>
      </c>
      <c r="FM274" t="str">
        <f t="shared" si="563"/>
        <v>основная</v>
      </c>
      <c r="FN274">
        <f t="shared" si="564"/>
        <v>1</v>
      </c>
      <c r="FO274" t="str" cm="1">
        <f t="array" ref="FO274">IF(B274="","",_xlfn.LET(_xlpm.t,IFERROR(_xlfn.XLOOKUP(1,(Шины[Шина]=FM274)*(((Шины[Щит]=A274)+(Шины[Щит]=""))&gt;0),Шины[Тип]),"")&amp;"",IF(_xlpm.t&lt;&gt;"",_xlpm.t,IF(ISNUMBER(SEARCH("ИБП",FM274)),"ИБП",IF(ISNUMBER(SEARCH("ДГУ",FM274)),"ДГУ","Ввод "&amp;FN274)))))</f>
        <v>Ввод 1</v>
      </c>
      <c r="FP274" t="str">
        <f t="shared" si="565"/>
        <v>Ввод 1</v>
      </c>
      <c r="FQ274" t="str">
        <f>IF(B274="","",IF(OR(FO274="ИБП",FO274="ДГУ"),"I особая",IF(FO274="Одиночная","III",_xlfn.XLOOKUP(A274,Щиты[Щит],Щиты[Категория шины «Ввод»],"III"))))</f>
        <v>II</v>
      </c>
      <c r="FR274">
        <f>IF(B274="",0,IFERROR(MATCH(FJ274,{"III","II","I","I особая"},0),1))</f>
        <v>2</v>
      </c>
      <c r="FS274">
        <f t="shared" si="566"/>
        <v>2</v>
      </c>
      <c r="FT274" t="str">
        <f>IF(B274="","",IF(FR274&gt;IFERROR(MATCH(FQ274,{"III","II","I","I особая"},0),1),"НЕ ОБЕСПЕЧЕНА","ОК"))</f>
        <v>ОК</v>
      </c>
      <c r="FU274" t="str">
        <f>IF(A274="","",_xlfn.XLOOKUP(A274,Щиты[Щит],Щиты[Путь],""))</f>
        <v>|ГРЩ-ЖД|ЩР-1|</v>
      </c>
      <c r="FV274" t="str">
        <f>IF(B274="","",IF(AE274&lt;&gt;"",AE274,IF(IFERROR(_xlfn.XLOOKUP(AX274,Коды_код,Коды_вид)&amp;"","")="","Прочее",_xlfn.XLOOKUP(AX274,Коды_код,Коды_вид)&amp;"")))</f>
        <v>Розеточная сеть и бытовые приборы</v>
      </c>
      <c r="FW274">
        <f>IF(BH274="","",INT((BH274-1)/Столбцов_на_лист)+1)</f>
        <v>5</v>
      </c>
      <c r="FX274" t="str">
        <f t="shared" si="567"/>
        <v>ВВГнг(А)-LS (5х4) L=42-1,1%</v>
      </c>
      <c r="FY274">
        <f t="shared" si="568"/>
        <v>7.36</v>
      </c>
      <c r="FZ274">
        <f t="shared" si="569"/>
        <v>11.19</v>
      </c>
      <c r="GA274">
        <f t="shared" si="570"/>
        <v>3</v>
      </c>
      <c r="GB274">
        <f t="shared" si="571"/>
        <v>0</v>
      </c>
      <c r="GC274">
        <f t="shared" si="572"/>
        <v>1</v>
      </c>
      <c r="GD274">
        <f>IF(BH274="","",IF(AND(CA274=1,GC274=1),COUNTIFS(A$3:A274,A274,CA$3:CA274,1,GC$3:GC274,1),IF(OR(OR(AW274=1,A274&lt;&gt;A273),AF274="вручную",GC274=0),"",IF(AW274=1,"",GE273))))</f>
        <v>50</v>
      </c>
      <c r="GE274">
        <f t="shared" si="573"/>
        <v>50</v>
      </c>
      <c r="GF274">
        <f>IF(B274="","",IFERROR(LOOKUP(INDEX(CHOOSE(DL274,Iдоп_1ж,Iдоп_2ж,Iдоп_3ж),MATCH(DX274,Iдоп_S,0))*DJ274*DK274,{6,10,16,20,25,32,40,50,63,80,100,125,160,200,250,315,400,500,630}),""))</f>
        <v>32</v>
      </c>
      <c r="GG274" t="str">
        <f t="shared" si="574"/>
        <v>QFD50</v>
      </c>
      <c r="GH274" t="str">
        <f t="shared" si="575"/>
        <v>QFD50</v>
      </c>
      <c r="GI274" t="str">
        <f t="shared" si="576"/>
        <v/>
      </c>
      <c r="GJ274">
        <f t="shared" si="577"/>
        <v>0</v>
      </c>
      <c r="GK274" t="str">
        <f>IF(OR(AG274="",AG274="-"),"",IFERROR(VLOOKUP(AG274,Модули_спр,2,FALSE),"R"))</f>
        <v/>
      </c>
      <c r="GL274" t="str">
        <f>IF(GK274="","",GK274&amp;"."&amp;COUNTIFS(A$3:A274,A274,GK$3:GK274,GK274))</f>
        <v/>
      </c>
      <c r="GM274" t="str">
        <f t="shared" si="578"/>
        <v/>
      </c>
      <c r="GN274" t="str">
        <f t="shared" si="579"/>
        <v/>
      </c>
      <c r="GO274" t="str">
        <f t="shared" si="580"/>
        <v/>
      </c>
      <c r="GP274" t="str">
        <f t="shared" si="581"/>
        <v/>
      </c>
      <c r="GQ274">
        <f t="shared" si="582"/>
        <v>1</v>
      </c>
      <c r="GR274" t="str">
        <f>IF(GQ274=1,"XT"&amp;COUNTIFS(A$3:A274,A274,GQ$3:GQ274,1),"")</f>
        <v>XT50</v>
      </c>
      <c r="GS274" t="str">
        <f t="shared" si="583"/>
        <v>XT50</v>
      </c>
      <c r="GT274" t="str">
        <f t="shared" si="584"/>
        <v>QFD50</v>
      </c>
      <c r="GU274" t="str">
        <f t="shared" si="585"/>
        <v/>
      </c>
      <c r="GV274" t="str">
        <f t="shared" si="586"/>
        <v>ok</v>
      </c>
      <c r="GW274" t="str">
        <f>IF(OR(GO274="",GM274=""),"",IF(GO274&gt;IFERROR(VLOOKUP(GN274,Модули_спр,3,FALSE),99),"ЛИШНИЙ КАНАЛ",IF(AND(AH274&lt;&gt;"=",COUNTIFS(Линии[_модуль гр.],GM274,Линии[Канал (итог)],GO274,Линии[Канал],"&lt;&gt;=",Линии[Щит],A274)&gt;1),"ДУБЛЬ КАНАЛА","")))</f>
        <v/>
      </c>
      <c r="GX274" s="6" t="str">
        <f t="shared" si="587"/>
        <v/>
      </c>
      <c r="GY274">
        <f t="shared" si="588"/>
        <v>10</v>
      </c>
      <c r="GZ274" t="str">
        <f t="shared" si="589"/>
        <v/>
      </c>
      <c r="HA274" t="str">
        <f>IF(AND(B274="",GT274=""),"",_xlfn.TEXTJOIN("; ",TRUE,IF(AND(B274&lt;&gt;"",FE274=""),"нет фазы",""),IF(AND(B274&lt;&gt;"",N(FY274)=0,EQ274&lt;&gt;"Нет"),"нет мощности",""),IF(AND(GS274&lt;&gt;"",COUNTIFS(Линии[Щит],A274,Линии[Клемма (итог)],GS274)&gt;1),"дубль клеммы "&amp;GS274,""),IF(AND(GV274&lt;&gt;"",GV274&lt;&gt;"ok"),GV274,""),IF(GW274&lt;&gt;"",GW274,""),IF(AND(N(BV274)&gt;=4,N(BR274)=1),BV274&amp;" жил на 1 фазе",""),IF(AND(AX274="R",CA274=1,OR(N(CK274)=0,N(CK274)&gt;30)),"розетка без дифзащиты до 30 мА",""),IFERROR(IF(AND(ISNUMBER(R274),R274&gt;DV274),"потери "&amp;FIXED(R274,1)&amp;" % &gt; "&amp;DV274&amp;" %",""),""),IFERROR(IF(LEFT(GZ274,4)="мало","Iкз мало — отключение &gt; 0,4 с",""),""),IF(AND(B274&lt;&gt;"",BH274=""),"не на схеме",""),IF(AND(CA274=0,B274&lt;&gt;"",FE274&lt;&gt;"",IF(AW274=1,"",FF273)&lt;&gt;"",FE274&lt;&gt;IF(AW274=1,"",FF273)),"фаза не как у автомата группы ("&amp;IF(AW274=1,"",FF273)&amp;")","")))</f>
        <v/>
      </c>
      <c r="HB274" s="6" t="str">
        <f>IF(OR(CA274=0,DA274=""),"",_xlfn.LET(_xlpm.t,IFERROR(_xlfn.XLOOKUP(DA274,Каталог!$U$4:$U$500,Каталог!$G$4:$G$500),""),_xlpm.k,SEARCH("кА",_xlpm.t),IFERROR(--TRIM(RIGHT(SUBSTITUTE(MID(_xlpm.t,MAX(1,_xlpm.k-4),_xlpm.k-MAX(1,_xlpm.k-4))," ",REPT(" ",9)),5)),"")))</f>
        <v/>
      </c>
      <c r="HC274" t="str">
        <f>IF(OR(HB274="",CA274=0),"",IF(_xlfn.XLOOKUP(A274,Щиты[Щит],Щиты[Iкз max на шинах, кА],"")="","",IF(HB274&lt;_xlfn.XLOOKUP(A274,Щиты[Щит],Щиты[Iкз max на шинах, кА]),"Icu "&amp;HB274&amp;" кА &lt; Iкз max","ok")))</f>
        <v/>
      </c>
      <c r="HD274" t="str">
        <f t="shared" si="590"/>
        <v/>
      </c>
      <c r="HE274" t="str">
        <f t="shared" si="591"/>
        <v>QFD50|XT50</v>
      </c>
      <c r="HF274" t="str">
        <f t="shared" si="592"/>
        <v>QFD50|XT50|кабель ВВГнг(А)-LS (5х4) → Розеточная группа Первый этаж Пом. №021A Вывод на варочную панель</v>
      </c>
      <c r="HG274" t="str" cm="1">
        <f t="array" ref="HG274">IF(HF274="","",_xlfn.LET(_xlpm.nd,_xlfn.TEXTSPLIT(HF274,"|"),IF(COLUMNS(_xlpm.nd)&gt;1,A274&amp;"¦"&amp;INDEX(_xlpm.nd,1)&amp;"¦"&amp;INDEX(_xlpm.nd,2),"")))</f>
        <v>ЩР-1¦QFD50¦XT50</v>
      </c>
      <c r="HH274" t="str">
        <f t="shared" si="593"/>
        <v>R.1.021A.7¦Розеточная группа Первый этаж Пом. №021A Вывод на варочную панель</v>
      </c>
      <c r="HI274" t="str" cm="1">
        <f t="array" ref="HI274">IF(HF274="","",_xlfn.LET(_xlpm.nd,_xlfn.TEXTSPLIT(HF274,"|"),IF(COLUMNS(_xlpm.nd)&gt;2,A274&amp;"¦"&amp;INDEX(_xlpm.nd,2)&amp;"¦"&amp;INDEX(_xlpm.nd,3),"")))</f>
        <v>ЩР-1¦XT50¦кабель ВВГнг(А)-LS (5х4) → Розеточная группа Первый этаж Пом. №021A Вывод на варочную панель</v>
      </c>
      <c r="HJ274" t="str">
        <f t="shared" si="594"/>
        <v>R.1.021A.7¦Розеточная группа Первый этаж Пом. №021A Вывод на варочную панель</v>
      </c>
      <c r="HK274" t="str" cm="1">
        <f t="array" ref="HK274">IF(HF274="","",_xlfn.LET(_xlpm.nd,_xlfn.TEXTSPLIT(HF274,"|"),IF(COLUMNS(_xlpm.nd)&gt;3,A274&amp;"¦"&amp;INDEX(_xlpm.nd,3)&amp;"¦"&amp;INDEX(_xlpm.nd,4),"")))</f>
        <v/>
      </c>
      <c r="HL274" t="str">
        <f t="shared" si="595"/>
        <v/>
      </c>
      <c r="HM274" t="str" cm="1">
        <f t="array" ref="HM274">IF(HF274="","",_xlfn.LET(_xlpm.nd,_xlfn.TEXTSPLIT(HF274,"|"),IF(COLUMNS(_xlpm.nd)&gt;4,A274&amp;"¦"&amp;INDEX(_xlpm.nd,4)&amp;"¦"&amp;INDEX(_xlpm.nd,5),"")))</f>
        <v/>
      </c>
      <c r="HN274" t="str">
        <f t="shared" si="596"/>
        <v/>
      </c>
      <c r="HO274" t="str" cm="1">
        <f t="array" ref="HO274">IF(HF274="","",_xlfn.LET(_xlpm.nd,_xlfn.TEXTSPLIT(HF274,"|"),IF(COLUMNS(_xlpm.nd)&gt;5,A274&amp;"¦"&amp;INDEX(_xlpm.nd,5)&amp;"¦"&amp;INDEX(_xlpm.nd,6),"")))</f>
        <v/>
      </c>
      <c r="HP274" t="str">
        <f t="shared" si="597"/>
        <v/>
      </c>
      <c r="HQ274" t="str" cm="1">
        <f t="array" ref="HQ274">IF(HF274="","",_xlfn.LET(_xlpm.nd,_xlfn.TEXTSPLIT(HF274,"|"),IF(COLUMNS(_xlpm.nd)&gt;6,A274&amp;"¦"&amp;INDEX(_xlpm.nd,6)&amp;"¦"&amp;INDEX(_xlpm.nd,7),"")))</f>
        <v/>
      </c>
      <c r="HR274" t="str">
        <f t="shared" si="598"/>
        <v/>
      </c>
      <c r="HS274" t="str">
        <f t="shared" si="599"/>
        <v/>
      </c>
      <c r="HT274" t="str">
        <f t="shared" si="600"/>
        <v>QFD50 → XT50</v>
      </c>
      <c r="HU274">
        <f t="shared" si="601"/>
        <v>0</v>
      </c>
      <c r="HV274">
        <f t="shared" si="602"/>
        <v>1</v>
      </c>
      <c r="HW274" t="str">
        <f t="shared" si="603"/>
        <v/>
      </c>
      <c r="HX274" t="str">
        <f t="shared" si="604"/>
        <v/>
      </c>
      <c r="HY274" t="str">
        <f t="shared" si="605"/>
        <v/>
      </c>
      <c r="HZ274" t="str">
        <f t="shared" si="606"/>
        <v/>
      </c>
      <c r="IA274" t="str">
        <f>IF(B274="","",IFERROR(VLOOKUP(B274,УГО_спр,2,FALSE),IFERROR(VLOOKUP(AX274,УГО_спр,2,FALSE),IFERROR(VLOOKUP(LEFT(AX274,2),УГО_спр,2,FALSE),""))))</f>
        <v>Розетка</v>
      </c>
      <c r="IB274" t="str">
        <f>IF(B274="","",IF(OR(IA274="",IA274=0),"BOX",IFERROR(IF(VLOOKUP(IA274,УГО_блоки,3,FALSE)&amp;""&lt;&gt;"",VLOOKUP(IA274,УГО_блоки,3,FALSE),VLOOKUP(IA274,УГО_блоки,2,FALSE)),IA274)))</f>
        <v>SOCKET</v>
      </c>
      <c r="IC274">
        <f t="shared" si="607"/>
        <v>1</v>
      </c>
      <c r="ID274">
        <f>IF(DA274="","",IF(COUNTIF(DA$3:DA274,DA274)=1,MAX(ID$2:ID273)+1,""))</f>
        <v>19</v>
      </c>
      <c r="IE274" t="str">
        <f>IF(CO274="","",IF(COUNTIF(CO$3:CO274,CO274)+COUNTIF(CP$2:CP273,CO274)+COUNTIF(CQ$2:CQ273,CO274)=1,MAX(IE$2:IG273)+1,""))</f>
        <v/>
      </c>
      <c r="IF274" t="str">
        <f>IF(CP274="","",IF(COUNTIF(CO$3:CO274,CP274)+COUNTIF(CP$3:CP274,CP274)+COUNTIF(CQ$2:CQ273,CP274)=1,MAX(IE$2:IG273,IE274)+1,""))</f>
        <v/>
      </c>
      <c r="IG274" t="str">
        <f>IF(CQ274="","",IF(COUNTIF(CO$3:CO274,CQ274)+COUNTIF(CP$3:CP274,CQ274)+COUNTIF(CQ$3:CQ274,CQ274)=1,MAX(IE$2:IG273,IE274,IF274)+1,""))</f>
        <v/>
      </c>
      <c r="IH274" t="str">
        <f t="shared" si="608"/>
        <v>5х4</v>
      </c>
      <c r="II274" t="str">
        <f>IF(IH274="","",IF(COUNTIF(IH$3:IH274,IH274)=1,MAX(II$2:II273)+1,""))</f>
        <v/>
      </c>
      <c r="IJ274" t="str">
        <f>IF(GL274="","",COUNTIF(GL$3:GL274,"?*"))</f>
        <v/>
      </c>
      <c r="IK274" t="str">
        <f>IF(OR(GL274="",GN274=""),"",IF(COUNTIFS(GL$3:GL274,"?*",GN$3:GN274,GN274)=1,MAX(IK$2:IK273)+1,""))</f>
        <v/>
      </c>
      <c r="IL274">
        <f t="shared" si="609"/>
        <v>0</v>
      </c>
      <c r="IM274">
        <f>IF(B274="","",COUNTIF(B$3:B274,"?*"))</f>
        <v>272</v>
      </c>
      <c r="IN274">
        <f>IF(GQ274&lt;&gt;1,0,_xlfn.LET(_xlpm.k,MAX(IFERROR(--VLOOKUP(B274,УГО_спр,5,FALSE),0),IFERROR(--VLOOKUP(AX274,УГО_спр,5,FALSE),0),IFERROR(--VLOOKUP(LEFT(AX274,2),УГО_спр,5,FALSE),0)),IF(_xlpm.k&gt;0,_xlpm.k,IF(IFERROR(--LEFT(SUBSTITUTE(IH274,"x","х"),FIND("х",SUBSTITUTE(IH274,"x","х"))-1),3)&gt;3,Каталог!$S$9,1))))</f>
        <v>1</v>
      </c>
      <c r="IO274">
        <f t="shared" si="610"/>
        <v>2</v>
      </c>
      <c r="IP274" t="str">
        <f t="shared" si="611"/>
        <v>авто</v>
      </c>
      <c r="IQ274">
        <f t="shared" si="612"/>
        <v>30</v>
      </c>
      <c r="IR274">
        <f t="shared" si="613"/>
        <v>1</v>
      </c>
      <c r="IS274">
        <f t="shared" si="614"/>
        <v>1</v>
      </c>
    </row>
    <row r="275" spans="1:253" x14ac:dyDescent="0.3">
      <c r="A275" t="s">
        <v>759</v>
      </c>
      <c r="B275" t="s">
        <v>1540</v>
      </c>
      <c r="C275" t="str">
        <f>Линии[[#This Row],[_авто наименование]]</f>
        <v>Розеточная группа, пом. 021A</v>
      </c>
      <c r="D275">
        <v>2</v>
      </c>
      <c r="E275">
        <v>0.18</v>
      </c>
      <c r="G275" t="str">
        <f>Линии[[#This Row],[_авто автомат]]</f>
        <v>2P С16А 30мА</v>
      </c>
      <c r="H275">
        <f>Линии[[#This Row],[_авто утечка]]</f>
        <v>30</v>
      </c>
      <c r="I275" t="str">
        <f>Линии[[#This Row],[_авто управление]]</f>
        <v/>
      </c>
      <c r="J275" t="str">
        <f>Линии[[#This Row],[_авто аппараты]]</f>
        <v/>
      </c>
      <c r="K275">
        <v>2.5</v>
      </c>
      <c r="L275">
        <v>54</v>
      </c>
      <c r="M275" t="str">
        <f>Линии[[#This Row],[_авто фаза]]</f>
        <v>L2</v>
      </c>
      <c r="N275" t="str">
        <f>Линии[[#This Row],[_авто клемма]]</f>
        <v>XT51</v>
      </c>
      <c r="O275" t="str">
        <f t="shared" si="492"/>
        <v/>
      </c>
      <c r="P275" s="6" cm="1">
        <f t="array" ref="P275">IF(B275="","",IF(BC275&lt;&gt;"",IFERROR(_xlfn.XLOOKUP(BC275,Щиты[Щит],Щиты[Iр, А]),""),IF(BK275=1,IFERROR(_xlfn.XLOOKUP(A275,Щиты[Щит],Щиты[Iр, А]),""),IFERROR(_xlfn.IFS(BR275=1,BN275/((Uн_лин/SQRT(3))*BY275),BR275=3,BN275/(SQRT(3)*Uн_лин*BY275)),""))))</f>
        <v>0.8204451193747313</v>
      </c>
      <c r="Q275" s="7">
        <f>IF(B275="","",IFERROR(IF(VLOOKUP(AX275,Потребители_обозначение,4,FALSE)=1,VLOOKUP(AX275,Потребители_обозначение,3,FALSE)*(D275*2-1)+DS275+VLOOKUP(AZ275,Этаж_обозначение,3,FALSE)+VLOOKUP(AZ275,Этаж_обозначение,4,FALSE),VLOOKUP(AX275,Потребители_обозначение,3,FALSE)*(D275*2-1)+DS275),DS275))</f>
        <v>63</v>
      </c>
      <c r="R275" s="6">
        <f t="shared" si="493"/>
        <v>1.58</v>
      </c>
      <c r="S275" t="str">
        <f t="shared" si="494"/>
        <v>ВВГнг(А)-LS (3х2,5)</v>
      </c>
      <c r="T275" t="str">
        <f>IF(BH275="","",IF(BI275="вводной узел","узел ","")&amp;"л."&amp;(INT((BH275-1)/Столбцов_на_лист)+1)&amp;" / "&amp;(MOD(BH275-1,Столбцов_на_лист)+1))</f>
        <v>л.5 / 6</v>
      </c>
      <c r="V275">
        <v>1</v>
      </c>
      <c r="W275">
        <v>230</v>
      </c>
      <c r="X275" t="s">
        <v>564</v>
      </c>
      <c r="AC275" t="s">
        <v>815</v>
      </c>
      <c r="AE275" t="s">
        <v>563</v>
      </c>
      <c r="AI275">
        <v>74</v>
      </c>
      <c r="AJ275" t="s">
        <v>11</v>
      </c>
      <c r="AK275">
        <v>3</v>
      </c>
      <c r="AM275">
        <v>20</v>
      </c>
      <c r="AN275">
        <v>29</v>
      </c>
      <c r="AO275">
        <v>14</v>
      </c>
      <c r="AW275" cm="1">
        <f t="array" ref="AW275">ROW()-ROW(Линии[#Headers])</f>
        <v>273</v>
      </c>
      <c r="AX275" s="6" t="str">
        <f t="shared" si="495"/>
        <v>R</v>
      </c>
      <c r="AY275" t="str">
        <f t="shared" si="496"/>
        <v>1.021A.8</v>
      </c>
      <c r="AZ275" t="str">
        <f t="shared" si="497"/>
        <v>1</v>
      </c>
      <c r="BA275" t="str">
        <f t="shared" si="498"/>
        <v>021A.8</v>
      </c>
      <c r="BB275" t="str">
        <f t="shared" si="499"/>
        <v>021A</v>
      </c>
      <c r="BC275" t="str">
        <f>IF(U275&lt;&gt;"",U275,IF(AND(B275&lt;&gt;"",B275&lt;&gt;A275,ISNUMBER(_xlfn.XMATCH(B275,Щиты[Щит]))),B275,""))</f>
        <v/>
      </c>
      <c r="BD275" t="str" cm="1">
        <f t="array" ref="BD275">IF(B275="","",IF(BC275&lt;&gt;"","Щит "&amp;BC275,_xlfn.LET(_xlpm.nm,IFERROR(_xlfn.XLOOKUP(AX275,Коды_код,Коды_имя)&amp;"",""),_xlpm.md,IFERROR(N(_xlfn.XLOOKUP(AX275,Коды_код,Коды_режим)),1),_xlpm.ex,IF(Имя_режим="по экспликации",IFERROR(_xlfn.XLOOKUP(AZ275&amp;"|"&amp;BB275,Экспликация[Этаж]&amp;"|"&amp;Экспликация[Помещение],Экспликация[Название])&amp;"",""),""),_xlpm.rm,IF(BB275="","",IF(_xlpm.ex&lt;&gt;"",". "&amp;_xlpm.ex&amp;IF(Имя_пом="нет"," ("&amp;BB275&amp;")"," (пом. "&amp;BB275&amp;")"),IF(Имя_пом="нет"," ",", пом. ")&amp;BB275)),IF(_xlpm.nm="","",IF(_xlpm.md=2,_xlpm.nm&amp;" шлейф "&amp;AZ275,_xlpm.nm&amp;_xlpm.rm)))))</f>
        <v>Розеточная группа, пом. 021A</v>
      </c>
      <c r="BE275" t="str">
        <f t="shared" si="500"/>
        <v>Розеточная группа, пом. 021A</v>
      </c>
      <c r="BF275">
        <f>IFERROR(_xlfn.XMATCH(A275,Щиты[Щит]),0)</f>
        <v>10</v>
      </c>
      <c r="BG275">
        <f>_xlfn.LET(_xlpm.k,IFERROR(_xlfn.XLOOKUP(A275,Щиты[Щит],Щиты[Листов под вводной узел]),""),IF(_xlpm.k="",1,N(_xlpm.k))*Столбцов_на_лист)</f>
        <v>17</v>
      </c>
      <c r="BH275">
        <f t="shared" si="501"/>
        <v>74</v>
      </c>
      <c r="BI275" t="str">
        <f t="shared" si="502"/>
        <v>линии</v>
      </c>
      <c r="BJ275" s="6">
        <f>IFERROR(N(_xlfn.XLOOKUP(AX275,Коды_код,Коды_квт)),0)</f>
        <v>0</v>
      </c>
      <c r="BK275">
        <f t="shared" si="503"/>
        <v>0</v>
      </c>
      <c r="BL275" t="str">
        <f>IF(B275="","",IF(BC275&lt;&gt;"",IFERROR(_xlfn.XLOOKUP(BC275,Щиты[Щит],Щиты[Руст, кВт]),0),IF(BK275=1,IFERROR(_xlfn.XLOOKUP(A275,Щиты[Щит],Щиты[Руст, кВт]),0),IF(BJ275&gt;0,ROUND(BJ275*MAX(1,N(D275)),3),""))))</f>
        <v/>
      </c>
      <c r="BM275">
        <f t="shared" si="504"/>
        <v>0.18</v>
      </c>
      <c r="BN275" s="6">
        <f>IF(B275="","",IF(BC275&lt;&gt;"",IFERROR(_xlfn.XLOOKUP(BC275,Щиты[Щит],Щиты[Руст, кВт]),0),N(BM275)))</f>
        <v>0.18</v>
      </c>
      <c r="BO275" t="str">
        <f>IF(B275="","",IFERROR(IF(VLOOKUP(AX275,Потребители_обозначение,8,FALSE)=0,"",VLOOKUP(AX275,Потребители_обозначение,8,FALSE)),""))</f>
        <v/>
      </c>
      <c r="BP275">
        <f t="shared" si="505"/>
        <v>230</v>
      </c>
      <c r="BQ275">
        <f>IF(B275="","",IF(BC275&lt;&gt;"",3,IFERROR(IF(N(VLOOKUP(AX275,Потребители_обозначение,9,FALSE))=0,1,VLOOKUP(AX275,Потребители_обозначение,9,FALSE)),1)))</f>
        <v>1</v>
      </c>
      <c r="BR275">
        <f t="shared" si="506"/>
        <v>1</v>
      </c>
      <c r="BS275" t="str">
        <f>IF(B275="","",_xlfn.LET(_xlpm.bc,IFERROR(IF(VLOOKUP(AX275,Потребители_обозначение,6,FALSE)=0,"",VLOOKUP(AX275,Потребители_обозначение,6,FALSE)&amp;""),""),IF(AND(FK275="да",OR(_xlpm.bc="",_xlpm.bc="мс")),Марка_пож,IF(AND(_xlpm.bc="",BC275&lt;&gt;""),"мс",_xlpm.bc))))</f>
        <v/>
      </c>
      <c r="BT275" t="str">
        <f t="shared" si="507"/>
        <v>мс</v>
      </c>
      <c r="BU275">
        <f>IF(B275="","",_xlfn.LET(_xlpm.cc,IFERROR(N(VLOOKUP(AX275,Потребители_обозначение,7,FALSE)),0),IF(_xlpm.cc&gt;0,_xlpm.cc,IF(BT275="","",IF(N(BR275)=3,5,3)))))</f>
        <v>3</v>
      </c>
      <c r="BV275">
        <f t="shared" si="508"/>
        <v>3</v>
      </c>
      <c r="BW275">
        <f>IFERROR(N(VLOOKUP(AX275,Потребители_обозначение,10,FALSE)),0)</f>
        <v>0</v>
      </c>
      <c r="BX275">
        <f>IFERROR(VLOOKUP(AX275,Потребители_обозначение,5,FALSE),0)</f>
        <v>1</v>
      </c>
      <c r="BY275" s="6" cm="1">
        <f t="array" ref="BY275">IF(B275="","",IF(BC275&lt;&gt;"",IFERROR(_xlfn.XLOOKUP(BC275,Щиты[Щит],Щиты[cos φ]),0.95),IF(BK275=1,IFERROR(_xlfn.XLOOKUP(A275,Щиты[Щит],Щиты[cos φ]),0.95),IF(ISNUMBER(Z275),Z275,IFERROR(IF(BX275=2,_xlfn.IFS(BR275=3,VLOOKUP(BN275,Справочная_двигатели,8,FALSE),BR275=1,VLOOKUP(BN275,Справочная_двигатели,10,TRUE)),IF(AND(Методика="нормы 2026",EQ275="Сил"),0.8,0.95)),0.95)))))</f>
        <v>0.95</v>
      </c>
      <c r="BZ275">
        <f t="shared" si="509"/>
        <v>0</v>
      </c>
      <c r="CA275">
        <f t="shared" si="510"/>
        <v>1</v>
      </c>
      <c r="CB275">
        <f t="shared" si="511"/>
        <v>0</v>
      </c>
      <c r="CC275">
        <f t="shared" si="512"/>
        <v>0</v>
      </c>
      <c r="CD275">
        <f t="shared" si="513"/>
        <v>0</v>
      </c>
      <c r="CE275">
        <f t="shared" si="514"/>
        <v>0</v>
      </c>
      <c r="CF275">
        <f t="shared" si="515"/>
        <v>0</v>
      </c>
      <c r="CG275">
        <f>IF(AX275="",0,_xlfn.LET(_xlpm.v,IFERROR(VLOOKUP(B275,УГО_спр,3,FALSE),IFERROR(VLOOKUP(AX275,УГО_спр,3,FALSE),IFERROR(VLOOKUP(LEFT(AX275,2),УГО_спр,3,FALSE),""))),IF(_xlpm.v="да",30,IF(ISNUMBER(_xlpm.v),_xlpm.v,0))))</f>
        <v>30</v>
      </c>
      <c r="CH275">
        <f t="shared" si="516"/>
        <v>30</v>
      </c>
      <c r="CI275" t="str">
        <f>_xlfn.LET(_xlpm.k,IFERROR(_xlfn.XLOOKUP(AX275,Коды_код,Коды_утечка)&amp;"",""),IF(_xlpm.k="","дифавтомат",_xlpm.k))</f>
        <v>дифавтомат</v>
      </c>
      <c r="CJ275">
        <f t="shared" si="517"/>
        <v>30</v>
      </c>
      <c r="CK275">
        <f t="shared" si="518"/>
        <v>30</v>
      </c>
      <c r="CL275">
        <f>IF(B275="",0,IFERROR(--VLOOKUP(B275,УГО_спр,4,FALSE),IFERROR(--VLOOKUP(AX275,УГО_спр,4,FALSE),IFERROR(--VLOOKUP(LEFT(AX275,2),УГО_спр,4,FALSE),0))))</f>
        <v>16</v>
      </c>
      <c r="CM275" t="str">
        <f>IF(B275="","",IFERROR(_xlfn.XLOOKUP(AX275,Коды_код,Коды_апп)&amp;"",""))</f>
        <v/>
      </c>
      <c r="CN275" t="str">
        <f t="shared" si="519"/>
        <v/>
      </c>
      <c r="CO275" t="str" cm="1">
        <f t="array" ref="CO275">IF(TRIM(CN275&amp;"")="","",IFERROR(TRIM(INDEX(_xlfn.TEXTSPLIT(CN275&amp;";;;",";"),1)),""))</f>
        <v/>
      </c>
      <c r="CP275" t="str" cm="1">
        <f t="array" ref="CP275">IF(TRIM(CN275&amp;"")="","",IFERROR(TRIM(INDEX(_xlfn.TEXTSPLIT(CN275&amp;";;;",";"),2)),""))</f>
        <v/>
      </c>
      <c r="CQ275" t="str" cm="1">
        <f t="array" ref="CQ275">IF(TRIM(CN275&amp;"")="","",IFERROR(TRIM(INDEX(_xlfn.TEXTSPLIT(CN275&amp;";;;",";"),3)),""))</f>
        <v/>
      </c>
      <c r="CR275">
        <f t="shared" si="520"/>
        <v>0</v>
      </c>
      <c r="CS275" t="str">
        <f>IF(B275="","",_xlfn.LET(_xlpm.t,LOWER(AV275&amp;""),IF(ISNUMBER(SEARCH("dim",_xlpm.t)),"DIM",IF(ISNUMBER(SEARCH("dali",_xlpm.t)),"DALI",IF(OR(ISNUMBER(SEARCH("relay",_xlpm.t)),ISNUMBER(SEARCH("реле",_xlpm.t))),"Relay",IF(ISNUMBER(SEARCH("кнопк",_xlpm.t)),"",IFERROR(_xlfn.XLOOKUP(AX275,Коды_код,Коды_упр)&amp;"","")))))))</f>
        <v/>
      </c>
      <c r="CT275" t="str">
        <f t="shared" si="521"/>
        <v/>
      </c>
      <c r="CU275">
        <f>IF(B275="","",_xlfn.LET(_xlpm.ig,N(P275)+IF(AF275="вручную",0,N(CB275)),_xlpm.n0,IFERROR(VLOOKUP(_xlpm.ig,Автомат_номиналы,2,TRUE),0),_xlpm.mn,MAX(CL275,IF(AF275="вручную",0,N(CE275))),MAX(_xlpm.n0,_xlpm.mn,IF(CR275=1,Мин_автомат_БП,0))))</f>
        <v>16</v>
      </c>
      <c r="CV275">
        <f t="shared" si="522"/>
        <v>1</v>
      </c>
      <c r="CW275" t="str">
        <f t="shared" si="523"/>
        <v>2P</v>
      </c>
      <c r="CX275" t="str">
        <f>_xlfn.LET(_xlpm.cc,UPPER(TRIM(IFERROR(_xlfn.XLOOKUP(AX275,Коды_код,Коды_хар)&amp;"",""))),IF(OR(_xlpm.cc="B",_xlpm.cc="В"),"B",IF(_xlpm.cc="D","D","С")))</f>
        <v>С</v>
      </c>
      <c r="CY275" t="str">
        <f t="shared" si="524"/>
        <v>2P С16А 30мА</v>
      </c>
      <c r="CZ275" t="str">
        <f t="shared" si="525"/>
        <v>2P С16А 30мА</v>
      </c>
      <c r="DA275" t="str">
        <f t="shared" si="526"/>
        <v>2P С16А 30мА</v>
      </c>
      <c r="DB275" cm="1">
        <f t="array" ref="DB275">IF(DA275="","",_xlfn.LET(_xlpm.t,SUBSTITUTE(SUBSTITUTE(SUBSTITUTE(UPPER(DA275),"С","C"),"А","A"),"В","B"),_xlpm.tk,_xlfn.TEXTSPLIT(_xlpm.t,"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5" t="str">
        <f t="shared" si="527"/>
        <v>ok</v>
      </c>
      <c r="DD275">
        <f t="shared" si="528"/>
        <v>16</v>
      </c>
      <c r="DE275" t="str">
        <f t="shared" si="529"/>
        <v>2P С16А 30мА</v>
      </c>
      <c r="DF275">
        <f t="shared" si="530"/>
        <v>30</v>
      </c>
      <c r="DG275">
        <f t="shared" si="531"/>
        <v>1</v>
      </c>
      <c r="DH275">
        <f t="shared" si="532"/>
        <v>0</v>
      </c>
      <c r="DI275">
        <f t="shared" si="533"/>
        <v>0.8204451193747313</v>
      </c>
      <c r="DJ275">
        <f t="shared" si="534"/>
        <v>1</v>
      </c>
      <c r="DK275">
        <f>IF(ISNUMBER(AL275),AL275,К_прокл)</f>
        <v>1</v>
      </c>
      <c r="DL275">
        <f t="shared" si="535"/>
        <v>2</v>
      </c>
      <c r="DM275">
        <f>IFERROR(N(VLOOKUP(BT275,Кабель_обозначение,3,FALSE)),1)</f>
        <v>1</v>
      </c>
      <c r="DN275">
        <f>IFERROR(N(_xlfn.XLOOKUP(A275,Щиты[Щит],Щиты[ΔU до шин, %])),0)</f>
        <v>1.19</v>
      </c>
      <c r="DO275" t="str">
        <f>IFERROR(_xlfn.XLOOKUP(A275,Щиты[Щит],Щиты[Zпетли на шинах, Ом]),"")</f>
        <v/>
      </c>
      <c r="DP275">
        <f>IFERROR(N(_xlfn.XLOOKUP(A275,Щиты[Щит],Щиты[ΔU до шин (подбор), %])),0)</f>
        <v>1.19</v>
      </c>
      <c r="DQ275" t="str">
        <f>IFERROR(_xlfn.XLOOKUP(A275,Щиты[Щит],Щиты[Zпетли на шинах (подбор), Ом]),"")</f>
        <v/>
      </c>
      <c r="DR275" t="str">
        <f t="shared" si="536"/>
        <v/>
      </c>
      <c r="DS275">
        <f t="shared" si="537"/>
        <v>54</v>
      </c>
      <c r="DT275">
        <f t="shared" si="538"/>
        <v>2</v>
      </c>
      <c r="DU275">
        <f t="shared" si="539"/>
        <v>0.31</v>
      </c>
      <c r="DV275" s="6">
        <f>IF(B275="","",IF(IFERROR(VLOOKUP(AX275,УГО_спр,2,FALSE),"")="Светильник",3,4)+IF(Методика="нормы 2026",MIN(0.5,MAX(0,N(Q275)-100)*0.005),0))</f>
        <v>4</v>
      </c>
      <c r="DW275" cm="1">
        <f t="array" ref="DW275">IF(OR(B275="",BT275="",DM275&lt;&gt;1),"",_xlfn.LET(_xlpm.sz,Iдоп_S,_xlpm.t_,CHOOSE(DL275,Iдоп_1ж,Iдоп_2ж,Iдоп_3ж)*DJ275*DK275,_xlpm.inn,N(DD275),_xlpm.smin,MAX(1.5,BW275),_xlpm.L_,N(Q275)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275)*(_xlpm.rho*_xlpm.L_/_xlpm.sz*N(BY275)+_xlpm.xx*_xlpm.L_*N(DU275)/1000)*N(P275)/((Uн_лин/SQRT(3))*1000)*100,999),_xlpm.kz,IF(OR(DG275=1,NOT(ISNUMBER(DQ275)),_xlpm.L_=0,_xlpm.inn=0),1,IFERROR(--(c_min*(Uн_лин*1000/SQRT(3))/(DQ275+2*ρкз_Cu*_xlpm.L_/_xlpm.sz)&gt;=GY275*_xlpm.inn),0)),_xlpm.ok,IFERROR((_xlpm.sz&gt;=_xlpm.smin)*(_xlpm.t_&gt;=_xlpm.inn)*IF(_xlpm.L_&gt;0,(_xlpm.du_+DP275&lt;=DV275+0.00001),1)*_xlpm.kz,0),_xlpm.r_,_xlfn._xlws.FILTER(_xlpm.sz,_xlpm.ok,"не подобрано"),INDEX(_xlpm.r_,1)))</f>
        <v>1.5</v>
      </c>
      <c r="DX275">
        <f t="shared" si="540"/>
        <v>2.5</v>
      </c>
      <c r="DY275" cm="1">
        <f t="array" ref="DY275">IF(OR(B275="",BT275="",DM275&lt;&gt;1),"",_xlfn.LET(_xlpm.sz,Iдоп_S,_xlpm.t_,CHOOSE(DL275,Iдоп_1ж,Iдоп_2ж,Iдоп_3ж)*DJ275*DK275,_xlpm.ok,IFERROR((_xlpm.sz&gt;=MAX(1.5,BW275))*(_xlpm.t_&gt;=N(DD275)),0),_xlpm.r_,_xlfn._xlws.FILTER(_xlpm.sz,_xlpm.ok,""),INDEX(_xlpm.r_,1)))</f>
        <v>1.5</v>
      </c>
      <c r="DZ275" s="6" cm="1">
        <f t="array" ref="DZ275">IFERROR(ROUNDUP(N(DT275)*(_xlfn.XLOOKUP(DY275,INDEX(Кабель_сопротивление,0,1),INDEX(Кабель_сопротивление,0,3))*N(Q275)/DY275*N(BY275)+_xlfn.XLOOKUP(DY275,INDEX(Кабель_сопротивление,0,1),INDEX(Кабель_сопротивление,0,2))*N(Q275)*N(DU275)/1000)*N(P275)/((Uн_лин/SQRT(3))*1000)*100,2),"")</f>
        <v>0.64</v>
      </c>
      <c r="EA275">
        <f>IFERROR(2*ρкз_Cu*N(Q275)/DY275,"")</f>
        <v>2.2092000000000001</v>
      </c>
      <c r="EB275">
        <f>IFERROR(VLOOKUP(DX275,Кабель_сопротивление,3,FALSE),"")</f>
        <v>2.2499999999999999E-2</v>
      </c>
      <c r="EC275">
        <f>IFERROR(VLOOKUP(DX275,Кабель_сопротивление,2,FALSE),"")</f>
        <v>0.1</v>
      </c>
      <c r="ED275">
        <f t="shared" si="541"/>
        <v>29</v>
      </c>
      <c r="EE275">
        <f t="shared" si="542"/>
        <v>14</v>
      </c>
      <c r="EF275">
        <f t="shared" si="543"/>
        <v>0.88707018573867569</v>
      </c>
      <c r="EG275" s="6">
        <f>IFERROR(ROUNDUP(EF275/((Uн_лин/SQRT(3))*1000)*100,2),"")</f>
        <v>0.39</v>
      </c>
      <c r="EH275" t="str">
        <f>IFERROR(VLOOKUP(BT275,Кабель_обозначение,2,FALSE),"")</f>
        <v>ВВГнг(А)-LS</v>
      </c>
      <c r="EI275" t="str">
        <f t="shared" si="544"/>
        <v>ВВГнг(А)-LS (3х2,5)</v>
      </c>
      <c r="EJ275" t="str">
        <f t="shared" si="545"/>
        <v>ВВГнг(А)-LS (3х2,5)
L=63-0,39%</v>
      </c>
      <c r="EK275">
        <f>IFERROR(2*ρкз_Cu*Q275/DX275,"")</f>
        <v>1.32552</v>
      </c>
      <c r="EL275">
        <f t="shared" si="546"/>
        <v>0.441</v>
      </c>
      <c r="EM275" s="6" t="str">
        <f>IFERROR(IF(OR(B275="",NOT(ISNUMBER(DX275)),N(Q275)=0),"",_xlfn.XLOOKUP(A275,Щиты[Щит],Щиты[Zпетли на шинах, Ом])+EK275),"")</f>
        <v/>
      </c>
      <c r="EN275" s="6" t="str">
        <f>IF(ISNUMBER(EM275),c_min*(Uн_лин*1000/SQRT(3))/EM275,"")</f>
        <v/>
      </c>
      <c r="EO275" s="6" t="str">
        <f>IFERROR(IF(OR(B275="",NOT(ISNUMBER(DX275))),"",1.05*(Uн_лин*1000/SQRT(3))/(_xlfn.XLOOKUP(A275,Щиты[Щит],Щиты[Zmax на шинах, Ом])+EL275)/1000),"")</f>
        <v/>
      </c>
      <c r="EP275" s="6" t="str">
        <f>IF(B275="","",IF(ISNUMBER(Y275),"Сил",IF(IFERROR(_xlfn.XLOOKUP(AX275,Коды_код,Коды_группа)&amp;"","")="","Быт",_xlfn.XLOOKUP(AX275,Коды_код,Коды_группа)&amp;"")))</f>
        <v>Быт</v>
      </c>
      <c r="EQ275" s="6" t="str">
        <f t="shared" si="547"/>
        <v>Быт</v>
      </c>
      <c r="ER275" s="6">
        <f>IF(EQ275="Щит","щит",IF(EQ275="","",IF(EQ275="Быт",IFERROR(_xlfn.XLOOKUP(A275,Щиты[Щит],Щиты[Кс быт]),1),IF(EQ275="Сил",IF(ISNUMBER(Y275),Y275,IF(Методика="нормы 2026",IFERROR(_xlfn.XLOOKUP(A275,Щиты[Щит],Щиты[Кс силовых (табл. 7.5)]),1),1)),IF(OR(EQ275="Пост",EQ275="Отоп"),1,IF(EQ275="ВНГ",0.7,0))))))</f>
        <v>0.57830000000000004</v>
      </c>
      <c r="ES275">
        <f t="shared" si="548"/>
        <v>1</v>
      </c>
      <c r="ET275">
        <f t="shared" si="549"/>
        <v>0.18</v>
      </c>
      <c r="EU275">
        <f t="shared" si="550"/>
        <v>0.18</v>
      </c>
      <c r="EV275">
        <f t="shared" si="551"/>
        <v>0</v>
      </c>
      <c r="EW275">
        <f t="shared" si="552"/>
        <v>0</v>
      </c>
      <c r="EX275">
        <f t="shared" si="553"/>
        <v>0</v>
      </c>
      <c r="EY275">
        <f t="shared" si="554"/>
        <v>0</v>
      </c>
      <c r="EZ275">
        <f t="shared" si="555"/>
        <v>0.18</v>
      </c>
      <c r="FA275">
        <f t="shared" si="556"/>
        <v>0.17099999999999999</v>
      </c>
      <c r="FB275">
        <f t="shared" si="557"/>
        <v>0.18</v>
      </c>
      <c r="FC275" t="str">
        <f t="shared" si="558"/>
        <v/>
      </c>
      <c r="FD275" t="str">
        <f>IF(B275="","",IF(CA275=0,IF(AW275=1,"",FF274),IF(OR(N(CV275)&gt;=3,N(BR275)&gt;=3),"L1,L2,L3",IFERROR(_xlfn.TEXTBEFORE(_xlfn.TEXTAFTER(_xlfn.XLOOKUP(A275,Щиты[Щит],Щиты[_фазы авто]),";"&amp;AW275&amp;":"),";"),"L1"))))</f>
        <v>L2</v>
      </c>
      <c r="FE275" t="str">
        <f t="shared" si="559"/>
        <v>L2</v>
      </c>
      <c r="FF275" t="str">
        <f t="shared" si="560"/>
        <v>L2</v>
      </c>
      <c r="FG275" cm="1">
        <f t="array" ref="FG275">IFERROR(IF(BX275=2,_xlfn.IFS(BR275=3,VLOOKUP(BN275,Справочная_двигатели,3,FALSE),BR275=1,VLOOKUP(BN275,Справочная_двигатели,5,TRUE)),0),0)</f>
        <v>0</v>
      </c>
      <c r="FH275">
        <f>IFERROR(IF(BX275=3,VLOOKUP(BN275,Справочная_ЛЭД,2,TRUE),0),0)</f>
        <v>0</v>
      </c>
      <c r="FI275" s="6">
        <f t="shared" si="561"/>
        <v>0</v>
      </c>
      <c r="FJ275" t="str" cm="1">
        <f t="array" ref="FJ275">IF(B275="","",IFERROR(INDEX({"I особая","I","II","III"},MATCH(TRIM(AC275&amp;""),{"I особая","I","II","III"},0)),"III"))</f>
        <v>II</v>
      </c>
      <c r="FK275" t="str">
        <f>IF(B275="","",IF(TRIM(AD275&amp;"")&lt;&gt;"",IF(LOWER(TRIM(AD275&amp;""))="да","да","нет"),IF(IFERROR(_xlfn.XLOOKUP(AX275,Коды_код,Коды_пожарная),"")="да","да","нет")))</f>
        <v>нет</v>
      </c>
      <c r="FL275" t="str">
        <f t="shared" si="562"/>
        <v/>
      </c>
      <c r="FM275" t="str">
        <f t="shared" si="563"/>
        <v>основная</v>
      </c>
      <c r="FN275">
        <f t="shared" si="564"/>
        <v>1</v>
      </c>
      <c r="FO275" t="str" cm="1">
        <f t="array" ref="FO275">IF(B275="","",_xlfn.LET(_xlpm.t,IFERROR(_xlfn.XLOOKUP(1,(Шины[Шина]=FM275)*(((Шины[Щит]=A275)+(Шины[Щит]=""))&gt;0),Шины[Тип]),"")&amp;"",IF(_xlpm.t&lt;&gt;"",_xlpm.t,IF(ISNUMBER(SEARCH("ИБП",FM275)),"ИБП",IF(ISNUMBER(SEARCH("ДГУ",FM275)),"ДГУ","Ввод "&amp;FN275)))))</f>
        <v>Ввод 1</v>
      </c>
      <c r="FP275" t="str">
        <f t="shared" si="565"/>
        <v>Ввод 1</v>
      </c>
      <c r="FQ275" t="str">
        <f>IF(B275="","",IF(OR(FO275="ИБП",FO275="ДГУ"),"I особая",IF(FO275="Одиночная","III",_xlfn.XLOOKUP(A275,Щиты[Щит],Щиты[Категория шины «Ввод»],"III"))))</f>
        <v>II</v>
      </c>
      <c r="FR275">
        <f>IF(B275="",0,IFERROR(MATCH(FJ275,{"III","II","I","I особая"},0),1))</f>
        <v>2</v>
      </c>
      <c r="FS275">
        <f t="shared" si="566"/>
        <v>2</v>
      </c>
      <c r="FT275" t="str">
        <f>IF(B275="","",IF(FR275&gt;IFERROR(MATCH(FQ275,{"III","II","I","I особая"},0),1),"НЕ ОБЕСПЕЧЕНА","ОК"))</f>
        <v>ОК</v>
      </c>
      <c r="FU275" t="str">
        <f>IF(A275="","",_xlfn.XLOOKUP(A275,Щиты[Щит],Щиты[Путь],""))</f>
        <v>|ГРЩ-ЖД|ЩР-1|</v>
      </c>
      <c r="FV275" t="str">
        <f>IF(B275="","",IF(AE275&lt;&gt;"",AE275,IF(IFERROR(_xlfn.XLOOKUP(AX275,Коды_код,Коды_вид)&amp;"","")="","Прочее",_xlfn.XLOOKUP(AX275,Коды_код,Коды_вид)&amp;"")))</f>
        <v>Розеточная сеть и бытовые приборы</v>
      </c>
      <c r="FW275">
        <f>IF(BH275="","",INT((BH275-1)/Столбцов_на_лист)+1)</f>
        <v>5</v>
      </c>
      <c r="FX275" t="str">
        <f t="shared" si="567"/>
        <v>ВВГнг(А)-LS (3х2,5) L=63-0,39%</v>
      </c>
      <c r="FY275">
        <f t="shared" si="568"/>
        <v>0.18</v>
      </c>
      <c r="FZ275">
        <f t="shared" si="569"/>
        <v>0.83</v>
      </c>
      <c r="GA275">
        <f t="shared" si="570"/>
        <v>1</v>
      </c>
      <c r="GB275">
        <f t="shared" si="571"/>
        <v>0</v>
      </c>
      <c r="GC275">
        <f t="shared" si="572"/>
        <v>1</v>
      </c>
      <c r="GD275">
        <f>IF(BH275="","",IF(AND(CA275=1,GC275=1),COUNTIFS(A$3:A275,A275,CA$3:CA275,1,GC$3:GC275,1),IF(OR(OR(AW275=1,A275&lt;&gt;A274),AF275="вручную",GC275=0),"",IF(AW275=1,"",GE274))))</f>
        <v>51</v>
      </c>
      <c r="GE275">
        <f t="shared" si="573"/>
        <v>51</v>
      </c>
      <c r="GF275">
        <f>IF(B275="","",IFERROR(LOOKUP(INDEX(CHOOSE(DL275,Iдоп_1ж,Iдоп_2ж,Iдоп_3ж),MATCH(DX275,Iдоп_S,0))*DJ275*DK275,{6,10,16,20,25,32,40,50,63,80,100,125,160,200,250,315,400,500,630}),""))</f>
        <v>25</v>
      </c>
      <c r="GG275" t="str">
        <f t="shared" si="574"/>
        <v>QFD51</v>
      </c>
      <c r="GH275" t="str">
        <f t="shared" si="575"/>
        <v>QFD51</v>
      </c>
      <c r="GI275" t="str">
        <f t="shared" si="576"/>
        <v/>
      </c>
      <c r="GJ275">
        <f t="shared" si="577"/>
        <v>0</v>
      </c>
      <c r="GK275" t="str">
        <f>IF(OR(AG275="",AG275="-"),"",IFERROR(VLOOKUP(AG275,Модули_спр,2,FALSE),"R"))</f>
        <v/>
      </c>
      <c r="GL275" t="str">
        <f>IF(GK275="","",GK275&amp;"."&amp;COUNTIFS(A$3:A275,A275,GK$3:GK275,GK275))</f>
        <v/>
      </c>
      <c r="GM275" t="str">
        <f t="shared" si="578"/>
        <v/>
      </c>
      <c r="GN275" t="str">
        <f t="shared" si="579"/>
        <v/>
      </c>
      <c r="GO275" t="str">
        <f t="shared" si="580"/>
        <v/>
      </c>
      <c r="GP275" t="str">
        <f t="shared" si="581"/>
        <v/>
      </c>
      <c r="GQ275">
        <f t="shared" si="582"/>
        <v>1</v>
      </c>
      <c r="GR275" t="str">
        <f>IF(GQ275=1,"XT"&amp;COUNTIFS(A$3:A275,A275,GQ$3:GQ275,1),"")</f>
        <v>XT51</v>
      </c>
      <c r="GS275" t="str">
        <f t="shared" si="583"/>
        <v>XT51</v>
      </c>
      <c r="GT275" t="str">
        <f t="shared" si="584"/>
        <v>QFD51</v>
      </c>
      <c r="GU275" t="str">
        <f t="shared" si="585"/>
        <v/>
      </c>
      <c r="GV275" t="str">
        <f t="shared" si="586"/>
        <v>ok</v>
      </c>
      <c r="GW275" t="str">
        <f>IF(OR(GO275="",GM275=""),"",IF(GO275&gt;IFERROR(VLOOKUP(GN275,Модули_спр,3,FALSE),99),"ЛИШНИЙ КАНАЛ",IF(AND(AH275&lt;&gt;"=",COUNTIFS(Линии[_модуль гр.],GM275,Линии[Канал (итог)],GO275,Линии[Канал],"&lt;&gt;=",Линии[Щит],A275)&gt;1),"ДУБЛЬ КАНАЛА","")))</f>
        <v/>
      </c>
      <c r="GX275" s="6" t="str">
        <f t="shared" si="587"/>
        <v/>
      </c>
      <c r="GY275">
        <f t="shared" si="588"/>
        <v>10</v>
      </c>
      <c r="GZ275" t="str">
        <f t="shared" si="589"/>
        <v/>
      </c>
      <c r="HA275" t="str">
        <f>IF(AND(B275="",GT275=""),"",_xlfn.TEXTJOIN("; ",TRUE,IF(AND(B275&lt;&gt;"",FE275=""),"нет фазы",""),IF(AND(B275&lt;&gt;"",N(FY275)=0,EQ275&lt;&gt;"Нет"),"нет мощности",""),IF(AND(GS275&lt;&gt;"",COUNTIFS(Линии[Щит],A275,Линии[Клемма (итог)],GS275)&gt;1),"дубль клеммы "&amp;GS275,""),IF(AND(GV275&lt;&gt;"",GV275&lt;&gt;"ok"),GV275,""),IF(GW275&lt;&gt;"",GW275,""),IF(AND(N(BV275)&gt;=4,N(BR275)=1),BV275&amp;" жил на 1 фазе",""),IF(AND(AX275="R",CA275=1,OR(N(CK275)=0,N(CK275)&gt;30)),"розетка без дифзащиты до 30 мА",""),IFERROR(IF(AND(ISNUMBER(R275),R275&gt;DV275),"потери "&amp;FIXED(R275,1)&amp;" % &gt; "&amp;DV275&amp;" %",""),""),IFERROR(IF(LEFT(GZ275,4)="мало","Iкз мало — отключение &gt; 0,4 с",""),""),IF(AND(B275&lt;&gt;"",BH275=""),"не на схеме",""),IF(AND(CA275=0,B275&lt;&gt;"",FE275&lt;&gt;"",IF(AW275=1,"",FF274)&lt;&gt;"",FE275&lt;&gt;IF(AW275=1,"",FF274)),"фаза не как у автомата группы ("&amp;IF(AW275=1,"",FF274)&amp;")","")))</f>
        <v/>
      </c>
      <c r="HB275" s="6">
        <f>IF(OR(CA275=0,DA275=""),"",_xlfn.LET(_xlpm.t,IFERROR(_xlfn.XLOOKUP(DA275,Каталог!$U$4:$U$500,Каталог!$G$4:$G$500),""),_xlpm.k,SEARCH("кА",_xlpm.t),IFERROR(--TRIM(RIGHT(SUBSTITUTE(MID(_xlpm.t,MAX(1,_xlpm.k-4),_xlpm.k-MAX(1,_xlpm.k-4))," ",REPT(" ",9)),5)),"")))</f>
        <v>6</v>
      </c>
      <c r="HC275" t="str">
        <f>IF(OR(HB275="",CA275=0),"",IF(_xlfn.XLOOKUP(A275,Щиты[Щит],Щиты[Iкз max на шинах, кА],"")="","",IF(HB275&lt;_xlfn.XLOOKUP(A275,Щиты[Щит],Щиты[Iкз max на шинах, кА]),"Icu "&amp;HB275&amp;" кА &lt; Iкз max","ok")))</f>
        <v/>
      </c>
      <c r="HD275" t="str">
        <f t="shared" si="590"/>
        <v/>
      </c>
      <c r="HE275" t="str">
        <f t="shared" si="591"/>
        <v>QFD51|XT51</v>
      </c>
      <c r="HF275" t="str">
        <f t="shared" si="592"/>
        <v>QFD51|XT51|кабель ВВГнг(А)-LS (3х2,5) → Розеточная группа, пом. 021A</v>
      </c>
      <c r="HG275" t="str" cm="1">
        <f t="array" ref="HG275">IF(HF275="","",_xlfn.LET(_xlpm.nd,_xlfn.TEXTSPLIT(HF275,"|"),IF(COLUMNS(_xlpm.nd)&gt;1,A275&amp;"¦"&amp;INDEX(_xlpm.nd,1)&amp;"¦"&amp;INDEX(_xlpm.nd,2),"")))</f>
        <v>ЩР-1¦QFD51¦XT51</v>
      </c>
      <c r="HH275" t="str">
        <f t="shared" si="593"/>
        <v>R.1.021A.8¦Розеточная группа, пом. 021A</v>
      </c>
      <c r="HI275" t="str" cm="1">
        <f t="array" ref="HI275">IF(HF275="","",_xlfn.LET(_xlpm.nd,_xlfn.TEXTSPLIT(HF275,"|"),IF(COLUMNS(_xlpm.nd)&gt;2,A275&amp;"¦"&amp;INDEX(_xlpm.nd,2)&amp;"¦"&amp;INDEX(_xlpm.nd,3),"")))</f>
        <v>ЩР-1¦XT51¦кабель ВВГнг(А)-LS (3х2,5) → Розеточная группа, пом. 021A</v>
      </c>
      <c r="HJ275" t="str">
        <f t="shared" si="594"/>
        <v>R.1.021A.8¦Розеточная группа, пом. 021A</v>
      </c>
      <c r="HK275" t="str" cm="1">
        <f t="array" ref="HK275">IF(HF275="","",_xlfn.LET(_xlpm.nd,_xlfn.TEXTSPLIT(HF275,"|"),IF(COLUMNS(_xlpm.nd)&gt;3,A275&amp;"¦"&amp;INDEX(_xlpm.nd,3)&amp;"¦"&amp;INDEX(_xlpm.nd,4),"")))</f>
        <v/>
      </c>
      <c r="HL275" t="str">
        <f t="shared" si="595"/>
        <v/>
      </c>
      <c r="HM275" t="str" cm="1">
        <f t="array" ref="HM275">IF(HF275="","",_xlfn.LET(_xlpm.nd,_xlfn.TEXTSPLIT(HF275,"|"),IF(COLUMNS(_xlpm.nd)&gt;4,A275&amp;"¦"&amp;INDEX(_xlpm.nd,4)&amp;"¦"&amp;INDEX(_xlpm.nd,5),"")))</f>
        <v/>
      </c>
      <c r="HN275" t="str">
        <f t="shared" si="596"/>
        <v/>
      </c>
      <c r="HO275" t="str" cm="1">
        <f t="array" ref="HO275">IF(HF275="","",_xlfn.LET(_xlpm.nd,_xlfn.TEXTSPLIT(HF275,"|"),IF(COLUMNS(_xlpm.nd)&gt;5,A275&amp;"¦"&amp;INDEX(_xlpm.nd,5)&amp;"¦"&amp;INDEX(_xlpm.nd,6),"")))</f>
        <v/>
      </c>
      <c r="HP275" t="str">
        <f t="shared" si="597"/>
        <v/>
      </c>
      <c r="HQ275" t="str" cm="1">
        <f t="array" ref="HQ275">IF(HF275="","",_xlfn.LET(_xlpm.nd,_xlfn.TEXTSPLIT(HF275,"|"),IF(COLUMNS(_xlpm.nd)&gt;6,A275&amp;"¦"&amp;INDEX(_xlpm.nd,6)&amp;"¦"&amp;INDEX(_xlpm.nd,7),"")))</f>
        <v/>
      </c>
      <c r="HR275" t="str">
        <f t="shared" si="598"/>
        <v/>
      </c>
      <c r="HS275" t="str">
        <f t="shared" si="599"/>
        <v/>
      </c>
      <c r="HT275" t="str">
        <f t="shared" si="600"/>
        <v>QFD51 → XT51</v>
      </c>
      <c r="HU275">
        <f t="shared" si="601"/>
        <v>0</v>
      </c>
      <c r="HV275">
        <f t="shared" si="602"/>
        <v>1</v>
      </c>
      <c r="HW275" t="str">
        <f t="shared" si="603"/>
        <v/>
      </c>
      <c r="HX275" t="str">
        <f t="shared" si="604"/>
        <v/>
      </c>
      <c r="HY275" t="str">
        <f t="shared" si="605"/>
        <v/>
      </c>
      <c r="HZ275" t="str">
        <f t="shared" si="606"/>
        <v/>
      </c>
      <c r="IA275" t="str">
        <f>IF(B275="","",IFERROR(VLOOKUP(B275,УГО_спр,2,FALSE),IFERROR(VLOOKUP(AX275,УГО_спр,2,FALSE),IFERROR(VLOOKUP(LEFT(AX275,2),УГО_спр,2,FALSE),""))))</f>
        <v>Розетка</v>
      </c>
      <c r="IB275" t="str">
        <f>IF(B275="","",IF(OR(IA275="",IA275=0),"BOX",IFERROR(IF(VLOOKUP(IA275,УГО_блоки,3,FALSE)&amp;""&lt;&gt;"",VLOOKUP(IA275,УГО_блоки,3,FALSE),VLOOKUP(IA275,УГО_блоки,2,FALSE)),IA275)))</f>
        <v>SOCKET</v>
      </c>
      <c r="IC275">
        <f t="shared" si="607"/>
        <v>1</v>
      </c>
      <c r="ID275" t="str">
        <f>IF(DA275="","",IF(COUNTIF(DA$3:DA275,DA275)=1,MAX(ID$2:ID274)+1,""))</f>
        <v/>
      </c>
      <c r="IE275" t="str">
        <f>IF(CO275="","",IF(COUNTIF(CO$3:CO275,CO275)+COUNTIF(CP$2:CP274,CO275)+COUNTIF(CQ$2:CQ274,CO275)=1,MAX(IE$2:IG274)+1,""))</f>
        <v/>
      </c>
      <c r="IF275" t="str">
        <f>IF(CP275="","",IF(COUNTIF(CO$3:CO275,CP275)+COUNTIF(CP$3:CP275,CP275)+COUNTIF(CQ$2:CQ274,CP275)=1,MAX(IE$2:IG274,IE275)+1,""))</f>
        <v/>
      </c>
      <c r="IG275" t="str">
        <f>IF(CQ275="","",IF(COUNTIF(CO$3:CO275,CQ275)+COUNTIF(CP$3:CP275,CQ275)+COUNTIF(CQ$3:CQ275,CQ275)=1,MAX(IE$2:IG274,IE275,IF275)+1,""))</f>
        <v/>
      </c>
      <c r="IH275" t="str">
        <f t="shared" si="608"/>
        <v>3х2,5</v>
      </c>
      <c r="II275" t="str">
        <f>IF(IH275="","",IF(COUNTIF(IH$3:IH275,IH275)=1,MAX(II$2:II274)+1,""))</f>
        <v/>
      </c>
      <c r="IJ275" t="str">
        <f>IF(GL275="","",COUNTIF(GL$3:GL275,"?*"))</f>
        <v/>
      </c>
      <c r="IK275" t="str">
        <f>IF(OR(GL275="",GN275=""),"",IF(COUNTIFS(GL$3:GL275,"?*",GN$3:GN275,GN275)=1,MAX(IK$2:IK274)+1,""))</f>
        <v/>
      </c>
      <c r="IL275">
        <f t="shared" si="609"/>
        <v>0</v>
      </c>
      <c r="IM275">
        <f>IF(B275="","",COUNTIF(B$3:B275,"?*"))</f>
        <v>273</v>
      </c>
      <c r="IN275">
        <f>IF(GQ275&lt;&gt;1,0,_xlfn.LET(_xlpm.k,MAX(IFERROR(--VLOOKUP(B275,УГО_спр,5,FALSE),0),IFERROR(--VLOOKUP(AX275,УГО_спр,5,FALSE),0),IFERROR(--VLOOKUP(LEFT(AX275,2),УГО_спр,5,FALSE),0)),IF(_xlpm.k&gt;0,_xlpm.k,IF(IFERROR(--LEFT(SUBSTITUTE(IH275,"x","х"),FIND("х",SUBSTITUTE(IH275,"x","х"))-1),3)&gt;3,Каталог!$S$9,1))))</f>
        <v>1</v>
      </c>
      <c r="IO275">
        <f t="shared" si="610"/>
        <v>0</v>
      </c>
      <c r="IP275" t="str">
        <f t="shared" si="611"/>
        <v>авто</v>
      </c>
      <c r="IQ275">
        <f t="shared" si="612"/>
        <v>30</v>
      </c>
      <c r="IR275">
        <f t="shared" si="613"/>
        <v>1</v>
      </c>
      <c r="IS275">
        <f t="shared" si="614"/>
        <v>1</v>
      </c>
    </row>
    <row r="276" spans="1:253" x14ac:dyDescent="0.3">
      <c r="A276" t="s">
        <v>759</v>
      </c>
      <c r="B276" t="s">
        <v>1541</v>
      </c>
      <c r="C276" t="s">
        <v>1679</v>
      </c>
      <c r="D276">
        <v>1</v>
      </c>
      <c r="E276">
        <v>0.7</v>
      </c>
      <c r="G276" t="str">
        <f>Линии[[#This Row],[_авто автомат]]</f>
        <v>2P С16А 30мА</v>
      </c>
      <c r="H276">
        <f>Линии[[#This Row],[_авто утечка]]</f>
        <v>30</v>
      </c>
      <c r="I276" t="str">
        <f>Линии[[#This Row],[_авто управление]]</f>
        <v/>
      </c>
      <c r="J276" t="str">
        <f>Линии[[#This Row],[_авто аппараты]]</f>
        <v/>
      </c>
      <c r="K276">
        <v>2.5</v>
      </c>
      <c r="L276">
        <v>37</v>
      </c>
      <c r="M276" t="str">
        <f>Линии[[#This Row],[_авто фаза]]</f>
        <v>L1</v>
      </c>
      <c r="N276" t="str">
        <f>Линии[[#This Row],[_авто клемма]]</f>
        <v>XT52</v>
      </c>
      <c r="O276" t="str">
        <f t="shared" si="492"/>
        <v/>
      </c>
      <c r="P276" s="6" cm="1">
        <f t="array" ref="P276">IF(B276="","",IF(BC276&lt;&gt;"",IFERROR(_xlfn.XLOOKUP(BC276,Щиты[Щит],Щиты[Iр, А]),""),IF(BK276=1,IFERROR(_xlfn.XLOOKUP(A276,Щиты[Щит],Щиты[Iр, А]),""),IFERROR(_xlfn.IFS(BR276=1,BN276/((Uн_лин/SQRT(3))*BY276),BR276=3,BN276/(SQRT(3)*Uн_лин*BY276)),""))))</f>
        <v>3.1906199086795106</v>
      </c>
      <c r="Q276" s="7">
        <f>IF(B276="","",IFERROR(IF(VLOOKUP(AX276,Потребители_обозначение,4,FALSE)=1,VLOOKUP(AX276,Потребители_обозначение,3,FALSE)*(D276*2-1)+DS276+VLOOKUP(AZ276,Этаж_обозначение,3,FALSE)+VLOOKUP(AZ276,Этаж_обозначение,4,FALSE),VLOOKUP(AX276,Потребители_обозначение,3,FALSE)*(D276*2-1)+DS276),DS276))</f>
        <v>40</v>
      </c>
      <c r="R276" s="6">
        <f t="shared" si="493"/>
        <v>2.1399999999999997</v>
      </c>
      <c r="S276" t="str">
        <f t="shared" si="494"/>
        <v>ВВГнг(А)-LS (3х2,5)</v>
      </c>
      <c r="T276" t="str">
        <f>IF(BH276="","",IF(BI276="вводной узел","узел ","")&amp;"л."&amp;(INT((BH276-1)/Столбцов_на_лист)+1)&amp;" / "&amp;(MOD(BH276-1,Столбцов_на_лист)+1))</f>
        <v>л.5 / 7</v>
      </c>
      <c r="V276">
        <v>1</v>
      </c>
      <c r="W276">
        <v>230</v>
      </c>
      <c r="X276" t="s">
        <v>564</v>
      </c>
      <c r="AC276" t="s">
        <v>815</v>
      </c>
      <c r="AE276" t="s">
        <v>563</v>
      </c>
      <c r="AI276">
        <v>75</v>
      </c>
      <c r="AJ276" t="s">
        <v>11</v>
      </c>
      <c r="AK276">
        <v>3</v>
      </c>
      <c r="AM276">
        <v>20</v>
      </c>
      <c r="AN276">
        <v>20</v>
      </c>
      <c r="AO276">
        <v>0</v>
      </c>
      <c r="AW276" cm="1">
        <f t="array" ref="AW276">ROW()-ROW(Линии[#Headers])</f>
        <v>274</v>
      </c>
      <c r="AX276" s="6" t="str">
        <f t="shared" si="495"/>
        <v>R</v>
      </c>
      <c r="AY276" t="str">
        <f t="shared" si="496"/>
        <v>1.021A.9</v>
      </c>
      <c r="AZ276" t="str">
        <f t="shared" si="497"/>
        <v>1</v>
      </c>
      <c r="BA276" t="str">
        <f t="shared" si="498"/>
        <v>021A.9</v>
      </c>
      <c r="BB276" t="str">
        <f t="shared" si="499"/>
        <v>021A</v>
      </c>
      <c r="BC276" t="str">
        <f>IF(U276&lt;&gt;"",U276,IF(AND(B276&lt;&gt;"",B276&lt;&gt;A276,ISNUMBER(_xlfn.XMATCH(B276,Щиты[Щит]))),B276,""))</f>
        <v/>
      </c>
      <c r="BD276" t="str" cm="1">
        <f t="array" ref="BD276">IF(B276="","",IF(BC276&lt;&gt;"","Щит "&amp;BC276,_xlfn.LET(_xlpm.nm,IFERROR(_xlfn.XLOOKUP(AX276,Коды_код,Коды_имя)&amp;"",""),_xlpm.md,IFERROR(N(_xlfn.XLOOKUP(AX276,Коды_код,Коды_режим)),1),_xlpm.ex,IF(Имя_режим="по экспликации",IFERROR(_xlfn.XLOOKUP(AZ276&amp;"|"&amp;BB276,Экспликация[Этаж]&amp;"|"&amp;Экспликация[Помещение],Экспликация[Название])&amp;"",""),""),_xlpm.rm,IF(BB276="","",IF(_xlpm.ex&lt;&gt;"",". "&amp;_xlpm.ex&amp;IF(Имя_пом="нет"," ("&amp;BB276&amp;")"," (пом. "&amp;BB276&amp;")"),IF(Имя_пом="нет"," ",", пом. ")&amp;BB276)),IF(_xlpm.nm="","",IF(_xlpm.md=2,_xlpm.nm&amp;" шлейф "&amp;AZ276,_xlpm.nm&amp;_xlpm.rm)))))</f>
        <v>Розеточная группа, пом. 021A</v>
      </c>
      <c r="BE276" t="str">
        <f t="shared" si="500"/>
        <v>Розеточная группа Первый этаж Пом. №021A Подогреватель пищи и посуды</v>
      </c>
      <c r="BF276">
        <f>IFERROR(_xlfn.XMATCH(A276,Щиты[Щит]),0)</f>
        <v>10</v>
      </c>
      <c r="BG276">
        <f>_xlfn.LET(_xlpm.k,IFERROR(_xlfn.XLOOKUP(A276,Щиты[Щит],Щиты[Листов под вводной узел]),""),IF(_xlpm.k="",1,N(_xlpm.k))*Столбцов_на_лист)</f>
        <v>17</v>
      </c>
      <c r="BH276">
        <f t="shared" si="501"/>
        <v>75</v>
      </c>
      <c r="BI276" t="str">
        <f t="shared" si="502"/>
        <v>линии</v>
      </c>
      <c r="BJ276" s="6">
        <f>IFERROR(N(_xlfn.XLOOKUP(AX276,Коды_код,Коды_квт)),0)</f>
        <v>0</v>
      </c>
      <c r="BK276">
        <f t="shared" si="503"/>
        <v>0</v>
      </c>
      <c r="BL276" t="str">
        <f>IF(B276="","",IF(BC276&lt;&gt;"",IFERROR(_xlfn.XLOOKUP(BC276,Щиты[Щит],Щиты[Руст, кВт]),0),IF(BK276=1,IFERROR(_xlfn.XLOOKUP(A276,Щиты[Щит],Щиты[Руст, кВт]),0),IF(BJ276&gt;0,ROUND(BJ276*MAX(1,N(D276)),3),""))))</f>
        <v/>
      </c>
      <c r="BM276">
        <f t="shared" si="504"/>
        <v>0.7</v>
      </c>
      <c r="BN276" s="6">
        <f>IF(B276="","",IF(BC276&lt;&gt;"",IFERROR(_xlfn.XLOOKUP(BC276,Щиты[Щит],Щиты[Руст, кВт]),0),N(BM276)))</f>
        <v>0.7</v>
      </c>
      <c r="BO276" t="str">
        <f>IF(B276="","",IFERROR(IF(VLOOKUP(AX276,Потребители_обозначение,8,FALSE)=0,"",VLOOKUP(AX276,Потребители_обозначение,8,FALSE)),""))</f>
        <v/>
      </c>
      <c r="BP276">
        <f t="shared" si="505"/>
        <v>230</v>
      </c>
      <c r="BQ276">
        <f>IF(B276="","",IF(BC276&lt;&gt;"",3,IFERROR(IF(N(VLOOKUP(AX276,Потребители_обозначение,9,FALSE))=0,1,VLOOKUP(AX276,Потребители_обозначение,9,FALSE)),1)))</f>
        <v>1</v>
      </c>
      <c r="BR276">
        <f t="shared" si="506"/>
        <v>1</v>
      </c>
      <c r="BS276" t="str">
        <f>IF(B276="","",_xlfn.LET(_xlpm.bc,IFERROR(IF(VLOOKUP(AX276,Потребители_обозначение,6,FALSE)=0,"",VLOOKUP(AX276,Потребители_обозначение,6,FALSE)&amp;""),""),IF(AND(FK276="да",OR(_xlpm.bc="",_xlpm.bc="мс")),Марка_пож,IF(AND(_xlpm.bc="",BC276&lt;&gt;""),"мс",_xlpm.bc))))</f>
        <v/>
      </c>
      <c r="BT276" t="str">
        <f t="shared" si="507"/>
        <v>мс</v>
      </c>
      <c r="BU276">
        <f>IF(B276="","",_xlfn.LET(_xlpm.cc,IFERROR(N(VLOOKUP(AX276,Потребители_обозначение,7,FALSE)),0),IF(_xlpm.cc&gt;0,_xlpm.cc,IF(BT276="","",IF(N(BR276)=3,5,3)))))</f>
        <v>3</v>
      </c>
      <c r="BV276">
        <f t="shared" si="508"/>
        <v>3</v>
      </c>
      <c r="BW276">
        <f>IFERROR(N(VLOOKUP(AX276,Потребители_обозначение,10,FALSE)),0)</f>
        <v>0</v>
      </c>
      <c r="BX276">
        <f>IFERROR(VLOOKUP(AX276,Потребители_обозначение,5,FALSE),0)</f>
        <v>1</v>
      </c>
      <c r="BY276" s="6" cm="1">
        <f t="array" ref="BY276">IF(B276="","",IF(BC276&lt;&gt;"",IFERROR(_xlfn.XLOOKUP(BC276,Щиты[Щит],Щиты[cos φ]),0.95),IF(BK276=1,IFERROR(_xlfn.XLOOKUP(A276,Щиты[Щит],Щиты[cos φ]),0.95),IF(ISNUMBER(Z276),Z276,IFERROR(IF(BX276=2,_xlfn.IFS(BR276=3,VLOOKUP(BN276,Справочная_двигатели,8,FALSE),BR276=1,VLOOKUP(BN276,Справочная_двигатели,10,TRUE)),IF(AND(Методика="нормы 2026",EQ276="Сил"),0.8,0.95)),0.95)))))</f>
        <v>0.95</v>
      </c>
      <c r="BZ276">
        <f t="shared" si="509"/>
        <v>0</v>
      </c>
      <c r="CA276">
        <f t="shared" si="510"/>
        <v>1</v>
      </c>
      <c r="CB276">
        <f t="shared" si="511"/>
        <v>0</v>
      </c>
      <c r="CC276">
        <f t="shared" si="512"/>
        <v>0</v>
      </c>
      <c r="CD276">
        <f t="shared" si="513"/>
        <v>0</v>
      </c>
      <c r="CE276">
        <f t="shared" si="514"/>
        <v>0</v>
      </c>
      <c r="CF276">
        <f t="shared" si="515"/>
        <v>0</v>
      </c>
      <c r="CG276">
        <f>IF(AX276="",0,_xlfn.LET(_xlpm.v,IFERROR(VLOOKUP(B276,УГО_спр,3,FALSE),IFERROR(VLOOKUP(AX276,УГО_спр,3,FALSE),IFERROR(VLOOKUP(LEFT(AX276,2),УГО_спр,3,FALSE),""))),IF(_xlpm.v="да",30,IF(ISNUMBER(_xlpm.v),_xlpm.v,0))))</f>
        <v>30</v>
      </c>
      <c r="CH276">
        <f t="shared" si="516"/>
        <v>30</v>
      </c>
      <c r="CI276" t="str">
        <f>_xlfn.LET(_xlpm.k,IFERROR(_xlfn.XLOOKUP(AX276,Коды_код,Коды_утечка)&amp;"",""),IF(_xlpm.k="","дифавтомат",_xlpm.k))</f>
        <v>дифавтомат</v>
      </c>
      <c r="CJ276">
        <f t="shared" si="517"/>
        <v>30</v>
      </c>
      <c r="CK276">
        <f t="shared" si="518"/>
        <v>30</v>
      </c>
      <c r="CL276">
        <f>IF(B276="",0,IFERROR(--VLOOKUP(B276,УГО_спр,4,FALSE),IFERROR(--VLOOKUP(AX276,УГО_спр,4,FALSE),IFERROR(--VLOOKUP(LEFT(AX276,2),УГО_спр,4,FALSE),0))))</f>
        <v>16</v>
      </c>
      <c r="CM276" t="str">
        <f>IF(B276="","",IFERROR(_xlfn.XLOOKUP(AX276,Коды_код,Коды_апп)&amp;"",""))</f>
        <v/>
      </c>
      <c r="CN276" t="str">
        <f t="shared" si="519"/>
        <v/>
      </c>
      <c r="CO276" t="str" cm="1">
        <f t="array" ref="CO276">IF(TRIM(CN276&amp;"")="","",IFERROR(TRIM(INDEX(_xlfn.TEXTSPLIT(CN276&amp;";;;",";"),1)),""))</f>
        <v/>
      </c>
      <c r="CP276" t="str" cm="1">
        <f t="array" ref="CP276">IF(TRIM(CN276&amp;"")="","",IFERROR(TRIM(INDEX(_xlfn.TEXTSPLIT(CN276&amp;";;;",";"),2)),""))</f>
        <v/>
      </c>
      <c r="CQ276" t="str" cm="1">
        <f t="array" ref="CQ276">IF(TRIM(CN276&amp;"")="","",IFERROR(TRIM(INDEX(_xlfn.TEXTSPLIT(CN276&amp;";;;",";"),3)),""))</f>
        <v/>
      </c>
      <c r="CR276">
        <f t="shared" si="520"/>
        <v>0</v>
      </c>
      <c r="CS276" t="str">
        <f>IF(B276="","",_xlfn.LET(_xlpm.t,LOWER(AV276&amp;""),IF(ISNUMBER(SEARCH("dim",_xlpm.t)),"DIM",IF(ISNUMBER(SEARCH("dali",_xlpm.t)),"DALI",IF(OR(ISNUMBER(SEARCH("relay",_xlpm.t)),ISNUMBER(SEARCH("реле",_xlpm.t))),"Relay",IF(ISNUMBER(SEARCH("кнопк",_xlpm.t)),"",IFERROR(_xlfn.XLOOKUP(AX276,Коды_код,Коды_упр)&amp;"","")))))))</f>
        <v/>
      </c>
      <c r="CT276" t="str">
        <f t="shared" si="521"/>
        <v/>
      </c>
      <c r="CU276">
        <f>IF(B276="","",_xlfn.LET(_xlpm.ig,N(P276)+IF(AF276="вручную",0,N(CB276)),_xlpm.n0,IFERROR(VLOOKUP(_xlpm.ig,Автомат_номиналы,2,TRUE),0),_xlpm.mn,MAX(CL276,IF(AF276="вручную",0,N(CE276))),MAX(_xlpm.n0,_xlpm.mn,IF(CR276=1,Мин_автомат_БП,0))))</f>
        <v>16</v>
      </c>
      <c r="CV276">
        <f t="shared" si="522"/>
        <v>1</v>
      </c>
      <c r="CW276" t="str">
        <f t="shared" si="523"/>
        <v>2P</v>
      </c>
      <c r="CX276" t="str">
        <f>_xlfn.LET(_xlpm.cc,UPPER(TRIM(IFERROR(_xlfn.XLOOKUP(AX276,Коды_код,Коды_хар)&amp;"",""))),IF(OR(_xlpm.cc="B",_xlpm.cc="В"),"B",IF(_xlpm.cc="D","D","С")))</f>
        <v>С</v>
      </c>
      <c r="CY276" t="str">
        <f t="shared" si="524"/>
        <v>2P С16А 30мА</v>
      </c>
      <c r="CZ276" t="str">
        <f t="shared" si="525"/>
        <v>2P С16А 30мА</v>
      </c>
      <c r="DA276" t="str">
        <f t="shared" si="526"/>
        <v>2P С16А 30мА</v>
      </c>
      <c r="DB276" cm="1">
        <f t="array" ref="DB276">IF(DA276="","",_xlfn.LET(_xlpm.t,SUBSTITUTE(SUBSTITUTE(SUBSTITUTE(UPPER(DA276),"С","C"),"А","A"),"В","B"),_xlpm.tk,_xlfn.TEXTSPLIT(_xlpm.t,"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6" t="str">
        <f t="shared" si="527"/>
        <v>ok</v>
      </c>
      <c r="DD276">
        <f t="shared" si="528"/>
        <v>16</v>
      </c>
      <c r="DE276" t="str">
        <f t="shared" si="529"/>
        <v>2P С16А 30мА</v>
      </c>
      <c r="DF276">
        <f t="shared" si="530"/>
        <v>30</v>
      </c>
      <c r="DG276">
        <f t="shared" si="531"/>
        <v>1</v>
      </c>
      <c r="DH276">
        <f t="shared" si="532"/>
        <v>0</v>
      </c>
      <c r="DI276">
        <f t="shared" si="533"/>
        <v>3.1906199086795106</v>
      </c>
      <c r="DJ276">
        <f t="shared" si="534"/>
        <v>1</v>
      </c>
      <c r="DK276">
        <f>IF(ISNUMBER(AL276),AL276,К_прокл)</f>
        <v>1</v>
      </c>
      <c r="DL276">
        <f t="shared" si="535"/>
        <v>2</v>
      </c>
      <c r="DM276">
        <f>IFERROR(N(VLOOKUP(BT276,Кабель_обозначение,3,FALSE)),1)</f>
        <v>1</v>
      </c>
      <c r="DN276">
        <f>IFERROR(N(_xlfn.XLOOKUP(A276,Щиты[Щит],Щиты[ΔU до шин, %])),0)</f>
        <v>1.19</v>
      </c>
      <c r="DO276" t="str">
        <f>IFERROR(_xlfn.XLOOKUP(A276,Щиты[Щит],Щиты[Zпетли на шинах, Ом]),"")</f>
        <v/>
      </c>
      <c r="DP276">
        <f>IFERROR(N(_xlfn.XLOOKUP(A276,Щиты[Щит],Щиты[ΔU до шин (подбор), %])),0)</f>
        <v>1.19</v>
      </c>
      <c r="DQ276" t="str">
        <f>IFERROR(_xlfn.XLOOKUP(A276,Щиты[Щит],Щиты[Zпетли на шинах (подбор), Ом]),"")</f>
        <v/>
      </c>
      <c r="DR276" t="str">
        <f t="shared" si="536"/>
        <v/>
      </c>
      <c r="DS276">
        <f t="shared" si="537"/>
        <v>37</v>
      </c>
      <c r="DT276">
        <f t="shared" si="538"/>
        <v>2</v>
      </c>
      <c r="DU276">
        <f t="shared" si="539"/>
        <v>0.31</v>
      </c>
      <c r="DV276" s="6">
        <f>IF(B276="","",IF(IFERROR(VLOOKUP(AX276,УГО_спр,2,FALSE),"")="Светильник",3,4)+IF(Методика="нормы 2026",MIN(0.5,MAX(0,N(Q276)-100)*0.005),0))</f>
        <v>4</v>
      </c>
      <c r="DW276" cm="1">
        <f t="array" ref="DW276">IF(OR(B276="",BT276="",DM276&lt;&gt;1),"",_xlfn.LET(_xlpm.sz,Iдоп_S,_xlpm.t_,CHOOSE(DL276,Iдоп_1ж,Iдоп_2ж,Iдоп_3ж)*DJ276*DK276,_xlpm.inn,N(DD276),_xlpm.smin,MAX(1.5,BW276),_xlpm.L_,N(Q276)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276)*(_xlpm.rho*_xlpm.L_/_xlpm.sz*N(BY276)+_xlpm.xx*_xlpm.L_*N(DU276)/1000)*N(P276)/((Uн_лин/SQRT(3))*1000)*100,999),_xlpm.kz,IF(OR(DG276=1,NOT(ISNUMBER(DQ276)),_xlpm.L_=0,_xlpm.inn=0),1,IFERROR(--(c_min*(Uн_лин*1000/SQRT(3))/(DQ276+2*ρкз_Cu*_xlpm.L_/_xlpm.sz)&gt;=GY276*_xlpm.inn),0)),_xlpm.ok,IFERROR((_xlpm.sz&gt;=_xlpm.smin)*(_xlpm.t_&gt;=_xlpm.inn)*IF(_xlpm.L_&gt;0,(_xlpm.du_+DP276&lt;=DV276+0.00001),1)*_xlpm.kz,0),_xlpm.r_,_xlfn._xlws.FILTER(_xlpm.sz,_xlpm.ok,"не подобрано"),INDEX(_xlpm.r_,1)))</f>
        <v>1.5</v>
      </c>
      <c r="DX276">
        <f t="shared" si="540"/>
        <v>2.5</v>
      </c>
      <c r="DY276" cm="1">
        <f t="array" ref="DY276">IF(OR(B276="",BT276="",DM276&lt;&gt;1),"",_xlfn.LET(_xlpm.sz,Iдоп_S,_xlpm.t_,CHOOSE(DL276,Iдоп_1ж,Iдоп_2ж,Iдоп_3ж)*DJ276*DK276,_xlpm.ok,IFERROR((_xlpm.sz&gt;=MAX(1.5,BW276))*(_xlpm.t_&gt;=N(DD276)),0),_xlpm.r_,_xlfn._xlws.FILTER(_xlpm.sz,_xlpm.ok,""),INDEX(_xlpm.r_,1)))</f>
        <v>1.5</v>
      </c>
      <c r="DZ276" s="6" cm="1">
        <f t="array" ref="DZ276">IFERROR(ROUNDUP(N(DT276)*(_xlfn.XLOOKUP(DY276,INDEX(Кабель_сопротивление,0,1),INDEX(Кабель_сопротивление,0,3))*N(Q276)/DY276*N(BY276)+_xlfn.XLOOKUP(DY276,INDEX(Кабель_сопротивление,0,1),INDEX(Кабель_сопротивление,0,2))*N(Q276)*N(DU276)/1000)*N(P276)/((Uн_лин/SQRT(3))*1000)*100,2),"")</f>
        <v>1.58</v>
      </c>
      <c r="EA276">
        <f>IFERROR(2*ρкз_Cu*N(Q276)/DY276,"")</f>
        <v>1.4026666666666667</v>
      </c>
      <c r="EB276">
        <f>IFERROR(VLOOKUP(DX276,Кабель_сопротивление,3,FALSE),"")</f>
        <v>2.2499999999999999E-2</v>
      </c>
      <c r="EC276">
        <f>IFERROR(VLOOKUP(DX276,Кабель_сопротивление,2,FALSE),"")</f>
        <v>0.1</v>
      </c>
      <c r="ED276">
        <f t="shared" si="541"/>
        <v>20</v>
      </c>
      <c r="EE276">
        <f t="shared" si="542"/>
        <v>0</v>
      </c>
      <c r="EF276">
        <f t="shared" si="543"/>
        <v>2.1902967549103103</v>
      </c>
      <c r="EG276" s="6">
        <f>IFERROR(ROUNDUP(EF276/((Uн_лин/SQRT(3))*1000)*100,2),"")</f>
        <v>0.95</v>
      </c>
      <c r="EH276" t="str">
        <f>IFERROR(VLOOKUP(BT276,Кабель_обозначение,2,FALSE),"")</f>
        <v>ВВГнг(А)-LS</v>
      </c>
      <c r="EI276" t="str">
        <f t="shared" si="544"/>
        <v>ВВГнг(А)-LS (3х2,5)</v>
      </c>
      <c r="EJ276" t="str">
        <f t="shared" si="545"/>
        <v>ВВГнг(А)-LS (3х2,5)
L=40-0,95%</v>
      </c>
      <c r="EK276">
        <f>IFERROR(2*ρкз_Cu*Q276/DX276,"")</f>
        <v>0.84160000000000001</v>
      </c>
      <c r="EL276">
        <f t="shared" si="546"/>
        <v>0.28000000000000003</v>
      </c>
      <c r="EM276" s="6" t="str">
        <f>IFERROR(IF(OR(B276="",NOT(ISNUMBER(DX276)),N(Q276)=0),"",_xlfn.XLOOKUP(A276,Щиты[Щит],Щиты[Zпетли на шинах, Ом])+EK276),"")</f>
        <v/>
      </c>
      <c r="EN276" s="6" t="str">
        <f>IF(ISNUMBER(EM276),c_min*(Uн_лин*1000/SQRT(3))/EM276,"")</f>
        <v/>
      </c>
      <c r="EO276" s="6" t="str">
        <f>IFERROR(IF(OR(B276="",NOT(ISNUMBER(DX276))),"",1.05*(Uн_лин*1000/SQRT(3))/(_xlfn.XLOOKUP(A276,Щиты[Щит],Щиты[Zmax на шинах, Ом])+EL276)/1000),"")</f>
        <v/>
      </c>
      <c r="EP276" s="6" t="str">
        <f>IF(B276="","",IF(ISNUMBER(Y276),"Сил",IF(IFERROR(_xlfn.XLOOKUP(AX276,Коды_код,Коды_группа)&amp;"","")="","Быт",_xlfn.XLOOKUP(AX276,Коды_код,Коды_группа)&amp;"")))</f>
        <v>Быт</v>
      </c>
      <c r="EQ276" s="6" t="str">
        <f t="shared" si="547"/>
        <v>Быт</v>
      </c>
      <c r="ER276" s="6">
        <f>IF(EQ276="Щит","щит",IF(EQ276="","",IF(EQ276="Быт",IFERROR(_xlfn.XLOOKUP(A276,Щиты[Щит],Щиты[Кс быт]),1),IF(EQ276="Сил",IF(ISNUMBER(Y276),Y276,IF(Методика="нормы 2026",IFERROR(_xlfn.XLOOKUP(A276,Щиты[Щит],Щиты[Кс силовых (табл. 7.5)]),1),1)),IF(OR(EQ276="Пост",EQ276="Отоп"),1,IF(EQ276="ВНГ",0.7,0))))))</f>
        <v>0.57830000000000004</v>
      </c>
      <c r="ES276">
        <f t="shared" si="548"/>
        <v>1</v>
      </c>
      <c r="ET276">
        <f t="shared" si="549"/>
        <v>0.7</v>
      </c>
      <c r="EU276">
        <f t="shared" si="550"/>
        <v>0.7</v>
      </c>
      <c r="EV276">
        <f t="shared" si="551"/>
        <v>0</v>
      </c>
      <c r="EW276">
        <f t="shared" si="552"/>
        <v>0</v>
      </c>
      <c r="EX276">
        <f t="shared" si="553"/>
        <v>0</v>
      </c>
      <c r="EY276">
        <f t="shared" si="554"/>
        <v>0</v>
      </c>
      <c r="EZ276">
        <f t="shared" si="555"/>
        <v>0.7</v>
      </c>
      <c r="FA276">
        <f t="shared" si="556"/>
        <v>0.66499999999999992</v>
      </c>
      <c r="FB276">
        <f t="shared" si="557"/>
        <v>0.7</v>
      </c>
      <c r="FC276" t="str">
        <f t="shared" si="558"/>
        <v/>
      </c>
      <c r="FD276" t="str">
        <f>IF(B276="","",IF(CA276=0,IF(AW276=1,"",FF275),IF(OR(N(CV276)&gt;=3,N(BR276)&gt;=3),"L1,L2,L3",IFERROR(_xlfn.TEXTBEFORE(_xlfn.TEXTAFTER(_xlfn.XLOOKUP(A276,Щиты[Щит],Щиты[_фазы авто]),";"&amp;AW276&amp;":"),";"),"L1"))))</f>
        <v>L1</v>
      </c>
      <c r="FE276" t="str">
        <f t="shared" si="559"/>
        <v>L1</v>
      </c>
      <c r="FF276" t="str">
        <f t="shared" si="560"/>
        <v>L1</v>
      </c>
      <c r="FG276" cm="1">
        <f t="array" ref="FG276">IFERROR(IF(BX276=2,_xlfn.IFS(BR276=3,VLOOKUP(BN276,Справочная_двигатели,3,FALSE),BR276=1,VLOOKUP(BN276,Справочная_двигатели,5,TRUE)),0),0)</f>
        <v>0</v>
      </c>
      <c r="FH276">
        <f>IFERROR(IF(BX276=3,VLOOKUP(BN276,Справочная_ЛЭД,2,TRUE),0),0)</f>
        <v>0</v>
      </c>
      <c r="FI276" s="6">
        <f t="shared" si="561"/>
        <v>0</v>
      </c>
      <c r="FJ276" t="str" cm="1">
        <f t="array" ref="FJ276">IF(B276="","",IFERROR(INDEX({"I особая","I","II","III"},MATCH(TRIM(AC276&amp;""),{"I особая","I","II","III"},0)),"III"))</f>
        <v>II</v>
      </c>
      <c r="FK276" t="str">
        <f>IF(B276="","",IF(TRIM(AD276&amp;"")&lt;&gt;"",IF(LOWER(TRIM(AD276&amp;""))="да","да","нет"),IF(IFERROR(_xlfn.XLOOKUP(AX276,Коды_код,Коды_пожарная),"")="да","да","нет")))</f>
        <v>нет</v>
      </c>
      <c r="FL276" t="str">
        <f t="shared" si="562"/>
        <v/>
      </c>
      <c r="FM276" t="str">
        <f t="shared" si="563"/>
        <v>основная</v>
      </c>
      <c r="FN276">
        <f t="shared" si="564"/>
        <v>1</v>
      </c>
      <c r="FO276" t="str" cm="1">
        <f t="array" ref="FO276">IF(B276="","",_xlfn.LET(_xlpm.t,IFERROR(_xlfn.XLOOKUP(1,(Шины[Шина]=FM276)*(((Шины[Щит]=A276)+(Шины[Щит]=""))&gt;0),Шины[Тип]),"")&amp;"",IF(_xlpm.t&lt;&gt;"",_xlpm.t,IF(ISNUMBER(SEARCH("ИБП",FM276)),"ИБП",IF(ISNUMBER(SEARCH("ДГУ",FM276)),"ДГУ","Ввод "&amp;FN276)))))</f>
        <v>Ввод 1</v>
      </c>
      <c r="FP276" t="str">
        <f t="shared" si="565"/>
        <v>Ввод 1</v>
      </c>
      <c r="FQ276" t="str">
        <f>IF(B276="","",IF(OR(FO276="ИБП",FO276="ДГУ"),"I особая",IF(FO276="Одиночная","III",_xlfn.XLOOKUP(A276,Щиты[Щит],Щиты[Категория шины «Ввод»],"III"))))</f>
        <v>II</v>
      </c>
      <c r="FR276">
        <f>IF(B276="",0,IFERROR(MATCH(FJ276,{"III","II","I","I особая"},0),1))</f>
        <v>2</v>
      </c>
      <c r="FS276">
        <f t="shared" si="566"/>
        <v>2</v>
      </c>
      <c r="FT276" t="str">
        <f>IF(B276="","",IF(FR276&gt;IFERROR(MATCH(FQ276,{"III","II","I","I особая"},0),1),"НЕ ОБЕСПЕЧЕНА","ОК"))</f>
        <v>ОК</v>
      </c>
      <c r="FU276" t="str">
        <f>IF(A276="","",_xlfn.XLOOKUP(A276,Щиты[Щит],Щиты[Путь],""))</f>
        <v>|ГРЩ-ЖД|ЩР-1|</v>
      </c>
      <c r="FV276" t="str">
        <f>IF(B276="","",IF(AE276&lt;&gt;"",AE276,IF(IFERROR(_xlfn.XLOOKUP(AX276,Коды_код,Коды_вид)&amp;"","")="","Прочее",_xlfn.XLOOKUP(AX276,Коды_код,Коды_вид)&amp;"")))</f>
        <v>Розеточная сеть и бытовые приборы</v>
      </c>
      <c r="FW276">
        <f>IF(BH276="","",INT((BH276-1)/Столбцов_на_лист)+1)</f>
        <v>5</v>
      </c>
      <c r="FX276" t="str">
        <f t="shared" si="567"/>
        <v>ВВГнг(А)-LS (3х2,5) L=40-0,95%</v>
      </c>
      <c r="FY276">
        <f t="shared" si="568"/>
        <v>0.7</v>
      </c>
      <c r="FZ276">
        <f t="shared" si="569"/>
        <v>3.1999999999999997</v>
      </c>
      <c r="GA276">
        <f t="shared" si="570"/>
        <v>1</v>
      </c>
      <c r="GB276">
        <f t="shared" si="571"/>
        <v>0</v>
      </c>
      <c r="GC276">
        <f t="shared" si="572"/>
        <v>1</v>
      </c>
      <c r="GD276">
        <f>IF(BH276="","",IF(AND(CA276=1,GC276=1),COUNTIFS(A$3:A276,A276,CA$3:CA276,1,GC$3:GC276,1),IF(OR(OR(AW276=1,A276&lt;&gt;A275),AF276="вручную",GC276=0),"",IF(AW276=1,"",GE275))))</f>
        <v>52</v>
      </c>
      <c r="GE276">
        <f t="shared" si="573"/>
        <v>52</v>
      </c>
      <c r="GF276">
        <f>IF(B276="","",IFERROR(LOOKUP(INDEX(CHOOSE(DL276,Iдоп_1ж,Iдоп_2ж,Iдоп_3ж),MATCH(DX276,Iдоп_S,0))*DJ276*DK276,{6,10,16,20,25,32,40,50,63,80,100,125,160,200,250,315,400,500,630}),""))</f>
        <v>25</v>
      </c>
      <c r="GG276" t="str">
        <f t="shared" si="574"/>
        <v>QFD52</v>
      </c>
      <c r="GH276" t="str">
        <f t="shared" si="575"/>
        <v>QFD52</v>
      </c>
      <c r="GI276" t="str">
        <f t="shared" si="576"/>
        <v/>
      </c>
      <c r="GJ276">
        <f t="shared" si="577"/>
        <v>0</v>
      </c>
      <c r="GK276" t="str">
        <f>IF(OR(AG276="",AG276="-"),"",IFERROR(VLOOKUP(AG276,Модули_спр,2,FALSE),"R"))</f>
        <v/>
      </c>
      <c r="GL276" t="str">
        <f>IF(GK276="","",GK276&amp;"."&amp;COUNTIFS(A$3:A276,A276,GK$3:GK276,GK276))</f>
        <v/>
      </c>
      <c r="GM276" t="str">
        <f t="shared" si="578"/>
        <v/>
      </c>
      <c r="GN276" t="str">
        <f t="shared" si="579"/>
        <v/>
      </c>
      <c r="GO276" t="str">
        <f t="shared" si="580"/>
        <v/>
      </c>
      <c r="GP276" t="str">
        <f t="shared" si="581"/>
        <v/>
      </c>
      <c r="GQ276">
        <f t="shared" si="582"/>
        <v>1</v>
      </c>
      <c r="GR276" t="str">
        <f>IF(GQ276=1,"XT"&amp;COUNTIFS(A$3:A276,A276,GQ$3:GQ276,1),"")</f>
        <v>XT52</v>
      </c>
      <c r="GS276" t="str">
        <f t="shared" si="583"/>
        <v>XT52</v>
      </c>
      <c r="GT276" t="str">
        <f t="shared" si="584"/>
        <v>QFD52</v>
      </c>
      <c r="GU276" t="str">
        <f t="shared" si="585"/>
        <v/>
      </c>
      <c r="GV276" t="str">
        <f t="shared" si="586"/>
        <v>ok</v>
      </c>
      <c r="GW276" t="str">
        <f>IF(OR(GO276="",GM276=""),"",IF(GO276&gt;IFERROR(VLOOKUP(GN276,Модули_спр,3,FALSE),99),"ЛИШНИЙ КАНАЛ",IF(AND(AH276&lt;&gt;"=",COUNTIFS(Линии[_модуль гр.],GM276,Линии[Канал (итог)],GO276,Линии[Канал],"&lt;&gt;=",Линии[Щит],A276)&gt;1),"ДУБЛЬ КАНАЛА","")))</f>
        <v/>
      </c>
      <c r="GX276" s="6" t="str">
        <f t="shared" si="587"/>
        <v/>
      </c>
      <c r="GY276">
        <f t="shared" si="588"/>
        <v>10</v>
      </c>
      <c r="GZ276" t="str">
        <f t="shared" si="589"/>
        <v/>
      </c>
      <c r="HA276" t="str">
        <f>IF(AND(B276="",GT276=""),"",_xlfn.TEXTJOIN("; ",TRUE,IF(AND(B276&lt;&gt;"",FE276=""),"нет фазы",""),IF(AND(B276&lt;&gt;"",N(FY276)=0,EQ276&lt;&gt;"Нет"),"нет мощности",""),IF(AND(GS276&lt;&gt;"",COUNTIFS(Линии[Щит],A276,Линии[Клемма (итог)],GS276)&gt;1),"дубль клеммы "&amp;GS276,""),IF(AND(GV276&lt;&gt;"",GV276&lt;&gt;"ok"),GV276,""),IF(GW276&lt;&gt;"",GW276,""),IF(AND(N(BV276)&gt;=4,N(BR276)=1),BV276&amp;" жил на 1 фазе",""),IF(AND(AX276="R",CA276=1,OR(N(CK276)=0,N(CK276)&gt;30)),"розетка без дифзащиты до 30 мА",""),IFERROR(IF(AND(ISNUMBER(R276),R276&gt;DV276),"потери "&amp;FIXED(R276,1)&amp;" % &gt; "&amp;DV276&amp;" %",""),""),IFERROR(IF(LEFT(GZ276,4)="мало","Iкз мало — отключение &gt; 0,4 с",""),""),IF(AND(B276&lt;&gt;"",BH276=""),"не на схеме",""),IF(AND(CA276=0,B276&lt;&gt;"",FE276&lt;&gt;"",IF(AW276=1,"",FF275)&lt;&gt;"",FE276&lt;&gt;IF(AW276=1,"",FF275)),"фаза не как у автомата группы ("&amp;IF(AW276=1,"",FF275)&amp;")","")))</f>
        <v/>
      </c>
      <c r="HB276" s="6">
        <f>IF(OR(CA276=0,DA276=""),"",_xlfn.LET(_xlpm.t,IFERROR(_xlfn.XLOOKUP(DA276,Каталог!$U$4:$U$500,Каталог!$G$4:$G$500),""),_xlpm.k,SEARCH("кА",_xlpm.t),IFERROR(--TRIM(RIGHT(SUBSTITUTE(MID(_xlpm.t,MAX(1,_xlpm.k-4),_xlpm.k-MAX(1,_xlpm.k-4))," ",REPT(" ",9)),5)),"")))</f>
        <v>6</v>
      </c>
      <c r="HC276" t="str">
        <f>IF(OR(HB276="",CA276=0),"",IF(_xlfn.XLOOKUP(A276,Щиты[Щит],Щиты[Iкз max на шинах, кА],"")="","",IF(HB276&lt;_xlfn.XLOOKUP(A276,Щиты[Щит],Щиты[Iкз max на шинах, кА]),"Icu "&amp;HB276&amp;" кА &lt; Iкз max","ok")))</f>
        <v/>
      </c>
      <c r="HD276" t="str">
        <f t="shared" si="590"/>
        <v/>
      </c>
      <c r="HE276" t="str">
        <f t="shared" si="591"/>
        <v>QFD52|XT52</v>
      </c>
      <c r="HF276" t="str">
        <f t="shared" si="592"/>
        <v>QFD52|XT52|кабель ВВГнг(А)-LS (3х2,5) → Розеточная группа Первый этаж Пом. №021A Подогреватель пищи и посуды</v>
      </c>
      <c r="HG276" t="str" cm="1">
        <f t="array" ref="HG276">IF(HF276="","",_xlfn.LET(_xlpm.nd,_xlfn.TEXTSPLIT(HF276,"|"),IF(COLUMNS(_xlpm.nd)&gt;1,A276&amp;"¦"&amp;INDEX(_xlpm.nd,1)&amp;"¦"&amp;INDEX(_xlpm.nd,2),"")))</f>
        <v>ЩР-1¦QFD52¦XT52</v>
      </c>
      <c r="HH276" t="str">
        <f t="shared" si="593"/>
        <v>R.1.021A.9¦Розеточная группа Первый этаж Пом. №021A Подогреватель пищи и посуды</v>
      </c>
      <c r="HI276" t="str" cm="1">
        <f t="array" ref="HI276">IF(HF276="","",_xlfn.LET(_xlpm.nd,_xlfn.TEXTSPLIT(HF276,"|"),IF(COLUMNS(_xlpm.nd)&gt;2,A276&amp;"¦"&amp;INDEX(_xlpm.nd,2)&amp;"¦"&amp;INDEX(_xlpm.nd,3),"")))</f>
        <v>ЩР-1¦XT52¦кабель ВВГнг(А)-LS (3х2,5) → Розеточная группа Первый этаж Пом. №021A Подогреватель пищи и посуды</v>
      </c>
      <c r="HJ276" t="str">
        <f t="shared" si="594"/>
        <v>R.1.021A.9¦Розеточная группа Первый этаж Пом. №021A Подогреватель пищи и посуды</v>
      </c>
      <c r="HK276" t="str" cm="1">
        <f t="array" ref="HK276">IF(HF276="","",_xlfn.LET(_xlpm.nd,_xlfn.TEXTSPLIT(HF276,"|"),IF(COLUMNS(_xlpm.nd)&gt;3,A276&amp;"¦"&amp;INDEX(_xlpm.nd,3)&amp;"¦"&amp;INDEX(_xlpm.nd,4),"")))</f>
        <v/>
      </c>
      <c r="HL276" t="str">
        <f t="shared" si="595"/>
        <v/>
      </c>
      <c r="HM276" t="str" cm="1">
        <f t="array" ref="HM276">IF(HF276="","",_xlfn.LET(_xlpm.nd,_xlfn.TEXTSPLIT(HF276,"|"),IF(COLUMNS(_xlpm.nd)&gt;4,A276&amp;"¦"&amp;INDEX(_xlpm.nd,4)&amp;"¦"&amp;INDEX(_xlpm.nd,5),"")))</f>
        <v/>
      </c>
      <c r="HN276" t="str">
        <f t="shared" si="596"/>
        <v/>
      </c>
      <c r="HO276" t="str" cm="1">
        <f t="array" ref="HO276">IF(HF276="","",_xlfn.LET(_xlpm.nd,_xlfn.TEXTSPLIT(HF276,"|"),IF(COLUMNS(_xlpm.nd)&gt;5,A276&amp;"¦"&amp;INDEX(_xlpm.nd,5)&amp;"¦"&amp;INDEX(_xlpm.nd,6),"")))</f>
        <v/>
      </c>
      <c r="HP276" t="str">
        <f t="shared" si="597"/>
        <v/>
      </c>
      <c r="HQ276" t="str" cm="1">
        <f t="array" ref="HQ276">IF(HF276="","",_xlfn.LET(_xlpm.nd,_xlfn.TEXTSPLIT(HF276,"|"),IF(COLUMNS(_xlpm.nd)&gt;6,A276&amp;"¦"&amp;INDEX(_xlpm.nd,6)&amp;"¦"&amp;INDEX(_xlpm.nd,7),"")))</f>
        <v/>
      </c>
      <c r="HR276" t="str">
        <f t="shared" si="598"/>
        <v/>
      </c>
      <c r="HS276" t="str">
        <f t="shared" si="599"/>
        <v/>
      </c>
      <c r="HT276" t="str">
        <f t="shared" si="600"/>
        <v>QFD52 → XT52</v>
      </c>
      <c r="HU276">
        <f t="shared" si="601"/>
        <v>0</v>
      </c>
      <c r="HV276">
        <f t="shared" si="602"/>
        <v>1</v>
      </c>
      <c r="HW276" t="str">
        <f t="shared" si="603"/>
        <v/>
      </c>
      <c r="HX276" t="str">
        <f t="shared" si="604"/>
        <v/>
      </c>
      <c r="HY276" t="str">
        <f t="shared" si="605"/>
        <v/>
      </c>
      <c r="HZ276" t="str">
        <f t="shared" si="606"/>
        <v/>
      </c>
      <c r="IA276" t="str">
        <f>IF(B276="","",IFERROR(VLOOKUP(B276,УГО_спр,2,FALSE),IFERROR(VLOOKUP(AX276,УГО_спр,2,FALSE),IFERROR(VLOOKUP(LEFT(AX276,2),УГО_спр,2,FALSE),""))))</f>
        <v>Розетка</v>
      </c>
      <c r="IB276" t="str">
        <f>IF(B276="","",IF(OR(IA276="",IA276=0),"BOX",IFERROR(IF(VLOOKUP(IA276,УГО_блоки,3,FALSE)&amp;""&lt;&gt;"",VLOOKUP(IA276,УГО_блоки,3,FALSE),VLOOKUP(IA276,УГО_блоки,2,FALSE)),IA276)))</f>
        <v>SOCKET</v>
      </c>
      <c r="IC276">
        <f t="shared" si="607"/>
        <v>1</v>
      </c>
      <c r="ID276" t="str">
        <f>IF(DA276="","",IF(COUNTIF(DA$3:DA276,DA276)=1,MAX(ID$2:ID275)+1,""))</f>
        <v/>
      </c>
      <c r="IE276" t="str">
        <f>IF(CO276="","",IF(COUNTIF(CO$3:CO276,CO276)+COUNTIF(CP$2:CP275,CO276)+COUNTIF(CQ$2:CQ275,CO276)=1,MAX(IE$2:IG275)+1,""))</f>
        <v/>
      </c>
      <c r="IF276" t="str">
        <f>IF(CP276="","",IF(COUNTIF(CO$3:CO276,CP276)+COUNTIF(CP$3:CP276,CP276)+COUNTIF(CQ$2:CQ275,CP276)=1,MAX(IE$2:IG275,IE276)+1,""))</f>
        <v/>
      </c>
      <c r="IG276" t="str">
        <f>IF(CQ276="","",IF(COUNTIF(CO$3:CO276,CQ276)+COUNTIF(CP$3:CP276,CQ276)+COUNTIF(CQ$3:CQ276,CQ276)=1,MAX(IE$2:IG275,IE276,IF276)+1,""))</f>
        <v/>
      </c>
      <c r="IH276" t="str">
        <f t="shared" si="608"/>
        <v>3х2,5</v>
      </c>
      <c r="II276" t="str">
        <f>IF(IH276="","",IF(COUNTIF(IH$3:IH276,IH276)=1,MAX(II$2:II275)+1,""))</f>
        <v/>
      </c>
      <c r="IJ276" t="str">
        <f>IF(GL276="","",COUNTIF(GL$3:GL276,"?*"))</f>
        <v/>
      </c>
      <c r="IK276" t="str">
        <f>IF(OR(GL276="",GN276=""),"",IF(COUNTIFS(GL$3:GL276,"?*",GN$3:GN276,GN276)=1,MAX(IK$2:IK275)+1,""))</f>
        <v/>
      </c>
      <c r="IL276">
        <f t="shared" si="609"/>
        <v>0</v>
      </c>
      <c r="IM276">
        <f>IF(B276="","",COUNTIF(B$3:B276,"?*"))</f>
        <v>274</v>
      </c>
      <c r="IN276">
        <f>IF(GQ276&lt;&gt;1,0,_xlfn.LET(_xlpm.k,MAX(IFERROR(--VLOOKUP(B276,УГО_спр,5,FALSE),0),IFERROR(--VLOOKUP(AX276,УГО_спр,5,FALSE),0),IFERROR(--VLOOKUP(LEFT(AX276,2),УГО_спр,5,FALSE),0)),IF(_xlpm.k&gt;0,_xlpm.k,IF(IFERROR(--LEFT(SUBSTITUTE(IH276,"x","х"),FIND("х",SUBSTITUTE(IH276,"x","х"))-1),3)&gt;3,Каталог!$S$9,1))))</f>
        <v>1</v>
      </c>
      <c r="IO276">
        <f t="shared" si="610"/>
        <v>0</v>
      </c>
      <c r="IP276" t="str">
        <f t="shared" si="611"/>
        <v>авто</v>
      </c>
      <c r="IQ276">
        <f t="shared" si="612"/>
        <v>30</v>
      </c>
      <c r="IR276">
        <f t="shared" si="613"/>
        <v>1</v>
      </c>
      <c r="IS276">
        <f t="shared" si="614"/>
        <v>1</v>
      </c>
    </row>
    <row r="277" spans="1:253" x14ac:dyDescent="0.3">
      <c r="A277" t="s">
        <v>759</v>
      </c>
      <c r="B277" t="s">
        <v>1542</v>
      </c>
      <c r="C277" t="s">
        <v>1680</v>
      </c>
      <c r="D277">
        <v>1</v>
      </c>
      <c r="E277">
        <v>0.23</v>
      </c>
      <c r="G277" t="str">
        <f>Линии[[#This Row],[_авто автомат]]</f>
        <v>2P С16А 30мА</v>
      </c>
      <c r="H277">
        <f>Линии[[#This Row],[_авто утечка]]</f>
        <v>30</v>
      </c>
      <c r="I277" t="str">
        <f>Линии[[#This Row],[_авто управление]]</f>
        <v/>
      </c>
      <c r="J277" t="str">
        <f>Линии[[#This Row],[_авто аппараты]]</f>
        <v/>
      </c>
      <c r="K277">
        <v>2.5</v>
      </c>
      <c r="L277">
        <v>6</v>
      </c>
      <c r="M277" t="str">
        <f>Линии[[#This Row],[_авто фаза]]</f>
        <v>L2</v>
      </c>
      <c r="N277" t="str">
        <f>Линии[[#This Row],[_авто клемма]]</f>
        <v>XT53</v>
      </c>
      <c r="O277" t="str">
        <f t="shared" si="492"/>
        <v/>
      </c>
      <c r="P277" s="6" cm="1">
        <f t="array" ref="P277">IF(B277="","",IF(BC277&lt;&gt;"",IFERROR(_xlfn.XLOOKUP(BC277,Щиты[Щит],Щиты[Iр, А]),""),IF(BK277=1,IFERROR(_xlfn.XLOOKUP(A277,Щиты[Щит],Щиты[Iр, А]),""),IFERROR(_xlfn.IFS(BR277=1,BN277/((Uн_лин/SQRT(3))*BY277),BR277=3,BN277/(SQRT(3)*Uн_лин*BY277)),""))))</f>
        <v>1.0483465414232678</v>
      </c>
      <c r="Q277" s="7">
        <f>IF(B277="","",IFERROR(IF(VLOOKUP(AX277,Потребители_обозначение,4,FALSE)=1,VLOOKUP(AX277,Потребители_обозначение,3,FALSE)*(D277*2-1)+DS277+VLOOKUP(AZ277,Этаж_обозначение,3,FALSE)+VLOOKUP(AZ277,Этаж_обозначение,4,FALSE),VLOOKUP(AX277,Потребители_обозначение,3,FALSE)*(D277*2-1)+DS277),DS277))</f>
        <v>9</v>
      </c>
      <c r="R277" s="6">
        <f t="shared" si="493"/>
        <v>1.27</v>
      </c>
      <c r="S277" t="str">
        <f t="shared" si="494"/>
        <v>ВВГнг(А)-LS (3х2,5)</v>
      </c>
      <c r="T277" t="str">
        <f>IF(BH277="","",IF(BI277="вводной узел","узел ","")&amp;"л."&amp;(INT((BH277-1)/Столбцов_на_лист)+1)&amp;" / "&amp;(MOD(BH277-1,Столбцов_на_лист)+1))</f>
        <v>л.5 / 8</v>
      </c>
      <c r="V277">
        <v>1</v>
      </c>
      <c r="W277">
        <v>230</v>
      </c>
      <c r="X277" t="s">
        <v>564</v>
      </c>
      <c r="AC277" t="s">
        <v>815</v>
      </c>
      <c r="AE277" t="s">
        <v>563</v>
      </c>
      <c r="AI277">
        <v>76</v>
      </c>
      <c r="AJ277" t="s">
        <v>11</v>
      </c>
      <c r="AK277">
        <v>3</v>
      </c>
      <c r="AM277">
        <v>0</v>
      </c>
      <c r="AN277">
        <v>0</v>
      </c>
      <c r="AO277">
        <v>6</v>
      </c>
      <c r="AW277" cm="1">
        <f t="array" ref="AW277">ROW()-ROW(Линии[#Headers])</f>
        <v>275</v>
      </c>
      <c r="AX277" s="6" t="str">
        <f t="shared" si="495"/>
        <v>R</v>
      </c>
      <c r="AY277" t="str">
        <f t="shared" si="496"/>
        <v>1.002Б.9</v>
      </c>
      <c r="AZ277" t="str">
        <f t="shared" si="497"/>
        <v>1</v>
      </c>
      <c r="BA277" t="str">
        <f t="shared" si="498"/>
        <v>002Б.9</v>
      </c>
      <c r="BB277" t="str">
        <f t="shared" si="499"/>
        <v>002Б</v>
      </c>
      <c r="BC277" t="str">
        <f>IF(U277&lt;&gt;"",U277,IF(AND(B277&lt;&gt;"",B277&lt;&gt;A277,ISNUMBER(_xlfn.XMATCH(B277,Щиты[Щит]))),B277,""))</f>
        <v/>
      </c>
      <c r="BD277" t="str" cm="1">
        <f t="array" ref="BD277">IF(B277="","",IF(BC277&lt;&gt;"","Щит "&amp;BC277,_xlfn.LET(_xlpm.nm,IFERROR(_xlfn.XLOOKUP(AX277,Коды_код,Коды_имя)&amp;"",""),_xlpm.md,IFERROR(N(_xlfn.XLOOKUP(AX277,Коды_код,Коды_режим)),1),_xlpm.ex,IF(Имя_режим="по экспликации",IFERROR(_xlfn.XLOOKUP(AZ277&amp;"|"&amp;BB277,Экспликация[Этаж]&amp;"|"&amp;Экспликация[Помещение],Экспликация[Название])&amp;"",""),""),_xlpm.rm,IF(BB277="","",IF(_xlpm.ex&lt;&gt;"",". "&amp;_xlpm.ex&amp;IF(Имя_пом="нет"," ("&amp;BB277&amp;")"," (пом. "&amp;BB277&amp;")"),IF(Имя_пом="нет"," ",", пом. ")&amp;BB277)),IF(_xlpm.nm="","",IF(_xlpm.md=2,_xlpm.nm&amp;" шлейф "&amp;AZ277,_xlpm.nm&amp;_xlpm.rm)))))</f>
        <v>Розеточная группа, пом. 002Б</v>
      </c>
      <c r="BE277" t="str">
        <f t="shared" si="500"/>
        <v>Розеточная группа Первый этаж Пом. №002Б Холодильник</v>
      </c>
      <c r="BF277">
        <f>IFERROR(_xlfn.XMATCH(A277,Щиты[Щит]),0)</f>
        <v>10</v>
      </c>
      <c r="BG277">
        <f>_xlfn.LET(_xlpm.k,IFERROR(_xlfn.XLOOKUP(A277,Щиты[Щит],Щиты[Листов под вводной узел]),""),IF(_xlpm.k="",1,N(_xlpm.k))*Столбцов_на_лист)</f>
        <v>17</v>
      </c>
      <c r="BH277">
        <f t="shared" si="501"/>
        <v>76</v>
      </c>
      <c r="BI277" t="str">
        <f t="shared" si="502"/>
        <v>линии</v>
      </c>
      <c r="BJ277" s="6">
        <f>IFERROR(N(_xlfn.XLOOKUP(AX277,Коды_код,Коды_квт)),0)</f>
        <v>0</v>
      </c>
      <c r="BK277">
        <f t="shared" si="503"/>
        <v>0</v>
      </c>
      <c r="BL277" t="str">
        <f>IF(B277="","",IF(BC277&lt;&gt;"",IFERROR(_xlfn.XLOOKUP(BC277,Щиты[Щит],Щиты[Руст, кВт]),0),IF(BK277=1,IFERROR(_xlfn.XLOOKUP(A277,Щиты[Щит],Щиты[Руст, кВт]),0),IF(BJ277&gt;0,ROUND(BJ277*MAX(1,N(D277)),3),""))))</f>
        <v/>
      </c>
      <c r="BM277">
        <f t="shared" si="504"/>
        <v>0.23</v>
      </c>
      <c r="BN277" s="6">
        <f>IF(B277="","",IF(BC277&lt;&gt;"",IFERROR(_xlfn.XLOOKUP(BC277,Щиты[Щит],Щиты[Руст, кВт]),0),N(BM277)))</f>
        <v>0.23</v>
      </c>
      <c r="BO277" t="str">
        <f>IF(B277="","",IFERROR(IF(VLOOKUP(AX277,Потребители_обозначение,8,FALSE)=0,"",VLOOKUP(AX277,Потребители_обозначение,8,FALSE)),""))</f>
        <v/>
      </c>
      <c r="BP277">
        <f t="shared" si="505"/>
        <v>230</v>
      </c>
      <c r="BQ277">
        <f>IF(B277="","",IF(BC277&lt;&gt;"",3,IFERROR(IF(N(VLOOKUP(AX277,Потребители_обозначение,9,FALSE))=0,1,VLOOKUP(AX277,Потребители_обозначение,9,FALSE)),1)))</f>
        <v>1</v>
      </c>
      <c r="BR277">
        <f t="shared" si="506"/>
        <v>1</v>
      </c>
      <c r="BS277" t="str">
        <f>IF(B277="","",_xlfn.LET(_xlpm.bc,IFERROR(IF(VLOOKUP(AX277,Потребители_обозначение,6,FALSE)=0,"",VLOOKUP(AX277,Потребители_обозначение,6,FALSE)&amp;""),""),IF(AND(FK277="да",OR(_xlpm.bc="",_xlpm.bc="мс")),Марка_пож,IF(AND(_xlpm.bc="",BC277&lt;&gt;""),"мс",_xlpm.bc))))</f>
        <v/>
      </c>
      <c r="BT277" t="str">
        <f t="shared" si="507"/>
        <v>мс</v>
      </c>
      <c r="BU277">
        <f>IF(B277="","",_xlfn.LET(_xlpm.cc,IFERROR(N(VLOOKUP(AX277,Потребители_обозначение,7,FALSE)),0),IF(_xlpm.cc&gt;0,_xlpm.cc,IF(BT277="","",IF(N(BR277)=3,5,3)))))</f>
        <v>3</v>
      </c>
      <c r="BV277">
        <f t="shared" si="508"/>
        <v>3</v>
      </c>
      <c r="BW277">
        <f>IFERROR(N(VLOOKUP(AX277,Потребители_обозначение,10,FALSE)),0)</f>
        <v>0</v>
      </c>
      <c r="BX277">
        <f>IFERROR(VLOOKUP(AX277,Потребители_обозначение,5,FALSE),0)</f>
        <v>1</v>
      </c>
      <c r="BY277" s="6" cm="1">
        <f t="array" ref="BY277">IF(B277="","",IF(BC277&lt;&gt;"",IFERROR(_xlfn.XLOOKUP(BC277,Щиты[Щит],Щиты[cos φ]),0.95),IF(BK277=1,IFERROR(_xlfn.XLOOKUP(A277,Щиты[Щит],Щиты[cos φ]),0.95),IF(ISNUMBER(Z277),Z277,IFERROR(IF(BX277=2,_xlfn.IFS(BR277=3,VLOOKUP(BN277,Справочная_двигатели,8,FALSE),BR277=1,VLOOKUP(BN277,Справочная_двигатели,10,TRUE)),IF(AND(Методика="нормы 2026",EQ277="Сил"),0.8,0.95)),0.95)))))</f>
        <v>0.95</v>
      </c>
      <c r="BZ277">
        <f t="shared" si="509"/>
        <v>0</v>
      </c>
      <c r="CA277">
        <f t="shared" si="510"/>
        <v>1</v>
      </c>
      <c r="CB277">
        <f t="shared" si="511"/>
        <v>0</v>
      </c>
      <c r="CC277">
        <f t="shared" si="512"/>
        <v>0</v>
      </c>
      <c r="CD277">
        <f t="shared" si="513"/>
        <v>0</v>
      </c>
      <c r="CE277">
        <f t="shared" si="514"/>
        <v>0</v>
      </c>
      <c r="CF277">
        <f t="shared" si="515"/>
        <v>0</v>
      </c>
      <c r="CG277">
        <f>IF(AX277="",0,_xlfn.LET(_xlpm.v,IFERROR(VLOOKUP(B277,УГО_спр,3,FALSE),IFERROR(VLOOKUP(AX277,УГО_спр,3,FALSE),IFERROR(VLOOKUP(LEFT(AX277,2),УГО_спр,3,FALSE),""))),IF(_xlpm.v="да",30,IF(ISNUMBER(_xlpm.v),_xlpm.v,0))))</f>
        <v>30</v>
      </c>
      <c r="CH277">
        <f t="shared" si="516"/>
        <v>30</v>
      </c>
      <c r="CI277" t="str">
        <f>_xlfn.LET(_xlpm.k,IFERROR(_xlfn.XLOOKUP(AX277,Коды_код,Коды_утечка)&amp;"",""),IF(_xlpm.k="","дифавтомат",_xlpm.k))</f>
        <v>дифавтомат</v>
      </c>
      <c r="CJ277">
        <f t="shared" si="517"/>
        <v>30</v>
      </c>
      <c r="CK277">
        <f t="shared" si="518"/>
        <v>30</v>
      </c>
      <c r="CL277">
        <f>IF(B277="",0,IFERROR(--VLOOKUP(B277,УГО_спр,4,FALSE),IFERROR(--VLOOKUP(AX277,УГО_спр,4,FALSE),IFERROR(--VLOOKUP(LEFT(AX277,2),УГО_спр,4,FALSE),0))))</f>
        <v>16</v>
      </c>
      <c r="CM277" t="str">
        <f>IF(B277="","",IFERROR(_xlfn.XLOOKUP(AX277,Коды_код,Коды_апп)&amp;"",""))</f>
        <v/>
      </c>
      <c r="CN277" t="str">
        <f t="shared" si="519"/>
        <v/>
      </c>
      <c r="CO277" t="str" cm="1">
        <f t="array" ref="CO277">IF(TRIM(CN277&amp;"")="","",IFERROR(TRIM(INDEX(_xlfn.TEXTSPLIT(CN277&amp;";;;",";"),1)),""))</f>
        <v/>
      </c>
      <c r="CP277" t="str" cm="1">
        <f t="array" ref="CP277">IF(TRIM(CN277&amp;"")="","",IFERROR(TRIM(INDEX(_xlfn.TEXTSPLIT(CN277&amp;";;;",";"),2)),""))</f>
        <v/>
      </c>
      <c r="CQ277" t="str" cm="1">
        <f t="array" ref="CQ277">IF(TRIM(CN277&amp;"")="","",IFERROR(TRIM(INDEX(_xlfn.TEXTSPLIT(CN277&amp;";;;",";"),3)),""))</f>
        <v/>
      </c>
      <c r="CR277">
        <f t="shared" si="520"/>
        <v>0</v>
      </c>
      <c r="CS277" t="str">
        <f>IF(B277="","",_xlfn.LET(_xlpm.t,LOWER(AV277&amp;""),IF(ISNUMBER(SEARCH("dim",_xlpm.t)),"DIM",IF(ISNUMBER(SEARCH("dali",_xlpm.t)),"DALI",IF(OR(ISNUMBER(SEARCH("relay",_xlpm.t)),ISNUMBER(SEARCH("реле",_xlpm.t))),"Relay",IF(ISNUMBER(SEARCH("кнопк",_xlpm.t)),"",IFERROR(_xlfn.XLOOKUP(AX277,Коды_код,Коды_упр)&amp;"","")))))))</f>
        <v/>
      </c>
      <c r="CT277" t="str">
        <f t="shared" si="521"/>
        <v/>
      </c>
      <c r="CU277">
        <f>IF(B277="","",_xlfn.LET(_xlpm.ig,N(P277)+IF(AF277="вручную",0,N(CB277)),_xlpm.n0,IFERROR(VLOOKUP(_xlpm.ig,Автомат_номиналы,2,TRUE),0),_xlpm.mn,MAX(CL277,IF(AF277="вручную",0,N(CE277))),MAX(_xlpm.n0,_xlpm.mn,IF(CR277=1,Мин_автомат_БП,0))))</f>
        <v>16</v>
      </c>
      <c r="CV277">
        <f t="shared" si="522"/>
        <v>1</v>
      </c>
      <c r="CW277" t="str">
        <f t="shared" si="523"/>
        <v>2P</v>
      </c>
      <c r="CX277" t="str">
        <f>_xlfn.LET(_xlpm.cc,UPPER(TRIM(IFERROR(_xlfn.XLOOKUP(AX277,Коды_код,Коды_хар)&amp;"",""))),IF(OR(_xlpm.cc="B",_xlpm.cc="В"),"B",IF(_xlpm.cc="D","D","С")))</f>
        <v>С</v>
      </c>
      <c r="CY277" t="str">
        <f t="shared" si="524"/>
        <v>2P С16А 30мА</v>
      </c>
      <c r="CZ277" t="str">
        <f t="shared" si="525"/>
        <v>2P С16А 30мА</v>
      </c>
      <c r="DA277" t="str">
        <f t="shared" si="526"/>
        <v>2P С16А 30мА</v>
      </c>
      <c r="DB277" cm="1">
        <f t="array" ref="DB277">IF(DA277="","",_xlfn.LET(_xlpm.t,SUBSTITUTE(SUBSTITUTE(SUBSTITUTE(UPPER(DA277),"С","C"),"А","A"),"В","B"),_xlpm.tk,_xlfn.TEXTSPLIT(_xlpm.t,"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7" t="str">
        <f t="shared" si="527"/>
        <v>ok</v>
      </c>
      <c r="DD277">
        <f t="shared" si="528"/>
        <v>16</v>
      </c>
      <c r="DE277" t="str">
        <f t="shared" si="529"/>
        <v>2P С16А 30мА</v>
      </c>
      <c r="DF277">
        <f t="shared" si="530"/>
        <v>30</v>
      </c>
      <c r="DG277">
        <f t="shared" si="531"/>
        <v>1</v>
      </c>
      <c r="DH277">
        <f t="shared" si="532"/>
        <v>0</v>
      </c>
      <c r="DI277">
        <f t="shared" si="533"/>
        <v>1.0483465414232678</v>
      </c>
      <c r="DJ277">
        <f t="shared" si="534"/>
        <v>1</v>
      </c>
      <c r="DK277">
        <f>IF(ISNUMBER(AL277),AL277,К_прокл)</f>
        <v>1</v>
      </c>
      <c r="DL277">
        <f t="shared" si="535"/>
        <v>2</v>
      </c>
      <c r="DM277">
        <f>IFERROR(N(VLOOKUP(BT277,Кабель_обозначение,3,FALSE)),1)</f>
        <v>1</v>
      </c>
      <c r="DN277">
        <f>IFERROR(N(_xlfn.XLOOKUP(A277,Щиты[Щит],Щиты[ΔU до шин, %])),0)</f>
        <v>1.19</v>
      </c>
      <c r="DO277" t="str">
        <f>IFERROR(_xlfn.XLOOKUP(A277,Щиты[Щит],Щиты[Zпетли на шинах, Ом]),"")</f>
        <v/>
      </c>
      <c r="DP277">
        <f>IFERROR(N(_xlfn.XLOOKUP(A277,Щиты[Щит],Щиты[ΔU до шин (подбор), %])),0)</f>
        <v>1.19</v>
      </c>
      <c r="DQ277" t="str">
        <f>IFERROR(_xlfn.XLOOKUP(A277,Щиты[Щит],Щиты[Zпетли на шинах (подбор), Ом]),"")</f>
        <v/>
      </c>
      <c r="DR277" t="str">
        <f t="shared" si="536"/>
        <v/>
      </c>
      <c r="DS277">
        <f t="shared" si="537"/>
        <v>6</v>
      </c>
      <c r="DT277">
        <f t="shared" si="538"/>
        <v>2</v>
      </c>
      <c r="DU277">
        <f t="shared" si="539"/>
        <v>0.31</v>
      </c>
      <c r="DV277" s="6">
        <f>IF(B277="","",IF(IFERROR(VLOOKUP(AX277,УГО_спр,2,FALSE),"")="Светильник",3,4)+IF(Методика="нормы 2026",MIN(0.5,MAX(0,N(Q277)-100)*0.005),0))</f>
        <v>4</v>
      </c>
      <c r="DW277" cm="1">
        <f t="array" ref="DW277">IF(OR(B277="",BT277="",DM277&lt;&gt;1),"",_xlfn.LET(_xlpm.sz,Iдоп_S,_xlpm.t_,CHOOSE(DL277,Iдоп_1ж,Iдоп_2ж,Iдоп_3ж)*DJ277*DK277,_xlpm.inn,N(DD277),_xlpm.smin,MAX(1.5,BW277),_xlpm.L_,N(Q277)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277)*(_xlpm.rho*_xlpm.L_/_xlpm.sz*N(BY277)+_xlpm.xx*_xlpm.L_*N(DU277)/1000)*N(P277)/((Uн_лин/SQRT(3))*1000)*100,999),_xlpm.kz,IF(OR(DG277=1,NOT(ISNUMBER(DQ277)),_xlpm.L_=0,_xlpm.inn=0),1,IFERROR(--(c_min*(Uн_лин*1000/SQRT(3))/(DQ277+2*ρкз_Cu*_xlpm.L_/_xlpm.sz)&gt;=GY277*_xlpm.inn),0)),_xlpm.ok,IFERROR((_xlpm.sz&gt;=_xlpm.smin)*(_xlpm.t_&gt;=_xlpm.inn)*IF(_xlpm.L_&gt;0,(_xlpm.du_+DP277&lt;=DV277+0.00001),1)*_xlpm.kz,0),_xlpm.r_,_xlfn._xlws.FILTER(_xlpm.sz,_xlpm.ok,"не подобрано"),INDEX(_xlpm.r_,1)))</f>
        <v>1.5</v>
      </c>
      <c r="DX277">
        <f t="shared" si="540"/>
        <v>2.5</v>
      </c>
      <c r="DY277" cm="1">
        <f t="array" ref="DY277">IF(OR(B277="",BT277="",DM277&lt;&gt;1),"",_xlfn.LET(_xlpm.sz,Iдоп_S,_xlpm.t_,CHOOSE(DL277,Iдоп_1ж,Iдоп_2ж,Iдоп_3ж)*DJ277*DK277,_xlpm.ok,IFERROR((_xlpm.sz&gt;=MAX(1.5,BW277))*(_xlpm.t_&gt;=N(DD277)),0),_xlpm.r_,_xlfn._xlws.FILTER(_xlpm.sz,_xlpm.ok,""),INDEX(_xlpm.r_,1)))</f>
        <v>1.5</v>
      </c>
      <c r="DZ277" s="6" cm="1">
        <f t="array" ref="DZ277">IFERROR(ROUNDUP(N(DT277)*(_xlfn.XLOOKUP(DY277,INDEX(Кабель_сопротивление,0,1),INDEX(Кабель_сопротивление,0,3))*N(Q277)/DY277*N(BY277)+_xlfn.XLOOKUP(DY277,INDEX(Кабель_сопротивление,0,1),INDEX(Кабель_сопротивление,0,2))*N(Q277)*N(DU277)/1000)*N(P277)/((Uн_лин/SQRT(3))*1000)*100,2),"")</f>
        <v>0.12</v>
      </c>
      <c r="EA277">
        <f>IFERROR(2*ρкз_Cu*N(Q277)/DY277,"")</f>
        <v>0.31559999999999999</v>
      </c>
      <c r="EB277">
        <f>IFERROR(VLOOKUP(DX277,Кабель_сопротивление,3,FALSE),"")</f>
        <v>2.2499999999999999E-2</v>
      </c>
      <c r="EC277">
        <f>IFERROR(VLOOKUP(DX277,Кабель_сопротивление,2,FALSE),"")</f>
        <v>0.1</v>
      </c>
      <c r="ED277">
        <f t="shared" si="541"/>
        <v>0</v>
      </c>
      <c r="EE277">
        <f t="shared" si="542"/>
        <v>6</v>
      </c>
      <c r="EF277">
        <f t="shared" si="543"/>
        <v>0.16192551009515507</v>
      </c>
      <c r="EG277" s="6">
        <f>IFERROR(ROUNDUP(EF277/((Uн_лин/SQRT(3))*1000)*100,2),"")</f>
        <v>0.08</v>
      </c>
      <c r="EH277" t="str">
        <f>IFERROR(VLOOKUP(BT277,Кабель_обозначение,2,FALSE),"")</f>
        <v>ВВГнг(А)-LS</v>
      </c>
      <c r="EI277" t="str">
        <f t="shared" si="544"/>
        <v>ВВГнг(А)-LS (3х2,5)</v>
      </c>
      <c r="EJ277" t="str">
        <f t="shared" si="545"/>
        <v>ВВГнг(А)-LS (3х2,5)
L=9-0,08%</v>
      </c>
      <c r="EK277">
        <f>IFERROR(2*ρкз_Cu*Q277/DX277,"")</f>
        <v>0.18936</v>
      </c>
      <c r="EL277">
        <f t="shared" si="546"/>
        <v>6.3000000000000014E-2</v>
      </c>
      <c r="EM277" s="6" t="str">
        <f>IFERROR(IF(OR(B277="",NOT(ISNUMBER(DX277)),N(Q277)=0),"",_xlfn.XLOOKUP(A277,Щиты[Щит],Щиты[Zпетли на шинах, Ом])+EK277),"")</f>
        <v/>
      </c>
      <c r="EN277" s="6" t="str">
        <f>IF(ISNUMBER(EM277),c_min*(Uн_лин*1000/SQRT(3))/EM277,"")</f>
        <v/>
      </c>
      <c r="EO277" s="6" t="str">
        <f>IFERROR(IF(OR(B277="",NOT(ISNUMBER(DX277))),"",1.05*(Uн_лин*1000/SQRT(3))/(_xlfn.XLOOKUP(A277,Щиты[Щит],Щиты[Zmax на шинах, Ом])+EL277)/1000),"")</f>
        <v/>
      </c>
      <c r="EP277" s="6" t="str">
        <f>IF(B277="","",IF(ISNUMBER(Y277),"Сил",IF(IFERROR(_xlfn.XLOOKUP(AX277,Коды_код,Коды_группа)&amp;"","")="","Быт",_xlfn.XLOOKUP(AX277,Коды_код,Коды_группа)&amp;"")))</f>
        <v>Быт</v>
      </c>
      <c r="EQ277" s="6" t="str">
        <f t="shared" si="547"/>
        <v>Быт</v>
      </c>
      <c r="ER277" s="6">
        <f>IF(EQ277="Щит","щит",IF(EQ277="","",IF(EQ277="Быт",IFERROR(_xlfn.XLOOKUP(A277,Щиты[Щит],Щиты[Кс быт]),1),IF(EQ277="Сил",IF(ISNUMBER(Y277),Y277,IF(Методика="нормы 2026",IFERROR(_xlfn.XLOOKUP(A277,Щиты[Щит],Щиты[Кс силовых (табл. 7.5)]),1),1)),IF(OR(EQ277="Пост",EQ277="Отоп"),1,IF(EQ277="ВНГ",0.7,0))))))</f>
        <v>0.57830000000000004</v>
      </c>
      <c r="ES277">
        <f t="shared" si="548"/>
        <v>1</v>
      </c>
      <c r="ET277">
        <f t="shared" si="549"/>
        <v>0.23</v>
      </c>
      <c r="EU277">
        <f t="shared" si="550"/>
        <v>0.23</v>
      </c>
      <c r="EV277">
        <f t="shared" si="551"/>
        <v>0</v>
      </c>
      <c r="EW277">
        <f t="shared" si="552"/>
        <v>0</v>
      </c>
      <c r="EX277">
        <f t="shared" si="553"/>
        <v>0</v>
      </c>
      <c r="EY277">
        <f t="shared" si="554"/>
        <v>0</v>
      </c>
      <c r="EZ277">
        <f t="shared" si="555"/>
        <v>0.23</v>
      </c>
      <c r="FA277">
        <f t="shared" si="556"/>
        <v>0.2185</v>
      </c>
      <c r="FB277">
        <f t="shared" si="557"/>
        <v>0.23</v>
      </c>
      <c r="FC277" t="str">
        <f t="shared" si="558"/>
        <v/>
      </c>
      <c r="FD277" t="str">
        <f>IF(B277="","",IF(CA277=0,IF(AW277=1,"",FF276),IF(OR(N(CV277)&gt;=3,N(BR277)&gt;=3),"L1,L2,L3",IFERROR(_xlfn.TEXTBEFORE(_xlfn.TEXTAFTER(_xlfn.XLOOKUP(A277,Щиты[Щит],Щиты[_фазы авто]),";"&amp;AW277&amp;":"),";"),"L1"))))</f>
        <v>L2</v>
      </c>
      <c r="FE277" t="str">
        <f t="shared" si="559"/>
        <v>L2</v>
      </c>
      <c r="FF277" t="str">
        <f t="shared" si="560"/>
        <v>L2</v>
      </c>
      <c r="FG277" cm="1">
        <f t="array" ref="FG277">IFERROR(IF(BX277=2,_xlfn.IFS(BR277=3,VLOOKUP(BN277,Справочная_двигатели,3,FALSE),BR277=1,VLOOKUP(BN277,Справочная_двигатели,5,TRUE)),0),0)</f>
        <v>0</v>
      </c>
      <c r="FH277">
        <f>IFERROR(IF(BX277=3,VLOOKUP(BN277,Справочная_ЛЭД,2,TRUE),0),0)</f>
        <v>0</v>
      </c>
      <c r="FI277" s="6">
        <f t="shared" si="561"/>
        <v>0</v>
      </c>
      <c r="FJ277" t="str" cm="1">
        <f t="array" ref="FJ277">IF(B277="","",IFERROR(INDEX({"I особая","I","II","III"},MATCH(TRIM(AC277&amp;""),{"I особая","I","II","III"},0)),"III"))</f>
        <v>II</v>
      </c>
      <c r="FK277" t="str">
        <f>IF(B277="","",IF(TRIM(AD277&amp;"")&lt;&gt;"",IF(LOWER(TRIM(AD277&amp;""))="да","да","нет"),IF(IFERROR(_xlfn.XLOOKUP(AX277,Коды_код,Коды_пожарная),"")="да","да","нет")))</f>
        <v>нет</v>
      </c>
      <c r="FL277" t="str">
        <f t="shared" si="562"/>
        <v/>
      </c>
      <c r="FM277" t="str">
        <f t="shared" si="563"/>
        <v>основная</v>
      </c>
      <c r="FN277">
        <f t="shared" si="564"/>
        <v>1</v>
      </c>
      <c r="FO277" t="str" cm="1">
        <f t="array" ref="FO277">IF(B277="","",_xlfn.LET(_xlpm.t,IFERROR(_xlfn.XLOOKUP(1,(Шины[Шина]=FM277)*(((Шины[Щит]=A277)+(Шины[Щит]=""))&gt;0),Шины[Тип]),"")&amp;"",IF(_xlpm.t&lt;&gt;"",_xlpm.t,IF(ISNUMBER(SEARCH("ИБП",FM277)),"ИБП",IF(ISNUMBER(SEARCH("ДГУ",FM277)),"ДГУ","Ввод "&amp;FN277)))))</f>
        <v>Ввод 1</v>
      </c>
      <c r="FP277" t="str">
        <f t="shared" si="565"/>
        <v>Ввод 1</v>
      </c>
      <c r="FQ277" t="str">
        <f>IF(B277="","",IF(OR(FO277="ИБП",FO277="ДГУ"),"I особая",IF(FO277="Одиночная","III",_xlfn.XLOOKUP(A277,Щиты[Щит],Щиты[Категория шины «Ввод»],"III"))))</f>
        <v>II</v>
      </c>
      <c r="FR277">
        <f>IF(B277="",0,IFERROR(MATCH(FJ277,{"III","II","I","I особая"},0),1))</f>
        <v>2</v>
      </c>
      <c r="FS277">
        <f t="shared" si="566"/>
        <v>2</v>
      </c>
      <c r="FT277" t="str">
        <f>IF(B277="","",IF(FR277&gt;IFERROR(MATCH(FQ277,{"III","II","I","I особая"},0),1),"НЕ ОБЕСПЕЧЕНА","ОК"))</f>
        <v>ОК</v>
      </c>
      <c r="FU277" t="str">
        <f>IF(A277="","",_xlfn.XLOOKUP(A277,Щиты[Щит],Щиты[Путь],""))</f>
        <v>|ГРЩ-ЖД|ЩР-1|</v>
      </c>
      <c r="FV277" t="str">
        <f>IF(B277="","",IF(AE277&lt;&gt;"",AE277,IF(IFERROR(_xlfn.XLOOKUP(AX277,Коды_код,Коды_вид)&amp;"","")="","Прочее",_xlfn.XLOOKUP(AX277,Коды_код,Коды_вид)&amp;"")))</f>
        <v>Розеточная сеть и бытовые приборы</v>
      </c>
      <c r="FW277">
        <f>IF(BH277="","",INT((BH277-1)/Столбцов_на_лист)+1)</f>
        <v>5</v>
      </c>
      <c r="FX277" t="str">
        <f t="shared" si="567"/>
        <v>ВВГнг(А)-LS (3х2,5) L=9-0,08%</v>
      </c>
      <c r="FY277">
        <f t="shared" si="568"/>
        <v>0.23</v>
      </c>
      <c r="FZ277">
        <f t="shared" si="569"/>
        <v>1.05</v>
      </c>
      <c r="GA277">
        <f t="shared" si="570"/>
        <v>1</v>
      </c>
      <c r="GB277">
        <f t="shared" si="571"/>
        <v>0</v>
      </c>
      <c r="GC277">
        <f t="shared" si="572"/>
        <v>1</v>
      </c>
      <c r="GD277">
        <f>IF(BH277="","",IF(AND(CA277=1,GC277=1),COUNTIFS(A$3:A277,A277,CA$3:CA277,1,GC$3:GC277,1),IF(OR(OR(AW277=1,A277&lt;&gt;A276),AF277="вручную",GC277=0),"",IF(AW277=1,"",GE276))))</f>
        <v>53</v>
      </c>
      <c r="GE277">
        <f t="shared" si="573"/>
        <v>53</v>
      </c>
      <c r="GF277">
        <f>IF(B277="","",IFERROR(LOOKUP(INDEX(CHOOSE(DL277,Iдоп_1ж,Iдоп_2ж,Iдоп_3ж),MATCH(DX277,Iдоп_S,0))*DJ277*DK277,{6,10,16,20,25,32,40,50,63,80,100,125,160,200,250,315,400,500,630}),""))</f>
        <v>25</v>
      </c>
      <c r="GG277" t="str">
        <f t="shared" si="574"/>
        <v>QFD53</v>
      </c>
      <c r="GH277" t="str">
        <f t="shared" si="575"/>
        <v>QFD53</v>
      </c>
      <c r="GI277" t="str">
        <f t="shared" si="576"/>
        <v/>
      </c>
      <c r="GJ277">
        <f t="shared" si="577"/>
        <v>0</v>
      </c>
      <c r="GK277" t="str">
        <f>IF(OR(AG277="",AG277="-"),"",IFERROR(VLOOKUP(AG277,Модули_спр,2,FALSE),"R"))</f>
        <v/>
      </c>
      <c r="GL277" t="str">
        <f>IF(GK277="","",GK277&amp;"."&amp;COUNTIFS(A$3:A277,A277,GK$3:GK277,GK277))</f>
        <v/>
      </c>
      <c r="GM277" t="str">
        <f t="shared" si="578"/>
        <v/>
      </c>
      <c r="GN277" t="str">
        <f t="shared" si="579"/>
        <v/>
      </c>
      <c r="GO277" t="str">
        <f t="shared" si="580"/>
        <v/>
      </c>
      <c r="GP277" t="str">
        <f t="shared" si="581"/>
        <v/>
      </c>
      <c r="GQ277">
        <f t="shared" si="582"/>
        <v>1</v>
      </c>
      <c r="GR277" t="str">
        <f>IF(GQ277=1,"XT"&amp;COUNTIFS(A$3:A277,A277,GQ$3:GQ277,1),"")</f>
        <v>XT53</v>
      </c>
      <c r="GS277" t="str">
        <f t="shared" si="583"/>
        <v>XT53</v>
      </c>
      <c r="GT277" t="str">
        <f t="shared" si="584"/>
        <v>QFD53</v>
      </c>
      <c r="GU277" t="str">
        <f t="shared" si="585"/>
        <v/>
      </c>
      <c r="GV277" t="str">
        <f t="shared" si="586"/>
        <v>ok</v>
      </c>
      <c r="GW277" t="str">
        <f>IF(OR(GO277="",GM277=""),"",IF(GO277&gt;IFERROR(VLOOKUP(GN277,Модули_спр,3,FALSE),99),"ЛИШНИЙ КАНАЛ",IF(AND(AH277&lt;&gt;"=",COUNTIFS(Линии[_модуль гр.],GM277,Линии[Канал (итог)],GO277,Линии[Канал],"&lt;&gt;=",Линии[Щит],A277)&gt;1),"ДУБЛЬ КАНАЛА","")))</f>
        <v/>
      </c>
      <c r="GX277" s="6" t="str">
        <f t="shared" si="587"/>
        <v/>
      </c>
      <c r="GY277">
        <f t="shared" si="588"/>
        <v>10</v>
      </c>
      <c r="GZ277" t="str">
        <f t="shared" si="589"/>
        <v/>
      </c>
      <c r="HA277" t="str">
        <f>IF(AND(B277="",GT277=""),"",_xlfn.TEXTJOIN("; ",TRUE,IF(AND(B277&lt;&gt;"",FE277=""),"нет фазы",""),IF(AND(B277&lt;&gt;"",N(FY277)=0,EQ277&lt;&gt;"Нет"),"нет мощности",""),IF(AND(GS277&lt;&gt;"",COUNTIFS(Линии[Щит],A277,Линии[Клемма (итог)],GS277)&gt;1),"дубль клеммы "&amp;GS277,""),IF(AND(GV277&lt;&gt;"",GV277&lt;&gt;"ok"),GV277,""),IF(GW277&lt;&gt;"",GW277,""),IF(AND(N(BV277)&gt;=4,N(BR277)=1),BV277&amp;" жил на 1 фазе",""),IF(AND(AX277="R",CA277=1,OR(N(CK277)=0,N(CK277)&gt;30)),"розетка без дифзащиты до 30 мА",""),IFERROR(IF(AND(ISNUMBER(R277),R277&gt;DV277),"потери "&amp;FIXED(R277,1)&amp;" % &gt; "&amp;DV277&amp;" %",""),""),IFERROR(IF(LEFT(GZ277,4)="мало","Iкз мало — отключение &gt; 0,4 с",""),""),IF(AND(B277&lt;&gt;"",BH277=""),"не на схеме",""),IF(AND(CA277=0,B277&lt;&gt;"",FE277&lt;&gt;"",IF(AW277=1,"",FF276)&lt;&gt;"",FE277&lt;&gt;IF(AW277=1,"",FF276)),"фаза не как у автомата группы ("&amp;IF(AW277=1,"",FF276)&amp;")","")))</f>
        <v/>
      </c>
      <c r="HB277" s="6">
        <f>IF(OR(CA277=0,DA277=""),"",_xlfn.LET(_xlpm.t,IFERROR(_xlfn.XLOOKUP(DA277,Каталог!$U$4:$U$500,Каталог!$G$4:$G$500),""),_xlpm.k,SEARCH("кА",_xlpm.t),IFERROR(--TRIM(RIGHT(SUBSTITUTE(MID(_xlpm.t,MAX(1,_xlpm.k-4),_xlpm.k-MAX(1,_xlpm.k-4))," ",REPT(" ",9)),5)),"")))</f>
        <v>6</v>
      </c>
      <c r="HC277" t="str">
        <f>IF(OR(HB277="",CA277=0),"",IF(_xlfn.XLOOKUP(A277,Щиты[Щит],Щиты[Iкз max на шинах, кА],"")="","",IF(HB277&lt;_xlfn.XLOOKUP(A277,Щиты[Щит],Щиты[Iкз max на шинах, кА]),"Icu "&amp;HB277&amp;" кА &lt; Iкз max","ok")))</f>
        <v/>
      </c>
      <c r="HD277" t="str">
        <f t="shared" si="590"/>
        <v/>
      </c>
      <c r="HE277" t="str">
        <f t="shared" si="591"/>
        <v>QFD53|XT53</v>
      </c>
      <c r="HF277" t="str">
        <f t="shared" si="592"/>
        <v>QFD53|XT53|кабель ВВГнг(А)-LS (3х2,5) → Розеточная группа Первый этаж Пом. №002Б Холодильник</v>
      </c>
      <c r="HG277" t="str" cm="1">
        <f t="array" ref="HG277">IF(HF277="","",_xlfn.LET(_xlpm.nd,_xlfn.TEXTSPLIT(HF277,"|"),IF(COLUMNS(_xlpm.nd)&gt;1,A277&amp;"¦"&amp;INDEX(_xlpm.nd,1)&amp;"¦"&amp;INDEX(_xlpm.nd,2),"")))</f>
        <v>ЩР-1¦QFD53¦XT53</v>
      </c>
      <c r="HH277" t="str">
        <f t="shared" si="593"/>
        <v>R.1.002Б.9¦Розеточная группа Первый этаж Пом. №002Б Холодильник</v>
      </c>
      <c r="HI277" t="str" cm="1">
        <f t="array" ref="HI277">IF(HF277="","",_xlfn.LET(_xlpm.nd,_xlfn.TEXTSPLIT(HF277,"|"),IF(COLUMNS(_xlpm.nd)&gt;2,A277&amp;"¦"&amp;INDEX(_xlpm.nd,2)&amp;"¦"&amp;INDEX(_xlpm.nd,3),"")))</f>
        <v>ЩР-1¦XT53¦кабель ВВГнг(А)-LS (3х2,5) → Розеточная группа Первый этаж Пом. №002Б Холодильник</v>
      </c>
      <c r="HJ277" t="str">
        <f t="shared" si="594"/>
        <v>R.1.002Б.9¦Розеточная группа Первый этаж Пом. №002Б Холодильник</v>
      </c>
      <c r="HK277" t="str" cm="1">
        <f t="array" ref="HK277">IF(HF277="","",_xlfn.LET(_xlpm.nd,_xlfn.TEXTSPLIT(HF277,"|"),IF(COLUMNS(_xlpm.nd)&gt;3,A277&amp;"¦"&amp;INDEX(_xlpm.nd,3)&amp;"¦"&amp;INDEX(_xlpm.nd,4),"")))</f>
        <v/>
      </c>
      <c r="HL277" t="str">
        <f t="shared" si="595"/>
        <v/>
      </c>
      <c r="HM277" t="str" cm="1">
        <f t="array" ref="HM277">IF(HF277="","",_xlfn.LET(_xlpm.nd,_xlfn.TEXTSPLIT(HF277,"|"),IF(COLUMNS(_xlpm.nd)&gt;4,A277&amp;"¦"&amp;INDEX(_xlpm.nd,4)&amp;"¦"&amp;INDEX(_xlpm.nd,5),"")))</f>
        <v/>
      </c>
      <c r="HN277" t="str">
        <f t="shared" si="596"/>
        <v/>
      </c>
      <c r="HO277" t="str" cm="1">
        <f t="array" ref="HO277">IF(HF277="","",_xlfn.LET(_xlpm.nd,_xlfn.TEXTSPLIT(HF277,"|"),IF(COLUMNS(_xlpm.nd)&gt;5,A277&amp;"¦"&amp;INDEX(_xlpm.nd,5)&amp;"¦"&amp;INDEX(_xlpm.nd,6),"")))</f>
        <v/>
      </c>
      <c r="HP277" t="str">
        <f t="shared" si="597"/>
        <v/>
      </c>
      <c r="HQ277" t="str" cm="1">
        <f t="array" ref="HQ277">IF(HF277="","",_xlfn.LET(_xlpm.nd,_xlfn.TEXTSPLIT(HF277,"|"),IF(COLUMNS(_xlpm.nd)&gt;6,A277&amp;"¦"&amp;INDEX(_xlpm.nd,6)&amp;"¦"&amp;INDEX(_xlpm.nd,7),"")))</f>
        <v/>
      </c>
      <c r="HR277" t="str">
        <f t="shared" si="598"/>
        <v/>
      </c>
      <c r="HS277" t="str">
        <f t="shared" si="599"/>
        <v/>
      </c>
      <c r="HT277" t="str">
        <f t="shared" si="600"/>
        <v>QFD53 → XT53</v>
      </c>
      <c r="HU277">
        <f t="shared" si="601"/>
        <v>0</v>
      </c>
      <c r="HV277">
        <f t="shared" si="602"/>
        <v>1</v>
      </c>
      <c r="HW277" t="str">
        <f t="shared" si="603"/>
        <v/>
      </c>
      <c r="HX277" t="str">
        <f t="shared" si="604"/>
        <v/>
      </c>
      <c r="HY277" t="str">
        <f t="shared" si="605"/>
        <v/>
      </c>
      <c r="HZ277" t="str">
        <f t="shared" si="606"/>
        <v/>
      </c>
      <c r="IA277" t="str">
        <f>IF(B277="","",IFERROR(VLOOKUP(B277,УГО_спр,2,FALSE),IFERROR(VLOOKUP(AX277,УГО_спр,2,FALSE),IFERROR(VLOOKUP(LEFT(AX277,2),УГО_спр,2,FALSE),""))))</f>
        <v>Розетка</v>
      </c>
      <c r="IB277" t="str">
        <f>IF(B277="","",IF(OR(IA277="",IA277=0),"BOX",IFERROR(IF(VLOOKUP(IA277,УГО_блоки,3,FALSE)&amp;""&lt;&gt;"",VLOOKUP(IA277,УГО_блоки,3,FALSE),VLOOKUP(IA277,УГО_блоки,2,FALSE)),IA277)))</f>
        <v>SOCKET</v>
      </c>
      <c r="IC277">
        <f t="shared" si="607"/>
        <v>1</v>
      </c>
      <c r="ID277" t="str">
        <f>IF(DA277="","",IF(COUNTIF(DA$3:DA277,DA277)=1,MAX(ID$2:ID276)+1,""))</f>
        <v/>
      </c>
      <c r="IE277" t="str">
        <f>IF(CO277="","",IF(COUNTIF(CO$3:CO277,CO277)+COUNTIF(CP$2:CP276,CO277)+COUNTIF(CQ$2:CQ276,CO277)=1,MAX(IE$2:IG276)+1,""))</f>
        <v/>
      </c>
      <c r="IF277" t="str">
        <f>IF(CP277="","",IF(COUNTIF(CO$3:CO277,CP277)+COUNTIF(CP$3:CP277,CP277)+COUNTIF(CQ$2:CQ276,CP277)=1,MAX(IE$2:IG276,IE277)+1,""))</f>
        <v/>
      </c>
      <c r="IG277" t="str">
        <f>IF(CQ277="","",IF(COUNTIF(CO$3:CO277,CQ277)+COUNTIF(CP$3:CP277,CQ277)+COUNTIF(CQ$3:CQ277,CQ277)=1,MAX(IE$2:IG276,IE277,IF277)+1,""))</f>
        <v/>
      </c>
      <c r="IH277" t="str">
        <f t="shared" si="608"/>
        <v>3х2,5</v>
      </c>
      <c r="II277" t="str">
        <f>IF(IH277="","",IF(COUNTIF(IH$3:IH277,IH277)=1,MAX(II$2:II276)+1,""))</f>
        <v/>
      </c>
      <c r="IJ277" t="str">
        <f>IF(GL277="","",COUNTIF(GL$3:GL277,"?*"))</f>
        <v/>
      </c>
      <c r="IK277" t="str">
        <f>IF(OR(GL277="",GN277=""),"",IF(COUNTIFS(GL$3:GL277,"?*",GN$3:GN277,GN277)=1,MAX(IK$2:IK276)+1,""))</f>
        <v/>
      </c>
      <c r="IL277">
        <f t="shared" si="609"/>
        <v>0</v>
      </c>
      <c r="IM277">
        <f>IF(B277="","",COUNTIF(B$3:B277,"?*"))</f>
        <v>275</v>
      </c>
      <c r="IN277">
        <f>IF(GQ277&lt;&gt;1,0,_xlfn.LET(_xlpm.k,MAX(IFERROR(--VLOOKUP(B277,УГО_спр,5,FALSE),0),IFERROR(--VLOOKUP(AX277,УГО_спр,5,FALSE),0),IFERROR(--VLOOKUP(LEFT(AX277,2),УГО_спр,5,FALSE),0)),IF(_xlpm.k&gt;0,_xlpm.k,IF(IFERROR(--LEFT(SUBSTITUTE(IH277,"x","х"),FIND("х",SUBSTITUTE(IH277,"x","х"))-1),3)&gt;3,Каталог!$S$9,1))))</f>
        <v>1</v>
      </c>
      <c r="IO277">
        <f t="shared" si="610"/>
        <v>0</v>
      </c>
      <c r="IP277" t="str">
        <f t="shared" si="611"/>
        <v>авто</v>
      </c>
      <c r="IQ277">
        <f t="shared" si="612"/>
        <v>30</v>
      </c>
      <c r="IR277">
        <f t="shared" si="613"/>
        <v>1</v>
      </c>
      <c r="IS277">
        <f t="shared" si="614"/>
        <v>1</v>
      </c>
    </row>
    <row r="278" spans="1:253" x14ac:dyDescent="0.3">
      <c r="A278" t="s">
        <v>759</v>
      </c>
      <c r="B278" t="s">
        <v>1543</v>
      </c>
      <c r="C278" t="str">
        <f>Линии[[#This Row],[_авто наименование]]</f>
        <v>Розеточная группа, пом. 002Б</v>
      </c>
      <c r="D278">
        <v>1</v>
      </c>
      <c r="E278">
        <v>0.12</v>
      </c>
      <c r="G278" t="str">
        <f>Линии[[#This Row],[_авто автомат]]</f>
        <v>2P С16А 30мА</v>
      </c>
      <c r="H278">
        <f>Линии[[#This Row],[_авто утечка]]</f>
        <v>30</v>
      </c>
      <c r="I278" t="str">
        <f>Линии[[#This Row],[_авто управление]]</f>
        <v/>
      </c>
      <c r="J278" t="str">
        <f>Линии[[#This Row],[_авто аппараты]]</f>
        <v/>
      </c>
      <c r="K278">
        <v>2.5</v>
      </c>
      <c r="L278">
        <v>6</v>
      </c>
      <c r="M278" t="str">
        <f>Линии[[#This Row],[_авто фаза]]</f>
        <v>L1</v>
      </c>
      <c r="N278" t="str">
        <f>Линии[[#This Row],[_авто клемма]]</f>
        <v>XT54</v>
      </c>
      <c r="O278" t="str">
        <f t="shared" si="492"/>
        <v/>
      </c>
      <c r="P278" s="6" cm="1">
        <f t="array" ref="P278">IF(B278="","",IF(BC278&lt;&gt;"",IFERROR(_xlfn.XLOOKUP(BC278,Щиты[Щит],Щиты[Iр, А]),""),IF(BK278=1,IFERROR(_xlfn.XLOOKUP(A278,Щиты[Щит],Щиты[Iр, А]),""),IFERROR(_xlfn.IFS(BR278=1,BN278/((Uн_лин/SQRT(3))*BY278),BR278=3,BN278/(SQRT(3)*Uн_лин*BY278)),""))))</f>
        <v>0.54696341291648753</v>
      </c>
      <c r="Q278" s="7">
        <f>IF(B278="","",IFERROR(IF(VLOOKUP(AX278,Потребители_обозначение,4,FALSE)=1,VLOOKUP(AX278,Потребители_обозначение,3,FALSE)*(D278*2-1)+DS278+VLOOKUP(AZ278,Этаж_обозначение,3,FALSE)+VLOOKUP(AZ278,Этаж_обозначение,4,FALSE),VLOOKUP(AX278,Потребители_обозначение,3,FALSE)*(D278*2-1)+DS278),DS278))</f>
        <v>9</v>
      </c>
      <c r="R278" s="6">
        <f t="shared" si="493"/>
        <v>1.23</v>
      </c>
      <c r="S278" t="str">
        <f t="shared" si="494"/>
        <v>ВВГнг(А)-LS (3х2,5)</v>
      </c>
      <c r="T278" t="str">
        <f>IF(BH278="","",IF(BI278="вводной узел","узел ","")&amp;"л."&amp;(INT((BH278-1)/Столбцов_на_лист)+1)&amp;" / "&amp;(MOD(BH278-1,Столбцов_на_лист)+1))</f>
        <v>л.5 / 11</v>
      </c>
      <c r="V278">
        <v>1</v>
      </c>
      <c r="W278">
        <v>230</v>
      </c>
      <c r="X278" t="s">
        <v>564</v>
      </c>
      <c r="AC278" t="s">
        <v>815</v>
      </c>
      <c r="AE278" t="s">
        <v>563</v>
      </c>
      <c r="AI278">
        <v>79</v>
      </c>
      <c r="AJ278" t="s">
        <v>11</v>
      </c>
      <c r="AK278">
        <v>3</v>
      </c>
      <c r="AM278">
        <v>0</v>
      </c>
      <c r="AN278">
        <v>0</v>
      </c>
      <c r="AO278">
        <v>6</v>
      </c>
      <c r="AW278" cm="1">
        <f t="array" ref="AW278">ROW()-ROW(Линии[#Headers])</f>
        <v>276</v>
      </c>
      <c r="AX278" s="6" t="str">
        <f t="shared" si="495"/>
        <v>R</v>
      </c>
      <c r="AY278" t="str">
        <f t="shared" si="496"/>
        <v>1.002Б.10</v>
      </c>
      <c r="AZ278" t="str">
        <f t="shared" si="497"/>
        <v>1</v>
      </c>
      <c r="BA278" t="str">
        <f t="shared" si="498"/>
        <v>002Б.10</v>
      </c>
      <c r="BB278" t="str">
        <f t="shared" si="499"/>
        <v>002Б</v>
      </c>
      <c r="BC278" t="str">
        <f>IF(U278&lt;&gt;"",U278,IF(AND(B278&lt;&gt;"",B278&lt;&gt;A278,ISNUMBER(_xlfn.XMATCH(B278,Щиты[Щит]))),B278,""))</f>
        <v/>
      </c>
      <c r="BD278" t="str" cm="1">
        <f t="array" ref="BD278">IF(B278="","",IF(BC278&lt;&gt;"","Щит "&amp;BC278,_xlfn.LET(_xlpm.nm,IFERROR(_xlfn.XLOOKUP(AX278,Коды_код,Коды_имя)&amp;"",""),_xlpm.md,IFERROR(N(_xlfn.XLOOKUP(AX278,Коды_код,Коды_режим)),1),_xlpm.ex,IF(Имя_режим="по экспликации",IFERROR(_xlfn.XLOOKUP(AZ278&amp;"|"&amp;BB278,Экспликация[Этаж]&amp;"|"&amp;Экспликация[Помещение],Экспликация[Название])&amp;"",""),""),_xlpm.rm,IF(BB278="","",IF(_xlpm.ex&lt;&gt;"",". "&amp;_xlpm.ex&amp;IF(Имя_пом="нет"," ("&amp;BB278&amp;")"," (пом. "&amp;BB278&amp;")"),IF(Имя_пом="нет"," ",", пом. ")&amp;BB278)),IF(_xlpm.nm="","",IF(_xlpm.md=2,_xlpm.nm&amp;" шлейф "&amp;AZ278,_xlpm.nm&amp;_xlpm.rm)))))</f>
        <v>Розеточная группа, пом. 002Б</v>
      </c>
      <c r="BE278" t="str">
        <f t="shared" si="500"/>
        <v>Розеточная группа, пом. 002Б</v>
      </c>
      <c r="BF278">
        <f>IFERROR(_xlfn.XMATCH(A278,Щиты[Щит]),0)</f>
        <v>10</v>
      </c>
      <c r="BG278">
        <f>_xlfn.LET(_xlpm.k,IFERROR(_xlfn.XLOOKUP(A278,Щиты[Щит],Щиты[Листов под вводной узел]),""),IF(_xlpm.k="",1,N(_xlpm.k))*Столбцов_на_лист)</f>
        <v>17</v>
      </c>
      <c r="BH278">
        <f t="shared" si="501"/>
        <v>79</v>
      </c>
      <c r="BI278" t="str">
        <f t="shared" si="502"/>
        <v>линии</v>
      </c>
      <c r="BJ278" s="6">
        <f>IFERROR(N(_xlfn.XLOOKUP(AX278,Коды_код,Коды_квт)),0)</f>
        <v>0</v>
      </c>
      <c r="BK278">
        <f t="shared" si="503"/>
        <v>0</v>
      </c>
      <c r="BL278" t="str">
        <f>IF(B278="","",IF(BC278&lt;&gt;"",IFERROR(_xlfn.XLOOKUP(BC278,Щиты[Щит],Щиты[Руст, кВт]),0),IF(BK278=1,IFERROR(_xlfn.XLOOKUP(A278,Щиты[Щит],Щиты[Руст, кВт]),0),IF(BJ278&gt;0,ROUND(BJ278*MAX(1,N(D278)),3),""))))</f>
        <v/>
      </c>
      <c r="BM278">
        <f t="shared" si="504"/>
        <v>0.12</v>
      </c>
      <c r="BN278" s="6">
        <f>IF(B278="","",IF(BC278&lt;&gt;"",IFERROR(_xlfn.XLOOKUP(BC278,Щиты[Щит],Щиты[Руст, кВт]),0),N(BM278)))</f>
        <v>0.12</v>
      </c>
      <c r="BO278" t="str">
        <f>IF(B278="","",IFERROR(IF(VLOOKUP(AX278,Потребители_обозначение,8,FALSE)=0,"",VLOOKUP(AX278,Потребители_обозначение,8,FALSE)),""))</f>
        <v/>
      </c>
      <c r="BP278">
        <f t="shared" si="505"/>
        <v>230</v>
      </c>
      <c r="BQ278">
        <f>IF(B278="","",IF(BC278&lt;&gt;"",3,IFERROR(IF(N(VLOOKUP(AX278,Потребители_обозначение,9,FALSE))=0,1,VLOOKUP(AX278,Потребители_обозначение,9,FALSE)),1)))</f>
        <v>1</v>
      </c>
      <c r="BR278">
        <f t="shared" si="506"/>
        <v>1</v>
      </c>
      <c r="BS278" t="str">
        <f>IF(B278="","",_xlfn.LET(_xlpm.bc,IFERROR(IF(VLOOKUP(AX278,Потребители_обозначение,6,FALSE)=0,"",VLOOKUP(AX278,Потребители_обозначение,6,FALSE)&amp;""),""),IF(AND(FK278="да",OR(_xlpm.bc="",_xlpm.bc="мс")),Марка_пож,IF(AND(_xlpm.bc="",BC278&lt;&gt;""),"мс",_xlpm.bc))))</f>
        <v/>
      </c>
      <c r="BT278" t="str">
        <f t="shared" si="507"/>
        <v>мс</v>
      </c>
      <c r="BU278">
        <f>IF(B278="","",_xlfn.LET(_xlpm.cc,IFERROR(N(VLOOKUP(AX278,Потребители_обозначение,7,FALSE)),0),IF(_xlpm.cc&gt;0,_xlpm.cc,IF(BT278="","",IF(N(BR278)=3,5,3)))))</f>
        <v>3</v>
      </c>
      <c r="BV278">
        <f t="shared" si="508"/>
        <v>3</v>
      </c>
      <c r="BW278">
        <f>IFERROR(N(VLOOKUP(AX278,Потребители_обозначение,10,FALSE)),0)</f>
        <v>0</v>
      </c>
      <c r="BX278">
        <f>IFERROR(VLOOKUP(AX278,Потребители_обозначение,5,FALSE),0)</f>
        <v>1</v>
      </c>
      <c r="BY278" s="6" cm="1">
        <f t="array" ref="BY278">IF(B278="","",IF(BC278&lt;&gt;"",IFERROR(_xlfn.XLOOKUP(BC278,Щиты[Щит],Щиты[cos φ]),0.95),IF(BK278=1,IFERROR(_xlfn.XLOOKUP(A278,Щиты[Щит],Щиты[cos φ]),0.95),IF(ISNUMBER(Z278),Z278,IFERROR(IF(BX278=2,_xlfn.IFS(BR278=3,VLOOKUP(BN278,Справочная_двигатели,8,FALSE),BR278=1,VLOOKUP(BN278,Справочная_двигатели,10,TRUE)),IF(AND(Методика="нормы 2026",EQ278="Сил"),0.8,0.95)),0.95)))))</f>
        <v>0.95</v>
      </c>
      <c r="BZ278">
        <f t="shared" si="509"/>
        <v>0</v>
      </c>
      <c r="CA278">
        <f t="shared" si="510"/>
        <v>1</v>
      </c>
      <c r="CB278">
        <f t="shared" si="511"/>
        <v>0</v>
      </c>
      <c r="CC278">
        <f t="shared" si="512"/>
        <v>0</v>
      </c>
      <c r="CD278">
        <f t="shared" si="513"/>
        <v>0</v>
      </c>
      <c r="CE278">
        <f t="shared" si="514"/>
        <v>0</v>
      </c>
      <c r="CF278">
        <f t="shared" si="515"/>
        <v>0</v>
      </c>
      <c r="CG278">
        <f>IF(AX278="",0,_xlfn.LET(_xlpm.v,IFERROR(VLOOKUP(B278,УГО_спр,3,FALSE),IFERROR(VLOOKUP(AX278,УГО_спр,3,FALSE),IFERROR(VLOOKUP(LEFT(AX278,2),УГО_спр,3,FALSE),""))),IF(_xlpm.v="да",30,IF(ISNUMBER(_xlpm.v),_xlpm.v,0))))</f>
        <v>30</v>
      </c>
      <c r="CH278">
        <f t="shared" si="516"/>
        <v>30</v>
      </c>
      <c r="CI278" t="str">
        <f>_xlfn.LET(_xlpm.k,IFERROR(_xlfn.XLOOKUP(AX278,Коды_код,Коды_утечка)&amp;"",""),IF(_xlpm.k="","дифавтомат",_xlpm.k))</f>
        <v>дифавтомат</v>
      </c>
      <c r="CJ278">
        <f t="shared" si="517"/>
        <v>30</v>
      </c>
      <c r="CK278">
        <f t="shared" si="518"/>
        <v>30</v>
      </c>
      <c r="CL278">
        <f>IF(B278="",0,IFERROR(--VLOOKUP(B278,УГО_спр,4,FALSE),IFERROR(--VLOOKUP(AX278,УГО_спр,4,FALSE),IFERROR(--VLOOKUP(LEFT(AX278,2),УГО_спр,4,FALSE),0))))</f>
        <v>16</v>
      </c>
      <c r="CM278" t="str">
        <f>IF(B278="","",IFERROR(_xlfn.XLOOKUP(AX278,Коды_код,Коды_апп)&amp;"",""))</f>
        <v/>
      </c>
      <c r="CN278" t="str">
        <f t="shared" si="519"/>
        <v/>
      </c>
      <c r="CO278" t="str" cm="1">
        <f t="array" ref="CO278">IF(TRIM(CN278&amp;"")="","",IFERROR(TRIM(INDEX(_xlfn.TEXTSPLIT(CN278&amp;";;;",";"),1)),""))</f>
        <v/>
      </c>
      <c r="CP278" t="str" cm="1">
        <f t="array" ref="CP278">IF(TRIM(CN278&amp;"")="","",IFERROR(TRIM(INDEX(_xlfn.TEXTSPLIT(CN278&amp;";;;",";"),2)),""))</f>
        <v/>
      </c>
      <c r="CQ278" t="str" cm="1">
        <f t="array" ref="CQ278">IF(TRIM(CN278&amp;"")="","",IFERROR(TRIM(INDEX(_xlfn.TEXTSPLIT(CN278&amp;";;;",";"),3)),""))</f>
        <v/>
      </c>
      <c r="CR278">
        <f t="shared" si="520"/>
        <v>0</v>
      </c>
      <c r="CS278" t="str">
        <f>IF(B278="","",_xlfn.LET(_xlpm.t,LOWER(AV278&amp;""),IF(ISNUMBER(SEARCH("dim",_xlpm.t)),"DIM",IF(ISNUMBER(SEARCH("dali",_xlpm.t)),"DALI",IF(OR(ISNUMBER(SEARCH("relay",_xlpm.t)),ISNUMBER(SEARCH("реле",_xlpm.t))),"Relay",IF(ISNUMBER(SEARCH("кнопк",_xlpm.t)),"",IFERROR(_xlfn.XLOOKUP(AX278,Коды_код,Коды_упр)&amp;"","")))))))</f>
        <v/>
      </c>
      <c r="CT278" t="str">
        <f t="shared" si="521"/>
        <v/>
      </c>
      <c r="CU278">
        <f>IF(B278="","",_xlfn.LET(_xlpm.ig,N(P278)+IF(AF278="вручную",0,N(CB278)),_xlpm.n0,IFERROR(VLOOKUP(_xlpm.ig,Автомат_номиналы,2,TRUE),0),_xlpm.mn,MAX(CL278,IF(AF278="вручную",0,N(CE278))),MAX(_xlpm.n0,_xlpm.mn,IF(CR278=1,Мин_автомат_БП,0))))</f>
        <v>16</v>
      </c>
      <c r="CV278">
        <f t="shared" si="522"/>
        <v>1</v>
      </c>
      <c r="CW278" t="str">
        <f t="shared" si="523"/>
        <v>2P</v>
      </c>
      <c r="CX278" t="str">
        <f>_xlfn.LET(_xlpm.cc,UPPER(TRIM(IFERROR(_xlfn.XLOOKUP(AX278,Коды_код,Коды_хар)&amp;"",""))),IF(OR(_xlpm.cc="B",_xlpm.cc="В"),"B",IF(_xlpm.cc="D","D","С")))</f>
        <v>С</v>
      </c>
      <c r="CY278" t="str">
        <f t="shared" si="524"/>
        <v>2P С16А 30мА</v>
      </c>
      <c r="CZ278" t="str">
        <f t="shared" si="525"/>
        <v>2P С16А 30мА</v>
      </c>
      <c r="DA278" t="str">
        <f t="shared" si="526"/>
        <v>2P С16А 30мА</v>
      </c>
      <c r="DB278" cm="1">
        <f t="array" ref="DB278">IF(DA278="","",_xlfn.LET(_xlpm.t,SUBSTITUTE(SUBSTITUTE(SUBSTITUTE(UPPER(DA278),"С","C"),"А","A"),"В","B"),_xlpm.tk,_xlfn.TEXTSPLIT(_xlpm.t,"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8" t="str">
        <f t="shared" si="527"/>
        <v>ok</v>
      </c>
      <c r="DD278">
        <f t="shared" si="528"/>
        <v>16</v>
      </c>
      <c r="DE278" t="str">
        <f t="shared" si="529"/>
        <v>2P С16А 30мА</v>
      </c>
      <c r="DF278">
        <f t="shared" si="530"/>
        <v>30</v>
      </c>
      <c r="DG278">
        <f t="shared" si="531"/>
        <v>1</v>
      </c>
      <c r="DH278">
        <f t="shared" si="532"/>
        <v>0</v>
      </c>
      <c r="DI278">
        <f t="shared" si="533"/>
        <v>0.54696341291648753</v>
      </c>
      <c r="DJ278">
        <f t="shared" si="534"/>
        <v>1</v>
      </c>
      <c r="DK278">
        <f>IF(ISNUMBER(AL278),AL278,К_прокл)</f>
        <v>1</v>
      </c>
      <c r="DL278">
        <f t="shared" si="535"/>
        <v>2</v>
      </c>
      <c r="DM278">
        <f>IFERROR(N(VLOOKUP(BT278,Кабель_обозначение,3,FALSE)),1)</f>
        <v>1</v>
      </c>
      <c r="DN278">
        <f>IFERROR(N(_xlfn.XLOOKUP(A278,Щиты[Щит],Щиты[ΔU до шин, %])),0)</f>
        <v>1.19</v>
      </c>
      <c r="DO278" t="str">
        <f>IFERROR(_xlfn.XLOOKUP(A278,Щиты[Щит],Щиты[Zпетли на шинах, Ом]),"")</f>
        <v/>
      </c>
      <c r="DP278">
        <f>IFERROR(N(_xlfn.XLOOKUP(A278,Щиты[Щит],Щиты[ΔU до шин (подбор), %])),0)</f>
        <v>1.19</v>
      </c>
      <c r="DQ278" t="str">
        <f>IFERROR(_xlfn.XLOOKUP(A278,Щиты[Щит],Щиты[Zпетли на шинах (подбор), Ом]),"")</f>
        <v/>
      </c>
      <c r="DR278" t="str">
        <f t="shared" si="536"/>
        <v/>
      </c>
      <c r="DS278">
        <f t="shared" si="537"/>
        <v>6</v>
      </c>
      <c r="DT278">
        <f t="shared" si="538"/>
        <v>2</v>
      </c>
      <c r="DU278">
        <f t="shared" si="539"/>
        <v>0.31</v>
      </c>
      <c r="DV278" s="6">
        <f>IF(B278="","",IF(IFERROR(VLOOKUP(AX278,УГО_спр,2,FALSE),"")="Светильник",3,4)+IF(Методика="нормы 2026",MIN(0.5,MAX(0,N(Q278)-100)*0.005),0))</f>
        <v>4</v>
      </c>
      <c r="DW278" cm="1">
        <f t="array" ref="DW278">IF(OR(B278="",BT278="",DM278&lt;&gt;1),"",_xlfn.LET(_xlpm.sz,Iдоп_S,_xlpm.t_,CHOOSE(DL278,Iдоп_1ж,Iдоп_2ж,Iдоп_3ж)*DJ278*DK278,_xlpm.inn,N(DD278),_xlpm.smin,MAX(1.5,BW278),_xlpm.L_,N(Q278)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278)*(_xlpm.rho*_xlpm.L_/_xlpm.sz*N(BY278)+_xlpm.xx*_xlpm.L_*N(DU278)/1000)*N(P278)/((Uн_лин/SQRT(3))*1000)*100,999),_xlpm.kz,IF(OR(DG278=1,NOT(ISNUMBER(DQ278)),_xlpm.L_=0,_xlpm.inn=0),1,IFERROR(--(c_min*(Uн_лин*1000/SQRT(3))/(DQ278+2*ρкз_Cu*_xlpm.L_/_xlpm.sz)&gt;=GY278*_xlpm.inn),0)),_xlpm.ok,IFERROR((_xlpm.sz&gt;=_xlpm.smin)*(_xlpm.t_&gt;=_xlpm.inn)*IF(_xlpm.L_&gt;0,(_xlpm.du_+DP278&lt;=DV278+0.00001),1)*_xlpm.kz,0),_xlpm.r_,_xlfn._xlws.FILTER(_xlpm.sz,_xlpm.ok,"не подобрано"),INDEX(_xlpm.r_,1)))</f>
        <v>1.5</v>
      </c>
      <c r="DX278">
        <f t="shared" si="540"/>
        <v>2.5</v>
      </c>
      <c r="DY278" cm="1">
        <f t="array" ref="DY278">IF(OR(B278="",BT278="",DM278&lt;&gt;1),"",_xlfn.LET(_xlpm.sz,Iдоп_S,_xlpm.t_,CHOOSE(DL278,Iдоп_1ж,Iдоп_2ж,Iдоп_3ж)*DJ278*DK278,_xlpm.ok,IFERROR((_xlpm.sz&gt;=MAX(1.5,BW278))*(_xlpm.t_&gt;=N(DD278)),0),_xlpm.r_,_xlfn._xlws.FILTER(_xlpm.sz,_xlpm.ok,""),INDEX(_xlpm.r_,1)))</f>
        <v>1.5</v>
      </c>
      <c r="DZ278" s="6" cm="1">
        <f t="array" ref="DZ278">IFERROR(ROUNDUP(N(DT278)*(_xlfn.XLOOKUP(DY278,INDEX(Кабель_сопротивление,0,1),INDEX(Кабель_сопротивление,0,3))*N(Q278)/DY278*N(BY278)+_xlfn.XLOOKUP(DY278,INDEX(Кабель_сопротивление,0,1),INDEX(Кабель_сопротивление,0,2))*N(Q278)*N(DU278)/1000)*N(P278)/((Uн_лин/SQRT(3))*1000)*100,2),"")</f>
        <v>6.9999999999999993E-2</v>
      </c>
      <c r="EA278">
        <f>IFERROR(2*ρкз_Cu*N(Q278)/DY278,"")</f>
        <v>0.31559999999999999</v>
      </c>
      <c r="EB278">
        <f>IFERROR(VLOOKUP(DX278,Кабель_сопротивление,3,FALSE),"")</f>
        <v>2.2499999999999999E-2</v>
      </c>
      <c r="EC278">
        <f>IFERROR(VLOOKUP(DX278,Кабель_сопротивление,2,FALSE),"")</f>
        <v>0.1</v>
      </c>
      <c r="ED278">
        <f t="shared" si="541"/>
        <v>0</v>
      </c>
      <c r="EE278">
        <f t="shared" si="542"/>
        <v>6</v>
      </c>
      <c r="EF278">
        <f t="shared" si="543"/>
        <v>8.448287483225482E-2</v>
      </c>
      <c r="EG278" s="6">
        <f>IFERROR(ROUNDUP(EF278/((Uн_лин/SQRT(3))*1000)*100,2),"")</f>
        <v>0.04</v>
      </c>
      <c r="EH278" t="str">
        <f>IFERROR(VLOOKUP(BT278,Кабель_обозначение,2,FALSE),"")</f>
        <v>ВВГнг(А)-LS</v>
      </c>
      <c r="EI278" t="str">
        <f t="shared" si="544"/>
        <v>ВВГнг(А)-LS (3х2,5)</v>
      </c>
      <c r="EJ278" t="str">
        <f t="shared" si="545"/>
        <v>ВВГнг(А)-LS (3х2,5)
L=9-0,04%</v>
      </c>
      <c r="EK278">
        <f>IFERROR(2*ρкз_Cu*Q278/DX278,"")</f>
        <v>0.18936</v>
      </c>
      <c r="EL278">
        <f t="shared" si="546"/>
        <v>6.3000000000000014E-2</v>
      </c>
      <c r="EM278" s="6" t="str">
        <f>IFERROR(IF(OR(B278="",NOT(ISNUMBER(DX278)),N(Q278)=0),"",_xlfn.XLOOKUP(A278,Щиты[Щит],Щиты[Zпетли на шинах, Ом])+EK278),"")</f>
        <v/>
      </c>
      <c r="EN278" s="6" t="str">
        <f>IF(ISNUMBER(EM278),c_min*(Uн_лин*1000/SQRT(3))/EM278,"")</f>
        <v/>
      </c>
      <c r="EO278" s="6" t="str">
        <f>IFERROR(IF(OR(B278="",NOT(ISNUMBER(DX278))),"",1.05*(Uн_лин*1000/SQRT(3))/(_xlfn.XLOOKUP(A278,Щиты[Щит],Щиты[Zmax на шинах, Ом])+EL278)/1000),"")</f>
        <v/>
      </c>
      <c r="EP278" s="6" t="str">
        <f>IF(B278="","",IF(ISNUMBER(Y278),"Сил",IF(IFERROR(_xlfn.XLOOKUP(AX278,Коды_код,Коды_группа)&amp;"","")="","Быт",_xlfn.XLOOKUP(AX278,Коды_код,Коды_группа)&amp;"")))</f>
        <v>Быт</v>
      </c>
      <c r="EQ278" s="6" t="str">
        <f t="shared" si="547"/>
        <v>Быт</v>
      </c>
      <c r="ER278" s="6">
        <f>IF(EQ278="Щит","щит",IF(EQ278="","",IF(EQ278="Быт",IFERROR(_xlfn.XLOOKUP(A278,Щиты[Щит],Щиты[Кс быт]),1),IF(EQ278="Сил",IF(ISNUMBER(Y278),Y278,IF(Методика="нормы 2026",IFERROR(_xlfn.XLOOKUP(A278,Щиты[Щит],Щиты[Кс силовых (табл. 7.5)]),1),1)),IF(OR(EQ278="Пост",EQ278="Отоп"),1,IF(EQ278="ВНГ",0.7,0))))))</f>
        <v>0.57830000000000004</v>
      </c>
      <c r="ES278">
        <f t="shared" si="548"/>
        <v>1</v>
      </c>
      <c r="ET278">
        <f t="shared" si="549"/>
        <v>0.12</v>
      </c>
      <c r="EU278">
        <f t="shared" si="550"/>
        <v>0.12</v>
      </c>
      <c r="EV278">
        <f t="shared" si="551"/>
        <v>0</v>
      </c>
      <c r="EW278">
        <f t="shared" si="552"/>
        <v>0</v>
      </c>
      <c r="EX278">
        <f t="shared" si="553"/>
        <v>0</v>
      </c>
      <c r="EY278">
        <f t="shared" si="554"/>
        <v>0</v>
      </c>
      <c r="EZ278">
        <f t="shared" si="555"/>
        <v>0.12</v>
      </c>
      <c r="FA278">
        <f t="shared" si="556"/>
        <v>0.11399999999999999</v>
      </c>
      <c r="FB278">
        <f t="shared" si="557"/>
        <v>0.12</v>
      </c>
      <c r="FC278" t="str">
        <f t="shared" si="558"/>
        <v/>
      </c>
      <c r="FD278" t="str">
        <f>IF(B278="","",IF(CA278=0,IF(AW278=1,"",FF277),IF(OR(N(CV278)&gt;=3,N(BR278)&gt;=3),"L1,L2,L3",IFERROR(_xlfn.TEXTBEFORE(_xlfn.TEXTAFTER(_xlfn.XLOOKUP(A278,Щиты[Щит],Щиты[_фазы авто]),";"&amp;AW278&amp;":"),";"),"L1"))))</f>
        <v>L1</v>
      </c>
      <c r="FE278" t="str">
        <f t="shared" si="559"/>
        <v>L1</v>
      </c>
      <c r="FF278" t="str">
        <f t="shared" si="560"/>
        <v>L1</v>
      </c>
      <c r="FG278" cm="1">
        <f t="array" ref="FG278">IFERROR(IF(BX278=2,_xlfn.IFS(BR278=3,VLOOKUP(BN278,Справочная_двигатели,3,FALSE),BR278=1,VLOOKUP(BN278,Справочная_двигатели,5,TRUE)),0),0)</f>
        <v>0</v>
      </c>
      <c r="FH278">
        <f>IFERROR(IF(BX278=3,VLOOKUP(BN278,Справочная_ЛЭД,2,TRUE),0),0)</f>
        <v>0</v>
      </c>
      <c r="FI278" s="6">
        <f t="shared" si="561"/>
        <v>0</v>
      </c>
      <c r="FJ278" t="str" cm="1">
        <f t="array" ref="FJ278">IF(B278="","",IFERROR(INDEX({"I особая","I","II","III"},MATCH(TRIM(AC278&amp;""),{"I особая","I","II","III"},0)),"III"))</f>
        <v>II</v>
      </c>
      <c r="FK278" t="str">
        <f>IF(B278="","",IF(TRIM(AD278&amp;"")&lt;&gt;"",IF(LOWER(TRIM(AD278&amp;""))="да","да","нет"),IF(IFERROR(_xlfn.XLOOKUP(AX278,Коды_код,Коды_пожарная),"")="да","да","нет")))</f>
        <v>нет</v>
      </c>
      <c r="FL278" t="str">
        <f t="shared" si="562"/>
        <v/>
      </c>
      <c r="FM278" t="str">
        <f t="shared" si="563"/>
        <v>основная</v>
      </c>
      <c r="FN278">
        <f t="shared" si="564"/>
        <v>1</v>
      </c>
      <c r="FO278" t="str" cm="1">
        <f t="array" ref="FO278">IF(B278="","",_xlfn.LET(_xlpm.t,IFERROR(_xlfn.XLOOKUP(1,(Шины[Шина]=FM278)*(((Шины[Щит]=A278)+(Шины[Щит]=""))&gt;0),Шины[Тип]),"")&amp;"",IF(_xlpm.t&lt;&gt;"",_xlpm.t,IF(ISNUMBER(SEARCH("ИБП",FM278)),"ИБП",IF(ISNUMBER(SEARCH("ДГУ",FM278)),"ДГУ","Ввод "&amp;FN278)))))</f>
        <v>Ввод 1</v>
      </c>
      <c r="FP278" t="str">
        <f t="shared" si="565"/>
        <v>Ввод 1</v>
      </c>
      <c r="FQ278" t="str">
        <f>IF(B278="","",IF(OR(FO278="ИБП",FO278="ДГУ"),"I особая",IF(FO278="Одиночная","III",_xlfn.XLOOKUP(A278,Щиты[Щит],Щиты[Категория шины «Ввод»],"III"))))</f>
        <v>II</v>
      </c>
      <c r="FR278">
        <f>IF(B278="",0,IFERROR(MATCH(FJ278,{"III","II","I","I особая"},0),1))</f>
        <v>2</v>
      </c>
      <c r="FS278">
        <f t="shared" si="566"/>
        <v>2</v>
      </c>
      <c r="FT278" t="str">
        <f>IF(B278="","",IF(FR278&gt;IFERROR(MATCH(FQ278,{"III","II","I","I особая"},0),1),"НЕ ОБЕСПЕЧЕНА","ОК"))</f>
        <v>ОК</v>
      </c>
      <c r="FU278" t="str">
        <f>IF(A278="","",_xlfn.XLOOKUP(A278,Щиты[Щит],Щиты[Путь],""))</f>
        <v>|ГРЩ-ЖД|ЩР-1|</v>
      </c>
      <c r="FV278" t="str">
        <f>IF(B278="","",IF(AE278&lt;&gt;"",AE278,IF(IFERROR(_xlfn.XLOOKUP(AX278,Коды_код,Коды_вид)&amp;"","")="","Прочее",_xlfn.XLOOKUP(AX278,Коды_код,Коды_вид)&amp;"")))</f>
        <v>Розеточная сеть и бытовые приборы</v>
      </c>
      <c r="FW278">
        <f>IF(BH278="","",INT((BH278-1)/Столбцов_на_лист)+1)</f>
        <v>5</v>
      </c>
      <c r="FX278" t="str">
        <f t="shared" si="567"/>
        <v>ВВГнг(А)-LS (3х2,5) L=9-0,04%</v>
      </c>
      <c r="FY278">
        <f t="shared" si="568"/>
        <v>0.12</v>
      </c>
      <c r="FZ278">
        <f t="shared" si="569"/>
        <v>0.55000000000000004</v>
      </c>
      <c r="GA278">
        <f t="shared" si="570"/>
        <v>1</v>
      </c>
      <c r="GB278">
        <f t="shared" si="571"/>
        <v>0</v>
      </c>
      <c r="GC278">
        <f t="shared" si="572"/>
        <v>1</v>
      </c>
      <c r="GD278">
        <f>IF(BH278="","",IF(AND(CA278=1,GC278=1),COUNTIFS(A$3:A278,A278,CA$3:CA278,1,GC$3:GC278,1),IF(OR(OR(AW278=1,A278&lt;&gt;A277),AF278="вручную",GC278=0),"",IF(AW278=1,"",GE277))))</f>
        <v>54</v>
      </c>
      <c r="GE278">
        <f t="shared" si="573"/>
        <v>54</v>
      </c>
      <c r="GF278">
        <f>IF(B278="","",IFERROR(LOOKUP(INDEX(CHOOSE(DL278,Iдоп_1ж,Iдоп_2ж,Iдоп_3ж),MATCH(DX278,Iдоп_S,0))*DJ278*DK278,{6,10,16,20,25,32,40,50,63,80,100,125,160,200,250,315,400,500,630}),""))</f>
        <v>25</v>
      </c>
      <c r="GG278" t="str">
        <f t="shared" si="574"/>
        <v>QFD54</v>
      </c>
      <c r="GH278" t="str">
        <f t="shared" si="575"/>
        <v>QFD54</v>
      </c>
      <c r="GI278" t="str">
        <f t="shared" si="576"/>
        <v/>
      </c>
      <c r="GJ278">
        <f t="shared" si="577"/>
        <v>0</v>
      </c>
      <c r="GK278" t="str">
        <f>IF(OR(AG278="",AG278="-"),"",IFERROR(VLOOKUP(AG278,Модули_спр,2,FALSE),"R"))</f>
        <v/>
      </c>
      <c r="GL278" t="str">
        <f>IF(GK278="","",GK278&amp;"."&amp;COUNTIFS(A$3:A278,A278,GK$3:GK278,GK278))</f>
        <v/>
      </c>
      <c r="GM278" t="str">
        <f t="shared" si="578"/>
        <v/>
      </c>
      <c r="GN278" t="str">
        <f t="shared" si="579"/>
        <v/>
      </c>
      <c r="GO278" t="str">
        <f t="shared" si="580"/>
        <v/>
      </c>
      <c r="GP278" t="str">
        <f t="shared" si="581"/>
        <v/>
      </c>
      <c r="GQ278">
        <f t="shared" si="582"/>
        <v>1</v>
      </c>
      <c r="GR278" t="str">
        <f>IF(GQ278=1,"XT"&amp;COUNTIFS(A$3:A278,A278,GQ$3:GQ278,1),"")</f>
        <v>XT54</v>
      </c>
      <c r="GS278" t="str">
        <f t="shared" si="583"/>
        <v>XT54</v>
      </c>
      <c r="GT278" t="str">
        <f t="shared" si="584"/>
        <v>QFD54</v>
      </c>
      <c r="GU278" t="str">
        <f t="shared" si="585"/>
        <v/>
      </c>
      <c r="GV278" t="str">
        <f t="shared" si="586"/>
        <v>ok</v>
      </c>
      <c r="GW278" t="str">
        <f>IF(OR(GO278="",GM278=""),"",IF(GO278&gt;IFERROR(VLOOKUP(GN278,Модули_спр,3,FALSE),99),"ЛИШНИЙ КАНАЛ",IF(AND(AH278&lt;&gt;"=",COUNTIFS(Линии[_модуль гр.],GM278,Линии[Канал (итог)],GO278,Линии[Канал],"&lt;&gt;=",Линии[Щит],A278)&gt;1),"ДУБЛЬ КАНАЛА","")))</f>
        <v/>
      </c>
      <c r="GX278" s="6" t="str">
        <f t="shared" si="587"/>
        <v/>
      </c>
      <c r="GY278">
        <f t="shared" si="588"/>
        <v>10</v>
      </c>
      <c r="GZ278" t="str">
        <f t="shared" si="589"/>
        <v/>
      </c>
      <c r="HA278" t="str">
        <f>IF(AND(B278="",GT278=""),"",_xlfn.TEXTJOIN("; ",TRUE,IF(AND(B278&lt;&gt;"",FE278=""),"нет фазы",""),IF(AND(B278&lt;&gt;"",N(FY278)=0,EQ278&lt;&gt;"Нет"),"нет мощности",""),IF(AND(GS278&lt;&gt;"",COUNTIFS(Линии[Щит],A278,Линии[Клемма (итог)],GS278)&gt;1),"дубль клеммы "&amp;GS278,""),IF(AND(GV278&lt;&gt;"",GV278&lt;&gt;"ok"),GV278,""),IF(GW278&lt;&gt;"",GW278,""),IF(AND(N(BV278)&gt;=4,N(BR278)=1),BV278&amp;" жил на 1 фазе",""),IF(AND(AX278="R",CA278=1,OR(N(CK278)=0,N(CK278)&gt;30)),"розетка без дифзащиты до 30 мА",""),IFERROR(IF(AND(ISNUMBER(R278),R278&gt;DV278),"потери "&amp;FIXED(R278,1)&amp;" % &gt; "&amp;DV278&amp;" %",""),""),IFERROR(IF(LEFT(GZ278,4)="мало","Iкз мало — отключение &gt; 0,4 с",""),""),IF(AND(B278&lt;&gt;"",BH278=""),"не на схеме",""),IF(AND(CA278=0,B278&lt;&gt;"",FE278&lt;&gt;"",IF(AW278=1,"",FF277)&lt;&gt;"",FE278&lt;&gt;IF(AW278=1,"",FF277)),"фаза не как у автомата группы ("&amp;IF(AW278=1,"",FF277)&amp;")","")))</f>
        <v/>
      </c>
      <c r="HB278" s="6">
        <f>IF(OR(CA278=0,DA278=""),"",_xlfn.LET(_xlpm.t,IFERROR(_xlfn.XLOOKUP(DA278,Каталог!$U$4:$U$500,Каталог!$G$4:$G$500),""),_xlpm.k,SEARCH("кА",_xlpm.t),IFERROR(--TRIM(RIGHT(SUBSTITUTE(MID(_xlpm.t,MAX(1,_xlpm.k-4),_xlpm.k-MAX(1,_xlpm.k-4))," ",REPT(" ",9)),5)),"")))</f>
        <v>6</v>
      </c>
      <c r="HC278" t="str">
        <f>IF(OR(HB278="",CA278=0),"",IF(_xlfn.XLOOKUP(A278,Щиты[Щит],Щиты[Iкз max на шинах, кА],"")="","",IF(HB278&lt;_xlfn.XLOOKUP(A278,Щиты[Щит],Щиты[Iкз max на шинах, кА]),"Icu "&amp;HB278&amp;" кА &lt; Iкз max","ok")))</f>
        <v/>
      </c>
      <c r="HD278" t="str">
        <f t="shared" si="590"/>
        <v/>
      </c>
      <c r="HE278" t="str">
        <f t="shared" si="591"/>
        <v>QFD54|XT54</v>
      </c>
      <c r="HF278" t="str">
        <f t="shared" si="592"/>
        <v>QFD54|XT54|кабель ВВГнг(А)-LS (3х2,5) → Розеточная группа, пом. 002Б</v>
      </c>
      <c r="HG278" t="str" cm="1">
        <f t="array" ref="HG278">IF(HF278="","",_xlfn.LET(_xlpm.nd,_xlfn.TEXTSPLIT(HF278,"|"),IF(COLUMNS(_xlpm.nd)&gt;1,A278&amp;"¦"&amp;INDEX(_xlpm.nd,1)&amp;"¦"&amp;INDEX(_xlpm.nd,2),"")))</f>
        <v>ЩР-1¦QFD54¦XT54</v>
      </c>
      <c r="HH278" t="str">
        <f t="shared" si="593"/>
        <v>R.1.002Б.10¦Розеточная группа, пом. 002Б</v>
      </c>
      <c r="HI278" t="str" cm="1">
        <f t="array" ref="HI278">IF(HF278="","",_xlfn.LET(_xlpm.nd,_xlfn.TEXTSPLIT(HF278,"|"),IF(COLUMNS(_xlpm.nd)&gt;2,A278&amp;"¦"&amp;INDEX(_xlpm.nd,2)&amp;"¦"&amp;INDEX(_xlpm.nd,3),"")))</f>
        <v>ЩР-1¦XT54¦кабель ВВГнг(А)-LS (3х2,5) → Розеточная группа, пом. 002Б</v>
      </c>
      <c r="HJ278" t="str">
        <f t="shared" si="594"/>
        <v>R.1.002Б.10¦Розеточная группа, пом. 002Б</v>
      </c>
      <c r="HK278" t="str" cm="1">
        <f t="array" ref="HK278">IF(HF278="","",_xlfn.LET(_xlpm.nd,_xlfn.TEXTSPLIT(HF278,"|"),IF(COLUMNS(_xlpm.nd)&gt;3,A278&amp;"¦"&amp;INDEX(_xlpm.nd,3)&amp;"¦"&amp;INDEX(_xlpm.nd,4),"")))</f>
        <v/>
      </c>
      <c r="HL278" t="str">
        <f t="shared" si="595"/>
        <v/>
      </c>
      <c r="HM278" t="str" cm="1">
        <f t="array" ref="HM278">IF(HF278="","",_xlfn.LET(_xlpm.nd,_xlfn.TEXTSPLIT(HF278,"|"),IF(COLUMNS(_xlpm.nd)&gt;4,A278&amp;"¦"&amp;INDEX(_xlpm.nd,4)&amp;"¦"&amp;INDEX(_xlpm.nd,5),"")))</f>
        <v/>
      </c>
      <c r="HN278" t="str">
        <f t="shared" si="596"/>
        <v/>
      </c>
      <c r="HO278" t="str" cm="1">
        <f t="array" ref="HO278">IF(HF278="","",_xlfn.LET(_xlpm.nd,_xlfn.TEXTSPLIT(HF278,"|"),IF(COLUMNS(_xlpm.nd)&gt;5,A278&amp;"¦"&amp;INDEX(_xlpm.nd,5)&amp;"¦"&amp;INDEX(_xlpm.nd,6),"")))</f>
        <v/>
      </c>
      <c r="HP278" t="str">
        <f t="shared" si="597"/>
        <v/>
      </c>
      <c r="HQ278" t="str" cm="1">
        <f t="array" ref="HQ278">IF(HF278="","",_xlfn.LET(_xlpm.nd,_xlfn.TEXTSPLIT(HF278,"|"),IF(COLUMNS(_xlpm.nd)&gt;6,A278&amp;"¦"&amp;INDEX(_xlpm.nd,6)&amp;"¦"&amp;INDEX(_xlpm.nd,7),"")))</f>
        <v/>
      </c>
      <c r="HR278" t="str">
        <f t="shared" si="598"/>
        <v/>
      </c>
      <c r="HS278" t="str">
        <f t="shared" si="599"/>
        <v/>
      </c>
      <c r="HT278" t="str">
        <f t="shared" si="600"/>
        <v>QFD54 → XT54</v>
      </c>
      <c r="HU278">
        <f t="shared" si="601"/>
        <v>0</v>
      </c>
      <c r="HV278">
        <f t="shared" si="602"/>
        <v>1</v>
      </c>
      <c r="HW278" t="str">
        <f t="shared" si="603"/>
        <v/>
      </c>
      <c r="HX278" t="str">
        <f t="shared" si="604"/>
        <v/>
      </c>
      <c r="HY278" t="str">
        <f t="shared" si="605"/>
        <v/>
      </c>
      <c r="HZ278" t="str">
        <f t="shared" si="606"/>
        <v/>
      </c>
      <c r="IA278" t="str">
        <f>IF(B278="","",IFERROR(VLOOKUP(B278,УГО_спр,2,FALSE),IFERROR(VLOOKUP(AX278,УГО_спр,2,FALSE),IFERROR(VLOOKUP(LEFT(AX278,2),УГО_спр,2,FALSE),""))))</f>
        <v>Розетка</v>
      </c>
      <c r="IB278" t="str">
        <f>IF(B278="","",IF(OR(IA278="",IA278=0),"BOX",IFERROR(IF(VLOOKUP(IA278,УГО_блоки,3,FALSE)&amp;""&lt;&gt;"",VLOOKUP(IA278,УГО_блоки,3,FALSE),VLOOKUP(IA278,УГО_блоки,2,FALSE)),IA278)))</f>
        <v>SOCKET</v>
      </c>
      <c r="IC278">
        <f t="shared" si="607"/>
        <v>1</v>
      </c>
      <c r="ID278" t="str">
        <f>IF(DA278="","",IF(COUNTIF(DA$3:DA278,DA278)=1,MAX(ID$2:ID277)+1,""))</f>
        <v/>
      </c>
      <c r="IE278" t="str">
        <f>IF(CO278="","",IF(COUNTIF(CO$3:CO278,CO278)+COUNTIF(CP$2:CP277,CO278)+COUNTIF(CQ$2:CQ277,CO278)=1,MAX(IE$2:IG277)+1,""))</f>
        <v/>
      </c>
      <c r="IF278" t="str">
        <f>IF(CP278="","",IF(COUNTIF(CO$3:CO278,CP278)+COUNTIF(CP$3:CP278,CP278)+COUNTIF(CQ$2:CQ277,CP278)=1,MAX(IE$2:IG277,IE278)+1,""))</f>
        <v/>
      </c>
      <c r="IG278" t="str">
        <f>IF(CQ278="","",IF(COUNTIF(CO$3:CO278,CQ278)+COUNTIF(CP$3:CP278,CQ278)+COUNTIF(CQ$3:CQ278,CQ278)=1,MAX(IE$2:IG277,IE278,IF278)+1,""))</f>
        <v/>
      </c>
      <c r="IH278" t="str">
        <f t="shared" si="608"/>
        <v>3х2,5</v>
      </c>
      <c r="II278" t="str">
        <f>IF(IH278="","",IF(COUNTIF(IH$3:IH278,IH278)=1,MAX(II$2:II277)+1,""))</f>
        <v/>
      </c>
      <c r="IJ278" t="str">
        <f>IF(GL278="","",COUNTIF(GL$3:GL278,"?*"))</f>
        <v/>
      </c>
      <c r="IK278" t="str">
        <f>IF(OR(GL278="",GN278=""),"",IF(COUNTIFS(GL$3:GL278,"?*",GN$3:GN278,GN278)=1,MAX(IK$2:IK277)+1,""))</f>
        <v/>
      </c>
      <c r="IL278">
        <f t="shared" si="609"/>
        <v>0</v>
      </c>
      <c r="IM278">
        <f>IF(B278="","",COUNTIF(B$3:B278,"?*"))</f>
        <v>276</v>
      </c>
      <c r="IN278">
        <f>IF(GQ278&lt;&gt;1,0,_xlfn.LET(_xlpm.k,MAX(IFERROR(--VLOOKUP(B278,УГО_спр,5,FALSE),0),IFERROR(--VLOOKUP(AX278,УГО_спр,5,FALSE),0),IFERROR(--VLOOKUP(LEFT(AX278,2),УГО_спр,5,FALSE),0)),IF(_xlpm.k&gt;0,_xlpm.k,IF(IFERROR(--LEFT(SUBSTITUTE(IH278,"x","х"),FIND("х",SUBSTITUTE(IH278,"x","х"))-1),3)&gt;3,Каталог!$S$9,1))))</f>
        <v>1</v>
      </c>
      <c r="IO278">
        <f t="shared" si="610"/>
        <v>0</v>
      </c>
      <c r="IP278" t="str">
        <f t="shared" si="611"/>
        <v>авто</v>
      </c>
      <c r="IQ278">
        <f t="shared" si="612"/>
        <v>30</v>
      </c>
      <c r="IR278">
        <f t="shared" si="613"/>
        <v>1</v>
      </c>
      <c r="IS278">
        <f t="shared" si="614"/>
        <v>1</v>
      </c>
    </row>
    <row r="279" spans="1:253" x14ac:dyDescent="0.3">
      <c r="A279" t="s">
        <v>759</v>
      </c>
      <c r="B279" t="s">
        <v>1544</v>
      </c>
      <c r="C279" t="str">
        <f>Линии[[#This Row],[_авто наименование]]</f>
        <v>Розеточная группа, пом. 021A</v>
      </c>
      <c r="D279">
        <v>1</v>
      </c>
      <c r="E279">
        <v>0.18</v>
      </c>
      <c r="G279" t="str">
        <f>Линии[[#This Row],[_авто автомат]]</f>
        <v>2P С16А 30мА</v>
      </c>
      <c r="H279">
        <f>Линии[[#This Row],[_авто утечка]]</f>
        <v>30</v>
      </c>
      <c r="I279" t="str">
        <f>Линии[[#This Row],[_авто управление]]</f>
        <v/>
      </c>
      <c r="J279" t="str">
        <f>Линии[[#This Row],[_авто аппараты]]</f>
        <v/>
      </c>
      <c r="K279">
        <v>2.5</v>
      </c>
      <c r="L279">
        <v>39</v>
      </c>
      <c r="M279" t="str">
        <f>Линии[[#This Row],[_авто фаза]]</f>
        <v>L1</v>
      </c>
      <c r="N279" t="str">
        <f>Линии[[#This Row],[_авто клемма]]</f>
        <v>XT55</v>
      </c>
      <c r="O279" t="str">
        <f t="shared" si="492"/>
        <v/>
      </c>
      <c r="P279" s="6" cm="1">
        <f t="array" ref="P279">IF(B279="","",IF(BC279&lt;&gt;"",IFERROR(_xlfn.XLOOKUP(BC279,Щиты[Щит],Щиты[Iр, А]),""),IF(BK279=1,IFERROR(_xlfn.XLOOKUP(A279,Щиты[Щит],Щиты[Iр, А]),""),IFERROR(_xlfn.IFS(BR279=1,BN279/((Uн_лин/SQRT(3))*BY279),BR279=3,BN279/(SQRT(3)*Uн_лин*BY279)),""))))</f>
        <v>0.8204451193747313</v>
      </c>
      <c r="Q279" s="7">
        <f>IF(B279="","",IFERROR(IF(VLOOKUP(AX279,Потребители_обозначение,4,FALSE)=1,VLOOKUP(AX279,Потребители_обозначение,3,FALSE)*(D279*2-1)+DS279+VLOOKUP(AZ279,Этаж_обозначение,3,FALSE)+VLOOKUP(AZ279,Этаж_обозначение,4,FALSE),VLOOKUP(AX279,Потребители_обозначение,3,FALSE)*(D279*2-1)+DS279),DS279))</f>
        <v>42</v>
      </c>
      <c r="R279" s="6">
        <f t="shared" si="493"/>
        <v>1.45</v>
      </c>
      <c r="S279" t="str">
        <f t="shared" si="494"/>
        <v>ВВГнг(А)-LS (3х2,5)</v>
      </c>
      <c r="T279" t="str">
        <f>IF(BH279="","",IF(BI279="вводной узел","узел ","")&amp;"л."&amp;(INT((BH279-1)/Столбцов_на_лист)+1)&amp;" / "&amp;(MOD(BH279-1,Столбцов_на_лист)+1))</f>
        <v>л.5 / 12</v>
      </c>
      <c r="V279">
        <v>1</v>
      </c>
      <c r="W279">
        <v>230</v>
      </c>
      <c r="X279" t="s">
        <v>564</v>
      </c>
      <c r="AC279" t="s">
        <v>815</v>
      </c>
      <c r="AE279" t="s">
        <v>563</v>
      </c>
      <c r="AI279">
        <v>80</v>
      </c>
      <c r="AJ279" t="s">
        <v>11</v>
      </c>
      <c r="AK279">
        <v>3</v>
      </c>
      <c r="AM279">
        <v>20</v>
      </c>
      <c r="AN279">
        <v>22</v>
      </c>
      <c r="AO279">
        <v>0</v>
      </c>
      <c r="AW279" cm="1">
        <f t="array" ref="AW279">ROW()-ROW(Линии[#Headers])</f>
        <v>277</v>
      </c>
      <c r="AX279" s="6" t="str">
        <f t="shared" si="495"/>
        <v>R</v>
      </c>
      <c r="AY279" t="str">
        <f t="shared" si="496"/>
        <v>1.021A.5</v>
      </c>
      <c r="AZ279" t="str">
        <f t="shared" si="497"/>
        <v>1</v>
      </c>
      <c r="BA279" t="str">
        <f t="shared" si="498"/>
        <v>021A.5</v>
      </c>
      <c r="BB279" t="str">
        <f t="shared" si="499"/>
        <v>021A</v>
      </c>
      <c r="BC279" t="str">
        <f>IF(U279&lt;&gt;"",U279,IF(AND(B279&lt;&gt;"",B279&lt;&gt;A279,ISNUMBER(_xlfn.XMATCH(B279,Щиты[Щит]))),B279,""))</f>
        <v/>
      </c>
      <c r="BD279" t="str" cm="1">
        <f t="array" ref="BD279">IF(B279="","",IF(BC279&lt;&gt;"","Щит "&amp;BC279,_xlfn.LET(_xlpm.nm,IFERROR(_xlfn.XLOOKUP(AX279,Коды_код,Коды_имя)&amp;"",""),_xlpm.md,IFERROR(N(_xlfn.XLOOKUP(AX279,Коды_код,Коды_режим)),1),_xlpm.ex,IF(Имя_режим="по экспликации",IFERROR(_xlfn.XLOOKUP(AZ279&amp;"|"&amp;BB279,Экспликация[Этаж]&amp;"|"&amp;Экспликация[Помещение],Экспликация[Название])&amp;"",""),""),_xlpm.rm,IF(BB279="","",IF(_xlpm.ex&lt;&gt;"",". "&amp;_xlpm.ex&amp;IF(Имя_пом="нет"," ("&amp;BB279&amp;")"," (пом. "&amp;BB279&amp;")"),IF(Имя_пом="нет"," ",", пом. ")&amp;BB279)),IF(_xlpm.nm="","",IF(_xlpm.md=2,_xlpm.nm&amp;" шлейф "&amp;AZ279,_xlpm.nm&amp;_xlpm.rm)))))</f>
        <v>Розеточная группа, пом. 021A</v>
      </c>
      <c r="BE279" t="str">
        <f t="shared" si="500"/>
        <v>Розеточная группа, пом. 021A</v>
      </c>
      <c r="BF279">
        <f>IFERROR(_xlfn.XMATCH(A279,Щиты[Щит]),0)</f>
        <v>10</v>
      </c>
      <c r="BG279">
        <f>_xlfn.LET(_xlpm.k,IFERROR(_xlfn.XLOOKUP(A279,Щиты[Щит],Щиты[Листов под вводной узел]),""),IF(_xlpm.k="",1,N(_xlpm.k))*Столбцов_на_лист)</f>
        <v>17</v>
      </c>
      <c r="BH279">
        <f t="shared" si="501"/>
        <v>80</v>
      </c>
      <c r="BI279" t="str">
        <f t="shared" si="502"/>
        <v>линии</v>
      </c>
      <c r="BJ279" s="6">
        <f>IFERROR(N(_xlfn.XLOOKUP(AX279,Коды_код,Коды_квт)),0)</f>
        <v>0</v>
      </c>
      <c r="BK279">
        <f t="shared" si="503"/>
        <v>0</v>
      </c>
      <c r="BL279" t="str">
        <f>IF(B279="","",IF(BC279&lt;&gt;"",IFERROR(_xlfn.XLOOKUP(BC279,Щиты[Щит],Щиты[Руст, кВт]),0),IF(BK279=1,IFERROR(_xlfn.XLOOKUP(A279,Щиты[Щит],Щиты[Руст, кВт]),0),IF(BJ279&gt;0,ROUND(BJ279*MAX(1,N(D279)),3),""))))</f>
        <v/>
      </c>
      <c r="BM279">
        <f t="shared" si="504"/>
        <v>0.18</v>
      </c>
      <c r="BN279" s="6">
        <f>IF(B279="","",IF(BC279&lt;&gt;"",IFERROR(_xlfn.XLOOKUP(BC279,Щиты[Щит],Щиты[Руст, кВт]),0),N(BM279)))</f>
        <v>0.18</v>
      </c>
      <c r="BO279" t="str">
        <f>IF(B279="","",IFERROR(IF(VLOOKUP(AX279,Потребители_обозначение,8,FALSE)=0,"",VLOOKUP(AX279,Потребители_обозначение,8,FALSE)),""))</f>
        <v/>
      </c>
      <c r="BP279">
        <f t="shared" si="505"/>
        <v>230</v>
      </c>
      <c r="BQ279">
        <f>IF(B279="","",IF(BC279&lt;&gt;"",3,IFERROR(IF(N(VLOOKUP(AX279,Потребители_обозначение,9,FALSE))=0,1,VLOOKUP(AX279,Потребители_обозначение,9,FALSE)),1)))</f>
        <v>1</v>
      </c>
      <c r="BR279">
        <f t="shared" si="506"/>
        <v>1</v>
      </c>
      <c r="BS279" t="str">
        <f>IF(B279="","",_xlfn.LET(_xlpm.bc,IFERROR(IF(VLOOKUP(AX279,Потребители_обозначение,6,FALSE)=0,"",VLOOKUP(AX279,Потребители_обозначение,6,FALSE)&amp;""),""),IF(AND(FK279="да",OR(_xlpm.bc="",_xlpm.bc="мс")),Марка_пож,IF(AND(_xlpm.bc="",BC279&lt;&gt;""),"мс",_xlpm.bc))))</f>
        <v/>
      </c>
      <c r="BT279" t="str">
        <f t="shared" si="507"/>
        <v>мс</v>
      </c>
      <c r="BU279">
        <f>IF(B279="","",_xlfn.LET(_xlpm.cc,IFERROR(N(VLOOKUP(AX279,Потребители_обозначение,7,FALSE)),0),IF(_xlpm.cc&gt;0,_xlpm.cc,IF(BT279="","",IF(N(BR279)=3,5,3)))))</f>
        <v>3</v>
      </c>
      <c r="BV279">
        <f t="shared" si="508"/>
        <v>3</v>
      </c>
      <c r="BW279">
        <f>IFERROR(N(VLOOKUP(AX279,Потребители_обозначение,10,FALSE)),0)</f>
        <v>0</v>
      </c>
      <c r="BX279">
        <f>IFERROR(VLOOKUP(AX279,Потребители_обозначение,5,FALSE),0)</f>
        <v>1</v>
      </c>
      <c r="BY279" s="6" cm="1">
        <f t="array" ref="BY279">IF(B279="","",IF(BC279&lt;&gt;"",IFERROR(_xlfn.XLOOKUP(BC279,Щиты[Щит],Щиты[cos φ]),0.95),IF(BK279=1,IFERROR(_xlfn.XLOOKUP(A279,Щиты[Щит],Щиты[cos φ]),0.95),IF(ISNUMBER(Z279),Z279,IFERROR(IF(BX279=2,_xlfn.IFS(BR279=3,VLOOKUP(BN279,Справочная_двигатели,8,FALSE),BR279=1,VLOOKUP(BN279,Справочная_двигатели,10,TRUE)),IF(AND(Методика="нормы 2026",EQ279="Сил"),0.8,0.95)),0.95)))))</f>
        <v>0.95</v>
      </c>
      <c r="BZ279">
        <f t="shared" si="509"/>
        <v>0</v>
      </c>
      <c r="CA279">
        <f t="shared" si="510"/>
        <v>1</v>
      </c>
      <c r="CB279">
        <f t="shared" si="511"/>
        <v>0</v>
      </c>
      <c r="CC279">
        <f t="shared" si="512"/>
        <v>0</v>
      </c>
      <c r="CD279">
        <f t="shared" si="513"/>
        <v>0</v>
      </c>
      <c r="CE279">
        <f t="shared" si="514"/>
        <v>0</v>
      </c>
      <c r="CF279">
        <f t="shared" si="515"/>
        <v>0</v>
      </c>
      <c r="CG279">
        <f>IF(AX279="",0,_xlfn.LET(_xlpm.v,IFERROR(VLOOKUP(B279,УГО_спр,3,FALSE),IFERROR(VLOOKUP(AX279,УГО_спр,3,FALSE),IFERROR(VLOOKUP(LEFT(AX279,2),УГО_спр,3,FALSE),""))),IF(_xlpm.v="да",30,IF(ISNUMBER(_xlpm.v),_xlpm.v,0))))</f>
        <v>30</v>
      </c>
      <c r="CH279">
        <f t="shared" si="516"/>
        <v>30</v>
      </c>
      <c r="CI279" t="str">
        <f>_xlfn.LET(_xlpm.k,IFERROR(_xlfn.XLOOKUP(AX279,Коды_код,Коды_утечка)&amp;"",""),IF(_xlpm.k="","дифавтомат",_xlpm.k))</f>
        <v>дифавтомат</v>
      </c>
      <c r="CJ279">
        <f t="shared" si="517"/>
        <v>30</v>
      </c>
      <c r="CK279">
        <f t="shared" si="518"/>
        <v>30</v>
      </c>
      <c r="CL279">
        <f>IF(B279="",0,IFERROR(--VLOOKUP(B279,УГО_спр,4,FALSE),IFERROR(--VLOOKUP(AX279,УГО_спр,4,FALSE),IFERROR(--VLOOKUP(LEFT(AX279,2),УГО_спр,4,FALSE),0))))</f>
        <v>16</v>
      </c>
      <c r="CM279" t="str">
        <f>IF(B279="","",IFERROR(_xlfn.XLOOKUP(AX279,Коды_код,Коды_апп)&amp;"",""))</f>
        <v/>
      </c>
      <c r="CN279" t="str">
        <f t="shared" si="519"/>
        <v/>
      </c>
      <c r="CO279" t="str" cm="1">
        <f t="array" ref="CO279">IF(TRIM(CN279&amp;"")="","",IFERROR(TRIM(INDEX(_xlfn.TEXTSPLIT(CN279&amp;";;;",";"),1)),""))</f>
        <v/>
      </c>
      <c r="CP279" t="str" cm="1">
        <f t="array" ref="CP279">IF(TRIM(CN279&amp;"")="","",IFERROR(TRIM(INDEX(_xlfn.TEXTSPLIT(CN279&amp;";;;",";"),2)),""))</f>
        <v/>
      </c>
      <c r="CQ279" t="str" cm="1">
        <f t="array" ref="CQ279">IF(TRIM(CN279&amp;"")="","",IFERROR(TRIM(INDEX(_xlfn.TEXTSPLIT(CN279&amp;";;;",";"),3)),""))</f>
        <v/>
      </c>
      <c r="CR279">
        <f t="shared" si="520"/>
        <v>0</v>
      </c>
      <c r="CS279" t="str">
        <f>IF(B279="","",_xlfn.LET(_xlpm.t,LOWER(AV279&amp;""),IF(ISNUMBER(SEARCH("dim",_xlpm.t)),"DIM",IF(ISNUMBER(SEARCH("dali",_xlpm.t)),"DALI",IF(OR(ISNUMBER(SEARCH("relay",_xlpm.t)),ISNUMBER(SEARCH("реле",_xlpm.t))),"Relay",IF(ISNUMBER(SEARCH("кнопк",_xlpm.t)),"",IFERROR(_xlfn.XLOOKUP(AX279,Коды_код,Коды_упр)&amp;"","")))))))</f>
        <v/>
      </c>
      <c r="CT279" t="str">
        <f t="shared" si="521"/>
        <v/>
      </c>
      <c r="CU279">
        <f>IF(B279="","",_xlfn.LET(_xlpm.ig,N(P279)+IF(AF279="вручную",0,N(CB279)),_xlpm.n0,IFERROR(VLOOKUP(_xlpm.ig,Автомат_номиналы,2,TRUE),0),_xlpm.mn,MAX(CL279,IF(AF279="вручную",0,N(CE279))),MAX(_xlpm.n0,_xlpm.mn,IF(CR279=1,Мин_автомат_БП,0))))</f>
        <v>16</v>
      </c>
      <c r="CV279">
        <f t="shared" si="522"/>
        <v>1</v>
      </c>
      <c r="CW279" t="str">
        <f t="shared" si="523"/>
        <v>2P</v>
      </c>
      <c r="CX279" t="str">
        <f>_xlfn.LET(_xlpm.cc,UPPER(TRIM(IFERROR(_xlfn.XLOOKUP(AX279,Коды_код,Коды_хар)&amp;"",""))),IF(OR(_xlpm.cc="B",_xlpm.cc="В"),"B",IF(_xlpm.cc="D","D","С")))</f>
        <v>С</v>
      </c>
      <c r="CY279" t="str">
        <f t="shared" si="524"/>
        <v>2P С16А 30мА</v>
      </c>
      <c r="CZ279" t="str">
        <f t="shared" si="525"/>
        <v>2P С16А 30мА</v>
      </c>
      <c r="DA279" t="str">
        <f t="shared" si="526"/>
        <v>2P С16А 30мА</v>
      </c>
      <c r="DB279" cm="1">
        <f t="array" ref="DB279">IF(DA279="","",_xlfn.LET(_xlpm.t,SUBSTITUTE(SUBSTITUTE(SUBSTITUTE(UPPER(DA279),"С","C"),"А","A"),"В","B"),_xlpm.tk,_xlfn.TEXTSPLIT(_xlpm.t,"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9" t="str">
        <f t="shared" si="527"/>
        <v>ok</v>
      </c>
      <c r="DD279">
        <f t="shared" si="528"/>
        <v>16</v>
      </c>
      <c r="DE279" t="str">
        <f t="shared" si="529"/>
        <v>2P С16А 30мА</v>
      </c>
      <c r="DF279">
        <f t="shared" si="530"/>
        <v>30</v>
      </c>
      <c r="DG279">
        <f t="shared" si="531"/>
        <v>1</v>
      </c>
      <c r="DH279">
        <f t="shared" si="532"/>
        <v>0</v>
      </c>
      <c r="DI279">
        <f t="shared" si="533"/>
        <v>0.8204451193747313</v>
      </c>
      <c r="DJ279">
        <f t="shared" si="534"/>
        <v>1</v>
      </c>
      <c r="DK279">
        <f>IF(ISNUMBER(AL279),AL279,К_прокл)</f>
        <v>1</v>
      </c>
      <c r="DL279">
        <f t="shared" si="535"/>
        <v>2</v>
      </c>
      <c r="DM279">
        <f>IFERROR(N(VLOOKUP(BT279,Кабель_обозначение,3,FALSE)),1)</f>
        <v>1</v>
      </c>
      <c r="DN279">
        <f>IFERROR(N(_xlfn.XLOOKUP(A279,Щиты[Щит],Щиты[ΔU до шин, %])),0)</f>
        <v>1.19</v>
      </c>
      <c r="DO279" t="str">
        <f>IFERROR(_xlfn.XLOOKUP(A279,Щиты[Щит],Щиты[Zпетли на шинах, Ом]),"")</f>
        <v/>
      </c>
      <c r="DP279">
        <f>IFERROR(N(_xlfn.XLOOKUP(A279,Щиты[Щит],Щиты[ΔU до шин (подбор), %])),0)</f>
        <v>1.19</v>
      </c>
      <c r="DQ279" t="str">
        <f>IFERROR(_xlfn.XLOOKUP(A279,Щиты[Щит],Щиты[Zпетли на шинах (подбор), Ом]),"")</f>
        <v/>
      </c>
      <c r="DR279" t="str">
        <f t="shared" si="536"/>
        <v/>
      </c>
      <c r="DS279">
        <f t="shared" si="537"/>
        <v>39</v>
      </c>
      <c r="DT279">
        <f t="shared" si="538"/>
        <v>2</v>
      </c>
      <c r="DU279">
        <f t="shared" si="539"/>
        <v>0.31</v>
      </c>
      <c r="DV279" s="6">
        <f>IF(B279="","",IF(IFERROR(VLOOKUP(AX279,УГО_спр,2,FALSE),"")="Светильник",3,4)+IF(Методика="нормы 2026",MIN(0.5,MAX(0,N(Q279)-100)*0.005),0))</f>
        <v>4</v>
      </c>
      <c r="DW279" cm="1">
        <f t="array" ref="DW279">IF(OR(B279="",BT279="",DM279&lt;&gt;1),"",_xlfn.LET(_xlpm.sz,Iдоп_S,_xlpm.t_,CHOOSE(DL279,Iдоп_1ж,Iдоп_2ж,Iдоп_3ж)*DJ279*DK279,_xlpm.inn,N(DD279),_xlpm.smin,MAX(1.5,BW279),_xlpm.L_,N(Q279)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279)*(_xlpm.rho*_xlpm.L_/_xlpm.sz*N(BY279)+_xlpm.xx*_xlpm.L_*N(DU279)/1000)*N(P279)/((Uн_лин/SQRT(3))*1000)*100,999),_xlpm.kz,IF(OR(DG279=1,NOT(ISNUMBER(DQ279)),_xlpm.L_=0,_xlpm.inn=0),1,IFERROR(--(c_min*(Uн_лин*1000/SQRT(3))/(DQ279+2*ρкз_Cu*_xlpm.L_/_xlpm.sz)&gt;=GY279*_xlpm.inn),0)),_xlpm.ok,IFERROR((_xlpm.sz&gt;=_xlpm.smin)*(_xlpm.t_&gt;=_xlpm.inn)*IF(_xlpm.L_&gt;0,(_xlpm.du_+DP279&lt;=DV279+0.00001),1)*_xlpm.kz,0),_xlpm.r_,_xlfn._xlws.FILTER(_xlpm.sz,_xlpm.ok,"не подобрано"),INDEX(_xlpm.r_,1)))</f>
        <v>1.5</v>
      </c>
      <c r="DX279">
        <f t="shared" si="540"/>
        <v>2.5</v>
      </c>
      <c r="DY279" cm="1">
        <f t="array" ref="DY279">IF(OR(B279="",BT279="",DM279&lt;&gt;1),"",_xlfn.LET(_xlpm.sz,Iдоп_S,_xlpm.t_,CHOOSE(DL279,Iдоп_1ж,Iдоп_2ж,Iдоп_3ж)*DJ279*DK279,_xlpm.ok,IFERROR((_xlpm.sz&gt;=MAX(1.5,BW279))*(_xlpm.t_&gt;=N(DD279)),0),_xlpm.r_,_xlfn._xlws.FILTER(_xlpm.sz,_xlpm.ok,""),INDEX(_xlpm.r_,1)))</f>
        <v>1.5</v>
      </c>
      <c r="DZ279" s="6" cm="1">
        <f t="array" ref="DZ279">IFERROR(ROUNDUP(N(DT279)*(_xlfn.XLOOKUP(DY279,INDEX(Кабель_сопротивление,0,1),INDEX(Кабель_сопротивление,0,3))*N(Q279)/DY279*N(BY279)+_xlfn.XLOOKUP(DY279,INDEX(Кабель_сопротивление,0,1),INDEX(Кабель_сопротивление,0,2))*N(Q279)*N(DU279)/1000)*N(P279)/((Uн_лин/SQRT(3))*1000)*100,2),"")</f>
        <v>0.43</v>
      </c>
      <c r="EA279">
        <f>IFERROR(2*ρкз_Cu*N(Q279)/DY279,"")</f>
        <v>1.4728000000000001</v>
      </c>
      <c r="EB279">
        <f>IFERROR(VLOOKUP(DX279,Кабель_сопротивление,3,FALSE),"")</f>
        <v>2.2499999999999999E-2</v>
      </c>
      <c r="EC279">
        <f>IFERROR(VLOOKUP(DX279,Кабель_сопротивление,2,FALSE),"")</f>
        <v>0.1</v>
      </c>
      <c r="ED279">
        <f t="shared" si="541"/>
        <v>22</v>
      </c>
      <c r="EE279">
        <f t="shared" si="542"/>
        <v>0</v>
      </c>
      <c r="EF279">
        <f t="shared" si="543"/>
        <v>0.59138012382578387</v>
      </c>
      <c r="EG279" s="6">
        <f>IFERROR(ROUNDUP(EF279/((Uн_лин/SQRT(3))*1000)*100,2),"")</f>
        <v>0.26</v>
      </c>
      <c r="EH279" t="str">
        <f>IFERROR(VLOOKUP(BT279,Кабель_обозначение,2,FALSE),"")</f>
        <v>ВВГнг(А)-LS</v>
      </c>
      <c r="EI279" t="str">
        <f t="shared" si="544"/>
        <v>ВВГнг(А)-LS (3х2,5)</v>
      </c>
      <c r="EJ279" t="str">
        <f t="shared" si="545"/>
        <v>ВВГнг(А)-LS (3х2,5)
L=42-0,26%</v>
      </c>
      <c r="EK279">
        <f>IFERROR(2*ρкз_Cu*Q279/DX279,"")</f>
        <v>0.88368000000000002</v>
      </c>
      <c r="EL279">
        <f t="shared" si="546"/>
        <v>0.29400000000000004</v>
      </c>
      <c r="EM279" s="6" t="str">
        <f>IFERROR(IF(OR(B279="",NOT(ISNUMBER(DX279)),N(Q279)=0),"",_xlfn.XLOOKUP(A279,Щиты[Щит],Щиты[Zпетли на шинах, Ом])+EK279),"")</f>
        <v/>
      </c>
      <c r="EN279" s="6" t="str">
        <f>IF(ISNUMBER(EM279),c_min*(Uн_лин*1000/SQRT(3))/EM279,"")</f>
        <v/>
      </c>
      <c r="EO279" s="6" t="str">
        <f>IFERROR(IF(OR(B279="",NOT(ISNUMBER(DX279))),"",1.05*(Uн_лин*1000/SQRT(3))/(_xlfn.XLOOKUP(A279,Щиты[Щит],Щиты[Zmax на шинах, Ом])+EL279)/1000),"")</f>
        <v/>
      </c>
      <c r="EP279" s="6" t="str">
        <f>IF(B279="","",IF(ISNUMBER(Y279),"Сил",IF(IFERROR(_xlfn.XLOOKUP(AX279,Коды_код,Коды_группа)&amp;"","")="","Быт",_xlfn.XLOOKUP(AX279,Коды_код,Коды_группа)&amp;"")))</f>
        <v>Быт</v>
      </c>
      <c r="EQ279" s="6" t="str">
        <f t="shared" si="547"/>
        <v>Быт</v>
      </c>
      <c r="ER279" s="6">
        <f>IF(EQ279="Щит","щит",IF(EQ279="","",IF(EQ279="Быт",IFERROR(_xlfn.XLOOKUP(A279,Щиты[Щит],Щиты[Кс быт]),1),IF(EQ279="Сил",IF(ISNUMBER(Y279),Y279,IF(Методика="нормы 2026",IFERROR(_xlfn.XLOOKUP(A279,Щиты[Щит],Щиты[Кс силовых (табл. 7.5)]),1),1)),IF(OR(EQ279="Пост",EQ279="Отоп"),1,IF(EQ279="ВНГ",0.7,0))))))</f>
        <v>0.57830000000000004</v>
      </c>
      <c r="ES279">
        <f t="shared" si="548"/>
        <v>1</v>
      </c>
      <c r="ET279">
        <f t="shared" si="549"/>
        <v>0.18</v>
      </c>
      <c r="EU279">
        <f t="shared" si="550"/>
        <v>0.18</v>
      </c>
      <c r="EV279">
        <f t="shared" si="551"/>
        <v>0</v>
      </c>
      <c r="EW279">
        <f t="shared" si="552"/>
        <v>0</v>
      </c>
      <c r="EX279">
        <f t="shared" si="553"/>
        <v>0</v>
      </c>
      <c r="EY279">
        <f t="shared" si="554"/>
        <v>0</v>
      </c>
      <c r="EZ279">
        <f t="shared" si="555"/>
        <v>0.18</v>
      </c>
      <c r="FA279">
        <f t="shared" si="556"/>
        <v>0.17099999999999999</v>
      </c>
      <c r="FB279">
        <f t="shared" si="557"/>
        <v>0.18</v>
      </c>
      <c r="FC279" t="str">
        <f t="shared" si="558"/>
        <v/>
      </c>
      <c r="FD279" t="str">
        <f>IF(B279="","",IF(CA279=0,IF(AW279=1,"",FF278),IF(OR(N(CV279)&gt;=3,N(BR279)&gt;=3),"L1,L2,L3",IFERROR(_xlfn.TEXTBEFORE(_xlfn.TEXTAFTER(_xlfn.XLOOKUP(A279,Щиты[Щит],Щиты[_фазы авто]),";"&amp;AW279&amp;":"),";"),"L1"))))</f>
        <v>L1</v>
      </c>
      <c r="FE279" t="str">
        <f t="shared" si="559"/>
        <v>L1</v>
      </c>
      <c r="FF279" t="str">
        <f t="shared" si="560"/>
        <v>L1</v>
      </c>
      <c r="FG279" cm="1">
        <f t="array" ref="FG279">IFERROR(IF(BX279=2,_xlfn.IFS(BR279=3,VLOOKUP(BN279,Справочная_двигатели,3,FALSE),BR279=1,VLOOKUP(BN279,Справочная_двигатели,5,TRUE)),0),0)</f>
        <v>0</v>
      </c>
      <c r="FH279">
        <f>IFERROR(IF(BX279=3,VLOOKUP(BN279,Справочная_ЛЭД,2,TRUE),0),0)</f>
        <v>0</v>
      </c>
      <c r="FI279" s="6">
        <f t="shared" si="561"/>
        <v>0</v>
      </c>
      <c r="FJ279" t="str" cm="1">
        <f t="array" ref="FJ279">IF(B279="","",IFERROR(INDEX({"I особая","I","II","III"},MATCH(TRIM(AC279&amp;""),{"I особая","I","II","III"},0)),"III"))</f>
        <v>II</v>
      </c>
      <c r="FK279" t="str">
        <f>IF(B279="","",IF(TRIM(AD279&amp;"")&lt;&gt;"",IF(LOWER(TRIM(AD279&amp;""))="да","да","нет"),IF(IFERROR(_xlfn.XLOOKUP(AX279,Коды_код,Коды_пожарная),"")="да","да","нет")))</f>
        <v>нет</v>
      </c>
      <c r="FL279" t="str">
        <f t="shared" si="562"/>
        <v/>
      </c>
      <c r="FM279" t="str">
        <f t="shared" si="563"/>
        <v>основная</v>
      </c>
      <c r="FN279">
        <f t="shared" si="564"/>
        <v>1</v>
      </c>
      <c r="FO279" t="str" cm="1">
        <f t="array" ref="FO279">IF(B279="","",_xlfn.LET(_xlpm.t,IFERROR(_xlfn.XLOOKUP(1,(Шины[Шина]=FM279)*(((Шины[Щит]=A279)+(Шины[Щит]=""))&gt;0),Шины[Тип]),"")&amp;"",IF(_xlpm.t&lt;&gt;"",_xlpm.t,IF(ISNUMBER(SEARCH("ИБП",FM279)),"ИБП",IF(ISNUMBER(SEARCH("ДГУ",FM279)),"ДГУ","Ввод "&amp;FN279)))))</f>
        <v>Ввод 1</v>
      </c>
      <c r="FP279" t="str">
        <f t="shared" si="565"/>
        <v>Ввод 1</v>
      </c>
      <c r="FQ279" t="str">
        <f>IF(B279="","",IF(OR(FO279="ИБП",FO279="ДГУ"),"I особая",IF(FO279="Одиночная","III",_xlfn.XLOOKUP(A279,Щиты[Щит],Щиты[Категория шины «Ввод»],"III"))))</f>
        <v>II</v>
      </c>
      <c r="FR279">
        <f>IF(B279="",0,IFERROR(MATCH(FJ279,{"III","II","I","I особая"},0),1))</f>
        <v>2</v>
      </c>
      <c r="FS279">
        <f t="shared" si="566"/>
        <v>2</v>
      </c>
      <c r="FT279" t="str">
        <f>IF(B279="","",IF(FR279&gt;IFERROR(MATCH(FQ279,{"III","II","I","I особая"},0),1),"НЕ ОБЕСПЕЧЕНА","ОК"))</f>
        <v>ОК</v>
      </c>
      <c r="FU279" t="str">
        <f>IF(A279="","",_xlfn.XLOOKUP(A279,Щиты[Щит],Щиты[Путь],""))</f>
        <v>|ГРЩ-ЖД|ЩР-1|</v>
      </c>
      <c r="FV279" t="str">
        <f>IF(B279="","",IF(AE279&lt;&gt;"",AE279,IF(IFERROR(_xlfn.XLOOKUP(AX279,Коды_код,Коды_вид)&amp;"","")="","Прочее",_xlfn.XLOOKUP(AX279,Коды_код,Коды_вид)&amp;"")))</f>
        <v>Розеточная сеть и бытовые приборы</v>
      </c>
      <c r="FW279">
        <f>IF(BH279="","",INT((BH279-1)/Столбцов_на_лист)+1)</f>
        <v>5</v>
      </c>
      <c r="FX279" t="str">
        <f t="shared" si="567"/>
        <v>ВВГнг(А)-LS (3х2,5) L=42-0,26%</v>
      </c>
      <c r="FY279">
        <f t="shared" si="568"/>
        <v>0.18</v>
      </c>
      <c r="FZ279">
        <f t="shared" si="569"/>
        <v>0.83</v>
      </c>
      <c r="GA279">
        <f t="shared" si="570"/>
        <v>1</v>
      </c>
      <c r="GB279">
        <f t="shared" si="571"/>
        <v>0</v>
      </c>
      <c r="GC279">
        <f t="shared" si="572"/>
        <v>1</v>
      </c>
      <c r="GD279">
        <f>IF(BH279="","",IF(AND(CA279=1,GC279=1),COUNTIFS(A$3:A279,A279,CA$3:CA279,1,GC$3:GC279,1),IF(OR(OR(AW279=1,A279&lt;&gt;A278),AF279="вручную",GC279=0),"",IF(AW279=1,"",GE278))))</f>
        <v>55</v>
      </c>
      <c r="GE279">
        <f t="shared" si="573"/>
        <v>55</v>
      </c>
      <c r="GF279">
        <f>IF(B279="","",IFERROR(LOOKUP(INDEX(CHOOSE(DL279,Iдоп_1ж,Iдоп_2ж,Iдоп_3ж),MATCH(DX279,Iдоп_S,0))*DJ279*DK279,{6,10,16,20,25,32,40,50,63,80,100,125,160,200,250,315,400,500,630}),""))</f>
        <v>25</v>
      </c>
      <c r="GG279" t="str">
        <f t="shared" si="574"/>
        <v>QFD55</v>
      </c>
      <c r="GH279" t="str">
        <f t="shared" si="575"/>
        <v>QFD55</v>
      </c>
      <c r="GI279" t="str">
        <f t="shared" si="576"/>
        <v/>
      </c>
      <c r="GJ279">
        <f t="shared" si="577"/>
        <v>0</v>
      </c>
      <c r="GK279" t="str">
        <f>IF(OR(AG279="",AG279="-"),"",IFERROR(VLOOKUP(AG279,Модули_спр,2,FALSE),"R"))</f>
        <v/>
      </c>
      <c r="GL279" t="str">
        <f>IF(GK279="","",GK279&amp;"."&amp;COUNTIFS(A$3:A279,A279,GK$3:GK279,GK279))</f>
        <v/>
      </c>
      <c r="GM279" t="str">
        <f t="shared" si="578"/>
        <v/>
      </c>
      <c r="GN279" t="str">
        <f t="shared" si="579"/>
        <v/>
      </c>
      <c r="GO279" t="str">
        <f t="shared" si="580"/>
        <v/>
      </c>
      <c r="GP279" t="str">
        <f t="shared" si="581"/>
        <v/>
      </c>
      <c r="GQ279">
        <f t="shared" si="582"/>
        <v>1</v>
      </c>
      <c r="GR279" t="str">
        <f>IF(GQ279=1,"XT"&amp;COUNTIFS(A$3:A279,A279,GQ$3:GQ279,1),"")</f>
        <v>XT55</v>
      </c>
      <c r="GS279" t="str">
        <f t="shared" si="583"/>
        <v>XT55</v>
      </c>
      <c r="GT279" t="str">
        <f t="shared" si="584"/>
        <v>QFD55</v>
      </c>
      <c r="GU279" t="str">
        <f t="shared" si="585"/>
        <v/>
      </c>
      <c r="GV279" t="str">
        <f t="shared" si="586"/>
        <v>ok</v>
      </c>
      <c r="GW279" t="str">
        <f>IF(OR(GO279="",GM279=""),"",IF(GO279&gt;IFERROR(VLOOKUP(GN279,Модули_спр,3,FALSE),99),"ЛИШНИЙ КАНАЛ",IF(AND(AH279&lt;&gt;"=",COUNTIFS(Линии[_модуль гр.],GM279,Линии[Канал (итог)],GO279,Линии[Канал],"&lt;&gt;=",Линии[Щит],A279)&gt;1),"ДУБЛЬ КАНАЛА","")))</f>
        <v/>
      </c>
      <c r="GX279" s="6" t="str">
        <f t="shared" si="587"/>
        <v/>
      </c>
      <c r="GY279">
        <f t="shared" si="588"/>
        <v>10</v>
      </c>
      <c r="GZ279" t="str">
        <f t="shared" si="589"/>
        <v/>
      </c>
      <c r="HA279" t="str">
        <f>IF(AND(B279="",GT279=""),"",_xlfn.TEXTJOIN("; ",TRUE,IF(AND(B279&lt;&gt;"",FE279=""),"нет фазы",""),IF(AND(B279&lt;&gt;"",N(FY279)=0,EQ279&lt;&gt;"Нет"),"нет мощности",""),IF(AND(GS279&lt;&gt;"",COUNTIFS(Линии[Щит],A279,Линии[Клемма (итог)],GS279)&gt;1),"дубль клеммы "&amp;GS279,""),IF(AND(GV279&lt;&gt;"",GV279&lt;&gt;"ok"),GV279,""),IF(GW279&lt;&gt;"",GW279,""),IF(AND(N(BV279)&gt;=4,N(BR279)=1),BV279&amp;" жил на 1 фазе",""),IF(AND(AX279="R",CA279=1,OR(N(CK279)=0,N(CK279)&gt;30)),"розетка без дифзащиты до 30 мА",""),IFERROR(IF(AND(ISNUMBER(R279),R279&gt;DV279),"потери "&amp;FIXED(R279,1)&amp;" % &gt; "&amp;DV279&amp;" %",""),""),IFERROR(IF(LEFT(GZ279,4)="мало","Iкз мало — отключение &gt; 0,4 с",""),""),IF(AND(B279&lt;&gt;"",BH279=""),"не на схеме",""),IF(AND(CA279=0,B279&lt;&gt;"",FE279&lt;&gt;"",IF(AW279=1,"",FF278)&lt;&gt;"",FE279&lt;&gt;IF(AW279=1,"",FF278)),"фаза не как у автомата группы ("&amp;IF(AW279=1,"",FF278)&amp;")","")))</f>
        <v/>
      </c>
      <c r="HB279" s="6">
        <f>IF(OR(CA279=0,DA279=""),"",_xlfn.LET(_xlpm.t,IFERROR(_xlfn.XLOOKUP(DA279,Каталог!$U$4:$U$500,Каталог!$G$4:$G$500),""),_xlpm.k,SEARCH("кА",_xlpm.t),IFERROR(--TRIM(RIGHT(SUBSTITUTE(MID(_xlpm.t,MAX(1,_xlpm.k-4),_xlpm.k-MAX(1,_xlpm.k-4))," ",REPT(" ",9)),5)),"")))</f>
        <v>6</v>
      </c>
      <c r="HC279" t="str">
        <f>IF(OR(HB279="",CA279=0),"",IF(_xlfn.XLOOKUP(A279,Щиты[Щит],Щиты[Iкз max на шинах, кА],"")="","",IF(HB279&lt;_xlfn.XLOOKUP(A279,Щиты[Щит],Щиты[Iкз max на шинах, кА]),"Icu "&amp;HB279&amp;" кА &lt; Iкз max","ok")))</f>
        <v/>
      </c>
      <c r="HD279" t="str">
        <f t="shared" si="590"/>
        <v/>
      </c>
      <c r="HE279" t="str">
        <f t="shared" si="591"/>
        <v>QFD55|XT55</v>
      </c>
      <c r="HF279" t="str">
        <f t="shared" si="592"/>
        <v>QFD55|XT55|кабель ВВГнг(А)-LS (3х2,5) → Розеточная группа, пом. 021A</v>
      </c>
      <c r="HG279" t="str" cm="1">
        <f t="array" ref="HG279">IF(HF279="","",_xlfn.LET(_xlpm.nd,_xlfn.TEXTSPLIT(HF279,"|"),IF(COLUMNS(_xlpm.nd)&gt;1,A279&amp;"¦"&amp;INDEX(_xlpm.nd,1)&amp;"¦"&amp;INDEX(_xlpm.nd,2),"")))</f>
        <v>ЩР-1¦QFD55¦XT55</v>
      </c>
      <c r="HH279" t="str">
        <f t="shared" si="593"/>
        <v>R.1.021A.5¦Розеточная группа, пом. 021A</v>
      </c>
      <c r="HI279" t="str" cm="1">
        <f t="array" ref="HI279">IF(HF279="","",_xlfn.LET(_xlpm.nd,_xlfn.TEXTSPLIT(HF279,"|"),IF(COLUMNS(_xlpm.nd)&gt;2,A279&amp;"¦"&amp;INDEX(_xlpm.nd,2)&amp;"¦"&amp;INDEX(_xlpm.nd,3),"")))</f>
        <v>ЩР-1¦XT55¦кабель ВВГнг(А)-LS (3х2,5) → Розеточная группа, пом. 021A</v>
      </c>
      <c r="HJ279" t="str">
        <f t="shared" si="594"/>
        <v>R.1.021A.5¦Розеточная группа, пом. 021A</v>
      </c>
      <c r="HK279" t="str" cm="1">
        <f t="array" ref="HK279">IF(HF279="","",_xlfn.LET(_xlpm.nd,_xlfn.TEXTSPLIT(HF279,"|"),IF(COLUMNS(_xlpm.nd)&gt;3,A279&amp;"¦"&amp;INDEX(_xlpm.nd,3)&amp;"¦"&amp;INDEX(_xlpm.nd,4),"")))</f>
        <v/>
      </c>
      <c r="HL279" t="str">
        <f t="shared" si="595"/>
        <v/>
      </c>
      <c r="HM279" t="str" cm="1">
        <f t="array" ref="HM279">IF(HF279="","",_xlfn.LET(_xlpm.nd,_xlfn.TEXTSPLIT(HF279,"|"),IF(COLUMNS(_xlpm.nd)&gt;4,A279&amp;"¦"&amp;INDEX(_xlpm.nd,4)&amp;"¦"&amp;INDEX(_xlpm.nd,5),"")))</f>
        <v/>
      </c>
      <c r="HN279" t="str">
        <f t="shared" si="596"/>
        <v/>
      </c>
      <c r="HO279" t="str" cm="1">
        <f t="array" ref="HO279">IF(HF279="","",_xlfn.LET(_xlpm.nd,_xlfn.TEXTSPLIT(HF279,"|"),IF(COLUMNS(_xlpm.nd)&gt;5,A279&amp;"¦"&amp;INDEX(_xlpm.nd,5)&amp;"¦"&amp;INDEX(_xlpm.nd,6),"")))</f>
        <v/>
      </c>
      <c r="HP279" t="str">
        <f t="shared" si="597"/>
        <v/>
      </c>
      <c r="HQ279" t="str" cm="1">
        <f t="array" ref="HQ279">IF(HF279="","",_xlfn.LET(_xlpm.nd,_xlfn.TEXTSPLIT(HF279,"|"),IF(COLUMNS(_xlpm.nd)&gt;6,A279&amp;"¦"&amp;INDEX(_xlpm.nd,6)&amp;"¦"&amp;INDEX(_xlpm.nd,7),"")))</f>
        <v/>
      </c>
      <c r="HR279" t="str">
        <f t="shared" si="598"/>
        <v/>
      </c>
      <c r="HS279" t="str">
        <f t="shared" si="599"/>
        <v/>
      </c>
      <c r="HT279" t="str">
        <f t="shared" si="600"/>
        <v>QFD55 → XT55</v>
      </c>
      <c r="HU279">
        <f t="shared" si="601"/>
        <v>0</v>
      </c>
      <c r="HV279">
        <f t="shared" si="602"/>
        <v>1</v>
      </c>
      <c r="HW279" t="str">
        <f t="shared" si="603"/>
        <v/>
      </c>
      <c r="HX279" t="str">
        <f t="shared" si="604"/>
        <v/>
      </c>
      <c r="HY279" t="str">
        <f t="shared" si="605"/>
        <v/>
      </c>
      <c r="HZ279" t="str">
        <f t="shared" si="606"/>
        <v/>
      </c>
      <c r="IA279" t="str">
        <f>IF(B279="","",IFERROR(VLOOKUP(B279,УГО_спр,2,FALSE),IFERROR(VLOOKUP(AX279,УГО_спр,2,FALSE),IFERROR(VLOOKUP(LEFT(AX279,2),УГО_спр,2,FALSE),""))))</f>
        <v>Розетка</v>
      </c>
      <c r="IB279" t="str">
        <f>IF(B279="","",IF(OR(IA279="",IA279=0),"BOX",IFERROR(IF(VLOOKUP(IA279,УГО_блоки,3,FALSE)&amp;""&lt;&gt;"",VLOOKUP(IA279,УГО_блоки,3,FALSE),VLOOKUP(IA279,УГО_блоки,2,FALSE)),IA279)))</f>
        <v>SOCKET</v>
      </c>
      <c r="IC279">
        <f t="shared" si="607"/>
        <v>1</v>
      </c>
      <c r="ID279" t="str">
        <f>IF(DA279="","",IF(COUNTIF(DA$3:DA279,DA279)=1,MAX(ID$2:ID278)+1,""))</f>
        <v/>
      </c>
      <c r="IE279" t="str">
        <f>IF(CO279="","",IF(COUNTIF(CO$3:CO279,CO279)+COUNTIF(CP$2:CP278,CO279)+COUNTIF(CQ$2:CQ278,CO279)=1,MAX(IE$2:IG278)+1,""))</f>
        <v/>
      </c>
      <c r="IF279" t="str">
        <f>IF(CP279="","",IF(COUNTIF(CO$3:CO279,CP279)+COUNTIF(CP$3:CP279,CP279)+COUNTIF(CQ$2:CQ278,CP279)=1,MAX(IE$2:IG278,IE279)+1,""))</f>
        <v/>
      </c>
      <c r="IG279" t="str">
        <f>IF(CQ279="","",IF(COUNTIF(CO$3:CO279,CQ279)+COUNTIF(CP$3:CP279,CQ279)+COUNTIF(CQ$3:CQ279,CQ279)=1,MAX(IE$2:IG278,IE279,IF279)+1,""))</f>
        <v/>
      </c>
      <c r="IH279" t="str">
        <f t="shared" si="608"/>
        <v>3х2,5</v>
      </c>
      <c r="II279" t="str">
        <f>IF(IH279="","",IF(COUNTIF(IH$3:IH279,IH279)=1,MAX(II$2:II278)+1,""))</f>
        <v/>
      </c>
      <c r="IJ279" t="str">
        <f>IF(GL279="","",COUNTIF(GL$3:GL279,"?*"))</f>
        <v/>
      </c>
      <c r="IK279" t="str">
        <f>IF(OR(GL279="",GN279=""),"",IF(COUNTIFS(GL$3:GL279,"?*",GN$3:GN279,GN279)=1,MAX(IK$2:IK278)+1,""))</f>
        <v/>
      </c>
      <c r="IL279">
        <f t="shared" si="609"/>
        <v>0</v>
      </c>
      <c r="IM279">
        <f>IF(B279="","",COUNTIF(B$3:B279,"?*"))</f>
        <v>277</v>
      </c>
      <c r="IN279">
        <f>IF(GQ279&lt;&gt;1,0,_xlfn.LET(_xlpm.k,MAX(IFERROR(--VLOOKUP(B279,УГО_спр,5,FALSE),0),IFERROR(--VLOOKUP(AX279,УГО_спр,5,FALSE),0),IFERROR(--VLOOKUP(LEFT(AX279,2),УГО_спр,5,FALSE),0)),IF(_xlpm.k&gt;0,_xlpm.k,IF(IFERROR(--LEFT(SUBSTITUTE(IH279,"x","х"),FIND("х",SUBSTITUTE(IH279,"x","х"))-1),3)&gt;3,Каталог!$S$9,1))))</f>
        <v>1</v>
      </c>
      <c r="IO279">
        <f t="shared" si="610"/>
        <v>0</v>
      </c>
      <c r="IP279" t="str">
        <f t="shared" si="611"/>
        <v>авто</v>
      </c>
      <c r="IQ279">
        <f t="shared" si="612"/>
        <v>30</v>
      </c>
      <c r="IR279">
        <f t="shared" si="613"/>
        <v>1</v>
      </c>
      <c r="IS279">
        <f t="shared" si="614"/>
        <v>1</v>
      </c>
    </row>
    <row r="280" spans="1:253" x14ac:dyDescent="0.3">
      <c r="A280" t="s">
        <v>759</v>
      </c>
      <c r="B280" t="s">
        <v>1545</v>
      </c>
      <c r="C280" t="s">
        <v>1681</v>
      </c>
      <c r="D280">
        <v>1</v>
      </c>
      <c r="E280" t="str">
        <f>Линии[[#This Row],[_авто Р]]</f>
        <v/>
      </c>
      <c r="G280" t="str">
        <f>Линии[[#This Row],[_авто автомат]]</f>
        <v>2P С16А 30мА</v>
      </c>
      <c r="H280">
        <f>Линии[[#This Row],[_авто утечка]]</f>
        <v>30</v>
      </c>
      <c r="I280" t="str">
        <f>Линии[[#This Row],[_авто управление]]</f>
        <v/>
      </c>
      <c r="J280" t="str">
        <f>Линии[[#This Row],[_авто аппараты]]</f>
        <v/>
      </c>
      <c r="K280">
        <v>2.5</v>
      </c>
      <c r="L280">
        <v>47</v>
      </c>
      <c r="M280" t="str">
        <f>Линии[[#This Row],[_авто фаза]]</f>
        <v>L3</v>
      </c>
      <c r="N280" t="str">
        <f>Линии[[#This Row],[_авто клемма]]</f>
        <v>XT56</v>
      </c>
      <c r="O280" t="str">
        <f t="shared" si="492"/>
        <v>нет мощности</v>
      </c>
      <c r="P280" s="6" cm="1">
        <f t="array" ref="P280">IF(B280="","",IF(BC280&lt;&gt;"",IFERROR(_xlfn.XLOOKUP(BC280,Щиты[Щит],Щиты[Iр, А]),""),IF(BK280=1,IFERROR(_xlfn.XLOOKUP(A280,Щиты[Щит],Щиты[Iр, А]),""),IFERROR(_xlfn.IFS(BR280=1,BN280/((Uн_лин/SQRT(3))*BY280),BR280=3,BN280/(SQRT(3)*Uн_лин*BY280)),""))))</f>
        <v>0</v>
      </c>
      <c r="Q280" s="7">
        <f>IF(B280="","",IFERROR(IF(VLOOKUP(AX280,Потребители_обозначение,4,FALSE)=1,VLOOKUP(AX280,Потребители_обозначение,3,FALSE)*(D280*2-1)+DS280+VLOOKUP(AZ280,Этаж_обозначение,3,FALSE)+VLOOKUP(AZ280,Этаж_обозначение,4,FALSE),VLOOKUP(AX280,Потребители_обозначение,3,FALSE)*(D280*2-1)+DS280),DS280))</f>
        <v>50</v>
      </c>
      <c r="R280" s="6">
        <f t="shared" si="493"/>
        <v>1.19</v>
      </c>
      <c r="S280" t="str">
        <f t="shared" si="494"/>
        <v>ВВГнг(А)-LS (3х2,5)</v>
      </c>
      <c r="T280" t="str">
        <f>IF(BH280="","",IF(BI280="вводной узел","узел ","")&amp;"л."&amp;(INT((BH280-1)/Столбцов_на_лист)+1)&amp;" / "&amp;(MOD(BH280-1,Столбцов_на_лист)+1))</f>
        <v>л.5 / 13</v>
      </c>
      <c r="V280">
        <v>1</v>
      </c>
      <c r="W280">
        <v>230</v>
      </c>
      <c r="X280" t="s">
        <v>564</v>
      </c>
      <c r="AC280" t="s">
        <v>815</v>
      </c>
      <c r="AE280" t="s">
        <v>563</v>
      </c>
      <c r="AI280">
        <v>81</v>
      </c>
      <c r="AJ280" t="s">
        <v>11</v>
      </c>
      <c r="AK280">
        <v>3</v>
      </c>
      <c r="AM280">
        <v>20</v>
      </c>
      <c r="AN280">
        <v>30</v>
      </c>
      <c r="AO280">
        <v>0</v>
      </c>
      <c r="AW280" cm="1">
        <f t="array" ref="AW280">ROW()-ROW(Линии[#Headers])</f>
        <v>278</v>
      </c>
      <c r="AX280" s="6" t="str">
        <f t="shared" si="495"/>
        <v>R</v>
      </c>
      <c r="AY280" t="str">
        <f t="shared" si="496"/>
        <v>1.020A.1</v>
      </c>
      <c r="AZ280" t="str">
        <f t="shared" si="497"/>
        <v>1</v>
      </c>
      <c r="BA280" t="str">
        <f t="shared" si="498"/>
        <v>020A.1</v>
      </c>
      <c r="BB280" t="str">
        <f t="shared" si="499"/>
        <v>020A</v>
      </c>
      <c r="BC280" t="str">
        <f>IF(U280&lt;&gt;"",U280,IF(AND(B280&lt;&gt;"",B280&lt;&gt;A280,ISNUMBER(_xlfn.XMATCH(B280,Щиты[Щит]))),B280,""))</f>
        <v/>
      </c>
      <c r="BD280" t="str" cm="1">
        <f t="array" ref="BD280">IF(B280="","",IF(BC280&lt;&gt;"","Щит "&amp;BC280,_xlfn.LET(_xlpm.nm,IFERROR(_xlfn.XLOOKUP(AX280,Коды_код,Коды_имя)&amp;"",""),_xlpm.md,IFERROR(N(_xlfn.XLOOKUP(AX280,Коды_код,Коды_режим)),1),_xlpm.ex,IF(Имя_режим="по экспликации",IFERROR(_xlfn.XLOOKUP(AZ280&amp;"|"&amp;BB280,Экспликация[Этаж]&amp;"|"&amp;Экспликация[Помещение],Экспликация[Название])&amp;"",""),""),_xlpm.rm,IF(BB280="","",IF(_xlpm.ex&lt;&gt;"",". "&amp;_xlpm.ex&amp;IF(Имя_пом="нет"," ("&amp;BB280&amp;")"," (пом. "&amp;BB280&amp;")"),IF(Имя_пом="нет"," ",", пом. ")&amp;BB280)),IF(_xlpm.nm="","",IF(_xlpm.md=2,_xlpm.nm&amp;" шлейф "&amp;AZ280,_xlpm.nm&amp;_xlpm.rm)))))</f>
        <v>Розеточная группа, пом. 020A</v>
      </c>
      <c r="BE280" t="str">
        <f t="shared" si="500"/>
        <v>Розеточная группа Первый этаж Пом. №020A Холодильник, морозильная камера</v>
      </c>
      <c r="BF280">
        <f>IFERROR(_xlfn.XMATCH(A280,Щиты[Щит]),0)</f>
        <v>10</v>
      </c>
      <c r="BG280">
        <f>_xlfn.LET(_xlpm.k,IFERROR(_xlfn.XLOOKUP(A280,Щиты[Щит],Щиты[Листов под вводной узел]),""),IF(_xlpm.k="",1,N(_xlpm.k))*Столбцов_на_лист)</f>
        <v>17</v>
      </c>
      <c r="BH280">
        <f t="shared" si="501"/>
        <v>81</v>
      </c>
      <c r="BI280" t="str">
        <f t="shared" si="502"/>
        <v>линии</v>
      </c>
      <c r="BJ280" s="6">
        <f>IFERROR(N(_xlfn.XLOOKUP(AX280,Коды_код,Коды_квт)),0)</f>
        <v>0</v>
      </c>
      <c r="BK280">
        <f t="shared" si="503"/>
        <v>0</v>
      </c>
      <c r="BL280" t="str">
        <f>IF(B280="","",IF(BC280&lt;&gt;"",IFERROR(_xlfn.XLOOKUP(BC280,Щиты[Щит],Щиты[Руст, кВт]),0),IF(BK280=1,IFERROR(_xlfn.XLOOKUP(A280,Щиты[Щит],Щиты[Руст, кВт]),0),IF(BJ280&gt;0,ROUND(BJ280*MAX(1,N(D280)),3),""))))</f>
        <v/>
      </c>
      <c r="BM280" t="str">
        <f t="shared" si="504"/>
        <v/>
      </c>
      <c r="BN280" s="6">
        <f>IF(B280="","",IF(BC280&lt;&gt;"",IFERROR(_xlfn.XLOOKUP(BC280,Щиты[Щит],Щиты[Руст, кВт]),0),N(BM280)))</f>
        <v>0</v>
      </c>
      <c r="BO280" t="str">
        <f>IF(B280="","",IFERROR(IF(VLOOKUP(AX280,Потребители_обозначение,8,FALSE)=0,"",VLOOKUP(AX280,Потребители_обозначение,8,FALSE)),""))</f>
        <v/>
      </c>
      <c r="BP280">
        <f t="shared" si="505"/>
        <v>230</v>
      </c>
      <c r="BQ280">
        <f>IF(B280="","",IF(BC280&lt;&gt;"",3,IFERROR(IF(N(VLOOKUP(AX280,Потребители_обозначение,9,FALSE))=0,1,VLOOKUP(AX280,Потребители_обозначение,9,FALSE)),1)))</f>
        <v>1</v>
      </c>
      <c r="BR280">
        <f t="shared" si="506"/>
        <v>1</v>
      </c>
      <c r="BS280" t="str">
        <f>IF(B280="","",_xlfn.LET(_xlpm.bc,IFERROR(IF(VLOOKUP(AX280,Потребители_обозначение,6,FALSE)=0,"",VLOOKUP(AX280,Потребители_обозначение,6,FALSE)&amp;""),""),IF(AND(FK280="да",OR(_xlpm.bc="",_xlpm.bc="мс")),Марка_пож,IF(AND(_xlpm.bc="",BC280&lt;&gt;""),"мс",_xlpm.bc))))</f>
        <v/>
      </c>
      <c r="BT280" t="str">
        <f t="shared" si="507"/>
        <v>мс</v>
      </c>
      <c r="BU280">
        <f>IF(B280="","",_xlfn.LET(_xlpm.cc,IFERROR(N(VLOOKUP(AX280,Потребители_обозначение,7,FALSE)),0),IF(_xlpm.cc&gt;0,_xlpm.cc,IF(BT280="","",IF(N(BR280)=3,5,3)))))</f>
        <v>3</v>
      </c>
      <c r="BV280">
        <f t="shared" si="508"/>
        <v>3</v>
      </c>
      <c r="BW280">
        <f>IFERROR(N(VLOOKUP(AX280,Потребители_обозначение,10,FALSE)),0)</f>
        <v>0</v>
      </c>
      <c r="BX280">
        <f>IFERROR(VLOOKUP(AX280,Потребители_обозначение,5,FALSE),0)</f>
        <v>1</v>
      </c>
      <c r="BY280" s="6" cm="1">
        <f t="array" ref="BY280">IF(B280="","",IF(BC280&lt;&gt;"",IFERROR(_xlfn.XLOOKUP(BC280,Щиты[Щит],Щиты[cos φ]),0.95),IF(BK280=1,IFERROR(_xlfn.XLOOKUP(A280,Щиты[Щит],Щиты[cos φ]),0.95),IF(ISNUMBER(Z280),Z280,IFERROR(IF(BX280=2,_xlfn.IFS(BR280=3,VLOOKUP(BN280,Справочная_двигатели,8,FALSE),BR280=1,VLOOKUP(BN280,Справочная_двигатели,10,TRUE)),IF(AND(Методика="нормы 2026",EQ280="Сил"),0.8,0.95)),0.95)))))</f>
        <v>0.95</v>
      </c>
      <c r="BZ280">
        <f t="shared" si="509"/>
        <v>0</v>
      </c>
      <c r="CA280">
        <f t="shared" si="510"/>
        <v>1</v>
      </c>
      <c r="CB280">
        <f t="shared" si="511"/>
        <v>0</v>
      </c>
      <c r="CC280">
        <f t="shared" si="512"/>
        <v>0</v>
      </c>
      <c r="CD280">
        <f t="shared" si="513"/>
        <v>0</v>
      </c>
      <c r="CE280">
        <f t="shared" si="514"/>
        <v>0</v>
      </c>
      <c r="CF280">
        <f t="shared" si="515"/>
        <v>0</v>
      </c>
      <c r="CG280">
        <f>IF(AX280="",0,_xlfn.LET(_xlpm.v,IFERROR(VLOOKUP(B280,УГО_спр,3,FALSE),IFERROR(VLOOKUP(AX280,УГО_спр,3,FALSE),IFERROR(VLOOKUP(LEFT(AX280,2),УГО_спр,3,FALSE),""))),IF(_xlpm.v="да",30,IF(ISNUMBER(_xlpm.v),_xlpm.v,0))))</f>
        <v>30</v>
      </c>
      <c r="CH280">
        <f t="shared" si="516"/>
        <v>30</v>
      </c>
      <c r="CI280" t="str">
        <f>_xlfn.LET(_xlpm.k,IFERROR(_xlfn.XLOOKUP(AX280,Коды_код,Коды_утечка)&amp;"",""),IF(_xlpm.k="","дифавтомат",_xlpm.k))</f>
        <v>дифавтомат</v>
      </c>
      <c r="CJ280">
        <f t="shared" si="517"/>
        <v>30</v>
      </c>
      <c r="CK280">
        <f t="shared" si="518"/>
        <v>30</v>
      </c>
      <c r="CL280">
        <f>IF(B280="",0,IFERROR(--VLOOKUP(B280,УГО_спр,4,FALSE),IFERROR(--VLOOKUP(AX280,УГО_спр,4,FALSE),IFERROR(--VLOOKUP(LEFT(AX280,2),УГО_спр,4,FALSE),0))))</f>
        <v>16</v>
      </c>
      <c r="CM280" t="str">
        <f>IF(B280="","",IFERROR(_xlfn.XLOOKUP(AX280,Коды_код,Коды_апп)&amp;"",""))</f>
        <v/>
      </c>
      <c r="CN280" t="str">
        <f t="shared" si="519"/>
        <v/>
      </c>
      <c r="CO280" t="str" cm="1">
        <f t="array" ref="CO280">IF(TRIM(CN280&amp;"")="","",IFERROR(TRIM(INDEX(_xlfn.TEXTSPLIT(CN280&amp;";;;",";"),1)),""))</f>
        <v/>
      </c>
      <c r="CP280" t="str" cm="1">
        <f t="array" ref="CP280">IF(TRIM(CN280&amp;"")="","",IFERROR(TRIM(INDEX(_xlfn.TEXTSPLIT(CN280&amp;";;;",";"),2)),""))</f>
        <v/>
      </c>
      <c r="CQ280" t="str" cm="1">
        <f t="array" ref="CQ280">IF(TRIM(CN280&amp;"")="","",IFERROR(TRIM(INDEX(_xlfn.TEXTSPLIT(CN280&amp;";;;",";"),3)),""))</f>
        <v/>
      </c>
      <c r="CR280">
        <f t="shared" si="520"/>
        <v>0</v>
      </c>
      <c r="CS280" t="str">
        <f>IF(B280="","",_xlfn.LET(_xlpm.t,LOWER(AV280&amp;""),IF(ISNUMBER(SEARCH("dim",_xlpm.t)),"DIM",IF(ISNUMBER(SEARCH("dali",_xlpm.t)),"DALI",IF(OR(ISNUMBER(SEARCH("relay",_xlpm.t)),ISNUMBER(SEARCH("реле",_xlpm.t))),"Relay",IF(ISNUMBER(SEARCH("кнопк",_xlpm.t)),"",IFERROR(_xlfn.XLOOKUP(AX280,Коды_код,Коды_упр)&amp;"","")))))))</f>
        <v/>
      </c>
      <c r="CT280" t="str">
        <f t="shared" si="521"/>
        <v/>
      </c>
      <c r="CU280">
        <f>IF(B280="","",_xlfn.LET(_xlpm.ig,N(P280)+IF(AF280="вручную",0,N(CB280)),_xlpm.n0,IFERROR(VLOOKUP(_xlpm.ig,Автомат_номиналы,2,TRUE),0),_xlpm.mn,MAX(CL280,IF(AF280="вручную",0,N(CE280))),MAX(_xlpm.n0,_xlpm.mn,IF(CR280=1,Мин_автомат_БП,0))))</f>
        <v>16</v>
      </c>
      <c r="CV280">
        <f t="shared" si="522"/>
        <v>1</v>
      </c>
      <c r="CW280" t="str">
        <f t="shared" si="523"/>
        <v>2P</v>
      </c>
      <c r="CX280" t="str">
        <f>_xlfn.LET(_xlpm.cc,UPPER(TRIM(IFERROR(_xlfn.XLOOKUP(AX280,Коды_код,Коды_хар)&amp;"",""))),IF(OR(_xlpm.cc="B",_xlpm.cc="В"),"B",IF(_xlpm.cc="D","D","С")))</f>
        <v>С</v>
      </c>
      <c r="CY280" t="str">
        <f t="shared" si="524"/>
        <v>2P С16А 30мА</v>
      </c>
      <c r="CZ280" t="str">
        <f t="shared" si="525"/>
        <v>2P С16А 30мА</v>
      </c>
      <c r="DA280" t="str">
        <f t="shared" si="526"/>
        <v>2P С16А 30мА</v>
      </c>
      <c r="DB280" cm="1">
        <f t="array" ref="DB280">IF(DA280="","",_xlfn.LET(_xlpm.t,SUBSTITUTE(SUBSTITUTE(SUBSTITUTE(UPPER(DA280),"С","C"),"А","A"),"В","B"),_xlpm.tk,_xlfn.TEXTSPLIT(_xlpm.t,"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0" t="str">
        <f t="shared" si="527"/>
        <v>ok</v>
      </c>
      <c r="DD280">
        <f t="shared" si="528"/>
        <v>16</v>
      </c>
      <c r="DE280" t="str">
        <f t="shared" si="529"/>
        <v>2P С16А 30мА</v>
      </c>
      <c r="DF280">
        <f t="shared" si="530"/>
        <v>30</v>
      </c>
      <c r="DG280">
        <f t="shared" si="531"/>
        <v>1</v>
      </c>
      <c r="DH280">
        <f t="shared" si="532"/>
        <v>0</v>
      </c>
      <c r="DI280">
        <f t="shared" si="533"/>
        <v>0</v>
      </c>
      <c r="DJ280">
        <f t="shared" si="534"/>
        <v>1</v>
      </c>
      <c r="DK280">
        <f>IF(ISNUMBER(AL280),AL280,К_прокл)</f>
        <v>1</v>
      </c>
      <c r="DL280">
        <f t="shared" si="535"/>
        <v>2</v>
      </c>
      <c r="DM280">
        <f>IFERROR(N(VLOOKUP(BT280,Кабель_обозначение,3,FALSE)),1)</f>
        <v>1</v>
      </c>
      <c r="DN280">
        <f>IFERROR(N(_xlfn.XLOOKUP(A280,Щиты[Щит],Щиты[ΔU до шин, %])),0)</f>
        <v>1.19</v>
      </c>
      <c r="DO280" t="str">
        <f>IFERROR(_xlfn.XLOOKUP(A280,Щиты[Щит],Щиты[Zпетли на шинах, Ом]),"")</f>
        <v/>
      </c>
      <c r="DP280">
        <f>IFERROR(N(_xlfn.XLOOKUP(A280,Щиты[Щит],Щиты[ΔU до шин (подбор), %])),0)</f>
        <v>1.19</v>
      </c>
      <c r="DQ280" t="str">
        <f>IFERROR(_xlfn.XLOOKUP(A280,Щиты[Щит],Щиты[Zпетли на шинах (подбор), Ом]),"")</f>
        <v/>
      </c>
      <c r="DR280" t="str">
        <f t="shared" si="536"/>
        <v/>
      </c>
      <c r="DS280">
        <f t="shared" si="537"/>
        <v>47</v>
      </c>
      <c r="DT280">
        <f t="shared" si="538"/>
        <v>2</v>
      </c>
      <c r="DU280">
        <f t="shared" si="539"/>
        <v>0.31</v>
      </c>
      <c r="DV280" s="6">
        <f>IF(B280="","",IF(IFERROR(VLOOKUP(AX280,УГО_спр,2,FALSE),"")="Светильник",3,4)+IF(Методика="нормы 2026",MIN(0.5,MAX(0,N(Q280)-100)*0.005),0))</f>
        <v>4</v>
      </c>
      <c r="DW280" cm="1">
        <f t="array" ref="DW280">IF(OR(B280="",BT280="",DM280&lt;&gt;1),"",_xlfn.LET(_xlpm.sz,Iдоп_S,_xlpm.t_,CHOOSE(DL280,Iдоп_1ж,Iдоп_2ж,Iдоп_3ж)*DJ280*DK280,_xlpm.inn,N(DD280),_xlpm.smin,MAX(1.5,BW280),_xlpm.L_,N(Q280)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280)*(_xlpm.rho*_xlpm.L_/_xlpm.sz*N(BY280)+_xlpm.xx*_xlpm.L_*N(DU280)/1000)*N(P280)/((Uн_лин/SQRT(3))*1000)*100,999),_xlpm.kz,IF(OR(DG280=1,NOT(ISNUMBER(DQ280)),_xlpm.L_=0,_xlpm.inn=0),1,IFERROR(--(c_min*(Uн_лин*1000/SQRT(3))/(DQ280+2*ρкз_Cu*_xlpm.L_/_xlpm.sz)&gt;=GY280*_xlpm.inn),0)),_xlpm.ok,IFERROR((_xlpm.sz&gt;=_xlpm.smin)*(_xlpm.t_&gt;=_xlpm.inn)*IF(_xlpm.L_&gt;0,(_xlpm.du_+DP280&lt;=DV280+0.00001),1)*_xlpm.kz,0),_xlpm.r_,_xlfn._xlws.FILTER(_xlpm.sz,_xlpm.ok,"не подобрано"),INDEX(_xlpm.r_,1)))</f>
        <v>1.5</v>
      </c>
      <c r="DX280">
        <f t="shared" si="540"/>
        <v>2.5</v>
      </c>
      <c r="DY280" cm="1">
        <f t="array" ref="DY280">IF(OR(B280="",BT280="",DM280&lt;&gt;1),"",_xlfn.LET(_xlpm.sz,Iдоп_S,_xlpm.t_,CHOOSE(DL280,Iдоп_1ж,Iдоп_2ж,Iдоп_3ж)*DJ280*DK280,_xlpm.ok,IFERROR((_xlpm.sz&gt;=MAX(1.5,BW280))*(_xlpm.t_&gt;=N(DD280)),0),_xlpm.r_,_xlfn._xlws.FILTER(_xlpm.sz,_xlpm.ok,""),INDEX(_xlpm.r_,1)))</f>
        <v>1.5</v>
      </c>
      <c r="DZ280" s="6" cm="1">
        <f t="array" ref="DZ280">IFERROR(ROUNDUP(N(DT280)*(_xlfn.XLOOKUP(DY280,INDEX(Кабель_сопротивление,0,1),INDEX(Кабель_сопротивление,0,3))*N(Q280)/DY280*N(BY280)+_xlfn.XLOOKUP(DY280,INDEX(Кабель_сопротивление,0,1),INDEX(Кабель_сопротивление,0,2))*N(Q280)*N(DU280)/1000)*N(P280)/((Uн_лин/SQRT(3))*1000)*100,2),"")</f>
        <v>0</v>
      </c>
      <c r="EA280">
        <f>IFERROR(2*ρкз_Cu*N(Q280)/DY280,"")</f>
        <v>1.7533333333333332</v>
      </c>
      <c r="EB280">
        <f>IFERROR(VLOOKUP(DX280,Кабель_сопротивление,3,FALSE),"")</f>
        <v>2.2499999999999999E-2</v>
      </c>
      <c r="EC280">
        <f>IFERROR(VLOOKUP(DX280,Кабель_сопротивление,2,FALSE),"")</f>
        <v>0.1</v>
      </c>
      <c r="ED280">
        <f t="shared" si="541"/>
        <v>30</v>
      </c>
      <c r="EE280">
        <f t="shared" si="542"/>
        <v>0</v>
      </c>
      <c r="EF280">
        <f t="shared" si="543"/>
        <v>0</v>
      </c>
      <c r="EG280" s="6">
        <f>IFERROR(ROUNDUP(EF280/((Uн_лин/SQRT(3))*1000)*100,2),"")</f>
        <v>0</v>
      </c>
      <c r="EH280" t="str">
        <f>IFERROR(VLOOKUP(BT280,Кабель_обозначение,2,FALSE),"")</f>
        <v>ВВГнг(А)-LS</v>
      </c>
      <c r="EI280" t="str">
        <f t="shared" si="544"/>
        <v>ВВГнг(А)-LS (3х2,5)</v>
      </c>
      <c r="EJ280" t="str">
        <f t="shared" si="545"/>
        <v>ВВГнг(А)-LS (3х2,5)
L=50-0%</v>
      </c>
      <c r="EK280">
        <f>IFERROR(2*ρкз_Cu*Q280/DX280,"")</f>
        <v>1.052</v>
      </c>
      <c r="EL280">
        <f t="shared" si="546"/>
        <v>0.35000000000000003</v>
      </c>
      <c r="EM280" s="6" t="str">
        <f>IFERROR(IF(OR(B280="",NOT(ISNUMBER(DX280)),N(Q280)=0),"",_xlfn.XLOOKUP(A280,Щиты[Щит],Щиты[Zпетли на шинах, Ом])+EK280),"")</f>
        <v/>
      </c>
      <c r="EN280" s="6" t="str">
        <f>IF(ISNUMBER(EM280),c_min*(Uн_лин*1000/SQRT(3))/EM280,"")</f>
        <v/>
      </c>
      <c r="EO280" s="6" t="str">
        <f>IFERROR(IF(OR(B280="",NOT(ISNUMBER(DX280))),"",1.05*(Uн_лин*1000/SQRT(3))/(_xlfn.XLOOKUP(A280,Щиты[Щит],Щиты[Zmax на шинах, Ом])+EL280)/1000),"")</f>
        <v/>
      </c>
      <c r="EP280" s="6" t="str">
        <f>IF(B280="","",IF(ISNUMBER(Y280),"Сил",IF(IFERROR(_xlfn.XLOOKUP(AX280,Коды_код,Коды_группа)&amp;"","")="","Быт",_xlfn.XLOOKUP(AX280,Коды_код,Коды_группа)&amp;"")))</f>
        <v>Быт</v>
      </c>
      <c r="EQ280" s="6" t="str">
        <f t="shared" si="547"/>
        <v>Быт</v>
      </c>
      <c r="ER280" s="6">
        <f>IF(EQ280="Щит","щит",IF(EQ280="","",IF(EQ280="Быт",IFERROR(_xlfn.XLOOKUP(A280,Щиты[Щит],Щиты[Кс быт]),1),IF(EQ280="Сил",IF(ISNUMBER(Y280),Y280,IF(Методика="нормы 2026",IFERROR(_xlfn.XLOOKUP(A280,Щиты[Щит],Щиты[Кс силовых (табл. 7.5)]),1),1)),IF(OR(EQ280="Пост",EQ280="Отоп"),1,IF(EQ280="ВНГ",0.7,0))))))</f>
        <v>0.57830000000000004</v>
      </c>
      <c r="ES280">
        <f t="shared" si="548"/>
        <v>1</v>
      </c>
      <c r="ET280">
        <f t="shared" si="549"/>
        <v>0</v>
      </c>
      <c r="EU280">
        <f t="shared" si="550"/>
        <v>0</v>
      </c>
      <c r="EV280">
        <f t="shared" si="551"/>
        <v>0</v>
      </c>
      <c r="EW280">
        <f t="shared" si="552"/>
        <v>0</v>
      </c>
      <c r="EX280">
        <f t="shared" si="553"/>
        <v>0</v>
      </c>
      <c r="EY280">
        <f t="shared" si="554"/>
        <v>0</v>
      </c>
      <c r="EZ280">
        <f t="shared" si="555"/>
        <v>0</v>
      </c>
      <c r="FA280">
        <f t="shared" si="556"/>
        <v>0</v>
      </c>
      <c r="FB280">
        <f t="shared" si="557"/>
        <v>0</v>
      </c>
      <c r="FC280" t="str">
        <f t="shared" si="558"/>
        <v/>
      </c>
      <c r="FD280" t="str">
        <f>IF(B280="","",IF(CA280=0,IF(AW280=1,"",FF279),IF(OR(N(CV280)&gt;=3,N(BR280)&gt;=3),"L1,L2,L3",IFERROR(_xlfn.TEXTBEFORE(_xlfn.TEXTAFTER(_xlfn.XLOOKUP(A280,Щиты[Щит],Щиты[_фазы авто]),";"&amp;AW280&amp;":"),";"),"L1"))))</f>
        <v>L3</v>
      </c>
      <c r="FE280" t="str">
        <f t="shared" si="559"/>
        <v>L3</v>
      </c>
      <c r="FF280" t="str">
        <f t="shared" si="560"/>
        <v>L3</v>
      </c>
      <c r="FG280" cm="1">
        <f t="array" ref="FG280">IFERROR(IF(BX280=2,_xlfn.IFS(BR280=3,VLOOKUP(BN280,Справочная_двигатели,3,FALSE),BR280=1,VLOOKUP(BN280,Справочная_двигатели,5,TRUE)),0),0)</f>
        <v>0</v>
      </c>
      <c r="FH280">
        <f>IFERROR(IF(BX280=3,VLOOKUP(BN280,Справочная_ЛЭД,2,TRUE),0),0)</f>
        <v>0</v>
      </c>
      <c r="FI280" s="6">
        <f t="shared" si="561"/>
        <v>0</v>
      </c>
      <c r="FJ280" t="str" cm="1">
        <f t="array" ref="FJ280">IF(B280="","",IFERROR(INDEX({"I особая","I","II","III"},MATCH(TRIM(AC280&amp;""),{"I особая","I","II","III"},0)),"III"))</f>
        <v>II</v>
      </c>
      <c r="FK280" t="str">
        <f>IF(B280="","",IF(TRIM(AD280&amp;"")&lt;&gt;"",IF(LOWER(TRIM(AD280&amp;""))="да","да","нет"),IF(IFERROR(_xlfn.XLOOKUP(AX280,Коды_код,Коды_пожарная),"")="да","да","нет")))</f>
        <v>нет</v>
      </c>
      <c r="FL280" t="str">
        <f t="shared" si="562"/>
        <v/>
      </c>
      <c r="FM280" t="str">
        <f t="shared" si="563"/>
        <v>основная</v>
      </c>
      <c r="FN280">
        <f t="shared" si="564"/>
        <v>1</v>
      </c>
      <c r="FO280" t="str" cm="1">
        <f t="array" ref="FO280">IF(B280="","",_xlfn.LET(_xlpm.t,IFERROR(_xlfn.XLOOKUP(1,(Шины[Шина]=FM280)*(((Шины[Щит]=A280)+(Шины[Щит]=""))&gt;0),Шины[Тип]),"")&amp;"",IF(_xlpm.t&lt;&gt;"",_xlpm.t,IF(ISNUMBER(SEARCH("ИБП",FM280)),"ИБП",IF(ISNUMBER(SEARCH("ДГУ",FM280)),"ДГУ","Ввод "&amp;FN280)))))</f>
        <v>Ввод 1</v>
      </c>
      <c r="FP280" t="str">
        <f t="shared" si="565"/>
        <v>Ввод 1</v>
      </c>
      <c r="FQ280" t="str">
        <f>IF(B280="","",IF(OR(FO280="ИБП",FO280="ДГУ"),"I особая",IF(FO280="Одиночная","III",_xlfn.XLOOKUP(A280,Щиты[Щит],Щиты[Категория шины «Ввод»],"III"))))</f>
        <v>II</v>
      </c>
      <c r="FR280">
        <f>IF(B280="",0,IFERROR(MATCH(FJ280,{"III","II","I","I особая"},0),1))</f>
        <v>2</v>
      </c>
      <c r="FS280">
        <f t="shared" si="566"/>
        <v>2</v>
      </c>
      <c r="FT280" t="str">
        <f>IF(B280="","",IF(FR280&gt;IFERROR(MATCH(FQ280,{"III","II","I","I особая"},0),1),"НЕ ОБЕСПЕЧЕНА","ОК"))</f>
        <v>ОК</v>
      </c>
      <c r="FU280" t="str">
        <f>IF(A280="","",_xlfn.XLOOKUP(A280,Щиты[Щит],Щиты[Путь],""))</f>
        <v>|ГРЩ-ЖД|ЩР-1|</v>
      </c>
      <c r="FV280" t="str">
        <f>IF(B280="","",IF(AE280&lt;&gt;"",AE280,IF(IFERROR(_xlfn.XLOOKUP(AX280,Коды_код,Коды_вид)&amp;"","")="","Прочее",_xlfn.XLOOKUP(AX280,Коды_код,Коды_вид)&amp;"")))</f>
        <v>Розеточная сеть и бытовые приборы</v>
      </c>
      <c r="FW280">
        <f>IF(BH280="","",INT((BH280-1)/Столбцов_на_лист)+1)</f>
        <v>5</v>
      </c>
      <c r="FX280" t="str">
        <f t="shared" si="567"/>
        <v>ВВГнг(А)-LS (3х2,5) L=50-0%</v>
      </c>
      <c r="FY280">
        <f t="shared" si="568"/>
        <v>0</v>
      </c>
      <c r="FZ280">
        <f t="shared" si="569"/>
        <v>0</v>
      </c>
      <c r="GA280">
        <f t="shared" si="570"/>
        <v>1</v>
      </c>
      <c r="GB280">
        <f t="shared" si="571"/>
        <v>0</v>
      </c>
      <c r="GC280">
        <f t="shared" si="572"/>
        <v>1</v>
      </c>
      <c r="GD280">
        <f>IF(BH280="","",IF(AND(CA280=1,GC280=1),COUNTIFS(A$3:A280,A280,CA$3:CA280,1,GC$3:GC280,1),IF(OR(OR(AW280=1,A280&lt;&gt;A279),AF280="вручную",GC280=0),"",IF(AW280=1,"",GE279))))</f>
        <v>56</v>
      </c>
      <c r="GE280">
        <f t="shared" si="573"/>
        <v>56</v>
      </c>
      <c r="GF280">
        <f>IF(B280="","",IFERROR(LOOKUP(INDEX(CHOOSE(DL280,Iдоп_1ж,Iдоп_2ж,Iдоп_3ж),MATCH(DX280,Iдоп_S,0))*DJ280*DK280,{6,10,16,20,25,32,40,50,63,80,100,125,160,200,250,315,400,500,630}),""))</f>
        <v>25</v>
      </c>
      <c r="GG280" t="str">
        <f t="shared" si="574"/>
        <v>QFD56</v>
      </c>
      <c r="GH280" t="str">
        <f t="shared" si="575"/>
        <v>QFD56</v>
      </c>
      <c r="GI280" t="str">
        <f t="shared" si="576"/>
        <v/>
      </c>
      <c r="GJ280">
        <f t="shared" si="577"/>
        <v>0</v>
      </c>
      <c r="GK280" t="str">
        <f>IF(OR(AG280="",AG280="-"),"",IFERROR(VLOOKUP(AG280,Модули_спр,2,FALSE),"R"))</f>
        <v/>
      </c>
      <c r="GL280" t="str">
        <f>IF(GK280="","",GK280&amp;"."&amp;COUNTIFS(A$3:A280,A280,GK$3:GK280,GK280))</f>
        <v/>
      </c>
      <c r="GM280" t="str">
        <f t="shared" si="578"/>
        <v/>
      </c>
      <c r="GN280" t="str">
        <f t="shared" si="579"/>
        <v/>
      </c>
      <c r="GO280" t="str">
        <f t="shared" si="580"/>
        <v/>
      </c>
      <c r="GP280" t="str">
        <f t="shared" si="581"/>
        <v/>
      </c>
      <c r="GQ280">
        <f t="shared" si="582"/>
        <v>1</v>
      </c>
      <c r="GR280" t="str">
        <f>IF(GQ280=1,"XT"&amp;COUNTIFS(A$3:A280,A280,GQ$3:GQ280,1),"")</f>
        <v>XT56</v>
      </c>
      <c r="GS280" t="str">
        <f t="shared" si="583"/>
        <v>XT56</v>
      </c>
      <c r="GT280" t="str">
        <f t="shared" si="584"/>
        <v>QFD56</v>
      </c>
      <c r="GU280" t="str">
        <f t="shared" si="585"/>
        <v/>
      </c>
      <c r="GV280" t="str">
        <f t="shared" si="586"/>
        <v>ok</v>
      </c>
      <c r="GW280" t="str">
        <f>IF(OR(GO280="",GM280=""),"",IF(GO280&gt;IFERROR(VLOOKUP(GN280,Модули_спр,3,FALSE),99),"ЛИШНИЙ КАНАЛ",IF(AND(AH280&lt;&gt;"=",COUNTIFS(Линии[_модуль гр.],GM280,Линии[Канал (итог)],GO280,Линии[Канал],"&lt;&gt;=",Линии[Щит],A280)&gt;1),"ДУБЛЬ КАНАЛА","")))</f>
        <v/>
      </c>
      <c r="GX280" s="6" t="str">
        <f t="shared" si="587"/>
        <v/>
      </c>
      <c r="GY280">
        <f t="shared" si="588"/>
        <v>10</v>
      </c>
      <c r="GZ280" t="str">
        <f t="shared" si="589"/>
        <v/>
      </c>
      <c r="HA280" t="str">
        <f>IF(AND(B280="",GT280=""),"",_xlfn.TEXTJOIN("; ",TRUE,IF(AND(B280&lt;&gt;"",FE280=""),"нет фазы",""),IF(AND(B280&lt;&gt;"",N(FY280)=0,EQ280&lt;&gt;"Нет"),"нет мощности",""),IF(AND(GS280&lt;&gt;"",COUNTIFS(Линии[Щит],A280,Линии[Клемма (итог)],GS280)&gt;1),"дубль клеммы "&amp;GS280,""),IF(AND(GV280&lt;&gt;"",GV280&lt;&gt;"ok"),GV280,""),IF(GW280&lt;&gt;"",GW280,""),IF(AND(N(BV280)&gt;=4,N(BR280)=1),BV280&amp;" жил на 1 фазе",""),IF(AND(AX280="R",CA280=1,OR(N(CK280)=0,N(CK280)&gt;30)),"розетка без дифзащиты до 30 мА",""),IFERROR(IF(AND(ISNUMBER(R280),R280&gt;DV280),"потери "&amp;FIXED(R280,1)&amp;" % &gt; "&amp;DV280&amp;" %",""),""),IFERROR(IF(LEFT(GZ280,4)="мало","Iкз мало — отключение &gt; 0,4 с",""),""),IF(AND(B280&lt;&gt;"",BH280=""),"не на схеме",""),IF(AND(CA280=0,B280&lt;&gt;"",FE280&lt;&gt;"",IF(AW280=1,"",FF279)&lt;&gt;"",FE280&lt;&gt;IF(AW280=1,"",FF279)),"фаза не как у автомата группы ("&amp;IF(AW280=1,"",FF279)&amp;")","")))</f>
        <v>нет мощности</v>
      </c>
      <c r="HB280" s="6">
        <f>IF(OR(CA280=0,DA280=""),"",_xlfn.LET(_xlpm.t,IFERROR(_xlfn.XLOOKUP(DA280,Каталог!$U$4:$U$500,Каталог!$G$4:$G$500),""),_xlpm.k,SEARCH("кА",_xlpm.t),IFERROR(--TRIM(RIGHT(SUBSTITUTE(MID(_xlpm.t,MAX(1,_xlpm.k-4),_xlpm.k-MAX(1,_xlpm.k-4))," ",REPT(" ",9)),5)),"")))</f>
        <v>6</v>
      </c>
      <c r="HC280" t="str">
        <f>IF(OR(HB280="",CA280=0),"",IF(_xlfn.XLOOKUP(A280,Щиты[Щит],Щиты[Iкз max на шинах, кА],"")="","",IF(HB280&lt;_xlfn.XLOOKUP(A280,Щиты[Щит],Щиты[Iкз max на шинах, кА]),"Icu "&amp;HB280&amp;" кА &lt; Iкз max","ok")))</f>
        <v/>
      </c>
      <c r="HD280" t="str">
        <f t="shared" si="590"/>
        <v/>
      </c>
      <c r="HE280" t="str">
        <f t="shared" si="591"/>
        <v>QFD56|XT56</v>
      </c>
      <c r="HF280" t="str">
        <f t="shared" si="592"/>
        <v>QFD56|XT56|кабель ВВГнг(А)-LS (3х2,5) → Розеточная группа Первый этаж Пом. №020A Холодильник, морозильная камера</v>
      </c>
      <c r="HG280" t="str" cm="1">
        <f t="array" ref="HG280">IF(HF280="","",_xlfn.LET(_xlpm.nd,_xlfn.TEXTSPLIT(HF280,"|"),IF(COLUMNS(_xlpm.nd)&gt;1,A280&amp;"¦"&amp;INDEX(_xlpm.nd,1)&amp;"¦"&amp;INDEX(_xlpm.nd,2),"")))</f>
        <v>ЩР-1¦QFD56¦XT56</v>
      </c>
      <c r="HH280" t="str">
        <f t="shared" si="593"/>
        <v>R.1.020A.1¦Розеточная группа Первый этаж Пом. №020A Холодильник, морозильная камера</v>
      </c>
      <c r="HI280" t="str" cm="1">
        <f t="array" ref="HI280">IF(HF280="","",_xlfn.LET(_xlpm.nd,_xlfn.TEXTSPLIT(HF280,"|"),IF(COLUMNS(_xlpm.nd)&gt;2,A280&amp;"¦"&amp;INDEX(_xlpm.nd,2)&amp;"¦"&amp;INDEX(_xlpm.nd,3),"")))</f>
        <v>ЩР-1¦XT56¦кабель ВВГнг(А)-LS (3х2,5) → Розеточная группа Первый этаж Пом. №020A Холодильник, морозильная камера</v>
      </c>
      <c r="HJ280" t="str">
        <f t="shared" si="594"/>
        <v>R.1.020A.1¦Розеточная группа Первый этаж Пом. №020A Холодильник, морозильная камера</v>
      </c>
      <c r="HK280" t="str" cm="1">
        <f t="array" ref="HK280">IF(HF280="","",_xlfn.LET(_xlpm.nd,_xlfn.TEXTSPLIT(HF280,"|"),IF(COLUMNS(_xlpm.nd)&gt;3,A280&amp;"¦"&amp;INDEX(_xlpm.nd,3)&amp;"¦"&amp;INDEX(_xlpm.nd,4),"")))</f>
        <v/>
      </c>
      <c r="HL280" t="str">
        <f t="shared" si="595"/>
        <v/>
      </c>
      <c r="HM280" t="str" cm="1">
        <f t="array" ref="HM280">IF(HF280="","",_xlfn.LET(_xlpm.nd,_xlfn.TEXTSPLIT(HF280,"|"),IF(COLUMNS(_xlpm.nd)&gt;4,A280&amp;"¦"&amp;INDEX(_xlpm.nd,4)&amp;"¦"&amp;INDEX(_xlpm.nd,5),"")))</f>
        <v/>
      </c>
      <c r="HN280" t="str">
        <f t="shared" si="596"/>
        <v/>
      </c>
      <c r="HO280" t="str" cm="1">
        <f t="array" ref="HO280">IF(HF280="","",_xlfn.LET(_xlpm.nd,_xlfn.TEXTSPLIT(HF280,"|"),IF(COLUMNS(_xlpm.nd)&gt;5,A280&amp;"¦"&amp;INDEX(_xlpm.nd,5)&amp;"¦"&amp;INDEX(_xlpm.nd,6),"")))</f>
        <v/>
      </c>
      <c r="HP280" t="str">
        <f t="shared" si="597"/>
        <v/>
      </c>
      <c r="HQ280" t="str" cm="1">
        <f t="array" ref="HQ280">IF(HF280="","",_xlfn.LET(_xlpm.nd,_xlfn.TEXTSPLIT(HF280,"|"),IF(COLUMNS(_xlpm.nd)&gt;6,A280&amp;"¦"&amp;INDEX(_xlpm.nd,6)&amp;"¦"&amp;INDEX(_xlpm.nd,7),"")))</f>
        <v/>
      </c>
      <c r="HR280" t="str">
        <f t="shared" si="598"/>
        <v/>
      </c>
      <c r="HS280" t="str">
        <f t="shared" si="599"/>
        <v/>
      </c>
      <c r="HT280" t="str">
        <f t="shared" si="600"/>
        <v>QFD56 → XT56</v>
      </c>
      <c r="HU280">
        <f t="shared" si="601"/>
        <v>0</v>
      </c>
      <c r="HV280">
        <f t="shared" si="602"/>
        <v>1</v>
      </c>
      <c r="HW280" t="str">
        <f t="shared" si="603"/>
        <v/>
      </c>
      <c r="HX280" t="str">
        <f t="shared" si="604"/>
        <v/>
      </c>
      <c r="HY280" t="str">
        <f t="shared" si="605"/>
        <v/>
      </c>
      <c r="HZ280" t="str">
        <f t="shared" si="606"/>
        <v/>
      </c>
      <c r="IA280" t="str">
        <f>IF(B280="","",IFERROR(VLOOKUP(B280,УГО_спр,2,FALSE),IFERROR(VLOOKUP(AX280,УГО_спр,2,FALSE),IFERROR(VLOOKUP(LEFT(AX280,2),УГО_спр,2,FALSE),""))))</f>
        <v>Розетка</v>
      </c>
      <c r="IB280" t="str">
        <f>IF(B280="","",IF(OR(IA280="",IA280=0),"BOX",IFERROR(IF(VLOOKUP(IA280,УГО_блоки,3,FALSE)&amp;""&lt;&gt;"",VLOOKUP(IA280,УГО_блоки,3,FALSE),VLOOKUP(IA280,УГО_блоки,2,FALSE)),IA280)))</f>
        <v>SOCKET</v>
      </c>
      <c r="IC280">
        <f t="shared" si="607"/>
        <v>1</v>
      </c>
      <c r="ID280" t="str">
        <f>IF(DA280="","",IF(COUNTIF(DA$3:DA280,DA280)=1,MAX(ID$2:ID279)+1,""))</f>
        <v/>
      </c>
      <c r="IE280" t="str">
        <f>IF(CO280="","",IF(COUNTIF(CO$3:CO280,CO280)+COUNTIF(CP$2:CP279,CO280)+COUNTIF(CQ$2:CQ279,CO280)=1,MAX(IE$2:IG279)+1,""))</f>
        <v/>
      </c>
      <c r="IF280" t="str">
        <f>IF(CP280="","",IF(COUNTIF(CO$3:CO280,CP280)+COUNTIF(CP$3:CP280,CP280)+COUNTIF(CQ$2:CQ279,CP280)=1,MAX(IE$2:IG279,IE280)+1,""))</f>
        <v/>
      </c>
      <c r="IG280" t="str">
        <f>IF(CQ280="","",IF(COUNTIF(CO$3:CO280,CQ280)+COUNTIF(CP$3:CP280,CQ280)+COUNTIF(CQ$3:CQ280,CQ280)=1,MAX(IE$2:IG279,IE280,IF280)+1,""))</f>
        <v/>
      </c>
      <c r="IH280" t="str">
        <f t="shared" si="608"/>
        <v>3х2,5</v>
      </c>
      <c r="II280" t="str">
        <f>IF(IH280="","",IF(COUNTIF(IH$3:IH280,IH280)=1,MAX(II$2:II279)+1,""))</f>
        <v/>
      </c>
      <c r="IJ280" t="str">
        <f>IF(GL280="","",COUNTIF(GL$3:GL280,"?*"))</f>
        <v/>
      </c>
      <c r="IK280" t="str">
        <f>IF(OR(GL280="",GN280=""),"",IF(COUNTIFS(GL$3:GL280,"?*",GN$3:GN280,GN280)=1,MAX(IK$2:IK279)+1,""))</f>
        <v/>
      </c>
      <c r="IL280">
        <f t="shared" si="609"/>
        <v>1</v>
      </c>
      <c r="IM280">
        <f>IF(B280="","",COUNTIF(B$3:B280,"?*"))</f>
        <v>278</v>
      </c>
      <c r="IN280">
        <f>IF(GQ280&lt;&gt;1,0,_xlfn.LET(_xlpm.k,MAX(IFERROR(--VLOOKUP(B280,УГО_спр,5,FALSE),0),IFERROR(--VLOOKUP(AX280,УГО_спр,5,FALSE),0),IFERROR(--VLOOKUP(LEFT(AX280,2),УГО_спр,5,FALSE),0)),IF(_xlpm.k&gt;0,_xlpm.k,IF(IFERROR(--LEFT(SUBSTITUTE(IH280,"x","х"),FIND("х",SUBSTITUTE(IH280,"x","х"))-1),3)&gt;3,Каталог!$S$9,1))))</f>
        <v>1</v>
      </c>
      <c r="IO280">
        <f t="shared" si="610"/>
        <v>0</v>
      </c>
      <c r="IP280" t="str">
        <f t="shared" si="611"/>
        <v>авто</v>
      </c>
      <c r="IQ280">
        <f t="shared" si="612"/>
        <v>30</v>
      </c>
      <c r="IR280">
        <f t="shared" si="613"/>
        <v>1</v>
      </c>
      <c r="IS280">
        <f t="shared" si="614"/>
        <v>1</v>
      </c>
    </row>
    <row r="281" spans="1:253" x14ac:dyDescent="0.3">
      <c r="A281" t="s">
        <v>759</v>
      </c>
      <c r="B281" t="s">
        <v>1546</v>
      </c>
      <c r="C281" t="str">
        <f>Линии[[#This Row],[_авто наименование]]</f>
        <v>Розеточная группа, пом. 022A</v>
      </c>
      <c r="D281">
        <v>1</v>
      </c>
      <c r="E281">
        <v>0.18</v>
      </c>
      <c r="G281" t="str">
        <f>Линии[[#This Row],[_авто автомат]]</f>
        <v>2P С16А 30мА</v>
      </c>
      <c r="H281">
        <f>Линии[[#This Row],[_авто утечка]]</f>
        <v>30</v>
      </c>
      <c r="I281" t="str">
        <f>Линии[[#This Row],[_авто управление]]</f>
        <v/>
      </c>
      <c r="J281" t="str">
        <f>Линии[[#This Row],[_авто аппараты]]</f>
        <v/>
      </c>
      <c r="K281">
        <v>2.5</v>
      </c>
      <c r="L281">
        <v>63</v>
      </c>
      <c r="M281" t="str">
        <f>Линии[[#This Row],[_авто фаза]]</f>
        <v>L3</v>
      </c>
      <c r="N281" t="str">
        <f>Линии[[#This Row],[_авто клемма]]</f>
        <v>XT57</v>
      </c>
      <c r="O281" t="str">
        <f t="shared" si="492"/>
        <v/>
      </c>
      <c r="P281" s="6" cm="1">
        <f t="array" ref="P281">IF(B281="","",IF(BC281&lt;&gt;"",IFERROR(_xlfn.XLOOKUP(BC281,Щиты[Щит],Щиты[Iр, А]),""),IF(BK281=1,IFERROR(_xlfn.XLOOKUP(A281,Щиты[Щит],Щиты[Iр, А]),""),IFERROR(_xlfn.IFS(BR281=1,BN281/((Uн_лин/SQRT(3))*BY281),BR281=3,BN281/(SQRT(3)*Uн_лин*BY281)),""))))</f>
        <v>0.8204451193747313</v>
      </c>
      <c r="Q281" s="7">
        <f>IF(B281="","",IFERROR(IF(VLOOKUP(AX281,Потребители_обозначение,4,FALSE)=1,VLOOKUP(AX281,Потребители_обозначение,3,FALSE)*(D281*2-1)+DS281+VLOOKUP(AZ281,Этаж_обозначение,3,FALSE)+VLOOKUP(AZ281,Этаж_обозначение,4,FALSE),VLOOKUP(AX281,Потребители_обозначение,3,FALSE)*(D281*2-1)+DS281),DS281))</f>
        <v>66</v>
      </c>
      <c r="R281" s="6">
        <f t="shared" si="493"/>
        <v>1.6</v>
      </c>
      <c r="S281" t="str">
        <f t="shared" si="494"/>
        <v>ВВГнг(А)-LS (3х2,5)</v>
      </c>
      <c r="T281" t="str">
        <f>IF(BH281="","",IF(BI281="вводной узел","узел ","")&amp;"л."&amp;(INT((BH281-1)/Столбцов_на_лист)+1)&amp;" / "&amp;(MOD(BH281-1,Столбцов_на_лист)+1))</f>
        <v>л.5 / 14</v>
      </c>
      <c r="V281">
        <v>1</v>
      </c>
      <c r="W281">
        <v>230</v>
      </c>
      <c r="X281" t="s">
        <v>564</v>
      </c>
      <c r="AC281" t="s">
        <v>815</v>
      </c>
      <c r="AE281" t="s">
        <v>563</v>
      </c>
      <c r="AI281">
        <v>82</v>
      </c>
      <c r="AJ281" t="s">
        <v>11</v>
      </c>
      <c r="AK281">
        <v>3</v>
      </c>
      <c r="AM281">
        <v>20</v>
      </c>
      <c r="AN281">
        <v>46</v>
      </c>
      <c r="AO281">
        <v>0</v>
      </c>
      <c r="AW281" cm="1">
        <f t="array" ref="AW281">ROW()-ROW(Линии[#Headers])</f>
        <v>279</v>
      </c>
      <c r="AX281" s="6" t="str">
        <f t="shared" si="495"/>
        <v>R</v>
      </c>
      <c r="AY281" t="str">
        <f t="shared" si="496"/>
        <v>1.022A.1</v>
      </c>
      <c r="AZ281" t="str">
        <f t="shared" si="497"/>
        <v>1</v>
      </c>
      <c r="BA281" t="str">
        <f t="shared" si="498"/>
        <v>022A.1</v>
      </c>
      <c r="BB281" t="str">
        <f t="shared" si="499"/>
        <v>022A</v>
      </c>
      <c r="BC281" t="str">
        <f>IF(U281&lt;&gt;"",U281,IF(AND(B281&lt;&gt;"",B281&lt;&gt;A281,ISNUMBER(_xlfn.XMATCH(B281,Щиты[Щит]))),B281,""))</f>
        <v/>
      </c>
      <c r="BD281" t="str" cm="1">
        <f t="array" ref="BD281">IF(B281="","",IF(BC281&lt;&gt;"","Щит "&amp;BC281,_xlfn.LET(_xlpm.nm,IFERROR(_xlfn.XLOOKUP(AX281,Коды_код,Коды_имя)&amp;"",""),_xlpm.md,IFERROR(N(_xlfn.XLOOKUP(AX281,Коды_код,Коды_режим)),1),_xlpm.ex,IF(Имя_режим="по экспликации",IFERROR(_xlfn.XLOOKUP(AZ281&amp;"|"&amp;BB281,Экспликация[Этаж]&amp;"|"&amp;Экспликация[Помещение],Экспликация[Название])&amp;"",""),""),_xlpm.rm,IF(BB281="","",IF(_xlpm.ex&lt;&gt;"",". "&amp;_xlpm.ex&amp;IF(Имя_пом="нет"," ("&amp;BB281&amp;")"," (пом. "&amp;BB281&amp;")"),IF(Имя_пом="нет"," ",", пом. ")&amp;BB281)),IF(_xlpm.nm="","",IF(_xlpm.md=2,_xlpm.nm&amp;" шлейф "&amp;AZ281,_xlpm.nm&amp;_xlpm.rm)))))</f>
        <v>Розеточная группа, пом. 022A</v>
      </c>
      <c r="BE281" t="str">
        <f t="shared" si="500"/>
        <v>Розеточная группа, пом. 022A</v>
      </c>
      <c r="BF281">
        <f>IFERROR(_xlfn.XMATCH(A281,Щиты[Щит]),0)</f>
        <v>10</v>
      </c>
      <c r="BG281">
        <f>_xlfn.LET(_xlpm.k,IFERROR(_xlfn.XLOOKUP(A281,Щиты[Щит],Щиты[Листов под вводной узел]),""),IF(_xlpm.k="",1,N(_xlpm.k))*Столбцов_на_лист)</f>
        <v>17</v>
      </c>
      <c r="BH281">
        <f t="shared" si="501"/>
        <v>82</v>
      </c>
      <c r="BI281" t="str">
        <f t="shared" si="502"/>
        <v>линии</v>
      </c>
      <c r="BJ281" s="6">
        <f>IFERROR(N(_xlfn.XLOOKUP(AX281,Коды_код,Коды_квт)),0)</f>
        <v>0</v>
      </c>
      <c r="BK281">
        <f t="shared" si="503"/>
        <v>0</v>
      </c>
      <c r="BL281" t="str">
        <f>IF(B281="","",IF(BC281&lt;&gt;"",IFERROR(_xlfn.XLOOKUP(BC281,Щиты[Щит],Щиты[Руст, кВт]),0),IF(BK281=1,IFERROR(_xlfn.XLOOKUP(A281,Щиты[Щит],Щиты[Руст, кВт]),0),IF(BJ281&gt;0,ROUND(BJ281*MAX(1,N(D281)),3),""))))</f>
        <v/>
      </c>
      <c r="BM281">
        <f t="shared" si="504"/>
        <v>0.18</v>
      </c>
      <c r="BN281" s="6">
        <f>IF(B281="","",IF(BC281&lt;&gt;"",IFERROR(_xlfn.XLOOKUP(BC281,Щиты[Щит],Щиты[Руст, кВт]),0),N(BM281)))</f>
        <v>0.18</v>
      </c>
      <c r="BO281" t="str">
        <f>IF(B281="","",IFERROR(IF(VLOOKUP(AX281,Потребители_обозначение,8,FALSE)=0,"",VLOOKUP(AX281,Потребители_обозначение,8,FALSE)),""))</f>
        <v/>
      </c>
      <c r="BP281">
        <f t="shared" si="505"/>
        <v>230</v>
      </c>
      <c r="BQ281">
        <f>IF(B281="","",IF(BC281&lt;&gt;"",3,IFERROR(IF(N(VLOOKUP(AX281,Потребители_обозначение,9,FALSE))=0,1,VLOOKUP(AX281,Потребители_обозначение,9,FALSE)),1)))</f>
        <v>1</v>
      </c>
      <c r="BR281">
        <f t="shared" si="506"/>
        <v>1</v>
      </c>
      <c r="BS281" t="str">
        <f>IF(B281="","",_xlfn.LET(_xlpm.bc,IFERROR(IF(VLOOKUP(AX281,Потребители_обозначение,6,FALSE)=0,"",VLOOKUP(AX281,Потребители_обозначение,6,FALSE)&amp;""),""),IF(AND(FK281="да",OR(_xlpm.bc="",_xlpm.bc="мс")),Марка_пож,IF(AND(_xlpm.bc="",BC281&lt;&gt;""),"мс",_xlpm.bc))))</f>
        <v/>
      </c>
      <c r="BT281" t="str">
        <f t="shared" si="507"/>
        <v>мс</v>
      </c>
      <c r="BU281">
        <f>IF(B281="","",_xlfn.LET(_xlpm.cc,IFERROR(N(VLOOKUP(AX281,Потребители_обозначение,7,FALSE)),0),IF(_xlpm.cc&gt;0,_xlpm.cc,IF(BT281="","",IF(N(BR281)=3,5,3)))))</f>
        <v>3</v>
      </c>
      <c r="BV281">
        <f t="shared" si="508"/>
        <v>3</v>
      </c>
      <c r="BW281">
        <f>IFERROR(N(VLOOKUP(AX281,Потребители_обозначение,10,FALSE)),0)</f>
        <v>0</v>
      </c>
      <c r="BX281">
        <f>IFERROR(VLOOKUP(AX281,Потребители_обозначение,5,FALSE),0)</f>
        <v>1</v>
      </c>
      <c r="BY281" s="6" cm="1">
        <f t="array" ref="BY281">IF(B281="","",IF(BC281&lt;&gt;"",IFERROR(_xlfn.XLOOKUP(BC281,Щиты[Щит],Щиты[cos φ]),0.95),IF(BK281=1,IFERROR(_xlfn.XLOOKUP(A281,Щиты[Щит],Щиты[cos φ]),0.95),IF(ISNUMBER(Z281),Z281,IFERROR(IF(BX281=2,_xlfn.IFS(BR281=3,VLOOKUP(BN281,Справочная_двигатели,8,FALSE),BR281=1,VLOOKUP(BN281,Справочная_двигатели,10,TRUE)),IF(AND(Методика="нормы 2026",EQ281="Сил"),0.8,0.95)),0.95)))))</f>
        <v>0.95</v>
      </c>
      <c r="BZ281">
        <f t="shared" si="509"/>
        <v>0</v>
      </c>
      <c r="CA281">
        <f t="shared" si="510"/>
        <v>1</v>
      </c>
      <c r="CB281">
        <f t="shared" si="511"/>
        <v>0</v>
      </c>
      <c r="CC281">
        <f t="shared" si="512"/>
        <v>0</v>
      </c>
      <c r="CD281">
        <f t="shared" si="513"/>
        <v>0</v>
      </c>
      <c r="CE281">
        <f t="shared" si="514"/>
        <v>0</v>
      </c>
      <c r="CF281">
        <f t="shared" si="515"/>
        <v>0</v>
      </c>
      <c r="CG281">
        <f>IF(AX281="",0,_xlfn.LET(_xlpm.v,IFERROR(VLOOKUP(B281,УГО_спр,3,FALSE),IFERROR(VLOOKUP(AX281,УГО_спр,3,FALSE),IFERROR(VLOOKUP(LEFT(AX281,2),УГО_спр,3,FALSE),""))),IF(_xlpm.v="да",30,IF(ISNUMBER(_xlpm.v),_xlpm.v,0))))</f>
        <v>30</v>
      </c>
      <c r="CH281">
        <f t="shared" si="516"/>
        <v>30</v>
      </c>
      <c r="CI281" t="str">
        <f>_xlfn.LET(_xlpm.k,IFERROR(_xlfn.XLOOKUP(AX281,Коды_код,Коды_утечка)&amp;"",""),IF(_xlpm.k="","дифавтомат",_xlpm.k))</f>
        <v>дифавтомат</v>
      </c>
      <c r="CJ281">
        <f t="shared" si="517"/>
        <v>30</v>
      </c>
      <c r="CK281">
        <f t="shared" si="518"/>
        <v>30</v>
      </c>
      <c r="CL281">
        <f>IF(B281="",0,IFERROR(--VLOOKUP(B281,УГО_спр,4,FALSE),IFERROR(--VLOOKUP(AX281,УГО_спр,4,FALSE),IFERROR(--VLOOKUP(LEFT(AX281,2),УГО_спр,4,FALSE),0))))</f>
        <v>16</v>
      </c>
      <c r="CM281" t="str">
        <f>IF(B281="","",IFERROR(_xlfn.XLOOKUP(AX281,Коды_код,Коды_апп)&amp;"",""))</f>
        <v/>
      </c>
      <c r="CN281" t="str">
        <f t="shared" si="519"/>
        <v/>
      </c>
      <c r="CO281" t="str" cm="1">
        <f t="array" ref="CO281">IF(TRIM(CN281&amp;"")="","",IFERROR(TRIM(INDEX(_xlfn.TEXTSPLIT(CN281&amp;";;;",";"),1)),""))</f>
        <v/>
      </c>
      <c r="CP281" t="str" cm="1">
        <f t="array" ref="CP281">IF(TRIM(CN281&amp;"")="","",IFERROR(TRIM(INDEX(_xlfn.TEXTSPLIT(CN281&amp;";;;",";"),2)),""))</f>
        <v/>
      </c>
      <c r="CQ281" t="str" cm="1">
        <f t="array" ref="CQ281">IF(TRIM(CN281&amp;"")="","",IFERROR(TRIM(INDEX(_xlfn.TEXTSPLIT(CN281&amp;";;;",";"),3)),""))</f>
        <v/>
      </c>
      <c r="CR281">
        <f t="shared" si="520"/>
        <v>0</v>
      </c>
      <c r="CS281" t="str">
        <f>IF(B281="","",_xlfn.LET(_xlpm.t,LOWER(AV281&amp;""),IF(ISNUMBER(SEARCH("dim",_xlpm.t)),"DIM",IF(ISNUMBER(SEARCH("dali",_xlpm.t)),"DALI",IF(OR(ISNUMBER(SEARCH("relay",_xlpm.t)),ISNUMBER(SEARCH("реле",_xlpm.t))),"Relay",IF(ISNUMBER(SEARCH("кнопк",_xlpm.t)),"",IFERROR(_xlfn.XLOOKUP(AX281,Коды_код,Коды_упр)&amp;"","")))))))</f>
        <v/>
      </c>
      <c r="CT281" t="str">
        <f t="shared" si="521"/>
        <v/>
      </c>
      <c r="CU281">
        <f>IF(B281="","",_xlfn.LET(_xlpm.ig,N(P281)+IF(AF281="вручную",0,N(CB281)),_xlpm.n0,IFERROR(VLOOKUP(_xlpm.ig,Автомат_номиналы,2,TRUE),0),_xlpm.mn,MAX(CL281,IF(AF281="вручную",0,N(CE281))),MAX(_xlpm.n0,_xlpm.mn,IF(CR281=1,Мин_автомат_БП,0))))</f>
        <v>16</v>
      </c>
      <c r="CV281">
        <f t="shared" si="522"/>
        <v>1</v>
      </c>
      <c r="CW281" t="str">
        <f t="shared" si="523"/>
        <v>2P</v>
      </c>
      <c r="CX281" t="str">
        <f>_xlfn.LET(_xlpm.cc,UPPER(TRIM(IFERROR(_xlfn.XLOOKUP(AX281,Коды_код,Коды_хар)&amp;"",""))),IF(OR(_xlpm.cc="B",_xlpm.cc="В"),"B",IF(_xlpm.cc="D","D","С")))</f>
        <v>С</v>
      </c>
      <c r="CY281" t="str">
        <f t="shared" si="524"/>
        <v>2P С16А 30мА</v>
      </c>
      <c r="CZ281" t="str">
        <f t="shared" si="525"/>
        <v>2P С16А 30мА</v>
      </c>
      <c r="DA281" t="str">
        <f t="shared" si="526"/>
        <v>2P С16А 30мА</v>
      </c>
      <c r="DB281" cm="1">
        <f t="array" ref="DB281">IF(DA281="","",_xlfn.LET(_xlpm.t,SUBSTITUTE(SUBSTITUTE(SUBSTITUTE(UPPER(DA281),"С","C"),"А","A"),"В","B"),_xlpm.tk,_xlfn.TEXTSPLIT(_xlpm.t,"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1" t="str">
        <f t="shared" si="527"/>
        <v>ok</v>
      </c>
      <c r="DD281">
        <f t="shared" si="528"/>
        <v>16</v>
      </c>
      <c r="DE281" t="str">
        <f t="shared" si="529"/>
        <v>2P С16А 30мА</v>
      </c>
      <c r="DF281">
        <f t="shared" si="530"/>
        <v>30</v>
      </c>
      <c r="DG281">
        <f t="shared" si="531"/>
        <v>1</v>
      </c>
      <c r="DH281">
        <f t="shared" si="532"/>
        <v>0</v>
      </c>
      <c r="DI281">
        <f t="shared" si="533"/>
        <v>0.8204451193747313</v>
      </c>
      <c r="DJ281">
        <f t="shared" si="534"/>
        <v>1</v>
      </c>
      <c r="DK281">
        <f>IF(ISNUMBER(AL281),AL281,К_прокл)</f>
        <v>1</v>
      </c>
      <c r="DL281">
        <f t="shared" si="535"/>
        <v>2</v>
      </c>
      <c r="DM281">
        <f>IFERROR(N(VLOOKUP(BT281,Кабель_обозначение,3,FALSE)),1)</f>
        <v>1</v>
      </c>
      <c r="DN281">
        <f>IFERROR(N(_xlfn.XLOOKUP(A281,Щиты[Щит],Щиты[ΔU до шин, %])),0)</f>
        <v>1.19</v>
      </c>
      <c r="DO281" t="str">
        <f>IFERROR(_xlfn.XLOOKUP(A281,Щиты[Щит],Щиты[Zпетли на шинах, Ом]),"")</f>
        <v/>
      </c>
      <c r="DP281">
        <f>IFERROR(N(_xlfn.XLOOKUP(A281,Щиты[Щит],Щиты[ΔU до шин (подбор), %])),0)</f>
        <v>1.19</v>
      </c>
      <c r="DQ281" t="str">
        <f>IFERROR(_xlfn.XLOOKUP(A281,Щиты[Щит],Щиты[Zпетли на шинах (подбор), Ом]),"")</f>
        <v/>
      </c>
      <c r="DR281" t="str">
        <f t="shared" si="536"/>
        <v/>
      </c>
      <c r="DS281">
        <f t="shared" si="537"/>
        <v>63</v>
      </c>
      <c r="DT281">
        <f t="shared" si="538"/>
        <v>2</v>
      </c>
      <c r="DU281">
        <f t="shared" si="539"/>
        <v>0.31</v>
      </c>
      <c r="DV281" s="6">
        <f>IF(B281="","",IF(IFERROR(VLOOKUP(AX281,УГО_спр,2,FALSE),"")="Светильник",3,4)+IF(Методика="нормы 2026",MIN(0.5,MAX(0,N(Q281)-100)*0.005),0))</f>
        <v>4</v>
      </c>
      <c r="DW281" cm="1">
        <f t="array" ref="DW281">IF(OR(B281="",BT281="",DM281&lt;&gt;1),"",_xlfn.LET(_xlpm.sz,Iдоп_S,_xlpm.t_,CHOOSE(DL281,Iдоп_1ж,Iдоп_2ж,Iдоп_3ж)*DJ281*DK281,_xlpm.inn,N(DD281),_xlpm.smin,MAX(1.5,BW281),_xlpm.L_,N(Q281)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281)*(_xlpm.rho*_xlpm.L_/_xlpm.sz*N(BY281)+_xlpm.xx*_xlpm.L_*N(DU281)/1000)*N(P281)/((Uн_лин/SQRT(3))*1000)*100,999),_xlpm.kz,IF(OR(DG281=1,NOT(ISNUMBER(DQ281)),_xlpm.L_=0,_xlpm.inn=0),1,IFERROR(--(c_min*(Uн_лин*1000/SQRT(3))/(DQ281+2*ρкз_Cu*_xlpm.L_/_xlpm.sz)&gt;=GY281*_xlpm.inn),0)),_xlpm.ok,IFERROR((_xlpm.sz&gt;=_xlpm.smin)*(_xlpm.t_&gt;=_xlpm.inn)*IF(_xlpm.L_&gt;0,(_xlpm.du_+DP281&lt;=DV281+0.00001),1)*_xlpm.kz,0),_xlpm.r_,_xlfn._xlws.FILTER(_xlpm.sz,_xlpm.ok,"не подобрано"),INDEX(_xlpm.r_,1)))</f>
        <v>1.5</v>
      </c>
      <c r="DX281">
        <f t="shared" si="540"/>
        <v>2.5</v>
      </c>
      <c r="DY281" cm="1">
        <f t="array" ref="DY281">IF(OR(B281="",BT281="",DM281&lt;&gt;1),"",_xlfn.LET(_xlpm.sz,Iдоп_S,_xlpm.t_,CHOOSE(DL281,Iдоп_1ж,Iдоп_2ж,Iдоп_3ж)*DJ281*DK281,_xlpm.ok,IFERROR((_xlpm.sz&gt;=MAX(1.5,BW281))*(_xlpm.t_&gt;=N(DD281)),0),_xlpm.r_,_xlfn._xlws.FILTER(_xlpm.sz,_xlpm.ok,""),INDEX(_xlpm.r_,1)))</f>
        <v>1.5</v>
      </c>
      <c r="DZ281" s="6" cm="1">
        <f t="array" ref="DZ281">IFERROR(ROUNDUP(N(DT281)*(_xlfn.XLOOKUP(DY281,INDEX(Кабель_сопротивление,0,1),INDEX(Кабель_сопротивление,0,3))*N(Q281)/DY281*N(BY281)+_xlfn.XLOOKUP(DY281,INDEX(Кабель_сопротивление,0,1),INDEX(Кабель_сопротивление,0,2))*N(Q281)*N(DU281)/1000)*N(P281)/((Uн_лин/SQRT(3))*1000)*100,2),"")</f>
        <v>0.67</v>
      </c>
      <c r="EA281">
        <f>IFERROR(2*ρкз_Cu*N(Q281)/DY281,"")</f>
        <v>2.3144</v>
      </c>
      <c r="EB281">
        <f>IFERROR(VLOOKUP(DX281,Кабель_сопротивление,3,FALSE),"")</f>
        <v>2.2499999999999999E-2</v>
      </c>
      <c r="EC281">
        <f>IFERROR(VLOOKUP(DX281,Кабель_сопротивление,2,FALSE),"")</f>
        <v>0.1</v>
      </c>
      <c r="ED281">
        <f t="shared" si="541"/>
        <v>46</v>
      </c>
      <c r="EE281">
        <f t="shared" si="542"/>
        <v>0</v>
      </c>
      <c r="EF281">
        <f t="shared" si="543"/>
        <v>0.92931162315480298</v>
      </c>
      <c r="EG281" s="6">
        <f>IFERROR(ROUNDUP(EF281/((Uн_лин/SQRT(3))*1000)*100,2),"")</f>
        <v>0.41000000000000003</v>
      </c>
      <c r="EH281" t="str">
        <f>IFERROR(VLOOKUP(BT281,Кабель_обозначение,2,FALSE),"")</f>
        <v>ВВГнг(А)-LS</v>
      </c>
      <c r="EI281" t="str">
        <f t="shared" si="544"/>
        <v>ВВГнг(А)-LS (3х2,5)</v>
      </c>
      <c r="EJ281" t="str">
        <f t="shared" si="545"/>
        <v>ВВГнг(А)-LS (3х2,5)
L=66-0,41%</v>
      </c>
      <c r="EK281">
        <f>IFERROR(2*ρкз_Cu*Q281/DX281,"")</f>
        <v>1.3886400000000001</v>
      </c>
      <c r="EL281">
        <f t="shared" si="546"/>
        <v>0.46200000000000002</v>
      </c>
      <c r="EM281" s="6" t="str">
        <f>IFERROR(IF(OR(B281="",NOT(ISNUMBER(DX281)),N(Q281)=0),"",_xlfn.XLOOKUP(A281,Щиты[Щит],Щиты[Zпетли на шинах, Ом])+EK281),"")</f>
        <v/>
      </c>
      <c r="EN281" s="6" t="str">
        <f>IF(ISNUMBER(EM281),c_min*(Uн_лин*1000/SQRT(3))/EM281,"")</f>
        <v/>
      </c>
      <c r="EO281" s="6" t="str">
        <f>IFERROR(IF(OR(B281="",NOT(ISNUMBER(DX281))),"",1.05*(Uн_лин*1000/SQRT(3))/(_xlfn.XLOOKUP(A281,Щиты[Щит],Щиты[Zmax на шинах, Ом])+EL281)/1000),"")</f>
        <v/>
      </c>
      <c r="EP281" s="6" t="str">
        <f>IF(B281="","",IF(ISNUMBER(Y281),"Сил",IF(IFERROR(_xlfn.XLOOKUP(AX281,Коды_код,Коды_группа)&amp;"","")="","Быт",_xlfn.XLOOKUP(AX281,Коды_код,Коды_группа)&amp;"")))</f>
        <v>Быт</v>
      </c>
      <c r="EQ281" s="6" t="str">
        <f t="shared" si="547"/>
        <v>Быт</v>
      </c>
      <c r="ER281" s="6">
        <f>IF(EQ281="Щит","щит",IF(EQ281="","",IF(EQ281="Быт",IFERROR(_xlfn.XLOOKUP(A281,Щиты[Щит],Щиты[Кс быт]),1),IF(EQ281="Сил",IF(ISNUMBER(Y281),Y281,IF(Методика="нормы 2026",IFERROR(_xlfn.XLOOKUP(A281,Щиты[Щит],Щиты[Кс силовых (табл. 7.5)]),1),1)),IF(OR(EQ281="Пост",EQ281="Отоп"),1,IF(EQ281="ВНГ",0.7,0))))))</f>
        <v>0.57830000000000004</v>
      </c>
      <c r="ES281">
        <f t="shared" si="548"/>
        <v>1</v>
      </c>
      <c r="ET281">
        <f t="shared" si="549"/>
        <v>0.18</v>
      </c>
      <c r="EU281">
        <f t="shared" si="550"/>
        <v>0.18</v>
      </c>
      <c r="EV281">
        <f t="shared" si="551"/>
        <v>0</v>
      </c>
      <c r="EW281">
        <f t="shared" si="552"/>
        <v>0</v>
      </c>
      <c r="EX281">
        <f t="shared" si="553"/>
        <v>0</v>
      </c>
      <c r="EY281">
        <f t="shared" si="554"/>
        <v>0</v>
      </c>
      <c r="EZ281">
        <f t="shared" si="555"/>
        <v>0.18</v>
      </c>
      <c r="FA281">
        <f t="shared" si="556"/>
        <v>0.17099999999999999</v>
      </c>
      <c r="FB281">
        <f t="shared" si="557"/>
        <v>0.18</v>
      </c>
      <c r="FC281" t="str">
        <f t="shared" si="558"/>
        <v/>
      </c>
      <c r="FD281" t="str">
        <f>IF(B281="","",IF(CA281=0,IF(AW281=1,"",FF280),IF(OR(N(CV281)&gt;=3,N(BR281)&gt;=3),"L1,L2,L3",IFERROR(_xlfn.TEXTBEFORE(_xlfn.TEXTAFTER(_xlfn.XLOOKUP(A281,Щиты[Щит],Щиты[_фазы авто]),";"&amp;AW281&amp;":"),";"),"L1"))))</f>
        <v>L3</v>
      </c>
      <c r="FE281" t="str">
        <f t="shared" si="559"/>
        <v>L3</v>
      </c>
      <c r="FF281" t="str">
        <f t="shared" si="560"/>
        <v>L3</v>
      </c>
      <c r="FG281" cm="1">
        <f t="array" ref="FG281">IFERROR(IF(BX281=2,_xlfn.IFS(BR281=3,VLOOKUP(BN281,Справочная_двигатели,3,FALSE),BR281=1,VLOOKUP(BN281,Справочная_двигатели,5,TRUE)),0),0)</f>
        <v>0</v>
      </c>
      <c r="FH281">
        <f>IFERROR(IF(BX281=3,VLOOKUP(BN281,Справочная_ЛЭД,2,TRUE),0),0)</f>
        <v>0</v>
      </c>
      <c r="FI281" s="6">
        <f t="shared" si="561"/>
        <v>0</v>
      </c>
      <c r="FJ281" t="str" cm="1">
        <f t="array" ref="FJ281">IF(B281="","",IFERROR(INDEX({"I особая","I","II","III"},MATCH(TRIM(AC281&amp;""),{"I особая","I","II","III"},0)),"III"))</f>
        <v>II</v>
      </c>
      <c r="FK281" t="str">
        <f>IF(B281="","",IF(TRIM(AD281&amp;"")&lt;&gt;"",IF(LOWER(TRIM(AD281&amp;""))="да","да","нет"),IF(IFERROR(_xlfn.XLOOKUP(AX281,Коды_код,Коды_пожарная),"")="да","да","нет")))</f>
        <v>нет</v>
      </c>
      <c r="FL281" t="str">
        <f t="shared" si="562"/>
        <v/>
      </c>
      <c r="FM281" t="str">
        <f t="shared" si="563"/>
        <v>основная</v>
      </c>
      <c r="FN281">
        <f t="shared" si="564"/>
        <v>1</v>
      </c>
      <c r="FO281" t="str" cm="1">
        <f t="array" ref="FO281">IF(B281="","",_xlfn.LET(_xlpm.t,IFERROR(_xlfn.XLOOKUP(1,(Шины[Шина]=FM281)*(((Шины[Щит]=A281)+(Шины[Щит]=""))&gt;0),Шины[Тип]),"")&amp;"",IF(_xlpm.t&lt;&gt;"",_xlpm.t,IF(ISNUMBER(SEARCH("ИБП",FM281)),"ИБП",IF(ISNUMBER(SEARCH("ДГУ",FM281)),"ДГУ","Ввод "&amp;FN281)))))</f>
        <v>Ввод 1</v>
      </c>
      <c r="FP281" t="str">
        <f t="shared" si="565"/>
        <v>Ввод 1</v>
      </c>
      <c r="FQ281" t="str">
        <f>IF(B281="","",IF(OR(FO281="ИБП",FO281="ДГУ"),"I особая",IF(FO281="Одиночная","III",_xlfn.XLOOKUP(A281,Щиты[Щит],Щиты[Категория шины «Ввод»],"III"))))</f>
        <v>II</v>
      </c>
      <c r="FR281">
        <f>IF(B281="",0,IFERROR(MATCH(FJ281,{"III","II","I","I особая"},0),1))</f>
        <v>2</v>
      </c>
      <c r="FS281">
        <f t="shared" si="566"/>
        <v>2</v>
      </c>
      <c r="FT281" t="str">
        <f>IF(B281="","",IF(FR281&gt;IFERROR(MATCH(FQ281,{"III","II","I","I особая"},0),1),"НЕ ОБЕСПЕЧЕНА","ОК"))</f>
        <v>ОК</v>
      </c>
      <c r="FU281" t="str">
        <f>IF(A281="","",_xlfn.XLOOKUP(A281,Щиты[Щит],Щиты[Путь],""))</f>
        <v>|ГРЩ-ЖД|ЩР-1|</v>
      </c>
      <c r="FV281" t="str">
        <f>IF(B281="","",IF(AE281&lt;&gt;"",AE281,IF(IFERROR(_xlfn.XLOOKUP(AX281,Коды_код,Коды_вид)&amp;"","")="","Прочее",_xlfn.XLOOKUP(AX281,Коды_код,Коды_вид)&amp;"")))</f>
        <v>Розеточная сеть и бытовые приборы</v>
      </c>
      <c r="FW281">
        <f>IF(BH281="","",INT((BH281-1)/Столбцов_на_лист)+1)</f>
        <v>5</v>
      </c>
      <c r="FX281" t="str">
        <f t="shared" si="567"/>
        <v>ВВГнг(А)-LS (3х2,5) L=66-0,41%</v>
      </c>
      <c r="FY281">
        <f t="shared" si="568"/>
        <v>0.18</v>
      </c>
      <c r="FZ281">
        <f t="shared" si="569"/>
        <v>0.83</v>
      </c>
      <c r="GA281">
        <f t="shared" si="570"/>
        <v>1</v>
      </c>
      <c r="GB281">
        <f t="shared" si="571"/>
        <v>0</v>
      </c>
      <c r="GC281">
        <f t="shared" si="572"/>
        <v>1</v>
      </c>
      <c r="GD281">
        <f>IF(BH281="","",IF(AND(CA281=1,GC281=1),COUNTIFS(A$3:A281,A281,CA$3:CA281,1,GC$3:GC281,1),IF(OR(OR(AW281=1,A281&lt;&gt;A280),AF281="вручную",GC281=0),"",IF(AW281=1,"",GE280))))</f>
        <v>57</v>
      </c>
      <c r="GE281">
        <f t="shared" si="573"/>
        <v>57</v>
      </c>
      <c r="GF281">
        <f>IF(B281="","",IFERROR(LOOKUP(INDEX(CHOOSE(DL281,Iдоп_1ж,Iдоп_2ж,Iдоп_3ж),MATCH(DX281,Iдоп_S,0))*DJ281*DK281,{6,10,16,20,25,32,40,50,63,80,100,125,160,200,250,315,400,500,630}),""))</f>
        <v>25</v>
      </c>
      <c r="GG281" t="str">
        <f t="shared" si="574"/>
        <v>QFD57</v>
      </c>
      <c r="GH281" t="str">
        <f t="shared" si="575"/>
        <v>QFD57</v>
      </c>
      <c r="GI281" t="str">
        <f t="shared" si="576"/>
        <v/>
      </c>
      <c r="GJ281">
        <f t="shared" si="577"/>
        <v>0</v>
      </c>
      <c r="GK281" t="str">
        <f>IF(OR(AG281="",AG281="-"),"",IFERROR(VLOOKUP(AG281,Модули_спр,2,FALSE),"R"))</f>
        <v/>
      </c>
      <c r="GL281" t="str">
        <f>IF(GK281="","",GK281&amp;"."&amp;COUNTIFS(A$3:A281,A281,GK$3:GK281,GK281))</f>
        <v/>
      </c>
      <c r="GM281" t="str">
        <f t="shared" si="578"/>
        <v/>
      </c>
      <c r="GN281" t="str">
        <f t="shared" si="579"/>
        <v/>
      </c>
      <c r="GO281" t="str">
        <f t="shared" si="580"/>
        <v/>
      </c>
      <c r="GP281" t="str">
        <f t="shared" si="581"/>
        <v/>
      </c>
      <c r="GQ281">
        <f t="shared" si="582"/>
        <v>1</v>
      </c>
      <c r="GR281" t="str">
        <f>IF(GQ281=1,"XT"&amp;COUNTIFS(A$3:A281,A281,GQ$3:GQ281,1),"")</f>
        <v>XT57</v>
      </c>
      <c r="GS281" t="str">
        <f t="shared" si="583"/>
        <v>XT57</v>
      </c>
      <c r="GT281" t="str">
        <f t="shared" si="584"/>
        <v>QFD57</v>
      </c>
      <c r="GU281" t="str">
        <f t="shared" si="585"/>
        <v/>
      </c>
      <c r="GV281" t="str">
        <f t="shared" si="586"/>
        <v>ok</v>
      </c>
      <c r="GW281" t="str">
        <f>IF(OR(GO281="",GM281=""),"",IF(GO281&gt;IFERROR(VLOOKUP(GN281,Модули_спр,3,FALSE),99),"ЛИШНИЙ КАНАЛ",IF(AND(AH281&lt;&gt;"=",COUNTIFS(Линии[_модуль гр.],GM281,Линии[Канал (итог)],GO281,Линии[Канал],"&lt;&gt;=",Линии[Щит],A281)&gt;1),"ДУБЛЬ КАНАЛА","")))</f>
        <v/>
      </c>
      <c r="GX281" s="6" t="str">
        <f t="shared" si="587"/>
        <v/>
      </c>
      <c r="GY281">
        <f t="shared" si="588"/>
        <v>10</v>
      </c>
      <c r="GZ281" t="str">
        <f t="shared" si="589"/>
        <v/>
      </c>
      <c r="HA281" t="str">
        <f>IF(AND(B281="",GT281=""),"",_xlfn.TEXTJOIN("; ",TRUE,IF(AND(B281&lt;&gt;"",FE281=""),"нет фазы",""),IF(AND(B281&lt;&gt;"",N(FY281)=0,EQ281&lt;&gt;"Нет"),"нет мощности",""),IF(AND(GS281&lt;&gt;"",COUNTIFS(Линии[Щит],A281,Линии[Клемма (итог)],GS281)&gt;1),"дубль клеммы "&amp;GS281,""),IF(AND(GV281&lt;&gt;"",GV281&lt;&gt;"ok"),GV281,""),IF(GW281&lt;&gt;"",GW281,""),IF(AND(N(BV281)&gt;=4,N(BR281)=1),BV281&amp;" жил на 1 фазе",""),IF(AND(AX281="R",CA281=1,OR(N(CK281)=0,N(CK281)&gt;30)),"розетка без дифзащиты до 30 мА",""),IFERROR(IF(AND(ISNUMBER(R281),R281&gt;DV281),"потери "&amp;FIXED(R281,1)&amp;" % &gt; "&amp;DV281&amp;" %",""),""),IFERROR(IF(LEFT(GZ281,4)="мало","Iкз мало — отключение &gt; 0,4 с",""),""),IF(AND(B281&lt;&gt;"",BH281=""),"не на схеме",""),IF(AND(CA281=0,B281&lt;&gt;"",FE281&lt;&gt;"",IF(AW281=1,"",FF280)&lt;&gt;"",FE281&lt;&gt;IF(AW281=1,"",FF280)),"фаза не как у автомата группы ("&amp;IF(AW281=1,"",FF280)&amp;")","")))</f>
        <v/>
      </c>
      <c r="HB281" s="6">
        <f>IF(OR(CA281=0,DA281=""),"",_xlfn.LET(_xlpm.t,IFERROR(_xlfn.XLOOKUP(DA281,Каталог!$U$4:$U$500,Каталог!$G$4:$G$500),""),_xlpm.k,SEARCH("кА",_xlpm.t),IFERROR(--TRIM(RIGHT(SUBSTITUTE(MID(_xlpm.t,MAX(1,_xlpm.k-4),_xlpm.k-MAX(1,_xlpm.k-4))," ",REPT(" ",9)),5)),"")))</f>
        <v>6</v>
      </c>
      <c r="HC281" t="str">
        <f>IF(OR(HB281="",CA281=0),"",IF(_xlfn.XLOOKUP(A281,Щиты[Щит],Щиты[Iкз max на шинах, кА],"")="","",IF(HB281&lt;_xlfn.XLOOKUP(A281,Щиты[Щит],Щиты[Iкз max на шинах, кА]),"Icu "&amp;HB281&amp;" кА &lt; Iкз max","ok")))</f>
        <v/>
      </c>
      <c r="HD281" t="str">
        <f t="shared" si="590"/>
        <v/>
      </c>
      <c r="HE281" t="str">
        <f t="shared" si="591"/>
        <v>QFD57|XT57</v>
      </c>
      <c r="HF281" t="str">
        <f t="shared" si="592"/>
        <v>QFD57|XT57|кабель ВВГнг(А)-LS (3х2,5) → Розеточная группа, пом. 022A</v>
      </c>
      <c r="HG281" t="str" cm="1">
        <f t="array" ref="HG281">IF(HF281="","",_xlfn.LET(_xlpm.nd,_xlfn.TEXTSPLIT(HF281,"|"),IF(COLUMNS(_xlpm.nd)&gt;1,A281&amp;"¦"&amp;INDEX(_xlpm.nd,1)&amp;"¦"&amp;INDEX(_xlpm.nd,2),"")))</f>
        <v>ЩР-1¦QFD57¦XT57</v>
      </c>
      <c r="HH281" t="str">
        <f t="shared" si="593"/>
        <v>R.1.022A.1¦Розеточная группа, пом. 022A</v>
      </c>
      <c r="HI281" t="str" cm="1">
        <f t="array" ref="HI281">IF(HF281="","",_xlfn.LET(_xlpm.nd,_xlfn.TEXTSPLIT(HF281,"|"),IF(COLUMNS(_xlpm.nd)&gt;2,A281&amp;"¦"&amp;INDEX(_xlpm.nd,2)&amp;"¦"&amp;INDEX(_xlpm.nd,3),"")))</f>
        <v>ЩР-1¦XT57¦кабель ВВГнг(А)-LS (3х2,5) → Розеточная группа, пом. 022A</v>
      </c>
      <c r="HJ281" t="str">
        <f t="shared" si="594"/>
        <v>R.1.022A.1¦Розеточная группа, пом. 022A</v>
      </c>
      <c r="HK281" t="str" cm="1">
        <f t="array" ref="HK281">IF(HF281="","",_xlfn.LET(_xlpm.nd,_xlfn.TEXTSPLIT(HF281,"|"),IF(COLUMNS(_xlpm.nd)&gt;3,A281&amp;"¦"&amp;INDEX(_xlpm.nd,3)&amp;"¦"&amp;INDEX(_xlpm.nd,4),"")))</f>
        <v/>
      </c>
      <c r="HL281" t="str">
        <f t="shared" si="595"/>
        <v/>
      </c>
      <c r="HM281" t="str" cm="1">
        <f t="array" ref="HM281">IF(HF281="","",_xlfn.LET(_xlpm.nd,_xlfn.TEXTSPLIT(HF281,"|"),IF(COLUMNS(_xlpm.nd)&gt;4,A281&amp;"¦"&amp;INDEX(_xlpm.nd,4)&amp;"¦"&amp;INDEX(_xlpm.nd,5),"")))</f>
        <v/>
      </c>
      <c r="HN281" t="str">
        <f t="shared" si="596"/>
        <v/>
      </c>
      <c r="HO281" t="str" cm="1">
        <f t="array" ref="HO281">IF(HF281="","",_xlfn.LET(_xlpm.nd,_xlfn.TEXTSPLIT(HF281,"|"),IF(COLUMNS(_xlpm.nd)&gt;5,A281&amp;"¦"&amp;INDEX(_xlpm.nd,5)&amp;"¦"&amp;INDEX(_xlpm.nd,6),"")))</f>
        <v/>
      </c>
      <c r="HP281" t="str">
        <f t="shared" si="597"/>
        <v/>
      </c>
      <c r="HQ281" t="str" cm="1">
        <f t="array" ref="HQ281">IF(HF281="","",_xlfn.LET(_xlpm.nd,_xlfn.TEXTSPLIT(HF281,"|"),IF(COLUMNS(_xlpm.nd)&gt;6,A281&amp;"¦"&amp;INDEX(_xlpm.nd,6)&amp;"¦"&amp;INDEX(_xlpm.nd,7),"")))</f>
        <v/>
      </c>
      <c r="HR281" t="str">
        <f t="shared" si="598"/>
        <v/>
      </c>
      <c r="HS281" t="str">
        <f t="shared" si="599"/>
        <v/>
      </c>
      <c r="HT281" t="str">
        <f t="shared" si="600"/>
        <v>QFD57 → XT57</v>
      </c>
      <c r="HU281">
        <f t="shared" si="601"/>
        <v>0</v>
      </c>
      <c r="HV281">
        <f t="shared" si="602"/>
        <v>1</v>
      </c>
      <c r="HW281" t="str">
        <f t="shared" si="603"/>
        <v/>
      </c>
      <c r="HX281" t="str">
        <f t="shared" si="604"/>
        <v/>
      </c>
      <c r="HY281" t="str">
        <f t="shared" si="605"/>
        <v/>
      </c>
      <c r="HZ281" t="str">
        <f t="shared" si="606"/>
        <v/>
      </c>
      <c r="IA281" t="str">
        <f>IF(B281="","",IFERROR(VLOOKUP(B281,УГО_спр,2,FALSE),IFERROR(VLOOKUP(AX281,УГО_спр,2,FALSE),IFERROR(VLOOKUP(LEFT(AX281,2),УГО_спр,2,FALSE),""))))</f>
        <v>Розетка</v>
      </c>
      <c r="IB281" t="str">
        <f>IF(B281="","",IF(OR(IA281="",IA281=0),"BOX",IFERROR(IF(VLOOKUP(IA281,УГО_блоки,3,FALSE)&amp;""&lt;&gt;"",VLOOKUP(IA281,УГО_блоки,3,FALSE),VLOOKUP(IA281,УГО_блоки,2,FALSE)),IA281)))</f>
        <v>SOCKET</v>
      </c>
      <c r="IC281">
        <f t="shared" si="607"/>
        <v>1</v>
      </c>
      <c r="ID281" t="str">
        <f>IF(DA281="","",IF(COUNTIF(DA$3:DA281,DA281)=1,MAX(ID$2:ID280)+1,""))</f>
        <v/>
      </c>
      <c r="IE281" t="str">
        <f>IF(CO281="","",IF(COUNTIF(CO$3:CO281,CO281)+COUNTIF(CP$2:CP280,CO281)+COUNTIF(CQ$2:CQ280,CO281)=1,MAX(IE$2:IG280)+1,""))</f>
        <v/>
      </c>
      <c r="IF281" t="str">
        <f>IF(CP281="","",IF(COUNTIF(CO$3:CO281,CP281)+COUNTIF(CP$3:CP281,CP281)+COUNTIF(CQ$2:CQ280,CP281)=1,MAX(IE$2:IG280,IE281)+1,""))</f>
        <v/>
      </c>
      <c r="IG281" t="str">
        <f>IF(CQ281="","",IF(COUNTIF(CO$3:CO281,CQ281)+COUNTIF(CP$3:CP281,CQ281)+COUNTIF(CQ$3:CQ281,CQ281)=1,MAX(IE$2:IG280,IE281,IF281)+1,""))</f>
        <v/>
      </c>
      <c r="IH281" t="str">
        <f t="shared" si="608"/>
        <v>3х2,5</v>
      </c>
      <c r="II281" t="str">
        <f>IF(IH281="","",IF(COUNTIF(IH$3:IH281,IH281)=1,MAX(II$2:II280)+1,""))</f>
        <v/>
      </c>
      <c r="IJ281" t="str">
        <f>IF(GL281="","",COUNTIF(GL$3:GL281,"?*"))</f>
        <v/>
      </c>
      <c r="IK281" t="str">
        <f>IF(OR(GL281="",GN281=""),"",IF(COUNTIFS(GL$3:GL281,"?*",GN$3:GN281,GN281)=1,MAX(IK$2:IK280)+1,""))</f>
        <v/>
      </c>
      <c r="IL281">
        <f t="shared" si="609"/>
        <v>0</v>
      </c>
      <c r="IM281">
        <f>IF(B281="","",COUNTIF(B$3:B281,"?*"))</f>
        <v>279</v>
      </c>
      <c r="IN281">
        <f>IF(GQ281&lt;&gt;1,0,_xlfn.LET(_xlpm.k,MAX(IFERROR(--VLOOKUP(B281,УГО_спр,5,FALSE),0),IFERROR(--VLOOKUP(AX281,УГО_спр,5,FALSE),0),IFERROR(--VLOOKUP(LEFT(AX281,2),УГО_спр,5,FALSE),0)),IF(_xlpm.k&gt;0,_xlpm.k,IF(IFERROR(--LEFT(SUBSTITUTE(IH281,"x","х"),FIND("х",SUBSTITUTE(IH281,"x","х"))-1),3)&gt;3,Каталог!$S$9,1))))</f>
        <v>1</v>
      </c>
      <c r="IO281">
        <f t="shared" si="610"/>
        <v>0</v>
      </c>
      <c r="IP281" t="str">
        <f t="shared" si="611"/>
        <v>авто</v>
      </c>
      <c r="IQ281">
        <f t="shared" si="612"/>
        <v>30</v>
      </c>
      <c r="IR281">
        <f t="shared" si="613"/>
        <v>1</v>
      </c>
      <c r="IS281">
        <f t="shared" si="614"/>
        <v>1</v>
      </c>
    </row>
    <row r="282" spans="1:253" x14ac:dyDescent="0.3">
      <c r="A282" t="s">
        <v>759</v>
      </c>
      <c r="B282" t="s">
        <v>1547</v>
      </c>
      <c r="C282" t="s">
        <v>1682</v>
      </c>
      <c r="D282">
        <v>1</v>
      </c>
      <c r="E282">
        <v>0.5</v>
      </c>
      <c r="G282" t="str">
        <f>Линии[[#This Row],[_авто автомат]]</f>
        <v>1P С6А</v>
      </c>
      <c r="H282" t="str">
        <f>Линии[[#This Row],[_авто утечка]]</f>
        <v/>
      </c>
      <c r="I282" t="str">
        <f>Линии[[#This Row],[_авто управление]]</f>
        <v/>
      </c>
      <c r="J282" t="str">
        <f>Линии[[#This Row],[_авто аппараты]]</f>
        <v/>
      </c>
      <c r="K282">
        <v>2.5</v>
      </c>
      <c r="L282">
        <v>8</v>
      </c>
      <c r="M282" t="str">
        <f>Линии[[#This Row],[_авто фаза]]</f>
        <v>L3</v>
      </c>
      <c r="N282" t="str">
        <f>Линии[[#This Row],[_авто клемма]]</f>
        <v>XT58</v>
      </c>
      <c r="O282" t="str">
        <f t="shared" si="492"/>
        <v/>
      </c>
      <c r="P282" s="6" cm="1">
        <f t="array" ref="P282">IF(B282="","",IF(BC282&lt;&gt;"",IFERROR(_xlfn.XLOOKUP(BC282,Щиты[Щит],Щиты[Iр, А]),""),IF(BK282=1,IFERROR(_xlfn.XLOOKUP(A282,Щиты[Щит],Щиты[Iр, А]),""),IFERROR(_xlfn.IFS(BR282=1,BN282/((Uн_лин/SQRT(3))*BY282),BR282=3,BN282/(SQRT(3)*Uн_лин*BY282)),""))))</f>
        <v>2.2790142204853647</v>
      </c>
      <c r="Q282" s="7">
        <f>IF(B282="","",IFERROR(IF(VLOOKUP(AX282,Потребители_обозначение,4,FALSE)=1,VLOOKUP(AX282,Потребители_обозначение,3,FALSE)*(D282*2-1)+DS282+VLOOKUP(AZ282,Этаж_обозначение,3,FALSE)+VLOOKUP(AZ282,Этаж_обозначение,4,FALSE),VLOOKUP(AX282,Потребители_обозначение,3,FALSE)*(D282*2-1)+DS282),DS282))</f>
        <v>11</v>
      </c>
      <c r="R282" s="6">
        <f t="shared" si="493"/>
        <v>1.38</v>
      </c>
      <c r="S282" t="str">
        <f t="shared" si="494"/>
        <v>ВВГнг(А)-LS (3х2,5)</v>
      </c>
      <c r="T282" t="str">
        <f>IF(BH282="","",IF(BI282="вводной узел","узел ","")&amp;"л."&amp;(INT((BH282-1)/Столбцов_на_лист)+1)&amp;" / "&amp;(MOD(BH282-1,Столбцов_на_лист)+1))</f>
        <v>л.5 / 16</v>
      </c>
      <c r="V282">
        <v>1</v>
      </c>
      <c r="W282">
        <v>230</v>
      </c>
      <c r="X282" t="s">
        <v>575</v>
      </c>
      <c r="AC282" t="s">
        <v>815</v>
      </c>
      <c r="AE282" t="s">
        <v>579</v>
      </c>
      <c r="AI282">
        <v>84</v>
      </c>
      <c r="AJ282" t="s">
        <v>11</v>
      </c>
      <c r="AK282">
        <v>3</v>
      </c>
      <c r="AN282">
        <v>8</v>
      </c>
      <c r="AW282" cm="1">
        <f t="array" ref="AW282">ROW()-ROW(Линии[#Headers])</f>
        <v>280</v>
      </c>
      <c r="AX282" s="6" t="str">
        <f t="shared" si="495"/>
        <v>ЩКД</v>
      </c>
      <c r="AY282" t="str">
        <f t="shared" si="496"/>
        <v>1</v>
      </c>
      <c r="AZ282" t="str">
        <f t="shared" si="497"/>
        <v>1</v>
      </c>
      <c r="BA282" t="str">
        <f t="shared" si="498"/>
        <v/>
      </c>
      <c r="BB282" t="str">
        <f t="shared" si="499"/>
        <v/>
      </c>
      <c r="BC282" t="str">
        <f>IF(U282&lt;&gt;"",U282,IF(AND(B282&lt;&gt;"",B282&lt;&gt;A282,ISNUMBER(_xlfn.XMATCH(B282,Щиты[Щит]))),B282,""))</f>
        <v/>
      </c>
      <c r="BD282" t="str" cm="1">
        <f t="array" ref="BD282">IF(B282="","",IF(BC282&lt;&gt;"","Щит "&amp;BC282,_xlfn.LET(_xlpm.nm,IFERROR(_xlfn.XLOOKUP(AX282,Коды_код,Коды_имя)&amp;"",""),_xlpm.md,IFERROR(N(_xlfn.XLOOKUP(AX282,Коды_код,Коды_режим)),1),_xlpm.ex,IF(Имя_режим="по экспликации",IFERROR(_xlfn.XLOOKUP(AZ282&amp;"|"&amp;BB282,Экспликация[Этаж]&amp;"|"&amp;Экспликация[Помещение],Экспликация[Название])&amp;"",""),""),_xlpm.rm,IF(BB282="","",IF(_xlpm.ex&lt;&gt;"",". "&amp;_xlpm.ex&amp;IF(Имя_пом="нет"," ("&amp;BB282&amp;")"," (пом. "&amp;BB282&amp;")"),IF(Имя_пом="нет"," ",", пом. ")&amp;BB282)),IF(_xlpm.nm="","",IF(_xlpm.md=2,_xlpm.nm&amp;" шлейф "&amp;AZ282,_xlpm.nm&amp;_xlpm.rm)))))</f>
        <v>Щит контроля доступа шлейф 1</v>
      </c>
      <c r="BE282" t="str">
        <f t="shared" si="500"/>
        <v>Щит контроля доступа ЩКД-1 Первый этаж Пом. №002Б</v>
      </c>
      <c r="BF282">
        <f>IFERROR(_xlfn.XMATCH(A282,Щиты[Щит]),0)</f>
        <v>10</v>
      </c>
      <c r="BG282">
        <f>_xlfn.LET(_xlpm.k,IFERROR(_xlfn.XLOOKUP(A282,Щиты[Щит],Щиты[Листов под вводной узел]),""),IF(_xlpm.k="",1,N(_xlpm.k))*Столбцов_на_лист)</f>
        <v>17</v>
      </c>
      <c r="BH282">
        <f t="shared" si="501"/>
        <v>84</v>
      </c>
      <c r="BI282" t="str">
        <f t="shared" si="502"/>
        <v>линии</v>
      </c>
      <c r="BJ282" s="6">
        <f>IFERROR(N(_xlfn.XLOOKUP(AX282,Коды_код,Коды_квт)),0)</f>
        <v>0</v>
      </c>
      <c r="BK282">
        <f t="shared" si="503"/>
        <v>0</v>
      </c>
      <c r="BL282" t="str">
        <f>IF(B282="","",IF(BC282&lt;&gt;"",IFERROR(_xlfn.XLOOKUP(BC282,Щиты[Щит],Щиты[Руст, кВт]),0),IF(BK282=1,IFERROR(_xlfn.XLOOKUP(A282,Щиты[Щит],Щиты[Руст, кВт]),0),IF(BJ282&gt;0,ROUND(BJ282*MAX(1,N(D282)),3),""))))</f>
        <v/>
      </c>
      <c r="BM282">
        <f t="shared" si="504"/>
        <v>0.5</v>
      </c>
      <c r="BN282" s="6">
        <f>IF(B282="","",IF(BC282&lt;&gt;"",IFERROR(_xlfn.XLOOKUP(BC282,Щиты[Щит],Щиты[Руст, кВт]),0),N(BM282)))</f>
        <v>0.5</v>
      </c>
      <c r="BO282" t="str">
        <f>IF(B282="","",IFERROR(IF(VLOOKUP(AX282,Потребители_обозначение,8,FALSE)=0,"",VLOOKUP(AX282,Потребители_обозначение,8,FALSE)),""))</f>
        <v/>
      </c>
      <c r="BP282">
        <f t="shared" si="505"/>
        <v>230</v>
      </c>
      <c r="BQ282">
        <f>IF(B282="","",IF(BC282&lt;&gt;"",3,IFERROR(IF(N(VLOOKUP(AX282,Потребители_обозначение,9,FALSE))=0,1,VLOOKUP(AX282,Потребители_обозначение,9,FALSE)),1)))</f>
        <v>1</v>
      </c>
      <c r="BR282">
        <f t="shared" si="506"/>
        <v>1</v>
      </c>
      <c r="BS282" t="str">
        <f>IF(B282="","",_xlfn.LET(_xlpm.bc,IFERROR(IF(VLOOKUP(AX282,Потребители_обозначение,6,FALSE)=0,"",VLOOKUP(AX282,Потребители_обозначение,6,FALSE)&amp;""),""),IF(AND(FK282="да",OR(_xlpm.bc="",_xlpm.bc="мс")),Марка_пож,IF(AND(_xlpm.bc="",BC282&lt;&gt;""),"мс",_xlpm.bc))))</f>
        <v/>
      </c>
      <c r="BT282" t="str">
        <f t="shared" si="507"/>
        <v>мс</v>
      </c>
      <c r="BU282">
        <f>IF(B282="","",_xlfn.LET(_xlpm.cc,IFERROR(N(VLOOKUP(AX282,Потребители_обозначение,7,FALSE)),0),IF(_xlpm.cc&gt;0,_xlpm.cc,IF(BT282="","",IF(N(BR282)=3,5,3)))))</f>
        <v>3</v>
      </c>
      <c r="BV282">
        <f t="shared" si="508"/>
        <v>3</v>
      </c>
      <c r="BW282">
        <f>IFERROR(N(VLOOKUP(AX282,Потребители_обозначение,10,FALSE)),0)</f>
        <v>0</v>
      </c>
      <c r="BX282">
        <f>IFERROR(VLOOKUP(AX282,Потребители_обозначение,5,FALSE),0)</f>
        <v>1</v>
      </c>
      <c r="BY282" s="6" cm="1">
        <f t="array" ref="BY282">IF(B282="","",IF(BC282&lt;&gt;"",IFERROR(_xlfn.XLOOKUP(BC282,Щиты[Щит],Щиты[cos φ]),0.95),IF(BK282=1,IFERROR(_xlfn.XLOOKUP(A282,Щиты[Щит],Щиты[cos φ]),0.95),IF(ISNUMBER(Z282),Z282,IFERROR(IF(BX282=2,_xlfn.IFS(BR282=3,VLOOKUP(BN282,Справочная_двигатели,8,FALSE),BR282=1,VLOOKUP(BN282,Справочная_двигатели,10,TRUE)),IF(AND(Методика="нормы 2026",EQ282="Сил"),0.8,0.95)),0.95)))))</f>
        <v>0.95</v>
      </c>
      <c r="BZ282">
        <f t="shared" si="509"/>
        <v>0</v>
      </c>
      <c r="CA282">
        <f t="shared" si="510"/>
        <v>1</v>
      </c>
      <c r="CB282">
        <f t="shared" si="511"/>
        <v>0</v>
      </c>
      <c r="CC282">
        <f t="shared" si="512"/>
        <v>0</v>
      </c>
      <c r="CD282">
        <f t="shared" si="513"/>
        <v>0</v>
      </c>
      <c r="CE282">
        <f t="shared" si="514"/>
        <v>0</v>
      </c>
      <c r="CF282">
        <f t="shared" si="515"/>
        <v>0</v>
      </c>
      <c r="CG282">
        <f>IF(AX282="",0,_xlfn.LET(_xlpm.v,IFERROR(VLOOKUP(B282,УГО_спр,3,FALSE),IFERROR(VLOOKUP(AX282,УГО_спр,3,FALSE),IFERROR(VLOOKUP(LEFT(AX282,2),УГО_спр,3,FALSE),""))),IF(_xlpm.v="да",30,IF(ISNUMBER(_xlpm.v),_xlpm.v,0))))</f>
        <v>0</v>
      </c>
      <c r="CH282" t="str">
        <f t="shared" si="516"/>
        <v/>
      </c>
      <c r="CI282" t="str">
        <f>_xlfn.LET(_xlpm.k,IFERROR(_xlfn.XLOOKUP(AX282,Коды_код,Коды_утечка)&amp;"",""),IF(_xlpm.k="","дифавтомат",_xlpm.k))</f>
        <v>дифавтомат</v>
      </c>
      <c r="CJ282">
        <f t="shared" si="517"/>
        <v>0</v>
      </c>
      <c r="CK282">
        <f t="shared" si="518"/>
        <v>0</v>
      </c>
      <c r="CL282">
        <f>IF(B282="",0,IFERROR(--VLOOKUP(B282,УГО_спр,4,FALSE),IFERROR(--VLOOKUP(AX282,УГО_спр,4,FALSE),IFERROR(--VLOOKUP(LEFT(AX282,2),УГО_спр,4,FALSE),0))))</f>
        <v>0</v>
      </c>
      <c r="CM282" t="str">
        <f>IF(B282="","",IFERROR(_xlfn.XLOOKUP(AX282,Коды_код,Коды_апп)&amp;"",""))</f>
        <v/>
      </c>
      <c r="CN282" t="str">
        <f t="shared" si="519"/>
        <v/>
      </c>
      <c r="CO282" t="str" cm="1">
        <f t="array" ref="CO282">IF(TRIM(CN282&amp;"")="","",IFERROR(TRIM(INDEX(_xlfn.TEXTSPLIT(CN282&amp;";;;",";"),1)),""))</f>
        <v/>
      </c>
      <c r="CP282" t="str" cm="1">
        <f t="array" ref="CP282">IF(TRIM(CN282&amp;"")="","",IFERROR(TRIM(INDEX(_xlfn.TEXTSPLIT(CN282&amp;";;;",";"),2)),""))</f>
        <v/>
      </c>
      <c r="CQ282" t="str" cm="1">
        <f t="array" ref="CQ282">IF(TRIM(CN282&amp;"")="","",IFERROR(TRIM(INDEX(_xlfn.TEXTSPLIT(CN282&amp;";;;",";"),3)),""))</f>
        <v/>
      </c>
      <c r="CR282">
        <f t="shared" si="520"/>
        <v>0</v>
      </c>
      <c r="CS282" t="str">
        <f>IF(B282="","",_xlfn.LET(_xlpm.t,LOWER(AV282&amp;""),IF(ISNUMBER(SEARCH("dim",_xlpm.t)),"DIM",IF(ISNUMBER(SEARCH("dali",_xlpm.t)),"DALI",IF(OR(ISNUMBER(SEARCH("relay",_xlpm.t)),ISNUMBER(SEARCH("реле",_xlpm.t))),"Relay",IF(ISNUMBER(SEARCH("кнопк",_xlpm.t)),"",IFERROR(_xlfn.XLOOKUP(AX282,Коды_код,Коды_упр)&amp;"","")))))))</f>
        <v/>
      </c>
      <c r="CT282" t="str">
        <f t="shared" si="521"/>
        <v/>
      </c>
      <c r="CU282">
        <f>IF(B282="","",_xlfn.LET(_xlpm.ig,N(P282)+IF(AF282="вручную",0,N(CB282)),_xlpm.n0,IFERROR(VLOOKUP(_xlpm.ig,Автомат_номиналы,2,TRUE),0),_xlpm.mn,MAX(CL282,IF(AF282="вручную",0,N(CE282))),MAX(_xlpm.n0,_xlpm.mn,IF(CR282=1,Мин_автомат_БП,0))))</f>
        <v>6</v>
      </c>
      <c r="CV282">
        <f t="shared" si="522"/>
        <v>1</v>
      </c>
      <c r="CW282" t="str">
        <f t="shared" si="523"/>
        <v>1P</v>
      </c>
      <c r="CX282" t="str">
        <f>_xlfn.LET(_xlpm.cc,UPPER(TRIM(IFERROR(_xlfn.XLOOKUP(AX282,Коды_код,Коды_хар)&amp;"",""))),IF(OR(_xlpm.cc="B",_xlpm.cc="В"),"B",IF(_xlpm.cc="D","D","С")))</f>
        <v>С</v>
      </c>
      <c r="CY282" t="str">
        <f t="shared" si="524"/>
        <v>1P С6А</v>
      </c>
      <c r="CZ282" t="str">
        <f t="shared" si="525"/>
        <v>1P С6А</v>
      </c>
      <c r="DA282" t="str">
        <f t="shared" si="526"/>
        <v>1P С6А</v>
      </c>
      <c r="DB282" cm="1">
        <f t="array" ref="DB282">IF(DA282="","",_xlfn.LET(_xlpm.t,SUBSTITUTE(SUBSTITUTE(SUBSTITUTE(UPPER(DA282),"С","C"),"А","A"),"В","B"),_xlpm.tk,_xlfn.TEXTSPLIT(_xlpm.t,"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82" t="str">
        <f t="shared" si="527"/>
        <v>ok</v>
      </c>
      <c r="DD282">
        <f t="shared" si="528"/>
        <v>6</v>
      </c>
      <c r="DE282" t="str">
        <f t="shared" si="529"/>
        <v>1P С6А</v>
      </c>
      <c r="DF282">
        <f t="shared" si="530"/>
        <v>0</v>
      </c>
      <c r="DG282">
        <f t="shared" si="531"/>
        <v>0</v>
      </c>
      <c r="DH282">
        <f t="shared" si="532"/>
        <v>0</v>
      </c>
      <c r="DI282">
        <f t="shared" si="533"/>
        <v>2.2790142204853647</v>
      </c>
      <c r="DJ282">
        <f t="shared" si="534"/>
        <v>1</v>
      </c>
      <c r="DK282">
        <f>IF(ISNUMBER(AL282),AL282,К_прокл)</f>
        <v>1</v>
      </c>
      <c r="DL282">
        <f t="shared" si="535"/>
        <v>2</v>
      </c>
      <c r="DM282">
        <f>IFERROR(N(VLOOKUP(BT282,Кабель_обозначение,3,FALSE)),1)</f>
        <v>1</v>
      </c>
      <c r="DN282">
        <f>IFERROR(N(_xlfn.XLOOKUP(A282,Щиты[Щит],Щиты[ΔU до шин, %])),0)</f>
        <v>1.19</v>
      </c>
      <c r="DO282" t="str">
        <f>IFERROR(_xlfn.XLOOKUP(A282,Щиты[Щит],Щиты[Zпетли на шинах, Ом]),"")</f>
        <v/>
      </c>
      <c r="DP282">
        <f>IFERROR(N(_xlfn.XLOOKUP(A282,Щиты[Щит],Щиты[ΔU до шин (подбор), %])),0)</f>
        <v>1.19</v>
      </c>
      <c r="DQ282" t="str">
        <f>IFERROR(_xlfn.XLOOKUP(A282,Щиты[Щит],Щиты[Zпетли на шинах (подбор), Ом]),"")</f>
        <v/>
      </c>
      <c r="DR282" t="str">
        <f t="shared" si="536"/>
        <v/>
      </c>
      <c r="DS282">
        <f t="shared" si="537"/>
        <v>8</v>
      </c>
      <c r="DT282">
        <f t="shared" si="538"/>
        <v>2</v>
      </c>
      <c r="DU282">
        <f t="shared" si="539"/>
        <v>0.31</v>
      </c>
      <c r="DV282" s="6">
        <f>IF(B282="","",IF(IFERROR(VLOOKUP(AX282,УГО_спр,2,FALSE),"")="Светильник",3,4)+IF(Методика="нормы 2026",MIN(0.5,MAX(0,N(Q282)-100)*0.005),0))</f>
        <v>4</v>
      </c>
      <c r="DW282" cm="1">
        <f t="array" ref="DW282">IF(OR(B282="",BT282="",DM282&lt;&gt;1),"",_xlfn.LET(_xlpm.sz,Iдоп_S,_xlpm.t_,CHOOSE(DL282,Iдоп_1ж,Iдоп_2ж,Iдоп_3ж)*DJ282*DK282,_xlpm.inn,N(DD282),_xlpm.smin,MAX(1.5,BW282),_xlpm.L_,N(Q282)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282)*(_xlpm.rho*_xlpm.L_/_xlpm.sz*N(BY282)+_xlpm.xx*_xlpm.L_*N(DU282)/1000)*N(P282)/((Uн_лин/SQRT(3))*1000)*100,999),_xlpm.kz,IF(OR(DG282=1,NOT(ISNUMBER(DQ282)),_xlpm.L_=0,_xlpm.inn=0),1,IFERROR(--(c_min*(Uн_лин*1000/SQRT(3))/(DQ282+2*ρкз_Cu*_xlpm.L_/_xlpm.sz)&gt;=GY282*_xlpm.inn),0)),_xlpm.ok,IFERROR((_xlpm.sz&gt;=_xlpm.smin)*(_xlpm.t_&gt;=_xlpm.inn)*IF(_xlpm.L_&gt;0,(_xlpm.du_+DP282&lt;=DV282+0.00001),1)*_xlpm.kz,0),_xlpm.r_,_xlfn._xlws.FILTER(_xlpm.sz,_xlpm.ok,"не подобрано"),INDEX(_xlpm.r_,1)))</f>
        <v>1.5</v>
      </c>
      <c r="DX282">
        <f t="shared" si="540"/>
        <v>2.5</v>
      </c>
      <c r="DY282" cm="1">
        <f t="array" ref="DY282">IF(OR(B282="",BT282="",DM282&lt;&gt;1),"",_xlfn.LET(_xlpm.sz,Iдоп_S,_xlpm.t_,CHOOSE(DL282,Iдоп_1ж,Iдоп_2ж,Iдоп_3ж)*DJ282*DK282,_xlpm.ok,IFERROR((_xlpm.sz&gt;=MAX(1.5,BW282))*(_xlpm.t_&gt;=N(DD282)),0),_xlpm.r_,_xlfn._xlws.FILTER(_xlpm.sz,_xlpm.ok,""),INDEX(_xlpm.r_,1)))</f>
        <v>1.5</v>
      </c>
      <c r="DZ282" s="6" cm="1">
        <f t="array" ref="DZ282">IFERROR(ROUNDUP(N(DT282)*(_xlfn.XLOOKUP(DY282,INDEX(Кабель_сопротивление,0,1),INDEX(Кабель_сопротивление,0,3))*N(Q282)/DY282*N(BY282)+_xlfn.XLOOKUP(DY282,INDEX(Кабель_сопротивление,0,1),INDEX(Кабель_сопротивление,0,2))*N(Q282)*N(DU282)/1000)*N(P282)/((Uн_лин/SQRT(3))*1000)*100,2),"")</f>
        <v>0.32</v>
      </c>
      <c r="EA282">
        <f>IFERROR(2*ρкз_Cu*N(Q282)/DY282,"")</f>
        <v>0.38573333333333332</v>
      </c>
      <c r="EB282">
        <f>IFERROR(VLOOKUP(DX282,Кабель_сопротивление,3,FALSE),"")</f>
        <v>2.2499999999999999E-2</v>
      </c>
      <c r="EC282">
        <f>IFERROR(VLOOKUP(DX282,Кабель_сопротивление,2,FALSE),"")</f>
        <v>0.1</v>
      </c>
      <c r="ED282">
        <f t="shared" si="541"/>
        <v>8</v>
      </c>
      <c r="EE282" t="str">
        <f t="shared" si="542"/>
        <v/>
      </c>
      <c r="EF282">
        <f t="shared" si="543"/>
        <v>0.4302368625716681</v>
      </c>
      <c r="EG282" s="6">
        <f>IFERROR(ROUNDUP(EF282/((Uн_лин/SQRT(3))*1000)*100,2),"")</f>
        <v>0.19</v>
      </c>
      <c r="EH282" t="str">
        <f>IFERROR(VLOOKUP(BT282,Кабель_обозначение,2,FALSE),"")</f>
        <v>ВВГнг(А)-LS</v>
      </c>
      <c r="EI282" t="str">
        <f t="shared" si="544"/>
        <v>ВВГнг(А)-LS (3х2,5)</v>
      </c>
      <c r="EJ282" t="str">
        <f t="shared" si="545"/>
        <v>ВВГнг(А)-LS (3х2,5)
L=11-0,19%</v>
      </c>
      <c r="EK282">
        <f>IFERROR(2*ρкз_Cu*Q282/DX282,"")</f>
        <v>0.23144000000000001</v>
      </c>
      <c r="EL282">
        <f t="shared" si="546"/>
        <v>7.6999999999999999E-2</v>
      </c>
      <c r="EM282" s="6" t="str">
        <f>IFERROR(IF(OR(B282="",NOT(ISNUMBER(DX282)),N(Q282)=0),"",_xlfn.XLOOKUP(A282,Щиты[Щит],Щиты[Zпетли на шинах, Ом])+EK282),"")</f>
        <v/>
      </c>
      <c r="EN282" s="6" t="str">
        <f>IF(ISNUMBER(EM282),c_min*(Uн_лин*1000/SQRT(3))/EM282,"")</f>
        <v/>
      </c>
      <c r="EO282" s="6" t="str">
        <f>IFERROR(IF(OR(B282="",NOT(ISNUMBER(DX282))),"",1.05*(Uн_лин*1000/SQRT(3))/(_xlfn.XLOOKUP(A282,Щиты[Щит],Щиты[Zmax на шинах, Ом])+EL282)/1000),"")</f>
        <v/>
      </c>
      <c r="EP282" s="6" t="str">
        <f>IF(B282="","",IF(ISNUMBER(Y282),"Сил",IF(IFERROR(_xlfn.XLOOKUP(AX282,Коды_код,Коды_группа)&amp;"","")="","Быт",_xlfn.XLOOKUP(AX282,Коды_код,Коды_группа)&amp;"")))</f>
        <v>Быт</v>
      </c>
      <c r="EQ282" s="6" t="str">
        <f t="shared" si="547"/>
        <v>Пост</v>
      </c>
      <c r="ER282" s="6">
        <f>IF(EQ282="Щит","щит",IF(EQ282="","",IF(EQ282="Быт",IFERROR(_xlfn.XLOOKUP(A282,Щиты[Щит],Щиты[Кс быт]),1),IF(EQ282="Сил",IF(ISNUMBER(Y282),Y282,IF(Методика="нормы 2026",IFERROR(_xlfn.XLOOKUP(A282,Щиты[Щит],Щиты[Кс силовых (табл. 7.5)]),1),1)),IF(OR(EQ282="Пост",EQ282="Отоп"),1,IF(EQ282="ВНГ",0.7,0))))))</f>
        <v>1</v>
      </c>
      <c r="ES282">
        <f t="shared" si="548"/>
        <v>1</v>
      </c>
      <c r="ET282">
        <f t="shared" si="549"/>
        <v>0.5</v>
      </c>
      <c r="EU282">
        <f t="shared" si="550"/>
        <v>0</v>
      </c>
      <c r="EV282">
        <f t="shared" si="551"/>
        <v>0</v>
      </c>
      <c r="EW282">
        <f t="shared" si="552"/>
        <v>0.5</v>
      </c>
      <c r="EX282">
        <f t="shared" si="553"/>
        <v>0</v>
      </c>
      <c r="EY282">
        <f t="shared" si="554"/>
        <v>0</v>
      </c>
      <c r="EZ282">
        <f t="shared" si="555"/>
        <v>0.5</v>
      </c>
      <c r="FA282">
        <f t="shared" si="556"/>
        <v>0.47499999999999998</v>
      </c>
      <c r="FB282">
        <f t="shared" si="557"/>
        <v>0.5</v>
      </c>
      <c r="FC282" t="str">
        <f t="shared" si="558"/>
        <v/>
      </c>
      <c r="FD282" t="str">
        <f>IF(B282="","",IF(CA282=0,IF(AW282=1,"",FF281),IF(OR(N(CV282)&gt;=3,N(BR282)&gt;=3),"L1,L2,L3",IFERROR(_xlfn.TEXTBEFORE(_xlfn.TEXTAFTER(_xlfn.XLOOKUP(A282,Щиты[Щит],Щиты[_фазы авто]),";"&amp;AW282&amp;":"),";"),"L1"))))</f>
        <v>L3</v>
      </c>
      <c r="FE282" t="str">
        <f t="shared" si="559"/>
        <v>L3</v>
      </c>
      <c r="FF282" t="str">
        <f t="shared" si="560"/>
        <v>L3</v>
      </c>
      <c r="FG282" cm="1">
        <f t="array" ref="FG282">IFERROR(IF(BX282=2,_xlfn.IFS(BR282=3,VLOOKUP(BN282,Справочная_двигатели,3,FALSE),BR282=1,VLOOKUP(BN282,Справочная_двигатели,5,TRUE)),0),0)</f>
        <v>0</v>
      </c>
      <c r="FH282">
        <f>IFERROR(IF(BX282=3,VLOOKUP(BN282,Справочная_ЛЭД,2,TRUE),0),0)</f>
        <v>0</v>
      </c>
      <c r="FI282" s="6">
        <f t="shared" si="561"/>
        <v>0</v>
      </c>
      <c r="FJ282" t="str" cm="1">
        <f t="array" ref="FJ282">IF(B282="","",IFERROR(INDEX({"I особая","I","II","III"},MATCH(TRIM(AC282&amp;""),{"I особая","I","II","III"},0)),"III"))</f>
        <v>II</v>
      </c>
      <c r="FK282" t="str">
        <f>IF(B282="","",IF(TRIM(AD282&amp;"")&lt;&gt;"",IF(LOWER(TRIM(AD282&amp;""))="да","да","нет"),IF(IFERROR(_xlfn.XLOOKUP(AX282,Коды_код,Коды_пожарная),"")="да","да","нет")))</f>
        <v>нет</v>
      </c>
      <c r="FL282" t="str">
        <f t="shared" si="562"/>
        <v/>
      </c>
      <c r="FM282" t="str">
        <f t="shared" si="563"/>
        <v>основная</v>
      </c>
      <c r="FN282">
        <f t="shared" si="564"/>
        <v>1</v>
      </c>
      <c r="FO282" t="str" cm="1">
        <f t="array" ref="FO282">IF(B282="","",_xlfn.LET(_xlpm.t,IFERROR(_xlfn.XLOOKUP(1,(Шины[Шина]=FM282)*(((Шины[Щит]=A282)+(Шины[Щит]=""))&gt;0),Шины[Тип]),"")&amp;"",IF(_xlpm.t&lt;&gt;"",_xlpm.t,IF(ISNUMBER(SEARCH("ИБП",FM282)),"ИБП",IF(ISNUMBER(SEARCH("ДГУ",FM282)),"ДГУ","Ввод "&amp;FN282)))))</f>
        <v>Ввод 1</v>
      </c>
      <c r="FP282" t="str">
        <f t="shared" si="565"/>
        <v>Ввод 1</v>
      </c>
      <c r="FQ282" t="str">
        <f>IF(B282="","",IF(OR(FO282="ИБП",FO282="ДГУ"),"I особая",IF(FO282="Одиночная","III",_xlfn.XLOOKUP(A282,Щиты[Щит],Щиты[Категория шины «Ввод»],"III"))))</f>
        <v>II</v>
      </c>
      <c r="FR282">
        <f>IF(B282="",0,IFERROR(MATCH(FJ282,{"III","II","I","I особая"},0),1))</f>
        <v>2</v>
      </c>
      <c r="FS282">
        <f t="shared" si="566"/>
        <v>2</v>
      </c>
      <c r="FT282" t="str">
        <f>IF(B282="","",IF(FR282&gt;IFERROR(MATCH(FQ282,{"III","II","I","I особая"},0),1),"НЕ ОБЕСПЕЧЕНА","ОК"))</f>
        <v>ОК</v>
      </c>
      <c r="FU282" t="str">
        <f>IF(A282="","",_xlfn.XLOOKUP(A282,Щиты[Щит],Щиты[Путь],""))</f>
        <v>|ГРЩ-ЖД|ЩР-1|</v>
      </c>
      <c r="FV282" t="str">
        <f>IF(B282="","",IF(AE282&lt;&gt;"",AE282,IF(IFERROR(_xlfn.XLOOKUP(AX282,Коды_код,Коды_вид)&amp;"","")="","Прочее",_xlfn.XLOOKUP(AX282,Коды_код,Коды_вид)&amp;"")))</f>
        <v>Системы безопасности и связи</v>
      </c>
      <c r="FW282">
        <f>IF(BH282="","",INT((BH282-1)/Столбцов_на_лист)+1)</f>
        <v>5</v>
      </c>
      <c r="FX282" t="str">
        <f t="shared" si="567"/>
        <v>ВВГнг(А)-LS (3х2,5) L=11-0,19%</v>
      </c>
      <c r="FY282">
        <f t="shared" si="568"/>
        <v>0.5</v>
      </c>
      <c r="FZ282">
        <f t="shared" si="569"/>
        <v>2.2799999999999998</v>
      </c>
      <c r="GA282">
        <f t="shared" si="570"/>
        <v>1</v>
      </c>
      <c r="GB282">
        <f t="shared" si="571"/>
        <v>0</v>
      </c>
      <c r="GC282">
        <f t="shared" si="572"/>
        <v>1</v>
      </c>
      <c r="GD282">
        <f>IF(BH282="","",IF(AND(CA282=1,GC282=1),COUNTIFS(A$3:A282,A282,CA$3:CA282,1,GC$3:GC282,1),IF(OR(OR(AW282=1,A282&lt;&gt;A281),AF282="вручную",GC282=0),"",IF(AW282=1,"",GE281))))</f>
        <v>58</v>
      </c>
      <c r="GE282">
        <f t="shared" si="573"/>
        <v>58</v>
      </c>
      <c r="GF282">
        <f>IF(B282="","",IFERROR(LOOKUP(INDEX(CHOOSE(DL282,Iдоп_1ж,Iдоп_2ж,Iдоп_3ж),MATCH(DX282,Iдоп_S,0))*DJ282*DK282,{6,10,16,20,25,32,40,50,63,80,100,125,160,200,250,315,400,500,630}),""))</f>
        <v>25</v>
      </c>
      <c r="GG282" t="str">
        <f t="shared" si="574"/>
        <v>QF58</v>
      </c>
      <c r="GH282" t="str">
        <f t="shared" si="575"/>
        <v>QF58</v>
      </c>
      <c r="GI282" t="str">
        <f t="shared" si="576"/>
        <v/>
      </c>
      <c r="GJ282">
        <f t="shared" si="577"/>
        <v>0</v>
      </c>
      <c r="GK282" t="str">
        <f>IF(OR(AG282="",AG282="-"),"",IFERROR(VLOOKUP(AG282,Модули_спр,2,FALSE),"R"))</f>
        <v/>
      </c>
      <c r="GL282" t="str">
        <f>IF(GK282="","",GK282&amp;"."&amp;COUNTIFS(A$3:A282,A282,GK$3:GK282,GK282))</f>
        <v/>
      </c>
      <c r="GM282" t="str">
        <f t="shared" si="578"/>
        <v/>
      </c>
      <c r="GN282" t="str">
        <f t="shared" si="579"/>
        <v/>
      </c>
      <c r="GO282" t="str">
        <f t="shared" si="580"/>
        <v/>
      </c>
      <c r="GP282" t="str">
        <f t="shared" si="581"/>
        <v/>
      </c>
      <c r="GQ282">
        <f t="shared" si="582"/>
        <v>1</v>
      </c>
      <c r="GR282" t="str">
        <f>IF(GQ282=1,"XT"&amp;COUNTIFS(A$3:A282,A282,GQ$3:GQ282,1),"")</f>
        <v>XT58</v>
      </c>
      <c r="GS282" t="str">
        <f t="shared" si="583"/>
        <v>XT58</v>
      </c>
      <c r="GT282" t="str">
        <f t="shared" si="584"/>
        <v>QF58</v>
      </c>
      <c r="GU282" t="str">
        <f t="shared" si="585"/>
        <v/>
      </c>
      <c r="GV282" t="str">
        <f t="shared" si="586"/>
        <v>ok</v>
      </c>
      <c r="GW282" t="str">
        <f>IF(OR(GO282="",GM282=""),"",IF(GO282&gt;IFERROR(VLOOKUP(GN282,Модули_спр,3,FALSE),99),"ЛИШНИЙ КАНАЛ",IF(AND(AH282&lt;&gt;"=",COUNTIFS(Линии[_модуль гр.],GM282,Линии[Канал (итог)],GO282,Линии[Канал],"&lt;&gt;=",Линии[Щит],A282)&gt;1),"ДУБЛЬ КАНАЛА","")))</f>
        <v/>
      </c>
      <c r="GX282" s="6" t="str">
        <f t="shared" si="587"/>
        <v/>
      </c>
      <c r="GY282">
        <f t="shared" si="588"/>
        <v>10</v>
      </c>
      <c r="GZ282" t="str">
        <f t="shared" si="589"/>
        <v/>
      </c>
      <c r="HA282" t="str">
        <f>IF(AND(B282="",GT282=""),"",_xlfn.TEXTJOIN("; ",TRUE,IF(AND(B282&lt;&gt;"",FE282=""),"нет фазы",""),IF(AND(B282&lt;&gt;"",N(FY282)=0,EQ282&lt;&gt;"Нет"),"нет мощности",""),IF(AND(GS282&lt;&gt;"",COUNTIFS(Линии[Щит],A282,Линии[Клемма (итог)],GS282)&gt;1),"дубль клеммы "&amp;GS282,""),IF(AND(GV282&lt;&gt;"",GV282&lt;&gt;"ok"),GV282,""),IF(GW282&lt;&gt;"",GW282,""),IF(AND(N(BV282)&gt;=4,N(BR282)=1),BV282&amp;" жил на 1 фазе",""),IF(AND(AX282="R",CA282=1,OR(N(CK282)=0,N(CK282)&gt;30)),"розетка без дифзащиты до 30 мА",""),IFERROR(IF(AND(ISNUMBER(R282),R282&gt;DV282),"потери "&amp;FIXED(R282,1)&amp;" % &gt; "&amp;DV282&amp;" %",""),""),IFERROR(IF(LEFT(GZ282,4)="мало","Iкз мало — отключение &gt; 0,4 с",""),""),IF(AND(B282&lt;&gt;"",BH282=""),"не на схеме",""),IF(AND(CA282=0,B282&lt;&gt;"",FE282&lt;&gt;"",IF(AW282=1,"",FF281)&lt;&gt;"",FE282&lt;&gt;IF(AW282=1,"",FF281)),"фаза не как у автомата группы ("&amp;IF(AW282=1,"",FF281)&amp;")","")))</f>
        <v/>
      </c>
      <c r="HB282" s="6" t="str">
        <f>IF(OR(CA282=0,DA282=""),"",_xlfn.LET(_xlpm.t,IFERROR(_xlfn.XLOOKUP(DA282,Каталог!$U$4:$U$500,Каталог!$G$4:$G$500),""),_xlpm.k,SEARCH("кА",_xlpm.t),IFERROR(--TRIM(RIGHT(SUBSTITUTE(MID(_xlpm.t,MAX(1,_xlpm.k-4),_xlpm.k-MAX(1,_xlpm.k-4))," ",REPT(" ",9)),5)),"")))</f>
        <v/>
      </c>
      <c r="HC282" t="str">
        <f>IF(OR(HB282="",CA282=0),"",IF(_xlfn.XLOOKUP(A282,Щиты[Щит],Щиты[Iкз max на шинах, кА],"")="","",IF(HB282&lt;_xlfn.XLOOKUP(A282,Щиты[Щит],Щиты[Iкз max на шинах, кА]),"Icu "&amp;HB282&amp;" кА &lt; Iкз max","ok")))</f>
        <v/>
      </c>
      <c r="HD282" t="str">
        <f t="shared" si="590"/>
        <v/>
      </c>
      <c r="HE282" t="str">
        <f t="shared" si="591"/>
        <v>QF58|XT58</v>
      </c>
      <c r="HF282" t="str">
        <f t="shared" si="592"/>
        <v>QF58|XT58|кабель ВВГнг(А)-LS (3х2,5) → Щит контроля доступа ЩКД-1 Первый этаж Пом. №002Б</v>
      </c>
      <c r="HG282" t="str" cm="1">
        <f t="array" ref="HG282">IF(HF282="","",_xlfn.LET(_xlpm.nd,_xlfn.TEXTSPLIT(HF282,"|"),IF(COLUMNS(_xlpm.nd)&gt;1,A282&amp;"¦"&amp;INDEX(_xlpm.nd,1)&amp;"¦"&amp;INDEX(_xlpm.nd,2),"")))</f>
        <v>ЩР-1¦QF58¦XT58</v>
      </c>
      <c r="HH282" t="str">
        <f t="shared" si="593"/>
        <v>ЩКД.1¦Щит контроля доступа ЩКД-1 Первый этаж Пом. №002Б</v>
      </c>
      <c r="HI282" t="str" cm="1">
        <f t="array" ref="HI282">IF(HF282="","",_xlfn.LET(_xlpm.nd,_xlfn.TEXTSPLIT(HF282,"|"),IF(COLUMNS(_xlpm.nd)&gt;2,A282&amp;"¦"&amp;INDEX(_xlpm.nd,2)&amp;"¦"&amp;INDEX(_xlpm.nd,3),"")))</f>
        <v>ЩР-1¦XT58¦кабель ВВГнг(А)-LS (3х2,5) → Щит контроля доступа ЩКД-1 Первый этаж Пом. №002Б</v>
      </c>
      <c r="HJ282" t="str">
        <f t="shared" si="594"/>
        <v>ЩКД.1¦Щит контроля доступа ЩКД-1 Первый этаж Пом. №002Б</v>
      </c>
      <c r="HK282" t="str" cm="1">
        <f t="array" ref="HK282">IF(HF282="","",_xlfn.LET(_xlpm.nd,_xlfn.TEXTSPLIT(HF282,"|"),IF(COLUMNS(_xlpm.nd)&gt;3,A282&amp;"¦"&amp;INDEX(_xlpm.nd,3)&amp;"¦"&amp;INDEX(_xlpm.nd,4),"")))</f>
        <v/>
      </c>
      <c r="HL282" t="str">
        <f t="shared" si="595"/>
        <v/>
      </c>
      <c r="HM282" t="str" cm="1">
        <f t="array" ref="HM282">IF(HF282="","",_xlfn.LET(_xlpm.nd,_xlfn.TEXTSPLIT(HF282,"|"),IF(COLUMNS(_xlpm.nd)&gt;4,A282&amp;"¦"&amp;INDEX(_xlpm.nd,4)&amp;"¦"&amp;INDEX(_xlpm.nd,5),"")))</f>
        <v/>
      </c>
      <c r="HN282" t="str">
        <f t="shared" si="596"/>
        <v/>
      </c>
      <c r="HO282" t="str" cm="1">
        <f t="array" ref="HO282">IF(HF282="","",_xlfn.LET(_xlpm.nd,_xlfn.TEXTSPLIT(HF282,"|"),IF(COLUMNS(_xlpm.nd)&gt;5,A282&amp;"¦"&amp;INDEX(_xlpm.nd,5)&amp;"¦"&amp;INDEX(_xlpm.nd,6),"")))</f>
        <v/>
      </c>
      <c r="HP282" t="str">
        <f t="shared" si="597"/>
        <v/>
      </c>
      <c r="HQ282" t="str" cm="1">
        <f t="array" ref="HQ282">IF(HF282="","",_xlfn.LET(_xlpm.nd,_xlfn.TEXTSPLIT(HF282,"|"),IF(COLUMNS(_xlpm.nd)&gt;6,A282&amp;"¦"&amp;INDEX(_xlpm.nd,6)&amp;"¦"&amp;INDEX(_xlpm.nd,7),"")))</f>
        <v/>
      </c>
      <c r="HR282" t="str">
        <f t="shared" si="598"/>
        <v/>
      </c>
      <c r="HS282" t="str">
        <f t="shared" si="599"/>
        <v/>
      </c>
      <c r="HT282" t="str">
        <f t="shared" si="600"/>
        <v>QF58 → XT58</v>
      </c>
      <c r="HU282">
        <f t="shared" si="601"/>
        <v>0</v>
      </c>
      <c r="HV282">
        <f t="shared" si="602"/>
        <v>0</v>
      </c>
      <c r="HW282" t="str">
        <f t="shared" si="603"/>
        <v/>
      </c>
      <c r="HX282" t="str">
        <f t="shared" si="604"/>
        <v/>
      </c>
      <c r="HY282" t="str">
        <f t="shared" si="605"/>
        <v/>
      </c>
      <c r="HZ282" t="str">
        <f t="shared" si="606"/>
        <v/>
      </c>
      <c r="IA282">
        <f>IF(B282="","",IFERROR(VLOOKUP(B282,УГО_спр,2,FALSE),IFERROR(VLOOKUP(AX282,УГО_спр,2,FALSE),IFERROR(VLOOKUP(LEFT(AX282,2),УГО_спр,2,FALSE),""))))</f>
        <v>0</v>
      </c>
      <c r="IB282" t="str">
        <f>IF(B282="","",IF(OR(IA282="",IA282=0),"BOX",IFERROR(IF(VLOOKUP(IA282,УГО_блоки,3,FALSE)&amp;""&lt;&gt;"",VLOOKUP(IA282,УГО_блоки,3,FALSE),VLOOKUP(IA282,УГО_блоки,2,FALSE)),IA282)))</f>
        <v>BOX</v>
      </c>
      <c r="IC282">
        <f t="shared" si="607"/>
        <v>1</v>
      </c>
      <c r="ID282" t="str">
        <f>IF(DA282="","",IF(COUNTIF(DA$3:DA282,DA282)=1,MAX(ID$2:ID281)+1,""))</f>
        <v/>
      </c>
      <c r="IE282" t="str">
        <f>IF(CO282="","",IF(COUNTIF(CO$3:CO282,CO282)+COUNTIF(CP$2:CP281,CO282)+COUNTIF(CQ$2:CQ281,CO282)=1,MAX(IE$2:IG281)+1,""))</f>
        <v/>
      </c>
      <c r="IF282" t="str">
        <f>IF(CP282="","",IF(COUNTIF(CO$3:CO282,CP282)+COUNTIF(CP$3:CP282,CP282)+COUNTIF(CQ$2:CQ281,CP282)=1,MAX(IE$2:IG281,IE282)+1,""))</f>
        <v/>
      </c>
      <c r="IG282" t="str">
        <f>IF(CQ282="","",IF(COUNTIF(CO$3:CO282,CQ282)+COUNTIF(CP$3:CP282,CQ282)+COUNTIF(CQ$3:CQ282,CQ282)=1,MAX(IE$2:IG281,IE282,IF282)+1,""))</f>
        <v/>
      </c>
      <c r="IH282" t="str">
        <f t="shared" si="608"/>
        <v>3х2,5</v>
      </c>
      <c r="II282" t="str">
        <f>IF(IH282="","",IF(COUNTIF(IH$3:IH282,IH282)=1,MAX(II$2:II281)+1,""))</f>
        <v/>
      </c>
      <c r="IJ282" t="str">
        <f>IF(GL282="","",COUNTIF(GL$3:GL282,"?*"))</f>
        <v/>
      </c>
      <c r="IK282" t="str">
        <f>IF(OR(GL282="",GN282=""),"",IF(COUNTIFS(GL$3:GL282,"?*",GN$3:GN282,GN282)=1,MAX(IK$2:IK281)+1,""))</f>
        <v/>
      </c>
      <c r="IL282">
        <f t="shared" si="609"/>
        <v>0</v>
      </c>
      <c r="IM282">
        <f>IF(B282="","",COUNTIF(B$3:B282,"?*"))</f>
        <v>280</v>
      </c>
      <c r="IN282">
        <f>IF(GQ282&lt;&gt;1,0,_xlfn.LET(_xlpm.k,MAX(IFERROR(--VLOOKUP(B282,УГО_спр,5,FALSE),0),IFERROR(--VLOOKUP(AX282,УГО_спр,5,FALSE),0),IFERROR(--VLOOKUP(LEFT(AX282,2),УГО_спр,5,FALSE),0)),IF(_xlpm.k&gt;0,_xlpm.k,IF(IFERROR(--LEFT(SUBSTITUTE(IH282,"x","х"),FIND("х",SUBSTITUTE(IH282,"x","х"))-1),3)&gt;3,Каталог!$S$9,1))))</f>
        <v>1</v>
      </c>
      <c r="IO282">
        <f t="shared" si="610"/>
        <v>0</v>
      </c>
      <c r="IP282" t="str">
        <f t="shared" si="611"/>
        <v>авто</v>
      </c>
      <c r="IQ282" t="str">
        <f t="shared" si="612"/>
        <v/>
      </c>
      <c r="IR282">
        <f t="shared" si="613"/>
        <v>0</v>
      </c>
      <c r="IS282">
        <f t="shared" si="614"/>
        <v>1</v>
      </c>
    </row>
    <row r="283" spans="1:253" x14ac:dyDescent="0.3">
      <c r="A283" t="s">
        <v>761</v>
      </c>
      <c r="B283" t="s">
        <v>743</v>
      </c>
      <c r="C283" t="s">
        <v>55</v>
      </c>
      <c r="D283">
        <v>1</v>
      </c>
      <c r="E283" t="s">
        <v>16</v>
      </c>
      <c r="G283">
        <v>16</v>
      </c>
      <c r="H283" t="str">
        <f>Линии[[#This Row],[_авто утечка]]</f>
        <v/>
      </c>
      <c r="I283" t="str">
        <f>Линии[[#This Row],[_авто управление]]</f>
        <v/>
      </c>
      <c r="J283" t="str">
        <f>Линии[[#This Row],[_авто аппараты]]</f>
        <v/>
      </c>
      <c r="K283">
        <v>4</v>
      </c>
      <c r="L283" t="str">
        <f>Линии[[#This Row],[_авто длина по плану]]</f>
        <v/>
      </c>
      <c r="M283" t="str">
        <f>Линии[[#This Row],[_авто фаза]]</f>
        <v>L1,L2,L3</v>
      </c>
      <c r="N283" t="str">
        <f>Линии[[#This Row],[_авто клемма]]</f>
        <v/>
      </c>
      <c r="O283" t="str">
        <f t="shared" si="492"/>
        <v/>
      </c>
      <c r="P283" s="6" cm="1">
        <f t="array" ref="P283">IF(B283="","",IF(BC283&lt;&gt;"",IFERROR(_xlfn.XLOOKUP(BC283,Щиты[Щит],Щиты[Iр, А]),""),IF(BK283=1,IFERROR(_xlfn.XLOOKUP(A283,Щиты[Щит],Щиты[Iр, А]),""),IFERROR(_xlfn.IFS(BR283=1,BN283/((Uн_лин/SQRT(3))*BY283),BR283=3,BN283/(SQRT(3)*Uн_лин*BY283)),""))))</f>
        <v>13.694473137501861</v>
      </c>
      <c r="Q283" s="7" t="str">
        <f>IF(B283="","",IFERROR(IF(VLOOKUP(AX283,Потребители_обозначение,4,FALSE)=1,VLOOKUP(AX283,Потребители_обозначение,3,FALSE)*(D283*2-1)+DS283+VLOOKUP(AZ283,Этаж_обозначение,3,FALSE)+VLOOKUP(AZ283,Этаж_обозначение,4,FALSE),VLOOKUP(AX283,Потребители_обозначение,3,FALSE)*(D283*2-1)+DS283),DS283))</f>
        <v/>
      </c>
      <c r="R283" s="6" t="str">
        <f t="shared" si="493"/>
        <v/>
      </c>
      <c r="S283" t="str">
        <f t="shared" si="494"/>
        <v>ВВГнг(А)-LS (5х4)</v>
      </c>
      <c r="T283" t="str">
        <f>IF(BH283="","",IF(BI283="вводной узел","узел ","")&amp;"л."&amp;(INT((BH283-1)/Столбцов_на_лист)+1)&amp;" / "&amp;(MOD(BH283-1,Столбцов_на_лист)+1))</f>
        <v>узел л.1 / 2</v>
      </c>
      <c r="V283">
        <v>4</v>
      </c>
      <c r="W283">
        <v>400</v>
      </c>
      <c r="X283" t="s">
        <v>549</v>
      </c>
      <c r="AF283" t="s">
        <v>1303</v>
      </c>
      <c r="AI283">
        <v>2</v>
      </c>
      <c r="AJ283" t="s">
        <v>11</v>
      </c>
      <c r="AK283">
        <v>5</v>
      </c>
      <c r="AW283" cm="1">
        <f t="array" ref="AW283">ROW()-ROW(Линии[#Headers])</f>
        <v>281</v>
      </c>
      <c r="AX283" s="6" t="str">
        <f t="shared" si="495"/>
        <v>Ввод</v>
      </c>
      <c r="AY283" t="str">
        <f t="shared" si="496"/>
        <v>1</v>
      </c>
      <c r="AZ283" t="str">
        <f t="shared" si="497"/>
        <v>1</v>
      </c>
      <c r="BA283" t="str">
        <f t="shared" si="498"/>
        <v/>
      </c>
      <c r="BB283" t="str">
        <f t="shared" si="499"/>
        <v/>
      </c>
      <c r="BC283" t="str">
        <f>IF(U283&lt;&gt;"",U283,IF(AND(B283&lt;&gt;"",B283&lt;&gt;A283,ISNUMBER(_xlfn.XMATCH(B283,Щиты[Щит]))),B283,""))</f>
        <v/>
      </c>
      <c r="BD283" t="str" cm="1">
        <f t="array" ref="BD283">IF(B283="","",IF(BC283&lt;&gt;"","Щит "&amp;BC283,_xlfn.LET(_xlpm.nm,IFERROR(_xlfn.XLOOKUP(AX283,Коды_код,Коды_имя)&amp;"",""),_xlpm.md,IFERROR(N(_xlfn.XLOOKUP(AX283,Коды_код,Коды_режим)),1),_xlpm.ex,IF(Имя_режим="по экспликации",IFERROR(_xlfn.XLOOKUP(AZ283&amp;"|"&amp;BB283,Экспликация[Этаж]&amp;"|"&amp;Экспликация[Помещение],Экспликация[Название])&amp;"",""),""),_xlpm.rm,IF(BB283="","",IF(_xlpm.ex&lt;&gt;"",". "&amp;_xlpm.ex&amp;IF(Имя_пом="нет"," ("&amp;BB283&amp;")"," (пом. "&amp;BB283&amp;")"),IF(Имя_пом="нет"," ",", пом. ")&amp;BB283)),IF(_xlpm.nm="","",IF(_xlpm.md=2,_xlpm.nm&amp;" шлейф "&amp;AZ283,_xlpm.nm&amp;_xlpm.rm)))))</f>
        <v>Вводной кабель шлейф 1</v>
      </c>
      <c r="BE283" t="str">
        <f t="shared" si="500"/>
        <v>Ввод</v>
      </c>
      <c r="BF283">
        <f>IFERROR(_xlfn.XMATCH(A283,Щиты[Щит]),0)</f>
        <v>11</v>
      </c>
      <c r="BG283">
        <f>_xlfn.LET(_xlpm.k,IFERROR(_xlfn.XLOOKUP(A283,Щиты[Щит],Щиты[Листов под вводной узел]),""),IF(_xlpm.k="",1,N(_xlpm.k))*Столбцов_на_лист)</f>
        <v>17</v>
      </c>
      <c r="BH283">
        <f t="shared" si="501"/>
        <v>2</v>
      </c>
      <c r="BI283" t="str">
        <f t="shared" si="502"/>
        <v>вводной узел</v>
      </c>
      <c r="BJ283" s="6">
        <f>IFERROR(N(_xlfn.XLOOKUP(AX283,Коды_код,Коды_квт)),0)</f>
        <v>0</v>
      </c>
      <c r="BK283">
        <f t="shared" si="503"/>
        <v>1</v>
      </c>
      <c r="BL283">
        <f>IF(B283="","",IF(BC283&lt;&gt;"",IFERROR(_xlfn.XLOOKUP(BC283,Щиты[Щит],Щиты[Руст, кВт]),0),IF(BK283=1,IFERROR(_xlfn.XLOOKUP(A283,Щиты[Щит],Щиты[Руст, кВт]),0),IF(BJ283&gt;0,ROUND(BJ283*MAX(1,N(D283)),3),""))))</f>
        <v>9.98</v>
      </c>
      <c r="BM283" t="str">
        <f t="shared" si="504"/>
        <v>кВт</v>
      </c>
      <c r="BN283" s="6">
        <f>IF(B283="","",IF(BC283&lt;&gt;"",IFERROR(_xlfn.XLOOKUP(BC283,Щиты[Щит],Щиты[Руст, кВт]),0),N(BM283)))</f>
        <v>0</v>
      </c>
      <c r="BO283" t="str">
        <f>IF(B283="","",IFERROR(IF(VLOOKUP(AX283,Потребители_обозначение,8,FALSE)=0,"",VLOOKUP(AX283,Потребители_обозначение,8,FALSE)),""))</f>
        <v/>
      </c>
      <c r="BP283">
        <f t="shared" si="505"/>
        <v>400</v>
      </c>
      <c r="BQ283">
        <f>IF(B283="","",IF(BC283&lt;&gt;"",3,IFERROR(IF(N(VLOOKUP(AX283,Потребители_обозначение,9,FALSE))=0,1,VLOOKUP(AX283,Потребители_обозначение,9,FALSE)),1)))</f>
        <v>1</v>
      </c>
      <c r="BR283">
        <f t="shared" si="506"/>
        <v>4</v>
      </c>
      <c r="BS283" t="str">
        <f>IF(B283="","",_xlfn.LET(_xlpm.bc,IFERROR(IF(VLOOKUP(AX283,Потребители_обозначение,6,FALSE)=0,"",VLOOKUP(AX283,Потребители_обозначение,6,FALSE)&amp;""),""),IF(AND(FK283="да",OR(_xlpm.bc="",_xlpm.bc="мс")),Марка_пож,IF(AND(_xlpm.bc="",BC283&lt;&gt;""),"мс",_xlpm.bc))))</f>
        <v/>
      </c>
      <c r="BT283" t="str">
        <f t="shared" si="507"/>
        <v>мс</v>
      </c>
      <c r="BU283">
        <f>IF(B283="","",_xlfn.LET(_xlpm.cc,IFERROR(N(VLOOKUP(AX283,Потребители_обозначение,7,FALSE)),0),IF(_xlpm.cc&gt;0,_xlpm.cc,IF(BT283="","",IF(N(BR283)=3,5,3)))))</f>
        <v>3</v>
      </c>
      <c r="BV283">
        <f t="shared" si="508"/>
        <v>5</v>
      </c>
      <c r="BW283">
        <f>IFERROR(N(VLOOKUP(AX283,Потребители_обозначение,10,FALSE)),0)</f>
        <v>0</v>
      </c>
      <c r="BX283">
        <f>IFERROR(VLOOKUP(AX283,Потребители_обозначение,5,FALSE),0)</f>
        <v>1</v>
      </c>
      <c r="BY283" s="6" cm="1">
        <f t="array" ref="BY283">IF(B283="","",IF(BC283&lt;&gt;"",IFERROR(_xlfn.XLOOKUP(BC283,Щиты[Щит],Щиты[cos φ]),0.95),IF(BK283=1,IFERROR(_xlfn.XLOOKUP(A283,Щиты[Щит],Щиты[cos φ]),0.95),IF(ISNUMBER(Z283),Z283,IFERROR(IF(BX283=2,_xlfn.IFS(BR283=3,VLOOKUP(BN283,Справочная_двигатели,8,FALSE),BR283=1,VLOOKUP(BN283,Справочная_двигатели,10,TRUE)),IF(AND(Методика="нормы 2026",EQ283="Сил"),0.8,0.95)),0.95)))))</f>
        <v>0.95</v>
      </c>
      <c r="BZ283">
        <f t="shared" si="509"/>
        <v>0</v>
      </c>
      <c r="CA283">
        <f t="shared" si="510"/>
        <v>1</v>
      </c>
      <c r="CB283">
        <f t="shared" si="511"/>
        <v>0</v>
      </c>
      <c r="CC283">
        <f t="shared" si="512"/>
        <v>0</v>
      </c>
      <c r="CD283">
        <f t="shared" si="513"/>
        <v>0</v>
      </c>
      <c r="CE283">
        <f t="shared" si="514"/>
        <v>0</v>
      </c>
      <c r="CF283">
        <f t="shared" si="515"/>
        <v>0</v>
      </c>
      <c r="CG283">
        <f>IF(AX283="",0,_xlfn.LET(_xlpm.v,IFERROR(VLOOKUP(B283,УГО_спр,3,FALSE),IFERROR(VLOOKUP(AX283,УГО_спр,3,FALSE),IFERROR(VLOOKUP(LEFT(AX283,2),УГО_спр,3,FALSE),""))),IF(_xlpm.v="да",30,IF(ISNUMBER(_xlpm.v),_xlpm.v,0))))</f>
        <v>0</v>
      </c>
      <c r="CH283" t="str">
        <f t="shared" si="516"/>
        <v/>
      </c>
      <c r="CI283" t="str">
        <f>_xlfn.LET(_xlpm.k,IFERROR(_xlfn.XLOOKUP(AX283,Коды_код,Коды_утечка)&amp;"",""),IF(_xlpm.k="","дифавтомат",_xlpm.k))</f>
        <v>дифавтомат</v>
      </c>
      <c r="CJ283">
        <f t="shared" si="517"/>
        <v>0</v>
      </c>
      <c r="CK283">
        <f t="shared" si="518"/>
        <v>0</v>
      </c>
      <c r="CL283">
        <f>IF(B283="",0,IFERROR(--VLOOKUP(B283,УГО_спр,4,FALSE),IFERROR(--VLOOKUP(AX283,УГО_спр,4,FALSE),IFERROR(--VLOOKUP(LEFT(AX283,2),УГО_спр,4,FALSE),0))))</f>
        <v>0</v>
      </c>
      <c r="CM283" t="str">
        <f>IF(B283="","",IFERROR(_xlfn.XLOOKUP(AX283,Коды_код,Коды_апп)&amp;"",""))</f>
        <v/>
      </c>
      <c r="CN283" t="str">
        <f t="shared" si="519"/>
        <v/>
      </c>
      <c r="CO283" t="str" cm="1">
        <f t="array" ref="CO283">IF(TRIM(CN283&amp;"")="","",IFERROR(TRIM(INDEX(_xlfn.TEXTSPLIT(CN283&amp;";;;",";"),1)),""))</f>
        <v/>
      </c>
      <c r="CP283" t="str" cm="1">
        <f t="array" ref="CP283">IF(TRIM(CN283&amp;"")="","",IFERROR(TRIM(INDEX(_xlfn.TEXTSPLIT(CN283&amp;";;;",";"),2)),""))</f>
        <v/>
      </c>
      <c r="CQ283" t="str" cm="1">
        <f t="array" ref="CQ283">IF(TRIM(CN283&amp;"")="","",IFERROR(TRIM(INDEX(_xlfn.TEXTSPLIT(CN283&amp;";;;",";"),3)),""))</f>
        <v/>
      </c>
      <c r="CR283">
        <f t="shared" si="520"/>
        <v>0</v>
      </c>
      <c r="CS283" t="str">
        <f>IF(B283="","",_xlfn.LET(_xlpm.t,LOWER(AV283&amp;""),IF(ISNUMBER(SEARCH("dim",_xlpm.t)),"DIM",IF(ISNUMBER(SEARCH("dali",_xlpm.t)),"DALI",IF(OR(ISNUMBER(SEARCH("relay",_xlpm.t)),ISNUMBER(SEARCH("реле",_xlpm.t))),"Relay",IF(ISNUMBER(SEARCH("кнопк",_xlpm.t)),"",IFERROR(_xlfn.XLOOKUP(AX283,Коды_код,Коды_упр)&amp;"","")))))))</f>
        <v/>
      </c>
      <c r="CT283" t="str">
        <f t="shared" si="521"/>
        <v/>
      </c>
      <c r="CU283">
        <f>IF(B283="","",_xlfn.LET(_xlpm.ig,N(P283)+IF(AF283="вручную",0,N(CB283)),_xlpm.n0,IFERROR(VLOOKUP(_xlpm.ig,Автомат_номиналы,2,TRUE),0),_xlpm.mn,MAX(CL283,IF(AF283="вручную",0,N(CE283))),MAX(_xlpm.n0,_xlpm.mn,IF(CR283=1,Мин_автомат_БП,0))))</f>
        <v>16</v>
      </c>
      <c r="CV283">
        <f t="shared" si="522"/>
        <v>4</v>
      </c>
      <c r="CW283" t="str">
        <f t="shared" si="523"/>
        <v>3P</v>
      </c>
      <c r="CX283" t="str">
        <f>_xlfn.LET(_xlpm.cc,UPPER(TRIM(IFERROR(_xlfn.XLOOKUP(AX283,Коды_код,Коды_хар)&amp;"",""))),IF(OR(_xlpm.cc="B",_xlpm.cc="В"),"B",IF(_xlpm.cc="D","D","С")))</f>
        <v>С</v>
      </c>
      <c r="CY283" t="str">
        <f t="shared" si="524"/>
        <v>3P С16А</v>
      </c>
      <c r="CZ283">
        <f t="shared" si="525"/>
        <v>16</v>
      </c>
      <c r="DA283" t="str">
        <f t="shared" si="526"/>
        <v>3P С16А</v>
      </c>
      <c r="DB283" cm="1">
        <f t="array" ref="DB283">IF(DA283="","",_xlfn.LET(_xlpm.t,SUBSTITUTE(SUBSTITUTE(SUBSTITUTE(UPPER(DA283),"С","C"),"А","A"),"В","B"),_xlpm.tk,_xlfn.TEXTSPLIT(_xlpm.t,"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3" t="str">
        <f t="shared" si="527"/>
        <v>узел</v>
      </c>
      <c r="DD283">
        <f t="shared" si="528"/>
        <v>16</v>
      </c>
      <c r="DE283" t="str">
        <f t="shared" si="529"/>
        <v>3P С16А</v>
      </c>
      <c r="DF283">
        <f t="shared" si="530"/>
        <v>0</v>
      </c>
      <c r="DG283">
        <f t="shared" si="531"/>
        <v>0</v>
      </c>
      <c r="DH283">
        <f t="shared" si="532"/>
        <v>0</v>
      </c>
      <c r="DI283">
        <f t="shared" si="533"/>
        <v>13.694473137501861</v>
      </c>
      <c r="DJ283">
        <f t="shared" si="534"/>
        <v>0.92</v>
      </c>
      <c r="DK283">
        <f>IF(ISNUMBER(AL283),AL283,К_прокл)</f>
        <v>1</v>
      </c>
      <c r="DL283">
        <f t="shared" si="535"/>
        <v>3</v>
      </c>
      <c r="DM283">
        <f>IFERROR(N(VLOOKUP(BT283,Кабель_обозначение,3,FALSE)),1)</f>
        <v>1</v>
      </c>
      <c r="DN283">
        <f>IFERROR(N(_xlfn.XLOOKUP(A283,Щиты[Щит],Щиты[ΔU до шин, %])),0)</f>
        <v>1.79</v>
      </c>
      <c r="DO283" t="str">
        <f>IFERROR(_xlfn.XLOOKUP(A283,Щиты[Щит],Щиты[Zпетли на шинах, Ом]),"")</f>
        <v/>
      </c>
      <c r="DP283">
        <f>IFERROR(N(_xlfn.XLOOKUP(A283,Щиты[Щит],Щиты[ΔU до шин (подбор), %])),0)</f>
        <v>4.75</v>
      </c>
      <c r="DQ283" t="str">
        <f>IFERROR(_xlfn.XLOOKUP(A283,Щиты[Щит],Щиты[Zпетли на шинах (подбор), Ом]),"")</f>
        <v/>
      </c>
      <c r="DR283" t="str">
        <f t="shared" si="536"/>
        <v/>
      </c>
      <c r="DS283" t="str">
        <f t="shared" si="537"/>
        <v/>
      </c>
      <c r="DT283" t="str">
        <f t="shared" si="538"/>
        <v/>
      </c>
      <c r="DU283">
        <f t="shared" si="539"/>
        <v>0.31</v>
      </c>
      <c r="DV283" s="6">
        <f>IF(B283="","",IF(IFERROR(VLOOKUP(AX283,УГО_спр,2,FALSE),"")="Светильник",3,4)+IF(Методика="нормы 2026",MIN(0.5,MAX(0,N(Q283)-100)*0.005),0))</f>
        <v>4</v>
      </c>
      <c r="DW283" cm="1">
        <f t="array" ref="DW283">IF(OR(B283="",BT283="",DM283&lt;&gt;1),"",_xlfn.LET(_xlpm.sz,Iдоп_S,_xlpm.t_,CHOOSE(DL283,Iдоп_1ж,Iдоп_2ж,Iдоп_3ж)*DJ283*DK283,_xlpm.inn,N(DD283),_xlpm.smin,MAX(1.5,BW283),_xlpm.L_,N(Q283)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283)*(_xlpm.rho*_xlpm.L_/_xlpm.sz*N(BY283)+_xlpm.xx*_xlpm.L_*N(DU283)/1000)*N(P283)/((Uн_лин/SQRT(3))*1000)*100,999),_xlpm.kz,IF(OR(DG283=1,NOT(ISNUMBER(DQ283)),_xlpm.L_=0,_xlpm.inn=0),1,IFERROR(--(c_min*(Uн_лин*1000/SQRT(3))/(DQ283+2*ρкз_Cu*_xlpm.L_/_xlpm.sz)&gt;=GY283*_xlpm.inn),0)),_xlpm.ok,IFERROR((_xlpm.sz&gt;=_xlpm.smin)*(_xlpm.t_&gt;=_xlpm.inn)*IF(_xlpm.L_&gt;0,(_xlpm.du_+DP283&lt;=DV283+0.00001),1)*_xlpm.kz,0),_xlpm.r_,_xlfn._xlws.FILTER(_xlpm.sz,_xlpm.ok,"не подобрано"),INDEX(_xlpm.r_,1)))</f>
        <v>1.5</v>
      </c>
      <c r="DX283">
        <f t="shared" si="540"/>
        <v>4</v>
      </c>
      <c r="DY283" cm="1">
        <f t="array" ref="DY283">IF(OR(B283="",BT283="",DM283&lt;&gt;1),"",_xlfn.LET(_xlpm.sz,Iдоп_S,_xlpm.t_,CHOOSE(DL283,Iдоп_1ж,Iдоп_2ж,Iдоп_3ж)*DJ283*DK283,_xlpm.ok,IFERROR((_xlpm.sz&gt;=MAX(1.5,BW283))*(_xlpm.t_&gt;=N(DD283)),0),_xlpm.r_,_xlfn._xlws.FILTER(_xlpm.sz,_xlpm.ok,""),INDEX(_xlpm.r_,1)))</f>
        <v>1.5</v>
      </c>
      <c r="DZ283" s="6" cm="1">
        <f t="array" ref="DZ283">IFERROR(ROUNDUP(N(DT283)*(_xlfn.XLOOKUP(DY283,INDEX(Кабель_сопротивление,0,1),INDEX(Кабель_сопротивление,0,3))*N(Q283)/DY283*N(BY283)+_xlfn.XLOOKUP(DY283,INDEX(Кабель_сопротивление,0,1),INDEX(Кабель_сопротивление,0,2))*N(Q283)*N(DU283)/1000)*N(P283)/((Uн_лин/SQRT(3))*1000)*100,2),"")</f>
        <v>0</v>
      </c>
      <c r="EA283">
        <f>IFERROR(2*ρкз_Cu*N(Q283)/DY283,"")</f>
        <v>0</v>
      </c>
      <c r="EB283">
        <f>IFERROR(VLOOKUP(DX283,Кабель_сопротивление,3,FALSE),"")</f>
        <v>2.2499999999999999E-2</v>
      </c>
      <c r="EC283">
        <f>IFERROR(VLOOKUP(DX283,Кабель_сопротивление,2,FALSE),"")</f>
        <v>9.5000000000000001E-2</v>
      </c>
      <c r="ED283" t="str">
        <f t="shared" si="541"/>
        <v/>
      </c>
      <c r="EE283" t="str">
        <f t="shared" si="542"/>
        <v/>
      </c>
      <c r="EF283" t="str">
        <f t="shared" si="543"/>
        <v/>
      </c>
      <c r="EG283" s="6" t="str">
        <f>IFERROR(ROUNDUP(EF283/((Uн_лин/SQRT(3))*1000)*100,2),"")</f>
        <v/>
      </c>
      <c r="EH283" t="str">
        <f>IFERROR(VLOOKUP(BT283,Кабель_обозначение,2,FALSE),"")</f>
        <v>ВВГнг(А)-LS</v>
      </c>
      <c r="EI283" t="str">
        <f t="shared" si="544"/>
        <v>ВВГнг(А)-LS (5х4)</v>
      </c>
      <c r="EJ283" t="str">
        <f t="shared" si="545"/>
        <v/>
      </c>
      <c r="EK283" t="str">
        <f>IFERROR(2*ρкз_Cu*Q283/DX283,"")</f>
        <v/>
      </c>
      <c r="EL283">
        <f t="shared" si="546"/>
        <v>0</v>
      </c>
      <c r="EM283" s="6" t="str">
        <f>IFERROR(IF(OR(B283="",NOT(ISNUMBER(DX283)),N(Q283)=0),"",_xlfn.XLOOKUP(A283,Щиты[Щит],Щиты[Zпетли на шинах, Ом])+EK283),"")</f>
        <v/>
      </c>
      <c r="EN283" s="6" t="str">
        <f>IF(ISNUMBER(EM283),c_min*(Uн_лин*1000/SQRT(3))/EM283,"")</f>
        <v/>
      </c>
      <c r="EO283" s="6" t="str">
        <f>IFERROR(IF(OR(B283="",NOT(ISNUMBER(DX283))),"",1.05*(Uн_лин*1000/SQRT(3))/(_xlfn.XLOOKUP(A283,Щиты[Щит],Щиты[Zmax на шинах, Ом])+EL283)/1000),"")</f>
        <v/>
      </c>
      <c r="EP283" s="6" t="str">
        <f>IF(B283="","",IF(ISNUMBER(Y283),"Сил",IF(IFERROR(_xlfn.XLOOKUP(AX283,Коды_код,Коды_группа)&amp;"","")="","Быт",_xlfn.XLOOKUP(AX283,Коды_код,Коды_группа)&amp;"")))</f>
        <v>Быт</v>
      </c>
      <c r="EQ283" s="6" t="str">
        <f t="shared" si="547"/>
        <v>Нет</v>
      </c>
      <c r="ER283" s="6">
        <f>IF(EQ283="Щит","щит",IF(EQ283="","",IF(EQ283="Быт",IFERROR(_xlfn.XLOOKUP(A283,Щиты[Щит],Щиты[Кс быт]),1),IF(EQ283="Сил",IF(ISNUMBER(Y283),Y283,IF(Методика="нормы 2026",IFERROR(_xlfn.XLOOKUP(A283,Щиты[Щит],Щиты[Кс силовых (табл. 7.5)]),1),1)),IF(OR(EQ283="Пост",EQ283="Отоп"),1,IF(EQ283="ВНГ",0.7,0))))))</f>
        <v>0</v>
      </c>
      <c r="ES283">
        <f t="shared" si="548"/>
        <v>1</v>
      </c>
      <c r="ET283">
        <f t="shared" si="549"/>
        <v>0</v>
      </c>
      <c r="EU283">
        <f t="shared" si="550"/>
        <v>0</v>
      </c>
      <c r="EV283">
        <f t="shared" si="551"/>
        <v>0</v>
      </c>
      <c r="EW283">
        <f t="shared" si="552"/>
        <v>0</v>
      </c>
      <c r="EX283">
        <f t="shared" si="553"/>
        <v>0</v>
      </c>
      <c r="EY283">
        <f t="shared" si="554"/>
        <v>0</v>
      </c>
      <c r="EZ283">
        <f t="shared" si="555"/>
        <v>0</v>
      </c>
      <c r="FA283">
        <f t="shared" si="556"/>
        <v>0</v>
      </c>
      <c r="FB283">
        <f t="shared" si="557"/>
        <v>0</v>
      </c>
      <c r="FC283" t="str">
        <f t="shared" si="558"/>
        <v/>
      </c>
      <c r="FD283" t="str">
        <f>IF(B283="","",IF(CA283=0,IF(AW283=1,"",FF282),IF(OR(N(CV283)&gt;=3,N(BR283)&gt;=3),"L1,L2,L3",IFERROR(_xlfn.TEXTBEFORE(_xlfn.TEXTAFTER(_xlfn.XLOOKUP(A283,Щиты[Щит],Щиты[_фазы авто]),";"&amp;AW283&amp;":"),";"),"L1"))))</f>
        <v>L1,L2,L3</v>
      </c>
      <c r="FE283" t="str">
        <f t="shared" si="559"/>
        <v>L1,L2,L3</v>
      </c>
      <c r="FF283" t="str">
        <f t="shared" si="560"/>
        <v>L1,L2,L3</v>
      </c>
      <c r="FG283" cm="1">
        <f t="array" ref="FG283">IFERROR(IF(BX283=2,_xlfn.IFS(BR283=3,VLOOKUP(BN283,Справочная_двигатели,3,FALSE),BR283=1,VLOOKUP(BN283,Справочная_двигатели,5,TRUE)),0),0)</f>
        <v>0</v>
      </c>
      <c r="FH283">
        <f>IFERROR(IF(BX283=3,VLOOKUP(BN283,Справочная_ЛЭД,2,TRUE),0),0)</f>
        <v>0</v>
      </c>
      <c r="FI283" s="6">
        <f t="shared" si="561"/>
        <v>0</v>
      </c>
      <c r="FJ283" t="str" cm="1">
        <f t="array" ref="FJ283">IF(B283="","",IFERROR(INDEX({"I особая","I","II","III"},MATCH(TRIM(AC283&amp;""),{"I особая","I","II","III"},0)),"III"))</f>
        <v>III</v>
      </c>
      <c r="FK283" t="str">
        <f>IF(B283="","",IF(TRIM(AD283&amp;"")&lt;&gt;"",IF(LOWER(TRIM(AD283&amp;""))="да","да","нет"),IF(IFERROR(_xlfn.XLOOKUP(AX283,Коды_код,Коды_пожарная),"")="да","да","нет")))</f>
        <v>нет</v>
      </c>
      <c r="FL283" t="str">
        <f t="shared" si="562"/>
        <v/>
      </c>
      <c r="FM283" t="str">
        <f t="shared" si="563"/>
        <v>основная</v>
      </c>
      <c r="FN283">
        <f t="shared" si="564"/>
        <v>1</v>
      </c>
      <c r="FO283" t="str" cm="1">
        <f t="array" ref="FO283">IF(B283="","",_xlfn.LET(_xlpm.t,IFERROR(_xlfn.XLOOKUP(1,(Шины[Шина]=FM283)*(((Шины[Щит]=A283)+(Шины[Щит]=""))&gt;0),Шины[Тип]),"")&amp;"",IF(_xlpm.t&lt;&gt;"",_xlpm.t,IF(ISNUMBER(SEARCH("ИБП",FM283)),"ИБП",IF(ISNUMBER(SEARCH("ДГУ",FM283)),"ДГУ","Ввод "&amp;FN283)))))</f>
        <v>Ввод 1</v>
      </c>
      <c r="FP283" t="str">
        <f t="shared" si="565"/>
        <v>Ввод 1</v>
      </c>
      <c r="FQ283" t="str">
        <f>IF(B283="","",IF(OR(FO283="ИБП",FO283="ДГУ"),"I особая",IF(FO283="Одиночная","III",_xlfn.XLOOKUP(A283,Щиты[Щит],Щиты[Категория шины «Ввод»],"III"))))</f>
        <v>II</v>
      </c>
      <c r="FR283">
        <f>IF(B283="",0,IFERROR(MATCH(FJ283,{"III","II","I","I особая"},0),1))</f>
        <v>1</v>
      </c>
      <c r="FS283">
        <f t="shared" si="566"/>
        <v>1</v>
      </c>
      <c r="FT283" t="str">
        <f>IF(B283="","",IF(FR283&gt;IFERROR(MATCH(FQ283,{"III","II","I","I особая"},0),1),"НЕ ОБЕСПЕЧЕНА","ОК"))</f>
        <v>ОК</v>
      </c>
      <c r="FU283" t="str">
        <f>IF(A283="","",_xlfn.XLOOKUP(A283,Щиты[Щит],Щиты[Путь],""))</f>
        <v>|ГРЩ-ЖД|ЩР-2|</v>
      </c>
      <c r="FV283" t="str">
        <f>IF(B283="","",IF(AE283&lt;&gt;"",AE283,IF(IFERROR(_xlfn.XLOOKUP(AX283,Коды_код,Коды_вид)&amp;"","")="","Прочее",_xlfn.XLOOKUP(AX283,Коды_код,Коды_вид)&amp;"")))</f>
        <v>Прочее</v>
      </c>
      <c r="FW283">
        <f>IF(BH283="","",INT((BH283-1)/Столбцов_на_лист)+1)</f>
        <v>1</v>
      </c>
      <c r="FX283" t="str">
        <f t="shared" si="567"/>
        <v/>
      </c>
      <c r="FY283">
        <f t="shared" si="568"/>
        <v>0</v>
      </c>
      <c r="FZ283">
        <f t="shared" si="569"/>
        <v>13.7</v>
      </c>
      <c r="GA283">
        <f t="shared" si="570"/>
        <v>4</v>
      </c>
      <c r="GB283">
        <f t="shared" si="571"/>
        <v>0</v>
      </c>
      <c r="GC283">
        <f t="shared" si="572"/>
        <v>0</v>
      </c>
      <c r="GD283" t="str">
        <f>IF(BH283="","",IF(AND(CA283=1,GC283=1),COUNTIFS(A$3:A283,A283,CA$3:CA283,1,GC$3:GC283,1),IF(OR(OR(AW283=1,A283&lt;&gt;A282),AF283="вручную",GC283=0),"",IF(AW283=1,"",GE282))))</f>
        <v/>
      </c>
      <c r="GE283" t="str">
        <f t="shared" si="573"/>
        <v/>
      </c>
      <c r="GF283">
        <f>IF(B283="","",IFERROR(LOOKUP(INDEX(CHOOSE(DL283,Iдоп_1ж,Iдоп_2ж,Iдоп_3ж),MATCH(DX283,Iдоп_S,0))*DJ283*DK283,{6,10,16,20,25,32,40,50,63,80,100,125,160,200,250,315,400,500,630}),""))</f>
        <v>32</v>
      </c>
      <c r="GG283" t="str">
        <f t="shared" si="574"/>
        <v/>
      </c>
      <c r="GH283" t="str">
        <f t="shared" si="575"/>
        <v/>
      </c>
      <c r="GI283" t="str">
        <f t="shared" si="576"/>
        <v/>
      </c>
      <c r="GJ283">
        <f t="shared" si="577"/>
        <v>0</v>
      </c>
      <c r="GK283" t="str">
        <f>IF(OR(AG283="",AG283="-"),"",IFERROR(VLOOKUP(AG283,Модули_спр,2,FALSE),"R"))</f>
        <v/>
      </c>
      <c r="GL283" t="str">
        <f>IF(GK283="","",GK283&amp;"."&amp;COUNTIFS(A$3:A283,A283,GK$3:GK283,GK283))</f>
        <v/>
      </c>
      <c r="GM283" t="str">
        <f t="shared" si="578"/>
        <v/>
      </c>
      <c r="GN283" t="str">
        <f t="shared" si="579"/>
        <v/>
      </c>
      <c r="GO283" t="str">
        <f t="shared" si="580"/>
        <v/>
      </c>
      <c r="GP283" t="str">
        <f t="shared" si="581"/>
        <v/>
      </c>
      <c r="GQ283">
        <f t="shared" si="582"/>
        <v>0</v>
      </c>
      <c r="GR283" t="str">
        <f>IF(GQ283=1,"XT"&amp;COUNTIFS(A$3:A283,A283,GQ$3:GQ283,1),"")</f>
        <v/>
      </c>
      <c r="GS283" t="str">
        <f t="shared" si="583"/>
        <v/>
      </c>
      <c r="GT283" t="str">
        <f t="shared" si="584"/>
        <v/>
      </c>
      <c r="GU283" t="str">
        <f t="shared" si="585"/>
        <v/>
      </c>
      <c r="GV283" t="str">
        <f t="shared" si="586"/>
        <v>ok</v>
      </c>
      <c r="GW283" t="str">
        <f>IF(OR(GO283="",GM283=""),"",IF(GO283&gt;IFERROR(VLOOKUP(GN283,Модули_спр,3,FALSE),99),"ЛИШНИЙ КАНАЛ",IF(AND(AH283&lt;&gt;"=",COUNTIFS(Линии[_модуль гр.],GM283,Линии[Канал (итог)],GO283,Линии[Канал],"&lt;&gt;=",Линии[Щит],A283)&gt;1),"ДУБЛЬ КАНАЛА","")))</f>
        <v/>
      </c>
      <c r="GX283" s="6" t="str">
        <f t="shared" si="587"/>
        <v/>
      </c>
      <c r="GY283">
        <f t="shared" si="588"/>
        <v>10</v>
      </c>
      <c r="GZ283" t="str">
        <f t="shared" si="589"/>
        <v/>
      </c>
      <c r="HA283" t="str">
        <f>IF(AND(B283="",GT283=""),"",_xlfn.TEXTJOIN("; ",TRUE,IF(AND(B283&lt;&gt;"",FE283=""),"нет фазы",""),IF(AND(B283&lt;&gt;"",N(FY283)=0,EQ283&lt;&gt;"Нет"),"нет мощности",""),IF(AND(GS283&lt;&gt;"",COUNTIFS(Линии[Щит],A283,Линии[Клемма (итог)],GS283)&gt;1),"дубль клеммы "&amp;GS283,""),IF(AND(GV283&lt;&gt;"",GV283&lt;&gt;"ok"),GV283,""),IF(GW283&lt;&gt;"",GW283,""),IF(AND(N(BV283)&gt;=4,N(BR283)=1),BV283&amp;" жил на 1 фазе",""),IF(AND(AX283="R",CA283=1,OR(N(CK283)=0,N(CK283)&gt;30)),"розетка без дифзащиты до 30 мА",""),IFERROR(IF(AND(ISNUMBER(R283),R283&gt;DV283),"потери "&amp;FIXED(R283,1)&amp;" % &gt; "&amp;DV283&amp;" %",""),""),IFERROR(IF(LEFT(GZ283,4)="мало","Iкз мало — отключение &gt; 0,4 с",""),""),IF(AND(B283&lt;&gt;"",BH283=""),"не на схеме",""),IF(AND(CA283=0,B283&lt;&gt;"",FE283&lt;&gt;"",IF(AW283=1,"",FF282)&lt;&gt;"",FE283&lt;&gt;IF(AW283=1,"",FF282)),"фаза не как у автомата группы ("&amp;IF(AW283=1,"",FF282)&amp;")","")))</f>
        <v/>
      </c>
      <c r="HB283" s="6" t="str">
        <f>IF(OR(CA283=0,DA283=""),"",_xlfn.LET(_xlpm.t,IFERROR(_xlfn.XLOOKUP(DA283,Каталог!$U$4:$U$500,Каталог!$G$4:$G$500),""),_xlpm.k,SEARCH("кА",_xlpm.t),IFERROR(--TRIM(RIGHT(SUBSTITUTE(MID(_xlpm.t,MAX(1,_xlpm.k-4),_xlpm.k-MAX(1,_xlpm.k-4))," ",REPT(" ",9)),5)),"")))</f>
        <v/>
      </c>
      <c r="HC283" t="str">
        <f>IF(OR(HB283="",CA283=0),"",IF(_xlfn.XLOOKUP(A283,Щиты[Щит],Щиты[Iкз max на шинах, кА],"")="","",IF(HB283&lt;_xlfn.XLOOKUP(A283,Щиты[Щит],Щиты[Iкз max на шинах, кА]),"Icu "&amp;HB283&amp;" кА &lt; Iкз max","ok")))</f>
        <v/>
      </c>
      <c r="HD283" t="str">
        <f t="shared" si="590"/>
        <v/>
      </c>
      <c r="HE283" t="str">
        <f t="shared" si="591"/>
        <v/>
      </c>
      <c r="HF283" t="str">
        <f t="shared" si="592"/>
        <v/>
      </c>
      <c r="HG283" t="str" cm="1">
        <f t="array" ref="HG283">IF(HF283="","",_xlfn.LET(_xlpm.nd,_xlfn.TEXTSPLIT(HF283,"|"),IF(COLUMNS(_xlpm.nd)&gt;1,A283&amp;"¦"&amp;INDEX(_xlpm.nd,1)&amp;"¦"&amp;INDEX(_xlpm.nd,2),"")))</f>
        <v/>
      </c>
      <c r="HH283" t="str">
        <f t="shared" si="593"/>
        <v/>
      </c>
      <c r="HI283" t="str" cm="1">
        <f t="array" ref="HI283">IF(HF283="","",_xlfn.LET(_xlpm.nd,_xlfn.TEXTSPLIT(HF283,"|"),IF(COLUMNS(_xlpm.nd)&gt;2,A283&amp;"¦"&amp;INDEX(_xlpm.nd,2)&amp;"¦"&amp;INDEX(_xlpm.nd,3),"")))</f>
        <v/>
      </c>
      <c r="HJ283" t="str">
        <f t="shared" si="594"/>
        <v/>
      </c>
      <c r="HK283" t="str" cm="1">
        <f t="array" ref="HK283">IF(HF283="","",_xlfn.LET(_xlpm.nd,_xlfn.TEXTSPLIT(HF283,"|"),IF(COLUMNS(_xlpm.nd)&gt;3,A283&amp;"¦"&amp;INDEX(_xlpm.nd,3)&amp;"¦"&amp;INDEX(_xlpm.nd,4),"")))</f>
        <v/>
      </c>
      <c r="HL283" t="str">
        <f t="shared" si="595"/>
        <v/>
      </c>
      <c r="HM283" t="str" cm="1">
        <f t="array" ref="HM283">IF(HF283="","",_xlfn.LET(_xlpm.nd,_xlfn.TEXTSPLIT(HF283,"|"),IF(COLUMNS(_xlpm.nd)&gt;4,A283&amp;"¦"&amp;INDEX(_xlpm.nd,4)&amp;"¦"&amp;INDEX(_xlpm.nd,5),"")))</f>
        <v/>
      </c>
      <c r="HN283" t="str">
        <f t="shared" si="596"/>
        <v/>
      </c>
      <c r="HO283" t="str" cm="1">
        <f t="array" ref="HO283">IF(HF283="","",_xlfn.LET(_xlpm.nd,_xlfn.TEXTSPLIT(HF283,"|"),IF(COLUMNS(_xlpm.nd)&gt;5,A283&amp;"¦"&amp;INDEX(_xlpm.nd,5)&amp;"¦"&amp;INDEX(_xlpm.nd,6),"")))</f>
        <v/>
      </c>
      <c r="HP283" t="str">
        <f t="shared" si="597"/>
        <v/>
      </c>
      <c r="HQ283" t="str" cm="1">
        <f t="array" ref="HQ283">IF(HF283="","",_xlfn.LET(_xlpm.nd,_xlfn.TEXTSPLIT(HF283,"|"),IF(COLUMNS(_xlpm.nd)&gt;6,A283&amp;"¦"&amp;INDEX(_xlpm.nd,6)&amp;"¦"&amp;INDEX(_xlpm.nd,7),"")))</f>
        <v/>
      </c>
      <c r="HR283" t="str">
        <f t="shared" si="598"/>
        <v/>
      </c>
      <c r="HS283" t="str">
        <f t="shared" si="599"/>
        <v/>
      </c>
      <c r="HT283" t="str">
        <f t="shared" si="600"/>
        <v/>
      </c>
      <c r="HU283">
        <f t="shared" si="601"/>
        <v>0</v>
      </c>
      <c r="HV283">
        <f t="shared" si="602"/>
        <v>0</v>
      </c>
      <c r="HW283" t="str">
        <f t="shared" si="603"/>
        <v/>
      </c>
      <c r="HX283" t="str">
        <f t="shared" si="604"/>
        <v/>
      </c>
      <c r="HY283" t="str">
        <f t="shared" si="605"/>
        <v/>
      </c>
      <c r="HZ283" t="str">
        <f t="shared" si="606"/>
        <v/>
      </c>
      <c r="IA283">
        <f>IF(B283="","",IFERROR(VLOOKUP(B283,УГО_спр,2,FALSE),IFERROR(VLOOKUP(AX283,УГО_спр,2,FALSE),IFERROR(VLOOKUP(LEFT(AX283,2),УГО_спр,2,FALSE),""))))</f>
        <v>0</v>
      </c>
      <c r="IB283" t="str">
        <f>IF(B283="","",IF(OR(IA283="",IA283=0),"BOX",IFERROR(IF(VLOOKUP(IA283,УГО_блоки,3,FALSE)&amp;""&lt;&gt;"",VLOOKUP(IA283,УГО_блоки,3,FALSE),VLOOKUP(IA283,УГО_блоки,2,FALSE)),IA283)))</f>
        <v>BOX</v>
      </c>
      <c r="IC283">
        <f t="shared" si="607"/>
        <v>1</v>
      </c>
      <c r="ID283" t="str">
        <f>IF(DA283="","",IF(COUNTIF(DA$3:DA283,DA283)=1,MAX(ID$2:ID282)+1,""))</f>
        <v/>
      </c>
      <c r="IE283" t="str">
        <f>IF(CO283="","",IF(COUNTIF(CO$3:CO283,CO283)+COUNTIF(CP$2:CP282,CO283)+COUNTIF(CQ$2:CQ282,CO283)=1,MAX(IE$2:IG282)+1,""))</f>
        <v/>
      </c>
      <c r="IF283" t="str">
        <f>IF(CP283="","",IF(COUNTIF(CO$3:CO283,CP283)+COUNTIF(CP$3:CP283,CP283)+COUNTIF(CQ$2:CQ282,CP283)=1,MAX(IE$2:IG282,IE283)+1,""))</f>
        <v/>
      </c>
      <c r="IG283" t="str">
        <f>IF(CQ283="","",IF(COUNTIF(CO$3:CO283,CQ283)+COUNTIF(CP$3:CP283,CQ283)+COUNTIF(CQ$3:CQ283,CQ283)=1,MAX(IE$2:IG282,IE283,IF283)+1,""))</f>
        <v/>
      </c>
      <c r="IH283" t="str">
        <f t="shared" si="608"/>
        <v/>
      </c>
      <c r="II283" t="str">
        <f>IF(IH283="","",IF(COUNTIF(IH$3:IH283,IH283)=1,MAX(II$2:II282)+1,""))</f>
        <v/>
      </c>
      <c r="IJ283" t="str">
        <f>IF(GL283="","",COUNTIF(GL$3:GL283,"?*"))</f>
        <v/>
      </c>
      <c r="IK283" t="str">
        <f>IF(OR(GL283="",GN283=""),"",IF(COUNTIFS(GL$3:GL283,"?*",GN$3:GN283,GN283)=1,MAX(IK$2:IK282)+1,""))</f>
        <v/>
      </c>
      <c r="IL283">
        <f t="shared" si="609"/>
        <v>0</v>
      </c>
      <c r="IM283">
        <f>IF(B283="","",COUNTIF(B$3:B283,"?*"))</f>
        <v>281</v>
      </c>
      <c r="IN283">
        <f>IF(GQ283&lt;&gt;1,0,_xlfn.LET(_xlpm.k,MAX(IFERROR(--VLOOKUP(B283,УГО_спр,5,FALSE),0),IFERROR(--VLOOKUP(AX283,УГО_спр,5,FALSE),0),IFERROR(--VLOOKUP(LEFT(AX283,2),УГО_спр,5,FALSE),0)),IF(_xlpm.k&gt;0,_xlpm.k,IF(IFERROR(--LEFT(SUBSTITUTE(IH283,"x","х"),FIND("х",SUBSTITUTE(IH283,"x","х"))-1),3)&gt;3,Каталог!$S$9,1))))</f>
        <v>0</v>
      </c>
      <c r="IO283">
        <f t="shared" si="610"/>
        <v>0</v>
      </c>
      <c r="IP283" t="str">
        <f t="shared" si="611"/>
        <v>авто</v>
      </c>
      <c r="IQ283" t="str">
        <f t="shared" si="612"/>
        <v/>
      </c>
      <c r="IR283">
        <f t="shared" si="613"/>
        <v>0</v>
      </c>
      <c r="IS283">
        <f t="shared" si="614"/>
        <v>1</v>
      </c>
    </row>
    <row r="284" spans="1:253" x14ac:dyDescent="0.3">
      <c r="A284" t="s">
        <v>761</v>
      </c>
      <c r="B284" t="s">
        <v>1548</v>
      </c>
      <c r="C284" t="str">
        <f>Линии[[#This Row],[_авто наименование]]</f>
        <v>Розеточная группа, пом. 002А</v>
      </c>
      <c r="D284">
        <v>3</v>
      </c>
      <c r="E284">
        <v>0.18</v>
      </c>
      <c r="G284">
        <v>16</v>
      </c>
      <c r="H284">
        <f>Линии[[#This Row],[_авто утечка]]</f>
        <v>30</v>
      </c>
      <c r="I284" t="str">
        <f>Линии[[#This Row],[_авто управление]]</f>
        <v/>
      </c>
      <c r="J284" t="str">
        <f>Линии[[#This Row],[_авто аппараты]]</f>
        <v/>
      </c>
      <c r="K284">
        <v>2.5</v>
      </c>
      <c r="L284">
        <v>39</v>
      </c>
      <c r="M284">
        <v>3</v>
      </c>
      <c r="N284" t="str">
        <f>Линии[[#This Row],[_авто клемма]]</f>
        <v>XT1</v>
      </c>
      <c r="O284" t="str">
        <f t="shared" si="492"/>
        <v/>
      </c>
      <c r="P284" s="6" cm="1">
        <f t="array" ref="P284">IF(B284="","",IF(BC284&lt;&gt;"",IFERROR(_xlfn.XLOOKUP(BC284,Щиты[Щит],Щиты[Iр, А]),""),IF(BK284=1,IFERROR(_xlfn.XLOOKUP(A284,Щиты[Щит],Щиты[Iр, А]),""),IFERROR(_xlfn.IFS(BR284=1,BN284/((Uн_лин/SQRT(3))*BY284),BR284=3,BN284/(SQRT(3)*Uн_лин*BY284)),""))))</f>
        <v>0.8204451193747313</v>
      </c>
      <c r="Q284" s="7">
        <f>IF(B284="","",IFERROR(IF(VLOOKUP(AX284,Потребители_обозначение,4,FALSE)=1,VLOOKUP(AX284,Потребители_обозначение,3,FALSE)*(D284*2-1)+DS284+VLOOKUP(AZ284,Этаж_обозначение,3,FALSE)+VLOOKUP(AZ284,Этаж_обозначение,4,FALSE),VLOOKUP(AX284,Потребители_обозначение,3,FALSE)*(D284*2-1)+DS284),DS284))</f>
        <v>54</v>
      </c>
      <c r="R284" s="6">
        <f t="shared" si="493"/>
        <v>2.12</v>
      </c>
      <c r="S284" t="str">
        <f t="shared" si="494"/>
        <v>ВВГнг(А)-LS (3х2,5)</v>
      </c>
      <c r="T284" t="str">
        <f>IF(BH284="","",IF(BI284="вводной узел","узел ","")&amp;"л."&amp;(INT((BH284-1)/Столбцов_на_лист)+1)&amp;" / "&amp;(MOD(BH284-1,Столбцов_на_лист)+1))</f>
        <v>л.2 / 1</v>
      </c>
      <c r="V284">
        <v>1</v>
      </c>
      <c r="W284">
        <v>230</v>
      </c>
      <c r="X284" t="s">
        <v>564</v>
      </c>
      <c r="AC284" t="s">
        <v>815</v>
      </c>
      <c r="AE284" t="s">
        <v>563</v>
      </c>
      <c r="AI284">
        <v>18</v>
      </c>
      <c r="AJ284" t="s">
        <v>11</v>
      </c>
      <c r="AK284">
        <v>3</v>
      </c>
      <c r="AM284">
        <v>12</v>
      </c>
      <c r="AN284">
        <v>26</v>
      </c>
      <c r="AO284">
        <v>10</v>
      </c>
      <c r="AP284">
        <v>2</v>
      </c>
      <c r="AW284" cm="1">
        <f t="array" ref="AW284">ROW()-ROW(Линии[#Headers])</f>
        <v>282</v>
      </c>
      <c r="AX284" s="6" t="str">
        <f t="shared" si="495"/>
        <v>R</v>
      </c>
      <c r="AY284" t="str">
        <f t="shared" si="496"/>
        <v>2.002А.1</v>
      </c>
      <c r="AZ284" t="str">
        <f t="shared" si="497"/>
        <v>2</v>
      </c>
      <c r="BA284" t="str">
        <f t="shared" si="498"/>
        <v>002А.1</v>
      </c>
      <c r="BB284" t="str">
        <f t="shared" si="499"/>
        <v>002А</v>
      </c>
      <c r="BC284" t="str">
        <f>IF(U284&lt;&gt;"",U284,IF(AND(B284&lt;&gt;"",B284&lt;&gt;A284,ISNUMBER(_xlfn.XMATCH(B284,Щиты[Щит]))),B284,""))</f>
        <v/>
      </c>
      <c r="BD284" t="str" cm="1">
        <f t="array" ref="BD284">IF(B284="","",IF(BC284&lt;&gt;"","Щит "&amp;BC284,_xlfn.LET(_xlpm.nm,IFERROR(_xlfn.XLOOKUP(AX284,Коды_код,Коды_имя)&amp;"",""),_xlpm.md,IFERROR(N(_xlfn.XLOOKUP(AX284,Коды_код,Коды_режим)),1),_xlpm.ex,IF(Имя_режим="по экспликации",IFERROR(_xlfn.XLOOKUP(AZ284&amp;"|"&amp;BB284,Экспликация[Этаж]&amp;"|"&amp;Экспликация[Помещение],Экспликация[Название])&amp;"",""),""),_xlpm.rm,IF(BB284="","",IF(_xlpm.ex&lt;&gt;"",". "&amp;_xlpm.ex&amp;IF(Имя_пом="нет"," ("&amp;BB284&amp;")"," (пом. "&amp;BB284&amp;")"),IF(Имя_пом="нет"," ",", пом. ")&amp;BB284)),IF(_xlpm.nm="","",IF(_xlpm.md=2,_xlpm.nm&amp;" шлейф "&amp;AZ284,_xlpm.nm&amp;_xlpm.rm)))))</f>
        <v>Розеточная группа, пом. 002А</v>
      </c>
      <c r="BE284" t="str">
        <f t="shared" si="500"/>
        <v>Розеточная группа, пом. 002А</v>
      </c>
      <c r="BF284">
        <f>IFERROR(_xlfn.XMATCH(A284,Щиты[Щит]),0)</f>
        <v>11</v>
      </c>
      <c r="BG284">
        <f>_xlfn.LET(_xlpm.k,IFERROR(_xlfn.XLOOKUP(A284,Щиты[Щит],Щиты[Листов под вводной узел]),""),IF(_xlpm.k="",1,N(_xlpm.k))*Столбцов_на_лист)</f>
        <v>17</v>
      </c>
      <c r="BH284">
        <f t="shared" si="501"/>
        <v>18</v>
      </c>
      <c r="BI284" t="str">
        <f t="shared" si="502"/>
        <v>линии</v>
      </c>
      <c r="BJ284" s="6">
        <f>IFERROR(N(_xlfn.XLOOKUP(AX284,Коды_код,Коды_квт)),0)</f>
        <v>0</v>
      </c>
      <c r="BK284">
        <f t="shared" si="503"/>
        <v>0</v>
      </c>
      <c r="BL284" t="str">
        <f>IF(B284="","",IF(BC284&lt;&gt;"",IFERROR(_xlfn.XLOOKUP(BC284,Щиты[Щит],Щиты[Руст, кВт]),0),IF(BK284=1,IFERROR(_xlfn.XLOOKUP(A284,Щиты[Щит],Щиты[Руст, кВт]),0),IF(BJ284&gt;0,ROUND(BJ284*MAX(1,N(D284)),3),""))))</f>
        <v/>
      </c>
      <c r="BM284">
        <f t="shared" si="504"/>
        <v>0.18</v>
      </c>
      <c r="BN284" s="6">
        <f>IF(B284="","",IF(BC284&lt;&gt;"",IFERROR(_xlfn.XLOOKUP(BC284,Щиты[Щит],Щиты[Руст, кВт]),0),N(BM284)))</f>
        <v>0.18</v>
      </c>
      <c r="BO284" t="str">
        <f>IF(B284="","",IFERROR(IF(VLOOKUP(AX284,Потребители_обозначение,8,FALSE)=0,"",VLOOKUP(AX284,Потребители_обозначение,8,FALSE)),""))</f>
        <v/>
      </c>
      <c r="BP284">
        <f t="shared" si="505"/>
        <v>230</v>
      </c>
      <c r="BQ284">
        <f>IF(B284="","",IF(BC284&lt;&gt;"",3,IFERROR(IF(N(VLOOKUP(AX284,Потребители_обозначение,9,FALSE))=0,1,VLOOKUP(AX284,Потребители_обозначение,9,FALSE)),1)))</f>
        <v>1</v>
      </c>
      <c r="BR284">
        <f t="shared" si="506"/>
        <v>1</v>
      </c>
      <c r="BS284" t="str">
        <f>IF(B284="","",_xlfn.LET(_xlpm.bc,IFERROR(IF(VLOOKUP(AX284,Потребители_обозначение,6,FALSE)=0,"",VLOOKUP(AX284,Потребители_обозначение,6,FALSE)&amp;""),""),IF(AND(FK284="да",OR(_xlpm.bc="",_xlpm.bc="мс")),Марка_пож,IF(AND(_xlpm.bc="",BC284&lt;&gt;""),"мс",_xlpm.bc))))</f>
        <v/>
      </c>
      <c r="BT284" t="str">
        <f t="shared" si="507"/>
        <v>мс</v>
      </c>
      <c r="BU284">
        <f>IF(B284="","",_xlfn.LET(_xlpm.cc,IFERROR(N(VLOOKUP(AX284,Потребители_обозначение,7,FALSE)),0),IF(_xlpm.cc&gt;0,_xlpm.cc,IF(BT284="","",IF(N(BR284)=3,5,3)))))</f>
        <v>3</v>
      </c>
      <c r="BV284">
        <f t="shared" si="508"/>
        <v>3</v>
      </c>
      <c r="BW284">
        <f>IFERROR(N(VLOOKUP(AX284,Потребители_обозначение,10,FALSE)),0)</f>
        <v>0</v>
      </c>
      <c r="BX284">
        <f>IFERROR(VLOOKUP(AX284,Потребители_обозначение,5,FALSE),0)</f>
        <v>1</v>
      </c>
      <c r="BY284" s="6" cm="1">
        <f t="array" ref="BY284">IF(B284="","",IF(BC284&lt;&gt;"",IFERROR(_xlfn.XLOOKUP(BC284,Щиты[Щит],Щиты[cos φ]),0.95),IF(BK284=1,IFERROR(_xlfn.XLOOKUP(A284,Щиты[Щит],Щиты[cos φ]),0.95),IF(ISNUMBER(Z284),Z284,IFERROR(IF(BX284=2,_xlfn.IFS(BR284=3,VLOOKUP(BN284,Справочная_двигатели,8,FALSE),BR284=1,VLOOKUP(BN284,Справочная_двигатели,10,TRUE)),IF(AND(Методика="нормы 2026",EQ284="Сил"),0.8,0.95)),0.95)))))</f>
        <v>0.95</v>
      </c>
      <c r="BZ284">
        <f t="shared" si="509"/>
        <v>0</v>
      </c>
      <c r="CA284">
        <f t="shared" si="510"/>
        <v>1</v>
      </c>
      <c r="CB284">
        <f t="shared" si="511"/>
        <v>0</v>
      </c>
      <c r="CC284">
        <f t="shared" si="512"/>
        <v>0</v>
      </c>
      <c r="CD284">
        <f t="shared" si="513"/>
        <v>0</v>
      </c>
      <c r="CE284">
        <f t="shared" si="514"/>
        <v>0</v>
      </c>
      <c r="CF284">
        <f t="shared" si="515"/>
        <v>0</v>
      </c>
      <c r="CG284">
        <f>IF(AX284="",0,_xlfn.LET(_xlpm.v,IFERROR(VLOOKUP(B284,УГО_спр,3,FALSE),IFERROR(VLOOKUP(AX284,УГО_спр,3,FALSE),IFERROR(VLOOKUP(LEFT(AX284,2),УГО_спр,3,FALSE),""))),IF(_xlpm.v="да",30,IF(ISNUMBER(_xlpm.v),_xlpm.v,0))))</f>
        <v>30</v>
      </c>
      <c r="CH284">
        <f t="shared" si="516"/>
        <v>30</v>
      </c>
      <c r="CI284" t="str">
        <f>_xlfn.LET(_xlpm.k,IFERROR(_xlfn.XLOOKUP(AX284,Коды_код,Коды_утечка)&amp;"",""),IF(_xlpm.k="","дифавтомат",_xlpm.k))</f>
        <v>дифавтомат</v>
      </c>
      <c r="CJ284">
        <f t="shared" si="517"/>
        <v>30</v>
      </c>
      <c r="CK284">
        <f t="shared" si="518"/>
        <v>30</v>
      </c>
      <c r="CL284">
        <f>IF(B284="",0,IFERROR(--VLOOKUP(B284,УГО_спр,4,FALSE),IFERROR(--VLOOKUP(AX284,УГО_спр,4,FALSE),IFERROR(--VLOOKUP(LEFT(AX284,2),УГО_спр,4,FALSE),0))))</f>
        <v>16</v>
      </c>
      <c r="CM284" t="str">
        <f>IF(B284="","",IFERROR(_xlfn.XLOOKUP(AX284,Коды_код,Коды_апп)&amp;"",""))</f>
        <v/>
      </c>
      <c r="CN284" t="str">
        <f t="shared" si="519"/>
        <v/>
      </c>
      <c r="CO284" t="str" cm="1">
        <f t="array" ref="CO284">IF(TRIM(CN284&amp;"")="","",IFERROR(TRIM(INDEX(_xlfn.TEXTSPLIT(CN284&amp;";;;",";"),1)),""))</f>
        <v/>
      </c>
      <c r="CP284" t="str" cm="1">
        <f t="array" ref="CP284">IF(TRIM(CN284&amp;"")="","",IFERROR(TRIM(INDEX(_xlfn.TEXTSPLIT(CN284&amp;";;;",";"),2)),""))</f>
        <v/>
      </c>
      <c r="CQ284" t="str" cm="1">
        <f t="array" ref="CQ284">IF(TRIM(CN284&amp;"")="","",IFERROR(TRIM(INDEX(_xlfn.TEXTSPLIT(CN284&amp;";;;",";"),3)),""))</f>
        <v/>
      </c>
      <c r="CR284">
        <f t="shared" si="520"/>
        <v>0</v>
      </c>
      <c r="CS284" t="str">
        <f>IF(B284="","",_xlfn.LET(_xlpm.t,LOWER(AV284&amp;""),IF(ISNUMBER(SEARCH("dim",_xlpm.t)),"DIM",IF(ISNUMBER(SEARCH("dali",_xlpm.t)),"DALI",IF(OR(ISNUMBER(SEARCH("relay",_xlpm.t)),ISNUMBER(SEARCH("реле",_xlpm.t))),"Relay",IF(ISNUMBER(SEARCH("кнопк",_xlpm.t)),"",IFERROR(_xlfn.XLOOKUP(AX284,Коды_код,Коды_упр)&amp;"","")))))))</f>
        <v/>
      </c>
      <c r="CT284" t="str">
        <f t="shared" si="521"/>
        <v/>
      </c>
      <c r="CU284">
        <f>IF(B284="","",_xlfn.LET(_xlpm.ig,N(P284)+IF(AF284="вручную",0,N(CB284)),_xlpm.n0,IFERROR(VLOOKUP(_xlpm.ig,Автомат_номиналы,2,TRUE),0),_xlpm.mn,MAX(CL284,IF(AF284="вручную",0,N(CE284))),MAX(_xlpm.n0,_xlpm.mn,IF(CR284=1,Мин_автомат_БП,0))))</f>
        <v>16</v>
      </c>
      <c r="CV284">
        <f t="shared" si="522"/>
        <v>1</v>
      </c>
      <c r="CW284" t="str">
        <f t="shared" si="523"/>
        <v>2P</v>
      </c>
      <c r="CX284" t="str">
        <f>_xlfn.LET(_xlpm.cc,UPPER(TRIM(IFERROR(_xlfn.XLOOKUP(AX284,Коды_код,Коды_хар)&amp;"",""))),IF(OR(_xlpm.cc="B",_xlpm.cc="В"),"B",IF(_xlpm.cc="D","D","С")))</f>
        <v>С</v>
      </c>
      <c r="CY284" t="str">
        <f t="shared" si="524"/>
        <v>2P С16А 30мА</v>
      </c>
      <c r="CZ284">
        <f t="shared" si="525"/>
        <v>16</v>
      </c>
      <c r="DA284" t="str">
        <f t="shared" si="526"/>
        <v>2P С16А 30мА</v>
      </c>
      <c r="DB284" cm="1">
        <f t="array" ref="DB284">IF(DA284="","",_xlfn.LET(_xlpm.t,SUBSTITUTE(SUBSTITUTE(SUBSTITUTE(UPPER(DA284),"С","C"),"А","A"),"В","B"),_xlpm.tk,_xlfn.TEXTSPLIT(_xlpm.t,"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4" t="str">
        <f t="shared" si="527"/>
        <v>ok</v>
      </c>
      <c r="DD284">
        <f t="shared" si="528"/>
        <v>16</v>
      </c>
      <c r="DE284" t="str">
        <f t="shared" si="529"/>
        <v>2P С16А 30мА</v>
      </c>
      <c r="DF284">
        <f t="shared" si="530"/>
        <v>30</v>
      </c>
      <c r="DG284">
        <f t="shared" si="531"/>
        <v>1</v>
      </c>
      <c r="DH284">
        <f t="shared" si="532"/>
        <v>0</v>
      </c>
      <c r="DI284">
        <f t="shared" si="533"/>
        <v>0.8204451193747313</v>
      </c>
      <c r="DJ284">
        <f t="shared" si="534"/>
        <v>1</v>
      </c>
      <c r="DK284">
        <f>IF(ISNUMBER(AL284),AL284,К_прокл)</f>
        <v>1</v>
      </c>
      <c r="DL284">
        <f t="shared" si="535"/>
        <v>2</v>
      </c>
      <c r="DM284">
        <f>IFERROR(N(VLOOKUP(BT284,Кабель_обозначение,3,FALSE)),1)</f>
        <v>1</v>
      </c>
      <c r="DN284">
        <f>IFERROR(N(_xlfn.XLOOKUP(A284,Щиты[Щит],Щиты[ΔU до шин, %])),0)</f>
        <v>1.79</v>
      </c>
      <c r="DO284" t="str">
        <f>IFERROR(_xlfn.XLOOKUP(A284,Щиты[Щит],Щиты[Zпетли на шинах, Ом]),"")</f>
        <v/>
      </c>
      <c r="DP284">
        <f>IFERROR(N(_xlfn.XLOOKUP(A284,Щиты[Щит],Щиты[ΔU до шин (подбор), %])),0)</f>
        <v>4.75</v>
      </c>
      <c r="DQ284" t="str">
        <f>IFERROR(_xlfn.XLOOKUP(A284,Щиты[Щит],Щиты[Zпетли на шинах (подбор), Ом]),"")</f>
        <v/>
      </c>
      <c r="DR284" t="str">
        <f t="shared" si="536"/>
        <v/>
      </c>
      <c r="DS284">
        <f t="shared" si="537"/>
        <v>39</v>
      </c>
      <c r="DT284">
        <f t="shared" si="538"/>
        <v>2</v>
      </c>
      <c r="DU284">
        <f t="shared" si="539"/>
        <v>0.31</v>
      </c>
      <c r="DV284" s="6">
        <f>IF(B284="","",IF(IFERROR(VLOOKUP(AX284,УГО_спр,2,FALSE),"")="Светильник",3,4)+IF(Методика="нормы 2026",MIN(0.5,MAX(0,N(Q284)-100)*0.005),0))</f>
        <v>4</v>
      </c>
      <c r="DW284" t="str" cm="1">
        <f t="array" ref="DW284">IF(OR(B284="",BT284="",DM284&lt;&gt;1),"",_xlfn.LET(_xlpm.sz,Iдоп_S,_xlpm.t_,CHOOSE(DL284,Iдоп_1ж,Iдоп_2ж,Iдоп_3ж)*DJ284*DK284,_xlpm.inn,N(DD284),_xlpm.smin,MAX(1.5,BW284),_xlpm.L_,N(Q284)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284)*(_xlpm.rho*_xlpm.L_/_xlpm.sz*N(BY284)+_xlpm.xx*_xlpm.L_*N(DU284)/1000)*N(P284)/((Uн_лин/SQRT(3))*1000)*100,999),_xlpm.kz,IF(OR(DG284=1,NOT(ISNUMBER(DQ284)),_xlpm.L_=0,_xlpm.inn=0),1,IFERROR(--(c_min*(Uн_лин*1000/SQRT(3))/(DQ284+2*ρкз_Cu*_xlpm.L_/_xlpm.sz)&gt;=GY284*_xlpm.inn),0)),_xlpm.ok,IFERROR((_xlpm.sz&gt;=_xlpm.smin)*(_xlpm.t_&gt;=_xlpm.inn)*IF(_xlpm.L_&gt;0,(_xlpm.du_+DP284&lt;=DV284+0.00001),1)*_xlpm.kz,0),_xlpm.r_,_xlfn._xlws.FILTER(_xlpm.sz,_xlpm.ok,"не подобрано"),INDEX(_xlpm.r_,1)))</f>
        <v>не подобрано</v>
      </c>
      <c r="DX284">
        <f t="shared" si="540"/>
        <v>2.5</v>
      </c>
      <c r="DY284" cm="1">
        <f t="array" ref="DY284">IF(OR(B284="",BT284="",DM284&lt;&gt;1),"",_xlfn.LET(_xlpm.sz,Iдоп_S,_xlpm.t_,CHOOSE(DL284,Iдоп_1ж,Iдоп_2ж,Iдоп_3ж)*DJ284*DK284,_xlpm.ok,IFERROR((_xlpm.sz&gt;=MAX(1.5,BW284))*(_xlpm.t_&gt;=N(DD284)),0),_xlpm.r_,_xlfn._xlws.FILTER(_xlpm.sz,_xlpm.ok,""),INDEX(_xlpm.r_,1)))</f>
        <v>1.5</v>
      </c>
      <c r="DZ284" s="6" cm="1">
        <f t="array" ref="DZ284">IFERROR(ROUNDUP(N(DT284)*(_xlfn.XLOOKUP(DY284,INDEX(Кабель_сопротивление,0,1),INDEX(Кабель_сопротивление,0,3))*N(Q284)/DY284*N(BY284)+_xlfn.XLOOKUP(DY284,INDEX(Кабель_сопротивление,0,1),INDEX(Кабель_сопротивление,0,2))*N(Q284)*N(DU284)/1000)*N(P284)/((Uн_лин/SQRT(3))*1000)*100,2),"")</f>
        <v>0.55000000000000004</v>
      </c>
      <c r="EA284">
        <f>IFERROR(2*ρкз_Cu*N(Q284)/DY284,"")</f>
        <v>1.8936000000000002</v>
      </c>
      <c r="EB284">
        <f>IFERROR(VLOOKUP(DX284,Кабель_сопротивление,3,FALSE),"")</f>
        <v>2.2499999999999999E-2</v>
      </c>
      <c r="EC284">
        <f>IFERROR(VLOOKUP(DX284,Кабель_сопротивление,2,FALSE),"")</f>
        <v>0.1</v>
      </c>
      <c r="ED284">
        <f t="shared" si="541"/>
        <v>26</v>
      </c>
      <c r="EE284">
        <f t="shared" si="542"/>
        <v>10</v>
      </c>
      <c r="EF284">
        <f t="shared" si="543"/>
        <v>0.76034587349029337</v>
      </c>
      <c r="EG284" s="6">
        <f>IFERROR(ROUNDUP(EF284/((Uн_лин/SQRT(3))*1000)*100,2),"")</f>
        <v>0.33</v>
      </c>
      <c r="EH284" t="str">
        <f>IFERROR(VLOOKUP(BT284,Кабель_обозначение,2,FALSE),"")</f>
        <v>ВВГнг(А)-LS</v>
      </c>
      <c r="EI284" t="str">
        <f t="shared" si="544"/>
        <v>ВВГнг(А)-LS (3х2,5)</v>
      </c>
      <c r="EJ284" t="str">
        <f t="shared" si="545"/>
        <v>ВВГнг(А)-LS (3х2,5)
L=54-0,33%</v>
      </c>
      <c r="EK284">
        <f>IFERROR(2*ρкз_Cu*Q284/DX284,"")</f>
        <v>1.1361600000000001</v>
      </c>
      <c r="EL284">
        <f t="shared" si="546"/>
        <v>0.378</v>
      </c>
      <c r="EM284" s="6" t="str">
        <f>IFERROR(IF(OR(B284="",NOT(ISNUMBER(DX284)),N(Q284)=0),"",_xlfn.XLOOKUP(A284,Щиты[Щит],Щиты[Zпетли на шинах, Ом])+EK284),"")</f>
        <v/>
      </c>
      <c r="EN284" s="6" t="str">
        <f>IF(ISNUMBER(EM284),c_min*(Uн_лин*1000/SQRT(3))/EM284,"")</f>
        <v/>
      </c>
      <c r="EO284" s="6" t="str">
        <f>IFERROR(IF(OR(B284="",NOT(ISNUMBER(DX284))),"",1.05*(Uн_лин*1000/SQRT(3))/(_xlfn.XLOOKUP(A284,Щиты[Щит],Щиты[Zmax на шинах, Ом])+EL284)/1000),"")</f>
        <v/>
      </c>
      <c r="EP284" s="6" t="str">
        <f>IF(B284="","",IF(ISNUMBER(Y284),"Сил",IF(IFERROR(_xlfn.XLOOKUP(AX284,Коды_код,Коды_группа)&amp;"","")="","Быт",_xlfn.XLOOKUP(AX284,Коды_код,Коды_группа)&amp;"")))</f>
        <v>Быт</v>
      </c>
      <c r="EQ284" s="6" t="str">
        <f t="shared" si="547"/>
        <v>Быт</v>
      </c>
      <c r="ER284" s="6">
        <f>IF(EQ284="Щит","щит",IF(EQ284="","",IF(EQ284="Быт",IFERROR(_xlfn.XLOOKUP(A284,Щиты[Щит],Щиты[Кс быт]),1),IF(EQ284="Сил",IF(ISNUMBER(Y284),Y284,IF(Методика="нормы 2026",IFERROR(_xlfn.XLOOKUP(A284,Щиты[Щит],Щиты[Кс силовых (табл. 7.5)]),1),1)),IF(OR(EQ284="Пост",EQ284="Отоп"),1,IF(EQ284="ВНГ",0.7,0))))))</f>
        <v>0.8</v>
      </c>
      <c r="ES284">
        <f t="shared" si="548"/>
        <v>1</v>
      </c>
      <c r="ET284">
        <f t="shared" si="549"/>
        <v>0.18</v>
      </c>
      <c r="EU284">
        <f t="shared" si="550"/>
        <v>0.18</v>
      </c>
      <c r="EV284">
        <f t="shared" si="551"/>
        <v>0</v>
      </c>
      <c r="EW284">
        <f t="shared" si="552"/>
        <v>0</v>
      </c>
      <c r="EX284">
        <f t="shared" si="553"/>
        <v>0</v>
      </c>
      <c r="EY284">
        <f t="shared" si="554"/>
        <v>0</v>
      </c>
      <c r="EZ284">
        <f t="shared" si="555"/>
        <v>0.18</v>
      </c>
      <c r="FA284">
        <f t="shared" si="556"/>
        <v>0.17099999999999999</v>
      </c>
      <c r="FB284">
        <f t="shared" si="557"/>
        <v>0.18</v>
      </c>
      <c r="FC284" t="str">
        <f t="shared" si="558"/>
        <v>L3</v>
      </c>
      <c r="FD284" t="str">
        <f>IF(B284="","",IF(CA284=0,IF(AW284=1,"",FF283),IF(OR(N(CV284)&gt;=3,N(BR284)&gt;=3),"L1,L2,L3",IFERROR(_xlfn.TEXTBEFORE(_xlfn.TEXTAFTER(_xlfn.XLOOKUP(A284,Щиты[Щит],Щиты[_фазы авто]),";"&amp;AW284&amp;":"),";"),"L1"))))</f>
        <v>L1</v>
      </c>
      <c r="FE284" t="str">
        <f t="shared" si="559"/>
        <v>L3</v>
      </c>
      <c r="FF284" t="str">
        <f t="shared" si="560"/>
        <v>L3</v>
      </c>
      <c r="FG284" cm="1">
        <f t="array" ref="FG284">IFERROR(IF(BX284=2,_xlfn.IFS(BR284=3,VLOOKUP(BN284,Справочная_двигатели,3,FALSE),BR284=1,VLOOKUP(BN284,Справочная_двигатели,5,TRUE)),0),0)</f>
        <v>0</v>
      </c>
      <c r="FH284">
        <f>IFERROR(IF(BX284=3,VLOOKUP(BN284,Справочная_ЛЭД,2,TRUE),0),0)</f>
        <v>0</v>
      </c>
      <c r="FI284" s="6">
        <f t="shared" si="561"/>
        <v>0</v>
      </c>
      <c r="FJ284" t="str" cm="1">
        <f t="array" ref="FJ284">IF(B284="","",IFERROR(INDEX({"I особая","I","II","III"},MATCH(TRIM(AC284&amp;""),{"I особая","I","II","III"},0)),"III"))</f>
        <v>II</v>
      </c>
      <c r="FK284" t="str">
        <f>IF(B284="","",IF(TRIM(AD284&amp;"")&lt;&gt;"",IF(LOWER(TRIM(AD284&amp;""))="да","да","нет"),IF(IFERROR(_xlfn.XLOOKUP(AX284,Коды_код,Коды_пожарная),"")="да","да","нет")))</f>
        <v>нет</v>
      </c>
      <c r="FL284" t="str">
        <f t="shared" si="562"/>
        <v/>
      </c>
      <c r="FM284" t="str">
        <f t="shared" si="563"/>
        <v>основная</v>
      </c>
      <c r="FN284">
        <f t="shared" si="564"/>
        <v>1</v>
      </c>
      <c r="FO284" t="str" cm="1">
        <f t="array" ref="FO284">IF(B284="","",_xlfn.LET(_xlpm.t,IFERROR(_xlfn.XLOOKUP(1,(Шины[Шина]=FM284)*(((Шины[Щит]=A284)+(Шины[Щит]=""))&gt;0),Шины[Тип]),"")&amp;"",IF(_xlpm.t&lt;&gt;"",_xlpm.t,IF(ISNUMBER(SEARCH("ИБП",FM284)),"ИБП",IF(ISNUMBER(SEARCH("ДГУ",FM284)),"ДГУ","Ввод "&amp;FN284)))))</f>
        <v>Ввод 1</v>
      </c>
      <c r="FP284" t="str">
        <f t="shared" si="565"/>
        <v>Ввод 1</v>
      </c>
      <c r="FQ284" t="str">
        <f>IF(B284="","",IF(OR(FO284="ИБП",FO284="ДГУ"),"I особая",IF(FO284="Одиночная","III",_xlfn.XLOOKUP(A284,Щиты[Щит],Щиты[Категория шины «Ввод»],"III"))))</f>
        <v>II</v>
      </c>
      <c r="FR284">
        <f>IF(B284="",0,IFERROR(MATCH(FJ284,{"III","II","I","I особая"},0),1))</f>
        <v>2</v>
      </c>
      <c r="FS284">
        <f t="shared" si="566"/>
        <v>2</v>
      </c>
      <c r="FT284" t="str">
        <f>IF(B284="","",IF(FR284&gt;IFERROR(MATCH(FQ284,{"III","II","I","I особая"},0),1),"НЕ ОБЕСПЕЧЕНА","ОК"))</f>
        <v>ОК</v>
      </c>
      <c r="FU284" t="str">
        <f>IF(A284="","",_xlfn.XLOOKUP(A284,Щиты[Щит],Щиты[Путь],""))</f>
        <v>|ГРЩ-ЖД|ЩР-2|</v>
      </c>
      <c r="FV284" t="str">
        <f>IF(B284="","",IF(AE284&lt;&gt;"",AE284,IF(IFERROR(_xlfn.XLOOKUP(AX284,Коды_код,Коды_вид)&amp;"","")="","Прочее",_xlfn.XLOOKUP(AX284,Коды_код,Коды_вид)&amp;"")))</f>
        <v>Розеточная сеть и бытовые приборы</v>
      </c>
      <c r="FW284">
        <f>IF(BH284="","",INT((BH284-1)/Столбцов_на_лист)+1)</f>
        <v>2</v>
      </c>
      <c r="FX284" t="str">
        <f t="shared" si="567"/>
        <v>ВВГнг(А)-LS (3х2,5) L=54-0,33%</v>
      </c>
      <c r="FY284">
        <f t="shared" si="568"/>
        <v>0.18</v>
      </c>
      <c r="FZ284">
        <f t="shared" si="569"/>
        <v>0.83</v>
      </c>
      <c r="GA284">
        <f t="shared" si="570"/>
        <v>1</v>
      </c>
      <c r="GB284">
        <f t="shared" si="571"/>
        <v>0</v>
      </c>
      <c r="GC284">
        <f t="shared" si="572"/>
        <v>1</v>
      </c>
      <c r="GD284">
        <f>IF(BH284="","",IF(AND(CA284=1,GC284=1),COUNTIFS(A$3:A284,A284,CA$3:CA284,1,GC$3:GC284,1),IF(OR(OR(AW284=1,A284&lt;&gt;A283),AF284="вручную",GC284=0),"",IF(AW284=1,"",GE283))))</f>
        <v>1</v>
      </c>
      <c r="GE284">
        <f t="shared" si="573"/>
        <v>1</v>
      </c>
      <c r="GF284">
        <f>IF(B284="","",IFERROR(LOOKUP(INDEX(CHOOSE(DL284,Iдоп_1ж,Iдоп_2ж,Iдоп_3ж),MATCH(DX284,Iдоп_S,0))*DJ284*DK284,{6,10,16,20,25,32,40,50,63,80,100,125,160,200,250,315,400,500,630}),""))</f>
        <v>25</v>
      </c>
      <c r="GG284" t="str">
        <f t="shared" si="574"/>
        <v>QFD1</v>
      </c>
      <c r="GH284" t="str">
        <f t="shared" si="575"/>
        <v>QFD1</v>
      </c>
      <c r="GI284" t="str">
        <f t="shared" si="576"/>
        <v/>
      </c>
      <c r="GJ284">
        <f t="shared" si="577"/>
        <v>0</v>
      </c>
      <c r="GK284" t="str">
        <f>IF(OR(AG284="",AG284="-"),"",IFERROR(VLOOKUP(AG284,Модули_спр,2,FALSE),"R"))</f>
        <v/>
      </c>
      <c r="GL284" t="str">
        <f>IF(GK284="","",GK284&amp;"."&amp;COUNTIFS(A$3:A284,A284,GK$3:GK284,GK284))</f>
        <v/>
      </c>
      <c r="GM284" t="str">
        <f t="shared" si="578"/>
        <v/>
      </c>
      <c r="GN284" t="str">
        <f t="shared" si="579"/>
        <v/>
      </c>
      <c r="GO284" t="str">
        <f t="shared" si="580"/>
        <v/>
      </c>
      <c r="GP284" t="str">
        <f t="shared" si="581"/>
        <v/>
      </c>
      <c r="GQ284">
        <f t="shared" si="582"/>
        <v>1</v>
      </c>
      <c r="GR284" t="str">
        <f>IF(GQ284=1,"XT"&amp;COUNTIFS(A$3:A284,A284,GQ$3:GQ284,1),"")</f>
        <v>XT1</v>
      </c>
      <c r="GS284" t="str">
        <f t="shared" si="583"/>
        <v>XT1</v>
      </c>
      <c r="GT284" t="str">
        <f t="shared" si="584"/>
        <v>QFD1</v>
      </c>
      <c r="GU284" t="str">
        <f t="shared" si="585"/>
        <v/>
      </c>
      <c r="GV284" t="str">
        <f t="shared" si="586"/>
        <v>ok</v>
      </c>
      <c r="GW284" t="str">
        <f>IF(OR(GO284="",GM284=""),"",IF(GO284&gt;IFERROR(VLOOKUP(GN284,Модули_спр,3,FALSE),99),"ЛИШНИЙ КАНАЛ",IF(AND(AH284&lt;&gt;"=",COUNTIFS(Линии[_модуль гр.],GM284,Линии[Канал (итог)],GO284,Линии[Канал],"&lt;&gt;=",Линии[Щит],A284)&gt;1),"ДУБЛЬ КАНАЛА","")))</f>
        <v/>
      </c>
      <c r="GX284" s="6" t="str">
        <f t="shared" si="587"/>
        <v/>
      </c>
      <c r="GY284">
        <f t="shared" si="588"/>
        <v>10</v>
      </c>
      <c r="GZ284" t="str">
        <f t="shared" si="589"/>
        <v/>
      </c>
      <c r="HA284" t="str">
        <f>IF(AND(B284="",GT284=""),"",_xlfn.TEXTJOIN("; ",TRUE,IF(AND(B284&lt;&gt;"",FE284=""),"нет фазы",""),IF(AND(B284&lt;&gt;"",N(FY284)=0,EQ284&lt;&gt;"Нет"),"нет мощности",""),IF(AND(GS284&lt;&gt;"",COUNTIFS(Линии[Щит],A284,Линии[Клемма (итог)],GS284)&gt;1),"дубль клеммы "&amp;GS284,""),IF(AND(GV284&lt;&gt;"",GV284&lt;&gt;"ok"),GV284,""),IF(GW284&lt;&gt;"",GW284,""),IF(AND(N(BV284)&gt;=4,N(BR284)=1),BV284&amp;" жил на 1 фазе",""),IF(AND(AX284="R",CA284=1,OR(N(CK284)=0,N(CK284)&gt;30)),"розетка без дифзащиты до 30 мА",""),IFERROR(IF(AND(ISNUMBER(R284),R284&gt;DV284),"потери "&amp;FIXED(R284,1)&amp;" % &gt; "&amp;DV284&amp;" %",""),""),IFERROR(IF(LEFT(GZ284,4)="мало","Iкз мало — отключение &gt; 0,4 с",""),""),IF(AND(B284&lt;&gt;"",BH284=""),"не на схеме",""),IF(AND(CA284=0,B284&lt;&gt;"",FE284&lt;&gt;"",IF(AW284=1,"",FF283)&lt;&gt;"",FE284&lt;&gt;IF(AW284=1,"",FF283)),"фаза не как у автомата группы ("&amp;IF(AW284=1,"",FF283)&amp;")","")))</f>
        <v/>
      </c>
      <c r="HB284" s="6">
        <f>IF(OR(CA284=0,DA284=""),"",_xlfn.LET(_xlpm.t,IFERROR(_xlfn.XLOOKUP(DA284,Каталог!$U$4:$U$500,Каталог!$G$4:$G$500),""),_xlpm.k,SEARCH("кА",_xlpm.t),IFERROR(--TRIM(RIGHT(SUBSTITUTE(MID(_xlpm.t,MAX(1,_xlpm.k-4),_xlpm.k-MAX(1,_xlpm.k-4))," ",REPT(" ",9)),5)),"")))</f>
        <v>6</v>
      </c>
      <c r="HC284" t="str">
        <f>IF(OR(HB284="",CA284=0),"",IF(_xlfn.XLOOKUP(A284,Щиты[Щит],Щиты[Iкз max на шинах, кА],"")="","",IF(HB284&lt;_xlfn.XLOOKUP(A284,Щиты[Щит],Щиты[Iкз max на шинах, кА]),"Icu "&amp;HB284&amp;" кА &lt; Iкз max","ok")))</f>
        <v/>
      </c>
      <c r="HD284" t="str">
        <f t="shared" si="590"/>
        <v/>
      </c>
      <c r="HE284" t="str">
        <f t="shared" si="591"/>
        <v>QFD1|XT1</v>
      </c>
      <c r="HF284" t="str">
        <f t="shared" si="592"/>
        <v>QFD1|XT1|кабель ВВГнг(А)-LS (3х2,5) → Розеточная группа, пом. 002А</v>
      </c>
      <c r="HG284" t="str" cm="1">
        <f t="array" ref="HG284">IF(HF284="","",_xlfn.LET(_xlpm.nd,_xlfn.TEXTSPLIT(HF284,"|"),IF(COLUMNS(_xlpm.nd)&gt;1,A284&amp;"¦"&amp;INDEX(_xlpm.nd,1)&amp;"¦"&amp;INDEX(_xlpm.nd,2),"")))</f>
        <v>ЩР-2¦QFD1¦XT1</v>
      </c>
      <c r="HH284" t="str">
        <f t="shared" si="593"/>
        <v>R.2.002А.1¦Розеточная группа, пом. 002А</v>
      </c>
      <c r="HI284" t="str" cm="1">
        <f t="array" ref="HI284">IF(HF284="","",_xlfn.LET(_xlpm.nd,_xlfn.TEXTSPLIT(HF284,"|"),IF(COLUMNS(_xlpm.nd)&gt;2,A284&amp;"¦"&amp;INDEX(_xlpm.nd,2)&amp;"¦"&amp;INDEX(_xlpm.nd,3),"")))</f>
        <v>ЩР-2¦XT1¦кабель ВВГнг(А)-LS (3х2,5) → Розеточная группа, пом. 002А</v>
      </c>
      <c r="HJ284" t="str">
        <f t="shared" si="594"/>
        <v>R.2.002А.1¦Розеточная группа, пом. 002А</v>
      </c>
      <c r="HK284" t="str" cm="1">
        <f t="array" ref="HK284">IF(HF284="","",_xlfn.LET(_xlpm.nd,_xlfn.TEXTSPLIT(HF284,"|"),IF(COLUMNS(_xlpm.nd)&gt;3,A284&amp;"¦"&amp;INDEX(_xlpm.nd,3)&amp;"¦"&amp;INDEX(_xlpm.nd,4),"")))</f>
        <v/>
      </c>
      <c r="HL284" t="str">
        <f t="shared" si="595"/>
        <v/>
      </c>
      <c r="HM284" t="str" cm="1">
        <f t="array" ref="HM284">IF(HF284="","",_xlfn.LET(_xlpm.nd,_xlfn.TEXTSPLIT(HF284,"|"),IF(COLUMNS(_xlpm.nd)&gt;4,A284&amp;"¦"&amp;INDEX(_xlpm.nd,4)&amp;"¦"&amp;INDEX(_xlpm.nd,5),"")))</f>
        <v/>
      </c>
      <c r="HN284" t="str">
        <f t="shared" si="596"/>
        <v/>
      </c>
      <c r="HO284" t="str" cm="1">
        <f t="array" ref="HO284">IF(HF284="","",_xlfn.LET(_xlpm.nd,_xlfn.TEXTSPLIT(HF284,"|"),IF(COLUMNS(_xlpm.nd)&gt;5,A284&amp;"¦"&amp;INDEX(_xlpm.nd,5)&amp;"¦"&amp;INDEX(_xlpm.nd,6),"")))</f>
        <v/>
      </c>
      <c r="HP284" t="str">
        <f t="shared" si="597"/>
        <v/>
      </c>
      <c r="HQ284" t="str" cm="1">
        <f t="array" ref="HQ284">IF(HF284="","",_xlfn.LET(_xlpm.nd,_xlfn.TEXTSPLIT(HF284,"|"),IF(COLUMNS(_xlpm.nd)&gt;6,A284&amp;"¦"&amp;INDEX(_xlpm.nd,6)&amp;"¦"&amp;INDEX(_xlpm.nd,7),"")))</f>
        <v/>
      </c>
      <c r="HR284" t="str">
        <f t="shared" si="598"/>
        <v/>
      </c>
      <c r="HS284" t="str">
        <f t="shared" si="599"/>
        <v/>
      </c>
      <c r="HT284" t="str">
        <f t="shared" si="600"/>
        <v>QFD1 → XT1</v>
      </c>
      <c r="HU284">
        <f t="shared" si="601"/>
        <v>0</v>
      </c>
      <c r="HV284">
        <f t="shared" si="602"/>
        <v>1</v>
      </c>
      <c r="HW284" t="str">
        <f t="shared" si="603"/>
        <v/>
      </c>
      <c r="HX284" t="str">
        <f t="shared" si="604"/>
        <v/>
      </c>
      <c r="HY284" t="str">
        <f t="shared" si="605"/>
        <v/>
      </c>
      <c r="HZ284" t="str">
        <f t="shared" si="606"/>
        <v/>
      </c>
      <c r="IA284" t="str">
        <f>IF(B284="","",IFERROR(VLOOKUP(B284,УГО_спр,2,FALSE),IFERROR(VLOOKUP(AX284,УГО_спр,2,FALSE),IFERROR(VLOOKUP(LEFT(AX284,2),УГО_спр,2,FALSE),""))))</f>
        <v>Розетка</v>
      </c>
      <c r="IB284" t="str">
        <f>IF(B284="","",IF(OR(IA284="",IA284=0),"BOX",IFERROR(IF(VLOOKUP(IA284,УГО_блоки,3,FALSE)&amp;""&lt;&gt;"",VLOOKUP(IA284,УГО_блоки,3,FALSE),VLOOKUP(IA284,УГО_блоки,2,FALSE)),IA284)))</f>
        <v>SOCKET</v>
      </c>
      <c r="IC284">
        <f t="shared" si="607"/>
        <v>1</v>
      </c>
      <c r="ID284" t="str">
        <f>IF(DA284="","",IF(COUNTIF(DA$3:DA284,DA284)=1,MAX(ID$2:ID283)+1,""))</f>
        <v/>
      </c>
      <c r="IE284" t="str">
        <f>IF(CO284="","",IF(COUNTIF(CO$3:CO284,CO284)+COUNTIF(CP$2:CP283,CO284)+COUNTIF(CQ$2:CQ283,CO284)=1,MAX(IE$2:IG283)+1,""))</f>
        <v/>
      </c>
      <c r="IF284" t="str">
        <f>IF(CP284="","",IF(COUNTIF(CO$3:CO284,CP284)+COUNTIF(CP$3:CP284,CP284)+COUNTIF(CQ$2:CQ283,CP284)=1,MAX(IE$2:IG283,IE284)+1,""))</f>
        <v/>
      </c>
      <c r="IG284" t="str">
        <f>IF(CQ284="","",IF(COUNTIF(CO$3:CO284,CQ284)+COUNTIF(CP$3:CP284,CQ284)+COUNTIF(CQ$3:CQ284,CQ284)=1,MAX(IE$2:IG283,IE284,IF284)+1,""))</f>
        <v/>
      </c>
      <c r="IH284" t="str">
        <f t="shared" si="608"/>
        <v>3х2,5</v>
      </c>
      <c r="II284" t="str">
        <f>IF(IH284="","",IF(COUNTIF(IH$3:IH284,IH284)=1,MAX(II$2:II283)+1,""))</f>
        <v/>
      </c>
      <c r="IJ284" t="str">
        <f>IF(GL284="","",COUNTIF(GL$3:GL284,"?*"))</f>
        <v/>
      </c>
      <c r="IK284" t="str">
        <f>IF(OR(GL284="",GN284=""),"",IF(COUNTIFS(GL$3:GL284,"?*",GN$3:GN284,GN284)=1,MAX(IK$2:IK283)+1,""))</f>
        <v/>
      </c>
      <c r="IL284">
        <f t="shared" si="609"/>
        <v>0</v>
      </c>
      <c r="IM284">
        <f>IF(B284="","",COUNTIF(B$3:B284,"?*"))</f>
        <v>282</v>
      </c>
      <c r="IN284">
        <f>IF(GQ284&lt;&gt;1,0,_xlfn.LET(_xlpm.k,MAX(IFERROR(--VLOOKUP(B284,УГО_спр,5,FALSE),0),IFERROR(--VLOOKUP(AX284,УГО_спр,5,FALSE),0),IFERROR(--VLOOKUP(LEFT(AX284,2),УГО_спр,5,FALSE),0)),IF(_xlpm.k&gt;0,_xlpm.k,IF(IFERROR(--LEFT(SUBSTITUTE(IH284,"x","х"),FIND("х",SUBSTITUTE(IH284,"x","х"))-1),3)&gt;3,Каталог!$S$9,1))))</f>
        <v>1</v>
      </c>
      <c r="IO284">
        <f t="shared" si="610"/>
        <v>0</v>
      </c>
      <c r="IP284" t="str">
        <f t="shared" si="611"/>
        <v>авто</v>
      </c>
      <c r="IQ284">
        <f t="shared" si="612"/>
        <v>30</v>
      </c>
      <c r="IR284">
        <f t="shared" si="613"/>
        <v>1</v>
      </c>
      <c r="IS284">
        <f t="shared" si="614"/>
        <v>1</v>
      </c>
    </row>
    <row r="285" spans="1:253" x14ac:dyDescent="0.3">
      <c r="A285" t="s">
        <v>761</v>
      </c>
      <c r="B285" t="s">
        <v>1549</v>
      </c>
      <c r="C285" t="str">
        <f>Линии[[#This Row],[_авто наименование]]</f>
        <v>Розеточная группа, пом. 003А</v>
      </c>
      <c r="D285">
        <v>3</v>
      </c>
      <c r="E285">
        <v>0.18</v>
      </c>
      <c r="G285">
        <v>16</v>
      </c>
      <c r="H285">
        <f>Линии[[#This Row],[_авто утечка]]</f>
        <v>30</v>
      </c>
      <c r="I285" t="str">
        <f>Линии[[#This Row],[_авто управление]]</f>
        <v/>
      </c>
      <c r="J285" t="str">
        <f>Линии[[#This Row],[_авто аппараты]]</f>
        <v/>
      </c>
      <c r="K285">
        <v>2.5</v>
      </c>
      <c r="L285">
        <v>47</v>
      </c>
      <c r="M285">
        <v>1</v>
      </c>
      <c r="N285" t="str">
        <f>Линии[[#This Row],[_авто клемма]]</f>
        <v>XT2</v>
      </c>
      <c r="O285" t="str">
        <f t="shared" si="492"/>
        <v/>
      </c>
      <c r="P285" s="6" cm="1">
        <f t="array" ref="P285">IF(B285="","",IF(BC285&lt;&gt;"",IFERROR(_xlfn.XLOOKUP(BC285,Щиты[Щит],Щиты[Iр, А]),""),IF(BK285=1,IFERROR(_xlfn.XLOOKUP(A285,Щиты[Щит],Щиты[Iр, А]),""),IFERROR(_xlfn.IFS(BR285=1,BN285/((Uн_лин/SQRT(3))*BY285),BR285=3,BN285/(SQRT(3)*Uн_лин*BY285)),""))))</f>
        <v>0.8204451193747313</v>
      </c>
      <c r="Q285" s="7">
        <f>IF(B285="","",IFERROR(IF(VLOOKUP(AX285,Потребители_обозначение,4,FALSE)=1,VLOOKUP(AX285,Потребители_обозначение,3,FALSE)*(D285*2-1)+DS285+VLOOKUP(AZ285,Этаж_обозначение,3,FALSE)+VLOOKUP(AZ285,Этаж_обозначение,4,FALSE),VLOOKUP(AX285,Потребители_обозначение,3,FALSE)*(D285*2-1)+DS285),DS285))</f>
        <v>62</v>
      </c>
      <c r="R285" s="6">
        <f t="shared" si="493"/>
        <v>2.17</v>
      </c>
      <c r="S285" t="str">
        <f t="shared" si="494"/>
        <v>ВВГнг(А)-LS (3х2,5)</v>
      </c>
      <c r="T285" t="str">
        <f>IF(BH285="","",IF(BI285="вводной узел","узел ","")&amp;"л."&amp;(INT((BH285-1)/Столбцов_на_лист)+1)&amp;" / "&amp;(MOD(BH285-1,Столбцов_на_лист)+1))</f>
        <v>л.2 / 2</v>
      </c>
      <c r="V285">
        <v>1</v>
      </c>
      <c r="W285">
        <v>230</v>
      </c>
      <c r="X285" t="s">
        <v>564</v>
      </c>
      <c r="AC285" t="s">
        <v>815</v>
      </c>
      <c r="AE285" t="s">
        <v>563</v>
      </c>
      <c r="AI285">
        <v>19</v>
      </c>
      <c r="AJ285" t="s">
        <v>11</v>
      </c>
      <c r="AK285">
        <v>3</v>
      </c>
      <c r="AM285">
        <v>12</v>
      </c>
      <c r="AN285">
        <v>44</v>
      </c>
      <c r="AP285">
        <v>2</v>
      </c>
      <c r="AW285" cm="1">
        <f t="array" ref="AW285">ROW()-ROW(Линии[#Headers])</f>
        <v>283</v>
      </c>
      <c r="AX285" s="6" t="str">
        <f t="shared" si="495"/>
        <v>R</v>
      </c>
      <c r="AY285" t="str">
        <f t="shared" si="496"/>
        <v>2.003А.1</v>
      </c>
      <c r="AZ285" t="str">
        <f t="shared" si="497"/>
        <v>2</v>
      </c>
      <c r="BA285" t="str">
        <f t="shared" si="498"/>
        <v>003А.1</v>
      </c>
      <c r="BB285" t="str">
        <f t="shared" si="499"/>
        <v>003А</v>
      </c>
      <c r="BC285" t="str">
        <f>IF(U285&lt;&gt;"",U285,IF(AND(B285&lt;&gt;"",B285&lt;&gt;A285,ISNUMBER(_xlfn.XMATCH(B285,Щиты[Щит]))),B285,""))</f>
        <v/>
      </c>
      <c r="BD285" t="str" cm="1">
        <f t="array" ref="BD285">IF(B285="","",IF(BC285&lt;&gt;"","Щит "&amp;BC285,_xlfn.LET(_xlpm.nm,IFERROR(_xlfn.XLOOKUP(AX285,Коды_код,Коды_имя)&amp;"",""),_xlpm.md,IFERROR(N(_xlfn.XLOOKUP(AX285,Коды_код,Коды_режим)),1),_xlpm.ex,IF(Имя_режим="по экспликации",IFERROR(_xlfn.XLOOKUP(AZ285&amp;"|"&amp;BB285,Экспликация[Этаж]&amp;"|"&amp;Экспликация[Помещение],Экспликация[Название])&amp;"",""),""),_xlpm.rm,IF(BB285="","",IF(_xlpm.ex&lt;&gt;"",". "&amp;_xlpm.ex&amp;IF(Имя_пом="нет"," ("&amp;BB285&amp;")"," (пом. "&amp;BB285&amp;")"),IF(Имя_пом="нет"," ",", пом. ")&amp;BB285)),IF(_xlpm.nm="","",IF(_xlpm.md=2,_xlpm.nm&amp;" шлейф "&amp;AZ285,_xlpm.nm&amp;_xlpm.rm)))))</f>
        <v>Розеточная группа, пом. 003А</v>
      </c>
      <c r="BE285" t="str">
        <f t="shared" si="500"/>
        <v>Розеточная группа, пом. 003А</v>
      </c>
      <c r="BF285">
        <f>IFERROR(_xlfn.XMATCH(A285,Щиты[Щит]),0)</f>
        <v>11</v>
      </c>
      <c r="BG285">
        <f>_xlfn.LET(_xlpm.k,IFERROR(_xlfn.XLOOKUP(A285,Щиты[Щит],Щиты[Листов под вводной узел]),""),IF(_xlpm.k="",1,N(_xlpm.k))*Столбцов_на_лист)</f>
        <v>17</v>
      </c>
      <c r="BH285">
        <f t="shared" si="501"/>
        <v>19</v>
      </c>
      <c r="BI285" t="str">
        <f t="shared" si="502"/>
        <v>линии</v>
      </c>
      <c r="BJ285" s="6">
        <f>IFERROR(N(_xlfn.XLOOKUP(AX285,Коды_код,Коды_квт)),0)</f>
        <v>0</v>
      </c>
      <c r="BK285">
        <f t="shared" si="503"/>
        <v>0</v>
      </c>
      <c r="BL285" t="str">
        <f>IF(B285="","",IF(BC285&lt;&gt;"",IFERROR(_xlfn.XLOOKUP(BC285,Щиты[Щит],Щиты[Руст, кВт]),0),IF(BK285=1,IFERROR(_xlfn.XLOOKUP(A285,Щиты[Щит],Щиты[Руст, кВт]),0),IF(BJ285&gt;0,ROUND(BJ285*MAX(1,N(D285)),3),""))))</f>
        <v/>
      </c>
      <c r="BM285">
        <f t="shared" si="504"/>
        <v>0.18</v>
      </c>
      <c r="BN285" s="6">
        <f>IF(B285="","",IF(BC285&lt;&gt;"",IFERROR(_xlfn.XLOOKUP(BC285,Щиты[Щит],Щиты[Руст, кВт]),0),N(BM285)))</f>
        <v>0.18</v>
      </c>
      <c r="BO285" t="str">
        <f>IF(B285="","",IFERROR(IF(VLOOKUP(AX285,Потребители_обозначение,8,FALSE)=0,"",VLOOKUP(AX285,Потребители_обозначение,8,FALSE)),""))</f>
        <v/>
      </c>
      <c r="BP285">
        <f t="shared" si="505"/>
        <v>230</v>
      </c>
      <c r="BQ285">
        <f>IF(B285="","",IF(BC285&lt;&gt;"",3,IFERROR(IF(N(VLOOKUP(AX285,Потребители_обозначение,9,FALSE))=0,1,VLOOKUP(AX285,Потребители_обозначение,9,FALSE)),1)))</f>
        <v>1</v>
      </c>
      <c r="BR285">
        <f t="shared" si="506"/>
        <v>1</v>
      </c>
      <c r="BS285" t="str">
        <f>IF(B285="","",_xlfn.LET(_xlpm.bc,IFERROR(IF(VLOOKUP(AX285,Потребители_обозначение,6,FALSE)=0,"",VLOOKUP(AX285,Потребители_обозначение,6,FALSE)&amp;""),""),IF(AND(FK285="да",OR(_xlpm.bc="",_xlpm.bc="мс")),Марка_пож,IF(AND(_xlpm.bc="",BC285&lt;&gt;""),"мс",_xlpm.bc))))</f>
        <v/>
      </c>
      <c r="BT285" t="str">
        <f t="shared" si="507"/>
        <v>мс</v>
      </c>
      <c r="BU285">
        <f>IF(B285="","",_xlfn.LET(_xlpm.cc,IFERROR(N(VLOOKUP(AX285,Потребители_обозначение,7,FALSE)),0),IF(_xlpm.cc&gt;0,_xlpm.cc,IF(BT285="","",IF(N(BR285)=3,5,3)))))</f>
        <v>3</v>
      </c>
      <c r="BV285">
        <f t="shared" si="508"/>
        <v>3</v>
      </c>
      <c r="BW285">
        <f>IFERROR(N(VLOOKUP(AX285,Потребители_обозначение,10,FALSE)),0)</f>
        <v>0</v>
      </c>
      <c r="BX285">
        <f>IFERROR(VLOOKUP(AX285,Потребители_обозначение,5,FALSE),0)</f>
        <v>1</v>
      </c>
      <c r="BY285" s="6" cm="1">
        <f t="array" ref="BY285">IF(B285="","",IF(BC285&lt;&gt;"",IFERROR(_xlfn.XLOOKUP(BC285,Щиты[Щит],Щиты[cos φ]),0.95),IF(BK285=1,IFERROR(_xlfn.XLOOKUP(A285,Щиты[Щит],Щиты[cos φ]),0.95),IF(ISNUMBER(Z285),Z285,IFERROR(IF(BX285=2,_xlfn.IFS(BR285=3,VLOOKUP(BN285,Справочная_двигатели,8,FALSE),BR285=1,VLOOKUP(BN285,Справочная_двигатели,10,TRUE)),IF(AND(Методика="нормы 2026",EQ285="Сил"),0.8,0.95)),0.95)))))</f>
        <v>0.95</v>
      </c>
      <c r="BZ285">
        <f t="shared" si="509"/>
        <v>0</v>
      </c>
      <c r="CA285">
        <f t="shared" si="510"/>
        <v>1</v>
      </c>
      <c r="CB285">
        <f t="shared" si="511"/>
        <v>0</v>
      </c>
      <c r="CC285">
        <f t="shared" si="512"/>
        <v>0</v>
      </c>
      <c r="CD285">
        <f t="shared" si="513"/>
        <v>0</v>
      </c>
      <c r="CE285">
        <f t="shared" si="514"/>
        <v>0</v>
      </c>
      <c r="CF285">
        <f t="shared" si="515"/>
        <v>0</v>
      </c>
      <c r="CG285">
        <f>IF(AX285="",0,_xlfn.LET(_xlpm.v,IFERROR(VLOOKUP(B285,УГО_спр,3,FALSE),IFERROR(VLOOKUP(AX285,УГО_спр,3,FALSE),IFERROR(VLOOKUP(LEFT(AX285,2),УГО_спр,3,FALSE),""))),IF(_xlpm.v="да",30,IF(ISNUMBER(_xlpm.v),_xlpm.v,0))))</f>
        <v>30</v>
      </c>
      <c r="CH285">
        <f t="shared" si="516"/>
        <v>30</v>
      </c>
      <c r="CI285" t="str">
        <f>_xlfn.LET(_xlpm.k,IFERROR(_xlfn.XLOOKUP(AX285,Коды_код,Коды_утечка)&amp;"",""),IF(_xlpm.k="","дифавтомат",_xlpm.k))</f>
        <v>дифавтомат</v>
      </c>
      <c r="CJ285">
        <f t="shared" si="517"/>
        <v>30</v>
      </c>
      <c r="CK285">
        <f t="shared" si="518"/>
        <v>30</v>
      </c>
      <c r="CL285">
        <f>IF(B285="",0,IFERROR(--VLOOKUP(B285,УГО_спр,4,FALSE),IFERROR(--VLOOKUP(AX285,УГО_спр,4,FALSE),IFERROR(--VLOOKUP(LEFT(AX285,2),УГО_спр,4,FALSE),0))))</f>
        <v>16</v>
      </c>
      <c r="CM285" t="str">
        <f>IF(B285="","",IFERROR(_xlfn.XLOOKUP(AX285,Коды_код,Коды_апп)&amp;"",""))</f>
        <v/>
      </c>
      <c r="CN285" t="str">
        <f t="shared" si="519"/>
        <v/>
      </c>
      <c r="CO285" t="str" cm="1">
        <f t="array" ref="CO285">IF(TRIM(CN285&amp;"")="","",IFERROR(TRIM(INDEX(_xlfn.TEXTSPLIT(CN285&amp;";;;",";"),1)),""))</f>
        <v/>
      </c>
      <c r="CP285" t="str" cm="1">
        <f t="array" ref="CP285">IF(TRIM(CN285&amp;"")="","",IFERROR(TRIM(INDEX(_xlfn.TEXTSPLIT(CN285&amp;";;;",";"),2)),""))</f>
        <v/>
      </c>
      <c r="CQ285" t="str" cm="1">
        <f t="array" ref="CQ285">IF(TRIM(CN285&amp;"")="","",IFERROR(TRIM(INDEX(_xlfn.TEXTSPLIT(CN285&amp;";;;",";"),3)),""))</f>
        <v/>
      </c>
      <c r="CR285">
        <f t="shared" si="520"/>
        <v>0</v>
      </c>
      <c r="CS285" t="str">
        <f>IF(B285="","",_xlfn.LET(_xlpm.t,LOWER(AV285&amp;""),IF(ISNUMBER(SEARCH("dim",_xlpm.t)),"DIM",IF(ISNUMBER(SEARCH("dali",_xlpm.t)),"DALI",IF(OR(ISNUMBER(SEARCH("relay",_xlpm.t)),ISNUMBER(SEARCH("реле",_xlpm.t))),"Relay",IF(ISNUMBER(SEARCH("кнопк",_xlpm.t)),"",IFERROR(_xlfn.XLOOKUP(AX285,Коды_код,Коды_упр)&amp;"","")))))))</f>
        <v/>
      </c>
      <c r="CT285" t="str">
        <f t="shared" si="521"/>
        <v/>
      </c>
      <c r="CU285">
        <f>IF(B285="","",_xlfn.LET(_xlpm.ig,N(P285)+IF(AF285="вручную",0,N(CB285)),_xlpm.n0,IFERROR(VLOOKUP(_xlpm.ig,Автомат_номиналы,2,TRUE),0),_xlpm.mn,MAX(CL285,IF(AF285="вручную",0,N(CE285))),MAX(_xlpm.n0,_xlpm.mn,IF(CR285=1,Мин_автомат_БП,0))))</f>
        <v>16</v>
      </c>
      <c r="CV285">
        <f t="shared" si="522"/>
        <v>1</v>
      </c>
      <c r="CW285" t="str">
        <f t="shared" si="523"/>
        <v>2P</v>
      </c>
      <c r="CX285" t="str">
        <f>_xlfn.LET(_xlpm.cc,UPPER(TRIM(IFERROR(_xlfn.XLOOKUP(AX285,Коды_код,Коды_хар)&amp;"",""))),IF(OR(_xlpm.cc="B",_xlpm.cc="В"),"B",IF(_xlpm.cc="D","D","С")))</f>
        <v>С</v>
      </c>
      <c r="CY285" t="str">
        <f t="shared" si="524"/>
        <v>2P С16А 30мА</v>
      </c>
      <c r="CZ285">
        <f t="shared" si="525"/>
        <v>16</v>
      </c>
      <c r="DA285" t="str">
        <f t="shared" si="526"/>
        <v>2P С16А 30мА</v>
      </c>
      <c r="DB285" cm="1">
        <f t="array" ref="DB285">IF(DA285="","",_xlfn.LET(_xlpm.t,SUBSTITUTE(SUBSTITUTE(SUBSTITUTE(UPPER(DA285),"С","C"),"А","A"),"В","B"),_xlpm.tk,_xlfn.TEXTSPLIT(_xlpm.t,"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5" t="str">
        <f t="shared" si="527"/>
        <v>ok</v>
      </c>
      <c r="DD285">
        <f t="shared" si="528"/>
        <v>16</v>
      </c>
      <c r="DE285" t="str">
        <f t="shared" si="529"/>
        <v>2P С16А 30мА</v>
      </c>
      <c r="DF285">
        <f t="shared" si="530"/>
        <v>30</v>
      </c>
      <c r="DG285">
        <f t="shared" si="531"/>
        <v>1</v>
      </c>
      <c r="DH285">
        <f t="shared" si="532"/>
        <v>0</v>
      </c>
      <c r="DI285">
        <f t="shared" si="533"/>
        <v>0.8204451193747313</v>
      </c>
      <c r="DJ285">
        <f t="shared" si="534"/>
        <v>1</v>
      </c>
      <c r="DK285">
        <f>IF(ISNUMBER(AL285),AL285,К_прокл)</f>
        <v>1</v>
      </c>
      <c r="DL285">
        <f t="shared" si="535"/>
        <v>2</v>
      </c>
      <c r="DM285">
        <f>IFERROR(N(VLOOKUP(BT285,Кабель_обозначение,3,FALSE)),1)</f>
        <v>1</v>
      </c>
      <c r="DN285">
        <f>IFERROR(N(_xlfn.XLOOKUP(A285,Щиты[Щит],Щиты[ΔU до шин, %])),0)</f>
        <v>1.79</v>
      </c>
      <c r="DO285" t="str">
        <f>IFERROR(_xlfn.XLOOKUP(A285,Щиты[Щит],Щиты[Zпетли на шинах, Ом]),"")</f>
        <v/>
      </c>
      <c r="DP285">
        <f>IFERROR(N(_xlfn.XLOOKUP(A285,Щиты[Щит],Щиты[ΔU до шин (подбор), %])),0)</f>
        <v>4.75</v>
      </c>
      <c r="DQ285" t="str">
        <f>IFERROR(_xlfn.XLOOKUP(A285,Щиты[Щит],Щиты[Zпетли на шинах (подбор), Ом]),"")</f>
        <v/>
      </c>
      <c r="DR285" t="str">
        <f t="shared" si="536"/>
        <v/>
      </c>
      <c r="DS285">
        <f t="shared" si="537"/>
        <v>47</v>
      </c>
      <c r="DT285">
        <f t="shared" si="538"/>
        <v>2</v>
      </c>
      <c r="DU285">
        <f t="shared" si="539"/>
        <v>0.31</v>
      </c>
      <c r="DV285" s="6">
        <f>IF(B285="","",IF(IFERROR(VLOOKUP(AX285,УГО_спр,2,FALSE),"")="Светильник",3,4)+IF(Методика="нормы 2026",MIN(0.5,MAX(0,N(Q285)-100)*0.005),0))</f>
        <v>4</v>
      </c>
      <c r="DW285" t="str" cm="1">
        <f t="array" ref="DW285">IF(OR(B285="",BT285="",DM285&lt;&gt;1),"",_xlfn.LET(_xlpm.sz,Iдоп_S,_xlpm.t_,CHOOSE(DL285,Iдоп_1ж,Iдоп_2ж,Iдоп_3ж)*DJ285*DK285,_xlpm.inn,N(DD285),_xlpm.smin,MAX(1.5,BW285),_xlpm.L_,N(Q285)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285)*(_xlpm.rho*_xlpm.L_/_xlpm.sz*N(BY285)+_xlpm.xx*_xlpm.L_*N(DU285)/1000)*N(P285)/((Uн_лин/SQRT(3))*1000)*100,999),_xlpm.kz,IF(OR(DG285=1,NOT(ISNUMBER(DQ285)),_xlpm.L_=0,_xlpm.inn=0),1,IFERROR(--(c_min*(Uн_лин*1000/SQRT(3))/(DQ285+2*ρкз_Cu*_xlpm.L_/_xlpm.sz)&gt;=GY285*_xlpm.inn),0)),_xlpm.ok,IFERROR((_xlpm.sz&gt;=_xlpm.smin)*(_xlpm.t_&gt;=_xlpm.inn)*IF(_xlpm.L_&gt;0,(_xlpm.du_+DP285&lt;=DV285+0.00001),1)*_xlpm.kz,0),_xlpm.r_,_xlfn._xlws.FILTER(_xlpm.sz,_xlpm.ok,"не подобрано"),INDEX(_xlpm.r_,1)))</f>
        <v>не подобрано</v>
      </c>
      <c r="DX285">
        <f t="shared" si="540"/>
        <v>2.5</v>
      </c>
      <c r="DY285" cm="1">
        <f t="array" ref="DY285">IF(OR(B285="",BT285="",DM285&lt;&gt;1),"",_xlfn.LET(_xlpm.sz,Iдоп_S,_xlpm.t_,CHOOSE(DL285,Iдоп_1ж,Iдоп_2ж,Iдоп_3ж)*DJ285*DK285,_xlpm.ok,IFERROR((_xlpm.sz&gt;=MAX(1.5,BW285))*(_xlpm.t_&gt;=N(DD285)),0),_xlpm.r_,_xlfn._xlws.FILTER(_xlpm.sz,_xlpm.ok,""),INDEX(_xlpm.r_,1)))</f>
        <v>1.5</v>
      </c>
      <c r="DZ285" s="6" cm="1">
        <f t="array" ref="DZ285">IFERROR(ROUNDUP(N(DT285)*(_xlfn.XLOOKUP(DY285,INDEX(Кабель_сопротивление,0,1),INDEX(Кабель_сопротивление,0,3))*N(Q285)/DY285*N(BY285)+_xlfn.XLOOKUP(DY285,INDEX(Кабель_сопротивление,0,1),INDEX(Кабель_сопротивление,0,2))*N(Q285)*N(DU285)/1000)*N(P285)/((Uн_лин/SQRT(3))*1000)*100,2),"")</f>
        <v>0.63</v>
      </c>
      <c r="EA285">
        <f>IFERROR(2*ρкз_Cu*N(Q285)/DY285,"")</f>
        <v>2.1741333333333333</v>
      </c>
      <c r="EB285">
        <f>IFERROR(VLOOKUP(DX285,Кабель_сопротивление,3,FALSE),"")</f>
        <v>2.2499999999999999E-2</v>
      </c>
      <c r="EC285">
        <f>IFERROR(VLOOKUP(DX285,Кабель_сопротивление,2,FALSE),"")</f>
        <v>0.1</v>
      </c>
      <c r="ED285">
        <f t="shared" si="541"/>
        <v>44</v>
      </c>
      <c r="EE285">
        <f t="shared" si="542"/>
        <v>58</v>
      </c>
      <c r="EF285">
        <f t="shared" si="543"/>
        <v>0.87298970659996655</v>
      </c>
      <c r="EG285" s="6">
        <f>IFERROR(ROUNDUP(EF285/((Uн_лин/SQRT(3))*1000)*100,2),"")</f>
        <v>0.38</v>
      </c>
      <c r="EH285" t="str">
        <f>IFERROR(VLOOKUP(BT285,Кабель_обозначение,2,FALSE),"")</f>
        <v>ВВГнг(А)-LS</v>
      </c>
      <c r="EI285" t="str">
        <f t="shared" si="544"/>
        <v>ВВГнг(А)-LS (3х2,5)</v>
      </c>
      <c r="EJ285" t="str">
        <f t="shared" si="545"/>
        <v>ВВГнг(А)-LS (3х2,5)
L=62-0,38%</v>
      </c>
      <c r="EK285">
        <f>IFERROR(2*ρкз_Cu*Q285/DX285,"")</f>
        <v>1.3044800000000001</v>
      </c>
      <c r="EL285">
        <f t="shared" si="546"/>
        <v>0.43400000000000005</v>
      </c>
      <c r="EM285" s="6" t="str">
        <f>IFERROR(IF(OR(B285="",NOT(ISNUMBER(DX285)),N(Q285)=0),"",_xlfn.XLOOKUP(A285,Щиты[Щит],Щиты[Zпетли на шинах, Ом])+EK285),"")</f>
        <v/>
      </c>
      <c r="EN285" s="6" t="str">
        <f>IF(ISNUMBER(EM285),c_min*(Uн_лин*1000/SQRT(3))/EM285,"")</f>
        <v/>
      </c>
      <c r="EO285" s="6" t="str">
        <f>IFERROR(IF(OR(B285="",NOT(ISNUMBER(DX285))),"",1.05*(Uн_лин*1000/SQRT(3))/(_xlfn.XLOOKUP(A285,Щиты[Щит],Щиты[Zmax на шинах, Ом])+EL285)/1000),"")</f>
        <v/>
      </c>
      <c r="EP285" s="6" t="str">
        <f>IF(B285="","",IF(ISNUMBER(Y285),"Сил",IF(IFERROR(_xlfn.XLOOKUP(AX285,Коды_код,Коды_группа)&amp;"","")="","Быт",_xlfn.XLOOKUP(AX285,Коды_код,Коды_группа)&amp;"")))</f>
        <v>Быт</v>
      </c>
      <c r="EQ285" s="6" t="str">
        <f t="shared" si="547"/>
        <v>Быт</v>
      </c>
      <c r="ER285" s="6">
        <f>IF(EQ285="Щит","щит",IF(EQ285="","",IF(EQ285="Быт",IFERROR(_xlfn.XLOOKUP(A285,Щиты[Щит],Щиты[Кс быт]),1),IF(EQ285="Сил",IF(ISNUMBER(Y285),Y285,IF(Методика="нормы 2026",IFERROR(_xlfn.XLOOKUP(A285,Щиты[Щит],Щиты[Кс силовых (табл. 7.5)]),1),1)),IF(OR(EQ285="Пост",EQ285="Отоп"),1,IF(EQ285="ВНГ",0.7,0))))))</f>
        <v>0.8</v>
      </c>
      <c r="ES285">
        <f t="shared" si="548"/>
        <v>1</v>
      </c>
      <c r="ET285">
        <f t="shared" si="549"/>
        <v>0.18</v>
      </c>
      <c r="EU285">
        <f t="shared" si="550"/>
        <v>0.18</v>
      </c>
      <c r="EV285">
        <f t="shared" si="551"/>
        <v>0</v>
      </c>
      <c r="EW285">
        <f t="shared" si="552"/>
        <v>0</v>
      </c>
      <c r="EX285">
        <f t="shared" si="553"/>
        <v>0</v>
      </c>
      <c r="EY285">
        <f t="shared" si="554"/>
        <v>0</v>
      </c>
      <c r="EZ285">
        <f t="shared" si="555"/>
        <v>0.18</v>
      </c>
      <c r="FA285">
        <f t="shared" si="556"/>
        <v>0.17099999999999999</v>
      </c>
      <c r="FB285">
        <f t="shared" si="557"/>
        <v>0.18</v>
      </c>
      <c r="FC285" t="str">
        <f t="shared" si="558"/>
        <v>L1</v>
      </c>
      <c r="FD285" t="str">
        <f>IF(B285="","",IF(CA285=0,IF(AW285=1,"",FF284),IF(OR(N(CV285)&gt;=3,N(BR285)&gt;=3),"L1,L2,L3",IFERROR(_xlfn.TEXTBEFORE(_xlfn.TEXTAFTER(_xlfn.XLOOKUP(A285,Щиты[Щит],Щиты[_фазы авто]),";"&amp;AW285&amp;":"),";"),"L1"))))</f>
        <v>L1</v>
      </c>
      <c r="FE285" t="str">
        <f t="shared" si="559"/>
        <v>L1</v>
      </c>
      <c r="FF285" t="str">
        <f t="shared" si="560"/>
        <v>L1</v>
      </c>
      <c r="FG285" cm="1">
        <f t="array" ref="FG285">IFERROR(IF(BX285=2,_xlfn.IFS(BR285=3,VLOOKUP(BN285,Справочная_двигатели,3,FALSE),BR285=1,VLOOKUP(BN285,Справочная_двигатели,5,TRUE)),0),0)</f>
        <v>0</v>
      </c>
      <c r="FH285">
        <f>IFERROR(IF(BX285=3,VLOOKUP(BN285,Справочная_ЛЭД,2,TRUE),0),0)</f>
        <v>0</v>
      </c>
      <c r="FI285" s="6">
        <f t="shared" si="561"/>
        <v>0</v>
      </c>
      <c r="FJ285" t="str" cm="1">
        <f t="array" ref="FJ285">IF(B285="","",IFERROR(INDEX({"I особая","I","II","III"},MATCH(TRIM(AC285&amp;""),{"I особая","I","II","III"},0)),"III"))</f>
        <v>II</v>
      </c>
      <c r="FK285" t="str">
        <f>IF(B285="","",IF(TRIM(AD285&amp;"")&lt;&gt;"",IF(LOWER(TRIM(AD285&amp;""))="да","да","нет"),IF(IFERROR(_xlfn.XLOOKUP(AX285,Коды_код,Коды_пожарная),"")="да","да","нет")))</f>
        <v>нет</v>
      </c>
      <c r="FL285" t="str">
        <f t="shared" si="562"/>
        <v/>
      </c>
      <c r="FM285" t="str">
        <f t="shared" si="563"/>
        <v>основная</v>
      </c>
      <c r="FN285">
        <f t="shared" si="564"/>
        <v>1</v>
      </c>
      <c r="FO285" t="str" cm="1">
        <f t="array" ref="FO285">IF(B285="","",_xlfn.LET(_xlpm.t,IFERROR(_xlfn.XLOOKUP(1,(Шины[Шина]=FM285)*(((Шины[Щит]=A285)+(Шины[Щит]=""))&gt;0),Шины[Тип]),"")&amp;"",IF(_xlpm.t&lt;&gt;"",_xlpm.t,IF(ISNUMBER(SEARCH("ИБП",FM285)),"ИБП",IF(ISNUMBER(SEARCH("ДГУ",FM285)),"ДГУ","Ввод "&amp;FN285)))))</f>
        <v>Ввод 1</v>
      </c>
      <c r="FP285" t="str">
        <f t="shared" si="565"/>
        <v>Ввод 1</v>
      </c>
      <c r="FQ285" t="str">
        <f>IF(B285="","",IF(OR(FO285="ИБП",FO285="ДГУ"),"I особая",IF(FO285="Одиночная","III",_xlfn.XLOOKUP(A285,Щиты[Щит],Щиты[Категория шины «Ввод»],"III"))))</f>
        <v>II</v>
      </c>
      <c r="FR285">
        <f>IF(B285="",0,IFERROR(MATCH(FJ285,{"III","II","I","I особая"},0),1))</f>
        <v>2</v>
      </c>
      <c r="FS285">
        <f t="shared" si="566"/>
        <v>2</v>
      </c>
      <c r="FT285" t="str">
        <f>IF(B285="","",IF(FR285&gt;IFERROR(MATCH(FQ285,{"III","II","I","I особая"},0),1),"НЕ ОБЕСПЕЧЕНА","ОК"))</f>
        <v>ОК</v>
      </c>
      <c r="FU285" t="str">
        <f>IF(A285="","",_xlfn.XLOOKUP(A285,Щиты[Щит],Щиты[Путь],""))</f>
        <v>|ГРЩ-ЖД|ЩР-2|</v>
      </c>
      <c r="FV285" t="str">
        <f>IF(B285="","",IF(AE285&lt;&gt;"",AE285,IF(IFERROR(_xlfn.XLOOKUP(AX285,Коды_код,Коды_вид)&amp;"","")="","Прочее",_xlfn.XLOOKUP(AX285,Коды_код,Коды_вид)&amp;"")))</f>
        <v>Розеточная сеть и бытовые приборы</v>
      </c>
      <c r="FW285">
        <f>IF(BH285="","",INT((BH285-1)/Столбцов_на_лист)+1)</f>
        <v>2</v>
      </c>
      <c r="FX285" t="str">
        <f t="shared" si="567"/>
        <v>ВВГнг(А)-LS (3х2,5) L=62-0,38%</v>
      </c>
      <c r="FY285">
        <f t="shared" si="568"/>
        <v>0.18</v>
      </c>
      <c r="FZ285">
        <f t="shared" si="569"/>
        <v>0.83</v>
      </c>
      <c r="GA285">
        <f t="shared" si="570"/>
        <v>1</v>
      </c>
      <c r="GB285">
        <f t="shared" si="571"/>
        <v>0</v>
      </c>
      <c r="GC285">
        <f t="shared" si="572"/>
        <v>1</v>
      </c>
      <c r="GD285">
        <f>IF(BH285="","",IF(AND(CA285=1,GC285=1),COUNTIFS(A$3:A285,A285,CA$3:CA285,1,GC$3:GC285,1),IF(OR(OR(AW285=1,A285&lt;&gt;A284),AF285="вручную",GC285=0),"",IF(AW285=1,"",GE284))))</f>
        <v>2</v>
      </c>
      <c r="GE285">
        <f t="shared" si="573"/>
        <v>2</v>
      </c>
      <c r="GF285">
        <f>IF(B285="","",IFERROR(LOOKUP(INDEX(CHOOSE(DL285,Iдоп_1ж,Iдоп_2ж,Iдоп_3ж),MATCH(DX285,Iдоп_S,0))*DJ285*DK285,{6,10,16,20,25,32,40,50,63,80,100,125,160,200,250,315,400,500,630}),""))</f>
        <v>25</v>
      </c>
      <c r="GG285" t="str">
        <f t="shared" si="574"/>
        <v>QFD2</v>
      </c>
      <c r="GH285" t="str">
        <f t="shared" si="575"/>
        <v>QFD2</v>
      </c>
      <c r="GI285" t="str">
        <f t="shared" si="576"/>
        <v/>
      </c>
      <c r="GJ285">
        <f t="shared" si="577"/>
        <v>0</v>
      </c>
      <c r="GK285" t="str">
        <f>IF(OR(AG285="",AG285="-"),"",IFERROR(VLOOKUP(AG285,Модули_спр,2,FALSE),"R"))</f>
        <v/>
      </c>
      <c r="GL285" t="str">
        <f>IF(GK285="","",GK285&amp;"."&amp;COUNTIFS(A$3:A285,A285,GK$3:GK285,GK285))</f>
        <v/>
      </c>
      <c r="GM285" t="str">
        <f t="shared" si="578"/>
        <v/>
      </c>
      <c r="GN285" t="str">
        <f t="shared" si="579"/>
        <v/>
      </c>
      <c r="GO285" t="str">
        <f t="shared" si="580"/>
        <v/>
      </c>
      <c r="GP285" t="str">
        <f t="shared" si="581"/>
        <v/>
      </c>
      <c r="GQ285">
        <f t="shared" si="582"/>
        <v>1</v>
      </c>
      <c r="GR285" t="str">
        <f>IF(GQ285=1,"XT"&amp;COUNTIFS(A$3:A285,A285,GQ$3:GQ285,1),"")</f>
        <v>XT2</v>
      </c>
      <c r="GS285" t="str">
        <f t="shared" si="583"/>
        <v>XT2</v>
      </c>
      <c r="GT285" t="str">
        <f t="shared" si="584"/>
        <v>QFD2</v>
      </c>
      <c r="GU285" t="str">
        <f t="shared" si="585"/>
        <v/>
      </c>
      <c r="GV285" t="str">
        <f t="shared" si="586"/>
        <v>ok</v>
      </c>
      <c r="GW285" t="str">
        <f>IF(OR(GO285="",GM285=""),"",IF(GO285&gt;IFERROR(VLOOKUP(GN285,Модули_спр,3,FALSE),99),"ЛИШНИЙ КАНАЛ",IF(AND(AH285&lt;&gt;"=",COUNTIFS(Линии[_модуль гр.],GM285,Линии[Канал (итог)],GO285,Линии[Канал],"&lt;&gt;=",Линии[Щит],A285)&gt;1),"ДУБЛЬ КАНАЛА","")))</f>
        <v/>
      </c>
      <c r="GX285" s="6" t="str">
        <f t="shared" si="587"/>
        <v/>
      </c>
      <c r="GY285">
        <f t="shared" si="588"/>
        <v>10</v>
      </c>
      <c r="GZ285" t="str">
        <f t="shared" si="589"/>
        <v/>
      </c>
      <c r="HA285" t="str">
        <f>IF(AND(B285="",GT285=""),"",_xlfn.TEXTJOIN("; ",TRUE,IF(AND(B285&lt;&gt;"",FE285=""),"нет фазы",""),IF(AND(B285&lt;&gt;"",N(FY285)=0,EQ285&lt;&gt;"Нет"),"нет мощности",""),IF(AND(GS285&lt;&gt;"",COUNTIFS(Линии[Щит],A285,Линии[Клемма (итог)],GS285)&gt;1),"дубль клеммы "&amp;GS285,""),IF(AND(GV285&lt;&gt;"",GV285&lt;&gt;"ok"),GV285,""),IF(GW285&lt;&gt;"",GW285,""),IF(AND(N(BV285)&gt;=4,N(BR285)=1),BV285&amp;" жил на 1 фазе",""),IF(AND(AX285="R",CA285=1,OR(N(CK285)=0,N(CK285)&gt;30)),"розетка без дифзащиты до 30 мА",""),IFERROR(IF(AND(ISNUMBER(R285),R285&gt;DV285),"потери "&amp;FIXED(R285,1)&amp;" % &gt; "&amp;DV285&amp;" %",""),""),IFERROR(IF(LEFT(GZ285,4)="мало","Iкз мало — отключение &gt; 0,4 с",""),""),IF(AND(B285&lt;&gt;"",BH285=""),"не на схеме",""),IF(AND(CA285=0,B285&lt;&gt;"",FE285&lt;&gt;"",IF(AW285=1,"",FF284)&lt;&gt;"",FE285&lt;&gt;IF(AW285=1,"",FF284)),"фаза не как у автомата группы ("&amp;IF(AW285=1,"",FF284)&amp;")","")))</f>
        <v/>
      </c>
      <c r="HB285" s="6">
        <f>IF(OR(CA285=0,DA285=""),"",_xlfn.LET(_xlpm.t,IFERROR(_xlfn.XLOOKUP(DA285,Каталог!$U$4:$U$500,Каталог!$G$4:$G$500),""),_xlpm.k,SEARCH("кА",_xlpm.t),IFERROR(--TRIM(RIGHT(SUBSTITUTE(MID(_xlpm.t,MAX(1,_xlpm.k-4),_xlpm.k-MAX(1,_xlpm.k-4))," ",REPT(" ",9)),5)),"")))</f>
        <v>6</v>
      </c>
      <c r="HC285" t="str">
        <f>IF(OR(HB285="",CA285=0),"",IF(_xlfn.XLOOKUP(A285,Щиты[Щит],Щиты[Iкз max на шинах, кА],"")="","",IF(HB285&lt;_xlfn.XLOOKUP(A285,Щиты[Щит],Щиты[Iкз max на шинах, кА]),"Icu "&amp;HB285&amp;" кА &lt; Iкз max","ok")))</f>
        <v/>
      </c>
      <c r="HD285" t="str">
        <f t="shared" si="590"/>
        <v/>
      </c>
      <c r="HE285" t="str">
        <f t="shared" si="591"/>
        <v>QFD2|XT2</v>
      </c>
      <c r="HF285" t="str">
        <f t="shared" si="592"/>
        <v>QFD2|XT2|кабель ВВГнг(А)-LS (3х2,5) → Розеточная группа, пом. 003А</v>
      </c>
      <c r="HG285" t="str" cm="1">
        <f t="array" ref="HG285">IF(HF285="","",_xlfn.LET(_xlpm.nd,_xlfn.TEXTSPLIT(HF285,"|"),IF(COLUMNS(_xlpm.nd)&gt;1,A285&amp;"¦"&amp;INDEX(_xlpm.nd,1)&amp;"¦"&amp;INDEX(_xlpm.nd,2),"")))</f>
        <v>ЩР-2¦QFD2¦XT2</v>
      </c>
      <c r="HH285" t="str">
        <f t="shared" si="593"/>
        <v>R.2.003А.1¦Розеточная группа, пом. 003А</v>
      </c>
      <c r="HI285" t="str" cm="1">
        <f t="array" ref="HI285">IF(HF285="","",_xlfn.LET(_xlpm.nd,_xlfn.TEXTSPLIT(HF285,"|"),IF(COLUMNS(_xlpm.nd)&gt;2,A285&amp;"¦"&amp;INDEX(_xlpm.nd,2)&amp;"¦"&amp;INDEX(_xlpm.nd,3),"")))</f>
        <v>ЩР-2¦XT2¦кабель ВВГнг(А)-LS (3х2,5) → Розеточная группа, пом. 003А</v>
      </c>
      <c r="HJ285" t="str">
        <f t="shared" si="594"/>
        <v>R.2.003А.1¦Розеточная группа, пом. 003А</v>
      </c>
      <c r="HK285" t="str" cm="1">
        <f t="array" ref="HK285">IF(HF285="","",_xlfn.LET(_xlpm.nd,_xlfn.TEXTSPLIT(HF285,"|"),IF(COLUMNS(_xlpm.nd)&gt;3,A285&amp;"¦"&amp;INDEX(_xlpm.nd,3)&amp;"¦"&amp;INDEX(_xlpm.nd,4),"")))</f>
        <v/>
      </c>
      <c r="HL285" t="str">
        <f t="shared" si="595"/>
        <v/>
      </c>
      <c r="HM285" t="str" cm="1">
        <f t="array" ref="HM285">IF(HF285="","",_xlfn.LET(_xlpm.nd,_xlfn.TEXTSPLIT(HF285,"|"),IF(COLUMNS(_xlpm.nd)&gt;4,A285&amp;"¦"&amp;INDEX(_xlpm.nd,4)&amp;"¦"&amp;INDEX(_xlpm.nd,5),"")))</f>
        <v/>
      </c>
      <c r="HN285" t="str">
        <f t="shared" si="596"/>
        <v/>
      </c>
      <c r="HO285" t="str" cm="1">
        <f t="array" ref="HO285">IF(HF285="","",_xlfn.LET(_xlpm.nd,_xlfn.TEXTSPLIT(HF285,"|"),IF(COLUMNS(_xlpm.nd)&gt;5,A285&amp;"¦"&amp;INDEX(_xlpm.nd,5)&amp;"¦"&amp;INDEX(_xlpm.nd,6),"")))</f>
        <v/>
      </c>
      <c r="HP285" t="str">
        <f t="shared" si="597"/>
        <v/>
      </c>
      <c r="HQ285" t="str" cm="1">
        <f t="array" ref="HQ285">IF(HF285="","",_xlfn.LET(_xlpm.nd,_xlfn.TEXTSPLIT(HF285,"|"),IF(COLUMNS(_xlpm.nd)&gt;6,A285&amp;"¦"&amp;INDEX(_xlpm.nd,6)&amp;"¦"&amp;INDEX(_xlpm.nd,7),"")))</f>
        <v/>
      </c>
      <c r="HR285" t="str">
        <f t="shared" si="598"/>
        <v/>
      </c>
      <c r="HS285" t="str">
        <f t="shared" si="599"/>
        <v/>
      </c>
      <c r="HT285" t="str">
        <f t="shared" si="600"/>
        <v>QFD2 → XT2</v>
      </c>
      <c r="HU285">
        <f t="shared" si="601"/>
        <v>0</v>
      </c>
      <c r="HV285">
        <f t="shared" si="602"/>
        <v>1</v>
      </c>
      <c r="HW285" t="str">
        <f t="shared" si="603"/>
        <v/>
      </c>
      <c r="HX285" t="str">
        <f t="shared" si="604"/>
        <v/>
      </c>
      <c r="HY285" t="str">
        <f t="shared" si="605"/>
        <v/>
      </c>
      <c r="HZ285" t="str">
        <f t="shared" si="606"/>
        <v/>
      </c>
      <c r="IA285" t="str">
        <f>IF(B285="","",IFERROR(VLOOKUP(B285,УГО_спр,2,FALSE),IFERROR(VLOOKUP(AX285,УГО_спр,2,FALSE),IFERROR(VLOOKUP(LEFT(AX285,2),УГО_спр,2,FALSE),""))))</f>
        <v>Розетка</v>
      </c>
      <c r="IB285" t="str">
        <f>IF(B285="","",IF(OR(IA285="",IA285=0),"BOX",IFERROR(IF(VLOOKUP(IA285,УГО_блоки,3,FALSE)&amp;""&lt;&gt;"",VLOOKUP(IA285,УГО_блоки,3,FALSE),VLOOKUP(IA285,УГО_блоки,2,FALSE)),IA285)))</f>
        <v>SOCKET</v>
      </c>
      <c r="IC285">
        <f t="shared" si="607"/>
        <v>1</v>
      </c>
      <c r="ID285" t="str">
        <f>IF(DA285="","",IF(COUNTIF(DA$3:DA285,DA285)=1,MAX(ID$2:ID284)+1,""))</f>
        <v/>
      </c>
      <c r="IE285" t="str">
        <f>IF(CO285="","",IF(COUNTIF(CO$3:CO285,CO285)+COUNTIF(CP$2:CP284,CO285)+COUNTIF(CQ$2:CQ284,CO285)=1,MAX(IE$2:IG284)+1,""))</f>
        <v/>
      </c>
      <c r="IF285" t="str">
        <f>IF(CP285="","",IF(COUNTIF(CO$3:CO285,CP285)+COUNTIF(CP$3:CP285,CP285)+COUNTIF(CQ$2:CQ284,CP285)=1,MAX(IE$2:IG284,IE285)+1,""))</f>
        <v/>
      </c>
      <c r="IG285" t="str">
        <f>IF(CQ285="","",IF(COUNTIF(CO$3:CO285,CQ285)+COUNTIF(CP$3:CP285,CQ285)+COUNTIF(CQ$3:CQ285,CQ285)=1,MAX(IE$2:IG284,IE285,IF285)+1,""))</f>
        <v/>
      </c>
      <c r="IH285" t="str">
        <f t="shared" si="608"/>
        <v>3х2,5</v>
      </c>
      <c r="II285" t="str">
        <f>IF(IH285="","",IF(COUNTIF(IH$3:IH285,IH285)=1,MAX(II$2:II284)+1,""))</f>
        <v/>
      </c>
      <c r="IJ285" t="str">
        <f>IF(GL285="","",COUNTIF(GL$3:GL285,"?*"))</f>
        <v/>
      </c>
      <c r="IK285" t="str">
        <f>IF(OR(GL285="",GN285=""),"",IF(COUNTIFS(GL$3:GL285,"?*",GN$3:GN285,GN285)=1,MAX(IK$2:IK284)+1,""))</f>
        <v/>
      </c>
      <c r="IL285">
        <f t="shared" si="609"/>
        <v>0</v>
      </c>
      <c r="IM285">
        <f>IF(B285="","",COUNTIF(B$3:B285,"?*"))</f>
        <v>283</v>
      </c>
      <c r="IN285">
        <f>IF(GQ285&lt;&gt;1,0,_xlfn.LET(_xlpm.k,MAX(IFERROR(--VLOOKUP(B285,УГО_спр,5,FALSE),0),IFERROR(--VLOOKUP(AX285,УГО_спр,5,FALSE),0),IFERROR(--VLOOKUP(LEFT(AX285,2),УГО_спр,5,FALSE),0)),IF(_xlpm.k&gt;0,_xlpm.k,IF(IFERROR(--LEFT(SUBSTITUTE(IH285,"x","х"),FIND("х",SUBSTITUTE(IH285,"x","х"))-1),3)&gt;3,Каталог!$S$9,1))))</f>
        <v>1</v>
      </c>
      <c r="IO285">
        <f t="shared" si="610"/>
        <v>0</v>
      </c>
      <c r="IP285" t="str">
        <f t="shared" si="611"/>
        <v>авто</v>
      </c>
      <c r="IQ285">
        <f t="shared" si="612"/>
        <v>30</v>
      </c>
      <c r="IR285">
        <f t="shared" si="613"/>
        <v>1</v>
      </c>
      <c r="IS285">
        <f t="shared" si="614"/>
        <v>1</v>
      </c>
    </row>
    <row r="286" spans="1:253" x14ac:dyDescent="0.3">
      <c r="A286" t="s">
        <v>761</v>
      </c>
      <c r="B286" t="s">
        <v>1550</v>
      </c>
      <c r="C286" t="str">
        <f>Линии[[#This Row],[_авто наименование]]</f>
        <v>Розеточная группа, пом. 005А</v>
      </c>
      <c r="D286">
        <v>3</v>
      </c>
      <c r="E286">
        <v>0.3</v>
      </c>
      <c r="G286">
        <v>16</v>
      </c>
      <c r="H286">
        <f>Линии[[#This Row],[_авто утечка]]</f>
        <v>30</v>
      </c>
      <c r="I286" t="str">
        <f>Линии[[#This Row],[_авто управление]]</f>
        <v/>
      </c>
      <c r="J286" t="str">
        <f>Линии[[#This Row],[_авто аппараты]]</f>
        <v/>
      </c>
      <c r="K286">
        <v>2.5</v>
      </c>
      <c r="L286">
        <v>42</v>
      </c>
      <c r="M286">
        <v>2</v>
      </c>
      <c r="N286" t="str">
        <f>Линии[[#This Row],[_авто клемма]]</f>
        <v>XT3</v>
      </c>
      <c r="O286" t="str">
        <f t="shared" si="492"/>
        <v/>
      </c>
      <c r="P286" s="6" cm="1">
        <f t="array" ref="P286">IF(B286="","",IF(BC286&lt;&gt;"",IFERROR(_xlfn.XLOOKUP(BC286,Щиты[Щит],Щиты[Iр, А]),""),IF(BK286=1,IFERROR(_xlfn.XLOOKUP(A286,Щиты[Щит],Щиты[Iр, А]),""),IFERROR(_xlfn.IFS(BR286=1,BN286/((Uн_лин/SQRT(3))*BY286),BR286=3,BN286/(SQRT(3)*Uн_лин*BY286)),""))))</f>
        <v>1.3674085322912188</v>
      </c>
      <c r="Q286" s="7">
        <f>IF(B286="","",IFERROR(IF(VLOOKUP(AX286,Потребители_обозначение,4,FALSE)=1,VLOOKUP(AX286,Потребители_обозначение,3,FALSE)*(D286*2-1)+DS286+VLOOKUP(AZ286,Этаж_обозначение,3,FALSE)+VLOOKUP(AZ286,Этаж_обозначение,4,FALSE),VLOOKUP(AX286,Потребители_обозначение,3,FALSE)*(D286*2-1)+DS286),DS286))</f>
        <v>57</v>
      </c>
      <c r="R286" s="6">
        <f t="shared" si="493"/>
        <v>2.37</v>
      </c>
      <c r="S286" t="str">
        <f t="shared" si="494"/>
        <v>ВВГнг(А)-LS (3х2,5)</v>
      </c>
      <c r="T286" t="str">
        <f>IF(BH286="","",IF(BI286="вводной узел","узел ","")&amp;"л."&amp;(INT((BH286-1)/Столбцов_на_лист)+1)&amp;" / "&amp;(MOD(BH286-1,Столбцов_на_лист)+1))</f>
        <v>л.2 / 3</v>
      </c>
      <c r="V286">
        <v>1</v>
      </c>
      <c r="W286">
        <v>230</v>
      </c>
      <c r="X286" t="s">
        <v>564</v>
      </c>
      <c r="AC286" t="s">
        <v>815</v>
      </c>
      <c r="AE286" t="s">
        <v>563</v>
      </c>
      <c r="AI286">
        <v>20</v>
      </c>
      <c r="AJ286" t="s">
        <v>11</v>
      </c>
      <c r="AK286">
        <v>3</v>
      </c>
      <c r="AM286">
        <v>12</v>
      </c>
      <c r="AN286">
        <v>39</v>
      </c>
      <c r="AP286">
        <v>2</v>
      </c>
      <c r="AW286" cm="1">
        <f t="array" ref="AW286">ROW()-ROW(Линии[#Headers])</f>
        <v>284</v>
      </c>
      <c r="AX286" s="6" t="str">
        <f t="shared" si="495"/>
        <v>R</v>
      </c>
      <c r="AY286" t="str">
        <f t="shared" si="496"/>
        <v>2.005А.1</v>
      </c>
      <c r="AZ286" t="str">
        <f t="shared" si="497"/>
        <v>2</v>
      </c>
      <c r="BA286" t="str">
        <f t="shared" si="498"/>
        <v>005А.1</v>
      </c>
      <c r="BB286" t="str">
        <f t="shared" si="499"/>
        <v>005А</v>
      </c>
      <c r="BC286" t="str">
        <f>IF(U286&lt;&gt;"",U286,IF(AND(B286&lt;&gt;"",B286&lt;&gt;A286,ISNUMBER(_xlfn.XMATCH(B286,Щиты[Щит]))),B286,""))</f>
        <v/>
      </c>
      <c r="BD286" t="str" cm="1">
        <f t="array" ref="BD286">IF(B286="","",IF(BC286&lt;&gt;"","Щит "&amp;BC286,_xlfn.LET(_xlpm.nm,IFERROR(_xlfn.XLOOKUP(AX286,Коды_код,Коды_имя)&amp;"",""),_xlpm.md,IFERROR(N(_xlfn.XLOOKUP(AX286,Коды_код,Коды_режим)),1),_xlpm.ex,IF(Имя_режим="по экспликации",IFERROR(_xlfn.XLOOKUP(AZ286&amp;"|"&amp;BB286,Экспликация[Этаж]&amp;"|"&amp;Экспликация[Помещение],Экспликация[Название])&amp;"",""),""),_xlpm.rm,IF(BB286="","",IF(_xlpm.ex&lt;&gt;"",". "&amp;_xlpm.ex&amp;IF(Имя_пом="нет"," ("&amp;BB286&amp;")"," (пом. "&amp;BB286&amp;")"),IF(Имя_пом="нет"," ",", пом. ")&amp;BB286)),IF(_xlpm.nm="","",IF(_xlpm.md=2,_xlpm.nm&amp;" шлейф "&amp;AZ286,_xlpm.nm&amp;_xlpm.rm)))))</f>
        <v>Розеточная группа, пом. 005А</v>
      </c>
      <c r="BE286" t="str">
        <f t="shared" si="500"/>
        <v>Розеточная группа, пом. 005А</v>
      </c>
      <c r="BF286">
        <f>IFERROR(_xlfn.XMATCH(A286,Щиты[Щит]),0)</f>
        <v>11</v>
      </c>
      <c r="BG286">
        <f>_xlfn.LET(_xlpm.k,IFERROR(_xlfn.XLOOKUP(A286,Щиты[Щит],Щиты[Листов под вводной узел]),""),IF(_xlpm.k="",1,N(_xlpm.k))*Столбцов_на_лист)</f>
        <v>17</v>
      </c>
      <c r="BH286">
        <f t="shared" si="501"/>
        <v>20</v>
      </c>
      <c r="BI286" t="str">
        <f t="shared" si="502"/>
        <v>линии</v>
      </c>
      <c r="BJ286" s="6">
        <f>IFERROR(N(_xlfn.XLOOKUP(AX286,Коды_код,Коды_квт)),0)</f>
        <v>0</v>
      </c>
      <c r="BK286">
        <f t="shared" si="503"/>
        <v>0</v>
      </c>
      <c r="BL286" t="str">
        <f>IF(B286="","",IF(BC286&lt;&gt;"",IFERROR(_xlfn.XLOOKUP(BC286,Щиты[Щит],Щиты[Руст, кВт]),0),IF(BK286=1,IFERROR(_xlfn.XLOOKUP(A286,Щиты[Щит],Щиты[Руст, кВт]),0),IF(BJ286&gt;0,ROUND(BJ286*MAX(1,N(D286)),3),""))))</f>
        <v/>
      </c>
      <c r="BM286">
        <f t="shared" si="504"/>
        <v>0.3</v>
      </c>
      <c r="BN286" s="6">
        <f>IF(B286="","",IF(BC286&lt;&gt;"",IFERROR(_xlfn.XLOOKUP(BC286,Щиты[Щит],Щиты[Руст, кВт]),0),N(BM286)))</f>
        <v>0.3</v>
      </c>
      <c r="BO286" t="str">
        <f>IF(B286="","",IFERROR(IF(VLOOKUP(AX286,Потребители_обозначение,8,FALSE)=0,"",VLOOKUP(AX286,Потребители_обозначение,8,FALSE)),""))</f>
        <v/>
      </c>
      <c r="BP286">
        <f t="shared" si="505"/>
        <v>230</v>
      </c>
      <c r="BQ286">
        <f>IF(B286="","",IF(BC286&lt;&gt;"",3,IFERROR(IF(N(VLOOKUP(AX286,Потребители_обозначение,9,FALSE))=0,1,VLOOKUP(AX286,Потребители_обозначение,9,FALSE)),1)))</f>
        <v>1</v>
      </c>
      <c r="BR286">
        <f t="shared" si="506"/>
        <v>1</v>
      </c>
      <c r="BS286" t="str">
        <f>IF(B286="","",_xlfn.LET(_xlpm.bc,IFERROR(IF(VLOOKUP(AX286,Потребители_обозначение,6,FALSE)=0,"",VLOOKUP(AX286,Потребители_обозначение,6,FALSE)&amp;""),""),IF(AND(FK286="да",OR(_xlpm.bc="",_xlpm.bc="мс")),Марка_пож,IF(AND(_xlpm.bc="",BC286&lt;&gt;""),"мс",_xlpm.bc))))</f>
        <v/>
      </c>
      <c r="BT286" t="str">
        <f t="shared" si="507"/>
        <v>мс</v>
      </c>
      <c r="BU286">
        <f>IF(B286="","",_xlfn.LET(_xlpm.cc,IFERROR(N(VLOOKUP(AX286,Потребители_обозначение,7,FALSE)),0),IF(_xlpm.cc&gt;0,_xlpm.cc,IF(BT286="","",IF(N(BR286)=3,5,3)))))</f>
        <v>3</v>
      </c>
      <c r="BV286">
        <f t="shared" si="508"/>
        <v>3</v>
      </c>
      <c r="BW286">
        <f>IFERROR(N(VLOOKUP(AX286,Потребители_обозначение,10,FALSE)),0)</f>
        <v>0</v>
      </c>
      <c r="BX286">
        <f>IFERROR(VLOOKUP(AX286,Потребители_обозначение,5,FALSE),0)</f>
        <v>1</v>
      </c>
      <c r="BY286" s="6" cm="1">
        <f t="array" ref="BY286">IF(B286="","",IF(BC286&lt;&gt;"",IFERROR(_xlfn.XLOOKUP(BC286,Щиты[Щит],Щиты[cos φ]),0.95),IF(BK286=1,IFERROR(_xlfn.XLOOKUP(A286,Щиты[Щит],Щиты[cos φ]),0.95),IF(ISNUMBER(Z286),Z286,IFERROR(IF(BX286=2,_xlfn.IFS(BR286=3,VLOOKUP(BN286,Справочная_двигатели,8,FALSE),BR286=1,VLOOKUP(BN286,Справочная_двигатели,10,TRUE)),IF(AND(Методика="нормы 2026",EQ286="Сил"),0.8,0.95)),0.95)))))</f>
        <v>0.95</v>
      </c>
      <c r="BZ286">
        <f t="shared" si="509"/>
        <v>0</v>
      </c>
      <c r="CA286">
        <f t="shared" si="510"/>
        <v>1</v>
      </c>
      <c r="CB286">
        <f t="shared" si="511"/>
        <v>0</v>
      </c>
      <c r="CC286">
        <f t="shared" si="512"/>
        <v>0</v>
      </c>
      <c r="CD286">
        <f t="shared" si="513"/>
        <v>0</v>
      </c>
      <c r="CE286">
        <f t="shared" si="514"/>
        <v>0</v>
      </c>
      <c r="CF286">
        <f t="shared" si="515"/>
        <v>0</v>
      </c>
      <c r="CG286">
        <f>IF(AX286="",0,_xlfn.LET(_xlpm.v,IFERROR(VLOOKUP(B286,УГО_спр,3,FALSE),IFERROR(VLOOKUP(AX286,УГО_спр,3,FALSE),IFERROR(VLOOKUP(LEFT(AX286,2),УГО_спр,3,FALSE),""))),IF(_xlpm.v="да",30,IF(ISNUMBER(_xlpm.v),_xlpm.v,0))))</f>
        <v>30</v>
      </c>
      <c r="CH286">
        <f t="shared" si="516"/>
        <v>30</v>
      </c>
      <c r="CI286" t="str">
        <f>_xlfn.LET(_xlpm.k,IFERROR(_xlfn.XLOOKUP(AX286,Коды_код,Коды_утечка)&amp;"",""),IF(_xlpm.k="","дифавтомат",_xlpm.k))</f>
        <v>дифавтомат</v>
      </c>
      <c r="CJ286">
        <f t="shared" si="517"/>
        <v>30</v>
      </c>
      <c r="CK286">
        <f t="shared" si="518"/>
        <v>30</v>
      </c>
      <c r="CL286">
        <f>IF(B286="",0,IFERROR(--VLOOKUP(B286,УГО_спр,4,FALSE),IFERROR(--VLOOKUP(AX286,УГО_спр,4,FALSE),IFERROR(--VLOOKUP(LEFT(AX286,2),УГО_спр,4,FALSE),0))))</f>
        <v>16</v>
      </c>
      <c r="CM286" t="str">
        <f>IF(B286="","",IFERROR(_xlfn.XLOOKUP(AX286,Коды_код,Коды_апп)&amp;"",""))</f>
        <v/>
      </c>
      <c r="CN286" t="str">
        <f t="shared" si="519"/>
        <v/>
      </c>
      <c r="CO286" t="str" cm="1">
        <f t="array" ref="CO286">IF(TRIM(CN286&amp;"")="","",IFERROR(TRIM(INDEX(_xlfn.TEXTSPLIT(CN286&amp;";;;",";"),1)),""))</f>
        <v/>
      </c>
      <c r="CP286" t="str" cm="1">
        <f t="array" ref="CP286">IF(TRIM(CN286&amp;"")="","",IFERROR(TRIM(INDEX(_xlfn.TEXTSPLIT(CN286&amp;";;;",";"),2)),""))</f>
        <v/>
      </c>
      <c r="CQ286" t="str" cm="1">
        <f t="array" ref="CQ286">IF(TRIM(CN286&amp;"")="","",IFERROR(TRIM(INDEX(_xlfn.TEXTSPLIT(CN286&amp;";;;",";"),3)),""))</f>
        <v/>
      </c>
      <c r="CR286">
        <f t="shared" si="520"/>
        <v>0</v>
      </c>
      <c r="CS286" t="str">
        <f>IF(B286="","",_xlfn.LET(_xlpm.t,LOWER(AV286&amp;""),IF(ISNUMBER(SEARCH("dim",_xlpm.t)),"DIM",IF(ISNUMBER(SEARCH("dali",_xlpm.t)),"DALI",IF(OR(ISNUMBER(SEARCH("relay",_xlpm.t)),ISNUMBER(SEARCH("реле",_xlpm.t))),"Relay",IF(ISNUMBER(SEARCH("кнопк",_xlpm.t)),"",IFERROR(_xlfn.XLOOKUP(AX286,Коды_код,Коды_упр)&amp;"","")))))))</f>
        <v/>
      </c>
      <c r="CT286" t="str">
        <f t="shared" si="521"/>
        <v/>
      </c>
      <c r="CU286">
        <f>IF(B286="","",_xlfn.LET(_xlpm.ig,N(P286)+IF(AF286="вручную",0,N(CB286)),_xlpm.n0,IFERROR(VLOOKUP(_xlpm.ig,Автомат_номиналы,2,TRUE),0),_xlpm.mn,MAX(CL286,IF(AF286="вручную",0,N(CE286))),MAX(_xlpm.n0,_xlpm.mn,IF(CR286=1,Мин_автомат_БП,0))))</f>
        <v>16</v>
      </c>
      <c r="CV286">
        <f t="shared" si="522"/>
        <v>1</v>
      </c>
      <c r="CW286" t="str">
        <f t="shared" si="523"/>
        <v>2P</v>
      </c>
      <c r="CX286" t="str">
        <f>_xlfn.LET(_xlpm.cc,UPPER(TRIM(IFERROR(_xlfn.XLOOKUP(AX286,Коды_код,Коды_хар)&amp;"",""))),IF(OR(_xlpm.cc="B",_xlpm.cc="В"),"B",IF(_xlpm.cc="D","D","С")))</f>
        <v>С</v>
      </c>
      <c r="CY286" t="str">
        <f t="shared" si="524"/>
        <v>2P С16А 30мА</v>
      </c>
      <c r="CZ286">
        <f t="shared" si="525"/>
        <v>16</v>
      </c>
      <c r="DA286" t="str">
        <f t="shared" si="526"/>
        <v>2P С16А 30мА</v>
      </c>
      <c r="DB286" cm="1">
        <f t="array" ref="DB286">IF(DA286="","",_xlfn.LET(_xlpm.t,SUBSTITUTE(SUBSTITUTE(SUBSTITUTE(UPPER(DA286),"С","C"),"А","A"),"В","B"),_xlpm.tk,_xlfn.TEXTSPLIT(_xlpm.t,"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6" t="str">
        <f t="shared" si="527"/>
        <v>ok</v>
      </c>
      <c r="DD286">
        <f t="shared" si="528"/>
        <v>16</v>
      </c>
      <c r="DE286" t="str">
        <f t="shared" si="529"/>
        <v>2P С16А 30мА</v>
      </c>
      <c r="DF286">
        <f t="shared" si="530"/>
        <v>30</v>
      </c>
      <c r="DG286">
        <f t="shared" si="531"/>
        <v>1</v>
      </c>
      <c r="DH286">
        <f t="shared" si="532"/>
        <v>0</v>
      </c>
      <c r="DI286">
        <f t="shared" si="533"/>
        <v>1.3674085322912188</v>
      </c>
      <c r="DJ286">
        <f t="shared" si="534"/>
        <v>1</v>
      </c>
      <c r="DK286">
        <f>IF(ISNUMBER(AL286),AL286,К_прокл)</f>
        <v>1</v>
      </c>
      <c r="DL286">
        <f t="shared" si="535"/>
        <v>2</v>
      </c>
      <c r="DM286">
        <f>IFERROR(N(VLOOKUP(BT286,Кабель_обозначение,3,FALSE)),1)</f>
        <v>1</v>
      </c>
      <c r="DN286">
        <f>IFERROR(N(_xlfn.XLOOKUP(A286,Щиты[Щит],Щиты[ΔU до шин, %])),0)</f>
        <v>1.79</v>
      </c>
      <c r="DO286" t="str">
        <f>IFERROR(_xlfn.XLOOKUP(A286,Щиты[Щит],Щиты[Zпетли на шинах, Ом]),"")</f>
        <v/>
      </c>
      <c r="DP286">
        <f>IFERROR(N(_xlfn.XLOOKUP(A286,Щиты[Щит],Щиты[ΔU до шин (подбор), %])),0)</f>
        <v>4.75</v>
      </c>
      <c r="DQ286" t="str">
        <f>IFERROR(_xlfn.XLOOKUP(A286,Щиты[Щит],Щиты[Zпетли на шинах (подбор), Ом]),"")</f>
        <v/>
      </c>
      <c r="DR286" t="str">
        <f t="shared" si="536"/>
        <v/>
      </c>
      <c r="DS286">
        <f t="shared" si="537"/>
        <v>42</v>
      </c>
      <c r="DT286">
        <f t="shared" si="538"/>
        <v>2</v>
      </c>
      <c r="DU286">
        <f t="shared" si="539"/>
        <v>0.31</v>
      </c>
      <c r="DV286" s="6">
        <f>IF(B286="","",IF(IFERROR(VLOOKUP(AX286,УГО_спр,2,FALSE),"")="Светильник",3,4)+IF(Методика="нормы 2026",MIN(0.5,MAX(0,N(Q286)-100)*0.005),0))</f>
        <v>4</v>
      </c>
      <c r="DW286" t="str" cm="1">
        <f t="array" ref="DW286">IF(OR(B286="",BT286="",DM286&lt;&gt;1),"",_xlfn.LET(_xlpm.sz,Iдоп_S,_xlpm.t_,CHOOSE(DL286,Iдоп_1ж,Iдоп_2ж,Iдоп_3ж)*DJ286*DK286,_xlpm.inn,N(DD286),_xlpm.smin,MAX(1.5,BW286),_xlpm.L_,N(Q286)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286)*(_xlpm.rho*_xlpm.L_/_xlpm.sz*N(BY286)+_xlpm.xx*_xlpm.L_*N(DU286)/1000)*N(P286)/((Uн_лин/SQRT(3))*1000)*100,999),_xlpm.kz,IF(OR(DG286=1,NOT(ISNUMBER(DQ286)),_xlpm.L_=0,_xlpm.inn=0),1,IFERROR(--(c_min*(Uн_лин*1000/SQRT(3))/(DQ286+2*ρкз_Cu*_xlpm.L_/_xlpm.sz)&gt;=GY286*_xlpm.inn),0)),_xlpm.ok,IFERROR((_xlpm.sz&gt;=_xlpm.smin)*(_xlpm.t_&gt;=_xlpm.inn)*IF(_xlpm.L_&gt;0,(_xlpm.du_+DP286&lt;=DV286+0.00001),1)*_xlpm.kz,0),_xlpm.r_,_xlfn._xlws.FILTER(_xlpm.sz,_xlpm.ok,"не подобрано"),INDEX(_xlpm.r_,1)))</f>
        <v>не подобрано</v>
      </c>
      <c r="DX286">
        <f t="shared" si="540"/>
        <v>2.5</v>
      </c>
      <c r="DY286" cm="1">
        <f t="array" ref="DY286">IF(OR(B286="",BT286="",DM286&lt;&gt;1),"",_xlfn.LET(_xlpm.sz,Iдоп_S,_xlpm.t_,CHOOSE(DL286,Iдоп_1ж,Iдоп_2ж,Iдоп_3ж)*DJ286*DK286,_xlpm.ok,IFERROR((_xlpm.sz&gt;=MAX(1.5,BW286))*(_xlpm.t_&gt;=N(DD286)),0),_xlpm.r_,_xlfn._xlws.FILTER(_xlpm.sz,_xlpm.ok,""),INDEX(_xlpm.r_,1)))</f>
        <v>1.5</v>
      </c>
      <c r="DZ286" s="6" cm="1">
        <f t="array" ref="DZ286">IFERROR(ROUNDUP(N(DT286)*(_xlfn.XLOOKUP(DY286,INDEX(Кабель_сопротивление,0,1),INDEX(Кабель_сопротивление,0,3))*N(Q286)/DY286*N(BY286)+_xlfn.XLOOKUP(DY286,INDEX(Кабель_сопротивление,0,1),INDEX(Кабель_сопротивление,0,2))*N(Q286)*N(DU286)/1000)*N(P286)/((Uн_лин/SQRT(3))*1000)*100,2),"")</f>
        <v>0.97</v>
      </c>
      <c r="EA286">
        <f>IFERROR(2*ρкз_Cu*N(Q286)/DY286,"")</f>
        <v>1.9988000000000001</v>
      </c>
      <c r="EB286">
        <f>IFERROR(VLOOKUP(DX286,Кабель_сопротивление,3,FALSE),"")</f>
        <v>2.2499999999999999E-2</v>
      </c>
      <c r="EC286">
        <f>IFERROR(VLOOKUP(DX286,Кабель_сопротивление,2,FALSE),"")</f>
        <v>0.1</v>
      </c>
      <c r="ED286">
        <f t="shared" si="541"/>
        <v>39</v>
      </c>
      <c r="EE286">
        <f t="shared" si="542"/>
        <v>53</v>
      </c>
      <c r="EF286">
        <f t="shared" si="543"/>
        <v>1.3376455181773683</v>
      </c>
      <c r="EG286" s="6">
        <f>IFERROR(ROUNDUP(EF286/((Uн_лин/SQRT(3))*1000)*100,2),"")</f>
        <v>0.57999999999999996</v>
      </c>
      <c r="EH286" t="str">
        <f>IFERROR(VLOOKUP(BT286,Кабель_обозначение,2,FALSE),"")</f>
        <v>ВВГнг(А)-LS</v>
      </c>
      <c r="EI286" t="str">
        <f t="shared" si="544"/>
        <v>ВВГнг(А)-LS (3х2,5)</v>
      </c>
      <c r="EJ286" t="str">
        <f t="shared" si="545"/>
        <v>ВВГнг(А)-LS (3х2,5)
L=57-0,58%</v>
      </c>
      <c r="EK286">
        <f>IFERROR(2*ρкз_Cu*Q286/DX286,"")</f>
        <v>1.1992800000000001</v>
      </c>
      <c r="EL286">
        <f t="shared" si="546"/>
        <v>0.39900000000000002</v>
      </c>
      <c r="EM286" s="6" t="str">
        <f>IFERROR(IF(OR(B286="",NOT(ISNUMBER(DX286)),N(Q286)=0),"",_xlfn.XLOOKUP(A286,Щиты[Щит],Щиты[Zпетли на шинах, Ом])+EK286),"")</f>
        <v/>
      </c>
      <c r="EN286" s="6" t="str">
        <f>IF(ISNUMBER(EM286),c_min*(Uн_лин*1000/SQRT(3))/EM286,"")</f>
        <v/>
      </c>
      <c r="EO286" s="6" t="str">
        <f>IFERROR(IF(OR(B286="",NOT(ISNUMBER(DX286))),"",1.05*(Uн_лин*1000/SQRT(3))/(_xlfn.XLOOKUP(A286,Щиты[Щит],Щиты[Zmax на шинах, Ом])+EL286)/1000),"")</f>
        <v/>
      </c>
      <c r="EP286" s="6" t="str">
        <f>IF(B286="","",IF(ISNUMBER(Y286),"Сил",IF(IFERROR(_xlfn.XLOOKUP(AX286,Коды_код,Коды_группа)&amp;"","")="","Быт",_xlfn.XLOOKUP(AX286,Коды_код,Коды_группа)&amp;"")))</f>
        <v>Быт</v>
      </c>
      <c r="EQ286" s="6" t="str">
        <f t="shared" si="547"/>
        <v>Быт</v>
      </c>
      <c r="ER286" s="6">
        <f>IF(EQ286="Щит","щит",IF(EQ286="","",IF(EQ286="Быт",IFERROR(_xlfn.XLOOKUP(A286,Щиты[Щит],Щиты[Кс быт]),1),IF(EQ286="Сил",IF(ISNUMBER(Y286),Y286,IF(Методика="нормы 2026",IFERROR(_xlfn.XLOOKUP(A286,Щиты[Щит],Щиты[Кс силовых (табл. 7.5)]),1),1)),IF(OR(EQ286="Пост",EQ286="Отоп"),1,IF(EQ286="ВНГ",0.7,0))))))</f>
        <v>0.8</v>
      </c>
      <c r="ES286">
        <f t="shared" si="548"/>
        <v>1</v>
      </c>
      <c r="ET286">
        <f t="shared" si="549"/>
        <v>0.3</v>
      </c>
      <c r="EU286">
        <f t="shared" si="550"/>
        <v>0.3</v>
      </c>
      <c r="EV286">
        <f t="shared" si="551"/>
        <v>0</v>
      </c>
      <c r="EW286">
        <f t="shared" si="552"/>
        <v>0</v>
      </c>
      <c r="EX286">
        <f t="shared" si="553"/>
        <v>0</v>
      </c>
      <c r="EY286">
        <f t="shared" si="554"/>
        <v>0</v>
      </c>
      <c r="EZ286">
        <f t="shared" si="555"/>
        <v>0.3</v>
      </c>
      <c r="FA286">
        <f t="shared" si="556"/>
        <v>0.28499999999999998</v>
      </c>
      <c r="FB286">
        <f t="shared" si="557"/>
        <v>0.3</v>
      </c>
      <c r="FC286" t="str">
        <f t="shared" si="558"/>
        <v>L2</v>
      </c>
      <c r="FD286" t="str">
        <f>IF(B286="","",IF(CA286=0,IF(AW286=1,"",FF285),IF(OR(N(CV286)&gt;=3,N(BR286)&gt;=3),"L1,L2,L3",IFERROR(_xlfn.TEXTBEFORE(_xlfn.TEXTAFTER(_xlfn.XLOOKUP(A286,Щиты[Щит],Щиты[_фазы авто]),";"&amp;AW286&amp;":"),";"),"L1"))))</f>
        <v>L1</v>
      </c>
      <c r="FE286" t="str">
        <f t="shared" si="559"/>
        <v>L2</v>
      </c>
      <c r="FF286" t="str">
        <f t="shared" si="560"/>
        <v>L2</v>
      </c>
      <c r="FG286" cm="1">
        <f t="array" ref="FG286">IFERROR(IF(BX286=2,_xlfn.IFS(BR286=3,VLOOKUP(BN286,Справочная_двигатели,3,FALSE),BR286=1,VLOOKUP(BN286,Справочная_двигатели,5,TRUE)),0),0)</f>
        <v>0</v>
      </c>
      <c r="FH286">
        <f>IFERROR(IF(BX286=3,VLOOKUP(BN286,Справочная_ЛЭД,2,TRUE),0),0)</f>
        <v>0</v>
      </c>
      <c r="FI286" s="6">
        <f t="shared" si="561"/>
        <v>0</v>
      </c>
      <c r="FJ286" t="str" cm="1">
        <f t="array" ref="FJ286">IF(B286="","",IFERROR(INDEX({"I особая","I","II","III"},MATCH(TRIM(AC286&amp;""),{"I особая","I","II","III"},0)),"III"))</f>
        <v>II</v>
      </c>
      <c r="FK286" t="str">
        <f>IF(B286="","",IF(TRIM(AD286&amp;"")&lt;&gt;"",IF(LOWER(TRIM(AD286&amp;""))="да","да","нет"),IF(IFERROR(_xlfn.XLOOKUP(AX286,Коды_код,Коды_пожарная),"")="да","да","нет")))</f>
        <v>нет</v>
      </c>
      <c r="FL286" t="str">
        <f t="shared" si="562"/>
        <v/>
      </c>
      <c r="FM286" t="str">
        <f t="shared" si="563"/>
        <v>основная</v>
      </c>
      <c r="FN286">
        <f t="shared" si="564"/>
        <v>1</v>
      </c>
      <c r="FO286" t="str" cm="1">
        <f t="array" ref="FO286">IF(B286="","",_xlfn.LET(_xlpm.t,IFERROR(_xlfn.XLOOKUP(1,(Шины[Шина]=FM286)*(((Шины[Щит]=A286)+(Шины[Щит]=""))&gt;0),Шины[Тип]),"")&amp;"",IF(_xlpm.t&lt;&gt;"",_xlpm.t,IF(ISNUMBER(SEARCH("ИБП",FM286)),"ИБП",IF(ISNUMBER(SEARCH("ДГУ",FM286)),"ДГУ","Ввод "&amp;FN286)))))</f>
        <v>Ввод 1</v>
      </c>
      <c r="FP286" t="str">
        <f t="shared" si="565"/>
        <v>Ввод 1</v>
      </c>
      <c r="FQ286" t="str">
        <f>IF(B286="","",IF(OR(FO286="ИБП",FO286="ДГУ"),"I особая",IF(FO286="Одиночная","III",_xlfn.XLOOKUP(A286,Щиты[Щит],Щиты[Категория шины «Ввод»],"III"))))</f>
        <v>II</v>
      </c>
      <c r="FR286">
        <f>IF(B286="",0,IFERROR(MATCH(FJ286,{"III","II","I","I особая"},0),1))</f>
        <v>2</v>
      </c>
      <c r="FS286">
        <f t="shared" si="566"/>
        <v>2</v>
      </c>
      <c r="FT286" t="str">
        <f>IF(B286="","",IF(FR286&gt;IFERROR(MATCH(FQ286,{"III","II","I","I особая"},0),1),"НЕ ОБЕСПЕЧЕНА","ОК"))</f>
        <v>ОК</v>
      </c>
      <c r="FU286" t="str">
        <f>IF(A286="","",_xlfn.XLOOKUP(A286,Щиты[Щит],Щиты[Путь],""))</f>
        <v>|ГРЩ-ЖД|ЩР-2|</v>
      </c>
      <c r="FV286" t="str">
        <f>IF(B286="","",IF(AE286&lt;&gt;"",AE286,IF(IFERROR(_xlfn.XLOOKUP(AX286,Коды_код,Коды_вид)&amp;"","")="","Прочее",_xlfn.XLOOKUP(AX286,Коды_код,Коды_вид)&amp;"")))</f>
        <v>Розеточная сеть и бытовые приборы</v>
      </c>
      <c r="FW286">
        <f>IF(BH286="","",INT((BH286-1)/Столбцов_на_лист)+1)</f>
        <v>2</v>
      </c>
      <c r="FX286" t="str">
        <f t="shared" si="567"/>
        <v>ВВГнг(А)-LS (3х2,5) L=57-0,58%</v>
      </c>
      <c r="FY286">
        <f t="shared" si="568"/>
        <v>0.3</v>
      </c>
      <c r="FZ286">
        <f t="shared" si="569"/>
        <v>1.37</v>
      </c>
      <c r="GA286">
        <f t="shared" si="570"/>
        <v>1</v>
      </c>
      <c r="GB286">
        <f t="shared" si="571"/>
        <v>0</v>
      </c>
      <c r="GC286">
        <f t="shared" si="572"/>
        <v>1</v>
      </c>
      <c r="GD286">
        <f>IF(BH286="","",IF(AND(CA286=1,GC286=1),COUNTIFS(A$3:A286,A286,CA$3:CA286,1,GC$3:GC286,1),IF(OR(OR(AW286=1,A286&lt;&gt;A285),AF286="вручную",GC286=0),"",IF(AW286=1,"",GE285))))</f>
        <v>3</v>
      </c>
      <c r="GE286">
        <f t="shared" si="573"/>
        <v>3</v>
      </c>
      <c r="GF286">
        <f>IF(B286="","",IFERROR(LOOKUP(INDEX(CHOOSE(DL286,Iдоп_1ж,Iдоп_2ж,Iдоп_3ж),MATCH(DX286,Iдоп_S,0))*DJ286*DK286,{6,10,16,20,25,32,40,50,63,80,100,125,160,200,250,315,400,500,630}),""))</f>
        <v>25</v>
      </c>
      <c r="GG286" t="str">
        <f t="shared" si="574"/>
        <v>QFD3</v>
      </c>
      <c r="GH286" t="str">
        <f t="shared" si="575"/>
        <v>QFD3</v>
      </c>
      <c r="GI286" t="str">
        <f t="shared" si="576"/>
        <v/>
      </c>
      <c r="GJ286">
        <f t="shared" si="577"/>
        <v>0</v>
      </c>
      <c r="GK286" t="str">
        <f>IF(OR(AG286="",AG286="-"),"",IFERROR(VLOOKUP(AG286,Модули_спр,2,FALSE),"R"))</f>
        <v/>
      </c>
      <c r="GL286" t="str">
        <f>IF(GK286="","",GK286&amp;"."&amp;COUNTIFS(A$3:A286,A286,GK$3:GK286,GK286))</f>
        <v/>
      </c>
      <c r="GM286" t="str">
        <f t="shared" si="578"/>
        <v/>
      </c>
      <c r="GN286" t="str">
        <f t="shared" si="579"/>
        <v/>
      </c>
      <c r="GO286" t="str">
        <f t="shared" si="580"/>
        <v/>
      </c>
      <c r="GP286" t="str">
        <f t="shared" si="581"/>
        <v/>
      </c>
      <c r="GQ286">
        <f t="shared" si="582"/>
        <v>1</v>
      </c>
      <c r="GR286" t="str">
        <f>IF(GQ286=1,"XT"&amp;COUNTIFS(A$3:A286,A286,GQ$3:GQ286,1),"")</f>
        <v>XT3</v>
      </c>
      <c r="GS286" t="str">
        <f t="shared" si="583"/>
        <v>XT3</v>
      </c>
      <c r="GT286" t="str">
        <f t="shared" si="584"/>
        <v>QFD3</v>
      </c>
      <c r="GU286" t="str">
        <f t="shared" si="585"/>
        <v/>
      </c>
      <c r="GV286" t="str">
        <f t="shared" si="586"/>
        <v>ok</v>
      </c>
      <c r="GW286" t="str">
        <f>IF(OR(GO286="",GM286=""),"",IF(GO286&gt;IFERROR(VLOOKUP(GN286,Модули_спр,3,FALSE),99),"ЛИШНИЙ КАНАЛ",IF(AND(AH286&lt;&gt;"=",COUNTIFS(Линии[_модуль гр.],GM286,Линии[Канал (итог)],GO286,Линии[Канал],"&lt;&gt;=",Линии[Щит],A286)&gt;1),"ДУБЛЬ КАНАЛА","")))</f>
        <v/>
      </c>
      <c r="GX286" s="6" t="str">
        <f t="shared" si="587"/>
        <v/>
      </c>
      <c r="GY286">
        <f t="shared" si="588"/>
        <v>10</v>
      </c>
      <c r="GZ286" t="str">
        <f t="shared" si="589"/>
        <v/>
      </c>
      <c r="HA286" t="str">
        <f>IF(AND(B286="",GT286=""),"",_xlfn.TEXTJOIN("; ",TRUE,IF(AND(B286&lt;&gt;"",FE286=""),"нет фазы",""),IF(AND(B286&lt;&gt;"",N(FY286)=0,EQ286&lt;&gt;"Нет"),"нет мощности",""),IF(AND(GS286&lt;&gt;"",COUNTIFS(Линии[Щит],A286,Линии[Клемма (итог)],GS286)&gt;1),"дубль клеммы "&amp;GS286,""),IF(AND(GV286&lt;&gt;"",GV286&lt;&gt;"ok"),GV286,""),IF(GW286&lt;&gt;"",GW286,""),IF(AND(N(BV286)&gt;=4,N(BR286)=1),BV286&amp;" жил на 1 фазе",""),IF(AND(AX286="R",CA286=1,OR(N(CK286)=0,N(CK286)&gt;30)),"розетка без дифзащиты до 30 мА",""),IFERROR(IF(AND(ISNUMBER(R286),R286&gt;DV286),"потери "&amp;FIXED(R286,1)&amp;" % &gt; "&amp;DV286&amp;" %",""),""),IFERROR(IF(LEFT(GZ286,4)="мало","Iкз мало — отключение &gt; 0,4 с",""),""),IF(AND(B286&lt;&gt;"",BH286=""),"не на схеме",""),IF(AND(CA286=0,B286&lt;&gt;"",FE286&lt;&gt;"",IF(AW286=1,"",FF285)&lt;&gt;"",FE286&lt;&gt;IF(AW286=1,"",FF285)),"фаза не как у автомата группы ("&amp;IF(AW286=1,"",FF285)&amp;")","")))</f>
        <v/>
      </c>
      <c r="HB286" s="6">
        <f>IF(OR(CA286=0,DA286=""),"",_xlfn.LET(_xlpm.t,IFERROR(_xlfn.XLOOKUP(DA286,Каталог!$U$4:$U$500,Каталог!$G$4:$G$500),""),_xlpm.k,SEARCH("кА",_xlpm.t),IFERROR(--TRIM(RIGHT(SUBSTITUTE(MID(_xlpm.t,MAX(1,_xlpm.k-4),_xlpm.k-MAX(1,_xlpm.k-4))," ",REPT(" ",9)),5)),"")))</f>
        <v>6</v>
      </c>
      <c r="HC286" t="str">
        <f>IF(OR(HB286="",CA286=0),"",IF(_xlfn.XLOOKUP(A286,Щиты[Щит],Щиты[Iкз max на шинах, кА],"")="","",IF(HB286&lt;_xlfn.XLOOKUP(A286,Щиты[Щит],Щиты[Iкз max на шинах, кА]),"Icu "&amp;HB286&amp;" кА &lt; Iкз max","ok")))</f>
        <v/>
      </c>
      <c r="HD286" t="str">
        <f t="shared" si="590"/>
        <v/>
      </c>
      <c r="HE286" t="str">
        <f t="shared" si="591"/>
        <v>QFD3|XT3</v>
      </c>
      <c r="HF286" t="str">
        <f t="shared" si="592"/>
        <v>QFD3|XT3|кабель ВВГнг(А)-LS (3х2,5) → Розеточная группа, пом. 005А</v>
      </c>
      <c r="HG286" t="str" cm="1">
        <f t="array" ref="HG286">IF(HF286="","",_xlfn.LET(_xlpm.nd,_xlfn.TEXTSPLIT(HF286,"|"),IF(COLUMNS(_xlpm.nd)&gt;1,A286&amp;"¦"&amp;INDEX(_xlpm.nd,1)&amp;"¦"&amp;INDEX(_xlpm.nd,2),"")))</f>
        <v>ЩР-2¦QFD3¦XT3</v>
      </c>
      <c r="HH286" t="str">
        <f t="shared" si="593"/>
        <v>R.2.005А.1¦Розеточная группа, пом. 005А</v>
      </c>
      <c r="HI286" t="str" cm="1">
        <f t="array" ref="HI286">IF(HF286="","",_xlfn.LET(_xlpm.nd,_xlfn.TEXTSPLIT(HF286,"|"),IF(COLUMNS(_xlpm.nd)&gt;2,A286&amp;"¦"&amp;INDEX(_xlpm.nd,2)&amp;"¦"&amp;INDEX(_xlpm.nd,3),"")))</f>
        <v>ЩР-2¦XT3¦кабель ВВГнг(А)-LS (3х2,5) → Розеточная группа, пом. 005А</v>
      </c>
      <c r="HJ286" t="str">
        <f t="shared" si="594"/>
        <v>R.2.005А.1¦Розеточная группа, пом. 005А</v>
      </c>
      <c r="HK286" t="str" cm="1">
        <f t="array" ref="HK286">IF(HF286="","",_xlfn.LET(_xlpm.nd,_xlfn.TEXTSPLIT(HF286,"|"),IF(COLUMNS(_xlpm.nd)&gt;3,A286&amp;"¦"&amp;INDEX(_xlpm.nd,3)&amp;"¦"&amp;INDEX(_xlpm.nd,4),"")))</f>
        <v/>
      </c>
      <c r="HL286" t="str">
        <f t="shared" si="595"/>
        <v/>
      </c>
      <c r="HM286" t="str" cm="1">
        <f t="array" ref="HM286">IF(HF286="","",_xlfn.LET(_xlpm.nd,_xlfn.TEXTSPLIT(HF286,"|"),IF(COLUMNS(_xlpm.nd)&gt;4,A286&amp;"¦"&amp;INDEX(_xlpm.nd,4)&amp;"¦"&amp;INDEX(_xlpm.nd,5),"")))</f>
        <v/>
      </c>
      <c r="HN286" t="str">
        <f t="shared" si="596"/>
        <v/>
      </c>
      <c r="HO286" t="str" cm="1">
        <f t="array" ref="HO286">IF(HF286="","",_xlfn.LET(_xlpm.nd,_xlfn.TEXTSPLIT(HF286,"|"),IF(COLUMNS(_xlpm.nd)&gt;5,A286&amp;"¦"&amp;INDEX(_xlpm.nd,5)&amp;"¦"&amp;INDEX(_xlpm.nd,6),"")))</f>
        <v/>
      </c>
      <c r="HP286" t="str">
        <f t="shared" si="597"/>
        <v/>
      </c>
      <c r="HQ286" t="str" cm="1">
        <f t="array" ref="HQ286">IF(HF286="","",_xlfn.LET(_xlpm.nd,_xlfn.TEXTSPLIT(HF286,"|"),IF(COLUMNS(_xlpm.nd)&gt;6,A286&amp;"¦"&amp;INDEX(_xlpm.nd,6)&amp;"¦"&amp;INDEX(_xlpm.nd,7),"")))</f>
        <v/>
      </c>
      <c r="HR286" t="str">
        <f t="shared" si="598"/>
        <v/>
      </c>
      <c r="HS286" t="str">
        <f t="shared" si="599"/>
        <v/>
      </c>
      <c r="HT286" t="str">
        <f t="shared" si="600"/>
        <v>QFD3 → XT3</v>
      </c>
      <c r="HU286">
        <f t="shared" si="601"/>
        <v>0</v>
      </c>
      <c r="HV286">
        <f t="shared" si="602"/>
        <v>1</v>
      </c>
      <c r="HW286" t="str">
        <f t="shared" si="603"/>
        <v/>
      </c>
      <c r="HX286" t="str">
        <f t="shared" si="604"/>
        <v/>
      </c>
      <c r="HY286" t="str">
        <f t="shared" si="605"/>
        <v/>
      </c>
      <c r="HZ286" t="str">
        <f t="shared" si="606"/>
        <v/>
      </c>
      <c r="IA286" t="str">
        <f>IF(B286="","",IFERROR(VLOOKUP(B286,УГО_спр,2,FALSE),IFERROR(VLOOKUP(AX286,УГО_спр,2,FALSE),IFERROR(VLOOKUP(LEFT(AX286,2),УГО_спр,2,FALSE),""))))</f>
        <v>Розетка</v>
      </c>
      <c r="IB286" t="str">
        <f>IF(B286="","",IF(OR(IA286="",IA286=0),"BOX",IFERROR(IF(VLOOKUP(IA286,УГО_блоки,3,FALSE)&amp;""&lt;&gt;"",VLOOKUP(IA286,УГО_блоки,3,FALSE),VLOOKUP(IA286,УГО_блоки,2,FALSE)),IA286)))</f>
        <v>SOCKET</v>
      </c>
      <c r="IC286">
        <f t="shared" si="607"/>
        <v>1</v>
      </c>
      <c r="ID286" t="str">
        <f>IF(DA286="","",IF(COUNTIF(DA$3:DA286,DA286)=1,MAX(ID$2:ID285)+1,""))</f>
        <v/>
      </c>
      <c r="IE286" t="str">
        <f>IF(CO286="","",IF(COUNTIF(CO$3:CO286,CO286)+COUNTIF(CP$2:CP285,CO286)+COUNTIF(CQ$2:CQ285,CO286)=1,MAX(IE$2:IG285)+1,""))</f>
        <v/>
      </c>
      <c r="IF286" t="str">
        <f>IF(CP286="","",IF(COUNTIF(CO$3:CO286,CP286)+COUNTIF(CP$3:CP286,CP286)+COUNTIF(CQ$2:CQ285,CP286)=1,MAX(IE$2:IG285,IE286)+1,""))</f>
        <v/>
      </c>
      <c r="IG286" t="str">
        <f>IF(CQ286="","",IF(COUNTIF(CO$3:CO286,CQ286)+COUNTIF(CP$3:CP286,CQ286)+COUNTIF(CQ$3:CQ286,CQ286)=1,MAX(IE$2:IG285,IE286,IF286)+1,""))</f>
        <v/>
      </c>
      <c r="IH286" t="str">
        <f t="shared" si="608"/>
        <v>3х2,5</v>
      </c>
      <c r="II286" t="str">
        <f>IF(IH286="","",IF(COUNTIF(IH$3:IH286,IH286)=1,MAX(II$2:II285)+1,""))</f>
        <v/>
      </c>
      <c r="IJ286" t="str">
        <f>IF(GL286="","",COUNTIF(GL$3:GL286,"?*"))</f>
        <v/>
      </c>
      <c r="IK286" t="str">
        <f>IF(OR(GL286="",GN286=""),"",IF(COUNTIFS(GL$3:GL286,"?*",GN$3:GN286,GN286)=1,MAX(IK$2:IK285)+1,""))</f>
        <v/>
      </c>
      <c r="IL286">
        <f t="shared" si="609"/>
        <v>0</v>
      </c>
      <c r="IM286">
        <f>IF(B286="","",COUNTIF(B$3:B286,"?*"))</f>
        <v>284</v>
      </c>
      <c r="IN286">
        <f>IF(GQ286&lt;&gt;1,0,_xlfn.LET(_xlpm.k,MAX(IFERROR(--VLOOKUP(B286,УГО_спр,5,FALSE),0),IFERROR(--VLOOKUP(AX286,УГО_спр,5,FALSE),0),IFERROR(--VLOOKUP(LEFT(AX286,2),УГО_спр,5,FALSE),0)),IF(_xlpm.k&gt;0,_xlpm.k,IF(IFERROR(--LEFT(SUBSTITUTE(IH286,"x","х"),FIND("х",SUBSTITUTE(IH286,"x","х"))-1),3)&gt;3,Каталог!$S$9,1))))</f>
        <v>1</v>
      </c>
      <c r="IO286">
        <f t="shared" si="610"/>
        <v>0</v>
      </c>
      <c r="IP286" t="str">
        <f t="shared" si="611"/>
        <v>авто</v>
      </c>
      <c r="IQ286">
        <f t="shared" si="612"/>
        <v>30</v>
      </c>
      <c r="IR286">
        <f t="shared" si="613"/>
        <v>1</v>
      </c>
      <c r="IS286">
        <f t="shared" si="614"/>
        <v>1</v>
      </c>
    </row>
    <row r="287" spans="1:253" x14ac:dyDescent="0.3">
      <c r="A287" t="s">
        <v>761</v>
      </c>
      <c r="B287" t="s">
        <v>1551</v>
      </c>
      <c r="C287" t="str">
        <f>Линии[[#This Row],[_авто наименование]]</f>
        <v>Розеточная группа, пом. 005А</v>
      </c>
      <c r="D287">
        <v>2</v>
      </c>
      <c r="E287">
        <v>0.24</v>
      </c>
      <c r="G287">
        <v>16</v>
      </c>
      <c r="H287">
        <f>Линии[[#This Row],[_авто утечка]]</f>
        <v>30</v>
      </c>
      <c r="I287" t="str">
        <f>Линии[[#This Row],[_авто управление]]</f>
        <v/>
      </c>
      <c r="J287" t="str">
        <f>Линии[[#This Row],[_авто аппараты]]</f>
        <v/>
      </c>
      <c r="K287">
        <v>2.5</v>
      </c>
      <c r="L287">
        <v>34</v>
      </c>
      <c r="M287">
        <v>3</v>
      </c>
      <c r="N287" t="str">
        <f>Линии[[#This Row],[_авто клемма]]</f>
        <v>XT4</v>
      </c>
      <c r="O287" t="str">
        <f t="shared" si="492"/>
        <v/>
      </c>
      <c r="P287" s="6" cm="1">
        <f t="array" ref="P287">IF(B287="","",IF(BC287&lt;&gt;"",IFERROR(_xlfn.XLOOKUP(BC287,Щиты[Щит],Щиты[Iр, А]),""),IF(BK287=1,IFERROR(_xlfn.XLOOKUP(A287,Щиты[Щит],Щиты[Iр, А]),""),IFERROR(_xlfn.IFS(BR287=1,BN287/((Uн_лин/SQRT(3))*BY287),BR287=3,BN287/(SQRT(3)*Uн_лин*BY287)),""))))</f>
        <v>1.0939268258329751</v>
      </c>
      <c r="Q287" s="7">
        <f>IF(B287="","",IFERROR(IF(VLOOKUP(AX287,Потребители_обозначение,4,FALSE)=1,VLOOKUP(AX287,Потребители_обозначение,3,FALSE)*(D287*2-1)+DS287+VLOOKUP(AZ287,Этаж_обозначение,3,FALSE)+VLOOKUP(AZ287,Этаж_обозначение,4,FALSE),VLOOKUP(AX287,Потребители_обозначение,3,FALSE)*(D287*2-1)+DS287),DS287))</f>
        <v>43</v>
      </c>
      <c r="R287" s="6">
        <f t="shared" si="493"/>
        <v>2.14</v>
      </c>
      <c r="S287" t="str">
        <f t="shared" si="494"/>
        <v>ВВГнг(А)-LS (3х2,5)</v>
      </c>
      <c r="T287" t="str">
        <f>IF(BH287="","",IF(BI287="вводной узел","узел ","")&amp;"л."&amp;(INT((BH287-1)/Столбцов_на_лист)+1)&amp;" / "&amp;(MOD(BH287-1,Столбцов_на_лист)+1))</f>
        <v>л.2 / 4</v>
      </c>
      <c r="V287">
        <v>1</v>
      </c>
      <c r="W287">
        <v>230</v>
      </c>
      <c r="X287" t="s">
        <v>564</v>
      </c>
      <c r="AC287" t="s">
        <v>815</v>
      </c>
      <c r="AE287" t="s">
        <v>563</v>
      </c>
      <c r="AI287">
        <v>21</v>
      </c>
      <c r="AJ287" t="s">
        <v>11</v>
      </c>
      <c r="AK287">
        <v>3</v>
      </c>
      <c r="AM287">
        <v>12</v>
      </c>
      <c r="AN287">
        <v>25</v>
      </c>
      <c r="AP287">
        <v>2</v>
      </c>
      <c r="AW287" cm="1">
        <f t="array" ref="AW287">ROW()-ROW(Линии[#Headers])</f>
        <v>285</v>
      </c>
      <c r="AX287" s="6" t="str">
        <f t="shared" si="495"/>
        <v>R</v>
      </c>
      <c r="AY287" t="str">
        <f t="shared" si="496"/>
        <v>2.005А.2</v>
      </c>
      <c r="AZ287" t="str">
        <f t="shared" si="497"/>
        <v>2</v>
      </c>
      <c r="BA287" t="str">
        <f t="shared" si="498"/>
        <v>005А.2</v>
      </c>
      <c r="BB287" t="str">
        <f t="shared" si="499"/>
        <v>005А</v>
      </c>
      <c r="BC287" t="str">
        <f>IF(U287&lt;&gt;"",U287,IF(AND(B287&lt;&gt;"",B287&lt;&gt;A287,ISNUMBER(_xlfn.XMATCH(B287,Щиты[Щит]))),B287,""))</f>
        <v/>
      </c>
      <c r="BD287" t="str" cm="1">
        <f t="array" ref="BD287">IF(B287="","",IF(BC287&lt;&gt;"","Щит "&amp;BC287,_xlfn.LET(_xlpm.nm,IFERROR(_xlfn.XLOOKUP(AX287,Коды_код,Коды_имя)&amp;"",""),_xlpm.md,IFERROR(N(_xlfn.XLOOKUP(AX287,Коды_код,Коды_режим)),1),_xlpm.ex,IF(Имя_режим="по экспликации",IFERROR(_xlfn.XLOOKUP(AZ287&amp;"|"&amp;BB287,Экспликация[Этаж]&amp;"|"&amp;Экспликация[Помещение],Экспликация[Название])&amp;"",""),""),_xlpm.rm,IF(BB287="","",IF(_xlpm.ex&lt;&gt;"",". "&amp;_xlpm.ex&amp;IF(Имя_пом="нет"," ("&amp;BB287&amp;")"," (пом. "&amp;BB287&amp;")"),IF(Имя_пом="нет"," ",", пом. ")&amp;BB287)),IF(_xlpm.nm="","",IF(_xlpm.md=2,_xlpm.nm&amp;" шлейф "&amp;AZ287,_xlpm.nm&amp;_xlpm.rm)))))</f>
        <v>Розеточная группа, пом. 005А</v>
      </c>
      <c r="BE287" t="str">
        <f t="shared" si="500"/>
        <v>Розеточная группа, пом. 005А</v>
      </c>
      <c r="BF287">
        <f>IFERROR(_xlfn.XMATCH(A287,Щиты[Щит]),0)</f>
        <v>11</v>
      </c>
      <c r="BG287">
        <f>_xlfn.LET(_xlpm.k,IFERROR(_xlfn.XLOOKUP(A287,Щиты[Щит],Щиты[Листов под вводной узел]),""),IF(_xlpm.k="",1,N(_xlpm.k))*Столбцов_на_лист)</f>
        <v>17</v>
      </c>
      <c r="BH287">
        <f t="shared" si="501"/>
        <v>21</v>
      </c>
      <c r="BI287" t="str">
        <f t="shared" si="502"/>
        <v>линии</v>
      </c>
      <c r="BJ287" s="6">
        <f>IFERROR(N(_xlfn.XLOOKUP(AX287,Коды_код,Коды_квт)),0)</f>
        <v>0</v>
      </c>
      <c r="BK287">
        <f t="shared" si="503"/>
        <v>0</v>
      </c>
      <c r="BL287" t="str">
        <f>IF(B287="","",IF(BC287&lt;&gt;"",IFERROR(_xlfn.XLOOKUP(BC287,Щиты[Щит],Щиты[Руст, кВт]),0),IF(BK287=1,IFERROR(_xlfn.XLOOKUP(A287,Щиты[Щит],Щиты[Руст, кВт]),0),IF(BJ287&gt;0,ROUND(BJ287*MAX(1,N(D287)),3),""))))</f>
        <v/>
      </c>
      <c r="BM287">
        <f t="shared" si="504"/>
        <v>0.24</v>
      </c>
      <c r="BN287" s="6">
        <f>IF(B287="","",IF(BC287&lt;&gt;"",IFERROR(_xlfn.XLOOKUP(BC287,Щиты[Щит],Щиты[Руст, кВт]),0),N(BM287)))</f>
        <v>0.24</v>
      </c>
      <c r="BO287" t="str">
        <f>IF(B287="","",IFERROR(IF(VLOOKUP(AX287,Потребители_обозначение,8,FALSE)=0,"",VLOOKUP(AX287,Потребители_обозначение,8,FALSE)),""))</f>
        <v/>
      </c>
      <c r="BP287">
        <f t="shared" si="505"/>
        <v>230</v>
      </c>
      <c r="BQ287">
        <f>IF(B287="","",IF(BC287&lt;&gt;"",3,IFERROR(IF(N(VLOOKUP(AX287,Потребители_обозначение,9,FALSE))=0,1,VLOOKUP(AX287,Потребители_обозначение,9,FALSE)),1)))</f>
        <v>1</v>
      </c>
      <c r="BR287">
        <f t="shared" si="506"/>
        <v>1</v>
      </c>
      <c r="BS287" t="str">
        <f>IF(B287="","",_xlfn.LET(_xlpm.bc,IFERROR(IF(VLOOKUP(AX287,Потребители_обозначение,6,FALSE)=0,"",VLOOKUP(AX287,Потребители_обозначение,6,FALSE)&amp;""),""),IF(AND(FK287="да",OR(_xlpm.bc="",_xlpm.bc="мс")),Марка_пож,IF(AND(_xlpm.bc="",BC287&lt;&gt;""),"мс",_xlpm.bc))))</f>
        <v/>
      </c>
      <c r="BT287" t="str">
        <f t="shared" si="507"/>
        <v>мс</v>
      </c>
      <c r="BU287">
        <f>IF(B287="","",_xlfn.LET(_xlpm.cc,IFERROR(N(VLOOKUP(AX287,Потребители_обозначение,7,FALSE)),0),IF(_xlpm.cc&gt;0,_xlpm.cc,IF(BT287="","",IF(N(BR287)=3,5,3)))))</f>
        <v>3</v>
      </c>
      <c r="BV287">
        <f t="shared" si="508"/>
        <v>3</v>
      </c>
      <c r="BW287">
        <f>IFERROR(N(VLOOKUP(AX287,Потребители_обозначение,10,FALSE)),0)</f>
        <v>0</v>
      </c>
      <c r="BX287">
        <f>IFERROR(VLOOKUP(AX287,Потребители_обозначение,5,FALSE),0)</f>
        <v>1</v>
      </c>
      <c r="BY287" s="6" cm="1">
        <f t="array" ref="BY287">IF(B287="","",IF(BC287&lt;&gt;"",IFERROR(_xlfn.XLOOKUP(BC287,Щиты[Щит],Щиты[cos φ]),0.95),IF(BK287=1,IFERROR(_xlfn.XLOOKUP(A287,Щиты[Щит],Щиты[cos φ]),0.95),IF(ISNUMBER(Z287),Z287,IFERROR(IF(BX287=2,_xlfn.IFS(BR287=3,VLOOKUP(BN287,Справочная_двигатели,8,FALSE),BR287=1,VLOOKUP(BN287,Справочная_двигатели,10,TRUE)),IF(AND(Методика="нормы 2026",EQ287="Сил"),0.8,0.95)),0.95)))))</f>
        <v>0.95</v>
      </c>
      <c r="BZ287">
        <f t="shared" si="509"/>
        <v>0</v>
      </c>
      <c r="CA287">
        <f t="shared" si="510"/>
        <v>1</v>
      </c>
      <c r="CB287">
        <f t="shared" si="511"/>
        <v>0</v>
      </c>
      <c r="CC287">
        <f t="shared" si="512"/>
        <v>0</v>
      </c>
      <c r="CD287">
        <f t="shared" si="513"/>
        <v>0</v>
      </c>
      <c r="CE287">
        <f t="shared" si="514"/>
        <v>0</v>
      </c>
      <c r="CF287">
        <f t="shared" si="515"/>
        <v>0</v>
      </c>
      <c r="CG287">
        <f>IF(AX287="",0,_xlfn.LET(_xlpm.v,IFERROR(VLOOKUP(B287,УГО_спр,3,FALSE),IFERROR(VLOOKUP(AX287,УГО_спр,3,FALSE),IFERROR(VLOOKUP(LEFT(AX287,2),УГО_спр,3,FALSE),""))),IF(_xlpm.v="да",30,IF(ISNUMBER(_xlpm.v),_xlpm.v,0))))</f>
        <v>30</v>
      </c>
      <c r="CH287">
        <f t="shared" si="516"/>
        <v>30</v>
      </c>
      <c r="CI287" t="str">
        <f>_xlfn.LET(_xlpm.k,IFERROR(_xlfn.XLOOKUP(AX287,Коды_код,Коды_утечка)&amp;"",""),IF(_xlpm.k="","дифавтомат",_xlpm.k))</f>
        <v>дифавтомат</v>
      </c>
      <c r="CJ287">
        <f t="shared" si="517"/>
        <v>30</v>
      </c>
      <c r="CK287">
        <f t="shared" si="518"/>
        <v>30</v>
      </c>
      <c r="CL287">
        <f>IF(B287="",0,IFERROR(--VLOOKUP(B287,УГО_спр,4,FALSE),IFERROR(--VLOOKUP(AX287,УГО_спр,4,FALSE),IFERROR(--VLOOKUP(LEFT(AX287,2),УГО_спр,4,FALSE),0))))</f>
        <v>16</v>
      </c>
      <c r="CM287" t="str">
        <f>IF(B287="","",IFERROR(_xlfn.XLOOKUP(AX287,Коды_код,Коды_апп)&amp;"",""))</f>
        <v/>
      </c>
      <c r="CN287" t="str">
        <f t="shared" si="519"/>
        <v/>
      </c>
      <c r="CO287" t="str" cm="1">
        <f t="array" ref="CO287">IF(TRIM(CN287&amp;"")="","",IFERROR(TRIM(INDEX(_xlfn.TEXTSPLIT(CN287&amp;";;;",";"),1)),""))</f>
        <v/>
      </c>
      <c r="CP287" t="str" cm="1">
        <f t="array" ref="CP287">IF(TRIM(CN287&amp;"")="","",IFERROR(TRIM(INDEX(_xlfn.TEXTSPLIT(CN287&amp;";;;",";"),2)),""))</f>
        <v/>
      </c>
      <c r="CQ287" t="str" cm="1">
        <f t="array" ref="CQ287">IF(TRIM(CN287&amp;"")="","",IFERROR(TRIM(INDEX(_xlfn.TEXTSPLIT(CN287&amp;";;;",";"),3)),""))</f>
        <v/>
      </c>
      <c r="CR287">
        <f t="shared" si="520"/>
        <v>0</v>
      </c>
      <c r="CS287" t="str">
        <f>IF(B287="","",_xlfn.LET(_xlpm.t,LOWER(AV287&amp;""),IF(ISNUMBER(SEARCH("dim",_xlpm.t)),"DIM",IF(ISNUMBER(SEARCH("dali",_xlpm.t)),"DALI",IF(OR(ISNUMBER(SEARCH("relay",_xlpm.t)),ISNUMBER(SEARCH("реле",_xlpm.t))),"Relay",IF(ISNUMBER(SEARCH("кнопк",_xlpm.t)),"",IFERROR(_xlfn.XLOOKUP(AX287,Коды_код,Коды_упр)&amp;"","")))))))</f>
        <v/>
      </c>
      <c r="CT287" t="str">
        <f t="shared" si="521"/>
        <v/>
      </c>
      <c r="CU287">
        <f>IF(B287="","",_xlfn.LET(_xlpm.ig,N(P287)+IF(AF287="вручную",0,N(CB287)),_xlpm.n0,IFERROR(VLOOKUP(_xlpm.ig,Автомат_номиналы,2,TRUE),0),_xlpm.mn,MAX(CL287,IF(AF287="вручную",0,N(CE287))),MAX(_xlpm.n0,_xlpm.mn,IF(CR287=1,Мин_автомат_БП,0))))</f>
        <v>16</v>
      </c>
      <c r="CV287">
        <f t="shared" si="522"/>
        <v>1</v>
      </c>
      <c r="CW287" t="str">
        <f t="shared" si="523"/>
        <v>2P</v>
      </c>
      <c r="CX287" t="str">
        <f>_xlfn.LET(_xlpm.cc,UPPER(TRIM(IFERROR(_xlfn.XLOOKUP(AX287,Коды_код,Коды_хар)&amp;"",""))),IF(OR(_xlpm.cc="B",_xlpm.cc="В"),"B",IF(_xlpm.cc="D","D","С")))</f>
        <v>С</v>
      </c>
      <c r="CY287" t="str">
        <f t="shared" si="524"/>
        <v>2P С16А 30мА</v>
      </c>
      <c r="CZ287">
        <f t="shared" si="525"/>
        <v>16</v>
      </c>
      <c r="DA287" t="str">
        <f t="shared" si="526"/>
        <v>2P С16А 30мА</v>
      </c>
      <c r="DB287" cm="1">
        <f t="array" ref="DB287">IF(DA287="","",_xlfn.LET(_xlpm.t,SUBSTITUTE(SUBSTITUTE(SUBSTITUTE(UPPER(DA287),"С","C"),"А","A"),"В","B"),_xlpm.tk,_xlfn.TEXTSPLIT(_xlpm.t,"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7" t="str">
        <f t="shared" si="527"/>
        <v>ok</v>
      </c>
      <c r="DD287">
        <f t="shared" si="528"/>
        <v>16</v>
      </c>
      <c r="DE287" t="str">
        <f t="shared" si="529"/>
        <v>2P С16А 30мА</v>
      </c>
      <c r="DF287">
        <f t="shared" si="530"/>
        <v>30</v>
      </c>
      <c r="DG287">
        <f t="shared" si="531"/>
        <v>1</v>
      </c>
      <c r="DH287">
        <f t="shared" si="532"/>
        <v>0</v>
      </c>
      <c r="DI287">
        <f t="shared" si="533"/>
        <v>1.0939268258329751</v>
      </c>
      <c r="DJ287">
        <f t="shared" si="534"/>
        <v>1</v>
      </c>
      <c r="DK287">
        <f>IF(ISNUMBER(AL287),AL287,К_прокл)</f>
        <v>1</v>
      </c>
      <c r="DL287">
        <f t="shared" si="535"/>
        <v>2</v>
      </c>
      <c r="DM287">
        <f>IFERROR(N(VLOOKUP(BT287,Кабель_обозначение,3,FALSE)),1)</f>
        <v>1</v>
      </c>
      <c r="DN287">
        <f>IFERROR(N(_xlfn.XLOOKUP(A287,Щиты[Щит],Щиты[ΔU до шин, %])),0)</f>
        <v>1.79</v>
      </c>
      <c r="DO287" t="str">
        <f>IFERROR(_xlfn.XLOOKUP(A287,Щиты[Щит],Щиты[Zпетли на шинах, Ом]),"")</f>
        <v/>
      </c>
      <c r="DP287">
        <f>IFERROR(N(_xlfn.XLOOKUP(A287,Щиты[Щит],Щиты[ΔU до шин (подбор), %])),0)</f>
        <v>4.75</v>
      </c>
      <c r="DQ287" t="str">
        <f>IFERROR(_xlfn.XLOOKUP(A287,Щиты[Щит],Щиты[Zпетли на шинах (подбор), Ом]),"")</f>
        <v/>
      </c>
      <c r="DR287" t="str">
        <f t="shared" si="536"/>
        <v/>
      </c>
      <c r="DS287">
        <f t="shared" si="537"/>
        <v>34</v>
      </c>
      <c r="DT287">
        <f t="shared" si="538"/>
        <v>2</v>
      </c>
      <c r="DU287">
        <f t="shared" si="539"/>
        <v>0.31</v>
      </c>
      <c r="DV287" s="6">
        <f>IF(B287="","",IF(IFERROR(VLOOKUP(AX287,УГО_спр,2,FALSE),"")="Светильник",3,4)+IF(Методика="нормы 2026",MIN(0.5,MAX(0,N(Q287)-100)*0.005),0))</f>
        <v>4</v>
      </c>
      <c r="DW287" t="str" cm="1">
        <f t="array" ref="DW287">IF(OR(B287="",BT287="",DM287&lt;&gt;1),"",_xlfn.LET(_xlpm.sz,Iдоп_S,_xlpm.t_,CHOOSE(DL287,Iдоп_1ж,Iдоп_2ж,Iдоп_3ж)*DJ287*DK287,_xlpm.inn,N(DD287),_xlpm.smin,MAX(1.5,BW287),_xlpm.L_,N(Q287)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287)*(_xlpm.rho*_xlpm.L_/_xlpm.sz*N(BY287)+_xlpm.xx*_xlpm.L_*N(DU287)/1000)*N(P287)/((Uн_лин/SQRT(3))*1000)*100,999),_xlpm.kz,IF(OR(DG287=1,NOT(ISNUMBER(DQ287)),_xlpm.L_=0,_xlpm.inn=0),1,IFERROR(--(c_min*(Uн_лин*1000/SQRT(3))/(DQ287+2*ρкз_Cu*_xlpm.L_/_xlpm.sz)&gt;=GY287*_xlpm.inn),0)),_xlpm.ok,IFERROR((_xlpm.sz&gt;=_xlpm.smin)*(_xlpm.t_&gt;=_xlpm.inn)*IF(_xlpm.L_&gt;0,(_xlpm.du_+DP287&lt;=DV287+0.00001),1)*_xlpm.kz,0),_xlpm.r_,_xlfn._xlws.FILTER(_xlpm.sz,_xlpm.ok,"не подобрано"),INDEX(_xlpm.r_,1)))</f>
        <v>не подобрано</v>
      </c>
      <c r="DX287">
        <f t="shared" si="540"/>
        <v>2.5</v>
      </c>
      <c r="DY287" cm="1">
        <f t="array" ref="DY287">IF(OR(B287="",BT287="",DM287&lt;&gt;1),"",_xlfn.LET(_xlpm.sz,Iдоп_S,_xlpm.t_,CHOOSE(DL287,Iдоп_1ж,Iдоп_2ж,Iдоп_3ж)*DJ287*DK287,_xlpm.ok,IFERROR((_xlpm.sz&gt;=MAX(1.5,BW287))*(_xlpm.t_&gt;=N(DD287)),0),_xlpm.r_,_xlfn._xlws.FILTER(_xlpm.sz,_xlpm.ok,""),INDEX(_xlpm.r_,1)))</f>
        <v>1.5</v>
      </c>
      <c r="DZ287" s="6" cm="1">
        <f t="array" ref="DZ287">IFERROR(ROUNDUP(N(DT287)*(_xlfn.XLOOKUP(DY287,INDEX(Кабель_сопротивление,0,1),INDEX(Кабель_сопротивление,0,3))*N(Q287)/DY287*N(BY287)+_xlfn.XLOOKUP(DY287,INDEX(Кабель_сопротивление,0,1),INDEX(Кабель_сопротивление,0,2))*N(Q287)*N(DU287)/1000)*N(P287)/((Uн_лин/SQRT(3))*1000)*100,2),"")</f>
        <v>0.59</v>
      </c>
      <c r="EA287">
        <f>IFERROR(2*ρкз_Cu*N(Q287)/DY287,"")</f>
        <v>1.5078666666666667</v>
      </c>
      <c r="EB287">
        <f>IFERROR(VLOOKUP(DX287,Кабель_сопротивление,3,FALSE),"")</f>
        <v>2.2499999999999999E-2</v>
      </c>
      <c r="EC287">
        <f>IFERROR(VLOOKUP(DX287,Кабель_сопротивление,2,FALSE),"")</f>
        <v>0.1</v>
      </c>
      <c r="ED287">
        <f t="shared" si="541"/>
        <v>25</v>
      </c>
      <c r="EE287">
        <f t="shared" si="542"/>
        <v>39</v>
      </c>
      <c r="EF287">
        <f t="shared" si="543"/>
        <v>0.807280803952657</v>
      </c>
      <c r="EG287" s="6">
        <f>IFERROR(ROUNDUP(EF287/((Uн_лин/SQRT(3))*1000)*100,2),"")</f>
        <v>0.35000000000000003</v>
      </c>
      <c r="EH287" t="str">
        <f>IFERROR(VLOOKUP(BT287,Кабель_обозначение,2,FALSE),"")</f>
        <v>ВВГнг(А)-LS</v>
      </c>
      <c r="EI287" t="str">
        <f t="shared" si="544"/>
        <v>ВВГнг(А)-LS (3х2,5)</v>
      </c>
      <c r="EJ287" t="str">
        <f t="shared" si="545"/>
        <v>ВВГнг(А)-LS (3х2,5)
L=43-0,35%</v>
      </c>
      <c r="EK287">
        <f>IFERROR(2*ρкз_Cu*Q287/DX287,"")</f>
        <v>0.90471999999999997</v>
      </c>
      <c r="EL287">
        <f t="shared" si="546"/>
        <v>0.30100000000000005</v>
      </c>
      <c r="EM287" s="6" t="str">
        <f>IFERROR(IF(OR(B287="",NOT(ISNUMBER(DX287)),N(Q287)=0),"",_xlfn.XLOOKUP(A287,Щиты[Щит],Щиты[Zпетли на шинах, Ом])+EK287),"")</f>
        <v/>
      </c>
      <c r="EN287" s="6" t="str">
        <f>IF(ISNUMBER(EM287),c_min*(Uн_лин*1000/SQRT(3))/EM287,"")</f>
        <v/>
      </c>
      <c r="EO287" s="6" t="str">
        <f>IFERROR(IF(OR(B287="",NOT(ISNUMBER(DX287))),"",1.05*(Uн_лин*1000/SQRT(3))/(_xlfn.XLOOKUP(A287,Щиты[Щит],Щиты[Zmax на шинах, Ом])+EL287)/1000),"")</f>
        <v/>
      </c>
      <c r="EP287" s="6" t="str">
        <f>IF(B287="","",IF(ISNUMBER(Y287),"Сил",IF(IFERROR(_xlfn.XLOOKUP(AX287,Коды_код,Коды_группа)&amp;"","")="","Быт",_xlfn.XLOOKUP(AX287,Коды_код,Коды_группа)&amp;"")))</f>
        <v>Быт</v>
      </c>
      <c r="EQ287" s="6" t="str">
        <f t="shared" si="547"/>
        <v>Быт</v>
      </c>
      <c r="ER287" s="6">
        <f>IF(EQ287="Щит","щит",IF(EQ287="","",IF(EQ287="Быт",IFERROR(_xlfn.XLOOKUP(A287,Щиты[Щит],Щиты[Кс быт]),1),IF(EQ287="Сил",IF(ISNUMBER(Y287),Y287,IF(Методика="нормы 2026",IFERROR(_xlfn.XLOOKUP(A287,Щиты[Щит],Щиты[Кс силовых (табл. 7.5)]),1),1)),IF(OR(EQ287="Пост",EQ287="Отоп"),1,IF(EQ287="ВНГ",0.7,0))))))</f>
        <v>0.8</v>
      </c>
      <c r="ES287">
        <f t="shared" si="548"/>
        <v>1</v>
      </c>
      <c r="ET287">
        <f t="shared" si="549"/>
        <v>0.24</v>
      </c>
      <c r="EU287">
        <f t="shared" si="550"/>
        <v>0.24</v>
      </c>
      <c r="EV287">
        <f t="shared" si="551"/>
        <v>0</v>
      </c>
      <c r="EW287">
        <f t="shared" si="552"/>
        <v>0</v>
      </c>
      <c r="EX287">
        <f t="shared" si="553"/>
        <v>0</v>
      </c>
      <c r="EY287">
        <f t="shared" si="554"/>
        <v>0</v>
      </c>
      <c r="EZ287">
        <f t="shared" si="555"/>
        <v>0.24</v>
      </c>
      <c r="FA287">
        <f t="shared" si="556"/>
        <v>0.22799999999999998</v>
      </c>
      <c r="FB287">
        <f t="shared" si="557"/>
        <v>0.24</v>
      </c>
      <c r="FC287" t="str">
        <f t="shared" si="558"/>
        <v>L3</v>
      </c>
      <c r="FD287" t="str">
        <f>IF(B287="","",IF(CA287=0,IF(AW287=1,"",FF286),IF(OR(N(CV287)&gt;=3,N(BR287)&gt;=3),"L1,L2,L3",IFERROR(_xlfn.TEXTBEFORE(_xlfn.TEXTAFTER(_xlfn.XLOOKUP(A287,Щиты[Щит],Щиты[_фазы авто]),";"&amp;AW287&amp;":"),";"),"L1"))))</f>
        <v>L1</v>
      </c>
      <c r="FE287" t="str">
        <f t="shared" si="559"/>
        <v>L3</v>
      </c>
      <c r="FF287" t="str">
        <f t="shared" si="560"/>
        <v>L3</v>
      </c>
      <c r="FG287" cm="1">
        <f t="array" ref="FG287">IFERROR(IF(BX287=2,_xlfn.IFS(BR287=3,VLOOKUP(BN287,Справочная_двигатели,3,FALSE),BR287=1,VLOOKUP(BN287,Справочная_двигатели,5,TRUE)),0),0)</f>
        <v>0</v>
      </c>
      <c r="FH287">
        <f>IFERROR(IF(BX287=3,VLOOKUP(BN287,Справочная_ЛЭД,2,TRUE),0),0)</f>
        <v>0</v>
      </c>
      <c r="FI287" s="6">
        <f t="shared" si="561"/>
        <v>0</v>
      </c>
      <c r="FJ287" t="str" cm="1">
        <f t="array" ref="FJ287">IF(B287="","",IFERROR(INDEX({"I особая","I","II","III"},MATCH(TRIM(AC287&amp;""),{"I особая","I","II","III"},0)),"III"))</f>
        <v>II</v>
      </c>
      <c r="FK287" t="str">
        <f>IF(B287="","",IF(TRIM(AD287&amp;"")&lt;&gt;"",IF(LOWER(TRIM(AD287&amp;""))="да","да","нет"),IF(IFERROR(_xlfn.XLOOKUP(AX287,Коды_код,Коды_пожарная),"")="да","да","нет")))</f>
        <v>нет</v>
      </c>
      <c r="FL287" t="str">
        <f t="shared" si="562"/>
        <v/>
      </c>
      <c r="FM287" t="str">
        <f t="shared" si="563"/>
        <v>основная</v>
      </c>
      <c r="FN287">
        <f t="shared" si="564"/>
        <v>1</v>
      </c>
      <c r="FO287" t="str" cm="1">
        <f t="array" ref="FO287">IF(B287="","",_xlfn.LET(_xlpm.t,IFERROR(_xlfn.XLOOKUP(1,(Шины[Шина]=FM287)*(((Шины[Щит]=A287)+(Шины[Щит]=""))&gt;0),Шины[Тип]),"")&amp;"",IF(_xlpm.t&lt;&gt;"",_xlpm.t,IF(ISNUMBER(SEARCH("ИБП",FM287)),"ИБП",IF(ISNUMBER(SEARCH("ДГУ",FM287)),"ДГУ","Ввод "&amp;FN287)))))</f>
        <v>Ввод 1</v>
      </c>
      <c r="FP287" t="str">
        <f t="shared" si="565"/>
        <v>Ввод 1</v>
      </c>
      <c r="FQ287" t="str">
        <f>IF(B287="","",IF(OR(FO287="ИБП",FO287="ДГУ"),"I особая",IF(FO287="Одиночная","III",_xlfn.XLOOKUP(A287,Щиты[Щит],Щиты[Категория шины «Ввод»],"III"))))</f>
        <v>II</v>
      </c>
      <c r="FR287">
        <f>IF(B287="",0,IFERROR(MATCH(FJ287,{"III","II","I","I особая"},0),1))</f>
        <v>2</v>
      </c>
      <c r="FS287">
        <f t="shared" si="566"/>
        <v>2</v>
      </c>
      <c r="FT287" t="str">
        <f>IF(B287="","",IF(FR287&gt;IFERROR(MATCH(FQ287,{"III","II","I","I особая"},0),1),"НЕ ОБЕСПЕЧЕНА","ОК"))</f>
        <v>ОК</v>
      </c>
      <c r="FU287" t="str">
        <f>IF(A287="","",_xlfn.XLOOKUP(A287,Щиты[Щит],Щиты[Путь],""))</f>
        <v>|ГРЩ-ЖД|ЩР-2|</v>
      </c>
      <c r="FV287" t="str">
        <f>IF(B287="","",IF(AE287&lt;&gt;"",AE287,IF(IFERROR(_xlfn.XLOOKUP(AX287,Коды_код,Коды_вид)&amp;"","")="","Прочее",_xlfn.XLOOKUP(AX287,Коды_код,Коды_вид)&amp;"")))</f>
        <v>Розеточная сеть и бытовые приборы</v>
      </c>
      <c r="FW287">
        <f>IF(BH287="","",INT((BH287-1)/Столбцов_на_лист)+1)</f>
        <v>2</v>
      </c>
      <c r="FX287" t="str">
        <f t="shared" si="567"/>
        <v>ВВГнг(А)-LS (3х2,5) L=43-0,35%</v>
      </c>
      <c r="FY287">
        <f t="shared" si="568"/>
        <v>0.24</v>
      </c>
      <c r="FZ287">
        <f t="shared" si="569"/>
        <v>1.1000000000000001</v>
      </c>
      <c r="GA287">
        <f t="shared" si="570"/>
        <v>1</v>
      </c>
      <c r="GB287">
        <f t="shared" si="571"/>
        <v>0</v>
      </c>
      <c r="GC287">
        <f t="shared" si="572"/>
        <v>1</v>
      </c>
      <c r="GD287">
        <f>IF(BH287="","",IF(AND(CA287=1,GC287=1),COUNTIFS(A$3:A287,A287,CA$3:CA287,1,GC$3:GC287,1),IF(OR(OR(AW287=1,A287&lt;&gt;A286),AF287="вручную",GC287=0),"",IF(AW287=1,"",GE286))))</f>
        <v>4</v>
      </c>
      <c r="GE287">
        <f t="shared" si="573"/>
        <v>4</v>
      </c>
      <c r="GF287">
        <f>IF(B287="","",IFERROR(LOOKUP(INDEX(CHOOSE(DL287,Iдоп_1ж,Iдоп_2ж,Iдоп_3ж),MATCH(DX287,Iдоп_S,0))*DJ287*DK287,{6,10,16,20,25,32,40,50,63,80,100,125,160,200,250,315,400,500,630}),""))</f>
        <v>25</v>
      </c>
      <c r="GG287" t="str">
        <f t="shared" si="574"/>
        <v>QFD4</v>
      </c>
      <c r="GH287" t="str">
        <f t="shared" si="575"/>
        <v>QFD4</v>
      </c>
      <c r="GI287" t="str">
        <f t="shared" si="576"/>
        <v/>
      </c>
      <c r="GJ287">
        <f t="shared" si="577"/>
        <v>0</v>
      </c>
      <c r="GK287" t="str">
        <f>IF(OR(AG287="",AG287="-"),"",IFERROR(VLOOKUP(AG287,Модули_спр,2,FALSE),"R"))</f>
        <v/>
      </c>
      <c r="GL287" t="str">
        <f>IF(GK287="","",GK287&amp;"."&amp;COUNTIFS(A$3:A287,A287,GK$3:GK287,GK287))</f>
        <v/>
      </c>
      <c r="GM287" t="str">
        <f t="shared" si="578"/>
        <v/>
      </c>
      <c r="GN287" t="str">
        <f t="shared" si="579"/>
        <v/>
      </c>
      <c r="GO287" t="str">
        <f t="shared" si="580"/>
        <v/>
      </c>
      <c r="GP287" t="str">
        <f t="shared" si="581"/>
        <v/>
      </c>
      <c r="GQ287">
        <f t="shared" si="582"/>
        <v>1</v>
      </c>
      <c r="GR287" t="str">
        <f>IF(GQ287=1,"XT"&amp;COUNTIFS(A$3:A287,A287,GQ$3:GQ287,1),"")</f>
        <v>XT4</v>
      </c>
      <c r="GS287" t="str">
        <f t="shared" si="583"/>
        <v>XT4</v>
      </c>
      <c r="GT287" t="str">
        <f t="shared" si="584"/>
        <v>QFD4</v>
      </c>
      <c r="GU287" t="str">
        <f t="shared" si="585"/>
        <v/>
      </c>
      <c r="GV287" t="str">
        <f t="shared" si="586"/>
        <v>ok</v>
      </c>
      <c r="GW287" t="str">
        <f>IF(OR(GO287="",GM287=""),"",IF(GO287&gt;IFERROR(VLOOKUP(GN287,Модули_спр,3,FALSE),99),"ЛИШНИЙ КАНАЛ",IF(AND(AH287&lt;&gt;"=",COUNTIFS(Линии[_модуль гр.],GM287,Линии[Канал (итог)],GO287,Линии[Канал],"&lt;&gt;=",Линии[Щит],A287)&gt;1),"ДУБЛЬ КАНАЛА","")))</f>
        <v/>
      </c>
      <c r="GX287" s="6" t="str">
        <f t="shared" si="587"/>
        <v/>
      </c>
      <c r="GY287">
        <f t="shared" si="588"/>
        <v>10</v>
      </c>
      <c r="GZ287" t="str">
        <f t="shared" si="589"/>
        <v/>
      </c>
      <c r="HA287" t="str">
        <f>IF(AND(B287="",GT287=""),"",_xlfn.TEXTJOIN("; ",TRUE,IF(AND(B287&lt;&gt;"",FE287=""),"нет фазы",""),IF(AND(B287&lt;&gt;"",N(FY287)=0,EQ287&lt;&gt;"Нет"),"нет мощности",""),IF(AND(GS287&lt;&gt;"",COUNTIFS(Линии[Щит],A287,Линии[Клемма (итог)],GS287)&gt;1),"дубль клеммы "&amp;GS287,""),IF(AND(GV287&lt;&gt;"",GV287&lt;&gt;"ok"),GV287,""),IF(GW287&lt;&gt;"",GW287,""),IF(AND(N(BV287)&gt;=4,N(BR287)=1),BV287&amp;" жил на 1 фазе",""),IF(AND(AX287="R",CA287=1,OR(N(CK287)=0,N(CK287)&gt;30)),"розетка без дифзащиты до 30 мА",""),IFERROR(IF(AND(ISNUMBER(R287),R287&gt;DV287),"потери "&amp;FIXED(R287,1)&amp;" % &gt; "&amp;DV287&amp;" %",""),""),IFERROR(IF(LEFT(GZ287,4)="мало","Iкз мало — отключение &gt; 0,4 с",""),""),IF(AND(B287&lt;&gt;"",BH287=""),"не на схеме",""),IF(AND(CA287=0,B287&lt;&gt;"",FE287&lt;&gt;"",IF(AW287=1,"",FF286)&lt;&gt;"",FE287&lt;&gt;IF(AW287=1,"",FF286)),"фаза не как у автомата группы ("&amp;IF(AW287=1,"",FF286)&amp;")","")))</f>
        <v/>
      </c>
      <c r="HB287" s="6">
        <f>IF(OR(CA287=0,DA287=""),"",_xlfn.LET(_xlpm.t,IFERROR(_xlfn.XLOOKUP(DA287,Каталог!$U$4:$U$500,Каталог!$G$4:$G$500),""),_xlpm.k,SEARCH("кА",_xlpm.t),IFERROR(--TRIM(RIGHT(SUBSTITUTE(MID(_xlpm.t,MAX(1,_xlpm.k-4),_xlpm.k-MAX(1,_xlpm.k-4))," ",REPT(" ",9)),5)),"")))</f>
        <v>6</v>
      </c>
      <c r="HC287" t="str">
        <f>IF(OR(HB287="",CA287=0),"",IF(_xlfn.XLOOKUP(A287,Щиты[Щит],Щиты[Iкз max на шинах, кА],"")="","",IF(HB287&lt;_xlfn.XLOOKUP(A287,Щиты[Щит],Щиты[Iкз max на шинах, кА]),"Icu "&amp;HB287&amp;" кА &lt; Iкз max","ok")))</f>
        <v/>
      </c>
      <c r="HD287" t="str">
        <f t="shared" si="590"/>
        <v/>
      </c>
      <c r="HE287" t="str">
        <f t="shared" si="591"/>
        <v>QFD4|XT4</v>
      </c>
      <c r="HF287" t="str">
        <f t="shared" si="592"/>
        <v>QFD4|XT4|кабель ВВГнг(А)-LS (3х2,5) → Розеточная группа, пом. 005А</v>
      </c>
      <c r="HG287" t="str" cm="1">
        <f t="array" ref="HG287">IF(HF287="","",_xlfn.LET(_xlpm.nd,_xlfn.TEXTSPLIT(HF287,"|"),IF(COLUMNS(_xlpm.nd)&gt;1,A287&amp;"¦"&amp;INDEX(_xlpm.nd,1)&amp;"¦"&amp;INDEX(_xlpm.nd,2),"")))</f>
        <v>ЩР-2¦QFD4¦XT4</v>
      </c>
      <c r="HH287" t="str">
        <f t="shared" si="593"/>
        <v>R.2.005А.2¦Розеточная группа, пом. 005А</v>
      </c>
      <c r="HI287" t="str" cm="1">
        <f t="array" ref="HI287">IF(HF287="","",_xlfn.LET(_xlpm.nd,_xlfn.TEXTSPLIT(HF287,"|"),IF(COLUMNS(_xlpm.nd)&gt;2,A287&amp;"¦"&amp;INDEX(_xlpm.nd,2)&amp;"¦"&amp;INDEX(_xlpm.nd,3),"")))</f>
        <v>ЩР-2¦XT4¦кабель ВВГнг(А)-LS (3х2,5) → Розеточная группа, пом. 005А</v>
      </c>
      <c r="HJ287" t="str">
        <f t="shared" si="594"/>
        <v>R.2.005А.2¦Розеточная группа, пом. 005А</v>
      </c>
      <c r="HK287" t="str" cm="1">
        <f t="array" ref="HK287">IF(HF287="","",_xlfn.LET(_xlpm.nd,_xlfn.TEXTSPLIT(HF287,"|"),IF(COLUMNS(_xlpm.nd)&gt;3,A287&amp;"¦"&amp;INDEX(_xlpm.nd,3)&amp;"¦"&amp;INDEX(_xlpm.nd,4),"")))</f>
        <v/>
      </c>
      <c r="HL287" t="str">
        <f t="shared" si="595"/>
        <v/>
      </c>
      <c r="HM287" t="str" cm="1">
        <f t="array" ref="HM287">IF(HF287="","",_xlfn.LET(_xlpm.nd,_xlfn.TEXTSPLIT(HF287,"|"),IF(COLUMNS(_xlpm.nd)&gt;4,A287&amp;"¦"&amp;INDEX(_xlpm.nd,4)&amp;"¦"&amp;INDEX(_xlpm.nd,5),"")))</f>
        <v/>
      </c>
      <c r="HN287" t="str">
        <f t="shared" si="596"/>
        <v/>
      </c>
      <c r="HO287" t="str" cm="1">
        <f t="array" ref="HO287">IF(HF287="","",_xlfn.LET(_xlpm.nd,_xlfn.TEXTSPLIT(HF287,"|"),IF(COLUMNS(_xlpm.nd)&gt;5,A287&amp;"¦"&amp;INDEX(_xlpm.nd,5)&amp;"¦"&amp;INDEX(_xlpm.nd,6),"")))</f>
        <v/>
      </c>
      <c r="HP287" t="str">
        <f t="shared" si="597"/>
        <v/>
      </c>
      <c r="HQ287" t="str" cm="1">
        <f t="array" ref="HQ287">IF(HF287="","",_xlfn.LET(_xlpm.nd,_xlfn.TEXTSPLIT(HF287,"|"),IF(COLUMNS(_xlpm.nd)&gt;6,A287&amp;"¦"&amp;INDEX(_xlpm.nd,6)&amp;"¦"&amp;INDEX(_xlpm.nd,7),"")))</f>
        <v/>
      </c>
      <c r="HR287" t="str">
        <f t="shared" si="598"/>
        <v/>
      </c>
      <c r="HS287" t="str">
        <f t="shared" si="599"/>
        <v/>
      </c>
      <c r="HT287" t="str">
        <f t="shared" si="600"/>
        <v>QFD4 → XT4</v>
      </c>
      <c r="HU287">
        <f t="shared" si="601"/>
        <v>0</v>
      </c>
      <c r="HV287">
        <f t="shared" si="602"/>
        <v>1</v>
      </c>
      <c r="HW287" t="str">
        <f t="shared" si="603"/>
        <v/>
      </c>
      <c r="HX287" t="str">
        <f t="shared" si="604"/>
        <v/>
      </c>
      <c r="HY287" t="str">
        <f t="shared" si="605"/>
        <v/>
      </c>
      <c r="HZ287" t="str">
        <f t="shared" si="606"/>
        <v/>
      </c>
      <c r="IA287" t="str">
        <f>IF(B287="","",IFERROR(VLOOKUP(B287,УГО_спр,2,FALSE),IFERROR(VLOOKUP(AX287,УГО_спр,2,FALSE),IFERROR(VLOOKUP(LEFT(AX287,2),УГО_спр,2,FALSE),""))))</f>
        <v>Розетка</v>
      </c>
      <c r="IB287" t="str">
        <f>IF(B287="","",IF(OR(IA287="",IA287=0),"BOX",IFERROR(IF(VLOOKUP(IA287,УГО_блоки,3,FALSE)&amp;""&lt;&gt;"",VLOOKUP(IA287,УГО_блоки,3,FALSE),VLOOKUP(IA287,УГО_блоки,2,FALSE)),IA287)))</f>
        <v>SOCKET</v>
      </c>
      <c r="IC287">
        <f t="shared" si="607"/>
        <v>1</v>
      </c>
      <c r="ID287" t="str">
        <f>IF(DA287="","",IF(COUNTIF(DA$3:DA287,DA287)=1,MAX(ID$2:ID286)+1,""))</f>
        <v/>
      </c>
      <c r="IE287" t="str">
        <f>IF(CO287="","",IF(COUNTIF(CO$3:CO287,CO287)+COUNTIF(CP$2:CP286,CO287)+COUNTIF(CQ$2:CQ286,CO287)=1,MAX(IE$2:IG286)+1,""))</f>
        <v/>
      </c>
      <c r="IF287" t="str">
        <f>IF(CP287="","",IF(COUNTIF(CO$3:CO287,CP287)+COUNTIF(CP$3:CP287,CP287)+COUNTIF(CQ$2:CQ286,CP287)=1,MAX(IE$2:IG286,IE287)+1,""))</f>
        <v/>
      </c>
      <c r="IG287" t="str">
        <f>IF(CQ287="","",IF(COUNTIF(CO$3:CO287,CQ287)+COUNTIF(CP$3:CP287,CQ287)+COUNTIF(CQ$3:CQ287,CQ287)=1,MAX(IE$2:IG286,IE287,IF287)+1,""))</f>
        <v/>
      </c>
      <c r="IH287" t="str">
        <f t="shared" si="608"/>
        <v>3х2,5</v>
      </c>
      <c r="II287" t="str">
        <f>IF(IH287="","",IF(COUNTIF(IH$3:IH287,IH287)=1,MAX(II$2:II286)+1,""))</f>
        <v/>
      </c>
      <c r="IJ287" t="str">
        <f>IF(GL287="","",COUNTIF(GL$3:GL287,"?*"))</f>
        <v/>
      </c>
      <c r="IK287" t="str">
        <f>IF(OR(GL287="",GN287=""),"",IF(COUNTIFS(GL$3:GL287,"?*",GN$3:GN287,GN287)=1,MAX(IK$2:IK286)+1,""))</f>
        <v/>
      </c>
      <c r="IL287">
        <f t="shared" si="609"/>
        <v>0</v>
      </c>
      <c r="IM287">
        <f>IF(B287="","",COUNTIF(B$3:B287,"?*"))</f>
        <v>285</v>
      </c>
      <c r="IN287">
        <f>IF(GQ287&lt;&gt;1,0,_xlfn.LET(_xlpm.k,MAX(IFERROR(--VLOOKUP(B287,УГО_спр,5,FALSE),0),IFERROR(--VLOOKUP(AX287,УГО_спр,5,FALSE),0),IFERROR(--VLOOKUP(LEFT(AX287,2),УГО_спр,5,FALSE),0)),IF(_xlpm.k&gt;0,_xlpm.k,IF(IFERROR(--LEFT(SUBSTITUTE(IH287,"x","х"),FIND("х",SUBSTITUTE(IH287,"x","х"))-1),3)&gt;3,Каталог!$S$9,1))))</f>
        <v>1</v>
      </c>
      <c r="IO287">
        <f t="shared" si="610"/>
        <v>0</v>
      </c>
      <c r="IP287" t="str">
        <f t="shared" si="611"/>
        <v>авто</v>
      </c>
      <c r="IQ287">
        <f t="shared" si="612"/>
        <v>30</v>
      </c>
      <c r="IR287">
        <f t="shared" si="613"/>
        <v>1</v>
      </c>
      <c r="IS287">
        <f t="shared" si="614"/>
        <v>1</v>
      </c>
    </row>
    <row r="288" spans="1:253" x14ac:dyDescent="0.3">
      <c r="A288" t="s">
        <v>761</v>
      </c>
      <c r="B288" t="s">
        <v>1552</v>
      </c>
      <c r="C288" t="str">
        <f>Линии[[#This Row],[_авто наименование]]</f>
        <v>Розеточная группа, пом. 006А</v>
      </c>
      <c r="D288">
        <v>1</v>
      </c>
      <c r="E288">
        <v>0.06</v>
      </c>
      <c r="G288">
        <v>16</v>
      </c>
      <c r="H288">
        <f>Линии[[#This Row],[_авто утечка]]</f>
        <v>30</v>
      </c>
      <c r="I288" t="str">
        <f>Линии[[#This Row],[_авто управление]]</f>
        <v/>
      </c>
      <c r="J288" t="str">
        <f>Линии[[#This Row],[_авто аппараты]]</f>
        <v/>
      </c>
      <c r="K288">
        <v>2.5</v>
      </c>
      <c r="L288">
        <v>46</v>
      </c>
      <c r="M288">
        <v>1</v>
      </c>
      <c r="N288" t="str">
        <f>Линии[[#This Row],[_авто клемма]]</f>
        <v>XT5</v>
      </c>
      <c r="O288" t="str">
        <f t="shared" si="492"/>
        <v/>
      </c>
      <c r="P288" s="6" cm="1">
        <f t="array" ref="P288">IF(B288="","",IF(BC288&lt;&gt;"",IFERROR(_xlfn.XLOOKUP(BC288,Щиты[Щит],Щиты[Iр, А]),""),IF(BK288=1,IFERROR(_xlfn.XLOOKUP(A288,Щиты[Щит],Щиты[Iр, А]),""),IFERROR(_xlfn.IFS(BR288=1,BN288/((Uн_лин/SQRT(3))*BY288),BR288=3,BN288/(SQRT(3)*Uн_лин*BY288)),""))))</f>
        <v>0.27348170645824377</v>
      </c>
      <c r="Q288" s="7">
        <f>IF(B288="","",IFERROR(IF(VLOOKUP(AX288,Потребители_обозначение,4,FALSE)=1,VLOOKUP(AX288,Потребители_обозначение,3,FALSE)*(D288*2-1)+DS288+VLOOKUP(AZ288,Этаж_обозначение,3,FALSE)+VLOOKUP(AZ288,Этаж_обозначение,4,FALSE),VLOOKUP(AX288,Потребители_обозначение,3,FALSE)*(D288*2-1)+DS288),DS288))</f>
        <v>49</v>
      </c>
      <c r="R288" s="6">
        <f t="shared" si="493"/>
        <v>1.8900000000000001</v>
      </c>
      <c r="S288" t="str">
        <f t="shared" si="494"/>
        <v>ВВГнг(А)-LS (3х2,5)</v>
      </c>
      <c r="T288" t="str">
        <f>IF(BH288="","",IF(BI288="вводной узел","узел ","")&amp;"л."&amp;(INT((BH288-1)/Столбцов_на_лист)+1)&amp;" / "&amp;(MOD(BH288-1,Столбцов_на_лист)+1))</f>
        <v>л.2 / 5</v>
      </c>
      <c r="V288">
        <v>1</v>
      </c>
      <c r="W288">
        <v>230</v>
      </c>
      <c r="X288" t="s">
        <v>564</v>
      </c>
      <c r="AC288" t="s">
        <v>815</v>
      </c>
      <c r="AE288" t="s">
        <v>563</v>
      </c>
      <c r="AI288">
        <v>22</v>
      </c>
      <c r="AJ288" t="s">
        <v>11</v>
      </c>
      <c r="AK288">
        <v>3</v>
      </c>
      <c r="AM288">
        <v>12</v>
      </c>
      <c r="AN288">
        <v>31</v>
      </c>
      <c r="AO288">
        <v>30</v>
      </c>
      <c r="AP288">
        <v>2</v>
      </c>
      <c r="AW288" cm="1">
        <f t="array" ref="AW288">ROW()-ROW(Линии[#Headers])</f>
        <v>286</v>
      </c>
      <c r="AX288" s="6" t="str">
        <f t="shared" si="495"/>
        <v>R</v>
      </c>
      <c r="AY288" t="str">
        <f t="shared" si="496"/>
        <v>2.006А.1</v>
      </c>
      <c r="AZ288" t="str">
        <f t="shared" si="497"/>
        <v>2</v>
      </c>
      <c r="BA288" t="str">
        <f t="shared" si="498"/>
        <v>006А.1</v>
      </c>
      <c r="BB288" t="str">
        <f t="shared" si="499"/>
        <v>006А</v>
      </c>
      <c r="BC288" t="str">
        <f>IF(U288&lt;&gt;"",U288,IF(AND(B288&lt;&gt;"",B288&lt;&gt;A288,ISNUMBER(_xlfn.XMATCH(B288,Щиты[Щит]))),B288,""))</f>
        <v/>
      </c>
      <c r="BD288" t="str" cm="1">
        <f t="array" ref="BD288">IF(B288="","",IF(BC288&lt;&gt;"","Щит "&amp;BC288,_xlfn.LET(_xlpm.nm,IFERROR(_xlfn.XLOOKUP(AX288,Коды_код,Коды_имя)&amp;"",""),_xlpm.md,IFERROR(N(_xlfn.XLOOKUP(AX288,Коды_код,Коды_режим)),1),_xlpm.ex,IF(Имя_режим="по экспликации",IFERROR(_xlfn.XLOOKUP(AZ288&amp;"|"&amp;BB288,Экспликация[Этаж]&amp;"|"&amp;Экспликация[Помещение],Экспликация[Название])&amp;"",""),""),_xlpm.rm,IF(BB288="","",IF(_xlpm.ex&lt;&gt;"",". "&amp;_xlpm.ex&amp;IF(Имя_пом="нет"," ("&amp;BB288&amp;")"," (пом. "&amp;BB288&amp;")"),IF(Имя_пом="нет"," ",", пом. ")&amp;BB288)),IF(_xlpm.nm="","",IF(_xlpm.md=2,_xlpm.nm&amp;" шлейф "&amp;AZ288,_xlpm.nm&amp;_xlpm.rm)))))</f>
        <v>Розеточная группа, пом. 006А</v>
      </c>
      <c r="BE288" t="str">
        <f t="shared" si="500"/>
        <v>Розеточная группа, пом. 006А</v>
      </c>
      <c r="BF288">
        <f>IFERROR(_xlfn.XMATCH(A288,Щиты[Щит]),0)</f>
        <v>11</v>
      </c>
      <c r="BG288">
        <f>_xlfn.LET(_xlpm.k,IFERROR(_xlfn.XLOOKUP(A288,Щиты[Щит],Щиты[Листов под вводной узел]),""),IF(_xlpm.k="",1,N(_xlpm.k))*Столбцов_на_лист)</f>
        <v>17</v>
      </c>
      <c r="BH288">
        <f t="shared" si="501"/>
        <v>22</v>
      </c>
      <c r="BI288" t="str">
        <f t="shared" si="502"/>
        <v>линии</v>
      </c>
      <c r="BJ288" s="6">
        <f>IFERROR(N(_xlfn.XLOOKUP(AX288,Коды_код,Коды_квт)),0)</f>
        <v>0</v>
      </c>
      <c r="BK288">
        <f t="shared" si="503"/>
        <v>0</v>
      </c>
      <c r="BL288" t="str">
        <f>IF(B288="","",IF(BC288&lt;&gt;"",IFERROR(_xlfn.XLOOKUP(BC288,Щиты[Щит],Щиты[Руст, кВт]),0),IF(BK288=1,IFERROR(_xlfn.XLOOKUP(A288,Щиты[Щит],Щиты[Руст, кВт]),0),IF(BJ288&gt;0,ROUND(BJ288*MAX(1,N(D288)),3),""))))</f>
        <v/>
      </c>
      <c r="BM288">
        <f t="shared" si="504"/>
        <v>0.06</v>
      </c>
      <c r="BN288" s="6">
        <f>IF(B288="","",IF(BC288&lt;&gt;"",IFERROR(_xlfn.XLOOKUP(BC288,Щиты[Щит],Щиты[Руст, кВт]),0),N(BM288)))</f>
        <v>0.06</v>
      </c>
      <c r="BO288" t="str">
        <f>IF(B288="","",IFERROR(IF(VLOOKUP(AX288,Потребители_обозначение,8,FALSE)=0,"",VLOOKUP(AX288,Потребители_обозначение,8,FALSE)),""))</f>
        <v/>
      </c>
      <c r="BP288">
        <f t="shared" si="505"/>
        <v>230</v>
      </c>
      <c r="BQ288">
        <f>IF(B288="","",IF(BC288&lt;&gt;"",3,IFERROR(IF(N(VLOOKUP(AX288,Потребители_обозначение,9,FALSE))=0,1,VLOOKUP(AX288,Потребители_обозначение,9,FALSE)),1)))</f>
        <v>1</v>
      </c>
      <c r="BR288">
        <f t="shared" si="506"/>
        <v>1</v>
      </c>
      <c r="BS288" t="str">
        <f>IF(B288="","",_xlfn.LET(_xlpm.bc,IFERROR(IF(VLOOKUP(AX288,Потребители_обозначение,6,FALSE)=0,"",VLOOKUP(AX288,Потребители_обозначение,6,FALSE)&amp;""),""),IF(AND(FK288="да",OR(_xlpm.bc="",_xlpm.bc="мс")),Марка_пож,IF(AND(_xlpm.bc="",BC288&lt;&gt;""),"мс",_xlpm.bc))))</f>
        <v/>
      </c>
      <c r="BT288" t="str">
        <f t="shared" si="507"/>
        <v>мс</v>
      </c>
      <c r="BU288">
        <f>IF(B288="","",_xlfn.LET(_xlpm.cc,IFERROR(N(VLOOKUP(AX288,Потребители_обозначение,7,FALSE)),0),IF(_xlpm.cc&gt;0,_xlpm.cc,IF(BT288="","",IF(N(BR288)=3,5,3)))))</f>
        <v>3</v>
      </c>
      <c r="BV288">
        <f t="shared" si="508"/>
        <v>3</v>
      </c>
      <c r="BW288">
        <f>IFERROR(N(VLOOKUP(AX288,Потребители_обозначение,10,FALSE)),0)</f>
        <v>0</v>
      </c>
      <c r="BX288">
        <f>IFERROR(VLOOKUP(AX288,Потребители_обозначение,5,FALSE),0)</f>
        <v>1</v>
      </c>
      <c r="BY288" s="6" cm="1">
        <f t="array" ref="BY288">IF(B288="","",IF(BC288&lt;&gt;"",IFERROR(_xlfn.XLOOKUP(BC288,Щиты[Щит],Щиты[cos φ]),0.95),IF(BK288=1,IFERROR(_xlfn.XLOOKUP(A288,Щиты[Щит],Щиты[cos φ]),0.95),IF(ISNUMBER(Z288),Z288,IFERROR(IF(BX288=2,_xlfn.IFS(BR288=3,VLOOKUP(BN288,Справочная_двигатели,8,FALSE),BR288=1,VLOOKUP(BN288,Справочная_двигатели,10,TRUE)),IF(AND(Методика="нормы 2026",EQ288="Сил"),0.8,0.95)),0.95)))))</f>
        <v>0.95</v>
      </c>
      <c r="BZ288">
        <f t="shared" si="509"/>
        <v>0</v>
      </c>
      <c r="CA288">
        <f t="shared" si="510"/>
        <v>1</v>
      </c>
      <c r="CB288">
        <f t="shared" si="511"/>
        <v>0</v>
      </c>
      <c r="CC288">
        <f t="shared" si="512"/>
        <v>0</v>
      </c>
      <c r="CD288">
        <f t="shared" si="513"/>
        <v>0</v>
      </c>
      <c r="CE288">
        <f t="shared" si="514"/>
        <v>0</v>
      </c>
      <c r="CF288">
        <f t="shared" si="515"/>
        <v>0</v>
      </c>
      <c r="CG288">
        <f>IF(AX288="",0,_xlfn.LET(_xlpm.v,IFERROR(VLOOKUP(B288,УГО_спр,3,FALSE),IFERROR(VLOOKUP(AX288,УГО_спр,3,FALSE),IFERROR(VLOOKUP(LEFT(AX288,2),УГО_спр,3,FALSE),""))),IF(_xlpm.v="да",30,IF(ISNUMBER(_xlpm.v),_xlpm.v,0))))</f>
        <v>30</v>
      </c>
      <c r="CH288">
        <f t="shared" si="516"/>
        <v>30</v>
      </c>
      <c r="CI288" t="str">
        <f>_xlfn.LET(_xlpm.k,IFERROR(_xlfn.XLOOKUP(AX288,Коды_код,Коды_утечка)&amp;"",""),IF(_xlpm.k="","дифавтомат",_xlpm.k))</f>
        <v>дифавтомат</v>
      </c>
      <c r="CJ288">
        <f t="shared" si="517"/>
        <v>30</v>
      </c>
      <c r="CK288">
        <f t="shared" si="518"/>
        <v>30</v>
      </c>
      <c r="CL288">
        <f>IF(B288="",0,IFERROR(--VLOOKUP(B288,УГО_спр,4,FALSE),IFERROR(--VLOOKUP(AX288,УГО_спр,4,FALSE),IFERROR(--VLOOKUP(LEFT(AX288,2),УГО_спр,4,FALSE),0))))</f>
        <v>16</v>
      </c>
      <c r="CM288" t="str">
        <f>IF(B288="","",IFERROR(_xlfn.XLOOKUP(AX288,Коды_код,Коды_апп)&amp;"",""))</f>
        <v/>
      </c>
      <c r="CN288" t="str">
        <f t="shared" si="519"/>
        <v/>
      </c>
      <c r="CO288" t="str" cm="1">
        <f t="array" ref="CO288">IF(TRIM(CN288&amp;"")="","",IFERROR(TRIM(INDEX(_xlfn.TEXTSPLIT(CN288&amp;";;;",";"),1)),""))</f>
        <v/>
      </c>
      <c r="CP288" t="str" cm="1">
        <f t="array" ref="CP288">IF(TRIM(CN288&amp;"")="","",IFERROR(TRIM(INDEX(_xlfn.TEXTSPLIT(CN288&amp;";;;",";"),2)),""))</f>
        <v/>
      </c>
      <c r="CQ288" t="str" cm="1">
        <f t="array" ref="CQ288">IF(TRIM(CN288&amp;"")="","",IFERROR(TRIM(INDEX(_xlfn.TEXTSPLIT(CN288&amp;";;;",";"),3)),""))</f>
        <v/>
      </c>
      <c r="CR288">
        <f t="shared" si="520"/>
        <v>0</v>
      </c>
      <c r="CS288" t="str">
        <f>IF(B288="","",_xlfn.LET(_xlpm.t,LOWER(AV288&amp;""),IF(ISNUMBER(SEARCH("dim",_xlpm.t)),"DIM",IF(ISNUMBER(SEARCH("dali",_xlpm.t)),"DALI",IF(OR(ISNUMBER(SEARCH("relay",_xlpm.t)),ISNUMBER(SEARCH("реле",_xlpm.t))),"Relay",IF(ISNUMBER(SEARCH("кнопк",_xlpm.t)),"",IFERROR(_xlfn.XLOOKUP(AX288,Коды_код,Коды_упр)&amp;"","")))))))</f>
        <v/>
      </c>
      <c r="CT288" t="str">
        <f t="shared" si="521"/>
        <v/>
      </c>
      <c r="CU288">
        <f>IF(B288="","",_xlfn.LET(_xlpm.ig,N(P288)+IF(AF288="вручную",0,N(CB288)),_xlpm.n0,IFERROR(VLOOKUP(_xlpm.ig,Автомат_номиналы,2,TRUE),0),_xlpm.mn,MAX(CL288,IF(AF288="вручную",0,N(CE288))),MAX(_xlpm.n0,_xlpm.mn,IF(CR288=1,Мин_автомат_БП,0))))</f>
        <v>16</v>
      </c>
      <c r="CV288">
        <f t="shared" si="522"/>
        <v>1</v>
      </c>
      <c r="CW288" t="str">
        <f t="shared" si="523"/>
        <v>2P</v>
      </c>
      <c r="CX288" t="str">
        <f>_xlfn.LET(_xlpm.cc,UPPER(TRIM(IFERROR(_xlfn.XLOOKUP(AX288,Коды_код,Коды_хар)&amp;"",""))),IF(OR(_xlpm.cc="B",_xlpm.cc="В"),"B",IF(_xlpm.cc="D","D","С")))</f>
        <v>С</v>
      </c>
      <c r="CY288" t="str">
        <f t="shared" si="524"/>
        <v>2P С16А 30мА</v>
      </c>
      <c r="CZ288">
        <f t="shared" si="525"/>
        <v>16</v>
      </c>
      <c r="DA288" t="str">
        <f t="shared" si="526"/>
        <v>2P С16А 30мА</v>
      </c>
      <c r="DB288" cm="1">
        <f t="array" ref="DB288">IF(DA288="","",_xlfn.LET(_xlpm.t,SUBSTITUTE(SUBSTITUTE(SUBSTITUTE(UPPER(DA288),"С","C"),"А","A"),"В","B"),_xlpm.tk,_xlfn.TEXTSPLIT(_xlpm.t,"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8" t="str">
        <f t="shared" si="527"/>
        <v>ok</v>
      </c>
      <c r="DD288">
        <f t="shared" si="528"/>
        <v>16</v>
      </c>
      <c r="DE288" t="str">
        <f t="shared" si="529"/>
        <v>2P С16А 30мА</v>
      </c>
      <c r="DF288">
        <f t="shared" si="530"/>
        <v>30</v>
      </c>
      <c r="DG288">
        <f t="shared" si="531"/>
        <v>1</v>
      </c>
      <c r="DH288">
        <f t="shared" si="532"/>
        <v>0</v>
      </c>
      <c r="DI288">
        <f t="shared" si="533"/>
        <v>0.27348170645824377</v>
      </c>
      <c r="DJ288">
        <f t="shared" si="534"/>
        <v>1</v>
      </c>
      <c r="DK288">
        <f>IF(ISNUMBER(AL288),AL288,К_прокл)</f>
        <v>1</v>
      </c>
      <c r="DL288">
        <f t="shared" si="535"/>
        <v>2</v>
      </c>
      <c r="DM288">
        <f>IFERROR(N(VLOOKUP(BT288,Кабель_обозначение,3,FALSE)),1)</f>
        <v>1</v>
      </c>
      <c r="DN288">
        <f>IFERROR(N(_xlfn.XLOOKUP(A288,Щиты[Щит],Щиты[ΔU до шин, %])),0)</f>
        <v>1.79</v>
      </c>
      <c r="DO288" t="str">
        <f>IFERROR(_xlfn.XLOOKUP(A288,Щиты[Щит],Щиты[Zпетли на шинах, Ом]),"")</f>
        <v/>
      </c>
      <c r="DP288">
        <f>IFERROR(N(_xlfn.XLOOKUP(A288,Щиты[Щит],Щиты[ΔU до шин (подбор), %])),0)</f>
        <v>4.75</v>
      </c>
      <c r="DQ288" t="str">
        <f>IFERROR(_xlfn.XLOOKUP(A288,Щиты[Щит],Щиты[Zпетли на шинах (подбор), Ом]),"")</f>
        <v/>
      </c>
      <c r="DR288" t="str">
        <f t="shared" si="536"/>
        <v/>
      </c>
      <c r="DS288">
        <f t="shared" si="537"/>
        <v>46</v>
      </c>
      <c r="DT288">
        <f t="shared" si="538"/>
        <v>2</v>
      </c>
      <c r="DU288">
        <f t="shared" si="539"/>
        <v>0.31</v>
      </c>
      <c r="DV288" s="6">
        <f>IF(B288="","",IF(IFERROR(VLOOKUP(AX288,УГО_спр,2,FALSE),"")="Светильник",3,4)+IF(Методика="нормы 2026",MIN(0.5,MAX(0,N(Q288)-100)*0.005),0))</f>
        <v>4</v>
      </c>
      <c r="DW288" t="str" cm="1">
        <f t="array" ref="DW288">IF(OR(B288="",BT288="",DM288&lt;&gt;1),"",_xlfn.LET(_xlpm.sz,Iдоп_S,_xlpm.t_,CHOOSE(DL288,Iдоп_1ж,Iдоп_2ж,Iдоп_3ж)*DJ288*DK288,_xlpm.inn,N(DD288),_xlpm.smin,MAX(1.5,BW288),_xlpm.L_,N(Q288)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288)*(_xlpm.rho*_xlpm.L_/_xlpm.sz*N(BY288)+_xlpm.xx*_xlpm.L_*N(DU288)/1000)*N(P288)/((Uн_лин/SQRT(3))*1000)*100,999),_xlpm.kz,IF(OR(DG288=1,NOT(ISNUMBER(DQ288)),_xlpm.L_=0,_xlpm.inn=0),1,IFERROR(--(c_min*(Uн_лин*1000/SQRT(3))/(DQ288+2*ρкз_Cu*_xlpm.L_/_xlpm.sz)&gt;=GY288*_xlpm.inn),0)),_xlpm.ok,IFERROR((_xlpm.sz&gt;=_xlpm.smin)*(_xlpm.t_&gt;=_xlpm.inn)*IF(_xlpm.L_&gt;0,(_xlpm.du_+DP288&lt;=DV288+0.00001),1)*_xlpm.kz,0),_xlpm.r_,_xlfn._xlws.FILTER(_xlpm.sz,_xlpm.ok,"не подобрано"),INDEX(_xlpm.r_,1)))</f>
        <v>не подобрано</v>
      </c>
      <c r="DX288">
        <f t="shared" si="540"/>
        <v>2.5</v>
      </c>
      <c r="DY288" cm="1">
        <f t="array" ref="DY288">IF(OR(B288="",BT288="",DM288&lt;&gt;1),"",_xlfn.LET(_xlpm.sz,Iдоп_S,_xlpm.t_,CHOOSE(DL288,Iдоп_1ж,Iдоп_2ж,Iдоп_3ж)*DJ288*DK288,_xlpm.ok,IFERROR((_xlpm.sz&gt;=MAX(1.5,BW288))*(_xlpm.t_&gt;=N(DD288)),0),_xlpm.r_,_xlfn._xlws.FILTER(_xlpm.sz,_xlpm.ok,""),INDEX(_xlpm.r_,1)))</f>
        <v>1.5</v>
      </c>
      <c r="DZ288" s="6" cm="1">
        <f t="array" ref="DZ288">IFERROR(ROUNDUP(N(DT288)*(_xlfn.XLOOKUP(DY288,INDEX(Кабель_сопротивление,0,1),INDEX(Кабель_сопротивление,0,3))*N(Q288)/DY288*N(BY288)+_xlfn.XLOOKUP(DY288,INDEX(Кабель_сопротивление,0,1),INDEX(Кабель_сопротивление,0,2))*N(Q288)*N(DU288)/1000)*N(P288)/((Uн_лин/SQRT(3))*1000)*100,2),"")</f>
        <v>0.17</v>
      </c>
      <c r="EA288">
        <f>IFERROR(2*ρкз_Cu*N(Q288)/DY288,"")</f>
        <v>1.7182666666666666</v>
      </c>
      <c r="EB288">
        <f>IFERROR(VLOOKUP(DX288,Кабель_сопротивление,3,FALSE),"")</f>
        <v>2.2499999999999999E-2</v>
      </c>
      <c r="EC288">
        <f>IFERROR(VLOOKUP(DX288,Кабель_сопротивление,2,FALSE),"")</f>
        <v>0.1</v>
      </c>
      <c r="ED288">
        <f t="shared" si="541"/>
        <v>31</v>
      </c>
      <c r="EE288">
        <f t="shared" si="542"/>
        <v>30</v>
      </c>
      <c r="EF288">
        <f t="shared" si="543"/>
        <v>0.22998115926558257</v>
      </c>
      <c r="EG288" s="6">
        <f>IFERROR(ROUNDUP(EF288/((Uн_лин/SQRT(3))*1000)*100,2),"")</f>
        <v>9.9999999999999992E-2</v>
      </c>
      <c r="EH288" t="str">
        <f>IFERROR(VLOOKUP(BT288,Кабель_обозначение,2,FALSE),"")</f>
        <v>ВВГнг(А)-LS</v>
      </c>
      <c r="EI288" t="str">
        <f t="shared" si="544"/>
        <v>ВВГнг(А)-LS (3х2,5)</v>
      </c>
      <c r="EJ288" t="str">
        <f t="shared" si="545"/>
        <v>ВВГнг(А)-LS (3х2,5)
L=49-0,1%</v>
      </c>
      <c r="EK288">
        <f>IFERROR(2*ρкз_Cu*Q288/DX288,"")</f>
        <v>1.0309599999999999</v>
      </c>
      <c r="EL288">
        <f t="shared" si="546"/>
        <v>0.34300000000000003</v>
      </c>
      <c r="EM288" s="6" t="str">
        <f>IFERROR(IF(OR(B288="",NOT(ISNUMBER(DX288)),N(Q288)=0),"",_xlfn.XLOOKUP(A288,Щиты[Щит],Щиты[Zпетли на шинах, Ом])+EK288),"")</f>
        <v/>
      </c>
      <c r="EN288" s="6" t="str">
        <f>IF(ISNUMBER(EM288),c_min*(Uн_лин*1000/SQRT(3))/EM288,"")</f>
        <v/>
      </c>
      <c r="EO288" s="6" t="str">
        <f>IFERROR(IF(OR(B288="",NOT(ISNUMBER(DX288))),"",1.05*(Uн_лин*1000/SQRT(3))/(_xlfn.XLOOKUP(A288,Щиты[Щит],Щиты[Zmax на шинах, Ом])+EL288)/1000),"")</f>
        <v/>
      </c>
      <c r="EP288" s="6" t="str">
        <f>IF(B288="","",IF(ISNUMBER(Y288),"Сил",IF(IFERROR(_xlfn.XLOOKUP(AX288,Коды_код,Коды_группа)&amp;"","")="","Быт",_xlfn.XLOOKUP(AX288,Коды_код,Коды_группа)&amp;"")))</f>
        <v>Быт</v>
      </c>
      <c r="EQ288" s="6" t="str">
        <f t="shared" si="547"/>
        <v>Быт</v>
      </c>
      <c r="ER288" s="6">
        <f>IF(EQ288="Щит","щит",IF(EQ288="","",IF(EQ288="Быт",IFERROR(_xlfn.XLOOKUP(A288,Щиты[Щит],Щиты[Кс быт]),1),IF(EQ288="Сил",IF(ISNUMBER(Y288),Y288,IF(Методика="нормы 2026",IFERROR(_xlfn.XLOOKUP(A288,Щиты[Щит],Щиты[Кс силовых (табл. 7.5)]),1),1)),IF(OR(EQ288="Пост",EQ288="Отоп"),1,IF(EQ288="ВНГ",0.7,0))))))</f>
        <v>0.8</v>
      </c>
      <c r="ES288">
        <f t="shared" si="548"/>
        <v>1</v>
      </c>
      <c r="ET288">
        <f t="shared" si="549"/>
        <v>0.06</v>
      </c>
      <c r="EU288">
        <f t="shared" si="550"/>
        <v>0.06</v>
      </c>
      <c r="EV288">
        <f t="shared" si="551"/>
        <v>0</v>
      </c>
      <c r="EW288">
        <f t="shared" si="552"/>
        <v>0</v>
      </c>
      <c r="EX288">
        <f t="shared" si="553"/>
        <v>0</v>
      </c>
      <c r="EY288">
        <f t="shared" si="554"/>
        <v>0</v>
      </c>
      <c r="EZ288">
        <f t="shared" si="555"/>
        <v>0.06</v>
      </c>
      <c r="FA288">
        <f t="shared" si="556"/>
        <v>5.6999999999999995E-2</v>
      </c>
      <c r="FB288">
        <f t="shared" si="557"/>
        <v>0.06</v>
      </c>
      <c r="FC288" t="str">
        <f t="shared" si="558"/>
        <v>L1</v>
      </c>
      <c r="FD288" t="str">
        <f>IF(B288="","",IF(CA288=0,IF(AW288=1,"",FF287),IF(OR(N(CV288)&gt;=3,N(BR288)&gt;=3),"L1,L2,L3",IFERROR(_xlfn.TEXTBEFORE(_xlfn.TEXTAFTER(_xlfn.XLOOKUP(A288,Щиты[Щит],Щиты[_фазы авто]),";"&amp;AW288&amp;":"),";"),"L1"))))</f>
        <v>L1</v>
      </c>
      <c r="FE288" t="str">
        <f t="shared" si="559"/>
        <v>L1</v>
      </c>
      <c r="FF288" t="str">
        <f t="shared" si="560"/>
        <v>L1</v>
      </c>
      <c r="FG288" cm="1">
        <f t="array" ref="FG288">IFERROR(IF(BX288=2,_xlfn.IFS(BR288=3,VLOOKUP(BN288,Справочная_двигатели,3,FALSE),BR288=1,VLOOKUP(BN288,Справочная_двигатели,5,TRUE)),0),0)</f>
        <v>0</v>
      </c>
      <c r="FH288">
        <f>IFERROR(IF(BX288=3,VLOOKUP(BN288,Справочная_ЛЭД,2,TRUE),0),0)</f>
        <v>0</v>
      </c>
      <c r="FI288" s="6">
        <f t="shared" si="561"/>
        <v>0</v>
      </c>
      <c r="FJ288" t="str" cm="1">
        <f t="array" ref="FJ288">IF(B288="","",IFERROR(INDEX({"I особая","I","II","III"},MATCH(TRIM(AC288&amp;""),{"I особая","I","II","III"},0)),"III"))</f>
        <v>II</v>
      </c>
      <c r="FK288" t="str">
        <f>IF(B288="","",IF(TRIM(AD288&amp;"")&lt;&gt;"",IF(LOWER(TRIM(AD288&amp;""))="да","да","нет"),IF(IFERROR(_xlfn.XLOOKUP(AX288,Коды_код,Коды_пожарная),"")="да","да","нет")))</f>
        <v>нет</v>
      </c>
      <c r="FL288" t="str">
        <f t="shared" si="562"/>
        <v/>
      </c>
      <c r="FM288" t="str">
        <f t="shared" si="563"/>
        <v>основная</v>
      </c>
      <c r="FN288">
        <f t="shared" si="564"/>
        <v>1</v>
      </c>
      <c r="FO288" t="str" cm="1">
        <f t="array" ref="FO288">IF(B288="","",_xlfn.LET(_xlpm.t,IFERROR(_xlfn.XLOOKUP(1,(Шины[Шина]=FM288)*(((Шины[Щит]=A288)+(Шины[Щит]=""))&gt;0),Шины[Тип]),"")&amp;"",IF(_xlpm.t&lt;&gt;"",_xlpm.t,IF(ISNUMBER(SEARCH("ИБП",FM288)),"ИБП",IF(ISNUMBER(SEARCH("ДГУ",FM288)),"ДГУ","Ввод "&amp;FN288)))))</f>
        <v>Ввод 1</v>
      </c>
      <c r="FP288" t="str">
        <f t="shared" si="565"/>
        <v>Ввод 1</v>
      </c>
      <c r="FQ288" t="str">
        <f>IF(B288="","",IF(OR(FO288="ИБП",FO288="ДГУ"),"I особая",IF(FO288="Одиночная","III",_xlfn.XLOOKUP(A288,Щиты[Щит],Щиты[Категория шины «Ввод»],"III"))))</f>
        <v>II</v>
      </c>
      <c r="FR288">
        <f>IF(B288="",0,IFERROR(MATCH(FJ288,{"III","II","I","I особая"},0),1))</f>
        <v>2</v>
      </c>
      <c r="FS288">
        <f t="shared" si="566"/>
        <v>2</v>
      </c>
      <c r="FT288" t="str">
        <f>IF(B288="","",IF(FR288&gt;IFERROR(MATCH(FQ288,{"III","II","I","I особая"},0),1),"НЕ ОБЕСПЕЧЕНА","ОК"))</f>
        <v>ОК</v>
      </c>
      <c r="FU288" t="str">
        <f>IF(A288="","",_xlfn.XLOOKUP(A288,Щиты[Щит],Щиты[Путь],""))</f>
        <v>|ГРЩ-ЖД|ЩР-2|</v>
      </c>
      <c r="FV288" t="str">
        <f>IF(B288="","",IF(AE288&lt;&gt;"",AE288,IF(IFERROR(_xlfn.XLOOKUP(AX288,Коды_код,Коды_вид)&amp;"","")="","Прочее",_xlfn.XLOOKUP(AX288,Коды_код,Коды_вид)&amp;"")))</f>
        <v>Розеточная сеть и бытовые приборы</v>
      </c>
      <c r="FW288">
        <f>IF(BH288="","",INT((BH288-1)/Столбцов_на_лист)+1)</f>
        <v>2</v>
      </c>
      <c r="FX288" t="str">
        <f t="shared" si="567"/>
        <v>ВВГнг(А)-LS (3х2,5) L=49-0,1%</v>
      </c>
      <c r="FY288">
        <f t="shared" si="568"/>
        <v>0.06</v>
      </c>
      <c r="FZ288">
        <f t="shared" si="569"/>
        <v>0.28000000000000003</v>
      </c>
      <c r="GA288">
        <f t="shared" si="570"/>
        <v>1</v>
      </c>
      <c r="GB288">
        <f t="shared" si="571"/>
        <v>0</v>
      </c>
      <c r="GC288">
        <f t="shared" si="572"/>
        <v>1</v>
      </c>
      <c r="GD288">
        <f>IF(BH288="","",IF(AND(CA288=1,GC288=1),COUNTIFS(A$3:A288,A288,CA$3:CA288,1,GC$3:GC288,1),IF(OR(OR(AW288=1,A288&lt;&gt;A287),AF288="вручную",GC288=0),"",IF(AW288=1,"",GE287))))</f>
        <v>5</v>
      </c>
      <c r="GE288">
        <f t="shared" si="573"/>
        <v>5</v>
      </c>
      <c r="GF288">
        <f>IF(B288="","",IFERROR(LOOKUP(INDEX(CHOOSE(DL288,Iдоп_1ж,Iдоп_2ж,Iдоп_3ж),MATCH(DX288,Iдоп_S,0))*DJ288*DK288,{6,10,16,20,25,32,40,50,63,80,100,125,160,200,250,315,400,500,630}),""))</f>
        <v>25</v>
      </c>
      <c r="GG288" t="str">
        <f t="shared" si="574"/>
        <v>QFD5</v>
      </c>
      <c r="GH288" t="str">
        <f t="shared" si="575"/>
        <v>QFD5</v>
      </c>
      <c r="GI288" t="str">
        <f t="shared" si="576"/>
        <v/>
      </c>
      <c r="GJ288">
        <f t="shared" si="577"/>
        <v>0</v>
      </c>
      <c r="GK288" t="str">
        <f>IF(OR(AG288="",AG288="-"),"",IFERROR(VLOOKUP(AG288,Модули_спр,2,FALSE),"R"))</f>
        <v/>
      </c>
      <c r="GL288" t="str">
        <f>IF(GK288="","",GK288&amp;"."&amp;COUNTIFS(A$3:A288,A288,GK$3:GK288,GK288))</f>
        <v/>
      </c>
      <c r="GM288" t="str">
        <f t="shared" si="578"/>
        <v/>
      </c>
      <c r="GN288" t="str">
        <f t="shared" si="579"/>
        <v/>
      </c>
      <c r="GO288" t="str">
        <f t="shared" si="580"/>
        <v/>
      </c>
      <c r="GP288" t="str">
        <f t="shared" si="581"/>
        <v/>
      </c>
      <c r="GQ288">
        <f t="shared" si="582"/>
        <v>1</v>
      </c>
      <c r="GR288" t="str">
        <f>IF(GQ288=1,"XT"&amp;COUNTIFS(A$3:A288,A288,GQ$3:GQ288,1),"")</f>
        <v>XT5</v>
      </c>
      <c r="GS288" t="str">
        <f t="shared" si="583"/>
        <v>XT5</v>
      </c>
      <c r="GT288" t="str">
        <f t="shared" si="584"/>
        <v>QFD5</v>
      </c>
      <c r="GU288" t="str">
        <f t="shared" si="585"/>
        <v/>
      </c>
      <c r="GV288" t="str">
        <f t="shared" si="586"/>
        <v>ok</v>
      </c>
      <c r="GW288" t="str">
        <f>IF(OR(GO288="",GM288=""),"",IF(GO288&gt;IFERROR(VLOOKUP(GN288,Модули_спр,3,FALSE),99),"ЛИШНИЙ КАНАЛ",IF(AND(AH288&lt;&gt;"=",COUNTIFS(Линии[_модуль гр.],GM288,Линии[Канал (итог)],GO288,Линии[Канал],"&lt;&gt;=",Линии[Щит],A288)&gt;1),"ДУБЛЬ КАНАЛА","")))</f>
        <v/>
      </c>
      <c r="GX288" s="6" t="str">
        <f t="shared" si="587"/>
        <v/>
      </c>
      <c r="GY288">
        <f t="shared" si="588"/>
        <v>10</v>
      </c>
      <c r="GZ288" t="str">
        <f t="shared" si="589"/>
        <v/>
      </c>
      <c r="HA288" t="str">
        <f>IF(AND(B288="",GT288=""),"",_xlfn.TEXTJOIN("; ",TRUE,IF(AND(B288&lt;&gt;"",FE288=""),"нет фазы",""),IF(AND(B288&lt;&gt;"",N(FY288)=0,EQ288&lt;&gt;"Нет"),"нет мощности",""),IF(AND(GS288&lt;&gt;"",COUNTIFS(Линии[Щит],A288,Линии[Клемма (итог)],GS288)&gt;1),"дубль клеммы "&amp;GS288,""),IF(AND(GV288&lt;&gt;"",GV288&lt;&gt;"ok"),GV288,""),IF(GW288&lt;&gt;"",GW288,""),IF(AND(N(BV288)&gt;=4,N(BR288)=1),BV288&amp;" жил на 1 фазе",""),IF(AND(AX288="R",CA288=1,OR(N(CK288)=0,N(CK288)&gt;30)),"розетка без дифзащиты до 30 мА",""),IFERROR(IF(AND(ISNUMBER(R288),R288&gt;DV288),"потери "&amp;FIXED(R288,1)&amp;" % &gt; "&amp;DV288&amp;" %",""),""),IFERROR(IF(LEFT(GZ288,4)="мало","Iкз мало — отключение &gt; 0,4 с",""),""),IF(AND(B288&lt;&gt;"",BH288=""),"не на схеме",""),IF(AND(CA288=0,B288&lt;&gt;"",FE288&lt;&gt;"",IF(AW288=1,"",FF287)&lt;&gt;"",FE288&lt;&gt;IF(AW288=1,"",FF287)),"фаза не как у автомата группы ("&amp;IF(AW288=1,"",FF287)&amp;")","")))</f>
        <v/>
      </c>
      <c r="HB288" s="6">
        <f>IF(OR(CA288=0,DA288=""),"",_xlfn.LET(_xlpm.t,IFERROR(_xlfn.XLOOKUP(DA288,Каталог!$U$4:$U$500,Каталог!$G$4:$G$500),""),_xlpm.k,SEARCH("кА",_xlpm.t),IFERROR(--TRIM(RIGHT(SUBSTITUTE(MID(_xlpm.t,MAX(1,_xlpm.k-4),_xlpm.k-MAX(1,_xlpm.k-4))," ",REPT(" ",9)),5)),"")))</f>
        <v>6</v>
      </c>
      <c r="HC288" t="str">
        <f>IF(OR(HB288="",CA288=0),"",IF(_xlfn.XLOOKUP(A288,Щиты[Щит],Щиты[Iкз max на шинах, кА],"")="","",IF(HB288&lt;_xlfn.XLOOKUP(A288,Щиты[Щит],Щиты[Iкз max на шинах, кА]),"Icu "&amp;HB288&amp;" кА &lt; Iкз max","ok")))</f>
        <v/>
      </c>
      <c r="HD288" t="str">
        <f t="shared" si="590"/>
        <v/>
      </c>
      <c r="HE288" t="str">
        <f t="shared" si="591"/>
        <v>QFD5|XT5</v>
      </c>
      <c r="HF288" t="str">
        <f t="shared" si="592"/>
        <v>QFD5|XT5|кабель ВВГнг(А)-LS (3х2,5) → Розеточная группа, пом. 006А</v>
      </c>
      <c r="HG288" t="str" cm="1">
        <f t="array" ref="HG288">IF(HF288="","",_xlfn.LET(_xlpm.nd,_xlfn.TEXTSPLIT(HF288,"|"),IF(COLUMNS(_xlpm.nd)&gt;1,A288&amp;"¦"&amp;INDEX(_xlpm.nd,1)&amp;"¦"&amp;INDEX(_xlpm.nd,2),"")))</f>
        <v>ЩР-2¦QFD5¦XT5</v>
      </c>
      <c r="HH288" t="str">
        <f t="shared" si="593"/>
        <v>R.2.006А.1¦Розеточная группа, пом. 006А</v>
      </c>
      <c r="HI288" t="str" cm="1">
        <f t="array" ref="HI288">IF(HF288="","",_xlfn.LET(_xlpm.nd,_xlfn.TEXTSPLIT(HF288,"|"),IF(COLUMNS(_xlpm.nd)&gt;2,A288&amp;"¦"&amp;INDEX(_xlpm.nd,2)&amp;"¦"&amp;INDEX(_xlpm.nd,3),"")))</f>
        <v>ЩР-2¦XT5¦кабель ВВГнг(А)-LS (3х2,5) → Розеточная группа, пом. 006А</v>
      </c>
      <c r="HJ288" t="str">
        <f t="shared" si="594"/>
        <v>R.2.006А.1¦Розеточная группа, пом. 006А</v>
      </c>
      <c r="HK288" t="str" cm="1">
        <f t="array" ref="HK288">IF(HF288="","",_xlfn.LET(_xlpm.nd,_xlfn.TEXTSPLIT(HF288,"|"),IF(COLUMNS(_xlpm.nd)&gt;3,A288&amp;"¦"&amp;INDEX(_xlpm.nd,3)&amp;"¦"&amp;INDEX(_xlpm.nd,4),"")))</f>
        <v/>
      </c>
      <c r="HL288" t="str">
        <f t="shared" si="595"/>
        <v/>
      </c>
      <c r="HM288" t="str" cm="1">
        <f t="array" ref="HM288">IF(HF288="","",_xlfn.LET(_xlpm.nd,_xlfn.TEXTSPLIT(HF288,"|"),IF(COLUMNS(_xlpm.nd)&gt;4,A288&amp;"¦"&amp;INDEX(_xlpm.nd,4)&amp;"¦"&amp;INDEX(_xlpm.nd,5),"")))</f>
        <v/>
      </c>
      <c r="HN288" t="str">
        <f t="shared" si="596"/>
        <v/>
      </c>
      <c r="HO288" t="str" cm="1">
        <f t="array" ref="HO288">IF(HF288="","",_xlfn.LET(_xlpm.nd,_xlfn.TEXTSPLIT(HF288,"|"),IF(COLUMNS(_xlpm.nd)&gt;5,A288&amp;"¦"&amp;INDEX(_xlpm.nd,5)&amp;"¦"&amp;INDEX(_xlpm.nd,6),"")))</f>
        <v/>
      </c>
      <c r="HP288" t="str">
        <f t="shared" si="597"/>
        <v/>
      </c>
      <c r="HQ288" t="str" cm="1">
        <f t="array" ref="HQ288">IF(HF288="","",_xlfn.LET(_xlpm.nd,_xlfn.TEXTSPLIT(HF288,"|"),IF(COLUMNS(_xlpm.nd)&gt;6,A288&amp;"¦"&amp;INDEX(_xlpm.nd,6)&amp;"¦"&amp;INDEX(_xlpm.nd,7),"")))</f>
        <v/>
      </c>
      <c r="HR288" t="str">
        <f t="shared" si="598"/>
        <v/>
      </c>
      <c r="HS288" t="str">
        <f t="shared" si="599"/>
        <v/>
      </c>
      <c r="HT288" t="str">
        <f t="shared" si="600"/>
        <v>QFD5 → XT5</v>
      </c>
      <c r="HU288">
        <f t="shared" si="601"/>
        <v>0</v>
      </c>
      <c r="HV288">
        <f t="shared" si="602"/>
        <v>1</v>
      </c>
      <c r="HW288" t="str">
        <f t="shared" si="603"/>
        <v/>
      </c>
      <c r="HX288" t="str">
        <f t="shared" si="604"/>
        <v/>
      </c>
      <c r="HY288" t="str">
        <f t="shared" si="605"/>
        <v/>
      </c>
      <c r="HZ288" t="str">
        <f t="shared" si="606"/>
        <v/>
      </c>
      <c r="IA288" t="str">
        <f>IF(B288="","",IFERROR(VLOOKUP(B288,УГО_спр,2,FALSE),IFERROR(VLOOKUP(AX288,УГО_спр,2,FALSE),IFERROR(VLOOKUP(LEFT(AX288,2),УГО_спр,2,FALSE),""))))</f>
        <v>Розетка</v>
      </c>
      <c r="IB288" t="str">
        <f>IF(B288="","",IF(OR(IA288="",IA288=0),"BOX",IFERROR(IF(VLOOKUP(IA288,УГО_блоки,3,FALSE)&amp;""&lt;&gt;"",VLOOKUP(IA288,УГО_блоки,3,FALSE),VLOOKUP(IA288,УГО_блоки,2,FALSE)),IA288)))</f>
        <v>SOCKET</v>
      </c>
      <c r="IC288">
        <f t="shared" si="607"/>
        <v>1</v>
      </c>
      <c r="ID288" t="str">
        <f>IF(DA288="","",IF(COUNTIF(DA$3:DA288,DA288)=1,MAX(ID$2:ID287)+1,""))</f>
        <v/>
      </c>
      <c r="IE288" t="str">
        <f>IF(CO288="","",IF(COUNTIF(CO$3:CO288,CO288)+COUNTIF(CP$2:CP287,CO288)+COUNTIF(CQ$2:CQ287,CO288)=1,MAX(IE$2:IG287)+1,""))</f>
        <v/>
      </c>
      <c r="IF288" t="str">
        <f>IF(CP288="","",IF(COUNTIF(CO$3:CO288,CP288)+COUNTIF(CP$3:CP288,CP288)+COUNTIF(CQ$2:CQ287,CP288)=1,MAX(IE$2:IG287,IE288)+1,""))</f>
        <v/>
      </c>
      <c r="IG288" t="str">
        <f>IF(CQ288="","",IF(COUNTIF(CO$3:CO288,CQ288)+COUNTIF(CP$3:CP288,CQ288)+COUNTIF(CQ$3:CQ288,CQ288)=1,MAX(IE$2:IG287,IE288,IF288)+1,""))</f>
        <v/>
      </c>
      <c r="IH288" t="str">
        <f t="shared" si="608"/>
        <v>3х2,5</v>
      </c>
      <c r="II288" t="str">
        <f>IF(IH288="","",IF(COUNTIF(IH$3:IH288,IH288)=1,MAX(II$2:II287)+1,""))</f>
        <v/>
      </c>
      <c r="IJ288" t="str">
        <f>IF(GL288="","",COUNTIF(GL$3:GL288,"?*"))</f>
        <v/>
      </c>
      <c r="IK288" t="str">
        <f>IF(OR(GL288="",GN288=""),"",IF(COUNTIFS(GL$3:GL288,"?*",GN$3:GN288,GN288)=1,MAX(IK$2:IK287)+1,""))</f>
        <v/>
      </c>
      <c r="IL288">
        <f t="shared" si="609"/>
        <v>0</v>
      </c>
      <c r="IM288">
        <f>IF(B288="","",COUNTIF(B$3:B288,"?*"))</f>
        <v>286</v>
      </c>
      <c r="IN288">
        <f>IF(GQ288&lt;&gt;1,0,_xlfn.LET(_xlpm.k,MAX(IFERROR(--VLOOKUP(B288,УГО_спр,5,FALSE),0),IFERROR(--VLOOKUP(AX288,УГО_спр,5,FALSE),0),IFERROR(--VLOOKUP(LEFT(AX288,2),УГО_спр,5,FALSE),0)),IF(_xlpm.k&gt;0,_xlpm.k,IF(IFERROR(--LEFT(SUBSTITUTE(IH288,"x","х"),FIND("х",SUBSTITUTE(IH288,"x","х"))-1),3)&gt;3,Каталог!$S$9,1))))</f>
        <v>1</v>
      </c>
      <c r="IO288">
        <f t="shared" si="610"/>
        <v>0</v>
      </c>
      <c r="IP288" t="str">
        <f t="shared" si="611"/>
        <v>авто</v>
      </c>
      <c r="IQ288">
        <f t="shared" si="612"/>
        <v>30</v>
      </c>
      <c r="IR288">
        <f t="shared" si="613"/>
        <v>1</v>
      </c>
      <c r="IS288">
        <f t="shared" si="614"/>
        <v>1</v>
      </c>
    </row>
    <row r="289" spans="1:253" x14ac:dyDescent="0.3">
      <c r="A289" t="s">
        <v>761</v>
      </c>
      <c r="B289" t="s">
        <v>1553</v>
      </c>
      <c r="C289" t="str">
        <f>Линии[[#This Row],[_авто наименование]]</f>
        <v>Розеточная группа, пом. 009А</v>
      </c>
      <c r="D289">
        <v>4</v>
      </c>
      <c r="E289">
        <v>0.36</v>
      </c>
      <c r="G289">
        <v>16</v>
      </c>
      <c r="H289">
        <f>Линии[[#This Row],[_авто утечка]]</f>
        <v>30</v>
      </c>
      <c r="I289" t="str">
        <f>Линии[[#This Row],[_авто управление]]</f>
        <v/>
      </c>
      <c r="J289" t="str">
        <f>Линии[[#This Row],[_авто аппараты]]</f>
        <v/>
      </c>
      <c r="K289">
        <v>2.5</v>
      </c>
      <c r="L289">
        <v>37</v>
      </c>
      <c r="M289">
        <v>3</v>
      </c>
      <c r="N289" t="str">
        <f>Линии[[#This Row],[_авто клемма]]</f>
        <v>XT6</v>
      </c>
      <c r="O289" t="str">
        <f t="shared" si="492"/>
        <v/>
      </c>
      <c r="P289" s="6" cm="1">
        <f t="array" ref="P289">IF(B289="","",IF(BC289&lt;&gt;"",IFERROR(_xlfn.XLOOKUP(BC289,Щиты[Щит],Щиты[Iр, А]),""),IF(BK289=1,IFERROR(_xlfn.XLOOKUP(A289,Щиты[Щит],Щиты[Iр, А]),""),IFERROR(_xlfn.IFS(BR289=1,BN289/((Uн_лин/SQRT(3))*BY289),BR289=3,BN289/(SQRT(3)*Uн_лин*BY289)),""))))</f>
        <v>1.6408902387494626</v>
      </c>
      <c r="Q289" s="7">
        <f>IF(B289="","",IFERROR(IF(VLOOKUP(AX289,Потребители_обозначение,4,FALSE)=1,VLOOKUP(AX289,Потребители_обозначение,3,FALSE)*(D289*2-1)+DS289+VLOOKUP(AZ289,Этаж_обозначение,3,FALSE)+VLOOKUP(AZ289,Этаж_обозначение,4,FALSE),VLOOKUP(AX289,Потребители_обозначение,3,FALSE)*(D289*2-1)+DS289),DS289))</f>
        <v>58</v>
      </c>
      <c r="R289" s="6">
        <f t="shared" si="493"/>
        <v>2.5</v>
      </c>
      <c r="S289" t="str">
        <f t="shared" si="494"/>
        <v>ВВГнг(А)-LS (3х2,5)</v>
      </c>
      <c r="T289" t="str">
        <f>IF(BH289="","",IF(BI289="вводной узел","узел ","")&amp;"л."&amp;(INT((BH289-1)/Столбцов_на_лист)+1)&amp;" / "&amp;(MOD(BH289-1,Столбцов_на_лист)+1))</f>
        <v>л.2 / 6</v>
      </c>
      <c r="V289">
        <v>1</v>
      </c>
      <c r="W289">
        <v>230</v>
      </c>
      <c r="X289" t="s">
        <v>564</v>
      </c>
      <c r="AC289" t="s">
        <v>815</v>
      </c>
      <c r="AE289" t="s">
        <v>563</v>
      </c>
      <c r="AI289">
        <v>23</v>
      </c>
      <c r="AJ289" t="s">
        <v>11</v>
      </c>
      <c r="AK289">
        <v>3</v>
      </c>
      <c r="AM289">
        <v>12</v>
      </c>
      <c r="AN289">
        <v>40</v>
      </c>
      <c r="AO289">
        <v>10</v>
      </c>
      <c r="AP289">
        <v>1</v>
      </c>
      <c r="AW289" cm="1">
        <f t="array" ref="AW289">ROW()-ROW(Линии[#Headers])</f>
        <v>287</v>
      </c>
      <c r="AX289" s="6" t="str">
        <f t="shared" si="495"/>
        <v>R</v>
      </c>
      <c r="AY289" t="str">
        <f t="shared" si="496"/>
        <v>2.009А.1</v>
      </c>
      <c r="AZ289" t="str">
        <f t="shared" si="497"/>
        <v>2</v>
      </c>
      <c r="BA289" t="str">
        <f t="shared" si="498"/>
        <v>009А.1</v>
      </c>
      <c r="BB289" t="str">
        <f t="shared" si="499"/>
        <v>009А</v>
      </c>
      <c r="BC289" t="str">
        <f>IF(U289&lt;&gt;"",U289,IF(AND(B289&lt;&gt;"",B289&lt;&gt;A289,ISNUMBER(_xlfn.XMATCH(B289,Щиты[Щит]))),B289,""))</f>
        <v/>
      </c>
      <c r="BD289" t="str" cm="1">
        <f t="array" ref="BD289">IF(B289="","",IF(BC289&lt;&gt;"","Щит "&amp;BC289,_xlfn.LET(_xlpm.nm,IFERROR(_xlfn.XLOOKUP(AX289,Коды_код,Коды_имя)&amp;"",""),_xlpm.md,IFERROR(N(_xlfn.XLOOKUP(AX289,Коды_код,Коды_режим)),1),_xlpm.ex,IF(Имя_режим="по экспликации",IFERROR(_xlfn.XLOOKUP(AZ289&amp;"|"&amp;BB289,Экспликация[Этаж]&amp;"|"&amp;Экспликация[Помещение],Экспликация[Название])&amp;"",""),""),_xlpm.rm,IF(BB289="","",IF(_xlpm.ex&lt;&gt;"",". "&amp;_xlpm.ex&amp;IF(Имя_пом="нет"," ("&amp;BB289&amp;")"," (пом. "&amp;BB289&amp;")"),IF(Имя_пом="нет"," ",", пом. ")&amp;BB289)),IF(_xlpm.nm="","",IF(_xlpm.md=2,_xlpm.nm&amp;" шлейф "&amp;AZ289,_xlpm.nm&amp;_xlpm.rm)))))</f>
        <v>Розеточная группа, пом. 009А</v>
      </c>
      <c r="BE289" t="str">
        <f t="shared" si="500"/>
        <v>Розеточная группа, пом. 009А</v>
      </c>
      <c r="BF289">
        <f>IFERROR(_xlfn.XMATCH(A289,Щиты[Щит]),0)</f>
        <v>11</v>
      </c>
      <c r="BG289">
        <f>_xlfn.LET(_xlpm.k,IFERROR(_xlfn.XLOOKUP(A289,Щиты[Щит],Щиты[Листов под вводной узел]),""),IF(_xlpm.k="",1,N(_xlpm.k))*Столбцов_на_лист)</f>
        <v>17</v>
      </c>
      <c r="BH289">
        <f t="shared" si="501"/>
        <v>23</v>
      </c>
      <c r="BI289" t="str">
        <f t="shared" si="502"/>
        <v>линии</v>
      </c>
      <c r="BJ289" s="6">
        <f>IFERROR(N(_xlfn.XLOOKUP(AX289,Коды_код,Коды_квт)),0)</f>
        <v>0</v>
      </c>
      <c r="BK289">
        <f t="shared" si="503"/>
        <v>0</v>
      </c>
      <c r="BL289" t="str">
        <f>IF(B289="","",IF(BC289&lt;&gt;"",IFERROR(_xlfn.XLOOKUP(BC289,Щиты[Щит],Щиты[Руст, кВт]),0),IF(BK289=1,IFERROR(_xlfn.XLOOKUP(A289,Щиты[Щит],Щиты[Руст, кВт]),0),IF(BJ289&gt;0,ROUND(BJ289*MAX(1,N(D289)),3),""))))</f>
        <v/>
      </c>
      <c r="BM289">
        <f t="shared" si="504"/>
        <v>0.36</v>
      </c>
      <c r="BN289" s="6">
        <f>IF(B289="","",IF(BC289&lt;&gt;"",IFERROR(_xlfn.XLOOKUP(BC289,Щиты[Щит],Щиты[Руст, кВт]),0),N(BM289)))</f>
        <v>0.36</v>
      </c>
      <c r="BO289" t="str">
        <f>IF(B289="","",IFERROR(IF(VLOOKUP(AX289,Потребители_обозначение,8,FALSE)=0,"",VLOOKUP(AX289,Потребители_обозначение,8,FALSE)),""))</f>
        <v/>
      </c>
      <c r="BP289">
        <f t="shared" si="505"/>
        <v>230</v>
      </c>
      <c r="BQ289">
        <f>IF(B289="","",IF(BC289&lt;&gt;"",3,IFERROR(IF(N(VLOOKUP(AX289,Потребители_обозначение,9,FALSE))=0,1,VLOOKUP(AX289,Потребители_обозначение,9,FALSE)),1)))</f>
        <v>1</v>
      </c>
      <c r="BR289">
        <f t="shared" si="506"/>
        <v>1</v>
      </c>
      <c r="BS289" t="str">
        <f>IF(B289="","",_xlfn.LET(_xlpm.bc,IFERROR(IF(VLOOKUP(AX289,Потребители_обозначение,6,FALSE)=0,"",VLOOKUP(AX289,Потребители_обозначение,6,FALSE)&amp;""),""),IF(AND(FK289="да",OR(_xlpm.bc="",_xlpm.bc="мс")),Марка_пож,IF(AND(_xlpm.bc="",BC289&lt;&gt;""),"мс",_xlpm.bc))))</f>
        <v/>
      </c>
      <c r="BT289" t="str">
        <f t="shared" si="507"/>
        <v>мс</v>
      </c>
      <c r="BU289">
        <f>IF(B289="","",_xlfn.LET(_xlpm.cc,IFERROR(N(VLOOKUP(AX289,Потребители_обозначение,7,FALSE)),0),IF(_xlpm.cc&gt;0,_xlpm.cc,IF(BT289="","",IF(N(BR289)=3,5,3)))))</f>
        <v>3</v>
      </c>
      <c r="BV289">
        <f t="shared" si="508"/>
        <v>3</v>
      </c>
      <c r="BW289">
        <f>IFERROR(N(VLOOKUP(AX289,Потребители_обозначение,10,FALSE)),0)</f>
        <v>0</v>
      </c>
      <c r="BX289">
        <f>IFERROR(VLOOKUP(AX289,Потребители_обозначение,5,FALSE),0)</f>
        <v>1</v>
      </c>
      <c r="BY289" s="6" cm="1">
        <f t="array" ref="BY289">IF(B289="","",IF(BC289&lt;&gt;"",IFERROR(_xlfn.XLOOKUP(BC289,Щиты[Щит],Щиты[cos φ]),0.95),IF(BK289=1,IFERROR(_xlfn.XLOOKUP(A289,Щиты[Щит],Щиты[cos φ]),0.95),IF(ISNUMBER(Z289),Z289,IFERROR(IF(BX289=2,_xlfn.IFS(BR289=3,VLOOKUP(BN289,Справочная_двигатели,8,FALSE),BR289=1,VLOOKUP(BN289,Справочная_двигатели,10,TRUE)),IF(AND(Методика="нормы 2026",EQ289="Сил"),0.8,0.95)),0.95)))))</f>
        <v>0.95</v>
      </c>
      <c r="BZ289">
        <f t="shared" si="509"/>
        <v>0</v>
      </c>
      <c r="CA289">
        <f t="shared" si="510"/>
        <v>1</v>
      </c>
      <c r="CB289">
        <f t="shared" si="511"/>
        <v>0</v>
      </c>
      <c r="CC289">
        <f t="shared" si="512"/>
        <v>0</v>
      </c>
      <c r="CD289">
        <f t="shared" si="513"/>
        <v>0</v>
      </c>
      <c r="CE289">
        <f t="shared" si="514"/>
        <v>0</v>
      </c>
      <c r="CF289">
        <f t="shared" si="515"/>
        <v>0</v>
      </c>
      <c r="CG289">
        <f>IF(AX289="",0,_xlfn.LET(_xlpm.v,IFERROR(VLOOKUP(B289,УГО_спр,3,FALSE),IFERROR(VLOOKUP(AX289,УГО_спр,3,FALSE),IFERROR(VLOOKUP(LEFT(AX289,2),УГО_спр,3,FALSE),""))),IF(_xlpm.v="да",30,IF(ISNUMBER(_xlpm.v),_xlpm.v,0))))</f>
        <v>30</v>
      </c>
      <c r="CH289">
        <f t="shared" si="516"/>
        <v>30</v>
      </c>
      <c r="CI289" t="str">
        <f>_xlfn.LET(_xlpm.k,IFERROR(_xlfn.XLOOKUP(AX289,Коды_код,Коды_утечка)&amp;"",""),IF(_xlpm.k="","дифавтомат",_xlpm.k))</f>
        <v>дифавтомат</v>
      </c>
      <c r="CJ289">
        <f t="shared" si="517"/>
        <v>30</v>
      </c>
      <c r="CK289">
        <f t="shared" si="518"/>
        <v>30</v>
      </c>
      <c r="CL289">
        <f>IF(B289="",0,IFERROR(--VLOOKUP(B289,УГО_спр,4,FALSE),IFERROR(--VLOOKUP(AX289,УГО_спр,4,FALSE),IFERROR(--VLOOKUP(LEFT(AX289,2),УГО_спр,4,FALSE),0))))</f>
        <v>16</v>
      </c>
      <c r="CM289" t="str">
        <f>IF(B289="","",IFERROR(_xlfn.XLOOKUP(AX289,Коды_код,Коды_апп)&amp;"",""))</f>
        <v/>
      </c>
      <c r="CN289" t="str">
        <f t="shared" si="519"/>
        <v/>
      </c>
      <c r="CO289" t="str" cm="1">
        <f t="array" ref="CO289">IF(TRIM(CN289&amp;"")="","",IFERROR(TRIM(INDEX(_xlfn.TEXTSPLIT(CN289&amp;";;;",";"),1)),""))</f>
        <v/>
      </c>
      <c r="CP289" t="str" cm="1">
        <f t="array" ref="CP289">IF(TRIM(CN289&amp;"")="","",IFERROR(TRIM(INDEX(_xlfn.TEXTSPLIT(CN289&amp;";;;",";"),2)),""))</f>
        <v/>
      </c>
      <c r="CQ289" t="str" cm="1">
        <f t="array" ref="CQ289">IF(TRIM(CN289&amp;"")="","",IFERROR(TRIM(INDEX(_xlfn.TEXTSPLIT(CN289&amp;";;;",";"),3)),""))</f>
        <v/>
      </c>
      <c r="CR289">
        <f t="shared" si="520"/>
        <v>0</v>
      </c>
      <c r="CS289" t="str">
        <f>IF(B289="","",_xlfn.LET(_xlpm.t,LOWER(AV289&amp;""),IF(ISNUMBER(SEARCH("dim",_xlpm.t)),"DIM",IF(ISNUMBER(SEARCH("dali",_xlpm.t)),"DALI",IF(OR(ISNUMBER(SEARCH("relay",_xlpm.t)),ISNUMBER(SEARCH("реле",_xlpm.t))),"Relay",IF(ISNUMBER(SEARCH("кнопк",_xlpm.t)),"",IFERROR(_xlfn.XLOOKUP(AX289,Коды_код,Коды_упр)&amp;"","")))))))</f>
        <v/>
      </c>
      <c r="CT289" t="str">
        <f t="shared" si="521"/>
        <v/>
      </c>
      <c r="CU289">
        <f>IF(B289="","",_xlfn.LET(_xlpm.ig,N(P289)+IF(AF289="вручную",0,N(CB289)),_xlpm.n0,IFERROR(VLOOKUP(_xlpm.ig,Автомат_номиналы,2,TRUE),0),_xlpm.mn,MAX(CL289,IF(AF289="вручную",0,N(CE289))),MAX(_xlpm.n0,_xlpm.mn,IF(CR289=1,Мин_автомат_БП,0))))</f>
        <v>16</v>
      </c>
      <c r="CV289">
        <f t="shared" si="522"/>
        <v>1</v>
      </c>
      <c r="CW289" t="str">
        <f t="shared" si="523"/>
        <v>2P</v>
      </c>
      <c r="CX289" t="str">
        <f>_xlfn.LET(_xlpm.cc,UPPER(TRIM(IFERROR(_xlfn.XLOOKUP(AX289,Коды_код,Коды_хар)&amp;"",""))),IF(OR(_xlpm.cc="B",_xlpm.cc="В"),"B",IF(_xlpm.cc="D","D","С")))</f>
        <v>С</v>
      </c>
      <c r="CY289" t="str">
        <f t="shared" si="524"/>
        <v>2P С16А 30мА</v>
      </c>
      <c r="CZ289">
        <f t="shared" si="525"/>
        <v>16</v>
      </c>
      <c r="DA289" t="str">
        <f t="shared" si="526"/>
        <v>2P С16А 30мА</v>
      </c>
      <c r="DB289" cm="1">
        <f t="array" ref="DB289">IF(DA289="","",_xlfn.LET(_xlpm.t,SUBSTITUTE(SUBSTITUTE(SUBSTITUTE(UPPER(DA289),"С","C"),"А","A"),"В","B"),_xlpm.tk,_xlfn.TEXTSPLIT(_xlpm.t,"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9" t="str">
        <f t="shared" si="527"/>
        <v>ok</v>
      </c>
      <c r="DD289">
        <f t="shared" si="528"/>
        <v>16</v>
      </c>
      <c r="DE289" t="str">
        <f t="shared" si="529"/>
        <v>2P С16А 30мА</v>
      </c>
      <c r="DF289">
        <f t="shared" si="530"/>
        <v>30</v>
      </c>
      <c r="DG289">
        <f t="shared" si="531"/>
        <v>1</v>
      </c>
      <c r="DH289">
        <f t="shared" si="532"/>
        <v>0</v>
      </c>
      <c r="DI289">
        <f t="shared" si="533"/>
        <v>1.6408902387494626</v>
      </c>
      <c r="DJ289">
        <f t="shared" si="534"/>
        <v>1</v>
      </c>
      <c r="DK289">
        <f>IF(ISNUMBER(AL289),AL289,К_прокл)</f>
        <v>1</v>
      </c>
      <c r="DL289">
        <f t="shared" si="535"/>
        <v>2</v>
      </c>
      <c r="DM289">
        <f>IFERROR(N(VLOOKUP(BT289,Кабель_обозначение,3,FALSE)),1)</f>
        <v>1</v>
      </c>
      <c r="DN289">
        <f>IFERROR(N(_xlfn.XLOOKUP(A289,Щиты[Щит],Щиты[ΔU до шин, %])),0)</f>
        <v>1.79</v>
      </c>
      <c r="DO289" t="str">
        <f>IFERROR(_xlfn.XLOOKUP(A289,Щиты[Щит],Щиты[Zпетли на шинах, Ом]),"")</f>
        <v/>
      </c>
      <c r="DP289">
        <f>IFERROR(N(_xlfn.XLOOKUP(A289,Щиты[Щит],Щиты[ΔU до шин (подбор), %])),0)</f>
        <v>4.75</v>
      </c>
      <c r="DQ289" t="str">
        <f>IFERROR(_xlfn.XLOOKUP(A289,Щиты[Щит],Щиты[Zпетли на шинах (подбор), Ом]),"")</f>
        <v/>
      </c>
      <c r="DR289" t="str">
        <f t="shared" si="536"/>
        <v/>
      </c>
      <c r="DS289">
        <f t="shared" si="537"/>
        <v>37</v>
      </c>
      <c r="DT289">
        <f t="shared" si="538"/>
        <v>2</v>
      </c>
      <c r="DU289">
        <f t="shared" si="539"/>
        <v>0.31</v>
      </c>
      <c r="DV289" s="6">
        <f>IF(B289="","",IF(IFERROR(VLOOKUP(AX289,УГО_спр,2,FALSE),"")="Светильник",3,4)+IF(Методика="нормы 2026",MIN(0.5,MAX(0,N(Q289)-100)*0.005),0))</f>
        <v>4</v>
      </c>
      <c r="DW289" t="str" cm="1">
        <f t="array" ref="DW289">IF(OR(B289="",BT289="",DM289&lt;&gt;1),"",_xlfn.LET(_xlpm.sz,Iдоп_S,_xlpm.t_,CHOOSE(DL289,Iдоп_1ж,Iдоп_2ж,Iдоп_3ж)*DJ289*DK289,_xlpm.inn,N(DD289),_xlpm.smin,MAX(1.5,BW289),_xlpm.L_,N(Q289)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289)*(_xlpm.rho*_xlpm.L_/_xlpm.sz*N(BY289)+_xlpm.xx*_xlpm.L_*N(DU289)/1000)*N(P289)/((Uн_лин/SQRT(3))*1000)*100,999),_xlpm.kz,IF(OR(DG289=1,NOT(ISNUMBER(DQ289)),_xlpm.L_=0,_xlpm.inn=0),1,IFERROR(--(c_min*(Uн_лин*1000/SQRT(3))/(DQ289+2*ρкз_Cu*_xlpm.L_/_xlpm.sz)&gt;=GY289*_xlpm.inn),0)),_xlpm.ok,IFERROR((_xlpm.sz&gt;=_xlpm.smin)*(_xlpm.t_&gt;=_xlpm.inn)*IF(_xlpm.L_&gt;0,(_xlpm.du_+DP289&lt;=DV289+0.00001),1)*_xlpm.kz,0),_xlpm.r_,_xlfn._xlws.FILTER(_xlpm.sz,_xlpm.ok,"не подобрано"),INDEX(_xlpm.r_,1)))</f>
        <v>не подобрано</v>
      </c>
      <c r="DX289">
        <f t="shared" si="540"/>
        <v>2.5</v>
      </c>
      <c r="DY289" cm="1">
        <f t="array" ref="DY289">IF(OR(B289="",BT289="",DM289&lt;&gt;1),"",_xlfn.LET(_xlpm.sz,Iдоп_S,_xlpm.t_,CHOOSE(DL289,Iдоп_1ж,Iдоп_2ж,Iдоп_3ж)*DJ289*DK289,_xlpm.ok,IFERROR((_xlpm.sz&gt;=MAX(1.5,BW289))*(_xlpm.t_&gt;=N(DD289)),0),_xlpm.r_,_xlfn._xlws.FILTER(_xlpm.sz,_xlpm.ok,""),INDEX(_xlpm.r_,1)))</f>
        <v>1.5</v>
      </c>
      <c r="DZ289" s="6" cm="1">
        <f t="array" ref="DZ289">IFERROR(ROUNDUP(N(DT289)*(_xlfn.XLOOKUP(DY289,INDEX(Кабель_сопротивление,0,1),INDEX(Кабель_сопротивление,0,3))*N(Q289)/DY289*N(BY289)+_xlfn.XLOOKUP(DY289,INDEX(Кабель_сопротивление,0,1),INDEX(Кабель_сопротивление,0,2))*N(Q289)*N(DU289)/1000)*N(P289)/((Uн_лин/SQRT(3))*1000)*100,2),"")</f>
        <v>1.18</v>
      </c>
      <c r="EA289">
        <f>IFERROR(2*ρкз_Cu*N(Q289)/DY289,"")</f>
        <v>2.0338666666666669</v>
      </c>
      <c r="EB289">
        <f>IFERROR(VLOOKUP(DX289,Кабель_сопротивление,3,FALSE),"")</f>
        <v>2.2499999999999999E-2</v>
      </c>
      <c r="EC289">
        <f>IFERROR(VLOOKUP(DX289,Кабель_сопротивление,2,FALSE),"")</f>
        <v>0.1</v>
      </c>
      <c r="ED289">
        <f t="shared" si="541"/>
        <v>40</v>
      </c>
      <c r="EE289">
        <f t="shared" si="542"/>
        <v>10</v>
      </c>
      <c r="EF289">
        <f t="shared" si="543"/>
        <v>1.6333355800902603</v>
      </c>
      <c r="EG289" s="6">
        <f>IFERROR(ROUNDUP(EF289/((Uн_лин/SQRT(3))*1000)*100,2),"")</f>
        <v>0.71</v>
      </c>
      <c r="EH289" t="str">
        <f>IFERROR(VLOOKUP(BT289,Кабель_обозначение,2,FALSE),"")</f>
        <v>ВВГнг(А)-LS</v>
      </c>
      <c r="EI289" t="str">
        <f t="shared" si="544"/>
        <v>ВВГнг(А)-LS (3х2,5)</v>
      </c>
      <c r="EJ289" t="str">
        <f t="shared" si="545"/>
        <v>ВВГнг(А)-LS (3х2,5)
L=58-0,71%</v>
      </c>
      <c r="EK289">
        <f>IFERROR(2*ρкз_Cu*Q289/DX289,"")</f>
        <v>1.2203200000000001</v>
      </c>
      <c r="EL289">
        <f t="shared" si="546"/>
        <v>0.40600000000000003</v>
      </c>
      <c r="EM289" s="6" t="str">
        <f>IFERROR(IF(OR(B289="",NOT(ISNUMBER(DX289)),N(Q289)=0),"",_xlfn.XLOOKUP(A289,Щиты[Щит],Щиты[Zпетли на шинах, Ом])+EK289),"")</f>
        <v/>
      </c>
      <c r="EN289" s="6" t="str">
        <f>IF(ISNUMBER(EM289),c_min*(Uн_лин*1000/SQRT(3))/EM289,"")</f>
        <v/>
      </c>
      <c r="EO289" s="6" t="str">
        <f>IFERROR(IF(OR(B289="",NOT(ISNUMBER(DX289))),"",1.05*(Uн_лин*1000/SQRT(3))/(_xlfn.XLOOKUP(A289,Щиты[Щит],Щиты[Zmax на шинах, Ом])+EL289)/1000),"")</f>
        <v/>
      </c>
      <c r="EP289" s="6" t="str">
        <f>IF(B289="","",IF(ISNUMBER(Y289),"Сил",IF(IFERROR(_xlfn.XLOOKUP(AX289,Коды_код,Коды_группа)&amp;"","")="","Быт",_xlfn.XLOOKUP(AX289,Коды_код,Коды_группа)&amp;"")))</f>
        <v>Быт</v>
      </c>
      <c r="EQ289" s="6" t="str">
        <f t="shared" si="547"/>
        <v>Быт</v>
      </c>
      <c r="ER289" s="6">
        <f>IF(EQ289="Щит","щит",IF(EQ289="","",IF(EQ289="Быт",IFERROR(_xlfn.XLOOKUP(A289,Щиты[Щит],Щиты[Кс быт]),1),IF(EQ289="Сил",IF(ISNUMBER(Y289),Y289,IF(Методика="нормы 2026",IFERROR(_xlfn.XLOOKUP(A289,Щиты[Щит],Щиты[Кс силовых (табл. 7.5)]),1),1)),IF(OR(EQ289="Пост",EQ289="Отоп"),1,IF(EQ289="ВНГ",0.7,0))))))</f>
        <v>0.8</v>
      </c>
      <c r="ES289">
        <f t="shared" si="548"/>
        <v>1</v>
      </c>
      <c r="ET289">
        <f t="shared" si="549"/>
        <v>0.36</v>
      </c>
      <c r="EU289">
        <f t="shared" si="550"/>
        <v>0.36</v>
      </c>
      <c r="EV289">
        <f t="shared" si="551"/>
        <v>0</v>
      </c>
      <c r="EW289">
        <f t="shared" si="552"/>
        <v>0</v>
      </c>
      <c r="EX289">
        <f t="shared" si="553"/>
        <v>0</v>
      </c>
      <c r="EY289">
        <f t="shared" si="554"/>
        <v>0</v>
      </c>
      <c r="EZ289">
        <f t="shared" si="555"/>
        <v>0.36</v>
      </c>
      <c r="FA289">
        <f t="shared" si="556"/>
        <v>0.34199999999999997</v>
      </c>
      <c r="FB289">
        <f t="shared" si="557"/>
        <v>0.36</v>
      </c>
      <c r="FC289" t="str">
        <f t="shared" si="558"/>
        <v>L3</v>
      </c>
      <c r="FD289" t="str">
        <f>IF(B289="","",IF(CA289=0,IF(AW289=1,"",FF288),IF(OR(N(CV289)&gt;=3,N(BR289)&gt;=3),"L1,L2,L3",IFERROR(_xlfn.TEXTBEFORE(_xlfn.TEXTAFTER(_xlfn.XLOOKUP(A289,Щиты[Щит],Щиты[_фазы авто]),";"&amp;AW289&amp;":"),";"),"L1"))))</f>
        <v>L1</v>
      </c>
      <c r="FE289" t="str">
        <f t="shared" si="559"/>
        <v>L3</v>
      </c>
      <c r="FF289" t="str">
        <f t="shared" si="560"/>
        <v>L3</v>
      </c>
      <c r="FG289" cm="1">
        <f t="array" ref="FG289">IFERROR(IF(BX289=2,_xlfn.IFS(BR289=3,VLOOKUP(BN289,Справочная_двигатели,3,FALSE),BR289=1,VLOOKUP(BN289,Справочная_двигатели,5,TRUE)),0),0)</f>
        <v>0</v>
      </c>
      <c r="FH289">
        <f>IFERROR(IF(BX289=3,VLOOKUP(BN289,Справочная_ЛЭД,2,TRUE),0),0)</f>
        <v>0</v>
      </c>
      <c r="FI289" s="6">
        <f t="shared" si="561"/>
        <v>0</v>
      </c>
      <c r="FJ289" t="str" cm="1">
        <f t="array" ref="FJ289">IF(B289="","",IFERROR(INDEX({"I особая","I","II","III"},MATCH(TRIM(AC289&amp;""),{"I особая","I","II","III"},0)),"III"))</f>
        <v>II</v>
      </c>
      <c r="FK289" t="str">
        <f>IF(B289="","",IF(TRIM(AD289&amp;"")&lt;&gt;"",IF(LOWER(TRIM(AD289&amp;""))="да","да","нет"),IF(IFERROR(_xlfn.XLOOKUP(AX289,Коды_код,Коды_пожарная),"")="да","да","нет")))</f>
        <v>нет</v>
      </c>
      <c r="FL289" t="str">
        <f t="shared" si="562"/>
        <v/>
      </c>
      <c r="FM289" t="str">
        <f t="shared" si="563"/>
        <v>основная</v>
      </c>
      <c r="FN289">
        <f t="shared" si="564"/>
        <v>1</v>
      </c>
      <c r="FO289" t="str" cm="1">
        <f t="array" ref="FO289">IF(B289="","",_xlfn.LET(_xlpm.t,IFERROR(_xlfn.XLOOKUP(1,(Шины[Шина]=FM289)*(((Шины[Щит]=A289)+(Шины[Щит]=""))&gt;0),Шины[Тип]),"")&amp;"",IF(_xlpm.t&lt;&gt;"",_xlpm.t,IF(ISNUMBER(SEARCH("ИБП",FM289)),"ИБП",IF(ISNUMBER(SEARCH("ДГУ",FM289)),"ДГУ","Ввод "&amp;FN289)))))</f>
        <v>Ввод 1</v>
      </c>
      <c r="FP289" t="str">
        <f t="shared" si="565"/>
        <v>Ввод 1</v>
      </c>
      <c r="FQ289" t="str">
        <f>IF(B289="","",IF(OR(FO289="ИБП",FO289="ДГУ"),"I особая",IF(FO289="Одиночная","III",_xlfn.XLOOKUP(A289,Щиты[Щит],Щиты[Категория шины «Ввод»],"III"))))</f>
        <v>II</v>
      </c>
      <c r="FR289">
        <f>IF(B289="",0,IFERROR(MATCH(FJ289,{"III","II","I","I особая"},0),1))</f>
        <v>2</v>
      </c>
      <c r="FS289">
        <f t="shared" si="566"/>
        <v>2</v>
      </c>
      <c r="FT289" t="str">
        <f>IF(B289="","",IF(FR289&gt;IFERROR(MATCH(FQ289,{"III","II","I","I особая"},0),1),"НЕ ОБЕСПЕЧЕНА","ОК"))</f>
        <v>ОК</v>
      </c>
      <c r="FU289" t="str">
        <f>IF(A289="","",_xlfn.XLOOKUP(A289,Щиты[Щит],Щиты[Путь],""))</f>
        <v>|ГРЩ-ЖД|ЩР-2|</v>
      </c>
      <c r="FV289" t="str">
        <f>IF(B289="","",IF(AE289&lt;&gt;"",AE289,IF(IFERROR(_xlfn.XLOOKUP(AX289,Коды_код,Коды_вид)&amp;"","")="","Прочее",_xlfn.XLOOKUP(AX289,Коды_код,Коды_вид)&amp;"")))</f>
        <v>Розеточная сеть и бытовые приборы</v>
      </c>
      <c r="FW289">
        <f>IF(BH289="","",INT((BH289-1)/Столбцов_на_лист)+1)</f>
        <v>2</v>
      </c>
      <c r="FX289" t="str">
        <f t="shared" si="567"/>
        <v>ВВГнг(А)-LS (3х2,5) L=58-0,71%</v>
      </c>
      <c r="FY289">
        <f t="shared" si="568"/>
        <v>0.36</v>
      </c>
      <c r="FZ289">
        <f t="shared" si="569"/>
        <v>1.65</v>
      </c>
      <c r="GA289">
        <f t="shared" si="570"/>
        <v>1</v>
      </c>
      <c r="GB289">
        <f t="shared" si="571"/>
        <v>0</v>
      </c>
      <c r="GC289">
        <f t="shared" si="572"/>
        <v>1</v>
      </c>
      <c r="GD289">
        <f>IF(BH289="","",IF(AND(CA289=1,GC289=1),COUNTIFS(A$3:A289,A289,CA$3:CA289,1,GC$3:GC289,1),IF(OR(OR(AW289=1,A289&lt;&gt;A288),AF289="вручную",GC289=0),"",IF(AW289=1,"",GE288))))</f>
        <v>6</v>
      </c>
      <c r="GE289">
        <f t="shared" si="573"/>
        <v>6</v>
      </c>
      <c r="GF289">
        <f>IF(B289="","",IFERROR(LOOKUP(INDEX(CHOOSE(DL289,Iдоп_1ж,Iдоп_2ж,Iдоп_3ж),MATCH(DX289,Iдоп_S,0))*DJ289*DK289,{6,10,16,20,25,32,40,50,63,80,100,125,160,200,250,315,400,500,630}),""))</f>
        <v>25</v>
      </c>
      <c r="GG289" t="str">
        <f t="shared" si="574"/>
        <v>QFD6</v>
      </c>
      <c r="GH289" t="str">
        <f t="shared" si="575"/>
        <v>QFD6</v>
      </c>
      <c r="GI289" t="str">
        <f t="shared" si="576"/>
        <v/>
      </c>
      <c r="GJ289">
        <f t="shared" si="577"/>
        <v>0</v>
      </c>
      <c r="GK289" t="str">
        <f>IF(OR(AG289="",AG289="-"),"",IFERROR(VLOOKUP(AG289,Модули_спр,2,FALSE),"R"))</f>
        <v/>
      </c>
      <c r="GL289" t="str">
        <f>IF(GK289="","",GK289&amp;"."&amp;COUNTIFS(A$3:A289,A289,GK$3:GK289,GK289))</f>
        <v/>
      </c>
      <c r="GM289" t="str">
        <f t="shared" si="578"/>
        <v/>
      </c>
      <c r="GN289" t="str">
        <f t="shared" si="579"/>
        <v/>
      </c>
      <c r="GO289" t="str">
        <f t="shared" si="580"/>
        <v/>
      </c>
      <c r="GP289" t="str">
        <f t="shared" si="581"/>
        <v/>
      </c>
      <c r="GQ289">
        <f t="shared" si="582"/>
        <v>1</v>
      </c>
      <c r="GR289" t="str">
        <f>IF(GQ289=1,"XT"&amp;COUNTIFS(A$3:A289,A289,GQ$3:GQ289,1),"")</f>
        <v>XT6</v>
      </c>
      <c r="GS289" t="str">
        <f t="shared" si="583"/>
        <v>XT6</v>
      </c>
      <c r="GT289" t="str">
        <f t="shared" si="584"/>
        <v>QFD6</v>
      </c>
      <c r="GU289" t="str">
        <f t="shared" si="585"/>
        <v/>
      </c>
      <c r="GV289" t="str">
        <f t="shared" si="586"/>
        <v>ok</v>
      </c>
      <c r="GW289" t="str">
        <f>IF(OR(GO289="",GM289=""),"",IF(GO289&gt;IFERROR(VLOOKUP(GN289,Модули_спр,3,FALSE),99),"ЛИШНИЙ КАНАЛ",IF(AND(AH289&lt;&gt;"=",COUNTIFS(Линии[_модуль гр.],GM289,Линии[Канал (итог)],GO289,Линии[Канал],"&lt;&gt;=",Линии[Щит],A289)&gt;1),"ДУБЛЬ КАНАЛА","")))</f>
        <v/>
      </c>
      <c r="GX289" s="6" t="str">
        <f t="shared" si="587"/>
        <v/>
      </c>
      <c r="GY289">
        <f t="shared" si="588"/>
        <v>10</v>
      </c>
      <c r="GZ289" t="str">
        <f t="shared" si="589"/>
        <v/>
      </c>
      <c r="HA289" t="str">
        <f>IF(AND(B289="",GT289=""),"",_xlfn.TEXTJOIN("; ",TRUE,IF(AND(B289&lt;&gt;"",FE289=""),"нет фазы",""),IF(AND(B289&lt;&gt;"",N(FY289)=0,EQ289&lt;&gt;"Нет"),"нет мощности",""),IF(AND(GS289&lt;&gt;"",COUNTIFS(Линии[Щит],A289,Линии[Клемма (итог)],GS289)&gt;1),"дубль клеммы "&amp;GS289,""),IF(AND(GV289&lt;&gt;"",GV289&lt;&gt;"ok"),GV289,""),IF(GW289&lt;&gt;"",GW289,""),IF(AND(N(BV289)&gt;=4,N(BR289)=1),BV289&amp;" жил на 1 фазе",""),IF(AND(AX289="R",CA289=1,OR(N(CK289)=0,N(CK289)&gt;30)),"розетка без дифзащиты до 30 мА",""),IFERROR(IF(AND(ISNUMBER(R289),R289&gt;DV289),"потери "&amp;FIXED(R289,1)&amp;" % &gt; "&amp;DV289&amp;" %",""),""),IFERROR(IF(LEFT(GZ289,4)="мало","Iкз мало — отключение &gt; 0,4 с",""),""),IF(AND(B289&lt;&gt;"",BH289=""),"не на схеме",""),IF(AND(CA289=0,B289&lt;&gt;"",FE289&lt;&gt;"",IF(AW289=1,"",FF288)&lt;&gt;"",FE289&lt;&gt;IF(AW289=1,"",FF288)),"фаза не как у автомата группы ("&amp;IF(AW289=1,"",FF288)&amp;")","")))</f>
        <v/>
      </c>
      <c r="HB289" s="6">
        <f>IF(OR(CA289=0,DA289=""),"",_xlfn.LET(_xlpm.t,IFERROR(_xlfn.XLOOKUP(DA289,Каталог!$U$4:$U$500,Каталог!$G$4:$G$500),""),_xlpm.k,SEARCH("кА",_xlpm.t),IFERROR(--TRIM(RIGHT(SUBSTITUTE(MID(_xlpm.t,MAX(1,_xlpm.k-4),_xlpm.k-MAX(1,_xlpm.k-4))," ",REPT(" ",9)),5)),"")))</f>
        <v>6</v>
      </c>
      <c r="HC289" t="str">
        <f>IF(OR(HB289="",CA289=0),"",IF(_xlfn.XLOOKUP(A289,Щиты[Щит],Щиты[Iкз max на шинах, кА],"")="","",IF(HB289&lt;_xlfn.XLOOKUP(A289,Щиты[Щит],Щиты[Iкз max на шинах, кА]),"Icu "&amp;HB289&amp;" кА &lt; Iкз max","ok")))</f>
        <v/>
      </c>
      <c r="HD289" t="str">
        <f t="shared" si="590"/>
        <v/>
      </c>
      <c r="HE289" t="str">
        <f t="shared" si="591"/>
        <v>QFD6|XT6</v>
      </c>
      <c r="HF289" t="str">
        <f t="shared" si="592"/>
        <v>QFD6|XT6|кабель ВВГнг(А)-LS (3х2,5) → Розеточная группа, пом. 009А</v>
      </c>
      <c r="HG289" t="str" cm="1">
        <f t="array" ref="HG289">IF(HF289="","",_xlfn.LET(_xlpm.nd,_xlfn.TEXTSPLIT(HF289,"|"),IF(COLUMNS(_xlpm.nd)&gt;1,A289&amp;"¦"&amp;INDEX(_xlpm.nd,1)&amp;"¦"&amp;INDEX(_xlpm.nd,2),"")))</f>
        <v>ЩР-2¦QFD6¦XT6</v>
      </c>
      <c r="HH289" t="str">
        <f t="shared" si="593"/>
        <v>R.2.009А.1¦Розеточная группа, пом. 009А</v>
      </c>
      <c r="HI289" t="str" cm="1">
        <f t="array" ref="HI289">IF(HF289="","",_xlfn.LET(_xlpm.nd,_xlfn.TEXTSPLIT(HF289,"|"),IF(COLUMNS(_xlpm.nd)&gt;2,A289&amp;"¦"&amp;INDEX(_xlpm.nd,2)&amp;"¦"&amp;INDEX(_xlpm.nd,3),"")))</f>
        <v>ЩР-2¦XT6¦кабель ВВГнг(А)-LS (3х2,5) → Розеточная группа, пом. 009А</v>
      </c>
      <c r="HJ289" t="str">
        <f t="shared" si="594"/>
        <v>R.2.009А.1¦Розеточная группа, пом. 009А</v>
      </c>
      <c r="HK289" t="str" cm="1">
        <f t="array" ref="HK289">IF(HF289="","",_xlfn.LET(_xlpm.nd,_xlfn.TEXTSPLIT(HF289,"|"),IF(COLUMNS(_xlpm.nd)&gt;3,A289&amp;"¦"&amp;INDEX(_xlpm.nd,3)&amp;"¦"&amp;INDEX(_xlpm.nd,4),"")))</f>
        <v/>
      </c>
      <c r="HL289" t="str">
        <f t="shared" si="595"/>
        <v/>
      </c>
      <c r="HM289" t="str" cm="1">
        <f t="array" ref="HM289">IF(HF289="","",_xlfn.LET(_xlpm.nd,_xlfn.TEXTSPLIT(HF289,"|"),IF(COLUMNS(_xlpm.nd)&gt;4,A289&amp;"¦"&amp;INDEX(_xlpm.nd,4)&amp;"¦"&amp;INDEX(_xlpm.nd,5),"")))</f>
        <v/>
      </c>
      <c r="HN289" t="str">
        <f t="shared" si="596"/>
        <v/>
      </c>
      <c r="HO289" t="str" cm="1">
        <f t="array" ref="HO289">IF(HF289="","",_xlfn.LET(_xlpm.nd,_xlfn.TEXTSPLIT(HF289,"|"),IF(COLUMNS(_xlpm.nd)&gt;5,A289&amp;"¦"&amp;INDEX(_xlpm.nd,5)&amp;"¦"&amp;INDEX(_xlpm.nd,6),"")))</f>
        <v/>
      </c>
      <c r="HP289" t="str">
        <f t="shared" si="597"/>
        <v/>
      </c>
      <c r="HQ289" t="str" cm="1">
        <f t="array" ref="HQ289">IF(HF289="","",_xlfn.LET(_xlpm.nd,_xlfn.TEXTSPLIT(HF289,"|"),IF(COLUMNS(_xlpm.nd)&gt;6,A289&amp;"¦"&amp;INDEX(_xlpm.nd,6)&amp;"¦"&amp;INDEX(_xlpm.nd,7),"")))</f>
        <v/>
      </c>
      <c r="HR289" t="str">
        <f t="shared" si="598"/>
        <v/>
      </c>
      <c r="HS289" t="str">
        <f t="shared" si="599"/>
        <v/>
      </c>
      <c r="HT289" t="str">
        <f t="shared" si="600"/>
        <v>QFD6 → XT6</v>
      </c>
      <c r="HU289">
        <f t="shared" si="601"/>
        <v>0</v>
      </c>
      <c r="HV289">
        <f t="shared" si="602"/>
        <v>1</v>
      </c>
      <c r="HW289" t="str">
        <f t="shared" si="603"/>
        <v/>
      </c>
      <c r="HX289" t="str">
        <f t="shared" si="604"/>
        <v/>
      </c>
      <c r="HY289" t="str">
        <f t="shared" si="605"/>
        <v/>
      </c>
      <c r="HZ289" t="str">
        <f t="shared" si="606"/>
        <v/>
      </c>
      <c r="IA289" t="str">
        <f>IF(B289="","",IFERROR(VLOOKUP(B289,УГО_спр,2,FALSE),IFERROR(VLOOKUP(AX289,УГО_спр,2,FALSE),IFERROR(VLOOKUP(LEFT(AX289,2),УГО_спр,2,FALSE),""))))</f>
        <v>Розетка</v>
      </c>
      <c r="IB289" t="str">
        <f>IF(B289="","",IF(OR(IA289="",IA289=0),"BOX",IFERROR(IF(VLOOKUP(IA289,УГО_блоки,3,FALSE)&amp;""&lt;&gt;"",VLOOKUP(IA289,УГО_блоки,3,FALSE),VLOOKUP(IA289,УГО_блоки,2,FALSE)),IA289)))</f>
        <v>SOCKET</v>
      </c>
      <c r="IC289">
        <f t="shared" si="607"/>
        <v>1</v>
      </c>
      <c r="ID289" t="str">
        <f>IF(DA289="","",IF(COUNTIF(DA$3:DA289,DA289)=1,MAX(ID$2:ID288)+1,""))</f>
        <v/>
      </c>
      <c r="IE289" t="str">
        <f>IF(CO289="","",IF(COUNTIF(CO$3:CO289,CO289)+COUNTIF(CP$2:CP288,CO289)+COUNTIF(CQ$2:CQ288,CO289)=1,MAX(IE$2:IG288)+1,""))</f>
        <v/>
      </c>
      <c r="IF289" t="str">
        <f>IF(CP289="","",IF(COUNTIF(CO$3:CO289,CP289)+COUNTIF(CP$3:CP289,CP289)+COUNTIF(CQ$2:CQ288,CP289)=1,MAX(IE$2:IG288,IE289)+1,""))</f>
        <v/>
      </c>
      <c r="IG289" t="str">
        <f>IF(CQ289="","",IF(COUNTIF(CO$3:CO289,CQ289)+COUNTIF(CP$3:CP289,CQ289)+COUNTIF(CQ$3:CQ289,CQ289)=1,MAX(IE$2:IG288,IE289,IF289)+1,""))</f>
        <v/>
      </c>
      <c r="IH289" t="str">
        <f t="shared" si="608"/>
        <v>3х2,5</v>
      </c>
      <c r="II289" t="str">
        <f>IF(IH289="","",IF(COUNTIF(IH$3:IH289,IH289)=1,MAX(II$2:II288)+1,""))</f>
        <v/>
      </c>
      <c r="IJ289" t="str">
        <f>IF(GL289="","",COUNTIF(GL$3:GL289,"?*"))</f>
        <v/>
      </c>
      <c r="IK289" t="str">
        <f>IF(OR(GL289="",GN289=""),"",IF(COUNTIFS(GL$3:GL289,"?*",GN$3:GN289,GN289)=1,MAX(IK$2:IK288)+1,""))</f>
        <v/>
      </c>
      <c r="IL289">
        <f t="shared" si="609"/>
        <v>0</v>
      </c>
      <c r="IM289">
        <f>IF(B289="","",COUNTIF(B$3:B289,"?*"))</f>
        <v>287</v>
      </c>
      <c r="IN289">
        <f>IF(GQ289&lt;&gt;1,0,_xlfn.LET(_xlpm.k,MAX(IFERROR(--VLOOKUP(B289,УГО_спр,5,FALSE),0),IFERROR(--VLOOKUP(AX289,УГО_спр,5,FALSE),0),IFERROR(--VLOOKUP(LEFT(AX289,2),УГО_спр,5,FALSE),0)),IF(_xlpm.k&gt;0,_xlpm.k,IF(IFERROR(--LEFT(SUBSTITUTE(IH289,"x","х"),FIND("х",SUBSTITUTE(IH289,"x","х"))-1),3)&gt;3,Каталог!$S$9,1))))</f>
        <v>1</v>
      </c>
      <c r="IO289">
        <f t="shared" si="610"/>
        <v>0</v>
      </c>
      <c r="IP289" t="str">
        <f t="shared" si="611"/>
        <v>авто</v>
      </c>
      <c r="IQ289">
        <f t="shared" si="612"/>
        <v>30</v>
      </c>
      <c r="IR289">
        <f t="shared" si="613"/>
        <v>1</v>
      </c>
      <c r="IS289">
        <f t="shared" si="614"/>
        <v>1</v>
      </c>
    </row>
    <row r="290" spans="1:253" x14ac:dyDescent="0.3">
      <c r="A290" t="s">
        <v>761</v>
      </c>
      <c r="B290" t="s">
        <v>1554</v>
      </c>
      <c r="C290" t="str">
        <f>Линии[[#This Row],[_авто наименование]]</f>
        <v>Розеточная группа, пом. 009А</v>
      </c>
      <c r="D290">
        <v>2</v>
      </c>
      <c r="E290">
        <v>0.24</v>
      </c>
      <c r="G290">
        <v>16</v>
      </c>
      <c r="H290">
        <f>Линии[[#This Row],[_авто утечка]]</f>
        <v>30</v>
      </c>
      <c r="I290" t="str">
        <f>Линии[[#This Row],[_авто управление]]</f>
        <v/>
      </c>
      <c r="J290" t="str">
        <f>Линии[[#This Row],[_авто аппараты]]</f>
        <v/>
      </c>
      <c r="K290">
        <v>2.5</v>
      </c>
      <c r="L290">
        <v>29</v>
      </c>
      <c r="M290">
        <v>2</v>
      </c>
      <c r="N290" t="str">
        <f>Линии[[#This Row],[_авто клемма]]</f>
        <v>XT7</v>
      </c>
      <c r="O290" t="str">
        <f t="shared" si="492"/>
        <v/>
      </c>
      <c r="P290" s="6" cm="1">
        <f t="array" ref="P290">IF(B290="","",IF(BC290&lt;&gt;"",IFERROR(_xlfn.XLOOKUP(BC290,Щиты[Щит],Щиты[Iр, А]),""),IF(BK290=1,IFERROR(_xlfn.XLOOKUP(A290,Щиты[Щит],Щиты[Iр, А]),""),IFERROR(_xlfn.IFS(BR290=1,BN290/((Uн_лин/SQRT(3))*BY290),BR290=3,BN290/(SQRT(3)*Uн_лин*BY290)),""))))</f>
        <v>1.0939268258329751</v>
      </c>
      <c r="Q290" s="7">
        <f>IF(B290="","",IFERROR(IF(VLOOKUP(AX290,Потребители_обозначение,4,FALSE)=1,VLOOKUP(AX290,Потребители_обозначение,3,FALSE)*(D290*2-1)+DS290+VLOOKUP(AZ290,Этаж_обозначение,3,FALSE)+VLOOKUP(AZ290,Этаж_обозначение,4,FALSE),VLOOKUP(AX290,Потребители_обозначение,3,FALSE)*(D290*2-1)+DS290),DS290))</f>
        <v>38</v>
      </c>
      <c r="R290" s="6">
        <f t="shared" si="493"/>
        <v>2.1</v>
      </c>
      <c r="S290" t="str">
        <f t="shared" si="494"/>
        <v>ВВГнг(А)-LS (3х2,5)</v>
      </c>
      <c r="T290" t="str">
        <f>IF(BH290="","",IF(BI290="вводной узел","узел ","")&amp;"л."&amp;(INT((BH290-1)/Столбцов_на_лист)+1)&amp;" / "&amp;(MOD(BH290-1,Столбцов_на_лист)+1))</f>
        <v>л.2 / 7</v>
      </c>
      <c r="V290">
        <v>1</v>
      </c>
      <c r="W290">
        <v>230</v>
      </c>
      <c r="X290" t="s">
        <v>564</v>
      </c>
      <c r="AC290" t="s">
        <v>815</v>
      </c>
      <c r="AE290" t="s">
        <v>563</v>
      </c>
      <c r="AI290">
        <v>24</v>
      </c>
      <c r="AJ290" t="s">
        <v>11</v>
      </c>
      <c r="AK290">
        <v>3</v>
      </c>
      <c r="AM290">
        <v>12</v>
      </c>
      <c r="AN290">
        <v>20</v>
      </c>
      <c r="AP290">
        <v>2</v>
      </c>
      <c r="AW290" cm="1">
        <f t="array" ref="AW290">ROW()-ROW(Линии[#Headers])</f>
        <v>288</v>
      </c>
      <c r="AX290" s="6" t="str">
        <f t="shared" si="495"/>
        <v>R</v>
      </c>
      <c r="AY290" t="str">
        <f t="shared" si="496"/>
        <v>2.009А.2</v>
      </c>
      <c r="AZ290" t="str">
        <f t="shared" si="497"/>
        <v>2</v>
      </c>
      <c r="BA290" t="str">
        <f t="shared" si="498"/>
        <v>009А.2</v>
      </c>
      <c r="BB290" t="str">
        <f t="shared" si="499"/>
        <v>009А</v>
      </c>
      <c r="BC290" t="str">
        <f>IF(U290&lt;&gt;"",U290,IF(AND(B290&lt;&gt;"",B290&lt;&gt;A290,ISNUMBER(_xlfn.XMATCH(B290,Щиты[Щит]))),B290,""))</f>
        <v/>
      </c>
      <c r="BD290" t="str" cm="1">
        <f t="array" ref="BD290">IF(B290="","",IF(BC290&lt;&gt;"","Щит "&amp;BC290,_xlfn.LET(_xlpm.nm,IFERROR(_xlfn.XLOOKUP(AX290,Коды_код,Коды_имя)&amp;"",""),_xlpm.md,IFERROR(N(_xlfn.XLOOKUP(AX290,Коды_код,Коды_режим)),1),_xlpm.ex,IF(Имя_режим="по экспликации",IFERROR(_xlfn.XLOOKUP(AZ290&amp;"|"&amp;BB290,Экспликация[Этаж]&amp;"|"&amp;Экспликация[Помещение],Экспликация[Название])&amp;"",""),""),_xlpm.rm,IF(BB290="","",IF(_xlpm.ex&lt;&gt;"",". "&amp;_xlpm.ex&amp;IF(Имя_пом="нет"," ("&amp;BB290&amp;")"," (пом. "&amp;BB290&amp;")"),IF(Имя_пом="нет"," ",", пом. ")&amp;BB290)),IF(_xlpm.nm="","",IF(_xlpm.md=2,_xlpm.nm&amp;" шлейф "&amp;AZ290,_xlpm.nm&amp;_xlpm.rm)))))</f>
        <v>Розеточная группа, пом. 009А</v>
      </c>
      <c r="BE290" t="str">
        <f t="shared" si="500"/>
        <v>Розеточная группа, пом. 009А</v>
      </c>
      <c r="BF290">
        <f>IFERROR(_xlfn.XMATCH(A290,Щиты[Щит]),0)</f>
        <v>11</v>
      </c>
      <c r="BG290">
        <f>_xlfn.LET(_xlpm.k,IFERROR(_xlfn.XLOOKUP(A290,Щиты[Щит],Щиты[Листов под вводной узел]),""),IF(_xlpm.k="",1,N(_xlpm.k))*Столбцов_на_лист)</f>
        <v>17</v>
      </c>
      <c r="BH290">
        <f t="shared" si="501"/>
        <v>24</v>
      </c>
      <c r="BI290" t="str">
        <f t="shared" si="502"/>
        <v>линии</v>
      </c>
      <c r="BJ290" s="6">
        <f>IFERROR(N(_xlfn.XLOOKUP(AX290,Коды_код,Коды_квт)),0)</f>
        <v>0</v>
      </c>
      <c r="BK290">
        <f t="shared" si="503"/>
        <v>0</v>
      </c>
      <c r="BL290" t="str">
        <f>IF(B290="","",IF(BC290&lt;&gt;"",IFERROR(_xlfn.XLOOKUP(BC290,Щиты[Щит],Щиты[Руст, кВт]),0),IF(BK290=1,IFERROR(_xlfn.XLOOKUP(A290,Щиты[Щит],Щиты[Руст, кВт]),0),IF(BJ290&gt;0,ROUND(BJ290*MAX(1,N(D290)),3),""))))</f>
        <v/>
      </c>
      <c r="BM290">
        <f t="shared" si="504"/>
        <v>0.24</v>
      </c>
      <c r="BN290" s="6">
        <f>IF(B290="","",IF(BC290&lt;&gt;"",IFERROR(_xlfn.XLOOKUP(BC290,Щиты[Щит],Щиты[Руст, кВт]),0),N(BM290)))</f>
        <v>0.24</v>
      </c>
      <c r="BO290" t="str">
        <f>IF(B290="","",IFERROR(IF(VLOOKUP(AX290,Потребители_обозначение,8,FALSE)=0,"",VLOOKUP(AX290,Потребители_обозначение,8,FALSE)),""))</f>
        <v/>
      </c>
      <c r="BP290">
        <f t="shared" si="505"/>
        <v>230</v>
      </c>
      <c r="BQ290">
        <f>IF(B290="","",IF(BC290&lt;&gt;"",3,IFERROR(IF(N(VLOOKUP(AX290,Потребители_обозначение,9,FALSE))=0,1,VLOOKUP(AX290,Потребители_обозначение,9,FALSE)),1)))</f>
        <v>1</v>
      </c>
      <c r="BR290">
        <f t="shared" si="506"/>
        <v>1</v>
      </c>
      <c r="BS290" t="str">
        <f>IF(B290="","",_xlfn.LET(_xlpm.bc,IFERROR(IF(VLOOKUP(AX290,Потребители_обозначение,6,FALSE)=0,"",VLOOKUP(AX290,Потребители_обозначение,6,FALSE)&amp;""),""),IF(AND(FK290="да",OR(_xlpm.bc="",_xlpm.bc="мс")),Марка_пож,IF(AND(_xlpm.bc="",BC290&lt;&gt;""),"мс",_xlpm.bc))))</f>
        <v/>
      </c>
      <c r="BT290" t="str">
        <f t="shared" si="507"/>
        <v>мс</v>
      </c>
      <c r="BU290">
        <f>IF(B290="","",_xlfn.LET(_xlpm.cc,IFERROR(N(VLOOKUP(AX290,Потребители_обозначение,7,FALSE)),0),IF(_xlpm.cc&gt;0,_xlpm.cc,IF(BT290="","",IF(N(BR290)=3,5,3)))))</f>
        <v>3</v>
      </c>
      <c r="BV290">
        <f t="shared" si="508"/>
        <v>3</v>
      </c>
      <c r="BW290">
        <f>IFERROR(N(VLOOKUP(AX290,Потребители_обозначение,10,FALSE)),0)</f>
        <v>0</v>
      </c>
      <c r="BX290">
        <f>IFERROR(VLOOKUP(AX290,Потребители_обозначение,5,FALSE),0)</f>
        <v>1</v>
      </c>
      <c r="BY290" s="6" cm="1">
        <f t="array" ref="BY290">IF(B290="","",IF(BC290&lt;&gt;"",IFERROR(_xlfn.XLOOKUP(BC290,Щиты[Щит],Щиты[cos φ]),0.95),IF(BK290=1,IFERROR(_xlfn.XLOOKUP(A290,Щиты[Щит],Щиты[cos φ]),0.95),IF(ISNUMBER(Z290),Z290,IFERROR(IF(BX290=2,_xlfn.IFS(BR290=3,VLOOKUP(BN290,Справочная_двигатели,8,FALSE),BR290=1,VLOOKUP(BN290,Справочная_двигатели,10,TRUE)),IF(AND(Методика="нормы 2026",EQ290="Сил"),0.8,0.95)),0.95)))))</f>
        <v>0.95</v>
      </c>
      <c r="BZ290">
        <f t="shared" si="509"/>
        <v>0</v>
      </c>
      <c r="CA290">
        <f t="shared" si="510"/>
        <v>1</v>
      </c>
      <c r="CB290">
        <f t="shared" si="511"/>
        <v>0</v>
      </c>
      <c r="CC290">
        <f t="shared" si="512"/>
        <v>0</v>
      </c>
      <c r="CD290">
        <f t="shared" si="513"/>
        <v>0</v>
      </c>
      <c r="CE290">
        <f t="shared" si="514"/>
        <v>0</v>
      </c>
      <c r="CF290">
        <f t="shared" si="515"/>
        <v>0</v>
      </c>
      <c r="CG290">
        <f>IF(AX290="",0,_xlfn.LET(_xlpm.v,IFERROR(VLOOKUP(B290,УГО_спр,3,FALSE),IFERROR(VLOOKUP(AX290,УГО_спр,3,FALSE),IFERROR(VLOOKUP(LEFT(AX290,2),УГО_спр,3,FALSE),""))),IF(_xlpm.v="да",30,IF(ISNUMBER(_xlpm.v),_xlpm.v,0))))</f>
        <v>30</v>
      </c>
      <c r="CH290">
        <f t="shared" si="516"/>
        <v>30</v>
      </c>
      <c r="CI290" t="str">
        <f>_xlfn.LET(_xlpm.k,IFERROR(_xlfn.XLOOKUP(AX290,Коды_код,Коды_утечка)&amp;"",""),IF(_xlpm.k="","дифавтомат",_xlpm.k))</f>
        <v>дифавтомат</v>
      </c>
      <c r="CJ290">
        <f t="shared" si="517"/>
        <v>30</v>
      </c>
      <c r="CK290">
        <f t="shared" si="518"/>
        <v>30</v>
      </c>
      <c r="CL290">
        <f>IF(B290="",0,IFERROR(--VLOOKUP(B290,УГО_спр,4,FALSE),IFERROR(--VLOOKUP(AX290,УГО_спр,4,FALSE),IFERROR(--VLOOKUP(LEFT(AX290,2),УГО_спр,4,FALSE),0))))</f>
        <v>16</v>
      </c>
      <c r="CM290" t="str">
        <f>IF(B290="","",IFERROR(_xlfn.XLOOKUP(AX290,Коды_код,Коды_апп)&amp;"",""))</f>
        <v/>
      </c>
      <c r="CN290" t="str">
        <f t="shared" si="519"/>
        <v/>
      </c>
      <c r="CO290" t="str" cm="1">
        <f t="array" ref="CO290">IF(TRIM(CN290&amp;"")="","",IFERROR(TRIM(INDEX(_xlfn.TEXTSPLIT(CN290&amp;";;;",";"),1)),""))</f>
        <v/>
      </c>
      <c r="CP290" t="str" cm="1">
        <f t="array" ref="CP290">IF(TRIM(CN290&amp;"")="","",IFERROR(TRIM(INDEX(_xlfn.TEXTSPLIT(CN290&amp;";;;",";"),2)),""))</f>
        <v/>
      </c>
      <c r="CQ290" t="str" cm="1">
        <f t="array" ref="CQ290">IF(TRIM(CN290&amp;"")="","",IFERROR(TRIM(INDEX(_xlfn.TEXTSPLIT(CN290&amp;";;;",";"),3)),""))</f>
        <v/>
      </c>
      <c r="CR290">
        <f t="shared" si="520"/>
        <v>0</v>
      </c>
      <c r="CS290" t="str">
        <f>IF(B290="","",_xlfn.LET(_xlpm.t,LOWER(AV290&amp;""),IF(ISNUMBER(SEARCH("dim",_xlpm.t)),"DIM",IF(ISNUMBER(SEARCH("dali",_xlpm.t)),"DALI",IF(OR(ISNUMBER(SEARCH("relay",_xlpm.t)),ISNUMBER(SEARCH("реле",_xlpm.t))),"Relay",IF(ISNUMBER(SEARCH("кнопк",_xlpm.t)),"",IFERROR(_xlfn.XLOOKUP(AX290,Коды_код,Коды_упр)&amp;"","")))))))</f>
        <v/>
      </c>
      <c r="CT290" t="str">
        <f t="shared" si="521"/>
        <v/>
      </c>
      <c r="CU290">
        <f>IF(B290="","",_xlfn.LET(_xlpm.ig,N(P290)+IF(AF290="вручную",0,N(CB290)),_xlpm.n0,IFERROR(VLOOKUP(_xlpm.ig,Автомат_номиналы,2,TRUE),0),_xlpm.mn,MAX(CL290,IF(AF290="вручную",0,N(CE290))),MAX(_xlpm.n0,_xlpm.mn,IF(CR290=1,Мин_автомат_БП,0))))</f>
        <v>16</v>
      </c>
      <c r="CV290">
        <f t="shared" si="522"/>
        <v>1</v>
      </c>
      <c r="CW290" t="str">
        <f t="shared" si="523"/>
        <v>2P</v>
      </c>
      <c r="CX290" t="str">
        <f>_xlfn.LET(_xlpm.cc,UPPER(TRIM(IFERROR(_xlfn.XLOOKUP(AX290,Коды_код,Коды_хар)&amp;"",""))),IF(OR(_xlpm.cc="B",_xlpm.cc="В"),"B",IF(_xlpm.cc="D","D","С")))</f>
        <v>С</v>
      </c>
      <c r="CY290" t="str">
        <f t="shared" si="524"/>
        <v>2P С16А 30мА</v>
      </c>
      <c r="CZ290">
        <f t="shared" si="525"/>
        <v>16</v>
      </c>
      <c r="DA290" t="str">
        <f t="shared" si="526"/>
        <v>2P С16А 30мА</v>
      </c>
      <c r="DB290" cm="1">
        <f t="array" ref="DB290">IF(DA290="","",_xlfn.LET(_xlpm.t,SUBSTITUTE(SUBSTITUTE(SUBSTITUTE(UPPER(DA290),"С","C"),"А","A"),"В","B"),_xlpm.tk,_xlfn.TEXTSPLIT(_xlpm.t,"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0" t="str">
        <f t="shared" si="527"/>
        <v>ok</v>
      </c>
      <c r="DD290">
        <f t="shared" si="528"/>
        <v>16</v>
      </c>
      <c r="DE290" t="str">
        <f t="shared" si="529"/>
        <v>2P С16А 30мА</v>
      </c>
      <c r="DF290">
        <f t="shared" si="530"/>
        <v>30</v>
      </c>
      <c r="DG290">
        <f t="shared" si="531"/>
        <v>1</v>
      </c>
      <c r="DH290">
        <f t="shared" si="532"/>
        <v>0</v>
      </c>
      <c r="DI290">
        <f t="shared" si="533"/>
        <v>1.0939268258329751</v>
      </c>
      <c r="DJ290">
        <f t="shared" si="534"/>
        <v>1</v>
      </c>
      <c r="DK290">
        <f>IF(ISNUMBER(AL290),AL290,К_прокл)</f>
        <v>1</v>
      </c>
      <c r="DL290">
        <f t="shared" si="535"/>
        <v>2</v>
      </c>
      <c r="DM290">
        <f>IFERROR(N(VLOOKUP(BT290,Кабель_обозначение,3,FALSE)),1)</f>
        <v>1</v>
      </c>
      <c r="DN290">
        <f>IFERROR(N(_xlfn.XLOOKUP(A290,Щиты[Щит],Щиты[ΔU до шин, %])),0)</f>
        <v>1.79</v>
      </c>
      <c r="DO290" t="str">
        <f>IFERROR(_xlfn.XLOOKUP(A290,Щиты[Щит],Щиты[Zпетли на шинах, Ом]),"")</f>
        <v/>
      </c>
      <c r="DP290">
        <f>IFERROR(N(_xlfn.XLOOKUP(A290,Щиты[Щит],Щиты[ΔU до шин (подбор), %])),0)</f>
        <v>4.75</v>
      </c>
      <c r="DQ290" t="str">
        <f>IFERROR(_xlfn.XLOOKUP(A290,Щиты[Щит],Щиты[Zпетли на шинах (подбор), Ом]),"")</f>
        <v/>
      </c>
      <c r="DR290" t="str">
        <f t="shared" si="536"/>
        <v/>
      </c>
      <c r="DS290">
        <f t="shared" si="537"/>
        <v>29</v>
      </c>
      <c r="DT290">
        <f t="shared" si="538"/>
        <v>2</v>
      </c>
      <c r="DU290">
        <f t="shared" si="539"/>
        <v>0.31</v>
      </c>
      <c r="DV290" s="6">
        <f>IF(B290="","",IF(IFERROR(VLOOKUP(AX290,УГО_спр,2,FALSE),"")="Светильник",3,4)+IF(Методика="нормы 2026",MIN(0.5,MAX(0,N(Q290)-100)*0.005),0))</f>
        <v>4</v>
      </c>
      <c r="DW290" t="str" cm="1">
        <f t="array" ref="DW290">IF(OR(B290="",BT290="",DM290&lt;&gt;1),"",_xlfn.LET(_xlpm.sz,Iдоп_S,_xlpm.t_,CHOOSE(DL290,Iдоп_1ж,Iдоп_2ж,Iдоп_3ж)*DJ290*DK290,_xlpm.inn,N(DD290),_xlpm.smin,MAX(1.5,BW290),_xlpm.L_,N(Q290)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290)*(_xlpm.rho*_xlpm.L_/_xlpm.sz*N(BY290)+_xlpm.xx*_xlpm.L_*N(DU290)/1000)*N(P290)/((Uн_лин/SQRT(3))*1000)*100,999),_xlpm.kz,IF(OR(DG290=1,NOT(ISNUMBER(DQ290)),_xlpm.L_=0,_xlpm.inn=0),1,IFERROR(--(c_min*(Uн_лин*1000/SQRT(3))/(DQ290+2*ρкз_Cu*_xlpm.L_/_xlpm.sz)&gt;=GY290*_xlpm.inn),0)),_xlpm.ok,IFERROR((_xlpm.sz&gt;=_xlpm.smin)*(_xlpm.t_&gt;=_xlpm.inn)*IF(_xlpm.L_&gt;0,(_xlpm.du_+DP290&lt;=DV290+0.00001),1)*_xlpm.kz,0),_xlpm.r_,_xlfn._xlws.FILTER(_xlpm.sz,_xlpm.ok,"не подобрано"),INDEX(_xlpm.r_,1)))</f>
        <v>не подобрано</v>
      </c>
      <c r="DX290">
        <f t="shared" si="540"/>
        <v>2.5</v>
      </c>
      <c r="DY290" cm="1">
        <f t="array" ref="DY290">IF(OR(B290="",BT290="",DM290&lt;&gt;1),"",_xlfn.LET(_xlpm.sz,Iдоп_S,_xlpm.t_,CHOOSE(DL290,Iдоп_1ж,Iдоп_2ж,Iдоп_3ж)*DJ290*DK290,_xlpm.ok,IFERROR((_xlpm.sz&gt;=MAX(1.5,BW290))*(_xlpm.t_&gt;=N(DD290)),0),_xlpm.r_,_xlfn._xlws.FILTER(_xlpm.sz,_xlpm.ok,""),INDEX(_xlpm.r_,1)))</f>
        <v>1.5</v>
      </c>
      <c r="DZ290" s="6" cm="1">
        <f t="array" ref="DZ290">IFERROR(ROUNDUP(N(DT290)*(_xlfn.XLOOKUP(DY290,INDEX(Кабель_сопротивление,0,1),INDEX(Кабель_сопротивление,0,3))*N(Q290)/DY290*N(BY290)+_xlfn.XLOOKUP(DY290,INDEX(Кабель_сопротивление,0,1),INDEX(Кабель_сопротивление,0,2))*N(Q290)*N(DU290)/1000)*N(P290)/((Uн_лин/SQRT(3))*1000)*100,2),"")</f>
        <v>0.52</v>
      </c>
      <c r="EA290">
        <f>IFERROR(2*ρкз_Cu*N(Q290)/DY290,"")</f>
        <v>1.3325333333333333</v>
      </c>
      <c r="EB290">
        <f>IFERROR(VLOOKUP(DX290,Кабель_сопротивление,3,FALSE),"")</f>
        <v>2.2499999999999999E-2</v>
      </c>
      <c r="EC290">
        <f>IFERROR(VLOOKUP(DX290,Кабель_сопротивление,2,FALSE),"")</f>
        <v>0.1</v>
      </c>
      <c r="ED290">
        <f t="shared" si="541"/>
        <v>20</v>
      </c>
      <c r="EE290">
        <f t="shared" si="542"/>
        <v>34</v>
      </c>
      <c r="EF290">
        <f t="shared" si="543"/>
        <v>0.71341094302792962</v>
      </c>
      <c r="EG290" s="6">
        <f>IFERROR(ROUNDUP(EF290/((Uн_лин/SQRT(3))*1000)*100,2),"")</f>
        <v>0.31</v>
      </c>
      <c r="EH290" t="str">
        <f>IFERROR(VLOOKUP(BT290,Кабель_обозначение,2,FALSE),"")</f>
        <v>ВВГнг(А)-LS</v>
      </c>
      <c r="EI290" t="str">
        <f t="shared" si="544"/>
        <v>ВВГнг(А)-LS (3х2,5)</v>
      </c>
      <c r="EJ290" t="str">
        <f t="shared" si="545"/>
        <v>ВВГнг(А)-LS (3х2,5)
L=38-0,31%</v>
      </c>
      <c r="EK290">
        <f>IFERROR(2*ρкз_Cu*Q290/DX290,"")</f>
        <v>0.79952000000000001</v>
      </c>
      <c r="EL290">
        <f t="shared" si="546"/>
        <v>0.26600000000000001</v>
      </c>
      <c r="EM290" s="6" t="str">
        <f>IFERROR(IF(OR(B290="",NOT(ISNUMBER(DX290)),N(Q290)=0),"",_xlfn.XLOOKUP(A290,Щиты[Щит],Щиты[Zпетли на шинах, Ом])+EK290),"")</f>
        <v/>
      </c>
      <c r="EN290" s="6" t="str">
        <f>IF(ISNUMBER(EM290),c_min*(Uн_лин*1000/SQRT(3))/EM290,"")</f>
        <v/>
      </c>
      <c r="EO290" s="6" t="str">
        <f>IFERROR(IF(OR(B290="",NOT(ISNUMBER(DX290))),"",1.05*(Uн_лин*1000/SQRT(3))/(_xlfn.XLOOKUP(A290,Щиты[Щит],Щиты[Zmax на шинах, Ом])+EL290)/1000),"")</f>
        <v/>
      </c>
      <c r="EP290" s="6" t="str">
        <f>IF(B290="","",IF(ISNUMBER(Y290),"Сил",IF(IFERROR(_xlfn.XLOOKUP(AX290,Коды_код,Коды_группа)&amp;"","")="","Быт",_xlfn.XLOOKUP(AX290,Коды_код,Коды_группа)&amp;"")))</f>
        <v>Быт</v>
      </c>
      <c r="EQ290" s="6" t="str">
        <f t="shared" si="547"/>
        <v>Быт</v>
      </c>
      <c r="ER290" s="6">
        <f>IF(EQ290="Щит","щит",IF(EQ290="","",IF(EQ290="Быт",IFERROR(_xlfn.XLOOKUP(A290,Щиты[Щит],Щиты[Кс быт]),1),IF(EQ290="Сил",IF(ISNUMBER(Y290),Y290,IF(Методика="нормы 2026",IFERROR(_xlfn.XLOOKUP(A290,Щиты[Щит],Щиты[Кс силовых (табл. 7.5)]),1),1)),IF(OR(EQ290="Пост",EQ290="Отоп"),1,IF(EQ290="ВНГ",0.7,0))))))</f>
        <v>0.8</v>
      </c>
      <c r="ES290">
        <f t="shared" si="548"/>
        <v>1</v>
      </c>
      <c r="ET290">
        <f t="shared" si="549"/>
        <v>0.24</v>
      </c>
      <c r="EU290">
        <f t="shared" si="550"/>
        <v>0.24</v>
      </c>
      <c r="EV290">
        <f t="shared" si="551"/>
        <v>0</v>
      </c>
      <c r="EW290">
        <f t="shared" si="552"/>
        <v>0</v>
      </c>
      <c r="EX290">
        <f t="shared" si="553"/>
        <v>0</v>
      </c>
      <c r="EY290">
        <f t="shared" si="554"/>
        <v>0</v>
      </c>
      <c r="EZ290">
        <f t="shared" si="555"/>
        <v>0.24</v>
      </c>
      <c r="FA290">
        <f t="shared" si="556"/>
        <v>0.22799999999999998</v>
      </c>
      <c r="FB290">
        <f t="shared" si="557"/>
        <v>0.24</v>
      </c>
      <c r="FC290" t="str">
        <f t="shared" si="558"/>
        <v>L2</v>
      </c>
      <c r="FD290" t="str">
        <f>IF(B290="","",IF(CA290=0,IF(AW290=1,"",FF289),IF(OR(N(CV290)&gt;=3,N(BR290)&gt;=3),"L1,L2,L3",IFERROR(_xlfn.TEXTBEFORE(_xlfn.TEXTAFTER(_xlfn.XLOOKUP(A290,Щиты[Щит],Щиты[_фазы авто]),";"&amp;AW290&amp;":"),";"),"L1"))))</f>
        <v>L1</v>
      </c>
      <c r="FE290" t="str">
        <f t="shared" si="559"/>
        <v>L2</v>
      </c>
      <c r="FF290" t="str">
        <f t="shared" si="560"/>
        <v>L2</v>
      </c>
      <c r="FG290" cm="1">
        <f t="array" ref="FG290">IFERROR(IF(BX290=2,_xlfn.IFS(BR290=3,VLOOKUP(BN290,Справочная_двигатели,3,FALSE),BR290=1,VLOOKUP(BN290,Справочная_двигатели,5,TRUE)),0),0)</f>
        <v>0</v>
      </c>
      <c r="FH290">
        <f>IFERROR(IF(BX290=3,VLOOKUP(BN290,Справочная_ЛЭД,2,TRUE),0),0)</f>
        <v>0</v>
      </c>
      <c r="FI290" s="6">
        <f t="shared" si="561"/>
        <v>0</v>
      </c>
      <c r="FJ290" t="str" cm="1">
        <f t="array" ref="FJ290">IF(B290="","",IFERROR(INDEX({"I особая","I","II","III"},MATCH(TRIM(AC290&amp;""),{"I особая","I","II","III"},0)),"III"))</f>
        <v>II</v>
      </c>
      <c r="FK290" t="str">
        <f>IF(B290="","",IF(TRIM(AD290&amp;"")&lt;&gt;"",IF(LOWER(TRIM(AD290&amp;""))="да","да","нет"),IF(IFERROR(_xlfn.XLOOKUP(AX290,Коды_код,Коды_пожарная),"")="да","да","нет")))</f>
        <v>нет</v>
      </c>
      <c r="FL290" t="str">
        <f t="shared" si="562"/>
        <v/>
      </c>
      <c r="FM290" t="str">
        <f t="shared" si="563"/>
        <v>основная</v>
      </c>
      <c r="FN290">
        <f t="shared" si="564"/>
        <v>1</v>
      </c>
      <c r="FO290" t="str" cm="1">
        <f t="array" ref="FO290">IF(B290="","",_xlfn.LET(_xlpm.t,IFERROR(_xlfn.XLOOKUP(1,(Шины[Шина]=FM290)*(((Шины[Щит]=A290)+(Шины[Щит]=""))&gt;0),Шины[Тип]),"")&amp;"",IF(_xlpm.t&lt;&gt;"",_xlpm.t,IF(ISNUMBER(SEARCH("ИБП",FM290)),"ИБП",IF(ISNUMBER(SEARCH("ДГУ",FM290)),"ДГУ","Ввод "&amp;FN290)))))</f>
        <v>Ввод 1</v>
      </c>
      <c r="FP290" t="str">
        <f t="shared" si="565"/>
        <v>Ввод 1</v>
      </c>
      <c r="FQ290" t="str">
        <f>IF(B290="","",IF(OR(FO290="ИБП",FO290="ДГУ"),"I особая",IF(FO290="Одиночная","III",_xlfn.XLOOKUP(A290,Щиты[Щит],Щиты[Категория шины «Ввод»],"III"))))</f>
        <v>II</v>
      </c>
      <c r="FR290">
        <f>IF(B290="",0,IFERROR(MATCH(FJ290,{"III","II","I","I особая"},0),1))</f>
        <v>2</v>
      </c>
      <c r="FS290">
        <f t="shared" si="566"/>
        <v>2</v>
      </c>
      <c r="FT290" t="str">
        <f>IF(B290="","",IF(FR290&gt;IFERROR(MATCH(FQ290,{"III","II","I","I особая"},0),1),"НЕ ОБЕСПЕЧЕНА","ОК"))</f>
        <v>ОК</v>
      </c>
      <c r="FU290" t="str">
        <f>IF(A290="","",_xlfn.XLOOKUP(A290,Щиты[Щит],Щиты[Путь],""))</f>
        <v>|ГРЩ-ЖД|ЩР-2|</v>
      </c>
      <c r="FV290" t="str">
        <f>IF(B290="","",IF(AE290&lt;&gt;"",AE290,IF(IFERROR(_xlfn.XLOOKUP(AX290,Коды_код,Коды_вид)&amp;"","")="","Прочее",_xlfn.XLOOKUP(AX290,Коды_код,Коды_вид)&amp;"")))</f>
        <v>Розеточная сеть и бытовые приборы</v>
      </c>
      <c r="FW290">
        <f>IF(BH290="","",INT((BH290-1)/Столбцов_на_лист)+1)</f>
        <v>2</v>
      </c>
      <c r="FX290" t="str">
        <f t="shared" si="567"/>
        <v>ВВГнг(А)-LS (3х2,5) L=38-0,31%</v>
      </c>
      <c r="FY290">
        <f t="shared" si="568"/>
        <v>0.24</v>
      </c>
      <c r="FZ290">
        <f t="shared" si="569"/>
        <v>1.1000000000000001</v>
      </c>
      <c r="GA290">
        <f t="shared" si="570"/>
        <v>1</v>
      </c>
      <c r="GB290">
        <f t="shared" si="571"/>
        <v>0</v>
      </c>
      <c r="GC290">
        <f t="shared" si="572"/>
        <v>1</v>
      </c>
      <c r="GD290">
        <f>IF(BH290="","",IF(AND(CA290=1,GC290=1),COUNTIFS(A$3:A290,A290,CA$3:CA290,1,GC$3:GC290,1),IF(OR(OR(AW290=1,A290&lt;&gt;A289),AF290="вручную",GC290=0),"",IF(AW290=1,"",GE289))))</f>
        <v>7</v>
      </c>
      <c r="GE290">
        <f t="shared" si="573"/>
        <v>7</v>
      </c>
      <c r="GF290">
        <f>IF(B290="","",IFERROR(LOOKUP(INDEX(CHOOSE(DL290,Iдоп_1ж,Iдоп_2ж,Iдоп_3ж),MATCH(DX290,Iдоп_S,0))*DJ290*DK290,{6,10,16,20,25,32,40,50,63,80,100,125,160,200,250,315,400,500,630}),""))</f>
        <v>25</v>
      </c>
      <c r="GG290" t="str">
        <f t="shared" si="574"/>
        <v>QFD7</v>
      </c>
      <c r="GH290" t="str">
        <f t="shared" si="575"/>
        <v>QFD7</v>
      </c>
      <c r="GI290" t="str">
        <f t="shared" si="576"/>
        <v/>
      </c>
      <c r="GJ290">
        <f t="shared" si="577"/>
        <v>0</v>
      </c>
      <c r="GK290" t="str">
        <f>IF(OR(AG290="",AG290="-"),"",IFERROR(VLOOKUP(AG290,Модули_спр,2,FALSE),"R"))</f>
        <v/>
      </c>
      <c r="GL290" t="str">
        <f>IF(GK290="","",GK290&amp;"."&amp;COUNTIFS(A$3:A290,A290,GK$3:GK290,GK290))</f>
        <v/>
      </c>
      <c r="GM290" t="str">
        <f t="shared" si="578"/>
        <v/>
      </c>
      <c r="GN290" t="str">
        <f t="shared" si="579"/>
        <v/>
      </c>
      <c r="GO290" t="str">
        <f t="shared" si="580"/>
        <v/>
      </c>
      <c r="GP290" t="str">
        <f t="shared" si="581"/>
        <v/>
      </c>
      <c r="GQ290">
        <f t="shared" si="582"/>
        <v>1</v>
      </c>
      <c r="GR290" t="str">
        <f>IF(GQ290=1,"XT"&amp;COUNTIFS(A$3:A290,A290,GQ$3:GQ290,1),"")</f>
        <v>XT7</v>
      </c>
      <c r="GS290" t="str">
        <f t="shared" si="583"/>
        <v>XT7</v>
      </c>
      <c r="GT290" t="str">
        <f t="shared" si="584"/>
        <v>QFD7</v>
      </c>
      <c r="GU290" t="str">
        <f t="shared" si="585"/>
        <v/>
      </c>
      <c r="GV290" t="str">
        <f t="shared" si="586"/>
        <v>ok</v>
      </c>
      <c r="GW290" t="str">
        <f>IF(OR(GO290="",GM290=""),"",IF(GO290&gt;IFERROR(VLOOKUP(GN290,Модули_спр,3,FALSE),99),"ЛИШНИЙ КАНАЛ",IF(AND(AH290&lt;&gt;"=",COUNTIFS(Линии[_модуль гр.],GM290,Линии[Канал (итог)],GO290,Линии[Канал],"&lt;&gt;=",Линии[Щит],A290)&gt;1),"ДУБЛЬ КАНАЛА","")))</f>
        <v/>
      </c>
      <c r="GX290" s="6" t="str">
        <f t="shared" si="587"/>
        <v/>
      </c>
      <c r="GY290">
        <f t="shared" si="588"/>
        <v>10</v>
      </c>
      <c r="GZ290" t="str">
        <f t="shared" si="589"/>
        <v/>
      </c>
      <c r="HA290" t="str">
        <f>IF(AND(B290="",GT290=""),"",_xlfn.TEXTJOIN("; ",TRUE,IF(AND(B290&lt;&gt;"",FE290=""),"нет фазы",""),IF(AND(B290&lt;&gt;"",N(FY290)=0,EQ290&lt;&gt;"Нет"),"нет мощности",""),IF(AND(GS290&lt;&gt;"",COUNTIFS(Линии[Щит],A290,Линии[Клемма (итог)],GS290)&gt;1),"дубль клеммы "&amp;GS290,""),IF(AND(GV290&lt;&gt;"",GV290&lt;&gt;"ok"),GV290,""),IF(GW290&lt;&gt;"",GW290,""),IF(AND(N(BV290)&gt;=4,N(BR290)=1),BV290&amp;" жил на 1 фазе",""),IF(AND(AX290="R",CA290=1,OR(N(CK290)=0,N(CK290)&gt;30)),"розетка без дифзащиты до 30 мА",""),IFERROR(IF(AND(ISNUMBER(R290),R290&gt;DV290),"потери "&amp;FIXED(R290,1)&amp;" % &gt; "&amp;DV290&amp;" %",""),""),IFERROR(IF(LEFT(GZ290,4)="мало","Iкз мало — отключение &gt; 0,4 с",""),""),IF(AND(B290&lt;&gt;"",BH290=""),"не на схеме",""),IF(AND(CA290=0,B290&lt;&gt;"",FE290&lt;&gt;"",IF(AW290=1,"",FF289)&lt;&gt;"",FE290&lt;&gt;IF(AW290=1,"",FF289)),"фаза не как у автомата группы ("&amp;IF(AW290=1,"",FF289)&amp;")","")))</f>
        <v/>
      </c>
      <c r="HB290" s="6">
        <f>IF(OR(CA290=0,DA290=""),"",_xlfn.LET(_xlpm.t,IFERROR(_xlfn.XLOOKUP(DA290,Каталог!$U$4:$U$500,Каталог!$G$4:$G$500),""),_xlpm.k,SEARCH("кА",_xlpm.t),IFERROR(--TRIM(RIGHT(SUBSTITUTE(MID(_xlpm.t,MAX(1,_xlpm.k-4),_xlpm.k-MAX(1,_xlpm.k-4))," ",REPT(" ",9)),5)),"")))</f>
        <v>6</v>
      </c>
      <c r="HC290" t="str">
        <f>IF(OR(HB290="",CA290=0),"",IF(_xlfn.XLOOKUP(A290,Щиты[Щит],Щиты[Iкз max на шинах, кА],"")="","",IF(HB290&lt;_xlfn.XLOOKUP(A290,Щиты[Щит],Щиты[Iкз max на шинах, кА]),"Icu "&amp;HB290&amp;" кА &lt; Iкз max","ok")))</f>
        <v/>
      </c>
      <c r="HD290" t="str">
        <f t="shared" si="590"/>
        <v/>
      </c>
      <c r="HE290" t="str">
        <f t="shared" si="591"/>
        <v>QFD7|XT7</v>
      </c>
      <c r="HF290" t="str">
        <f t="shared" si="592"/>
        <v>QFD7|XT7|кабель ВВГнг(А)-LS (3х2,5) → Розеточная группа, пом. 009А</v>
      </c>
      <c r="HG290" t="str" cm="1">
        <f t="array" ref="HG290">IF(HF290="","",_xlfn.LET(_xlpm.nd,_xlfn.TEXTSPLIT(HF290,"|"),IF(COLUMNS(_xlpm.nd)&gt;1,A290&amp;"¦"&amp;INDEX(_xlpm.nd,1)&amp;"¦"&amp;INDEX(_xlpm.nd,2),"")))</f>
        <v>ЩР-2¦QFD7¦XT7</v>
      </c>
      <c r="HH290" t="str">
        <f t="shared" si="593"/>
        <v>R.2.009А.2¦Розеточная группа, пом. 009А</v>
      </c>
      <c r="HI290" t="str" cm="1">
        <f t="array" ref="HI290">IF(HF290="","",_xlfn.LET(_xlpm.nd,_xlfn.TEXTSPLIT(HF290,"|"),IF(COLUMNS(_xlpm.nd)&gt;2,A290&amp;"¦"&amp;INDEX(_xlpm.nd,2)&amp;"¦"&amp;INDEX(_xlpm.nd,3),"")))</f>
        <v>ЩР-2¦XT7¦кабель ВВГнг(А)-LS (3х2,5) → Розеточная группа, пом. 009А</v>
      </c>
      <c r="HJ290" t="str">
        <f t="shared" si="594"/>
        <v>R.2.009А.2¦Розеточная группа, пом. 009А</v>
      </c>
      <c r="HK290" t="str" cm="1">
        <f t="array" ref="HK290">IF(HF290="","",_xlfn.LET(_xlpm.nd,_xlfn.TEXTSPLIT(HF290,"|"),IF(COLUMNS(_xlpm.nd)&gt;3,A290&amp;"¦"&amp;INDEX(_xlpm.nd,3)&amp;"¦"&amp;INDEX(_xlpm.nd,4),"")))</f>
        <v/>
      </c>
      <c r="HL290" t="str">
        <f t="shared" si="595"/>
        <v/>
      </c>
      <c r="HM290" t="str" cm="1">
        <f t="array" ref="HM290">IF(HF290="","",_xlfn.LET(_xlpm.nd,_xlfn.TEXTSPLIT(HF290,"|"),IF(COLUMNS(_xlpm.nd)&gt;4,A290&amp;"¦"&amp;INDEX(_xlpm.nd,4)&amp;"¦"&amp;INDEX(_xlpm.nd,5),"")))</f>
        <v/>
      </c>
      <c r="HN290" t="str">
        <f t="shared" si="596"/>
        <v/>
      </c>
      <c r="HO290" t="str" cm="1">
        <f t="array" ref="HO290">IF(HF290="","",_xlfn.LET(_xlpm.nd,_xlfn.TEXTSPLIT(HF290,"|"),IF(COLUMNS(_xlpm.nd)&gt;5,A290&amp;"¦"&amp;INDEX(_xlpm.nd,5)&amp;"¦"&amp;INDEX(_xlpm.nd,6),"")))</f>
        <v/>
      </c>
      <c r="HP290" t="str">
        <f t="shared" si="597"/>
        <v/>
      </c>
      <c r="HQ290" t="str" cm="1">
        <f t="array" ref="HQ290">IF(HF290="","",_xlfn.LET(_xlpm.nd,_xlfn.TEXTSPLIT(HF290,"|"),IF(COLUMNS(_xlpm.nd)&gt;6,A290&amp;"¦"&amp;INDEX(_xlpm.nd,6)&amp;"¦"&amp;INDEX(_xlpm.nd,7),"")))</f>
        <v/>
      </c>
      <c r="HR290" t="str">
        <f t="shared" si="598"/>
        <v/>
      </c>
      <c r="HS290" t="str">
        <f t="shared" si="599"/>
        <v/>
      </c>
      <c r="HT290" t="str">
        <f t="shared" si="600"/>
        <v>QFD7 → XT7</v>
      </c>
      <c r="HU290">
        <f t="shared" si="601"/>
        <v>0</v>
      </c>
      <c r="HV290">
        <f t="shared" si="602"/>
        <v>1</v>
      </c>
      <c r="HW290" t="str">
        <f t="shared" si="603"/>
        <v/>
      </c>
      <c r="HX290" t="str">
        <f t="shared" si="604"/>
        <v/>
      </c>
      <c r="HY290" t="str">
        <f t="shared" si="605"/>
        <v/>
      </c>
      <c r="HZ290" t="str">
        <f t="shared" si="606"/>
        <v/>
      </c>
      <c r="IA290" t="str">
        <f>IF(B290="","",IFERROR(VLOOKUP(B290,УГО_спр,2,FALSE),IFERROR(VLOOKUP(AX290,УГО_спр,2,FALSE),IFERROR(VLOOKUP(LEFT(AX290,2),УГО_спр,2,FALSE),""))))</f>
        <v>Розетка</v>
      </c>
      <c r="IB290" t="str">
        <f>IF(B290="","",IF(OR(IA290="",IA290=0),"BOX",IFERROR(IF(VLOOKUP(IA290,УГО_блоки,3,FALSE)&amp;""&lt;&gt;"",VLOOKUP(IA290,УГО_блоки,3,FALSE),VLOOKUP(IA290,УГО_блоки,2,FALSE)),IA290)))</f>
        <v>SOCKET</v>
      </c>
      <c r="IC290">
        <f t="shared" si="607"/>
        <v>1</v>
      </c>
      <c r="ID290" t="str">
        <f>IF(DA290="","",IF(COUNTIF(DA$3:DA290,DA290)=1,MAX(ID$2:ID289)+1,""))</f>
        <v/>
      </c>
      <c r="IE290" t="str">
        <f>IF(CO290="","",IF(COUNTIF(CO$3:CO290,CO290)+COUNTIF(CP$2:CP289,CO290)+COUNTIF(CQ$2:CQ289,CO290)=1,MAX(IE$2:IG289)+1,""))</f>
        <v/>
      </c>
      <c r="IF290" t="str">
        <f>IF(CP290="","",IF(COUNTIF(CO$3:CO290,CP290)+COUNTIF(CP$3:CP290,CP290)+COUNTIF(CQ$2:CQ289,CP290)=1,MAX(IE$2:IG289,IE290)+1,""))</f>
        <v/>
      </c>
      <c r="IG290" t="str">
        <f>IF(CQ290="","",IF(COUNTIF(CO$3:CO290,CQ290)+COUNTIF(CP$3:CP290,CQ290)+COUNTIF(CQ$3:CQ290,CQ290)=1,MAX(IE$2:IG289,IE290,IF290)+1,""))</f>
        <v/>
      </c>
      <c r="IH290" t="str">
        <f t="shared" si="608"/>
        <v>3х2,5</v>
      </c>
      <c r="II290" t="str">
        <f>IF(IH290="","",IF(COUNTIF(IH$3:IH290,IH290)=1,MAX(II$2:II289)+1,""))</f>
        <v/>
      </c>
      <c r="IJ290" t="str">
        <f>IF(GL290="","",COUNTIF(GL$3:GL290,"?*"))</f>
        <v/>
      </c>
      <c r="IK290" t="str">
        <f>IF(OR(GL290="",GN290=""),"",IF(COUNTIFS(GL$3:GL290,"?*",GN$3:GN290,GN290)=1,MAX(IK$2:IK289)+1,""))</f>
        <v/>
      </c>
      <c r="IL290">
        <f t="shared" si="609"/>
        <v>0</v>
      </c>
      <c r="IM290">
        <f>IF(B290="","",COUNTIF(B$3:B290,"?*"))</f>
        <v>288</v>
      </c>
      <c r="IN290">
        <f>IF(GQ290&lt;&gt;1,0,_xlfn.LET(_xlpm.k,MAX(IFERROR(--VLOOKUP(B290,УГО_спр,5,FALSE),0),IFERROR(--VLOOKUP(AX290,УГО_спр,5,FALSE),0),IFERROR(--VLOOKUP(LEFT(AX290,2),УГО_спр,5,FALSE),0)),IF(_xlpm.k&gt;0,_xlpm.k,IF(IFERROR(--LEFT(SUBSTITUTE(IH290,"x","х"),FIND("х",SUBSTITUTE(IH290,"x","х"))-1),3)&gt;3,Каталог!$S$9,1))))</f>
        <v>1</v>
      </c>
      <c r="IO290">
        <f t="shared" si="610"/>
        <v>0</v>
      </c>
      <c r="IP290" t="str">
        <f t="shared" si="611"/>
        <v>авто</v>
      </c>
      <c r="IQ290">
        <f t="shared" si="612"/>
        <v>30</v>
      </c>
      <c r="IR290">
        <f t="shared" si="613"/>
        <v>1</v>
      </c>
      <c r="IS290">
        <f t="shared" si="614"/>
        <v>1</v>
      </c>
    </row>
    <row r="291" spans="1:253" x14ac:dyDescent="0.3">
      <c r="A291" t="s">
        <v>761</v>
      </c>
      <c r="B291" t="s">
        <v>1555</v>
      </c>
      <c r="C291" t="str">
        <f>Линии[[#This Row],[_авто наименование]]</f>
        <v>Розеточная группа, пом. 010А</v>
      </c>
      <c r="D291">
        <v>1</v>
      </c>
      <c r="E291">
        <v>0.06</v>
      </c>
      <c r="G291">
        <v>16</v>
      </c>
      <c r="H291">
        <f>Линии[[#This Row],[_авто утечка]]</f>
        <v>30</v>
      </c>
      <c r="I291" t="str">
        <f>Линии[[#This Row],[_авто управление]]</f>
        <v/>
      </c>
      <c r="J291" t="str">
        <f>Линии[[#This Row],[_авто аппараты]]</f>
        <v/>
      </c>
      <c r="K291">
        <v>2.5</v>
      </c>
      <c r="L291">
        <v>32</v>
      </c>
      <c r="M291">
        <v>2</v>
      </c>
      <c r="N291" t="str">
        <f>Линии[[#This Row],[_авто клемма]]</f>
        <v>XT8</v>
      </c>
      <c r="O291" t="str">
        <f t="shared" si="492"/>
        <v/>
      </c>
      <c r="P291" s="6" cm="1">
        <f t="array" ref="P291">IF(B291="","",IF(BC291&lt;&gt;"",IFERROR(_xlfn.XLOOKUP(BC291,Щиты[Щит],Щиты[Iр, А]),""),IF(BK291=1,IFERROR(_xlfn.XLOOKUP(A291,Щиты[Щит],Щиты[Iр, А]),""),IFERROR(_xlfn.IFS(BR291=1,BN291/((Uн_лин/SQRT(3))*BY291),BR291=3,BN291/(SQRT(3)*Uн_лин*BY291)),""))))</f>
        <v>0.27348170645824377</v>
      </c>
      <c r="Q291" s="7">
        <f>IF(B291="","",IFERROR(IF(VLOOKUP(AX291,Потребители_обозначение,4,FALSE)=1,VLOOKUP(AX291,Потребители_обозначение,3,FALSE)*(D291*2-1)+DS291+VLOOKUP(AZ291,Этаж_обозначение,3,FALSE)+VLOOKUP(AZ291,Этаж_обозначение,4,FALSE),VLOOKUP(AX291,Потребители_обозначение,3,FALSE)*(D291*2-1)+DS291),DS291))</f>
        <v>35</v>
      </c>
      <c r="R291" s="6">
        <f t="shared" si="493"/>
        <v>1.87</v>
      </c>
      <c r="S291" t="str">
        <f t="shared" si="494"/>
        <v>ВВГнг(А)-LS (3х2,5)</v>
      </c>
      <c r="T291" t="str">
        <f>IF(BH291="","",IF(BI291="вводной узел","узел ","")&amp;"л."&amp;(INT((BH291-1)/Столбцов_на_лист)+1)&amp;" / "&amp;(MOD(BH291-1,Столбцов_на_лист)+1))</f>
        <v>л.2 / 8</v>
      </c>
      <c r="V291">
        <v>1</v>
      </c>
      <c r="W291">
        <v>230</v>
      </c>
      <c r="X291" t="s">
        <v>564</v>
      </c>
      <c r="AC291" t="s">
        <v>815</v>
      </c>
      <c r="AE291" t="s">
        <v>563</v>
      </c>
      <c r="AI291">
        <v>25</v>
      </c>
      <c r="AJ291" t="s">
        <v>11</v>
      </c>
      <c r="AK291">
        <v>3</v>
      </c>
      <c r="AM291">
        <v>12</v>
      </c>
      <c r="AN291">
        <v>17</v>
      </c>
      <c r="AO291">
        <v>0</v>
      </c>
      <c r="AP291">
        <v>2</v>
      </c>
      <c r="AW291" cm="1">
        <f t="array" ref="AW291">ROW()-ROW(Линии[#Headers])</f>
        <v>289</v>
      </c>
      <c r="AX291" s="6" t="str">
        <f t="shared" si="495"/>
        <v>R</v>
      </c>
      <c r="AY291" t="str">
        <f t="shared" si="496"/>
        <v>2.010А.1</v>
      </c>
      <c r="AZ291" t="str">
        <f t="shared" si="497"/>
        <v>2</v>
      </c>
      <c r="BA291" t="str">
        <f t="shared" si="498"/>
        <v>010А.1</v>
      </c>
      <c r="BB291" t="str">
        <f t="shared" si="499"/>
        <v>010А</v>
      </c>
      <c r="BC291" t="str">
        <f>IF(U291&lt;&gt;"",U291,IF(AND(B291&lt;&gt;"",B291&lt;&gt;A291,ISNUMBER(_xlfn.XMATCH(B291,Щиты[Щит]))),B291,""))</f>
        <v/>
      </c>
      <c r="BD291" t="str" cm="1">
        <f t="array" ref="BD291">IF(B291="","",IF(BC291&lt;&gt;"","Щит "&amp;BC291,_xlfn.LET(_xlpm.nm,IFERROR(_xlfn.XLOOKUP(AX291,Коды_код,Коды_имя)&amp;"",""),_xlpm.md,IFERROR(N(_xlfn.XLOOKUP(AX291,Коды_код,Коды_режим)),1),_xlpm.ex,IF(Имя_режим="по экспликации",IFERROR(_xlfn.XLOOKUP(AZ291&amp;"|"&amp;BB291,Экспликация[Этаж]&amp;"|"&amp;Экспликация[Помещение],Экспликация[Название])&amp;"",""),""),_xlpm.rm,IF(BB291="","",IF(_xlpm.ex&lt;&gt;"",". "&amp;_xlpm.ex&amp;IF(Имя_пом="нет"," ("&amp;BB291&amp;")"," (пом. "&amp;BB291&amp;")"),IF(Имя_пом="нет"," ",", пом. ")&amp;BB291)),IF(_xlpm.nm="","",IF(_xlpm.md=2,_xlpm.nm&amp;" шлейф "&amp;AZ291,_xlpm.nm&amp;_xlpm.rm)))))</f>
        <v>Розеточная группа, пом. 010А</v>
      </c>
      <c r="BE291" t="str">
        <f t="shared" si="500"/>
        <v>Розеточная группа, пом. 010А</v>
      </c>
      <c r="BF291">
        <f>IFERROR(_xlfn.XMATCH(A291,Щиты[Щит]),0)</f>
        <v>11</v>
      </c>
      <c r="BG291">
        <f>_xlfn.LET(_xlpm.k,IFERROR(_xlfn.XLOOKUP(A291,Щиты[Щит],Щиты[Листов под вводной узел]),""),IF(_xlpm.k="",1,N(_xlpm.k))*Столбцов_на_лист)</f>
        <v>17</v>
      </c>
      <c r="BH291">
        <f t="shared" si="501"/>
        <v>25</v>
      </c>
      <c r="BI291" t="str">
        <f t="shared" si="502"/>
        <v>линии</v>
      </c>
      <c r="BJ291" s="6">
        <f>IFERROR(N(_xlfn.XLOOKUP(AX291,Коды_код,Коды_квт)),0)</f>
        <v>0</v>
      </c>
      <c r="BK291">
        <f t="shared" si="503"/>
        <v>0</v>
      </c>
      <c r="BL291" t="str">
        <f>IF(B291="","",IF(BC291&lt;&gt;"",IFERROR(_xlfn.XLOOKUP(BC291,Щиты[Щит],Щиты[Руст, кВт]),0),IF(BK291=1,IFERROR(_xlfn.XLOOKUP(A291,Щиты[Щит],Щиты[Руст, кВт]),0),IF(BJ291&gt;0,ROUND(BJ291*MAX(1,N(D291)),3),""))))</f>
        <v/>
      </c>
      <c r="BM291">
        <f t="shared" si="504"/>
        <v>0.06</v>
      </c>
      <c r="BN291" s="6">
        <f>IF(B291="","",IF(BC291&lt;&gt;"",IFERROR(_xlfn.XLOOKUP(BC291,Щиты[Щит],Щиты[Руст, кВт]),0),N(BM291)))</f>
        <v>0.06</v>
      </c>
      <c r="BO291" t="str">
        <f>IF(B291="","",IFERROR(IF(VLOOKUP(AX291,Потребители_обозначение,8,FALSE)=0,"",VLOOKUP(AX291,Потребители_обозначение,8,FALSE)),""))</f>
        <v/>
      </c>
      <c r="BP291">
        <f t="shared" si="505"/>
        <v>230</v>
      </c>
      <c r="BQ291">
        <f>IF(B291="","",IF(BC291&lt;&gt;"",3,IFERROR(IF(N(VLOOKUP(AX291,Потребители_обозначение,9,FALSE))=0,1,VLOOKUP(AX291,Потребители_обозначение,9,FALSE)),1)))</f>
        <v>1</v>
      </c>
      <c r="BR291">
        <f t="shared" si="506"/>
        <v>1</v>
      </c>
      <c r="BS291" t="str">
        <f>IF(B291="","",_xlfn.LET(_xlpm.bc,IFERROR(IF(VLOOKUP(AX291,Потребители_обозначение,6,FALSE)=0,"",VLOOKUP(AX291,Потребители_обозначение,6,FALSE)&amp;""),""),IF(AND(FK291="да",OR(_xlpm.bc="",_xlpm.bc="мс")),Марка_пож,IF(AND(_xlpm.bc="",BC291&lt;&gt;""),"мс",_xlpm.bc))))</f>
        <v/>
      </c>
      <c r="BT291" t="str">
        <f t="shared" si="507"/>
        <v>мс</v>
      </c>
      <c r="BU291">
        <f>IF(B291="","",_xlfn.LET(_xlpm.cc,IFERROR(N(VLOOKUP(AX291,Потребители_обозначение,7,FALSE)),0),IF(_xlpm.cc&gt;0,_xlpm.cc,IF(BT291="","",IF(N(BR291)=3,5,3)))))</f>
        <v>3</v>
      </c>
      <c r="BV291">
        <f t="shared" si="508"/>
        <v>3</v>
      </c>
      <c r="BW291">
        <f>IFERROR(N(VLOOKUP(AX291,Потребители_обозначение,10,FALSE)),0)</f>
        <v>0</v>
      </c>
      <c r="BX291">
        <f>IFERROR(VLOOKUP(AX291,Потребители_обозначение,5,FALSE),0)</f>
        <v>1</v>
      </c>
      <c r="BY291" s="6" cm="1">
        <f t="array" ref="BY291">IF(B291="","",IF(BC291&lt;&gt;"",IFERROR(_xlfn.XLOOKUP(BC291,Щиты[Щит],Щиты[cos φ]),0.95),IF(BK291=1,IFERROR(_xlfn.XLOOKUP(A291,Щиты[Щит],Щиты[cos φ]),0.95),IF(ISNUMBER(Z291),Z291,IFERROR(IF(BX291=2,_xlfn.IFS(BR291=3,VLOOKUP(BN291,Справочная_двигатели,8,FALSE),BR291=1,VLOOKUP(BN291,Справочная_двигатели,10,TRUE)),IF(AND(Методика="нормы 2026",EQ291="Сил"),0.8,0.95)),0.95)))))</f>
        <v>0.95</v>
      </c>
      <c r="BZ291">
        <f t="shared" si="509"/>
        <v>0</v>
      </c>
      <c r="CA291">
        <f t="shared" si="510"/>
        <v>1</v>
      </c>
      <c r="CB291">
        <f t="shared" si="511"/>
        <v>0</v>
      </c>
      <c r="CC291">
        <f t="shared" si="512"/>
        <v>0</v>
      </c>
      <c r="CD291">
        <f t="shared" si="513"/>
        <v>0</v>
      </c>
      <c r="CE291">
        <f t="shared" si="514"/>
        <v>0</v>
      </c>
      <c r="CF291">
        <f t="shared" si="515"/>
        <v>0</v>
      </c>
      <c r="CG291">
        <f>IF(AX291="",0,_xlfn.LET(_xlpm.v,IFERROR(VLOOKUP(B291,УГО_спр,3,FALSE),IFERROR(VLOOKUP(AX291,УГО_спр,3,FALSE),IFERROR(VLOOKUP(LEFT(AX291,2),УГО_спр,3,FALSE),""))),IF(_xlpm.v="да",30,IF(ISNUMBER(_xlpm.v),_xlpm.v,0))))</f>
        <v>30</v>
      </c>
      <c r="CH291">
        <f t="shared" si="516"/>
        <v>30</v>
      </c>
      <c r="CI291" t="str">
        <f>_xlfn.LET(_xlpm.k,IFERROR(_xlfn.XLOOKUP(AX291,Коды_код,Коды_утечка)&amp;"",""),IF(_xlpm.k="","дифавтомат",_xlpm.k))</f>
        <v>дифавтомат</v>
      </c>
      <c r="CJ291">
        <f t="shared" si="517"/>
        <v>30</v>
      </c>
      <c r="CK291">
        <f t="shared" si="518"/>
        <v>30</v>
      </c>
      <c r="CL291">
        <f>IF(B291="",0,IFERROR(--VLOOKUP(B291,УГО_спр,4,FALSE),IFERROR(--VLOOKUP(AX291,УГО_спр,4,FALSE),IFERROR(--VLOOKUP(LEFT(AX291,2),УГО_спр,4,FALSE),0))))</f>
        <v>16</v>
      </c>
      <c r="CM291" t="str">
        <f>IF(B291="","",IFERROR(_xlfn.XLOOKUP(AX291,Коды_код,Коды_апп)&amp;"",""))</f>
        <v/>
      </c>
      <c r="CN291" t="str">
        <f t="shared" si="519"/>
        <v/>
      </c>
      <c r="CO291" t="str" cm="1">
        <f t="array" ref="CO291">IF(TRIM(CN291&amp;"")="","",IFERROR(TRIM(INDEX(_xlfn.TEXTSPLIT(CN291&amp;";;;",";"),1)),""))</f>
        <v/>
      </c>
      <c r="CP291" t="str" cm="1">
        <f t="array" ref="CP291">IF(TRIM(CN291&amp;"")="","",IFERROR(TRIM(INDEX(_xlfn.TEXTSPLIT(CN291&amp;";;;",";"),2)),""))</f>
        <v/>
      </c>
      <c r="CQ291" t="str" cm="1">
        <f t="array" ref="CQ291">IF(TRIM(CN291&amp;"")="","",IFERROR(TRIM(INDEX(_xlfn.TEXTSPLIT(CN291&amp;";;;",";"),3)),""))</f>
        <v/>
      </c>
      <c r="CR291">
        <f t="shared" si="520"/>
        <v>0</v>
      </c>
      <c r="CS291" t="str">
        <f>IF(B291="","",_xlfn.LET(_xlpm.t,LOWER(AV291&amp;""),IF(ISNUMBER(SEARCH("dim",_xlpm.t)),"DIM",IF(ISNUMBER(SEARCH("dali",_xlpm.t)),"DALI",IF(OR(ISNUMBER(SEARCH("relay",_xlpm.t)),ISNUMBER(SEARCH("реле",_xlpm.t))),"Relay",IF(ISNUMBER(SEARCH("кнопк",_xlpm.t)),"",IFERROR(_xlfn.XLOOKUP(AX291,Коды_код,Коды_упр)&amp;"","")))))))</f>
        <v/>
      </c>
      <c r="CT291" t="str">
        <f t="shared" si="521"/>
        <v/>
      </c>
      <c r="CU291">
        <f>IF(B291="","",_xlfn.LET(_xlpm.ig,N(P291)+IF(AF291="вручную",0,N(CB291)),_xlpm.n0,IFERROR(VLOOKUP(_xlpm.ig,Автомат_номиналы,2,TRUE),0),_xlpm.mn,MAX(CL291,IF(AF291="вручную",0,N(CE291))),MAX(_xlpm.n0,_xlpm.mn,IF(CR291=1,Мин_автомат_БП,0))))</f>
        <v>16</v>
      </c>
      <c r="CV291">
        <f t="shared" si="522"/>
        <v>1</v>
      </c>
      <c r="CW291" t="str">
        <f t="shared" si="523"/>
        <v>2P</v>
      </c>
      <c r="CX291" t="str">
        <f>_xlfn.LET(_xlpm.cc,UPPER(TRIM(IFERROR(_xlfn.XLOOKUP(AX291,Коды_код,Коды_хар)&amp;"",""))),IF(OR(_xlpm.cc="B",_xlpm.cc="В"),"B",IF(_xlpm.cc="D","D","С")))</f>
        <v>С</v>
      </c>
      <c r="CY291" t="str">
        <f t="shared" si="524"/>
        <v>2P С16А 30мА</v>
      </c>
      <c r="CZ291">
        <f t="shared" si="525"/>
        <v>16</v>
      </c>
      <c r="DA291" t="str">
        <f t="shared" si="526"/>
        <v>2P С16А 30мА</v>
      </c>
      <c r="DB291" cm="1">
        <f t="array" ref="DB291">IF(DA291="","",_xlfn.LET(_xlpm.t,SUBSTITUTE(SUBSTITUTE(SUBSTITUTE(UPPER(DA291),"С","C"),"А","A"),"В","B"),_xlpm.tk,_xlfn.TEXTSPLIT(_xlpm.t,"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1" t="str">
        <f t="shared" si="527"/>
        <v>ok</v>
      </c>
      <c r="DD291">
        <f t="shared" si="528"/>
        <v>16</v>
      </c>
      <c r="DE291" t="str">
        <f t="shared" si="529"/>
        <v>2P С16А 30мА</v>
      </c>
      <c r="DF291">
        <f t="shared" si="530"/>
        <v>30</v>
      </c>
      <c r="DG291">
        <f t="shared" si="531"/>
        <v>1</v>
      </c>
      <c r="DH291">
        <f t="shared" si="532"/>
        <v>0</v>
      </c>
      <c r="DI291">
        <f t="shared" si="533"/>
        <v>0.27348170645824377</v>
      </c>
      <c r="DJ291">
        <f t="shared" si="534"/>
        <v>1</v>
      </c>
      <c r="DK291">
        <f>IF(ISNUMBER(AL291),AL291,К_прокл)</f>
        <v>1</v>
      </c>
      <c r="DL291">
        <f t="shared" si="535"/>
        <v>2</v>
      </c>
      <c r="DM291">
        <f>IFERROR(N(VLOOKUP(BT291,Кабель_обозначение,3,FALSE)),1)</f>
        <v>1</v>
      </c>
      <c r="DN291">
        <f>IFERROR(N(_xlfn.XLOOKUP(A291,Щиты[Щит],Щиты[ΔU до шин, %])),0)</f>
        <v>1.79</v>
      </c>
      <c r="DO291" t="str">
        <f>IFERROR(_xlfn.XLOOKUP(A291,Щиты[Щит],Щиты[Zпетли на шинах, Ом]),"")</f>
        <v/>
      </c>
      <c r="DP291">
        <f>IFERROR(N(_xlfn.XLOOKUP(A291,Щиты[Щит],Щиты[ΔU до шин (подбор), %])),0)</f>
        <v>4.75</v>
      </c>
      <c r="DQ291" t="str">
        <f>IFERROR(_xlfn.XLOOKUP(A291,Щиты[Щит],Щиты[Zпетли на шинах (подбор), Ом]),"")</f>
        <v/>
      </c>
      <c r="DR291" t="str">
        <f t="shared" si="536"/>
        <v/>
      </c>
      <c r="DS291">
        <f t="shared" si="537"/>
        <v>32</v>
      </c>
      <c r="DT291">
        <f t="shared" si="538"/>
        <v>2</v>
      </c>
      <c r="DU291">
        <f t="shared" si="539"/>
        <v>0.31</v>
      </c>
      <c r="DV291" s="6">
        <f>IF(B291="","",IF(IFERROR(VLOOKUP(AX291,УГО_спр,2,FALSE),"")="Светильник",3,4)+IF(Методика="нормы 2026",MIN(0.5,MAX(0,N(Q291)-100)*0.005),0))</f>
        <v>4</v>
      </c>
      <c r="DW291" t="str" cm="1">
        <f t="array" ref="DW291">IF(OR(B291="",BT291="",DM291&lt;&gt;1),"",_xlfn.LET(_xlpm.sz,Iдоп_S,_xlpm.t_,CHOOSE(DL291,Iдоп_1ж,Iдоп_2ж,Iдоп_3ж)*DJ291*DK291,_xlpm.inn,N(DD291),_xlpm.smin,MAX(1.5,BW291),_xlpm.L_,N(Q291)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291)*(_xlpm.rho*_xlpm.L_/_xlpm.sz*N(BY291)+_xlpm.xx*_xlpm.L_*N(DU291)/1000)*N(P291)/((Uн_лин/SQRT(3))*1000)*100,999),_xlpm.kz,IF(OR(DG291=1,NOT(ISNUMBER(DQ291)),_xlpm.L_=0,_xlpm.inn=0),1,IFERROR(--(c_min*(Uн_лин*1000/SQRT(3))/(DQ291+2*ρкз_Cu*_xlpm.L_/_xlpm.sz)&gt;=GY291*_xlpm.inn),0)),_xlpm.ok,IFERROR((_xlpm.sz&gt;=_xlpm.smin)*(_xlpm.t_&gt;=_xlpm.inn)*IF(_xlpm.L_&gt;0,(_xlpm.du_+DP291&lt;=DV291+0.00001),1)*_xlpm.kz,0),_xlpm.r_,_xlfn._xlws.FILTER(_xlpm.sz,_xlpm.ok,"не подобрано"),INDEX(_xlpm.r_,1)))</f>
        <v>не подобрано</v>
      </c>
      <c r="DX291">
        <f t="shared" si="540"/>
        <v>2.5</v>
      </c>
      <c r="DY291" cm="1">
        <f t="array" ref="DY291">IF(OR(B291="",BT291="",DM291&lt;&gt;1),"",_xlfn.LET(_xlpm.sz,Iдоп_S,_xlpm.t_,CHOOSE(DL291,Iдоп_1ж,Iдоп_2ж,Iдоп_3ж)*DJ291*DK291,_xlpm.ok,IFERROR((_xlpm.sz&gt;=MAX(1.5,BW291))*(_xlpm.t_&gt;=N(DD291)),0),_xlpm.r_,_xlfn._xlws.FILTER(_xlpm.sz,_xlpm.ok,""),INDEX(_xlpm.r_,1)))</f>
        <v>1.5</v>
      </c>
      <c r="DZ291" s="6" cm="1">
        <f t="array" ref="DZ291">IFERROR(ROUNDUP(N(DT291)*(_xlfn.XLOOKUP(DY291,INDEX(Кабель_сопротивление,0,1),INDEX(Кабель_сопротивление,0,3))*N(Q291)/DY291*N(BY291)+_xlfn.XLOOKUP(DY291,INDEX(Кабель_сопротивление,0,1),INDEX(Кабель_сопротивление,0,2))*N(Q291)*N(DU291)/1000)*N(P291)/((Uн_лин/SQRT(3))*1000)*100,2),"")</f>
        <v>0.12</v>
      </c>
      <c r="EA291">
        <f>IFERROR(2*ρкз_Cu*N(Q291)/DY291,"")</f>
        <v>1.2273333333333334</v>
      </c>
      <c r="EB291">
        <f>IFERROR(VLOOKUP(DX291,Кабель_сопротивление,3,FALSE),"")</f>
        <v>2.2499999999999999E-2</v>
      </c>
      <c r="EC291">
        <f>IFERROR(VLOOKUP(DX291,Кабель_сопротивление,2,FALSE),"")</f>
        <v>0.1</v>
      </c>
      <c r="ED291">
        <f t="shared" si="541"/>
        <v>17</v>
      </c>
      <c r="EE291">
        <f t="shared" si="542"/>
        <v>0</v>
      </c>
      <c r="EF291">
        <f t="shared" si="543"/>
        <v>0.16427225661827327</v>
      </c>
      <c r="EG291" s="6">
        <f>IFERROR(ROUNDUP(EF291/((Uн_лин/SQRT(3))*1000)*100,2),"")</f>
        <v>0.08</v>
      </c>
      <c r="EH291" t="str">
        <f>IFERROR(VLOOKUP(BT291,Кабель_обозначение,2,FALSE),"")</f>
        <v>ВВГнг(А)-LS</v>
      </c>
      <c r="EI291" t="str">
        <f t="shared" si="544"/>
        <v>ВВГнг(А)-LS (3х2,5)</v>
      </c>
      <c r="EJ291" t="str">
        <f t="shared" si="545"/>
        <v>ВВГнг(А)-LS (3х2,5)
L=35-0,08%</v>
      </c>
      <c r="EK291">
        <f>IFERROR(2*ρкз_Cu*Q291/DX291,"")</f>
        <v>0.73639999999999994</v>
      </c>
      <c r="EL291">
        <f t="shared" si="546"/>
        <v>0.24500000000000002</v>
      </c>
      <c r="EM291" s="6" t="str">
        <f>IFERROR(IF(OR(B291="",NOT(ISNUMBER(DX291)),N(Q291)=0),"",_xlfn.XLOOKUP(A291,Щиты[Щит],Щиты[Zпетли на шинах, Ом])+EK291),"")</f>
        <v/>
      </c>
      <c r="EN291" s="6" t="str">
        <f>IF(ISNUMBER(EM291),c_min*(Uн_лин*1000/SQRT(3))/EM291,"")</f>
        <v/>
      </c>
      <c r="EO291" s="6" t="str">
        <f>IFERROR(IF(OR(B291="",NOT(ISNUMBER(DX291))),"",1.05*(Uн_лин*1000/SQRT(3))/(_xlfn.XLOOKUP(A291,Щиты[Щит],Щиты[Zmax на шинах, Ом])+EL291)/1000),"")</f>
        <v/>
      </c>
      <c r="EP291" s="6" t="str">
        <f>IF(B291="","",IF(ISNUMBER(Y291),"Сил",IF(IFERROR(_xlfn.XLOOKUP(AX291,Коды_код,Коды_группа)&amp;"","")="","Быт",_xlfn.XLOOKUP(AX291,Коды_код,Коды_группа)&amp;"")))</f>
        <v>Быт</v>
      </c>
      <c r="EQ291" s="6" t="str">
        <f t="shared" si="547"/>
        <v>Быт</v>
      </c>
      <c r="ER291" s="6">
        <f>IF(EQ291="Щит","щит",IF(EQ291="","",IF(EQ291="Быт",IFERROR(_xlfn.XLOOKUP(A291,Щиты[Щит],Щиты[Кс быт]),1),IF(EQ291="Сил",IF(ISNUMBER(Y291),Y291,IF(Методика="нормы 2026",IFERROR(_xlfn.XLOOKUP(A291,Щиты[Щит],Щиты[Кс силовых (табл. 7.5)]),1),1)),IF(OR(EQ291="Пост",EQ291="Отоп"),1,IF(EQ291="ВНГ",0.7,0))))))</f>
        <v>0.8</v>
      </c>
      <c r="ES291">
        <f t="shared" si="548"/>
        <v>1</v>
      </c>
      <c r="ET291">
        <f t="shared" si="549"/>
        <v>0.06</v>
      </c>
      <c r="EU291">
        <f t="shared" si="550"/>
        <v>0.06</v>
      </c>
      <c r="EV291">
        <f t="shared" si="551"/>
        <v>0</v>
      </c>
      <c r="EW291">
        <f t="shared" si="552"/>
        <v>0</v>
      </c>
      <c r="EX291">
        <f t="shared" si="553"/>
        <v>0</v>
      </c>
      <c r="EY291">
        <f t="shared" si="554"/>
        <v>0</v>
      </c>
      <c r="EZ291">
        <f t="shared" si="555"/>
        <v>0.06</v>
      </c>
      <c r="FA291">
        <f t="shared" si="556"/>
        <v>5.6999999999999995E-2</v>
      </c>
      <c r="FB291">
        <f t="shared" si="557"/>
        <v>0.06</v>
      </c>
      <c r="FC291" t="str">
        <f t="shared" si="558"/>
        <v>L2</v>
      </c>
      <c r="FD291" t="str">
        <f>IF(B291="","",IF(CA291=0,IF(AW291=1,"",FF290),IF(OR(N(CV291)&gt;=3,N(BR291)&gt;=3),"L1,L2,L3",IFERROR(_xlfn.TEXTBEFORE(_xlfn.TEXTAFTER(_xlfn.XLOOKUP(A291,Щиты[Щит],Щиты[_фазы авто]),";"&amp;AW291&amp;":"),";"),"L1"))))</f>
        <v>L1</v>
      </c>
      <c r="FE291" t="str">
        <f t="shared" si="559"/>
        <v>L2</v>
      </c>
      <c r="FF291" t="str">
        <f t="shared" si="560"/>
        <v>L2</v>
      </c>
      <c r="FG291" cm="1">
        <f t="array" ref="FG291">IFERROR(IF(BX291=2,_xlfn.IFS(BR291=3,VLOOKUP(BN291,Справочная_двигатели,3,FALSE),BR291=1,VLOOKUP(BN291,Справочная_двигатели,5,TRUE)),0),0)</f>
        <v>0</v>
      </c>
      <c r="FH291">
        <f>IFERROR(IF(BX291=3,VLOOKUP(BN291,Справочная_ЛЭД,2,TRUE),0),0)</f>
        <v>0</v>
      </c>
      <c r="FI291" s="6">
        <f t="shared" si="561"/>
        <v>0</v>
      </c>
      <c r="FJ291" t="str" cm="1">
        <f t="array" ref="FJ291">IF(B291="","",IFERROR(INDEX({"I особая","I","II","III"},MATCH(TRIM(AC291&amp;""),{"I особая","I","II","III"},0)),"III"))</f>
        <v>II</v>
      </c>
      <c r="FK291" t="str">
        <f>IF(B291="","",IF(TRIM(AD291&amp;"")&lt;&gt;"",IF(LOWER(TRIM(AD291&amp;""))="да","да","нет"),IF(IFERROR(_xlfn.XLOOKUP(AX291,Коды_код,Коды_пожарная),"")="да","да","нет")))</f>
        <v>нет</v>
      </c>
      <c r="FL291" t="str">
        <f t="shared" si="562"/>
        <v/>
      </c>
      <c r="FM291" t="str">
        <f t="shared" si="563"/>
        <v>основная</v>
      </c>
      <c r="FN291">
        <f t="shared" si="564"/>
        <v>1</v>
      </c>
      <c r="FO291" t="str" cm="1">
        <f t="array" ref="FO291">IF(B291="","",_xlfn.LET(_xlpm.t,IFERROR(_xlfn.XLOOKUP(1,(Шины[Шина]=FM291)*(((Шины[Щит]=A291)+(Шины[Щит]=""))&gt;0),Шины[Тип]),"")&amp;"",IF(_xlpm.t&lt;&gt;"",_xlpm.t,IF(ISNUMBER(SEARCH("ИБП",FM291)),"ИБП",IF(ISNUMBER(SEARCH("ДГУ",FM291)),"ДГУ","Ввод "&amp;FN291)))))</f>
        <v>Ввод 1</v>
      </c>
      <c r="FP291" t="str">
        <f t="shared" si="565"/>
        <v>Ввод 1</v>
      </c>
      <c r="FQ291" t="str">
        <f>IF(B291="","",IF(OR(FO291="ИБП",FO291="ДГУ"),"I особая",IF(FO291="Одиночная","III",_xlfn.XLOOKUP(A291,Щиты[Щит],Щиты[Категория шины «Ввод»],"III"))))</f>
        <v>II</v>
      </c>
      <c r="FR291">
        <f>IF(B291="",0,IFERROR(MATCH(FJ291,{"III","II","I","I особая"},0),1))</f>
        <v>2</v>
      </c>
      <c r="FS291">
        <f t="shared" si="566"/>
        <v>2</v>
      </c>
      <c r="FT291" t="str">
        <f>IF(B291="","",IF(FR291&gt;IFERROR(MATCH(FQ291,{"III","II","I","I особая"},0),1),"НЕ ОБЕСПЕЧЕНА","ОК"))</f>
        <v>ОК</v>
      </c>
      <c r="FU291" t="str">
        <f>IF(A291="","",_xlfn.XLOOKUP(A291,Щиты[Щит],Щиты[Путь],""))</f>
        <v>|ГРЩ-ЖД|ЩР-2|</v>
      </c>
      <c r="FV291" t="str">
        <f>IF(B291="","",IF(AE291&lt;&gt;"",AE291,IF(IFERROR(_xlfn.XLOOKUP(AX291,Коды_код,Коды_вид)&amp;"","")="","Прочее",_xlfn.XLOOKUP(AX291,Коды_код,Коды_вид)&amp;"")))</f>
        <v>Розеточная сеть и бытовые приборы</v>
      </c>
      <c r="FW291">
        <f>IF(BH291="","",INT((BH291-1)/Столбцов_на_лист)+1)</f>
        <v>2</v>
      </c>
      <c r="FX291" t="str">
        <f t="shared" si="567"/>
        <v>ВВГнг(А)-LS (3х2,5) L=35-0,08%</v>
      </c>
      <c r="FY291">
        <f t="shared" si="568"/>
        <v>0.06</v>
      </c>
      <c r="FZ291">
        <f t="shared" si="569"/>
        <v>0.28000000000000003</v>
      </c>
      <c r="GA291">
        <f t="shared" si="570"/>
        <v>1</v>
      </c>
      <c r="GB291">
        <f t="shared" si="571"/>
        <v>0</v>
      </c>
      <c r="GC291">
        <f t="shared" si="572"/>
        <v>1</v>
      </c>
      <c r="GD291">
        <f>IF(BH291="","",IF(AND(CA291=1,GC291=1),COUNTIFS(A$3:A291,A291,CA$3:CA291,1,GC$3:GC291,1),IF(OR(OR(AW291=1,A291&lt;&gt;A290),AF291="вручную",GC291=0),"",IF(AW291=1,"",GE290))))</f>
        <v>8</v>
      </c>
      <c r="GE291">
        <f t="shared" si="573"/>
        <v>8</v>
      </c>
      <c r="GF291">
        <f>IF(B291="","",IFERROR(LOOKUP(INDEX(CHOOSE(DL291,Iдоп_1ж,Iдоп_2ж,Iдоп_3ж),MATCH(DX291,Iдоп_S,0))*DJ291*DK291,{6,10,16,20,25,32,40,50,63,80,100,125,160,200,250,315,400,500,630}),""))</f>
        <v>25</v>
      </c>
      <c r="GG291" t="str">
        <f t="shared" si="574"/>
        <v>QFD8</v>
      </c>
      <c r="GH291" t="str">
        <f t="shared" si="575"/>
        <v>QFD8</v>
      </c>
      <c r="GI291" t="str">
        <f t="shared" si="576"/>
        <v/>
      </c>
      <c r="GJ291">
        <f t="shared" si="577"/>
        <v>0</v>
      </c>
      <c r="GK291" t="str">
        <f>IF(OR(AG291="",AG291="-"),"",IFERROR(VLOOKUP(AG291,Модули_спр,2,FALSE),"R"))</f>
        <v/>
      </c>
      <c r="GL291" t="str">
        <f>IF(GK291="","",GK291&amp;"."&amp;COUNTIFS(A$3:A291,A291,GK$3:GK291,GK291))</f>
        <v/>
      </c>
      <c r="GM291" t="str">
        <f t="shared" si="578"/>
        <v/>
      </c>
      <c r="GN291" t="str">
        <f t="shared" si="579"/>
        <v/>
      </c>
      <c r="GO291" t="str">
        <f t="shared" si="580"/>
        <v/>
      </c>
      <c r="GP291" t="str">
        <f t="shared" si="581"/>
        <v/>
      </c>
      <c r="GQ291">
        <f t="shared" si="582"/>
        <v>1</v>
      </c>
      <c r="GR291" t="str">
        <f>IF(GQ291=1,"XT"&amp;COUNTIFS(A$3:A291,A291,GQ$3:GQ291,1),"")</f>
        <v>XT8</v>
      </c>
      <c r="GS291" t="str">
        <f t="shared" si="583"/>
        <v>XT8</v>
      </c>
      <c r="GT291" t="str">
        <f t="shared" si="584"/>
        <v>QFD8</v>
      </c>
      <c r="GU291" t="str">
        <f t="shared" si="585"/>
        <v/>
      </c>
      <c r="GV291" t="str">
        <f t="shared" si="586"/>
        <v>ok</v>
      </c>
      <c r="GW291" t="str">
        <f>IF(OR(GO291="",GM291=""),"",IF(GO291&gt;IFERROR(VLOOKUP(GN291,Модули_спр,3,FALSE),99),"ЛИШНИЙ КАНАЛ",IF(AND(AH291&lt;&gt;"=",COUNTIFS(Линии[_модуль гр.],GM291,Линии[Канал (итог)],GO291,Линии[Канал],"&lt;&gt;=",Линии[Щит],A291)&gt;1),"ДУБЛЬ КАНАЛА","")))</f>
        <v/>
      </c>
      <c r="GX291" s="6" t="str">
        <f t="shared" si="587"/>
        <v/>
      </c>
      <c r="GY291">
        <f t="shared" si="588"/>
        <v>10</v>
      </c>
      <c r="GZ291" t="str">
        <f t="shared" si="589"/>
        <v/>
      </c>
      <c r="HA291" t="str">
        <f>IF(AND(B291="",GT291=""),"",_xlfn.TEXTJOIN("; ",TRUE,IF(AND(B291&lt;&gt;"",FE291=""),"нет фазы",""),IF(AND(B291&lt;&gt;"",N(FY291)=0,EQ291&lt;&gt;"Нет"),"нет мощности",""),IF(AND(GS291&lt;&gt;"",COUNTIFS(Линии[Щит],A291,Линии[Клемма (итог)],GS291)&gt;1),"дубль клеммы "&amp;GS291,""),IF(AND(GV291&lt;&gt;"",GV291&lt;&gt;"ok"),GV291,""),IF(GW291&lt;&gt;"",GW291,""),IF(AND(N(BV291)&gt;=4,N(BR291)=1),BV291&amp;" жил на 1 фазе",""),IF(AND(AX291="R",CA291=1,OR(N(CK291)=0,N(CK291)&gt;30)),"розетка без дифзащиты до 30 мА",""),IFERROR(IF(AND(ISNUMBER(R291),R291&gt;DV291),"потери "&amp;FIXED(R291,1)&amp;" % &gt; "&amp;DV291&amp;" %",""),""),IFERROR(IF(LEFT(GZ291,4)="мало","Iкз мало — отключение &gt; 0,4 с",""),""),IF(AND(B291&lt;&gt;"",BH291=""),"не на схеме",""),IF(AND(CA291=0,B291&lt;&gt;"",FE291&lt;&gt;"",IF(AW291=1,"",FF290)&lt;&gt;"",FE291&lt;&gt;IF(AW291=1,"",FF290)),"фаза не как у автомата группы ("&amp;IF(AW291=1,"",FF290)&amp;")","")))</f>
        <v/>
      </c>
      <c r="HB291" s="6">
        <f>IF(OR(CA291=0,DA291=""),"",_xlfn.LET(_xlpm.t,IFERROR(_xlfn.XLOOKUP(DA291,Каталог!$U$4:$U$500,Каталог!$G$4:$G$500),""),_xlpm.k,SEARCH("кА",_xlpm.t),IFERROR(--TRIM(RIGHT(SUBSTITUTE(MID(_xlpm.t,MAX(1,_xlpm.k-4),_xlpm.k-MAX(1,_xlpm.k-4))," ",REPT(" ",9)),5)),"")))</f>
        <v>6</v>
      </c>
      <c r="HC291" t="str">
        <f>IF(OR(HB291="",CA291=0),"",IF(_xlfn.XLOOKUP(A291,Щиты[Щит],Щиты[Iкз max на шинах, кА],"")="","",IF(HB291&lt;_xlfn.XLOOKUP(A291,Щиты[Щит],Щиты[Iкз max на шинах, кА]),"Icu "&amp;HB291&amp;" кА &lt; Iкз max","ok")))</f>
        <v/>
      </c>
      <c r="HD291" t="str">
        <f t="shared" si="590"/>
        <v/>
      </c>
      <c r="HE291" t="str">
        <f t="shared" si="591"/>
        <v>QFD8|XT8</v>
      </c>
      <c r="HF291" t="str">
        <f t="shared" si="592"/>
        <v>QFD8|XT8|кабель ВВГнг(А)-LS (3х2,5) → Розеточная группа, пом. 010А</v>
      </c>
      <c r="HG291" t="str" cm="1">
        <f t="array" ref="HG291">IF(HF291="","",_xlfn.LET(_xlpm.nd,_xlfn.TEXTSPLIT(HF291,"|"),IF(COLUMNS(_xlpm.nd)&gt;1,A291&amp;"¦"&amp;INDEX(_xlpm.nd,1)&amp;"¦"&amp;INDEX(_xlpm.nd,2),"")))</f>
        <v>ЩР-2¦QFD8¦XT8</v>
      </c>
      <c r="HH291" t="str">
        <f t="shared" si="593"/>
        <v>R.2.010А.1¦Розеточная группа, пом. 010А</v>
      </c>
      <c r="HI291" t="str" cm="1">
        <f t="array" ref="HI291">IF(HF291="","",_xlfn.LET(_xlpm.nd,_xlfn.TEXTSPLIT(HF291,"|"),IF(COLUMNS(_xlpm.nd)&gt;2,A291&amp;"¦"&amp;INDEX(_xlpm.nd,2)&amp;"¦"&amp;INDEX(_xlpm.nd,3),"")))</f>
        <v>ЩР-2¦XT8¦кабель ВВГнг(А)-LS (3х2,5) → Розеточная группа, пом. 010А</v>
      </c>
      <c r="HJ291" t="str">
        <f t="shared" si="594"/>
        <v>R.2.010А.1¦Розеточная группа, пом. 010А</v>
      </c>
      <c r="HK291" t="str" cm="1">
        <f t="array" ref="HK291">IF(HF291="","",_xlfn.LET(_xlpm.nd,_xlfn.TEXTSPLIT(HF291,"|"),IF(COLUMNS(_xlpm.nd)&gt;3,A291&amp;"¦"&amp;INDEX(_xlpm.nd,3)&amp;"¦"&amp;INDEX(_xlpm.nd,4),"")))</f>
        <v/>
      </c>
      <c r="HL291" t="str">
        <f t="shared" si="595"/>
        <v/>
      </c>
      <c r="HM291" t="str" cm="1">
        <f t="array" ref="HM291">IF(HF291="","",_xlfn.LET(_xlpm.nd,_xlfn.TEXTSPLIT(HF291,"|"),IF(COLUMNS(_xlpm.nd)&gt;4,A291&amp;"¦"&amp;INDEX(_xlpm.nd,4)&amp;"¦"&amp;INDEX(_xlpm.nd,5),"")))</f>
        <v/>
      </c>
      <c r="HN291" t="str">
        <f t="shared" si="596"/>
        <v/>
      </c>
      <c r="HO291" t="str" cm="1">
        <f t="array" ref="HO291">IF(HF291="","",_xlfn.LET(_xlpm.nd,_xlfn.TEXTSPLIT(HF291,"|"),IF(COLUMNS(_xlpm.nd)&gt;5,A291&amp;"¦"&amp;INDEX(_xlpm.nd,5)&amp;"¦"&amp;INDEX(_xlpm.nd,6),"")))</f>
        <v/>
      </c>
      <c r="HP291" t="str">
        <f t="shared" si="597"/>
        <v/>
      </c>
      <c r="HQ291" t="str" cm="1">
        <f t="array" ref="HQ291">IF(HF291="","",_xlfn.LET(_xlpm.nd,_xlfn.TEXTSPLIT(HF291,"|"),IF(COLUMNS(_xlpm.nd)&gt;6,A291&amp;"¦"&amp;INDEX(_xlpm.nd,6)&amp;"¦"&amp;INDEX(_xlpm.nd,7),"")))</f>
        <v/>
      </c>
      <c r="HR291" t="str">
        <f t="shared" si="598"/>
        <v/>
      </c>
      <c r="HS291" t="str">
        <f t="shared" si="599"/>
        <v/>
      </c>
      <c r="HT291" t="str">
        <f t="shared" si="600"/>
        <v>QFD8 → XT8</v>
      </c>
      <c r="HU291">
        <f t="shared" si="601"/>
        <v>0</v>
      </c>
      <c r="HV291">
        <f t="shared" si="602"/>
        <v>1</v>
      </c>
      <c r="HW291" t="str">
        <f t="shared" si="603"/>
        <v/>
      </c>
      <c r="HX291" t="str">
        <f t="shared" si="604"/>
        <v/>
      </c>
      <c r="HY291" t="str">
        <f t="shared" si="605"/>
        <v/>
      </c>
      <c r="HZ291" t="str">
        <f t="shared" si="606"/>
        <v/>
      </c>
      <c r="IA291" t="str">
        <f>IF(B291="","",IFERROR(VLOOKUP(B291,УГО_спр,2,FALSE),IFERROR(VLOOKUP(AX291,УГО_спр,2,FALSE),IFERROR(VLOOKUP(LEFT(AX291,2),УГО_спр,2,FALSE),""))))</f>
        <v>Розетка</v>
      </c>
      <c r="IB291" t="str">
        <f>IF(B291="","",IF(OR(IA291="",IA291=0),"BOX",IFERROR(IF(VLOOKUP(IA291,УГО_блоки,3,FALSE)&amp;""&lt;&gt;"",VLOOKUP(IA291,УГО_блоки,3,FALSE),VLOOKUP(IA291,УГО_блоки,2,FALSE)),IA291)))</f>
        <v>SOCKET</v>
      </c>
      <c r="IC291">
        <f t="shared" si="607"/>
        <v>1</v>
      </c>
      <c r="ID291" t="str">
        <f>IF(DA291="","",IF(COUNTIF(DA$3:DA291,DA291)=1,MAX(ID$2:ID290)+1,""))</f>
        <v/>
      </c>
      <c r="IE291" t="str">
        <f>IF(CO291="","",IF(COUNTIF(CO$3:CO291,CO291)+COUNTIF(CP$2:CP290,CO291)+COUNTIF(CQ$2:CQ290,CO291)=1,MAX(IE$2:IG290)+1,""))</f>
        <v/>
      </c>
      <c r="IF291" t="str">
        <f>IF(CP291="","",IF(COUNTIF(CO$3:CO291,CP291)+COUNTIF(CP$3:CP291,CP291)+COUNTIF(CQ$2:CQ290,CP291)=1,MAX(IE$2:IG290,IE291)+1,""))</f>
        <v/>
      </c>
      <c r="IG291" t="str">
        <f>IF(CQ291="","",IF(COUNTIF(CO$3:CO291,CQ291)+COUNTIF(CP$3:CP291,CQ291)+COUNTIF(CQ$3:CQ291,CQ291)=1,MAX(IE$2:IG290,IE291,IF291)+1,""))</f>
        <v/>
      </c>
      <c r="IH291" t="str">
        <f t="shared" si="608"/>
        <v>3х2,5</v>
      </c>
      <c r="II291" t="str">
        <f>IF(IH291="","",IF(COUNTIF(IH$3:IH291,IH291)=1,MAX(II$2:II290)+1,""))</f>
        <v/>
      </c>
      <c r="IJ291" t="str">
        <f>IF(GL291="","",COUNTIF(GL$3:GL291,"?*"))</f>
        <v/>
      </c>
      <c r="IK291" t="str">
        <f>IF(OR(GL291="",GN291=""),"",IF(COUNTIFS(GL$3:GL291,"?*",GN$3:GN291,GN291)=1,MAX(IK$2:IK290)+1,""))</f>
        <v/>
      </c>
      <c r="IL291">
        <f t="shared" si="609"/>
        <v>0</v>
      </c>
      <c r="IM291">
        <f>IF(B291="","",COUNTIF(B$3:B291,"?*"))</f>
        <v>289</v>
      </c>
      <c r="IN291">
        <f>IF(GQ291&lt;&gt;1,0,_xlfn.LET(_xlpm.k,MAX(IFERROR(--VLOOKUP(B291,УГО_спр,5,FALSE),0),IFERROR(--VLOOKUP(AX291,УГО_спр,5,FALSE),0),IFERROR(--VLOOKUP(LEFT(AX291,2),УГО_спр,5,FALSE),0)),IF(_xlpm.k&gt;0,_xlpm.k,IF(IFERROR(--LEFT(SUBSTITUTE(IH291,"x","х"),FIND("х",SUBSTITUTE(IH291,"x","х"))-1),3)&gt;3,Каталог!$S$9,1))))</f>
        <v>1</v>
      </c>
      <c r="IO291">
        <f t="shared" si="610"/>
        <v>0</v>
      </c>
      <c r="IP291" t="str">
        <f t="shared" si="611"/>
        <v>авто</v>
      </c>
      <c r="IQ291">
        <f t="shared" si="612"/>
        <v>30</v>
      </c>
      <c r="IR291">
        <f t="shared" si="613"/>
        <v>1</v>
      </c>
      <c r="IS291">
        <f t="shared" si="614"/>
        <v>1</v>
      </c>
    </row>
    <row r="292" spans="1:253" x14ac:dyDescent="0.3">
      <c r="A292" t="s">
        <v>761</v>
      </c>
      <c r="B292" t="s">
        <v>1556</v>
      </c>
      <c r="C292" t="str">
        <f>Линии[[#This Row],[_авто наименование]]</f>
        <v>Розеточная группа, пом. 002Г</v>
      </c>
      <c r="D292">
        <v>1</v>
      </c>
      <c r="E292">
        <v>0.06</v>
      </c>
      <c r="G292">
        <v>16</v>
      </c>
      <c r="H292">
        <f>Линии[[#This Row],[_авто утечка]]</f>
        <v>30</v>
      </c>
      <c r="I292" t="str">
        <f>Линии[[#This Row],[_авто управление]]</f>
        <v/>
      </c>
      <c r="J292" t="str">
        <f>Линии[[#This Row],[_авто аппараты]]</f>
        <v/>
      </c>
      <c r="K292">
        <v>2.5</v>
      </c>
      <c r="L292">
        <v>36</v>
      </c>
      <c r="M292">
        <v>1</v>
      </c>
      <c r="N292" t="s">
        <v>486</v>
      </c>
      <c r="O292" t="str">
        <f t="shared" si="492"/>
        <v/>
      </c>
      <c r="P292" s="6" cm="1">
        <f t="array" ref="P292">IF(B292="","",IF(BC292&lt;&gt;"",IFERROR(_xlfn.XLOOKUP(BC292,Щиты[Щит],Щиты[Iр, А]),""),IF(BK292=1,IFERROR(_xlfn.XLOOKUP(A292,Щиты[Щит],Щиты[Iр, А]),""),IFERROR(_xlfn.IFS(BR292=1,BN292/((Uн_лин/SQRT(3))*BY292),BR292=3,BN292/(SQRT(3)*Uн_лин*BY292)),""))))</f>
        <v>0.27348170645824377</v>
      </c>
      <c r="Q292" s="7">
        <f>IF(B292="","",IFERROR(IF(VLOOKUP(AX292,Потребители_обозначение,4,FALSE)=1,VLOOKUP(AX292,Потребители_обозначение,3,FALSE)*(D292*2-1)+DS292+VLOOKUP(AZ292,Этаж_обозначение,3,FALSE)+VLOOKUP(AZ292,Этаж_обозначение,4,FALSE),VLOOKUP(AX292,Потребители_обозначение,3,FALSE)*(D292*2-1)+DS292),DS292))</f>
        <v>39</v>
      </c>
      <c r="R292" s="6">
        <f t="shared" si="493"/>
        <v>1.87</v>
      </c>
      <c r="S292" t="str">
        <f t="shared" si="494"/>
        <v>ВВГнг(А)-LS (3х2,5)</v>
      </c>
      <c r="T292" t="str">
        <f>IF(BH292="","",IF(BI292="вводной узел","узел ","")&amp;"л."&amp;(INT((BH292-1)/Столбцов_на_лист)+1)&amp;" / "&amp;(MOD(BH292-1,Столбцов_на_лист)+1))</f>
        <v>л.2 / 11</v>
      </c>
      <c r="V292">
        <v>1</v>
      </c>
      <c r="W292">
        <v>230</v>
      </c>
      <c r="X292" t="s">
        <v>564</v>
      </c>
      <c r="AC292" t="s">
        <v>815</v>
      </c>
      <c r="AE292" t="s">
        <v>563</v>
      </c>
      <c r="AI292">
        <v>28</v>
      </c>
      <c r="AJ292" t="s">
        <v>11</v>
      </c>
      <c r="AK292">
        <v>3</v>
      </c>
      <c r="AM292">
        <v>12</v>
      </c>
      <c r="AN292">
        <v>21</v>
      </c>
      <c r="AP292">
        <v>1</v>
      </c>
      <c r="AW292" cm="1">
        <f t="array" ref="AW292">ROW()-ROW(Линии[#Headers])</f>
        <v>290</v>
      </c>
      <c r="AX292" s="6" t="str">
        <f t="shared" si="495"/>
        <v>R</v>
      </c>
      <c r="AY292" t="str">
        <f t="shared" si="496"/>
        <v>2.002Г.1</v>
      </c>
      <c r="AZ292" t="str">
        <f t="shared" si="497"/>
        <v>2</v>
      </c>
      <c r="BA292" t="str">
        <f t="shared" si="498"/>
        <v>002Г.1</v>
      </c>
      <c r="BB292" t="str">
        <f t="shared" si="499"/>
        <v>002Г</v>
      </c>
      <c r="BC292" t="str">
        <f>IF(U292&lt;&gt;"",U292,IF(AND(B292&lt;&gt;"",B292&lt;&gt;A292,ISNUMBER(_xlfn.XMATCH(B292,Щиты[Щит]))),B292,""))</f>
        <v/>
      </c>
      <c r="BD292" t="str" cm="1">
        <f t="array" ref="BD292">IF(B292="","",IF(BC292&lt;&gt;"","Щит "&amp;BC292,_xlfn.LET(_xlpm.nm,IFERROR(_xlfn.XLOOKUP(AX292,Коды_код,Коды_имя)&amp;"",""),_xlpm.md,IFERROR(N(_xlfn.XLOOKUP(AX292,Коды_код,Коды_режим)),1),_xlpm.ex,IF(Имя_режим="по экспликации",IFERROR(_xlfn.XLOOKUP(AZ292&amp;"|"&amp;BB292,Экспликация[Этаж]&amp;"|"&amp;Экспликация[Помещение],Экспликация[Название])&amp;"",""),""),_xlpm.rm,IF(BB292="","",IF(_xlpm.ex&lt;&gt;"",". "&amp;_xlpm.ex&amp;IF(Имя_пом="нет"," ("&amp;BB292&amp;")"," (пом. "&amp;BB292&amp;")"),IF(Имя_пом="нет"," ",", пом. ")&amp;BB292)),IF(_xlpm.nm="","",IF(_xlpm.md=2,_xlpm.nm&amp;" шлейф "&amp;AZ292,_xlpm.nm&amp;_xlpm.rm)))))</f>
        <v>Розеточная группа, пом. 002Г</v>
      </c>
      <c r="BE292" t="str">
        <f t="shared" si="500"/>
        <v>Розеточная группа, пом. 002Г</v>
      </c>
      <c r="BF292">
        <f>IFERROR(_xlfn.XMATCH(A292,Щиты[Щит]),0)</f>
        <v>11</v>
      </c>
      <c r="BG292">
        <f>_xlfn.LET(_xlpm.k,IFERROR(_xlfn.XLOOKUP(A292,Щиты[Щит],Щиты[Листов под вводной узел]),""),IF(_xlpm.k="",1,N(_xlpm.k))*Столбцов_на_лист)</f>
        <v>17</v>
      </c>
      <c r="BH292">
        <f t="shared" si="501"/>
        <v>28</v>
      </c>
      <c r="BI292" t="str">
        <f t="shared" si="502"/>
        <v>линии</v>
      </c>
      <c r="BJ292" s="6">
        <f>IFERROR(N(_xlfn.XLOOKUP(AX292,Коды_код,Коды_квт)),0)</f>
        <v>0</v>
      </c>
      <c r="BK292">
        <f t="shared" si="503"/>
        <v>0</v>
      </c>
      <c r="BL292" t="str">
        <f>IF(B292="","",IF(BC292&lt;&gt;"",IFERROR(_xlfn.XLOOKUP(BC292,Щиты[Щит],Щиты[Руст, кВт]),0),IF(BK292=1,IFERROR(_xlfn.XLOOKUP(A292,Щиты[Щит],Щиты[Руст, кВт]),0),IF(BJ292&gt;0,ROUND(BJ292*MAX(1,N(D292)),3),""))))</f>
        <v/>
      </c>
      <c r="BM292">
        <f t="shared" si="504"/>
        <v>0.06</v>
      </c>
      <c r="BN292" s="6">
        <f>IF(B292="","",IF(BC292&lt;&gt;"",IFERROR(_xlfn.XLOOKUP(BC292,Щиты[Щит],Щиты[Руст, кВт]),0),N(BM292)))</f>
        <v>0.06</v>
      </c>
      <c r="BO292" t="str">
        <f>IF(B292="","",IFERROR(IF(VLOOKUP(AX292,Потребители_обозначение,8,FALSE)=0,"",VLOOKUP(AX292,Потребители_обозначение,8,FALSE)),""))</f>
        <v/>
      </c>
      <c r="BP292">
        <f t="shared" si="505"/>
        <v>230</v>
      </c>
      <c r="BQ292">
        <f>IF(B292="","",IF(BC292&lt;&gt;"",3,IFERROR(IF(N(VLOOKUP(AX292,Потребители_обозначение,9,FALSE))=0,1,VLOOKUP(AX292,Потребители_обозначение,9,FALSE)),1)))</f>
        <v>1</v>
      </c>
      <c r="BR292">
        <f t="shared" si="506"/>
        <v>1</v>
      </c>
      <c r="BS292" t="str">
        <f>IF(B292="","",_xlfn.LET(_xlpm.bc,IFERROR(IF(VLOOKUP(AX292,Потребители_обозначение,6,FALSE)=0,"",VLOOKUP(AX292,Потребители_обозначение,6,FALSE)&amp;""),""),IF(AND(FK292="да",OR(_xlpm.bc="",_xlpm.bc="мс")),Марка_пож,IF(AND(_xlpm.bc="",BC292&lt;&gt;""),"мс",_xlpm.bc))))</f>
        <v/>
      </c>
      <c r="BT292" t="str">
        <f t="shared" si="507"/>
        <v>мс</v>
      </c>
      <c r="BU292">
        <f>IF(B292="","",_xlfn.LET(_xlpm.cc,IFERROR(N(VLOOKUP(AX292,Потребители_обозначение,7,FALSE)),0),IF(_xlpm.cc&gt;0,_xlpm.cc,IF(BT292="","",IF(N(BR292)=3,5,3)))))</f>
        <v>3</v>
      </c>
      <c r="BV292">
        <f t="shared" si="508"/>
        <v>3</v>
      </c>
      <c r="BW292">
        <f>IFERROR(N(VLOOKUP(AX292,Потребители_обозначение,10,FALSE)),0)</f>
        <v>0</v>
      </c>
      <c r="BX292">
        <f>IFERROR(VLOOKUP(AX292,Потребители_обозначение,5,FALSE),0)</f>
        <v>1</v>
      </c>
      <c r="BY292" s="6" cm="1">
        <f t="array" ref="BY292">IF(B292="","",IF(BC292&lt;&gt;"",IFERROR(_xlfn.XLOOKUP(BC292,Щиты[Щит],Щиты[cos φ]),0.95),IF(BK292=1,IFERROR(_xlfn.XLOOKUP(A292,Щиты[Щит],Щиты[cos φ]),0.95),IF(ISNUMBER(Z292),Z292,IFERROR(IF(BX292=2,_xlfn.IFS(BR292=3,VLOOKUP(BN292,Справочная_двигатели,8,FALSE),BR292=1,VLOOKUP(BN292,Справочная_двигатели,10,TRUE)),IF(AND(Методика="нормы 2026",EQ292="Сил"),0.8,0.95)),0.95)))))</f>
        <v>0.95</v>
      </c>
      <c r="BZ292">
        <f t="shared" si="509"/>
        <v>0</v>
      </c>
      <c r="CA292">
        <f t="shared" si="510"/>
        <v>1</v>
      </c>
      <c r="CB292">
        <f t="shared" si="511"/>
        <v>0</v>
      </c>
      <c r="CC292">
        <f t="shared" si="512"/>
        <v>0</v>
      </c>
      <c r="CD292">
        <f t="shared" si="513"/>
        <v>0</v>
      </c>
      <c r="CE292">
        <f t="shared" si="514"/>
        <v>0</v>
      </c>
      <c r="CF292">
        <f t="shared" si="515"/>
        <v>0</v>
      </c>
      <c r="CG292">
        <f>IF(AX292="",0,_xlfn.LET(_xlpm.v,IFERROR(VLOOKUP(B292,УГО_спр,3,FALSE),IFERROR(VLOOKUP(AX292,УГО_спр,3,FALSE),IFERROR(VLOOKUP(LEFT(AX292,2),УГО_спр,3,FALSE),""))),IF(_xlpm.v="да",30,IF(ISNUMBER(_xlpm.v),_xlpm.v,0))))</f>
        <v>30</v>
      </c>
      <c r="CH292">
        <f t="shared" si="516"/>
        <v>30</v>
      </c>
      <c r="CI292" t="str">
        <f>_xlfn.LET(_xlpm.k,IFERROR(_xlfn.XLOOKUP(AX292,Коды_код,Коды_утечка)&amp;"",""),IF(_xlpm.k="","дифавтомат",_xlpm.k))</f>
        <v>дифавтомат</v>
      </c>
      <c r="CJ292">
        <f t="shared" si="517"/>
        <v>30</v>
      </c>
      <c r="CK292">
        <f t="shared" si="518"/>
        <v>30</v>
      </c>
      <c r="CL292">
        <f>IF(B292="",0,IFERROR(--VLOOKUP(B292,УГО_спр,4,FALSE),IFERROR(--VLOOKUP(AX292,УГО_спр,4,FALSE),IFERROR(--VLOOKUP(LEFT(AX292,2),УГО_спр,4,FALSE),0))))</f>
        <v>16</v>
      </c>
      <c r="CM292" t="str">
        <f>IF(B292="","",IFERROR(_xlfn.XLOOKUP(AX292,Коды_код,Коды_апп)&amp;"",""))</f>
        <v/>
      </c>
      <c r="CN292" t="str">
        <f t="shared" si="519"/>
        <v/>
      </c>
      <c r="CO292" t="str" cm="1">
        <f t="array" ref="CO292">IF(TRIM(CN292&amp;"")="","",IFERROR(TRIM(INDEX(_xlfn.TEXTSPLIT(CN292&amp;";;;",";"),1)),""))</f>
        <v/>
      </c>
      <c r="CP292" t="str" cm="1">
        <f t="array" ref="CP292">IF(TRIM(CN292&amp;"")="","",IFERROR(TRIM(INDEX(_xlfn.TEXTSPLIT(CN292&amp;";;;",";"),2)),""))</f>
        <v/>
      </c>
      <c r="CQ292" t="str" cm="1">
        <f t="array" ref="CQ292">IF(TRIM(CN292&amp;"")="","",IFERROR(TRIM(INDEX(_xlfn.TEXTSPLIT(CN292&amp;";;;",";"),3)),""))</f>
        <v/>
      </c>
      <c r="CR292">
        <f t="shared" si="520"/>
        <v>0</v>
      </c>
      <c r="CS292" t="str">
        <f>IF(B292="","",_xlfn.LET(_xlpm.t,LOWER(AV292&amp;""),IF(ISNUMBER(SEARCH("dim",_xlpm.t)),"DIM",IF(ISNUMBER(SEARCH("dali",_xlpm.t)),"DALI",IF(OR(ISNUMBER(SEARCH("relay",_xlpm.t)),ISNUMBER(SEARCH("реле",_xlpm.t))),"Relay",IF(ISNUMBER(SEARCH("кнопк",_xlpm.t)),"",IFERROR(_xlfn.XLOOKUP(AX292,Коды_код,Коды_упр)&amp;"","")))))))</f>
        <v/>
      </c>
      <c r="CT292" t="str">
        <f t="shared" si="521"/>
        <v/>
      </c>
      <c r="CU292">
        <f>IF(B292="","",_xlfn.LET(_xlpm.ig,N(P292)+IF(AF292="вручную",0,N(CB292)),_xlpm.n0,IFERROR(VLOOKUP(_xlpm.ig,Автомат_номиналы,2,TRUE),0),_xlpm.mn,MAX(CL292,IF(AF292="вручную",0,N(CE292))),MAX(_xlpm.n0,_xlpm.mn,IF(CR292=1,Мин_автомат_БП,0))))</f>
        <v>16</v>
      </c>
      <c r="CV292">
        <f t="shared" si="522"/>
        <v>1</v>
      </c>
      <c r="CW292" t="str">
        <f t="shared" si="523"/>
        <v>2P</v>
      </c>
      <c r="CX292" t="str">
        <f>_xlfn.LET(_xlpm.cc,UPPER(TRIM(IFERROR(_xlfn.XLOOKUP(AX292,Коды_код,Коды_хар)&amp;"",""))),IF(OR(_xlpm.cc="B",_xlpm.cc="В"),"B",IF(_xlpm.cc="D","D","С")))</f>
        <v>С</v>
      </c>
      <c r="CY292" t="str">
        <f t="shared" si="524"/>
        <v>2P С16А 30мА</v>
      </c>
      <c r="CZ292">
        <f t="shared" si="525"/>
        <v>16</v>
      </c>
      <c r="DA292" t="str">
        <f t="shared" si="526"/>
        <v>2P С16А 30мА</v>
      </c>
      <c r="DB292" cm="1">
        <f t="array" ref="DB292">IF(DA292="","",_xlfn.LET(_xlpm.t,SUBSTITUTE(SUBSTITUTE(SUBSTITUTE(UPPER(DA292),"С","C"),"А","A"),"В","B"),_xlpm.tk,_xlfn.TEXTSPLIT(_xlpm.t,"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2" t="str">
        <f t="shared" si="527"/>
        <v>ok</v>
      </c>
      <c r="DD292">
        <f t="shared" si="528"/>
        <v>16</v>
      </c>
      <c r="DE292" t="str">
        <f t="shared" si="529"/>
        <v>2P С16А 30мА</v>
      </c>
      <c r="DF292">
        <f t="shared" si="530"/>
        <v>30</v>
      </c>
      <c r="DG292">
        <f t="shared" si="531"/>
        <v>1</v>
      </c>
      <c r="DH292">
        <f t="shared" si="532"/>
        <v>0</v>
      </c>
      <c r="DI292">
        <f t="shared" si="533"/>
        <v>0.27348170645824377</v>
      </c>
      <c r="DJ292">
        <f t="shared" si="534"/>
        <v>1</v>
      </c>
      <c r="DK292">
        <f>IF(ISNUMBER(AL292),AL292,К_прокл)</f>
        <v>1</v>
      </c>
      <c r="DL292">
        <f t="shared" si="535"/>
        <v>2</v>
      </c>
      <c r="DM292">
        <f>IFERROR(N(VLOOKUP(BT292,Кабель_обозначение,3,FALSE)),1)</f>
        <v>1</v>
      </c>
      <c r="DN292">
        <f>IFERROR(N(_xlfn.XLOOKUP(A292,Щиты[Щит],Щиты[ΔU до шин, %])),0)</f>
        <v>1.79</v>
      </c>
      <c r="DO292" t="str">
        <f>IFERROR(_xlfn.XLOOKUP(A292,Щиты[Щит],Щиты[Zпетли на шинах, Ом]),"")</f>
        <v/>
      </c>
      <c r="DP292">
        <f>IFERROR(N(_xlfn.XLOOKUP(A292,Щиты[Щит],Щиты[ΔU до шин (подбор), %])),0)</f>
        <v>4.75</v>
      </c>
      <c r="DQ292" t="str">
        <f>IFERROR(_xlfn.XLOOKUP(A292,Щиты[Щит],Щиты[Zпетли на шинах (подбор), Ом]),"")</f>
        <v/>
      </c>
      <c r="DR292" t="str">
        <f t="shared" si="536"/>
        <v/>
      </c>
      <c r="DS292">
        <f t="shared" si="537"/>
        <v>36</v>
      </c>
      <c r="DT292">
        <f t="shared" si="538"/>
        <v>2</v>
      </c>
      <c r="DU292">
        <f t="shared" si="539"/>
        <v>0.31</v>
      </c>
      <c r="DV292" s="6">
        <f>IF(B292="","",IF(IFERROR(VLOOKUP(AX292,УГО_спр,2,FALSE),"")="Светильник",3,4)+IF(Методика="нормы 2026",MIN(0.5,MAX(0,N(Q292)-100)*0.005),0))</f>
        <v>4</v>
      </c>
      <c r="DW292" t="str" cm="1">
        <f t="array" ref="DW292">IF(OR(B292="",BT292="",DM292&lt;&gt;1),"",_xlfn.LET(_xlpm.sz,Iдоп_S,_xlpm.t_,CHOOSE(DL292,Iдоп_1ж,Iдоп_2ж,Iдоп_3ж)*DJ292*DK292,_xlpm.inn,N(DD292),_xlpm.smin,MAX(1.5,BW292),_xlpm.L_,N(Q292)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292)*(_xlpm.rho*_xlpm.L_/_xlpm.sz*N(BY292)+_xlpm.xx*_xlpm.L_*N(DU292)/1000)*N(P292)/((Uн_лин/SQRT(3))*1000)*100,999),_xlpm.kz,IF(OR(DG292=1,NOT(ISNUMBER(DQ292)),_xlpm.L_=0,_xlpm.inn=0),1,IFERROR(--(c_min*(Uн_лин*1000/SQRT(3))/(DQ292+2*ρкз_Cu*_xlpm.L_/_xlpm.sz)&gt;=GY292*_xlpm.inn),0)),_xlpm.ok,IFERROR((_xlpm.sz&gt;=_xlpm.smin)*(_xlpm.t_&gt;=_xlpm.inn)*IF(_xlpm.L_&gt;0,(_xlpm.du_+DP292&lt;=DV292+0.00001),1)*_xlpm.kz,0),_xlpm.r_,_xlfn._xlws.FILTER(_xlpm.sz,_xlpm.ok,"не подобрано"),INDEX(_xlpm.r_,1)))</f>
        <v>не подобрано</v>
      </c>
      <c r="DX292">
        <f t="shared" si="540"/>
        <v>2.5</v>
      </c>
      <c r="DY292" cm="1">
        <f t="array" ref="DY292">IF(OR(B292="",BT292="",DM292&lt;&gt;1),"",_xlfn.LET(_xlpm.sz,Iдоп_S,_xlpm.t_,CHOOSE(DL292,Iдоп_1ж,Iдоп_2ж,Iдоп_3ж)*DJ292*DK292,_xlpm.ok,IFERROR((_xlpm.sz&gt;=MAX(1.5,BW292))*(_xlpm.t_&gt;=N(DD292)),0),_xlpm.r_,_xlfn._xlws.FILTER(_xlpm.sz,_xlpm.ok,""),INDEX(_xlpm.r_,1)))</f>
        <v>1.5</v>
      </c>
      <c r="DZ292" s="6" cm="1">
        <f t="array" ref="DZ292">IFERROR(ROUNDUP(N(DT292)*(_xlfn.XLOOKUP(DY292,INDEX(Кабель_сопротивление,0,1),INDEX(Кабель_сопротивление,0,3))*N(Q292)/DY292*N(BY292)+_xlfn.XLOOKUP(DY292,INDEX(Кабель_сопротивление,0,1),INDEX(Кабель_сопротивление,0,2))*N(Q292)*N(DU292)/1000)*N(P292)/((Uн_лин/SQRT(3))*1000)*100,2),"")</f>
        <v>0.14000000000000001</v>
      </c>
      <c r="EA292">
        <f>IFERROR(2*ρкз_Cu*N(Q292)/DY292,"")</f>
        <v>1.3676000000000001</v>
      </c>
      <c r="EB292">
        <f>IFERROR(VLOOKUP(DX292,Кабель_сопротивление,3,FALSE),"")</f>
        <v>2.2499999999999999E-2</v>
      </c>
      <c r="EC292">
        <f>IFERROR(VLOOKUP(DX292,Кабель_сопротивление,2,FALSE),"")</f>
        <v>0.1</v>
      </c>
      <c r="ED292">
        <f t="shared" si="541"/>
        <v>21</v>
      </c>
      <c r="EE292">
        <f t="shared" si="542"/>
        <v>0</v>
      </c>
      <c r="EF292">
        <f t="shared" si="543"/>
        <v>0.1830462288032188</v>
      </c>
      <c r="EG292" s="6">
        <f>IFERROR(ROUNDUP(EF292/((Uн_лин/SQRT(3))*1000)*100,2),"")</f>
        <v>0.08</v>
      </c>
      <c r="EH292" t="str">
        <f>IFERROR(VLOOKUP(BT292,Кабель_обозначение,2,FALSE),"")</f>
        <v>ВВГнг(А)-LS</v>
      </c>
      <c r="EI292" t="str">
        <f t="shared" si="544"/>
        <v>ВВГнг(А)-LS (3х2,5)</v>
      </c>
      <c r="EJ292" t="str">
        <f t="shared" si="545"/>
        <v>ВВГнг(А)-LS (3х2,5)
L=39-0,08%</v>
      </c>
      <c r="EK292">
        <f>IFERROR(2*ρкз_Cu*Q292/DX292,"")</f>
        <v>0.82056000000000007</v>
      </c>
      <c r="EL292">
        <f t="shared" si="546"/>
        <v>0.27300000000000002</v>
      </c>
      <c r="EM292" s="6" t="str">
        <f>IFERROR(IF(OR(B292="",NOT(ISNUMBER(DX292)),N(Q292)=0),"",_xlfn.XLOOKUP(A292,Щиты[Щит],Щиты[Zпетли на шинах, Ом])+EK292),"")</f>
        <v/>
      </c>
      <c r="EN292" s="6" t="str">
        <f>IF(ISNUMBER(EM292),c_min*(Uн_лин*1000/SQRT(3))/EM292,"")</f>
        <v/>
      </c>
      <c r="EO292" s="6" t="str">
        <f>IFERROR(IF(OR(B292="",NOT(ISNUMBER(DX292))),"",1.05*(Uн_лин*1000/SQRT(3))/(_xlfn.XLOOKUP(A292,Щиты[Щит],Щиты[Zmax на шинах, Ом])+EL292)/1000),"")</f>
        <v/>
      </c>
      <c r="EP292" s="6" t="str">
        <f>IF(B292="","",IF(ISNUMBER(Y292),"Сил",IF(IFERROR(_xlfn.XLOOKUP(AX292,Коды_код,Коды_группа)&amp;"","")="","Быт",_xlfn.XLOOKUP(AX292,Коды_код,Коды_группа)&amp;"")))</f>
        <v>Быт</v>
      </c>
      <c r="EQ292" s="6" t="str">
        <f t="shared" si="547"/>
        <v>Быт</v>
      </c>
      <c r="ER292" s="6">
        <f>IF(EQ292="Щит","щит",IF(EQ292="","",IF(EQ292="Быт",IFERROR(_xlfn.XLOOKUP(A292,Щиты[Щит],Щиты[Кс быт]),1),IF(EQ292="Сил",IF(ISNUMBER(Y292),Y292,IF(Методика="нормы 2026",IFERROR(_xlfn.XLOOKUP(A292,Щиты[Щит],Щиты[Кс силовых (табл. 7.5)]),1),1)),IF(OR(EQ292="Пост",EQ292="Отоп"),1,IF(EQ292="ВНГ",0.7,0))))))</f>
        <v>0.8</v>
      </c>
      <c r="ES292">
        <f t="shared" si="548"/>
        <v>1</v>
      </c>
      <c r="ET292">
        <f t="shared" si="549"/>
        <v>0.06</v>
      </c>
      <c r="EU292">
        <f t="shared" si="550"/>
        <v>0.06</v>
      </c>
      <c r="EV292">
        <f t="shared" si="551"/>
        <v>0</v>
      </c>
      <c r="EW292">
        <f t="shared" si="552"/>
        <v>0</v>
      </c>
      <c r="EX292">
        <f t="shared" si="553"/>
        <v>0</v>
      </c>
      <c r="EY292">
        <f t="shared" si="554"/>
        <v>0</v>
      </c>
      <c r="EZ292">
        <f t="shared" si="555"/>
        <v>0.06</v>
      </c>
      <c r="FA292">
        <f t="shared" si="556"/>
        <v>5.6999999999999995E-2</v>
      </c>
      <c r="FB292">
        <f t="shared" si="557"/>
        <v>0.06</v>
      </c>
      <c r="FC292" t="str">
        <f t="shared" si="558"/>
        <v>L1</v>
      </c>
      <c r="FD292" t="str">
        <f>IF(B292="","",IF(CA292=0,IF(AW292=1,"",FF291),IF(OR(N(CV292)&gt;=3,N(BR292)&gt;=3),"L1,L2,L3",IFERROR(_xlfn.TEXTBEFORE(_xlfn.TEXTAFTER(_xlfn.XLOOKUP(A292,Щиты[Щит],Щиты[_фазы авто]),";"&amp;AW292&amp;":"),";"),"L1"))))</f>
        <v>L1</v>
      </c>
      <c r="FE292" t="str">
        <f t="shared" si="559"/>
        <v>L1</v>
      </c>
      <c r="FF292" t="str">
        <f t="shared" si="560"/>
        <v>L1</v>
      </c>
      <c r="FG292" cm="1">
        <f t="array" ref="FG292">IFERROR(IF(BX292=2,_xlfn.IFS(BR292=3,VLOOKUP(BN292,Справочная_двигатели,3,FALSE),BR292=1,VLOOKUP(BN292,Справочная_двигатели,5,TRUE)),0),0)</f>
        <v>0</v>
      </c>
      <c r="FH292">
        <f>IFERROR(IF(BX292=3,VLOOKUP(BN292,Справочная_ЛЭД,2,TRUE),0),0)</f>
        <v>0</v>
      </c>
      <c r="FI292" s="6">
        <f t="shared" si="561"/>
        <v>0</v>
      </c>
      <c r="FJ292" t="str" cm="1">
        <f t="array" ref="FJ292">IF(B292="","",IFERROR(INDEX({"I особая","I","II","III"},MATCH(TRIM(AC292&amp;""),{"I особая","I","II","III"},0)),"III"))</f>
        <v>II</v>
      </c>
      <c r="FK292" t="str">
        <f>IF(B292="","",IF(TRIM(AD292&amp;"")&lt;&gt;"",IF(LOWER(TRIM(AD292&amp;""))="да","да","нет"),IF(IFERROR(_xlfn.XLOOKUP(AX292,Коды_код,Коды_пожарная),"")="да","да","нет")))</f>
        <v>нет</v>
      </c>
      <c r="FL292" t="str">
        <f t="shared" si="562"/>
        <v/>
      </c>
      <c r="FM292" t="str">
        <f t="shared" si="563"/>
        <v>основная</v>
      </c>
      <c r="FN292">
        <f t="shared" si="564"/>
        <v>1</v>
      </c>
      <c r="FO292" t="str" cm="1">
        <f t="array" ref="FO292">IF(B292="","",_xlfn.LET(_xlpm.t,IFERROR(_xlfn.XLOOKUP(1,(Шины[Шина]=FM292)*(((Шины[Щит]=A292)+(Шины[Щит]=""))&gt;0),Шины[Тип]),"")&amp;"",IF(_xlpm.t&lt;&gt;"",_xlpm.t,IF(ISNUMBER(SEARCH("ИБП",FM292)),"ИБП",IF(ISNUMBER(SEARCH("ДГУ",FM292)),"ДГУ","Ввод "&amp;FN292)))))</f>
        <v>Ввод 1</v>
      </c>
      <c r="FP292" t="str">
        <f t="shared" si="565"/>
        <v>Ввод 1</v>
      </c>
      <c r="FQ292" t="str">
        <f>IF(B292="","",IF(OR(FO292="ИБП",FO292="ДГУ"),"I особая",IF(FO292="Одиночная","III",_xlfn.XLOOKUP(A292,Щиты[Щит],Щиты[Категория шины «Ввод»],"III"))))</f>
        <v>II</v>
      </c>
      <c r="FR292">
        <f>IF(B292="",0,IFERROR(MATCH(FJ292,{"III","II","I","I особая"},0),1))</f>
        <v>2</v>
      </c>
      <c r="FS292">
        <f t="shared" si="566"/>
        <v>2</v>
      </c>
      <c r="FT292" t="str">
        <f>IF(B292="","",IF(FR292&gt;IFERROR(MATCH(FQ292,{"III","II","I","I особая"},0),1),"НЕ ОБЕСПЕЧЕНА","ОК"))</f>
        <v>ОК</v>
      </c>
      <c r="FU292" t="str">
        <f>IF(A292="","",_xlfn.XLOOKUP(A292,Щиты[Щит],Щиты[Путь],""))</f>
        <v>|ГРЩ-ЖД|ЩР-2|</v>
      </c>
      <c r="FV292" t="str">
        <f>IF(B292="","",IF(AE292&lt;&gt;"",AE292,IF(IFERROR(_xlfn.XLOOKUP(AX292,Коды_код,Коды_вид)&amp;"","")="","Прочее",_xlfn.XLOOKUP(AX292,Коды_код,Коды_вид)&amp;"")))</f>
        <v>Розеточная сеть и бытовые приборы</v>
      </c>
      <c r="FW292">
        <f>IF(BH292="","",INT((BH292-1)/Столбцов_на_лист)+1)</f>
        <v>2</v>
      </c>
      <c r="FX292" t="str">
        <f t="shared" si="567"/>
        <v>ВВГнг(А)-LS (3х2,5) L=39-0,08%</v>
      </c>
      <c r="FY292">
        <f t="shared" si="568"/>
        <v>0.06</v>
      </c>
      <c r="FZ292">
        <f t="shared" si="569"/>
        <v>0.28000000000000003</v>
      </c>
      <c r="GA292">
        <f t="shared" si="570"/>
        <v>1</v>
      </c>
      <c r="GB292">
        <f t="shared" si="571"/>
        <v>0</v>
      </c>
      <c r="GC292">
        <f t="shared" si="572"/>
        <v>1</v>
      </c>
      <c r="GD292">
        <f>IF(BH292="","",IF(AND(CA292=1,GC292=1),COUNTIFS(A$3:A292,A292,CA$3:CA292,1,GC$3:GC292,1),IF(OR(OR(AW292=1,A292&lt;&gt;A291),AF292="вручную",GC292=0),"",IF(AW292=1,"",GE291))))</f>
        <v>9</v>
      </c>
      <c r="GE292">
        <f t="shared" si="573"/>
        <v>9</v>
      </c>
      <c r="GF292">
        <f>IF(B292="","",IFERROR(LOOKUP(INDEX(CHOOSE(DL292,Iдоп_1ж,Iдоп_2ж,Iдоп_3ж),MATCH(DX292,Iдоп_S,0))*DJ292*DK292,{6,10,16,20,25,32,40,50,63,80,100,125,160,200,250,315,400,500,630}),""))</f>
        <v>25</v>
      </c>
      <c r="GG292" t="str">
        <f t="shared" si="574"/>
        <v>QFD9</v>
      </c>
      <c r="GH292" t="str">
        <f t="shared" si="575"/>
        <v>QFD9</v>
      </c>
      <c r="GI292" t="str">
        <f t="shared" si="576"/>
        <v/>
      </c>
      <c r="GJ292">
        <f t="shared" si="577"/>
        <v>0</v>
      </c>
      <c r="GK292" t="str">
        <f>IF(OR(AG292="",AG292="-"),"",IFERROR(VLOOKUP(AG292,Модули_спр,2,FALSE),"R"))</f>
        <v/>
      </c>
      <c r="GL292" t="str">
        <f>IF(GK292="","",GK292&amp;"."&amp;COUNTIFS(A$3:A292,A292,GK$3:GK292,GK292))</f>
        <v/>
      </c>
      <c r="GM292" t="str">
        <f t="shared" si="578"/>
        <v/>
      </c>
      <c r="GN292" t="str">
        <f t="shared" si="579"/>
        <v/>
      </c>
      <c r="GO292" t="str">
        <f t="shared" si="580"/>
        <v/>
      </c>
      <c r="GP292" t="str">
        <f t="shared" si="581"/>
        <v/>
      </c>
      <c r="GQ292">
        <f t="shared" si="582"/>
        <v>1</v>
      </c>
      <c r="GR292" t="str">
        <f>IF(GQ292=1,"XT"&amp;COUNTIFS(A$3:A292,A292,GQ$3:GQ292,1),"")</f>
        <v>XT9</v>
      </c>
      <c r="GS292" t="str">
        <f t="shared" si="583"/>
        <v/>
      </c>
      <c r="GT292" t="str">
        <f t="shared" si="584"/>
        <v>QFD9</v>
      </c>
      <c r="GU292" t="str">
        <f t="shared" si="585"/>
        <v/>
      </c>
      <c r="GV292" t="str">
        <f t="shared" si="586"/>
        <v>ok</v>
      </c>
      <c r="GW292" t="str">
        <f>IF(OR(GO292="",GM292=""),"",IF(GO292&gt;IFERROR(VLOOKUP(GN292,Модули_спр,3,FALSE),99),"ЛИШНИЙ КАНАЛ",IF(AND(AH292&lt;&gt;"=",COUNTIFS(Линии[_модуль гр.],GM292,Линии[Канал (итог)],GO292,Линии[Канал],"&lt;&gt;=",Линии[Щит],A292)&gt;1),"ДУБЛЬ КАНАЛА","")))</f>
        <v/>
      </c>
      <c r="GX292" s="6" t="str">
        <f t="shared" si="587"/>
        <v/>
      </c>
      <c r="GY292">
        <f t="shared" si="588"/>
        <v>10</v>
      </c>
      <c r="GZ292" t="str">
        <f t="shared" si="589"/>
        <v/>
      </c>
      <c r="HA292" t="str">
        <f>IF(AND(B292="",GT292=""),"",_xlfn.TEXTJOIN("; ",TRUE,IF(AND(B292&lt;&gt;"",FE292=""),"нет фазы",""),IF(AND(B292&lt;&gt;"",N(FY292)=0,EQ292&lt;&gt;"Нет"),"нет мощности",""),IF(AND(GS292&lt;&gt;"",COUNTIFS(Линии[Щит],A292,Линии[Клемма (итог)],GS292)&gt;1),"дубль клеммы "&amp;GS292,""),IF(AND(GV292&lt;&gt;"",GV292&lt;&gt;"ok"),GV292,""),IF(GW292&lt;&gt;"",GW292,""),IF(AND(N(BV292)&gt;=4,N(BR292)=1),BV292&amp;" жил на 1 фазе",""),IF(AND(AX292="R",CA292=1,OR(N(CK292)=0,N(CK292)&gt;30)),"розетка без дифзащиты до 30 мА",""),IFERROR(IF(AND(ISNUMBER(R292),R292&gt;DV292),"потери "&amp;FIXED(R292,1)&amp;" % &gt; "&amp;DV292&amp;" %",""),""),IFERROR(IF(LEFT(GZ292,4)="мало","Iкз мало — отключение &gt; 0,4 с",""),""),IF(AND(B292&lt;&gt;"",BH292=""),"не на схеме",""),IF(AND(CA292=0,B292&lt;&gt;"",FE292&lt;&gt;"",IF(AW292=1,"",FF291)&lt;&gt;"",FE292&lt;&gt;IF(AW292=1,"",FF291)),"фаза не как у автомата группы ("&amp;IF(AW292=1,"",FF291)&amp;")","")))</f>
        <v/>
      </c>
      <c r="HB292" s="6">
        <f>IF(OR(CA292=0,DA292=""),"",_xlfn.LET(_xlpm.t,IFERROR(_xlfn.XLOOKUP(DA292,Каталог!$U$4:$U$500,Каталог!$G$4:$G$500),""),_xlpm.k,SEARCH("кА",_xlpm.t),IFERROR(--TRIM(RIGHT(SUBSTITUTE(MID(_xlpm.t,MAX(1,_xlpm.k-4),_xlpm.k-MAX(1,_xlpm.k-4))," ",REPT(" ",9)),5)),"")))</f>
        <v>6</v>
      </c>
      <c r="HC292" t="str">
        <f>IF(OR(HB292="",CA292=0),"",IF(_xlfn.XLOOKUP(A292,Щиты[Щит],Щиты[Iкз max на шинах, кА],"")="","",IF(HB292&lt;_xlfn.XLOOKUP(A292,Щиты[Щит],Щиты[Iкз max на шинах, кА]),"Icu "&amp;HB292&amp;" кА &lt; Iкз max","ok")))</f>
        <v/>
      </c>
      <c r="HD292" t="str">
        <f t="shared" si="590"/>
        <v/>
      </c>
      <c r="HE292" t="str">
        <f t="shared" si="591"/>
        <v>QFD9</v>
      </c>
      <c r="HF292" t="str">
        <f t="shared" si="592"/>
        <v>QFD9|кабель ВВГнг(А)-LS (3х2,5) → Розеточная группа, пом. 002Г</v>
      </c>
      <c r="HG292" t="str" cm="1">
        <f t="array" ref="HG292">IF(HF292="","",_xlfn.LET(_xlpm.nd,_xlfn.TEXTSPLIT(HF292,"|"),IF(COLUMNS(_xlpm.nd)&gt;1,A292&amp;"¦"&amp;INDEX(_xlpm.nd,1)&amp;"¦"&amp;INDEX(_xlpm.nd,2),"")))</f>
        <v>ЩР-2¦QFD9¦кабель ВВГнг(А)-LS (3х2,5) → Розеточная группа, пом. 002Г</v>
      </c>
      <c r="HH292" t="str">
        <f t="shared" si="593"/>
        <v>R.2.002Г.1¦Розеточная группа, пом. 002Г</v>
      </c>
      <c r="HI292" t="str" cm="1">
        <f t="array" ref="HI292">IF(HF292="","",_xlfn.LET(_xlpm.nd,_xlfn.TEXTSPLIT(HF292,"|"),IF(COLUMNS(_xlpm.nd)&gt;2,A292&amp;"¦"&amp;INDEX(_xlpm.nd,2)&amp;"¦"&amp;INDEX(_xlpm.nd,3),"")))</f>
        <v/>
      </c>
      <c r="HJ292" t="str">
        <f t="shared" si="594"/>
        <v/>
      </c>
      <c r="HK292" t="str" cm="1">
        <f t="array" ref="HK292">IF(HF292="","",_xlfn.LET(_xlpm.nd,_xlfn.TEXTSPLIT(HF292,"|"),IF(COLUMNS(_xlpm.nd)&gt;3,A292&amp;"¦"&amp;INDEX(_xlpm.nd,3)&amp;"¦"&amp;INDEX(_xlpm.nd,4),"")))</f>
        <v/>
      </c>
      <c r="HL292" t="str">
        <f t="shared" si="595"/>
        <v/>
      </c>
      <c r="HM292" t="str" cm="1">
        <f t="array" ref="HM292">IF(HF292="","",_xlfn.LET(_xlpm.nd,_xlfn.TEXTSPLIT(HF292,"|"),IF(COLUMNS(_xlpm.nd)&gt;4,A292&amp;"¦"&amp;INDEX(_xlpm.nd,4)&amp;"¦"&amp;INDEX(_xlpm.nd,5),"")))</f>
        <v/>
      </c>
      <c r="HN292" t="str">
        <f t="shared" si="596"/>
        <v/>
      </c>
      <c r="HO292" t="str" cm="1">
        <f t="array" ref="HO292">IF(HF292="","",_xlfn.LET(_xlpm.nd,_xlfn.TEXTSPLIT(HF292,"|"),IF(COLUMNS(_xlpm.nd)&gt;5,A292&amp;"¦"&amp;INDEX(_xlpm.nd,5)&amp;"¦"&amp;INDEX(_xlpm.nd,6),"")))</f>
        <v/>
      </c>
      <c r="HP292" t="str">
        <f t="shared" si="597"/>
        <v/>
      </c>
      <c r="HQ292" t="str" cm="1">
        <f t="array" ref="HQ292">IF(HF292="","",_xlfn.LET(_xlpm.nd,_xlfn.TEXTSPLIT(HF292,"|"),IF(COLUMNS(_xlpm.nd)&gt;6,A292&amp;"¦"&amp;INDEX(_xlpm.nd,6)&amp;"¦"&amp;INDEX(_xlpm.nd,7),"")))</f>
        <v/>
      </c>
      <c r="HR292" t="str">
        <f t="shared" si="598"/>
        <v/>
      </c>
      <c r="HS292" t="str">
        <f t="shared" si="599"/>
        <v/>
      </c>
      <c r="HT292" t="str">
        <f t="shared" si="600"/>
        <v>QFD9</v>
      </c>
      <c r="HU292">
        <f t="shared" si="601"/>
        <v>0</v>
      </c>
      <c r="HV292">
        <f t="shared" si="602"/>
        <v>1</v>
      </c>
      <c r="HW292" t="str">
        <f t="shared" si="603"/>
        <v/>
      </c>
      <c r="HX292" t="str">
        <f t="shared" si="604"/>
        <v/>
      </c>
      <c r="HY292" t="str">
        <f t="shared" si="605"/>
        <v/>
      </c>
      <c r="HZ292" t="str">
        <f t="shared" si="606"/>
        <v/>
      </c>
      <c r="IA292" t="str">
        <f>IF(B292="","",IFERROR(VLOOKUP(B292,УГО_спр,2,FALSE),IFERROR(VLOOKUP(AX292,УГО_спр,2,FALSE),IFERROR(VLOOKUP(LEFT(AX292,2),УГО_спр,2,FALSE),""))))</f>
        <v>Розетка</v>
      </c>
      <c r="IB292" t="str">
        <f>IF(B292="","",IF(OR(IA292="",IA292=0),"BOX",IFERROR(IF(VLOOKUP(IA292,УГО_блоки,3,FALSE)&amp;""&lt;&gt;"",VLOOKUP(IA292,УГО_блоки,3,FALSE),VLOOKUP(IA292,УГО_блоки,2,FALSE)),IA292)))</f>
        <v>SOCKET</v>
      </c>
      <c r="IC292">
        <f t="shared" si="607"/>
        <v>1</v>
      </c>
      <c r="ID292" t="str">
        <f>IF(DA292="","",IF(COUNTIF(DA$3:DA292,DA292)=1,MAX(ID$2:ID291)+1,""))</f>
        <v/>
      </c>
      <c r="IE292" t="str">
        <f>IF(CO292="","",IF(COUNTIF(CO$3:CO292,CO292)+COUNTIF(CP$2:CP291,CO292)+COUNTIF(CQ$2:CQ291,CO292)=1,MAX(IE$2:IG291)+1,""))</f>
        <v/>
      </c>
      <c r="IF292" t="str">
        <f>IF(CP292="","",IF(COUNTIF(CO$3:CO292,CP292)+COUNTIF(CP$3:CP292,CP292)+COUNTIF(CQ$2:CQ291,CP292)=1,MAX(IE$2:IG291,IE292)+1,""))</f>
        <v/>
      </c>
      <c r="IG292" t="str">
        <f>IF(CQ292="","",IF(COUNTIF(CO$3:CO292,CQ292)+COUNTIF(CP$3:CP292,CQ292)+COUNTIF(CQ$3:CQ292,CQ292)=1,MAX(IE$2:IG291,IE292,IF292)+1,""))</f>
        <v/>
      </c>
      <c r="IH292" t="str">
        <f t="shared" si="608"/>
        <v>3х2,5</v>
      </c>
      <c r="II292" t="str">
        <f>IF(IH292="","",IF(COUNTIF(IH$3:IH292,IH292)=1,MAX(II$2:II291)+1,""))</f>
        <v/>
      </c>
      <c r="IJ292" t="str">
        <f>IF(GL292="","",COUNTIF(GL$3:GL292,"?*"))</f>
        <v/>
      </c>
      <c r="IK292" t="str">
        <f>IF(OR(GL292="",GN292=""),"",IF(COUNTIFS(GL$3:GL292,"?*",GN$3:GN292,GN292)=1,MAX(IK$2:IK291)+1,""))</f>
        <v/>
      </c>
      <c r="IL292">
        <f t="shared" si="609"/>
        <v>0</v>
      </c>
      <c r="IM292">
        <f>IF(B292="","",COUNTIF(B$3:B292,"?*"))</f>
        <v>290</v>
      </c>
      <c r="IN292">
        <f>IF(GQ292&lt;&gt;1,0,_xlfn.LET(_xlpm.k,MAX(IFERROR(--VLOOKUP(B292,УГО_спр,5,FALSE),0),IFERROR(--VLOOKUP(AX292,УГО_спр,5,FALSE),0),IFERROR(--VLOOKUP(LEFT(AX292,2),УГО_спр,5,FALSE),0)),IF(_xlpm.k&gt;0,_xlpm.k,IF(IFERROR(--LEFT(SUBSTITUTE(IH292,"x","х"),FIND("х",SUBSTITUTE(IH292,"x","х"))-1),3)&gt;3,Каталог!$S$9,1))))</f>
        <v>1</v>
      </c>
      <c r="IO292">
        <f t="shared" si="610"/>
        <v>0</v>
      </c>
      <c r="IP292" t="str">
        <f t="shared" si="611"/>
        <v>авто</v>
      </c>
      <c r="IQ292">
        <f t="shared" si="612"/>
        <v>30</v>
      </c>
      <c r="IR292">
        <f t="shared" si="613"/>
        <v>1</v>
      </c>
      <c r="IS292">
        <f t="shared" si="614"/>
        <v>1</v>
      </c>
    </row>
    <row r="293" spans="1:253" x14ac:dyDescent="0.3">
      <c r="A293" t="s">
        <v>761</v>
      </c>
      <c r="B293" t="s">
        <v>1557</v>
      </c>
      <c r="C293" t="str">
        <f>Линии[[#This Row],[_авто наименование]]</f>
        <v>Розеточная группа, пом. 013А</v>
      </c>
      <c r="D293">
        <v>2</v>
      </c>
      <c r="E293">
        <v>0.12</v>
      </c>
      <c r="G293">
        <v>16</v>
      </c>
      <c r="H293">
        <f>Линии[[#This Row],[_авто утечка]]</f>
        <v>30</v>
      </c>
      <c r="I293" t="str">
        <f>Линии[[#This Row],[_авто управление]]</f>
        <v/>
      </c>
      <c r="J293" t="str">
        <f>Линии[[#This Row],[_авто аппараты]]</f>
        <v/>
      </c>
      <c r="K293">
        <v>2.5</v>
      </c>
      <c r="L293">
        <v>29</v>
      </c>
      <c r="M293">
        <v>3</v>
      </c>
      <c r="N293" t="str">
        <f>Линии[[#This Row],[_авто клемма]]</f>
        <v>XT10</v>
      </c>
      <c r="O293" t="str">
        <f t="shared" si="492"/>
        <v/>
      </c>
      <c r="P293" s="6" cm="1">
        <f t="array" ref="P293">IF(B293="","",IF(BC293&lt;&gt;"",IFERROR(_xlfn.XLOOKUP(BC293,Щиты[Щит],Щиты[Iр, А]),""),IF(BK293=1,IFERROR(_xlfn.XLOOKUP(A293,Щиты[Щит],Щиты[Iр, А]),""),IFERROR(_xlfn.IFS(BR293=1,BN293/((Uн_лин/SQRT(3))*BY293),BR293=3,BN293/(SQRT(3)*Uн_лин*BY293)),""))))</f>
        <v>0.54696341291648753</v>
      </c>
      <c r="Q293" s="7">
        <f>IF(B293="","",IFERROR(IF(VLOOKUP(AX293,Потребители_обозначение,4,FALSE)=1,VLOOKUP(AX293,Потребители_обозначение,3,FALSE)*(D293*2-1)+DS293+VLOOKUP(AZ293,Этаж_обозначение,3,FALSE)+VLOOKUP(AZ293,Этаж_обозначение,4,FALSE),VLOOKUP(AX293,Потребители_обозначение,3,FALSE)*(D293*2-1)+DS293),DS293))</f>
        <v>38</v>
      </c>
      <c r="R293" s="6">
        <f t="shared" si="493"/>
        <v>1.95</v>
      </c>
      <c r="S293" t="str">
        <f t="shared" si="494"/>
        <v>ВВГнг(А)-LS (3х2,5)</v>
      </c>
      <c r="T293" t="str">
        <f>IF(BH293="","",IF(BI293="вводной узел","узел ","")&amp;"л."&amp;(INT((BH293-1)/Столбцов_на_лист)+1)&amp;" / "&amp;(MOD(BH293-1,Столбцов_на_лист)+1))</f>
        <v>л.2 / 12</v>
      </c>
      <c r="V293">
        <v>1</v>
      </c>
      <c r="W293">
        <v>230</v>
      </c>
      <c r="X293" t="s">
        <v>564</v>
      </c>
      <c r="AC293" t="s">
        <v>815</v>
      </c>
      <c r="AE293" t="s">
        <v>563</v>
      </c>
      <c r="AI293">
        <v>29</v>
      </c>
      <c r="AJ293" t="s">
        <v>11</v>
      </c>
      <c r="AK293">
        <v>3</v>
      </c>
      <c r="AM293">
        <v>12</v>
      </c>
      <c r="AN293">
        <v>20</v>
      </c>
      <c r="AP293">
        <v>2</v>
      </c>
      <c r="AW293" cm="1">
        <f t="array" ref="AW293">ROW()-ROW(Линии[#Headers])</f>
        <v>291</v>
      </c>
      <c r="AX293" s="6" t="str">
        <f t="shared" si="495"/>
        <v>R</v>
      </c>
      <c r="AY293" t="str">
        <f t="shared" si="496"/>
        <v>2.013А.1</v>
      </c>
      <c r="AZ293" t="str">
        <f t="shared" si="497"/>
        <v>2</v>
      </c>
      <c r="BA293" t="str">
        <f t="shared" si="498"/>
        <v>013А.1</v>
      </c>
      <c r="BB293" t="str">
        <f t="shared" si="499"/>
        <v>013А</v>
      </c>
      <c r="BC293" t="str">
        <f>IF(U293&lt;&gt;"",U293,IF(AND(B293&lt;&gt;"",B293&lt;&gt;A293,ISNUMBER(_xlfn.XMATCH(B293,Щиты[Щит]))),B293,""))</f>
        <v/>
      </c>
      <c r="BD293" t="str" cm="1">
        <f t="array" ref="BD293">IF(B293="","",IF(BC293&lt;&gt;"","Щит "&amp;BC293,_xlfn.LET(_xlpm.nm,IFERROR(_xlfn.XLOOKUP(AX293,Коды_код,Коды_имя)&amp;"",""),_xlpm.md,IFERROR(N(_xlfn.XLOOKUP(AX293,Коды_код,Коды_режим)),1),_xlpm.ex,IF(Имя_режим="по экспликации",IFERROR(_xlfn.XLOOKUP(AZ293&amp;"|"&amp;BB293,Экспликация[Этаж]&amp;"|"&amp;Экспликация[Помещение],Экспликация[Название])&amp;"",""),""),_xlpm.rm,IF(BB293="","",IF(_xlpm.ex&lt;&gt;"",". "&amp;_xlpm.ex&amp;IF(Имя_пом="нет"," ("&amp;BB293&amp;")"," (пом. "&amp;BB293&amp;")"),IF(Имя_пом="нет"," ",", пом. ")&amp;BB293)),IF(_xlpm.nm="","",IF(_xlpm.md=2,_xlpm.nm&amp;" шлейф "&amp;AZ293,_xlpm.nm&amp;_xlpm.rm)))))</f>
        <v>Розеточная группа, пом. 013А</v>
      </c>
      <c r="BE293" t="str">
        <f t="shared" si="500"/>
        <v>Розеточная группа, пом. 013А</v>
      </c>
      <c r="BF293">
        <f>IFERROR(_xlfn.XMATCH(A293,Щиты[Щит]),0)</f>
        <v>11</v>
      </c>
      <c r="BG293">
        <f>_xlfn.LET(_xlpm.k,IFERROR(_xlfn.XLOOKUP(A293,Щиты[Щит],Щиты[Листов под вводной узел]),""),IF(_xlpm.k="",1,N(_xlpm.k))*Столбцов_на_лист)</f>
        <v>17</v>
      </c>
      <c r="BH293">
        <f t="shared" si="501"/>
        <v>29</v>
      </c>
      <c r="BI293" t="str">
        <f t="shared" si="502"/>
        <v>линии</v>
      </c>
      <c r="BJ293" s="6">
        <f>IFERROR(N(_xlfn.XLOOKUP(AX293,Коды_код,Коды_квт)),0)</f>
        <v>0</v>
      </c>
      <c r="BK293">
        <f t="shared" si="503"/>
        <v>0</v>
      </c>
      <c r="BL293" t="str">
        <f>IF(B293="","",IF(BC293&lt;&gt;"",IFERROR(_xlfn.XLOOKUP(BC293,Щиты[Щит],Щиты[Руст, кВт]),0),IF(BK293=1,IFERROR(_xlfn.XLOOKUP(A293,Щиты[Щит],Щиты[Руст, кВт]),0),IF(BJ293&gt;0,ROUND(BJ293*MAX(1,N(D293)),3),""))))</f>
        <v/>
      </c>
      <c r="BM293">
        <f t="shared" si="504"/>
        <v>0.12</v>
      </c>
      <c r="BN293" s="6">
        <f>IF(B293="","",IF(BC293&lt;&gt;"",IFERROR(_xlfn.XLOOKUP(BC293,Щиты[Щит],Щиты[Руст, кВт]),0),N(BM293)))</f>
        <v>0.12</v>
      </c>
      <c r="BO293" t="str">
        <f>IF(B293="","",IFERROR(IF(VLOOKUP(AX293,Потребители_обозначение,8,FALSE)=0,"",VLOOKUP(AX293,Потребители_обозначение,8,FALSE)),""))</f>
        <v/>
      </c>
      <c r="BP293">
        <f t="shared" si="505"/>
        <v>230</v>
      </c>
      <c r="BQ293">
        <f>IF(B293="","",IF(BC293&lt;&gt;"",3,IFERROR(IF(N(VLOOKUP(AX293,Потребители_обозначение,9,FALSE))=0,1,VLOOKUP(AX293,Потребители_обозначение,9,FALSE)),1)))</f>
        <v>1</v>
      </c>
      <c r="BR293">
        <f t="shared" si="506"/>
        <v>1</v>
      </c>
      <c r="BS293" t="str">
        <f>IF(B293="","",_xlfn.LET(_xlpm.bc,IFERROR(IF(VLOOKUP(AX293,Потребители_обозначение,6,FALSE)=0,"",VLOOKUP(AX293,Потребители_обозначение,6,FALSE)&amp;""),""),IF(AND(FK293="да",OR(_xlpm.bc="",_xlpm.bc="мс")),Марка_пож,IF(AND(_xlpm.bc="",BC293&lt;&gt;""),"мс",_xlpm.bc))))</f>
        <v/>
      </c>
      <c r="BT293" t="str">
        <f t="shared" si="507"/>
        <v>мс</v>
      </c>
      <c r="BU293">
        <f>IF(B293="","",_xlfn.LET(_xlpm.cc,IFERROR(N(VLOOKUP(AX293,Потребители_обозначение,7,FALSE)),0),IF(_xlpm.cc&gt;0,_xlpm.cc,IF(BT293="","",IF(N(BR293)=3,5,3)))))</f>
        <v>3</v>
      </c>
      <c r="BV293">
        <f t="shared" si="508"/>
        <v>3</v>
      </c>
      <c r="BW293">
        <f>IFERROR(N(VLOOKUP(AX293,Потребители_обозначение,10,FALSE)),0)</f>
        <v>0</v>
      </c>
      <c r="BX293">
        <f>IFERROR(VLOOKUP(AX293,Потребители_обозначение,5,FALSE),0)</f>
        <v>1</v>
      </c>
      <c r="BY293" s="6" cm="1">
        <f t="array" ref="BY293">IF(B293="","",IF(BC293&lt;&gt;"",IFERROR(_xlfn.XLOOKUP(BC293,Щиты[Щит],Щиты[cos φ]),0.95),IF(BK293=1,IFERROR(_xlfn.XLOOKUP(A293,Щиты[Щит],Щиты[cos φ]),0.95),IF(ISNUMBER(Z293),Z293,IFERROR(IF(BX293=2,_xlfn.IFS(BR293=3,VLOOKUP(BN293,Справочная_двигатели,8,FALSE),BR293=1,VLOOKUP(BN293,Справочная_двигатели,10,TRUE)),IF(AND(Методика="нормы 2026",EQ293="Сил"),0.8,0.95)),0.95)))))</f>
        <v>0.95</v>
      </c>
      <c r="BZ293">
        <f t="shared" si="509"/>
        <v>0</v>
      </c>
      <c r="CA293">
        <f t="shared" si="510"/>
        <v>1</v>
      </c>
      <c r="CB293">
        <f t="shared" si="511"/>
        <v>0</v>
      </c>
      <c r="CC293">
        <f t="shared" si="512"/>
        <v>0</v>
      </c>
      <c r="CD293">
        <f t="shared" si="513"/>
        <v>0</v>
      </c>
      <c r="CE293">
        <f t="shared" si="514"/>
        <v>0</v>
      </c>
      <c r="CF293">
        <f t="shared" si="515"/>
        <v>0</v>
      </c>
      <c r="CG293">
        <f>IF(AX293="",0,_xlfn.LET(_xlpm.v,IFERROR(VLOOKUP(B293,УГО_спр,3,FALSE),IFERROR(VLOOKUP(AX293,УГО_спр,3,FALSE),IFERROR(VLOOKUP(LEFT(AX293,2),УГО_спр,3,FALSE),""))),IF(_xlpm.v="да",30,IF(ISNUMBER(_xlpm.v),_xlpm.v,0))))</f>
        <v>30</v>
      </c>
      <c r="CH293">
        <f t="shared" si="516"/>
        <v>30</v>
      </c>
      <c r="CI293" t="str">
        <f>_xlfn.LET(_xlpm.k,IFERROR(_xlfn.XLOOKUP(AX293,Коды_код,Коды_утечка)&amp;"",""),IF(_xlpm.k="","дифавтомат",_xlpm.k))</f>
        <v>дифавтомат</v>
      </c>
      <c r="CJ293">
        <f t="shared" si="517"/>
        <v>30</v>
      </c>
      <c r="CK293">
        <f t="shared" si="518"/>
        <v>30</v>
      </c>
      <c r="CL293">
        <f>IF(B293="",0,IFERROR(--VLOOKUP(B293,УГО_спр,4,FALSE),IFERROR(--VLOOKUP(AX293,УГО_спр,4,FALSE),IFERROR(--VLOOKUP(LEFT(AX293,2),УГО_спр,4,FALSE),0))))</f>
        <v>16</v>
      </c>
      <c r="CM293" t="str">
        <f>IF(B293="","",IFERROR(_xlfn.XLOOKUP(AX293,Коды_код,Коды_апп)&amp;"",""))</f>
        <v/>
      </c>
      <c r="CN293" t="str">
        <f t="shared" si="519"/>
        <v/>
      </c>
      <c r="CO293" t="str" cm="1">
        <f t="array" ref="CO293">IF(TRIM(CN293&amp;"")="","",IFERROR(TRIM(INDEX(_xlfn.TEXTSPLIT(CN293&amp;";;;",";"),1)),""))</f>
        <v/>
      </c>
      <c r="CP293" t="str" cm="1">
        <f t="array" ref="CP293">IF(TRIM(CN293&amp;"")="","",IFERROR(TRIM(INDEX(_xlfn.TEXTSPLIT(CN293&amp;";;;",";"),2)),""))</f>
        <v/>
      </c>
      <c r="CQ293" t="str" cm="1">
        <f t="array" ref="CQ293">IF(TRIM(CN293&amp;"")="","",IFERROR(TRIM(INDEX(_xlfn.TEXTSPLIT(CN293&amp;";;;",";"),3)),""))</f>
        <v/>
      </c>
      <c r="CR293">
        <f t="shared" si="520"/>
        <v>0</v>
      </c>
      <c r="CS293" t="str">
        <f>IF(B293="","",_xlfn.LET(_xlpm.t,LOWER(AV293&amp;""),IF(ISNUMBER(SEARCH("dim",_xlpm.t)),"DIM",IF(ISNUMBER(SEARCH("dali",_xlpm.t)),"DALI",IF(OR(ISNUMBER(SEARCH("relay",_xlpm.t)),ISNUMBER(SEARCH("реле",_xlpm.t))),"Relay",IF(ISNUMBER(SEARCH("кнопк",_xlpm.t)),"",IFERROR(_xlfn.XLOOKUP(AX293,Коды_код,Коды_упр)&amp;"","")))))))</f>
        <v/>
      </c>
      <c r="CT293" t="str">
        <f t="shared" si="521"/>
        <v/>
      </c>
      <c r="CU293">
        <f>IF(B293="","",_xlfn.LET(_xlpm.ig,N(P293)+IF(AF293="вручную",0,N(CB293)),_xlpm.n0,IFERROR(VLOOKUP(_xlpm.ig,Автомат_номиналы,2,TRUE),0),_xlpm.mn,MAX(CL293,IF(AF293="вручную",0,N(CE293))),MAX(_xlpm.n0,_xlpm.mn,IF(CR293=1,Мин_автомат_БП,0))))</f>
        <v>16</v>
      </c>
      <c r="CV293">
        <f t="shared" si="522"/>
        <v>1</v>
      </c>
      <c r="CW293" t="str">
        <f t="shared" si="523"/>
        <v>2P</v>
      </c>
      <c r="CX293" t="str">
        <f>_xlfn.LET(_xlpm.cc,UPPER(TRIM(IFERROR(_xlfn.XLOOKUP(AX293,Коды_код,Коды_хар)&amp;"",""))),IF(OR(_xlpm.cc="B",_xlpm.cc="В"),"B",IF(_xlpm.cc="D","D","С")))</f>
        <v>С</v>
      </c>
      <c r="CY293" t="str">
        <f t="shared" si="524"/>
        <v>2P С16А 30мА</v>
      </c>
      <c r="CZ293">
        <f t="shared" si="525"/>
        <v>16</v>
      </c>
      <c r="DA293" t="str">
        <f t="shared" si="526"/>
        <v>2P С16А 30мА</v>
      </c>
      <c r="DB293" cm="1">
        <f t="array" ref="DB293">IF(DA293="","",_xlfn.LET(_xlpm.t,SUBSTITUTE(SUBSTITUTE(SUBSTITUTE(UPPER(DA293),"С","C"),"А","A"),"В","B"),_xlpm.tk,_xlfn.TEXTSPLIT(_xlpm.t,"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3" t="str">
        <f t="shared" si="527"/>
        <v>ok</v>
      </c>
      <c r="DD293">
        <f t="shared" si="528"/>
        <v>16</v>
      </c>
      <c r="DE293" t="str">
        <f t="shared" si="529"/>
        <v>2P С16А 30мА</v>
      </c>
      <c r="DF293">
        <f t="shared" si="530"/>
        <v>30</v>
      </c>
      <c r="DG293">
        <f t="shared" si="531"/>
        <v>1</v>
      </c>
      <c r="DH293">
        <f t="shared" si="532"/>
        <v>0</v>
      </c>
      <c r="DI293">
        <f t="shared" si="533"/>
        <v>0.54696341291648753</v>
      </c>
      <c r="DJ293">
        <f t="shared" si="534"/>
        <v>1</v>
      </c>
      <c r="DK293">
        <f>IF(ISNUMBER(AL293),AL293,К_прокл)</f>
        <v>1</v>
      </c>
      <c r="DL293">
        <f t="shared" si="535"/>
        <v>2</v>
      </c>
      <c r="DM293">
        <f>IFERROR(N(VLOOKUP(BT293,Кабель_обозначение,3,FALSE)),1)</f>
        <v>1</v>
      </c>
      <c r="DN293">
        <f>IFERROR(N(_xlfn.XLOOKUP(A293,Щиты[Щит],Щиты[ΔU до шин, %])),0)</f>
        <v>1.79</v>
      </c>
      <c r="DO293" t="str">
        <f>IFERROR(_xlfn.XLOOKUP(A293,Щиты[Щит],Щиты[Zпетли на шинах, Ом]),"")</f>
        <v/>
      </c>
      <c r="DP293">
        <f>IFERROR(N(_xlfn.XLOOKUP(A293,Щиты[Щит],Щиты[ΔU до шин (подбор), %])),0)</f>
        <v>4.75</v>
      </c>
      <c r="DQ293" t="str">
        <f>IFERROR(_xlfn.XLOOKUP(A293,Щиты[Щит],Щиты[Zпетли на шинах (подбор), Ом]),"")</f>
        <v/>
      </c>
      <c r="DR293" t="str">
        <f t="shared" si="536"/>
        <v/>
      </c>
      <c r="DS293">
        <f t="shared" si="537"/>
        <v>29</v>
      </c>
      <c r="DT293">
        <f t="shared" si="538"/>
        <v>2</v>
      </c>
      <c r="DU293">
        <f t="shared" si="539"/>
        <v>0.31</v>
      </c>
      <c r="DV293" s="6">
        <f>IF(B293="","",IF(IFERROR(VLOOKUP(AX293,УГО_спр,2,FALSE),"")="Светильник",3,4)+IF(Методика="нормы 2026",MIN(0.5,MAX(0,N(Q293)-100)*0.005),0))</f>
        <v>4</v>
      </c>
      <c r="DW293" t="str" cm="1">
        <f t="array" ref="DW293">IF(OR(B293="",BT293="",DM293&lt;&gt;1),"",_xlfn.LET(_xlpm.sz,Iдоп_S,_xlpm.t_,CHOOSE(DL293,Iдоп_1ж,Iдоп_2ж,Iдоп_3ж)*DJ293*DK293,_xlpm.inn,N(DD293),_xlpm.smin,MAX(1.5,BW293),_xlpm.L_,N(Q293)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293)*(_xlpm.rho*_xlpm.L_/_xlpm.sz*N(BY293)+_xlpm.xx*_xlpm.L_*N(DU293)/1000)*N(P293)/((Uн_лин/SQRT(3))*1000)*100,999),_xlpm.kz,IF(OR(DG293=1,NOT(ISNUMBER(DQ293)),_xlpm.L_=0,_xlpm.inn=0),1,IFERROR(--(c_min*(Uн_лин*1000/SQRT(3))/(DQ293+2*ρкз_Cu*_xlpm.L_/_xlpm.sz)&gt;=GY293*_xlpm.inn),0)),_xlpm.ok,IFERROR((_xlpm.sz&gt;=_xlpm.smin)*(_xlpm.t_&gt;=_xlpm.inn)*IF(_xlpm.L_&gt;0,(_xlpm.du_+DP293&lt;=DV293+0.00001),1)*_xlpm.kz,0),_xlpm.r_,_xlfn._xlws.FILTER(_xlpm.sz,_xlpm.ok,"не подобрано"),INDEX(_xlpm.r_,1)))</f>
        <v>не подобрано</v>
      </c>
      <c r="DX293">
        <f t="shared" si="540"/>
        <v>2.5</v>
      </c>
      <c r="DY293" cm="1">
        <f t="array" ref="DY293">IF(OR(B293="",BT293="",DM293&lt;&gt;1),"",_xlfn.LET(_xlpm.sz,Iдоп_S,_xlpm.t_,CHOOSE(DL293,Iдоп_1ж,Iдоп_2ж,Iдоп_3ж)*DJ293*DK293,_xlpm.ok,IFERROR((_xlpm.sz&gt;=MAX(1.5,BW293))*(_xlpm.t_&gt;=N(DD293)),0),_xlpm.r_,_xlfn._xlws.FILTER(_xlpm.sz,_xlpm.ok,""),INDEX(_xlpm.r_,1)))</f>
        <v>1.5</v>
      </c>
      <c r="DZ293" s="6" cm="1">
        <f t="array" ref="DZ293">IFERROR(ROUNDUP(N(DT293)*(_xlfn.XLOOKUP(DY293,INDEX(Кабель_сопротивление,0,1),INDEX(Кабель_сопротивление,0,3))*N(Q293)/DY293*N(BY293)+_xlfn.XLOOKUP(DY293,INDEX(Кабель_сопротивление,0,1),INDEX(Кабель_сопротивление,0,2))*N(Q293)*N(DU293)/1000)*N(P293)/((Uн_лин/SQRT(3))*1000)*100,2),"")</f>
        <v>0.26</v>
      </c>
      <c r="EA293">
        <f>IFERROR(2*ρкз_Cu*N(Q293)/DY293,"")</f>
        <v>1.3325333333333333</v>
      </c>
      <c r="EB293">
        <f>IFERROR(VLOOKUP(DX293,Кабель_сопротивление,3,FALSE),"")</f>
        <v>2.2499999999999999E-2</v>
      </c>
      <c r="EC293">
        <f>IFERROR(VLOOKUP(DX293,Кабель_сопротивление,2,FALSE),"")</f>
        <v>0.1</v>
      </c>
      <c r="ED293">
        <f t="shared" si="541"/>
        <v>20</v>
      </c>
      <c r="EE293">
        <f t="shared" si="542"/>
        <v>34</v>
      </c>
      <c r="EF293">
        <f t="shared" si="543"/>
        <v>0.35670547151396481</v>
      </c>
      <c r="EG293" s="6">
        <f>IFERROR(ROUNDUP(EF293/((Uн_лин/SQRT(3))*1000)*100,2),"")</f>
        <v>0.16</v>
      </c>
      <c r="EH293" t="str">
        <f>IFERROR(VLOOKUP(BT293,Кабель_обозначение,2,FALSE),"")</f>
        <v>ВВГнг(А)-LS</v>
      </c>
      <c r="EI293" t="str">
        <f t="shared" si="544"/>
        <v>ВВГнг(А)-LS (3х2,5)</v>
      </c>
      <c r="EJ293" t="str">
        <f t="shared" si="545"/>
        <v>ВВГнг(А)-LS (3х2,5)
L=38-0,16%</v>
      </c>
      <c r="EK293">
        <f>IFERROR(2*ρкз_Cu*Q293/DX293,"")</f>
        <v>0.79952000000000001</v>
      </c>
      <c r="EL293">
        <f t="shared" si="546"/>
        <v>0.26600000000000001</v>
      </c>
      <c r="EM293" s="6" t="str">
        <f>IFERROR(IF(OR(B293="",NOT(ISNUMBER(DX293)),N(Q293)=0),"",_xlfn.XLOOKUP(A293,Щиты[Щит],Щиты[Zпетли на шинах, Ом])+EK293),"")</f>
        <v/>
      </c>
      <c r="EN293" s="6" t="str">
        <f>IF(ISNUMBER(EM293),c_min*(Uн_лин*1000/SQRT(3))/EM293,"")</f>
        <v/>
      </c>
      <c r="EO293" s="6" t="str">
        <f>IFERROR(IF(OR(B293="",NOT(ISNUMBER(DX293))),"",1.05*(Uн_лин*1000/SQRT(3))/(_xlfn.XLOOKUP(A293,Щиты[Щит],Щиты[Zmax на шинах, Ом])+EL293)/1000),"")</f>
        <v/>
      </c>
      <c r="EP293" s="6" t="str">
        <f>IF(B293="","",IF(ISNUMBER(Y293),"Сил",IF(IFERROR(_xlfn.XLOOKUP(AX293,Коды_код,Коды_группа)&amp;"","")="","Быт",_xlfn.XLOOKUP(AX293,Коды_код,Коды_группа)&amp;"")))</f>
        <v>Быт</v>
      </c>
      <c r="EQ293" s="6" t="str">
        <f t="shared" si="547"/>
        <v>Быт</v>
      </c>
      <c r="ER293" s="6">
        <f>IF(EQ293="Щит","щит",IF(EQ293="","",IF(EQ293="Быт",IFERROR(_xlfn.XLOOKUP(A293,Щиты[Щит],Щиты[Кс быт]),1),IF(EQ293="Сил",IF(ISNUMBER(Y293),Y293,IF(Методика="нормы 2026",IFERROR(_xlfn.XLOOKUP(A293,Щиты[Щит],Щиты[Кс силовых (табл. 7.5)]),1),1)),IF(OR(EQ293="Пост",EQ293="Отоп"),1,IF(EQ293="ВНГ",0.7,0))))))</f>
        <v>0.8</v>
      </c>
      <c r="ES293">
        <f t="shared" si="548"/>
        <v>1</v>
      </c>
      <c r="ET293">
        <f t="shared" si="549"/>
        <v>0.12</v>
      </c>
      <c r="EU293">
        <f t="shared" si="550"/>
        <v>0.12</v>
      </c>
      <c r="EV293">
        <f t="shared" si="551"/>
        <v>0</v>
      </c>
      <c r="EW293">
        <f t="shared" si="552"/>
        <v>0</v>
      </c>
      <c r="EX293">
        <f t="shared" si="553"/>
        <v>0</v>
      </c>
      <c r="EY293">
        <f t="shared" si="554"/>
        <v>0</v>
      </c>
      <c r="EZ293">
        <f t="shared" si="555"/>
        <v>0.12</v>
      </c>
      <c r="FA293">
        <f t="shared" si="556"/>
        <v>0.11399999999999999</v>
      </c>
      <c r="FB293">
        <f t="shared" si="557"/>
        <v>0.12</v>
      </c>
      <c r="FC293" t="str">
        <f t="shared" si="558"/>
        <v>L3</v>
      </c>
      <c r="FD293" t="str">
        <f>IF(B293="","",IF(CA293=0,IF(AW293=1,"",FF292),IF(OR(N(CV293)&gt;=3,N(BR293)&gt;=3),"L1,L2,L3",IFERROR(_xlfn.TEXTBEFORE(_xlfn.TEXTAFTER(_xlfn.XLOOKUP(A293,Щиты[Щит],Щиты[_фазы авто]),";"&amp;AW293&amp;":"),";"),"L1"))))</f>
        <v>L1</v>
      </c>
      <c r="FE293" t="str">
        <f t="shared" si="559"/>
        <v>L3</v>
      </c>
      <c r="FF293" t="str">
        <f t="shared" si="560"/>
        <v>L3</v>
      </c>
      <c r="FG293" cm="1">
        <f t="array" ref="FG293">IFERROR(IF(BX293=2,_xlfn.IFS(BR293=3,VLOOKUP(BN293,Справочная_двигатели,3,FALSE),BR293=1,VLOOKUP(BN293,Справочная_двигатели,5,TRUE)),0),0)</f>
        <v>0</v>
      </c>
      <c r="FH293">
        <f>IFERROR(IF(BX293=3,VLOOKUP(BN293,Справочная_ЛЭД,2,TRUE),0),0)</f>
        <v>0</v>
      </c>
      <c r="FI293" s="6">
        <f t="shared" si="561"/>
        <v>0</v>
      </c>
      <c r="FJ293" t="str" cm="1">
        <f t="array" ref="FJ293">IF(B293="","",IFERROR(INDEX({"I особая","I","II","III"},MATCH(TRIM(AC293&amp;""),{"I особая","I","II","III"},0)),"III"))</f>
        <v>II</v>
      </c>
      <c r="FK293" t="str">
        <f>IF(B293="","",IF(TRIM(AD293&amp;"")&lt;&gt;"",IF(LOWER(TRIM(AD293&amp;""))="да","да","нет"),IF(IFERROR(_xlfn.XLOOKUP(AX293,Коды_код,Коды_пожарная),"")="да","да","нет")))</f>
        <v>нет</v>
      </c>
      <c r="FL293" t="str">
        <f t="shared" si="562"/>
        <v/>
      </c>
      <c r="FM293" t="str">
        <f t="shared" si="563"/>
        <v>основная</v>
      </c>
      <c r="FN293">
        <f t="shared" si="564"/>
        <v>1</v>
      </c>
      <c r="FO293" t="str" cm="1">
        <f t="array" ref="FO293">IF(B293="","",_xlfn.LET(_xlpm.t,IFERROR(_xlfn.XLOOKUP(1,(Шины[Шина]=FM293)*(((Шины[Щит]=A293)+(Шины[Щит]=""))&gt;0),Шины[Тип]),"")&amp;"",IF(_xlpm.t&lt;&gt;"",_xlpm.t,IF(ISNUMBER(SEARCH("ИБП",FM293)),"ИБП",IF(ISNUMBER(SEARCH("ДГУ",FM293)),"ДГУ","Ввод "&amp;FN293)))))</f>
        <v>Ввод 1</v>
      </c>
      <c r="FP293" t="str">
        <f t="shared" si="565"/>
        <v>Ввод 1</v>
      </c>
      <c r="FQ293" t="str">
        <f>IF(B293="","",IF(OR(FO293="ИБП",FO293="ДГУ"),"I особая",IF(FO293="Одиночная","III",_xlfn.XLOOKUP(A293,Щиты[Щит],Щиты[Категория шины «Ввод»],"III"))))</f>
        <v>II</v>
      </c>
      <c r="FR293">
        <f>IF(B293="",0,IFERROR(MATCH(FJ293,{"III","II","I","I особая"},0),1))</f>
        <v>2</v>
      </c>
      <c r="FS293">
        <f t="shared" si="566"/>
        <v>2</v>
      </c>
      <c r="FT293" t="str">
        <f>IF(B293="","",IF(FR293&gt;IFERROR(MATCH(FQ293,{"III","II","I","I особая"},0),1),"НЕ ОБЕСПЕЧЕНА","ОК"))</f>
        <v>ОК</v>
      </c>
      <c r="FU293" t="str">
        <f>IF(A293="","",_xlfn.XLOOKUP(A293,Щиты[Щит],Щиты[Путь],""))</f>
        <v>|ГРЩ-ЖД|ЩР-2|</v>
      </c>
      <c r="FV293" t="str">
        <f>IF(B293="","",IF(AE293&lt;&gt;"",AE293,IF(IFERROR(_xlfn.XLOOKUP(AX293,Коды_код,Коды_вид)&amp;"","")="","Прочее",_xlfn.XLOOKUP(AX293,Коды_код,Коды_вид)&amp;"")))</f>
        <v>Розеточная сеть и бытовые приборы</v>
      </c>
      <c r="FW293">
        <f>IF(BH293="","",INT((BH293-1)/Столбцов_на_лист)+1)</f>
        <v>2</v>
      </c>
      <c r="FX293" t="str">
        <f t="shared" si="567"/>
        <v>ВВГнг(А)-LS (3х2,5) L=38-0,16%</v>
      </c>
      <c r="FY293">
        <f t="shared" si="568"/>
        <v>0.12</v>
      </c>
      <c r="FZ293">
        <f t="shared" si="569"/>
        <v>0.55000000000000004</v>
      </c>
      <c r="GA293">
        <f t="shared" si="570"/>
        <v>1</v>
      </c>
      <c r="GB293">
        <f t="shared" si="571"/>
        <v>0</v>
      </c>
      <c r="GC293">
        <f t="shared" si="572"/>
        <v>1</v>
      </c>
      <c r="GD293">
        <f>IF(BH293="","",IF(AND(CA293=1,GC293=1),COUNTIFS(A$3:A293,A293,CA$3:CA293,1,GC$3:GC293,1),IF(OR(OR(AW293=1,A293&lt;&gt;A292),AF293="вручную",GC293=0),"",IF(AW293=1,"",GE292))))</f>
        <v>10</v>
      </c>
      <c r="GE293">
        <f t="shared" si="573"/>
        <v>10</v>
      </c>
      <c r="GF293">
        <f>IF(B293="","",IFERROR(LOOKUP(INDEX(CHOOSE(DL293,Iдоп_1ж,Iдоп_2ж,Iдоп_3ж),MATCH(DX293,Iдоп_S,0))*DJ293*DK293,{6,10,16,20,25,32,40,50,63,80,100,125,160,200,250,315,400,500,630}),""))</f>
        <v>25</v>
      </c>
      <c r="GG293" t="str">
        <f t="shared" si="574"/>
        <v>QFD10</v>
      </c>
      <c r="GH293" t="str">
        <f t="shared" si="575"/>
        <v>QFD10</v>
      </c>
      <c r="GI293" t="str">
        <f t="shared" si="576"/>
        <v/>
      </c>
      <c r="GJ293">
        <f t="shared" si="577"/>
        <v>0</v>
      </c>
      <c r="GK293" t="str">
        <f>IF(OR(AG293="",AG293="-"),"",IFERROR(VLOOKUP(AG293,Модули_спр,2,FALSE),"R"))</f>
        <v/>
      </c>
      <c r="GL293" t="str">
        <f>IF(GK293="","",GK293&amp;"."&amp;COUNTIFS(A$3:A293,A293,GK$3:GK293,GK293))</f>
        <v/>
      </c>
      <c r="GM293" t="str">
        <f t="shared" si="578"/>
        <v/>
      </c>
      <c r="GN293" t="str">
        <f t="shared" si="579"/>
        <v/>
      </c>
      <c r="GO293" t="str">
        <f t="shared" si="580"/>
        <v/>
      </c>
      <c r="GP293" t="str">
        <f t="shared" si="581"/>
        <v/>
      </c>
      <c r="GQ293">
        <f t="shared" si="582"/>
        <v>1</v>
      </c>
      <c r="GR293" t="str">
        <f>IF(GQ293=1,"XT"&amp;COUNTIFS(A$3:A293,A293,GQ$3:GQ293,1),"")</f>
        <v>XT10</v>
      </c>
      <c r="GS293" t="str">
        <f t="shared" si="583"/>
        <v>XT10</v>
      </c>
      <c r="GT293" t="str">
        <f t="shared" si="584"/>
        <v>QFD10</v>
      </c>
      <c r="GU293" t="str">
        <f t="shared" si="585"/>
        <v/>
      </c>
      <c r="GV293" t="str">
        <f t="shared" si="586"/>
        <v>ok</v>
      </c>
      <c r="GW293" t="str">
        <f>IF(OR(GO293="",GM293=""),"",IF(GO293&gt;IFERROR(VLOOKUP(GN293,Модули_спр,3,FALSE),99),"ЛИШНИЙ КАНАЛ",IF(AND(AH293&lt;&gt;"=",COUNTIFS(Линии[_модуль гр.],GM293,Линии[Канал (итог)],GO293,Линии[Канал],"&lt;&gt;=",Линии[Щит],A293)&gt;1),"ДУБЛЬ КАНАЛА","")))</f>
        <v/>
      </c>
      <c r="GX293" s="6" t="str">
        <f t="shared" si="587"/>
        <v/>
      </c>
      <c r="GY293">
        <f t="shared" si="588"/>
        <v>10</v>
      </c>
      <c r="GZ293" t="str">
        <f t="shared" si="589"/>
        <v/>
      </c>
      <c r="HA293" t="str">
        <f>IF(AND(B293="",GT293=""),"",_xlfn.TEXTJOIN("; ",TRUE,IF(AND(B293&lt;&gt;"",FE293=""),"нет фазы",""),IF(AND(B293&lt;&gt;"",N(FY293)=0,EQ293&lt;&gt;"Нет"),"нет мощности",""),IF(AND(GS293&lt;&gt;"",COUNTIFS(Линии[Щит],A293,Линии[Клемма (итог)],GS293)&gt;1),"дубль клеммы "&amp;GS293,""),IF(AND(GV293&lt;&gt;"",GV293&lt;&gt;"ok"),GV293,""),IF(GW293&lt;&gt;"",GW293,""),IF(AND(N(BV293)&gt;=4,N(BR293)=1),BV293&amp;" жил на 1 фазе",""),IF(AND(AX293="R",CA293=1,OR(N(CK293)=0,N(CK293)&gt;30)),"розетка без дифзащиты до 30 мА",""),IFERROR(IF(AND(ISNUMBER(R293),R293&gt;DV293),"потери "&amp;FIXED(R293,1)&amp;" % &gt; "&amp;DV293&amp;" %",""),""),IFERROR(IF(LEFT(GZ293,4)="мало","Iкз мало — отключение &gt; 0,4 с",""),""),IF(AND(B293&lt;&gt;"",BH293=""),"не на схеме",""),IF(AND(CA293=0,B293&lt;&gt;"",FE293&lt;&gt;"",IF(AW293=1,"",FF292)&lt;&gt;"",FE293&lt;&gt;IF(AW293=1,"",FF292)),"фаза не как у автомата группы ("&amp;IF(AW293=1,"",FF292)&amp;")","")))</f>
        <v/>
      </c>
      <c r="HB293" s="6">
        <f>IF(OR(CA293=0,DA293=""),"",_xlfn.LET(_xlpm.t,IFERROR(_xlfn.XLOOKUP(DA293,Каталог!$U$4:$U$500,Каталог!$G$4:$G$500),""),_xlpm.k,SEARCH("кА",_xlpm.t),IFERROR(--TRIM(RIGHT(SUBSTITUTE(MID(_xlpm.t,MAX(1,_xlpm.k-4),_xlpm.k-MAX(1,_xlpm.k-4))," ",REPT(" ",9)),5)),"")))</f>
        <v>6</v>
      </c>
      <c r="HC293" t="str">
        <f>IF(OR(HB293="",CA293=0),"",IF(_xlfn.XLOOKUP(A293,Щиты[Щит],Щиты[Iкз max на шинах, кА],"")="","",IF(HB293&lt;_xlfn.XLOOKUP(A293,Щиты[Щит],Щиты[Iкз max на шинах, кА]),"Icu "&amp;HB293&amp;" кА &lt; Iкз max","ok")))</f>
        <v/>
      </c>
      <c r="HD293" t="str">
        <f t="shared" si="590"/>
        <v/>
      </c>
      <c r="HE293" t="str">
        <f t="shared" si="591"/>
        <v>QFD10|XT10</v>
      </c>
      <c r="HF293" t="str">
        <f t="shared" si="592"/>
        <v>QFD10|XT10|кабель ВВГнг(А)-LS (3х2,5) → Розеточная группа, пом. 013А</v>
      </c>
      <c r="HG293" t="str" cm="1">
        <f t="array" ref="HG293">IF(HF293="","",_xlfn.LET(_xlpm.nd,_xlfn.TEXTSPLIT(HF293,"|"),IF(COLUMNS(_xlpm.nd)&gt;1,A293&amp;"¦"&amp;INDEX(_xlpm.nd,1)&amp;"¦"&amp;INDEX(_xlpm.nd,2),"")))</f>
        <v>ЩР-2¦QFD10¦XT10</v>
      </c>
      <c r="HH293" t="str">
        <f t="shared" si="593"/>
        <v>R.2.013А.1¦Розеточная группа, пом. 013А</v>
      </c>
      <c r="HI293" t="str" cm="1">
        <f t="array" ref="HI293">IF(HF293="","",_xlfn.LET(_xlpm.nd,_xlfn.TEXTSPLIT(HF293,"|"),IF(COLUMNS(_xlpm.nd)&gt;2,A293&amp;"¦"&amp;INDEX(_xlpm.nd,2)&amp;"¦"&amp;INDEX(_xlpm.nd,3),"")))</f>
        <v>ЩР-2¦XT10¦кабель ВВГнг(А)-LS (3х2,5) → Розеточная группа, пом. 013А</v>
      </c>
      <c r="HJ293" t="str">
        <f t="shared" si="594"/>
        <v>R.2.013А.1¦Розеточная группа, пом. 013А</v>
      </c>
      <c r="HK293" t="str" cm="1">
        <f t="array" ref="HK293">IF(HF293="","",_xlfn.LET(_xlpm.nd,_xlfn.TEXTSPLIT(HF293,"|"),IF(COLUMNS(_xlpm.nd)&gt;3,A293&amp;"¦"&amp;INDEX(_xlpm.nd,3)&amp;"¦"&amp;INDEX(_xlpm.nd,4),"")))</f>
        <v/>
      </c>
      <c r="HL293" t="str">
        <f t="shared" si="595"/>
        <v/>
      </c>
      <c r="HM293" t="str" cm="1">
        <f t="array" ref="HM293">IF(HF293="","",_xlfn.LET(_xlpm.nd,_xlfn.TEXTSPLIT(HF293,"|"),IF(COLUMNS(_xlpm.nd)&gt;4,A293&amp;"¦"&amp;INDEX(_xlpm.nd,4)&amp;"¦"&amp;INDEX(_xlpm.nd,5),"")))</f>
        <v/>
      </c>
      <c r="HN293" t="str">
        <f t="shared" si="596"/>
        <v/>
      </c>
      <c r="HO293" t="str" cm="1">
        <f t="array" ref="HO293">IF(HF293="","",_xlfn.LET(_xlpm.nd,_xlfn.TEXTSPLIT(HF293,"|"),IF(COLUMNS(_xlpm.nd)&gt;5,A293&amp;"¦"&amp;INDEX(_xlpm.nd,5)&amp;"¦"&amp;INDEX(_xlpm.nd,6),"")))</f>
        <v/>
      </c>
      <c r="HP293" t="str">
        <f t="shared" si="597"/>
        <v/>
      </c>
      <c r="HQ293" t="str" cm="1">
        <f t="array" ref="HQ293">IF(HF293="","",_xlfn.LET(_xlpm.nd,_xlfn.TEXTSPLIT(HF293,"|"),IF(COLUMNS(_xlpm.nd)&gt;6,A293&amp;"¦"&amp;INDEX(_xlpm.nd,6)&amp;"¦"&amp;INDEX(_xlpm.nd,7),"")))</f>
        <v/>
      </c>
      <c r="HR293" t="str">
        <f t="shared" si="598"/>
        <v/>
      </c>
      <c r="HS293" t="str">
        <f t="shared" si="599"/>
        <v/>
      </c>
      <c r="HT293" t="str">
        <f t="shared" si="600"/>
        <v>QFD10 → XT10</v>
      </c>
      <c r="HU293">
        <f t="shared" si="601"/>
        <v>0</v>
      </c>
      <c r="HV293">
        <f t="shared" si="602"/>
        <v>1</v>
      </c>
      <c r="HW293" t="str">
        <f t="shared" si="603"/>
        <v/>
      </c>
      <c r="HX293" t="str">
        <f t="shared" si="604"/>
        <v/>
      </c>
      <c r="HY293" t="str">
        <f t="shared" si="605"/>
        <v/>
      </c>
      <c r="HZ293" t="str">
        <f t="shared" si="606"/>
        <v/>
      </c>
      <c r="IA293" t="str">
        <f>IF(B293="","",IFERROR(VLOOKUP(B293,УГО_спр,2,FALSE),IFERROR(VLOOKUP(AX293,УГО_спр,2,FALSE),IFERROR(VLOOKUP(LEFT(AX293,2),УГО_спр,2,FALSE),""))))</f>
        <v>Розетка</v>
      </c>
      <c r="IB293" t="str">
        <f>IF(B293="","",IF(OR(IA293="",IA293=0),"BOX",IFERROR(IF(VLOOKUP(IA293,УГО_блоки,3,FALSE)&amp;""&lt;&gt;"",VLOOKUP(IA293,УГО_блоки,3,FALSE),VLOOKUP(IA293,УГО_блоки,2,FALSE)),IA293)))</f>
        <v>SOCKET</v>
      </c>
      <c r="IC293">
        <f t="shared" si="607"/>
        <v>1</v>
      </c>
      <c r="ID293" t="str">
        <f>IF(DA293="","",IF(COUNTIF(DA$3:DA293,DA293)=1,MAX(ID$2:ID292)+1,""))</f>
        <v/>
      </c>
      <c r="IE293" t="str">
        <f>IF(CO293="","",IF(COUNTIF(CO$3:CO293,CO293)+COUNTIF(CP$2:CP292,CO293)+COUNTIF(CQ$2:CQ292,CO293)=1,MAX(IE$2:IG292)+1,""))</f>
        <v/>
      </c>
      <c r="IF293" t="str">
        <f>IF(CP293="","",IF(COUNTIF(CO$3:CO293,CP293)+COUNTIF(CP$3:CP293,CP293)+COUNTIF(CQ$2:CQ292,CP293)=1,MAX(IE$2:IG292,IE293)+1,""))</f>
        <v/>
      </c>
      <c r="IG293" t="str">
        <f>IF(CQ293="","",IF(COUNTIF(CO$3:CO293,CQ293)+COUNTIF(CP$3:CP293,CQ293)+COUNTIF(CQ$3:CQ293,CQ293)=1,MAX(IE$2:IG292,IE293,IF293)+1,""))</f>
        <v/>
      </c>
      <c r="IH293" t="str">
        <f t="shared" si="608"/>
        <v>3х2,5</v>
      </c>
      <c r="II293" t="str">
        <f>IF(IH293="","",IF(COUNTIF(IH$3:IH293,IH293)=1,MAX(II$2:II292)+1,""))</f>
        <v/>
      </c>
      <c r="IJ293" t="str">
        <f>IF(GL293="","",COUNTIF(GL$3:GL293,"?*"))</f>
        <v/>
      </c>
      <c r="IK293" t="str">
        <f>IF(OR(GL293="",GN293=""),"",IF(COUNTIFS(GL$3:GL293,"?*",GN$3:GN293,GN293)=1,MAX(IK$2:IK292)+1,""))</f>
        <v/>
      </c>
      <c r="IL293">
        <f t="shared" si="609"/>
        <v>0</v>
      </c>
      <c r="IM293">
        <f>IF(B293="","",COUNTIF(B$3:B293,"?*"))</f>
        <v>291</v>
      </c>
      <c r="IN293">
        <f>IF(GQ293&lt;&gt;1,0,_xlfn.LET(_xlpm.k,MAX(IFERROR(--VLOOKUP(B293,УГО_спр,5,FALSE),0),IFERROR(--VLOOKUP(AX293,УГО_спр,5,FALSE),0),IFERROR(--VLOOKUP(LEFT(AX293,2),УГО_спр,5,FALSE),0)),IF(_xlpm.k&gt;0,_xlpm.k,IF(IFERROR(--LEFT(SUBSTITUTE(IH293,"x","х"),FIND("х",SUBSTITUTE(IH293,"x","х"))-1),3)&gt;3,Каталог!$S$9,1))))</f>
        <v>1</v>
      </c>
      <c r="IO293">
        <f t="shared" si="610"/>
        <v>0</v>
      </c>
      <c r="IP293" t="str">
        <f t="shared" si="611"/>
        <v>авто</v>
      </c>
      <c r="IQ293">
        <f t="shared" si="612"/>
        <v>30</v>
      </c>
      <c r="IR293">
        <f t="shared" si="613"/>
        <v>1</v>
      </c>
      <c r="IS293">
        <f t="shared" si="614"/>
        <v>1</v>
      </c>
    </row>
    <row r="294" spans="1:253" x14ac:dyDescent="0.3">
      <c r="A294" t="s">
        <v>761</v>
      </c>
      <c r="B294" t="s">
        <v>1558</v>
      </c>
      <c r="C294" t="s">
        <v>1683</v>
      </c>
      <c r="D294">
        <v>3</v>
      </c>
      <c r="E294">
        <v>0.54</v>
      </c>
      <c r="G294">
        <v>16</v>
      </c>
      <c r="H294">
        <f>Линии[[#This Row],[_авто утечка]]</f>
        <v>30</v>
      </c>
      <c r="I294" t="str">
        <f>Линии[[#This Row],[_авто управление]]</f>
        <v/>
      </c>
      <c r="J294" t="str">
        <f>Линии[[#This Row],[_авто аппараты]]</f>
        <v/>
      </c>
      <c r="K294">
        <v>2.5</v>
      </c>
      <c r="L294">
        <v>50</v>
      </c>
      <c r="M294">
        <v>3</v>
      </c>
      <c r="N294" t="s">
        <v>486</v>
      </c>
      <c r="O294" t="str">
        <f t="shared" si="492"/>
        <v/>
      </c>
      <c r="P294" s="6" cm="1">
        <f t="array" ref="P294">IF(B294="","",IF(BC294&lt;&gt;"",IFERROR(_xlfn.XLOOKUP(BC294,Щиты[Щит],Щиты[Iр, А]),""),IF(BK294=1,IFERROR(_xlfn.XLOOKUP(A294,Щиты[Щит],Щиты[Iр, А]),""),IFERROR(_xlfn.IFS(BR294=1,BN294/((Uн_лин/SQRT(3))*BY294),BR294=3,BN294/(SQRT(3)*Uн_лин*BY294)),""))))</f>
        <v>2.4613353581241939</v>
      </c>
      <c r="Q294" s="7">
        <f>IF(B294="","",IFERROR(IF(VLOOKUP(AX294,Потребители_обозначение,4,FALSE)=1,VLOOKUP(AX294,Потребители_обозначение,3,FALSE)*(D294*2-1)+DS294+VLOOKUP(AZ294,Этаж_обозначение,3,FALSE)+VLOOKUP(AZ294,Этаж_обозначение,4,FALSE),VLOOKUP(AX294,Потребители_обозначение,3,FALSE)*(D294*2-1)+DS294),DS294))</f>
        <v>65</v>
      </c>
      <c r="R294" s="6">
        <f t="shared" si="493"/>
        <v>2.98</v>
      </c>
      <c r="S294" t="str">
        <f t="shared" si="494"/>
        <v>ВВГнг(А)-LS (3х2,5)</v>
      </c>
      <c r="T294" t="str">
        <f>IF(BH294="","",IF(BI294="вводной узел","узел ","")&amp;"л."&amp;(INT((BH294-1)/Столбцов_на_лист)+1)&amp;" / "&amp;(MOD(BH294-1,Столбцов_на_лист)+1))</f>
        <v>л.2 / 13</v>
      </c>
      <c r="V294">
        <v>1</v>
      </c>
      <c r="W294">
        <v>230</v>
      </c>
      <c r="X294" t="s">
        <v>564</v>
      </c>
      <c r="AC294" t="s">
        <v>815</v>
      </c>
      <c r="AE294" t="s">
        <v>563</v>
      </c>
      <c r="AI294">
        <v>30</v>
      </c>
      <c r="AJ294" t="s">
        <v>11</v>
      </c>
      <c r="AK294">
        <v>3</v>
      </c>
      <c r="AM294">
        <v>12</v>
      </c>
      <c r="AN294">
        <v>17</v>
      </c>
      <c r="AO294">
        <v>30</v>
      </c>
      <c r="AP294">
        <v>2</v>
      </c>
      <c r="AW294" cm="1">
        <f t="array" ref="AW294">ROW()-ROW(Линии[#Headers])</f>
        <v>292</v>
      </c>
      <c r="AX294" s="6" t="str">
        <f t="shared" si="495"/>
        <v>R</v>
      </c>
      <c r="AY294" t="str">
        <f t="shared" si="496"/>
        <v>2.014А.1</v>
      </c>
      <c r="AZ294" t="str">
        <f t="shared" si="497"/>
        <v>2</v>
      </c>
      <c r="BA294" t="str">
        <f t="shared" si="498"/>
        <v>014А.1</v>
      </c>
      <c r="BB294" t="str">
        <f t="shared" si="499"/>
        <v>014А</v>
      </c>
      <c r="BC294" t="str">
        <f>IF(U294&lt;&gt;"",U294,IF(AND(B294&lt;&gt;"",B294&lt;&gt;A294,ISNUMBER(_xlfn.XMATCH(B294,Щиты[Щит]))),B294,""))</f>
        <v/>
      </c>
      <c r="BD294" t="str" cm="1">
        <f t="array" ref="BD294">IF(B294="","",IF(BC294&lt;&gt;"","Щит "&amp;BC294,_xlfn.LET(_xlpm.nm,IFERROR(_xlfn.XLOOKUP(AX294,Коды_код,Коды_имя)&amp;"",""),_xlpm.md,IFERROR(N(_xlfn.XLOOKUP(AX294,Коды_код,Коды_режим)),1),_xlpm.ex,IF(Имя_режим="по экспликации",IFERROR(_xlfn.XLOOKUP(AZ294&amp;"|"&amp;BB294,Экспликация[Этаж]&amp;"|"&amp;Экспликация[Помещение],Экспликация[Название])&amp;"",""),""),_xlpm.rm,IF(BB294="","",IF(_xlpm.ex&lt;&gt;"",". "&amp;_xlpm.ex&amp;IF(Имя_пом="нет"," ("&amp;BB294&amp;")"," (пом. "&amp;BB294&amp;")"),IF(Имя_пом="нет"," ",", пом. ")&amp;BB294)),IF(_xlpm.nm="","",IF(_xlpm.md=2,_xlpm.nm&amp;" шлейф "&amp;AZ294,_xlpm.nm&amp;_xlpm.rm)))))</f>
        <v>Розеточная группа, пом. 014А</v>
      </c>
      <c r="BE294" t="str">
        <f t="shared" si="500"/>
        <v>Розеточная группа Второй этаж Пом. №013А, 012А</v>
      </c>
      <c r="BF294">
        <f>IFERROR(_xlfn.XMATCH(A294,Щиты[Щит]),0)</f>
        <v>11</v>
      </c>
      <c r="BG294">
        <f>_xlfn.LET(_xlpm.k,IFERROR(_xlfn.XLOOKUP(A294,Щиты[Щит],Щиты[Листов под вводной узел]),""),IF(_xlpm.k="",1,N(_xlpm.k))*Столбцов_на_лист)</f>
        <v>17</v>
      </c>
      <c r="BH294">
        <f t="shared" si="501"/>
        <v>30</v>
      </c>
      <c r="BI294" t="str">
        <f t="shared" si="502"/>
        <v>линии</v>
      </c>
      <c r="BJ294" s="6">
        <f>IFERROR(N(_xlfn.XLOOKUP(AX294,Коды_код,Коды_квт)),0)</f>
        <v>0</v>
      </c>
      <c r="BK294">
        <f t="shared" si="503"/>
        <v>0</v>
      </c>
      <c r="BL294" t="str">
        <f>IF(B294="","",IF(BC294&lt;&gt;"",IFERROR(_xlfn.XLOOKUP(BC294,Щиты[Щит],Щиты[Руст, кВт]),0),IF(BK294=1,IFERROR(_xlfn.XLOOKUP(A294,Щиты[Щит],Щиты[Руст, кВт]),0),IF(BJ294&gt;0,ROUND(BJ294*MAX(1,N(D294)),3),""))))</f>
        <v/>
      </c>
      <c r="BM294">
        <f t="shared" si="504"/>
        <v>0.54</v>
      </c>
      <c r="BN294" s="6">
        <f>IF(B294="","",IF(BC294&lt;&gt;"",IFERROR(_xlfn.XLOOKUP(BC294,Щиты[Щит],Щиты[Руст, кВт]),0),N(BM294)))</f>
        <v>0.54</v>
      </c>
      <c r="BO294" t="str">
        <f>IF(B294="","",IFERROR(IF(VLOOKUP(AX294,Потребители_обозначение,8,FALSE)=0,"",VLOOKUP(AX294,Потребители_обозначение,8,FALSE)),""))</f>
        <v/>
      </c>
      <c r="BP294">
        <f t="shared" si="505"/>
        <v>230</v>
      </c>
      <c r="BQ294">
        <f>IF(B294="","",IF(BC294&lt;&gt;"",3,IFERROR(IF(N(VLOOKUP(AX294,Потребители_обозначение,9,FALSE))=0,1,VLOOKUP(AX294,Потребители_обозначение,9,FALSE)),1)))</f>
        <v>1</v>
      </c>
      <c r="BR294">
        <f t="shared" si="506"/>
        <v>1</v>
      </c>
      <c r="BS294" t="str">
        <f>IF(B294="","",_xlfn.LET(_xlpm.bc,IFERROR(IF(VLOOKUP(AX294,Потребители_обозначение,6,FALSE)=0,"",VLOOKUP(AX294,Потребители_обозначение,6,FALSE)&amp;""),""),IF(AND(FK294="да",OR(_xlpm.bc="",_xlpm.bc="мс")),Марка_пож,IF(AND(_xlpm.bc="",BC294&lt;&gt;""),"мс",_xlpm.bc))))</f>
        <v/>
      </c>
      <c r="BT294" t="str">
        <f t="shared" si="507"/>
        <v>мс</v>
      </c>
      <c r="BU294">
        <f>IF(B294="","",_xlfn.LET(_xlpm.cc,IFERROR(N(VLOOKUP(AX294,Потребители_обозначение,7,FALSE)),0),IF(_xlpm.cc&gt;0,_xlpm.cc,IF(BT294="","",IF(N(BR294)=3,5,3)))))</f>
        <v>3</v>
      </c>
      <c r="BV294">
        <f t="shared" si="508"/>
        <v>3</v>
      </c>
      <c r="BW294">
        <f>IFERROR(N(VLOOKUP(AX294,Потребители_обозначение,10,FALSE)),0)</f>
        <v>0</v>
      </c>
      <c r="BX294">
        <f>IFERROR(VLOOKUP(AX294,Потребители_обозначение,5,FALSE),0)</f>
        <v>1</v>
      </c>
      <c r="BY294" s="6" cm="1">
        <f t="array" ref="BY294">IF(B294="","",IF(BC294&lt;&gt;"",IFERROR(_xlfn.XLOOKUP(BC294,Щиты[Щит],Щиты[cos φ]),0.95),IF(BK294=1,IFERROR(_xlfn.XLOOKUP(A294,Щиты[Щит],Щиты[cos φ]),0.95),IF(ISNUMBER(Z294),Z294,IFERROR(IF(BX294=2,_xlfn.IFS(BR294=3,VLOOKUP(BN294,Справочная_двигатели,8,FALSE),BR294=1,VLOOKUP(BN294,Справочная_двигатели,10,TRUE)),IF(AND(Методика="нормы 2026",EQ294="Сил"),0.8,0.95)),0.95)))))</f>
        <v>0.95</v>
      </c>
      <c r="BZ294">
        <f t="shared" si="509"/>
        <v>0</v>
      </c>
      <c r="CA294">
        <f t="shared" si="510"/>
        <v>1</v>
      </c>
      <c r="CB294">
        <f t="shared" si="511"/>
        <v>0</v>
      </c>
      <c r="CC294">
        <f t="shared" si="512"/>
        <v>0</v>
      </c>
      <c r="CD294">
        <f t="shared" si="513"/>
        <v>0</v>
      </c>
      <c r="CE294">
        <f t="shared" si="514"/>
        <v>0</v>
      </c>
      <c r="CF294">
        <f t="shared" si="515"/>
        <v>0</v>
      </c>
      <c r="CG294">
        <f>IF(AX294="",0,_xlfn.LET(_xlpm.v,IFERROR(VLOOKUP(B294,УГО_спр,3,FALSE),IFERROR(VLOOKUP(AX294,УГО_спр,3,FALSE),IFERROR(VLOOKUP(LEFT(AX294,2),УГО_спр,3,FALSE),""))),IF(_xlpm.v="да",30,IF(ISNUMBER(_xlpm.v),_xlpm.v,0))))</f>
        <v>30</v>
      </c>
      <c r="CH294">
        <f t="shared" si="516"/>
        <v>30</v>
      </c>
      <c r="CI294" t="str">
        <f>_xlfn.LET(_xlpm.k,IFERROR(_xlfn.XLOOKUP(AX294,Коды_код,Коды_утечка)&amp;"",""),IF(_xlpm.k="","дифавтомат",_xlpm.k))</f>
        <v>дифавтомат</v>
      </c>
      <c r="CJ294">
        <f t="shared" si="517"/>
        <v>30</v>
      </c>
      <c r="CK294">
        <f t="shared" si="518"/>
        <v>30</v>
      </c>
      <c r="CL294">
        <f>IF(B294="",0,IFERROR(--VLOOKUP(B294,УГО_спр,4,FALSE),IFERROR(--VLOOKUP(AX294,УГО_спр,4,FALSE),IFERROR(--VLOOKUP(LEFT(AX294,2),УГО_спр,4,FALSE),0))))</f>
        <v>16</v>
      </c>
      <c r="CM294" t="str">
        <f>IF(B294="","",IFERROR(_xlfn.XLOOKUP(AX294,Коды_код,Коды_апп)&amp;"",""))</f>
        <v/>
      </c>
      <c r="CN294" t="str">
        <f t="shared" si="519"/>
        <v/>
      </c>
      <c r="CO294" t="str" cm="1">
        <f t="array" ref="CO294">IF(TRIM(CN294&amp;"")="","",IFERROR(TRIM(INDEX(_xlfn.TEXTSPLIT(CN294&amp;";;;",";"),1)),""))</f>
        <v/>
      </c>
      <c r="CP294" t="str" cm="1">
        <f t="array" ref="CP294">IF(TRIM(CN294&amp;"")="","",IFERROR(TRIM(INDEX(_xlfn.TEXTSPLIT(CN294&amp;";;;",";"),2)),""))</f>
        <v/>
      </c>
      <c r="CQ294" t="str" cm="1">
        <f t="array" ref="CQ294">IF(TRIM(CN294&amp;"")="","",IFERROR(TRIM(INDEX(_xlfn.TEXTSPLIT(CN294&amp;";;;",";"),3)),""))</f>
        <v/>
      </c>
      <c r="CR294">
        <f t="shared" si="520"/>
        <v>0</v>
      </c>
      <c r="CS294" t="str">
        <f>IF(B294="","",_xlfn.LET(_xlpm.t,LOWER(AV294&amp;""),IF(ISNUMBER(SEARCH("dim",_xlpm.t)),"DIM",IF(ISNUMBER(SEARCH("dali",_xlpm.t)),"DALI",IF(OR(ISNUMBER(SEARCH("relay",_xlpm.t)),ISNUMBER(SEARCH("реле",_xlpm.t))),"Relay",IF(ISNUMBER(SEARCH("кнопк",_xlpm.t)),"",IFERROR(_xlfn.XLOOKUP(AX294,Коды_код,Коды_упр)&amp;"","")))))))</f>
        <v/>
      </c>
      <c r="CT294" t="str">
        <f t="shared" si="521"/>
        <v/>
      </c>
      <c r="CU294">
        <f>IF(B294="","",_xlfn.LET(_xlpm.ig,N(P294)+IF(AF294="вручную",0,N(CB294)),_xlpm.n0,IFERROR(VLOOKUP(_xlpm.ig,Автомат_номиналы,2,TRUE),0),_xlpm.mn,MAX(CL294,IF(AF294="вручную",0,N(CE294))),MAX(_xlpm.n0,_xlpm.mn,IF(CR294=1,Мин_автомат_БП,0))))</f>
        <v>16</v>
      </c>
      <c r="CV294">
        <f t="shared" si="522"/>
        <v>1</v>
      </c>
      <c r="CW294" t="str">
        <f t="shared" si="523"/>
        <v>2P</v>
      </c>
      <c r="CX294" t="str">
        <f>_xlfn.LET(_xlpm.cc,UPPER(TRIM(IFERROR(_xlfn.XLOOKUP(AX294,Коды_код,Коды_хар)&amp;"",""))),IF(OR(_xlpm.cc="B",_xlpm.cc="В"),"B",IF(_xlpm.cc="D","D","С")))</f>
        <v>С</v>
      </c>
      <c r="CY294" t="str">
        <f t="shared" si="524"/>
        <v>2P С16А 30мА</v>
      </c>
      <c r="CZ294">
        <f t="shared" si="525"/>
        <v>16</v>
      </c>
      <c r="DA294" t="str">
        <f t="shared" si="526"/>
        <v>2P С16А 30мА</v>
      </c>
      <c r="DB294" cm="1">
        <f t="array" ref="DB294">IF(DA294="","",_xlfn.LET(_xlpm.t,SUBSTITUTE(SUBSTITUTE(SUBSTITUTE(UPPER(DA294),"С","C"),"А","A"),"В","B"),_xlpm.tk,_xlfn.TEXTSPLIT(_xlpm.t,"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4" t="str">
        <f t="shared" si="527"/>
        <v>ok</v>
      </c>
      <c r="DD294">
        <f t="shared" si="528"/>
        <v>16</v>
      </c>
      <c r="DE294" t="str">
        <f t="shared" si="529"/>
        <v>2P С16А 30мА</v>
      </c>
      <c r="DF294">
        <f t="shared" si="530"/>
        <v>30</v>
      </c>
      <c r="DG294">
        <f t="shared" si="531"/>
        <v>1</v>
      </c>
      <c r="DH294">
        <f t="shared" si="532"/>
        <v>0</v>
      </c>
      <c r="DI294">
        <f t="shared" si="533"/>
        <v>2.4613353581241939</v>
      </c>
      <c r="DJ294">
        <f t="shared" si="534"/>
        <v>1</v>
      </c>
      <c r="DK294">
        <f>IF(ISNUMBER(AL294),AL294,К_прокл)</f>
        <v>1</v>
      </c>
      <c r="DL294">
        <f t="shared" si="535"/>
        <v>2</v>
      </c>
      <c r="DM294">
        <f>IFERROR(N(VLOOKUP(BT294,Кабель_обозначение,3,FALSE)),1)</f>
        <v>1</v>
      </c>
      <c r="DN294">
        <f>IFERROR(N(_xlfn.XLOOKUP(A294,Щиты[Щит],Щиты[ΔU до шин, %])),0)</f>
        <v>1.79</v>
      </c>
      <c r="DO294" t="str">
        <f>IFERROR(_xlfn.XLOOKUP(A294,Щиты[Щит],Щиты[Zпетли на шинах, Ом]),"")</f>
        <v/>
      </c>
      <c r="DP294">
        <f>IFERROR(N(_xlfn.XLOOKUP(A294,Щиты[Щит],Щиты[ΔU до шин (подбор), %])),0)</f>
        <v>4.75</v>
      </c>
      <c r="DQ294" t="str">
        <f>IFERROR(_xlfn.XLOOKUP(A294,Щиты[Щит],Щиты[Zпетли на шинах (подбор), Ом]),"")</f>
        <v/>
      </c>
      <c r="DR294" t="str">
        <f t="shared" si="536"/>
        <v/>
      </c>
      <c r="DS294">
        <f t="shared" si="537"/>
        <v>50</v>
      </c>
      <c r="DT294">
        <f t="shared" si="538"/>
        <v>2</v>
      </c>
      <c r="DU294">
        <f t="shared" si="539"/>
        <v>0.31</v>
      </c>
      <c r="DV294" s="6">
        <f>IF(B294="","",IF(IFERROR(VLOOKUP(AX294,УГО_спр,2,FALSE),"")="Светильник",3,4)+IF(Методика="нормы 2026",MIN(0.5,MAX(0,N(Q294)-100)*0.005),0))</f>
        <v>4</v>
      </c>
      <c r="DW294" t="str" cm="1">
        <f t="array" ref="DW294">IF(OR(B294="",BT294="",DM294&lt;&gt;1),"",_xlfn.LET(_xlpm.sz,Iдоп_S,_xlpm.t_,CHOOSE(DL294,Iдоп_1ж,Iдоп_2ж,Iдоп_3ж)*DJ294*DK294,_xlpm.inn,N(DD294),_xlpm.smin,MAX(1.5,BW294),_xlpm.L_,N(Q294)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294)*(_xlpm.rho*_xlpm.L_/_xlpm.sz*N(BY294)+_xlpm.xx*_xlpm.L_*N(DU294)/1000)*N(P294)/((Uн_лин/SQRT(3))*1000)*100,999),_xlpm.kz,IF(OR(DG294=1,NOT(ISNUMBER(DQ294)),_xlpm.L_=0,_xlpm.inn=0),1,IFERROR(--(c_min*(Uн_лин*1000/SQRT(3))/(DQ294+2*ρкз_Cu*_xlpm.L_/_xlpm.sz)&gt;=GY294*_xlpm.inn),0)),_xlpm.ok,IFERROR((_xlpm.sz&gt;=_xlpm.smin)*(_xlpm.t_&gt;=_xlpm.inn)*IF(_xlpm.L_&gt;0,(_xlpm.du_+DP294&lt;=DV294+0.00001),1)*_xlpm.kz,0),_xlpm.r_,_xlfn._xlws.FILTER(_xlpm.sz,_xlpm.ok,"не подобрано"),INDEX(_xlpm.r_,1)))</f>
        <v>не подобрано</v>
      </c>
      <c r="DX294">
        <f t="shared" si="540"/>
        <v>2.5</v>
      </c>
      <c r="DY294" cm="1">
        <f t="array" ref="DY294">IF(OR(B294="",BT294="",DM294&lt;&gt;1),"",_xlfn.LET(_xlpm.sz,Iдоп_S,_xlpm.t_,CHOOSE(DL294,Iдоп_1ж,Iдоп_2ж,Iдоп_3ж)*DJ294*DK294,_xlpm.ok,IFERROR((_xlpm.sz&gt;=MAX(1.5,BW294))*(_xlpm.t_&gt;=N(DD294)),0),_xlpm.r_,_xlfn._xlws.FILTER(_xlpm.sz,_xlpm.ok,""),INDEX(_xlpm.r_,1)))</f>
        <v>1.5</v>
      </c>
      <c r="DZ294" s="6" cm="1">
        <f t="array" ref="DZ294">IFERROR(ROUNDUP(N(DT294)*(_xlfn.XLOOKUP(DY294,INDEX(Кабель_сопротивление,0,1),INDEX(Кабель_сопротивление,0,3))*N(Q294)/DY294*N(BY294)+_xlfn.XLOOKUP(DY294,INDEX(Кабель_сопротивление,0,1),INDEX(Кабель_сопротивление,0,2))*N(Q294)*N(DU294)/1000)*N(P294)/((Uн_лин/SQRT(3))*1000)*100,2),"")</f>
        <v>1.98</v>
      </c>
      <c r="EA294">
        <f>IFERROR(2*ρкз_Cu*N(Q294)/DY294,"")</f>
        <v>2.2793333333333332</v>
      </c>
      <c r="EB294">
        <f>IFERROR(VLOOKUP(DX294,Кабель_сопротивление,3,FALSE),"")</f>
        <v>2.2499999999999999E-2</v>
      </c>
      <c r="EC294">
        <f>IFERROR(VLOOKUP(DX294,Кабель_сопротивление,2,FALSE),"")</f>
        <v>0.1</v>
      </c>
      <c r="ED294">
        <f t="shared" si="541"/>
        <v>17</v>
      </c>
      <c r="EE294">
        <f t="shared" si="542"/>
        <v>30</v>
      </c>
      <c r="EF294">
        <f t="shared" si="543"/>
        <v>2.7456934320482818</v>
      </c>
      <c r="EG294" s="6">
        <f>IFERROR(ROUNDUP(EF294/((Uн_лин/SQRT(3))*1000)*100,2),"")</f>
        <v>1.19</v>
      </c>
      <c r="EH294" t="str">
        <f>IFERROR(VLOOKUP(BT294,Кабель_обозначение,2,FALSE),"")</f>
        <v>ВВГнг(А)-LS</v>
      </c>
      <c r="EI294" t="str">
        <f t="shared" si="544"/>
        <v>ВВГнг(А)-LS (3х2,5)</v>
      </c>
      <c r="EJ294" t="str">
        <f t="shared" si="545"/>
        <v>ВВГнг(А)-LS (3х2,5)
L=65-1,19%</v>
      </c>
      <c r="EK294">
        <f>IFERROR(2*ρкз_Cu*Q294/DX294,"")</f>
        <v>1.3675999999999999</v>
      </c>
      <c r="EL294">
        <f t="shared" si="546"/>
        <v>0.45500000000000007</v>
      </c>
      <c r="EM294" s="6" t="str">
        <f>IFERROR(IF(OR(B294="",NOT(ISNUMBER(DX294)),N(Q294)=0),"",_xlfn.XLOOKUP(A294,Щиты[Щит],Щиты[Zпетли на шинах, Ом])+EK294),"")</f>
        <v/>
      </c>
      <c r="EN294" s="6" t="str">
        <f>IF(ISNUMBER(EM294),c_min*(Uн_лин*1000/SQRT(3))/EM294,"")</f>
        <v/>
      </c>
      <c r="EO294" s="6" t="str">
        <f>IFERROR(IF(OR(B294="",NOT(ISNUMBER(DX294))),"",1.05*(Uн_лин*1000/SQRT(3))/(_xlfn.XLOOKUP(A294,Щиты[Щит],Щиты[Zmax на шинах, Ом])+EL294)/1000),"")</f>
        <v/>
      </c>
      <c r="EP294" s="6" t="str">
        <f>IF(B294="","",IF(ISNUMBER(Y294),"Сил",IF(IFERROR(_xlfn.XLOOKUP(AX294,Коды_код,Коды_группа)&amp;"","")="","Быт",_xlfn.XLOOKUP(AX294,Коды_код,Коды_группа)&amp;"")))</f>
        <v>Быт</v>
      </c>
      <c r="EQ294" s="6" t="str">
        <f t="shared" si="547"/>
        <v>Быт</v>
      </c>
      <c r="ER294" s="6">
        <f>IF(EQ294="Щит","щит",IF(EQ294="","",IF(EQ294="Быт",IFERROR(_xlfn.XLOOKUP(A294,Щиты[Щит],Щиты[Кс быт]),1),IF(EQ294="Сил",IF(ISNUMBER(Y294),Y294,IF(Методика="нормы 2026",IFERROR(_xlfn.XLOOKUP(A294,Щиты[Щит],Щиты[Кс силовых (табл. 7.5)]),1),1)),IF(OR(EQ294="Пост",EQ294="Отоп"),1,IF(EQ294="ВНГ",0.7,0))))))</f>
        <v>0.8</v>
      </c>
      <c r="ES294">
        <f t="shared" si="548"/>
        <v>1</v>
      </c>
      <c r="ET294">
        <f t="shared" si="549"/>
        <v>0.54</v>
      </c>
      <c r="EU294">
        <f t="shared" si="550"/>
        <v>0.54</v>
      </c>
      <c r="EV294">
        <f t="shared" si="551"/>
        <v>0</v>
      </c>
      <c r="EW294">
        <f t="shared" si="552"/>
        <v>0</v>
      </c>
      <c r="EX294">
        <f t="shared" si="553"/>
        <v>0</v>
      </c>
      <c r="EY294">
        <f t="shared" si="554"/>
        <v>0</v>
      </c>
      <c r="EZ294">
        <f t="shared" si="555"/>
        <v>0.54</v>
      </c>
      <c r="FA294">
        <f t="shared" si="556"/>
        <v>0.51300000000000001</v>
      </c>
      <c r="FB294">
        <f t="shared" si="557"/>
        <v>0.54</v>
      </c>
      <c r="FC294" t="str">
        <f t="shared" si="558"/>
        <v>L3</v>
      </c>
      <c r="FD294" t="str">
        <f>IF(B294="","",IF(CA294=0,IF(AW294=1,"",FF293),IF(OR(N(CV294)&gt;=3,N(BR294)&gt;=3),"L1,L2,L3",IFERROR(_xlfn.TEXTBEFORE(_xlfn.TEXTAFTER(_xlfn.XLOOKUP(A294,Щиты[Щит],Щиты[_фазы авто]),";"&amp;AW294&amp;":"),";"),"L1"))))</f>
        <v>L1</v>
      </c>
      <c r="FE294" t="str">
        <f t="shared" si="559"/>
        <v>L3</v>
      </c>
      <c r="FF294" t="str">
        <f t="shared" si="560"/>
        <v>L3</v>
      </c>
      <c r="FG294" cm="1">
        <f t="array" ref="FG294">IFERROR(IF(BX294=2,_xlfn.IFS(BR294=3,VLOOKUP(BN294,Справочная_двигатели,3,FALSE),BR294=1,VLOOKUP(BN294,Справочная_двигатели,5,TRUE)),0),0)</f>
        <v>0</v>
      </c>
      <c r="FH294">
        <f>IFERROR(IF(BX294=3,VLOOKUP(BN294,Справочная_ЛЭД,2,TRUE),0),0)</f>
        <v>0</v>
      </c>
      <c r="FI294" s="6">
        <f t="shared" si="561"/>
        <v>0</v>
      </c>
      <c r="FJ294" t="str" cm="1">
        <f t="array" ref="FJ294">IF(B294="","",IFERROR(INDEX({"I особая","I","II","III"},MATCH(TRIM(AC294&amp;""),{"I особая","I","II","III"},0)),"III"))</f>
        <v>II</v>
      </c>
      <c r="FK294" t="str">
        <f>IF(B294="","",IF(TRIM(AD294&amp;"")&lt;&gt;"",IF(LOWER(TRIM(AD294&amp;""))="да","да","нет"),IF(IFERROR(_xlfn.XLOOKUP(AX294,Коды_код,Коды_пожарная),"")="да","да","нет")))</f>
        <v>нет</v>
      </c>
      <c r="FL294" t="str">
        <f t="shared" si="562"/>
        <v/>
      </c>
      <c r="FM294" t="str">
        <f t="shared" si="563"/>
        <v>основная</v>
      </c>
      <c r="FN294">
        <f t="shared" si="564"/>
        <v>1</v>
      </c>
      <c r="FO294" t="str" cm="1">
        <f t="array" ref="FO294">IF(B294="","",_xlfn.LET(_xlpm.t,IFERROR(_xlfn.XLOOKUP(1,(Шины[Шина]=FM294)*(((Шины[Щит]=A294)+(Шины[Щит]=""))&gt;0),Шины[Тип]),"")&amp;"",IF(_xlpm.t&lt;&gt;"",_xlpm.t,IF(ISNUMBER(SEARCH("ИБП",FM294)),"ИБП",IF(ISNUMBER(SEARCH("ДГУ",FM294)),"ДГУ","Ввод "&amp;FN294)))))</f>
        <v>Ввод 1</v>
      </c>
      <c r="FP294" t="str">
        <f t="shared" si="565"/>
        <v>Ввод 1</v>
      </c>
      <c r="FQ294" t="str">
        <f>IF(B294="","",IF(OR(FO294="ИБП",FO294="ДГУ"),"I особая",IF(FO294="Одиночная","III",_xlfn.XLOOKUP(A294,Щиты[Щит],Щиты[Категория шины «Ввод»],"III"))))</f>
        <v>II</v>
      </c>
      <c r="FR294">
        <f>IF(B294="",0,IFERROR(MATCH(FJ294,{"III","II","I","I особая"},0),1))</f>
        <v>2</v>
      </c>
      <c r="FS294">
        <f t="shared" si="566"/>
        <v>2</v>
      </c>
      <c r="FT294" t="str">
        <f>IF(B294="","",IF(FR294&gt;IFERROR(MATCH(FQ294,{"III","II","I","I особая"},0),1),"НЕ ОБЕСПЕЧЕНА","ОК"))</f>
        <v>ОК</v>
      </c>
      <c r="FU294" t="str">
        <f>IF(A294="","",_xlfn.XLOOKUP(A294,Щиты[Щит],Щиты[Путь],""))</f>
        <v>|ГРЩ-ЖД|ЩР-2|</v>
      </c>
      <c r="FV294" t="str">
        <f>IF(B294="","",IF(AE294&lt;&gt;"",AE294,IF(IFERROR(_xlfn.XLOOKUP(AX294,Коды_код,Коды_вид)&amp;"","")="","Прочее",_xlfn.XLOOKUP(AX294,Коды_код,Коды_вид)&amp;"")))</f>
        <v>Розеточная сеть и бытовые приборы</v>
      </c>
      <c r="FW294">
        <f>IF(BH294="","",INT((BH294-1)/Столбцов_на_лист)+1)</f>
        <v>2</v>
      </c>
      <c r="FX294" t="str">
        <f t="shared" si="567"/>
        <v>ВВГнг(А)-LS (3х2,5) L=65-1,19%</v>
      </c>
      <c r="FY294">
        <f t="shared" si="568"/>
        <v>0.54</v>
      </c>
      <c r="FZ294">
        <f t="shared" si="569"/>
        <v>2.4699999999999998</v>
      </c>
      <c r="GA294">
        <f t="shared" si="570"/>
        <v>1</v>
      </c>
      <c r="GB294">
        <f t="shared" si="571"/>
        <v>0</v>
      </c>
      <c r="GC294">
        <f t="shared" si="572"/>
        <v>1</v>
      </c>
      <c r="GD294">
        <f>IF(BH294="","",IF(AND(CA294=1,GC294=1),COUNTIFS(A$3:A294,A294,CA$3:CA294,1,GC$3:GC294,1),IF(OR(OR(AW294=1,A294&lt;&gt;A293),AF294="вручную",GC294=0),"",IF(AW294=1,"",GE293))))</f>
        <v>11</v>
      </c>
      <c r="GE294">
        <f t="shared" si="573"/>
        <v>11</v>
      </c>
      <c r="GF294">
        <f>IF(B294="","",IFERROR(LOOKUP(INDEX(CHOOSE(DL294,Iдоп_1ж,Iдоп_2ж,Iдоп_3ж),MATCH(DX294,Iдоп_S,0))*DJ294*DK294,{6,10,16,20,25,32,40,50,63,80,100,125,160,200,250,315,400,500,630}),""))</f>
        <v>25</v>
      </c>
      <c r="GG294" t="str">
        <f t="shared" si="574"/>
        <v>QFD11</v>
      </c>
      <c r="GH294" t="str">
        <f t="shared" si="575"/>
        <v>QFD11</v>
      </c>
      <c r="GI294" t="str">
        <f t="shared" si="576"/>
        <v/>
      </c>
      <c r="GJ294">
        <f t="shared" si="577"/>
        <v>0</v>
      </c>
      <c r="GK294" t="str">
        <f>IF(OR(AG294="",AG294="-"),"",IFERROR(VLOOKUP(AG294,Модули_спр,2,FALSE),"R"))</f>
        <v/>
      </c>
      <c r="GL294" t="str">
        <f>IF(GK294="","",GK294&amp;"."&amp;COUNTIFS(A$3:A294,A294,GK$3:GK294,GK294))</f>
        <v/>
      </c>
      <c r="GM294" t="str">
        <f t="shared" si="578"/>
        <v/>
      </c>
      <c r="GN294" t="str">
        <f t="shared" si="579"/>
        <v/>
      </c>
      <c r="GO294" t="str">
        <f t="shared" si="580"/>
        <v/>
      </c>
      <c r="GP294" t="str">
        <f t="shared" si="581"/>
        <v/>
      </c>
      <c r="GQ294">
        <f t="shared" si="582"/>
        <v>1</v>
      </c>
      <c r="GR294" t="str">
        <f>IF(GQ294=1,"XT"&amp;COUNTIFS(A$3:A294,A294,GQ$3:GQ294,1),"")</f>
        <v>XT11</v>
      </c>
      <c r="GS294" t="str">
        <f t="shared" si="583"/>
        <v/>
      </c>
      <c r="GT294" t="str">
        <f t="shared" si="584"/>
        <v>QFD11</v>
      </c>
      <c r="GU294" t="str">
        <f t="shared" si="585"/>
        <v/>
      </c>
      <c r="GV294" t="str">
        <f t="shared" si="586"/>
        <v>ok</v>
      </c>
      <c r="GW294" t="str">
        <f>IF(OR(GO294="",GM294=""),"",IF(GO294&gt;IFERROR(VLOOKUP(GN294,Модули_спр,3,FALSE),99),"ЛИШНИЙ КАНАЛ",IF(AND(AH294&lt;&gt;"=",COUNTIFS(Линии[_модуль гр.],GM294,Линии[Канал (итог)],GO294,Линии[Канал],"&lt;&gt;=",Линии[Щит],A294)&gt;1),"ДУБЛЬ КАНАЛА","")))</f>
        <v/>
      </c>
      <c r="GX294" s="6" t="str">
        <f t="shared" si="587"/>
        <v/>
      </c>
      <c r="GY294">
        <f t="shared" si="588"/>
        <v>10</v>
      </c>
      <c r="GZ294" t="str">
        <f t="shared" si="589"/>
        <v/>
      </c>
      <c r="HA294" t="str">
        <f>IF(AND(B294="",GT294=""),"",_xlfn.TEXTJOIN("; ",TRUE,IF(AND(B294&lt;&gt;"",FE294=""),"нет фазы",""),IF(AND(B294&lt;&gt;"",N(FY294)=0,EQ294&lt;&gt;"Нет"),"нет мощности",""),IF(AND(GS294&lt;&gt;"",COUNTIFS(Линии[Щит],A294,Линии[Клемма (итог)],GS294)&gt;1),"дубль клеммы "&amp;GS294,""),IF(AND(GV294&lt;&gt;"",GV294&lt;&gt;"ok"),GV294,""),IF(GW294&lt;&gt;"",GW294,""),IF(AND(N(BV294)&gt;=4,N(BR294)=1),BV294&amp;" жил на 1 фазе",""),IF(AND(AX294="R",CA294=1,OR(N(CK294)=0,N(CK294)&gt;30)),"розетка без дифзащиты до 30 мА",""),IFERROR(IF(AND(ISNUMBER(R294),R294&gt;DV294),"потери "&amp;FIXED(R294,1)&amp;" % &gt; "&amp;DV294&amp;" %",""),""),IFERROR(IF(LEFT(GZ294,4)="мало","Iкз мало — отключение &gt; 0,4 с",""),""),IF(AND(B294&lt;&gt;"",BH294=""),"не на схеме",""),IF(AND(CA294=0,B294&lt;&gt;"",FE294&lt;&gt;"",IF(AW294=1,"",FF293)&lt;&gt;"",FE294&lt;&gt;IF(AW294=1,"",FF293)),"фаза не как у автомата группы ("&amp;IF(AW294=1,"",FF293)&amp;")","")))</f>
        <v/>
      </c>
      <c r="HB294" s="6">
        <f>IF(OR(CA294=0,DA294=""),"",_xlfn.LET(_xlpm.t,IFERROR(_xlfn.XLOOKUP(DA294,Каталог!$U$4:$U$500,Каталог!$G$4:$G$500),""),_xlpm.k,SEARCH("кА",_xlpm.t),IFERROR(--TRIM(RIGHT(SUBSTITUTE(MID(_xlpm.t,MAX(1,_xlpm.k-4),_xlpm.k-MAX(1,_xlpm.k-4))," ",REPT(" ",9)),5)),"")))</f>
        <v>6</v>
      </c>
      <c r="HC294" t="str">
        <f>IF(OR(HB294="",CA294=0),"",IF(_xlfn.XLOOKUP(A294,Щиты[Щит],Щиты[Iкз max на шинах, кА],"")="","",IF(HB294&lt;_xlfn.XLOOKUP(A294,Щиты[Щит],Щиты[Iкз max на шинах, кА]),"Icu "&amp;HB294&amp;" кА &lt; Iкз max","ok")))</f>
        <v/>
      </c>
      <c r="HD294" t="str">
        <f t="shared" si="590"/>
        <v/>
      </c>
      <c r="HE294" t="str">
        <f t="shared" si="591"/>
        <v>QFD11</v>
      </c>
      <c r="HF294" t="str">
        <f t="shared" si="592"/>
        <v>QFD11|кабель ВВГнг(А)-LS (3х2,5) → Розеточная группа Второй этаж Пом. №013А, 012А</v>
      </c>
      <c r="HG294" t="str" cm="1">
        <f t="array" ref="HG294">IF(HF294="","",_xlfn.LET(_xlpm.nd,_xlfn.TEXTSPLIT(HF294,"|"),IF(COLUMNS(_xlpm.nd)&gt;1,A294&amp;"¦"&amp;INDEX(_xlpm.nd,1)&amp;"¦"&amp;INDEX(_xlpm.nd,2),"")))</f>
        <v>ЩР-2¦QFD11¦кабель ВВГнг(А)-LS (3х2,5) → Розеточная группа Второй этаж Пом. №013А, 012А</v>
      </c>
      <c r="HH294" t="str">
        <f t="shared" si="593"/>
        <v>R.2.014А.1¦Розеточная группа Второй этаж Пом. №013А, 012А</v>
      </c>
      <c r="HI294" t="str" cm="1">
        <f t="array" ref="HI294">IF(HF294="","",_xlfn.LET(_xlpm.nd,_xlfn.TEXTSPLIT(HF294,"|"),IF(COLUMNS(_xlpm.nd)&gt;2,A294&amp;"¦"&amp;INDEX(_xlpm.nd,2)&amp;"¦"&amp;INDEX(_xlpm.nd,3),"")))</f>
        <v/>
      </c>
      <c r="HJ294" t="str">
        <f t="shared" si="594"/>
        <v/>
      </c>
      <c r="HK294" t="str" cm="1">
        <f t="array" ref="HK294">IF(HF294="","",_xlfn.LET(_xlpm.nd,_xlfn.TEXTSPLIT(HF294,"|"),IF(COLUMNS(_xlpm.nd)&gt;3,A294&amp;"¦"&amp;INDEX(_xlpm.nd,3)&amp;"¦"&amp;INDEX(_xlpm.nd,4),"")))</f>
        <v/>
      </c>
      <c r="HL294" t="str">
        <f t="shared" si="595"/>
        <v/>
      </c>
      <c r="HM294" t="str" cm="1">
        <f t="array" ref="HM294">IF(HF294="","",_xlfn.LET(_xlpm.nd,_xlfn.TEXTSPLIT(HF294,"|"),IF(COLUMNS(_xlpm.nd)&gt;4,A294&amp;"¦"&amp;INDEX(_xlpm.nd,4)&amp;"¦"&amp;INDEX(_xlpm.nd,5),"")))</f>
        <v/>
      </c>
      <c r="HN294" t="str">
        <f t="shared" si="596"/>
        <v/>
      </c>
      <c r="HO294" t="str" cm="1">
        <f t="array" ref="HO294">IF(HF294="","",_xlfn.LET(_xlpm.nd,_xlfn.TEXTSPLIT(HF294,"|"),IF(COLUMNS(_xlpm.nd)&gt;5,A294&amp;"¦"&amp;INDEX(_xlpm.nd,5)&amp;"¦"&amp;INDEX(_xlpm.nd,6),"")))</f>
        <v/>
      </c>
      <c r="HP294" t="str">
        <f t="shared" si="597"/>
        <v/>
      </c>
      <c r="HQ294" t="str" cm="1">
        <f t="array" ref="HQ294">IF(HF294="","",_xlfn.LET(_xlpm.nd,_xlfn.TEXTSPLIT(HF294,"|"),IF(COLUMNS(_xlpm.nd)&gt;6,A294&amp;"¦"&amp;INDEX(_xlpm.nd,6)&amp;"¦"&amp;INDEX(_xlpm.nd,7),"")))</f>
        <v/>
      </c>
      <c r="HR294" t="str">
        <f t="shared" si="598"/>
        <v/>
      </c>
      <c r="HS294" t="str">
        <f t="shared" si="599"/>
        <v/>
      </c>
      <c r="HT294" t="str">
        <f t="shared" si="600"/>
        <v>QFD11</v>
      </c>
      <c r="HU294">
        <f t="shared" si="601"/>
        <v>0</v>
      </c>
      <c r="HV294">
        <f t="shared" si="602"/>
        <v>1</v>
      </c>
      <c r="HW294" t="str">
        <f t="shared" si="603"/>
        <v/>
      </c>
      <c r="HX294" t="str">
        <f t="shared" si="604"/>
        <v/>
      </c>
      <c r="HY294" t="str">
        <f t="shared" si="605"/>
        <v/>
      </c>
      <c r="HZ294" t="str">
        <f t="shared" si="606"/>
        <v/>
      </c>
      <c r="IA294" t="str">
        <f>IF(B294="","",IFERROR(VLOOKUP(B294,УГО_спр,2,FALSE),IFERROR(VLOOKUP(AX294,УГО_спр,2,FALSE),IFERROR(VLOOKUP(LEFT(AX294,2),УГО_спр,2,FALSE),""))))</f>
        <v>Розетка</v>
      </c>
      <c r="IB294" t="str">
        <f>IF(B294="","",IF(OR(IA294="",IA294=0),"BOX",IFERROR(IF(VLOOKUP(IA294,УГО_блоки,3,FALSE)&amp;""&lt;&gt;"",VLOOKUP(IA294,УГО_блоки,3,FALSE),VLOOKUP(IA294,УГО_блоки,2,FALSE)),IA294)))</f>
        <v>SOCKET</v>
      </c>
      <c r="IC294">
        <f t="shared" si="607"/>
        <v>1</v>
      </c>
      <c r="ID294" t="str">
        <f>IF(DA294="","",IF(COUNTIF(DA$3:DA294,DA294)=1,MAX(ID$2:ID293)+1,""))</f>
        <v/>
      </c>
      <c r="IE294" t="str">
        <f>IF(CO294="","",IF(COUNTIF(CO$3:CO294,CO294)+COUNTIF(CP$2:CP293,CO294)+COUNTIF(CQ$2:CQ293,CO294)=1,MAX(IE$2:IG293)+1,""))</f>
        <v/>
      </c>
      <c r="IF294" t="str">
        <f>IF(CP294="","",IF(COUNTIF(CO$3:CO294,CP294)+COUNTIF(CP$3:CP294,CP294)+COUNTIF(CQ$2:CQ293,CP294)=1,MAX(IE$2:IG293,IE294)+1,""))</f>
        <v/>
      </c>
      <c r="IG294" t="str">
        <f>IF(CQ294="","",IF(COUNTIF(CO$3:CO294,CQ294)+COUNTIF(CP$3:CP294,CQ294)+COUNTIF(CQ$3:CQ294,CQ294)=1,MAX(IE$2:IG293,IE294,IF294)+1,""))</f>
        <v/>
      </c>
      <c r="IH294" t="str">
        <f t="shared" si="608"/>
        <v>3х2,5</v>
      </c>
      <c r="II294" t="str">
        <f>IF(IH294="","",IF(COUNTIF(IH$3:IH294,IH294)=1,MAX(II$2:II293)+1,""))</f>
        <v/>
      </c>
      <c r="IJ294" t="str">
        <f>IF(GL294="","",COUNTIF(GL$3:GL294,"?*"))</f>
        <v/>
      </c>
      <c r="IK294" t="str">
        <f>IF(OR(GL294="",GN294=""),"",IF(COUNTIFS(GL$3:GL294,"?*",GN$3:GN294,GN294)=1,MAX(IK$2:IK293)+1,""))</f>
        <v/>
      </c>
      <c r="IL294">
        <f t="shared" si="609"/>
        <v>0</v>
      </c>
      <c r="IM294">
        <f>IF(B294="","",COUNTIF(B$3:B294,"?*"))</f>
        <v>292</v>
      </c>
      <c r="IN294">
        <f>IF(GQ294&lt;&gt;1,0,_xlfn.LET(_xlpm.k,MAX(IFERROR(--VLOOKUP(B294,УГО_спр,5,FALSE),0),IFERROR(--VLOOKUP(AX294,УГО_спр,5,FALSE),0),IFERROR(--VLOOKUP(LEFT(AX294,2),УГО_спр,5,FALSE),0)),IF(_xlpm.k&gt;0,_xlpm.k,IF(IFERROR(--LEFT(SUBSTITUTE(IH294,"x","х"),FIND("х",SUBSTITUTE(IH294,"x","х"))-1),3)&gt;3,Каталог!$S$9,1))))</f>
        <v>1</v>
      </c>
      <c r="IO294">
        <f t="shared" si="610"/>
        <v>0</v>
      </c>
      <c r="IP294" t="str">
        <f t="shared" si="611"/>
        <v>авто</v>
      </c>
      <c r="IQ294">
        <f t="shared" si="612"/>
        <v>30</v>
      </c>
      <c r="IR294">
        <f t="shared" si="613"/>
        <v>1</v>
      </c>
      <c r="IS294">
        <f t="shared" si="614"/>
        <v>1</v>
      </c>
    </row>
    <row r="295" spans="1:253" x14ac:dyDescent="0.3">
      <c r="A295" t="s">
        <v>761</v>
      </c>
      <c r="B295" t="s">
        <v>1559</v>
      </c>
      <c r="C295" t="str">
        <f>Линии[[#This Row],[_авто наименование]]</f>
        <v>Розеточная группа, пом. 014А</v>
      </c>
      <c r="D295">
        <v>2</v>
      </c>
      <c r="E295">
        <v>0.18</v>
      </c>
      <c r="G295">
        <v>16</v>
      </c>
      <c r="H295">
        <f>Линии[[#This Row],[_авто утечка]]</f>
        <v>30</v>
      </c>
      <c r="I295" t="str">
        <f>Линии[[#This Row],[_авто управление]]</f>
        <v/>
      </c>
      <c r="J295" t="str">
        <f>Линии[[#This Row],[_авто аппараты]]</f>
        <v/>
      </c>
      <c r="K295">
        <v>2.5</v>
      </c>
      <c r="L295">
        <v>41</v>
      </c>
      <c r="M295">
        <v>2</v>
      </c>
      <c r="N295" t="s">
        <v>486</v>
      </c>
      <c r="O295" t="str">
        <f t="shared" si="492"/>
        <v/>
      </c>
      <c r="P295" s="6" cm="1">
        <f t="array" ref="P295">IF(B295="","",IF(BC295&lt;&gt;"",IFERROR(_xlfn.XLOOKUP(BC295,Щиты[Щит],Щиты[Iр, А]),""),IF(BK295=1,IFERROR(_xlfn.XLOOKUP(A295,Щиты[Щит],Щиты[Iр, А]),""),IFERROR(_xlfn.IFS(BR295=1,BN295/((Uн_лин/SQRT(3))*BY295),BR295=3,BN295/(SQRT(3)*Uн_лин*BY295)),""))))</f>
        <v>0.8204451193747313</v>
      </c>
      <c r="Q295" s="7">
        <f>IF(B295="","",IFERROR(IF(VLOOKUP(AX295,Потребители_обозначение,4,FALSE)=1,VLOOKUP(AX295,Потребители_обозначение,3,FALSE)*(D295*2-1)+DS295+VLOOKUP(AZ295,Этаж_обозначение,3,FALSE)+VLOOKUP(AZ295,Этаж_обозначение,4,FALSE),VLOOKUP(AX295,Потребители_обозначение,3,FALSE)*(D295*2-1)+DS295),DS295))</f>
        <v>50</v>
      </c>
      <c r="R295" s="6">
        <f t="shared" si="493"/>
        <v>2.1</v>
      </c>
      <c r="S295" t="str">
        <f t="shared" si="494"/>
        <v>ВВГнг(А)-LS (3х2,5)</v>
      </c>
      <c r="T295" t="str">
        <f>IF(BH295="","",IF(BI295="вводной узел","узел ","")&amp;"л."&amp;(INT((BH295-1)/Столбцов_на_лист)+1)&amp;" / "&amp;(MOD(BH295-1,Столбцов_на_лист)+1))</f>
        <v>л.2 / 14</v>
      </c>
      <c r="V295">
        <v>1</v>
      </c>
      <c r="W295">
        <v>230</v>
      </c>
      <c r="X295" t="s">
        <v>564</v>
      </c>
      <c r="AC295" t="s">
        <v>815</v>
      </c>
      <c r="AE295" t="s">
        <v>563</v>
      </c>
      <c r="AI295">
        <v>31</v>
      </c>
      <c r="AJ295" t="s">
        <v>11</v>
      </c>
      <c r="AK295">
        <v>3</v>
      </c>
      <c r="AM295">
        <v>12</v>
      </c>
      <c r="AN295">
        <v>24</v>
      </c>
      <c r="AO295">
        <v>8</v>
      </c>
      <c r="AP295">
        <v>2</v>
      </c>
      <c r="AW295" cm="1">
        <f t="array" ref="AW295">ROW()-ROW(Линии[#Headers])</f>
        <v>293</v>
      </c>
      <c r="AX295" s="6" t="str">
        <f t="shared" si="495"/>
        <v>R</v>
      </c>
      <c r="AY295" t="str">
        <f t="shared" si="496"/>
        <v>2.014А.2</v>
      </c>
      <c r="AZ295" t="str">
        <f t="shared" si="497"/>
        <v>2</v>
      </c>
      <c r="BA295" t="str">
        <f t="shared" si="498"/>
        <v>014А.2</v>
      </c>
      <c r="BB295" t="str">
        <f t="shared" si="499"/>
        <v>014А</v>
      </c>
      <c r="BC295" t="str">
        <f>IF(U295&lt;&gt;"",U295,IF(AND(B295&lt;&gt;"",B295&lt;&gt;A295,ISNUMBER(_xlfn.XMATCH(B295,Щиты[Щит]))),B295,""))</f>
        <v/>
      </c>
      <c r="BD295" t="str" cm="1">
        <f t="array" ref="BD295">IF(B295="","",IF(BC295&lt;&gt;"","Щит "&amp;BC295,_xlfn.LET(_xlpm.nm,IFERROR(_xlfn.XLOOKUP(AX295,Коды_код,Коды_имя)&amp;"",""),_xlpm.md,IFERROR(N(_xlfn.XLOOKUP(AX295,Коды_код,Коды_режим)),1),_xlpm.ex,IF(Имя_режим="по экспликации",IFERROR(_xlfn.XLOOKUP(AZ295&amp;"|"&amp;BB295,Экспликация[Этаж]&amp;"|"&amp;Экспликация[Помещение],Экспликация[Название])&amp;"",""),""),_xlpm.rm,IF(BB295="","",IF(_xlpm.ex&lt;&gt;"",". "&amp;_xlpm.ex&amp;IF(Имя_пом="нет"," ("&amp;BB295&amp;")"," (пом. "&amp;BB295&amp;")"),IF(Имя_пом="нет"," ",", пом. ")&amp;BB295)),IF(_xlpm.nm="","",IF(_xlpm.md=2,_xlpm.nm&amp;" шлейф "&amp;AZ295,_xlpm.nm&amp;_xlpm.rm)))))</f>
        <v>Розеточная группа, пом. 014А</v>
      </c>
      <c r="BE295" t="str">
        <f t="shared" si="500"/>
        <v>Розеточная группа, пом. 014А</v>
      </c>
      <c r="BF295">
        <f>IFERROR(_xlfn.XMATCH(A295,Щиты[Щит]),0)</f>
        <v>11</v>
      </c>
      <c r="BG295">
        <f>_xlfn.LET(_xlpm.k,IFERROR(_xlfn.XLOOKUP(A295,Щиты[Щит],Щиты[Листов под вводной узел]),""),IF(_xlpm.k="",1,N(_xlpm.k))*Столбцов_на_лист)</f>
        <v>17</v>
      </c>
      <c r="BH295">
        <f t="shared" si="501"/>
        <v>31</v>
      </c>
      <c r="BI295" t="str">
        <f t="shared" si="502"/>
        <v>линии</v>
      </c>
      <c r="BJ295" s="6">
        <f>IFERROR(N(_xlfn.XLOOKUP(AX295,Коды_код,Коды_квт)),0)</f>
        <v>0</v>
      </c>
      <c r="BK295">
        <f t="shared" si="503"/>
        <v>0</v>
      </c>
      <c r="BL295" t="str">
        <f>IF(B295="","",IF(BC295&lt;&gt;"",IFERROR(_xlfn.XLOOKUP(BC295,Щиты[Щит],Щиты[Руст, кВт]),0),IF(BK295=1,IFERROR(_xlfn.XLOOKUP(A295,Щиты[Щит],Щиты[Руст, кВт]),0),IF(BJ295&gt;0,ROUND(BJ295*MAX(1,N(D295)),3),""))))</f>
        <v/>
      </c>
      <c r="BM295">
        <f t="shared" si="504"/>
        <v>0.18</v>
      </c>
      <c r="BN295" s="6">
        <f>IF(B295="","",IF(BC295&lt;&gt;"",IFERROR(_xlfn.XLOOKUP(BC295,Щиты[Щит],Щиты[Руст, кВт]),0),N(BM295)))</f>
        <v>0.18</v>
      </c>
      <c r="BO295" t="str">
        <f>IF(B295="","",IFERROR(IF(VLOOKUP(AX295,Потребители_обозначение,8,FALSE)=0,"",VLOOKUP(AX295,Потребители_обозначение,8,FALSE)),""))</f>
        <v/>
      </c>
      <c r="BP295">
        <f t="shared" si="505"/>
        <v>230</v>
      </c>
      <c r="BQ295">
        <f>IF(B295="","",IF(BC295&lt;&gt;"",3,IFERROR(IF(N(VLOOKUP(AX295,Потребители_обозначение,9,FALSE))=0,1,VLOOKUP(AX295,Потребители_обозначение,9,FALSE)),1)))</f>
        <v>1</v>
      </c>
      <c r="BR295">
        <f t="shared" si="506"/>
        <v>1</v>
      </c>
      <c r="BS295" t="str">
        <f>IF(B295="","",_xlfn.LET(_xlpm.bc,IFERROR(IF(VLOOKUP(AX295,Потребители_обозначение,6,FALSE)=0,"",VLOOKUP(AX295,Потребители_обозначение,6,FALSE)&amp;""),""),IF(AND(FK295="да",OR(_xlpm.bc="",_xlpm.bc="мс")),Марка_пож,IF(AND(_xlpm.bc="",BC295&lt;&gt;""),"мс",_xlpm.bc))))</f>
        <v/>
      </c>
      <c r="BT295" t="str">
        <f t="shared" si="507"/>
        <v>мс</v>
      </c>
      <c r="BU295">
        <f>IF(B295="","",_xlfn.LET(_xlpm.cc,IFERROR(N(VLOOKUP(AX295,Потребители_обозначение,7,FALSE)),0),IF(_xlpm.cc&gt;0,_xlpm.cc,IF(BT295="","",IF(N(BR295)=3,5,3)))))</f>
        <v>3</v>
      </c>
      <c r="BV295">
        <f t="shared" si="508"/>
        <v>3</v>
      </c>
      <c r="BW295">
        <f>IFERROR(N(VLOOKUP(AX295,Потребители_обозначение,10,FALSE)),0)</f>
        <v>0</v>
      </c>
      <c r="BX295">
        <f>IFERROR(VLOOKUP(AX295,Потребители_обозначение,5,FALSE),0)</f>
        <v>1</v>
      </c>
      <c r="BY295" s="6" cm="1">
        <f t="array" ref="BY295">IF(B295="","",IF(BC295&lt;&gt;"",IFERROR(_xlfn.XLOOKUP(BC295,Щиты[Щит],Щиты[cos φ]),0.95),IF(BK295=1,IFERROR(_xlfn.XLOOKUP(A295,Щиты[Щит],Щиты[cos φ]),0.95),IF(ISNUMBER(Z295),Z295,IFERROR(IF(BX295=2,_xlfn.IFS(BR295=3,VLOOKUP(BN295,Справочная_двигатели,8,FALSE),BR295=1,VLOOKUP(BN295,Справочная_двигатели,10,TRUE)),IF(AND(Методика="нормы 2026",EQ295="Сил"),0.8,0.95)),0.95)))))</f>
        <v>0.95</v>
      </c>
      <c r="BZ295">
        <f t="shared" si="509"/>
        <v>0</v>
      </c>
      <c r="CA295">
        <f t="shared" si="510"/>
        <v>1</v>
      </c>
      <c r="CB295">
        <f t="shared" si="511"/>
        <v>0</v>
      </c>
      <c r="CC295">
        <f t="shared" si="512"/>
        <v>0</v>
      </c>
      <c r="CD295">
        <f t="shared" si="513"/>
        <v>0</v>
      </c>
      <c r="CE295">
        <f t="shared" si="514"/>
        <v>0</v>
      </c>
      <c r="CF295">
        <f t="shared" si="515"/>
        <v>0</v>
      </c>
      <c r="CG295">
        <f>IF(AX295="",0,_xlfn.LET(_xlpm.v,IFERROR(VLOOKUP(B295,УГО_спр,3,FALSE),IFERROR(VLOOKUP(AX295,УГО_спр,3,FALSE),IFERROR(VLOOKUP(LEFT(AX295,2),УГО_спр,3,FALSE),""))),IF(_xlpm.v="да",30,IF(ISNUMBER(_xlpm.v),_xlpm.v,0))))</f>
        <v>30</v>
      </c>
      <c r="CH295">
        <f t="shared" si="516"/>
        <v>30</v>
      </c>
      <c r="CI295" t="str">
        <f>_xlfn.LET(_xlpm.k,IFERROR(_xlfn.XLOOKUP(AX295,Коды_код,Коды_утечка)&amp;"",""),IF(_xlpm.k="","дифавтомат",_xlpm.k))</f>
        <v>дифавтомат</v>
      </c>
      <c r="CJ295">
        <f t="shared" si="517"/>
        <v>30</v>
      </c>
      <c r="CK295">
        <f t="shared" si="518"/>
        <v>30</v>
      </c>
      <c r="CL295">
        <f>IF(B295="",0,IFERROR(--VLOOKUP(B295,УГО_спр,4,FALSE),IFERROR(--VLOOKUP(AX295,УГО_спр,4,FALSE),IFERROR(--VLOOKUP(LEFT(AX295,2),УГО_спр,4,FALSE),0))))</f>
        <v>16</v>
      </c>
      <c r="CM295" t="str">
        <f>IF(B295="","",IFERROR(_xlfn.XLOOKUP(AX295,Коды_код,Коды_апп)&amp;"",""))</f>
        <v/>
      </c>
      <c r="CN295" t="str">
        <f t="shared" si="519"/>
        <v/>
      </c>
      <c r="CO295" t="str" cm="1">
        <f t="array" ref="CO295">IF(TRIM(CN295&amp;"")="","",IFERROR(TRIM(INDEX(_xlfn.TEXTSPLIT(CN295&amp;";;;",";"),1)),""))</f>
        <v/>
      </c>
      <c r="CP295" t="str" cm="1">
        <f t="array" ref="CP295">IF(TRIM(CN295&amp;"")="","",IFERROR(TRIM(INDEX(_xlfn.TEXTSPLIT(CN295&amp;";;;",";"),2)),""))</f>
        <v/>
      </c>
      <c r="CQ295" t="str" cm="1">
        <f t="array" ref="CQ295">IF(TRIM(CN295&amp;"")="","",IFERROR(TRIM(INDEX(_xlfn.TEXTSPLIT(CN295&amp;";;;",";"),3)),""))</f>
        <v/>
      </c>
      <c r="CR295">
        <f t="shared" si="520"/>
        <v>0</v>
      </c>
      <c r="CS295" t="str">
        <f>IF(B295="","",_xlfn.LET(_xlpm.t,LOWER(AV295&amp;""),IF(ISNUMBER(SEARCH("dim",_xlpm.t)),"DIM",IF(ISNUMBER(SEARCH("dali",_xlpm.t)),"DALI",IF(OR(ISNUMBER(SEARCH("relay",_xlpm.t)),ISNUMBER(SEARCH("реле",_xlpm.t))),"Relay",IF(ISNUMBER(SEARCH("кнопк",_xlpm.t)),"",IFERROR(_xlfn.XLOOKUP(AX295,Коды_код,Коды_упр)&amp;"","")))))))</f>
        <v/>
      </c>
      <c r="CT295" t="str">
        <f t="shared" si="521"/>
        <v/>
      </c>
      <c r="CU295">
        <f>IF(B295="","",_xlfn.LET(_xlpm.ig,N(P295)+IF(AF295="вручную",0,N(CB295)),_xlpm.n0,IFERROR(VLOOKUP(_xlpm.ig,Автомат_номиналы,2,TRUE),0),_xlpm.mn,MAX(CL295,IF(AF295="вручную",0,N(CE295))),MAX(_xlpm.n0,_xlpm.mn,IF(CR295=1,Мин_автомат_БП,0))))</f>
        <v>16</v>
      </c>
      <c r="CV295">
        <f t="shared" si="522"/>
        <v>1</v>
      </c>
      <c r="CW295" t="str">
        <f t="shared" si="523"/>
        <v>2P</v>
      </c>
      <c r="CX295" t="str">
        <f>_xlfn.LET(_xlpm.cc,UPPER(TRIM(IFERROR(_xlfn.XLOOKUP(AX295,Коды_код,Коды_хар)&amp;"",""))),IF(OR(_xlpm.cc="B",_xlpm.cc="В"),"B",IF(_xlpm.cc="D","D","С")))</f>
        <v>С</v>
      </c>
      <c r="CY295" t="str">
        <f t="shared" si="524"/>
        <v>2P С16А 30мА</v>
      </c>
      <c r="CZ295">
        <f t="shared" si="525"/>
        <v>16</v>
      </c>
      <c r="DA295" t="str">
        <f t="shared" si="526"/>
        <v>2P С16А 30мА</v>
      </c>
      <c r="DB295" cm="1">
        <f t="array" ref="DB295">IF(DA295="","",_xlfn.LET(_xlpm.t,SUBSTITUTE(SUBSTITUTE(SUBSTITUTE(UPPER(DA295),"С","C"),"А","A"),"В","B"),_xlpm.tk,_xlfn.TEXTSPLIT(_xlpm.t,"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5" t="str">
        <f t="shared" si="527"/>
        <v>ok</v>
      </c>
      <c r="DD295">
        <f t="shared" si="528"/>
        <v>16</v>
      </c>
      <c r="DE295" t="str">
        <f t="shared" si="529"/>
        <v>2P С16А 30мА</v>
      </c>
      <c r="DF295">
        <f t="shared" si="530"/>
        <v>30</v>
      </c>
      <c r="DG295">
        <f t="shared" si="531"/>
        <v>1</v>
      </c>
      <c r="DH295">
        <f t="shared" si="532"/>
        <v>0</v>
      </c>
      <c r="DI295">
        <f t="shared" si="533"/>
        <v>0.8204451193747313</v>
      </c>
      <c r="DJ295">
        <f t="shared" si="534"/>
        <v>1</v>
      </c>
      <c r="DK295">
        <f>IF(ISNUMBER(AL295),AL295,К_прокл)</f>
        <v>1</v>
      </c>
      <c r="DL295">
        <f t="shared" si="535"/>
        <v>2</v>
      </c>
      <c r="DM295">
        <f>IFERROR(N(VLOOKUP(BT295,Кабель_обозначение,3,FALSE)),1)</f>
        <v>1</v>
      </c>
      <c r="DN295">
        <f>IFERROR(N(_xlfn.XLOOKUP(A295,Щиты[Щит],Щиты[ΔU до шин, %])),0)</f>
        <v>1.79</v>
      </c>
      <c r="DO295" t="str">
        <f>IFERROR(_xlfn.XLOOKUP(A295,Щиты[Щит],Щиты[Zпетли на шинах, Ом]),"")</f>
        <v/>
      </c>
      <c r="DP295">
        <f>IFERROR(N(_xlfn.XLOOKUP(A295,Щиты[Щит],Щиты[ΔU до шин (подбор), %])),0)</f>
        <v>4.75</v>
      </c>
      <c r="DQ295" t="str">
        <f>IFERROR(_xlfn.XLOOKUP(A295,Щиты[Щит],Щиты[Zпетли на шинах (подбор), Ом]),"")</f>
        <v/>
      </c>
      <c r="DR295" t="str">
        <f t="shared" si="536"/>
        <v/>
      </c>
      <c r="DS295">
        <f t="shared" si="537"/>
        <v>41</v>
      </c>
      <c r="DT295">
        <f t="shared" si="538"/>
        <v>2</v>
      </c>
      <c r="DU295">
        <f t="shared" si="539"/>
        <v>0.31</v>
      </c>
      <c r="DV295" s="6">
        <f>IF(B295="","",IF(IFERROR(VLOOKUP(AX295,УГО_спр,2,FALSE),"")="Светильник",3,4)+IF(Методика="нормы 2026",MIN(0.5,MAX(0,N(Q295)-100)*0.005),0))</f>
        <v>4</v>
      </c>
      <c r="DW295" t="str" cm="1">
        <f t="array" ref="DW295">IF(OR(B295="",BT295="",DM295&lt;&gt;1),"",_xlfn.LET(_xlpm.sz,Iдоп_S,_xlpm.t_,CHOOSE(DL295,Iдоп_1ж,Iдоп_2ж,Iдоп_3ж)*DJ295*DK295,_xlpm.inn,N(DD295),_xlpm.smin,MAX(1.5,BW295),_xlpm.L_,N(Q295)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295)*(_xlpm.rho*_xlpm.L_/_xlpm.sz*N(BY295)+_xlpm.xx*_xlpm.L_*N(DU295)/1000)*N(P295)/((Uн_лин/SQRT(3))*1000)*100,999),_xlpm.kz,IF(OR(DG295=1,NOT(ISNUMBER(DQ295)),_xlpm.L_=0,_xlpm.inn=0),1,IFERROR(--(c_min*(Uн_лин*1000/SQRT(3))/(DQ295+2*ρкз_Cu*_xlpm.L_/_xlpm.sz)&gt;=GY295*_xlpm.inn),0)),_xlpm.ok,IFERROR((_xlpm.sz&gt;=_xlpm.smin)*(_xlpm.t_&gt;=_xlpm.inn)*IF(_xlpm.L_&gt;0,(_xlpm.du_+DP295&lt;=DV295+0.00001),1)*_xlpm.kz,0),_xlpm.r_,_xlfn._xlws.FILTER(_xlpm.sz,_xlpm.ok,"не подобрано"),INDEX(_xlpm.r_,1)))</f>
        <v>не подобрано</v>
      </c>
      <c r="DX295">
        <f t="shared" si="540"/>
        <v>2.5</v>
      </c>
      <c r="DY295" cm="1">
        <f t="array" ref="DY295">IF(OR(B295="",BT295="",DM295&lt;&gt;1),"",_xlfn.LET(_xlpm.sz,Iдоп_S,_xlpm.t_,CHOOSE(DL295,Iдоп_1ж,Iдоп_2ж,Iдоп_3ж)*DJ295*DK295,_xlpm.ok,IFERROR((_xlpm.sz&gt;=MAX(1.5,BW295))*(_xlpm.t_&gt;=N(DD295)),0),_xlpm.r_,_xlfn._xlws.FILTER(_xlpm.sz,_xlpm.ok,""),INDEX(_xlpm.r_,1)))</f>
        <v>1.5</v>
      </c>
      <c r="DZ295" s="6" cm="1">
        <f t="array" ref="DZ295">IFERROR(ROUNDUP(N(DT295)*(_xlfn.XLOOKUP(DY295,INDEX(Кабель_сопротивление,0,1),INDEX(Кабель_сопротивление,0,3))*N(Q295)/DY295*N(BY295)+_xlfn.XLOOKUP(DY295,INDEX(Кабель_сопротивление,0,1),INDEX(Кабель_сопротивление,0,2))*N(Q295)*N(DU295)/1000)*N(P295)/((Uн_лин/SQRT(3))*1000)*100,2),"")</f>
        <v>0.51</v>
      </c>
      <c r="EA295">
        <f>IFERROR(2*ρкз_Cu*N(Q295)/DY295,"")</f>
        <v>1.7533333333333332</v>
      </c>
      <c r="EB295">
        <f>IFERROR(VLOOKUP(DX295,Кабель_сопротивление,3,FALSE),"")</f>
        <v>2.2499999999999999E-2</v>
      </c>
      <c r="EC295">
        <f>IFERROR(VLOOKUP(DX295,Кабель_сопротивление,2,FALSE),"")</f>
        <v>0.1</v>
      </c>
      <c r="ED295">
        <f t="shared" si="541"/>
        <v>24</v>
      </c>
      <c r="EE295">
        <f t="shared" si="542"/>
        <v>8</v>
      </c>
      <c r="EF295">
        <f t="shared" si="543"/>
        <v>0.70402395693545694</v>
      </c>
      <c r="EG295" s="6">
        <f>IFERROR(ROUNDUP(EF295/((Uн_лин/SQRT(3))*1000)*100,2),"")</f>
        <v>0.31</v>
      </c>
      <c r="EH295" t="str">
        <f>IFERROR(VLOOKUP(BT295,Кабель_обозначение,2,FALSE),"")</f>
        <v>ВВГнг(А)-LS</v>
      </c>
      <c r="EI295" t="str">
        <f t="shared" si="544"/>
        <v>ВВГнг(А)-LS (3х2,5)</v>
      </c>
      <c r="EJ295" t="str">
        <f t="shared" si="545"/>
        <v>ВВГнг(А)-LS (3х2,5)
L=50-0,31%</v>
      </c>
      <c r="EK295">
        <f>IFERROR(2*ρкз_Cu*Q295/DX295,"")</f>
        <v>1.052</v>
      </c>
      <c r="EL295">
        <f t="shared" si="546"/>
        <v>0.35000000000000003</v>
      </c>
      <c r="EM295" s="6" t="str">
        <f>IFERROR(IF(OR(B295="",NOT(ISNUMBER(DX295)),N(Q295)=0),"",_xlfn.XLOOKUP(A295,Щиты[Щит],Щиты[Zпетли на шинах, Ом])+EK295),"")</f>
        <v/>
      </c>
      <c r="EN295" s="6" t="str">
        <f>IF(ISNUMBER(EM295),c_min*(Uн_лин*1000/SQRT(3))/EM295,"")</f>
        <v/>
      </c>
      <c r="EO295" s="6" t="str">
        <f>IFERROR(IF(OR(B295="",NOT(ISNUMBER(DX295))),"",1.05*(Uн_лин*1000/SQRT(3))/(_xlfn.XLOOKUP(A295,Щиты[Щит],Щиты[Zmax на шинах, Ом])+EL295)/1000),"")</f>
        <v/>
      </c>
      <c r="EP295" s="6" t="str">
        <f>IF(B295="","",IF(ISNUMBER(Y295),"Сил",IF(IFERROR(_xlfn.XLOOKUP(AX295,Коды_код,Коды_группа)&amp;"","")="","Быт",_xlfn.XLOOKUP(AX295,Коды_код,Коды_группа)&amp;"")))</f>
        <v>Быт</v>
      </c>
      <c r="EQ295" s="6" t="str">
        <f t="shared" si="547"/>
        <v>Быт</v>
      </c>
      <c r="ER295" s="6">
        <f>IF(EQ295="Щит","щит",IF(EQ295="","",IF(EQ295="Быт",IFERROR(_xlfn.XLOOKUP(A295,Щиты[Щит],Щиты[Кс быт]),1),IF(EQ295="Сил",IF(ISNUMBER(Y295),Y295,IF(Методика="нормы 2026",IFERROR(_xlfn.XLOOKUP(A295,Щиты[Щит],Щиты[Кс силовых (табл. 7.5)]),1),1)),IF(OR(EQ295="Пост",EQ295="Отоп"),1,IF(EQ295="ВНГ",0.7,0))))))</f>
        <v>0.8</v>
      </c>
      <c r="ES295">
        <f t="shared" si="548"/>
        <v>1</v>
      </c>
      <c r="ET295">
        <f t="shared" si="549"/>
        <v>0.18</v>
      </c>
      <c r="EU295">
        <f t="shared" si="550"/>
        <v>0.18</v>
      </c>
      <c r="EV295">
        <f t="shared" si="551"/>
        <v>0</v>
      </c>
      <c r="EW295">
        <f t="shared" si="552"/>
        <v>0</v>
      </c>
      <c r="EX295">
        <f t="shared" si="553"/>
        <v>0</v>
      </c>
      <c r="EY295">
        <f t="shared" si="554"/>
        <v>0</v>
      </c>
      <c r="EZ295">
        <f t="shared" si="555"/>
        <v>0.18</v>
      </c>
      <c r="FA295">
        <f t="shared" si="556"/>
        <v>0.17099999999999999</v>
      </c>
      <c r="FB295">
        <f t="shared" si="557"/>
        <v>0.18</v>
      </c>
      <c r="FC295" t="str">
        <f t="shared" si="558"/>
        <v>L2</v>
      </c>
      <c r="FD295" t="str">
        <f>IF(B295="","",IF(CA295=0,IF(AW295=1,"",FF294),IF(OR(N(CV295)&gt;=3,N(BR295)&gt;=3),"L1,L2,L3",IFERROR(_xlfn.TEXTBEFORE(_xlfn.TEXTAFTER(_xlfn.XLOOKUP(A295,Щиты[Щит],Щиты[_фазы авто]),";"&amp;AW295&amp;":"),";"),"L1"))))</f>
        <v>L1</v>
      </c>
      <c r="FE295" t="str">
        <f t="shared" si="559"/>
        <v>L2</v>
      </c>
      <c r="FF295" t="str">
        <f t="shared" si="560"/>
        <v>L2</v>
      </c>
      <c r="FG295" cm="1">
        <f t="array" ref="FG295">IFERROR(IF(BX295=2,_xlfn.IFS(BR295=3,VLOOKUP(BN295,Справочная_двигатели,3,FALSE),BR295=1,VLOOKUP(BN295,Справочная_двигатели,5,TRUE)),0),0)</f>
        <v>0</v>
      </c>
      <c r="FH295">
        <f>IFERROR(IF(BX295=3,VLOOKUP(BN295,Справочная_ЛЭД,2,TRUE),0),0)</f>
        <v>0</v>
      </c>
      <c r="FI295" s="6">
        <f t="shared" si="561"/>
        <v>0</v>
      </c>
      <c r="FJ295" t="str" cm="1">
        <f t="array" ref="FJ295">IF(B295="","",IFERROR(INDEX({"I особая","I","II","III"},MATCH(TRIM(AC295&amp;""),{"I особая","I","II","III"},0)),"III"))</f>
        <v>II</v>
      </c>
      <c r="FK295" t="str">
        <f>IF(B295="","",IF(TRIM(AD295&amp;"")&lt;&gt;"",IF(LOWER(TRIM(AD295&amp;""))="да","да","нет"),IF(IFERROR(_xlfn.XLOOKUP(AX295,Коды_код,Коды_пожарная),"")="да","да","нет")))</f>
        <v>нет</v>
      </c>
      <c r="FL295" t="str">
        <f t="shared" si="562"/>
        <v/>
      </c>
      <c r="FM295" t="str">
        <f t="shared" si="563"/>
        <v>основная</v>
      </c>
      <c r="FN295">
        <f t="shared" si="564"/>
        <v>1</v>
      </c>
      <c r="FO295" t="str" cm="1">
        <f t="array" ref="FO295">IF(B295="","",_xlfn.LET(_xlpm.t,IFERROR(_xlfn.XLOOKUP(1,(Шины[Шина]=FM295)*(((Шины[Щит]=A295)+(Шины[Щит]=""))&gt;0),Шины[Тип]),"")&amp;"",IF(_xlpm.t&lt;&gt;"",_xlpm.t,IF(ISNUMBER(SEARCH("ИБП",FM295)),"ИБП",IF(ISNUMBER(SEARCH("ДГУ",FM295)),"ДГУ","Ввод "&amp;FN295)))))</f>
        <v>Ввод 1</v>
      </c>
      <c r="FP295" t="str">
        <f t="shared" si="565"/>
        <v>Ввод 1</v>
      </c>
      <c r="FQ295" t="str">
        <f>IF(B295="","",IF(OR(FO295="ИБП",FO295="ДГУ"),"I особая",IF(FO295="Одиночная","III",_xlfn.XLOOKUP(A295,Щиты[Щит],Щиты[Категория шины «Ввод»],"III"))))</f>
        <v>II</v>
      </c>
      <c r="FR295">
        <f>IF(B295="",0,IFERROR(MATCH(FJ295,{"III","II","I","I особая"},0),1))</f>
        <v>2</v>
      </c>
      <c r="FS295">
        <f t="shared" si="566"/>
        <v>2</v>
      </c>
      <c r="FT295" t="str">
        <f>IF(B295="","",IF(FR295&gt;IFERROR(MATCH(FQ295,{"III","II","I","I особая"},0),1),"НЕ ОБЕСПЕЧЕНА","ОК"))</f>
        <v>ОК</v>
      </c>
      <c r="FU295" t="str">
        <f>IF(A295="","",_xlfn.XLOOKUP(A295,Щиты[Щит],Щиты[Путь],""))</f>
        <v>|ГРЩ-ЖД|ЩР-2|</v>
      </c>
      <c r="FV295" t="str">
        <f>IF(B295="","",IF(AE295&lt;&gt;"",AE295,IF(IFERROR(_xlfn.XLOOKUP(AX295,Коды_код,Коды_вид)&amp;"","")="","Прочее",_xlfn.XLOOKUP(AX295,Коды_код,Коды_вид)&amp;"")))</f>
        <v>Розеточная сеть и бытовые приборы</v>
      </c>
      <c r="FW295">
        <f>IF(BH295="","",INT((BH295-1)/Столбцов_на_лист)+1)</f>
        <v>2</v>
      </c>
      <c r="FX295" t="str">
        <f t="shared" si="567"/>
        <v>ВВГнг(А)-LS (3х2,5) L=50-0,31%</v>
      </c>
      <c r="FY295">
        <f t="shared" si="568"/>
        <v>0.18</v>
      </c>
      <c r="FZ295">
        <f t="shared" si="569"/>
        <v>0.83</v>
      </c>
      <c r="GA295">
        <f t="shared" si="570"/>
        <v>1</v>
      </c>
      <c r="GB295">
        <f t="shared" si="571"/>
        <v>0</v>
      </c>
      <c r="GC295">
        <f t="shared" si="572"/>
        <v>1</v>
      </c>
      <c r="GD295">
        <f>IF(BH295="","",IF(AND(CA295=1,GC295=1),COUNTIFS(A$3:A295,A295,CA$3:CA295,1,GC$3:GC295,1),IF(OR(OR(AW295=1,A295&lt;&gt;A294),AF295="вручную",GC295=0),"",IF(AW295=1,"",GE294))))</f>
        <v>12</v>
      </c>
      <c r="GE295">
        <f t="shared" si="573"/>
        <v>12</v>
      </c>
      <c r="GF295">
        <f>IF(B295="","",IFERROR(LOOKUP(INDEX(CHOOSE(DL295,Iдоп_1ж,Iдоп_2ж,Iдоп_3ж),MATCH(DX295,Iдоп_S,0))*DJ295*DK295,{6,10,16,20,25,32,40,50,63,80,100,125,160,200,250,315,400,500,630}),""))</f>
        <v>25</v>
      </c>
      <c r="GG295" t="str">
        <f t="shared" si="574"/>
        <v>QFD12</v>
      </c>
      <c r="GH295" t="str">
        <f t="shared" si="575"/>
        <v>QFD12</v>
      </c>
      <c r="GI295" t="str">
        <f t="shared" si="576"/>
        <v/>
      </c>
      <c r="GJ295">
        <f t="shared" si="577"/>
        <v>0</v>
      </c>
      <c r="GK295" t="str">
        <f>IF(OR(AG295="",AG295="-"),"",IFERROR(VLOOKUP(AG295,Модули_спр,2,FALSE),"R"))</f>
        <v/>
      </c>
      <c r="GL295" t="str">
        <f>IF(GK295="","",GK295&amp;"."&amp;COUNTIFS(A$3:A295,A295,GK$3:GK295,GK295))</f>
        <v/>
      </c>
      <c r="GM295" t="str">
        <f t="shared" si="578"/>
        <v/>
      </c>
      <c r="GN295" t="str">
        <f t="shared" si="579"/>
        <v/>
      </c>
      <c r="GO295" t="str">
        <f t="shared" si="580"/>
        <v/>
      </c>
      <c r="GP295" t="str">
        <f t="shared" si="581"/>
        <v/>
      </c>
      <c r="GQ295">
        <f t="shared" si="582"/>
        <v>1</v>
      </c>
      <c r="GR295" t="str">
        <f>IF(GQ295=1,"XT"&amp;COUNTIFS(A$3:A295,A295,GQ$3:GQ295,1),"")</f>
        <v>XT12</v>
      </c>
      <c r="GS295" t="str">
        <f t="shared" si="583"/>
        <v/>
      </c>
      <c r="GT295" t="str">
        <f t="shared" si="584"/>
        <v>QFD12</v>
      </c>
      <c r="GU295" t="str">
        <f t="shared" si="585"/>
        <v/>
      </c>
      <c r="GV295" t="str">
        <f t="shared" si="586"/>
        <v>ok</v>
      </c>
      <c r="GW295" t="str">
        <f>IF(OR(GO295="",GM295=""),"",IF(GO295&gt;IFERROR(VLOOKUP(GN295,Модули_спр,3,FALSE),99),"ЛИШНИЙ КАНАЛ",IF(AND(AH295&lt;&gt;"=",COUNTIFS(Линии[_модуль гр.],GM295,Линии[Канал (итог)],GO295,Линии[Канал],"&lt;&gt;=",Линии[Щит],A295)&gt;1),"ДУБЛЬ КАНАЛА","")))</f>
        <v/>
      </c>
      <c r="GX295" s="6" t="str">
        <f t="shared" si="587"/>
        <v/>
      </c>
      <c r="GY295">
        <f t="shared" si="588"/>
        <v>10</v>
      </c>
      <c r="GZ295" t="str">
        <f t="shared" si="589"/>
        <v/>
      </c>
      <c r="HA295" t="str">
        <f>IF(AND(B295="",GT295=""),"",_xlfn.TEXTJOIN("; ",TRUE,IF(AND(B295&lt;&gt;"",FE295=""),"нет фазы",""),IF(AND(B295&lt;&gt;"",N(FY295)=0,EQ295&lt;&gt;"Нет"),"нет мощности",""),IF(AND(GS295&lt;&gt;"",COUNTIFS(Линии[Щит],A295,Линии[Клемма (итог)],GS295)&gt;1),"дубль клеммы "&amp;GS295,""),IF(AND(GV295&lt;&gt;"",GV295&lt;&gt;"ok"),GV295,""),IF(GW295&lt;&gt;"",GW295,""),IF(AND(N(BV295)&gt;=4,N(BR295)=1),BV295&amp;" жил на 1 фазе",""),IF(AND(AX295="R",CA295=1,OR(N(CK295)=0,N(CK295)&gt;30)),"розетка без дифзащиты до 30 мА",""),IFERROR(IF(AND(ISNUMBER(R295),R295&gt;DV295),"потери "&amp;FIXED(R295,1)&amp;" % &gt; "&amp;DV295&amp;" %",""),""),IFERROR(IF(LEFT(GZ295,4)="мало","Iкз мало — отключение &gt; 0,4 с",""),""),IF(AND(B295&lt;&gt;"",BH295=""),"не на схеме",""),IF(AND(CA295=0,B295&lt;&gt;"",FE295&lt;&gt;"",IF(AW295=1,"",FF294)&lt;&gt;"",FE295&lt;&gt;IF(AW295=1,"",FF294)),"фаза не как у автомата группы ("&amp;IF(AW295=1,"",FF294)&amp;")","")))</f>
        <v/>
      </c>
      <c r="HB295" s="6">
        <f>IF(OR(CA295=0,DA295=""),"",_xlfn.LET(_xlpm.t,IFERROR(_xlfn.XLOOKUP(DA295,Каталог!$U$4:$U$500,Каталог!$G$4:$G$500),""),_xlpm.k,SEARCH("кА",_xlpm.t),IFERROR(--TRIM(RIGHT(SUBSTITUTE(MID(_xlpm.t,MAX(1,_xlpm.k-4),_xlpm.k-MAX(1,_xlpm.k-4))," ",REPT(" ",9)),5)),"")))</f>
        <v>6</v>
      </c>
      <c r="HC295" t="str">
        <f>IF(OR(HB295="",CA295=0),"",IF(_xlfn.XLOOKUP(A295,Щиты[Щит],Щиты[Iкз max на шинах, кА],"")="","",IF(HB295&lt;_xlfn.XLOOKUP(A295,Щиты[Щит],Щиты[Iкз max на шинах, кА]),"Icu "&amp;HB295&amp;" кА &lt; Iкз max","ok")))</f>
        <v/>
      </c>
      <c r="HD295" t="str">
        <f t="shared" si="590"/>
        <v/>
      </c>
      <c r="HE295" t="str">
        <f t="shared" si="591"/>
        <v>QFD12</v>
      </c>
      <c r="HF295" t="str">
        <f t="shared" si="592"/>
        <v>QFD12|кабель ВВГнг(А)-LS (3х2,5) → Розеточная группа, пом. 014А</v>
      </c>
      <c r="HG295" t="str" cm="1">
        <f t="array" ref="HG295">IF(HF295="","",_xlfn.LET(_xlpm.nd,_xlfn.TEXTSPLIT(HF295,"|"),IF(COLUMNS(_xlpm.nd)&gt;1,A295&amp;"¦"&amp;INDEX(_xlpm.nd,1)&amp;"¦"&amp;INDEX(_xlpm.nd,2),"")))</f>
        <v>ЩР-2¦QFD12¦кабель ВВГнг(А)-LS (3х2,5) → Розеточная группа, пом. 014А</v>
      </c>
      <c r="HH295" t="str">
        <f t="shared" si="593"/>
        <v>R.2.014А.2¦Розеточная группа, пом. 014А</v>
      </c>
      <c r="HI295" t="str" cm="1">
        <f t="array" ref="HI295">IF(HF295="","",_xlfn.LET(_xlpm.nd,_xlfn.TEXTSPLIT(HF295,"|"),IF(COLUMNS(_xlpm.nd)&gt;2,A295&amp;"¦"&amp;INDEX(_xlpm.nd,2)&amp;"¦"&amp;INDEX(_xlpm.nd,3),"")))</f>
        <v/>
      </c>
      <c r="HJ295" t="str">
        <f t="shared" si="594"/>
        <v/>
      </c>
      <c r="HK295" t="str" cm="1">
        <f t="array" ref="HK295">IF(HF295="","",_xlfn.LET(_xlpm.nd,_xlfn.TEXTSPLIT(HF295,"|"),IF(COLUMNS(_xlpm.nd)&gt;3,A295&amp;"¦"&amp;INDEX(_xlpm.nd,3)&amp;"¦"&amp;INDEX(_xlpm.nd,4),"")))</f>
        <v/>
      </c>
      <c r="HL295" t="str">
        <f t="shared" si="595"/>
        <v/>
      </c>
      <c r="HM295" t="str" cm="1">
        <f t="array" ref="HM295">IF(HF295="","",_xlfn.LET(_xlpm.nd,_xlfn.TEXTSPLIT(HF295,"|"),IF(COLUMNS(_xlpm.nd)&gt;4,A295&amp;"¦"&amp;INDEX(_xlpm.nd,4)&amp;"¦"&amp;INDEX(_xlpm.nd,5),"")))</f>
        <v/>
      </c>
      <c r="HN295" t="str">
        <f t="shared" si="596"/>
        <v/>
      </c>
      <c r="HO295" t="str" cm="1">
        <f t="array" ref="HO295">IF(HF295="","",_xlfn.LET(_xlpm.nd,_xlfn.TEXTSPLIT(HF295,"|"),IF(COLUMNS(_xlpm.nd)&gt;5,A295&amp;"¦"&amp;INDEX(_xlpm.nd,5)&amp;"¦"&amp;INDEX(_xlpm.nd,6),"")))</f>
        <v/>
      </c>
      <c r="HP295" t="str">
        <f t="shared" si="597"/>
        <v/>
      </c>
      <c r="HQ295" t="str" cm="1">
        <f t="array" ref="HQ295">IF(HF295="","",_xlfn.LET(_xlpm.nd,_xlfn.TEXTSPLIT(HF295,"|"),IF(COLUMNS(_xlpm.nd)&gt;6,A295&amp;"¦"&amp;INDEX(_xlpm.nd,6)&amp;"¦"&amp;INDEX(_xlpm.nd,7),"")))</f>
        <v/>
      </c>
      <c r="HR295" t="str">
        <f t="shared" si="598"/>
        <v/>
      </c>
      <c r="HS295" t="str">
        <f t="shared" si="599"/>
        <v/>
      </c>
      <c r="HT295" t="str">
        <f t="shared" si="600"/>
        <v>QFD12</v>
      </c>
      <c r="HU295">
        <f t="shared" si="601"/>
        <v>0</v>
      </c>
      <c r="HV295">
        <f t="shared" si="602"/>
        <v>1</v>
      </c>
      <c r="HW295" t="str">
        <f t="shared" si="603"/>
        <v/>
      </c>
      <c r="HX295" t="str">
        <f t="shared" si="604"/>
        <v/>
      </c>
      <c r="HY295" t="str">
        <f t="shared" si="605"/>
        <v/>
      </c>
      <c r="HZ295" t="str">
        <f t="shared" si="606"/>
        <v/>
      </c>
      <c r="IA295" t="str">
        <f>IF(B295="","",IFERROR(VLOOKUP(B295,УГО_спр,2,FALSE),IFERROR(VLOOKUP(AX295,УГО_спр,2,FALSE),IFERROR(VLOOKUP(LEFT(AX295,2),УГО_спр,2,FALSE),""))))</f>
        <v>Розетка</v>
      </c>
      <c r="IB295" t="str">
        <f>IF(B295="","",IF(OR(IA295="",IA295=0),"BOX",IFERROR(IF(VLOOKUP(IA295,УГО_блоки,3,FALSE)&amp;""&lt;&gt;"",VLOOKUP(IA295,УГО_блоки,3,FALSE),VLOOKUP(IA295,УГО_блоки,2,FALSE)),IA295)))</f>
        <v>SOCKET</v>
      </c>
      <c r="IC295">
        <f t="shared" si="607"/>
        <v>1</v>
      </c>
      <c r="ID295" t="str">
        <f>IF(DA295="","",IF(COUNTIF(DA$3:DA295,DA295)=1,MAX(ID$2:ID294)+1,""))</f>
        <v/>
      </c>
      <c r="IE295" t="str">
        <f>IF(CO295="","",IF(COUNTIF(CO$3:CO295,CO295)+COUNTIF(CP$2:CP294,CO295)+COUNTIF(CQ$2:CQ294,CO295)=1,MAX(IE$2:IG294)+1,""))</f>
        <v/>
      </c>
      <c r="IF295" t="str">
        <f>IF(CP295="","",IF(COUNTIF(CO$3:CO295,CP295)+COUNTIF(CP$3:CP295,CP295)+COUNTIF(CQ$2:CQ294,CP295)=1,MAX(IE$2:IG294,IE295)+1,""))</f>
        <v/>
      </c>
      <c r="IG295" t="str">
        <f>IF(CQ295="","",IF(COUNTIF(CO$3:CO295,CQ295)+COUNTIF(CP$3:CP295,CQ295)+COUNTIF(CQ$3:CQ295,CQ295)=1,MAX(IE$2:IG294,IE295,IF295)+1,""))</f>
        <v/>
      </c>
      <c r="IH295" t="str">
        <f t="shared" si="608"/>
        <v>3х2,5</v>
      </c>
      <c r="II295" t="str">
        <f>IF(IH295="","",IF(COUNTIF(IH$3:IH295,IH295)=1,MAX(II$2:II294)+1,""))</f>
        <v/>
      </c>
      <c r="IJ295" t="str">
        <f>IF(GL295="","",COUNTIF(GL$3:GL295,"?*"))</f>
        <v/>
      </c>
      <c r="IK295" t="str">
        <f>IF(OR(GL295="",GN295=""),"",IF(COUNTIFS(GL$3:GL295,"?*",GN$3:GN295,GN295)=1,MAX(IK$2:IK294)+1,""))</f>
        <v/>
      </c>
      <c r="IL295">
        <f t="shared" si="609"/>
        <v>0</v>
      </c>
      <c r="IM295">
        <f>IF(B295="","",COUNTIF(B$3:B295,"?*"))</f>
        <v>293</v>
      </c>
      <c r="IN295">
        <f>IF(GQ295&lt;&gt;1,0,_xlfn.LET(_xlpm.k,MAX(IFERROR(--VLOOKUP(B295,УГО_спр,5,FALSE),0),IFERROR(--VLOOKUP(AX295,УГО_спр,5,FALSE),0),IFERROR(--VLOOKUP(LEFT(AX295,2),УГО_спр,5,FALSE),0)),IF(_xlpm.k&gt;0,_xlpm.k,IF(IFERROR(--LEFT(SUBSTITUTE(IH295,"x","х"),FIND("х",SUBSTITUTE(IH295,"x","х"))-1),3)&gt;3,Каталог!$S$9,1))))</f>
        <v>1</v>
      </c>
      <c r="IO295">
        <f t="shared" si="610"/>
        <v>0</v>
      </c>
      <c r="IP295" t="str">
        <f t="shared" si="611"/>
        <v>авто</v>
      </c>
      <c r="IQ295">
        <f t="shared" si="612"/>
        <v>30</v>
      </c>
      <c r="IR295">
        <f t="shared" si="613"/>
        <v>1</v>
      </c>
      <c r="IS295">
        <f t="shared" si="614"/>
        <v>1</v>
      </c>
    </row>
    <row r="296" spans="1:253" x14ac:dyDescent="0.3">
      <c r="A296" t="s">
        <v>761</v>
      </c>
      <c r="B296" t="s">
        <v>1560</v>
      </c>
      <c r="C296" t="str">
        <f>Линии[[#This Row],[_авто наименование]]</f>
        <v>Розеточная группа, пом. 015А</v>
      </c>
      <c r="D296">
        <v>1</v>
      </c>
      <c r="E296">
        <v>0.12</v>
      </c>
      <c r="G296">
        <v>16</v>
      </c>
      <c r="H296">
        <f>Линии[[#This Row],[_авто утечка]]</f>
        <v>30</v>
      </c>
      <c r="I296" t="str">
        <f>Линии[[#This Row],[_авто управление]]</f>
        <v/>
      </c>
      <c r="J296" t="str">
        <f>Линии[[#This Row],[_авто аппараты]]</f>
        <v/>
      </c>
      <c r="K296">
        <v>2.5</v>
      </c>
      <c r="L296">
        <v>36</v>
      </c>
      <c r="M296">
        <v>3</v>
      </c>
      <c r="N296" t="s">
        <v>486</v>
      </c>
      <c r="O296" t="str">
        <f t="shared" si="492"/>
        <v/>
      </c>
      <c r="P296" s="6" cm="1">
        <f t="array" ref="P296">IF(B296="","",IF(BC296&lt;&gt;"",IFERROR(_xlfn.XLOOKUP(BC296,Щиты[Щит],Щиты[Iр, А]),""),IF(BK296=1,IFERROR(_xlfn.XLOOKUP(A296,Щиты[Щит],Щиты[Iр, А]),""),IFERROR(_xlfn.IFS(BR296=1,BN296/((Uн_лин/SQRT(3))*BY296),BR296=3,BN296/(SQRT(3)*Uн_лин*BY296)),""))))</f>
        <v>0.54696341291648753</v>
      </c>
      <c r="Q296" s="7">
        <f>IF(B296="","",IFERROR(IF(VLOOKUP(AX296,Потребители_обозначение,4,FALSE)=1,VLOOKUP(AX296,Потребители_обозначение,3,FALSE)*(D296*2-1)+DS296+VLOOKUP(AZ296,Этаж_обозначение,3,FALSE)+VLOOKUP(AZ296,Этаж_обозначение,4,FALSE),VLOOKUP(AX296,Потребители_обозначение,3,FALSE)*(D296*2-1)+DS296),DS296))</f>
        <v>39</v>
      </c>
      <c r="R296" s="6">
        <f t="shared" si="493"/>
        <v>1.95</v>
      </c>
      <c r="S296" t="str">
        <f t="shared" si="494"/>
        <v>ВВГнг(А)-LS (3х2,5)</v>
      </c>
      <c r="T296" t="str">
        <f>IF(BH296="","",IF(BI296="вводной узел","узел ","")&amp;"л."&amp;(INT((BH296-1)/Столбцов_на_лист)+1)&amp;" / "&amp;(MOD(BH296-1,Столбцов_на_лист)+1))</f>
        <v>л.2 / 15</v>
      </c>
      <c r="V296">
        <v>1</v>
      </c>
      <c r="W296">
        <v>230</v>
      </c>
      <c r="X296" t="s">
        <v>564</v>
      </c>
      <c r="AC296" t="s">
        <v>815</v>
      </c>
      <c r="AE296" t="s">
        <v>563</v>
      </c>
      <c r="AI296">
        <v>32</v>
      </c>
      <c r="AJ296" t="s">
        <v>11</v>
      </c>
      <c r="AK296">
        <v>3</v>
      </c>
      <c r="AM296">
        <v>12</v>
      </c>
      <c r="AN296">
        <v>16</v>
      </c>
      <c r="AO296">
        <v>5</v>
      </c>
      <c r="AP296">
        <v>2</v>
      </c>
      <c r="AW296" cm="1">
        <f t="array" ref="AW296">ROW()-ROW(Линии[#Headers])</f>
        <v>294</v>
      </c>
      <c r="AX296" s="6" t="str">
        <f t="shared" si="495"/>
        <v>R</v>
      </c>
      <c r="AY296" t="str">
        <f t="shared" si="496"/>
        <v>2.015А.1</v>
      </c>
      <c r="AZ296" t="str">
        <f t="shared" si="497"/>
        <v>2</v>
      </c>
      <c r="BA296" t="str">
        <f t="shared" si="498"/>
        <v>015А.1</v>
      </c>
      <c r="BB296" t="str">
        <f t="shared" si="499"/>
        <v>015А</v>
      </c>
      <c r="BC296" t="str">
        <f>IF(U296&lt;&gt;"",U296,IF(AND(B296&lt;&gt;"",B296&lt;&gt;A296,ISNUMBER(_xlfn.XMATCH(B296,Щиты[Щит]))),B296,""))</f>
        <v/>
      </c>
      <c r="BD296" t="str" cm="1">
        <f t="array" ref="BD296">IF(B296="","",IF(BC296&lt;&gt;"","Щит "&amp;BC296,_xlfn.LET(_xlpm.nm,IFERROR(_xlfn.XLOOKUP(AX296,Коды_код,Коды_имя)&amp;"",""),_xlpm.md,IFERROR(N(_xlfn.XLOOKUP(AX296,Коды_код,Коды_режим)),1),_xlpm.ex,IF(Имя_режим="по экспликации",IFERROR(_xlfn.XLOOKUP(AZ296&amp;"|"&amp;BB296,Экспликация[Этаж]&amp;"|"&amp;Экспликация[Помещение],Экспликация[Название])&amp;"",""),""),_xlpm.rm,IF(BB296="","",IF(_xlpm.ex&lt;&gt;"",". "&amp;_xlpm.ex&amp;IF(Имя_пом="нет"," ("&amp;BB296&amp;")"," (пом. "&amp;BB296&amp;")"),IF(Имя_пом="нет"," ",", пом. ")&amp;BB296)),IF(_xlpm.nm="","",IF(_xlpm.md=2,_xlpm.nm&amp;" шлейф "&amp;AZ296,_xlpm.nm&amp;_xlpm.rm)))))</f>
        <v>Розеточная группа, пом. 015А</v>
      </c>
      <c r="BE296" t="str">
        <f t="shared" si="500"/>
        <v>Розеточная группа, пом. 015А</v>
      </c>
      <c r="BF296">
        <f>IFERROR(_xlfn.XMATCH(A296,Щиты[Щит]),0)</f>
        <v>11</v>
      </c>
      <c r="BG296">
        <f>_xlfn.LET(_xlpm.k,IFERROR(_xlfn.XLOOKUP(A296,Щиты[Щит],Щиты[Листов под вводной узел]),""),IF(_xlpm.k="",1,N(_xlpm.k))*Столбцов_на_лист)</f>
        <v>17</v>
      </c>
      <c r="BH296">
        <f t="shared" si="501"/>
        <v>32</v>
      </c>
      <c r="BI296" t="str">
        <f t="shared" si="502"/>
        <v>линии</v>
      </c>
      <c r="BJ296" s="6">
        <f>IFERROR(N(_xlfn.XLOOKUP(AX296,Коды_код,Коды_квт)),0)</f>
        <v>0</v>
      </c>
      <c r="BK296">
        <f t="shared" si="503"/>
        <v>0</v>
      </c>
      <c r="BL296" t="str">
        <f>IF(B296="","",IF(BC296&lt;&gt;"",IFERROR(_xlfn.XLOOKUP(BC296,Щиты[Щит],Щиты[Руст, кВт]),0),IF(BK296=1,IFERROR(_xlfn.XLOOKUP(A296,Щиты[Щит],Щиты[Руст, кВт]),0),IF(BJ296&gt;0,ROUND(BJ296*MAX(1,N(D296)),3),""))))</f>
        <v/>
      </c>
      <c r="BM296">
        <f t="shared" si="504"/>
        <v>0.12</v>
      </c>
      <c r="BN296" s="6">
        <f>IF(B296="","",IF(BC296&lt;&gt;"",IFERROR(_xlfn.XLOOKUP(BC296,Щиты[Щит],Щиты[Руст, кВт]),0),N(BM296)))</f>
        <v>0.12</v>
      </c>
      <c r="BO296" t="str">
        <f>IF(B296="","",IFERROR(IF(VLOOKUP(AX296,Потребители_обозначение,8,FALSE)=0,"",VLOOKUP(AX296,Потребители_обозначение,8,FALSE)),""))</f>
        <v/>
      </c>
      <c r="BP296">
        <f t="shared" si="505"/>
        <v>230</v>
      </c>
      <c r="BQ296">
        <f>IF(B296="","",IF(BC296&lt;&gt;"",3,IFERROR(IF(N(VLOOKUP(AX296,Потребители_обозначение,9,FALSE))=0,1,VLOOKUP(AX296,Потребители_обозначение,9,FALSE)),1)))</f>
        <v>1</v>
      </c>
      <c r="BR296">
        <f t="shared" si="506"/>
        <v>1</v>
      </c>
      <c r="BS296" t="str">
        <f>IF(B296="","",_xlfn.LET(_xlpm.bc,IFERROR(IF(VLOOKUP(AX296,Потребители_обозначение,6,FALSE)=0,"",VLOOKUP(AX296,Потребители_обозначение,6,FALSE)&amp;""),""),IF(AND(FK296="да",OR(_xlpm.bc="",_xlpm.bc="мс")),Марка_пож,IF(AND(_xlpm.bc="",BC296&lt;&gt;""),"мс",_xlpm.bc))))</f>
        <v/>
      </c>
      <c r="BT296" t="str">
        <f t="shared" si="507"/>
        <v>мс</v>
      </c>
      <c r="BU296">
        <f>IF(B296="","",_xlfn.LET(_xlpm.cc,IFERROR(N(VLOOKUP(AX296,Потребители_обозначение,7,FALSE)),0),IF(_xlpm.cc&gt;0,_xlpm.cc,IF(BT296="","",IF(N(BR296)=3,5,3)))))</f>
        <v>3</v>
      </c>
      <c r="BV296">
        <f t="shared" si="508"/>
        <v>3</v>
      </c>
      <c r="BW296">
        <f>IFERROR(N(VLOOKUP(AX296,Потребители_обозначение,10,FALSE)),0)</f>
        <v>0</v>
      </c>
      <c r="BX296">
        <f>IFERROR(VLOOKUP(AX296,Потребители_обозначение,5,FALSE),0)</f>
        <v>1</v>
      </c>
      <c r="BY296" s="6" cm="1">
        <f t="array" ref="BY296">IF(B296="","",IF(BC296&lt;&gt;"",IFERROR(_xlfn.XLOOKUP(BC296,Щиты[Щит],Щиты[cos φ]),0.95),IF(BK296=1,IFERROR(_xlfn.XLOOKUP(A296,Щиты[Щит],Щиты[cos φ]),0.95),IF(ISNUMBER(Z296),Z296,IFERROR(IF(BX296=2,_xlfn.IFS(BR296=3,VLOOKUP(BN296,Справочная_двигатели,8,FALSE),BR296=1,VLOOKUP(BN296,Справочная_двигатели,10,TRUE)),IF(AND(Методика="нормы 2026",EQ296="Сил"),0.8,0.95)),0.95)))))</f>
        <v>0.95</v>
      </c>
      <c r="BZ296">
        <f t="shared" si="509"/>
        <v>0</v>
      </c>
      <c r="CA296">
        <f t="shared" si="510"/>
        <v>1</v>
      </c>
      <c r="CB296">
        <f t="shared" si="511"/>
        <v>0</v>
      </c>
      <c r="CC296">
        <f t="shared" si="512"/>
        <v>0</v>
      </c>
      <c r="CD296">
        <f t="shared" si="513"/>
        <v>0</v>
      </c>
      <c r="CE296">
        <f t="shared" si="514"/>
        <v>0</v>
      </c>
      <c r="CF296">
        <f t="shared" si="515"/>
        <v>0</v>
      </c>
      <c r="CG296">
        <f>IF(AX296="",0,_xlfn.LET(_xlpm.v,IFERROR(VLOOKUP(B296,УГО_спр,3,FALSE),IFERROR(VLOOKUP(AX296,УГО_спр,3,FALSE),IFERROR(VLOOKUP(LEFT(AX296,2),УГО_спр,3,FALSE),""))),IF(_xlpm.v="да",30,IF(ISNUMBER(_xlpm.v),_xlpm.v,0))))</f>
        <v>30</v>
      </c>
      <c r="CH296">
        <f t="shared" si="516"/>
        <v>30</v>
      </c>
      <c r="CI296" t="str">
        <f>_xlfn.LET(_xlpm.k,IFERROR(_xlfn.XLOOKUP(AX296,Коды_код,Коды_утечка)&amp;"",""),IF(_xlpm.k="","дифавтомат",_xlpm.k))</f>
        <v>дифавтомат</v>
      </c>
      <c r="CJ296">
        <f t="shared" si="517"/>
        <v>30</v>
      </c>
      <c r="CK296">
        <f t="shared" si="518"/>
        <v>30</v>
      </c>
      <c r="CL296">
        <f>IF(B296="",0,IFERROR(--VLOOKUP(B296,УГО_спр,4,FALSE),IFERROR(--VLOOKUP(AX296,УГО_спр,4,FALSE),IFERROR(--VLOOKUP(LEFT(AX296,2),УГО_спр,4,FALSE),0))))</f>
        <v>16</v>
      </c>
      <c r="CM296" t="str">
        <f>IF(B296="","",IFERROR(_xlfn.XLOOKUP(AX296,Коды_код,Коды_апп)&amp;"",""))</f>
        <v/>
      </c>
      <c r="CN296" t="str">
        <f t="shared" si="519"/>
        <v/>
      </c>
      <c r="CO296" t="str" cm="1">
        <f t="array" ref="CO296">IF(TRIM(CN296&amp;"")="","",IFERROR(TRIM(INDEX(_xlfn.TEXTSPLIT(CN296&amp;";;;",";"),1)),""))</f>
        <v/>
      </c>
      <c r="CP296" t="str" cm="1">
        <f t="array" ref="CP296">IF(TRIM(CN296&amp;"")="","",IFERROR(TRIM(INDEX(_xlfn.TEXTSPLIT(CN296&amp;";;;",";"),2)),""))</f>
        <v/>
      </c>
      <c r="CQ296" t="str" cm="1">
        <f t="array" ref="CQ296">IF(TRIM(CN296&amp;"")="","",IFERROR(TRIM(INDEX(_xlfn.TEXTSPLIT(CN296&amp;";;;",";"),3)),""))</f>
        <v/>
      </c>
      <c r="CR296">
        <f t="shared" si="520"/>
        <v>0</v>
      </c>
      <c r="CS296" t="str">
        <f>IF(B296="","",_xlfn.LET(_xlpm.t,LOWER(AV296&amp;""),IF(ISNUMBER(SEARCH("dim",_xlpm.t)),"DIM",IF(ISNUMBER(SEARCH("dali",_xlpm.t)),"DALI",IF(OR(ISNUMBER(SEARCH("relay",_xlpm.t)),ISNUMBER(SEARCH("реле",_xlpm.t))),"Relay",IF(ISNUMBER(SEARCH("кнопк",_xlpm.t)),"",IFERROR(_xlfn.XLOOKUP(AX296,Коды_код,Коды_упр)&amp;"","")))))))</f>
        <v/>
      </c>
      <c r="CT296" t="str">
        <f t="shared" si="521"/>
        <v/>
      </c>
      <c r="CU296">
        <f>IF(B296="","",_xlfn.LET(_xlpm.ig,N(P296)+IF(AF296="вручную",0,N(CB296)),_xlpm.n0,IFERROR(VLOOKUP(_xlpm.ig,Автомат_номиналы,2,TRUE),0),_xlpm.mn,MAX(CL296,IF(AF296="вручную",0,N(CE296))),MAX(_xlpm.n0,_xlpm.mn,IF(CR296=1,Мин_автомат_БП,0))))</f>
        <v>16</v>
      </c>
      <c r="CV296">
        <f t="shared" si="522"/>
        <v>1</v>
      </c>
      <c r="CW296" t="str">
        <f t="shared" si="523"/>
        <v>2P</v>
      </c>
      <c r="CX296" t="str">
        <f>_xlfn.LET(_xlpm.cc,UPPER(TRIM(IFERROR(_xlfn.XLOOKUP(AX296,Коды_код,Коды_хар)&amp;"",""))),IF(OR(_xlpm.cc="B",_xlpm.cc="В"),"B",IF(_xlpm.cc="D","D","С")))</f>
        <v>С</v>
      </c>
      <c r="CY296" t="str">
        <f t="shared" si="524"/>
        <v>2P С16А 30мА</v>
      </c>
      <c r="CZ296">
        <f t="shared" si="525"/>
        <v>16</v>
      </c>
      <c r="DA296" t="str">
        <f t="shared" si="526"/>
        <v>2P С16А 30мА</v>
      </c>
      <c r="DB296" cm="1">
        <f t="array" ref="DB296">IF(DA296="","",_xlfn.LET(_xlpm.t,SUBSTITUTE(SUBSTITUTE(SUBSTITUTE(UPPER(DA296),"С","C"),"А","A"),"В","B"),_xlpm.tk,_xlfn.TEXTSPLIT(_xlpm.t,"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6" t="str">
        <f t="shared" si="527"/>
        <v>ok</v>
      </c>
      <c r="DD296">
        <f t="shared" si="528"/>
        <v>16</v>
      </c>
      <c r="DE296" t="str">
        <f t="shared" si="529"/>
        <v>2P С16А 30мА</v>
      </c>
      <c r="DF296">
        <f t="shared" si="530"/>
        <v>30</v>
      </c>
      <c r="DG296">
        <f t="shared" si="531"/>
        <v>1</v>
      </c>
      <c r="DH296">
        <f t="shared" si="532"/>
        <v>0</v>
      </c>
      <c r="DI296">
        <f t="shared" si="533"/>
        <v>0.54696341291648753</v>
      </c>
      <c r="DJ296">
        <f t="shared" si="534"/>
        <v>1</v>
      </c>
      <c r="DK296">
        <f>IF(ISNUMBER(AL296),AL296,К_прокл)</f>
        <v>1</v>
      </c>
      <c r="DL296">
        <f t="shared" si="535"/>
        <v>2</v>
      </c>
      <c r="DM296">
        <f>IFERROR(N(VLOOKUP(BT296,Кабель_обозначение,3,FALSE)),1)</f>
        <v>1</v>
      </c>
      <c r="DN296">
        <f>IFERROR(N(_xlfn.XLOOKUP(A296,Щиты[Щит],Щиты[ΔU до шин, %])),0)</f>
        <v>1.79</v>
      </c>
      <c r="DO296" t="str">
        <f>IFERROR(_xlfn.XLOOKUP(A296,Щиты[Щит],Щиты[Zпетли на шинах, Ом]),"")</f>
        <v/>
      </c>
      <c r="DP296">
        <f>IFERROR(N(_xlfn.XLOOKUP(A296,Щиты[Щит],Щиты[ΔU до шин (подбор), %])),0)</f>
        <v>4.75</v>
      </c>
      <c r="DQ296" t="str">
        <f>IFERROR(_xlfn.XLOOKUP(A296,Щиты[Щит],Щиты[Zпетли на шинах (подбор), Ом]),"")</f>
        <v/>
      </c>
      <c r="DR296" t="str">
        <f t="shared" si="536"/>
        <v/>
      </c>
      <c r="DS296">
        <f t="shared" si="537"/>
        <v>36</v>
      </c>
      <c r="DT296">
        <f t="shared" si="538"/>
        <v>2</v>
      </c>
      <c r="DU296">
        <f t="shared" si="539"/>
        <v>0.31</v>
      </c>
      <c r="DV296" s="6">
        <f>IF(B296="","",IF(IFERROR(VLOOKUP(AX296,УГО_спр,2,FALSE),"")="Светильник",3,4)+IF(Методика="нормы 2026",MIN(0.5,MAX(0,N(Q296)-100)*0.005),0))</f>
        <v>4</v>
      </c>
      <c r="DW296" t="str" cm="1">
        <f t="array" ref="DW296">IF(OR(B296="",BT296="",DM296&lt;&gt;1),"",_xlfn.LET(_xlpm.sz,Iдоп_S,_xlpm.t_,CHOOSE(DL296,Iдоп_1ж,Iдоп_2ж,Iдоп_3ж)*DJ296*DK296,_xlpm.inn,N(DD296),_xlpm.smin,MAX(1.5,BW296),_xlpm.L_,N(Q296)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296)*(_xlpm.rho*_xlpm.L_/_xlpm.sz*N(BY296)+_xlpm.xx*_xlpm.L_*N(DU296)/1000)*N(P296)/((Uн_лин/SQRT(3))*1000)*100,999),_xlpm.kz,IF(OR(DG296=1,NOT(ISNUMBER(DQ296)),_xlpm.L_=0,_xlpm.inn=0),1,IFERROR(--(c_min*(Uн_лин*1000/SQRT(3))/(DQ296+2*ρкз_Cu*_xlpm.L_/_xlpm.sz)&gt;=GY296*_xlpm.inn),0)),_xlpm.ok,IFERROR((_xlpm.sz&gt;=_xlpm.smin)*(_xlpm.t_&gt;=_xlpm.inn)*IF(_xlpm.L_&gt;0,(_xlpm.du_+DP296&lt;=DV296+0.00001),1)*_xlpm.kz,0),_xlpm.r_,_xlfn._xlws.FILTER(_xlpm.sz,_xlpm.ok,"не подобрано"),INDEX(_xlpm.r_,1)))</f>
        <v>не подобрано</v>
      </c>
      <c r="DX296">
        <f t="shared" si="540"/>
        <v>2.5</v>
      </c>
      <c r="DY296" cm="1">
        <f t="array" ref="DY296">IF(OR(B296="",BT296="",DM296&lt;&gt;1),"",_xlfn.LET(_xlpm.sz,Iдоп_S,_xlpm.t_,CHOOSE(DL296,Iдоп_1ж,Iдоп_2ж,Iдоп_3ж)*DJ296*DK296,_xlpm.ok,IFERROR((_xlpm.sz&gt;=MAX(1.5,BW296))*(_xlpm.t_&gt;=N(DD296)),0),_xlpm.r_,_xlfn._xlws.FILTER(_xlpm.sz,_xlpm.ok,""),INDEX(_xlpm.r_,1)))</f>
        <v>1.5</v>
      </c>
      <c r="DZ296" s="6" cm="1">
        <f t="array" ref="DZ296">IFERROR(ROUNDUP(N(DT296)*(_xlfn.XLOOKUP(DY296,INDEX(Кабель_сопротивление,0,1),INDEX(Кабель_сопротивление,0,3))*N(Q296)/DY296*N(BY296)+_xlfn.XLOOKUP(DY296,INDEX(Кабель_сопротивление,0,1),INDEX(Кабель_сопротивление,0,2))*N(Q296)*N(DU296)/1000)*N(P296)/((Uн_лин/SQRT(3))*1000)*100,2),"")</f>
        <v>0.27</v>
      </c>
      <c r="EA296">
        <f>IFERROR(2*ρкз_Cu*N(Q296)/DY296,"")</f>
        <v>1.3676000000000001</v>
      </c>
      <c r="EB296">
        <f>IFERROR(VLOOKUP(DX296,Кабель_сопротивление,3,FALSE),"")</f>
        <v>2.2499999999999999E-2</v>
      </c>
      <c r="EC296">
        <f>IFERROR(VLOOKUP(DX296,Кабель_сопротивление,2,FALSE),"")</f>
        <v>0.1</v>
      </c>
      <c r="ED296">
        <f t="shared" si="541"/>
        <v>16</v>
      </c>
      <c r="EE296">
        <f t="shared" si="542"/>
        <v>5</v>
      </c>
      <c r="EF296">
        <f t="shared" si="543"/>
        <v>0.3660924576064376</v>
      </c>
      <c r="EG296" s="6">
        <f>IFERROR(ROUNDUP(EF296/((Uн_лин/SQRT(3))*1000)*100,2),"")</f>
        <v>0.16</v>
      </c>
      <c r="EH296" t="str">
        <f>IFERROR(VLOOKUP(BT296,Кабель_обозначение,2,FALSE),"")</f>
        <v>ВВГнг(А)-LS</v>
      </c>
      <c r="EI296" t="str">
        <f t="shared" si="544"/>
        <v>ВВГнг(А)-LS (3х2,5)</v>
      </c>
      <c r="EJ296" t="str">
        <f t="shared" si="545"/>
        <v>ВВГнг(А)-LS (3х2,5)
L=39-0,16%</v>
      </c>
      <c r="EK296">
        <f>IFERROR(2*ρкз_Cu*Q296/DX296,"")</f>
        <v>0.82056000000000007</v>
      </c>
      <c r="EL296">
        <f t="shared" si="546"/>
        <v>0.27300000000000002</v>
      </c>
      <c r="EM296" s="6" t="str">
        <f>IFERROR(IF(OR(B296="",NOT(ISNUMBER(DX296)),N(Q296)=0),"",_xlfn.XLOOKUP(A296,Щиты[Щит],Щиты[Zпетли на шинах, Ом])+EK296),"")</f>
        <v/>
      </c>
      <c r="EN296" s="6" t="str">
        <f>IF(ISNUMBER(EM296),c_min*(Uн_лин*1000/SQRT(3))/EM296,"")</f>
        <v/>
      </c>
      <c r="EO296" s="6" t="str">
        <f>IFERROR(IF(OR(B296="",NOT(ISNUMBER(DX296))),"",1.05*(Uн_лин*1000/SQRT(3))/(_xlfn.XLOOKUP(A296,Щиты[Щит],Щиты[Zmax на шинах, Ом])+EL296)/1000),"")</f>
        <v/>
      </c>
      <c r="EP296" s="6" t="str">
        <f>IF(B296="","",IF(ISNUMBER(Y296),"Сил",IF(IFERROR(_xlfn.XLOOKUP(AX296,Коды_код,Коды_группа)&amp;"","")="","Быт",_xlfn.XLOOKUP(AX296,Коды_код,Коды_группа)&amp;"")))</f>
        <v>Быт</v>
      </c>
      <c r="EQ296" s="6" t="str">
        <f t="shared" si="547"/>
        <v>Быт</v>
      </c>
      <c r="ER296" s="6">
        <f>IF(EQ296="Щит","щит",IF(EQ296="","",IF(EQ296="Быт",IFERROR(_xlfn.XLOOKUP(A296,Щиты[Щит],Щиты[Кс быт]),1),IF(EQ296="Сил",IF(ISNUMBER(Y296),Y296,IF(Методика="нормы 2026",IFERROR(_xlfn.XLOOKUP(A296,Щиты[Щит],Щиты[Кс силовых (табл. 7.5)]),1),1)),IF(OR(EQ296="Пост",EQ296="Отоп"),1,IF(EQ296="ВНГ",0.7,0))))))</f>
        <v>0.8</v>
      </c>
      <c r="ES296">
        <f t="shared" si="548"/>
        <v>1</v>
      </c>
      <c r="ET296">
        <f t="shared" si="549"/>
        <v>0.12</v>
      </c>
      <c r="EU296">
        <f t="shared" si="550"/>
        <v>0.12</v>
      </c>
      <c r="EV296">
        <f t="shared" si="551"/>
        <v>0</v>
      </c>
      <c r="EW296">
        <f t="shared" si="552"/>
        <v>0</v>
      </c>
      <c r="EX296">
        <f t="shared" si="553"/>
        <v>0</v>
      </c>
      <c r="EY296">
        <f t="shared" si="554"/>
        <v>0</v>
      </c>
      <c r="EZ296">
        <f t="shared" si="555"/>
        <v>0.12</v>
      </c>
      <c r="FA296">
        <f t="shared" si="556"/>
        <v>0.11399999999999999</v>
      </c>
      <c r="FB296">
        <f t="shared" si="557"/>
        <v>0.12</v>
      </c>
      <c r="FC296" t="str">
        <f t="shared" si="558"/>
        <v>L3</v>
      </c>
      <c r="FD296" t="str">
        <f>IF(B296="","",IF(CA296=0,IF(AW296=1,"",FF295),IF(OR(N(CV296)&gt;=3,N(BR296)&gt;=3),"L1,L2,L3",IFERROR(_xlfn.TEXTBEFORE(_xlfn.TEXTAFTER(_xlfn.XLOOKUP(A296,Щиты[Щит],Щиты[_фазы авто]),";"&amp;AW296&amp;":"),";"),"L1"))))</f>
        <v>L1</v>
      </c>
      <c r="FE296" t="str">
        <f t="shared" si="559"/>
        <v>L3</v>
      </c>
      <c r="FF296" t="str">
        <f t="shared" si="560"/>
        <v>L3</v>
      </c>
      <c r="FG296" cm="1">
        <f t="array" ref="FG296">IFERROR(IF(BX296=2,_xlfn.IFS(BR296=3,VLOOKUP(BN296,Справочная_двигатели,3,FALSE),BR296=1,VLOOKUP(BN296,Справочная_двигатели,5,TRUE)),0),0)</f>
        <v>0</v>
      </c>
      <c r="FH296">
        <f>IFERROR(IF(BX296=3,VLOOKUP(BN296,Справочная_ЛЭД,2,TRUE),0),0)</f>
        <v>0</v>
      </c>
      <c r="FI296" s="6">
        <f t="shared" si="561"/>
        <v>0</v>
      </c>
      <c r="FJ296" t="str" cm="1">
        <f t="array" ref="FJ296">IF(B296="","",IFERROR(INDEX({"I особая","I","II","III"},MATCH(TRIM(AC296&amp;""),{"I особая","I","II","III"},0)),"III"))</f>
        <v>II</v>
      </c>
      <c r="FK296" t="str">
        <f>IF(B296="","",IF(TRIM(AD296&amp;"")&lt;&gt;"",IF(LOWER(TRIM(AD296&amp;""))="да","да","нет"),IF(IFERROR(_xlfn.XLOOKUP(AX296,Коды_код,Коды_пожарная),"")="да","да","нет")))</f>
        <v>нет</v>
      </c>
      <c r="FL296" t="str">
        <f t="shared" si="562"/>
        <v/>
      </c>
      <c r="FM296" t="str">
        <f t="shared" si="563"/>
        <v>основная</v>
      </c>
      <c r="FN296">
        <f t="shared" si="564"/>
        <v>1</v>
      </c>
      <c r="FO296" t="str" cm="1">
        <f t="array" ref="FO296">IF(B296="","",_xlfn.LET(_xlpm.t,IFERROR(_xlfn.XLOOKUP(1,(Шины[Шина]=FM296)*(((Шины[Щит]=A296)+(Шины[Щит]=""))&gt;0),Шины[Тип]),"")&amp;"",IF(_xlpm.t&lt;&gt;"",_xlpm.t,IF(ISNUMBER(SEARCH("ИБП",FM296)),"ИБП",IF(ISNUMBER(SEARCH("ДГУ",FM296)),"ДГУ","Ввод "&amp;FN296)))))</f>
        <v>Ввод 1</v>
      </c>
      <c r="FP296" t="str">
        <f t="shared" si="565"/>
        <v>Ввод 1</v>
      </c>
      <c r="FQ296" t="str">
        <f>IF(B296="","",IF(OR(FO296="ИБП",FO296="ДГУ"),"I особая",IF(FO296="Одиночная","III",_xlfn.XLOOKUP(A296,Щиты[Щит],Щиты[Категория шины «Ввод»],"III"))))</f>
        <v>II</v>
      </c>
      <c r="FR296">
        <f>IF(B296="",0,IFERROR(MATCH(FJ296,{"III","II","I","I особая"},0),1))</f>
        <v>2</v>
      </c>
      <c r="FS296">
        <f t="shared" si="566"/>
        <v>2</v>
      </c>
      <c r="FT296" t="str">
        <f>IF(B296="","",IF(FR296&gt;IFERROR(MATCH(FQ296,{"III","II","I","I особая"},0),1),"НЕ ОБЕСПЕЧЕНА","ОК"))</f>
        <v>ОК</v>
      </c>
      <c r="FU296" t="str">
        <f>IF(A296="","",_xlfn.XLOOKUP(A296,Щиты[Щит],Щиты[Путь],""))</f>
        <v>|ГРЩ-ЖД|ЩР-2|</v>
      </c>
      <c r="FV296" t="str">
        <f>IF(B296="","",IF(AE296&lt;&gt;"",AE296,IF(IFERROR(_xlfn.XLOOKUP(AX296,Коды_код,Коды_вид)&amp;"","")="","Прочее",_xlfn.XLOOKUP(AX296,Коды_код,Коды_вид)&amp;"")))</f>
        <v>Розеточная сеть и бытовые приборы</v>
      </c>
      <c r="FW296">
        <f>IF(BH296="","",INT((BH296-1)/Столбцов_на_лист)+1)</f>
        <v>2</v>
      </c>
      <c r="FX296" t="str">
        <f t="shared" si="567"/>
        <v>ВВГнг(А)-LS (3х2,5) L=39-0,16%</v>
      </c>
      <c r="FY296">
        <f t="shared" si="568"/>
        <v>0.12</v>
      </c>
      <c r="FZ296">
        <f t="shared" si="569"/>
        <v>0.55000000000000004</v>
      </c>
      <c r="GA296">
        <f t="shared" si="570"/>
        <v>1</v>
      </c>
      <c r="GB296">
        <f t="shared" si="571"/>
        <v>0</v>
      </c>
      <c r="GC296">
        <f t="shared" si="572"/>
        <v>1</v>
      </c>
      <c r="GD296">
        <f>IF(BH296="","",IF(AND(CA296=1,GC296=1),COUNTIFS(A$3:A296,A296,CA$3:CA296,1,GC$3:GC296,1),IF(OR(OR(AW296=1,A296&lt;&gt;A295),AF296="вручную",GC296=0),"",IF(AW296=1,"",GE295))))</f>
        <v>13</v>
      </c>
      <c r="GE296">
        <f t="shared" si="573"/>
        <v>13</v>
      </c>
      <c r="GF296">
        <f>IF(B296="","",IFERROR(LOOKUP(INDEX(CHOOSE(DL296,Iдоп_1ж,Iдоп_2ж,Iдоп_3ж),MATCH(DX296,Iдоп_S,0))*DJ296*DK296,{6,10,16,20,25,32,40,50,63,80,100,125,160,200,250,315,400,500,630}),""))</f>
        <v>25</v>
      </c>
      <c r="GG296" t="str">
        <f t="shared" si="574"/>
        <v>QFD13</v>
      </c>
      <c r="GH296" t="str">
        <f t="shared" si="575"/>
        <v>QFD13</v>
      </c>
      <c r="GI296" t="str">
        <f t="shared" si="576"/>
        <v/>
      </c>
      <c r="GJ296">
        <f t="shared" si="577"/>
        <v>0</v>
      </c>
      <c r="GK296" t="str">
        <f>IF(OR(AG296="",AG296="-"),"",IFERROR(VLOOKUP(AG296,Модули_спр,2,FALSE),"R"))</f>
        <v/>
      </c>
      <c r="GL296" t="str">
        <f>IF(GK296="","",GK296&amp;"."&amp;COUNTIFS(A$3:A296,A296,GK$3:GK296,GK296))</f>
        <v/>
      </c>
      <c r="GM296" t="str">
        <f t="shared" si="578"/>
        <v/>
      </c>
      <c r="GN296" t="str">
        <f t="shared" si="579"/>
        <v/>
      </c>
      <c r="GO296" t="str">
        <f t="shared" si="580"/>
        <v/>
      </c>
      <c r="GP296" t="str">
        <f t="shared" si="581"/>
        <v/>
      </c>
      <c r="GQ296">
        <f t="shared" si="582"/>
        <v>1</v>
      </c>
      <c r="GR296" t="str">
        <f>IF(GQ296=1,"XT"&amp;COUNTIFS(A$3:A296,A296,GQ$3:GQ296,1),"")</f>
        <v>XT13</v>
      </c>
      <c r="GS296" t="str">
        <f t="shared" si="583"/>
        <v/>
      </c>
      <c r="GT296" t="str">
        <f t="shared" si="584"/>
        <v>QFD13</v>
      </c>
      <c r="GU296" t="str">
        <f t="shared" si="585"/>
        <v/>
      </c>
      <c r="GV296" t="str">
        <f t="shared" si="586"/>
        <v>ok</v>
      </c>
      <c r="GW296" t="str">
        <f>IF(OR(GO296="",GM296=""),"",IF(GO296&gt;IFERROR(VLOOKUP(GN296,Модули_спр,3,FALSE),99),"ЛИШНИЙ КАНАЛ",IF(AND(AH296&lt;&gt;"=",COUNTIFS(Линии[_модуль гр.],GM296,Линии[Канал (итог)],GO296,Линии[Канал],"&lt;&gt;=",Линии[Щит],A296)&gt;1),"ДУБЛЬ КАНАЛА","")))</f>
        <v/>
      </c>
      <c r="GX296" s="6" t="str">
        <f t="shared" si="587"/>
        <v/>
      </c>
      <c r="GY296">
        <f t="shared" si="588"/>
        <v>10</v>
      </c>
      <c r="GZ296" t="str">
        <f t="shared" si="589"/>
        <v/>
      </c>
      <c r="HA296" t="str">
        <f>IF(AND(B296="",GT296=""),"",_xlfn.TEXTJOIN("; ",TRUE,IF(AND(B296&lt;&gt;"",FE296=""),"нет фазы",""),IF(AND(B296&lt;&gt;"",N(FY296)=0,EQ296&lt;&gt;"Нет"),"нет мощности",""),IF(AND(GS296&lt;&gt;"",COUNTIFS(Линии[Щит],A296,Линии[Клемма (итог)],GS296)&gt;1),"дубль клеммы "&amp;GS296,""),IF(AND(GV296&lt;&gt;"",GV296&lt;&gt;"ok"),GV296,""),IF(GW296&lt;&gt;"",GW296,""),IF(AND(N(BV296)&gt;=4,N(BR296)=1),BV296&amp;" жил на 1 фазе",""),IF(AND(AX296="R",CA296=1,OR(N(CK296)=0,N(CK296)&gt;30)),"розетка без дифзащиты до 30 мА",""),IFERROR(IF(AND(ISNUMBER(R296),R296&gt;DV296),"потери "&amp;FIXED(R296,1)&amp;" % &gt; "&amp;DV296&amp;" %",""),""),IFERROR(IF(LEFT(GZ296,4)="мало","Iкз мало — отключение &gt; 0,4 с",""),""),IF(AND(B296&lt;&gt;"",BH296=""),"не на схеме",""),IF(AND(CA296=0,B296&lt;&gt;"",FE296&lt;&gt;"",IF(AW296=1,"",FF295)&lt;&gt;"",FE296&lt;&gt;IF(AW296=1,"",FF295)),"фаза не как у автомата группы ("&amp;IF(AW296=1,"",FF295)&amp;")","")))</f>
        <v/>
      </c>
      <c r="HB296" s="6">
        <f>IF(OR(CA296=0,DA296=""),"",_xlfn.LET(_xlpm.t,IFERROR(_xlfn.XLOOKUP(DA296,Каталог!$U$4:$U$500,Каталог!$G$4:$G$500),""),_xlpm.k,SEARCH("кА",_xlpm.t),IFERROR(--TRIM(RIGHT(SUBSTITUTE(MID(_xlpm.t,MAX(1,_xlpm.k-4),_xlpm.k-MAX(1,_xlpm.k-4))," ",REPT(" ",9)),5)),"")))</f>
        <v>6</v>
      </c>
      <c r="HC296" t="str">
        <f>IF(OR(HB296="",CA296=0),"",IF(_xlfn.XLOOKUP(A296,Щиты[Щит],Щиты[Iкз max на шинах, кА],"")="","",IF(HB296&lt;_xlfn.XLOOKUP(A296,Щиты[Щит],Щиты[Iкз max на шинах, кА]),"Icu "&amp;HB296&amp;" кА &lt; Iкз max","ok")))</f>
        <v/>
      </c>
      <c r="HD296" t="str">
        <f t="shared" si="590"/>
        <v/>
      </c>
      <c r="HE296" t="str">
        <f t="shared" si="591"/>
        <v>QFD13</v>
      </c>
      <c r="HF296" t="str">
        <f t="shared" si="592"/>
        <v>QFD13|кабель ВВГнг(А)-LS (3х2,5) → Розеточная группа, пом. 015А</v>
      </c>
      <c r="HG296" t="str" cm="1">
        <f t="array" ref="HG296">IF(HF296="","",_xlfn.LET(_xlpm.nd,_xlfn.TEXTSPLIT(HF296,"|"),IF(COLUMNS(_xlpm.nd)&gt;1,A296&amp;"¦"&amp;INDEX(_xlpm.nd,1)&amp;"¦"&amp;INDEX(_xlpm.nd,2),"")))</f>
        <v>ЩР-2¦QFD13¦кабель ВВГнг(А)-LS (3х2,5) → Розеточная группа, пом. 015А</v>
      </c>
      <c r="HH296" t="str">
        <f t="shared" si="593"/>
        <v>R.2.015А.1¦Розеточная группа, пом. 015А</v>
      </c>
      <c r="HI296" t="str" cm="1">
        <f t="array" ref="HI296">IF(HF296="","",_xlfn.LET(_xlpm.nd,_xlfn.TEXTSPLIT(HF296,"|"),IF(COLUMNS(_xlpm.nd)&gt;2,A296&amp;"¦"&amp;INDEX(_xlpm.nd,2)&amp;"¦"&amp;INDEX(_xlpm.nd,3),"")))</f>
        <v/>
      </c>
      <c r="HJ296" t="str">
        <f t="shared" si="594"/>
        <v/>
      </c>
      <c r="HK296" t="str" cm="1">
        <f t="array" ref="HK296">IF(HF296="","",_xlfn.LET(_xlpm.nd,_xlfn.TEXTSPLIT(HF296,"|"),IF(COLUMNS(_xlpm.nd)&gt;3,A296&amp;"¦"&amp;INDEX(_xlpm.nd,3)&amp;"¦"&amp;INDEX(_xlpm.nd,4),"")))</f>
        <v/>
      </c>
      <c r="HL296" t="str">
        <f t="shared" si="595"/>
        <v/>
      </c>
      <c r="HM296" t="str" cm="1">
        <f t="array" ref="HM296">IF(HF296="","",_xlfn.LET(_xlpm.nd,_xlfn.TEXTSPLIT(HF296,"|"),IF(COLUMNS(_xlpm.nd)&gt;4,A296&amp;"¦"&amp;INDEX(_xlpm.nd,4)&amp;"¦"&amp;INDEX(_xlpm.nd,5),"")))</f>
        <v/>
      </c>
      <c r="HN296" t="str">
        <f t="shared" si="596"/>
        <v/>
      </c>
      <c r="HO296" t="str" cm="1">
        <f t="array" ref="HO296">IF(HF296="","",_xlfn.LET(_xlpm.nd,_xlfn.TEXTSPLIT(HF296,"|"),IF(COLUMNS(_xlpm.nd)&gt;5,A296&amp;"¦"&amp;INDEX(_xlpm.nd,5)&amp;"¦"&amp;INDEX(_xlpm.nd,6),"")))</f>
        <v/>
      </c>
      <c r="HP296" t="str">
        <f t="shared" si="597"/>
        <v/>
      </c>
      <c r="HQ296" t="str" cm="1">
        <f t="array" ref="HQ296">IF(HF296="","",_xlfn.LET(_xlpm.nd,_xlfn.TEXTSPLIT(HF296,"|"),IF(COLUMNS(_xlpm.nd)&gt;6,A296&amp;"¦"&amp;INDEX(_xlpm.nd,6)&amp;"¦"&amp;INDEX(_xlpm.nd,7),"")))</f>
        <v/>
      </c>
      <c r="HR296" t="str">
        <f t="shared" si="598"/>
        <v/>
      </c>
      <c r="HS296" t="str">
        <f t="shared" si="599"/>
        <v/>
      </c>
      <c r="HT296" t="str">
        <f t="shared" si="600"/>
        <v>QFD13</v>
      </c>
      <c r="HU296">
        <f t="shared" si="601"/>
        <v>0</v>
      </c>
      <c r="HV296">
        <f t="shared" si="602"/>
        <v>1</v>
      </c>
      <c r="HW296" t="str">
        <f t="shared" si="603"/>
        <v/>
      </c>
      <c r="HX296" t="str">
        <f t="shared" si="604"/>
        <v/>
      </c>
      <c r="HY296" t="str">
        <f t="shared" si="605"/>
        <v/>
      </c>
      <c r="HZ296" t="str">
        <f t="shared" si="606"/>
        <v/>
      </c>
      <c r="IA296" t="str">
        <f>IF(B296="","",IFERROR(VLOOKUP(B296,УГО_спр,2,FALSE),IFERROR(VLOOKUP(AX296,УГО_спр,2,FALSE),IFERROR(VLOOKUP(LEFT(AX296,2),УГО_спр,2,FALSE),""))))</f>
        <v>Розетка</v>
      </c>
      <c r="IB296" t="str">
        <f>IF(B296="","",IF(OR(IA296="",IA296=0),"BOX",IFERROR(IF(VLOOKUP(IA296,УГО_блоки,3,FALSE)&amp;""&lt;&gt;"",VLOOKUP(IA296,УГО_блоки,3,FALSE),VLOOKUP(IA296,УГО_блоки,2,FALSE)),IA296)))</f>
        <v>SOCKET</v>
      </c>
      <c r="IC296">
        <f t="shared" si="607"/>
        <v>1</v>
      </c>
      <c r="ID296" t="str">
        <f>IF(DA296="","",IF(COUNTIF(DA$3:DA296,DA296)=1,MAX(ID$2:ID295)+1,""))</f>
        <v/>
      </c>
      <c r="IE296" t="str">
        <f>IF(CO296="","",IF(COUNTIF(CO$3:CO296,CO296)+COUNTIF(CP$2:CP295,CO296)+COUNTIF(CQ$2:CQ295,CO296)=1,MAX(IE$2:IG295)+1,""))</f>
        <v/>
      </c>
      <c r="IF296" t="str">
        <f>IF(CP296="","",IF(COUNTIF(CO$3:CO296,CP296)+COUNTIF(CP$3:CP296,CP296)+COUNTIF(CQ$2:CQ295,CP296)=1,MAX(IE$2:IG295,IE296)+1,""))</f>
        <v/>
      </c>
      <c r="IG296" t="str">
        <f>IF(CQ296="","",IF(COUNTIF(CO$3:CO296,CQ296)+COUNTIF(CP$3:CP296,CQ296)+COUNTIF(CQ$3:CQ296,CQ296)=1,MAX(IE$2:IG295,IE296,IF296)+1,""))</f>
        <v/>
      </c>
      <c r="IH296" t="str">
        <f t="shared" si="608"/>
        <v>3х2,5</v>
      </c>
      <c r="II296" t="str">
        <f>IF(IH296="","",IF(COUNTIF(IH$3:IH296,IH296)=1,MAX(II$2:II295)+1,""))</f>
        <v/>
      </c>
      <c r="IJ296" t="str">
        <f>IF(GL296="","",COUNTIF(GL$3:GL296,"?*"))</f>
        <v/>
      </c>
      <c r="IK296" t="str">
        <f>IF(OR(GL296="",GN296=""),"",IF(COUNTIFS(GL$3:GL296,"?*",GN$3:GN296,GN296)=1,MAX(IK$2:IK295)+1,""))</f>
        <v/>
      </c>
      <c r="IL296">
        <f t="shared" si="609"/>
        <v>0</v>
      </c>
      <c r="IM296">
        <f>IF(B296="","",COUNTIF(B$3:B296,"?*"))</f>
        <v>294</v>
      </c>
      <c r="IN296">
        <f>IF(GQ296&lt;&gt;1,0,_xlfn.LET(_xlpm.k,MAX(IFERROR(--VLOOKUP(B296,УГО_спр,5,FALSE),0),IFERROR(--VLOOKUP(AX296,УГО_спр,5,FALSE),0),IFERROR(--VLOOKUP(LEFT(AX296,2),УГО_спр,5,FALSE),0)),IF(_xlpm.k&gt;0,_xlpm.k,IF(IFERROR(--LEFT(SUBSTITUTE(IH296,"x","х"),FIND("х",SUBSTITUTE(IH296,"x","х"))-1),3)&gt;3,Каталог!$S$9,1))))</f>
        <v>1</v>
      </c>
      <c r="IO296">
        <f t="shared" si="610"/>
        <v>0</v>
      </c>
      <c r="IP296" t="str">
        <f t="shared" si="611"/>
        <v>авто</v>
      </c>
      <c r="IQ296">
        <f t="shared" si="612"/>
        <v>30</v>
      </c>
      <c r="IR296">
        <f t="shared" si="613"/>
        <v>1</v>
      </c>
      <c r="IS296">
        <f t="shared" si="614"/>
        <v>1</v>
      </c>
    </row>
    <row r="297" spans="1:253" x14ac:dyDescent="0.3">
      <c r="A297" t="s">
        <v>761</v>
      </c>
      <c r="B297" t="s">
        <v>1561</v>
      </c>
      <c r="C297" t="str">
        <f>Линии[[#This Row],[_авто наименование]]</f>
        <v>Розеточная группа, пом. 016А</v>
      </c>
      <c r="D297">
        <v>1</v>
      </c>
      <c r="E297">
        <v>0.06</v>
      </c>
      <c r="G297">
        <v>16</v>
      </c>
      <c r="H297">
        <f>Линии[[#This Row],[_авто утечка]]</f>
        <v>30</v>
      </c>
      <c r="I297" t="str">
        <f>Линии[[#This Row],[_авто управление]]</f>
        <v/>
      </c>
      <c r="J297" t="str">
        <f>Линии[[#This Row],[_авто аппараты]]</f>
        <v/>
      </c>
      <c r="K297">
        <v>2.5</v>
      </c>
      <c r="L297">
        <v>31</v>
      </c>
      <c r="M297">
        <v>2</v>
      </c>
      <c r="N297" t="s">
        <v>486</v>
      </c>
      <c r="O297" t="str">
        <f t="shared" si="492"/>
        <v/>
      </c>
      <c r="P297" s="6" cm="1">
        <f t="array" ref="P297">IF(B297="","",IF(BC297&lt;&gt;"",IFERROR(_xlfn.XLOOKUP(BC297,Щиты[Щит],Щиты[Iр, А]),""),IF(BK297=1,IFERROR(_xlfn.XLOOKUP(A297,Щиты[Щит],Щиты[Iр, А]),""),IFERROR(_xlfn.IFS(BR297=1,BN297/((Uн_лин/SQRT(3))*BY297),BR297=3,BN297/(SQRT(3)*Uн_лин*BY297)),""))))</f>
        <v>0.27348170645824377</v>
      </c>
      <c r="Q297" s="7">
        <f>IF(B297="","",IFERROR(IF(VLOOKUP(AX297,Потребители_обозначение,4,FALSE)=1,VLOOKUP(AX297,Потребители_обозначение,3,FALSE)*(D297*2-1)+DS297+VLOOKUP(AZ297,Этаж_обозначение,3,FALSE)+VLOOKUP(AZ297,Этаж_обозначение,4,FALSE),VLOOKUP(AX297,Потребители_обозначение,3,FALSE)*(D297*2-1)+DS297),DS297))</f>
        <v>34</v>
      </c>
      <c r="R297" s="6">
        <f t="shared" si="493"/>
        <v>1.86</v>
      </c>
      <c r="S297" t="str">
        <f t="shared" si="494"/>
        <v>ВВГнг(А)-LS (3х2,5)</v>
      </c>
      <c r="T297" t="str">
        <f>IF(BH297="","",IF(BI297="вводной узел","узел ","")&amp;"л."&amp;(INT((BH297-1)/Столбцов_на_лист)+1)&amp;" / "&amp;(MOD(BH297-1,Столбцов_на_лист)+1))</f>
        <v>л.2 / 16</v>
      </c>
      <c r="V297">
        <v>1</v>
      </c>
      <c r="W297">
        <v>230</v>
      </c>
      <c r="X297" t="s">
        <v>564</v>
      </c>
      <c r="AC297" t="s">
        <v>815</v>
      </c>
      <c r="AE297" t="s">
        <v>563</v>
      </c>
      <c r="AI297">
        <v>33</v>
      </c>
      <c r="AJ297" t="s">
        <v>11</v>
      </c>
      <c r="AK297">
        <v>3</v>
      </c>
      <c r="AM297">
        <v>12</v>
      </c>
      <c r="AN297">
        <v>16</v>
      </c>
      <c r="AO297">
        <v>0</v>
      </c>
      <c r="AP297">
        <v>2</v>
      </c>
      <c r="AW297" cm="1">
        <f t="array" ref="AW297">ROW()-ROW(Линии[#Headers])</f>
        <v>295</v>
      </c>
      <c r="AX297" s="6" t="str">
        <f t="shared" si="495"/>
        <v>R</v>
      </c>
      <c r="AY297" t="str">
        <f t="shared" si="496"/>
        <v>2.016А.1</v>
      </c>
      <c r="AZ297" t="str">
        <f t="shared" si="497"/>
        <v>2</v>
      </c>
      <c r="BA297" t="str">
        <f t="shared" si="498"/>
        <v>016А.1</v>
      </c>
      <c r="BB297" t="str">
        <f t="shared" si="499"/>
        <v>016А</v>
      </c>
      <c r="BC297" t="str">
        <f>IF(U297&lt;&gt;"",U297,IF(AND(B297&lt;&gt;"",B297&lt;&gt;A297,ISNUMBER(_xlfn.XMATCH(B297,Щиты[Щит]))),B297,""))</f>
        <v/>
      </c>
      <c r="BD297" t="str" cm="1">
        <f t="array" ref="BD297">IF(B297="","",IF(BC297&lt;&gt;"","Щит "&amp;BC297,_xlfn.LET(_xlpm.nm,IFERROR(_xlfn.XLOOKUP(AX297,Коды_код,Коды_имя)&amp;"",""),_xlpm.md,IFERROR(N(_xlfn.XLOOKUP(AX297,Коды_код,Коды_режим)),1),_xlpm.ex,IF(Имя_режим="по экспликации",IFERROR(_xlfn.XLOOKUP(AZ297&amp;"|"&amp;BB297,Экспликация[Этаж]&amp;"|"&amp;Экспликация[Помещение],Экспликация[Название])&amp;"",""),""),_xlpm.rm,IF(BB297="","",IF(_xlpm.ex&lt;&gt;"",". "&amp;_xlpm.ex&amp;IF(Имя_пом="нет"," ("&amp;BB297&amp;")"," (пом. "&amp;BB297&amp;")"),IF(Имя_пом="нет"," ",", пом. ")&amp;BB297)),IF(_xlpm.nm="","",IF(_xlpm.md=2,_xlpm.nm&amp;" шлейф "&amp;AZ297,_xlpm.nm&amp;_xlpm.rm)))))</f>
        <v>Розеточная группа, пом. 016А</v>
      </c>
      <c r="BE297" t="str">
        <f t="shared" si="500"/>
        <v>Розеточная группа, пом. 016А</v>
      </c>
      <c r="BF297">
        <f>IFERROR(_xlfn.XMATCH(A297,Щиты[Щит]),0)</f>
        <v>11</v>
      </c>
      <c r="BG297">
        <f>_xlfn.LET(_xlpm.k,IFERROR(_xlfn.XLOOKUP(A297,Щиты[Щит],Щиты[Листов под вводной узел]),""),IF(_xlpm.k="",1,N(_xlpm.k))*Столбцов_на_лист)</f>
        <v>17</v>
      </c>
      <c r="BH297">
        <f t="shared" si="501"/>
        <v>33</v>
      </c>
      <c r="BI297" t="str">
        <f t="shared" si="502"/>
        <v>линии</v>
      </c>
      <c r="BJ297" s="6">
        <f>IFERROR(N(_xlfn.XLOOKUP(AX297,Коды_код,Коды_квт)),0)</f>
        <v>0</v>
      </c>
      <c r="BK297">
        <f t="shared" si="503"/>
        <v>0</v>
      </c>
      <c r="BL297" t="str">
        <f>IF(B297="","",IF(BC297&lt;&gt;"",IFERROR(_xlfn.XLOOKUP(BC297,Щиты[Щит],Щиты[Руст, кВт]),0),IF(BK297=1,IFERROR(_xlfn.XLOOKUP(A297,Щиты[Щит],Щиты[Руст, кВт]),0),IF(BJ297&gt;0,ROUND(BJ297*MAX(1,N(D297)),3),""))))</f>
        <v/>
      </c>
      <c r="BM297">
        <f t="shared" si="504"/>
        <v>0.06</v>
      </c>
      <c r="BN297" s="6">
        <f>IF(B297="","",IF(BC297&lt;&gt;"",IFERROR(_xlfn.XLOOKUP(BC297,Щиты[Щит],Щиты[Руст, кВт]),0),N(BM297)))</f>
        <v>0.06</v>
      </c>
      <c r="BO297" t="str">
        <f>IF(B297="","",IFERROR(IF(VLOOKUP(AX297,Потребители_обозначение,8,FALSE)=0,"",VLOOKUP(AX297,Потребители_обозначение,8,FALSE)),""))</f>
        <v/>
      </c>
      <c r="BP297">
        <f t="shared" si="505"/>
        <v>230</v>
      </c>
      <c r="BQ297">
        <f>IF(B297="","",IF(BC297&lt;&gt;"",3,IFERROR(IF(N(VLOOKUP(AX297,Потребители_обозначение,9,FALSE))=0,1,VLOOKUP(AX297,Потребители_обозначение,9,FALSE)),1)))</f>
        <v>1</v>
      </c>
      <c r="BR297">
        <f t="shared" si="506"/>
        <v>1</v>
      </c>
      <c r="BS297" t="str">
        <f>IF(B297="","",_xlfn.LET(_xlpm.bc,IFERROR(IF(VLOOKUP(AX297,Потребители_обозначение,6,FALSE)=0,"",VLOOKUP(AX297,Потребители_обозначение,6,FALSE)&amp;""),""),IF(AND(FK297="да",OR(_xlpm.bc="",_xlpm.bc="мс")),Марка_пож,IF(AND(_xlpm.bc="",BC297&lt;&gt;""),"мс",_xlpm.bc))))</f>
        <v/>
      </c>
      <c r="BT297" t="str">
        <f t="shared" si="507"/>
        <v>мс</v>
      </c>
      <c r="BU297">
        <f>IF(B297="","",_xlfn.LET(_xlpm.cc,IFERROR(N(VLOOKUP(AX297,Потребители_обозначение,7,FALSE)),0),IF(_xlpm.cc&gt;0,_xlpm.cc,IF(BT297="","",IF(N(BR297)=3,5,3)))))</f>
        <v>3</v>
      </c>
      <c r="BV297">
        <f t="shared" si="508"/>
        <v>3</v>
      </c>
      <c r="BW297">
        <f>IFERROR(N(VLOOKUP(AX297,Потребители_обозначение,10,FALSE)),0)</f>
        <v>0</v>
      </c>
      <c r="BX297">
        <f>IFERROR(VLOOKUP(AX297,Потребители_обозначение,5,FALSE),0)</f>
        <v>1</v>
      </c>
      <c r="BY297" s="6" cm="1">
        <f t="array" ref="BY297">IF(B297="","",IF(BC297&lt;&gt;"",IFERROR(_xlfn.XLOOKUP(BC297,Щиты[Щит],Щиты[cos φ]),0.95),IF(BK297=1,IFERROR(_xlfn.XLOOKUP(A297,Щиты[Щит],Щиты[cos φ]),0.95),IF(ISNUMBER(Z297),Z297,IFERROR(IF(BX297=2,_xlfn.IFS(BR297=3,VLOOKUP(BN297,Справочная_двигатели,8,FALSE),BR297=1,VLOOKUP(BN297,Справочная_двигатели,10,TRUE)),IF(AND(Методика="нормы 2026",EQ297="Сил"),0.8,0.95)),0.95)))))</f>
        <v>0.95</v>
      </c>
      <c r="BZ297">
        <f t="shared" si="509"/>
        <v>0</v>
      </c>
      <c r="CA297">
        <f t="shared" si="510"/>
        <v>1</v>
      </c>
      <c r="CB297">
        <f t="shared" si="511"/>
        <v>0</v>
      </c>
      <c r="CC297">
        <f t="shared" si="512"/>
        <v>0</v>
      </c>
      <c r="CD297">
        <f t="shared" si="513"/>
        <v>0</v>
      </c>
      <c r="CE297">
        <f t="shared" si="514"/>
        <v>0</v>
      </c>
      <c r="CF297">
        <f t="shared" si="515"/>
        <v>0</v>
      </c>
      <c r="CG297">
        <f>IF(AX297="",0,_xlfn.LET(_xlpm.v,IFERROR(VLOOKUP(B297,УГО_спр,3,FALSE),IFERROR(VLOOKUP(AX297,УГО_спр,3,FALSE),IFERROR(VLOOKUP(LEFT(AX297,2),УГО_спр,3,FALSE),""))),IF(_xlpm.v="да",30,IF(ISNUMBER(_xlpm.v),_xlpm.v,0))))</f>
        <v>30</v>
      </c>
      <c r="CH297">
        <f t="shared" si="516"/>
        <v>30</v>
      </c>
      <c r="CI297" t="str">
        <f>_xlfn.LET(_xlpm.k,IFERROR(_xlfn.XLOOKUP(AX297,Коды_код,Коды_утечка)&amp;"",""),IF(_xlpm.k="","дифавтомат",_xlpm.k))</f>
        <v>дифавтомат</v>
      </c>
      <c r="CJ297">
        <f t="shared" si="517"/>
        <v>30</v>
      </c>
      <c r="CK297">
        <f t="shared" si="518"/>
        <v>30</v>
      </c>
      <c r="CL297">
        <f>IF(B297="",0,IFERROR(--VLOOKUP(B297,УГО_спр,4,FALSE),IFERROR(--VLOOKUP(AX297,УГО_спр,4,FALSE),IFERROR(--VLOOKUP(LEFT(AX297,2),УГО_спр,4,FALSE),0))))</f>
        <v>16</v>
      </c>
      <c r="CM297" t="str">
        <f>IF(B297="","",IFERROR(_xlfn.XLOOKUP(AX297,Коды_код,Коды_апп)&amp;"",""))</f>
        <v/>
      </c>
      <c r="CN297" t="str">
        <f t="shared" si="519"/>
        <v/>
      </c>
      <c r="CO297" t="str" cm="1">
        <f t="array" ref="CO297">IF(TRIM(CN297&amp;"")="","",IFERROR(TRIM(INDEX(_xlfn.TEXTSPLIT(CN297&amp;";;;",";"),1)),""))</f>
        <v/>
      </c>
      <c r="CP297" t="str" cm="1">
        <f t="array" ref="CP297">IF(TRIM(CN297&amp;"")="","",IFERROR(TRIM(INDEX(_xlfn.TEXTSPLIT(CN297&amp;";;;",";"),2)),""))</f>
        <v/>
      </c>
      <c r="CQ297" t="str" cm="1">
        <f t="array" ref="CQ297">IF(TRIM(CN297&amp;"")="","",IFERROR(TRIM(INDEX(_xlfn.TEXTSPLIT(CN297&amp;";;;",";"),3)),""))</f>
        <v/>
      </c>
      <c r="CR297">
        <f t="shared" si="520"/>
        <v>0</v>
      </c>
      <c r="CS297" t="str">
        <f>IF(B297="","",_xlfn.LET(_xlpm.t,LOWER(AV297&amp;""),IF(ISNUMBER(SEARCH("dim",_xlpm.t)),"DIM",IF(ISNUMBER(SEARCH("dali",_xlpm.t)),"DALI",IF(OR(ISNUMBER(SEARCH("relay",_xlpm.t)),ISNUMBER(SEARCH("реле",_xlpm.t))),"Relay",IF(ISNUMBER(SEARCH("кнопк",_xlpm.t)),"",IFERROR(_xlfn.XLOOKUP(AX297,Коды_код,Коды_упр)&amp;"","")))))))</f>
        <v/>
      </c>
      <c r="CT297" t="str">
        <f t="shared" si="521"/>
        <v/>
      </c>
      <c r="CU297">
        <f>IF(B297="","",_xlfn.LET(_xlpm.ig,N(P297)+IF(AF297="вручную",0,N(CB297)),_xlpm.n0,IFERROR(VLOOKUP(_xlpm.ig,Автомат_номиналы,2,TRUE),0),_xlpm.mn,MAX(CL297,IF(AF297="вручную",0,N(CE297))),MAX(_xlpm.n0,_xlpm.mn,IF(CR297=1,Мин_автомат_БП,0))))</f>
        <v>16</v>
      </c>
      <c r="CV297">
        <f t="shared" si="522"/>
        <v>1</v>
      </c>
      <c r="CW297" t="str">
        <f t="shared" si="523"/>
        <v>2P</v>
      </c>
      <c r="CX297" t="str">
        <f>_xlfn.LET(_xlpm.cc,UPPER(TRIM(IFERROR(_xlfn.XLOOKUP(AX297,Коды_код,Коды_хар)&amp;"",""))),IF(OR(_xlpm.cc="B",_xlpm.cc="В"),"B",IF(_xlpm.cc="D","D","С")))</f>
        <v>С</v>
      </c>
      <c r="CY297" t="str">
        <f t="shared" si="524"/>
        <v>2P С16А 30мА</v>
      </c>
      <c r="CZ297">
        <f t="shared" si="525"/>
        <v>16</v>
      </c>
      <c r="DA297" t="str">
        <f t="shared" si="526"/>
        <v>2P С16А 30мА</v>
      </c>
      <c r="DB297" cm="1">
        <f t="array" ref="DB297">IF(DA297="","",_xlfn.LET(_xlpm.t,SUBSTITUTE(SUBSTITUTE(SUBSTITUTE(UPPER(DA297),"С","C"),"А","A"),"В","B"),_xlpm.tk,_xlfn.TEXTSPLIT(_xlpm.t,"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7" t="str">
        <f t="shared" si="527"/>
        <v>ok</v>
      </c>
      <c r="DD297">
        <f t="shared" si="528"/>
        <v>16</v>
      </c>
      <c r="DE297" t="str">
        <f t="shared" si="529"/>
        <v>2P С16А 30мА</v>
      </c>
      <c r="DF297">
        <f t="shared" si="530"/>
        <v>30</v>
      </c>
      <c r="DG297">
        <f t="shared" si="531"/>
        <v>1</v>
      </c>
      <c r="DH297">
        <f t="shared" si="532"/>
        <v>0</v>
      </c>
      <c r="DI297">
        <f t="shared" si="533"/>
        <v>0.27348170645824377</v>
      </c>
      <c r="DJ297">
        <f t="shared" si="534"/>
        <v>1</v>
      </c>
      <c r="DK297">
        <f>IF(ISNUMBER(AL297),AL297,К_прокл)</f>
        <v>1</v>
      </c>
      <c r="DL297">
        <f t="shared" si="535"/>
        <v>2</v>
      </c>
      <c r="DM297">
        <f>IFERROR(N(VLOOKUP(BT297,Кабель_обозначение,3,FALSE)),1)</f>
        <v>1</v>
      </c>
      <c r="DN297">
        <f>IFERROR(N(_xlfn.XLOOKUP(A297,Щиты[Щит],Щиты[ΔU до шин, %])),0)</f>
        <v>1.79</v>
      </c>
      <c r="DO297" t="str">
        <f>IFERROR(_xlfn.XLOOKUP(A297,Щиты[Щит],Щиты[Zпетли на шинах, Ом]),"")</f>
        <v/>
      </c>
      <c r="DP297">
        <f>IFERROR(N(_xlfn.XLOOKUP(A297,Щиты[Щит],Щиты[ΔU до шин (подбор), %])),0)</f>
        <v>4.75</v>
      </c>
      <c r="DQ297" t="str">
        <f>IFERROR(_xlfn.XLOOKUP(A297,Щиты[Щит],Щиты[Zпетли на шинах (подбор), Ом]),"")</f>
        <v/>
      </c>
      <c r="DR297" t="str">
        <f t="shared" si="536"/>
        <v/>
      </c>
      <c r="DS297">
        <f t="shared" si="537"/>
        <v>31</v>
      </c>
      <c r="DT297">
        <f t="shared" si="538"/>
        <v>2</v>
      </c>
      <c r="DU297">
        <f t="shared" si="539"/>
        <v>0.31</v>
      </c>
      <c r="DV297" s="6">
        <f>IF(B297="","",IF(IFERROR(VLOOKUP(AX297,УГО_спр,2,FALSE),"")="Светильник",3,4)+IF(Методика="нормы 2026",MIN(0.5,MAX(0,N(Q297)-100)*0.005),0))</f>
        <v>4</v>
      </c>
      <c r="DW297" t="str" cm="1">
        <f t="array" ref="DW297">IF(OR(B297="",BT297="",DM297&lt;&gt;1),"",_xlfn.LET(_xlpm.sz,Iдоп_S,_xlpm.t_,CHOOSE(DL297,Iдоп_1ж,Iдоп_2ж,Iдоп_3ж)*DJ297*DK297,_xlpm.inn,N(DD297),_xlpm.smin,MAX(1.5,BW297),_xlpm.L_,N(Q297)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297)*(_xlpm.rho*_xlpm.L_/_xlpm.sz*N(BY297)+_xlpm.xx*_xlpm.L_*N(DU297)/1000)*N(P297)/((Uн_лин/SQRT(3))*1000)*100,999),_xlpm.kz,IF(OR(DG297=1,NOT(ISNUMBER(DQ297)),_xlpm.L_=0,_xlpm.inn=0),1,IFERROR(--(c_min*(Uн_лин*1000/SQRT(3))/(DQ297+2*ρкз_Cu*_xlpm.L_/_xlpm.sz)&gt;=GY297*_xlpm.inn),0)),_xlpm.ok,IFERROR((_xlpm.sz&gt;=_xlpm.smin)*(_xlpm.t_&gt;=_xlpm.inn)*IF(_xlpm.L_&gt;0,(_xlpm.du_+DP297&lt;=DV297+0.00001),1)*_xlpm.kz,0),_xlpm.r_,_xlfn._xlws.FILTER(_xlpm.sz,_xlpm.ok,"не подобрано"),INDEX(_xlpm.r_,1)))</f>
        <v>не подобрано</v>
      </c>
      <c r="DX297">
        <f t="shared" si="540"/>
        <v>2.5</v>
      </c>
      <c r="DY297" cm="1">
        <f t="array" ref="DY297">IF(OR(B297="",BT297="",DM297&lt;&gt;1),"",_xlfn.LET(_xlpm.sz,Iдоп_S,_xlpm.t_,CHOOSE(DL297,Iдоп_1ж,Iдоп_2ж,Iдоп_3ж)*DJ297*DK297,_xlpm.ok,IFERROR((_xlpm.sz&gt;=MAX(1.5,BW297))*(_xlpm.t_&gt;=N(DD297)),0),_xlpm.r_,_xlfn._xlws.FILTER(_xlpm.sz,_xlpm.ok,""),INDEX(_xlpm.r_,1)))</f>
        <v>1.5</v>
      </c>
      <c r="DZ297" s="6" cm="1">
        <f t="array" ref="DZ297">IFERROR(ROUNDUP(N(DT297)*(_xlfn.XLOOKUP(DY297,INDEX(Кабель_сопротивление,0,1),INDEX(Кабель_сопротивление,0,3))*N(Q297)/DY297*N(BY297)+_xlfn.XLOOKUP(DY297,INDEX(Кабель_сопротивление,0,1),INDEX(Кабель_сопротивление,0,2))*N(Q297)*N(DU297)/1000)*N(P297)/((Uн_лин/SQRT(3))*1000)*100,2),"")</f>
        <v>0.12</v>
      </c>
      <c r="EA297">
        <f>IFERROR(2*ρкз_Cu*N(Q297)/DY297,"")</f>
        <v>1.1922666666666666</v>
      </c>
      <c r="EB297">
        <f>IFERROR(VLOOKUP(DX297,Кабель_сопротивление,3,FALSE),"")</f>
        <v>2.2499999999999999E-2</v>
      </c>
      <c r="EC297">
        <f>IFERROR(VLOOKUP(DX297,Кабель_сопротивление,2,FALSE),"")</f>
        <v>0.1</v>
      </c>
      <c r="ED297">
        <f t="shared" si="541"/>
        <v>16</v>
      </c>
      <c r="EE297">
        <f t="shared" si="542"/>
        <v>0</v>
      </c>
      <c r="EF297">
        <f t="shared" si="543"/>
        <v>0.15957876357203687</v>
      </c>
      <c r="EG297" s="6">
        <f>IFERROR(ROUNDUP(EF297/((Uн_лин/SQRT(3))*1000)*100,2),"")</f>
        <v>6.9999999999999993E-2</v>
      </c>
      <c r="EH297" t="str">
        <f>IFERROR(VLOOKUP(BT297,Кабель_обозначение,2,FALSE),"")</f>
        <v>ВВГнг(А)-LS</v>
      </c>
      <c r="EI297" t="str">
        <f t="shared" si="544"/>
        <v>ВВГнг(А)-LS (3х2,5)</v>
      </c>
      <c r="EJ297" t="str">
        <f t="shared" si="545"/>
        <v>ВВГнг(А)-LS (3х2,5)
L=34-0,07%</v>
      </c>
      <c r="EK297">
        <f>IFERROR(2*ρкз_Cu*Q297/DX297,"")</f>
        <v>0.71536</v>
      </c>
      <c r="EL297">
        <f t="shared" si="546"/>
        <v>0.23800000000000004</v>
      </c>
      <c r="EM297" s="6" t="str">
        <f>IFERROR(IF(OR(B297="",NOT(ISNUMBER(DX297)),N(Q297)=0),"",_xlfn.XLOOKUP(A297,Щиты[Щит],Щиты[Zпетли на шинах, Ом])+EK297),"")</f>
        <v/>
      </c>
      <c r="EN297" s="6" t="str">
        <f>IF(ISNUMBER(EM297),c_min*(Uн_лин*1000/SQRT(3))/EM297,"")</f>
        <v/>
      </c>
      <c r="EO297" s="6" t="str">
        <f>IFERROR(IF(OR(B297="",NOT(ISNUMBER(DX297))),"",1.05*(Uн_лин*1000/SQRT(3))/(_xlfn.XLOOKUP(A297,Щиты[Щит],Щиты[Zmax на шинах, Ом])+EL297)/1000),"")</f>
        <v/>
      </c>
      <c r="EP297" s="6" t="str">
        <f>IF(B297="","",IF(ISNUMBER(Y297),"Сил",IF(IFERROR(_xlfn.XLOOKUP(AX297,Коды_код,Коды_группа)&amp;"","")="","Быт",_xlfn.XLOOKUP(AX297,Коды_код,Коды_группа)&amp;"")))</f>
        <v>Быт</v>
      </c>
      <c r="EQ297" s="6" t="str">
        <f t="shared" si="547"/>
        <v>Быт</v>
      </c>
      <c r="ER297" s="6">
        <f>IF(EQ297="Щит","щит",IF(EQ297="","",IF(EQ297="Быт",IFERROR(_xlfn.XLOOKUP(A297,Щиты[Щит],Щиты[Кс быт]),1),IF(EQ297="Сил",IF(ISNUMBER(Y297),Y297,IF(Методика="нормы 2026",IFERROR(_xlfn.XLOOKUP(A297,Щиты[Щит],Щиты[Кс силовых (табл. 7.5)]),1),1)),IF(OR(EQ297="Пост",EQ297="Отоп"),1,IF(EQ297="ВНГ",0.7,0))))))</f>
        <v>0.8</v>
      </c>
      <c r="ES297">
        <f t="shared" si="548"/>
        <v>1</v>
      </c>
      <c r="ET297">
        <f t="shared" si="549"/>
        <v>0.06</v>
      </c>
      <c r="EU297">
        <f t="shared" si="550"/>
        <v>0.06</v>
      </c>
      <c r="EV297">
        <f t="shared" si="551"/>
        <v>0</v>
      </c>
      <c r="EW297">
        <f t="shared" si="552"/>
        <v>0</v>
      </c>
      <c r="EX297">
        <f t="shared" si="553"/>
        <v>0</v>
      </c>
      <c r="EY297">
        <f t="shared" si="554"/>
        <v>0</v>
      </c>
      <c r="EZ297">
        <f t="shared" si="555"/>
        <v>0.06</v>
      </c>
      <c r="FA297">
        <f t="shared" si="556"/>
        <v>5.6999999999999995E-2</v>
      </c>
      <c r="FB297">
        <f t="shared" si="557"/>
        <v>0.06</v>
      </c>
      <c r="FC297" t="str">
        <f t="shared" si="558"/>
        <v>L2</v>
      </c>
      <c r="FD297" t="str">
        <f>IF(B297="","",IF(CA297=0,IF(AW297=1,"",FF296),IF(OR(N(CV297)&gt;=3,N(BR297)&gt;=3),"L1,L2,L3",IFERROR(_xlfn.TEXTBEFORE(_xlfn.TEXTAFTER(_xlfn.XLOOKUP(A297,Щиты[Щит],Щиты[_фазы авто]),";"&amp;AW297&amp;":"),";"),"L1"))))</f>
        <v>L1</v>
      </c>
      <c r="FE297" t="str">
        <f t="shared" si="559"/>
        <v>L2</v>
      </c>
      <c r="FF297" t="str">
        <f t="shared" si="560"/>
        <v>L2</v>
      </c>
      <c r="FG297" cm="1">
        <f t="array" ref="FG297">IFERROR(IF(BX297=2,_xlfn.IFS(BR297=3,VLOOKUP(BN297,Справочная_двигатели,3,FALSE),BR297=1,VLOOKUP(BN297,Справочная_двигатели,5,TRUE)),0),0)</f>
        <v>0</v>
      </c>
      <c r="FH297">
        <f>IFERROR(IF(BX297=3,VLOOKUP(BN297,Справочная_ЛЭД,2,TRUE),0),0)</f>
        <v>0</v>
      </c>
      <c r="FI297" s="6">
        <f t="shared" si="561"/>
        <v>0</v>
      </c>
      <c r="FJ297" t="str" cm="1">
        <f t="array" ref="FJ297">IF(B297="","",IFERROR(INDEX({"I особая","I","II","III"},MATCH(TRIM(AC297&amp;""),{"I особая","I","II","III"},0)),"III"))</f>
        <v>II</v>
      </c>
      <c r="FK297" t="str">
        <f>IF(B297="","",IF(TRIM(AD297&amp;"")&lt;&gt;"",IF(LOWER(TRIM(AD297&amp;""))="да","да","нет"),IF(IFERROR(_xlfn.XLOOKUP(AX297,Коды_код,Коды_пожарная),"")="да","да","нет")))</f>
        <v>нет</v>
      </c>
      <c r="FL297" t="str">
        <f t="shared" si="562"/>
        <v/>
      </c>
      <c r="FM297" t="str">
        <f t="shared" si="563"/>
        <v>основная</v>
      </c>
      <c r="FN297">
        <f t="shared" si="564"/>
        <v>1</v>
      </c>
      <c r="FO297" t="str" cm="1">
        <f t="array" ref="FO297">IF(B297="","",_xlfn.LET(_xlpm.t,IFERROR(_xlfn.XLOOKUP(1,(Шины[Шина]=FM297)*(((Шины[Щит]=A297)+(Шины[Щит]=""))&gt;0),Шины[Тип]),"")&amp;"",IF(_xlpm.t&lt;&gt;"",_xlpm.t,IF(ISNUMBER(SEARCH("ИБП",FM297)),"ИБП",IF(ISNUMBER(SEARCH("ДГУ",FM297)),"ДГУ","Ввод "&amp;FN297)))))</f>
        <v>Ввод 1</v>
      </c>
      <c r="FP297" t="str">
        <f t="shared" si="565"/>
        <v>Ввод 1</v>
      </c>
      <c r="FQ297" t="str">
        <f>IF(B297="","",IF(OR(FO297="ИБП",FO297="ДГУ"),"I особая",IF(FO297="Одиночная","III",_xlfn.XLOOKUP(A297,Щиты[Щит],Щиты[Категория шины «Ввод»],"III"))))</f>
        <v>II</v>
      </c>
      <c r="FR297">
        <f>IF(B297="",0,IFERROR(MATCH(FJ297,{"III","II","I","I особая"},0),1))</f>
        <v>2</v>
      </c>
      <c r="FS297">
        <f t="shared" si="566"/>
        <v>2</v>
      </c>
      <c r="FT297" t="str">
        <f>IF(B297="","",IF(FR297&gt;IFERROR(MATCH(FQ297,{"III","II","I","I особая"},0),1),"НЕ ОБЕСПЕЧЕНА","ОК"))</f>
        <v>ОК</v>
      </c>
      <c r="FU297" t="str">
        <f>IF(A297="","",_xlfn.XLOOKUP(A297,Щиты[Щит],Щиты[Путь],""))</f>
        <v>|ГРЩ-ЖД|ЩР-2|</v>
      </c>
      <c r="FV297" t="str">
        <f>IF(B297="","",IF(AE297&lt;&gt;"",AE297,IF(IFERROR(_xlfn.XLOOKUP(AX297,Коды_код,Коды_вид)&amp;"","")="","Прочее",_xlfn.XLOOKUP(AX297,Коды_код,Коды_вид)&amp;"")))</f>
        <v>Розеточная сеть и бытовые приборы</v>
      </c>
      <c r="FW297">
        <f>IF(BH297="","",INT((BH297-1)/Столбцов_на_лист)+1)</f>
        <v>2</v>
      </c>
      <c r="FX297" t="str">
        <f t="shared" si="567"/>
        <v>ВВГнг(А)-LS (3х2,5) L=34-0,07%</v>
      </c>
      <c r="FY297">
        <f t="shared" si="568"/>
        <v>0.06</v>
      </c>
      <c r="FZ297">
        <f t="shared" si="569"/>
        <v>0.28000000000000003</v>
      </c>
      <c r="GA297">
        <f t="shared" si="570"/>
        <v>1</v>
      </c>
      <c r="GB297">
        <f t="shared" si="571"/>
        <v>0</v>
      </c>
      <c r="GC297">
        <f t="shared" si="572"/>
        <v>1</v>
      </c>
      <c r="GD297">
        <f>IF(BH297="","",IF(AND(CA297=1,GC297=1),COUNTIFS(A$3:A297,A297,CA$3:CA297,1,GC$3:GC297,1),IF(OR(OR(AW297=1,A297&lt;&gt;A296),AF297="вручную",GC297=0),"",IF(AW297=1,"",GE296))))</f>
        <v>14</v>
      </c>
      <c r="GE297">
        <f t="shared" si="573"/>
        <v>14</v>
      </c>
      <c r="GF297">
        <f>IF(B297="","",IFERROR(LOOKUP(INDEX(CHOOSE(DL297,Iдоп_1ж,Iдоп_2ж,Iдоп_3ж),MATCH(DX297,Iдоп_S,0))*DJ297*DK297,{6,10,16,20,25,32,40,50,63,80,100,125,160,200,250,315,400,500,630}),""))</f>
        <v>25</v>
      </c>
      <c r="GG297" t="str">
        <f t="shared" si="574"/>
        <v>QFD14</v>
      </c>
      <c r="GH297" t="str">
        <f t="shared" si="575"/>
        <v>QFD14</v>
      </c>
      <c r="GI297" t="str">
        <f t="shared" si="576"/>
        <v/>
      </c>
      <c r="GJ297">
        <f t="shared" si="577"/>
        <v>0</v>
      </c>
      <c r="GK297" t="str">
        <f>IF(OR(AG297="",AG297="-"),"",IFERROR(VLOOKUP(AG297,Модули_спр,2,FALSE),"R"))</f>
        <v/>
      </c>
      <c r="GL297" t="str">
        <f>IF(GK297="","",GK297&amp;"."&amp;COUNTIFS(A$3:A297,A297,GK$3:GK297,GK297))</f>
        <v/>
      </c>
      <c r="GM297" t="str">
        <f t="shared" si="578"/>
        <v/>
      </c>
      <c r="GN297" t="str">
        <f t="shared" si="579"/>
        <v/>
      </c>
      <c r="GO297" t="str">
        <f t="shared" si="580"/>
        <v/>
      </c>
      <c r="GP297" t="str">
        <f t="shared" si="581"/>
        <v/>
      </c>
      <c r="GQ297">
        <f t="shared" si="582"/>
        <v>1</v>
      </c>
      <c r="GR297" t="str">
        <f>IF(GQ297=1,"XT"&amp;COUNTIFS(A$3:A297,A297,GQ$3:GQ297,1),"")</f>
        <v>XT14</v>
      </c>
      <c r="GS297" t="str">
        <f t="shared" si="583"/>
        <v/>
      </c>
      <c r="GT297" t="str">
        <f t="shared" si="584"/>
        <v>QFD14</v>
      </c>
      <c r="GU297" t="str">
        <f t="shared" si="585"/>
        <v/>
      </c>
      <c r="GV297" t="str">
        <f t="shared" si="586"/>
        <v>ok</v>
      </c>
      <c r="GW297" t="str">
        <f>IF(OR(GO297="",GM297=""),"",IF(GO297&gt;IFERROR(VLOOKUP(GN297,Модули_спр,3,FALSE),99),"ЛИШНИЙ КАНАЛ",IF(AND(AH297&lt;&gt;"=",COUNTIFS(Линии[_модуль гр.],GM297,Линии[Канал (итог)],GO297,Линии[Канал],"&lt;&gt;=",Линии[Щит],A297)&gt;1),"ДУБЛЬ КАНАЛА","")))</f>
        <v/>
      </c>
      <c r="GX297" s="6" t="str">
        <f t="shared" si="587"/>
        <v/>
      </c>
      <c r="GY297">
        <f t="shared" si="588"/>
        <v>10</v>
      </c>
      <c r="GZ297" t="str">
        <f t="shared" si="589"/>
        <v/>
      </c>
      <c r="HA297" t="str">
        <f>IF(AND(B297="",GT297=""),"",_xlfn.TEXTJOIN("; ",TRUE,IF(AND(B297&lt;&gt;"",FE297=""),"нет фазы",""),IF(AND(B297&lt;&gt;"",N(FY297)=0,EQ297&lt;&gt;"Нет"),"нет мощности",""),IF(AND(GS297&lt;&gt;"",COUNTIFS(Линии[Щит],A297,Линии[Клемма (итог)],GS297)&gt;1),"дубль клеммы "&amp;GS297,""),IF(AND(GV297&lt;&gt;"",GV297&lt;&gt;"ok"),GV297,""),IF(GW297&lt;&gt;"",GW297,""),IF(AND(N(BV297)&gt;=4,N(BR297)=1),BV297&amp;" жил на 1 фазе",""),IF(AND(AX297="R",CA297=1,OR(N(CK297)=0,N(CK297)&gt;30)),"розетка без дифзащиты до 30 мА",""),IFERROR(IF(AND(ISNUMBER(R297),R297&gt;DV297),"потери "&amp;FIXED(R297,1)&amp;" % &gt; "&amp;DV297&amp;" %",""),""),IFERROR(IF(LEFT(GZ297,4)="мало","Iкз мало — отключение &gt; 0,4 с",""),""),IF(AND(B297&lt;&gt;"",BH297=""),"не на схеме",""),IF(AND(CA297=0,B297&lt;&gt;"",FE297&lt;&gt;"",IF(AW297=1,"",FF296)&lt;&gt;"",FE297&lt;&gt;IF(AW297=1,"",FF296)),"фаза не как у автомата группы ("&amp;IF(AW297=1,"",FF296)&amp;")","")))</f>
        <v/>
      </c>
      <c r="HB297" s="6">
        <f>IF(OR(CA297=0,DA297=""),"",_xlfn.LET(_xlpm.t,IFERROR(_xlfn.XLOOKUP(DA297,Каталог!$U$4:$U$500,Каталог!$G$4:$G$500),""),_xlpm.k,SEARCH("кА",_xlpm.t),IFERROR(--TRIM(RIGHT(SUBSTITUTE(MID(_xlpm.t,MAX(1,_xlpm.k-4),_xlpm.k-MAX(1,_xlpm.k-4))," ",REPT(" ",9)),5)),"")))</f>
        <v>6</v>
      </c>
      <c r="HC297" t="str">
        <f>IF(OR(HB297="",CA297=0),"",IF(_xlfn.XLOOKUP(A297,Щиты[Щит],Щиты[Iкз max на шинах, кА],"")="","",IF(HB297&lt;_xlfn.XLOOKUP(A297,Щиты[Щит],Щиты[Iкз max на шинах, кА]),"Icu "&amp;HB297&amp;" кА &lt; Iкз max","ok")))</f>
        <v/>
      </c>
      <c r="HD297" t="str">
        <f t="shared" si="590"/>
        <v/>
      </c>
      <c r="HE297" t="str">
        <f t="shared" si="591"/>
        <v>QFD14</v>
      </c>
      <c r="HF297" t="str">
        <f t="shared" si="592"/>
        <v>QFD14|кабель ВВГнг(А)-LS (3х2,5) → Розеточная группа, пом. 016А</v>
      </c>
      <c r="HG297" t="str" cm="1">
        <f t="array" ref="HG297">IF(HF297="","",_xlfn.LET(_xlpm.nd,_xlfn.TEXTSPLIT(HF297,"|"),IF(COLUMNS(_xlpm.nd)&gt;1,A297&amp;"¦"&amp;INDEX(_xlpm.nd,1)&amp;"¦"&amp;INDEX(_xlpm.nd,2),"")))</f>
        <v>ЩР-2¦QFD14¦кабель ВВГнг(А)-LS (3х2,5) → Розеточная группа, пом. 016А</v>
      </c>
      <c r="HH297" t="str">
        <f t="shared" si="593"/>
        <v>R.2.016А.1¦Розеточная группа, пом. 016А</v>
      </c>
      <c r="HI297" t="str" cm="1">
        <f t="array" ref="HI297">IF(HF297="","",_xlfn.LET(_xlpm.nd,_xlfn.TEXTSPLIT(HF297,"|"),IF(COLUMNS(_xlpm.nd)&gt;2,A297&amp;"¦"&amp;INDEX(_xlpm.nd,2)&amp;"¦"&amp;INDEX(_xlpm.nd,3),"")))</f>
        <v/>
      </c>
      <c r="HJ297" t="str">
        <f t="shared" si="594"/>
        <v/>
      </c>
      <c r="HK297" t="str" cm="1">
        <f t="array" ref="HK297">IF(HF297="","",_xlfn.LET(_xlpm.nd,_xlfn.TEXTSPLIT(HF297,"|"),IF(COLUMNS(_xlpm.nd)&gt;3,A297&amp;"¦"&amp;INDEX(_xlpm.nd,3)&amp;"¦"&amp;INDEX(_xlpm.nd,4),"")))</f>
        <v/>
      </c>
      <c r="HL297" t="str">
        <f t="shared" si="595"/>
        <v/>
      </c>
      <c r="HM297" t="str" cm="1">
        <f t="array" ref="HM297">IF(HF297="","",_xlfn.LET(_xlpm.nd,_xlfn.TEXTSPLIT(HF297,"|"),IF(COLUMNS(_xlpm.nd)&gt;4,A297&amp;"¦"&amp;INDEX(_xlpm.nd,4)&amp;"¦"&amp;INDEX(_xlpm.nd,5),"")))</f>
        <v/>
      </c>
      <c r="HN297" t="str">
        <f t="shared" si="596"/>
        <v/>
      </c>
      <c r="HO297" t="str" cm="1">
        <f t="array" ref="HO297">IF(HF297="","",_xlfn.LET(_xlpm.nd,_xlfn.TEXTSPLIT(HF297,"|"),IF(COLUMNS(_xlpm.nd)&gt;5,A297&amp;"¦"&amp;INDEX(_xlpm.nd,5)&amp;"¦"&amp;INDEX(_xlpm.nd,6),"")))</f>
        <v/>
      </c>
      <c r="HP297" t="str">
        <f t="shared" si="597"/>
        <v/>
      </c>
      <c r="HQ297" t="str" cm="1">
        <f t="array" ref="HQ297">IF(HF297="","",_xlfn.LET(_xlpm.nd,_xlfn.TEXTSPLIT(HF297,"|"),IF(COLUMNS(_xlpm.nd)&gt;6,A297&amp;"¦"&amp;INDEX(_xlpm.nd,6)&amp;"¦"&amp;INDEX(_xlpm.nd,7),"")))</f>
        <v/>
      </c>
      <c r="HR297" t="str">
        <f t="shared" si="598"/>
        <v/>
      </c>
      <c r="HS297" t="str">
        <f t="shared" si="599"/>
        <v/>
      </c>
      <c r="HT297" t="str">
        <f t="shared" si="600"/>
        <v>QFD14</v>
      </c>
      <c r="HU297">
        <f t="shared" si="601"/>
        <v>0</v>
      </c>
      <c r="HV297">
        <f t="shared" si="602"/>
        <v>1</v>
      </c>
      <c r="HW297" t="str">
        <f t="shared" si="603"/>
        <v/>
      </c>
      <c r="HX297" t="str">
        <f t="shared" si="604"/>
        <v/>
      </c>
      <c r="HY297" t="str">
        <f t="shared" si="605"/>
        <v/>
      </c>
      <c r="HZ297" t="str">
        <f t="shared" si="606"/>
        <v/>
      </c>
      <c r="IA297" t="str">
        <f>IF(B297="","",IFERROR(VLOOKUP(B297,УГО_спр,2,FALSE),IFERROR(VLOOKUP(AX297,УГО_спр,2,FALSE),IFERROR(VLOOKUP(LEFT(AX297,2),УГО_спр,2,FALSE),""))))</f>
        <v>Розетка</v>
      </c>
      <c r="IB297" t="str">
        <f>IF(B297="","",IF(OR(IA297="",IA297=0),"BOX",IFERROR(IF(VLOOKUP(IA297,УГО_блоки,3,FALSE)&amp;""&lt;&gt;"",VLOOKUP(IA297,УГО_блоки,3,FALSE),VLOOKUP(IA297,УГО_блоки,2,FALSE)),IA297)))</f>
        <v>SOCKET</v>
      </c>
      <c r="IC297">
        <f t="shared" si="607"/>
        <v>1</v>
      </c>
      <c r="ID297" t="str">
        <f>IF(DA297="","",IF(COUNTIF(DA$3:DA297,DA297)=1,MAX(ID$2:ID296)+1,""))</f>
        <v/>
      </c>
      <c r="IE297" t="str">
        <f>IF(CO297="","",IF(COUNTIF(CO$3:CO297,CO297)+COUNTIF(CP$2:CP296,CO297)+COUNTIF(CQ$2:CQ296,CO297)=1,MAX(IE$2:IG296)+1,""))</f>
        <v/>
      </c>
      <c r="IF297" t="str">
        <f>IF(CP297="","",IF(COUNTIF(CO$3:CO297,CP297)+COUNTIF(CP$3:CP297,CP297)+COUNTIF(CQ$2:CQ296,CP297)=1,MAX(IE$2:IG296,IE297)+1,""))</f>
        <v/>
      </c>
      <c r="IG297" t="str">
        <f>IF(CQ297="","",IF(COUNTIF(CO$3:CO297,CQ297)+COUNTIF(CP$3:CP297,CQ297)+COUNTIF(CQ$3:CQ297,CQ297)=1,MAX(IE$2:IG296,IE297,IF297)+1,""))</f>
        <v/>
      </c>
      <c r="IH297" t="str">
        <f t="shared" si="608"/>
        <v>3х2,5</v>
      </c>
      <c r="II297" t="str">
        <f>IF(IH297="","",IF(COUNTIF(IH$3:IH297,IH297)=1,MAX(II$2:II296)+1,""))</f>
        <v/>
      </c>
      <c r="IJ297" t="str">
        <f>IF(GL297="","",COUNTIF(GL$3:GL297,"?*"))</f>
        <v/>
      </c>
      <c r="IK297" t="str">
        <f>IF(OR(GL297="",GN297=""),"",IF(COUNTIFS(GL$3:GL297,"?*",GN$3:GN297,GN297)=1,MAX(IK$2:IK296)+1,""))</f>
        <v/>
      </c>
      <c r="IL297">
        <f t="shared" si="609"/>
        <v>0</v>
      </c>
      <c r="IM297">
        <f>IF(B297="","",COUNTIF(B$3:B297,"?*"))</f>
        <v>295</v>
      </c>
      <c r="IN297">
        <f>IF(GQ297&lt;&gt;1,0,_xlfn.LET(_xlpm.k,MAX(IFERROR(--VLOOKUP(B297,УГО_спр,5,FALSE),0),IFERROR(--VLOOKUP(AX297,УГО_спр,5,FALSE),0),IFERROR(--VLOOKUP(LEFT(AX297,2),УГО_спр,5,FALSE),0)),IF(_xlpm.k&gt;0,_xlpm.k,IF(IFERROR(--LEFT(SUBSTITUTE(IH297,"x","х"),FIND("х",SUBSTITUTE(IH297,"x","х"))-1),3)&gt;3,Каталог!$S$9,1))))</f>
        <v>1</v>
      </c>
      <c r="IO297">
        <f t="shared" si="610"/>
        <v>0</v>
      </c>
      <c r="IP297" t="str">
        <f t="shared" si="611"/>
        <v>авто</v>
      </c>
      <c r="IQ297">
        <f t="shared" si="612"/>
        <v>30</v>
      </c>
      <c r="IR297">
        <f t="shared" si="613"/>
        <v>1</v>
      </c>
      <c r="IS297">
        <f t="shared" si="614"/>
        <v>1</v>
      </c>
    </row>
    <row r="298" spans="1:253" x14ac:dyDescent="0.3">
      <c r="A298" t="s">
        <v>761</v>
      </c>
      <c r="B298" t="s">
        <v>1562</v>
      </c>
      <c r="C298" t="str">
        <f>Линии[[#This Row],[_авто наименование]]</f>
        <v>Розеточная группа, пом. 017А</v>
      </c>
      <c r="D298">
        <v>2</v>
      </c>
      <c r="E298">
        <v>0.42</v>
      </c>
      <c r="G298">
        <v>16</v>
      </c>
      <c r="H298">
        <f>Линии[[#This Row],[_авто утечка]]</f>
        <v>30</v>
      </c>
      <c r="I298" t="str">
        <f>Линии[[#This Row],[_авто управление]]</f>
        <v/>
      </c>
      <c r="J298" t="str">
        <f>Линии[[#This Row],[_авто аппараты]]</f>
        <v/>
      </c>
      <c r="K298">
        <v>2.5</v>
      </c>
      <c r="L298">
        <v>45</v>
      </c>
      <c r="M298">
        <v>2</v>
      </c>
      <c r="N298" t="s">
        <v>486</v>
      </c>
      <c r="O298" t="str">
        <f t="shared" si="492"/>
        <v/>
      </c>
      <c r="P298" s="6" cm="1">
        <f t="array" ref="P298">IF(B298="","",IF(BC298&lt;&gt;"",IFERROR(_xlfn.XLOOKUP(BC298,Щиты[Щит],Щиты[Iр, А]),""),IF(BK298=1,IFERROR(_xlfn.XLOOKUP(A298,Щиты[Щит],Щиты[Iр, А]),""),IFERROR(_xlfn.IFS(BR298=1,BN298/((Uн_лин/SQRT(3))*BY298),BR298=3,BN298/(SQRT(3)*Uн_лин*BY298)),""))))</f>
        <v>1.9143719452077064</v>
      </c>
      <c r="Q298" s="7">
        <f>IF(B298="","",IFERROR(IF(VLOOKUP(AX298,Потребители_обозначение,4,FALSE)=1,VLOOKUP(AX298,Потребители_обозначение,3,FALSE)*(D298*2-1)+DS298+VLOOKUP(AZ298,Этаж_обозначение,3,FALSE)+VLOOKUP(AZ298,Этаж_обозначение,4,FALSE),VLOOKUP(AX298,Потребители_обозначение,3,FALSE)*(D298*2-1)+DS298),DS298))</f>
        <v>54</v>
      </c>
      <c r="R298" s="6">
        <f t="shared" si="493"/>
        <v>2.56</v>
      </c>
      <c r="S298" t="str">
        <f t="shared" si="494"/>
        <v>ВВГнг(А)-LS (3х2,5)</v>
      </c>
      <c r="T298" t="str">
        <f>IF(BH298="","",IF(BI298="вводной узел","узел ","")&amp;"л."&amp;(INT((BH298-1)/Столбцов_на_лист)+1)&amp;" / "&amp;(MOD(BH298-1,Столбцов_на_лист)+1))</f>
        <v>л.2 / 17</v>
      </c>
      <c r="V298">
        <v>1</v>
      </c>
      <c r="W298">
        <v>230</v>
      </c>
      <c r="X298" t="s">
        <v>564</v>
      </c>
      <c r="AC298" t="s">
        <v>815</v>
      </c>
      <c r="AE298" t="s">
        <v>563</v>
      </c>
      <c r="AI298">
        <v>34</v>
      </c>
      <c r="AJ298" t="s">
        <v>11</v>
      </c>
      <c r="AK298">
        <v>3</v>
      </c>
      <c r="AM298">
        <v>12</v>
      </c>
      <c r="AN298">
        <v>28</v>
      </c>
      <c r="AO298">
        <v>8</v>
      </c>
      <c r="AP298">
        <v>2</v>
      </c>
      <c r="AW298" cm="1">
        <f t="array" ref="AW298">ROW()-ROW(Линии[#Headers])</f>
        <v>296</v>
      </c>
      <c r="AX298" s="6" t="str">
        <f t="shared" si="495"/>
        <v>R</v>
      </c>
      <c r="AY298" t="str">
        <f t="shared" si="496"/>
        <v>2.017А.1</v>
      </c>
      <c r="AZ298" t="str">
        <f t="shared" si="497"/>
        <v>2</v>
      </c>
      <c r="BA298" t="str">
        <f t="shared" si="498"/>
        <v>017А.1</v>
      </c>
      <c r="BB298" t="str">
        <f t="shared" si="499"/>
        <v>017А</v>
      </c>
      <c r="BC298" t="str">
        <f>IF(U298&lt;&gt;"",U298,IF(AND(B298&lt;&gt;"",B298&lt;&gt;A298,ISNUMBER(_xlfn.XMATCH(B298,Щиты[Щит]))),B298,""))</f>
        <v/>
      </c>
      <c r="BD298" t="str" cm="1">
        <f t="array" ref="BD298">IF(B298="","",IF(BC298&lt;&gt;"","Щит "&amp;BC298,_xlfn.LET(_xlpm.nm,IFERROR(_xlfn.XLOOKUP(AX298,Коды_код,Коды_имя)&amp;"",""),_xlpm.md,IFERROR(N(_xlfn.XLOOKUP(AX298,Коды_код,Коды_режим)),1),_xlpm.ex,IF(Имя_режим="по экспликации",IFERROR(_xlfn.XLOOKUP(AZ298&amp;"|"&amp;BB298,Экспликация[Этаж]&amp;"|"&amp;Экспликация[Помещение],Экспликация[Название])&amp;"",""),""),_xlpm.rm,IF(BB298="","",IF(_xlpm.ex&lt;&gt;"",". "&amp;_xlpm.ex&amp;IF(Имя_пом="нет"," ("&amp;BB298&amp;")"," (пом. "&amp;BB298&amp;")"),IF(Имя_пом="нет"," ",", пом. ")&amp;BB298)),IF(_xlpm.nm="","",IF(_xlpm.md=2,_xlpm.nm&amp;" шлейф "&amp;AZ298,_xlpm.nm&amp;_xlpm.rm)))))</f>
        <v>Розеточная группа, пом. 017А</v>
      </c>
      <c r="BE298" t="str">
        <f t="shared" si="500"/>
        <v>Розеточная группа, пом. 017А</v>
      </c>
      <c r="BF298">
        <f>IFERROR(_xlfn.XMATCH(A298,Щиты[Щит]),0)</f>
        <v>11</v>
      </c>
      <c r="BG298">
        <f>_xlfn.LET(_xlpm.k,IFERROR(_xlfn.XLOOKUP(A298,Щиты[Щит],Щиты[Листов под вводной узел]),""),IF(_xlpm.k="",1,N(_xlpm.k))*Столбцов_на_лист)</f>
        <v>17</v>
      </c>
      <c r="BH298">
        <f t="shared" si="501"/>
        <v>34</v>
      </c>
      <c r="BI298" t="str">
        <f t="shared" si="502"/>
        <v>линии</v>
      </c>
      <c r="BJ298" s="6">
        <f>IFERROR(N(_xlfn.XLOOKUP(AX298,Коды_код,Коды_квт)),0)</f>
        <v>0</v>
      </c>
      <c r="BK298">
        <f t="shared" si="503"/>
        <v>0</v>
      </c>
      <c r="BL298" t="str">
        <f>IF(B298="","",IF(BC298&lt;&gt;"",IFERROR(_xlfn.XLOOKUP(BC298,Щиты[Щит],Щиты[Руст, кВт]),0),IF(BK298=1,IFERROR(_xlfn.XLOOKUP(A298,Щиты[Щит],Щиты[Руст, кВт]),0),IF(BJ298&gt;0,ROUND(BJ298*MAX(1,N(D298)),3),""))))</f>
        <v/>
      </c>
      <c r="BM298">
        <f t="shared" si="504"/>
        <v>0.42</v>
      </c>
      <c r="BN298" s="6">
        <f>IF(B298="","",IF(BC298&lt;&gt;"",IFERROR(_xlfn.XLOOKUP(BC298,Щиты[Щит],Щиты[Руст, кВт]),0),N(BM298)))</f>
        <v>0.42</v>
      </c>
      <c r="BO298" t="str">
        <f>IF(B298="","",IFERROR(IF(VLOOKUP(AX298,Потребители_обозначение,8,FALSE)=0,"",VLOOKUP(AX298,Потребители_обозначение,8,FALSE)),""))</f>
        <v/>
      </c>
      <c r="BP298">
        <f t="shared" si="505"/>
        <v>230</v>
      </c>
      <c r="BQ298">
        <f>IF(B298="","",IF(BC298&lt;&gt;"",3,IFERROR(IF(N(VLOOKUP(AX298,Потребители_обозначение,9,FALSE))=0,1,VLOOKUP(AX298,Потребители_обозначение,9,FALSE)),1)))</f>
        <v>1</v>
      </c>
      <c r="BR298">
        <f t="shared" si="506"/>
        <v>1</v>
      </c>
      <c r="BS298" t="str">
        <f>IF(B298="","",_xlfn.LET(_xlpm.bc,IFERROR(IF(VLOOKUP(AX298,Потребители_обозначение,6,FALSE)=0,"",VLOOKUP(AX298,Потребители_обозначение,6,FALSE)&amp;""),""),IF(AND(FK298="да",OR(_xlpm.bc="",_xlpm.bc="мс")),Марка_пож,IF(AND(_xlpm.bc="",BC298&lt;&gt;""),"мс",_xlpm.bc))))</f>
        <v/>
      </c>
      <c r="BT298" t="str">
        <f t="shared" si="507"/>
        <v>мс</v>
      </c>
      <c r="BU298">
        <f>IF(B298="","",_xlfn.LET(_xlpm.cc,IFERROR(N(VLOOKUP(AX298,Потребители_обозначение,7,FALSE)),0),IF(_xlpm.cc&gt;0,_xlpm.cc,IF(BT298="","",IF(N(BR298)=3,5,3)))))</f>
        <v>3</v>
      </c>
      <c r="BV298">
        <f t="shared" si="508"/>
        <v>3</v>
      </c>
      <c r="BW298">
        <f>IFERROR(N(VLOOKUP(AX298,Потребители_обозначение,10,FALSE)),0)</f>
        <v>0</v>
      </c>
      <c r="BX298">
        <f>IFERROR(VLOOKUP(AX298,Потребители_обозначение,5,FALSE),0)</f>
        <v>1</v>
      </c>
      <c r="BY298" s="6" cm="1">
        <f t="array" ref="BY298">IF(B298="","",IF(BC298&lt;&gt;"",IFERROR(_xlfn.XLOOKUP(BC298,Щиты[Щит],Щиты[cos φ]),0.95),IF(BK298=1,IFERROR(_xlfn.XLOOKUP(A298,Щиты[Щит],Щиты[cos φ]),0.95),IF(ISNUMBER(Z298),Z298,IFERROR(IF(BX298=2,_xlfn.IFS(BR298=3,VLOOKUP(BN298,Справочная_двигатели,8,FALSE),BR298=1,VLOOKUP(BN298,Справочная_двигатели,10,TRUE)),IF(AND(Методика="нормы 2026",EQ298="Сил"),0.8,0.95)),0.95)))))</f>
        <v>0.95</v>
      </c>
      <c r="BZ298">
        <f t="shared" si="509"/>
        <v>0</v>
      </c>
      <c r="CA298">
        <f t="shared" si="510"/>
        <v>1</v>
      </c>
      <c r="CB298">
        <f t="shared" si="511"/>
        <v>0</v>
      </c>
      <c r="CC298">
        <f t="shared" si="512"/>
        <v>0</v>
      </c>
      <c r="CD298">
        <f t="shared" si="513"/>
        <v>0</v>
      </c>
      <c r="CE298">
        <f t="shared" si="514"/>
        <v>0</v>
      </c>
      <c r="CF298">
        <f t="shared" si="515"/>
        <v>0</v>
      </c>
      <c r="CG298">
        <f>IF(AX298="",0,_xlfn.LET(_xlpm.v,IFERROR(VLOOKUP(B298,УГО_спр,3,FALSE),IFERROR(VLOOKUP(AX298,УГО_спр,3,FALSE),IFERROR(VLOOKUP(LEFT(AX298,2),УГО_спр,3,FALSE),""))),IF(_xlpm.v="да",30,IF(ISNUMBER(_xlpm.v),_xlpm.v,0))))</f>
        <v>30</v>
      </c>
      <c r="CH298">
        <f t="shared" si="516"/>
        <v>30</v>
      </c>
      <c r="CI298" t="str">
        <f>_xlfn.LET(_xlpm.k,IFERROR(_xlfn.XLOOKUP(AX298,Коды_код,Коды_утечка)&amp;"",""),IF(_xlpm.k="","дифавтомат",_xlpm.k))</f>
        <v>дифавтомат</v>
      </c>
      <c r="CJ298">
        <f t="shared" si="517"/>
        <v>30</v>
      </c>
      <c r="CK298">
        <f t="shared" si="518"/>
        <v>30</v>
      </c>
      <c r="CL298">
        <f>IF(B298="",0,IFERROR(--VLOOKUP(B298,УГО_спр,4,FALSE),IFERROR(--VLOOKUP(AX298,УГО_спр,4,FALSE),IFERROR(--VLOOKUP(LEFT(AX298,2),УГО_спр,4,FALSE),0))))</f>
        <v>16</v>
      </c>
      <c r="CM298" t="str">
        <f>IF(B298="","",IFERROR(_xlfn.XLOOKUP(AX298,Коды_код,Коды_апп)&amp;"",""))</f>
        <v/>
      </c>
      <c r="CN298" t="str">
        <f t="shared" si="519"/>
        <v/>
      </c>
      <c r="CO298" t="str" cm="1">
        <f t="array" ref="CO298">IF(TRIM(CN298&amp;"")="","",IFERROR(TRIM(INDEX(_xlfn.TEXTSPLIT(CN298&amp;";;;",";"),1)),""))</f>
        <v/>
      </c>
      <c r="CP298" t="str" cm="1">
        <f t="array" ref="CP298">IF(TRIM(CN298&amp;"")="","",IFERROR(TRIM(INDEX(_xlfn.TEXTSPLIT(CN298&amp;";;;",";"),2)),""))</f>
        <v/>
      </c>
      <c r="CQ298" t="str" cm="1">
        <f t="array" ref="CQ298">IF(TRIM(CN298&amp;"")="","",IFERROR(TRIM(INDEX(_xlfn.TEXTSPLIT(CN298&amp;";;;",";"),3)),""))</f>
        <v/>
      </c>
      <c r="CR298">
        <f t="shared" si="520"/>
        <v>0</v>
      </c>
      <c r="CS298" t="str">
        <f>IF(B298="","",_xlfn.LET(_xlpm.t,LOWER(AV298&amp;""),IF(ISNUMBER(SEARCH("dim",_xlpm.t)),"DIM",IF(ISNUMBER(SEARCH("dali",_xlpm.t)),"DALI",IF(OR(ISNUMBER(SEARCH("relay",_xlpm.t)),ISNUMBER(SEARCH("реле",_xlpm.t))),"Relay",IF(ISNUMBER(SEARCH("кнопк",_xlpm.t)),"",IFERROR(_xlfn.XLOOKUP(AX298,Коды_код,Коды_упр)&amp;"","")))))))</f>
        <v/>
      </c>
      <c r="CT298" t="str">
        <f t="shared" si="521"/>
        <v/>
      </c>
      <c r="CU298">
        <f>IF(B298="","",_xlfn.LET(_xlpm.ig,N(P298)+IF(AF298="вручную",0,N(CB298)),_xlpm.n0,IFERROR(VLOOKUP(_xlpm.ig,Автомат_номиналы,2,TRUE),0),_xlpm.mn,MAX(CL298,IF(AF298="вручную",0,N(CE298))),MAX(_xlpm.n0,_xlpm.mn,IF(CR298=1,Мин_автомат_БП,0))))</f>
        <v>16</v>
      </c>
      <c r="CV298">
        <f t="shared" si="522"/>
        <v>1</v>
      </c>
      <c r="CW298" t="str">
        <f t="shared" si="523"/>
        <v>2P</v>
      </c>
      <c r="CX298" t="str">
        <f>_xlfn.LET(_xlpm.cc,UPPER(TRIM(IFERROR(_xlfn.XLOOKUP(AX298,Коды_код,Коды_хар)&amp;"",""))),IF(OR(_xlpm.cc="B",_xlpm.cc="В"),"B",IF(_xlpm.cc="D","D","С")))</f>
        <v>С</v>
      </c>
      <c r="CY298" t="str">
        <f t="shared" si="524"/>
        <v>2P С16А 30мА</v>
      </c>
      <c r="CZ298">
        <f t="shared" si="525"/>
        <v>16</v>
      </c>
      <c r="DA298" t="str">
        <f t="shared" si="526"/>
        <v>2P С16А 30мА</v>
      </c>
      <c r="DB298" cm="1">
        <f t="array" ref="DB298">IF(DA298="","",_xlfn.LET(_xlpm.t,SUBSTITUTE(SUBSTITUTE(SUBSTITUTE(UPPER(DA298),"С","C"),"А","A"),"В","B"),_xlpm.tk,_xlfn.TEXTSPLIT(_xlpm.t,"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8" t="str">
        <f t="shared" si="527"/>
        <v>ok</v>
      </c>
      <c r="DD298">
        <f t="shared" si="528"/>
        <v>16</v>
      </c>
      <c r="DE298" t="str">
        <f t="shared" si="529"/>
        <v>2P С16А 30мА</v>
      </c>
      <c r="DF298">
        <f t="shared" si="530"/>
        <v>30</v>
      </c>
      <c r="DG298">
        <f t="shared" si="531"/>
        <v>1</v>
      </c>
      <c r="DH298">
        <f t="shared" si="532"/>
        <v>0</v>
      </c>
      <c r="DI298">
        <f t="shared" si="533"/>
        <v>1.9143719452077064</v>
      </c>
      <c r="DJ298">
        <f t="shared" si="534"/>
        <v>1</v>
      </c>
      <c r="DK298">
        <f>IF(ISNUMBER(AL298),AL298,К_прокл)</f>
        <v>1</v>
      </c>
      <c r="DL298">
        <f t="shared" si="535"/>
        <v>2</v>
      </c>
      <c r="DM298">
        <f>IFERROR(N(VLOOKUP(BT298,Кабель_обозначение,3,FALSE)),1)</f>
        <v>1</v>
      </c>
      <c r="DN298">
        <f>IFERROR(N(_xlfn.XLOOKUP(A298,Щиты[Щит],Щиты[ΔU до шин, %])),0)</f>
        <v>1.79</v>
      </c>
      <c r="DO298" t="str">
        <f>IFERROR(_xlfn.XLOOKUP(A298,Щиты[Щит],Щиты[Zпетли на шинах, Ом]),"")</f>
        <v/>
      </c>
      <c r="DP298">
        <f>IFERROR(N(_xlfn.XLOOKUP(A298,Щиты[Щит],Щиты[ΔU до шин (подбор), %])),0)</f>
        <v>4.75</v>
      </c>
      <c r="DQ298" t="str">
        <f>IFERROR(_xlfn.XLOOKUP(A298,Щиты[Щит],Щиты[Zпетли на шинах (подбор), Ом]),"")</f>
        <v/>
      </c>
      <c r="DR298" t="str">
        <f t="shared" si="536"/>
        <v/>
      </c>
      <c r="DS298">
        <f t="shared" si="537"/>
        <v>45</v>
      </c>
      <c r="DT298">
        <f t="shared" si="538"/>
        <v>2</v>
      </c>
      <c r="DU298">
        <f t="shared" si="539"/>
        <v>0.31</v>
      </c>
      <c r="DV298" s="6">
        <f>IF(B298="","",IF(IFERROR(VLOOKUP(AX298,УГО_спр,2,FALSE),"")="Светильник",3,4)+IF(Методика="нормы 2026",MIN(0.5,MAX(0,N(Q298)-100)*0.005),0))</f>
        <v>4</v>
      </c>
      <c r="DW298" t="str" cm="1">
        <f t="array" ref="DW298">IF(OR(B298="",BT298="",DM298&lt;&gt;1),"",_xlfn.LET(_xlpm.sz,Iдоп_S,_xlpm.t_,CHOOSE(DL298,Iдоп_1ж,Iдоп_2ж,Iдоп_3ж)*DJ298*DK298,_xlpm.inn,N(DD298),_xlpm.smin,MAX(1.5,BW298),_xlpm.L_,N(Q298)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298)*(_xlpm.rho*_xlpm.L_/_xlpm.sz*N(BY298)+_xlpm.xx*_xlpm.L_*N(DU298)/1000)*N(P298)/((Uн_лин/SQRT(3))*1000)*100,999),_xlpm.kz,IF(OR(DG298=1,NOT(ISNUMBER(DQ298)),_xlpm.L_=0,_xlpm.inn=0),1,IFERROR(--(c_min*(Uн_лин*1000/SQRT(3))/(DQ298+2*ρкз_Cu*_xlpm.L_/_xlpm.sz)&gt;=GY298*_xlpm.inn),0)),_xlpm.ok,IFERROR((_xlpm.sz&gt;=_xlpm.smin)*(_xlpm.t_&gt;=_xlpm.inn)*IF(_xlpm.L_&gt;0,(_xlpm.du_+DP298&lt;=DV298+0.00001),1)*_xlpm.kz,0),_xlpm.r_,_xlfn._xlws.FILTER(_xlpm.sz,_xlpm.ok,"не подобрано"),INDEX(_xlpm.r_,1)))</f>
        <v>не подобрано</v>
      </c>
      <c r="DX298">
        <f t="shared" si="540"/>
        <v>2.5</v>
      </c>
      <c r="DY298" cm="1">
        <f t="array" ref="DY298">IF(OR(B298="",BT298="",DM298&lt;&gt;1),"",_xlfn.LET(_xlpm.sz,Iдоп_S,_xlpm.t_,CHOOSE(DL298,Iдоп_1ж,Iдоп_2ж,Iдоп_3ж)*DJ298*DK298,_xlpm.ok,IFERROR((_xlpm.sz&gt;=MAX(1.5,BW298))*(_xlpm.t_&gt;=N(DD298)),0),_xlpm.r_,_xlfn._xlws.FILTER(_xlpm.sz,_xlpm.ok,""),INDEX(_xlpm.r_,1)))</f>
        <v>1.5</v>
      </c>
      <c r="DZ298" s="6" cm="1">
        <f t="array" ref="DZ298">IFERROR(ROUNDUP(N(DT298)*(_xlfn.XLOOKUP(DY298,INDEX(Кабель_сопротивление,0,1),INDEX(Кабель_сопротивление,0,3))*N(Q298)/DY298*N(BY298)+_xlfn.XLOOKUP(DY298,INDEX(Кабель_сопротивление,0,1),INDEX(Кабель_сопротивление,0,2))*N(Q298)*N(DU298)/1000)*N(P298)/((Uн_лин/SQRT(3))*1000)*100,2),"")</f>
        <v>1.28</v>
      </c>
      <c r="EA298">
        <f>IFERROR(2*ρкз_Cu*N(Q298)/DY298,"")</f>
        <v>1.8936000000000002</v>
      </c>
      <c r="EB298">
        <f>IFERROR(VLOOKUP(DX298,Кабель_сопротивление,3,FALSE),"")</f>
        <v>2.2499999999999999E-2</v>
      </c>
      <c r="EC298">
        <f>IFERROR(VLOOKUP(DX298,Кабель_сопротивление,2,FALSE),"")</f>
        <v>0.1</v>
      </c>
      <c r="ED298">
        <f t="shared" si="541"/>
        <v>28</v>
      </c>
      <c r="EE298">
        <f t="shared" si="542"/>
        <v>8</v>
      </c>
      <c r="EF298">
        <f t="shared" si="543"/>
        <v>1.7741403714773512</v>
      </c>
      <c r="EG298" s="6">
        <f>IFERROR(ROUNDUP(EF298/((Uн_лин/SQRT(3))*1000)*100,2),"")</f>
        <v>0.77</v>
      </c>
      <c r="EH298" t="str">
        <f>IFERROR(VLOOKUP(BT298,Кабель_обозначение,2,FALSE),"")</f>
        <v>ВВГнг(А)-LS</v>
      </c>
      <c r="EI298" t="str">
        <f t="shared" si="544"/>
        <v>ВВГнг(А)-LS (3х2,5)</v>
      </c>
      <c r="EJ298" t="str">
        <f t="shared" si="545"/>
        <v>ВВГнг(А)-LS (3х2,5)
L=54-0,77%</v>
      </c>
      <c r="EK298">
        <f>IFERROR(2*ρкз_Cu*Q298/DX298,"")</f>
        <v>1.1361600000000001</v>
      </c>
      <c r="EL298">
        <f t="shared" si="546"/>
        <v>0.378</v>
      </c>
      <c r="EM298" s="6" t="str">
        <f>IFERROR(IF(OR(B298="",NOT(ISNUMBER(DX298)),N(Q298)=0),"",_xlfn.XLOOKUP(A298,Щиты[Щит],Щиты[Zпетли на шинах, Ом])+EK298),"")</f>
        <v/>
      </c>
      <c r="EN298" s="6" t="str">
        <f>IF(ISNUMBER(EM298),c_min*(Uн_лин*1000/SQRT(3))/EM298,"")</f>
        <v/>
      </c>
      <c r="EO298" s="6" t="str">
        <f>IFERROR(IF(OR(B298="",NOT(ISNUMBER(DX298))),"",1.05*(Uн_лин*1000/SQRT(3))/(_xlfn.XLOOKUP(A298,Щиты[Щит],Щиты[Zmax на шинах, Ом])+EL298)/1000),"")</f>
        <v/>
      </c>
      <c r="EP298" s="6" t="str">
        <f>IF(B298="","",IF(ISNUMBER(Y298),"Сил",IF(IFERROR(_xlfn.XLOOKUP(AX298,Коды_код,Коды_группа)&amp;"","")="","Быт",_xlfn.XLOOKUP(AX298,Коды_код,Коды_группа)&amp;"")))</f>
        <v>Быт</v>
      </c>
      <c r="EQ298" s="6" t="str">
        <f t="shared" si="547"/>
        <v>Быт</v>
      </c>
      <c r="ER298" s="6">
        <f>IF(EQ298="Щит","щит",IF(EQ298="","",IF(EQ298="Быт",IFERROR(_xlfn.XLOOKUP(A298,Щиты[Щит],Щиты[Кс быт]),1),IF(EQ298="Сил",IF(ISNUMBER(Y298),Y298,IF(Методика="нормы 2026",IFERROR(_xlfn.XLOOKUP(A298,Щиты[Щит],Щиты[Кс силовых (табл. 7.5)]),1),1)),IF(OR(EQ298="Пост",EQ298="Отоп"),1,IF(EQ298="ВНГ",0.7,0))))))</f>
        <v>0.8</v>
      </c>
      <c r="ES298">
        <f t="shared" si="548"/>
        <v>1</v>
      </c>
      <c r="ET298">
        <f t="shared" si="549"/>
        <v>0.42</v>
      </c>
      <c r="EU298">
        <f t="shared" si="550"/>
        <v>0.42</v>
      </c>
      <c r="EV298">
        <f t="shared" si="551"/>
        <v>0</v>
      </c>
      <c r="EW298">
        <f t="shared" si="552"/>
        <v>0</v>
      </c>
      <c r="EX298">
        <f t="shared" si="553"/>
        <v>0</v>
      </c>
      <c r="EY298">
        <f t="shared" si="554"/>
        <v>0</v>
      </c>
      <c r="EZ298">
        <f t="shared" si="555"/>
        <v>0.42</v>
      </c>
      <c r="FA298">
        <f t="shared" si="556"/>
        <v>0.39899999999999997</v>
      </c>
      <c r="FB298">
        <f t="shared" si="557"/>
        <v>0.42</v>
      </c>
      <c r="FC298" t="str">
        <f t="shared" si="558"/>
        <v>L2</v>
      </c>
      <c r="FD298" t="str">
        <f>IF(B298="","",IF(CA298=0,IF(AW298=1,"",FF297),IF(OR(N(CV298)&gt;=3,N(BR298)&gt;=3),"L1,L2,L3",IFERROR(_xlfn.TEXTBEFORE(_xlfn.TEXTAFTER(_xlfn.XLOOKUP(A298,Щиты[Щит],Щиты[_фазы авто]),";"&amp;AW298&amp;":"),";"),"L1"))))</f>
        <v>L1</v>
      </c>
      <c r="FE298" t="str">
        <f t="shared" si="559"/>
        <v>L2</v>
      </c>
      <c r="FF298" t="str">
        <f t="shared" si="560"/>
        <v>L2</v>
      </c>
      <c r="FG298" cm="1">
        <f t="array" ref="FG298">IFERROR(IF(BX298=2,_xlfn.IFS(BR298=3,VLOOKUP(BN298,Справочная_двигатели,3,FALSE),BR298=1,VLOOKUP(BN298,Справочная_двигатели,5,TRUE)),0),0)</f>
        <v>0</v>
      </c>
      <c r="FH298">
        <f>IFERROR(IF(BX298=3,VLOOKUP(BN298,Справочная_ЛЭД,2,TRUE),0),0)</f>
        <v>0</v>
      </c>
      <c r="FI298" s="6">
        <f t="shared" si="561"/>
        <v>0</v>
      </c>
      <c r="FJ298" t="str" cm="1">
        <f t="array" ref="FJ298">IF(B298="","",IFERROR(INDEX({"I особая","I","II","III"},MATCH(TRIM(AC298&amp;""),{"I особая","I","II","III"},0)),"III"))</f>
        <v>II</v>
      </c>
      <c r="FK298" t="str">
        <f>IF(B298="","",IF(TRIM(AD298&amp;"")&lt;&gt;"",IF(LOWER(TRIM(AD298&amp;""))="да","да","нет"),IF(IFERROR(_xlfn.XLOOKUP(AX298,Коды_код,Коды_пожарная),"")="да","да","нет")))</f>
        <v>нет</v>
      </c>
      <c r="FL298" t="str">
        <f t="shared" si="562"/>
        <v/>
      </c>
      <c r="FM298" t="str">
        <f t="shared" si="563"/>
        <v>основная</v>
      </c>
      <c r="FN298">
        <f t="shared" si="564"/>
        <v>1</v>
      </c>
      <c r="FO298" t="str" cm="1">
        <f t="array" ref="FO298">IF(B298="","",_xlfn.LET(_xlpm.t,IFERROR(_xlfn.XLOOKUP(1,(Шины[Шина]=FM298)*(((Шины[Щит]=A298)+(Шины[Щит]=""))&gt;0),Шины[Тип]),"")&amp;"",IF(_xlpm.t&lt;&gt;"",_xlpm.t,IF(ISNUMBER(SEARCH("ИБП",FM298)),"ИБП",IF(ISNUMBER(SEARCH("ДГУ",FM298)),"ДГУ","Ввод "&amp;FN298)))))</f>
        <v>Ввод 1</v>
      </c>
      <c r="FP298" t="str">
        <f t="shared" si="565"/>
        <v>Ввод 1</v>
      </c>
      <c r="FQ298" t="str">
        <f>IF(B298="","",IF(OR(FO298="ИБП",FO298="ДГУ"),"I особая",IF(FO298="Одиночная","III",_xlfn.XLOOKUP(A298,Щиты[Щит],Щиты[Категория шины «Ввод»],"III"))))</f>
        <v>II</v>
      </c>
      <c r="FR298">
        <f>IF(B298="",0,IFERROR(MATCH(FJ298,{"III","II","I","I особая"},0),1))</f>
        <v>2</v>
      </c>
      <c r="FS298">
        <f t="shared" si="566"/>
        <v>2</v>
      </c>
      <c r="FT298" t="str">
        <f>IF(B298="","",IF(FR298&gt;IFERROR(MATCH(FQ298,{"III","II","I","I особая"},0),1),"НЕ ОБЕСПЕЧЕНА","ОК"))</f>
        <v>ОК</v>
      </c>
      <c r="FU298" t="str">
        <f>IF(A298="","",_xlfn.XLOOKUP(A298,Щиты[Щит],Щиты[Путь],""))</f>
        <v>|ГРЩ-ЖД|ЩР-2|</v>
      </c>
      <c r="FV298" t="str">
        <f>IF(B298="","",IF(AE298&lt;&gt;"",AE298,IF(IFERROR(_xlfn.XLOOKUP(AX298,Коды_код,Коды_вид)&amp;"","")="","Прочее",_xlfn.XLOOKUP(AX298,Коды_код,Коды_вид)&amp;"")))</f>
        <v>Розеточная сеть и бытовые приборы</v>
      </c>
      <c r="FW298">
        <f>IF(BH298="","",INT((BH298-1)/Столбцов_на_лист)+1)</f>
        <v>2</v>
      </c>
      <c r="FX298" t="str">
        <f t="shared" si="567"/>
        <v>ВВГнг(А)-LS (3х2,5) L=54-0,77%</v>
      </c>
      <c r="FY298">
        <f t="shared" si="568"/>
        <v>0.42</v>
      </c>
      <c r="FZ298">
        <f t="shared" si="569"/>
        <v>1.92</v>
      </c>
      <c r="GA298">
        <f t="shared" si="570"/>
        <v>1</v>
      </c>
      <c r="GB298">
        <f t="shared" si="571"/>
        <v>0</v>
      </c>
      <c r="GC298">
        <f t="shared" si="572"/>
        <v>1</v>
      </c>
      <c r="GD298">
        <f>IF(BH298="","",IF(AND(CA298=1,GC298=1),COUNTIFS(A$3:A298,A298,CA$3:CA298,1,GC$3:GC298,1),IF(OR(OR(AW298=1,A298&lt;&gt;A297),AF298="вручную",GC298=0),"",IF(AW298=1,"",GE297))))</f>
        <v>15</v>
      </c>
      <c r="GE298">
        <f t="shared" si="573"/>
        <v>15</v>
      </c>
      <c r="GF298">
        <f>IF(B298="","",IFERROR(LOOKUP(INDEX(CHOOSE(DL298,Iдоп_1ж,Iдоп_2ж,Iдоп_3ж),MATCH(DX298,Iдоп_S,0))*DJ298*DK298,{6,10,16,20,25,32,40,50,63,80,100,125,160,200,250,315,400,500,630}),""))</f>
        <v>25</v>
      </c>
      <c r="GG298" t="str">
        <f t="shared" si="574"/>
        <v>QFD15</v>
      </c>
      <c r="GH298" t="str">
        <f t="shared" si="575"/>
        <v>QFD15</v>
      </c>
      <c r="GI298" t="str">
        <f t="shared" si="576"/>
        <v/>
      </c>
      <c r="GJ298">
        <f t="shared" si="577"/>
        <v>0</v>
      </c>
      <c r="GK298" t="str">
        <f>IF(OR(AG298="",AG298="-"),"",IFERROR(VLOOKUP(AG298,Модули_спр,2,FALSE),"R"))</f>
        <v/>
      </c>
      <c r="GL298" t="str">
        <f>IF(GK298="","",GK298&amp;"."&amp;COUNTIFS(A$3:A298,A298,GK$3:GK298,GK298))</f>
        <v/>
      </c>
      <c r="GM298" t="str">
        <f t="shared" si="578"/>
        <v/>
      </c>
      <c r="GN298" t="str">
        <f t="shared" si="579"/>
        <v/>
      </c>
      <c r="GO298" t="str">
        <f t="shared" si="580"/>
        <v/>
      </c>
      <c r="GP298" t="str">
        <f t="shared" si="581"/>
        <v/>
      </c>
      <c r="GQ298">
        <f t="shared" si="582"/>
        <v>1</v>
      </c>
      <c r="GR298" t="str">
        <f>IF(GQ298=1,"XT"&amp;COUNTIFS(A$3:A298,A298,GQ$3:GQ298,1),"")</f>
        <v>XT15</v>
      </c>
      <c r="GS298" t="str">
        <f t="shared" si="583"/>
        <v/>
      </c>
      <c r="GT298" t="str">
        <f t="shared" si="584"/>
        <v>QFD15</v>
      </c>
      <c r="GU298" t="str">
        <f t="shared" si="585"/>
        <v/>
      </c>
      <c r="GV298" t="str">
        <f t="shared" si="586"/>
        <v>ok</v>
      </c>
      <c r="GW298" t="str">
        <f>IF(OR(GO298="",GM298=""),"",IF(GO298&gt;IFERROR(VLOOKUP(GN298,Модули_спр,3,FALSE),99),"ЛИШНИЙ КАНАЛ",IF(AND(AH298&lt;&gt;"=",COUNTIFS(Линии[_модуль гр.],GM298,Линии[Канал (итог)],GO298,Линии[Канал],"&lt;&gt;=",Линии[Щит],A298)&gt;1),"ДУБЛЬ КАНАЛА","")))</f>
        <v/>
      </c>
      <c r="GX298" s="6" t="str">
        <f t="shared" si="587"/>
        <v/>
      </c>
      <c r="GY298">
        <f t="shared" si="588"/>
        <v>10</v>
      </c>
      <c r="GZ298" t="str">
        <f t="shared" si="589"/>
        <v/>
      </c>
      <c r="HA298" t="str">
        <f>IF(AND(B298="",GT298=""),"",_xlfn.TEXTJOIN("; ",TRUE,IF(AND(B298&lt;&gt;"",FE298=""),"нет фазы",""),IF(AND(B298&lt;&gt;"",N(FY298)=0,EQ298&lt;&gt;"Нет"),"нет мощности",""),IF(AND(GS298&lt;&gt;"",COUNTIFS(Линии[Щит],A298,Линии[Клемма (итог)],GS298)&gt;1),"дубль клеммы "&amp;GS298,""),IF(AND(GV298&lt;&gt;"",GV298&lt;&gt;"ok"),GV298,""),IF(GW298&lt;&gt;"",GW298,""),IF(AND(N(BV298)&gt;=4,N(BR298)=1),BV298&amp;" жил на 1 фазе",""),IF(AND(AX298="R",CA298=1,OR(N(CK298)=0,N(CK298)&gt;30)),"розетка без дифзащиты до 30 мА",""),IFERROR(IF(AND(ISNUMBER(R298),R298&gt;DV298),"потери "&amp;FIXED(R298,1)&amp;" % &gt; "&amp;DV298&amp;" %",""),""),IFERROR(IF(LEFT(GZ298,4)="мало","Iкз мало — отключение &gt; 0,4 с",""),""),IF(AND(B298&lt;&gt;"",BH298=""),"не на схеме",""),IF(AND(CA298=0,B298&lt;&gt;"",FE298&lt;&gt;"",IF(AW298=1,"",FF297)&lt;&gt;"",FE298&lt;&gt;IF(AW298=1,"",FF297)),"фаза не как у автомата группы ("&amp;IF(AW298=1,"",FF297)&amp;")","")))</f>
        <v/>
      </c>
      <c r="HB298" s="6">
        <f>IF(OR(CA298=0,DA298=""),"",_xlfn.LET(_xlpm.t,IFERROR(_xlfn.XLOOKUP(DA298,Каталог!$U$4:$U$500,Каталог!$G$4:$G$500),""),_xlpm.k,SEARCH("кА",_xlpm.t),IFERROR(--TRIM(RIGHT(SUBSTITUTE(MID(_xlpm.t,MAX(1,_xlpm.k-4),_xlpm.k-MAX(1,_xlpm.k-4))," ",REPT(" ",9)),5)),"")))</f>
        <v>6</v>
      </c>
      <c r="HC298" t="str">
        <f>IF(OR(HB298="",CA298=0),"",IF(_xlfn.XLOOKUP(A298,Щиты[Щит],Щиты[Iкз max на шинах, кА],"")="","",IF(HB298&lt;_xlfn.XLOOKUP(A298,Щиты[Щит],Щиты[Iкз max на шинах, кА]),"Icu "&amp;HB298&amp;" кА &lt; Iкз max","ok")))</f>
        <v/>
      </c>
      <c r="HD298" t="str">
        <f t="shared" si="590"/>
        <v/>
      </c>
      <c r="HE298" t="str">
        <f t="shared" si="591"/>
        <v>QFD15</v>
      </c>
      <c r="HF298" t="str">
        <f t="shared" si="592"/>
        <v>QFD15|кабель ВВГнг(А)-LS (3х2,5) → Розеточная группа, пом. 017А</v>
      </c>
      <c r="HG298" t="str" cm="1">
        <f t="array" ref="HG298">IF(HF298="","",_xlfn.LET(_xlpm.nd,_xlfn.TEXTSPLIT(HF298,"|"),IF(COLUMNS(_xlpm.nd)&gt;1,A298&amp;"¦"&amp;INDEX(_xlpm.nd,1)&amp;"¦"&amp;INDEX(_xlpm.nd,2),"")))</f>
        <v>ЩР-2¦QFD15¦кабель ВВГнг(А)-LS (3х2,5) → Розеточная группа, пом. 017А</v>
      </c>
      <c r="HH298" t="str">
        <f t="shared" si="593"/>
        <v>R.2.017А.1¦Розеточная группа, пом. 017А</v>
      </c>
      <c r="HI298" t="str" cm="1">
        <f t="array" ref="HI298">IF(HF298="","",_xlfn.LET(_xlpm.nd,_xlfn.TEXTSPLIT(HF298,"|"),IF(COLUMNS(_xlpm.nd)&gt;2,A298&amp;"¦"&amp;INDEX(_xlpm.nd,2)&amp;"¦"&amp;INDEX(_xlpm.nd,3),"")))</f>
        <v/>
      </c>
      <c r="HJ298" t="str">
        <f t="shared" si="594"/>
        <v/>
      </c>
      <c r="HK298" t="str" cm="1">
        <f t="array" ref="HK298">IF(HF298="","",_xlfn.LET(_xlpm.nd,_xlfn.TEXTSPLIT(HF298,"|"),IF(COLUMNS(_xlpm.nd)&gt;3,A298&amp;"¦"&amp;INDEX(_xlpm.nd,3)&amp;"¦"&amp;INDEX(_xlpm.nd,4),"")))</f>
        <v/>
      </c>
      <c r="HL298" t="str">
        <f t="shared" si="595"/>
        <v/>
      </c>
      <c r="HM298" t="str" cm="1">
        <f t="array" ref="HM298">IF(HF298="","",_xlfn.LET(_xlpm.nd,_xlfn.TEXTSPLIT(HF298,"|"),IF(COLUMNS(_xlpm.nd)&gt;4,A298&amp;"¦"&amp;INDEX(_xlpm.nd,4)&amp;"¦"&amp;INDEX(_xlpm.nd,5),"")))</f>
        <v/>
      </c>
      <c r="HN298" t="str">
        <f t="shared" si="596"/>
        <v/>
      </c>
      <c r="HO298" t="str" cm="1">
        <f t="array" ref="HO298">IF(HF298="","",_xlfn.LET(_xlpm.nd,_xlfn.TEXTSPLIT(HF298,"|"),IF(COLUMNS(_xlpm.nd)&gt;5,A298&amp;"¦"&amp;INDEX(_xlpm.nd,5)&amp;"¦"&amp;INDEX(_xlpm.nd,6),"")))</f>
        <v/>
      </c>
      <c r="HP298" t="str">
        <f t="shared" si="597"/>
        <v/>
      </c>
      <c r="HQ298" t="str" cm="1">
        <f t="array" ref="HQ298">IF(HF298="","",_xlfn.LET(_xlpm.nd,_xlfn.TEXTSPLIT(HF298,"|"),IF(COLUMNS(_xlpm.nd)&gt;6,A298&amp;"¦"&amp;INDEX(_xlpm.nd,6)&amp;"¦"&amp;INDEX(_xlpm.nd,7),"")))</f>
        <v/>
      </c>
      <c r="HR298" t="str">
        <f t="shared" si="598"/>
        <v/>
      </c>
      <c r="HS298" t="str">
        <f t="shared" si="599"/>
        <v/>
      </c>
      <c r="HT298" t="str">
        <f t="shared" si="600"/>
        <v>QFD15</v>
      </c>
      <c r="HU298">
        <f t="shared" si="601"/>
        <v>0</v>
      </c>
      <c r="HV298">
        <f t="shared" si="602"/>
        <v>1</v>
      </c>
      <c r="HW298" t="str">
        <f t="shared" si="603"/>
        <v/>
      </c>
      <c r="HX298" t="str">
        <f t="shared" si="604"/>
        <v/>
      </c>
      <c r="HY298" t="str">
        <f t="shared" si="605"/>
        <v/>
      </c>
      <c r="HZ298" t="str">
        <f t="shared" si="606"/>
        <v/>
      </c>
      <c r="IA298" t="str">
        <f>IF(B298="","",IFERROR(VLOOKUP(B298,УГО_спр,2,FALSE),IFERROR(VLOOKUP(AX298,УГО_спр,2,FALSE),IFERROR(VLOOKUP(LEFT(AX298,2),УГО_спр,2,FALSE),""))))</f>
        <v>Розетка</v>
      </c>
      <c r="IB298" t="str">
        <f>IF(B298="","",IF(OR(IA298="",IA298=0),"BOX",IFERROR(IF(VLOOKUP(IA298,УГО_блоки,3,FALSE)&amp;""&lt;&gt;"",VLOOKUP(IA298,УГО_блоки,3,FALSE),VLOOKUP(IA298,УГО_блоки,2,FALSE)),IA298)))</f>
        <v>SOCKET</v>
      </c>
      <c r="IC298">
        <f t="shared" si="607"/>
        <v>1</v>
      </c>
      <c r="ID298" t="str">
        <f>IF(DA298="","",IF(COUNTIF(DA$3:DA298,DA298)=1,MAX(ID$2:ID297)+1,""))</f>
        <v/>
      </c>
      <c r="IE298" t="str">
        <f>IF(CO298="","",IF(COUNTIF(CO$3:CO298,CO298)+COUNTIF(CP$2:CP297,CO298)+COUNTIF(CQ$2:CQ297,CO298)=1,MAX(IE$2:IG297)+1,""))</f>
        <v/>
      </c>
      <c r="IF298" t="str">
        <f>IF(CP298="","",IF(COUNTIF(CO$3:CO298,CP298)+COUNTIF(CP$3:CP298,CP298)+COUNTIF(CQ$2:CQ297,CP298)=1,MAX(IE$2:IG297,IE298)+1,""))</f>
        <v/>
      </c>
      <c r="IG298" t="str">
        <f>IF(CQ298="","",IF(COUNTIF(CO$3:CO298,CQ298)+COUNTIF(CP$3:CP298,CQ298)+COUNTIF(CQ$3:CQ298,CQ298)=1,MAX(IE$2:IG297,IE298,IF298)+1,""))</f>
        <v/>
      </c>
      <c r="IH298" t="str">
        <f t="shared" si="608"/>
        <v>3х2,5</v>
      </c>
      <c r="II298" t="str">
        <f>IF(IH298="","",IF(COUNTIF(IH$3:IH298,IH298)=1,MAX(II$2:II297)+1,""))</f>
        <v/>
      </c>
      <c r="IJ298" t="str">
        <f>IF(GL298="","",COUNTIF(GL$3:GL298,"?*"))</f>
        <v/>
      </c>
      <c r="IK298" t="str">
        <f>IF(OR(GL298="",GN298=""),"",IF(COUNTIFS(GL$3:GL298,"?*",GN$3:GN298,GN298)=1,MAX(IK$2:IK297)+1,""))</f>
        <v/>
      </c>
      <c r="IL298">
        <f t="shared" si="609"/>
        <v>0</v>
      </c>
      <c r="IM298">
        <f>IF(B298="","",COUNTIF(B$3:B298,"?*"))</f>
        <v>296</v>
      </c>
      <c r="IN298">
        <f>IF(GQ298&lt;&gt;1,0,_xlfn.LET(_xlpm.k,MAX(IFERROR(--VLOOKUP(B298,УГО_спр,5,FALSE),0),IFERROR(--VLOOKUP(AX298,УГО_спр,5,FALSE),0),IFERROR(--VLOOKUP(LEFT(AX298,2),УГО_спр,5,FALSE),0)),IF(_xlpm.k&gt;0,_xlpm.k,IF(IFERROR(--LEFT(SUBSTITUTE(IH298,"x","х"),FIND("х",SUBSTITUTE(IH298,"x","х"))-1),3)&gt;3,Каталог!$S$9,1))))</f>
        <v>1</v>
      </c>
      <c r="IO298">
        <f t="shared" si="610"/>
        <v>0</v>
      </c>
      <c r="IP298" t="str">
        <f t="shared" si="611"/>
        <v>авто</v>
      </c>
      <c r="IQ298">
        <f t="shared" si="612"/>
        <v>30</v>
      </c>
      <c r="IR298">
        <f t="shared" si="613"/>
        <v>1</v>
      </c>
      <c r="IS298">
        <f t="shared" si="614"/>
        <v>1</v>
      </c>
    </row>
    <row r="299" spans="1:253" x14ac:dyDescent="0.3">
      <c r="A299" t="s">
        <v>761</v>
      </c>
      <c r="B299" t="s">
        <v>1563</v>
      </c>
      <c r="C299" t="str">
        <f>Линии[[#This Row],[_авто наименование]]</f>
        <v>Розеточная группа, пом. 019А</v>
      </c>
      <c r="D299">
        <v>2</v>
      </c>
      <c r="E299">
        <v>0.24</v>
      </c>
      <c r="G299">
        <v>16</v>
      </c>
      <c r="H299">
        <f>Линии[[#This Row],[_авто утечка]]</f>
        <v>30</v>
      </c>
      <c r="I299" t="str">
        <f>Линии[[#This Row],[_авто управление]]</f>
        <v/>
      </c>
      <c r="J299" t="str">
        <f>Линии[[#This Row],[_авто аппараты]]</f>
        <v/>
      </c>
      <c r="K299">
        <v>2.5</v>
      </c>
      <c r="L299">
        <v>46</v>
      </c>
      <c r="M299">
        <v>3</v>
      </c>
      <c r="N299" t="s">
        <v>486</v>
      </c>
      <c r="O299" t="str">
        <f t="shared" si="492"/>
        <v/>
      </c>
      <c r="P299" s="6" cm="1">
        <f t="array" ref="P299">IF(B299="","",IF(BC299&lt;&gt;"",IFERROR(_xlfn.XLOOKUP(BC299,Щиты[Щит],Щиты[Iр, А]),""),IF(BK299=1,IFERROR(_xlfn.XLOOKUP(A299,Щиты[Щит],Щиты[Iр, А]),""),IFERROR(_xlfn.IFS(BR299=1,BN299/((Uн_лин/SQRT(3))*BY299),BR299=3,BN299/(SQRT(3)*Uн_лин*BY299)),""))))</f>
        <v>1.0939268258329751</v>
      </c>
      <c r="Q299" s="7">
        <f>IF(B299="","",IFERROR(IF(VLOOKUP(AX299,Потребители_обозначение,4,FALSE)=1,VLOOKUP(AX299,Потребители_обозначение,3,FALSE)*(D299*2-1)+DS299+VLOOKUP(AZ299,Этаж_обозначение,3,FALSE)+VLOOKUP(AZ299,Этаж_обозначение,4,FALSE),VLOOKUP(AX299,Потребители_обозначение,3,FALSE)*(D299*2-1)+DS299),DS299))</f>
        <v>55</v>
      </c>
      <c r="R299" s="6">
        <f t="shared" si="493"/>
        <v>2.2400000000000002</v>
      </c>
      <c r="S299" t="str">
        <f t="shared" si="494"/>
        <v>ВВГнг(А)-LS (3х2,5)</v>
      </c>
      <c r="T299" t="str">
        <f>IF(BH299="","",IF(BI299="вводной узел","узел ","")&amp;"л."&amp;(INT((BH299-1)/Столбцов_на_лист)+1)&amp;" / "&amp;(MOD(BH299-1,Столбцов_на_лист)+1))</f>
        <v>л.3 / 1</v>
      </c>
      <c r="V299">
        <v>1</v>
      </c>
      <c r="W299">
        <v>230</v>
      </c>
      <c r="X299" t="s">
        <v>564</v>
      </c>
      <c r="AC299" t="s">
        <v>815</v>
      </c>
      <c r="AE299" t="s">
        <v>563</v>
      </c>
      <c r="AI299">
        <v>35</v>
      </c>
      <c r="AJ299" t="s">
        <v>11</v>
      </c>
      <c r="AK299">
        <v>3</v>
      </c>
      <c r="AM299">
        <v>12</v>
      </c>
      <c r="AN299">
        <v>11</v>
      </c>
      <c r="AO299">
        <v>26</v>
      </c>
      <c r="AP299">
        <v>2</v>
      </c>
      <c r="AW299" cm="1">
        <f t="array" ref="AW299">ROW()-ROW(Линии[#Headers])</f>
        <v>297</v>
      </c>
      <c r="AX299" s="6" t="str">
        <f t="shared" si="495"/>
        <v>R</v>
      </c>
      <c r="AY299" t="str">
        <f t="shared" si="496"/>
        <v>2.019А.1</v>
      </c>
      <c r="AZ299" t="str">
        <f t="shared" si="497"/>
        <v>2</v>
      </c>
      <c r="BA299" t="str">
        <f t="shared" si="498"/>
        <v>019А.1</v>
      </c>
      <c r="BB299" t="str">
        <f t="shared" si="499"/>
        <v>019А</v>
      </c>
      <c r="BC299" t="str">
        <f>IF(U299&lt;&gt;"",U299,IF(AND(B299&lt;&gt;"",B299&lt;&gt;A299,ISNUMBER(_xlfn.XMATCH(B299,Щиты[Щит]))),B299,""))</f>
        <v/>
      </c>
      <c r="BD299" t="str" cm="1">
        <f t="array" ref="BD299">IF(B299="","",IF(BC299&lt;&gt;"","Щит "&amp;BC299,_xlfn.LET(_xlpm.nm,IFERROR(_xlfn.XLOOKUP(AX299,Коды_код,Коды_имя)&amp;"",""),_xlpm.md,IFERROR(N(_xlfn.XLOOKUP(AX299,Коды_код,Коды_режим)),1),_xlpm.ex,IF(Имя_режим="по экспликации",IFERROR(_xlfn.XLOOKUP(AZ299&amp;"|"&amp;BB299,Экспликация[Этаж]&amp;"|"&amp;Экспликация[Помещение],Экспликация[Название])&amp;"",""),""),_xlpm.rm,IF(BB299="","",IF(_xlpm.ex&lt;&gt;"",". "&amp;_xlpm.ex&amp;IF(Имя_пом="нет"," ("&amp;BB299&amp;")"," (пом. "&amp;BB299&amp;")"),IF(Имя_пом="нет"," ",", пом. ")&amp;BB299)),IF(_xlpm.nm="","",IF(_xlpm.md=2,_xlpm.nm&amp;" шлейф "&amp;AZ299,_xlpm.nm&amp;_xlpm.rm)))))</f>
        <v>Розеточная группа, пом. 019А</v>
      </c>
      <c r="BE299" t="str">
        <f t="shared" si="500"/>
        <v>Розеточная группа, пом. 019А</v>
      </c>
      <c r="BF299">
        <f>IFERROR(_xlfn.XMATCH(A299,Щиты[Щит]),0)</f>
        <v>11</v>
      </c>
      <c r="BG299">
        <f>_xlfn.LET(_xlpm.k,IFERROR(_xlfn.XLOOKUP(A299,Щиты[Щит],Щиты[Листов под вводной узел]),""),IF(_xlpm.k="",1,N(_xlpm.k))*Столбцов_на_лист)</f>
        <v>17</v>
      </c>
      <c r="BH299">
        <f t="shared" si="501"/>
        <v>35</v>
      </c>
      <c r="BI299" t="str">
        <f t="shared" si="502"/>
        <v>линии</v>
      </c>
      <c r="BJ299" s="6">
        <f>IFERROR(N(_xlfn.XLOOKUP(AX299,Коды_код,Коды_квт)),0)</f>
        <v>0</v>
      </c>
      <c r="BK299">
        <f t="shared" si="503"/>
        <v>0</v>
      </c>
      <c r="BL299" t="str">
        <f>IF(B299="","",IF(BC299&lt;&gt;"",IFERROR(_xlfn.XLOOKUP(BC299,Щиты[Щит],Щиты[Руст, кВт]),0),IF(BK299=1,IFERROR(_xlfn.XLOOKUP(A299,Щиты[Щит],Щиты[Руст, кВт]),0),IF(BJ299&gt;0,ROUND(BJ299*MAX(1,N(D299)),3),""))))</f>
        <v/>
      </c>
      <c r="BM299">
        <f t="shared" si="504"/>
        <v>0.24</v>
      </c>
      <c r="BN299" s="6">
        <f>IF(B299="","",IF(BC299&lt;&gt;"",IFERROR(_xlfn.XLOOKUP(BC299,Щиты[Щит],Щиты[Руст, кВт]),0),N(BM299)))</f>
        <v>0.24</v>
      </c>
      <c r="BO299" t="str">
        <f>IF(B299="","",IFERROR(IF(VLOOKUP(AX299,Потребители_обозначение,8,FALSE)=0,"",VLOOKUP(AX299,Потребители_обозначение,8,FALSE)),""))</f>
        <v/>
      </c>
      <c r="BP299">
        <f t="shared" si="505"/>
        <v>230</v>
      </c>
      <c r="BQ299">
        <f>IF(B299="","",IF(BC299&lt;&gt;"",3,IFERROR(IF(N(VLOOKUP(AX299,Потребители_обозначение,9,FALSE))=0,1,VLOOKUP(AX299,Потребители_обозначение,9,FALSE)),1)))</f>
        <v>1</v>
      </c>
      <c r="BR299">
        <f t="shared" si="506"/>
        <v>1</v>
      </c>
      <c r="BS299" t="str">
        <f>IF(B299="","",_xlfn.LET(_xlpm.bc,IFERROR(IF(VLOOKUP(AX299,Потребители_обозначение,6,FALSE)=0,"",VLOOKUP(AX299,Потребители_обозначение,6,FALSE)&amp;""),""),IF(AND(FK299="да",OR(_xlpm.bc="",_xlpm.bc="мс")),Марка_пож,IF(AND(_xlpm.bc="",BC299&lt;&gt;""),"мс",_xlpm.bc))))</f>
        <v/>
      </c>
      <c r="BT299" t="str">
        <f t="shared" si="507"/>
        <v>мс</v>
      </c>
      <c r="BU299">
        <f>IF(B299="","",_xlfn.LET(_xlpm.cc,IFERROR(N(VLOOKUP(AX299,Потребители_обозначение,7,FALSE)),0),IF(_xlpm.cc&gt;0,_xlpm.cc,IF(BT299="","",IF(N(BR299)=3,5,3)))))</f>
        <v>3</v>
      </c>
      <c r="BV299">
        <f t="shared" si="508"/>
        <v>3</v>
      </c>
      <c r="BW299">
        <f>IFERROR(N(VLOOKUP(AX299,Потребители_обозначение,10,FALSE)),0)</f>
        <v>0</v>
      </c>
      <c r="BX299">
        <f>IFERROR(VLOOKUP(AX299,Потребители_обозначение,5,FALSE),0)</f>
        <v>1</v>
      </c>
      <c r="BY299" s="6" cm="1">
        <f t="array" ref="BY299">IF(B299="","",IF(BC299&lt;&gt;"",IFERROR(_xlfn.XLOOKUP(BC299,Щиты[Щит],Щиты[cos φ]),0.95),IF(BK299=1,IFERROR(_xlfn.XLOOKUP(A299,Щиты[Щит],Щиты[cos φ]),0.95),IF(ISNUMBER(Z299),Z299,IFERROR(IF(BX299=2,_xlfn.IFS(BR299=3,VLOOKUP(BN299,Справочная_двигатели,8,FALSE),BR299=1,VLOOKUP(BN299,Справочная_двигатели,10,TRUE)),IF(AND(Методика="нормы 2026",EQ299="Сил"),0.8,0.95)),0.95)))))</f>
        <v>0.95</v>
      </c>
      <c r="BZ299">
        <f t="shared" si="509"/>
        <v>0</v>
      </c>
      <c r="CA299">
        <f t="shared" si="510"/>
        <v>1</v>
      </c>
      <c r="CB299">
        <f t="shared" si="511"/>
        <v>0</v>
      </c>
      <c r="CC299">
        <f t="shared" si="512"/>
        <v>0</v>
      </c>
      <c r="CD299">
        <f t="shared" si="513"/>
        <v>0</v>
      </c>
      <c r="CE299">
        <f t="shared" si="514"/>
        <v>0</v>
      </c>
      <c r="CF299">
        <f t="shared" si="515"/>
        <v>0</v>
      </c>
      <c r="CG299">
        <f>IF(AX299="",0,_xlfn.LET(_xlpm.v,IFERROR(VLOOKUP(B299,УГО_спр,3,FALSE),IFERROR(VLOOKUP(AX299,УГО_спр,3,FALSE),IFERROR(VLOOKUP(LEFT(AX299,2),УГО_спр,3,FALSE),""))),IF(_xlpm.v="да",30,IF(ISNUMBER(_xlpm.v),_xlpm.v,0))))</f>
        <v>30</v>
      </c>
      <c r="CH299">
        <f t="shared" si="516"/>
        <v>30</v>
      </c>
      <c r="CI299" t="str">
        <f>_xlfn.LET(_xlpm.k,IFERROR(_xlfn.XLOOKUP(AX299,Коды_код,Коды_утечка)&amp;"",""),IF(_xlpm.k="","дифавтомат",_xlpm.k))</f>
        <v>дифавтомат</v>
      </c>
      <c r="CJ299">
        <f t="shared" si="517"/>
        <v>30</v>
      </c>
      <c r="CK299">
        <f t="shared" si="518"/>
        <v>30</v>
      </c>
      <c r="CL299">
        <f>IF(B299="",0,IFERROR(--VLOOKUP(B299,УГО_спр,4,FALSE),IFERROR(--VLOOKUP(AX299,УГО_спр,4,FALSE),IFERROR(--VLOOKUP(LEFT(AX299,2),УГО_спр,4,FALSE),0))))</f>
        <v>16</v>
      </c>
      <c r="CM299" t="str">
        <f>IF(B299="","",IFERROR(_xlfn.XLOOKUP(AX299,Коды_код,Коды_апп)&amp;"",""))</f>
        <v/>
      </c>
      <c r="CN299" t="str">
        <f t="shared" si="519"/>
        <v/>
      </c>
      <c r="CO299" t="str" cm="1">
        <f t="array" ref="CO299">IF(TRIM(CN299&amp;"")="","",IFERROR(TRIM(INDEX(_xlfn.TEXTSPLIT(CN299&amp;";;;",";"),1)),""))</f>
        <v/>
      </c>
      <c r="CP299" t="str" cm="1">
        <f t="array" ref="CP299">IF(TRIM(CN299&amp;"")="","",IFERROR(TRIM(INDEX(_xlfn.TEXTSPLIT(CN299&amp;";;;",";"),2)),""))</f>
        <v/>
      </c>
      <c r="CQ299" t="str" cm="1">
        <f t="array" ref="CQ299">IF(TRIM(CN299&amp;"")="","",IFERROR(TRIM(INDEX(_xlfn.TEXTSPLIT(CN299&amp;";;;",";"),3)),""))</f>
        <v/>
      </c>
      <c r="CR299">
        <f t="shared" si="520"/>
        <v>0</v>
      </c>
      <c r="CS299" t="str">
        <f>IF(B299="","",_xlfn.LET(_xlpm.t,LOWER(AV299&amp;""),IF(ISNUMBER(SEARCH("dim",_xlpm.t)),"DIM",IF(ISNUMBER(SEARCH("dali",_xlpm.t)),"DALI",IF(OR(ISNUMBER(SEARCH("relay",_xlpm.t)),ISNUMBER(SEARCH("реле",_xlpm.t))),"Relay",IF(ISNUMBER(SEARCH("кнопк",_xlpm.t)),"",IFERROR(_xlfn.XLOOKUP(AX299,Коды_код,Коды_упр)&amp;"","")))))))</f>
        <v/>
      </c>
      <c r="CT299" t="str">
        <f t="shared" si="521"/>
        <v/>
      </c>
      <c r="CU299">
        <f>IF(B299="","",_xlfn.LET(_xlpm.ig,N(P299)+IF(AF299="вручную",0,N(CB299)),_xlpm.n0,IFERROR(VLOOKUP(_xlpm.ig,Автомат_номиналы,2,TRUE),0),_xlpm.mn,MAX(CL299,IF(AF299="вручную",0,N(CE299))),MAX(_xlpm.n0,_xlpm.mn,IF(CR299=1,Мин_автомат_БП,0))))</f>
        <v>16</v>
      </c>
      <c r="CV299">
        <f t="shared" si="522"/>
        <v>1</v>
      </c>
      <c r="CW299" t="str">
        <f t="shared" si="523"/>
        <v>2P</v>
      </c>
      <c r="CX299" t="str">
        <f>_xlfn.LET(_xlpm.cc,UPPER(TRIM(IFERROR(_xlfn.XLOOKUP(AX299,Коды_код,Коды_хар)&amp;"",""))),IF(OR(_xlpm.cc="B",_xlpm.cc="В"),"B",IF(_xlpm.cc="D","D","С")))</f>
        <v>С</v>
      </c>
      <c r="CY299" t="str">
        <f t="shared" si="524"/>
        <v>2P С16А 30мА</v>
      </c>
      <c r="CZ299">
        <f t="shared" si="525"/>
        <v>16</v>
      </c>
      <c r="DA299" t="str">
        <f t="shared" si="526"/>
        <v>2P С16А 30мА</v>
      </c>
      <c r="DB299" cm="1">
        <f t="array" ref="DB299">IF(DA299="","",_xlfn.LET(_xlpm.t,SUBSTITUTE(SUBSTITUTE(SUBSTITUTE(UPPER(DA299),"С","C"),"А","A"),"В","B"),_xlpm.tk,_xlfn.TEXTSPLIT(_xlpm.t,"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9" t="str">
        <f t="shared" si="527"/>
        <v>ok</v>
      </c>
      <c r="DD299">
        <f t="shared" si="528"/>
        <v>16</v>
      </c>
      <c r="DE299" t="str">
        <f t="shared" si="529"/>
        <v>2P С16А 30мА</v>
      </c>
      <c r="DF299">
        <f t="shared" si="530"/>
        <v>30</v>
      </c>
      <c r="DG299">
        <f t="shared" si="531"/>
        <v>1</v>
      </c>
      <c r="DH299">
        <f t="shared" si="532"/>
        <v>0</v>
      </c>
      <c r="DI299">
        <f t="shared" si="533"/>
        <v>1.0939268258329751</v>
      </c>
      <c r="DJ299">
        <f t="shared" si="534"/>
        <v>1</v>
      </c>
      <c r="DK299">
        <f>IF(ISNUMBER(AL299),AL299,К_прокл)</f>
        <v>1</v>
      </c>
      <c r="DL299">
        <f t="shared" si="535"/>
        <v>2</v>
      </c>
      <c r="DM299">
        <f>IFERROR(N(VLOOKUP(BT299,Кабель_обозначение,3,FALSE)),1)</f>
        <v>1</v>
      </c>
      <c r="DN299">
        <f>IFERROR(N(_xlfn.XLOOKUP(A299,Щиты[Щит],Щиты[ΔU до шин, %])),0)</f>
        <v>1.79</v>
      </c>
      <c r="DO299" t="str">
        <f>IFERROR(_xlfn.XLOOKUP(A299,Щиты[Щит],Щиты[Zпетли на шинах, Ом]),"")</f>
        <v/>
      </c>
      <c r="DP299">
        <f>IFERROR(N(_xlfn.XLOOKUP(A299,Щиты[Щит],Щиты[ΔU до шин (подбор), %])),0)</f>
        <v>4.75</v>
      </c>
      <c r="DQ299" t="str">
        <f>IFERROR(_xlfn.XLOOKUP(A299,Щиты[Щит],Щиты[Zпетли на шинах (подбор), Ом]),"")</f>
        <v/>
      </c>
      <c r="DR299" t="str">
        <f t="shared" si="536"/>
        <v/>
      </c>
      <c r="DS299">
        <f t="shared" si="537"/>
        <v>46</v>
      </c>
      <c r="DT299">
        <f t="shared" si="538"/>
        <v>2</v>
      </c>
      <c r="DU299">
        <f t="shared" si="539"/>
        <v>0.31</v>
      </c>
      <c r="DV299" s="6">
        <f>IF(B299="","",IF(IFERROR(VLOOKUP(AX299,УГО_спр,2,FALSE),"")="Светильник",3,4)+IF(Методика="нормы 2026",MIN(0.5,MAX(0,N(Q299)-100)*0.005),0))</f>
        <v>4</v>
      </c>
      <c r="DW299" t="str" cm="1">
        <f t="array" ref="DW299">IF(OR(B299="",BT299="",DM299&lt;&gt;1),"",_xlfn.LET(_xlpm.sz,Iдоп_S,_xlpm.t_,CHOOSE(DL299,Iдоп_1ж,Iдоп_2ж,Iдоп_3ж)*DJ299*DK299,_xlpm.inn,N(DD299),_xlpm.smin,MAX(1.5,BW299),_xlpm.L_,N(Q299)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299)*(_xlpm.rho*_xlpm.L_/_xlpm.sz*N(BY299)+_xlpm.xx*_xlpm.L_*N(DU299)/1000)*N(P299)/((Uн_лин/SQRT(3))*1000)*100,999),_xlpm.kz,IF(OR(DG299=1,NOT(ISNUMBER(DQ299)),_xlpm.L_=0,_xlpm.inn=0),1,IFERROR(--(c_min*(Uн_лин*1000/SQRT(3))/(DQ299+2*ρкз_Cu*_xlpm.L_/_xlpm.sz)&gt;=GY299*_xlpm.inn),0)),_xlpm.ok,IFERROR((_xlpm.sz&gt;=_xlpm.smin)*(_xlpm.t_&gt;=_xlpm.inn)*IF(_xlpm.L_&gt;0,(_xlpm.du_+DP299&lt;=DV299+0.00001),1)*_xlpm.kz,0),_xlpm.r_,_xlfn._xlws.FILTER(_xlpm.sz,_xlpm.ok,"не подобрано"),INDEX(_xlpm.r_,1)))</f>
        <v>не подобрано</v>
      </c>
      <c r="DX299">
        <f t="shared" si="540"/>
        <v>2.5</v>
      </c>
      <c r="DY299" cm="1">
        <f t="array" ref="DY299">IF(OR(B299="",BT299="",DM299&lt;&gt;1),"",_xlfn.LET(_xlpm.sz,Iдоп_S,_xlpm.t_,CHOOSE(DL299,Iдоп_1ж,Iдоп_2ж,Iдоп_3ж)*DJ299*DK299,_xlpm.ok,IFERROR((_xlpm.sz&gt;=MAX(1.5,BW299))*(_xlpm.t_&gt;=N(DD299)),0),_xlpm.r_,_xlfn._xlws.FILTER(_xlpm.sz,_xlpm.ok,""),INDEX(_xlpm.r_,1)))</f>
        <v>1.5</v>
      </c>
      <c r="DZ299" s="6" cm="1">
        <f t="array" ref="DZ299">IFERROR(ROUNDUP(N(DT299)*(_xlfn.XLOOKUP(DY299,INDEX(Кабель_сопротивление,0,1),INDEX(Кабель_сопротивление,0,3))*N(Q299)/DY299*N(BY299)+_xlfn.XLOOKUP(DY299,INDEX(Кабель_сопротивление,0,1),INDEX(Кабель_сопротивление,0,2))*N(Q299)*N(DU299)/1000)*N(P299)/((Uн_лин/SQRT(3))*1000)*100,2),"")</f>
        <v>0.75</v>
      </c>
      <c r="EA299">
        <f>IFERROR(2*ρкз_Cu*N(Q299)/DY299,"")</f>
        <v>1.9286666666666668</v>
      </c>
      <c r="EB299">
        <f>IFERROR(VLOOKUP(DX299,Кабель_сопротивление,3,FALSE),"")</f>
        <v>2.2499999999999999E-2</v>
      </c>
      <c r="EC299">
        <f>IFERROR(VLOOKUP(DX299,Кабель_сопротивление,2,FALSE),"")</f>
        <v>0.1</v>
      </c>
      <c r="ED299">
        <f t="shared" si="541"/>
        <v>11</v>
      </c>
      <c r="EE299">
        <f t="shared" si="542"/>
        <v>26</v>
      </c>
      <c r="EF299">
        <f t="shared" si="543"/>
        <v>1.0325684701720035</v>
      </c>
      <c r="EG299" s="6">
        <f>IFERROR(ROUNDUP(EF299/((Uн_лин/SQRT(3))*1000)*100,2),"")</f>
        <v>0.45</v>
      </c>
      <c r="EH299" t="str">
        <f>IFERROR(VLOOKUP(BT299,Кабель_обозначение,2,FALSE),"")</f>
        <v>ВВГнг(А)-LS</v>
      </c>
      <c r="EI299" t="str">
        <f t="shared" si="544"/>
        <v>ВВГнг(А)-LS (3х2,5)</v>
      </c>
      <c r="EJ299" t="str">
        <f t="shared" si="545"/>
        <v>ВВГнг(А)-LS (3х2,5)
L=55-0,45%</v>
      </c>
      <c r="EK299">
        <f>IFERROR(2*ρкз_Cu*Q299/DX299,"")</f>
        <v>1.1572</v>
      </c>
      <c r="EL299">
        <f t="shared" si="546"/>
        <v>0.38500000000000006</v>
      </c>
      <c r="EM299" s="6" t="str">
        <f>IFERROR(IF(OR(B299="",NOT(ISNUMBER(DX299)),N(Q299)=0),"",_xlfn.XLOOKUP(A299,Щиты[Щит],Щиты[Zпетли на шинах, Ом])+EK299),"")</f>
        <v/>
      </c>
      <c r="EN299" s="6" t="str">
        <f>IF(ISNUMBER(EM299),c_min*(Uн_лин*1000/SQRT(3))/EM299,"")</f>
        <v/>
      </c>
      <c r="EO299" s="6" t="str">
        <f>IFERROR(IF(OR(B299="",NOT(ISNUMBER(DX299))),"",1.05*(Uн_лин*1000/SQRT(3))/(_xlfn.XLOOKUP(A299,Щиты[Щит],Щиты[Zmax на шинах, Ом])+EL299)/1000),"")</f>
        <v/>
      </c>
      <c r="EP299" s="6" t="str">
        <f>IF(B299="","",IF(ISNUMBER(Y299),"Сил",IF(IFERROR(_xlfn.XLOOKUP(AX299,Коды_код,Коды_группа)&amp;"","")="","Быт",_xlfn.XLOOKUP(AX299,Коды_код,Коды_группа)&amp;"")))</f>
        <v>Быт</v>
      </c>
      <c r="EQ299" s="6" t="str">
        <f t="shared" si="547"/>
        <v>Быт</v>
      </c>
      <c r="ER299" s="6">
        <f>IF(EQ299="Щит","щит",IF(EQ299="","",IF(EQ299="Быт",IFERROR(_xlfn.XLOOKUP(A299,Щиты[Щит],Щиты[Кс быт]),1),IF(EQ299="Сил",IF(ISNUMBER(Y299),Y299,IF(Методика="нормы 2026",IFERROR(_xlfn.XLOOKUP(A299,Щиты[Щит],Щиты[Кс силовых (табл. 7.5)]),1),1)),IF(OR(EQ299="Пост",EQ299="Отоп"),1,IF(EQ299="ВНГ",0.7,0))))))</f>
        <v>0.8</v>
      </c>
      <c r="ES299">
        <f t="shared" si="548"/>
        <v>1</v>
      </c>
      <c r="ET299">
        <f t="shared" si="549"/>
        <v>0.24</v>
      </c>
      <c r="EU299">
        <f t="shared" si="550"/>
        <v>0.24</v>
      </c>
      <c r="EV299">
        <f t="shared" si="551"/>
        <v>0</v>
      </c>
      <c r="EW299">
        <f t="shared" si="552"/>
        <v>0</v>
      </c>
      <c r="EX299">
        <f t="shared" si="553"/>
        <v>0</v>
      </c>
      <c r="EY299">
        <f t="shared" si="554"/>
        <v>0</v>
      </c>
      <c r="EZ299">
        <f t="shared" si="555"/>
        <v>0.24</v>
      </c>
      <c r="FA299">
        <f t="shared" si="556"/>
        <v>0.22799999999999998</v>
      </c>
      <c r="FB299">
        <f t="shared" si="557"/>
        <v>0.24</v>
      </c>
      <c r="FC299" t="str">
        <f t="shared" si="558"/>
        <v>L3</v>
      </c>
      <c r="FD299" t="str">
        <f>IF(B299="","",IF(CA299=0,IF(AW299=1,"",FF298),IF(OR(N(CV299)&gt;=3,N(BR299)&gt;=3),"L1,L2,L3",IFERROR(_xlfn.TEXTBEFORE(_xlfn.TEXTAFTER(_xlfn.XLOOKUP(A299,Щиты[Щит],Щиты[_фазы авто]),";"&amp;AW299&amp;":"),";"),"L1"))))</f>
        <v>L1</v>
      </c>
      <c r="FE299" t="str">
        <f t="shared" si="559"/>
        <v>L3</v>
      </c>
      <c r="FF299" t="str">
        <f t="shared" si="560"/>
        <v>L3</v>
      </c>
      <c r="FG299" cm="1">
        <f t="array" ref="FG299">IFERROR(IF(BX299=2,_xlfn.IFS(BR299=3,VLOOKUP(BN299,Справочная_двигатели,3,FALSE),BR299=1,VLOOKUP(BN299,Справочная_двигатели,5,TRUE)),0),0)</f>
        <v>0</v>
      </c>
      <c r="FH299">
        <f>IFERROR(IF(BX299=3,VLOOKUP(BN299,Справочная_ЛЭД,2,TRUE),0),0)</f>
        <v>0</v>
      </c>
      <c r="FI299" s="6">
        <f t="shared" si="561"/>
        <v>0</v>
      </c>
      <c r="FJ299" t="str" cm="1">
        <f t="array" ref="FJ299">IF(B299="","",IFERROR(INDEX({"I особая","I","II","III"},MATCH(TRIM(AC299&amp;""),{"I особая","I","II","III"},0)),"III"))</f>
        <v>II</v>
      </c>
      <c r="FK299" t="str">
        <f>IF(B299="","",IF(TRIM(AD299&amp;"")&lt;&gt;"",IF(LOWER(TRIM(AD299&amp;""))="да","да","нет"),IF(IFERROR(_xlfn.XLOOKUP(AX299,Коды_код,Коды_пожарная),"")="да","да","нет")))</f>
        <v>нет</v>
      </c>
      <c r="FL299" t="str">
        <f t="shared" si="562"/>
        <v/>
      </c>
      <c r="FM299" t="str">
        <f t="shared" si="563"/>
        <v>основная</v>
      </c>
      <c r="FN299">
        <f t="shared" si="564"/>
        <v>1</v>
      </c>
      <c r="FO299" t="str" cm="1">
        <f t="array" ref="FO299">IF(B299="","",_xlfn.LET(_xlpm.t,IFERROR(_xlfn.XLOOKUP(1,(Шины[Шина]=FM299)*(((Шины[Щит]=A299)+(Шины[Щит]=""))&gt;0),Шины[Тип]),"")&amp;"",IF(_xlpm.t&lt;&gt;"",_xlpm.t,IF(ISNUMBER(SEARCH("ИБП",FM299)),"ИБП",IF(ISNUMBER(SEARCH("ДГУ",FM299)),"ДГУ","Ввод "&amp;FN299)))))</f>
        <v>Ввод 1</v>
      </c>
      <c r="FP299" t="str">
        <f t="shared" si="565"/>
        <v>Ввод 1</v>
      </c>
      <c r="FQ299" t="str">
        <f>IF(B299="","",IF(OR(FO299="ИБП",FO299="ДГУ"),"I особая",IF(FO299="Одиночная","III",_xlfn.XLOOKUP(A299,Щиты[Щит],Щиты[Категория шины «Ввод»],"III"))))</f>
        <v>II</v>
      </c>
      <c r="FR299">
        <f>IF(B299="",0,IFERROR(MATCH(FJ299,{"III","II","I","I особая"},0),1))</f>
        <v>2</v>
      </c>
      <c r="FS299">
        <f t="shared" si="566"/>
        <v>2</v>
      </c>
      <c r="FT299" t="str">
        <f>IF(B299="","",IF(FR299&gt;IFERROR(MATCH(FQ299,{"III","II","I","I особая"},0),1),"НЕ ОБЕСПЕЧЕНА","ОК"))</f>
        <v>ОК</v>
      </c>
      <c r="FU299" t="str">
        <f>IF(A299="","",_xlfn.XLOOKUP(A299,Щиты[Щит],Щиты[Путь],""))</f>
        <v>|ГРЩ-ЖД|ЩР-2|</v>
      </c>
      <c r="FV299" t="str">
        <f>IF(B299="","",IF(AE299&lt;&gt;"",AE299,IF(IFERROR(_xlfn.XLOOKUP(AX299,Коды_код,Коды_вид)&amp;"","")="","Прочее",_xlfn.XLOOKUP(AX299,Коды_код,Коды_вид)&amp;"")))</f>
        <v>Розеточная сеть и бытовые приборы</v>
      </c>
      <c r="FW299">
        <f>IF(BH299="","",INT((BH299-1)/Столбцов_на_лист)+1)</f>
        <v>3</v>
      </c>
      <c r="FX299" t="str">
        <f t="shared" si="567"/>
        <v>ВВГнг(А)-LS (3х2,5) L=55-0,45%</v>
      </c>
      <c r="FY299">
        <f t="shared" si="568"/>
        <v>0.24</v>
      </c>
      <c r="FZ299">
        <f t="shared" si="569"/>
        <v>1.1000000000000001</v>
      </c>
      <c r="GA299">
        <f t="shared" si="570"/>
        <v>1</v>
      </c>
      <c r="GB299">
        <f t="shared" si="571"/>
        <v>0</v>
      </c>
      <c r="GC299">
        <f t="shared" si="572"/>
        <v>1</v>
      </c>
      <c r="GD299">
        <f>IF(BH299="","",IF(AND(CA299=1,GC299=1),COUNTIFS(A$3:A299,A299,CA$3:CA299,1,GC$3:GC299,1),IF(OR(OR(AW299=1,A299&lt;&gt;A298),AF299="вручную",GC299=0),"",IF(AW299=1,"",GE298))))</f>
        <v>16</v>
      </c>
      <c r="GE299">
        <f t="shared" si="573"/>
        <v>16</v>
      </c>
      <c r="GF299">
        <f>IF(B299="","",IFERROR(LOOKUP(INDEX(CHOOSE(DL299,Iдоп_1ж,Iдоп_2ж,Iдоп_3ж),MATCH(DX299,Iдоп_S,0))*DJ299*DK299,{6,10,16,20,25,32,40,50,63,80,100,125,160,200,250,315,400,500,630}),""))</f>
        <v>25</v>
      </c>
      <c r="GG299" t="str">
        <f t="shared" si="574"/>
        <v>QFD16</v>
      </c>
      <c r="GH299" t="str">
        <f t="shared" si="575"/>
        <v>QFD16</v>
      </c>
      <c r="GI299" t="str">
        <f t="shared" si="576"/>
        <v/>
      </c>
      <c r="GJ299">
        <f t="shared" si="577"/>
        <v>0</v>
      </c>
      <c r="GK299" t="str">
        <f>IF(OR(AG299="",AG299="-"),"",IFERROR(VLOOKUP(AG299,Модули_спр,2,FALSE),"R"))</f>
        <v/>
      </c>
      <c r="GL299" t="str">
        <f>IF(GK299="","",GK299&amp;"."&amp;COUNTIFS(A$3:A299,A299,GK$3:GK299,GK299))</f>
        <v/>
      </c>
      <c r="GM299" t="str">
        <f t="shared" si="578"/>
        <v/>
      </c>
      <c r="GN299" t="str">
        <f t="shared" si="579"/>
        <v/>
      </c>
      <c r="GO299" t="str">
        <f t="shared" si="580"/>
        <v/>
      </c>
      <c r="GP299" t="str">
        <f t="shared" si="581"/>
        <v/>
      </c>
      <c r="GQ299">
        <f t="shared" si="582"/>
        <v>1</v>
      </c>
      <c r="GR299" t="str">
        <f>IF(GQ299=1,"XT"&amp;COUNTIFS(A$3:A299,A299,GQ$3:GQ299,1),"")</f>
        <v>XT16</v>
      </c>
      <c r="GS299" t="str">
        <f t="shared" si="583"/>
        <v/>
      </c>
      <c r="GT299" t="str">
        <f t="shared" si="584"/>
        <v>QFD16</v>
      </c>
      <c r="GU299" t="str">
        <f t="shared" si="585"/>
        <v/>
      </c>
      <c r="GV299" t="str">
        <f t="shared" si="586"/>
        <v>ok</v>
      </c>
      <c r="GW299" t="str">
        <f>IF(OR(GO299="",GM299=""),"",IF(GO299&gt;IFERROR(VLOOKUP(GN299,Модули_спр,3,FALSE),99),"ЛИШНИЙ КАНАЛ",IF(AND(AH299&lt;&gt;"=",COUNTIFS(Линии[_модуль гр.],GM299,Линии[Канал (итог)],GO299,Линии[Канал],"&lt;&gt;=",Линии[Щит],A299)&gt;1),"ДУБЛЬ КАНАЛА","")))</f>
        <v/>
      </c>
      <c r="GX299" s="6" t="str">
        <f t="shared" si="587"/>
        <v/>
      </c>
      <c r="GY299">
        <f t="shared" si="588"/>
        <v>10</v>
      </c>
      <c r="GZ299" t="str">
        <f t="shared" si="589"/>
        <v/>
      </c>
      <c r="HA299" t="str">
        <f>IF(AND(B299="",GT299=""),"",_xlfn.TEXTJOIN("; ",TRUE,IF(AND(B299&lt;&gt;"",FE299=""),"нет фазы",""),IF(AND(B299&lt;&gt;"",N(FY299)=0,EQ299&lt;&gt;"Нет"),"нет мощности",""),IF(AND(GS299&lt;&gt;"",COUNTIFS(Линии[Щит],A299,Линии[Клемма (итог)],GS299)&gt;1),"дубль клеммы "&amp;GS299,""),IF(AND(GV299&lt;&gt;"",GV299&lt;&gt;"ok"),GV299,""),IF(GW299&lt;&gt;"",GW299,""),IF(AND(N(BV299)&gt;=4,N(BR299)=1),BV299&amp;" жил на 1 фазе",""),IF(AND(AX299="R",CA299=1,OR(N(CK299)=0,N(CK299)&gt;30)),"розетка без дифзащиты до 30 мА",""),IFERROR(IF(AND(ISNUMBER(R299),R299&gt;DV299),"потери "&amp;FIXED(R299,1)&amp;" % &gt; "&amp;DV299&amp;" %",""),""),IFERROR(IF(LEFT(GZ299,4)="мало","Iкз мало — отключение &gt; 0,4 с",""),""),IF(AND(B299&lt;&gt;"",BH299=""),"не на схеме",""),IF(AND(CA299=0,B299&lt;&gt;"",FE299&lt;&gt;"",IF(AW299=1,"",FF298)&lt;&gt;"",FE299&lt;&gt;IF(AW299=1,"",FF298)),"фаза не как у автомата группы ("&amp;IF(AW299=1,"",FF298)&amp;")","")))</f>
        <v/>
      </c>
      <c r="HB299" s="6">
        <f>IF(OR(CA299=0,DA299=""),"",_xlfn.LET(_xlpm.t,IFERROR(_xlfn.XLOOKUP(DA299,Каталог!$U$4:$U$500,Каталог!$G$4:$G$500),""),_xlpm.k,SEARCH("кА",_xlpm.t),IFERROR(--TRIM(RIGHT(SUBSTITUTE(MID(_xlpm.t,MAX(1,_xlpm.k-4),_xlpm.k-MAX(1,_xlpm.k-4))," ",REPT(" ",9)),5)),"")))</f>
        <v>6</v>
      </c>
      <c r="HC299" t="str">
        <f>IF(OR(HB299="",CA299=0),"",IF(_xlfn.XLOOKUP(A299,Щиты[Щит],Щиты[Iкз max на шинах, кА],"")="","",IF(HB299&lt;_xlfn.XLOOKUP(A299,Щиты[Щит],Щиты[Iкз max на шинах, кА]),"Icu "&amp;HB299&amp;" кА &lt; Iкз max","ok")))</f>
        <v/>
      </c>
      <c r="HD299" t="str">
        <f t="shared" si="590"/>
        <v/>
      </c>
      <c r="HE299" t="str">
        <f t="shared" si="591"/>
        <v>QFD16</v>
      </c>
      <c r="HF299" t="str">
        <f t="shared" si="592"/>
        <v>QFD16|кабель ВВГнг(А)-LS (3х2,5) → Розеточная группа, пом. 019А</v>
      </c>
      <c r="HG299" t="str" cm="1">
        <f t="array" ref="HG299">IF(HF299="","",_xlfn.LET(_xlpm.nd,_xlfn.TEXTSPLIT(HF299,"|"),IF(COLUMNS(_xlpm.nd)&gt;1,A299&amp;"¦"&amp;INDEX(_xlpm.nd,1)&amp;"¦"&amp;INDEX(_xlpm.nd,2),"")))</f>
        <v>ЩР-2¦QFD16¦кабель ВВГнг(А)-LS (3х2,5) → Розеточная группа, пом. 019А</v>
      </c>
      <c r="HH299" t="str">
        <f t="shared" si="593"/>
        <v>R.2.019А.1¦Розеточная группа, пом. 019А</v>
      </c>
      <c r="HI299" t="str" cm="1">
        <f t="array" ref="HI299">IF(HF299="","",_xlfn.LET(_xlpm.nd,_xlfn.TEXTSPLIT(HF299,"|"),IF(COLUMNS(_xlpm.nd)&gt;2,A299&amp;"¦"&amp;INDEX(_xlpm.nd,2)&amp;"¦"&amp;INDEX(_xlpm.nd,3),"")))</f>
        <v/>
      </c>
      <c r="HJ299" t="str">
        <f t="shared" si="594"/>
        <v/>
      </c>
      <c r="HK299" t="str" cm="1">
        <f t="array" ref="HK299">IF(HF299="","",_xlfn.LET(_xlpm.nd,_xlfn.TEXTSPLIT(HF299,"|"),IF(COLUMNS(_xlpm.nd)&gt;3,A299&amp;"¦"&amp;INDEX(_xlpm.nd,3)&amp;"¦"&amp;INDEX(_xlpm.nd,4),"")))</f>
        <v/>
      </c>
      <c r="HL299" t="str">
        <f t="shared" si="595"/>
        <v/>
      </c>
      <c r="HM299" t="str" cm="1">
        <f t="array" ref="HM299">IF(HF299="","",_xlfn.LET(_xlpm.nd,_xlfn.TEXTSPLIT(HF299,"|"),IF(COLUMNS(_xlpm.nd)&gt;4,A299&amp;"¦"&amp;INDEX(_xlpm.nd,4)&amp;"¦"&amp;INDEX(_xlpm.nd,5),"")))</f>
        <v/>
      </c>
      <c r="HN299" t="str">
        <f t="shared" si="596"/>
        <v/>
      </c>
      <c r="HO299" t="str" cm="1">
        <f t="array" ref="HO299">IF(HF299="","",_xlfn.LET(_xlpm.nd,_xlfn.TEXTSPLIT(HF299,"|"),IF(COLUMNS(_xlpm.nd)&gt;5,A299&amp;"¦"&amp;INDEX(_xlpm.nd,5)&amp;"¦"&amp;INDEX(_xlpm.nd,6),"")))</f>
        <v/>
      </c>
      <c r="HP299" t="str">
        <f t="shared" si="597"/>
        <v/>
      </c>
      <c r="HQ299" t="str" cm="1">
        <f t="array" ref="HQ299">IF(HF299="","",_xlfn.LET(_xlpm.nd,_xlfn.TEXTSPLIT(HF299,"|"),IF(COLUMNS(_xlpm.nd)&gt;6,A299&amp;"¦"&amp;INDEX(_xlpm.nd,6)&amp;"¦"&amp;INDEX(_xlpm.nd,7),"")))</f>
        <v/>
      </c>
      <c r="HR299" t="str">
        <f t="shared" si="598"/>
        <v/>
      </c>
      <c r="HS299" t="str">
        <f t="shared" si="599"/>
        <v/>
      </c>
      <c r="HT299" t="str">
        <f t="shared" si="600"/>
        <v>QFD16</v>
      </c>
      <c r="HU299">
        <f t="shared" si="601"/>
        <v>0</v>
      </c>
      <c r="HV299">
        <f t="shared" si="602"/>
        <v>1</v>
      </c>
      <c r="HW299" t="str">
        <f t="shared" si="603"/>
        <v/>
      </c>
      <c r="HX299" t="str">
        <f t="shared" si="604"/>
        <v/>
      </c>
      <c r="HY299" t="str">
        <f t="shared" si="605"/>
        <v/>
      </c>
      <c r="HZ299" t="str">
        <f t="shared" si="606"/>
        <v/>
      </c>
      <c r="IA299" t="str">
        <f>IF(B299="","",IFERROR(VLOOKUP(B299,УГО_спр,2,FALSE),IFERROR(VLOOKUP(AX299,УГО_спр,2,FALSE),IFERROR(VLOOKUP(LEFT(AX299,2),УГО_спр,2,FALSE),""))))</f>
        <v>Розетка</v>
      </c>
      <c r="IB299" t="str">
        <f>IF(B299="","",IF(OR(IA299="",IA299=0),"BOX",IFERROR(IF(VLOOKUP(IA299,УГО_блоки,3,FALSE)&amp;""&lt;&gt;"",VLOOKUP(IA299,УГО_блоки,3,FALSE),VLOOKUP(IA299,УГО_блоки,2,FALSE)),IA299)))</f>
        <v>SOCKET</v>
      </c>
      <c r="IC299">
        <f t="shared" si="607"/>
        <v>1</v>
      </c>
      <c r="ID299" t="str">
        <f>IF(DA299="","",IF(COUNTIF(DA$3:DA299,DA299)=1,MAX(ID$2:ID298)+1,""))</f>
        <v/>
      </c>
      <c r="IE299" t="str">
        <f>IF(CO299="","",IF(COUNTIF(CO$3:CO299,CO299)+COUNTIF(CP$2:CP298,CO299)+COUNTIF(CQ$2:CQ298,CO299)=1,MAX(IE$2:IG298)+1,""))</f>
        <v/>
      </c>
      <c r="IF299" t="str">
        <f>IF(CP299="","",IF(COUNTIF(CO$3:CO299,CP299)+COUNTIF(CP$3:CP299,CP299)+COUNTIF(CQ$2:CQ298,CP299)=1,MAX(IE$2:IG298,IE299)+1,""))</f>
        <v/>
      </c>
      <c r="IG299" t="str">
        <f>IF(CQ299="","",IF(COUNTIF(CO$3:CO299,CQ299)+COUNTIF(CP$3:CP299,CQ299)+COUNTIF(CQ$3:CQ299,CQ299)=1,MAX(IE$2:IG298,IE299,IF299)+1,""))</f>
        <v/>
      </c>
      <c r="IH299" t="str">
        <f t="shared" si="608"/>
        <v>3х2,5</v>
      </c>
      <c r="II299" t="str">
        <f>IF(IH299="","",IF(COUNTIF(IH$3:IH299,IH299)=1,MAX(II$2:II298)+1,""))</f>
        <v/>
      </c>
      <c r="IJ299" t="str">
        <f>IF(GL299="","",COUNTIF(GL$3:GL299,"?*"))</f>
        <v/>
      </c>
      <c r="IK299" t="str">
        <f>IF(OR(GL299="",GN299=""),"",IF(COUNTIFS(GL$3:GL299,"?*",GN$3:GN299,GN299)=1,MAX(IK$2:IK298)+1,""))</f>
        <v/>
      </c>
      <c r="IL299">
        <f t="shared" si="609"/>
        <v>0</v>
      </c>
      <c r="IM299">
        <f>IF(B299="","",COUNTIF(B$3:B299,"?*"))</f>
        <v>297</v>
      </c>
      <c r="IN299">
        <f>IF(GQ299&lt;&gt;1,0,_xlfn.LET(_xlpm.k,MAX(IFERROR(--VLOOKUP(B299,УГО_спр,5,FALSE),0),IFERROR(--VLOOKUP(AX299,УГО_спр,5,FALSE),0),IFERROR(--VLOOKUP(LEFT(AX299,2),УГО_спр,5,FALSE),0)),IF(_xlpm.k&gt;0,_xlpm.k,IF(IFERROR(--LEFT(SUBSTITUTE(IH299,"x","х"),FIND("х",SUBSTITUTE(IH299,"x","х"))-1),3)&gt;3,Каталог!$S$9,1))))</f>
        <v>1</v>
      </c>
      <c r="IO299">
        <f t="shared" si="610"/>
        <v>0</v>
      </c>
      <c r="IP299" t="str">
        <f t="shared" si="611"/>
        <v>авто</v>
      </c>
      <c r="IQ299">
        <f t="shared" si="612"/>
        <v>30</v>
      </c>
      <c r="IR299">
        <f t="shared" si="613"/>
        <v>1</v>
      </c>
      <c r="IS299">
        <f t="shared" si="614"/>
        <v>1</v>
      </c>
    </row>
    <row r="300" spans="1:253" x14ac:dyDescent="0.3">
      <c r="A300" t="s">
        <v>761</v>
      </c>
      <c r="B300" t="s">
        <v>1564</v>
      </c>
      <c r="C300" t="str">
        <f>Линии[[#This Row],[_авто наименование]]</f>
        <v>Розеточная группа, пом. 019А</v>
      </c>
      <c r="D300">
        <v>6</v>
      </c>
      <c r="E300">
        <v>0.65999999999999992</v>
      </c>
      <c r="G300">
        <v>16</v>
      </c>
      <c r="H300">
        <f>Линии[[#This Row],[_авто утечка]]</f>
        <v>30</v>
      </c>
      <c r="I300" t="str">
        <f>Линии[[#This Row],[_авто управление]]</f>
        <v/>
      </c>
      <c r="J300" t="str">
        <f>Линии[[#This Row],[_авто аппараты]]</f>
        <v/>
      </c>
      <c r="K300">
        <v>2.5</v>
      </c>
      <c r="L300">
        <v>55</v>
      </c>
      <c r="M300">
        <v>3</v>
      </c>
      <c r="N300" t="s">
        <v>486</v>
      </c>
      <c r="O300" t="str">
        <f t="shared" si="492"/>
        <v/>
      </c>
      <c r="P300" s="6" cm="1">
        <f t="array" ref="P300">IF(B300="","",IF(BC300&lt;&gt;"",IFERROR(_xlfn.XLOOKUP(BC300,Щиты[Щит],Щиты[Iр, А]),""),IF(BK300=1,IFERROR(_xlfn.XLOOKUP(A300,Щиты[Щит],Щиты[Iр, А]),""),IFERROR(_xlfn.IFS(BR300=1,BN300/((Uн_лин/SQRT(3))*BY300),BR300=3,BN300/(SQRT(3)*Uн_лин*BY300)),""))))</f>
        <v>3.008298771040681</v>
      </c>
      <c r="Q300" s="7">
        <f>IF(B300="","",IFERROR(IF(VLOOKUP(AX300,Потребители_обозначение,4,FALSE)=1,VLOOKUP(AX300,Потребители_обозначение,3,FALSE)*(D300*2-1)+DS300+VLOOKUP(AZ300,Этаж_обозначение,3,FALSE)+VLOOKUP(AZ300,Этаж_обозначение,4,FALSE),VLOOKUP(AX300,Потребители_обозначение,3,FALSE)*(D300*2-1)+DS300),DS300))</f>
        <v>88</v>
      </c>
      <c r="R300" s="6">
        <f t="shared" si="493"/>
        <v>3.76</v>
      </c>
      <c r="S300" t="str">
        <f t="shared" si="494"/>
        <v>ВВГнг(А)-LS (3х2,5)</v>
      </c>
      <c r="T300" t="str">
        <f>IF(BH300="","",IF(BI300="вводной узел","узел ","")&amp;"л."&amp;(INT((BH300-1)/Столбцов_на_лист)+1)&amp;" / "&amp;(MOD(BH300-1,Столбцов_на_лист)+1))</f>
        <v>л.3 / 2</v>
      </c>
      <c r="V300">
        <v>1</v>
      </c>
      <c r="W300">
        <v>230</v>
      </c>
      <c r="X300" t="s">
        <v>564</v>
      </c>
      <c r="AC300" t="s">
        <v>815</v>
      </c>
      <c r="AE300" t="s">
        <v>563</v>
      </c>
      <c r="AI300">
        <v>36</v>
      </c>
      <c r="AJ300" t="s">
        <v>11</v>
      </c>
      <c r="AK300">
        <v>3</v>
      </c>
      <c r="AM300">
        <v>12</v>
      </c>
      <c r="AN300">
        <v>70</v>
      </c>
      <c r="AP300">
        <v>2</v>
      </c>
      <c r="AW300" cm="1">
        <f t="array" ref="AW300">ROW()-ROW(Линии[#Headers])</f>
        <v>298</v>
      </c>
      <c r="AX300" s="6" t="str">
        <f t="shared" si="495"/>
        <v>R</v>
      </c>
      <c r="AY300" t="str">
        <f t="shared" si="496"/>
        <v>2.019А.2</v>
      </c>
      <c r="AZ300" t="str">
        <f t="shared" si="497"/>
        <v>2</v>
      </c>
      <c r="BA300" t="str">
        <f t="shared" si="498"/>
        <v>019А.2</v>
      </c>
      <c r="BB300" t="str">
        <f t="shared" si="499"/>
        <v>019А</v>
      </c>
      <c r="BC300" t="str">
        <f>IF(U300&lt;&gt;"",U300,IF(AND(B300&lt;&gt;"",B300&lt;&gt;A300,ISNUMBER(_xlfn.XMATCH(B300,Щиты[Щит]))),B300,""))</f>
        <v/>
      </c>
      <c r="BD300" t="str" cm="1">
        <f t="array" ref="BD300">IF(B300="","",IF(BC300&lt;&gt;"","Щит "&amp;BC300,_xlfn.LET(_xlpm.nm,IFERROR(_xlfn.XLOOKUP(AX300,Коды_код,Коды_имя)&amp;"",""),_xlpm.md,IFERROR(N(_xlfn.XLOOKUP(AX300,Коды_код,Коды_режим)),1),_xlpm.ex,IF(Имя_режим="по экспликации",IFERROR(_xlfn.XLOOKUP(AZ300&amp;"|"&amp;BB300,Экспликация[Этаж]&amp;"|"&amp;Экспликация[Помещение],Экспликация[Название])&amp;"",""),""),_xlpm.rm,IF(BB300="","",IF(_xlpm.ex&lt;&gt;"",". "&amp;_xlpm.ex&amp;IF(Имя_пом="нет"," ("&amp;BB300&amp;")"," (пом. "&amp;BB300&amp;")"),IF(Имя_пом="нет"," ",", пом. ")&amp;BB300)),IF(_xlpm.nm="","",IF(_xlpm.md=2,_xlpm.nm&amp;" шлейф "&amp;AZ300,_xlpm.nm&amp;_xlpm.rm)))))</f>
        <v>Розеточная группа, пом. 019А</v>
      </c>
      <c r="BE300" t="str">
        <f t="shared" si="500"/>
        <v>Розеточная группа, пом. 019А</v>
      </c>
      <c r="BF300">
        <f>IFERROR(_xlfn.XMATCH(A300,Щиты[Щит]),0)</f>
        <v>11</v>
      </c>
      <c r="BG300">
        <f>_xlfn.LET(_xlpm.k,IFERROR(_xlfn.XLOOKUP(A300,Щиты[Щит],Щиты[Листов под вводной узел]),""),IF(_xlpm.k="",1,N(_xlpm.k))*Столбцов_на_лист)</f>
        <v>17</v>
      </c>
      <c r="BH300">
        <f t="shared" si="501"/>
        <v>36</v>
      </c>
      <c r="BI300" t="str">
        <f t="shared" si="502"/>
        <v>линии</v>
      </c>
      <c r="BJ300" s="6">
        <f>IFERROR(N(_xlfn.XLOOKUP(AX300,Коды_код,Коды_квт)),0)</f>
        <v>0</v>
      </c>
      <c r="BK300">
        <f t="shared" si="503"/>
        <v>0</v>
      </c>
      <c r="BL300" t="str">
        <f>IF(B300="","",IF(BC300&lt;&gt;"",IFERROR(_xlfn.XLOOKUP(BC300,Щиты[Щит],Щиты[Руст, кВт]),0),IF(BK300=1,IFERROR(_xlfn.XLOOKUP(A300,Щиты[Щит],Щиты[Руст, кВт]),0),IF(BJ300&gt;0,ROUND(BJ300*MAX(1,N(D300)),3),""))))</f>
        <v/>
      </c>
      <c r="BM300">
        <f t="shared" si="504"/>
        <v>0.65999999999999992</v>
      </c>
      <c r="BN300" s="6">
        <f>IF(B300="","",IF(BC300&lt;&gt;"",IFERROR(_xlfn.XLOOKUP(BC300,Щиты[Щит],Щиты[Руст, кВт]),0),N(BM300)))</f>
        <v>0.65999999999999992</v>
      </c>
      <c r="BO300" t="str">
        <f>IF(B300="","",IFERROR(IF(VLOOKUP(AX300,Потребители_обозначение,8,FALSE)=0,"",VLOOKUP(AX300,Потребители_обозначение,8,FALSE)),""))</f>
        <v/>
      </c>
      <c r="BP300">
        <f t="shared" si="505"/>
        <v>230</v>
      </c>
      <c r="BQ300">
        <f>IF(B300="","",IF(BC300&lt;&gt;"",3,IFERROR(IF(N(VLOOKUP(AX300,Потребители_обозначение,9,FALSE))=0,1,VLOOKUP(AX300,Потребители_обозначение,9,FALSE)),1)))</f>
        <v>1</v>
      </c>
      <c r="BR300">
        <f t="shared" si="506"/>
        <v>1</v>
      </c>
      <c r="BS300" t="str">
        <f>IF(B300="","",_xlfn.LET(_xlpm.bc,IFERROR(IF(VLOOKUP(AX300,Потребители_обозначение,6,FALSE)=0,"",VLOOKUP(AX300,Потребители_обозначение,6,FALSE)&amp;""),""),IF(AND(FK300="да",OR(_xlpm.bc="",_xlpm.bc="мс")),Марка_пож,IF(AND(_xlpm.bc="",BC300&lt;&gt;""),"мс",_xlpm.bc))))</f>
        <v/>
      </c>
      <c r="BT300" t="str">
        <f t="shared" si="507"/>
        <v>мс</v>
      </c>
      <c r="BU300">
        <f>IF(B300="","",_xlfn.LET(_xlpm.cc,IFERROR(N(VLOOKUP(AX300,Потребители_обозначение,7,FALSE)),0),IF(_xlpm.cc&gt;0,_xlpm.cc,IF(BT300="","",IF(N(BR300)=3,5,3)))))</f>
        <v>3</v>
      </c>
      <c r="BV300">
        <f t="shared" si="508"/>
        <v>3</v>
      </c>
      <c r="BW300">
        <f>IFERROR(N(VLOOKUP(AX300,Потребители_обозначение,10,FALSE)),0)</f>
        <v>0</v>
      </c>
      <c r="BX300">
        <f>IFERROR(VLOOKUP(AX300,Потребители_обозначение,5,FALSE),0)</f>
        <v>1</v>
      </c>
      <c r="BY300" s="6" cm="1">
        <f t="array" ref="BY300">IF(B300="","",IF(BC300&lt;&gt;"",IFERROR(_xlfn.XLOOKUP(BC300,Щиты[Щит],Щиты[cos φ]),0.95),IF(BK300=1,IFERROR(_xlfn.XLOOKUP(A300,Щиты[Щит],Щиты[cos φ]),0.95),IF(ISNUMBER(Z300),Z300,IFERROR(IF(BX300=2,_xlfn.IFS(BR300=3,VLOOKUP(BN300,Справочная_двигатели,8,FALSE),BR300=1,VLOOKUP(BN300,Справочная_двигатели,10,TRUE)),IF(AND(Методика="нормы 2026",EQ300="Сил"),0.8,0.95)),0.95)))))</f>
        <v>0.95</v>
      </c>
      <c r="BZ300">
        <f t="shared" si="509"/>
        <v>0</v>
      </c>
      <c r="CA300">
        <f t="shared" si="510"/>
        <v>1</v>
      </c>
      <c r="CB300">
        <f t="shared" si="511"/>
        <v>0</v>
      </c>
      <c r="CC300">
        <f t="shared" si="512"/>
        <v>0</v>
      </c>
      <c r="CD300">
        <f t="shared" si="513"/>
        <v>0</v>
      </c>
      <c r="CE300">
        <f t="shared" si="514"/>
        <v>0</v>
      </c>
      <c r="CF300">
        <f t="shared" si="515"/>
        <v>0</v>
      </c>
      <c r="CG300">
        <f>IF(AX300="",0,_xlfn.LET(_xlpm.v,IFERROR(VLOOKUP(B300,УГО_спр,3,FALSE),IFERROR(VLOOKUP(AX300,УГО_спр,3,FALSE),IFERROR(VLOOKUP(LEFT(AX300,2),УГО_спр,3,FALSE),""))),IF(_xlpm.v="да",30,IF(ISNUMBER(_xlpm.v),_xlpm.v,0))))</f>
        <v>30</v>
      </c>
      <c r="CH300">
        <f t="shared" si="516"/>
        <v>30</v>
      </c>
      <c r="CI300" t="str">
        <f>_xlfn.LET(_xlpm.k,IFERROR(_xlfn.XLOOKUP(AX300,Коды_код,Коды_утечка)&amp;"",""),IF(_xlpm.k="","дифавтомат",_xlpm.k))</f>
        <v>дифавтомат</v>
      </c>
      <c r="CJ300">
        <f t="shared" si="517"/>
        <v>30</v>
      </c>
      <c r="CK300">
        <f t="shared" si="518"/>
        <v>30</v>
      </c>
      <c r="CL300">
        <f>IF(B300="",0,IFERROR(--VLOOKUP(B300,УГО_спр,4,FALSE),IFERROR(--VLOOKUP(AX300,УГО_спр,4,FALSE),IFERROR(--VLOOKUP(LEFT(AX300,2),УГО_спр,4,FALSE),0))))</f>
        <v>16</v>
      </c>
      <c r="CM300" t="str">
        <f>IF(B300="","",IFERROR(_xlfn.XLOOKUP(AX300,Коды_код,Коды_апп)&amp;"",""))</f>
        <v/>
      </c>
      <c r="CN300" t="str">
        <f t="shared" si="519"/>
        <v/>
      </c>
      <c r="CO300" t="str" cm="1">
        <f t="array" ref="CO300">IF(TRIM(CN300&amp;"")="","",IFERROR(TRIM(INDEX(_xlfn.TEXTSPLIT(CN300&amp;";;;",";"),1)),""))</f>
        <v/>
      </c>
      <c r="CP300" t="str" cm="1">
        <f t="array" ref="CP300">IF(TRIM(CN300&amp;"")="","",IFERROR(TRIM(INDEX(_xlfn.TEXTSPLIT(CN300&amp;";;;",";"),2)),""))</f>
        <v/>
      </c>
      <c r="CQ300" t="str" cm="1">
        <f t="array" ref="CQ300">IF(TRIM(CN300&amp;"")="","",IFERROR(TRIM(INDEX(_xlfn.TEXTSPLIT(CN300&amp;";;;",";"),3)),""))</f>
        <v/>
      </c>
      <c r="CR300">
        <f t="shared" si="520"/>
        <v>0</v>
      </c>
      <c r="CS300" t="str">
        <f>IF(B300="","",_xlfn.LET(_xlpm.t,LOWER(AV300&amp;""),IF(ISNUMBER(SEARCH("dim",_xlpm.t)),"DIM",IF(ISNUMBER(SEARCH("dali",_xlpm.t)),"DALI",IF(OR(ISNUMBER(SEARCH("relay",_xlpm.t)),ISNUMBER(SEARCH("реле",_xlpm.t))),"Relay",IF(ISNUMBER(SEARCH("кнопк",_xlpm.t)),"",IFERROR(_xlfn.XLOOKUP(AX300,Коды_код,Коды_упр)&amp;"","")))))))</f>
        <v/>
      </c>
      <c r="CT300" t="str">
        <f t="shared" si="521"/>
        <v/>
      </c>
      <c r="CU300">
        <f>IF(B300="","",_xlfn.LET(_xlpm.ig,N(P300)+IF(AF300="вручную",0,N(CB300)),_xlpm.n0,IFERROR(VLOOKUP(_xlpm.ig,Автомат_номиналы,2,TRUE),0),_xlpm.mn,MAX(CL300,IF(AF300="вручную",0,N(CE300))),MAX(_xlpm.n0,_xlpm.mn,IF(CR300=1,Мин_автомат_БП,0))))</f>
        <v>16</v>
      </c>
      <c r="CV300">
        <f t="shared" si="522"/>
        <v>1</v>
      </c>
      <c r="CW300" t="str">
        <f t="shared" si="523"/>
        <v>2P</v>
      </c>
      <c r="CX300" t="str">
        <f>_xlfn.LET(_xlpm.cc,UPPER(TRIM(IFERROR(_xlfn.XLOOKUP(AX300,Коды_код,Коды_хар)&amp;"",""))),IF(OR(_xlpm.cc="B",_xlpm.cc="В"),"B",IF(_xlpm.cc="D","D","С")))</f>
        <v>С</v>
      </c>
      <c r="CY300" t="str">
        <f t="shared" si="524"/>
        <v>2P С16А 30мА</v>
      </c>
      <c r="CZ300">
        <f t="shared" si="525"/>
        <v>16</v>
      </c>
      <c r="DA300" t="str">
        <f t="shared" si="526"/>
        <v>2P С16А 30мА</v>
      </c>
      <c r="DB300" cm="1">
        <f t="array" ref="DB300">IF(DA300="","",_xlfn.LET(_xlpm.t,SUBSTITUTE(SUBSTITUTE(SUBSTITUTE(UPPER(DA300),"С","C"),"А","A"),"В","B"),_xlpm.tk,_xlfn.TEXTSPLIT(_xlpm.t,"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0" t="str">
        <f t="shared" si="527"/>
        <v>ok</v>
      </c>
      <c r="DD300">
        <f t="shared" si="528"/>
        <v>16</v>
      </c>
      <c r="DE300" t="str">
        <f t="shared" si="529"/>
        <v>2P С16А 30мА</v>
      </c>
      <c r="DF300">
        <f t="shared" si="530"/>
        <v>30</v>
      </c>
      <c r="DG300">
        <f t="shared" si="531"/>
        <v>1</v>
      </c>
      <c r="DH300">
        <f t="shared" si="532"/>
        <v>0</v>
      </c>
      <c r="DI300">
        <f t="shared" si="533"/>
        <v>3.008298771040681</v>
      </c>
      <c r="DJ300">
        <f t="shared" si="534"/>
        <v>1</v>
      </c>
      <c r="DK300">
        <f>IF(ISNUMBER(AL300),AL300,К_прокл)</f>
        <v>1</v>
      </c>
      <c r="DL300">
        <f t="shared" si="535"/>
        <v>2</v>
      </c>
      <c r="DM300">
        <f>IFERROR(N(VLOOKUP(BT300,Кабель_обозначение,3,FALSE)),1)</f>
        <v>1</v>
      </c>
      <c r="DN300">
        <f>IFERROR(N(_xlfn.XLOOKUP(A300,Щиты[Щит],Щиты[ΔU до шин, %])),0)</f>
        <v>1.79</v>
      </c>
      <c r="DO300" t="str">
        <f>IFERROR(_xlfn.XLOOKUP(A300,Щиты[Щит],Щиты[Zпетли на шинах, Ом]),"")</f>
        <v/>
      </c>
      <c r="DP300">
        <f>IFERROR(N(_xlfn.XLOOKUP(A300,Щиты[Щит],Щиты[ΔU до шин (подбор), %])),0)</f>
        <v>4.75</v>
      </c>
      <c r="DQ300" t="str">
        <f>IFERROR(_xlfn.XLOOKUP(A300,Щиты[Щит],Щиты[Zпетли на шинах (подбор), Ом]),"")</f>
        <v/>
      </c>
      <c r="DR300" t="str">
        <f t="shared" si="536"/>
        <v/>
      </c>
      <c r="DS300">
        <f t="shared" si="537"/>
        <v>55</v>
      </c>
      <c r="DT300">
        <f t="shared" si="538"/>
        <v>2</v>
      </c>
      <c r="DU300">
        <f t="shared" si="539"/>
        <v>0.31</v>
      </c>
      <c r="DV300" s="6">
        <f>IF(B300="","",IF(IFERROR(VLOOKUP(AX300,УГО_спр,2,FALSE),"")="Светильник",3,4)+IF(Методика="нормы 2026",MIN(0.5,MAX(0,N(Q300)-100)*0.005),0))</f>
        <v>4</v>
      </c>
      <c r="DW300" t="str" cm="1">
        <f t="array" ref="DW300">IF(OR(B300="",BT300="",DM300&lt;&gt;1),"",_xlfn.LET(_xlpm.sz,Iдоп_S,_xlpm.t_,CHOOSE(DL300,Iдоп_1ж,Iдоп_2ж,Iдоп_3ж)*DJ300*DK300,_xlpm.inn,N(DD300),_xlpm.smin,MAX(1.5,BW300),_xlpm.L_,N(Q300)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300)*(_xlpm.rho*_xlpm.L_/_xlpm.sz*N(BY300)+_xlpm.xx*_xlpm.L_*N(DU300)/1000)*N(P300)/((Uн_лин/SQRT(3))*1000)*100,999),_xlpm.kz,IF(OR(DG300=1,NOT(ISNUMBER(DQ300)),_xlpm.L_=0,_xlpm.inn=0),1,IFERROR(--(c_min*(Uн_лин*1000/SQRT(3))/(DQ300+2*ρкз_Cu*_xlpm.L_/_xlpm.sz)&gt;=GY300*_xlpm.inn),0)),_xlpm.ok,IFERROR((_xlpm.sz&gt;=_xlpm.smin)*(_xlpm.t_&gt;=_xlpm.inn)*IF(_xlpm.L_&gt;0,(_xlpm.du_+DP300&lt;=DV300+0.00001),1)*_xlpm.kz,0),_xlpm.r_,_xlfn._xlws.FILTER(_xlpm.sz,_xlpm.ok,"не подобрано"),INDEX(_xlpm.r_,1)))</f>
        <v>не подобрано</v>
      </c>
      <c r="DX300">
        <f t="shared" si="540"/>
        <v>2.5</v>
      </c>
      <c r="DY300" cm="1">
        <f t="array" ref="DY300">IF(OR(B300="",BT300="",DM300&lt;&gt;1),"",_xlfn.LET(_xlpm.sz,Iдоп_S,_xlpm.t_,CHOOSE(DL300,Iдоп_1ж,Iдоп_2ж,Iдоп_3ж)*DJ300*DK300,_xlpm.ok,IFERROR((_xlpm.sz&gt;=MAX(1.5,BW300))*(_xlpm.t_&gt;=N(DD300)),0),_xlpm.r_,_xlfn._xlws.FILTER(_xlpm.sz,_xlpm.ok,""),INDEX(_xlpm.r_,1)))</f>
        <v>1.5</v>
      </c>
      <c r="DZ300" s="6" cm="1">
        <f t="array" ref="DZ300">IFERROR(ROUNDUP(N(DT300)*(_xlfn.XLOOKUP(DY300,INDEX(Кабель_сопротивление,0,1),INDEX(Кабель_сопротивление,0,3))*N(Q300)/DY300*N(BY300)+_xlfn.XLOOKUP(DY300,INDEX(Кабель_сопротивление,0,1),INDEX(Кабель_сопротивление,0,2))*N(Q300)*N(DU300)/1000)*N(P300)/((Uн_лин/SQRT(3))*1000)*100,2),"")</f>
        <v>3.28</v>
      </c>
      <c r="EA300">
        <f>IFERROR(2*ρкз_Cu*N(Q300)/DY300,"")</f>
        <v>3.0858666666666665</v>
      </c>
      <c r="EB300">
        <f>IFERROR(VLOOKUP(DX300,Кабель_сопротивление,3,FALSE),"")</f>
        <v>2.2499999999999999E-2</v>
      </c>
      <c r="EC300">
        <f>IFERROR(VLOOKUP(DX300,Кабель_сопротивление,2,FALSE),"")</f>
        <v>0.1</v>
      </c>
      <c r="ED300">
        <f t="shared" si="541"/>
        <v>70</v>
      </c>
      <c r="EE300">
        <f t="shared" si="542"/>
        <v>84</v>
      </c>
      <c r="EF300">
        <f t="shared" si="543"/>
        <v>4.5433012687568146</v>
      </c>
      <c r="EG300" s="6">
        <f>IFERROR(ROUNDUP(EF300/((Uн_лин/SQRT(3))*1000)*100,2),"")</f>
        <v>1.97</v>
      </c>
      <c r="EH300" t="str">
        <f>IFERROR(VLOOKUP(BT300,Кабель_обозначение,2,FALSE),"")</f>
        <v>ВВГнг(А)-LS</v>
      </c>
      <c r="EI300" t="str">
        <f t="shared" si="544"/>
        <v>ВВГнг(А)-LS (3х2,5)</v>
      </c>
      <c r="EJ300" t="str">
        <f t="shared" si="545"/>
        <v>ВВГнг(А)-LS (3х2,5)
L=88-1,97%</v>
      </c>
      <c r="EK300">
        <f>IFERROR(2*ρкз_Cu*Q300/DX300,"")</f>
        <v>1.8515200000000001</v>
      </c>
      <c r="EL300">
        <f t="shared" si="546"/>
        <v>0.61599999999999999</v>
      </c>
      <c r="EM300" s="6" t="str">
        <f>IFERROR(IF(OR(B300="",NOT(ISNUMBER(DX300)),N(Q300)=0),"",_xlfn.XLOOKUP(A300,Щиты[Щит],Щиты[Zпетли на шинах, Ом])+EK300),"")</f>
        <v/>
      </c>
      <c r="EN300" s="6" t="str">
        <f>IF(ISNUMBER(EM300),c_min*(Uн_лин*1000/SQRT(3))/EM300,"")</f>
        <v/>
      </c>
      <c r="EO300" s="6" t="str">
        <f>IFERROR(IF(OR(B300="",NOT(ISNUMBER(DX300))),"",1.05*(Uн_лин*1000/SQRT(3))/(_xlfn.XLOOKUP(A300,Щиты[Щит],Щиты[Zmax на шинах, Ом])+EL300)/1000),"")</f>
        <v/>
      </c>
      <c r="EP300" s="6" t="str">
        <f>IF(B300="","",IF(ISNUMBER(Y300),"Сил",IF(IFERROR(_xlfn.XLOOKUP(AX300,Коды_код,Коды_группа)&amp;"","")="","Быт",_xlfn.XLOOKUP(AX300,Коды_код,Коды_группа)&amp;"")))</f>
        <v>Быт</v>
      </c>
      <c r="EQ300" s="6" t="str">
        <f t="shared" si="547"/>
        <v>Быт</v>
      </c>
      <c r="ER300" s="6">
        <f>IF(EQ300="Щит","щит",IF(EQ300="","",IF(EQ300="Быт",IFERROR(_xlfn.XLOOKUP(A300,Щиты[Щит],Щиты[Кс быт]),1),IF(EQ300="Сил",IF(ISNUMBER(Y300),Y300,IF(Методика="нормы 2026",IFERROR(_xlfn.XLOOKUP(A300,Щиты[Щит],Щиты[Кс силовых (табл. 7.5)]),1),1)),IF(OR(EQ300="Пост",EQ300="Отоп"),1,IF(EQ300="ВНГ",0.7,0))))))</f>
        <v>0.8</v>
      </c>
      <c r="ES300">
        <f t="shared" si="548"/>
        <v>1</v>
      </c>
      <c r="ET300">
        <f t="shared" si="549"/>
        <v>0.65999999999999992</v>
      </c>
      <c r="EU300">
        <f t="shared" si="550"/>
        <v>0.65999999999999992</v>
      </c>
      <c r="EV300">
        <f t="shared" si="551"/>
        <v>0</v>
      </c>
      <c r="EW300">
        <f t="shared" si="552"/>
        <v>0</v>
      </c>
      <c r="EX300">
        <f t="shared" si="553"/>
        <v>0</v>
      </c>
      <c r="EY300">
        <f t="shared" si="554"/>
        <v>0</v>
      </c>
      <c r="EZ300">
        <f t="shared" si="555"/>
        <v>0.65999999999999992</v>
      </c>
      <c r="FA300">
        <f t="shared" si="556"/>
        <v>0.62699999999999989</v>
      </c>
      <c r="FB300">
        <f t="shared" si="557"/>
        <v>0.65999999999999992</v>
      </c>
      <c r="FC300" t="str">
        <f t="shared" si="558"/>
        <v>L3</v>
      </c>
      <c r="FD300" t="str">
        <f>IF(B300="","",IF(CA300=0,IF(AW300=1,"",FF299),IF(OR(N(CV300)&gt;=3,N(BR300)&gt;=3),"L1,L2,L3",IFERROR(_xlfn.TEXTBEFORE(_xlfn.TEXTAFTER(_xlfn.XLOOKUP(A300,Щиты[Щит],Щиты[_фазы авто]),";"&amp;AW300&amp;":"),";"),"L1"))))</f>
        <v>L1</v>
      </c>
      <c r="FE300" t="str">
        <f t="shared" si="559"/>
        <v>L3</v>
      </c>
      <c r="FF300" t="str">
        <f t="shared" si="560"/>
        <v>L3</v>
      </c>
      <c r="FG300" cm="1">
        <f t="array" ref="FG300">IFERROR(IF(BX300=2,_xlfn.IFS(BR300=3,VLOOKUP(BN300,Справочная_двигатели,3,FALSE),BR300=1,VLOOKUP(BN300,Справочная_двигатели,5,TRUE)),0),0)</f>
        <v>0</v>
      </c>
      <c r="FH300">
        <f>IFERROR(IF(BX300=3,VLOOKUP(BN300,Справочная_ЛЭД,2,TRUE),0),0)</f>
        <v>0</v>
      </c>
      <c r="FI300" s="6">
        <f t="shared" si="561"/>
        <v>0</v>
      </c>
      <c r="FJ300" t="str" cm="1">
        <f t="array" ref="FJ300">IF(B300="","",IFERROR(INDEX({"I особая","I","II","III"},MATCH(TRIM(AC300&amp;""),{"I особая","I","II","III"},0)),"III"))</f>
        <v>II</v>
      </c>
      <c r="FK300" t="str">
        <f>IF(B300="","",IF(TRIM(AD300&amp;"")&lt;&gt;"",IF(LOWER(TRIM(AD300&amp;""))="да","да","нет"),IF(IFERROR(_xlfn.XLOOKUP(AX300,Коды_код,Коды_пожарная),"")="да","да","нет")))</f>
        <v>нет</v>
      </c>
      <c r="FL300" t="str">
        <f t="shared" si="562"/>
        <v/>
      </c>
      <c r="FM300" t="str">
        <f t="shared" si="563"/>
        <v>основная</v>
      </c>
      <c r="FN300">
        <f t="shared" si="564"/>
        <v>1</v>
      </c>
      <c r="FO300" t="str" cm="1">
        <f t="array" ref="FO300">IF(B300="","",_xlfn.LET(_xlpm.t,IFERROR(_xlfn.XLOOKUP(1,(Шины[Шина]=FM300)*(((Шины[Щит]=A300)+(Шины[Щит]=""))&gt;0),Шины[Тип]),"")&amp;"",IF(_xlpm.t&lt;&gt;"",_xlpm.t,IF(ISNUMBER(SEARCH("ИБП",FM300)),"ИБП",IF(ISNUMBER(SEARCH("ДГУ",FM300)),"ДГУ","Ввод "&amp;FN300)))))</f>
        <v>Ввод 1</v>
      </c>
      <c r="FP300" t="str">
        <f t="shared" si="565"/>
        <v>Ввод 1</v>
      </c>
      <c r="FQ300" t="str">
        <f>IF(B300="","",IF(OR(FO300="ИБП",FO300="ДГУ"),"I особая",IF(FO300="Одиночная","III",_xlfn.XLOOKUP(A300,Щиты[Щит],Щиты[Категория шины «Ввод»],"III"))))</f>
        <v>II</v>
      </c>
      <c r="FR300">
        <f>IF(B300="",0,IFERROR(MATCH(FJ300,{"III","II","I","I особая"},0),1))</f>
        <v>2</v>
      </c>
      <c r="FS300">
        <f t="shared" si="566"/>
        <v>2</v>
      </c>
      <c r="FT300" t="str">
        <f>IF(B300="","",IF(FR300&gt;IFERROR(MATCH(FQ300,{"III","II","I","I особая"},0),1),"НЕ ОБЕСПЕЧЕНА","ОК"))</f>
        <v>ОК</v>
      </c>
      <c r="FU300" t="str">
        <f>IF(A300="","",_xlfn.XLOOKUP(A300,Щиты[Щит],Щиты[Путь],""))</f>
        <v>|ГРЩ-ЖД|ЩР-2|</v>
      </c>
      <c r="FV300" t="str">
        <f>IF(B300="","",IF(AE300&lt;&gt;"",AE300,IF(IFERROR(_xlfn.XLOOKUP(AX300,Коды_код,Коды_вид)&amp;"","")="","Прочее",_xlfn.XLOOKUP(AX300,Коды_код,Коды_вид)&amp;"")))</f>
        <v>Розеточная сеть и бытовые приборы</v>
      </c>
      <c r="FW300">
        <f>IF(BH300="","",INT((BH300-1)/Столбцов_на_лист)+1)</f>
        <v>3</v>
      </c>
      <c r="FX300" t="str">
        <f t="shared" si="567"/>
        <v>ВВГнг(А)-LS (3х2,5) L=88-1,97%</v>
      </c>
      <c r="FY300">
        <f t="shared" si="568"/>
        <v>0.65999999999999992</v>
      </c>
      <c r="FZ300">
        <f t="shared" si="569"/>
        <v>3.01</v>
      </c>
      <c r="GA300">
        <f t="shared" si="570"/>
        <v>1</v>
      </c>
      <c r="GB300">
        <f t="shared" si="571"/>
        <v>0</v>
      </c>
      <c r="GC300">
        <f t="shared" si="572"/>
        <v>1</v>
      </c>
      <c r="GD300">
        <f>IF(BH300="","",IF(AND(CA300=1,GC300=1),COUNTIFS(A$3:A300,A300,CA$3:CA300,1,GC$3:GC300,1),IF(OR(OR(AW300=1,A300&lt;&gt;A299),AF300="вручную",GC300=0),"",IF(AW300=1,"",GE299))))</f>
        <v>17</v>
      </c>
      <c r="GE300">
        <f t="shared" si="573"/>
        <v>17</v>
      </c>
      <c r="GF300">
        <f>IF(B300="","",IFERROR(LOOKUP(INDEX(CHOOSE(DL300,Iдоп_1ж,Iдоп_2ж,Iдоп_3ж),MATCH(DX300,Iдоп_S,0))*DJ300*DK300,{6,10,16,20,25,32,40,50,63,80,100,125,160,200,250,315,400,500,630}),""))</f>
        <v>25</v>
      </c>
      <c r="GG300" t="str">
        <f t="shared" si="574"/>
        <v>QFD17</v>
      </c>
      <c r="GH300" t="str">
        <f t="shared" si="575"/>
        <v>QFD17</v>
      </c>
      <c r="GI300" t="str">
        <f t="shared" si="576"/>
        <v/>
      </c>
      <c r="GJ300">
        <f t="shared" si="577"/>
        <v>0</v>
      </c>
      <c r="GK300" t="str">
        <f>IF(OR(AG300="",AG300="-"),"",IFERROR(VLOOKUP(AG300,Модули_спр,2,FALSE),"R"))</f>
        <v/>
      </c>
      <c r="GL300" t="str">
        <f>IF(GK300="","",GK300&amp;"."&amp;COUNTIFS(A$3:A300,A300,GK$3:GK300,GK300))</f>
        <v/>
      </c>
      <c r="GM300" t="str">
        <f t="shared" si="578"/>
        <v/>
      </c>
      <c r="GN300" t="str">
        <f t="shared" si="579"/>
        <v/>
      </c>
      <c r="GO300" t="str">
        <f t="shared" si="580"/>
        <v/>
      </c>
      <c r="GP300" t="str">
        <f t="shared" si="581"/>
        <v/>
      </c>
      <c r="GQ300">
        <f t="shared" si="582"/>
        <v>1</v>
      </c>
      <c r="GR300" t="str">
        <f>IF(GQ300=1,"XT"&amp;COUNTIFS(A$3:A300,A300,GQ$3:GQ300,1),"")</f>
        <v>XT17</v>
      </c>
      <c r="GS300" t="str">
        <f t="shared" si="583"/>
        <v/>
      </c>
      <c r="GT300" t="str">
        <f t="shared" si="584"/>
        <v>QFD17</v>
      </c>
      <c r="GU300" t="str">
        <f t="shared" si="585"/>
        <v/>
      </c>
      <c r="GV300" t="str">
        <f t="shared" si="586"/>
        <v>ok</v>
      </c>
      <c r="GW300" t="str">
        <f>IF(OR(GO300="",GM300=""),"",IF(GO300&gt;IFERROR(VLOOKUP(GN300,Модули_спр,3,FALSE),99),"ЛИШНИЙ КАНАЛ",IF(AND(AH300&lt;&gt;"=",COUNTIFS(Линии[_модуль гр.],GM300,Линии[Канал (итог)],GO300,Линии[Канал],"&lt;&gt;=",Линии[Щит],A300)&gt;1),"ДУБЛЬ КАНАЛА","")))</f>
        <v/>
      </c>
      <c r="GX300" s="6" t="str">
        <f t="shared" si="587"/>
        <v/>
      </c>
      <c r="GY300">
        <f t="shared" si="588"/>
        <v>10</v>
      </c>
      <c r="GZ300" t="str">
        <f t="shared" si="589"/>
        <v/>
      </c>
      <c r="HA300" t="str">
        <f>IF(AND(B300="",GT300=""),"",_xlfn.TEXTJOIN("; ",TRUE,IF(AND(B300&lt;&gt;"",FE300=""),"нет фазы",""),IF(AND(B300&lt;&gt;"",N(FY300)=0,EQ300&lt;&gt;"Нет"),"нет мощности",""),IF(AND(GS300&lt;&gt;"",COUNTIFS(Линии[Щит],A300,Линии[Клемма (итог)],GS300)&gt;1),"дубль клеммы "&amp;GS300,""),IF(AND(GV300&lt;&gt;"",GV300&lt;&gt;"ok"),GV300,""),IF(GW300&lt;&gt;"",GW300,""),IF(AND(N(BV300)&gt;=4,N(BR300)=1),BV300&amp;" жил на 1 фазе",""),IF(AND(AX300="R",CA300=1,OR(N(CK300)=0,N(CK300)&gt;30)),"розетка без дифзащиты до 30 мА",""),IFERROR(IF(AND(ISNUMBER(R300),R300&gt;DV300),"потери "&amp;FIXED(R300,1)&amp;" % &gt; "&amp;DV300&amp;" %",""),""),IFERROR(IF(LEFT(GZ300,4)="мало","Iкз мало — отключение &gt; 0,4 с",""),""),IF(AND(B300&lt;&gt;"",BH300=""),"не на схеме",""),IF(AND(CA300=0,B300&lt;&gt;"",FE300&lt;&gt;"",IF(AW300=1,"",FF299)&lt;&gt;"",FE300&lt;&gt;IF(AW300=1,"",FF299)),"фаза не как у автомата группы ("&amp;IF(AW300=1,"",FF299)&amp;")","")))</f>
        <v/>
      </c>
      <c r="HB300" s="6">
        <f>IF(OR(CA300=0,DA300=""),"",_xlfn.LET(_xlpm.t,IFERROR(_xlfn.XLOOKUP(DA300,Каталог!$U$4:$U$500,Каталог!$G$4:$G$500),""),_xlpm.k,SEARCH("кА",_xlpm.t),IFERROR(--TRIM(RIGHT(SUBSTITUTE(MID(_xlpm.t,MAX(1,_xlpm.k-4),_xlpm.k-MAX(1,_xlpm.k-4))," ",REPT(" ",9)),5)),"")))</f>
        <v>6</v>
      </c>
      <c r="HC300" t="str">
        <f>IF(OR(HB300="",CA300=0),"",IF(_xlfn.XLOOKUP(A300,Щиты[Щит],Щиты[Iкз max на шинах, кА],"")="","",IF(HB300&lt;_xlfn.XLOOKUP(A300,Щиты[Щит],Щиты[Iкз max на шинах, кА]),"Icu "&amp;HB300&amp;" кА &lt; Iкз max","ok")))</f>
        <v/>
      </c>
      <c r="HD300" t="str">
        <f t="shared" si="590"/>
        <v/>
      </c>
      <c r="HE300" t="str">
        <f t="shared" si="591"/>
        <v>QFD17</v>
      </c>
      <c r="HF300" t="str">
        <f t="shared" si="592"/>
        <v>QFD17|кабель ВВГнг(А)-LS (3х2,5) → Розеточная группа, пом. 019А</v>
      </c>
      <c r="HG300" t="str" cm="1">
        <f t="array" ref="HG300">IF(HF300="","",_xlfn.LET(_xlpm.nd,_xlfn.TEXTSPLIT(HF300,"|"),IF(COLUMNS(_xlpm.nd)&gt;1,A300&amp;"¦"&amp;INDEX(_xlpm.nd,1)&amp;"¦"&amp;INDEX(_xlpm.nd,2),"")))</f>
        <v>ЩР-2¦QFD17¦кабель ВВГнг(А)-LS (3х2,5) → Розеточная группа, пом. 019А</v>
      </c>
      <c r="HH300" t="str">
        <f t="shared" si="593"/>
        <v>R.2.019А.2¦Розеточная группа, пом. 019А</v>
      </c>
      <c r="HI300" t="str" cm="1">
        <f t="array" ref="HI300">IF(HF300="","",_xlfn.LET(_xlpm.nd,_xlfn.TEXTSPLIT(HF300,"|"),IF(COLUMNS(_xlpm.nd)&gt;2,A300&amp;"¦"&amp;INDEX(_xlpm.nd,2)&amp;"¦"&amp;INDEX(_xlpm.nd,3),"")))</f>
        <v/>
      </c>
      <c r="HJ300" t="str">
        <f t="shared" si="594"/>
        <v/>
      </c>
      <c r="HK300" t="str" cm="1">
        <f t="array" ref="HK300">IF(HF300="","",_xlfn.LET(_xlpm.nd,_xlfn.TEXTSPLIT(HF300,"|"),IF(COLUMNS(_xlpm.nd)&gt;3,A300&amp;"¦"&amp;INDEX(_xlpm.nd,3)&amp;"¦"&amp;INDEX(_xlpm.nd,4),"")))</f>
        <v/>
      </c>
      <c r="HL300" t="str">
        <f t="shared" si="595"/>
        <v/>
      </c>
      <c r="HM300" t="str" cm="1">
        <f t="array" ref="HM300">IF(HF300="","",_xlfn.LET(_xlpm.nd,_xlfn.TEXTSPLIT(HF300,"|"),IF(COLUMNS(_xlpm.nd)&gt;4,A300&amp;"¦"&amp;INDEX(_xlpm.nd,4)&amp;"¦"&amp;INDEX(_xlpm.nd,5),"")))</f>
        <v/>
      </c>
      <c r="HN300" t="str">
        <f t="shared" si="596"/>
        <v/>
      </c>
      <c r="HO300" t="str" cm="1">
        <f t="array" ref="HO300">IF(HF300="","",_xlfn.LET(_xlpm.nd,_xlfn.TEXTSPLIT(HF300,"|"),IF(COLUMNS(_xlpm.nd)&gt;5,A300&amp;"¦"&amp;INDEX(_xlpm.nd,5)&amp;"¦"&amp;INDEX(_xlpm.nd,6),"")))</f>
        <v/>
      </c>
      <c r="HP300" t="str">
        <f t="shared" si="597"/>
        <v/>
      </c>
      <c r="HQ300" t="str" cm="1">
        <f t="array" ref="HQ300">IF(HF300="","",_xlfn.LET(_xlpm.nd,_xlfn.TEXTSPLIT(HF300,"|"),IF(COLUMNS(_xlpm.nd)&gt;6,A300&amp;"¦"&amp;INDEX(_xlpm.nd,6)&amp;"¦"&amp;INDEX(_xlpm.nd,7),"")))</f>
        <v/>
      </c>
      <c r="HR300" t="str">
        <f t="shared" si="598"/>
        <v/>
      </c>
      <c r="HS300" t="str">
        <f t="shared" si="599"/>
        <v/>
      </c>
      <c r="HT300" t="str">
        <f t="shared" si="600"/>
        <v>QFD17</v>
      </c>
      <c r="HU300">
        <f t="shared" si="601"/>
        <v>0</v>
      </c>
      <c r="HV300">
        <f t="shared" si="602"/>
        <v>1</v>
      </c>
      <c r="HW300" t="str">
        <f t="shared" si="603"/>
        <v/>
      </c>
      <c r="HX300" t="str">
        <f t="shared" si="604"/>
        <v/>
      </c>
      <c r="HY300" t="str">
        <f t="shared" si="605"/>
        <v/>
      </c>
      <c r="HZ300" t="str">
        <f t="shared" si="606"/>
        <v/>
      </c>
      <c r="IA300" t="str">
        <f>IF(B300="","",IFERROR(VLOOKUP(B300,УГО_спр,2,FALSE),IFERROR(VLOOKUP(AX300,УГО_спр,2,FALSE),IFERROR(VLOOKUP(LEFT(AX300,2),УГО_спр,2,FALSE),""))))</f>
        <v>Розетка</v>
      </c>
      <c r="IB300" t="str">
        <f>IF(B300="","",IF(OR(IA300="",IA300=0),"BOX",IFERROR(IF(VLOOKUP(IA300,УГО_блоки,3,FALSE)&amp;""&lt;&gt;"",VLOOKUP(IA300,УГО_блоки,3,FALSE),VLOOKUP(IA300,УГО_блоки,2,FALSE)),IA300)))</f>
        <v>SOCKET</v>
      </c>
      <c r="IC300">
        <f t="shared" si="607"/>
        <v>1</v>
      </c>
      <c r="ID300" t="str">
        <f>IF(DA300="","",IF(COUNTIF(DA$3:DA300,DA300)=1,MAX(ID$2:ID299)+1,""))</f>
        <v/>
      </c>
      <c r="IE300" t="str">
        <f>IF(CO300="","",IF(COUNTIF(CO$3:CO300,CO300)+COUNTIF(CP$2:CP299,CO300)+COUNTIF(CQ$2:CQ299,CO300)=1,MAX(IE$2:IG299)+1,""))</f>
        <v/>
      </c>
      <c r="IF300" t="str">
        <f>IF(CP300="","",IF(COUNTIF(CO$3:CO300,CP300)+COUNTIF(CP$3:CP300,CP300)+COUNTIF(CQ$2:CQ299,CP300)=1,MAX(IE$2:IG299,IE300)+1,""))</f>
        <v/>
      </c>
      <c r="IG300" t="str">
        <f>IF(CQ300="","",IF(COUNTIF(CO$3:CO300,CQ300)+COUNTIF(CP$3:CP300,CQ300)+COUNTIF(CQ$3:CQ300,CQ300)=1,MAX(IE$2:IG299,IE300,IF300)+1,""))</f>
        <v/>
      </c>
      <c r="IH300" t="str">
        <f t="shared" si="608"/>
        <v>3х2,5</v>
      </c>
      <c r="II300" t="str">
        <f>IF(IH300="","",IF(COUNTIF(IH$3:IH300,IH300)=1,MAX(II$2:II299)+1,""))</f>
        <v/>
      </c>
      <c r="IJ300" t="str">
        <f>IF(GL300="","",COUNTIF(GL$3:GL300,"?*"))</f>
        <v/>
      </c>
      <c r="IK300" t="str">
        <f>IF(OR(GL300="",GN300=""),"",IF(COUNTIFS(GL$3:GL300,"?*",GN$3:GN300,GN300)=1,MAX(IK$2:IK299)+1,""))</f>
        <v/>
      </c>
      <c r="IL300">
        <f t="shared" si="609"/>
        <v>0</v>
      </c>
      <c r="IM300">
        <f>IF(B300="","",COUNTIF(B$3:B300,"?*"))</f>
        <v>298</v>
      </c>
      <c r="IN300">
        <f>IF(GQ300&lt;&gt;1,0,_xlfn.LET(_xlpm.k,MAX(IFERROR(--VLOOKUP(B300,УГО_спр,5,FALSE),0),IFERROR(--VLOOKUP(AX300,УГО_спр,5,FALSE),0),IFERROR(--VLOOKUP(LEFT(AX300,2),УГО_спр,5,FALSE),0)),IF(_xlpm.k&gt;0,_xlpm.k,IF(IFERROR(--LEFT(SUBSTITUTE(IH300,"x","х"),FIND("х",SUBSTITUTE(IH300,"x","х"))-1),3)&gt;3,Каталог!$S$9,1))))</f>
        <v>1</v>
      </c>
      <c r="IO300">
        <f t="shared" si="610"/>
        <v>0</v>
      </c>
      <c r="IP300" t="str">
        <f t="shared" si="611"/>
        <v>авто</v>
      </c>
      <c r="IQ300">
        <f t="shared" si="612"/>
        <v>30</v>
      </c>
      <c r="IR300">
        <f t="shared" si="613"/>
        <v>1</v>
      </c>
      <c r="IS300">
        <f t="shared" si="614"/>
        <v>1</v>
      </c>
    </row>
    <row r="301" spans="1:253" x14ac:dyDescent="0.3">
      <c r="A301" t="s">
        <v>761</v>
      </c>
      <c r="B301" t="s">
        <v>1565</v>
      </c>
      <c r="C301" t="str">
        <f>Линии[[#This Row],[_авто наименование]]</f>
        <v>Розеточная группа, пом. 020А</v>
      </c>
      <c r="D301">
        <v>3</v>
      </c>
      <c r="E301">
        <v>0.18</v>
      </c>
      <c r="G301">
        <v>16</v>
      </c>
      <c r="H301">
        <f>Линии[[#This Row],[_авто утечка]]</f>
        <v>30</v>
      </c>
      <c r="I301" t="str">
        <f>Линии[[#This Row],[_авто управление]]</f>
        <v/>
      </c>
      <c r="J301" t="str">
        <f>Линии[[#This Row],[_авто аппараты]]</f>
        <v/>
      </c>
      <c r="K301">
        <v>2.5</v>
      </c>
      <c r="L301">
        <v>48</v>
      </c>
      <c r="M301">
        <v>3</v>
      </c>
      <c r="N301" t="s">
        <v>486</v>
      </c>
      <c r="O301" t="str">
        <f t="shared" si="492"/>
        <v/>
      </c>
      <c r="P301" s="6" cm="1">
        <f t="array" ref="P301">IF(B301="","",IF(BC301&lt;&gt;"",IFERROR(_xlfn.XLOOKUP(BC301,Щиты[Щит],Щиты[Iр, А]),""),IF(BK301=1,IFERROR(_xlfn.XLOOKUP(A301,Щиты[Щит],Щиты[Iр, А]),""),IFERROR(_xlfn.IFS(BR301=1,BN301/((Uн_лин/SQRT(3))*BY301),BR301=3,BN301/(SQRT(3)*Uн_лин*BY301)),""))))</f>
        <v>0.8204451193747313</v>
      </c>
      <c r="Q301" s="7">
        <f>IF(B301="","",IFERROR(IF(VLOOKUP(AX301,Потребители_обозначение,4,FALSE)=1,VLOOKUP(AX301,Потребители_обозначение,3,FALSE)*(D301*2-1)+DS301+VLOOKUP(AZ301,Этаж_обозначение,3,FALSE)+VLOOKUP(AZ301,Этаж_обозначение,4,FALSE),VLOOKUP(AX301,Потребители_обозначение,3,FALSE)*(D301*2-1)+DS301),DS301))</f>
        <v>63</v>
      </c>
      <c r="R301" s="6">
        <f t="shared" si="493"/>
        <v>2.1800000000000002</v>
      </c>
      <c r="S301" t="str">
        <f t="shared" si="494"/>
        <v>ВВГнг(А)-LS (3х2,5)</v>
      </c>
      <c r="T301" t="str">
        <f>IF(BH301="","",IF(BI301="вводной узел","узел ","")&amp;"л."&amp;(INT((BH301-1)/Столбцов_на_лист)+1)&amp;" / "&amp;(MOD(BH301-1,Столбцов_на_лист)+1))</f>
        <v>л.3 / 3</v>
      </c>
      <c r="V301">
        <v>1</v>
      </c>
      <c r="W301">
        <v>230</v>
      </c>
      <c r="X301" t="s">
        <v>564</v>
      </c>
      <c r="AC301" t="s">
        <v>815</v>
      </c>
      <c r="AE301" t="s">
        <v>563</v>
      </c>
      <c r="AI301">
        <v>37</v>
      </c>
      <c r="AJ301" t="s">
        <v>11</v>
      </c>
      <c r="AK301">
        <v>3</v>
      </c>
      <c r="AM301">
        <v>12</v>
      </c>
      <c r="AN301">
        <v>45</v>
      </c>
      <c r="AP301">
        <v>2</v>
      </c>
      <c r="AW301" cm="1">
        <f t="array" ref="AW301">ROW()-ROW(Линии[#Headers])</f>
        <v>299</v>
      </c>
      <c r="AX301" s="6" t="str">
        <f t="shared" si="495"/>
        <v>R</v>
      </c>
      <c r="AY301" t="str">
        <f t="shared" si="496"/>
        <v>2.020А.1</v>
      </c>
      <c r="AZ301" t="str">
        <f t="shared" si="497"/>
        <v>2</v>
      </c>
      <c r="BA301" t="str">
        <f t="shared" si="498"/>
        <v>020А.1</v>
      </c>
      <c r="BB301" t="str">
        <f t="shared" si="499"/>
        <v>020А</v>
      </c>
      <c r="BC301" t="str">
        <f>IF(U301&lt;&gt;"",U301,IF(AND(B301&lt;&gt;"",B301&lt;&gt;A301,ISNUMBER(_xlfn.XMATCH(B301,Щиты[Щит]))),B301,""))</f>
        <v/>
      </c>
      <c r="BD301" t="str" cm="1">
        <f t="array" ref="BD301">IF(B301="","",IF(BC301&lt;&gt;"","Щит "&amp;BC301,_xlfn.LET(_xlpm.nm,IFERROR(_xlfn.XLOOKUP(AX301,Коды_код,Коды_имя)&amp;"",""),_xlpm.md,IFERROR(N(_xlfn.XLOOKUP(AX301,Коды_код,Коды_режим)),1),_xlpm.ex,IF(Имя_режим="по экспликации",IFERROR(_xlfn.XLOOKUP(AZ301&amp;"|"&amp;BB301,Экспликация[Этаж]&amp;"|"&amp;Экспликация[Помещение],Экспликация[Название])&amp;"",""),""),_xlpm.rm,IF(BB301="","",IF(_xlpm.ex&lt;&gt;"",". "&amp;_xlpm.ex&amp;IF(Имя_пом="нет"," ("&amp;BB301&amp;")"," (пом. "&amp;BB301&amp;")"),IF(Имя_пом="нет"," ",", пом. ")&amp;BB301)),IF(_xlpm.nm="","",IF(_xlpm.md=2,_xlpm.nm&amp;" шлейф "&amp;AZ301,_xlpm.nm&amp;_xlpm.rm)))))</f>
        <v>Розеточная группа, пом. 020А</v>
      </c>
      <c r="BE301" t="str">
        <f t="shared" si="500"/>
        <v>Розеточная группа, пом. 020А</v>
      </c>
      <c r="BF301">
        <f>IFERROR(_xlfn.XMATCH(A301,Щиты[Щит]),0)</f>
        <v>11</v>
      </c>
      <c r="BG301">
        <f>_xlfn.LET(_xlpm.k,IFERROR(_xlfn.XLOOKUP(A301,Щиты[Щит],Щиты[Листов под вводной узел]),""),IF(_xlpm.k="",1,N(_xlpm.k))*Столбцов_на_лист)</f>
        <v>17</v>
      </c>
      <c r="BH301">
        <f t="shared" si="501"/>
        <v>37</v>
      </c>
      <c r="BI301" t="str">
        <f t="shared" si="502"/>
        <v>линии</v>
      </c>
      <c r="BJ301" s="6">
        <f>IFERROR(N(_xlfn.XLOOKUP(AX301,Коды_код,Коды_квт)),0)</f>
        <v>0</v>
      </c>
      <c r="BK301">
        <f t="shared" si="503"/>
        <v>0</v>
      </c>
      <c r="BL301" t="str">
        <f>IF(B301="","",IF(BC301&lt;&gt;"",IFERROR(_xlfn.XLOOKUP(BC301,Щиты[Щит],Щиты[Руст, кВт]),0),IF(BK301=1,IFERROR(_xlfn.XLOOKUP(A301,Щиты[Щит],Щиты[Руст, кВт]),0),IF(BJ301&gt;0,ROUND(BJ301*MAX(1,N(D301)),3),""))))</f>
        <v/>
      </c>
      <c r="BM301">
        <f t="shared" si="504"/>
        <v>0.18</v>
      </c>
      <c r="BN301" s="6">
        <f>IF(B301="","",IF(BC301&lt;&gt;"",IFERROR(_xlfn.XLOOKUP(BC301,Щиты[Щит],Щиты[Руст, кВт]),0),N(BM301)))</f>
        <v>0.18</v>
      </c>
      <c r="BO301" t="str">
        <f>IF(B301="","",IFERROR(IF(VLOOKUP(AX301,Потребители_обозначение,8,FALSE)=0,"",VLOOKUP(AX301,Потребители_обозначение,8,FALSE)),""))</f>
        <v/>
      </c>
      <c r="BP301">
        <f t="shared" si="505"/>
        <v>230</v>
      </c>
      <c r="BQ301">
        <f>IF(B301="","",IF(BC301&lt;&gt;"",3,IFERROR(IF(N(VLOOKUP(AX301,Потребители_обозначение,9,FALSE))=0,1,VLOOKUP(AX301,Потребители_обозначение,9,FALSE)),1)))</f>
        <v>1</v>
      </c>
      <c r="BR301">
        <f t="shared" si="506"/>
        <v>1</v>
      </c>
      <c r="BS301" t="str">
        <f>IF(B301="","",_xlfn.LET(_xlpm.bc,IFERROR(IF(VLOOKUP(AX301,Потребители_обозначение,6,FALSE)=0,"",VLOOKUP(AX301,Потребители_обозначение,6,FALSE)&amp;""),""),IF(AND(FK301="да",OR(_xlpm.bc="",_xlpm.bc="мс")),Марка_пож,IF(AND(_xlpm.bc="",BC301&lt;&gt;""),"мс",_xlpm.bc))))</f>
        <v/>
      </c>
      <c r="BT301" t="str">
        <f t="shared" si="507"/>
        <v>мс</v>
      </c>
      <c r="BU301">
        <f>IF(B301="","",_xlfn.LET(_xlpm.cc,IFERROR(N(VLOOKUP(AX301,Потребители_обозначение,7,FALSE)),0),IF(_xlpm.cc&gt;0,_xlpm.cc,IF(BT301="","",IF(N(BR301)=3,5,3)))))</f>
        <v>3</v>
      </c>
      <c r="BV301">
        <f t="shared" si="508"/>
        <v>3</v>
      </c>
      <c r="BW301">
        <f>IFERROR(N(VLOOKUP(AX301,Потребители_обозначение,10,FALSE)),0)</f>
        <v>0</v>
      </c>
      <c r="BX301">
        <f>IFERROR(VLOOKUP(AX301,Потребители_обозначение,5,FALSE),0)</f>
        <v>1</v>
      </c>
      <c r="BY301" s="6" cm="1">
        <f t="array" ref="BY301">IF(B301="","",IF(BC301&lt;&gt;"",IFERROR(_xlfn.XLOOKUP(BC301,Щиты[Щит],Щиты[cos φ]),0.95),IF(BK301=1,IFERROR(_xlfn.XLOOKUP(A301,Щиты[Щит],Щиты[cos φ]),0.95),IF(ISNUMBER(Z301),Z301,IFERROR(IF(BX301=2,_xlfn.IFS(BR301=3,VLOOKUP(BN301,Справочная_двигатели,8,FALSE),BR301=1,VLOOKUP(BN301,Справочная_двигатели,10,TRUE)),IF(AND(Методика="нормы 2026",EQ301="Сил"),0.8,0.95)),0.95)))))</f>
        <v>0.95</v>
      </c>
      <c r="BZ301">
        <f t="shared" si="509"/>
        <v>0</v>
      </c>
      <c r="CA301">
        <f t="shared" si="510"/>
        <v>1</v>
      </c>
      <c r="CB301">
        <f t="shared" si="511"/>
        <v>0</v>
      </c>
      <c r="CC301">
        <f t="shared" si="512"/>
        <v>0</v>
      </c>
      <c r="CD301">
        <f t="shared" si="513"/>
        <v>0</v>
      </c>
      <c r="CE301">
        <f t="shared" si="514"/>
        <v>0</v>
      </c>
      <c r="CF301">
        <f t="shared" si="515"/>
        <v>0</v>
      </c>
      <c r="CG301">
        <f>IF(AX301="",0,_xlfn.LET(_xlpm.v,IFERROR(VLOOKUP(B301,УГО_спр,3,FALSE),IFERROR(VLOOKUP(AX301,УГО_спр,3,FALSE),IFERROR(VLOOKUP(LEFT(AX301,2),УГО_спр,3,FALSE),""))),IF(_xlpm.v="да",30,IF(ISNUMBER(_xlpm.v),_xlpm.v,0))))</f>
        <v>30</v>
      </c>
      <c r="CH301">
        <f t="shared" si="516"/>
        <v>30</v>
      </c>
      <c r="CI301" t="str">
        <f>_xlfn.LET(_xlpm.k,IFERROR(_xlfn.XLOOKUP(AX301,Коды_код,Коды_утечка)&amp;"",""),IF(_xlpm.k="","дифавтомат",_xlpm.k))</f>
        <v>дифавтомат</v>
      </c>
      <c r="CJ301">
        <f t="shared" si="517"/>
        <v>30</v>
      </c>
      <c r="CK301">
        <f t="shared" si="518"/>
        <v>30</v>
      </c>
      <c r="CL301">
        <f>IF(B301="",0,IFERROR(--VLOOKUP(B301,УГО_спр,4,FALSE),IFERROR(--VLOOKUP(AX301,УГО_спр,4,FALSE),IFERROR(--VLOOKUP(LEFT(AX301,2),УГО_спр,4,FALSE),0))))</f>
        <v>16</v>
      </c>
      <c r="CM301" t="str">
        <f>IF(B301="","",IFERROR(_xlfn.XLOOKUP(AX301,Коды_код,Коды_апп)&amp;"",""))</f>
        <v/>
      </c>
      <c r="CN301" t="str">
        <f t="shared" si="519"/>
        <v/>
      </c>
      <c r="CO301" t="str" cm="1">
        <f t="array" ref="CO301">IF(TRIM(CN301&amp;"")="","",IFERROR(TRIM(INDEX(_xlfn.TEXTSPLIT(CN301&amp;";;;",";"),1)),""))</f>
        <v/>
      </c>
      <c r="CP301" t="str" cm="1">
        <f t="array" ref="CP301">IF(TRIM(CN301&amp;"")="","",IFERROR(TRIM(INDEX(_xlfn.TEXTSPLIT(CN301&amp;";;;",";"),2)),""))</f>
        <v/>
      </c>
      <c r="CQ301" t="str" cm="1">
        <f t="array" ref="CQ301">IF(TRIM(CN301&amp;"")="","",IFERROR(TRIM(INDEX(_xlfn.TEXTSPLIT(CN301&amp;";;;",";"),3)),""))</f>
        <v/>
      </c>
      <c r="CR301">
        <f t="shared" si="520"/>
        <v>0</v>
      </c>
      <c r="CS301" t="str">
        <f>IF(B301="","",_xlfn.LET(_xlpm.t,LOWER(AV301&amp;""),IF(ISNUMBER(SEARCH("dim",_xlpm.t)),"DIM",IF(ISNUMBER(SEARCH("dali",_xlpm.t)),"DALI",IF(OR(ISNUMBER(SEARCH("relay",_xlpm.t)),ISNUMBER(SEARCH("реле",_xlpm.t))),"Relay",IF(ISNUMBER(SEARCH("кнопк",_xlpm.t)),"",IFERROR(_xlfn.XLOOKUP(AX301,Коды_код,Коды_упр)&amp;"","")))))))</f>
        <v/>
      </c>
      <c r="CT301" t="str">
        <f t="shared" si="521"/>
        <v/>
      </c>
      <c r="CU301">
        <f>IF(B301="","",_xlfn.LET(_xlpm.ig,N(P301)+IF(AF301="вручную",0,N(CB301)),_xlpm.n0,IFERROR(VLOOKUP(_xlpm.ig,Автомат_номиналы,2,TRUE),0),_xlpm.mn,MAX(CL301,IF(AF301="вручную",0,N(CE301))),MAX(_xlpm.n0,_xlpm.mn,IF(CR301=1,Мин_автомат_БП,0))))</f>
        <v>16</v>
      </c>
      <c r="CV301">
        <f t="shared" si="522"/>
        <v>1</v>
      </c>
      <c r="CW301" t="str">
        <f t="shared" si="523"/>
        <v>2P</v>
      </c>
      <c r="CX301" t="str">
        <f>_xlfn.LET(_xlpm.cc,UPPER(TRIM(IFERROR(_xlfn.XLOOKUP(AX301,Коды_код,Коды_хар)&amp;"",""))),IF(OR(_xlpm.cc="B",_xlpm.cc="В"),"B",IF(_xlpm.cc="D","D","С")))</f>
        <v>С</v>
      </c>
      <c r="CY301" t="str">
        <f t="shared" si="524"/>
        <v>2P С16А 30мА</v>
      </c>
      <c r="CZ301">
        <f t="shared" si="525"/>
        <v>16</v>
      </c>
      <c r="DA301" t="str">
        <f t="shared" si="526"/>
        <v>2P С16А 30мА</v>
      </c>
      <c r="DB301" cm="1">
        <f t="array" ref="DB301">IF(DA301="","",_xlfn.LET(_xlpm.t,SUBSTITUTE(SUBSTITUTE(SUBSTITUTE(UPPER(DA301),"С","C"),"А","A"),"В","B"),_xlpm.tk,_xlfn.TEXTSPLIT(_xlpm.t,"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1" t="str">
        <f t="shared" si="527"/>
        <v>ok</v>
      </c>
      <c r="DD301">
        <f t="shared" si="528"/>
        <v>16</v>
      </c>
      <c r="DE301" t="str">
        <f t="shared" si="529"/>
        <v>2P С16А 30мА</v>
      </c>
      <c r="DF301">
        <f t="shared" si="530"/>
        <v>30</v>
      </c>
      <c r="DG301">
        <f t="shared" si="531"/>
        <v>1</v>
      </c>
      <c r="DH301">
        <f t="shared" si="532"/>
        <v>0</v>
      </c>
      <c r="DI301">
        <f t="shared" si="533"/>
        <v>0.8204451193747313</v>
      </c>
      <c r="DJ301">
        <f t="shared" si="534"/>
        <v>1</v>
      </c>
      <c r="DK301">
        <f>IF(ISNUMBER(AL301),AL301,К_прокл)</f>
        <v>1</v>
      </c>
      <c r="DL301">
        <f t="shared" si="535"/>
        <v>2</v>
      </c>
      <c r="DM301">
        <f>IFERROR(N(VLOOKUP(BT301,Кабель_обозначение,3,FALSE)),1)</f>
        <v>1</v>
      </c>
      <c r="DN301">
        <f>IFERROR(N(_xlfn.XLOOKUP(A301,Щиты[Щит],Щиты[ΔU до шин, %])),0)</f>
        <v>1.79</v>
      </c>
      <c r="DO301" t="str">
        <f>IFERROR(_xlfn.XLOOKUP(A301,Щиты[Щит],Щиты[Zпетли на шинах, Ом]),"")</f>
        <v/>
      </c>
      <c r="DP301">
        <f>IFERROR(N(_xlfn.XLOOKUP(A301,Щиты[Щит],Щиты[ΔU до шин (подбор), %])),0)</f>
        <v>4.75</v>
      </c>
      <c r="DQ301" t="str">
        <f>IFERROR(_xlfn.XLOOKUP(A301,Щиты[Щит],Щиты[Zпетли на шинах (подбор), Ом]),"")</f>
        <v/>
      </c>
      <c r="DR301" t="str">
        <f t="shared" si="536"/>
        <v/>
      </c>
      <c r="DS301">
        <f t="shared" si="537"/>
        <v>48</v>
      </c>
      <c r="DT301">
        <f t="shared" si="538"/>
        <v>2</v>
      </c>
      <c r="DU301">
        <f t="shared" si="539"/>
        <v>0.31</v>
      </c>
      <c r="DV301" s="6">
        <f>IF(B301="","",IF(IFERROR(VLOOKUP(AX301,УГО_спр,2,FALSE),"")="Светильник",3,4)+IF(Методика="нормы 2026",MIN(0.5,MAX(0,N(Q301)-100)*0.005),0))</f>
        <v>4</v>
      </c>
      <c r="DW301" t="str" cm="1">
        <f t="array" ref="DW301">IF(OR(B301="",BT301="",DM301&lt;&gt;1),"",_xlfn.LET(_xlpm.sz,Iдоп_S,_xlpm.t_,CHOOSE(DL301,Iдоп_1ж,Iдоп_2ж,Iдоп_3ж)*DJ301*DK301,_xlpm.inn,N(DD301),_xlpm.smin,MAX(1.5,BW301),_xlpm.L_,N(Q301)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301)*(_xlpm.rho*_xlpm.L_/_xlpm.sz*N(BY301)+_xlpm.xx*_xlpm.L_*N(DU301)/1000)*N(P301)/((Uн_лин/SQRT(3))*1000)*100,999),_xlpm.kz,IF(OR(DG301=1,NOT(ISNUMBER(DQ301)),_xlpm.L_=0,_xlpm.inn=0),1,IFERROR(--(c_min*(Uн_лин*1000/SQRT(3))/(DQ301+2*ρкз_Cu*_xlpm.L_/_xlpm.sz)&gt;=GY301*_xlpm.inn),0)),_xlpm.ok,IFERROR((_xlpm.sz&gt;=_xlpm.smin)*(_xlpm.t_&gt;=_xlpm.inn)*IF(_xlpm.L_&gt;0,(_xlpm.du_+DP301&lt;=DV301+0.00001),1)*_xlpm.kz,0),_xlpm.r_,_xlfn._xlws.FILTER(_xlpm.sz,_xlpm.ok,"не подобрано"),INDEX(_xlpm.r_,1)))</f>
        <v>не подобрано</v>
      </c>
      <c r="DX301">
        <f t="shared" si="540"/>
        <v>2.5</v>
      </c>
      <c r="DY301" cm="1">
        <f t="array" ref="DY301">IF(OR(B301="",BT301="",DM301&lt;&gt;1),"",_xlfn.LET(_xlpm.sz,Iдоп_S,_xlpm.t_,CHOOSE(DL301,Iдоп_1ж,Iдоп_2ж,Iдоп_3ж)*DJ301*DK301,_xlpm.ok,IFERROR((_xlpm.sz&gt;=MAX(1.5,BW301))*(_xlpm.t_&gt;=N(DD301)),0),_xlpm.r_,_xlfn._xlws.FILTER(_xlpm.sz,_xlpm.ok,""),INDEX(_xlpm.r_,1)))</f>
        <v>1.5</v>
      </c>
      <c r="DZ301" s="6" cm="1">
        <f t="array" ref="DZ301">IFERROR(ROUNDUP(N(DT301)*(_xlfn.XLOOKUP(DY301,INDEX(Кабель_сопротивление,0,1),INDEX(Кабель_сопротивление,0,3))*N(Q301)/DY301*N(BY301)+_xlfn.XLOOKUP(DY301,INDEX(Кабель_сопротивление,0,1),INDEX(Кабель_сопротивление,0,2))*N(Q301)*N(DU301)/1000)*N(P301)/((Uн_лин/SQRT(3))*1000)*100,2),"")</f>
        <v>0.64</v>
      </c>
      <c r="EA301">
        <f>IFERROR(2*ρкз_Cu*N(Q301)/DY301,"")</f>
        <v>2.2092000000000001</v>
      </c>
      <c r="EB301">
        <f>IFERROR(VLOOKUP(DX301,Кабель_сопротивление,3,FALSE),"")</f>
        <v>2.2499999999999999E-2</v>
      </c>
      <c r="EC301">
        <f>IFERROR(VLOOKUP(DX301,Кабель_сопротивление,2,FALSE),"")</f>
        <v>0.1</v>
      </c>
      <c r="ED301">
        <f t="shared" si="541"/>
        <v>45</v>
      </c>
      <c r="EE301">
        <f t="shared" si="542"/>
        <v>59</v>
      </c>
      <c r="EF301">
        <f t="shared" si="543"/>
        <v>0.88707018573867569</v>
      </c>
      <c r="EG301" s="6">
        <f>IFERROR(ROUNDUP(EF301/((Uн_лин/SQRT(3))*1000)*100,2),"")</f>
        <v>0.39</v>
      </c>
      <c r="EH301" t="str">
        <f>IFERROR(VLOOKUP(BT301,Кабель_обозначение,2,FALSE),"")</f>
        <v>ВВГнг(А)-LS</v>
      </c>
      <c r="EI301" t="str">
        <f t="shared" si="544"/>
        <v>ВВГнг(А)-LS (3х2,5)</v>
      </c>
      <c r="EJ301" t="str">
        <f t="shared" si="545"/>
        <v>ВВГнг(А)-LS (3х2,5)
L=63-0,39%</v>
      </c>
      <c r="EK301">
        <f>IFERROR(2*ρкз_Cu*Q301/DX301,"")</f>
        <v>1.32552</v>
      </c>
      <c r="EL301">
        <f t="shared" si="546"/>
        <v>0.441</v>
      </c>
      <c r="EM301" s="6" t="str">
        <f>IFERROR(IF(OR(B301="",NOT(ISNUMBER(DX301)),N(Q301)=0),"",_xlfn.XLOOKUP(A301,Щиты[Щит],Щиты[Zпетли на шинах, Ом])+EK301),"")</f>
        <v/>
      </c>
      <c r="EN301" s="6" t="str">
        <f>IF(ISNUMBER(EM301),c_min*(Uн_лин*1000/SQRT(3))/EM301,"")</f>
        <v/>
      </c>
      <c r="EO301" s="6" t="str">
        <f>IFERROR(IF(OR(B301="",NOT(ISNUMBER(DX301))),"",1.05*(Uн_лин*1000/SQRT(3))/(_xlfn.XLOOKUP(A301,Щиты[Щит],Щиты[Zmax на шинах, Ом])+EL301)/1000),"")</f>
        <v/>
      </c>
      <c r="EP301" s="6" t="str">
        <f>IF(B301="","",IF(ISNUMBER(Y301),"Сил",IF(IFERROR(_xlfn.XLOOKUP(AX301,Коды_код,Коды_группа)&amp;"","")="","Быт",_xlfn.XLOOKUP(AX301,Коды_код,Коды_группа)&amp;"")))</f>
        <v>Быт</v>
      </c>
      <c r="EQ301" s="6" t="str">
        <f t="shared" si="547"/>
        <v>Быт</v>
      </c>
      <c r="ER301" s="6">
        <f>IF(EQ301="Щит","щит",IF(EQ301="","",IF(EQ301="Быт",IFERROR(_xlfn.XLOOKUP(A301,Щиты[Щит],Щиты[Кс быт]),1),IF(EQ301="Сил",IF(ISNUMBER(Y301),Y301,IF(Методика="нормы 2026",IFERROR(_xlfn.XLOOKUP(A301,Щиты[Щит],Щиты[Кс силовых (табл. 7.5)]),1),1)),IF(OR(EQ301="Пост",EQ301="Отоп"),1,IF(EQ301="ВНГ",0.7,0))))))</f>
        <v>0.8</v>
      </c>
      <c r="ES301">
        <f t="shared" si="548"/>
        <v>1</v>
      </c>
      <c r="ET301">
        <f t="shared" si="549"/>
        <v>0.18</v>
      </c>
      <c r="EU301">
        <f t="shared" si="550"/>
        <v>0.18</v>
      </c>
      <c r="EV301">
        <f t="shared" si="551"/>
        <v>0</v>
      </c>
      <c r="EW301">
        <f t="shared" si="552"/>
        <v>0</v>
      </c>
      <c r="EX301">
        <f t="shared" si="553"/>
        <v>0</v>
      </c>
      <c r="EY301">
        <f t="shared" si="554"/>
        <v>0</v>
      </c>
      <c r="EZ301">
        <f t="shared" si="555"/>
        <v>0.18</v>
      </c>
      <c r="FA301">
        <f t="shared" si="556"/>
        <v>0.17099999999999999</v>
      </c>
      <c r="FB301">
        <f t="shared" si="557"/>
        <v>0.18</v>
      </c>
      <c r="FC301" t="str">
        <f t="shared" si="558"/>
        <v>L3</v>
      </c>
      <c r="FD301" t="str">
        <f>IF(B301="","",IF(CA301=0,IF(AW301=1,"",FF300),IF(OR(N(CV301)&gt;=3,N(BR301)&gt;=3),"L1,L2,L3",IFERROR(_xlfn.TEXTBEFORE(_xlfn.TEXTAFTER(_xlfn.XLOOKUP(A301,Щиты[Щит],Щиты[_фазы авто]),";"&amp;AW301&amp;":"),";"),"L1"))))</f>
        <v>L1</v>
      </c>
      <c r="FE301" t="str">
        <f t="shared" si="559"/>
        <v>L3</v>
      </c>
      <c r="FF301" t="str">
        <f t="shared" si="560"/>
        <v>L3</v>
      </c>
      <c r="FG301" cm="1">
        <f t="array" ref="FG301">IFERROR(IF(BX301=2,_xlfn.IFS(BR301=3,VLOOKUP(BN301,Справочная_двигатели,3,FALSE),BR301=1,VLOOKUP(BN301,Справочная_двигатели,5,TRUE)),0),0)</f>
        <v>0</v>
      </c>
      <c r="FH301">
        <f>IFERROR(IF(BX301=3,VLOOKUP(BN301,Справочная_ЛЭД,2,TRUE),0),0)</f>
        <v>0</v>
      </c>
      <c r="FI301" s="6">
        <f t="shared" si="561"/>
        <v>0</v>
      </c>
      <c r="FJ301" t="str" cm="1">
        <f t="array" ref="FJ301">IF(B301="","",IFERROR(INDEX({"I особая","I","II","III"},MATCH(TRIM(AC301&amp;""),{"I особая","I","II","III"},0)),"III"))</f>
        <v>II</v>
      </c>
      <c r="FK301" t="str">
        <f>IF(B301="","",IF(TRIM(AD301&amp;"")&lt;&gt;"",IF(LOWER(TRIM(AD301&amp;""))="да","да","нет"),IF(IFERROR(_xlfn.XLOOKUP(AX301,Коды_код,Коды_пожарная),"")="да","да","нет")))</f>
        <v>нет</v>
      </c>
      <c r="FL301" t="str">
        <f t="shared" si="562"/>
        <v/>
      </c>
      <c r="FM301" t="str">
        <f t="shared" si="563"/>
        <v>основная</v>
      </c>
      <c r="FN301">
        <f t="shared" si="564"/>
        <v>1</v>
      </c>
      <c r="FO301" t="str" cm="1">
        <f t="array" ref="FO301">IF(B301="","",_xlfn.LET(_xlpm.t,IFERROR(_xlfn.XLOOKUP(1,(Шины[Шина]=FM301)*(((Шины[Щит]=A301)+(Шины[Щит]=""))&gt;0),Шины[Тип]),"")&amp;"",IF(_xlpm.t&lt;&gt;"",_xlpm.t,IF(ISNUMBER(SEARCH("ИБП",FM301)),"ИБП",IF(ISNUMBER(SEARCH("ДГУ",FM301)),"ДГУ","Ввод "&amp;FN301)))))</f>
        <v>Ввод 1</v>
      </c>
      <c r="FP301" t="str">
        <f t="shared" si="565"/>
        <v>Ввод 1</v>
      </c>
      <c r="FQ301" t="str">
        <f>IF(B301="","",IF(OR(FO301="ИБП",FO301="ДГУ"),"I особая",IF(FO301="Одиночная","III",_xlfn.XLOOKUP(A301,Щиты[Щит],Щиты[Категория шины «Ввод»],"III"))))</f>
        <v>II</v>
      </c>
      <c r="FR301">
        <f>IF(B301="",0,IFERROR(MATCH(FJ301,{"III","II","I","I особая"},0),1))</f>
        <v>2</v>
      </c>
      <c r="FS301">
        <f t="shared" si="566"/>
        <v>2</v>
      </c>
      <c r="FT301" t="str">
        <f>IF(B301="","",IF(FR301&gt;IFERROR(MATCH(FQ301,{"III","II","I","I особая"},0),1),"НЕ ОБЕСПЕЧЕНА","ОК"))</f>
        <v>ОК</v>
      </c>
      <c r="FU301" t="str">
        <f>IF(A301="","",_xlfn.XLOOKUP(A301,Щиты[Щит],Щиты[Путь],""))</f>
        <v>|ГРЩ-ЖД|ЩР-2|</v>
      </c>
      <c r="FV301" t="str">
        <f>IF(B301="","",IF(AE301&lt;&gt;"",AE301,IF(IFERROR(_xlfn.XLOOKUP(AX301,Коды_код,Коды_вид)&amp;"","")="","Прочее",_xlfn.XLOOKUP(AX301,Коды_код,Коды_вид)&amp;"")))</f>
        <v>Розеточная сеть и бытовые приборы</v>
      </c>
      <c r="FW301">
        <f>IF(BH301="","",INT((BH301-1)/Столбцов_на_лист)+1)</f>
        <v>3</v>
      </c>
      <c r="FX301" t="str">
        <f t="shared" si="567"/>
        <v>ВВГнг(А)-LS (3х2,5) L=63-0,39%</v>
      </c>
      <c r="FY301">
        <f t="shared" si="568"/>
        <v>0.18</v>
      </c>
      <c r="FZ301">
        <f t="shared" si="569"/>
        <v>0.83</v>
      </c>
      <c r="GA301">
        <f t="shared" si="570"/>
        <v>1</v>
      </c>
      <c r="GB301">
        <f t="shared" si="571"/>
        <v>0</v>
      </c>
      <c r="GC301">
        <f t="shared" si="572"/>
        <v>1</v>
      </c>
      <c r="GD301">
        <f>IF(BH301="","",IF(AND(CA301=1,GC301=1),COUNTIFS(A$3:A301,A301,CA$3:CA301,1,GC$3:GC301,1),IF(OR(OR(AW301=1,A301&lt;&gt;A300),AF301="вручную",GC301=0),"",IF(AW301=1,"",GE300))))</f>
        <v>18</v>
      </c>
      <c r="GE301">
        <f t="shared" si="573"/>
        <v>18</v>
      </c>
      <c r="GF301">
        <f>IF(B301="","",IFERROR(LOOKUP(INDEX(CHOOSE(DL301,Iдоп_1ж,Iдоп_2ж,Iдоп_3ж),MATCH(DX301,Iдоп_S,0))*DJ301*DK301,{6,10,16,20,25,32,40,50,63,80,100,125,160,200,250,315,400,500,630}),""))</f>
        <v>25</v>
      </c>
      <c r="GG301" t="str">
        <f t="shared" si="574"/>
        <v>QFD18</v>
      </c>
      <c r="GH301" t="str">
        <f t="shared" si="575"/>
        <v>QFD18</v>
      </c>
      <c r="GI301" t="str">
        <f t="shared" si="576"/>
        <v/>
      </c>
      <c r="GJ301">
        <f t="shared" si="577"/>
        <v>0</v>
      </c>
      <c r="GK301" t="str">
        <f>IF(OR(AG301="",AG301="-"),"",IFERROR(VLOOKUP(AG301,Модули_спр,2,FALSE),"R"))</f>
        <v/>
      </c>
      <c r="GL301" t="str">
        <f>IF(GK301="","",GK301&amp;"."&amp;COUNTIFS(A$3:A301,A301,GK$3:GK301,GK301))</f>
        <v/>
      </c>
      <c r="GM301" t="str">
        <f t="shared" si="578"/>
        <v/>
      </c>
      <c r="GN301" t="str">
        <f t="shared" si="579"/>
        <v/>
      </c>
      <c r="GO301" t="str">
        <f t="shared" si="580"/>
        <v/>
      </c>
      <c r="GP301" t="str">
        <f t="shared" si="581"/>
        <v/>
      </c>
      <c r="GQ301">
        <f t="shared" si="582"/>
        <v>1</v>
      </c>
      <c r="GR301" t="str">
        <f>IF(GQ301=1,"XT"&amp;COUNTIFS(A$3:A301,A301,GQ$3:GQ301,1),"")</f>
        <v>XT18</v>
      </c>
      <c r="GS301" t="str">
        <f t="shared" si="583"/>
        <v/>
      </c>
      <c r="GT301" t="str">
        <f t="shared" si="584"/>
        <v>QFD18</v>
      </c>
      <c r="GU301" t="str">
        <f t="shared" si="585"/>
        <v/>
      </c>
      <c r="GV301" t="str">
        <f t="shared" si="586"/>
        <v>ok</v>
      </c>
      <c r="GW301" t="str">
        <f>IF(OR(GO301="",GM301=""),"",IF(GO301&gt;IFERROR(VLOOKUP(GN301,Модули_спр,3,FALSE),99),"ЛИШНИЙ КАНАЛ",IF(AND(AH301&lt;&gt;"=",COUNTIFS(Линии[_модуль гр.],GM301,Линии[Канал (итог)],GO301,Линии[Канал],"&lt;&gt;=",Линии[Щит],A301)&gt;1),"ДУБЛЬ КАНАЛА","")))</f>
        <v/>
      </c>
      <c r="GX301" s="6" t="str">
        <f t="shared" si="587"/>
        <v/>
      </c>
      <c r="GY301">
        <f t="shared" si="588"/>
        <v>10</v>
      </c>
      <c r="GZ301" t="str">
        <f t="shared" si="589"/>
        <v/>
      </c>
      <c r="HA301" t="str">
        <f>IF(AND(B301="",GT301=""),"",_xlfn.TEXTJOIN("; ",TRUE,IF(AND(B301&lt;&gt;"",FE301=""),"нет фазы",""),IF(AND(B301&lt;&gt;"",N(FY301)=0,EQ301&lt;&gt;"Нет"),"нет мощности",""),IF(AND(GS301&lt;&gt;"",COUNTIFS(Линии[Щит],A301,Линии[Клемма (итог)],GS301)&gt;1),"дубль клеммы "&amp;GS301,""),IF(AND(GV301&lt;&gt;"",GV301&lt;&gt;"ok"),GV301,""),IF(GW301&lt;&gt;"",GW301,""),IF(AND(N(BV301)&gt;=4,N(BR301)=1),BV301&amp;" жил на 1 фазе",""),IF(AND(AX301="R",CA301=1,OR(N(CK301)=0,N(CK301)&gt;30)),"розетка без дифзащиты до 30 мА",""),IFERROR(IF(AND(ISNUMBER(R301),R301&gt;DV301),"потери "&amp;FIXED(R301,1)&amp;" % &gt; "&amp;DV301&amp;" %",""),""),IFERROR(IF(LEFT(GZ301,4)="мало","Iкз мало — отключение &gt; 0,4 с",""),""),IF(AND(B301&lt;&gt;"",BH301=""),"не на схеме",""),IF(AND(CA301=0,B301&lt;&gt;"",FE301&lt;&gt;"",IF(AW301=1,"",FF300)&lt;&gt;"",FE301&lt;&gt;IF(AW301=1,"",FF300)),"фаза не как у автомата группы ("&amp;IF(AW301=1,"",FF300)&amp;")","")))</f>
        <v/>
      </c>
      <c r="HB301" s="6">
        <f>IF(OR(CA301=0,DA301=""),"",_xlfn.LET(_xlpm.t,IFERROR(_xlfn.XLOOKUP(DA301,Каталог!$U$4:$U$500,Каталог!$G$4:$G$500),""),_xlpm.k,SEARCH("кА",_xlpm.t),IFERROR(--TRIM(RIGHT(SUBSTITUTE(MID(_xlpm.t,MAX(1,_xlpm.k-4),_xlpm.k-MAX(1,_xlpm.k-4))," ",REPT(" ",9)),5)),"")))</f>
        <v>6</v>
      </c>
      <c r="HC301" t="str">
        <f>IF(OR(HB301="",CA301=0),"",IF(_xlfn.XLOOKUP(A301,Щиты[Щит],Щиты[Iкз max на шинах, кА],"")="","",IF(HB301&lt;_xlfn.XLOOKUP(A301,Щиты[Щит],Щиты[Iкз max на шинах, кА]),"Icu "&amp;HB301&amp;" кА &lt; Iкз max","ok")))</f>
        <v/>
      </c>
      <c r="HD301" t="str">
        <f t="shared" si="590"/>
        <v/>
      </c>
      <c r="HE301" t="str">
        <f t="shared" si="591"/>
        <v>QFD18</v>
      </c>
      <c r="HF301" t="str">
        <f t="shared" si="592"/>
        <v>QFD18|кабель ВВГнг(А)-LS (3х2,5) → Розеточная группа, пом. 020А</v>
      </c>
      <c r="HG301" t="str" cm="1">
        <f t="array" ref="HG301">IF(HF301="","",_xlfn.LET(_xlpm.nd,_xlfn.TEXTSPLIT(HF301,"|"),IF(COLUMNS(_xlpm.nd)&gt;1,A301&amp;"¦"&amp;INDEX(_xlpm.nd,1)&amp;"¦"&amp;INDEX(_xlpm.nd,2),"")))</f>
        <v>ЩР-2¦QFD18¦кабель ВВГнг(А)-LS (3х2,5) → Розеточная группа, пом. 020А</v>
      </c>
      <c r="HH301" t="str">
        <f t="shared" si="593"/>
        <v>R.2.020А.1¦Розеточная группа, пом. 020А</v>
      </c>
      <c r="HI301" t="str" cm="1">
        <f t="array" ref="HI301">IF(HF301="","",_xlfn.LET(_xlpm.nd,_xlfn.TEXTSPLIT(HF301,"|"),IF(COLUMNS(_xlpm.nd)&gt;2,A301&amp;"¦"&amp;INDEX(_xlpm.nd,2)&amp;"¦"&amp;INDEX(_xlpm.nd,3),"")))</f>
        <v/>
      </c>
      <c r="HJ301" t="str">
        <f t="shared" si="594"/>
        <v/>
      </c>
      <c r="HK301" t="str" cm="1">
        <f t="array" ref="HK301">IF(HF301="","",_xlfn.LET(_xlpm.nd,_xlfn.TEXTSPLIT(HF301,"|"),IF(COLUMNS(_xlpm.nd)&gt;3,A301&amp;"¦"&amp;INDEX(_xlpm.nd,3)&amp;"¦"&amp;INDEX(_xlpm.nd,4),"")))</f>
        <v/>
      </c>
      <c r="HL301" t="str">
        <f t="shared" si="595"/>
        <v/>
      </c>
      <c r="HM301" t="str" cm="1">
        <f t="array" ref="HM301">IF(HF301="","",_xlfn.LET(_xlpm.nd,_xlfn.TEXTSPLIT(HF301,"|"),IF(COLUMNS(_xlpm.nd)&gt;4,A301&amp;"¦"&amp;INDEX(_xlpm.nd,4)&amp;"¦"&amp;INDEX(_xlpm.nd,5),"")))</f>
        <v/>
      </c>
      <c r="HN301" t="str">
        <f t="shared" si="596"/>
        <v/>
      </c>
      <c r="HO301" t="str" cm="1">
        <f t="array" ref="HO301">IF(HF301="","",_xlfn.LET(_xlpm.nd,_xlfn.TEXTSPLIT(HF301,"|"),IF(COLUMNS(_xlpm.nd)&gt;5,A301&amp;"¦"&amp;INDEX(_xlpm.nd,5)&amp;"¦"&amp;INDEX(_xlpm.nd,6),"")))</f>
        <v/>
      </c>
      <c r="HP301" t="str">
        <f t="shared" si="597"/>
        <v/>
      </c>
      <c r="HQ301" t="str" cm="1">
        <f t="array" ref="HQ301">IF(HF301="","",_xlfn.LET(_xlpm.nd,_xlfn.TEXTSPLIT(HF301,"|"),IF(COLUMNS(_xlpm.nd)&gt;6,A301&amp;"¦"&amp;INDEX(_xlpm.nd,6)&amp;"¦"&amp;INDEX(_xlpm.nd,7),"")))</f>
        <v/>
      </c>
      <c r="HR301" t="str">
        <f t="shared" si="598"/>
        <v/>
      </c>
      <c r="HS301" t="str">
        <f t="shared" si="599"/>
        <v/>
      </c>
      <c r="HT301" t="str">
        <f t="shared" si="600"/>
        <v>QFD18</v>
      </c>
      <c r="HU301">
        <f t="shared" si="601"/>
        <v>0</v>
      </c>
      <c r="HV301">
        <f t="shared" si="602"/>
        <v>1</v>
      </c>
      <c r="HW301" t="str">
        <f t="shared" si="603"/>
        <v/>
      </c>
      <c r="HX301" t="str">
        <f t="shared" si="604"/>
        <v/>
      </c>
      <c r="HY301" t="str">
        <f t="shared" si="605"/>
        <v/>
      </c>
      <c r="HZ301" t="str">
        <f t="shared" si="606"/>
        <v/>
      </c>
      <c r="IA301" t="str">
        <f>IF(B301="","",IFERROR(VLOOKUP(B301,УГО_спр,2,FALSE),IFERROR(VLOOKUP(AX301,УГО_спр,2,FALSE),IFERROR(VLOOKUP(LEFT(AX301,2),УГО_спр,2,FALSE),""))))</f>
        <v>Розетка</v>
      </c>
      <c r="IB301" t="str">
        <f>IF(B301="","",IF(OR(IA301="",IA301=0),"BOX",IFERROR(IF(VLOOKUP(IA301,УГО_блоки,3,FALSE)&amp;""&lt;&gt;"",VLOOKUP(IA301,УГО_блоки,3,FALSE),VLOOKUP(IA301,УГО_блоки,2,FALSE)),IA301)))</f>
        <v>SOCKET</v>
      </c>
      <c r="IC301">
        <f t="shared" si="607"/>
        <v>1</v>
      </c>
      <c r="ID301" t="str">
        <f>IF(DA301="","",IF(COUNTIF(DA$3:DA301,DA301)=1,MAX(ID$2:ID300)+1,""))</f>
        <v/>
      </c>
      <c r="IE301" t="str">
        <f>IF(CO301="","",IF(COUNTIF(CO$3:CO301,CO301)+COUNTIF(CP$2:CP300,CO301)+COUNTIF(CQ$2:CQ300,CO301)=1,MAX(IE$2:IG300)+1,""))</f>
        <v/>
      </c>
      <c r="IF301" t="str">
        <f>IF(CP301="","",IF(COUNTIF(CO$3:CO301,CP301)+COUNTIF(CP$3:CP301,CP301)+COUNTIF(CQ$2:CQ300,CP301)=1,MAX(IE$2:IG300,IE301)+1,""))</f>
        <v/>
      </c>
      <c r="IG301" t="str">
        <f>IF(CQ301="","",IF(COUNTIF(CO$3:CO301,CQ301)+COUNTIF(CP$3:CP301,CQ301)+COUNTIF(CQ$3:CQ301,CQ301)=1,MAX(IE$2:IG300,IE301,IF301)+1,""))</f>
        <v/>
      </c>
      <c r="IH301" t="str">
        <f t="shared" si="608"/>
        <v>3х2,5</v>
      </c>
      <c r="II301" t="str">
        <f>IF(IH301="","",IF(COUNTIF(IH$3:IH301,IH301)=1,MAX(II$2:II300)+1,""))</f>
        <v/>
      </c>
      <c r="IJ301" t="str">
        <f>IF(GL301="","",COUNTIF(GL$3:GL301,"?*"))</f>
        <v/>
      </c>
      <c r="IK301" t="str">
        <f>IF(OR(GL301="",GN301=""),"",IF(COUNTIFS(GL$3:GL301,"?*",GN$3:GN301,GN301)=1,MAX(IK$2:IK300)+1,""))</f>
        <v/>
      </c>
      <c r="IL301">
        <f t="shared" si="609"/>
        <v>0</v>
      </c>
      <c r="IM301">
        <f>IF(B301="","",COUNTIF(B$3:B301,"?*"))</f>
        <v>299</v>
      </c>
      <c r="IN301">
        <f>IF(GQ301&lt;&gt;1,0,_xlfn.LET(_xlpm.k,MAX(IFERROR(--VLOOKUP(B301,УГО_спр,5,FALSE),0),IFERROR(--VLOOKUP(AX301,УГО_спр,5,FALSE),0),IFERROR(--VLOOKUP(LEFT(AX301,2),УГО_спр,5,FALSE),0)),IF(_xlpm.k&gt;0,_xlpm.k,IF(IFERROR(--LEFT(SUBSTITUTE(IH301,"x","х"),FIND("х",SUBSTITUTE(IH301,"x","х"))-1),3)&gt;3,Каталог!$S$9,1))))</f>
        <v>1</v>
      </c>
      <c r="IO301">
        <f t="shared" si="610"/>
        <v>0</v>
      </c>
      <c r="IP301" t="str">
        <f t="shared" si="611"/>
        <v>авто</v>
      </c>
      <c r="IQ301">
        <f t="shared" si="612"/>
        <v>30</v>
      </c>
      <c r="IR301">
        <f t="shared" si="613"/>
        <v>1</v>
      </c>
      <c r="IS301">
        <f t="shared" si="614"/>
        <v>1</v>
      </c>
    </row>
    <row r="302" spans="1:253" x14ac:dyDescent="0.3">
      <c r="A302" t="s">
        <v>761</v>
      </c>
      <c r="B302" t="s">
        <v>1566</v>
      </c>
      <c r="C302" t="str">
        <f>Линии[[#This Row],[_авто наименование]]</f>
        <v>Розеточная группа, пом. 022Б</v>
      </c>
      <c r="D302">
        <v>2</v>
      </c>
      <c r="E302">
        <v>0.24</v>
      </c>
      <c r="G302">
        <v>16</v>
      </c>
      <c r="H302">
        <f>Линии[[#This Row],[_авто утечка]]</f>
        <v>30</v>
      </c>
      <c r="I302" t="str">
        <f>Линии[[#This Row],[_авто управление]]</f>
        <v/>
      </c>
      <c r="J302" t="str">
        <f>Линии[[#This Row],[_авто аппараты]]</f>
        <v/>
      </c>
      <c r="K302">
        <v>2.5</v>
      </c>
      <c r="L302">
        <v>35</v>
      </c>
      <c r="M302">
        <v>2</v>
      </c>
      <c r="N302" t="s">
        <v>486</v>
      </c>
      <c r="O302" t="str">
        <f t="shared" si="492"/>
        <v/>
      </c>
      <c r="P302" s="6" cm="1">
        <f t="array" ref="P302">IF(B302="","",IF(BC302&lt;&gt;"",IFERROR(_xlfn.XLOOKUP(BC302,Щиты[Щит],Щиты[Iр, А]),""),IF(BK302=1,IFERROR(_xlfn.XLOOKUP(A302,Щиты[Щит],Щиты[Iр, А]),""),IFERROR(_xlfn.IFS(BR302=1,BN302/((Uн_лин/SQRT(3))*BY302),BR302=3,BN302/(SQRT(3)*Uн_лин*BY302)),""))))</f>
        <v>1.0939268258329751</v>
      </c>
      <c r="Q302" s="7">
        <f>IF(B302="","",IFERROR(IF(VLOOKUP(AX302,Потребители_обозначение,4,FALSE)=1,VLOOKUP(AX302,Потребители_обозначение,3,FALSE)*(D302*2-1)+DS302+VLOOKUP(AZ302,Этаж_обозначение,3,FALSE)+VLOOKUP(AZ302,Этаж_обозначение,4,FALSE),VLOOKUP(AX302,Потребители_обозначение,3,FALSE)*(D302*2-1)+DS302),DS302))</f>
        <v>44</v>
      </c>
      <c r="R302" s="6">
        <f t="shared" si="493"/>
        <v>2.15</v>
      </c>
      <c r="S302" t="str">
        <f t="shared" si="494"/>
        <v>ВВГнг(А)-LS (3х2,5)</v>
      </c>
      <c r="T302" t="str">
        <f>IF(BH302="","",IF(BI302="вводной узел","узел ","")&amp;"л."&amp;(INT((BH302-1)/Столбцов_на_лист)+1)&amp;" / "&amp;(MOD(BH302-1,Столбцов_на_лист)+1))</f>
        <v>л.3 / 4</v>
      </c>
      <c r="V302">
        <v>1</v>
      </c>
      <c r="W302">
        <v>230</v>
      </c>
      <c r="X302" t="s">
        <v>564</v>
      </c>
      <c r="AC302" t="s">
        <v>815</v>
      </c>
      <c r="AE302" t="s">
        <v>563</v>
      </c>
      <c r="AI302">
        <v>38</v>
      </c>
      <c r="AJ302" t="s">
        <v>11</v>
      </c>
      <c r="AK302">
        <v>3</v>
      </c>
      <c r="AM302">
        <v>12</v>
      </c>
      <c r="AN302">
        <v>26</v>
      </c>
      <c r="AP302">
        <v>2</v>
      </c>
      <c r="AW302" cm="1">
        <f t="array" ref="AW302">ROW()-ROW(Линии[#Headers])</f>
        <v>300</v>
      </c>
      <c r="AX302" s="6" t="str">
        <f t="shared" si="495"/>
        <v>R</v>
      </c>
      <c r="AY302" t="str">
        <f t="shared" si="496"/>
        <v>2.022Б.1</v>
      </c>
      <c r="AZ302" t="str">
        <f t="shared" si="497"/>
        <v>2</v>
      </c>
      <c r="BA302" t="str">
        <f t="shared" si="498"/>
        <v>022Б.1</v>
      </c>
      <c r="BB302" t="str">
        <f t="shared" si="499"/>
        <v>022Б</v>
      </c>
      <c r="BC302" t="str">
        <f>IF(U302&lt;&gt;"",U302,IF(AND(B302&lt;&gt;"",B302&lt;&gt;A302,ISNUMBER(_xlfn.XMATCH(B302,Щиты[Щит]))),B302,""))</f>
        <v/>
      </c>
      <c r="BD302" t="str" cm="1">
        <f t="array" ref="BD302">IF(B302="","",IF(BC302&lt;&gt;"","Щит "&amp;BC302,_xlfn.LET(_xlpm.nm,IFERROR(_xlfn.XLOOKUP(AX302,Коды_код,Коды_имя)&amp;"",""),_xlpm.md,IFERROR(N(_xlfn.XLOOKUP(AX302,Коды_код,Коды_режим)),1),_xlpm.ex,IF(Имя_режим="по экспликации",IFERROR(_xlfn.XLOOKUP(AZ302&amp;"|"&amp;BB302,Экспликация[Этаж]&amp;"|"&amp;Экспликация[Помещение],Экспликация[Название])&amp;"",""),""),_xlpm.rm,IF(BB302="","",IF(_xlpm.ex&lt;&gt;"",". "&amp;_xlpm.ex&amp;IF(Имя_пом="нет"," ("&amp;BB302&amp;")"," (пом. "&amp;BB302&amp;")"),IF(Имя_пом="нет"," ",", пом. ")&amp;BB302)),IF(_xlpm.nm="","",IF(_xlpm.md=2,_xlpm.nm&amp;" шлейф "&amp;AZ302,_xlpm.nm&amp;_xlpm.rm)))))</f>
        <v>Розеточная группа, пом. 022Б</v>
      </c>
      <c r="BE302" t="str">
        <f t="shared" si="500"/>
        <v>Розеточная группа, пом. 022Б</v>
      </c>
      <c r="BF302">
        <f>IFERROR(_xlfn.XMATCH(A302,Щиты[Щит]),0)</f>
        <v>11</v>
      </c>
      <c r="BG302">
        <f>_xlfn.LET(_xlpm.k,IFERROR(_xlfn.XLOOKUP(A302,Щиты[Щит],Щиты[Листов под вводной узел]),""),IF(_xlpm.k="",1,N(_xlpm.k))*Столбцов_на_лист)</f>
        <v>17</v>
      </c>
      <c r="BH302">
        <f t="shared" si="501"/>
        <v>38</v>
      </c>
      <c r="BI302" t="str">
        <f t="shared" si="502"/>
        <v>линии</v>
      </c>
      <c r="BJ302" s="6">
        <f>IFERROR(N(_xlfn.XLOOKUP(AX302,Коды_код,Коды_квт)),0)</f>
        <v>0</v>
      </c>
      <c r="BK302">
        <f t="shared" si="503"/>
        <v>0</v>
      </c>
      <c r="BL302" t="str">
        <f>IF(B302="","",IF(BC302&lt;&gt;"",IFERROR(_xlfn.XLOOKUP(BC302,Щиты[Щит],Щиты[Руст, кВт]),0),IF(BK302=1,IFERROR(_xlfn.XLOOKUP(A302,Щиты[Щит],Щиты[Руст, кВт]),0),IF(BJ302&gt;0,ROUND(BJ302*MAX(1,N(D302)),3),""))))</f>
        <v/>
      </c>
      <c r="BM302">
        <f t="shared" si="504"/>
        <v>0.24</v>
      </c>
      <c r="BN302" s="6">
        <f>IF(B302="","",IF(BC302&lt;&gt;"",IFERROR(_xlfn.XLOOKUP(BC302,Щиты[Щит],Щиты[Руст, кВт]),0),N(BM302)))</f>
        <v>0.24</v>
      </c>
      <c r="BO302" t="str">
        <f>IF(B302="","",IFERROR(IF(VLOOKUP(AX302,Потребители_обозначение,8,FALSE)=0,"",VLOOKUP(AX302,Потребители_обозначение,8,FALSE)),""))</f>
        <v/>
      </c>
      <c r="BP302">
        <f t="shared" si="505"/>
        <v>230</v>
      </c>
      <c r="BQ302">
        <f>IF(B302="","",IF(BC302&lt;&gt;"",3,IFERROR(IF(N(VLOOKUP(AX302,Потребители_обозначение,9,FALSE))=0,1,VLOOKUP(AX302,Потребители_обозначение,9,FALSE)),1)))</f>
        <v>1</v>
      </c>
      <c r="BR302">
        <f t="shared" si="506"/>
        <v>1</v>
      </c>
      <c r="BS302" t="str">
        <f>IF(B302="","",_xlfn.LET(_xlpm.bc,IFERROR(IF(VLOOKUP(AX302,Потребители_обозначение,6,FALSE)=0,"",VLOOKUP(AX302,Потребители_обозначение,6,FALSE)&amp;""),""),IF(AND(FK302="да",OR(_xlpm.bc="",_xlpm.bc="мс")),Марка_пож,IF(AND(_xlpm.bc="",BC302&lt;&gt;""),"мс",_xlpm.bc))))</f>
        <v/>
      </c>
      <c r="BT302" t="str">
        <f t="shared" si="507"/>
        <v>мс</v>
      </c>
      <c r="BU302">
        <f>IF(B302="","",_xlfn.LET(_xlpm.cc,IFERROR(N(VLOOKUP(AX302,Потребители_обозначение,7,FALSE)),0),IF(_xlpm.cc&gt;0,_xlpm.cc,IF(BT302="","",IF(N(BR302)=3,5,3)))))</f>
        <v>3</v>
      </c>
      <c r="BV302">
        <f t="shared" si="508"/>
        <v>3</v>
      </c>
      <c r="BW302">
        <f>IFERROR(N(VLOOKUP(AX302,Потребители_обозначение,10,FALSE)),0)</f>
        <v>0</v>
      </c>
      <c r="BX302">
        <f>IFERROR(VLOOKUP(AX302,Потребители_обозначение,5,FALSE),0)</f>
        <v>1</v>
      </c>
      <c r="BY302" s="6" cm="1">
        <f t="array" ref="BY302">IF(B302="","",IF(BC302&lt;&gt;"",IFERROR(_xlfn.XLOOKUP(BC302,Щиты[Щит],Щиты[cos φ]),0.95),IF(BK302=1,IFERROR(_xlfn.XLOOKUP(A302,Щиты[Щит],Щиты[cos φ]),0.95),IF(ISNUMBER(Z302),Z302,IFERROR(IF(BX302=2,_xlfn.IFS(BR302=3,VLOOKUP(BN302,Справочная_двигатели,8,FALSE),BR302=1,VLOOKUP(BN302,Справочная_двигатели,10,TRUE)),IF(AND(Методика="нормы 2026",EQ302="Сил"),0.8,0.95)),0.95)))))</f>
        <v>0.95</v>
      </c>
      <c r="BZ302">
        <f t="shared" si="509"/>
        <v>0</v>
      </c>
      <c r="CA302">
        <f t="shared" si="510"/>
        <v>1</v>
      </c>
      <c r="CB302">
        <f t="shared" si="511"/>
        <v>0</v>
      </c>
      <c r="CC302">
        <f t="shared" si="512"/>
        <v>0</v>
      </c>
      <c r="CD302">
        <f t="shared" si="513"/>
        <v>0</v>
      </c>
      <c r="CE302">
        <f t="shared" si="514"/>
        <v>0</v>
      </c>
      <c r="CF302">
        <f t="shared" si="515"/>
        <v>0</v>
      </c>
      <c r="CG302">
        <f>IF(AX302="",0,_xlfn.LET(_xlpm.v,IFERROR(VLOOKUP(B302,УГО_спр,3,FALSE),IFERROR(VLOOKUP(AX302,УГО_спр,3,FALSE),IFERROR(VLOOKUP(LEFT(AX302,2),УГО_спр,3,FALSE),""))),IF(_xlpm.v="да",30,IF(ISNUMBER(_xlpm.v),_xlpm.v,0))))</f>
        <v>30</v>
      </c>
      <c r="CH302">
        <f t="shared" si="516"/>
        <v>30</v>
      </c>
      <c r="CI302" t="str">
        <f>_xlfn.LET(_xlpm.k,IFERROR(_xlfn.XLOOKUP(AX302,Коды_код,Коды_утечка)&amp;"",""),IF(_xlpm.k="","дифавтомат",_xlpm.k))</f>
        <v>дифавтомат</v>
      </c>
      <c r="CJ302">
        <f t="shared" si="517"/>
        <v>30</v>
      </c>
      <c r="CK302">
        <f t="shared" si="518"/>
        <v>30</v>
      </c>
      <c r="CL302">
        <f>IF(B302="",0,IFERROR(--VLOOKUP(B302,УГО_спр,4,FALSE),IFERROR(--VLOOKUP(AX302,УГО_спр,4,FALSE),IFERROR(--VLOOKUP(LEFT(AX302,2),УГО_спр,4,FALSE),0))))</f>
        <v>16</v>
      </c>
      <c r="CM302" t="str">
        <f>IF(B302="","",IFERROR(_xlfn.XLOOKUP(AX302,Коды_код,Коды_апп)&amp;"",""))</f>
        <v/>
      </c>
      <c r="CN302" t="str">
        <f t="shared" si="519"/>
        <v/>
      </c>
      <c r="CO302" t="str" cm="1">
        <f t="array" ref="CO302">IF(TRIM(CN302&amp;"")="","",IFERROR(TRIM(INDEX(_xlfn.TEXTSPLIT(CN302&amp;";;;",";"),1)),""))</f>
        <v/>
      </c>
      <c r="CP302" t="str" cm="1">
        <f t="array" ref="CP302">IF(TRIM(CN302&amp;"")="","",IFERROR(TRIM(INDEX(_xlfn.TEXTSPLIT(CN302&amp;";;;",";"),2)),""))</f>
        <v/>
      </c>
      <c r="CQ302" t="str" cm="1">
        <f t="array" ref="CQ302">IF(TRIM(CN302&amp;"")="","",IFERROR(TRIM(INDEX(_xlfn.TEXTSPLIT(CN302&amp;";;;",";"),3)),""))</f>
        <v/>
      </c>
      <c r="CR302">
        <f t="shared" si="520"/>
        <v>0</v>
      </c>
      <c r="CS302" t="str">
        <f>IF(B302="","",_xlfn.LET(_xlpm.t,LOWER(AV302&amp;""),IF(ISNUMBER(SEARCH("dim",_xlpm.t)),"DIM",IF(ISNUMBER(SEARCH("dali",_xlpm.t)),"DALI",IF(OR(ISNUMBER(SEARCH("relay",_xlpm.t)),ISNUMBER(SEARCH("реле",_xlpm.t))),"Relay",IF(ISNUMBER(SEARCH("кнопк",_xlpm.t)),"",IFERROR(_xlfn.XLOOKUP(AX302,Коды_код,Коды_упр)&amp;"","")))))))</f>
        <v/>
      </c>
      <c r="CT302" t="str">
        <f t="shared" si="521"/>
        <v/>
      </c>
      <c r="CU302">
        <f>IF(B302="","",_xlfn.LET(_xlpm.ig,N(P302)+IF(AF302="вручную",0,N(CB302)),_xlpm.n0,IFERROR(VLOOKUP(_xlpm.ig,Автомат_номиналы,2,TRUE),0),_xlpm.mn,MAX(CL302,IF(AF302="вручную",0,N(CE302))),MAX(_xlpm.n0,_xlpm.mn,IF(CR302=1,Мин_автомат_БП,0))))</f>
        <v>16</v>
      </c>
      <c r="CV302">
        <f t="shared" si="522"/>
        <v>1</v>
      </c>
      <c r="CW302" t="str">
        <f t="shared" si="523"/>
        <v>2P</v>
      </c>
      <c r="CX302" t="str">
        <f>_xlfn.LET(_xlpm.cc,UPPER(TRIM(IFERROR(_xlfn.XLOOKUP(AX302,Коды_код,Коды_хар)&amp;"",""))),IF(OR(_xlpm.cc="B",_xlpm.cc="В"),"B",IF(_xlpm.cc="D","D","С")))</f>
        <v>С</v>
      </c>
      <c r="CY302" t="str">
        <f t="shared" si="524"/>
        <v>2P С16А 30мА</v>
      </c>
      <c r="CZ302">
        <f t="shared" si="525"/>
        <v>16</v>
      </c>
      <c r="DA302" t="str">
        <f t="shared" si="526"/>
        <v>2P С16А 30мА</v>
      </c>
      <c r="DB302" cm="1">
        <f t="array" ref="DB302">IF(DA302="","",_xlfn.LET(_xlpm.t,SUBSTITUTE(SUBSTITUTE(SUBSTITUTE(UPPER(DA302),"С","C"),"А","A"),"В","B"),_xlpm.tk,_xlfn.TEXTSPLIT(_xlpm.t,"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2" t="str">
        <f t="shared" si="527"/>
        <v>ok</v>
      </c>
      <c r="DD302">
        <f t="shared" si="528"/>
        <v>16</v>
      </c>
      <c r="DE302" t="str">
        <f t="shared" si="529"/>
        <v>2P С16А 30мА</v>
      </c>
      <c r="DF302">
        <f t="shared" si="530"/>
        <v>30</v>
      </c>
      <c r="DG302">
        <f t="shared" si="531"/>
        <v>1</v>
      </c>
      <c r="DH302">
        <f t="shared" si="532"/>
        <v>0</v>
      </c>
      <c r="DI302">
        <f t="shared" si="533"/>
        <v>1.0939268258329751</v>
      </c>
      <c r="DJ302">
        <f t="shared" si="534"/>
        <v>1</v>
      </c>
      <c r="DK302">
        <f>IF(ISNUMBER(AL302),AL302,К_прокл)</f>
        <v>1</v>
      </c>
      <c r="DL302">
        <f t="shared" si="535"/>
        <v>2</v>
      </c>
      <c r="DM302">
        <f>IFERROR(N(VLOOKUP(BT302,Кабель_обозначение,3,FALSE)),1)</f>
        <v>1</v>
      </c>
      <c r="DN302">
        <f>IFERROR(N(_xlfn.XLOOKUP(A302,Щиты[Щит],Щиты[ΔU до шин, %])),0)</f>
        <v>1.79</v>
      </c>
      <c r="DO302" t="str">
        <f>IFERROR(_xlfn.XLOOKUP(A302,Щиты[Щит],Щиты[Zпетли на шинах, Ом]),"")</f>
        <v/>
      </c>
      <c r="DP302">
        <f>IFERROR(N(_xlfn.XLOOKUP(A302,Щиты[Щит],Щиты[ΔU до шин (подбор), %])),0)</f>
        <v>4.75</v>
      </c>
      <c r="DQ302" t="str">
        <f>IFERROR(_xlfn.XLOOKUP(A302,Щиты[Щит],Щиты[Zпетли на шинах (подбор), Ом]),"")</f>
        <v/>
      </c>
      <c r="DR302" t="str">
        <f t="shared" si="536"/>
        <v/>
      </c>
      <c r="DS302">
        <f t="shared" si="537"/>
        <v>35</v>
      </c>
      <c r="DT302">
        <f t="shared" si="538"/>
        <v>2</v>
      </c>
      <c r="DU302">
        <f t="shared" si="539"/>
        <v>0.31</v>
      </c>
      <c r="DV302" s="6">
        <f>IF(B302="","",IF(IFERROR(VLOOKUP(AX302,УГО_спр,2,FALSE),"")="Светильник",3,4)+IF(Методика="нормы 2026",MIN(0.5,MAX(0,N(Q302)-100)*0.005),0))</f>
        <v>4</v>
      </c>
      <c r="DW302" t="str" cm="1">
        <f t="array" ref="DW302">IF(OR(B302="",BT302="",DM302&lt;&gt;1),"",_xlfn.LET(_xlpm.sz,Iдоп_S,_xlpm.t_,CHOOSE(DL302,Iдоп_1ж,Iдоп_2ж,Iдоп_3ж)*DJ302*DK302,_xlpm.inn,N(DD302),_xlpm.smin,MAX(1.5,BW302),_xlpm.L_,N(Q302)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302)*(_xlpm.rho*_xlpm.L_/_xlpm.sz*N(BY302)+_xlpm.xx*_xlpm.L_*N(DU302)/1000)*N(P302)/((Uн_лин/SQRT(3))*1000)*100,999),_xlpm.kz,IF(OR(DG302=1,NOT(ISNUMBER(DQ302)),_xlpm.L_=0,_xlpm.inn=0),1,IFERROR(--(c_min*(Uн_лин*1000/SQRT(3))/(DQ302+2*ρкз_Cu*_xlpm.L_/_xlpm.sz)&gt;=GY302*_xlpm.inn),0)),_xlpm.ok,IFERROR((_xlpm.sz&gt;=_xlpm.smin)*(_xlpm.t_&gt;=_xlpm.inn)*IF(_xlpm.L_&gt;0,(_xlpm.du_+DP302&lt;=DV302+0.00001),1)*_xlpm.kz,0),_xlpm.r_,_xlfn._xlws.FILTER(_xlpm.sz,_xlpm.ok,"не подобрано"),INDEX(_xlpm.r_,1)))</f>
        <v>не подобрано</v>
      </c>
      <c r="DX302">
        <f t="shared" si="540"/>
        <v>2.5</v>
      </c>
      <c r="DY302" cm="1">
        <f t="array" ref="DY302">IF(OR(B302="",BT302="",DM302&lt;&gt;1),"",_xlfn.LET(_xlpm.sz,Iдоп_S,_xlpm.t_,CHOOSE(DL302,Iдоп_1ж,Iдоп_2ж,Iдоп_3ж)*DJ302*DK302,_xlpm.ok,IFERROR((_xlpm.sz&gt;=MAX(1.5,BW302))*(_xlpm.t_&gt;=N(DD302)),0),_xlpm.r_,_xlfn._xlws.FILTER(_xlpm.sz,_xlpm.ok,""),INDEX(_xlpm.r_,1)))</f>
        <v>1.5</v>
      </c>
      <c r="DZ302" s="6" cm="1">
        <f t="array" ref="DZ302">IFERROR(ROUNDUP(N(DT302)*(_xlfn.XLOOKUP(DY302,INDEX(Кабель_сопротивление,0,1),INDEX(Кабель_сопротивление,0,3))*N(Q302)/DY302*N(BY302)+_xlfn.XLOOKUP(DY302,INDEX(Кабель_сопротивление,0,1),INDEX(Кабель_сопротивление,0,2))*N(Q302)*N(DU302)/1000)*N(P302)/((Uн_лин/SQRT(3))*1000)*100,2),"")</f>
        <v>0.6</v>
      </c>
      <c r="EA302">
        <f>IFERROR(2*ρкз_Cu*N(Q302)/DY302,"")</f>
        <v>1.5429333333333333</v>
      </c>
      <c r="EB302">
        <f>IFERROR(VLOOKUP(DX302,Кабель_сопротивление,3,FALSE),"")</f>
        <v>2.2499999999999999E-2</v>
      </c>
      <c r="EC302">
        <f>IFERROR(VLOOKUP(DX302,Кабель_сопротивление,2,FALSE),"")</f>
        <v>0.1</v>
      </c>
      <c r="ED302">
        <f t="shared" si="541"/>
        <v>26</v>
      </c>
      <c r="EE302">
        <f t="shared" si="542"/>
        <v>40</v>
      </c>
      <c r="EF302">
        <f t="shared" si="543"/>
        <v>0.8260547761376027</v>
      </c>
      <c r="EG302" s="6">
        <f>IFERROR(ROUNDUP(EF302/((Uн_лин/SQRT(3))*1000)*100,2),"")</f>
        <v>0.36</v>
      </c>
      <c r="EH302" t="str">
        <f>IFERROR(VLOOKUP(BT302,Кабель_обозначение,2,FALSE),"")</f>
        <v>ВВГнг(А)-LS</v>
      </c>
      <c r="EI302" t="str">
        <f t="shared" si="544"/>
        <v>ВВГнг(А)-LS (3х2,5)</v>
      </c>
      <c r="EJ302" t="str">
        <f t="shared" si="545"/>
        <v>ВВГнг(А)-LS (3х2,5)
L=44-0,36%</v>
      </c>
      <c r="EK302">
        <f>IFERROR(2*ρкз_Cu*Q302/DX302,"")</f>
        <v>0.92576000000000003</v>
      </c>
      <c r="EL302">
        <f t="shared" si="546"/>
        <v>0.308</v>
      </c>
      <c r="EM302" s="6" t="str">
        <f>IFERROR(IF(OR(B302="",NOT(ISNUMBER(DX302)),N(Q302)=0),"",_xlfn.XLOOKUP(A302,Щиты[Щит],Щиты[Zпетли на шинах, Ом])+EK302),"")</f>
        <v/>
      </c>
      <c r="EN302" s="6" t="str">
        <f>IF(ISNUMBER(EM302),c_min*(Uн_лин*1000/SQRT(3))/EM302,"")</f>
        <v/>
      </c>
      <c r="EO302" s="6" t="str">
        <f>IFERROR(IF(OR(B302="",NOT(ISNUMBER(DX302))),"",1.05*(Uн_лин*1000/SQRT(3))/(_xlfn.XLOOKUP(A302,Щиты[Щит],Щиты[Zmax на шинах, Ом])+EL302)/1000),"")</f>
        <v/>
      </c>
      <c r="EP302" s="6" t="str">
        <f>IF(B302="","",IF(ISNUMBER(Y302),"Сил",IF(IFERROR(_xlfn.XLOOKUP(AX302,Коды_код,Коды_группа)&amp;"","")="","Быт",_xlfn.XLOOKUP(AX302,Коды_код,Коды_группа)&amp;"")))</f>
        <v>Быт</v>
      </c>
      <c r="EQ302" s="6" t="str">
        <f t="shared" si="547"/>
        <v>Быт</v>
      </c>
      <c r="ER302" s="6">
        <f>IF(EQ302="Щит","щит",IF(EQ302="","",IF(EQ302="Быт",IFERROR(_xlfn.XLOOKUP(A302,Щиты[Щит],Щиты[Кс быт]),1),IF(EQ302="Сил",IF(ISNUMBER(Y302),Y302,IF(Методика="нормы 2026",IFERROR(_xlfn.XLOOKUP(A302,Щиты[Щит],Щиты[Кс силовых (табл. 7.5)]),1),1)),IF(OR(EQ302="Пост",EQ302="Отоп"),1,IF(EQ302="ВНГ",0.7,0))))))</f>
        <v>0.8</v>
      </c>
      <c r="ES302">
        <f t="shared" si="548"/>
        <v>1</v>
      </c>
      <c r="ET302">
        <f t="shared" si="549"/>
        <v>0.24</v>
      </c>
      <c r="EU302">
        <f t="shared" si="550"/>
        <v>0.24</v>
      </c>
      <c r="EV302">
        <f t="shared" si="551"/>
        <v>0</v>
      </c>
      <c r="EW302">
        <f t="shared" si="552"/>
        <v>0</v>
      </c>
      <c r="EX302">
        <f t="shared" si="553"/>
        <v>0</v>
      </c>
      <c r="EY302">
        <f t="shared" si="554"/>
        <v>0</v>
      </c>
      <c r="EZ302">
        <f t="shared" si="555"/>
        <v>0.24</v>
      </c>
      <c r="FA302">
        <f t="shared" si="556"/>
        <v>0.22799999999999998</v>
      </c>
      <c r="FB302">
        <f t="shared" si="557"/>
        <v>0.24</v>
      </c>
      <c r="FC302" t="str">
        <f t="shared" si="558"/>
        <v>L2</v>
      </c>
      <c r="FD302" t="str">
        <f>IF(B302="","",IF(CA302=0,IF(AW302=1,"",FF301),IF(OR(N(CV302)&gt;=3,N(BR302)&gt;=3),"L1,L2,L3",IFERROR(_xlfn.TEXTBEFORE(_xlfn.TEXTAFTER(_xlfn.XLOOKUP(A302,Щиты[Щит],Щиты[_фазы авто]),";"&amp;AW302&amp;":"),";"),"L1"))))</f>
        <v>L1</v>
      </c>
      <c r="FE302" t="str">
        <f t="shared" si="559"/>
        <v>L2</v>
      </c>
      <c r="FF302" t="str">
        <f t="shared" si="560"/>
        <v>L2</v>
      </c>
      <c r="FG302" cm="1">
        <f t="array" ref="FG302">IFERROR(IF(BX302=2,_xlfn.IFS(BR302=3,VLOOKUP(BN302,Справочная_двигатели,3,FALSE),BR302=1,VLOOKUP(BN302,Справочная_двигатели,5,TRUE)),0),0)</f>
        <v>0</v>
      </c>
      <c r="FH302">
        <f>IFERROR(IF(BX302=3,VLOOKUP(BN302,Справочная_ЛЭД,2,TRUE),0),0)</f>
        <v>0</v>
      </c>
      <c r="FI302" s="6">
        <f t="shared" si="561"/>
        <v>0</v>
      </c>
      <c r="FJ302" t="str" cm="1">
        <f t="array" ref="FJ302">IF(B302="","",IFERROR(INDEX({"I особая","I","II","III"},MATCH(TRIM(AC302&amp;""),{"I особая","I","II","III"},0)),"III"))</f>
        <v>II</v>
      </c>
      <c r="FK302" t="str">
        <f>IF(B302="","",IF(TRIM(AD302&amp;"")&lt;&gt;"",IF(LOWER(TRIM(AD302&amp;""))="да","да","нет"),IF(IFERROR(_xlfn.XLOOKUP(AX302,Коды_код,Коды_пожарная),"")="да","да","нет")))</f>
        <v>нет</v>
      </c>
      <c r="FL302" t="str">
        <f t="shared" si="562"/>
        <v/>
      </c>
      <c r="FM302" t="str">
        <f t="shared" si="563"/>
        <v>основная</v>
      </c>
      <c r="FN302">
        <f t="shared" si="564"/>
        <v>1</v>
      </c>
      <c r="FO302" t="str" cm="1">
        <f t="array" ref="FO302">IF(B302="","",_xlfn.LET(_xlpm.t,IFERROR(_xlfn.XLOOKUP(1,(Шины[Шина]=FM302)*(((Шины[Щит]=A302)+(Шины[Щит]=""))&gt;0),Шины[Тип]),"")&amp;"",IF(_xlpm.t&lt;&gt;"",_xlpm.t,IF(ISNUMBER(SEARCH("ИБП",FM302)),"ИБП",IF(ISNUMBER(SEARCH("ДГУ",FM302)),"ДГУ","Ввод "&amp;FN302)))))</f>
        <v>Ввод 1</v>
      </c>
      <c r="FP302" t="str">
        <f t="shared" si="565"/>
        <v>Ввод 1</v>
      </c>
      <c r="FQ302" t="str">
        <f>IF(B302="","",IF(OR(FO302="ИБП",FO302="ДГУ"),"I особая",IF(FO302="Одиночная","III",_xlfn.XLOOKUP(A302,Щиты[Щит],Щиты[Категория шины «Ввод»],"III"))))</f>
        <v>II</v>
      </c>
      <c r="FR302">
        <f>IF(B302="",0,IFERROR(MATCH(FJ302,{"III","II","I","I особая"},0),1))</f>
        <v>2</v>
      </c>
      <c r="FS302">
        <f t="shared" si="566"/>
        <v>2</v>
      </c>
      <c r="FT302" t="str">
        <f>IF(B302="","",IF(FR302&gt;IFERROR(MATCH(FQ302,{"III","II","I","I особая"},0),1),"НЕ ОБЕСПЕЧЕНА","ОК"))</f>
        <v>ОК</v>
      </c>
      <c r="FU302" t="str">
        <f>IF(A302="","",_xlfn.XLOOKUP(A302,Щиты[Щит],Щиты[Путь],""))</f>
        <v>|ГРЩ-ЖД|ЩР-2|</v>
      </c>
      <c r="FV302" t="str">
        <f>IF(B302="","",IF(AE302&lt;&gt;"",AE302,IF(IFERROR(_xlfn.XLOOKUP(AX302,Коды_код,Коды_вид)&amp;"","")="","Прочее",_xlfn.XLOOKUP(AX302,Коды_код,Коды_вид)&amp;"")))</f>
        <v>Розеточная сеть и бытовые приборы</v>
      </c>
      <c r="FW302">
        <f>IF(BH302="","",INT((BH302-1)/Столбцов_на_лист)+1)</f>
        <v>3</v>
      </c>
      <c r="FX302" t="str">
        <f t="shared" si="567"/>
        <v>ВВГнг(А)-LS (3х2,5) L=44-0,36%</v>
      </c>
      <c r="FY302">
        <f t="shared" si="568"/>
        <v>0.24</v>
      </c>
      <c r="FZ302">
        <f t="shared" si="569"/>
        <v>1.1000000000000001</v>
      </c>
      <c r="GA302">
        <f t="shared" si="570"/>
        <v>1</v>
      </c>
      <c r="GB302">
        <f t="shared" si="571"/>
        <v>0</v>
      </c>
      <c r="GC302">
        <f t="shared" si="572"/>
        <v>1</v>
      </c>
      <c r="GD302">
        <f>IF(BH302="","",IF(AND(CA302=1,GC302=1),COUNTIFS(A$3:A302,A302,CA$3:CA302,1,GC$3:GC302,1),IF(OR(OR(AW302=1,A302&lt;&gt;A301),AF302="вручную",GC302=0),"",IF(AW302=1,"",GE301))))</f>
        <v>19</v>
      </c>
      <c r="GE302">
        <f t="shared" si="573"/>
        <v>19</v>
      </c>
      <c r="GF302">
        <f>IF(B302="","",IFERROR(LOOKUP(INDEX(CHOOSE(DL302,Iдоп_1ж,Iдоп_2ж,Iдоп_3ж),MATCH(DX302,Iдоп_S,0))*DJ302*DK302,{6,10,16,20,25,32,40,50,63,80,100,125,160,200,250,315,400,500,630}),""))</f>
        <v>25</v>
      </c>
      <c r="GG302" t="str">
        <f t="shared" si="574"/>
        <v>QFD19</v>
      </c>
      <c r="GH302" t="str">
        <f t="shared" si="575"/>
        <v>QFD19</v>
      </c>
      <c r="GI302" t="str">
        <f t="shared" si="576"/>
        <v/>
      </c>
      <c r="GJ302">
        <f t="shared" si="577"/>
        <v>0</v>
      </c>
      <c r="GK302" t="str">
        <f>IF(OR(AG302="",AG302="-"),"",IFERROR(VLOOKUP(AG302,Модули_спр,2,FALSE),"R"))</f>
        <v/>
      </c>
      <c r="GL302" t="str">
        <f>IF(GK302="","",GK302&amp;"."&amp;COUNTIFS(A$3:A302,A302,GK$3:GK302,GK302))</f>
        <v/>
      </c>
      <c r="GM302" t="str">
        <f t="shared" si="578"/>
        <v/>
      </c>
      <c r="GN302" t="str">
        <f t="shared" si="579"/>
        <v/>
      </c>
      <c r="GO302" t="str">
        <f t="shared" si="580"/>
        <v/>
      </c>
      <c r="GP302" t="str">
        <f t="shared" si="581"/>
        <v/>
      </c>
      <c r="GQ302">
        <f t="shared" si="582"/>
        <v>1</v>
      </c>
      <c r="GR302" t="str">
        <f>IF(GQ302=1,"XT"&amp;COUNTIFS(A$3:A302,A302,GQ$3:GQ302,1),"")</f>
        <v>XT19</v>
      </c>
      <c r="GS302" t="str">
        <f t="shared" si="583"/>
        <v/>
      </c>
      <c r="GT302" t="str">
        <f t="shared" si="584"/>
        <v>QFD19</v>
      </c>
      <c r="GU302" t="str">
        <f t="shared" si="585"/>
        <v/>
      </c>
      <c r="GV302" t="str">
        <f t="shared" si="586"/>
        <v>ok</v>
      </c>
      <c r="GW302" t="str">
        <f>IF(OR(GO302="",GM302=""),"",IF(GO302&gt;IFERROR(VLOOKUP(GN302,Модули_спр,3,FALSE),99),"ЛИШНИЙ КАНАЛ",IF(AND(AH302&lt;&gt;"=",COUNTIFS(Линии[_модуль гр.],GM302,Линии[Канал (итог)],GO302,Линии[Канал],"&lt;&gt;=",Линии[Щит],A302)&gt;1),"ДУБЛЬ КАНАЛА","")))</f>
        <v/>
      </c>
      <c r="GX302" s="6" t="str">
        <f t="shared" si="587"/>
        <v/>
      </c>
      <c r="GY302">
        <f t="shared" si="588"/>
        <v>10</v>
      </c>
      <c r="GZ302" t="str">
        <f t="shared" si="589"/>
        <v/>
      </c>
      <c r="HA302" t="str">
        <f>IF(AND(B302="",GT302=""),"",_xlfn.TEXTJOIN("; ",TRUE,IF(AND(B302&lt;&gt;"",FE302=""),"нет фазы",""),IF(AND(B302&lt;&gt;"",N(FY302)=0,EQ302&lt;&gt;"Нет"),"нет мощности",""),IF(AND(GS302&lt;&gt;"",COUNTIFS(Линии[Щит],A302,Линии[Клемма (итог)],GS302)&gt;1),"дубль клеммы "&amp;GS302,""),IF(AND(GV302&lt;&gt;"",GV302&lt;&gt;"ok"),GV302,""),IF(GW302&lt;&gt;"",GW302,""),IF(AND(N(BV302)&gt;=4,N(BR302)=1),BV302&amp;" жил на 1 фазе",""),IF(AND(AX302="R",CA302=1,OR(N(CK302)=0,N(CK302)&gt;30)),"розетка без дифзащиты до 30 мА",""),IFERROR(IF(AND(ISNUMBER(R302),R302&gt;DV302),"потери "&amp;FIXED(R302,1)&amp;" % &gt; "&amp;DV302&amp;" %",""),""),IFERROR(IF(LEFT(GZ302,4)="мало","Iкз мало — отключение &gt; 0,4 с",""),""),IF(AND(B302&lt;&gt;"",BH302=""),"не на схеме",""),IF(AND(CA302=0,B302&lt;&gt;"",FE302&lt;&gt;"",IF(AW302=1,"",FF301)&lt;&gt;"",FE302&lt;&gt;IF(AW302=1,"",FF301)),"фаза не как у автомата группы ("&amp;IF(AW302=1,"",FF301)&amp;")","")))</f>
        <v/>
      </c>
      <c r="HB302" s="6">
        <f>IF(OR(CA302=0,DA302=""),"",_xlfn.LET(_xlpm.t,IFERROR(_xlfn.XLOOKUP(DA302,Каталог!$U$4:$U$500,Каталог!$G$4:$G$500),""),_xlpm.k,SEARCH("кА",_xlpm.t),IFERROR(--TRIM(RIGHT(SUBSTITUTE(MID(_xlpm.t,MAX(1,_xlpm.k-4),_xlpm.k-MAX(1,_xlpm.k-4))," ",REPT(" ",9)),5)),"")))</f>
        <v>6</v>
      </c>
      <c r="HC302" t="str">
        <f>IF(OR(HB302="",CA302=0),"",IF(_xlfn.XLOOKUP(A302,Щиты[Щит],Щиты[Iкз max на шинах, кА],"")="","",IF(HB302&lt;_xlfn.XLOOKUP(A302,Щиты[Щит],Щиты[Iкз max на шинах, кА]),"Icu "&amp;HB302&amp;" кА &lt; Iкз max","ok")))</f>
        <v/>
      </c>
      <c r="HD302" t="str">
        <f t="shared" si="590"/>
        <v/>
      </c>
      <c r="HE302" t="str">
        <f t="shared" si="591"/>
        <v>QFD19</v>
      </c>
      <c r="HF302" t="str">
        <f t="shared" si="592"/>
        <v>QFD19|кабель ВВГнг(А)-LS (3х2,5) → Розеточная группа, пом. 022Б</v>
      </c>
      <c r="HG302" t="str" cm="1">
        <f t="array" ref="HG302">IF(HF302="","",_xlfn.LET(_xlpm.nd,_xlfn.TEXTSPLIT(HF302,"|"),IF(COLUMNS(_xlpm.nd)&gt;1,A302&amp;"¦"&amp;INDEX(_xlpm.nd,1)&amp;"¦"&amp;INDEX(_xlpm.nd,2),"")))</f>
        <v>ЩР-2¦QFD19¦кабель ВВГнг(А)-LS (3х2,5) → Розеточная группа, пом. 022Б</v>
      </c>
      <c r="HH302" t="str">
        <f t="shared" si="593"/>
        <v>R.2.022Б.1¦Розеточная группа, пом. 022Б</v>
      </c>
      <c r="HI302" t="str" cm="1">
        <f t="array" ref="HI302">IF(HF302="","",_xlfn.LET(_xlpm.nd,_xlfn.TEXTSPLIT(HF302,"|"),IF(COLUMNS(_xlpm.nd)&gt;2,A302&amp;"¦"&amp;INDEX(_xlpm.nd,2)&amp;"¦"&amp;INDEX(_xlpm.nd,3),"")))</f>
        <v/>
      </c>
      <c r="HJ302" t="str">
        <f t="shared" si="594"/>
        <v/>
      </c>
      <c r="HK302" t="str" cm="1">
        <f t="array" ref="HK302">IF(HF302="","",_xlfn.LET(_xlpm.nd,_xlfn.TEXTSPLIT(HF302,"|"),IF(COLUMNS(_xlpm.nd)&gt;3,A302&amp;"¦"&amp;INDEX(_xlpm.nd,3)&amp;"¦"&amp;INDEX(_xlpm.nd,4),"")))</f>
        <v/>
      </c>
      <c r="HL302" t="str">
        <f t="shared" si="595"/>
        <v/>
      </c>
      <c r="HM302" t="str" cm="1">
        <f t="array" ref="HM302">IF(HF302="","",_xlfn.LET(_xlpm.nd,_xlfn.TEXTSPLIT(HF302,"|"),IF(COLUMNS(_xlpm.nd)&gt;4,A302&amp;"¦"&amp;INDEX(_xlpm.nd,4)&amp;"¦"&amp;INDEX(_xlpm.nd,5),"")))</f>
        <v/>
      </c>
      <c r="HN302" t="str">
        <f t="shared" si="596"/>
        <v/>
      </c>
      <c r="HO302" t="str" cm="1">
        <f t="array" ref="HO302">IF(HF302="","",_xlfn.LET(_xlpm.nd,_xlfn.TEXTSPLIT(HF302,"|"),IF(COLUMNS(_xlpm.nd)&gt;5,A302&amp;"¦"&amp;INDEX(_xlpm.nd,5)&amp;"¦"&amp;INDEX(_xlpm.nd,6),"")))</f>
        <v/>
      </c>
      <c r="HP302" t="str">
        <f t="shared" si="597"/>
        <v/>
      </c>
      <c r="HQ302" t="str" cm="1">
        <f t="array" ref="HQ302">IF(HF302="","",_xlfn.LET(_xlpm.nd,_xlfn.TEXTSPLIT(HF302,"|"),IF(COLUMNS(_xlpm.nd)&gt;6,A302&amp;"¦"&amp;INDEX(_xlpm.nd,6)&amp;"¦"&amp;INDEX(_xlpm.nd,7),"")))</f>
        <v/>
      </c>
      <c r="HR302" t="str">
        <f t="shared" si="598"/>
        <v/>
      </c>
      <c r="HS302" t="str">
        <f t="shared" si="599"/>
        <v/>
      </c>
      <c r="HT302" t="str">
        <f t="shared" si="600"/>
        <v>QFD19</v>
      </c>
      <c r="HU302">
        <f t="shared" si="601"/>
        <v>0</v>
      </c>
      <c r="HV302">
        <f t="shared" si="602"/>
        <v>1</v>
      </c>
      <c r="HW302" t="str">
        <f t="shared" si="603"/>
        <v/>
      </c>
      <c r="HX302" t="str">
        <f t="shared" si="604"/>
        <v/>
      </c>
      <c r="HY302" t="str">
        <f t="shared" si="605"/>
        <v/>
      </c>
      <c r="HZ302" t="str">
        <f t="shared" si="606"/>
        <v/>
      </c>
      <c r="IA302" t="str">
        <f>IF(B302="","",IFERROR(VLOOKUP(B302,УГО_спр,2,FALSE),IFERROR(VLOOKUP(AX302,УГО_спр,2,FALSE),IFERROR(VLOOKUP(LEFT(AX302,2),УГО_спр,2,FALSE),""))))</f>
        <v>Розетка</v>
      </c>
      <c r="IB302" t="str">
        <f>IF(B302="","",IF(OR(IA302="",IA302=0),"BOX",IFERROR(IF(VLOOKUP(IA302,УГО_блоки,3,FALSE)&amp;""&lt;&gt;"",VLOOKUP(IA302,УГО_блоки,3,FALSE),VLOOKUP(IA302,УГО_блоки,2,FALSE)),IA302)))</f>
        <v>SOCKET</v>
      </c>
      <c r="IC302">
        <f t="shared" si="607"/>
        <v>1</v>
      </c>
      <c r="ID302" t="str">
        <f>IF(DA302="","",IF(COUNTIF(DA$3:DA302,DA302)=1,MAX(ID$2:ID301)+1,""))</f>
        <v/>
      </c>
      <c r="IE302" t="str">
        <f>IF(CO302="","",IF(COUNTIF(CO$3:CO302,CO302)+COUNTIF(CP$2:CP301,CO302)+COUNTIF(CQ$2:CQ301,CO302)=1,MAX(IE$2:IG301)+1,""))</f>
        <v/>
      </c>
      <c r="IF302" t="str">
        <f>IF(CP302="","",IF(COUNTIF(CO$3:CO302,CP302)+COUNTIF(CP$3:CP302,CP302)+COUNTIF(CQ$2:CQ301,CP302)=1,MAX(IE$2:IG301,IE302)+1,""))</f>
        <v/>
      </c>
      <c r="IG302" t="str">
        <f>IF(CQ302="","",IF(COUNTIF(CO$3:CO302,CQ302)+COUNTIF(CP$3:CP302,CQ302)+COUNTIF(CQ$3:CQ302,CQ302)=1,MAX(IE$2:IG301,IE302,IF302)+1,""))</f>
        <v/>
      </c>
      <c r="IH302" t="str">
        <f t="shared" si="608"/>
        <v>3х2,5</v>
      </c>
      <c r="II302" t="str">
        <f>IF(IH302="","",IF(COUNTIF(IH$3:IH302,IH302)=1,MAX(II$2:II301)+1,""))</f>
        <v/>
      </c>
      <c r="IJ302" t="str">
        <f>IF(GL302="","",COUNTIF(GL$3:GL302,"?*"))</f>
        <v/>
      </c>
      <c r="IK302" t="str">
        <f>IF(OR(GL302="",GN302=""),"",IF(COUNTIFS(GL$3:GL302,"?*",GN$3:GN302,GN302)=1,MAX(IK$2:IK301)+1,""))</f>
        <v/>
      </c>
      <c r="IL302">
        <f t="shared" si="609"/>
        <v>0</v>
      </c>
      <c r="IM302">
        <f>IF(B302="","",COUNTIF(B$3:B302,"?*"))</f>
        <v>300</v>
      </c>
      <c r="IN302">
        <f>IF(GQ302&lt;&gt;1,0,_xlfn.LET(_xlpm.k,MAX(IFERROR(--VLOOKUP(B302,УГО_спр,5,FALSE),0),IFERROR(--VLOOKUP(AX302,УГО_спр,5,FALSE),0),IFERROR(--VLOOKUP(LEFT(AX302,2),УГО_спр,5,FALSE),0)),IF(_xlpm.k&gt;0,_xlpm.k,IF(IFERROR(--LEFT(SUBSTITUTE(IH302,"x","х"),FIND("х",SUBSTITUTE(IH302,"x","х"))-1),3)&gt;3,Каталог!$S$9,1))))</f>
        <v>1</v>
      </c>
      <c r="IO302">
        <f t="shared" si="610"/>
        <v>0</v>
      </c>
      <c r="IP302" t="str">
        <f t="shared" si="611"/>
        <v>авто</v>
      </c>
      <c r="IQ302">
        <f t="shared" si="612"/>
        <v>30</v>
      </c>
      <c r="IR302">
        <f t="shared" si="613"/>
        <v>1</v>
      </c>
      <c r="IS302">
        <f t="shared" si="614"/>
        <v>1</v>
      </c>
    </row>
    <row r="303" spans="1:253" x14ac:dyDescent="0.3">
      <c r="A303" t="s">
        <v>761</v>
      </c>
      <c r="B303" t="s">
        <v>1567</v>
      </c>
      <c r="C303" t="str">
        <f>Линии[[#This Row],[_авто наименование]]</f>
        <v>Розеточная группа, пом. 001</v>
      </c>
      <c r="D303">
        <v>1</v>
      </c>
      <c r="E303">
        <v>0.18</v>
      </c>
      <c r="G303">
        <v>16</v>
      </c>
      <c r="H303">
        <f>Линии[[#This Row],[_авто утечка]]</f>
        <v>30</v>
      </c>
      <c r="I303" t="str">
        <f>Линии[[#This Row],[_авто управление]]</f>
        <v/>
      </c>
      <c r="J303" t="str">
        <f>Линии[[#This Row],[_авто аппараты]]</f>
        <v/>
      </c>
      <c r="K303">
        <v>2.5</v>
      </c>
      <c r="L303">
        <v>84</v>
      </c>
      <c r="M303">
        <v>1</v>
      </c>
      <c r="N303" t="s">
        <v>486</v>
      </c>
      <c r="O303" t="str">
        <f t="shared" si="492"/>
        <v/>
      </c>
      <c r="P303" s="6" cm="1">
        <f t="array" ref="P303">IF(B303="","",IF(BC303&lt;&gt;"",IFERROR(_xlfn.XLOOKUP(BC303,Щиты[Щит],Щиты[Iр, А]),""),IF(BK303=1,IFERROR(_xlfn.XLOOKUP(A303,Щиты[Щит],Щиты[Iр, А]),""),IFERROR(_xlfn.IFS(BR303=1,BN303/((Uн_лин/SQRT(3))*BY303),BR303=3,BN303/(SQRT(3)*Uн_лин*BY303)),""))))</f>
        <v>0.8204451193747313</v>
      </c>
      <c r="Q303" s="7">
        <f>IF(B303="","",IFERROR(IF(VLOOKUP(AX303,Потребители_обозначение,4,FALSE)=1,VLOOKUP(AX303,Потребители_обозначение,3,FALSE)*(D303*2-1)+DS303+VLOOKUP(AZ303,Этаж_обозначение,3,FALSE)+VLOOKUP(AZ303,Этаж_обозначение,4,FALSE),VLOOKUP(AX303,Потребители_обозначение,3,FALSE)*(D303*2-1)+DS303),DS303))</f>
        <v>87</v>
      </c>
      <c r="R303" s="6">
        <f t="shared" si="493"/>
        <v>2.33</v>
      </c>
      <c r="S303" t="str">
        <f t="shared" si="494"/>
        <v>ВВГнг(А)-LS (3х2,5)</v>
      </c>
      <c r="T303" t="str">
        <f>IF(BH303="","",IF(BI303="вводной узел","узел ","")&amp;"л."&amp;(INT((BH303-1)/Столбцов_на_лист)+1)&amp;" / "&amp;(MOD(BH303-1,Столбцов_на_лист)+1))</f>
        <v>л.3 / 5</v>
      </c>
      <c r="V303">
        <v>1</v>
      </c>
      <c r="W303">
        <v>230</v>
      </c>
      <c r="X303" t="s">
        <v>564</v>
      </c>
      <c r="AC303" t="s">
        <v>815</v>
      </c>
      <c r="AE303" t="s">
        <v>563</v>
      </c>
      <c r="AI303">
        <v>39</v>
      </c>
      <c r="AJ303" t="s">
        <v>11</v>
      </c>
      <c r="AK303">
        <v>3</v>
      </c>
      <c r="AM303">
        <v>12</v>
      </c>
      <c r="AN303">
        <v>36</v>
      </c>
      <c r="AO303">
        <v>33</v>
      </c>
      <c r="AP303">
        <v>2</v>
      </c>
      <c r="AW303" cm="1">
        <f t="array" ref="AW303">ROW()-ROW(Линии[#Headers])</f>
        <v>301</v>
      </c>
      <c r="AX303" s="6" t="str">
        <f t="shared" si="495"/>
        <v>R</v>
      </c>
      <c r="AY303" t="str">
        <f t="shared" si="496"/>
        <v>2.001.1</v>
      </c>
      <c r="AZ303" t="str">
        <f t="shared" si="497"/>
        <v>2</v>
      </c>
      <c r="BA303" t="str">
        <f t="shared" si="498"/>
        <v>001.1</v>
      </c>
      <c r="BB303" t="str">
        <f t="shared" si="499"/>
        <v>001</v>
      </c>
      <c r="BC303" t="str">
        <f>IF(U303&lt;&gt;"",U303,IF(AND(B303&lt;&gt;"",B303&lt;&gt;A303,ISNUMBER(_xlfn.XMATCH(B303,Щиты[Щит]))),B303,""))</f>
        <v/>
      </c>
      <c r="BD303" t="str" cm="1">
        <f t="array" ref="BD303">IF(B303="","",IF(BC303&lt;&gt;"","Щит "&amp;BC303,_xlfn.LET(_xlpm.nm,IFERROR(_xlfn.XLOOKUP(AX303,Коды_код,Коды_имя)&amp;"",""),_xlpm.md,IFERROR(N(_xlfn.XLOOKUP(AX303,Коды_код,Коды_режим)),1),_xlpm.ex,IF(Имя_режим="по экспликации",IFERROR(_xlfn.XLOOKUP(AZ303&amp;"|"&amp;BB303,Экспликация[Этаж]&amp;"|"&amp;Экспликация[Помещение],Экспликация[Название])&amp;"",""),""),_xlpm.rm,IF(BB303="","",IF(_xlpm.ex&lt;&gt;"",". "&amp;_xlpm.ex&amp;IF(Имя_пом="нет"," ("&amp;BB303&amp;")"," (пом. "&amp;BB303&amp;")"),IF(Имя_пом="нет"," ",", пом. ")&amp;BB303)),IF(_xlpm.nm="","",IF(_xlpm.md=2,_xlpm.nm&amp;" шлейф "&amp;AZ303,_xlpm.nm&amp;_xlpm.rm)))))</f>
        <v>Розеточная группа, пом. 001</v>
      </c>
      <c r="BE303" t="str">
        <f t="shared" si="500"/>
        <v>Розеточная группа, пом. 001</v>
      </c>
      <c r="BF303">
        <f>IFERROR(_xlfn.XMATCH(A303,Щиты[Щит]),0)</f>
        <v>11</v>
      </c>
      <c r="BG303">
        <f>_xlfn.LET(_xlpm.k,IFERROR(_xlfn.XLOOKUP(A303,Щиты[Щит],Щиты[Листов под вводной узел]),""),IF(_xlpm.k="",1,N(_xlpm.k))*Столбцов_на_лист)</f>
        <v>17</v>
      </c>
      <c r="BH303">
        <f t="shared" si="501"/>
        <v>39</v>
      </c>
      <c r="BI303" t="str">
        <f t="shared" si="502"/>
        <v>линии</v>
      </c>
      <c r="BJ303" s="6">
        <f>IFERROR(N(_xlfn.XLOOKUP(AX303,Коды_код,Коды_квт)),0)</f>
        <v>0</v>
      </c>
      <c r="BK303">
        <f t="shared" si="503"/>
        <v>0</v>
      </c>
      <c r="BL303" t="str">
        <f>IF(B303="","",IF(BC303&lt;&gt;"",IFERROR(_xlfn.XLOOKUP(BC303,Щиты[Щит],Щиты[Руст, кВт]),0),IF(BK303=1,IFERROR(_xlfn.XLOOKUP(A303,Щиты[Щит],Щиты[Руст, кВт]),0),IF(BJ303&gt;0,ROUND(BJ303*MAX(1,N(D303)),3),""))))</f>
        <v/>
      </c>
      <c r="BM303">
        <f t="shared" si="504"/>
        <v>0.18</v>
      </c>
      <c r="BN303" s="6">
        <f>IF(B303="","",IF(BC303&lt;&gt;"",IFERROR(_xlfn.XLOOKUP(BC303,Щиты[Щит],Щиты[Руст, кВт]),0),N(BM303)))</f>
        <v>0.18</v>
      </c>
      <c r="BO303" t="str">
        <f>IF(B303="","",IFERROR(IF(VLOOKUP(AX303,Потребители_обозначение,8,FALSE)=0,"",VLOOKUP(AX303,Потребители_обозначение,8,FALSE)),""))</f>
        <v/>
      </c>
      <c r="BP303">
        <f t="shared" si="505"/>
        <v>230</v>
      </c>
      <c r="BQ303">
        <f>IF(B303="","",IF(BC303&lt;&gt;"",3,IFERROR(IF(N(VLOOKUP(AX303,Потребители_обозначение,9,FALSE))=0,1,VLOOKUP(AX303,Потребители_обозначение,9,FALSE)),1)))</f>
        <v>1</v>
      </c>
      <c r="BR303">
        <f t="shared" si="506"/>
        <v>1</v>
      </c>
      <c r="BS303" t="str">
        <f>IF(B303="","",_xlfn.LET(_xlpm.bc,IFERROR(IF(VLOOKUP(AX303,Потребители_обозначение,6,FALSE)=0,"",VLOOKUP(AX303,Потребители_обозначение,6,FALSE)&amp;""),""),IF(AND(FK303="да",OR(_xlpm.bc="",_xlpm.bc="мс")),Марка_пож,IF(AND(_xlpm.bc="",BC303&lt;&gt;""),"мс",_xlpm.bc))))</f>
        <v/>
      </c>
      <c r="BT303" t="str">
        <f t="shared" si="507"/>
        <v>мс</v>
      </c>
      <c r="BU303">
        <f>IF(B303="","",_xlfn.LET(_xlpm.cc,IFERROR(N(VLOOKUP(AX303,Потребители_обозначение,7,FALSE)),0),IF(_xlpm.cc&gt;0,_xlpm.cc,IF(BT303="","",IF(N(BR303)=3,5,3)))))</f>
        <v>3</v>
      </c>
      <c r="BV303">
        <f t="shared" si="508"/>
        <v>3</v>
      </c>
      <c r="BW303">
        <f>IFERROR(N(VLOOKUP(AX303,Потребители_обозначение,10,FALSE)),0)</f>
        <v>0</v>
      </c>
      <c r="BX303">
        <f>IFERROR(VLOOKUP(AX303,Потребители_обозначение,5,FALSE),0)</f>
        <v>1</v>
      </c>
      <c r="BY303" s="6" cm="1">
        <f t="array" ref="BY303">IF(B303="","",IF(BC303&lt;&gt;"",IFERROR(_xlfn.XLOOKUP(BC303,Щиты[Щит],Щиты[cos φ]),0.95),IF(BK303=1,IFERROR(_xlfn.XLOOKUP(A303,Щиты[Щит],Щиты[cos φ]),0.95),IF(ISNUMBER(Z303),Z303,IFERROR(IF(BX303=2,_xlfn.IFS(BR303=3,VLOOKUP(BN303,Справочная_двигатели,8,FALSE),BR303=1,VLOOKUP(BN303,Справочная_двигатели,10,TRUE)),IF(AND(Методика="нормы 2026",EQ303="Сил"),0.8,0.95)),0.95)))))</f>
        <v>0.95</v>
      </c>
      <c r="BZ303">
        <f t="shared" si="509"/>
        <v>0</v>
      </c>
      <c r="CA303">
        <f t="shared" si="510"/>
        <v>1</v>
      </c>
      <c r="CB303">
        <f t="shared" si="511"/>
        <v>0</v>
      </c>
      <c r="CC303">
        <f t="shared" si="512"/>
        <v>0</v>
      </c>
      <c r="CD303">
        <f t="shared" si="513"/>
        <v>0</v>
      </c>
      <c r="CE303">
        <f t="shared" si="514"/>
        <v>0</v>
      </c>
      <c r="CF303">
        <f t="shared" si="515"/>
        <v>0</v>
      </c>
      <c r="CG303">
        <f>IF(AX303="",0,_xlfn.LET(_xlpm.v,IFERROR(VLOOKUP(B303,УГО_спр,3,FALSE),IFERROR(VLOOKUP(AX303,УГО_спр,3,FALSE),IFERROR(VLOOKUP(LEFT(AX303,2),УГО_спр,3,FALSE),""))),IF(_xlpm.v="да",30,IF(ISNUMBER(_xlpm.v),_xlpm.v,0))))</f>
        <v>30</v>
      </c>
      <c r="CH303">
        <f t="shared" si="516"/>
        <v>30</v>
      </c>
      <c r="CI303" t="str">
        <f>_xlfn.LET(_xlpm.k,IFERROR(_xlfn.XLOOKUP(AX303,Коды_код,Коды_утечка)&amp;"",""),IF(_xlpm.k="","дифавтомат",_xlpm.k))</f>
        <v>дифавтомат</v>
      </c>
      <c r="CJ303">
        <f t="shared" si="517"/>
        <v>30</v>
      </c>
      <c r="CK303">
        <f t="shared" si="518"/>
        <v>30</v>
      </c>
      <c r="CL303">
        <f>IF(B303="",0,IFERROR(--VLOOKUP(B303,УГО_спр,4,FALSE),IFERROR(--VLOOKUP(AX303,УГО_спр,4,FALSE),IFERROR(--VLOOKUP(LEFT(AX303,2),УГО_спр,4,FALSE),0))))</f>
        <v>16</v>
      </c>
      <c r="CM303" t="str">
        <f>IF(B303="","",IFERROR(_xlfn.XLOOKUP(AX303,Коды_код,Коды_апп)&amp;"",""))</f>
        <v/>
      </c>
      <c r="CN303" t="str">
        <f t="shared" si="519"/>
        <v/>
      </c>
      <c r="CO303" t="str" cm="1">
        <f t="array" ref="CO303">IF(TRIM(CN303&amp;"")="","",IFERROR(TRIM(INDEX(_xlfn.TEXTSPLIT(CN303&amp;";;;",";"),1)),""))</f>
        <v/>
      </c>
      <c r="CP303" t="str" cm="1">
        <f t="array" ref="CP303">IF(TRIM(CN303&amp;"")="","",IFERROR(TRIM(INDEX(_xlfn.TEXTSPLIT(CN303&amp;";;;",";"),2)),""))</f>
        <v/>
      </c>
      <c r="CQ303" t="str" cm="1">
        <f t="array" ref="CQ303">IF(TRIM(CN303&amp;"")="","",IFERROR(TRIM(INDEX(_xlfn.TEXTSPLIT(CN303&amp;";;;",";"),3)),""))</f>
        <v/>
      </c>
      <c r="CR303">
        <f t="shared" si="520"/>
        <v>0</v>
      </c>
      <c r="CS303" t="str">
        <f>IF(B303="","",_xlfn.LET(_xlpm.t,LOWER(AV303&amp;""),IF(ISNUMBER(SEARCH("dim",_xlpm.t)),"DIM",IF(ISNUMBER(SEARCH("dali",_xlpm.t)),"DALI",IF(OR(ISNUMBER(SEARCH("relay",_xlpm.t)),ISNUMBER(SEARCH("реле",_xlpm.t))),"Relay",IF(ISNUMBER(SEARCH("кнопк",_xlpm.t)),"",IFERROR(_xlfn.XLOOKUP(AX303,Коды_код,Коды_упр)&amp;"","")))))))</f>
        <v/>
      </c>
      <c r="CT303" t="str">
        <f t="shared" si="521"/>
        <v/>
      </c>
      <c r="CU303">
        <f>IF(B303="","",_xlfn.LET(_xlpm.ig,N(P303)+IF(AF303="вручную",0,N(CB303)),_xlpm.n0,IFERROR(VLOOKUP(_xlpm.ig,Автомат_номиналы,2,TRUE),0),_xlpm.mn,MAX(CL303,IF(AF303="вручную",0,N(CE303))),MAX(_xlpm.n0,_xlpm.mn,IF(CR303=1,Мин_автомат_БП,0))))</f>
        <v>16</v>
      </c>
      <c r="CV303">
        <f t="shared" si="522"/>
        <v>1</v>
      </c>
      <c r="CW303" t="str">
        <f t="shared" si="523"/>
        <v>2P</v>
      </c>
      <c r="CX303" t="str">
        <f>_xlfn.LET(_xlpm.cc,UPPER(TRIM(IFERROR(_xlfn.XLOOKUP(AX303,Коды_код,Коды_хар)&amp;"",""))),IF(OR(_xlpm.cc="B",_xlpm.cc="В"),"B",IF(_xlpm.cc="D","D","С")))</f>
        <v>С</v>
      </c>
      <c r="CY303" t="str">
        <f t="shared" si="524"/>
        <v>2P С16А 30мА</v>
      </c>
      <c r="CZ303">
        <f t="shared" si="525"/>
        <v>16</v>
      </c>
      <c r="DA303" t="str">
        <f t="shared" si="526"/>
        <v>2P С16А 30мА</v>
      </c>
      <c r="DB303" cm="1">
        <f t="array" ref="DB303">IF(DA303="","",_xlfn.LET(_xlpm.t,SUBSTITUTE(SUBSTITUTE(SUBSTITUTE(UPPER(DA303),"С","C"),"А","A"),"В","B"),_xlpm.tk,_xlfn.TEXTSPLIT(_xlpm.t,"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3" t="str">
        <f t="shared" si="527"/>
        <v>ok</v>
      </c>
      <c r="DD303">
        <f t="shared" si="528"/>
        <v>16</v>
      </c>
      <c r="DE303" t="str">
        <f t="shared" si="529"/>
        <v>2P С16А 30мА</v>
      </c>
      <c r="DF303">
        <f t="shared" si="530"/>
        <v>30</v>
      </c>
      <c r="DG303">
        <f t="shared" si="531"/>
        <v>1</v>
      </c>
      <c r="DH303">
        <f t="shared" si="532"/>
        <v>0</v>
      </c>
      <c r="DI303">
        <f t="shared" si="533"/>
        <v>0.8204451193747313</v>
      </c>
      <c r="DJ303">
        <f t="shared" si="534"/>
        <v>1</v>
      </c>
      <c r="DK303">
        <f>IF(ISNUMBER(AL303),AL303,К_прокл)</f>
        <v>1</v>
      </c>
      <c r="DL303">
        <f t="shared" si="535"/>
        <v>2</v>
      </c>
      <c r="DM303">
        <f>IFERROR(N(VLOOKUP(BT303,Кабель_обозначение,3,FALSE)),1)</f>
        <v>1</v>
      </c>
      <c r="DN303">
        <f>IFERROR(N(_xlfn.XLOOKUP(A303,Щиты[Щит],Щиты[ΔU до шин, %])),0)</f>
        <v>1.79</v>
      </c>
      <c r="DO303" t="str">
        <f>IFERROR(_xlfn.XLOOKUP(A303,Щиты[Щит],Щиты[Zпетли на шинах, Ом]),"")</f>
        <v/>
      </c>
      <c r="DP303">
        <f>IFERROR(N(_xlfn.XLOOKUP(A303,Щиты[Щит],Щиты[ΔU до шин (подбор), %])),0)</f>
        <v>4.75</v>
      </c>
      <c r="DQ303" t="str">
        <f>IFERROR(_xlfn.XLOOKUP(A303,Щиты[Щит],Щиты[Zпетли на шинах (подбор), Ом]),"")</f>
        <v/>
      </c>
      <c r="DR303" t="str">
        <f t="shared" si="536"/>
        <v/>
      </c>
      <c r="DS303">
        <f t="shared" si="537"/>
        <v>84</v>
      </c>
      <c r="DT303">
        <f t="shared" si="538"/>
        <v>2</v>
      </c>
      <c r="DU303">
        <f t="shared" si="539"/>
        <v>0.31</v>
      </c>
      <c r="DV303" s="6">
        <f>IF(B303="","",IF(IFERROR(VLOOKUP(AX303,УГО_спр,2,FALSE),"")="Светильник",3,4)+IF(Методика="нормы 2026",MIN(0.5,MAX(0,N(Q303)-100)*0.005),0))</f>
        <v>4</v>
      </c>
      <c r="DW303" t="str" cm="1">
        <f t="array" ref="DW303">IF(OR(B303="",BT303="",DM303&lt;&gt;1),"",_xlfn.LET(_xlpm.sz,Iдоп_S,_xlpm.t_,CHOOSE(DL303,Iдоп_1ж,Iдоп_2ж,Iдоп_3ж)*DJ303*DK303,_xlpm.inn,N(DD303),_xlpm.smin,MAX(1.5,BW303),_xlpm.L_,N(Q303)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303)*(_xlpm.rho*_xlpm.L_/_xlpm.sz*N(BY303)+_xlpm.xx*_xlpm.L_*N(DU303)/1000)*N(P303)/((Uн_лин/SQRT(3))*1000)*100,999),_xlpm.kz,IF(OR(DG303=1,NOT(ISNUMBER(DQ303)),_xlpm.L_=0,_xlpm.inn=0),1,IFERROR(--(c_min*(Uн_лин*1000/SQRT(3))/(DQ303+2*ρкз_Cu*_xlpm.L_/_xlpm.sz)&gt;=GY303*_xlpm.inn),0)),_xlpm.ok,IFERROR((_xlpm.sz&gt;=_xlpm.smin)*(_xlpm.t_&gt;=_xlpm.inn)*IF(_xlpm.L_&gt;0,(_xlpm.du_+DP303&lt;=DV303+0.00001),1)*_xlpm.kz,0),_xlpm.r_,_xlfn._xlws.FILTER(_xlpm.sz,_xlpm.ok,"не подобрано"),INDEX(_xlpm.r_,1)))</f>
        <v>не подобрано</v>
      </c>
      <c r="DX303">
        <f t="shared" si="540"/>
        <v>2.5</v>
      </c>
      <c r="DY303" cm="1">
        <f t="array" ref="DY303">IF(OR(B303="",BT303="",DM303&lt;&gt;1),"",_xlfn.LET(_xlpm.sz,Iдоп_S,_xlpm.t_,CHOOSE(DL303,Iдоп_1ж,Iдоп_2ж,Iдоп_3ж)*DJ303*DK303,_xlpm.ok,IFERROR((_xlpm.sz&gt;=MAX(1.5,BW303))*(_xlpm.t_&gt;=N(DD303)),0),_xlpm.r_,_xlfn._xlws.FILTER(_xlpm.sz,_xlpm.ok,""),INDEX(_xlpm.r_,1)))</f>
        <v>1.5</v>
      </c>
      <c r="DZ303" s="6" cm="1">
        <f t="array" ref="DZ303">IFERROR(ROUNDUP(N(DT303)*(_xlfn.XLOOKUP(DY303,INDEX(Кабель_сопротивление,0,1),INDEX(Кабель_сопротивление,0,3))*N(Q303)/DY303*N(BY303)+_xlfn.XLOOKUP(DY303,INDEX(Кабель_сопротивление,0,1),INDEX(Кабель_сопротивление,0,2))*N(Q303)*N(DU303)/1000)*N(P303)/((Uн_лин/SQRT(3))*1000)*100,2),"")</f>
        <v>0.89</v>
      </c>
      <c r="EA303">
        <f>IFERROR(2*ρкз_Cu*N(Q303)/DY303,"")</f>
        <v>3.0508000000000002</v>
      </c>
      <c r="EB303">
        <f>IFERROR(VLOOKUP(DX303,Кабель_сопротивление,3,FALSE),"")</f>
        <v>2.2499999999999999E-2</v>
      </c>
      <c r="EC303">
        <f>IFERROR(VLOOKUP(DX303,Кабель_сопротивление,2,FALSE),"")</f>
        <v>0.1</v>
      </c>
      <c r="ED303">
        <f t="shared" si="541"/>
        <v>36</v>
      </c>
      <c r="EE303">
        <f t="shared" si="542"/>
        <v>33</v>
      </c>
      <c r="EF303">
        <f t="shared" si="543"/>
        <v>1.225001685067695</v>
      </c>
      <c r="EG303" s="6">
        <f>IFERROR(ROUNDUP(EF303/((Uн_лин/SQRT(3))*1000)*100,2),"")</f>
        <v>0.54</v>
      </c>
      <c r="EH303" t="str">
        <f>IFERROR(VLOOKUP(BT303,Кабель_обозначение,2,FALSE),"")</f>
        <v>ВВГнг(А)-LS</v>
      </c>
      <c r="EI303" t="str">
        <f t="shared" si="544"/>
        <v>ВВГнг(А)-LS (3х2,5)</v>
      </c>
      <c r="EJ303" t="str">
        <f t="shared" si="545"/>
        <v>ВВГнг(А)-LS (3х2,5)
L=87-0,54%</v>
      </c>
      <c r="EK303">
        <f>IFERROR(2*ρкз_Cu*Q303/DX303,"")</f>
        <v>1.8304800000000001</v>
      </c>
      <c r="EL303">
        <f t="shared" si="546"/>
        <v>0.6090000000000001</v>
      </c>
      <c r="EM303" s="6" t="str">
        <f>IFERROR(IF(OR(B303="",NOT(ISNUMBER(DX303)),N(Q303)=0),"",_xlfn.XLOOKUP(A303,Щиты[Щит],Щиты[Zпетли на шинах, Ом])+EK303),"")</f>
        <v/>
      </c>
      <c r="EN303" s="6" t="str">
        <f>IF(ISNUMBER(EM303),c_min*(Uн_лин*1000/SQRT(3))/EM303,"")</f>
        <v/>
      </c>
      <c r="EO303" s="6" t="str">
        <f>IFERROR(IF(OR(B303="",NOT(ISNUMBER(DX303))),"",1.05*(Uн_лин*1000/SQRT(3))/(_xlfn.XLOOKUP(A303,Щиты[Щит],Щиты[Zmax на шинах, Ом])+EL303)/1000),"")</f>
        <v/>
      </c>
      <c r="EP303" s="6" t="str">
        <f>IF(B303="","",IF(ISNUMBER(Y303),"Сил",IF(IFERROR(_xlfn.XLOOKUP(AX303,Коды_код,Коды_группа)&amp;"","")="","Быт",_xlfn.XLOOKUP(AX303,Коды_код,Коды_группа)&amp;"")))</f>
        <v>Быт</v>
      </c>
      <c r="EQ303" s="6" t="str">
        <f t="shared" si="547"/>
        <v>Быт</v>
      </c>
      <c r="ER303" s="6">
        <f>IF(EQ303="Щит","щит",IF(EQ303="","",IF(EQ303="Быт",IFERROR(_xlfn.XLOOKUP(A303,Щиты[Щит],Щиты[Кс быт]),1),IF(EQ303="Сил",IF(ISNUMBER(Y303),Y303,IF(Методика="нормы 2026",IFERROR(_xlfn.XLOOKUP(A303,Щиты[Щит],Щиты[Кс силовых (табл. 7.5)]),1),1)),IF(OR(EQ303="Пост",EQ303="Отоп"),1,IF(EQ303="ВНГ",0.7,0))))))</f>
        <v>0.8</v>
      </c>
      <c r="ES303">
        <f t="shared" si="548"/>
        <v>1</v>
      </c>
      <c r="ET303">
        <f t="shared" si="549"/>
        <v>0.18</v>
      </c>
      <c r="EU303">
        <f t="shared" si="550"/>
        <v>0.18</v>
      </c>
      <c r="EV303">
        <f t="shared" si="551"/>
        <v>0</v>
      </c>
      <c r="EW303">
        <f t="shared" si="552"/>
        <v>0</v>
      </c>
      <c r="EX303">
        <f t="shared" si="553"/>
        <v>0</v>
      </c>
      <c r="EY303">
        <f t="shared" si="554"/>
        <v>0</v>
      </c>
      <c r="EZ303">
        <f t="shared" si="555"/>
        <v>0.18</v>
      </c>
      <c r="FA303">
        <f t="shared" si="556"/>
        <v>0.17099999999999999</v>
      </c>
      <c r="FB303">
        <f t="shared" si="557"/>
        <v>0.18</v>
      </c>
      <c r="FC303" t="str">
        <f t="shared" si="558"/>
        <v>L1</v>
      </c>
      <c r="FD303" t="str">
        <f>IF(B303="","",IF(CA303=0,IF(AW303=1,"",FF302),IF(OR(N(CV303)&gt;=3,N(BR303)&gt;=3),"L1,L2,L3",IFERROR(_xlfn.TEXTBEFORE(_xlfn.TEXTAFTER(_xlfn.XLOOKUP(A303,Щиты[Щит],Щиты[_фазы авто]),";"&amp;AW303&amp;":"),";"),"L1"))))</f>
        <v>L1</v>
      </c>
      <c r="FE303" t="str">
        <f t="shared" si="559"/>
        <v>L1</v>
      </c>
      <c r="FF303" t="str">
        <f t="shared" si="560"/>
        <v>L1</v>
      </c>
      <c r="FG303" cm="1">
        <f t="array" ref="FG303">IFERROR(IF(BX303=2,_xlfn.IFS(BR303=3,VLOOKUP(BN303,Справочная_двигатели,3,FALSE),BR303=1,VLOOKUP(BN303,Справочная_двигатели,5,TRUE)),0),0)</f>
        <v>0</v>
      </c>
      <c r="FH303">
        <f>IFERROR(IF(BX303=3,VLOOKUP(BN303,Справочная_ЛЭД,2,TRUE),0),0)</f>
        <v>0</v>
      </c>
      <c r="FI303" s="6">
        <f t="shared" si="561"/>
        <v>0</v>
      </c>
      <c r="FJ303" t="str" cm="1">
        <f t="array" ref="FJ303">IF(B303="","",IFERROR(INDEX({"I особая","I","II","III"},MATCH(TRIM(AC303&amp;""),{"I особая","I","II","III"},0)),"III"))</f>
        <v>II</v>
      </c>
      <c r="FK303" t="str">
        <f>IF(B303="","",IF(TRIM(AD303&amp;"")&lt;&gt;"",IF(LOWER(TRIM(AD303&amp;""))="да","да","нет"),IF(IFERROR(_xlfn.XLOOKUP(AX303,Коды_код,Коды_пожарная),"")="да","да","нет")))</f>
        <v>нет</v>
      </c>
      <c r="FL303" t="str">
        <f t="shared" si="562"/>
        <v/>
      </c>
      <c r="FM303" t="str">
        <f t="shared" si="563"/>
        <v>основная</v>
      </c>
      <c r="FN303">
        <f t="shared" si="564"/>
        <v>1</v>
      </c>
      <c r="FO303" t="str" cm="1">
        <f t="array" ref="FO303">IF(B303="","",_xlfn.LET(_xlpm.t,IFERROR(_xlfn.XLOOKUP(1,(Шины[Шина]=FM303)*(((Шины[Щит]=A303)+(Шины[Щит]=""))&gt;0),Шины[Тип]),"")&amp;"",IF(_xlpm.t&lt;&gt;"",_xlpm.t,IF(ISNUMBER(SEARCH("ИБП",FM303)),"ИБП",IF(ISNUMBER(SEARCH("ДГУ",FM303)),"ДГУ","Ввод "&amp;FN303)))))</f>
        <v>Ввод 1</v>
      </c>
      <c r="FP303" t="str">
        <f t="shared" si="565"/>
        <v>Ввод 1</v>
      </c>
      <c r="FQ303" t="str">
        <f>IF(B303="","",IF(OR(FO303="ИБП",FO303="ДГУ"),"I особая",IF(FO303="Одиночная","III",_xlfn.XLOOKUP(A303,Щиты[Щит],Щиты[Категория шины «Ввод»],"III"))))</f>
        <v>II</v>
      </c>
      <c r="FR303">
        <f>IF(B303="",0,IFERROR(MATCH(FJ303,{"III","II","I","I особая"},0),1))</f>
        <v>2</v>
      </c>
      <c r="FS303">
        <f t="shared" si="566"/>
        <v>2</v>
      </c>
      <c r="FT303" t="str">
        <f>IF(B303="","",IF(FR303&gt;IFERROR(MATCH(FQ303,{"III","II","I","I особая"},0),1),"НЕ ОБЕСПЕЧЕНА","ОК"))</f>
        <v>ОК</v>
      </c>
      <c r="FU303" t="str">
        <f>IF(A303="","",_xlfn.XLOOKUP(A303,Щиты[Щит],Щиты[Путь],""))</f>
        <v>|ГРЩ-ЖД|ЩР-2|</v>
      </c>
      <c r="FV303" t="str">
        <f>IF(B303="","",IF(AE303&lt;&gt;"",AE303,IF(IFERROR(_xlfn.XLOOKUP(AX303,Коды_код,Коды_вид)&amp;"","")="","Прочее",_xlfn.XLOOKUP(AX303,Коды_код,Коды_вид)&amp;"")))</f>
        <v>Розеточная сеть и бытовые приборы</v>
      </c>
      <c r="FW303">
        <f>IF(BH303="","",INT((BH303-1)/Столбцов_на_лист)+1)</f>
        <v>3</v>
      </c>
      <c r="FX303" t="str">
        <f t="shared" si="567"/>
        <v>ВВГнг(А)-LS (3х2,5) L=87-0,54%</v>
      </c>
      <c r="FY303">
        <f t="shared" si="568"/>
        <v>0.18</v>
      </c>
      <c r="FZ303">
        <f t="shared" si="569"/>
        <v>0.83</v>
      </c>
      <c r="GA303">
        <f t="shared" si="570"/>
        <v>1</v>
      </c>
      <c r="GB303">
        <f t="shared" si="571"/>
        <v>0</v>
      </c>
      <c r="GC303">
        <f t="shared" si="572"/>
        <v>1</v>
      </c>
      <c r="GD303">
        <f>IF(BH303="","",IF(AND(CA303=1,GC303=1),COUNTIFS(A$3:A303,A303,CA$3:CA303,1,GC$3:GC303,1),IF(OR(OR(AW303=1,A303&lt;&gt;A302),AF303="вручную",GC303=0),"",IF(AW303=1,"",GE302))))</f>
        <v>20</v>
      </c>
      <c r="GE303">
        <f t="shared" si="573"/>
        <v>20</v>
      </c>
      <c r="GF303">
        <f>IF(B303="","",IFERROR(LOOKUP(INDEX(CHOOSE(DL303,Iдоп_1ж,Iдоп_2ж,Iдоп_3ж),MATCH(DX303,Iдоп_S,0))*DJ303*DK303,{6,10,16,20,25,32,40,50,63,80,100,125,160,200,250,315,400,500,630}),""))</f>
        <v>25</v>
      </c>
      <c r="GG303" t="str">
        <f t="shared" si="574"/>
        <v>QFD20</v>
      </c>
      <c r="GH303" t="str">
        <f t="shared" si="575"/>
        <v>QFD20</v>
      </c>
      <c r="GI303" t="str">
        <f t="shared" si="576"/>
        <v/>
      </c>
      <c r="GJ303">
        <f t="shared" si="577"/>
        <v>0</v>
      </c>
      <c r="GK303" t="str">
        <f>IF(OR(AG303="",AG303="-"),"",IFERROR(VLOOKUP(AG303,Модули_спр,2,FALSE),"R"))</f>
        <v/>
      </c>
      <c r="GL303" t="str">
        <f>IF(GK303="","",GK303&amp;"."&amp;COUNTIFS(A$3:A303,A303,GK$3:GK303,GK303))</f>
        <v/>
      </c>
      <c r="GM303" t="str">
        <f t="shared" si="578"/>
        <v/>
      </c>
      <c r="GN303" t="str">
        <f t="shared" si="579"/>
        <v/>
      </c>
      <c r="GO303" t="str">
        <f t="shared" si="580"/>
        <v/>
      </c>
      <c r="GP303" t="str">
        <f t="shared" si="581"/>
        <v/>
      </c>
      <c r="GQ303">
        <f t="shared" si="582"/>
        <v>1</v>
      </c>
      <c r="GR303" t="str">
        <f>IF(GQ303=1,"XT"&amp;COUNTIFS(A$3:A303,A303,GQ$3:GQ303,1),"")</f>
        <v>XT20</v>
      </c>
      <c r="GS303" t="str">
        <f t="shared" si="583"/>
        <v/>
      </c>
      <c r="GT303" t="str">
        <f t="shared" si="584"/>
        <v>QFD20</v>
      </c>
      <c r="GU303" t="str">
        <f t="shared" si="585"/>
        <v/>
      </c>
      <c r="GV303" t="str">
        <f t="shared" si="586"/>
        <v>ok</v>
      </c>
      <c r="GW303" t="str">
        <f>IF(OR(GO303="",GM303=""),"",IF(GO303&gt;IFERROR(VLOOKUP(GN303,Модули_спр,3,FALSE),99),"ЛИШНИЙ КАНАЛ",IF(AND(AH303&lt;&gt;"=",COUNTIFS(Линии[_модуль гр.],GM303,Линии[Канал (итог)],GO303,Линии[Канал],"&lt;&gt;=",Линии[Щит],A303)&gt;1),"ДУБЛЬ КАНАЛА","")))</f>
        <v/>
      </c>
      <c r="GX303" s="6" t="str">
        <f t="shared" si="587"/>
        <v/>
      </c>
      <c r="GY303">
        <f t="shared" si="588"/>
        <v>10</v>
      </c>
      <c r="GZ303" t="str">
        <f t="shared" si="589"/>
        <v/>
      </c>
      <c r="HA303" t="str">
        <f>IF(AND(B303="",GT303=""),"",_xlfn.TEXTJOIN("; ",TRUE,IF(AND(B303&lt;&gt;"",FE303=""),"нет фазы",""),IF(AND(B303&lt;&gt;"",N(FY303)=0,EQ303&lt;&gt;"Нет"),"нет мощности",""),IF(AND(GS303&lt;&gt;"",COUNTIFS(Линии[Щит],A303,Линии[Клемма (итог)],GS303)&gt;1),"дубль клеммы "&amp;GS303,""),IF(AND(GV303&lt;&gt;"",GV303&lt;&gt;"ok"),GV303,""),IF(GW303&lt;&gt;"",GW303,""),IF(AND(N(BV303)&gt;=4,N(BR303)=1),BV303&amp;" жил на 1 фазе",""),IF(AND(AX303="R",CA303=1,OR(N(CK303)=0,N(CK303)&gt;30)),"розетка без дифзащиты до 30 мА",""),IFERROR(IF(AND(ISNUMBER(R303),R303&gt;DV303),"потери "&amp;FIXED(R303,1)&amp;" % &gt; "&amp;DV303&amp;" %",""),""),IFERROR(IF(LEFT(GZ303,4)="мало","Iкз мало — отключение &gt; 0,4 с",""),""),IF(AND(B303&lt;&gt;"",BH303=""),"не на схеме",""),IF(AND(CA303=0,B303&lt;&gt;"",FE303&lt;&gt;"",IF(AW303=1,"",FF302)&lt;&gt;"",FE303&lt;&gt;IF(AW303=1,"",FF302)),"фаза не как у автомата группы ("&amp;IF(AW303=1,"",FF302)&amp;")","")))</f>
        <v/>
      </c>
      <c r="HB303" s="6">
        <f>IF(OR(CA303=0,DA303=""),"",_xlfn.LET(_xlpm.t,IFERROR(_xlfn.XLOOKUP(DA303,Каталог!$U$4:$U$500,Каталог!$G$4:$G$500),""),_xlpm.k,SEARCH("кА",_xlpm.t),IFERROR(--TRIM(RIGHT(SUBSTITUTE(MID(_xlpm.t,MAX(1,_xlpm.k-4),_xlpm.k-MAX(1,_xlpm.k-4))," ",REPT(" ",9)),5)),"")))</f>
        <v>6</v>
      </c>
      <c r="HC303" t="str">
        <f>IF(OR(HB303="",CA303=0),"",IF(_xlfn.XLOOKUP(A303,Щиты[Щит],Щиты[Iкз max на шинах, кА],"")="","",IF(HB303&lt;_xlfn.XLOOKUP(A303,Щиты[Щит],Щиты[Iкз max на шинах, кА]),"Icu "&amp;HB303&amp;" кА &lt; Iкз max","ok")))</f>
        <v/>
      </c>
      <c r="HD303" t="str">
        <f t="shared" si="590"/>
        <v/>
      </c>
      <c r="HE303" t="str">
        <f t="shared" si="591"/>
        <v>QFD20</v>
      </c>
      <c r="HF303" t="str">
        <f t="shared" si="592"/>
        <v>QFD20|кабель ВВГнг(А)-LS (3х2,5) → Розеточная группа, пом. 001</v>
      </c>
      <c r="HG303" t="str" cm="1">
        <f t="array" ref="HG303">IF(HF303="","",_xlfn.LET(_xlpm.nd,_xlfn.TEXTSPLIT(HF303,"|"),IF(COLUMNS(_xlpm.nd)&gt;1,A303&amp;"¦"&amp;INDEX(_xlpm.nd,1)&amp;"¦"&amp;INDEX(_xlpm.nd,2),"")))</f>
        <v>ЩР-2¦QFD20¦кабель ВВГнг(А)-LS (3х2,5) → Розеточная группа, пом. 001</v>
      </c>
      <c r="HH303" t="str">
        <f t="shared" si="593"/>
        <v>R.2.001.1¦Розеточная группа, пом. 001</v>
      </c>
      <c r="HI303" t="str" cm="1">
        <f t="array" ref="HI303">IF(HF303="","",_xlfn.LET(_xlpm.nd,_xlfn.TEXTSPLIT(HF303,"|"),IF(COLUMNS(_xlpm.nd)&gt;2,A303&amp;"¦"&amp;INDEX(_xlpm.nd,2)&amp;"¦"&amp;INDEX(_xlpm.nd,3),"")))</f>
        <v/>
      </c>
      <c r="HJ303" t="str">
        <f t="shared" si="594"/>
        <v/>
      </c>
      <c r="HK303" t="str" cm="1">
        <f t="array" ref="HK303">IF(HF303="","",_xlfn.LET(_xlpm.nd,_xlfn.TEXTSPLIT(HF303,"|"),IF(COLUMNS(_xlpm.nd)&gt;3,A303&amp;"¦"&amp;INDEX(_xlpm.nd,3)&amp;"¦"&amp;INDEX(_xlpm.nd,4),"")))</f>
        <v/>
      </c>
      <c r="HL303" t="str">
        <f t="shared" si="595"/>
        <v/>
      </c>
      <c r="HM303" t="str" cm="1">
        <f t="array" ref="HM303">IF(HF303="","",_xlfn.LET(_xlpm.nd,_xlfn.TEXTSPLIT(HF303,"|"),IF(COLUMNS(_xlpm.nd)&gt;4,A303&amp;"¦"&amp;INDEX(_xlpm.nd,4)&amp;"¦"&amp;INDEX(_xlpm.nd,5),"")))</f>
        <v/>
      </c>
      <c r="HN303" t="str">
        <f t="shared" si="596"/>
        <v/>
      </c>
      <c r="HO303" t="str" cm="1">
        <f t="array" ref="HO303">IF(HF303="","",_xlfn.LET(_xlpm.nd,_xlfn.TEXTSPLIT(HF303,"|"),IF(COLUMNS(_xlpm.nd)&gt;5,A303&amp;"¦"&amp;INDEX(_xlpm.nd,5)&amp;"¦"&amp;INDEX(_xlpm.nd,6),"")))</f>
        <v/>
      </c>
      <c r="HP303" t="str">
        <f t="shared" si="597"/>
        <v/>
      </c>
      <c r="HQ303" t="str" cm="1">
        <f t="array" ref="HQ303">IF(HF303="","",_xlfn.LET(_xlpm.nd,_xlfn.TEXTSPLIT(HF303,"|"),IF(COLUMNS(_xlpm.nd)&gt;6,A303&amp;"¦"&amp;INDEX(_xlpm.nd,6)&amp;"¦"&amp;INDEX(_xlpm.nd,7),"")))</f>
        <v/>
      </c>
      <c r="HR303" t="str">
        <f t="shared" si="598"/>
        <v/>
      </c>
      <c r="HS303" t="str">
        <f t="shared" si="599"/>
        <v/>
      </c>
      <c r="HT303" t="str">
        <f t="shared" si="600"/>
        <v>QFD20</v>
      </c>
      <c r="HU303">
        <f t="shared" si="601"/>
        <v>0</v>
      </c>
      <c r="HV303">
        <f t="shared" si="602"/>
        <v>1</v>
      </c>
      <c r="HW303" t="str">
        <f t="shared" si="603"/>
        <v/>
      </c>
      <c r="HX303" t="str">
        <f t="shared" si="604"/>
        <v/>
      </c>
      <c r="HY303" t="str">
        <f t="shared" si="605"/>
        <v/>
      </c>
      <c r="HZ303" t="str">
        <f t="shared" si="606"/>
        <v/>
      </c>
      <c r="IA303" t="str">
        <f>IF(B303="","",IFERROR(VLOOKUP(B303,УГО_спр,2,FALSE),IFERROR(VLOOKUP(AX303,УГО_спр,2,FALSE),IFERROR(VLOOKUP(LEFT(AX303,2),УГО_спр,2,FALSE),""))))</f>
        <v>Розетка</v>
      </c>
      <c r="IB303" t="str">
        <f>IF(B303="","",IF(OR(IA303="",IA303=0),"BOX",IFERROR(IF(VLOOKUP(IA303,УГО_блоки,3,FALSE)&amp;""&lt;&gt;"",VLOOKUP(IA303,УГО_блоки,3,FALSE),VLOOKUP(IA303,УГО_блоки,2,FALSE)),IA303)))</f>
        <v>SOCKET</v>
      </c>
      <c r="IC303">
        <f t="shared" si="607"/>
        <v>1</v>
      </c>
      <c r="ID303" t="str">
        <f>IF(DA303="","",IF(COUNTIF(DA$3:DA303,DA303)=1,MAX(ID$2:ID302)+1,""))</f>
        <v/>
      </c>
      <c r="IE303" t="str">
        <f>IF(CO303="","",IF(COUNTIF(CO$3:CO303,CO303)+COUNTIF(CP$2:CP302,CO303)+COUNTIF(CQ$2:CQ302,CO303)=1,MAX(IE$2:IG302)+1,""))</f>
        <v/>
      </c>
      <c r="IF303" t="str">
        <f>IF(CP303="","",IF(COUNTIF(CO$3:CO303,CP303)+COUNTIF(CP$3:CP303,CP303)+COUNTIF(CQ$2:CQ302,CP303)=1,MAX(IE$2:IG302,IE303)+1,""))</f>
        <v/>
      </c>
      <c r="IG303" t="str">
        <f>IF(CQ303="","",IF(COUNTIF(CO$3:CO303,CQ303)+COUNTIF(CP$3:CP303,CQ303)+COUNTIF(CQ$3:CQ303,CQ303)=1,MAX(IE$2:IG302,IE303,IF303)+1,""))</f>
        <v/>
      </c>
      <c r="IH303" t="str">
        <f t="shared" si="608"/>
        <v>3х2,5</v>
      </c>
      <c r="II303" t="str">
        <f>IF(IH303="","",IF(COUNTIF(IH$3:IH303,IH303)=1,MAX(II$2:II302)+1,""))</f>
        <v/>
      </c>
      <c r="IJ303" t="str">
        <f>IF(GL303="","",COUNTIF(GL$3:GL303,"?*"))</f>
        <v/>
      </c>
      <c r="IK303" t="str">
        <f>IF(OR(GL303="",GN303=""),"",IF(COUNTIFS(GL$3:GL303,"?*",GN$3:GN303,GN303)=1,MAX(IK$2:IK302)+1,""))</f>
        <v/>
      </c>
      <c r="IL303">
        <f t="shared" si="609"/>
        <v>0</v>
      </c>
      <c r="IM303">
        <f>IF(B303="","",COUNTIF(B$3:B303,"?*"))</f>
        <v>301</v>
      </c>
      <c r="IN303">
        <f>IF(GQ303&lt;&gt;1,0,_xlfn.LET(_xlpm.k,MAX(IFERROR(--VLOOKUP(B303,УГО_спр,5,FALSE),0),IFERROR(--VLOOKUP(AX303,УГО_спр,5,FALSE),0),IFERROR(--VLOOKUP(LEFT(AX303,2),УГО_спр,5,FALSE),0)),IF(_xlpm.k&gt;0,_xlpm.k,IF(IFERROR(--LEFT(SUBSTITUTE(IH303,"x","х"),FIND("х",SUBSTITUTE(IH303,"x","х"))-1),3)&gt;3,Каталог!$S$9,1))))</f>
        <v>1</v>
      </c>
      <c r="IO303">
        <f t="shared" si="610"/>
        <v>0</v>
      </c>
      <c r="IP303" t="str">
        <f t="shared" si="611"/>
        <v>авто</v>
      </c>
      <c r="IQ303">
        <f t="shared" si="612"/>
        <v>30</v>
      </c>
      <c r="IR303">
        <f t="shared" si="613"/>
        <v>1</v>
      </c>
      <c r="IS303">
        <f t="shared" si="614"/>
        <v>1</v>
      </c>
    </row>
    <row r="304" spans="1:253" x14ac:dyDescent="0.3">
      <c r="A304" t="s">
        <v>761</v>
      </c>
      <c r="B304" t="s">
        <v>1568</v>
      </c>
      <c r="C304" t="str">
        <f>Линии[[#This Row],[_авто наименование]]</f>
        <v>Розеточная группа, пом. 003Г</v>
      </c>
      <c r="D304">
        <v>1</v>
      </c>
      <c r="E304">
        <v>0.12</v>
      </c>
      <c r="G304">
        <v>16</v>
      </c>
      <c r="H304">
        <f>Линии[[#This Row],[_авто утечка]]</f>
        <v>30</v>
      </c>
      <c r="I304" t="str">
        <f>Линии[[#This Row],[_авто управление]]</f>
        <v/>
      </c>
      <c r="J304" t="str">
        <f>Линии[[#This Row],[_авто аппараты]]</f>
        <v/>
      </c>
      <c r="K304">
        <v>2.5</v>
      </c>
      <c r="L304">
        <v>44</v>
      </c>
      <c r="M304">
        <v>1</v>
      </c>
      <c r="N304" t="s">
        <v>486</v>
      </c>
      <c r="O304" t="str">
        <f t="shared" si="492"/>
        <v/>
      </c>
      <c r="P304" s="6" cm="1">
        <f t="array" ref="P304">IF(B304="","",IF(BC304&lt;&gt;"",IFERROR(_xlfn.XLOOKUP(BC304,Щиты[Щит],Щиты[Iр, А]),""),IF(BK304=1,IFERROR(_xlfn.XLOOKUP(A304,Щиты[Щит],Щиты[Iр, А]),""),IFERROR(_xlfn.IFS(BR304=1,BN304/((Uн_лин/SQRT(3))*BY304),BR304=3,BN304/(SQRT(3)*Uн_лин*BY304)),""))))</f>
        <v>0.54696341291648753</v>
      </c>
      <c r="Q304" s="7">
        <f>IF(B304="","",IFERROR(IF(VLOOKUP(AX304,Потребители_обозначение,4,FALSE)=1,VLOOKUP(AX304,Потребители_обозначение,3,FALSE)*(D304*2-1)+DS304+VLOOKUP(AZ304,Этаж_обозначение,3,FALSE)+VLOOKUP(AZ304,Этаж_обозначение,4,FALSE),VLOOKUP(AX304,Потребители_обозначение,3,FALSE)*(D304*2-1)+DS304),DS304))</f>
        <v>47</v>
      </c>
      <c r="R304" s="6">
        <f t="shared" si="493"/>
        <v>1.99</v>
      </c>
      <c r="S304" t="str">
        <f t="shared" si="494"/>
        <v>ВВГнг(А)-LS (3х2,5)</v>
      </c>
      <c r="T304" t="str">
        <f>IF(BH304="","",IF(BI304="вводной узел","узел ","")&amp;"л."&amp;(INT((BH304-1)/Столбцов_на_лист)+1)&amp;" / "&amp;(MOD(BH304-1,Столбцов_на_лист)+1))</f>
        <v>л.3 / 6</v>
      </c>
      <c r="V304">
        <v>1</v>
      </c>
      <c r="W304">
        <v>230</v>
      </c>
      <c r="X304" t="s">
        <v>564</v>
      </c>
      <c r="AC304" t="s">
        <v>815</v>
      </c>
      <c r="AE304" t="s">
        <v>563</v>
      </c>
      <c r="AI304">
        <v>40</v>
      </c>
      <c r="AJ304" t="s">
        <v>11</v>
      </c>
      <c r="AK304">
        <v>3</v>
      </c>
      <c r="AM304">
        <v>12</v>
      </c>
      <c r="AN304">
        <v>27</v>
      </c>
      <c r="AO304">
        <v>8</v>
      </c>
      <c r="AP304">
        <v>2</v>
      </c>
      <c r="AW304" cm="1">
        <f t="array" ref="AW304">ROW()-ROW(Линии[#Headers])</f>
        <v>302</v>
      </c>
      <c r="AX304" s="6" t="str">
        <f t="shared" si="495"/>
        <v>R</v>
      </c>
      <c r="AY304" t="str">
        <f t="shared" si="496"/>
        <v>2.003Г.1</v>
      </c>
      <c r="AZ304" t="str">
        <f t="shared" si="497"/>
        <v>2</v>
      </c>
      <c r="BA304" t="str">
        <f t="shared" si="498"/>
        <v>003Г.1</v>
      </c>
      <c r="BB304" t="str">
        <f t="shared" si="499"/>
        <v>003Г</v>
      </c>
      <c r="BC304" t="str">
        <f>IF(U304&lt;&gt;"",U304,IF(AND(B304&lt;&gt;"",B304&lt;&gt;A304,ISNUMBER(_xlfn.XMATCH(B304,Щиты[Щит]))),B304,""))</f>
        <v/>
      </c>
      <c r="BD304" t="str" cm="1">
        <f t="array" ref="BD304">IF(B304="","",IF(BC304&lt;&gt;"","Щит "&amp;BC304,_xlfn.LET(_xlpm.nm,IFERROR(_xlfn.XLOOKUP(AX304,Коды_код,Коды_имя)&amp;"",""),_xlpm.md,IFERROR(N(_xlfn.XLOOKUP(AX304,Коды_код,Коды_режим)),1),_xlpm.ex,IF(Имя_режим="по экспликации",IFERROR(_xlfn.XLOOKUP(AZ304&amp;"|"&amp;BB304,Экспликация[Этаж]&amp;"|"&amp;Экспликация[Помещение],Экспликация[Название])&amp;"",""),""),_xlpm.rm,IF(BB304="","",IF(_xlpm.ex&lt;&gt;"",". "&amp;_xlpm.ex&amp;IF(Имя_пом="нет"," ("&amp;BB304&amp;")"," (пом. "&amp;BB304&amp;")"),IF(Имя_пом="нет"," ",", пом. ")&amp;BB304)),IF(_xlpm.nm="","",IF(_xlpm.md=2,_xlpm.nm&amp;" шлейф "&amp;AZ304,_xlpm.nm&amp;_xlpm.rm)))))</f>
        <v>Розеточная группа, пом. 003Г</v>
      </c>
      <c r="BE304" t="str">
        <f t="shared" si="500"/>
        <v>Розеточная группа, пом. 003Г</v>
      </c>
      <c r="BF304">
        <f>IFERROR(_xlfn.XMATCH(A304,Щиты[Щит]),0)</f>
        <v>11</v>
      </c>
      <c r="BG304">
        <f>_xlfn.LET(_xlpm.k,IFERROR(_xlfn.XLOOKUP(A304,Щиты[Щит],Щиты[Листов под вводной узел]),""),IF(_xlpm.k="",1,N(_xlpm.k))*Столбцов_на_лист)</f>
        <v>17</v>
      </c>
      <c r="BH304">
        <f t="shared" si="501"/>
        <v>40</v>
      </c>
      <c r="BI304" t="str">
        <f t="shared" si="502"/>
        <v>линии</v>
      </c>
      <c r="BJ304" s="6">
        <f>IFERROR(N(_xlfn.XLOOKUP(AX304,Коды_код,Коды_квт)),0)</f>
        <v>0</v>
      </c>
      <c r="BK304">
        <f t="shared" si="503"/>
        <v>0</v>
      </c>
      <c r="BL304" t="str">
        <f>IF(B304="","",IF(BC304&lt;&gt;"",IFERROR(_xlfn.XLOOKUP(BC304,Щиты[Щит],Щиты[Руст, кВт]),0),IF(BK304=1,IFERROR(_xlfn.XLOOKUP(A304,Щиты[Щит],Щиты[Руст, кВт]),0),IF(BJ304&gt;0,ROUND(BJ304*MAX(1,N(D304)),3),""))))</f>
        <v/>
      </c>
      <c r="BM304">
        <f t="shared" si="504"/>
        <v>0.12</v>
      </c>
      <c r="BN304" s="6">
        <f>IF(B304="","",IF(BC304&lt;&gt;"",IFERROR(_xlfn.XLOOKUP(BC304,Щиты[Щит],Щиты[Руст, кВт]),0),N(BM304)))</f>
        <v>0.12</v>
      </c>
      <c r="BO304" t="str">
        <f>IF(B304="","",IFERROR(IF(VLOOKUP(AX304,Потребители_обозначение,8,FALSE)=0,"",VLOOKUP(AX304,Потребители_обозначение,8,FALSE)),""))</f>
        <v/>
      </c>
      <c r="BP304">
        <f t="shared" si="505"/>
        <v>230</v>
      </c>
      <c r="BQ304">
        <f>IF(B304="","",IF(BC304&lt;&gt;"",3,IFERROR(IF(N(VLOOKUP(AX304,Потребители_обозначение,9,FALSE))=0,1,VLOOKUP(AX304,Потребители_обозначение,9,FALSE)),1)))</f>
        <v>1</v>
      </c>
      <c r="BR304">
        <f t="shared" si="506"/>
        <v>1</v>
      </c>
      <c r="BS304" t="str">
        <f>IF(B304="","",_xlfn.LET(_xlpm.bc,IFERROR(IF(VLOOKUP(AX304,Потребители_обозначение,6,FALSE)=0,"",VLOOKUP(AX304,Потребители_обозначение,6,FALSE)&amp;""),""),IF(AND(FK304="да",OR(_xlpm.bc="",_xlpm.bc="мс")),Марка_пож,IF(AND(_xlpm.bc="",BC304&lt;&gt;""),"мс",_xlpm.bc))))</f>
        <v/>
      </c>
      <c r="BT304" t="str">
        <f t="shared" si="507"/>
        <v>мс</v>
      </c>
      <c r="BU304">
        <f>IF(B304="","",_xlfn.LET(_xlpm.cc,IFERROR(N(VLOOKUP(AX304,Потребители_обозначение,7,FALSE)),0),IF(_xlpm.cc&gt;0,_xlpm.cc,IF(BT304="","",IF(N(BR304)=3,5,3)))))</f>
        <v>3</v>
      </c>
      <c r="BV304">
        <f t="shared" si="508"/>
        <v>3</v>
      </c>
      <c r="BW304">
        <f>IFERROR(N(VLOOKUP(AX304,Потребители_обозначение,10,FALSE)),0)</f>
        <v>0</v>
      </c>
      <c r="BX304">
        <f>IFERROR(VLOOKUP(AX304,Потребители_обозначение,5,FALSE),0)</f>
        <v>1</v>
      </c>
      <c r="BY304" s="6" cm="1">
        <f t="array" ref="BY304">IF(B304="","",IF(BC304&lt;&gt;"",IFERROR(_xlfn.XLOOKUP(BC304,Щиты[Щит],Щиты[cos φ]),0.95),IF(BK304=1,IFERROR(_xlfn.XLOOKUP(A304,Щиты[Щит],Щиты[cos φ]),0.95),IF(ISNUMBER(Z304),Z304,IFERROR(IF(BX304=2,_xlfn.IFS(BR304=3,VLOOKUP(BN304,Справочная_двигатели,8,FALSE),BR304=1,VLOOKUP(BN304,Справочная_двигатели,10,TRUE)),IF(AND(Методика="нормы 2026",EQ304="Сил"),0.8,0.95)),0.95)))))</f>
        <v>0.95</v>
      </c>
      <c r="BZ304">
        <f t="shared" si="509"/>
        <v>0</v>
      </c>
      <c r="CA304">
        <f t="shared" si="510"/>
        <v>1</v>
      </c>
      <c r="CB304">
        <f t="shared" si="511"/>
        <v>0</v>
      </c>
      <c r="CC304">
        <f t="shared" si="512"/>
        <v>0</v>
      </c>
      <c r="CD304">
        <f t="shared" si="513"/>
        <v>0</v>
      </c>
      <c r="CE304">
        <f t="shared" si="514"/>
        <v>0</v>
      </c>
      <c r="CF304">
        <f t="shared" si="515"/>
        <v>0</v>
      </c>
      <c r="CG304">
        <f>IF(AX304="",0,_xlfn.LET(_xlpm.v,IFERROR(VLOOKUP(B304,УГО_спр,3,FALSE),IFERROR(VLOOKUP(AX304,УГО_спр,3,FALSE),IFERROR(VLOOKUP(LEFT(AX304,2),УГО_спр,3,FALSE),""))),IF(_xlpm.v="да",30,IF(ISNUMBER(_xlpm.v),_xlpm.v,0))))</f>
        <v>30</v>
      </c>
      <c r="CH304">
        <f t="shared" si="516"/>
        <v>30</v>
      </c>
      <c r="CI304" t="str">
        <f>_xlfn.LET(_xlpm.k,IFERROR(_xlfn.XLOOKUP(AX304,Коды_код,Коды_утечка)&amp;"",""),IF(_xlpm.k="","дифавтомат",_xlpm.k))</f>
        <v>дифавтомат</v>
      </c>
      <c r="CJ304">
        <f t="shared" si="517"/>
        <v>30</v>
      </c>
      <c r="CK304">
        <f t="shared" si="518"/>
        <v>30</v>
      </c>
      <c r="CL304">
        <f>IF(B304="",0,IFERROR(--VLOOKUP(B304,УГО_спр,4,FALSE),IFERROR(--VLOOKUP(AX304,УГО_спр,4,FALSE),IFERROR(--VLOOKUP(LEFT(AX304,2),УГО_спр,4,FALSE),0))))</f>
        <v>16</v>
      </c>
      <c r="CM304" t="str">
        <f>IF(B304="","",IFERROR(_xlfn.XLOOKUP(AX304,Коды_код,Коды_апп)&amp;"",""))</f>
        <v/>
      </c>
      <c r="CN304" t="str">
        <f t="shared" si="519"/>
        <v/>
      </c>
      <c r="CO304" t="str" cm="1">
        <f t="array" ref="CO304">IF(TRIM(CN304&amp;"")="","",IFERROR(TRIM(INDEX(_xlfn.TEXTSPLIT(CN304&amp;";;;",";"),1)),""))</f>
        <v/>
      </c>
      <c r="CP304" t="str" cm="1">
        <f t="array" ref="CP304">IF(TRIM(CN304&amp;"")="","",IFERROR(TRIM(INDEX(_xlfn.TEXTSPLIT(CN304&amp;";;;",";"),2)),""))</f>
        <v/>
      </c>
      <c r="CQ304" t="str" cm="1">
        <f t="array" ref="CQ304">IF(TRIM(CN304&amp;"")="","",IFERROR(TRIM(INDEX(_xlfn.TEXTSPLIT(CN304&amp;";;;",";"),3)),""))</f>
        <v/>
      </c>
      <c r="CR304">
        <f t="shared" si="520"/>
        <v>0</v>
      </c>
      <c r="CS304" t="str">
        <f>IF(B304="","",_xlfn.LET(_xlpm.t,LOWER(AV304&amp;""),IF(ISNUMBER(SEARCH("dim",_xlpm.t)),"DIM",IF(ISNUMBER(SEARCH("dali",_xlpm.t)),"DALI",IF(OR(ISNUMBER(SEARCH("relay",_xlpm.t)),ISNUMBER(SEARCH("реле",_xlpm.t))),"Relay",IF(ISNUMBER(SEARCH("кнопк",_xlpm.t)),"",IFERROR(_xlfn.XLOOKUP(AX304,Коды_код,Коды_упр)&amp;"","")))))))</f>
        <v/>
      </c>
      <c r="CT304" t="str">
        <f t="shared" si="521"/>
        <v/>
      </c>
      <c r="CU304">
        <f>IF(B304="","",_xlfn.LET(_xlpm.ig,N(P304)+IF(AF304="вручную",0,N(CB304)),_xlpm.n0,IFERROR(VLOOKUP(_xlpm.ig,Автомат_номиналы,2,TRUE),0),_xlpm.mn,MAX(CL304,IF(AF304="вручную",0,N(CE304))),MAX(_xlpm.n0,_xlpm.mn,IF(CR304=1,Мин_автомат_БП,0))))</f>
        <v>16</v>
      </c>
      <c r="CV304">
        <f t="shared" si="522"/>
        <v>1</v>
      </c>
      <c r="CW304" t="str">
        <f t="shared" si="523"/>
        <v>2P</v>
      </c>
      <c r="CX304" t="str">
        <f>_xlfn.LET(_xlpm.cc,UPPER(TRIM(IFERROR(_xlfn.XLOOKUP(AX304,Коды_код,Коды_хар)&amp;"",""))),IF(OR(_xlpm.cc="B",_xlpm.cc="В"),"B",IF(_xlpm.cc="D","D","С")))</f>
        <v>С</v>
      </c>
      <c r="CY304" t="str">
        <f t="shared" si="524"/>
        <v>2P С16А 30мА</v>
      </c>
      <c r="CZ304">
        <f t="shared" si="525"/>
        <v>16</v>
      </c>
      <c r="DA304" t="str">
        <f t="shared" si="526"/>
        <v>2P С16А 30мА</v>
      </c>
      <c r="DB304" cm="1">
        <f t="array" ref="DB304">IF(DA304="","",_xlfn.LET(_xlpm.t,SUBSTITUTE(SUBSTITUTE(SUBSTITUTE(UPPER(DA304),"С","C"),"А","A"),"В","B"),_xlpm.tk,_xlfn.TEXTSPLIT(_xlpm.t,"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4" t="str">
        <f t="shared" si="527"/>
        <v>ok</v>
      </c>
      <c r="DD304">
        <f t="shared" si="528"/>
        <v>16</v>
      </c>
      <c r="DE304" t="str">
        <f t="shared" si="529"/>
        <v>2P С16А 30мА</v>
      </c>
      <c r="DF304">
        <f t="shared" si="530"/>
        <v>30</v>
      </c>
      <c r="DG304">
        <f t="shared" si="531"/>
        <v>1</v>
      </c>
      <c r="DH304">
        <f t="shared" si="532"/>
        <v>0</v>
      </c>
      <c r="DI304">
        <f t="shared" si="533"/>
        <v>0.54696341291648753</v>
      </c>
      <c r="DJ304">
        <f t="shared" si="534"/>
        <v>1</v>
      </c>
      <c r="DK304">
        <f>IF(ISNUMBER(AL304),AL304,К_прокл)</f>
        <v>1</v>
      </c>
      <c r="DL304">
        <f t="shared" si="535"/>
        <v>2</v>
      </c>
      <c r="DM304">
        <f>IFERROR(N(VLOOKUP(BT304,Кабель_обозначение,3,FALSE)),1)</f>
        <v>1</v>
      </c>
      <c r="DN304">
        <f>IFERROR(N(_xlfn.XLOOKUP(A304,Щиты[Щит],Щиты[ΔU до шин, %])),0)</f>
        <v>1.79</v>
      </c>
      <c r="DO304" t="str">
        <f>IFERROR(_xlfn.XLOOKUP(A304,Щиты[Щит],Щиты[Zпетли на шинах, Ом]),"")</f>
        <v/>
      </c>
      <c r="DP304">
        <f>IFERROR(N(_xlfn.XLOOKUP(A304,Щиты[Щит],Щиты[ΔU до шин (подбор), %])),0)</f>
        <v>4.75</v>
      </c>
      <c r="DQ304" t="str">
        <f>IFERROR(_xlfn.XLOOKUP(A304,Щиты[Щит],Щиты[Zпетли на шинах (подбор), Ом]),"")</f>
        <v/>
      </c>
      <c r="DR304" t="str">
        <f t="shared" si="536"/>
        <v/>
      </c>
      <c r="DS304">
        <f t="shared" si="537"/>
        <v>44</v>
      </c>
      <c r="DT304">
        <f t="shared" si="538"/>
        <v>2</v>
      </c>
      <c r="DU304">
        <f t="shared" si="539"/>
        <v>0.31</v>
      </c>
      <c r="DV304" s="6">
        <f>IF(B304="","",IF(IFERROR(VLOOKUP(AX304,УГО_спр,2,FALSE),"")="Светильник",3,4)+IF(Методика="нормы 2026",MIN(0.5,MAX(0,N(Q304)-100)*0.005),0))</f>
        <v>4</v>
      </c>
      <c r="DW304" t="str" cm="1">
        <f t="array" ref="DW304">IF(OR(B304="",BT304="",DM304&lt;&gt;1),"",_xlfn.LET(_xlpm.sz,Iдоп_S,_xlpm.t_,CHOOSE(DL304,Iдоп_1ж,Iдоп_2ж,Iдоп_3ж)*DJ304*DK304,_xlpm.inn,N(DD304),_xlpm.smin,MAX(1.5,BW304),_xlpm.L_,N(Q304)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304)*(_xlpm.rho*_xlpm.L_/_xlpm.sz*N(BY304)+_xlpm.xx*_xlpm.L_*N(DU304)/1000)*N(P304)/((Uн_лин/SQRT(3))*1000)*100,999),_xlpm.kz,IF(OR(DG304=1,NOT(ISNUMBER(DQ304)),_xlpm.L_=0,_xlpm.inn=0),1,IFERROR(--(c_min*(Uн_лин*1000/SQRT(3))/(DQ304+2*ρкз_Cu*_xlpm.L_/_xlpm.sz)&gt;=GY304*_xlpm.inn),0)),_xlpm.ok,IFERROR((_xlpm.sz&gt;=_xlpm.smin)*(_xlpm.t_&gt;=_xlpm.inn)*IF(_xlpm.L_&gt;0,(_xlpm.du_+DP304&lt;=DV304+0.00001),1)*_xlpm.kz,0),_xlpm.r_,_xlfn._xlws.FILTER(_xlpm.sz,_xlpm.ok,"не подобрано"),INDEX(_xlpm.r_,1)))</f>
        <v>не подобрано</v>
      </c>
      <c r="DX304">
        <f t="shared" si="540"/>
        <v>2.5</v>
      </c>
      <c r="DY304" cm="1">
        <f t="array" ref="DY304">IF(OR(B304="",BT304="",DM304&lt;&gt;1),"",_xlfn.LET(_xlpm.sz,Iдоп_S,_xlpm.t_,CHOOSE(DL304,Iдоп_1ж,Iдоп_2ж,Iдоп_3ж)*DJ304*DK304,_xlpm.ok,IFERROR((_xlpm.sz&gt;=MAX(1.5,BW304))*(_xlpm.t_&gt;=N(DD304)),0),_xlpm.r_,_xlfn._xlws.FILTER(_xlpm.sz,_xlpm.ok,""),INDEX(_xlpm.r_,1)))</f>
        <v>1.5</v>
      </c>
      <c r="DZ304" s="6" cm="1">
        <f t="array" ref="DZ304">IFERROR(ROUNDUP(N(DT304)*(_xlfn.XLOOKUP(DY304,INDEX(Кабель_сопротивление,0,1),INDEX(Кабель_сопротивление,0,3))*N(Q304)/DY304*N(BY304)+_xlfn.XLOOKUP(DY304,INDEX(Кабель_сопротивление,0,1),INDEX(Кабель_сопротивление,0,2))*N(Q304)*N(DU304)/1000)*N(P304)/((Uн_лин/SQRT(3))*1000)*100,2),"")</f>
        <v>0.32</v>
      </c>
      <c r="EA304">
        <f>IFERROR(2*ρкз_Cu*N(Q304)/DY304,"")</f>
        <v>1.6481333333333332</v>
      </c>
      <c r="EB304">
        <f>IFERROR(VLOOKUP(DX304,Кабель_сопротивление,3,FALSE),"")</f>
        <v>2.2499999999999999E-2</v>
      </c>
      <c r="EC304">
        <f>IFERROR(VLOOKUP(DX304,Кабель_сопротивление,2,FALSE),"")</f>
        <v>0.1</v>
      </c>
      <c r="ED304">
        <f t="shared" si="541"/>
        <v>27</v>
      </c>
      <c r="EE304">
        <f t="shared" si="542"/>
        <v>8</v>
      </c>
      <c r="EF304">
        <f t="shared" si="543"/>
        <v>0.44118834634621956</v>
      </c>
      <c r="EG304" s="6">
        <f>IFERROR(ROUNDUP(EF304/((Uн_лин/SQRT(3))*1000)*100,2),"")</f>
        <v>0.2</v>
      </c>
      <c r="EH304" t="str">
        <f>IFERROR(VLOOKUP(BT304,Кабель_обозначение,2,FALSE),"")</f>
        <v>ВВГнг(А)-LS</v>
      </c>
      <c r="EI304" t="str">
        <f t="shared" si="544"/>
        <v>ВВГнг(А)-LS (3х2,5)</v>
      </c>
      <c r="EJ304" t="str">
        <f t="shared" si="545"/>
        <v>ВВГнг(А)-LS (3х2,5)
L=47-0,2%</v>
      </c>
      <c r="EK304">
        <f>IFERROR(2*ρкз_Cu*Q304/DX304,"")</f>
        <v>0.98887999999999998</v>
      </c>
      <c r="EL304">
        <f t="shared" si="546"/>
        <v>0.32900000000000007</v>
      </c>
      <c r="EM304" s="6" t="str">
        <f>IFERROR(IF(OR(B304="",NOT(ISNUMBER(DX304)),N(Q304)=0),"",_xlfn.XLOOKUP(A304,Щиты[Щит],Щиты[Zпетли на шинах, Ом])+EK304),"")</f>
        <v/>
      </c>
      <c r="EN304" s="6" t="str">
        <f>IF(ISNUMBER(EM304),c_min*(Uн_лин*1000/SQRT(3))/EM304,"")</f>
        <v/>
      </c>
      <c r="EO304" s="6" t="str">
        <f>IFERROR(IF(OR(B304="",NOT(ISNUMBER(DX304))),"",1.05*(Uн_лин*1000/SQRT(3))/(_xlfn.XLOOKUP(A304,Щиты[Щит],Щиты[Zmax на шинах, Ом])+EL304)/1000),"")</f>
        <v/>
      </c>
      <c r="EP304" s="6" t="str">
        <f>IF(B304="","",IF(ISNUMBER(Y304),"Сил",IF(IFERROR(_xlfn.XLOOKUP(AX304,Коды_код,Коды_группа)&amp;"","")="","Быт",_xlfn.XLOOKUP(AX304,Коды_код,Коды_группа)&amp;"")))</f>
        <v>Быт</v>
      </c>
      <c r="EQ304" s="6" t="str">
        <f t="shared" si="547"/>
        <v>Быт</v>
      </c>
      <c r="ER304" s="6">
        <f>IF(EQ304="Щит","щит",IF(EQ304="","",IF(EQ304="Быт",IFERROR(_xlfn.XLOOKUP(A304,Щиты[Щит],Щиты[Кс быт]),1),IF(EQ304="Сил",IF(ISNUMBER(Y304),Y304,IF(Методика="нормы 2026",IFERROR(_xlfn.XLOOKUP(A304,Щиты[Щит],Щиты[Кс силовых (табл. 7.5)]),1),1)),IF(OR(EQ304="Пост",EQ304="Отоп"),1,IF(EQ304="ВНГ",0.7,0))))))</f>
        <v>0.8</v>
      </c>
      <c r="ES304">
        <f t="shared" si="548"/>
        <v>1</v>
      </c>
      <c r="ET304">
        <f t="shared" si="549"/>
        <v>0.12</v>
      </c>
      <c r="EU304">
        <f t="shared" si="550"/>
        <v>0.12</v>
      </c>
      <c r="EV304">
        <f t="shared" si="551"/>
        <v>0</v>
      </c>
      <c r="EW304">
        <f t="shared" si="552"/>
        <v>0</v>
      </c>
      <c r="EX304">
        <f t="shared" si="553"/>
        <v>0</v>
      </c>
      <c r="EY304">
        <f t="shared" si="554"/>
        <v>0</v>
      </c>
      <c r="EZ304">
        <f t="shared" si="555"/>
        <v>0.12</v>
      </c>
      <c r="FA304">
        <f t="shared" si="556"/>
        <v>0.11399999999999999</v>
      </c>
      <c r="FB304">
        <f t="shared" si="557"/>
        <v>0.12</v>
      </c>
      <c r="FC304" t="str">
        <f t="shared" si="558"/>
        <v>L1</v>
      </c>
      <c r="FD304" t="str">
        <f>IF(B304="","",IF(CA304=0,IF(AW304=1,"",FF303),IF(OR(N(CV304)&gt;=3,N(BR304)&gt;=3),"L1,L2,L3",IFERROR(_xlfn.TEXTBEFORE(_xlfn.TEXTAFTER(_xlfn.XLOOKUP(A304,Щиты[Щит],Щиты[_фазы авто]),";"&amp;AW304&amp;":"),";"),"L1"))))</f>
        <v>L1</v>
      </c>
      <c r="FE304" t="str">
        <f t="shared" si="559"/>
        <v>L1</v>
      </c>
      <c r="FF304" t="str">
        <f t="shared" si="560"/>
        <v>L1</v>
      </c>
      <c r="FG304" cm="1">
        <f t="array" ref="FG304">IFERROR(IF(BX304=2,_xlfn.IFS(BR304=3,VLOOKUP(BN304,Справочная_двигатели,3,FALSE),BR304=1,VLOOKUP(BN304,Справочная_двигатели,5,TRUE)),0),0)</f>
        <v>0</v>
      </c>
      <c r="FH304">
        <f>IFERROR(IF(BX304=3,VLOOKUP(BN304,Справочная_ЛЭД,2,TRUE),0),0)</f>
        <v>0</v>
      </c>
      <c r="FI304" s="6">
        <f t="shared" si="561"/>
        <v>0</v>
      </c>
      <c r="FJ304" t="str" cm="1">
        <f t="array" ref="FJ304">IF(B304="","",IFERROR(INDEX({"I особая","I","II","III"},MATCH(TRIM(AC304&amp;""),{"I особая","I","II","III"},0)),"III"))</f>
        <v>II</v>
      </c>
      <c r="FK304" t="str">
        <f>IF(B304="","",IF(TRIM(AD304&amp;"")&lt;&gt;"",IF(LOWER(TRIM(AD304&amp;""))="да","да","нет"),IF(IFERROR(_xlfn.XLOOKUP(AX304,Коды_код,Коды_пожарная),"")="да","да","нет")))</f>
        <v>нет</v>
      </c>
      <c r="FL304" t="str">
        <f t="shared" si="562"/>
        <v/>
      </c>
      <c r="FM304" t="str">
        <f t="shared" si="563"/>
        <v>основная</v>
      </c>
      <c r="FN304">
        <f t="shared" si="564"/>
        <v>1</v>
      </c>
      <c r="FO304" t="str" cm="1">
        <f t="array" ref="FO304">IF(B304="","",_xlfn.LET(_xlpm.t,IFERROR(_xlfn.XLOOKUP(1,(Шины[Шина]=FM304)*(((Шины[Щит]=A304)+(Шины[Щит]=""))&gt;0),Шины[Тип]),"")&amp;"",IF(_xlpm.t&lt;&gt;"",_xlpm.t,IF(ISNUMBER(SEARCH("ИБП",FM304)),"ИБП",IF(ISNUMBER(SEARCH("ДГУ",FM304)),"ДГУ","Ввод "&amp;FN304)))))</f>
        <v>Ввод 1</v>
      </c>
      <c r="FP304" t="str">
        <f t="shared" si="565"/>
        <v>Ввод 1</v>
      </c>
      <c r="FQ304" t="str">
        <f>IF(B304="","",IF(OR(FO304="ИБП",FO304="ДГУ"),"I особая",IF(FO304="Одиночная","III",_xlfn.XLOOKUP(A304,Щиты[Щит],Щиты[Категория шины «Ввод»],"III"))))</f>
        <v>II</v>
      </c>
      <c r="FR304">
        <f>IF(B304="",0,IFERROR(MATCH(FJ304,{"III","II","I","I особая"},0),1))</f>
        <v>2</v>
      </c>
      <c r="FS304">
        <f t="shared" si="566"/>
        <v>2</v>
      </c>
      <c r="FT304" t="str">
        <f>IF(B304="","",IF(FR304&gt;IFERROR(MATCH(FQ304,{"III","II","I","I особая"},0),1),"НЕ ОБЕСПЕЧЕНА","ОК"))</f>
        <v>ОК</v>
      </c>
      <c r="FU304" t="str">
        <f>IF(A304="","",_xlfn.XLOOKUP(A304,Щиты[Щит],Щиты[Путь],""))</f>
        <v>|ГРЩ-ЖД|ЩР-2|</v>
      </c>
      <c r="FV304" t="str">
        <f>IF(B304="","",IF(AE304&lt;&gt;"",AE304,IF(IFERROR(_xlfn.XLOOKUP(AX304,Коды_код,Коды_вид)&amp;"","")="","Прочее",_xlfn.XLOOKUP(AX304,Коды_код,Коды_вид)&amp;"")))</f>
        <v>Розеточная сеть и бытовые приборы</v>
      </c>
      <c r="FW304">
        <f>IF(BH304="","",INT((BH304-1)/Столбцов_на_лист)+1)</f>
        <v>3</v>
      </c>
      <c r="FX304" t="str">
        <f t="shared" si="567"/>
        <v>ВВГнг(А)-LS (3х2,5) L=47-0,2%</v>
      </c>
      <c r="FY304">
        <f t="shared" si="568"/>
        <v>0.12</v>
      </c>
      <c r="FZ304">
        <f t="shared" si="569"/>
        <v>0.55000000000000004</v>
      </c>
      <c r="GA304">
        <f t="shared" si="570"/>
        <v>1</v>
      </c>
      <c r="GB304">
        <f t="shared" si="571"/>
        <v>0</v>
      </c>
      <c r="GC304">
        <f t="shared" si="572"/>
        <v>1</v>
      </c>
      <c r="GD304">
        <f>IF(BH304="","",IF(AND(CA304=1,GC304=1),COUNTIFS(A$3:A304,A304,CA$3:CA304,1,GC$3:GC304,1),IF(OR(OR(AW304=1,A304&lt;&gt;A303),AF304="вручную",GC304=0),"",IF(AW304=1,"",GE303))))</f>
        <v>21</v>
      </c>
      <c r="GE304">
        <f t="shared" si="573"/>
        <v>21</v>
      </c>
      <c r="GF304">
        <f>IF(B304="","",IFERROR(LOOKUP(INDEX(CHOOSE(DL304,Iдоп_1ж,Iдоп_2ж,Iдоп_3ж),MATCH(DX304,Iдоп_S,0))*DJ304*DK304,{6,10,16,20,25,32,40,50,63,80,100,125,160,200,250,315,400,500,630}),""))</f>
        <v>25</v>
      </c>
      <c r="GG304" t="str">
        <f t="shared" si="574"/>
        <v>QFD21</v>
      </c>
      <c r="GH304" t="str">
        <f t="shared" si="575"/>
        <v>QFD21</v>
      </c>
      <c r="GI304" t="str">
        <f t="shared" si="576"/>
        <v/>
      </c>
      <c r="GJ304">
        <f t="shared" si="577"/>
        <v>0</v>
      </c>
      <c r="GK304" t="str">
        <f>IF(OR(AG304="",AG304="-"),"",IFERROR(VLOOKUP(AG304,Модули_спр,2,FALSE),"R"))</f>
        <v/>
      </c>
      <c r="GL304" t="str">
        <f>IF(GK304="","",GK304&amp;"."&amp;COUNTIFS(A$3:A304,A304,GK$3:GK304,GK304))</f>
        <v/>
      </c>
      <c r="GM304" t="str">
        <f t="shared" si="578"/>
        <v/>
      </c>
      <c r="GN304" t="str">
        <f t="shared" si="579"/>
        <v/>
      </c>
      <c r="GO304" t="str">
        <f t="shared" si="580"/>
        <v/>
      </c>
      <c r="GP304" t="str">
        <f t="shared" si="581"/>
        <v/>
      </c>
      <c r="GQ304">
        <f t="shared" si="582"/>
        <v>1</v>
      </c>
      <c r="GR304" t="str">
        <f>IF(GQ304=1,"XT"&amp;COUNTIFS(A$3:A304,A304,GQ$3:GQ304,1),"")</f>
        <v>XT21</v>
      </c>
      <c r="GS304" t="str">
        <f t="shared" si="583"/>
        <v/>
      </c>
      <c r="GT304" t="str">
        <f t="shared" si="584"/>
        <v>QFD21</v>
      </c>
      <c r="GU304" t="str">
        <f t="shared" si="585"/>
        <v/>
      </c>
      <c r="GV304" t="str">
        <f t="shared" si="586"/>
        <v>ok</v>
      </c>
      <c r="GW304" t="str">
        <f>IF(OR(GO304="",GM304=""),"",IF(GO304&gt;IFERROR(VLOOKUP(GN304,Модули_спр,3,FALSE),99),"ЛИШНИЙ КАНАЛ",IF(AND(AH304&lt;&gt;"=",COUNTIFS(Линии[_модуль гр.],GM304,Линии[Канал (итог)],GO304,Линии[Канал],"&lt;&gt;=",Линии[Щит],A304)&gt;1),"ДУБЛЬ КАНАЛА","")))</f>
        <v/>
      </c>
      <c r="GX304" s="6" t="str">
        <f t="shared" si="587"/>
        <v/>
      </c>
      <c r="GY304">
        <f t="shared" si="588"/>
        <v>10</v>
      </c>
      <c r="GZ304" t="str">
        <f t="shared" si="589"/>
        <v/>
      </c>
      <c r="HA304" t="str">
        <f>IF(AND(B304="",GT304=""),"",_xlfn.TEXTJOIN("; ",TRUE,IF(AND(B304&lt;&gt;"",FE304=""),"нет фазы",""),IF(AND(B304&lt;&gt;"",N(FY304)=0,EQ304&lt;&gt;"Нет"),"нет мощности",""),IF(AND(GS304&lt;&gt;"",COUNTIFS(Линии[Щит],A304,Линии[Клемма (итог)],GS304)&gt;1),"дубль клеммы "&amp;GS304,""),IF(AND(GV304&lt;&gt;"",GV304&lt;&gt;"ok"),GV304,""),IF(GW304&lt;&gt;"",GW304,""),IF(AND(N(BV304)&gt;=4,N(BR304)=1),BV304&amp;" жил на 1 фазе",""),IF(AND(AX304="R",CA304=1,OR(N(CK304)=0,N(CK304)&gt;30)),"розетка без дифзащиты до 30 мА",""),IFERROR(IF(AND(ISNUMBER(R304),R304&gt;DV304),"потери "&amp;FIXED(R304,1)&amp;" % &gt; "&amp;DV304&amp;" %",""),""),IFERROR(IF(LEFT(GZ304,4)="мало","Iкз мало — отключение &gt; 0,4 с",""),""),IF(AND(B304&lt;&gt;"",BH304=""),"не на схеме",""),IF(AND(CA304=0,B304&lt;&gt;"",FE304&lt;&gt;"",IF(AW304=1,"",FF303)&lt;&gt;"",FE304&lt;&gt;IF(AW304=1,"",FF303)),"фаза не как у автомата группы ("&amp;IF(AW304=1,"",FF303)&amp;")","")))</f>
        <v/>
      </c>
      <c r="HB304" s="6">
        <f>IF(OR(CA304=0,DA304=""),"",_xlfn.LET(_xlpm.t,IFERROR(_xlfn.XLOOKUP(DA304,Каталог!$U$4:$U$500,Каталог!$G$4:$G$500),""),_xlpm.k,SEARCH("кА",_xlpm.t),IFERROR(--TRIM(RIGHT(SUBSTITUTE(MID(_xlpm.t,MAX(1,_xlpm.k-4),_xlpm.k-MAX(1,_xlpm.k-4))," ",REPT(" ",9)),5)),"")))</f>
        <v>6</v>
      </c>
      <c r="HC304" t="str">
        <f>IF(OR(HB304="",CA304=0),"",IF(_xlfn.XLOOKUP(A304,Щиты[Щит],Щиты[Iкз max на шинах, кА],"")="","",IF(HB304&lt;_xlfn.XLOOKUP(A304,Щиты[Щит],Щиты[Iкз max на шинах, кА]),"Icu "&amp;HB304&amp;" кА &lt; Iкз max","ok")))</f>
        <v/>
      </c>
      <c r="HD304" t="str">
        <f t="shared" si="590"/>
        <v/>
      </c>
      <c r="HE304" t="str">
        <f t="shared" si="591"/>
        <v>QFD21</v>
      </c>
      <c r="HF304" t="str">
        <f t="shared" si="592"/>
        <v>QFD21|кабель ВВГнг(А)-LS (3х2,5) → Розеточная группа, пом. 003Г</v>
      </c>
      <c r="HG304" t="str" cm="1">
        <f t="array" ref="HG304">IF(HF304="","",_xlfn.LET(_xlpm.nd,_xlfn.TEXTSPLIT(HF304,"|"),IF(COLUMNS(_xlpm.nd)&gt;1,A304&amp;"¦"&amp;INDEX(_xlpm.nd,1)&amp;"¦"&amp;INDEX(_xlpm.nd,2),"")))</f>
        <v>ЩР-2¦QFD21¦кабель ВВГнг(А)-LS (3х2,5) → Розеточная группа, пом. 003Г</v>
      </c>
      <c r="HH304" t="str">
        <f t="shared" si="593"/>
        <v>R.2.003Г.1¦Розеточная группа, пом. 003Г</v>
      </c>
      <c r="HI304" t="str" cm="1">
        <f t="array" ref="HI304">IF(HF304="","",_xlfn.LET(_xlpm.nd,_xlfn.TEXTSPLIT(HF304,"|"),IF(COLUMNS(_xlpm.nd)&gt;2,A304&amp;"¦"&amp;INDEX(_xlpm.nd,2)&amp;"¦"&amp;INDEX(_xlpm.nd,3),"")))</f>
        <v/>
      </c>
      <c r="HJ304" t="str">
        <f t="shared" si="594"/>
        <v/>
      </c>
      <c r="HK304" t="str" cm="1">
        <f t="array" ref="HK304">IF(HF304="","",_xlfn.LET(_xlpm.nd,_xlfn.TEXTSPLIT(HF304,"|"),IF(COLUMNS(_xlpm.nd)&gt;3,A304&amp;"¦"&amp;INDEX(_xlpm.nd,3)&amp;"¦"&amp;INDEX(_xlpm.nd,4),"")))</f>
        <v/>
      </c>
      <c r="HL304" t="str">
        <f t="shared" si="595"/>
        <v/>
      </c>
      <c r="HM304" t="str" cm="1">
        <f t="array" ref="HM304">IF(HF304="","",_xlfn.LET(_xlpm.nd,_xlfn.TEXTSPLIT(HF304,"|"),IF(COLUMNS(_xlpm.nd)&gt;4,A304&amp;"¦"&amp;INDEX(_xlpm.nd,4)&amp;"¦"&amp;INDEX(_xlpm.nd,5),"")))</f>
        <v/>
      </c>
      <c r="HN304" t="str">
        <f t="shared" si="596"/>
        <v/>
      </c>
      <c r="HO304" t="str" cm="1">
        <f t="array" ref="HO304">IF(HF304="","",_xlfn.LET(_xlpm.nd,_xlfn.TEXTSPLIT(HF304,"|"),IF(COLUMNS(_xlpm.nd)&gt;5,A304&amp;"¦"&amp;INDEX(_xlpm.nd,5)&amp;"¦"&amp;INDEX(_xlpm.nd,6),"")))</f>
        <v/>
      </c>
      <c r="HP304" t="str">
        <f t="shared" si="597"/>
        <v/>
      </c>
      <c r="HQ304" t="str" cm="1">
        <f t="array" ref="HQ304">IF(HF304="","",_xlfn.LET(_xlpm.nd,_xlfn.TEXTSPLIT(HF304,"|"),IF(COLUMNS(_xlpm.nd)&gt;6,A304&amp;"¦"&amp;INDEX(_xlpm.nd,6)&amp;"¦"&amp;INDEX(_xlpm.nd,7),"")))</f>
        <v/>
      </c>
      <c r="HR304" t="str">
        <f t="shared" si="598"/>
        <v/>
      </c>
      <c r="HS304" t="str">
        <f t="shared" si="599"/>
        <v/>
      </c>
      <c r="HT304" t="str">
        <f t="shared" si="600"/>
        <v>QFD21</v>
      </c>
      <c r="HU304">
        <f t="shared" si="601"/>
        <v>0</v>
      </c>
      <c r="HV304">
        <f t="shared" si="602"/>
        <v>1</v>
      </c>
      <c r="HW304" t="str">
        <f t="shared" si="603"/>
        <v/>
      </c>
      <c r="HX304" t="str">
        <f t="shared" si="604"/>
        <v/>
      </c>
      <c r="HY304" t="str">
        <f t="shared" si="605"/>
        <v/>
      </c>
      <c r="HZ304" t="str">
        <f t="shared" si="606"/>
        <v/>
      </c>
      <c r="IA304" t="str">
        <f>IF(B304="","",IFERROR(VLOOKUP(B304,УГО_спр,2,FALSE),IFERROR(VLOOKUP(AX304,УГО_спр,2,FALSE),IFERROR(VLOOKUP(LEFT(AX304,2),УГО_спр,2,FALSE),""))))</f>
        <v>Розетка</v>
      </c>
      <c r="IB304" t="str">
        <f>IF(B304="","",IF(OR(IA304="",IA304=0),"BOX",IFERROR(IF(VLOOKUP(IA304,УГО_блоки,3,FALSE)&amp;""&lt;&gt;"",VLOOKUP(IA304,УГО_блоки,3,FALSE),VLOOKUP(IA304,УГО_блоки,2,FALSE)),IA304)))</f>
        <v>SOCKET</v>
      </c>
      <c r="IC304">
        <f t="shared" si="607"/>
        <v>1</v>
      </c>
      <c r="ID304" t="str">
        <f>IF(DA304="","",IF(COUNTIF(DA$3:DA304,DA304)=1,MAX(ID$2:ID303)+1,""))</f>
        <v/>
      </c>
      <c r="IE304" t="str">
        <f>IF(CO304="","",IF(COUNTIF(CO$3:CO304,CO304)+COUNTIF(CP$2:CP303,CO304)+COUNTIF(CQ$2:CQ303,CO304)=1,MAX(IE$2:IG303)+1,""))</f>
        <v/>
      </c>
      <c r="IF304" t="str">
        <f>IF(CP304="","",IF(COUNTIF(CO$3:CO304,CP304)+COUNTIF(CP$3:CP304,CP304)+COUNTIF(CQ$2:CQ303,CP304)=1,MAX(IE$2:IG303,IE304)+1,""))</f>
        <v/>
      </c>
      <c r="IG304" t="str">
        <f>IF(CQ304="","",IF(COUNTIF(CO$3:CO304,CQ304)+COUNTIF(CP$3:CP304,CQ304)+COUNTIF(CQ$3:CQ304,CQ304)=1,MAX(IE$2:IG303,IE304,IF304)+1,""))</f>
        <v/>
      </c>
      <c r="IH304" t="str">
        <f t="shared" si="608"/>
        <v>3х2,5</v>
      </c>
      <c r="II304" t="str">
        <f>IF(IH304="","",IF(COUNTIF(IH$3:IH304,IH304)=1,MAX(II$2:II303)+1,""))</f>
        <v/>
      </c>
      <c r="IJ304" t="str">
        <f>IF(GL304="","",COUNTIF(GL$3:GL304,"?*"))</f>
        <v/>
      </c>
      <c r="IK304" t="str">
        <f>IF(OR(GL304="",GN304=""),"",IF(COUNTIFS(GL$3:GL304,"?*",GN$3:GN304,GN304)=1,MAX(IK$2:IK303)+1,""))</f>
        <v/>
      </c>
      <c r="IL304">
        <f t="shared" si="609"/>
        <v>0</v>
      </c>
      <c r="IM304">
        <f>IF(B304="","",COUNTIF(B$3:B304,"?*"))</f>
        <v>302</v>
      </c>
      <c r="IN304">
        <f>IF(GQ304&lt;&gt;1,0,_xlfn.LET(_xlpm.k,MAX(IFERROR(--VLOOKUP(B304,УГО_спр,5,FALSE),0),IFERROR(--VLOOKUP(AX304,УГО_спр,5,FALSE),0),IFERROR(--VLOOKUP(LEFT(AX304,2),УГО_спр,5,FALSE),0)),IF(_xlpm.k&gt;0,_xlpm.k,IF(IFERROR(--LEFT(SUBSTITUTE(IH304,"x","х"),FIND("х",SUBSTITUTE(IH304,"x","х"))-1),3)&gt;3,Каталог!$S$9,1))))</f>
        <v>1</v>
      </c>
      <c r="IO304">
        <f t="shared" si="610"/>
        <v>0</v>
      </c>
      <c r="IP304" t="str">
        <f t="shared" si="611"/>
        <v>авто</v>
      </c>
      <c r="IQ304">
        <f t="shared" si="612"/>
        <v>30</v>
      </c>
      <c r="IR304">
        <f t="shared" si="613"/>
        <v>1</v>
      </c>
      <c r="IS304">
        <f t="shared" si="614"/>
        <v>1</v>
      </c>
    </row>
    <row r="305" spans="1:253" x14ac:dyDescent="0.3">
      <c r="A305" t="s">
        <v>761</v>
      </c>
      <c r="B305" t="s">
        <v>1569</v>
      </c>
      <c r="C305" t="str">
        <f>Линии[[#This Row],[_авто наименование]]</f>
        <v>Розеточная группа, пом. 005А</v>
      </c>
      <c r="D305">
        <v>1</v>
      </c>
      <c r="E305">
        <v>0.12</v>
      </c>
      <c r="G305">
        <v>16</v>
      </c>
      <c r="H305">
        <f>Линии[[#This Row],[_авто утечка]]</f>
        <v>30</v>
      </c>
      <c r="I305" t="str">
        <f>Линии[[#This Row],[_авто управление]]</f>
        <v/>
      </c>
      <c r="J305" t="str">
        <f>Линии[[#This Row],[_авто аппараты]]</f>
        <v/>
      </c>
      <c r="K305">
        <v>2.5</v>
      </c>
      <c r="L305">
        <v>37</v>
      </c>
      <c r="M305">
        <v>2</v>
      </c>
      <c r="N305" t="s">
        <v>486</v>
      </c>
      <c r="O305" t="str">
        <f t="shared" si="492"/>
        <v/>
      </c>
      <c r="P305" s="6" cm="1">
        <f t="array" ref="P305">IF(B305="","",IF(BC305&lt;&gt;"",IFERROR(_xlfn.XLOOKUP(BC305,Щиты[Щит],Щиты[Iр, А]),""),IF(BK305=1,IFERROR(_xlfn.XLOOKUP(A305,Щиты[Щит],Щиты[Iр, А]),""),IFERROR(_xlfn.IFS(BR305=1,BN305/((Uн_лин/SQRT(3))*BY305),BR305=3,BN305/(SQRT(3)*Uн_лин*BY305)),""))))</f>
        <v>0.54696341291648753</v>
      </c>
      <c r="Q305" s="7">
        <f>IF(B305="","",IFERROR(IF(VLOOKUP(AX305,Потребители_обозначение,4,FALSE)=1,VLOOKUP(AX305,Потребители_обозначение,3,FALSE)*(D305*2-1)+DS305+VLOOKUP(AZ305,Этаж_обозначение,3,FALSE)+VLOOKUP(AZ305,Этаж_обозначение,4,FALSE),VLOOKUP(AX305,Потребители_обозначение,3,FALSE)*(D305*2-1)+DS305),DS305))</f>
        <v>40</v>
      </c>
      <c r="R305" s="6">
        <f t="shared" si="493"/>
        <v>1.96</v>
      </c>
      <c r="S305" t="str">
        <f t="shared" si="494"/>
        <v>ВВГнг(А)-LS (3х2,5)</v>
      </c>
      <c r="T305" t="str">
        <f>IF(BH305="","",IF(BI305="вводной узел","узел ","")&amp;"л."&amp;(INT((BH305-1)/Столбцов_на_лист)+1)&amp;" / "&amp;(MOD(BH305-1,Столбцов_на_лист)+1))</f>
        <v>л.3 / 7</v>
      </c>
      <c r="V305">
        <v>1</v>
      </c>
      <c r="W305">
        <v>230</v>
      </c>
      <c r="X305" t="s">
        <v>564</v>
      </c>
      <c r="AC305" t="s">
        <v>815</v>
      </c>
      <c r="AE305" t="s">
        <v>563</v>
      </c>
      <c r="AI305">
        <v>41</v>
      </c>
      <c r="AJ305" t="s">
        <v>11</v>
      </c>
      <c r="AK305">
        <v>3</v>
      </c>
      <c r="AM305">
        <v>12</v>
      </c>
      <c r="AN305">
        <v>28</v>
      </c>
      <c r="AP305">
        <v>2</v>
      </c>
      <c r="AW305" cm="1">
        <f t="array" ref="AW305">ROW()-ROW(Линии[#Headers])</f>
        <v>303</v>
      </c>
      <c r="AX305" s="6" t="str">
        <f t="shared" si="495"/>
        <v>R</v>
      </c>
      <c r="AY305" t="str">
        <f t="shared" si="496"/>
        <v>2.005А.3</v>
      </c>
      <c r="AZ305" t="str">
        <f t="shared" si="497"/>
        <v>2</v>
      </c>
      <c r="BA305" t="str">
        <f t="shared" si="498"/>
        <v>005А.3</v>
      </c>
      <c r="BB305" t="str">
        <f t="shared" si="499"/>
        <v>005А</v>
      </c>
      <c r="BC305" t="str">
        <f>IF(U305&lt;&gt;"",U305,IF(AND(B305&lt;&gt;"",B305&lt;&gt;A305,ISNUMBER(_xlfn.XMATCH(B305,Щиты[Щит]))),B305,""))</f>
        <v/>
      </c>
      <c r="BD305" t="str" cm="1">
        <f t="array" ref="BD305">IF(B305="","",IF(BC305&lt;&gt;"","Щит "&amp;BC305,_xlfn.LET(_xlpm.nm,IFERROR(_xlfn.XLOOKUP(AX305,Коды_код,Коды_имя)&amp;"",""),_xlpm.md,IFERROR(N(_xlfn.XLOOKUP(AX305,Коды_код,Коды_режим)),1),_xlpm.ex,IF(Имя_режим="по экспликации",IFERROR(_xlfn.XLOOKUP(AZ305&amp;"|"&amp;BB305,Экспликация[Этаж]&amp;"|"&amp;Экспликация[Помещение],Экспликация[Название])&amp;"",""),""),_xlpm.rm,IF(BB305="","",IF(_xlpm.ex&lt;&gt;"",". "&amp;_xlpm.ex&amp;IF(Имя_пом="нет"," ("&amp;BB305&amp;")"," (пом. "&amp;BB305&amp;")"),IF(Имя_пом="нет"," ",", пом. ")&amp;BB305)),IF(_xlpm.nm="","",IF(_xlpm.md=2,_xlpm.nm&amp;" шлейф "&amp;AZ305,_xlpm.nm&amp;_xlpm.rm)))))</f>
        <v>Розеточная группа, пом. 005А</v>
      </c>
      <c r="BE305" t="str">
        <f t="shared" si="500"/>
        <v>Розеточная группа, пом. 005А</v>
      </c>
      <c r="BF305">
        <f>IFERROR(_xlfn.XMATCH(A305,Щиты[Щит]),0)</f>
        <v>11</v>
      </c>
      <c r="BG305">
        <f>_xlfn.LET(_xlpm.k,IFERROR(_xlfn.XLOOKUP(A305,Щиты[Щит],Щиты[Листов под вводной узел]),""),IF(_xlpm.k="",1,N(_xlpm.k))*Столбцов_на_лист)</f>
        <v>17</v>
      </c>
      <c r="BH305">
        <f t="shared" si="501"/>
        <v>41</v>
      </c>
      <c r="BI305" t="str">
        <f t="shared" si="502"/>
        <v>линии</v>
      </c>
      <c r="BJ305" s="6">
        <f>IFERROR(N(_xlfn.XLOOKUP(AX305,Коды_код,Коды_квт)),0)</f>
        <v>0</v>
      </c>
      <c r="BK305">
        <f t="shared" si="503"/>
        <v>0</v>
      </c>
      <c r="BL305" t="str">
        <f>IF(B305="","",IF(BC305&lt;&gt;"",IFERROR(_xlfn.XLOOKUP(BC305,Щиты[Щит],Щиты[Руст, кВт]),0),IF(BK305=1,IFERROR(_xlfn.XLOOKUP(A305,Щиты[Щит],Щиты[Руст, кВт]),0),IF(BJ305&gt;0,ROUND(BJ305*MAX(1,N(D305)),3),""))))</f>
        <v/>
      </c>
      <c r="BM305">
        <f t="shared" si="504"/>
        <v>0.12</v>
      </c>
      <c r="BN305" s="6">
        <f>IF(B305="","",IF(BC305&lt;&gt;"",IFERROR(_xlfn.XLOOKUP(BC305,Щиты[Щит],Щиты[Руст, кВт]),0),N(BM305)))</f>
        <v>0.12</v>
      </c>
      <c r="BO305" t="str">
        <f>IF(B305="","",IFERROR(IF(VLOOKUP(AX305,Потребители_обозначение,8,FALSE)=0,"",VLOOKUP(AX305,Потребители_обозначение,8,FALSE)),""))</f>
        <v/>
      </c>
      <c r="BP305">
        <f t="shared" si="505"/>
        <v>230</v>
      </c>
      <c r="BQ305">
        <f>IF(B305="","",IF(BC305&lt;&gt;"",3,IFERROR(IF(N(VLOOKUP(AX305,Потребители_обозначение,9,FALSE))=0,1,VLOOKUP(AX305,Потребители_обозначение,9,FALSE)),1)))</f>
        <v>1</v>
      </c>
      <c r="BR305">
        <f t="shared" si="506"/>
        <v>1</v>
      </c>
      <c r="BS305" t="str">
        <f>IF(B305="","",_xlfn.LET(_xlpm.bc,IFERROR(IF(VLOOKUP(AX305,Потребители_обозначение,6,FALSE)=0,"",VLOOKUP(AX305,Потребители_обозначение,6,FALSE)&amp;""),""),IF(AND(FK305="да",OR(_xlpm.bc="",_xlpm.bc="мс")),Марка_пож,IF(AND(_xlpm.bc="",BC305&lt;&gt;""),"мс",_xlpm.bc))))</f>
        <v/>
      </c>
      <c r="BT305" t="str">
        <f t="shared" si="507"/>
        <v>мс</v>
      </c>
      <c r="BU305">
        <f>IF(B305="","",_xlfn.LET(_xlpm.cc,IFERROR(N(VLOOKUP(AX305,Потребители_обозначение,7,FALSE)),0),IF(_xlpm.cc&gt;0,_xlpm.cc,IF(BT305="","",IF(N(BR305)=3,5,3)))))</f>
        <v>3</v>
      </c>
      <c r="BV305">
        <f t="shared" si="508"/>
        <v>3</v>
      </c>
      <c r="BW305">
        <f>IFERROR(N(VLOOKUP(AX305,Потребители_обозначение,10,FALSE)),0)</f>
        <v>0</v>
      </c>
      <c r="BX305">
        <f>IFERROR(VLOOKUP(AX305,Потребители_обозначение,5,FALSE),0)</f>
        <v>1</v>
      </c>
      <c r="BY305" s="6" cm="1">
        <f t="array" ref="BY305">IF(B305="","",IF(BC305&lt;&gt;"",IFERROR(_xlfn.XLOOKUP(BC305,Щиты[Щит],Щиты[cos φ]),0.95),IF(BK305=1,IFERROR(_xlfn.XLOOKUP(A305,Щиты[Щит],Щиты[cos φ]),0.95),IF(ISNUMBER(Z305),Z305,IFERROR(IF(BX305=2,_xlfn.IFS(BR305=3,VLOOKUP(BN305,Справочная_двигатели,8,FALSE),BR305=1,VLOOKUP(BN305,Справочная_двигатели,10,TRUE)),IF(AND(Методика="нормы 2026",EQ305="Сил"),0.8,0.95)),0.95)))))</f>
        <v>0.95</v>
      </c>
      <c r="BZ305">
        <f t="shared" si="509"/>
        <v>0</v>
      </c>
      <c r="CA305">
        <f t="shared" si="510"/>
        <v>1</v>
      </c>
      <c r="CB305">
        <f t="shared" si="511"/>
        <v>0</v>
      </c>
      <c r="CC305">
        <f t="shared" si="512"/>
        <v>0</v>
      </c>
      <c r="CD305">
        <f t="shared" si="513"/>
        <v>0</v>
      </c>
      <c r="CE305">
        <f t="shared" si="514"/>
        <v>0</v>
      </c>
      <c r="CF305">
        <f t="shared" si="515"/>
        <v>0</v>
      </c>
      <c r="CG305">
        <f>IF(AX305="",0,_xlfn.LET(_xlpm.v,IFERROR(VLOOKUP(B305,УГО_спр,3,FALSE),IFERROR(VLOOKUP(AX305,УГО_спр,3,FALSE),IFERROR(VLOOKUP(LEFT(AX305,2),УГО_спр,3,FALSE),""))),IF(_xlpm.v="да",30,IF(ISNUMBER(_xlpm.v),_xlpm.v,0))))</f>
        <v>30</v>
      </c>
      <c r="CH305">
        <f t="shared" si="516"/>
        <v>30</v>
      </c>
      <c r="CI305" t="str">
        <f>_xlfn.LET(_xlpm.k,IFERROR(_xlfn.XLOOKUP(AX305,Коды_код,Коды_утечка)&amp;"",""),IF(_xlpm.k="","дифавтомат",_xlpm.k))</f>
        <v>дифавтомат</v>
      </c>
      <c r="CJ305">
        <f t="shared" si="517"/>
        <v>30</v>
      </c>
      <c r="CK305">
        <f t="shared" si="518"/>
        <v>30</v>
      </c>
      <c r="CL305">
        <f>IF(B305="",0,IFERROR(--VLOOKUP(B305,УГО_спр,4,FALSE),IFERROR(--VLOOKUP(AX305,УГО_спр,4,FALSE),IFERROR(--VLOOKUP(LEFT(AX305,2),УГО_спр,4,FALSE),0))))</f>
        <v>16</v>
      </c>
      <c r="CM305" t="str">
        <f>IF(B305="","",IFERROR(_xlfn.XLOOKUP(AX305,Коды_код,Коды_апп)&amp;"",""))</f>
        <v/>
      </c>
      <c r="CN305" t="str">
        <f t="shared" si="519"/>
        <v/>
      </c>
      <c r="CO305" t="str" cm="1">
        <f t="array" ref="CO305">IF(TRIM(CN305&amp;"")="","",IFERROR(TRIM(INDEX(_xlfn.TEXTSPLIT(CN305&amp;";;;",";"),1)),""))</f>
        <v/>
      </c>
      <c r="CP305" t="str" cm="1">
        <f t="array" ref="CP305">IF(TRIM(CN305&amp;"")="","",IFERROR(TRIM(INDEX(_xlfn.TEXTSPLIT(CN305&amp;";;;",";"),2)),""))</f>
        <v/>
      </c>
      <c r="CQ305" t="str" cm="1">
        <f t="array" ref="CQ305">IF(TRIM(CN305&amp;"")="","",IFERROR(TRIM(INDEX(_xlfn.TEXTSPLIT(CN305&amp;";;;",";"),3)),""))</f>
        <v/>
      </c>
      <c r="CR305">
        <f t="shared" si="520"/>
        <v>0</v>
      </c>
      <c r="CS305" t="str">
        <f>IF(B305="","",_xlfn.LET(_xlpm.t,LOWER(AV305&amp;""),IF(ISNUMBER(SEARCH("dim",_xlpm.t)),"DIM",IF(ISNUMBER(SEARCH("dali",_xlpm.t)),"DALI",IF(OR(ISNUMBER(SEARCH("relay",_xlpm.t)),ISNUMBER(SEARCH("реле",_xlpm.t))),"Relay",IF(ISNUMBER(SEARCH("кнопк",_xlpm.t)),"",IFERROR(_xlfn.XLOOKUP(AX305,Коды_код,Коды_упр)&amp;"","")))))))</f>
        <v/>
      </c>
      <c r="CT305" t="str">
        <f t="shared" si="521"/>
        <v/>
      </c>
      <c r="CU305">
        <f>IF(B305="","",_xlfn.LET(_xlpm.ig,N(P305)+IF(AF305="вручную",0,N(CB305)),_xlpm.n0,IFERROR(VLOOKUP(_xlpm.ig,Автомат_номиналы,2,TRUE),0),_xlpm.mn,MAX(CL305,IF(AF305="вручную",0,N(CE305))),MAX(_xlpm.n0,_xlpm.mn,IF(CR305=1,Мин_автомат_БП,0))))</f>
        <v>16</v>
      </c>
      <c r="CV305">
        <f t="shared" si="522"/>
        <v>1</v>
      </c>
      <c r="CW305" t="str">
        <f t="shared" si="523"/>
        <v>2P</v>
      </c>
      <c r="CX305" t="str">
        <f>_xlfn.LET(_xlpm.cc,UPPER(TRIM(IFERROR(_xlfn.XLOOKUP(AX305,Коды_код,Коды_хар)&amp;"",""))),IF(OR(_xlpm.cc="B",_xlpm.cc="В"),"B",IF(_xlpm.cc="D","D","С")))</f>
        <v>С</v>
      </c>
      <c r="CY305" t="str">
        <f t="shared" si="524"/>
        <v>2P С16А 30мА</v>
      </c>
      <c r="CZ305">
        <f t="shared" si="525"/>
        <v>16</v>
      </c>
      <c r="DA305" t="str">
        <f t="shared" si="526"/>
        <v>2P С16А 30мА</v>
      </c>
      <c r="DB305" cm="1">
        <f t="array" ref="DB305">IF(DA305="","",_xlfn.LET(_xlpm.t,SUBSTITUTE(SUBSTITUTE(SUBSTITUTE(UPPER(DA305),"С","C"),"А","A"),"В","B"),_xlpm.tk,_xlfn.TEXTSPLIT(_xlpm.t,"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5" t="str">
        <f t="shared" si="527"/>
        <v>ok</v>
      </c>
      <c r="DD305">
        <f t="shared" si="528"/>
        <v>16</v>
      </c>
      <c r="DE305" t="str">
        <f t="shared" si="529"/>
        <v>2P С16А 30мА</v>
      </c>
      <c r="DF305">
        <f t="shared" si="530"/>
        <v>30</v>
      </c>
      <c r="DG305">
        <f t="shared" si="531"/>
        <v>1</v>
      </c>
      <c r="DH305">
        <f t="shared" si="532"/>
        <v>0</v>
      </c>
      <c r="DI305">
        <f t="shared" si="533"/>
        <v>0.54696341291648753</v>
      </c>
      <c r="DJ305">
        <f t="shared" si="534"/>
        <v>1</v>
      </c>
      <c r="DK305">
        <f>IF(ISNUMBER(AL305),AL305,К_прокл)</f>
        <v>1</v>
      </c>
      <c r="DL305">
        <f t="shared" si="535"/>
        <v>2</v>
      </c>
      <c r="DM305">
        <f>IFERROR(N(VLOOKUP(BT305,Кабель_обозначение,3,FALSE)),1)</f>
        <v>1</v>
      </c>
      <c r="DN305">
        <f>IFERROR(N(_xlfn.XLOOKUP(A305,Щиты[Щит],Щиты[ΔU до шин, %])),0)</f>
        <v>1.79</v>
      </c>
      <c r="DO305" t="str">
        <f>IFERROR(_xlfn.XLOOKUP(A305,Щиты[Щит],Щиты[Zпетли на шинах, Ом]),"")</f>
        <v/>
      </c>
      <c r="DP305">
        <f>IFERROR(N(_xlfn.XLOOKUP(A305,Щиты[Щит],Щиты[ΔU до шин (подбор), %])),0)</f>
        <v>4.75</v>
      </c>
      <c r="DQ305" t="str">
        <f>IFERROR(_xlfn.XLOOKUP(A305,Щиты[Щит],Щиты[Zпетли на шинах (подбор), Ом]),"")</f>
        <v/>
      </c>
      <c r="DR305" t="str">
        <f t="shared" si="536"/>
        <v/>
      </c>
      <c r="DS305">
        <f t="shared" si="537"/>
        <v>37</v>
      </c>
      <c r="DT305">
        <f t="shared" si="538"/>
        <v>2</v>
      </c>
      <c r="DU305">
        <f t="shared" si="539"/>
        <v>0.31</v>
      </c>
      <c r="DV305" s="6">
        <f>IF(B305="","",IF(IFERROR(VLOOKUP(AX305,УГО_спр,2,FALSE),"")="Светильник",3,4)+IF(Методика="нормы 2026",MIN(0.5,MAX(0,N(Q305)-100)*0.005),0))</f>
        <v>4</v>
      </c>
      <c r="DW305" t="str" cm="1">
        <f t="array" ref="DW305">IF(OR(B305="",BT305="",DM305&lt;&gt;1),"",_xlfn.LET(_xlpm.sz,Iдоп_S,_xlpm.t_,CHOOSE(DL305,Iдоп_1ж,Iдоп_2ж,Iдоп_3ж)*DJ305*DK305,_xlpm.inn,N(DD305),_xlpm.smin,MAX(1.5,BW305),_xlpm.L_,N(Q305)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305)*(_xlpm.rho*_xlpm.L_/_xlpm.sz*N(BY305)+_xlpm.xx*_xlpm.L_*N(DU305)/1000)*N(P305)/((Uн_лин/SQRT(3))*1000)*100,999),_xlpm.kz,IF(OR(DG305=1,NOT(ISNUMBER(DQ305)),_xlpm.L_=0,_xlpm.inn=0),1,IFERROR(--(c_min*(Uн_лин*1000/SQRT(3))/(DQ305+2*ρкз_Cu*_xlpm.L_/_xlpm.sz)&gt;=GY305*_xlpm.inn),0)),_xlpm.ok,IFERROR((_xlpm.sz&gt;=_xlpm.smin)*(_xlpm.t_&gt;=_xlpm.inn)*IF(_xlpm.L_&gt;0,(_xlpm.du_+DP305&lt;=DV305+0.00001),1)*_xlpm.kz,0),_xlpm.r_,_xlfn._xlws.FILTER(_xlpm.sz,_xlpm.ok,"не подобрано"),INDEX(_xlpm.r_,1)))</f>
        <v>не подобрано</v>
      </c>
      <c r="DX305">
        <f t="shared" si="540"/>
        <v>2.5</v>
      </c>
      <c r="DY305" cm="1">
        <f t="array" ref="DY305">IF(OR(B305="",BT305="",DM305&lt;&gt;1),"",_xlfn.LET(_xlpm.sz,Iдоп_S,_xlpm.t_,CHOOSE(DL305,Iдоп_1ж,Iдоп_2ж,Iдоп_3ж)*DJ305*DK305,_xlpm.ok,IFERROR((_xlpm.sz&gt;=MAX(1.5,BW305))*(_xlpm.t_&gt;=N(DD305)),0),_xlpm.r_,_xlfn._xlws.FILTER(_xlpm.sz,_xlpm.ok,""),INDEX(_xlpm.r_,1)))</f>
        <v>1.5</v>
      </c>
      <c r="DZ305" s="6" cm="1">
        <f t="array" ref="DZ305">IFERROR(ROUNDUP(N(DT305)*(_xlfn.XLOOKUP(DY305,INDEX(Кабель_сопротивление,0,1),INDEX(Кабель_сопротивление,0,3))*N(Q305)/DY305*N(BY305)+_xlfn.XLOOKUP(DY305,INDEX(Кабель_сопротивление,0,1),INDEX(Кабель_сопротивление,0,2))*N(Q305)*N(DU305)/1000)*N(P305)/((Uн_лин/SQRT(3))*1000)*100,2),"")</f>
        <v>0.28000000000000003</v>
      </c>
      <c r="EA305">
        <f>IFERROR(2*ρкз_Cu*N(Q305)/DY305,"")</f>
        <v>1.4026666666666667</v>
      </c>
      <c r="EB305">
        <f>IFERROR(VLOOKUP(DX305,Кабель_сопротивление,3,FALSE),"")</f>
        <v>2.2499999999999999E-2</v>
      </c>
      <c r="EC305">
        <f>IFERROR(VLOOKUP(DX305,Кабель_сопротивление,2,FALSE),"")</f>
        <v>0.1</v>
      </c>
      <c r="ED305">
        <f t="shared" si="541"/>
        <v>28</v>
      </c>
      <c r="EE305">
        <f t="shared" si="542"/>
        <v>36</v>
      </c>
      <c r="EF305">
        <f t="shared" si="543"/>
        <v>0.37547944369891034</v>
      </c>
      <c r="EG305" s="6">
        <f>IFERROR(ROUNDUP(EF305/((Uн_лин/SQRT(3))*1000)*100,2),"")</f>
        <v>0.17</v>
      </c>
      <c r="EH305" t="str">
        <f>IFERROR(VLOOKUP(BT305,Кабель_обозначение,2,FALSE),"")</f>
        <v>ВВГнг(А)-LS</v>
      </c>
      <c r="EI305" t="str">
        <f t="shared" si="544"/>
        <v>ВВГнг(А)-LS (3х2,5)</v>
      </c>
      <c r="EJ305" t="str">
        <f t="shared" si="545"/>
        <v>ВВГнг(А)-LS (3х2,5)
L=40-0,17%</v>
      </c>
      <c r="EK305">
        <f>IFERROR(2*ρкз_Cu*Q305/DX305,"")</f>
        <v>0.84160000000000001</v>
      </c>
      <c r="EL305">
        <f t="shared" si="546"/>
        <v>0.28000000000000003</v>
      </c>
      <c r="EM305" s="6" t="str">
        <f>IFERROR(IF(OR(B305="",NOT(ISNUMBER(DX305)),N(Q305)=0),"",_xlfn.XLOOKUP(A305,Щиты[Щит],Щиты[Zпетли на шинах, Ом])+EK305),"")</f>
        <v/>
      </c>
      <c r="EN305" s="6" t="str">
        <f>IF(ISNUMBER(EM305),c_min*(Uн_лин*1000/SQRT(3))/EM305,"")</f>
        <v/>
      </c>
      <c r="EO305" s="6" t="str">
        <f>IFERROR(IF(OR(B305="",NOT(ISNUMBER(DX305))),"",1.05*(Uн_лин*1000/SQRT(3))/(_xlfn.XLOOKUP(A305,Щиты[Щит],Щиты[Zmax на шинах, Ом])+EL305)/1000),"")</f>
        <v/>
      </c>
      <c r="EP305" s="6" t="str">
        <f>IF(B305="","",IF(ISNUMBER(Y305),"Сил",IF(IFERROR(_xlfn.XLOOKUP(AX305,Коды_код,Коды_группа)&amp;"","")="","Быт",_xlfn.XLOOKUP(AX305,Коды_код,Коды_группа)&amp;"")))</f>
        <v>Быт</v>
      </c>
      <c r="EQ305" s="6" t="str">
        <f t="shared" si="547"/>
        <v>Быт</v>
      </c>
      <c r="ER305" s="6">
        <f>IF(EQ305="Щит","щит",IF(EQ305="","",IF(EQ305="Быт",IFERROR(_xlfn.XLOOKUP(A305,Щиты[Щит],Щиты[Кс быт]),1),IF(EQ305="Сил",IF(ISNUMBER(Y305),Y305,IF(Методика="нормы 2026",IFERROR(_xlfn.XLOOKUP(A305,Щиты[Щит],Щиты[Кс силовых (табл. 7.5)]),1),1)),IF(OR(EQ305="Пост",EQ305="Отоп"),1,IF(EQ305="ВНГ",0.7,0))))))</f>
        <v>0.8</v>
      </c>
      <c r="ES305">
        <f t="shared" si="548"/>
        <v>1</v>
      </c>
      <c r="ET305">
        <f t="shared" si="549"/>
        <v>0.12</v>
      </c>
      <c r="EU305">
        <f t="shared" si="550"/>
        <v>0.12</v>
      </c>
      <c r="EV305">
        <f t="shared" si="551"/>
        <v>0</v>
      </c>
      <c r="EW305">
        <f t="shared" si="552"/>
        <v>0</v>
      </c>
      <c r="EX305">
        <f t="shared" si="553"/>
        <v>0</v>
      </c>
      <c r="EY305">
        <f t="shared" si="554"/>
        <v>0</v>
      </c>
      <c r="EZ305">
        <f t="shared" si="555"/>
        <v>0.12</v>
      </c>
      <c r="FA305">
        <f t="shared" si="556"/>
        <v>0.11399999999999999</v>
      </c>
      <c r="FB305">
        <f t="shared" si="557"/>
        <v>0.12</v>
      </c>
      <c r="FC305" t="str">
        <f t="shared" si="558"/>
        <v>L2</v>
      </c>
      <c r="FD305" t="str">
        <f>IF(B305="","",IF(CA305=0,IF(AW305=1,"",FF304),IF(OR(N(CV305)&gt;=3,N(BR305)&gt;=3),"L1,L2,L3",IFERROR(_xlfn.TEXTBEFORE(_xlfn.TEXTAFTER(_xlfn.XLOOKUP(A305,Щиты[Щит],Щиты[_фазы авто]),";"&amp;AW305&amp;":"),";"),"L1"))))</f>
        <v>L1</v>
      </c>
      <c r="FE305" t="str">
        <f t="shared" si="559"/>
        <v>L2</v>
      </c>
      <c r="FF305" t="str">
        <f t="shared" si="560"/>
        <v>L2</v>
      </c>
      <c r="FG305" cm="1">
        <f t="array" ref="FG305">IFERROR(IF(BX305=2,_xlfn.IFS(BR305=3,VLOOKUP(BN305,Справочная_двигатели,3,FALSE),BR305=1,VLOOKUP(BN305,Справочная_двигатели,5,TRUE)),0),0)</f>
        <v>0</v>
      </c>
      <c r="FH305">
        <f>IFERROR(IF(BX305=3,VLOOKUP(BN305,Справочная_ЛЭД,2,TRUE),0),0)</f>
        <v>0</v>
      </c>
      <c r="FI305" s="6">
        <f t="shared" si="561"/>
        <v>0</v>
      </c>
      <c r="FJ305" t="str" cm="1">
        <f t="array" ref="FJ305">IF(B305="","",IFERROR(INDEX({"I особая","I","II","III"},MATCH(TRIM(AC305&amp;""),{"I особая","I","II","III"},0)),"III"))</f>
        <v>II</v>
      </c>
      <c r="FK305" t="str">
        <f>IF(B305="","",IF(TRIM(AD305&amp;"")&lt;&gt;"",IF(LOWER(TRIM(AD305&amp;""))="да","да","нет"),IF(IFERROR(_xlfn.XLOOKUP(AX305,Коды_код,Коды_пожарная),"")="да","да","нет")))</f>
        <v>нет</v>
      </c>
      <c r="FL305" t="str">
        <f t="shared" si="562"/>
        <v/>
      </c>
      <c r="FM305" t="str">
        <f t="shared" si="563"/>
        <v>основная</v>
      </c>
      <c r="FN305">
        <f t="shared" si="564"/>
        <v>1</v>
      </c>
      <c r="FO305" t="str" cm="1">
        <f t="array" ref="FO305">IF(B305="","",_xlfn.LET(_xlpm.t,IFERROR(_xlfn.XLOOKUP(1,(Шины[Шина]=FM305)*(((Шины[Щит]=A305)+(Шины[Щит]=""))&gt;0),Шины[Тип]),"")&amp;"",IF(_xlpm.t&lt;&gt;"",_xlpm.t,IF(ISNUMBER(SEARCH("ИБП",FM305)),"ИБП",IF(ISNUMBER(SEARCH("ДГУ",FM305)),"ДГУ","Ввод "&amp;FN305)))))</f>
        <v>Ввод 1</v>
      </c>
      <c r="FP305" t="str">
        <f t="shared" si="565"/>
        <v>Ввод 1</v>
      </c>
      <c r="FQ305" t="str">
        <f>IF(B305="","",IF(OR(FO305="ИБП",FO305="ДГУ"),"I особая",IF(FO305="Одиночная","III",_xlfn.XLOOKUP(A305,Щиты[Щит],Щиты[Категория шины «Ввод»],"III"))))</f>
        <v>II</v>
      </c>
      <c r="FR305">
        <f>IF(B305="",0,IFERROR(MATCH(FJ305,{"III","II","I","I особая"},0),1))</f>
        <v>2</v>
      </c>
      <c r="FS305">
        <f t="shared" si="566"/>
        <v>2</v>
      </c>
      <c r="FT305" t="str">
        <f>IF(B305="","",IF(FR305&gt;IFERROR(MATCH(FQ305,{"III","II","I","I особая"},0),1),"НЕ ОБЕСПЕЧЕНА","ОК"))</f>
        <v>ОК</v>
      </c>
      <c r="FU305" t="str">
        <f>IF(A305="","",_xlfn.XLOOKUP(A305,Щиты[Щит],Щиты[Путь],""))</f>
        <v>|ГРЩ-ЖД|ЩР-2|</v>
      </c>
      <c r="FV305" t="str">
        <f>IF(B305="","",IF(AE305&lt;&gt;"",AE305,IF(IFERROR(_xlfn.XLOOKUP(AX305,Коды_код,Коды_вид)&amp;"","")="","Прочее",_xlfn.XLOOKUP(AX305,Коды_код,Коды_вид)&amp;"")))</f>
        <v>Розеточная сеть и бытовые приборы</v>
      </c>
      <c r="FW305">
        <f>IF(BH305="","",INT((BH305-1)/Столбцов_на_лист)+1)</f>
        <v>3</v>
      </c>
      <c r="FX305" t="str">
        <f t="shared" si="567"/>
        <v>ВВГнг(А)-LS (3х2,5) L=40-0,17%</v>
      </c>
      <c r="FY305">
        <f t="shared" si="568"/>
        <v>0.12</v>
      </c>
      <c r="FZ305">
        <f t="shared" si="569"/>
        <v>0.55000000000000004</v>
      </c>
      <c r="GA305">
        <f t="shared" si="570"/>
        <v>1</v>
      </c>
      <c r="GB305">
        <f t="shared" si="571"/>
        <v>0</v>
      </c>
      <c r="GC305">
        <f t="shared" si="572"/>
        <v>1</v>
      </c>
      <c r="GD305">
        <f>IF(BH305="","",IF(AND(CA305=1,GC305=1),COUNTIFS(A$3:A305,A305,CA$3:CA305,1,GC$3:GC305,1),IF(OR(OR(AW305=1,A305&lt;&gt;A304),AF305="вручную",GC305=0),"",IF(AW305=1,"",GE304))))</f>
        <v>22</v>
      </c>
      <c r="GE305">
        <f t="shared" si="573"/>
        <v>22</v>
      </c>
      <c r="GF305">
        <f>IF(B305="","",IFERROR(LOOKUP(INDEX(CHOOSE(DL305,Iдоп_1ж,Iдоп_2ж,Iдоп_3ж),MATCH(DX305,Iдоп_S,0))*DJ305*DK305,{6,10,16,20,25,32,40,50,63,80,100,125,160,200,250,315,400,500,630}),""))</f>
        <v>25</v>
      </c>
      <c r="GG305" t="str">
        <f t="shared" si="574"/>
        <v>QFD22</v>
      </c>
      <c r="GH305" t="str">
        <f t="shared" si="575"/>
        <v>QFD22</v>
      </c>
      <c r="GI305" t="str">
        <f t="shared" si="576"/>
        <v/>
      </c>
      <c r="GJ305">
        <f t="shared" si="577"/>
        <v>0</v>
      </c>
      <c r="GK305" t="str">
        <f>IF(OR(AG305="",AG305="-"),"",IFERROR(VLOOKUP(AG305,Модули_спр,2,FALSE),"R"))</f>
        <v/>
      </c>
      <c r="GL305" t="str">
        <f>IF(GK305="","",GK305&amp;"."&amp;COUNTIFS(A$3:A305,A305,GK$3:GK305,GK305))</f>
        <v/>
      </c>
      <c r="GM305" t="str">
        <f t="shared" si="578"/>
        <v/>
      </c>
      <c r="GN305" t="str">
        <f t="shared" si="579"/>
        <v/>
      </c>
      <c r="GO305" t="str">
        <f t="shared" si="580"/>
        <v/>
      </c>
      <c r="GP305" t="str">
        <f t="shared" si="581"/>
        <v/>
      </c>
      <c r="GQ305">
        <f t="shared" si="582"/>
        <v>1</v>
      </c>
      <c r="GR305" t="str">
        <f>IF(GQ305=1,"XT"&amp;COUNTIFS(A$3:A305,A305,GQ$3:GQ305,1),"")</f>
        <v>XT22</v>
      </c>
      <c r="GS305" t="str">
        <f t="shared" si="583"/>
        <v/>
      </c>
      <c r="GT305" t="str">
        <f t="shared" si="584"/>
        <v>QFD22</v>
      </c>
      <c r="GU305" t="str">
        <f t="shared" si="585"/>
        <v/>
      </c>
      <c r="GV305" t="str">
        <f t="shared" si="586"/>
        <v>ok</v>
      </c>
      <c r="GW305" t="str">
        <f>IF(OR(GO305="",GM305=""),"",IF(GO305&gt;IFERROR(VLOOKUP(GN305,Модули_спр,3,FALSE),99),"ЛИШНИЙ КАНАЛ",IF(AND(AH305&lt;&gt;"=",COUNTIFS(Линии[_модуль гр.],GM305,Линии[Канал (итог)],GO305,Линии[Канал],"&lt;&gt;=",Линии[Щит],A305)&gt;1),"ДУБЛЬ КАНАЛА","")))</f>
        <v/>
      </c>
      <c r="GX305" s="6" t="str">
        <f t="shared" si="587"/>
        <v/>
      </c>
      <c r="GY305">
        <f t="shared" si="588"/>
        <v>10</v>
      </c>
      <c r="GZ305" t="str">
        <f t="shared" si="589"/>
        <v/>
      </c>
      <c r="HA305" t="str">
        <f>IF(AND(B305="",GT305=""),"",_xlfn.TEXTJOIN("; ",TRUE,IF(AND(B305&lt;&gt;"",FE305=""),"нет фазы",""),IF(AND(B305&lt;&gt;"",N(FY305)=0,EQ305&lt;&gt;"Нет"),"нет мощности",""),IF(AND(GS305&lt;&gt;"",COUNTIFS(Линии[Щит],A305,Линии[Клемма (итог)],GS305)&gt;1),"дубль клеммы "&amp;GS305,""),IF(AND(GV305&lt;&gt;"",GV305&lt;&gt;"ok"),GV305,""),IF(GW305&lt;&gt;"",GW305,""),IF(AND(N(BV305)&gt;=4,N(BR305)=1),BV305&amp;" жил на 1 фазе",""),IF(AND(AX305="R",CA305=1,OR(N(CK305)=0,N(CK305)&gt;30)),"розетка без дифзащиты до 30 мА",""),IFERROR(IF(AND(ISNUMBER(R305),R305&gt;DV305),"потери "&amp;FIXED(R305,1)&amp;" % &gt; "&amp;DV305&amp;" %",""),""),IFERROR(IF(LEFT(GZ305,4)="мало","Iкз мало — отключение &gt; 0,4 с",""),""),IF(AND(B305&lt;&gt;"",BH305=""),"не на схеме",""),IF(AND(CA305=0,B305&lt;&gt;"",FE305&lt;&gt;"",IF(AW305=1,"",FF304)&lt;&gt;"",FE305&lt;&gt;IF(AW305=1,"",FF304)),"фаза не как у автомата группы ("&amp;IF(AW305=1,"",FF304)&amp;")","")))</f>
        <v/>
      </c>
      <c r="HB305" s="6">
        <f>IF(OR(CA305=0,DA305=""),"",_xlfn.LET(_xlpm.t,IFERROR(_xlfn.XLOOKUP(DA305,Каталог!$U$4:$U$500,Каталог!$G$4:$G$500),""),_xlpm.k,SEARCH("кА",_xlpm.t),IFERROR(--TRIM(RIGHT(SUBSTITUTE(MID(_xlpm.t,MAX(1,_xlpm.k-4),_xlpm.k-MAX(1,_xlpm.k-4))," ",REPT(" ",9)),5)),"")))</f>
        <v>6</v>
      </c>
      <c r="HC305" t="str">
        <f>IF(OR(HB305="",CA305=0),"",IF(_xlfn.XLOOKUP(A305,Щиты[Щит],Щиты[Iкз max на шинах, кА],"")="","",IF(HB305&lt;_xlfn.XLOOKUP(A305,Щиты[Щит],Щиты[Iкз max на шинах, кА]),"Icu "&amp;HB305&amp;" кА &lt; Iкз max","ok")))</f>
        <v/>
      </c>
      <c r="HD305" t="str">
        <f t="shared" si="590"/>
        <v/>
      </c>
      <c r="HE305" t="str">
        <f t="shared" si="591"/>
        <v>QFD22</v>
      </c>
      <c r="HF305" t="str">
        <f t="shared" si="592"/>
        <v>QFD22|кабель ВВГнг(А)-LS (3х2,5) → Розеточная группа, пом. 005А</v>
      </c>
      <c r="HG305" t="str" cm="1">
        <f t="array" ref="HG305">IF(HF305="","",_xlfn.LET(_xlpm.nd,_xlfn.TEXTSPLIT(HF305,"|"),IF(COLUMNS(_xlpm.nd)&gt;1,A305&amp;"¦"&amp;INDEX(_xlpm.nd,1)&amp;"¦"&amp;INDEX(_xlpm.nd,2),"")))</f>
        <v>ЩР-2¦QFD22¦кабель ВВГнг(А)-LS (3х2,5) → Розеточная группа, пом. 005А</v>
      </c>
      <c r="HH305" t="str">
        <f t="shared" si="593"/>
        <v>R.2.005А.3¦Розеточная группа, пом. 005А</v>
      </c>
      <c r="HI305" t="str" cm="1">
        <f t="array" ref="HI305">IF(HF305="","",_xlfn.LET(_xlpm.nd,_xlfn.TEXTSPLIT(HF305,"|"),IF(COLUMNS(_xlpm.nd)&gt;2,A305&amp;"¦"&amp;INDEX(_xlpm.nd,2)&amp;"¦"&amp;INDEX(_xlpm.nd,3),"")))</f>
        <v/>
      </c>
      <c r="HJ305" t="str">
        <f t="shared" si="594"/>
        <v/>
      </c>
      <c r="HK305" t="str" cm="1">
        <f t="array" ref="HK305">IF(HF305="","",_xlfn.LET(_xlpm.nd,_xlfn.TEXTSPLIT(HF305,"|"),IF(COLUMNS(_xlpm.nd)&gt;3,A305&amp;"¦"&amp;INDEX(_xlpm.nd,3)&amp;"¦"&amp;INDEX(_xlpm.nd,4),"")))</f>
        <v/>
      </c>
      <c r="HL305" t="str">
        <f t="shared" si="595"/>
        <v/>
      </c>
      <c r="HM305" t="str" cm="1">
        <f t="array" ref="HM305">IF(HF305="","",_xlfn.LET(_xlpm.nd,_xlfn.TEXTSPLIT(HF305,"|"),IF(COLUMNS(_xlpm.nd)&gt;4,A305&amp;"¦"&amp;INDEX(_xlpm.nd,4)&amp;"¦"&amp;INDEX(_xlpm.nd,5),"")))</f>
        <v/>
      </c>
      <c r="HN305" t="str">
        <f t="shared" si="596"/>
        <v/>
      </c>
      <c r="HO305" t="str" cm="1">
        <f t="array" ref="HO305">IF(HF305="","",_xlfn.LET(_xlpm.nd,_xlfn.TEXTSPLIT(HF305,"|"),IF(COLUMNS(_xlpm.nd)&gt;5,A305&amp;"¦"&amp;INDEX(_xlpm.nd,5)&amp;"¦"&amp;INDEX(_xlpm.nd,6),"")))</f>
        <v/>
      </c>
      <c r="HP305" t="str">
        <f t="shared" si="597"/>
        <v/>
      </c>
      <c r="HQ305" t="str" cm="1">
        <f t="array" ref="HQ305">IF(HF305="","",_xlfn.LET(_xlpm.nd,_xlfn.TEXTSPLIT(HF305,"|"),IF(COLUMNS(_xlpm.nd)&gt;6,A305&amp;"¦"&amp;INDEX(_xlpm.nd,6)&amp;"¦"&amp;INDEX(_xlpm.nd,7),"")))</f>
        <v/>
      </c>
      <c r="HR305" t="str">
        <f t="shared" si="598"/>
        <v/>
      </c>
      <c r="HS305" t="str">
        <f t="shared" si="599"/>
        <v/>
      </c>
      <c r="HT305" t="str">
        <f t="shared" si="600"/>
        <v>QFD22</v>
      </c>
      <c r="HU305">
        <f t="shared" si="601"/>
        <v>0</v>
      </c>
      <c r="HV305">
        <f t="shared" si="602"/>
        <v>1</v>
      </c>
      <c r="HW305" t="str">
        <f t="shared" si="603"/>
        <v/>
      </c>
      <c r="HX305" t="str">
        <f t="shared" si="604"/>
        <v/>
      </c>
      <c r="HY305" t="str">
        <f t="shared" si="605"/>
        <v/>
      </c>
      <c r="HZ305" t="str">
        <f t="shared" si="606"/>
        <v/>
      </c>
      <c r="IA305" t="str">
        <f>IF(B305="","",IFERROR(VLOOKUP(B305,УГО_спр,2,FALSE),IFERROR(VLOOKUP(AX305,УГО_спр,2,FALSE),IFERROR(VLOOKUP(LEFT(AX305,2),УГО_спр,2,FALSE),""))))</f>
        <v>Розетка</v>
      </c>
      <c r="IB305" t="str">
        <f>IF(B305="","",IF(OR(IA305="",IA305=0),"BOX",IFERROR(IF(VLOOKUP(IA305,УГО_блоки,3,FALSE)&amp;""&lt;&gt;"",VLOOKUP(IA305,УГО_блоки,3,FALSE),VLOOKUP(IA305,УГО_блоки,2,FALSE)),IA305)))</f>
        <v>SOCKET</v>
      </c>
      <c r="IC305">
        <f t="shared" si="607"/>
        <v>1</v>
      </c>
      <c r="ID305" t="str">
        <f>IF(DA305="","",IF(COUNTIF(DA$3:DA305,DA305)=1,MAX(ID$2:ID304)+1,""))</f>
        <v/>
      </c>
      <c r="IE305" t="str">
        <f>IF(CO305="","",IF(COUNTIF(CO$3:CO305,CO305)+COUNTIF(CP$2:CP304,CO305)+COUNTIF(CQ$2:CQ304,CO305)=1,MAX(IE$2:IG304)+1,""))</f>
        <v/>
      </c>
      <c r="IF305" t="str">
        <f>IF(CP305="","",IF(COUNTIF(CO$3:CO305,CP305)+COUNTIF(CP$3:CP305,CP305)+COUNTIF(CQ$2:CQ304,CP305)=1,MAX(IE$2:IG304,IE305)+1,""))</f>
        <v/>
      </c>
      <c r="IG305" t="str">
        <f>IF(CQ305="","",IF(COUNTIF(CO$3:CO305,CQ305)+COUNTIF(CP$3:CP305,CQ305)+COUNTIF(CQ$3:CQ305,CQ305)=1,MAX(IE$2:IG304,IE305,IF305)+1,""))</f>
        <v/>
      </c>
      <c r="IH305" t="str">
        <f t="shared" si="608"/>
        <v>3х2,5</v>
      </c>
      <c r="II305" t="str">
        <f>IF(IH305="","",IF(COUNTIF(IH$3:IH305,IH305)=1,MAX(II$2:II304)+1,""))</f>
        <v/>
      </c>
      <c r="IJ305" t="str">
        <f>IF(GL305="","",COUNTIF(GL$3:GL305,"?*"))</f>
        <v/>
      </c>
      <c r="IK305" t="str">
        <f>IF(OR(GL305="",GN305=""),"",IF(COUNTIFS(GL$3:GL305,"?*",GN$3:GN305,GN305)=1,MAX(IK$2:IK304)+1,""))</f>
        <v/>
      </c>
      <c r="IL305">
        <f t="shared" si="609"/>
        <v>0</v>
      </c>
      <c r="IM305">
        <f>IF(B305="","",COUNTIF(B$3:B305,"?*"))</f>
        <v>303</v>
      </c>
      <c r="IN305">
        <f>IF(GQ305&lt;&gt;1,0,_xlfn.LET(_xlpm.k,MAX(IFERROR(--VLOOKUP(B305,УГО_спр,5,FALSE),0),IFERROR(--VLOOKUP(AX305,УГО_спр,5,FALSE),0),IFERROR(--VLOOKUP(LEFT(AX305,2),УГО_спр,5,FALSE),0)),IF(_xlpm.k&gt;0,_xlpm.k,IF(IFERROR(--LEFT(SUBSTITUTE(IH305,"x","х"),FIND("х",SUBSTITUTE(IH305,"x","х"))-1),3)&gt;3,Каталог!$S$9,1))))</f>
        <v>1</v>
      </c>
      <c r="IO305">
        <f t="shared" si="610"/>
        <v>0</v>
      </c>
      <c r="IP305" t="str">
        <f t="shared" si="611"/>
        <v>авто</v>
      </c>
      <c r="IQ305">
        <f t="shared" si="612"/>
        <v>30</v>
      </c>
      <c r="IR305">
        <f t="shared" si="613"/>
        <v>1</v>
      </c>
      <c r="IS305">
        <f t="shared" si="614"/>
        <v>1</v>
      </c>
    </row>
    <row r="306" spans="1:253" x14ac:dyDescent="0.3">
      <c r="A306" t="s">
        <v>761</v>
      </c>
      <c r="B306" t="s">
        <v>1570</v>
      </c>
      <c r="C306" t="str">
        <f>Линии[[#This Row],[_авто наименование]]</f>
        <v>Розеточная группа, пом. 009А</v>
      </c>
      <c r="D306">
        <v>1</v>
      </c>
      <c r="E306">
        <v>0.06</v>
      </c>
      <c r="G306">
        <v>16</v>
      </c>
      <c r="H306">
        <f>Линии[[#This Row],[_авто утечка]]</f>
        <v>30</v>
      </c>
      <c r="I306" t="str">
        <f>Линии[[#This Row],[_авто управление]]</f>
        <v/>
      </c>
      <c r="J306" t="str">
        <f>Линии[[#This Row],[_авто аппараты]]</f>
        <v/>
      </c>
      <c r="K306">
        <v>2.5</v>
      </c>
      <c r="L306">
        <v>32</v>
      </c>
      <c r="M306">
        <v>3</v>
      </c>
      <c r="N306" t="s">
        <v>486</v>
      </c>
      <c r="O306" t="str">
        <f t="shared" si="492"/>
        <v/>
      </c>
      <c r="P306" s="6" cm="1">
        <f t="array" ref="P306">IF(B306="","",IF(BC306&lt;&gt;"",IFERROR(_xlfn.XLOOKUP(BC306,Щиты[Щит],Щиты[Iр, А]),""),IF(BK306=1,IFERROR(_xlfn.XLOOKUP(A306,Щиты[Щит],Щиты[Iр, А]),""),IFERROR(_xlfn.IFS(BR306=1,BN306/((Uн_лин/SQRT(3))*BY306),BR306=3,BN306/(SQRT(3)*Uн_лин*BY306)),""))))</f>
        <v>0.27348170645824377</v>
      </c>
      <c r="Q306" s="7">
        <f>IF(B306="","",IFERROR(IF(VLOOKUP(AX306,Потребители_обозначение,4,FALSE)=1,VLOOKUP(AX306,Потребители_обозначение,3,FALSE)*(D306*2-1)+DS306+VLOOKUP(AZ306,Этаж_обозначение,3,FALSE)+VLOOKUP(AZ306,Этаж_обозначение,4,FALSE),VLOOKUP(AX306,Потребители_обозначение,3,FALSE)*(D306*2-1)+DS306),DS306))</f>
        <v>35</v>
      </c>
      <c r="R306" s="6">
        <f t="shared" si="493"/>
        <v>1.87</v>
      </c>
      <c r="S306" t="str">
        <f t="shared" si="494"/>
        <v>ВВГнг(А)-LS (3х2,5)</v>
      </c>
      <c r="T306" t="str">
        <f>IF(BH306="","",IF(BI306="вводной узел","узел ","")&amp;"л."&amp;(INT((BH306-1)/Столбцов_на_лист)+1)&amp;" / "&amp;(MOD(BH306-1,Столбцов_на_лист)+1))</f>
        <v>л.3 / 8</v>
      </c>
      <c r="V306">
        <v>1</v>
      </c>
      <c r="W306">
        <v>230</v>
      </c>
      <c r="X306" t="s">
        <v>564</v>
      </c>
      <c r="AC306" t="s">
        <v>815</v>
      </c>
      <c r="AE306" t="s">
        <v>563</v>
      </c>
      <c r="AI306">
        <v>42</v>
      </c>
      <c r="AJ306" t="s">
        <v>11</v>
      </c>
      <c r="AK306">
        <v>3</v>
      </c>
      <c r="AM306">
        <v>12</v>
      </c>
      <c r="AN306">
        <v>17</v>
      </c>
      <c r="AP306">
        <v>2</v>
      </c>
      <c r="AW306" cm="1">
        <f t="array" ref="AW306">ROW()-ROW(Линии[#Headers])</f>
        <v>304</v>
      </c>
      <c r="AX306" s="6" t="str">
        <f t="shared" si="495"/>
        <v>R</v>
      </c>
      <c r="AY306" t="str">
        <f t="shared" si="496"/>
        <v>2.009А.3</v>
      </c>
      <c r="AZ306" t="str">
        <f t="shared" si="497"/>
        <v>2</v>
      </c>
      <c r="BA306" t="str">
        <f t="shared" si="498"/>
        <v>009А.3</v>
      </c>
      <c r="BB306" t="str">
        <f t="shared" si="499"/>
        <v>009А</v>
      </c>
      <c r="BC306" t="str">
        <f>IF(U306&lt;&gt;"",U306,IF(AND(B306&lt;&gt;"",B306&lt;&gt;A306,ISNUMBER(_xlfn.XMATCH(B306,Щиты[Щит]))),B306,""))</f>
        <v/>
      </c>
      <c r="BD306" t="str" cm="1">
        <f t="array" ref="BD306">IF(B306="","",IF(BC306&lt;&gt;"","Щит "&amp;BC306,_xlfn.LET(_xlpm.nm,IFERROR(_xlfn.XLOOKUP(AX306,Коды_код,Коды_имя)&amp;"",""),_xlpm.md,IFERROR(N(_xlfn.XLOOKUP(AX306,Коды_код,Коды_режим)),1),_xlpm.ex,IF(Имя_режим="по экспликации",IFERROR(_xlfn.XLOOKUP(AZ306&amp;"|"&amp;BB306,Экспликация[Этаж]&amp;"|"&amp;Экспликация[Помещение],Экспликация[Название])&amp;"",""),""),_xlpm.rm,IF(BB306="","",IF(_xlpm.ex&lt;&gt;"",". "&amp;_xlpm.ex&amp;IF(Имя_пом="нет"," ("&amp;BB306&amp;")"," (пом. "&amp;BB306&amp;")"),IF(Имя_пом="нет"," ",", пом. ")&amp;BB306)),IF(_xlpm.nm="","",IF(_xlpm.md=2,_xlpm.nm&amp;" шлейф "&amp;AZ306,_xlpm.nm&amp;_xlpm.rm)))))</f>
        <v>Розеточная группа, пом. 009А</v>
      </c>
      <c r="BE306" t="str">
        <f t="shared" si="500"/>
        <v>Розеточная группа, пом. 009А</v>
      </c>
      <c r="BF306">
        <f>IFERROR(_xlfn.XMATCH(A306,Щиты[Щит]),0)</f>
        <v>11</v>
      </c>
      <c r="BG306">
        <f>_xlfn.LET(_xlpm.k,IFERROR(_xlfn.XLOOKUP(A306,Щиты[Щит],Щиты[Листов под вводной узел]),""),IF(_xlpm.k="",1,N(_xlpm.k))*Столбцов_на_лист)</f>
        <v>17</v>
      </c>
      <c r="BH306">
        <f t="shared" si="501"/>
        <v>42</v>
      </c>
      <c r="BI306" t="str">
        <f t="shared" si="502"/>
        <v>линии</v>
      </c>
      <c r="BJ306" s="6">
        <f>IFERROR(N(_xlfn.XLOOKUP(AX306,Коды_код,Коды_квт)),0)</f>
        <v>0</v>
      </c>
      <c r="BK306">
        <f t="shared" si="503"/>
        <v>0</v>
      </c>
      <c r="BL306" t="str">
        <f>IF(B306="","",IF(BC306&lt;&gt;"",IFERROR(_xlfn.XLOOKUP(BC306,Щиты[Щит],Щиты[Руст, кВт]),0),IF(BK306=1,IFERROR(_xlfn.XLOOKUP(A306,Щиты[Щит],Щиты[Руст, кВт]),0),IF(BJ306&gt;0,ROUND(BJ306*MAX(1,N(D306)),3),""))))</f>
        <v/>
      </c>
      <c r="BM306">
        <f t="shared" si="504"/>
        <v>0.06</v>
      </c>
      <c r="BN306" s="6">
        <f>IF(B306="","",IF(BC306&lt;&gt;"",IFERROR(_xlfn.XLOOKUP(BC306,Щиты[Щит],Щиты[Руст, кВт]),0),N(BM306)))</f>
        <v>0.06</v>
      </c>
      <c r="BO306" t="str">
        <f>IF(B306="","",IFERROR(IF(VLOOKUP(AX306,Потребители_обозначение,8,FALSE)=0,"",VLOOKUP(AX306,Потребители_обозначение,8,FALSE)),""))</f>
        <v/>
      </c>
      <c r="BP306">
        <f t="shared" si="505"/>
        <v>230</v>
      </c>
      <c r="BQ306">
        <f>IF(B306="","",IF(BC306&lt;&gt;"",3,IFERROR(IF(N(VLOOKUP(AX306,Потребители_обозначение,9,FALSE))=0,1,VLOOKUP(AX306,Потребители_обозначение,9,FALSE)),1)))</f>
        <v>1</v>
      </c>
      <c r="BR306">
        <f t="shared" si="506"/>
        <v>1</v>
      </c>
      <c r="BS306" t="str">
        <f>IF(B306="","",_xlfn.LET(_xlpm.bc,IFERROR(IF(VLOOKUP(AX306,Потребители_обозначение,6,FALSE)=0,"",VLOOKUP(AX306,Потребители_обозначение,6,FALSE)&amp;""),""),IF(AND(FK306="да",OR(_xlpm.bc="",_xlpm.bc="мс")),Марка_пож,IF(AND(_xlpm.bc="",BC306&lt;&gt;""),"мс",_xlpm.bc))))</f>
        <v/>
      </c>
      <c r="BT306" t="str">
        <f t="shared" si="507"/>
        <v>мс</v>
      </c>
      <c r="BU306">
        <f>IF(B306="","",_xlfn.LET(_xlpm.cc,IFERROR(N(VLOOKUP(AX306,Потребители_обозначение,7,FALSE)),0),IF(_xlpm.cc&gt;0,_xlpm.cc,IF(BT306="","",IF(N(BR306)=3,5,3)))))</f>
        <v>3</v>
      </c>
      <c r="BV306">
        <f t="shared" si="508"/>
        <v>3</v>
      </c>
      <c r="BW306">
        <f>IFERROR(N(VLOOKUP(AX306,Потребители_обозначение,10,FALSE)),0)</f>
        <v>0</v>
      </c>
      <c r="BX306">
        <f>IFERROR(VLOOKUP(AX306,Потребители_обозначение,5,FALSE),0)</f>
        <v>1</v>
      </c>
      <c r="BY306" s="6" cm="1">
        <f t="array" ref="BY306">IF(B306="","",IF(BC306&lt;&gt;"",IFERROR(_xlfn.XLOOKUP(BC306,Щиты[Щит],Щиты[cos φ]),0.95),IF(BK306=1,IFERROR(_xlfn.XLOOKUP(A306,Щиты[Щит],Щиты[cos φ]),0.95),IF(ISNUMBER(Z306),Z306,IFERROR(IF(BX306=2,_xlfn.IFS(BR306=3,VLOOKUP(BN306,Справочная_двигатели,8,FALSE),BR306=1,VLOOKUP(BN306,Справочная_двигатели,10,TRUE)),IF(AND(Методика="нормы 2026",EQ306="Сил"),0.8,0.95)),0.95)))))</f>
        <v>0.95</v>
      </c>
      <c r="BZ306">
        <f t="shared" si="509"/>
        <v>0</v>
      </c>
      <c r="CA306">
        <f t="shared" si="510"/>
        <v>1</v>
      </c>
      <c r="CB306">
        <f t="shared" si="511"/>
        <v>0</v>
      </c>
      <c r="CC306">
        <f t="shared" si="512"/>
        <v>0</v>
      </c>
      <c r="CD306">
        <f t="shared" si="513"/>
        <v>0</v>
      </c>
      <c r="CE306">
        <f t="shared" si="514"/>
        <v>0</v>
      </c>
      <c r="CF306">
        <f t="shared" si="515"/>
        <v>0</v>
      </c>
      <c r="CG306">
        <f>IF(AX306="",0,_xlfn.LET(_xlpm.v,IFERROR(VLOOKUP(B306,УГО_спр,3,FALSE),IFERROR(VLOOKUP(AX306,УГО_спр,3,FALSE),IFERROR(VLOOKUP(LEFT(AX306,2),УГО_спр,3,FALSE),""))),IF(_xlpm.v="да",30,IF(ISNUMBER(_xlpm.v),_xlpm.v,0))))</f>
        <v>30</v>
      </c>
      <c r="CH306">
        <f t="shared" si="516"/>
        <v>30</v>
      </c>
      <c r="CI306" t="str">
        <f>_xlfn.LET(_xlpm.k,IFERROR(_xlfn.XLOOKUP(AX306,Коды_код,Коды_утечка)&amp;"",""),IF(_xlpm.k="","дифавтомат",_xlpm.k))</f>
        <v>дифавтомат</v>
      </c>
      <c r="CJ306">
        <f t="shared" si="517"/>
        <v>30</v>
      </c>
      <c r="CK306">
        <f t="shared" si="518"/>
        <v>30</v>
      </c>
      <c r="CL306">
        <f>IF(B306="",0,IFERROR(--VLOOKUP(B306,УГО_спр,4,FALSE),IFERROR(--VLOOKUP(AX306,УГО_спр,4,FALSE),IFERROR(--VLOOKUP(LEFT(AX306,2),УГО_спр,4,FALSE),0))))</f>
        <v>16</v>
      </c>
      <c r="CM306" t="str">
        <f>IF(B306="","",IFERROR(_xlfn.XLOOKUP(AX306,Коды_код,Коды_апп)&amp;"",""))</f>
        <v/>
      </c>
      <c r="CN306" t="str">
        <f t="shared" si="519"/>
        <v/>
      </c>
      <c r="CO306" t="str" cm="1">
        <f t="array" ref="CO306">IF(TRIM(CN306&amp;"")="","",IFERROR(TRIM(INDEX(_xlfn.TEXTSPLIT(CN306&amp;";;;",";"),1)),""))</f>
        <v/>
      </c>
      <c r="CP306" t="str" cm="1">
        <f t="array" ref="CP306">IF(TRIM(CN306&amp;"")="","",IFERROR(TRIM(INDEX(_xlfn.TEXTSPLIT(CN306&amp;";;;",";"),2)),""))</f>
        <v/>
      </c>
      <c r="CQ306" t="str" cm="1">
        <f t="array" ref="CQ306">IF(TRIM(CN306&amp;"")="","",IFERROR(TRIM(INDEX(_xlfn.TEXTSPLIT(CN306&amp;";;;",";"),3)),""))</f>
        <v/>
      </c>
      <c r="CR306">
        <f t="shared" si="520"/>
        <v>0</v>
      </c>
      <c r="CS306" t="str">
        <f>IF(B306="","",_xlfn.LET(_xlpm.t,LOWER(AV306&amp;""),IF(ISNUMBER(SEARCH("dim",_xlpm.t)),"DIM",IF(ISNUMBER(SEARCH("dali",_xlpm.t)),"DALI",IF(OR(ISNUMBER(SEARCH("relay",_xlpm.t)),ISNUMBER(SEARCH("реле",_xlpm.t))),"Relay",IF(ISNUMBER(SEARCH("кнопк",_xlpm.t)),"",IFERROR(_xlfn.XLOOKUP(AX306,Коды_код,Коды_упр)&amp;"","")))))))</f>
        <v/>
      </c>
      <c r="CT306" t="str">
        <f t="shared" si="521"/>
        <v/>
      </c>
      <c r="CU306">
        <f>IF(B306="","",_xlfn.LET(_xlpm.ig,N(P306)+IF(AF306="вручную",0,N(CB306)),_xlpm.n0,IFERROR(VLOOKUP(_xlpm.ig,Автомат_номиналы,2,TRUE),0),_xlpm.mn,MAX(CL306,IF(AF306="вручную",0,N(CE306))),MAX(_xlpm.n0,_xlpm.mn,IF(CR306=1,Мин_автомат_БП,0))))</f>
        <v>16</v>
      </c>
      <c r="CV306">
        <f t="shared" si="522"/>
        <v>1</v>
      </c>
      <c r="CW306" t="str">
        <f t="shared" si="523"/>
        <v>2P</v>
      </c>
      <c r="CX306" t="str">
        <f>_xlfn.LET(_xlpm.cc,UPPER(TRIM(IFERROR(_xlfn.XLOOKUP(AX306,Коды_код,Коды_хар)&amp;"",""))),IF(OR(_xlpm.cc="B",_xlpm.cc="В"),"B",IF(_xlpm.cc="D","D","С")))</f>
        <v>С</v>
      </c>
      <c r="CY306" t="str">
        <f t="shared" si="524"/>
        <v>2P С16А 30мА</v>
      </c>
      <c r="CZ306">
        <f t="shared" si="525"/>
        <v>16</v>
      </c>
      <c r="DA306" t="str">
        <f t="shared" si="526"/>
        <v>2P С16А 30мА</v>
      </c>
      <c r="DB306" cm="1">
        <f t="array" ref="DB306">IF(DA306="","",_xlfn.LET(_xlpm.t,SUBSTITUTE(SUBSTITUTE(SUBSTITUTE(UPPER(DA306),"С","C"),"А","A"),"В","B"),_xlpm.tk,_xlfn.TEXTSPLIT(_xlpm.t,"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6" t="str">
        <f t="shared" si="527"/>
        <v>ok</v>
      </c>
      <c r="DD306">
        <f t="shared" si="528"/>
        <v>16</v>
      </c>
      <c r="DE306" t="str">
        <f t="shared" si="529"/>
        <v>2P С16А 30мА</v>
      </c>
      <c r="DF306">
        <f t="shared" si="530"/>
        <v>30</v>
      </c>
      <c r="DG306">
        <f t="shared" si="531"/>
        <v>1</v>
      </c>
      <c r="DH306">
        <f t="shared" si="532"/>
        <v>0</v>
      </c>
      <c r="DI306">
        <f t="shared" si="533"/>
        <v>0.27348170645824377</v>
      </c>
      <c r="DJ306">
        <f t="shared" si="534"/>
        <v>1</v>
      </c>
      <c r="DK306">
        <f>IF(ISNUMBER(AL306),AL306,К_прокл)</f>
        <v>1</v>
      </c>
      <c r="DL306">
        <f t="shared" si="535"/>
        <v>2</v>
      </c>
      <c r="DM306">
        <f>IFERROR(N(VLOOKUP(BT306,Кабель_обозначение,3,FALSE)),1)</f>
        <v>1</v>
      </c>
      <c r="DN306">
        <f>IFERROR(N(_xlfn.XLOOKUP(A306,Щиты[Щит],Щиты[ΔU до шин, %])),0)</f>
        <v>1.79</v>
      </c>
      <c r="DO306" t="str">
        <f>IFERROR(_xlfn.XLOOKUP(A306,Щиты[Щит],Щиты[Zпетли на шинах, Ом]),"")</f>
        <v/>
      </c>
      <c r="DP306">
        <f>IFERROR(N(_xlfn.XLOOKUP(A306,Щиты[Щит],Щиты[ΔU до шин (подбор), %])),0)</f>
        <v>4.75</v>
      </c>
      <c r="DQ306" t="str">
        <f>IFERROR(_xlfn.XLOOKUP(A306,Щиты[Щит],Щиты[Zпетли на шинах (подбор), Ом]),"")</f>
        <v/>
      </c>
      <c r="DR306" t="str">
        <f t="shared" si="536"/>
        <v/>
      </c>
      <c r="DS306">
        <f t="shared" si="537"/>
        <v>32</v>
      </c>
      <c r="DT306">
        <f t="shared" si="538"/>
        <v>2</v>
      </c>
      <c r="DU306">
        <f t="shared" si="539"/>
        <v>0.31</v>
      </c>
      <c r="DV306" s="6">
        <f>IF(B306="","",IF(IFERROR(VLOOKUP(AX306,УГО_спр,2,FALSE),"")="Светильник",3,4)+IF(Методика="нормы 2026",MIN(0.5,MAX(0,N(Q306)-100)*0.005),0))</f>
        <v>4</v>
      </c>
      <c r="DW306" t="str" cm="1">
        <f t="array" ref="DW306">IF(OR(B306="",BT306="",DM306&lt;&gt;1),"",_xlfn.LET(_xlpm.sz,Iдоп_S,_xlpm.t_,CHOOSE(DL306,Iдоп_1ж,Iдоп_2ж,Iдоп_3ж)*DJ306*DK306,_xlpm.inn,N(DD306),_xlpm.smin,MAX(1.5,BW306),_xlpm.L_,N(Q306)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306)*(_xlpm.rho*_xlpm.L_/_xlpm.sz*N(BY306)+_xlpm.xx*_xlpm.L_*N(DU306)/1000)*N(P306)/((Uн_лин/SQRT(3))*1000)*100,999),_xlpm.kz,IF(OR(DG306=1,NOT(ISNUMBER(DQ306)),_xlpm.L_=0,_xlpm.inn=0),1,IFERROR(--(c_min*(Uн_лин*1000/SQRT(3))/(DQ306+2*ρкз_Cu*_xlpm.L_/_xlpm.sz)&gt;=GY306*_xlpm.inn),0)),_xlpm.ok,IFERROR((_xlpm.sz&gt;=_xlpm.smin)*(_xlpm.t_&gt;=_xlpm.inn)*IF(_xlpm.L_&gt;0,(_xlpm.du_+DP306&lt;=DV306+0.00001),1)*_xlpm.kz,0),_xlpm.r_,_xlfn._xlws.FILTER(_xlpm.sz,_xlpm.ok,"не подобрано"),INDEX(_xlpm.r_,1)))</f>
        <v>не подобрано</v>
      </c>
      <c r="DX306">
        <f t="shared" si="540"/>
        <v>2.5</v>
      </c>
      <c r="DY306" cm="1">
        <f t="array" ref="DY306">IF(OR(B306="",BT306="",DM306&lt;&gt;1),"",_xlfn.LET(_xlpm.sz,Iдоп_S,_xlpm.t_,CHOOSE(DL306,Iдоп_1ж,Iдоп_2ж,Iдоп_3ж)*DJ306*DK306,_xlpm.ok,IFERROR((_xlpm.sz&gt;=MAX(1.5,BW306))*(_xlpm.t_&gt;=N(DD306)),0),_xlpm.r_,_xlfn._xlws.FILTER(_xlpm.sz,_xlpm.ok,""),INDEX(_xlpm.r_,1)))</f>
        <v>1.5</v>
      </c>
      <c r="DZ306" s="6" cm="1">
        <f t="array" ref="DZ306">IFERROR(ROUNDUP(N(DT306)*(_xlfn.XLOOKUP(DY306,INDEX(Кабель_сопротивление,0,1),INDEX(Кабель_сопротивление,0,3))*N(Q306)/DY306*N(BY306)+_xlfn.XLOOKUP(DY306,INDEX(Кабель_сопротивление,0,1),INDEX(Кабель_сопротивление,0,2))*N(Q306)*N(DU306)/1000)*N(P306)/((Uн_лин/SQRT(3))*1000)*100,2),"")</f>
        <v>0.12</v>
      </c>
      <c r="EA306">
        <f>IFERROR(2*ρкз_Cu*N(Q306)/DY306,"")</f>
        <v>1.2273333333333334</v>
      </c>
      <c r="EB306">
        <f>IFERROR(VLOOKUP(DX306,Кабель_сопротивление,3,FALSE),"")</f>
        <v>2.2499999999999999E-2</v>
      </c>
      <c r="EC306">
        <f>IFERROR(VLOOKUP(DX306,Кабель_сопротивление,2,FALSE),"")</f>
        <v>0.1</v>
      </c>
      <c r="ED306">
        <f t="shared" si="541"/>
        <v>17</v>
      </c>
      <c r="EE306">
        <f t="shared" si="542"/>
        <v>31</v>
      </c>
      <c r="EF306">
        <f t="shared" si="543"/>
        <v>0.16427225661827327</v>
      </c>
      <c r="EG306" s="6">
        <f>IFERROR(ROUNDUP(EF306/((Uн_лин/SQRT(3))*1000)*100,2),"")</f>
        <v>0.08</v>
      </c>
      <c r="EH306" t="str">
        <f>IFERROR(VLOOKUP(BT306,Кабель_обозначение,2,FALSE),"")</f>
        <v>ВВГнг(А)-LS</v>
      </c>
      <c r="EI306" t="str">
        <f t="shared" si="544"/>
        <v>ВВГнг(А)-LS (3х2,5)</v>
      </c>
      <c r="EJ306" t="str">
        <f t="shared" si="545"/>
        <v>ВВГнг(А)-LS (3х2,5)
L=35-0,08%</v>
      </c>
      <c r="EK306">
        <f>IFERROR(2*ρкз_Cu*Q306/DX306,"")</f>
        <v>0.73639999999999994</v>
      </c>
      <c r="EL306">
        <f t="shared" si="546"/>
        <v>0.24500000000000002</v>
      </c>
      <c r="EM306" s="6" t="str">
        <f>IFERROR(IF(OR(B306="",NOT(ISNUMBER(DX306)),N(Q306)=0),"",_xlfn.XLOOKUP(A306,Щиты[Щит],Щиты[Zпетли на шинах, Ом])+EK306),"")</f>
        <v/>
      </c>
      <c r="EN306" s="6" t="str">
        <f>IF(ISNUMBER(EM306),c_min*(Uн_лин*1000/SQRT(3))/EM306,"")</f>
        <v/>
      </c>
      <c r="EO306" s="6" t="str">
        <f>IFERROR(IF(OR(B306="",NOT(ISNUMBER(DX306))),"",1.05*(Uн_лин*1000/SQRT(3))/(_xlfn.XLOOKUP(A306,Щиты[Щит],Щиты[Zmax на шинах, Ом])+EL306)/1000),"")</f>
        <v/>
      </c>
      <c r="EP306" s="6" t="str">
        <f>IF(B306="","",IF(ISNUMBER(Y306),"Сил",IF(IFERROR(_xlfn.XLOOKUP(AX306,Коды_код,Коды_группа)&amp;"","")="","Быт",_xlfn.XLOOKUP(AX306,Коды_код,Коды_группа)&amp;"")))</f>
        <v>Быт</v>
      </c>
      <c r="EQ306" s="6" t="str">
        <f t="shared" si="547"/>
        <v>Быт</v>
      </c>
      <c r="ER306" s="6">
        <f>IF(EQ306="Щит","щит",IF(EQ306="","",IF(EQ306="Быт",IFERROR(_xlfn.XLOOKUP(A306,Щиты[Щит],Щиты[Кс быт]),1),IF(EQ306="Сил",IF(ISNUMBER(Y306),Y306,IF(Методика="нормы 2026",IFERROR(_xlfn.XLOOKUP(A306,Щиты[Щит],Щиты[Кс силовых (табл. 7.5)]),1),1)),IF(OR(EQ306="Пост",EQ306="Отоп"),1,IF(EQ306="ВНГ",0.7,0))))))</f>
        <v>0.8</v>
      </c>
      <c r="ES306">
        <f t="shared" si="548"/>
        <v>1</v>
      </c>
      <c r="ET306">
        <f t="shared" si="549"/>
        <v>0.06</v>
      </c>
      <c r="EU306">
        <f t="shared" si="550"/>
        <v>0.06</v>
      </c>
      <c r="EV306">
        <f t="shared" si="551"/>
        <v>0</v>
      </c>
      <c r="EW306">
        <f t="shared" si="552"/>
        <v>0</v>
      </c>
      <c r="EX306">
        <f t="shared" si="553"/>
        <v>0</v>
      </c>
      <c r="EY306">
        <f t="shared" si="554"/>
        <v>0</v>
      </c>
      <c r="EZ306">
        <f t="shared" si="555"/>
        <v>0.06</v>
      </c>
      <c r="FA306">
        <f t="shared" si="556"/>
        <v>5.6999999999999995E-2</v>
      </c>
      <c r="FB306">
        <f t="shared" si="557"/>
        <v>0.06</v>
      </c>
      <c r="FC306" t="str">
        <f t="shared" si="558"/>
        <v>L3</v>
      </c>
      <c r="FD306" t="str">
        <f>IF(B306="","",IF(CA306=0,IF(AW306=1,"",FF305),IF(OR(N(CV306)&gt;=3,N(BR306)&gt;=3),"L1,L2,L3",IFERROR(_xlfn.TEXTBEFORE(_xlfn.TEXTAFTER(_xlfn.XLOOKUP(A306,Щиты[Щит],Щиты[_фазы авто]),";"&amp;AW306&amp;":"),";"),"L1"))))</f>
        <v>L1</v>
      </c>
      <c r="FE306" t="str">
        <f t="shared" si="559"/>
        <v>L3</v>
      </c>
      <c r="FF306" t="str">
        <f t="shared" si="560"/>
        <v>L3</v>
      </c>
      <c r="FG306" cm="1">
        <f t="array" ref="FG306">IFERROR(IF(BX306=2,_xlfn.IFS(BR306=3,VLOOKUP(BN306,Справочная_двигатели,3,FALSE),BR306=1,VLOOKUP(BN306,Справочная_двигатели,5,TRUE)),0),0)</f>
        <v>0</v>
      </c>
      <c r="FH306">
        <f>IFERROR(IF(BX306=3,VLOOKUP(BN306,Справочная_ЛЭД,2,TRUE),0),0)</f>
        <v>0</v>
      </c>
      <c r="FI306" s="6">
        <f t="shared" si="561"/>
        <v>0</v>
      </c>
      <c r="FJ306" t="str" cm="1">
        <f t="array" ref="FJ306">IF(B306="","",IFERROR(INDEX({"I особая","I","II","III"},MATCH(TRIM(AC306&amp;""),{"I особая","I","II","III"},0)),"III"))</f>
        <v>II</v>
      </c>
      <c r="FK306" t="str">
        <f>IF(B306="","",IF(TRIM(AD306&amp;"")&lt;&gt;"",IF(LOWER(TRIM(AD306&amp;""))="да","да","нет"),IF(IFERROR(_xlfn.XLOOKUP(AX306,Коды_код,Коды_пожарная),"")="да","да","нет")))</f>
        <v>нет</v>
      </c>
      <c r="FL306" t="str">
        <f t="shared" si="562"/>
        <v/>
      </c>
      <c r="FM306" t="str">
        <f t="shared" si="563"/>
        <v>основная</v>
      </c>
      <c r="FN306">
        <f t="shared" si="564"/>
        <v>1</v>
      </c>
      <c r="FO306" t="str" cm="1">
        <f t="array" ref="FO306">IF(B306="","",_xlfn.LET(_xlpm.t,IFERROR(_xlfn.XLOOKUP(1,(Шины[Шина]=FM306)*(((Шины[Щит]=A306)+(Шины[Щит]=""))&gt;0),Шины[Тип]),"")&amp;"",IF(_xlpm.t&lt;&gt;"",_xlpm.t,IF(ISNUMBER(SEARCH("ИБП",FM306)),"ИБП",IF(ISNUMBER(SEARCH("ДГУ",FM306)),"ДГУ","Ввод "&amp;FN306)))))</f>
        <v>Ввод 1</v>
      </c>
      <c r="FP306" t="str">
        <f t="shared" si="565"/>
        <v>Ввод 1</v>
      </c>
      <c r="FQ306" t="str">
        <f>IF(B306="","",IF(OR(FO306="ИБП",FO306="ДГУ"),"I особая",IF(FO306="Одиночная","III",_xlfn.XLOOKUP(A306,Щиты[Щит],Щиты[Категория шины «Ввод»],"III"))))</f>
        <v>II</v>
      </c>
      <c r="FR306">
        <f>IF(B306="",0,IFERROR(MATCH(FJ306,{"III","II","I","I особая"},0),1))</f>
        <v>2</v>
      </c>
      <c r="FS306">
        <f t="shared" si="566"/>
        <v>2</v>
      </c>
      <c r="FT306" t="str">
        <f>IF(B306="","",IF(FR306&gt;IFERROR(MATCH(FQ306,{"III","II","I","I особая"},0),1),"НЕ ОБЕСПЕЧЕНА","ОК"))</f>
        <v>ОК</v>
      </c>
      <c r="FU306" t="str">
        <f>IF(A306="","",_xlfn.XLOOKUP(A306,Щиты[Щит],Щиты[Путь],""))</f>
        <v>|ГРЩ-ЖД|ЩР-2|</v>
      </c>
      <c r="FV306" t="str">
        <f>IF(B306="","",IF(AE306&lt;&gt;"",AE306,IF(IFERROR(_xlfn.XLOOKUP(AX306,Коды_код,Коды_вид)&amp;"","")="","Прочее",_xlfn.XLOOKUP(AX306,Коды_код,Коды_вид)&amp;"")))</f>
        <v>Розеточная сеть и бытовые приборы</v>
      </c>
      <c r="FW306">
        <f>IF(BH306="","",INT((BH306-1)/Столбцов_на_лист)+1)</f>
        <v>3</v>
      </c>
      <c r="FX306" t="str">
        <f t="shared" si="567"/>
        <v>ВВГнг(А)-LS (3х2,5) L=35-0,08%</v>
      </c>
      <c r="FY306">
        <f t="shared" si="568"/>
        <v>0.06</v>
      </c>
      <c r="FZ306">
        <f t="shared" si="569"/>
        <v>0.28000000000000003</v>
      </c>
      <c r="GA306">
        <f t="shared" si="570"/>
        <v>1</v>
      </c>
      <c r="GB306">
        <f t="shared" si="571"/>
        <v>0</v>
      </c>
      <c r="GC306">
        <f t="shared" si="572"/>
        <v>1</v>
      </c>
      <c r="GD306">
        <f>IF(BH306="","",IF(AND(CA306=1,GC306=1),COUNTIFS(A$3:A306,A306,CA$3:CA306,1,GC$3:GC306,1),IF(OR(OR(AW306=1,A306&lt;&gt;A305),AF306="вручную",GC306=0),"",IF(AW306=1,"",GE305))))</f>
        <v>23</v>
      </c>
      <c r="GE306">
        <f t="shared" si="573"/>
        <v>23</v>
      </c>
      <c r="GF306">
        <f>IF(B306="","",IFERROR(LOOKUP(INDEX(CHOOSE(DL306,Iдоп_1ж,Iдоп_2ж,Iдоп_3ж),MATCH(DX306,Iдоп_S,0))*DJ306*DK306,{6,10,16,20,25,32,40,50,63,80,100,125,160,200,250,315,400,500,630}),""))</f>
        <v>25</v>
      </c>
      <c r="GG306" t="str">
        <f t="shared" si="574"/>
        <v>QFD23</v>
      </c>
      <c r="GH306" t="str">
        <f t="shared" si="575"/>
        <v>QFD23</v>
      </c>
      <c r="GI306" t="str">
        <f t="shared" si="576"/>
        <v/>
      </c>
      <c r="GJ306">
        <f t="shared" si="577"/>
        <v>0</v>
      </c>
      <c r="GK306" t="str">
        <f>IF(OR(AG306="",AG306="-"),"",IFERROR(VLOOKUP(AG306,Модули_спр,2,FALSE),"R"))</f>
        <v/>
      </c>
      <c r="GL306" t="str">
        <f>IF(GK306="","",GK306&amp;"."&amp;COUNTIFS(A$3:A306,A306,GK$3:GK306,GK306))</f>
        <v/>
      </c>
      <c r="GM306" t="str">
        <f t="shared" si="578"/>
        <v/>
      </c>
      <c r="GN306" t="str">
        <f t="shared" si="579"/>
        <v/>
      </c>
      <c r="GO306" t="str">
        <f t="shared" si="580"/>
        <v/>
      </c>
      <c r="GP306" t="str">
        <f t="shared" si="581"/>
        <v/>
      </c>
      <c r="GQ306">
        <f t="shared" si="582"/>
        <v>1</v>
      </c>
      <c r="GR306" t="str">
        <f>IF(GQ306=1,"XT"&amp;COUNTIFS(A$3:A306,A306,GQ$3:GQ306,1),"")</f>
        <v>XT23</v>
      </c>
      <c r="GS306" t="str">
        <f t="shared" si="583"/>
        <v/>
      </c>
      <c r="GT306" t="str">
        <f t="shared" si="584"/>
        <v>QFD23</v>
      </c>
      <c r="GU306" t="str">
        <f t="shared" si="585"/>
        <v/>
      </c>
      <c r="GV306" t="str">
        <f t="shared" si="586"/>
        <v>ok</v>
      </c>
      <c r="GW306" t="str">
        <f>IF(OR(GO306="",GM306=""),"",IF(GO306&gt;IFERROR(VLOOKUP(GN306,Модули_спр,3,FALSE),99),"ЛИШНИЙ КАНАЛ",IF(AND(AH306&lt;&gt;"=",COUNTIFS(Линии[_модуль гр.],GM306,Линии[Канал (итог)],GO306,Линии[Канал],"&lt;&gt;=",Линии[Щит],A306)&gt;1),"ДУБЛЬ КАНАЛА","")))</f>
        <v/>
      </c>
      <c r="GX306" s="6" t="str">
        <f t="shared" si="587"/>
        <v/>
      </c>
      <c r="GY306">
        <f t="shared" si="588"/>
        <v>10</v>
      </c>
      <c r="GZ306" t="str">
        <f t="shared" si="589"/>
        <v/>
      </c>
      <c r="HA306" t="str">
        <f>IF(AND(B306="",GT306=""),"",_xlfn.TEXTJOIN("; ",TRUE,IF(AND(B306&lt;&gt;"",FE306=""),"нет фазы",""),IF(AND(B306&lt;&gt;"",N(FY306)=0,EQ306&lt;&gt;"Нет"),"нет мощности",""),IF(AND(GS306&lt;&gt;"",COUNTIFS(Линии[Щит],A306,Линии[Клемма (итог)],GS306)&gt;1),"дубль клеммы "&amp;GS306,""),IF(AND(GV306&lt;&gt;"",GV306&lt;&gt;"ok"),GV306,""),IF(GW306&lt;&gt;"",GW306,""),IF(AND(N(BV306)&gt;=4,N(BR306)=1),BV306&amp;" жил на 1 фазе",""),IF(AND(AX306="R",CA306=1,OR(N(CK306)=0,N(CK306)&gt;30)),"розетка без дифзащиты до 30 мА",""),IFERROR(IF(AND(ISNUMBER(R306),R306&gt;DV306),"потери "&amp;FIXED(R306,1)&amp;" % &gt; "&amp;DV306&amp;" %",""),""),IFERROR(IF(LEFT(GZ306,4)="мало","Iкз мало — отключение &gt; 0,4 с",""),""),IF(AND(B306&lt;&gt;"",BH306=""),"не на схеме",""),IF(AND(CA306=0,B306&lt;&gt;"",FE306&lt;&gt;"",IF(AW306=1,"",FF305)&lt;&gt;"",FE306&lt;&gt;IF(AW306=1,"",FF305)),"фаза не как у автомата группы ("&amp;IF(AW306=1,"",FF305)&amp;")","")))</f>
        <v/>
      </c>
      <c r="HB306" s="6">
        <f>IF(OR(CA306=0,DA306=""),"",_xlfn.LET(_xlpm.t,IFERROR(_xlfn.XLOOKUP(DA306,Каталог!$U$4:$U$500,Каталог!$G$4:$G$500),""),_xlpm.k,SEARCH("кА",_xlpm.t),IFERROR(--TRIM(RIGHT(SUBSTITUTE(MID(_xlpm.t,MAX(1,_xlpm.k-4),_xlpm.k-MAX(1,_xlpm.k-4))," ",REPT(" ",9)),5)),"")))</f>
        <v>6</v>
      </c>
      <c r="HC306" t="str">
        <f>IF(OR(HB306="",CA306=0),"",IF(_xlfn.XLOOKUP(A306,Щиты[Щит],Щиты[Iкз max на шинах, кА],"")="","",IF(HB306&lt;_xlfn.XLOOKUP(A306,Щиты[Щит],Щиты[Iкз max на шинах, кА]),"Icu "&amp;HB306&amp;" кА &lt; Iкз max","ok")))</f>
        <v/>
      </c>
      <c r="HD306" t="str">
        <f t="shared" si="590"/>
        <v/>
      </c>
      <c r="HE306" t="str">
        <f t="shared" si="591"/>
        <v>QFD23</v>
      </c>
      <c r="HF306" t="str">
        <f t="shared" si="592"/>
        <v>QFD23|кабель ВВГнг(А)-LS (3х2,5) → Розеточная группа, пом. 009А</v>
      </c>
      <c r="HG306" t="str" cm="1">
        <f t="array" ref="HG306">IF(HF306="","",_xlfn.LET(_xlpm.nd,_xlfn.TEXTSPLIT(HF306,"|"),IF(COLUMNS(_xlpm.nd)&gt;1,A306&amp;"¦"&amp;INDEX(_xlpm.nd,1)&amp;"¦"&amp;INDEX(_xlpm.nd,2),"")))</f>
        <v>ЩР-2¦QFD23¦кабель ВВГнг(А)-LS (3х2,5) → Розеточная группа, пом. 009А</v>
      </c>
      <c r="HH306" t="str">
        <f t="shared" si="593"/>
        <v>R.2.009А.3¦Розеточная группа, пом. 009А</v>
      </c>
      <c r="HI306" t="str" cm="1">
        <f t="array" ref="HI306">IF(HF306="","",_xlfn.LET(_xlpm.nd,_xlfn.TEXTSPLIT(HF306,"|"),IF(COLUMNS(_xlpm.nd)&gt;2,A306&amp;"¦"&amp;INDEX(_xlpm.nd,2)&amp;"¦"&amp;INDEX(_xlpm.nd,3),"")))</f>
        <v/>
      </c>
      <c r="HJ306" t="str">
        <f t="shared" si="594"/>
        <v/>
      </c>
      <c r="HK306" t="str" cm="1">
        <f t="array" ref="HK306">IF(HF306="","",_xlfn.LET(_xlpm.nd,_xlfn.TEXTSPLIT(HF306,"|"),IF(COLUMNS(_xlpm.nd)&gt;3,A306&amp;"¦"&amp;INDEX(_xlpm.nd,3)&amp;"¦"&amp;INDEX(_xlpm.nd,4),"")))</f>
        <v/>
      </c>
      <c r="HL306" t="str">
        <f t="shared" si="595"/>
        <v/>
      </c>
      <c r="HM306" t="str" cm="1">
        <f t="array" ref="HM306">IF(HF306="","",_xlfn.LET(_xlpm.nd,_xlfn.TEXTSPLIT(HF306,"|"),IF(COLUMNS(_xlpm.nd)&gt;4,A306&amp;"¦"&amp;INDEX(_xlpm.nd,4)&amp;"¦"&amp;INDEX(_xlpm.nd,5),"")))</f>
        <v/>
      </c>
      <c r="HN306" t="str">
        <f t="shared" si="596"/>
        <v/>
      </c>
      <c r="HO306" t="str" cm="1">
        <f t="array" ref="HO306">IF(HF306="","",_xlfn.LET(_xlpm.nd,_xlfn.TEXTSPLIT(HF306,"|"),IF(COLUMNS(_xlpm.nd)&gt;5,A306&amp;"¦"&amp;INDEX(_xlpm.nd,5)&amp;"¦"&amp;INDEX(_xlpm.nd,6),"")))</f>
        <v/>
      </c>
      <c r="HP306" t="str">
        <f t="shared" si="597"/>
        <v/>
      </c>
      <c r="HQ306" t="str" cm="1">
        <f t="array" ref="HQ306">IF(HF306="","",_xlfn.LET(_xlpm.nd,_xlfn.TEXTSPLIT(HF306,"|"),IF(COLUMNS(_xlpm.nd)&gt;6,A306&amp;"¦"&amp;INDEX(_xlpm.nd,6)&amp;"¦"&amp;INDEX(_xlpm.nd,7),"")))</f>
        <v/>
      </c>
      <c r="HR306" t="str">
        <f t="shared" si="598"/>
        <v/>
      </c>
      <c r="HS306" t="str">
        <f t="shared" si="599"/>
        <v/>
      </c>
      <c r="HT306" t="str">
        <f t="shared" si="600"/>
        <v>QFD23</v>
      </c>
      <c r="HU306">
        <f t="shared" si="601"/>
        <v>0</v>
      </c>
      <c r="HV306">
        <f t="shared" si="602"/>
        <v>1</v>
      </c>
      <c r="HW306" t="str">
        <f t="shared" si="603"/>
        <v/>
      </c>
      <c r="HX306" t="str">
        <f t="shared" si="604"/>
        <v/>
      </c>
      <c r="HY306" t="str">
        <f t="shared" si="605"/>
        <v/>
      </c>
      <c r="HZ306" t="str">
        <f t="shared" si="606"/>
        <v/>
      </c>
      <c r="IA306" t="str">
        <f>IF(B306="","",IFERROR(VLOOKUP(B306,УГО_спр,2,FALSE),IFERROR(VLOOKUP(AX306,УГО_спр,2,FALSE),IFERROR(VLOOKUP(LEFT(AX306,2),УГО_спр,2,FALSE),""))))</f>
        <v>Розетка</v>
      </c>
      <c r="IB306" t="str">
        <f>IF(B306="","",IF(OR(IA306="",IA306=0),"BOX",IFERROR(IF(VLOOKUP(IA306,УГО_блоки,3,FALSE)&amp;""&lt;&gt;"",VLOOKUP(IA306,УГО_блоки,3,FALSE),VLOOKUP(IA306,УГО_блоки,2,FALSE)),IA306)))</f>
        <v>SOCKET</v>
      </c>
      <c r="IC306">
        <f t="shared" si="607"/>
        <v>1</v>
      </c>
      <c r="ID306" t="str">
        <f>IF(DA306="","",IF(COUNTIF(DA$3:DA306,DA306)=1,MAX(ID$2:ID305)+1,""))</f>
        <v/>
      </c>
      <c r="IE306" t="str">
        <f>IF(CO306="","",IF(COUNTIF(CO$3:CO306,CO306)+COUNTIF(CP$2:CP305,CO306)+COUNTIF(CQ$2:CQ305,CO306)=1,MAX(IE$2:IG305)+1,""))</f>
        <v/>
      </c>
      <c r="IF306" t="str">
        <f>IF(CP306="","",IF(COUNTIF(CO$3:CO306,CP306)+COUNTIF(CP$3:CP306,CP306)+COUNTIF(CQ$2:CQ305,CP306)=1,MAX(IE$2:IG305,IE306)+1,""))</f>
        <v/>
      </c>
      <c r="IG306" t="str">
        <f>IF(CQ306="","",IF(COUNTIF(CO$3:CO306,CQ306)+COUNTIF(CP$3:CP306,CQ306)+COUNTIF(CQ$3:CQ306,CQ306)=1,MAX(IE$2:IG305,IE306,IF306)+1,""))</f>
        <v/>
      </c>
      <c r="IH306" t="str">
        <f t="shared" si="608"/>
        <v>3х2,5</v>
      </c>
      <c r="II306" t="str">
        <f>IF(IH306="","",IF(COUNTIF(IH$3:IH306,IH306)=1,MAX(II$2:II305)+1,""))</f>
        <v/>
      </c>
      <c r="IJ306" t="str">
        <f>IF(GL306="","",COUNTIF(GL$3:GL306,"?*"))</f>
        <v/>
      </c>
      <c r="IK306" t="str">
        <f>IF(OR(GL306="",GN306=""),"",IF(COUNTIFS(GL$3:GL306,"?*",GN$3:GN306,GN306)=1,MAX(IK$2:IK305)+1,""))</f>
        <v/>
      </c>
      <c r="IL306">
        <f t="shared" si="609"/>
        <v>0</v>
      </c>
      <c r="IM306">
        <f>IF(B306="","",COUNTIF(B$3:B306,"?*"))</f>
        <v>304</v>
      </c>
      <c r="IN306">
        <f>IF(GQ306&lt;&gt;1,0,_xlfn.LET(_xlpm.k,MAX(IFERROR(--VLOOKUP(B306,УГО_спр,5,FALSE),0),IFERROR(--VLOOKUP(AX306,УГО_спр,5,FALSE),0),IFERROR(--VLOOKUP(LEFT(AX306,2),УГО_спр,5,FALSE),0)),IF(_xlpm.k&gt;0,_xlpm.k,IF(IFERROR(--LEFT(SUBSTITUTE(IH306,"x","х"),FIND("х",SUBSTITUTE(IH306,"x","х"))-1),3)&gt;3,Каталог!$S$9,1))))</f>
        <v>1</v>
      </c>
      <c r="IO306">
        <f t="shared" si="610"/>
        <v>0</v>
      </c>
      <c r="IP306" t="str">
        <f t="shared" si="611"/>
        <v>авто</v>
      </c>
      <c r="IQ306">
        <f t="shared" si="612"/>
        <v>30</v>
      </c>
      <c r="IR306">
        <f t="shared" si="613"/>
        <v>1</v>
      </c>
      <c r="IS306">
        <f t="shared" si="614"/>
        <v>1</v>
      </c>
    </row>
    <row r="307" spans="1:253" x14ac:dyDescent="0.3">
      <c r="A307" t="s">
        <v>761</v>
      </c>
      <c r="B307" t="s">
        <v>1571</v>
      </c>
      <c r="C307" t="str">
        <f>Линии[[#This Row],[_авто наименование]]</f>
        <v>Розеточная группа, пом. 020А</v>
      </c>
      <c r="D307">
        <v>2</v>
      </c>
      <c r="E307">
        <v>0.12</v>
      </c>
      <c r="G307">
        <v>16</v>
      </c>
      <c r="H307">
        <f>Линии[[#This Row],[_авто утечка]]</f>
        <v>30</v>
      </c>
      <c r="I307" t="str">
        <f>Линии[[#This Row],[_авто управление]]</f>
        <v/>
      </c>
      <c r="J307" t="str">
        <f>Линии[[#This Row],[_авто аппараты]]</f>
        <v/>
      </c>
      <c r="K307">
        <v>2.5</v>
      </c>
      <c r="L307">
        <v>50</v>
      </c>
      <c r="M307">
        <v>3</v>
      </c>
      <c r="N307" t="str">
        <f>Линии[[#This Row],[_авто клемма]]</f>
        <v>XT24</v>
      </c>
      <c r="O307" t="str">
        <f t="shared" si="492"/>
        <v/>
      </c>
      <c r="P307" s="6" cm="1">
        <f t="array" ref="P307">IF(B307="","",IF(BC307&lt;&gt;"",IFERROR(_xlfn.XLOOKUP(BC307,Щиты[Щит],Щиты[Iр, А]),""),IF(BK307=1,IFERROR(_xlfn.XLOOKUP(A307,Щиты[Щит],Щиты[Iр, А]),""),IFERROR(_xlfn.IFS(BR307=1,BN307/((Uн_лин/SQRT(3))*BY307),BR307=3,BN307/(SQRT(3)*Uн_лин*BY307)),""))))</f>
        <v>0.54696341291648753</v>
      </c>
      <c r="Q307" s="7">
        <f>IF(B307="","",IFERROR(IF(VLOOKUP(AX307,Потребители_обозначение,4,FALSE)=1,VLOOKUP(AX307,Потребители_обозначение,3,FALSE)*(D307*2-1)+DS307+VLOOKUP(AZ307,Этаж_обозначение,3,FALSE)+VLOOKUP(AZ307,Этаж_обозначение,4,FALSE),VLOOKUP(AX307,Потребители_обозначение,3,FALSE)*(D307*2-1)+DS307),DS307))</f>
        <v>59</v>
      </c>
      <c r="R307" s="6">
        <f t="shared" si="493"/>
        <v>2.0300000000000002</v>
      </c>
      <c r="S307" t="str">
        <f t="shared" si="494"/>
        <v>ВВГнг(А)-LS (3х2,5)</v>
      </c>
      <c r="T307" t="str">
        <f>IF(BH307="","",IF(BI307="вводной узел","узел ","")&amp;"л."&amp;(INT((BH307-1)/Столбцов_на_лист)+1)&amp;" / "&amp;(MOD(BH307-1,Столбцов_на_лист)+1))</f>
        <v>л.3 / 11</v>
      </c>
      <c r="V307">
        <v>1</v>
      </c>
      <c r="W307">
        <v>230</v>
      </c>
      <c r="X307" t="s">
        <v>564</v>
      </c>
      <c r="AC307" t="s">
        <v>815</v>
      </c>
      <c r="AE307" t="s">
        <v>563</v>
      </c>
      <c r="AI307">
        <v>45</v>
      </c>
      <c r="AJ307" t="s">
        <v>11</v>
      </c>
      <c r="AK307">
        <v>3</v>
      </c>
      <c r="AM307">
        <v>12</v>
      </c>
      <c r="AN307">
        <v>41</v>
      </c>
      <c r="AP307">
        <v>2</v>
      </c>
      <c r="AW307" cm="1">
        <f t="array" ref="AW307">ROW()-ROW(Линии[#Headers])</f>
        <v>305</v>
      </c>
      <c r="AX307" s="6" t="str">
        <f t="shared" si="495"/>
        <v>R</v>
      </c>
      <c r="AY307" t="str">
        <f t="shared" si="496"/>
        <v>2.020А.2</v>
      </c>
      <c r="AZ307" t="str">
        <f t="shared" si="497"/>
        <v>2</v>
      </c>
      <c r="BA307" t="str">
        <f t="shared" si="498"/>
        <v>020А.2</v>
      </c>
      <c r="BB307" t="str">
        <f t="shared" si="499"/>
        <v>020А</v>
      </c>
      <c r="BC307" t="str">
        <f>IF(U307&lt;&gt;"",U307,IF(AND(B307&lt;&gt;"",B307&lt;&gt;A307,ISNUMBER(_xlfn.XMATCH(B307,Щиты[Щит]))),B307,""))</f>
        <v/>
      </c>
      <c r="BD307" t="str" cm="1">
        <f t="array" ref="BD307">IF(B307="","",IF(BC307&lt;&gt;"","Щит "&amp;BC307,_xlfn.LET(_xlpm.nm,IFERROR(_xlfn.XLOOKUP(AX307,Коды_код,Коды_имя)&amp;"",""),_xlpm.md,IFERROR(N(_xlfn.XLOOKUP(AX307,Коды_код,Коды_режим)),1),_xlpm.ex,IF(Имя_режим="по экспликации",IFERROR(_xlfn.XLOOKUP(AZ307&amp;"|"&amp;BB307,Экспликация[Этаж]&amp;"|"&amp;Экспликация[Помещение],Экспликация[Название])&amp;"",""),""),_xlpm.rm,IF(BB307="","",IF(_xlpm.ex&lt;&gt;"",". "&amp;_xlpm.ex&amp;IF(Имя_пом="нет"," ("&amp;BB307&amp;")"," (пом. "&amp;BB307&amp;")"),IF(Имя_пом="нет"," ",", пом. ")&amp;BB307)),IF(_xlpm.nm="","",IF(_xlpm.md=2,_xlpm.nm&amp;" шлейф "&amp;AZ307,_xlpm.nm&amp;_xlpm.rm)))))</f>
        <v>Розеточная группа, пом. 020А</v>
      </c>
      <c r="BE307" t="str">
        <f t="shared" si="500"/>
        <v>Розеточная группа, пом. 020А</v>
      </c>
      <c r="BF307">
        <f>IFERROR(_xlfn.XMATCH(A307,Щиты[Щит]),0)</f>
        <v>11</v>
      </c>
      <c r="BG307">
        <f>_xlfn.LET(_xlpm.k,IFERROR(_xlfn.XLOOKUP(A307,Щиты[Щит],Щиты[Листов под вводной узел]),""),IF(_xlpm.k="",1,N(_xlpm.k))*Столбцов_на_лист)</f>
        <v>17</v>
      </c>
      <c r="BH307">
        <f t="shared" si="501"/>
        <v>45</v>
      </c>
      <c r="BI307" t="str">
        <f t="shared" si="502"/>
        <v>линии</v>
      </c>
      <c r="BJ307" s="6">
        <f>IFERROR(N(_xlfn.XLOOKUP(AX307,Коды_код,Коды_квт)),0)</f>
        <v>0</v>
      </c>
      <c r="BK307">
        <f t="shared" si="503"/>
        <v>0</v>
      </c>
      <c r="BL307" t="str">
        <f>IF(B307="","",IF(BC307&lt;&gt;"",IFERROR(_xlfn.XLOOKUP(BC307,Щиты[Щит],Щиты[Руст, кВт]),0),IF(BK307=1,IFERROR(_xlfn.XLOOKUP(A307,Щиты[Щит],Щиты[Руст, кВт]),0),IF(BJ307&gt;0,ROUND(BJ307*MAX(1,N(D307)),3),""))))</f>
        <v/>
      </c>
      <c r="BM307">
        <f t="shared" si="504"/>
        <v>0.12</v>
      </c>
      <c r="BN307" s="6">
        <f>IF(B307="","",IF(BC307&lt;&gt;"",IFERROR(_xlfn.XLOOKUP(BC307,Щиты[Щит],Щиты[Руст, кВт]),0),N(BM307)))</f>
        <v>0.12</v>
      </c>
      <c r="BO307" t="str">
        <f>IF(B307="","",IFERROR(IF(VLOOKUP(AX307,Потребители_обозначение,8,FALSE)=0,"",VLOOKUP(AX307,Потребители_обозначение,8,FALSE)),""))</f>
        <v/>
      </c>
      <c r="BP307">
        <f t="shared" si="505"/>
        <v>230</v>
      </c>
      <c r="BQ307">
        <f>IF(B307="","",IF(BC307&lt;&gt;"",3,IFERROR(IF(N(VLOOKUP(AX307,Потребители_обозначение,9,FALSE))=0,1,VLOOKUP(AX307,Потребители_обозначение,9,FALSE)),1)))</f>
        <v>1</v>
      </c>
      <c r="BR307">
        <f t="shared" si="506"/>
        <v>1</v>
      </c>
      <c r="BS307" t="str">
        <f>IF(B307="","",_xlfn.LET(_xlpm.bc,IFERROR(IF(VLOOKUP(AX307,Потребители_обозначение,6,FALSE)=0,"",VLOOKUP(AX307,Потребители_обозначение,6,FALSE)&amp;""),""),IF(AND(FK307="да",OR(_xlpm.bc="",_xlpm.bc="мс")),Марка_пож,IF(AND(_xlpm.bc="",BC307&lt;&gt;""),"мс",_xlpm.bc))))</f>
        <v/>
      </c>
      <c r="BT307" t="str">
        <f t="shared" si="507"/>
        <v>мс</v>
      </c>
      <c r="BU307">
        <f>IF(B307="","",_xlfn.LET(_xlpm.cc,IFERROR(N(VLOOKUP(AX307,Потребители_обозначение,7,FALSE)),0),IF(_xlpm.cc&gt;0,_xlpm.cc,IF(BT307="","",IF(N(BR307)=3,5,3)))))</f>
        <v>3</v>
      </c>
      <c r="BV307">
        <f t="shared" si="508"/>
        <v>3</v>
      </c>
      <c r="BW307">
        <f>IFERROR(N(VLOOKUP(AX307,Потребители_обозначение,10,FALSE)),0)</f>
        <v>0</v>
      </c>
      <c r="BX307">
        <f>IFERROR(VLOOKUP(AX307,Потребители_обозначение,5,FALSE),0)</f>
        <v>1</v>
      </c>
      <c r="BY307" s="6" cm="1">
        <f t="array" ref="BY307">IF(B307="","",IF(BC307&lt;&gt;"",IFERROR(_xlfn.XLOOKUP(BC307,Щиты[Щит],Щиты[cos φ]),0.95),IF(BK307=1,IFERROR(_xlfn.XLOOKUP(A307,Щиты[Щит],Щиты[cos φ]),0.95),IF(ISNUMBER(Z307),Z307,IFERROR(IF(BX307=2,_xlfn.IFS(BR307=3,VLOOKUP(BN307,Справочная_двигатели,8,FALSE),BR307=1,VLOOKUP(BN307,Справочная_двигатели,10,TRUE)),IF(AND(Методика="нормы 2026",EQ307="Сил"),0.8,0.95)),0.95)))))</f>
        <v>0.95</v>
      </c>
      <c r="BZ307">
        <f t="shared" si="509"/>
        <v>0</v>
      </c>
      <c r="CA307">
        <f t="shared" si="510"/>
        <v>1</v>
      </c>
      <c r="CB307">
        <f t="shared" si="511"/>
        <v>0</v>
      </c>
      <c r="CC307">
        <f t="shared" si="512"/>
        <v>0</v>
      </c>
      <c r="CD307">
        <f t="shared" si="513"/>
        <v>0</v>
      </c>
      <c r="CE307">
        <f t="shared" si="514"/>
        <v>0</v>
      </c>
      <c r="CF307">
        <f t="shared" si="515"/>
        <v>0</v>
      </c>
      <c r="CG307">
        <f>IF(AX307="",0,_xlfn.LET(_xlpm.v,IFERROR(VLOOKUP(B307,УГО_спр,3,FALSE),IFERROR(VLOOKUP(AX307,УГО_спр,3,FALSE),IFERROR(VLOOKUP(LEFT(AX307,2),УГО_спр,3,FALSE),""))),IF(_xlpm.v="да",30,IF(ISNUMBER(_xlpm.v),_xlpm.v,0))))</f>
        <v>30</v>
      </c>
      <c r="CH307">
        <f t="shared" si="516"/>
        <v>30</v>
      </c>
      <c r="CI307" t="str">
        <f>_xlfn.LET(_xlpm.k,IFERROR(_xlfn.XLOOKUP(AX307,Коды_код,Коды_утечка)&amp;"",""),IF(_xlpm.k="","дифавтомат",_xlpm.k))</f>
        <v>дифавтомат</v>
      </c>
      <c r="CJ307">
        <f t="shared" si="517"/>
        <v>30</v>
      </c>
      <c r="CK307">
        <f t="shared" si="518"/>
        <v>30</v>
      </c>
      <c r="CL307">
        <f>IF(B307="",0,IFERROR(--VLOOKUP(B307,УГО_спр,4,FALSE),IFERROR(--VLOOKUP(AX307,УГО_спр,4,FALSE),IFERROR(--VLOOKUP(LEFT(AX307,2),УГО_спр,4,FALSE),0))))</f>
        <v>16</v>
      </c>
      <c r="CM307" t="str">
        <f>IF(B307="","",IFERROR(_xlfn.XLOOKUP(AX307,Коды_код,Коды_апп)&amp;"",""))</f>
        <v/>
      </c>
      <c r="CN307" t="str">
        <f t="shared" si="519"/>
        <v/>
      </c>
      <c r="CO307" t="str" cm="1">
        <f t="array" ref="CO307">IF(TRIM(CN307&amp;"")="","",IFERROR(TRIM(INDEX(_xlfn.TEXTSPLIT(CN307&amp;";;;",";"),1)),""))</f>
        <v/>
      </c>
      <c r="CP307" t="str" cm="1">
        <f t="array" ref="CP307">IF(TRIM(CN307&amp;"")="","",IFERROR(TRIM(INDEX(_xlfn.TEXTSPLIT(CN307&amp;";;;",";"),2)),""))</f>
        <v/>
      </c>
      <c r="CQ307" t="str" cm="1">
        <f t="array" ref="CQ307">IF(TRIM(CN307&amp;"")="","",IFERROR(TRIM(INDEX(_xlfn.TEXTSPLIT(CN307&amp;";;;",";"),3)),""))</f>
        <v/>
      </c>
      <c r="CR307">
        <f t="shared" si="520"/>
        <v>0</v>
      </c>
      <c r="CS307" t="str">
        <f>IF(B307="","",_xlfn.LET(_xlpm.t,LOWER(AV307&amp;""),IF(ISNUMBER(SEARCH("dim",_xlpm.t)),"DIM",IF(ISNUMBER(SEARCH("dali",_xlpm.t)),"DALI",IF(OR(ISNUMBER(SEARCH("relay",_xlpm.t)),ISNUMBER(SEARCH("реле",_xlpm.t))),"Relay",IF(ISNUMBER(SEARCH("кнопк",_xlpm.t)),"",IFERROR(_xlfn.XLOOKUP(AX307,Коды_код,Коды_упр)&amp;"","")))))))</f>
        <v/>
      </c>
      <c r="CT307" t="str">
        <f t="shared" si="521"/>
        <v/>
      </c>
      <c r="CU307">
        <f>IF(B307="","",_xlfn.LET(_xlpm.ig,N(P307)+IF(AF307="вручную",0,N(CB307)),_xlpm.n0,IFERROR(VLOOKUP(_xlpm.ig,Автомат_номиналы,2,TRUE),0),_xlpm.mn,MAX(CL307,IF(AF307="вручную",0,N(CE307))),MAX(_xlpm.n0,_xlpm.mn,IF(CR307=1,Мин_автомат_БП,0))))</f>
        <v>16</v>
      </c>
      <c r="CV307">
        <f t="shared" si="522"/>
        <v>1</v>
      </c>
      <c r="CW307" t="str">
        <f t="shared" si="523"/>
        <v>2P</v>
      </c>
      <c r="CX307" t="str">
        <f>_xlfn.LET(_xlpm.cc,UPPER(TRIM(IFERROR(_xlfn.XLOOKUP(AX307,Коды_код,Коды_хар)&amp;"",""))),IF(OR(_xlpm.cc="B",_xlpm.cc="В"),"B",IF(_xlpm.cc="D","D","С")))</f>
        <v>С</v>
      </c>
      <c r="CY307" t="str">
        <f t="shared" si="524"/>
        <v>2P С16А 30мА</v>
      </c>
      <c r="CZ307">
        <f t="shared" si="525"/>
        <v>16</v>
      </c>
      <c r="DA307" t="str">
        <f t="shared" si="526"/>
        <v>2P С16А 30мА</v>
      </c>
      <c r="DB307" cm="1">
        <f t="array" ref="DB307">IF(DA307="","",_xlfn.LET(_xlpm.t,SUBSTITUTE(SUBSTITUTE(SUBSTITUTE(UPPER(DA307),"С","C"),"А","A"),"В","B"),_xlpm.tk,_xlfn.TEXTSPLIT(_xlpm.t,"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7" t="str">
        <f t="shared" si="527"/>
        <v>ok</v>
      </c>
      <c r="DD307">
        <f t="shared" si="528"/>
        <v>16</v>
      </c>
      <c r="DE307" t="str">
        <f t="shared" si="529"/>
        <v>2P С16А 30мА</v>
      </c>
      <c r="DF307">
        <f t="shared" si="530"/>
        <v>30</v>
      </c>
      <c r="DG307">
        <f t="shared" si="531"/>
        <v>1</v>
      </c>
      <c r="DH307">
        <f t="shared" si="532"/>
        <v>0</v>
      </c>
      <c r="DI307">
        <f t="shared" si="533"/>
        <v>0.54696341291648753</v>
      </c>
      <c r="DJ307">
        <f t="shared" si="534"/>
        <v>1</v>
      </c>
      <c r="DK307">
        <f>IF(ISNUMBER(AL307),AL307,К_прокл)</f>
        <v>1</v>
      </c>
      <c r="DL307">
        <f t="shared" si="535"/>
        <v>2</v>
      </c>
      <c r="DM307">
        <f>IFERROR(N(VLOOKUP(BT307,Кабель_обозначение,3,FALSE)),1)</f>
        <v>1</v>
      </c>
      <c r="DN307">
        <f>IFERROR(N(_xlfn.XLOOKUP(A307,Щиты[Щит],Щиты[ΔU до шин, %])),0)</f>
        <v>1.79</v>
      </c>
      <c r="DO307" t="str">
        <f>IFERROR(_xlfn.XLOOKUP(A307,Щиты[Щит],Щиты[Zпетли на шинах, Ом]),"")</f>
        <v/>
      </c>
      <c r="DP307">
        <f>IFERROR(N(_xlfn.XLOOKUP(A307,Щиты[Щит],Щиты[ΔU до шин (подбор), %])),0)</f>
        <v>4.75</v>
      </c>
      <c r="DQ307" t="str">
        <f>IFERROR(_xlfn.XLOOKUP(A307,Щиты[Щит],Щиты[Zпетли на шинах (подбор), Ом]),"")</f>
        <v/>
      </c>
      <c r="DR307" t="str">
        <f t="shared" si="536"/>
        <v/>
      </c>
      <c r="DS307">
        <f t="shared" si="537"/>
        <v>50</v>
      </c>
      <c r="DT307">
        <f t="shared" si="538"/>
        <v>2</v>
      </c>
      <c r="DU307">
        <f t="shared" si="539"/>
        <v>0.31</v>
      </c>
      <c r="DV307" s="6">
        <f>IF(B307="","",IF(IFERROR(VLOOKUP(AX307,УГО_спр,2,FALSE),"")="Светильник",3,4)+IF(Методика="нормы 2026",MIN(0.5,MAX(0,N(Q307)-100)*0.005),0))</f>
        <v>4</v>
      </c>
      <c r="DW307" t="str" cm="1">
        <f t="array" ref="DW307">IF(OR(B307="",BT307="",DM307&lt;&gt;1),"",_xlfn.LET(_xlpm.sz,Iдоп_S,_xlpm.t_,CHOOSE(DL307,Iдоп_1ж,Iдоп_2ж,Iдоп_3ж)*DJ307*DK307,_xlpm.inn,N(DD307),_xlpm.smin,MAX(1.5,BW307),_xlpm.L_,N(Q307)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307)*(_xlpm.rho*_xlpm.L_/_xlpm.sz*N(BY307)+_xlpm.xx*_xlpm.L_*N(DU307)/1000)*N(P307)/((Uн_лин/SQRT(3))*1000)*100,999),_xlpm.kz,IF(OR(DG307=1,NOT(ISNUMBER(DQ307)),_xlpm.L_=0,_xlpm.inn=0),1,IFERROR(--(c_min*(Uн_лин*1000/SQRT(3))/(DQ307+2*ρкз_Cu*_xlpm.L_/_xlpm.sz)&gt;=GY307*_xlpm.inn),0)),_xlpm.ok,IFERROR((_xlpm.sz&gt;=_xlpm.smin)*(_xlpm.t_&gt;=_xlpm.inn)*IF(_xlpm.L_&gt;0,(_xlpm.du_+DP307&lt;=DV307+0.00001),1)*_xlpm.kz,0),_xlpm.r_,_xlfn._xlws.FILTER(_xlpm.sz,_xlpm.ok,"не подобрано"),INDEX(_xlpm.r_,1)))</f>
        <v>не подобрано</v>
      </c>
      <c r="DX307">
        <f t="shared" si="540"/>
        <v>2.5</v>
      </c>
      <c r="DY307" cm="1">
        <f t="array" ref="DY307">IF(OR(B307="",BT307="",DM307&lt;&gt;1),"",_xlfn.LET(_xlpm.sz,Iдоп_S,_xlpm.t_,CHOOSE(DL307,Iдоп_1ж,Iдоп_2ж,Iдоп_3ж)*DJ307*DK307,_xlpm.ok,IFERROR((_xlpm.sz&gt;=MAX(1.5,BW307))*(_xlpm.t_&gt;=N(DD307)),0),_xlpm.r_,_xlfn._xlws.FILTER(_xlpm.sz,_xlpm.ok,""),INDEX(_xlpm.r_,1)))</f>
        <v>1.5</v>
      </c>
      <c r="DZ307" s="6" cm="1">
        <f t="array" ref="DZ307">IFERROR(ROUNDUP(N(DT307)*(_xlfn.XLOOKUP(DY307,INDEX(Кабель_сопротивление,0,1),INDEX(Кабель_сопротивление,0,3))*N(Q307)/DY307*N(BY307)+_xlfn.XLOOKUP(DY307,INDEX(Кабель_сопротивление,0,1),INDEX(Кабель_сопротивление,0,2))*N(Q307)*N(DU307)/1000)*N(P307)/((Uн_лин/SQRT(3))*1000)*100,2),"")</f>
        <v>0.4</v>
      </c>
      <c r="EA307">
        <f>IFERROR(2*ρкз_Cu*N(Q307)/DY307,"")</f>
        <v>2.0689333333333333</v>
      </c>
      <c r="EB307">
        <f>IFERROR(VLOOKUP(DX307,Кабель_сопротивление,3,FALSE),"")</f>
        <v>2.2499999999999999E-2</v>
      </c>
      <c r="EC307">
        <f>IFERROR(VLOOKUP(DX307,Кабель_сопротивление,2,FALSE),"")</f>
        <v>0.1</v>
      </c>
      <c r="ED307">
        <f t="shared" si="541"/>
        <v>41</v>
      </c>
      <c r="EE307">
        <f t="shared" si="542"/>
        <v>55</v>
      </c>
      <c r="EF307">
        <f t="shared" si="543"/>
        <v>0.55383217945589258</v>
      </c>
      <c r="EG307" s="6">
        <f>IFERROR(ROUNDUP(EF307/((Uн_лин/SQRT(3))*1000)*100,2),"")</f>
        <v>0.24000000000000002</v>
      </c>
      <c r="EH307" t="str">
        <f>IFERROR(VLOOKUP(BT307,Кабель_обозначение,2,FALSE),"")</f>
        <v>ВВГнг(А)-LS</v>
      </c>
      <c r="EI307" t="str">
        <f t="shared" si="544"/>
        <v>ВВГнг(А)-LS (3х2,5)</v>
      </c>
      <c r="EJ307" t="str">
        <f t="shared" si="545"/>
        <v>ВВГнг(А)-LS (3х2,5)
L=59-0,24%</v>
      </c>
      <c r="EK307">
        <f>IFERROR(2*ρкз_Cu*Q307/DX307,"")</f>
        <v>1.24136</v>
      </c>
      <c r="EL307">
        <f t="shared" si="546"/>
        <v>0.41300000000000009</v>
      </c>
      <c r="EM307" s="6" t="str">
        <f>IFERROR(IF(OR(B307="",NOT(ISNUMBER(DX307)),N(Q307)=0),"",_xlfn.XLOOKUP(A307,Щиты[Щит],Щиты[Zпетли на шинах, Ом])+EK307),"")</f>
        <v/>
      </c>
      <c r="EN307" s="6" t="str">
        <f>IF(ISNUMBER(EM307),c_min*(Uн_лин*1000/SQRT(3))/EM307,"")</f>
        <v/>
      </c>
      <c r="EO307" s="6" t="str">
        <f>IFERROR(IF(OR(B307="",NOT(ISNUMBER(DX307))),"",1.05*(Uн_лин*1000/SQRT(3))/(_xlfn.XLOOKUP(A307,Щиты[Щит],Щиты[Zmax на шинах, Ом])+EL307)/1000),"")</f>
        <v/>
      </c>
      <c r="EP307" s="6" t="str">
        <f>IF(B307="","",IF(ISNUMBER(Y307),"Сил",IF(IFERROR(_xlfn.XLOOKUP(AX307,Коды_код,Коды_группа)&amp;"","")="","Быт",_xlfn.XLOOKUP(AX307,Коды_код,Коды_группа)&amp;"")))</f>
        <v>Быт</v>
      </c>
      <c r="EQ307" s="6" t="str">
        <f t="shared" si="547"/>
        <v>Быт</v>
      </c>
      <c r="ER307" s="6">
        <f>IF(EQ307="Щит","щит",IF(EQ307="","",IF(EQ307="Быт",IFERROR(_xlfn.XLOOKUP(A307,Щиты[Щит],Щиты[Кс быт]),1),IF(EQ307="Сил",IF(ISNUMBER(Y307),Y307,IF(Методика="нормы 2026",IFERROR(_xlfn.XLOOKUP(A307,Щиты[Щит],Щиты[Кс силовых (табл. 7.5)]),1),1)),IF(OR(EQ307="Пост",EQ307="Отоп"),1,IF(EQ307="ВНГ",0.7,0))))))</f>
        <v>0.8</v>
      </c>
      <c r="ES307">
        <f t="shared" si="548"/>
        <v>1</v>
      </c>
      <c r="ET307">
        <f t="shared" si="549"/>
        <v>0.12</v>
      </c>
      <c r="EU307">
        <f t="shared" si="550"/>
        <v>0.12</v>
      </c>
      <c r="EV307">
        <f t="shared" si="551"/>
        <v>0</v>
      </c>
      <c r="EW307">
        <f t="shared" si="552"/>
        <v>0</v>
      </c>
      <c r="EX307">
        <f t="shared" si="553"/>
        <v>0</v>
      </c>
      <c r="EY307">
        <f t="shared" si="554"/>
        <v>0</v>
      </c>
      <c r="EZ307">
        <f t="shared" si="555"/>
        <v>0.12</v>
      </c>
      <c r="FA307">
        <f t="shared" si="556"/>
        <v>0.11399999999999999</v>
      </c>
      <c r="FB307">
        <f t="shared" si="557"/>
        <v>0.12</v>
      </c>
      <c r="FC307" t="str">
        <f t="shared" si="558"/>
        <v>L3</v>
      </c>
      <c r="FD307" t="str">
        <f>IF(B307="","",IF(CA307=0,IF(AW307=1,"",FF306),IF(OR(N(CV307)&gt;=3,N(BR307)&gt;=3),"L1,L2,L3",IFERROR(_xlfn.TEXTBEFORE(_xlfn.TEXTAFTER(_xlfn.XLOOKUP(A307,Щиты[Щит],Щиты[_фазы авто]),";"&amp;AW307&amp;":"),";"),"L1"))))</f>
        <v>L1</v>
      </c>
      <c r="FE307" t="str">
        <f t="shared" si="559"/>
        <v>L3</v>
      </c>
      <c r="FF307" t="str">
        <f t="shared" si="560"/>
        <v>L3</v>
      </c>
      <c r="FG307" cm="1">
        <f t="array" ref="FG307">IFERROR(IF(BX307=2,_xlfn.IFS(BR307=3,VLOOKUP(BN307,Справочная_двигатели,3,FALSE),BR307=1,VLOOKUP(BN307,Справочная_двигатели,5,TRUE)),0),0)</f>
        <v>0</v>
      </c>
      <c r="FH307">
        <f>IFERROR(IF(BX307=3,VLOOKUP(BN307,Справочная_ЛЭД,2,TRUE),0),0)</f>
        <v>0</v>
      </c>
      <c r="FI307" s="6">
        <f t="shared" si="561"/>
        <v>0</v>
      </c>
      <c r="FJ307" t="str" cm="1">
        <f t="array" ref="FJ307">IF(B307="","",IFERROR(INDEX({"I особая","I","II","III"},MATCH(TRIM(AC307&amp;""),{"I особая","I","II","III"},0)),"III"))</f>
        <v>II</v>
      </c>
      <c r="FK307" t="str">
        <f>IF(B307="","",IF(TRIM(AD307&amp;"")&lt;&gt;"",IF(LOWER(TRIM(AD307&amp;""))="да","да","нет"),IF(IFERROR(_xlfn.XLOOKUP(AX307,Коды_код,Коды_пожарная),"")="да","да","нет")))</f>
        <v>нет</v>
      </c>
      <c r="FL307" t="str">
        <f t="shared" si="562"/>
        <v/>
      </c>
      <c r="FM307" t="str">
        <f t="shared" si="563"/>
        <v>основная</v>
      </c>
      <c r="FN307">
        <f t="shared" si="564"/>
        <v>1</v>
      </c>
      <c r="FO307" t="str" cm="1">
        <f t="array" ref="FO307">IF(B307="","",_xlfn.LET(_xlpm.t,IFERROR(_xlfn.XLOOKUP(1,(Шины[Шина]=FM307)*(((Шины[Щит]=A307)+(Шины[Щит]=""))&gt;0),Шины[Тип]),"")&amp;"",IF(_xlpm.t&lt;&gt;"",_xlpm.t,IF(ISNUMBER(SEARCH("ИБП",FM307)),"ИБП",IF(ISNUMBER(SEARCH("ДГУ",FM307)),"ДГУ","Ввод "&amp;FN307)))))</f>
        <v>Ввод 1</v>
      </c>
      <c r="FP307" t="str">
        <f t="shared" si="565"/>
        <v>Ввод 1</v>
      </c>
      <c r="FQ307" t="str">
        <f>IF(B307="","",IF(OR(FO307="ИБП",FO307="ДГУ"),"I особая",IF(FO307="Одиночная","III",_xlfn.XLOOKUP(A307,Щиты[Щит],Щиты[Категория шины «Ввод»],"III"))))</f>
        <v>II</v>
      </c>
      <c r="FR307">
        <f>IF(B307="",0,IFERROR(MATCH(FJ307,{"III","II","I","I особая"},0),1))</f>
        <v>2</v>
      </c>
      <c r="FS307">
        <f t="shared" si="566"/>
        <v>2</v>
      </c>
      <c r="FT307" t="str">
        <f>IF(B307="","",IF(FR307&gt;IFERROR(MATCH(FQ307,{"III","II","I","I особая"},0),1),"НЕ ОБЕСПЕЧЕНА","ОК"))</f>
        <v>ОК</v>
      </c>
      <c r="FU307" t="str">
        <f>IF(A307="","",_xlfn.XLOOKUP(A307,Щиты[Щит],Щиты[Путь],""))</f>
        <v>|ГРЩ-ЖД|ЩР-2|</v>
      </c>
      <c r="FV307" t="str">
        <f>IF(B307="","",IF(AE307&lt;&gt;"",AE307,IF(IFERROR(_xlfn.XLOOKUP(AX307,Коды_код,Коды_вид)&amp;"","")="","Прочее",_xlfn.XLOOKUP(AX307,Коды_код,Коды_вид)&amp;"")))</f>
        <v>Розеточная сеть и бытовые приборы</v>
      </c>
      <c r="FW307">
        <f>IF(BH307="","",INT((BH307-1)/Столбцов_на_лист)+1)</f>
        <v>3</v>
      </c>
      <c r="FX307" t="str">
        <f t="shared" si="567"/>
        <v>ВВГнг(А)-LS (3х2,5) L=59-0,24%</v>
      </c>
      <c r="FY307">
        <f t="shared" si="568"/>
        <v>0.12</v>
      </c>
      <c r="FZ307">
        <f t="shared" si="569"/>
        <v>0.55000000000000004</v>
      </c>
      <c r="GA307">
        <f t="shared" si="570"/>
        <v>1</v>
      </c>
      <c r="GB307">
        <f t="shared" si="571"/>
        <v>0</v>
      </c>
      <c r="GC307">
        <f t="shared" si="572"/>
        <v>1</v>
      </c>
      <c r="GD307">
        <f>IF(BH307="","",IF(AND(CA307=1,GC307=1),COUNTIFS(A$3:A307,A307,CA$3:CA307,1,GC$3:GC307,1),IF(OR(OR(AW307=1,A307&lt;&gt;A306),AF307="вручную",GC307=0),"",IF(AW307=1,"",GE306))))</f>
        <v>24</v>
      </c>
      <c r="GE307">
        <f t="shared" si="573"/>
        <v>24</v>
      </c>
      <c r="GF307">
        <f>IF(B307="","",IFERROR(LOOKUP(INDEX(CHOOSE(DL307,Iдоп_1ж,Iдоп_2ж,Iдоп_3ж),MATCH(DX307,Iдоп_S,0))*DJ307*DK307,{6,10,16,20,25,32,40,50,63,80,100,125,160,200,250,315,400,500,630}),""))</f>
        <v>25</v>
      </c>
      <c r="GG307" t="str">
        <f t="shared" si="574"/>
        <v>QFD24</v>
      </c>
      <c r="GH307" t="str">
        <f t="shared" si="575"/>
        <v>QFD24</v>
      </c>
      <c r="GI307" t="str">
        <f t="shared" si="576"/>
        <v/>
      </c>
      <c r="GJ307">
        <f t="shared" si="577"/>
        <v>0</v>
      </c>
      <c r="GK307" t="str">
        <f>IF(OR(AG307="",AG307="-"),"",IFERROR(VLOOKUP(AG307,Модули_спр,2,FALSE),"R"))</f>
        <v/>
      </c>
      <c r="GL307" t="str">
        <f>IF(GK307="","",GK307&amp;"."&amp;COUNTIFS(A$3:A307,A307,GK$3:GK307,GK307))</f>
        <v/>
      </c>
      <c r="GM307" t="str">
        <f t="shared" si="578"/>
        <v/>
      </c>
      <c r="GN307" t="str">
        <f t="shared" si="579"/>
        <v/>
      </c>
      <c r="GO307" t="str">
        <f t="shared" si="580"/>
        <v/>
      </c>
      <c r="GP307" t="str">
        <f t="shared" si="581"/>
        <v/>
      </c>
      <c r="GQ307">
        <f t="shared" si="582"/>
        <v>1</v>
      </c>
      <c r="GR307" t="str">
        <f>IF(GQ307=1,"XT"&amp;COUNTIFS(A$3:A307,A307,GQ$3:GQ307,1),"")</f>
        <v>XT24</v>
      </c>
      <c r="GS307" t="str">
        <f t="shared" si="583"/>
        <v>XT24</v>
      </c>
      <c r="GT307" t="str">
        <f t="shared" si="584"/>
        <v>QFD24</v>
      </c>
      <c r="GU307" t="str">
        <f t="shared" si="585"/>
        <v/>
      </c>
      <c r="GV307" t="str">
        <f t="shared" si="586"/>
        <v>ok</v>
      </c>
      <c r="GW307" t="str">
        <f>IF(OR(GO307="",GM307=""),"",IF(GO307&gt;IFERROR(VLOOKUP(GN307,Модули_спр,3,FALSE),99),"ЛИШНИЙ КАНАЛ",IF(AND(AH307&lt;&gt;"=",COUNTIFS(Линии[_модуль гр.],GM307,Линии[Канал (итог)],GO307,Линии[Канал],"&lt;&gt;=",Линии[Щит],A307)&gt;1),"ДУБЛЬ КАНАЛА","")))</f>
        <v/>
      </c>
      <c r="GX307" s="6" t="str">
        <f t="shared" si="587"/>
        <v/>
      </c>
      <c r="GY307">
        <f t="shared" si="588"/>
        <v>10</v>
      </c>
      <c r="GZ307" t="str">
        <f t="shared" si="589"/>
        <v/>
      </c>
      <c r="HA307" t="str">
        <f>IF(AND(B307="",GT307=""),"",_xlfn.TEXTJOIN("; ",TRUE,IF(AND(B307&lt;&gt;"",FE307=""),"нет фазы",""),IF(AND(B307&lt;&gt;"",N(FY307)=0,EQ307&lt;&gt;"Нет"),"нет мощности",""),IF(AND(GS307&lt;&gt;"",COUNTIFS(Линии[Щит],A307,Линии[Клемма (итог)],GS307)&gt;1),"дубль клеммы "&amp;GS307,""),IF(AND(GV307&lt;&gt;"",GV307&lt;&gt;"ok"),GV307,""),IF(GW307&lt;&gt;"",GW307,""),IF(AND(N(BV307)&gt;=4,N(BR307)=1),BV307&amp;" жил на 1 фазе",""),IF(AND(AX307="R",CA307=1,OR(N(CK307)=0,N(CK307)&gt;30)),"розетка без дифзащиты до 30 мА",""),IFERROR(IF(AND(ISNUMBER(R307),R307&gt;DV307),"потери "&amp;FIXED(R307,1)&amp;" % &gt; "&amp;DV307&amp;" %",""),""),IFERROR(IF(LEFT(GZ307,4)="мало","Iкз мало — отключение &gt; 0,4 с",""),""),IF(AND(B307&lt;&gt;"",BH307=""),"не на схеме",""),IF(AND(CA307=0,B307&lt;&gt;"",FE307&lt;&gt;"",IF(AW307=1,"",FF306)&lt;&gt;"",FE307&lt;&gt;IF(AW307=1,"",FF306)),"фаза не как у автомата группы ("&amp;IF(AW307=1,"",FF306)&amp;")","")))</f>
        <v/>
      </c>
      <c r="HB307" s="6">
        <f>IF(OR(CA307=0,DA307=""),"",_xlfn.LET(_xlpm.t,IFERROR(_xlfn.XLOOKUP(DA307,Каталог!$U$4:$U$500,Каталог!$G$4:$G$500),""),_xlpm.k,SEARCH("кА",_xlpm.t),IFERROR(--TRIM(RIGHT(SUBSTITUTE(MID(_xlpm.t,MAX(1,_xlpm.k-4),_xlpm.k-MAX(1,_xlpm.k-4))," ",REPT(" ",9)),5)),"")))</f>
        <v>6</v>
      </c>
      <c r="HC307" t="str">
        <f>IF(OR(HB307="",CA307=0),"",IF(_xlfn.XLOOKUP(A307,Щиты[Щит],Щиты[Iкз max на шинах, кА],"")="","",IF(HB307&lt;_xlfn.XLOOKUP(A307,Щиты[Щит],Щиты[Iкз max на шинах, кА]),"Icu "&amp;HB307&amp;" кА &lt; Iкз max","ok")))</f>
        <v/>
      </c>
      <c r="HD307" t="str">
        <f t="shared" si="590"/>
        <v/>
      </c>
      <c r="HE307" t="str">
        <f t="shared" si="591"/>
        <v>QFD24|XT24</v>
      </c>
      <c r="HF307" t="str">
        <f t="shared" si="592"/>
        <v>QFD24|XT24|кабель ВВГнг(А)-LS (3х2,5) → Розеточная группа, пом. 020А</v>
      </c>
      <c r="HG307" t="str" cm="1">
        <f t="array" ref="HG307">IF(HF307="","",_xlfn.LET(_xlpm.nd,_xlfn.TEXTSPLIT(HF307,"|"),IF(COLUMNS(_xlpm.nd)&gt;1,A307&amp;"¦"&amp;INDEX(_xlpm.nd,1)&amp;"¦"&amp;INDEX(_xlpm.nd,2),"")))</f>
        <v>ЩР-2¦QFD24¦XT24</v>
      </c>
      <c r="HH307" t="str">
        <f t="shared" si="593"/>
        <v>R.2.020А.2¦Розеточная группа, пом. 020А</v>
      </c>
      <c r="HI307" t="str" cm="1">
        <f t="array" ref="HI307">IF(HF307="","",_xlfn.LET(_xlpm.nd,_xlfn.TEXTSPLIT(HF307,"|"),IF(COLUMNS(_xlpm.nd)&gt;2,A307&amp;"¦"&amp;INDEX(_xlpm.nd,2)&amp;"¦"&amp;INDEX(_xlpm.nd,3),"")))</f>
        <v>ЩР-2¦XT24¦кабель ВВГнг(А)-LS (3х2,5) → Розеточная группа, пом. 020А</v>
      </c>
      <c r="HJ307" t="str">
        <f t="shared" si="594"/>
        <v>R.2.020А.2¦Розеточная группа, пом. 020А</v>
      </c>
      <c r="HK307" t="str" cm="1">
        <f t="array" ref="HK307">IF(HF307="","",_xlfn.LET(_xlpm.nd,_xlfn.TEXTSPLIT(HF307,"|"),IF(COLUMNS(_xlpm.nd)&gt;3,A307&amp;"¦"&amp;INDEX(_xlpm.nd,3)&amp;"¦"&amp;INDEX(_xlpm.nd,4),"")))</f>
        <v/>
      </c>
      <c r="HL307" t="str">
        <f t="shared" si="595"/>
        <v/>
      </c>
      <c r="HM307" t="str" cm="1">
        <f t="array" ref="HM307">IF(HF307="","",_xlfn.LET(_xlpm.nd,_xlfn.TEXTSPLIT(HF307,"|"),IF(COLUMNS(_xlpm.nd)&gt;4,A307&amp;"¦"&amp;INDEX(_xlpm.nd,4)&amp;"¦"&amp;INDEX(_xlpm.nd,5),"")))</f>
        <v/>
      </c>
      <c r="HN307" t="str">
        <f t="shared" si="596"/>
        <v/>
      </c>
      <c r="HO307" t="str" cm="1">
        <f t="array" ref="HO307">IF(HF307="","",_xlfn.LET(_xlpm.nd,_xlfn.TEXTSPLIT(HF307,"|"),IF(COLUMNS(_xlpm.nd)&gt;5,A307&amp;"¦"&amp;INDEX(_xlpm.nd,5)&amp;"¦"&amp;INDEX(_xlpm.nd,6),"")))</f>
        <v/>
      </c>
      <c r="HP307" t="str">
        <f t="shared" si="597"/>
        <v/>
      </c>
      <c r="HQ307" t="str" cm="1">
        <f t="array" ref="HQ307">IF(HF307="","",_xlfn.LET(_xlpm.nd,_xlfn.TEXTSPLIT(HF307,"|"),IF(COLUMNS(_xlpm.nd)&gt;6,A307&amp;"¦"&amp;INDEX(_xlpm.nd,6)&amp;"¦"&amp;INDEX(_xlpm.nd,7),"")))</f>
        <v/>
      </c>
      <c r="HR307" t="str">
        <f t="shared" si="598"/>
        <v/>
      </c>
      <c r="HS307" t="str">
        <f t="shared" si="599"/>
        <v/>
      </c>
      <c r="HT307" t="str">
        <f t="shared" si="600"/>
        <v>QFD24 → XT24</v>
      </c>
      <c r="HU307">
        <f t="shared" si="601"/>
        <v>0</v>
      </c>
      <c r="HV307">
        <f t="shared" si="602"/>
        <v>1</v>
      </c>
      <c r="HW307" t="str">
        <f t="shared" si="603"/>
        <v/>
      </c>
      <c r="HX307" t="str">
        <f t="shared" si="604"/>
        <v/>
      </c>
      <c r="HY307" t="str">
        <f t="shared" si="605"/>
        <v/>
      </c>
      <c r="HZ307" t="str">
        <f t="shared" si="606"/>
        <v/>
      </c>
      <c r="IA307" t="str">
        <f>IF(B307="","",IFERROR(VLOOKUP(B307,УГО_спр,2,FALSE),IFERROR(VLOOKUP(AX307,УГО_спр,2,FALSE),IFERROR(VLOOKUP(LEFT(AX307,2),УГО_спр,2,FALSE),""))))</f>
        <v>Розетка</v>
      </c>
      <c r="IB307" t="str">
        <f>IF(B307="","",IF(OR(IA307="",IA307=0),"BOX",IFERROR(IF(VLOOKUP(IA307,УГО_блоки,3,FALSE)&amp;""&lt;&gt;"",VLOOKUP(IA307,УГО_блоки,3,FALSE),VLOOKUP(IA307,УГО_блоки,2,FALSE)),IA307)))</f>
        <v>SOCKET</v>
      </c>
      <c r="IC307">
        <f t="shared" si="607"/>
        <v>1</v>
      </c>
      <c r="ID307" t="str">
        <f>IF(DA307="","",IF(COUNTIF(DA$3:DA307,DA307)=1,MAX(ID$2:ID306)+1,""))</f>
        <v/>
      </c>
      <c r="IE307" t="str">
        <f>IF(CO307="","",IF(COUNTIF(CO$3:CO307,CO307)+COUNTIF(CP$2:CP306,CO307)+COUNTIF(CQ$2:CQ306,CO307)=1,MAX(IE$2:IG306)+1,""))</f>
        <v/>
      </c>
      <c r="IF307" t="str">
        <f>IF(CP307="","",IF(COUNTIF(CO$3:CO307,CP307)+COUNTIF(CP$3:CP307,CP307)+COUNTIF(CQ$2:CQ306,CP307)=1,MAX(IE$2:IG306,IE307)+1,""))</f>
        <v/>
      </c>
      <c r="IG307" t="str">
        <f>IF(CQ307="","",IF(COUNTIF(CO$3:CO307,CQ307)+COUNTIF(CP$3:CP307,CQ307)+COUNTIF(CQ$3:CQ307,CQ307)=1,MAX(IE$2:IG306,IE307,IF307)+1,""))</f>
        <v/>
      </c>
      <c r="IH307" t="str">
        <f t="shared" si="608"/>
        <v>3х2,5</v>
      </c>
      <c r="II307" t="str">
        <f>IF(IH307="","",IF(COUNTIF(IH$3:IH307,IH307)=1,MAX(II$2:II306)+1,""))</f>
        <v/>
      </c>
      <c r="IJ307" t="str">
        <f>IF(GL307="","",COUNTIF(GL$3:GL307,"?*"))</f>
        <v/>
      </c>
      <c r="IK307" t="str">
        <f>IF(OR(GL307="",GN307=""),"",IF(COUNTIFS(GL$3:GL307,"?*",GN$3:GN307,GN307)=1,MAX(IK$2:IK306)+1,""))</f>
        <v/>
      </c>
      <c r="IL307">
        <f t="shared" si="609"/>
        <v>0</v>
      </c>
      <c r="IM307">
        <f>IF(B307="","",COUNTIF(B$3:B307,"?*"))</f>
        <v>305</v>
      </c>
      <c r="IN307">
        <f>IF(GQ307&lt;&gt;1,0,_xlfn.LET(_xlpm.k,MAX(IFERROR(--VLOOKUP(B307,УГО_спр,5,FALSE),0),IFERROR(--VLOOKUP(AX307,УГО_спр,5,FALSE),0),IFERROR(--VLOOKUP(LEFT(AX307,2),УГО_спр,5,FALSE),0)),IF(_xlpm.k&gt;0,_xlpm.k,IF(IFERROR(--LEFT(SUBSTITUTE(IH307,"x","х"),FIND("х",SUBSTITUTE(IH307,"x","х"))-1),3)&gt;3,Каталог!$S$9,1))))</f>
        <v>1</v>
      </c>
      <c r="IO307">
        <f t="shared" si="610"/>
        <v>0</v>
      </c>
      <c r="IP307" t="str">
        <f t="shared" si="611"/>
        <v>авто</v>
      </c>
      <c r="IQ307">
        <f t="shared" si="612"/>
        <v>30</v>
      </c>
      <c r="IR307">
        <f t="shared" si="613"/>
        <v>1</v>
      </c>
      <c r="IS307">
        <f t="shared" si="614"/>
        <v>1</v>
      </c>
    </row>
    <row r="308" spans="1:253" x14ac:dyDescent="0.3">
      <c r="A308" t="s">
        <v>761</v>
      </c>
      <c r="B308" t="s">
        <v>1572</v>
      </c>
      <c r="C308" t="str">
        <f>Линии[[#This Row],[_авто наименование]]</f>
        <v>Розеточная группа, пом. 001T</v>
      </c>
      <c r="D308">
        <v>1</v>
      </c>
      <c r="E308">
        <v>0.06</v>
      </c>
      <c r="G308">
        <v>16</v>
      </c>
      <c r="H308">
        <f>Линии[[#This Row],[_авто утечка]]</f>
        <v>30</v>
      </c>
      <c r="I308" t="str">
        <f>Линии[[#This Row],[_авто управление]]</f>
        <v/>
      </c>
      <c r="J308" t="str">
        <f>Линии[[#This Row],[_авто аппараты]]</f>
        <v/>
      </c>
      <c r="K308">
        <v>2.5</v>
      </c>
      <c r="L308">
        <v>19</v>
      </c>
      <c r="M308">
        <v>1</v>
      </c>
      <c r="N308" t="str">
        <f>Линии[[#This Row],[_авто клемма]]</f>
        <v>XT25</v>
      </c>
      <c r="O308" t="str">
        <f t="shared" si="492"/>
        <v/>
      </c>
      <c r="P308" s="6" cm="1">
        <f t="array" ref="P308">IF(B308="","",IF(BC308&lt;&gt;"",IFERROR(_xlfn.XLOOKUP(BC308,Щиты[Щит],Щиты[Iр, А]),""),IF(BK308=1,IFERROR(_xlfn.XLOOKUP(A308,Щиты[Щит],Щиты[Iр, А]),""),IFERROR(_xlfn.IFS(BR308=1,BN308/((Uн_лин/SQRT(3))*BY308),BR308=3,BN308/(SQRT(3)*Uн_лин*BY308)),""))))</f>
        <v>0.27348170645824377</v>
      </c>
      <c r="Q308" s="7">
        <f>IF(B308="","",IFERROR(IF(VLOOKUP(AX308,Потребители_обозначение,4,FALSE)=1,VLOOKUP(AX308,Потребители_обозначение,3,FALSE)*(D308*2-1)+DS308+VLOOKUP(AZ308,Этаж_обозначение,3,FALSE)+VLOOKUP(AZ308,Этаж_обозначение,4,FALSE),VLOOKUP(AX308,Потребители_обозначение,3,FALSE)*(D308*2-1)+DS308),DS308))</f>
        <v>22</v>
      </c>
      <c r="R308" s="6">
        <f t="shared" si="493"/>
        <v>1.84</v>
      </c>
      <c r="S308" t="str">
        <f t="shared" si="494"/>
        <v>ВВГнг(А)-LS (3х2,5)</v>
      </c>
      <c r="T308" t="str">
        <f>IF(BH308="","",IF(BI308="вводной узел","узел ","")&amp;"л."&amp;(INT((BH308-1)/Столбцов_на_лист)+1)&amp;" / "&amp;(MOD(BH308-1,Столбцов_на_лист)+1))</f>
        <v>л.3 / 12</v>
      </c>
      <c r="V308">
        <v>1</v>
      </c>
      <c r="W308">
        <v>230</v>
      </c>
      <c r="X308" t="s">
        <v>564</v>
      </c>
      <c r="AC308" t="s">
        <v>815</v>
      </c>
      <c r="AE308" t="s">
        <v>563</v>
      </c>
      <c r="AI308">
        <v>46</v>
      </c>
      <c r="AJ308" t="s">
        <v>11</v>
      </c>
      <c r="AK308">
        <v>3</v>
      </c>
      <c r="AM308">
        <v>0</v>
      </c>
      <c r="AN308">
        <v>16</v>
      </c>
      <c r="AP308">
        <v>2</v>
      </c>
      <c r="AW308" cm="1">
        <f t="array" ref="AW308">ROW()-ROW(Линии[#Headers])</f>
        <v>306</v>
      </c>
      <c r="AX308" s="6" t="str">
        <f t="shared" si="495"/>
        <v>R</v>
      </c>
      <c r="AY308" t="str">
        <f t="shared" si="496"/>
        <v>3.001T.1</v>
      </c>
      <c r="AZ308" t="str">
        <f t="shared" si="497"/>
        <v>3</v>
      </c>
      <c r="BA308" t="str">
        <f t="shared" si="498"/>
        <v>001T.1</v>
      </c>
      <c r="BB308" t="str">
        <f t="shared" si="499"/>
        <v>001T</v>
      </c>
      <c r="BC308" t="str">
        <f>IF(U308&lt;&gt;"",U308,IF(AND(B308&lt;&gt;"",B308&lt;&gt;A308,ISNUMBER(_xlfn.XMATCH(B308,Щиты[Щит]))),B308,""))</f>
        <v/>
      </c>
      <c r="BD308" t="str" cm="1">
        <f t="array" ref="BD308">IF(B308="","",IF(BC308&lt;&gt;"","Щит "&amp;BC308,_xlfn.LET(_xlpm.nm,IFERROR(_xlfn.XLOOKUP(AX308,Коды_код,Коды_имя)&amp;"",""),_xlpm.md,IFERROR(N(_xlfn.XLOOKUP(AX308,Коды_код,Коды_режим)),1),_xlpm.ex,IF(Имя_режим="по экспликации",IFERROR(_xlfn.XLOOKUP(AZ308&amp;"|"&amp;BB308,Экспликация[Этаж]&amp;"|"&amp;Экспликация[Помещение],Экспликация[Название])&amp;"",""),""),_xlpm.rm,IF(BB308="","",IF(_xlpm.ex&lt;&gt;"",". "&amp;_xlpm.ex&amp;IF(Имя_пом="нет"," ("&amp;BB308&amp;")"," (пом. "&amp;BB308&amp;")"),IF(Имя_пом="нет"," ",", пом. ")&amp;BB308)),IF(_xlpm.nm="","",IF(_xlpm.md=2,_xlpm.nm&amp;" шлейф "&amp;AZ308,_xlpm.nm&amp;_xlpm.rm)))))</f>
        <v>Розеточная группа, пом. 001T</v>
      </c>
      <c r="BE308" t="str">
        <f t="shared" si="500"/>
        <v>Розеточная группа, пом. 001T</v>
      </c>
      <c r="BF308">
        <f>IFERROR(_xlfn.XMATCH(A308,Щиты[Щит]),0)</f>
        <v>11</v>
      </c>
      <c r="BG308">
        <f>_xlfn.LET(_xlpm.k,IFERROR(_xlfn.XLOOKUP(A308,Щиты[Щит],Щиты[Листов под вводной узел]),""),IF(_xlpm.k="",1,N(_xlpm.k))*Столбцов_на_лист)</f>
        <v>17</v>
      </c>
      <c r="BH308">
        <f t="shared" si="501"/>
        <v>46</v>
      </c>
      <c r="BI308" t="str">
        <f t="shared" si="502"/>
        <v>линии</v>
      </c>
      <c r="BJ308" s="6">
        <f>IFERROR(N(_xlfn.XLOOKUP(AX308,Коды_код,Коды_квт)),0)</f>
        <v>0</v>
      </c>
      <c r="BK308">
        <f t="shared" si="503"/>
        <v>0</v>
      </c>
      <c r="BL308" t="str">
        <f>IF(B308="","",IF(BC308&lt;&gt;"",IFERROR(_xlfn.XLOOKUP(BC308,Щиты[Щит],Щиты[Руст, кВт]),0),IF(BK308=1,IFERROR(_xlfn.XLOOKUP(A308,Щиты[Щит],Щиты[Руст, кВт]),0),IF(BJ308&gt;0,ROUND(BJ308*MAX(1,N(D308)),3),""))))</f>
        <v/>
      </c>
      <c r="BM308">
        <f t="shared" si="504"/>
        <v>0.06</v>
      </c>
      <c r="BN308" s="6">
        <f>IF(B308="","",IF(BC308&lt;&gt;"",IFERROR(_xlfn.XLOOKUP(BC308,Щиты[Щит],Щиты[Руст, кВт]),0),N(BM308)))</f>
        <v>0.06</v>
      </c>
      <c r="BO308" t="str">
        <f>IF(B308="","",IFERROR(IF(VLOOKUP(AX308,Потребители_обозначение,8,FALSE)=0,"",VLOOKUP(AX308,Потребители_обозначение,8,FALSE)),""))</f>
        <v/>
      </c>
      <c r="BP308">
        <f t="shared" si="505"/>
        <v>230</v>
      </c>
      <c r="BQ308">
        <f>IF(B308="","",IF(BC308&lt;&gt;"",3,IFERROR(IF(N(VLOOKUP(AX308,Потребители_обозначение,9,FALSE))=0,1,VLOOKUP(AX308,Потребители_обозначение,9,FALSE)),1)))</f>
        <v>1</v>
      </c>
      <c r="BR308">
        <f t="shared" si="506"/>
        <v>1</v>
      </c>
      <c r="BS308" t="str">
        <f>IF(B308="","",_xlfn.LET(_xlpm.bc,IFERROR(IF(VLOOKUP(AX308,Потребители_обозначение,6,FALSE)=0,"",VLOOKUP(AX308,Потребители_обозначение,6,FALSE)&amp;""),""),IF(AND(FK308="да",OR(_xlpm.bc="",_xlpm.bc="мс")),Марка_пож,IF(AND(_xlpm.bc="",BC308&lt;&gt;""),"мс",_xlpm.bc))))</f>
        <v/>
      </c>
      <c r="BT308" t="str">
        <f t="shared" si="507"/>
        <v>мс</v>
      </c>
      <c r="BU308">
        <f>IF(B308="","",_xlfn.LET(_xlpm.cc,IFERROR(N(VLOOKUP(AX308,Потребители_обозначение,7,FALSE)),0),IF(_xlpm.cc&gt;0,_xlpm.cc,IF(BT308="","",IF(N(BR308)=3,5,3)))))</f>
        <v>3</v>
      </c>
      <c r="BV308">
        <f t="shared" si="508"/>
        <v>3</v>
      </c>
      <c r="BW308">
        <f>IFERROR(N(VLOOKUP(AX308,Потребители_обозначение,10,FALSE)),0)</f>
        <v>0</v>
      </c>
      <c r="BX308">
        <f>IFERROR(VLOOKUP(AX308,Потребители_обозначение,5,FALSE),0)</f>
        <v>1</v>
      </c>
      <c r="BY308" s="6" cm="1">
        <f t="array" ref="BY308">IF(B308="","",IF(BC308&lt;&gt;"",IFERROR(_xlfn.XLOOKUP(BC308,Щиты[Щит],Щиты[cos φ]),0.95),IF(BK308=1,IFERROR(_xlfn.XLOOKUP(A308,Щиты[Щит],Щиты[cos φ]),0.95),IF(ISNUMBER(Z308),Z308,IFERROR(IF(BX308=2,_xlfn.IFS(BR308=3,VLOOKUP(BN308,Справочная_двигатели,8,FALSE),BR308=1,VLOOKUP(BN308,Справочная_двигатели,10,TRUE)),IF(AND(Методика="нормы 2026",EQ308="Сил"),0.8,0.95)),0.95)))))</f>
        <v>0.95</v>
      </c>
      <c r="BZ308">
        <f t="shared" si="509"/>
        <v>0</v>
      </c>
      <c r="CA308">
        <f t="shared" si="510"/>
        <v>1</v>
      </c>
      <c r="CB308">
        <f t="shared" si="511"/>
        <v>0</v>
      </c>
      <c r="CC308">
        <f t="shared" si="512"/>
        <v>0</v>
      </c>
      <c r="CD308">
        <f t="shared" si="513"/>
        <v>0</v>
      </c>
      <c r="CE308">
        <f t="shared" si="514"/>
        <v>0</v>
      </c>
      <c r="CF308">
        <f t="shared" si="515"/>
        <v>0</v>
      </c>
      <c r="CG308">
        <f>IF(AX308="",0,_xlfn.LET(_xlpm.v,IFERROR(VLOOKUP(B308,УГО_спр,3,FALSE),IFERROR(VLOOKUP(AX308,УГО_спр,3,FALSE),IFERROR(VLOOKUP(LEFT(AX308,2),УГО_спр,3,FALSE),""))),IF(_xlpm.v="да",30,IF(ISNUMBER(_xlpm.v),_xlpm.v,0))))</f>
        <v>30</v>
      </c>
      <c r="CH308">
        <f t="shared" si="516"/>
        <v>30</v>
      </c>
      <c r="CI308" t="str">
        <f>_xlfn.LET(_xlpm.k,IFERROR(_xlfn.XLOOKUP(AX308,Коды_код,Коды_утечка)&amp;"",""),IF(_xlpm.k="","дифавтомат",_xlpm.k))</f>
        <v>дифавтомат</v>
      </c>
      <c r="CJ308">
        <f t="shared" si="517"/>
        <v>30</v>
      </c>
      <c r="CK308">
        <f t="shared" si="518"/>
        <v>30</v>
      </c>
      <c r="CL308">
        <f>IF(B308="",0,IFERROR(--VLOOKUP(B308,УГО_спр,4,FALSE),IFERROR(--VLOOKUP(AX308,УГО_спр,4,FALSE),IFERROR(--VLOOKUP(LEFT(AX308,2),УГО_спр,4,FALSE),0))))</f>
        <v>16</v>
      </c>
      <c r="CM308" t="str">
        <f>IF(B308="","",IFERROR(_xlfn.XLOOKUP(AX308,Коды_код,Коды_апп)&amp;"",""))</f>
        <v/>
      </c>
      <c r="CN308" t="str">
        <f t="shared" si="519"/>
        <v/>
      </c>
      <c r="CO308" t="str" cm="1">
        <f t="array" ref="CO308">IF(TRIM(CN308&amp;"")="","",IFERROR(TRIM(INDEX(_xlfn.TEXTSPLIT(CN308&amp;";;;",";"),1)),""))</f>
        <v/>
      </c>
      <c r="CP308" t="str" cm="1">
        <f t="array" ref="CP308">IF(TRIM(CN308&amp;"")="","",IFERROR(TRIM(INDEX(_xlfn.TEXTSPLIT(CN308&amp;";;;",";"),2)),""))</f>
        <v/>
      </c>
      <c r="CQ308" t="str" cm="1">
        <f t="array" ref="CQ308">IF(TRIM(CN308&amp;"")="","",IFERROR(TRIM(INDEX(_xlfn.TEXTSPLIT(CN308&amp;";;;",";"),3)),""))</f>
        <v/>
      </c>
      <c r="CR308">
        <f t="shared" si="520"/>
        <v>0</v>
      </c>
      <c r="CS308" t="str">
        <f>IF(B308="","",_xlfn.LET(_xlpm.t,LOWER(AV308&amp;""),IF(ISNUMBER(SEARCH("dim",_xlpm.t)),"DIM",IF(ISNUMBER(SEARCH("dali",_xlpm.t)),"DALI",IF(OR(ISNUMBER(SEARCH("relay",_xlpm.t)),ISNUMBER(SEARCH("реле",_xlpm.t))),"Relay",IF(ISNUMBER(SEARCH("кнопк",_xlpm.t)),"",IFERROR(_xlfn.XLOOKUP(AX308,Коды_код,Коды_упр)&amp;"","")))))))</f>
        <v/>
      </c>
      <c r="CT308" t="str">
        <f t="shared" si="521"/>
        <v/>
      </c>
      <c r="CU308">
        <f>IF(B308="","",_xlfn.LET(_xlpm.ig,N(P308)+IF(AF308="вручную",0,N(CB308)),_xlpm.n0,IFERROR(VLOOKUP(_xlpm.ig,Автомат_номиналы,2,TRUE),0),_xlpm.mn,MAX(CL308,IF(AF308="вручную",0,N(CE308))),MAX(_xlpm.n0,_xlpm.mn,IF(CR308=1,Мин_автомат_БП,0))))</f>
        <v>16</v>
      </c>
      <c r="CV308">
        <f t="shared" si="522"/>
        <v>1</v>
      </c>
      <c r="CW308" t="str">
        <f t="shared" si="523"/>
        <v>2P</v>
      </c>
      <c r="CX308" t="str">
        <f>_xlfn.LET(_xlpm.cc,UPPER(TRIM(IFERROR(_xlfn.XLOOKUP(AX308,Коды_код,Коды_хар)&amp;"",""))),IF(OR(_xlpm.cc="B",_xlpm.cc="В"),"B",IF(_xlpm.cc="D","D","С")))</f>
        <v>С</v>
      </c>
      <c r="CY308" t="str">
        <f t="shared" si="524"/>
        <v>2P С16А 30мА</v>
      </c>
      <c r="CZ308">
        <f t="shared" si="525"/>
        <v>16</v>
      </c>
      <c r="DA308" t="str">
        <f t="shared" si="526"/>
        <v>2P С16А 30мА</v>
      </c>
      <c r="DB308" cm="1">
        <f t="array" ref="DB308">IF(DA308="","",_xlfn.LET(_xlpm.t,SUBSTITUTE(SUBSTITUTE(SUBSTITUTE(UPPER(DA308),"С","C"),"А","A"),"В","B"),_xlpm.tk,_xlfn.TEXTSPLIT(_xlpm.t,"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8" t="str">
        <f t="shared" si="527"/>
        <v>ok</v>
      </c>
      <c r="DD308">
        <f t="shared" si="528"/>
        <v>16</v>
      </c>
      <c r="DE308" t="str">
        <f t="shared" si="529"/>
        <v>2P С16А 30мА</v>
      </c>
      <c r="DF308">
        <f t="shared" si="530"/>
        <v>30</v>
      </c>
      <c r="DG308">
        <f t="shared" si="531"/>
        <v>1</v>
      </c>
      <c r="DH308">
        <f t="shared" si="532"/>
        <v>0</v>
      </c>
      <c r="DI308">
        <f t="shared" si="533"/>
        <v>0.27348170645824377</v>
      </c>
      <c r="DJ308">
        <f t="shared" si="534"/>
        <v>1</v>
      </c>
      <c r="DK308">
        <f>IF(ISNUMBER(AL308),AL308,К_прокл)</f>
        <v>1</v>
      </c>
      <c r="DL308">
        <f t="shared" si="535"/>
        <v>2</v>
      </c>
      <c r="DM308">
        <f>IFERROR(N(VLOOKUP(BT308,Кабель_обозначение,3,FALSE)),1)</f>
        <v>1</v>
      </c>
      <c r="DN308">
        <f>IFERROR(N(_xlfn.XLOOKUP(A308,Щиты[Щит],Щиты[ΔU до шин, %])),0)</f>
        <v>1.79</v>
      </c>
      <c r="DO308" t="str">
        <f>IFERROR(_xlfn.XLOOKUP(A308,Щиты[Щит],Щиты[Zпетли на шинах, Ом]),"")</f>
        <v/>
      </c>
      <c r="DP308">
        <f>IFERROR(N(_xlfn.XLOOKUP(A308,Щиты[Щит],Щиты[ΔU до шин (подбор), %])),0)</f>
        <v>4.75</v>
      </c>
      <c r="DQ308" t="str">
        <f>IFERROR(_xlfn.XLOOKUP(A308,Щиты[Щит],Щиты[Zпетли на шинах (подбор), Ом]),"")</f>
        <v/>
      </c>
      <c r="DR308" t="str">
        <f t="shared" si="536"/>
        <v/>
      </c>
      <c r="DS308">
        <f t="shared" si="537"/>
        <v>19</v>
      </c>
      <c r="DT308">
        <f t="shared" si="538"/>
        <v>2</v>
      </c>
      <c r="DU308">
        <f t="shared" si="539"/>
        <v>0.31</v>
      </c>
      <c r="DV308" s="6">
        <f>IF(B308="","",IF(IFERROR(VLOOKUP(AX308,УГО_спр,2,FALSE),"")="Светильник",3,4)+IF(Методика="нормы 2026",MIN(0.5,MAX(0,N(Q308)-100)*0.005),0))</f>
        <v>4</v>
      </c>
      <c r="DW308" t="str" cm="1">
        <f t="array" ref="DW308">IF(OR(B308="",BT308="",DM308&lt;&gt;1),"",_xlfn.LET(_xlpm.sz,Iдоп_S,_xlpm.t_,CHOOSE(DL308,Iдоп_1ж,Iдоп_2ж,Iдоп_3ж)*DJ308*DK308,_xlpm.inn,N(DD308),_xlpm.smin,MAX(1.5,BW308),_xlpm.L_,N(Q308)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308)*(_xlpm.rho*_xlpm.L_/_xlpm.sz*N(BY308)+_xlpm.xx*_xlpm.L_*N(DU308)/1000)*N(P308)/((Uн_лин/SQRT(3))*1000)*100,999),_xlpm.kz,IF(OR(DG308=1,NOT(ISNUMBER(DQ308)),_xlpm.L_=0,_xlpm.inn=0),1,IFERROR(--(c_min*(Uн_лин*1000/SQRT(3))/(DQ308+2*ρкз_Cu*_xlpm.L_/_xlpm.sz)&gt;=GY308*_xlpm.inn),0)),_xlpm.ok,IFERROR((_xlpm.sz&gt;=_xlpm.smin)*(_xlpm.t_&gt;=_xlpm.inn)*IF(_xlpm.L_&gt;0,(_xlpm.du_+DP308&lt;=DV308+0.00001),1)*_xlpm.kz,0),_xlpm.r_,_xlfn._xlws.FILTER(_xlpm.sz,_xlpm.ok,"не подобрано"),INDEX(_xlpm.r_,1)))</f>
        <v>не подобрано</v>
      </c>
      <c r="DX308">
        <f t="shared" si="540"/>
        <v>2.5</v>
      </c>
      <c r="DY308" cm="1">
        <f t="array" ref="DY308">IF(OR(B308="",BT308="",DM308&lt;&gt;1),"",_xlfn.LET(_xlpm.sz,Iдоп_S,_xlpm.t_,CHOOSE(DL308,Iдоп_1ж,Iдоп_2ж,Iдоп_3ж)*DJ308*DK308,_xlpm.ok,IFERROR((_xlpm.sz&gt;=MAX(1.5,BW308))*(_xlpm.t_&gt;=N(DD308)),0),_xlpm.r_,_xlfn._xlws.FILTER(_xlpm.sz,_xlpm.ok,""),INDEX(_xlpm.r_,1)))</f>
        <v>1.5</v>
      </c>
      <c r="DZ308" s="6" cm="1">
        <f t="array" ref="DZ308">IFERROR(ROUNDUP(N(DT308)*(_xlfn.XLOOKUP(DY308,INDEX(Кабель_сопротивление,0,1),INDEX(Кабель_сопротивление,0,3))*N(Q308)/DY308*N(BY308)+_xlfn.XLOOKUP(DY308,INDEX(Кабель_сопротивление,0,1),INDEX(Кабель_сопротивление,0,2))*N(Q308)*N(DU308)/1000)*N(P308)/((Uн_лин/SQRT(3))*1000)*100,2),"")</f>
        <v>0.08</v>
      </c>
      <c r="EA308">
        <f>IFERROR(2*ρкз_Cu*N(Q308)/DY308,"")</f>
        <v>0.77146666666666663</v>
      </c>
      <c r="EB308">
        <f>IFERROR(VLOOKUP(DX308,Кабель_сопротивление,3,FALSE),"")</f>
        <v>2.2499999999999999E-2</v>
      </c>
      <c r="EC308">
        <f>IFERROR(VLOOKUP(DX308,Кабель_сопротивление,2,FALSE),"")</f>
        <v>0.1</v>
      </c>
      <c r="ED308">
        <f t="shared" si="541"/>
        <v>16</v>
      </c>
      <c r="EE308">
        <f t="shared" si="542"/>
        <v>18</v>
      </c>
      <c r="EF308">
        <f t="shared" si="543"/>
        <v>0.10325684701720034</v>
      </c>
      <c r="EG308" s="6">
        <f>IFERROR(ROUNDUP(EF308/((Uн_лин/SQRT(3))*1000)*100,2),"")</f>
        <v>0.05</v>
      </c>
      <c r="EH308" t="str">
        <f>IFERROR(VLOOKUP(BT308,Кабель_обозначение,2,FALSE),"")</f>
        <v>ВВГнг(А)-LS</v>
      </c>
      <c r="EI308" t="str">
        <f t="shared" si="544"/>
        <v>ВВГнг(А)-LS (3х2,5)</v>
      </c>
      <c r="EJ308" t="str">
        <f t="shared" si="545"/>
        <v>ВВГнг(А)-LS (3х2,5)
L=22-0,05%</v>
      </c>
      <c r="EK308">
        <f>IFERROR(2*ρкз_Cu*Q308/DX308,"")</f>
        <v>0.46288000000000001</v>
      </c>
      <c r="EL308">
        <f t="shared" si="546"/>
        <v>0.154</v>
      </c>
      <c r="EM308" s="6" t="str">
        <f>IFERROR(IF(OR(B308="",NOT(ISNUMBER(DX308)),N(Q308)=0),"",_xlfn.XLOOKUP(A308,Щиты[Щит],Щиты[Zпетли на шинах, Ом])+EK308),"")</f>
        <v/>
      </c>
      <c r="EN308" s="6" t="str">
        <f>IF(ISNUMBER(EM308),c_min*(Uн_лин*1000/SQRT(3))/EM308,"")</f>
        <v/>
      </c>
      <c r="EO308" s="6" t="str">
        <f>IFERROR(IF(OR(B308="",NOT(ISNUMBER(DX308))),"",1.05*(Uн_лин*1000/SQRT(3))/(_xlfn.XLOOKUP(A308,Щиты[Щит],Щиты[Zmax на шинах, Ом])+EL308)/1000),"")</f>
        <v/>
      </c>
      <c r="EP308" s="6" t="str">
        <f>IF(B308="","",IF(ISNUMBER(Y308),"Сил",IF(IFERROR(_xlfn.XLOOKUP(AX308,Коды_код,Коды_группа)&amp;"","")="","Быт",_xlfn.XLOOKUP(AX308,Коды_код,Коды_группа)&amp;"")))</f>
        <v>Быт</v>
      </c>
      <c r="EQ308" s="6" t="str">
        <f t="shared" si="547"/>
        <v>Быт</v>
      </c>
      <c r="ER308" s="6">
        <f>IF(EQ308="Щит","щит",IF(EQ308="","",IF(EQ308="Быт",IFERROR(_xlfn.XLOOKUP(A308,Щиты[Щит],Щиты[Кс быт]),1),IF(EQ308="Сил",IF(ISNUMBER(Y308),Y308,IF(Методика="нормы 2026",IFERROR(_xlfn.XLOOKUP(A308,Щиты[Щит],Щиты[Кс силовых (табл. 7.5)]),1),1)),IF(OR(EQ308="Пост",EQ308="Отоп"),1,IF(EQ308="ВНГ",0.7,0))))))</f>
        <v>0.8</v>
      </c>
      <c r="ES308">
        <f t="shared" si="548"/>
        <v>1</v>
      </c>
      <c r="ET308">
        <f t="shared" si="549"/>
        <v>0.06</v>
      </c>
      <c r="EU308">
        <f t="shared" si="550"/>
        <v>0.06</v>
      </c>
      <c r="EV308">
        <f t="shared" si="551"/>
        <v>0</v>
      </c>
      <c r="EW308">
        <f t="shared" si="552"/>
        <v>0</v>
      </c>
      <c r="EX308">
        <f t="shared" si="553"/>
        <v>0</v>
      </c>
      <c r="EY308">
        <f t="shared" si="554"/>
        <v>0</v>
      </c>
      <c r="EZ308">
        <f t="shared" si="555"/>
        <v>0.06</v>
      </c>
      <c r="FA308">
        <f t="shared" si="556"/>
        <v>5.6999999999999995E-2</v>
      </c>
      <c r="FB308">
        <f t="shared" si="557"/>
        <v>0.06</v>
      </c>
      <c r="FC308" t="str">
        <f t="shared" si="558"/>
        <v>L1</v>
      </c>
      <c r="FD308" t="str">
        <f>IF(B308="","",IF(CA308=0,IF(AW308=1,"",FF307),IF(OR(N(CV308)&gt;=3,N(BR308)&gt;=3),"L1,L2,L3",IFERROR(_xlfn.TEXTBEFORE(_xlfn.TEXTAFTER(_xlfn.XLOOKUP(A308,Щиты[Щит],Щиты[_фазы авто]),";"&amp;AW308&amp;":"),";"),"L1"))))</f>
        <v>L1</v>
      </c>
      <c r="FE308" t="str">
        <f t="shared" si="559"/>
        <v>L1</v>
      </c>
      <c r="FF308" t="str">
        <f t="shared" si="560"/>
        <v>L1</v>
      </c>
      <c r="FG308" cm="1">
        <f t="array" ref="FG308">IFERROR(IF(BX308=2,_xlfn.IFS(BR308=3,VLOOKUP(BN308,Справочная_двигатели,3,FALSE),BR308=1,VLOOKUP(BN308,Справочная_двигатели,5,TRUE)),0),0)</f>
        <v>0</v>
      </c>
      <c r="FH308">
        <f>IFERROR(IF(BX308=3,VLOOKUP(BN308,Справочная_ЛЭД,2,TRUE),0),0)</f>
        <v>0</v>
      </c>
      <c r="FI308" s="6">
        <f t="shared" si="561"/>
        <v>0</v>
      </c>
      <c r="FJ308" t="str" cm="1">
        <f t="array" ref="FJ308">IF(B308="","",IFERROR(INDEX({"I особая","I","II","III"},MATCH(TRIM(AC308&amp;""),{"I особая","I","II","III"},0)),"III"))</f>
        <v>II</v>
      </c>
      <c r="FK308" t="str">
        <f>IF(B308="","",IF(TRIM(AD308&amp;"")&lt;&gt;"",IF(LOWER(TRIM(AD308&amp;""))="да","да","нет"),IF(IFERROR(_xlfn.XLOOKUP(AX308,Коды_код,Коды_пожарная),"")="да","да","нет")))</f>
        <v>нет</v>
      </c>
      <c r="FL308" t="str">
        <f t="shared" si="562"/>
        <v/>
      </c>
      <c r="FM308" t="str">
        <f t="shared" si="563"/>
        <v>основная</v>
      </c>
      <c r="FN308">
        <f t="shared" si="564"/>
        <v>1</v>
      </c>
      <c r="FO308" t="str" cm="1">
        <f t="array" ref="FO308">IF(B308="","",_xlfn.LET(_xlpm.t,IFERROR(_xlfn.XLOOKUP(1,(Шины[Шина]=FM308)*(((Шины[Щит]=A308)+(Шины[Щит]=""))&gt;0),Шины[Тип]),"")&amp;"",IF(_xlpm.t&lt;&gt;"",_xlpm.t,IF(ISNUMBER(SEARCH("ИБП",FM308)),"ИБП",IF(ISNUMBER(SEARCH("ДГУ",FM308)),"ДГУ","Ввод "&amp;FN308)))))</f>
        <v>Ввод 1</v>
      </c>
      <c r="FP308" t="str">
        <f t="shared" si="565"/>
        <v>Ввод 1</v>
      </c>
      <c r="FQ308" t="str">
        <f>IF(B308="","",IF(OR(FO308="ИБП",FO308="ДГУ"),"I особая",IF(FO308="Одиночная","III",_xlfn.XLOOKUP(A308,Щиты[Щит],Щиты[Категория шины «Ввод»],"III"))))</f>
        <v>II</v>
      </c>
      <c r="FR308">
        <f>IF(B308="",0,IFERROR(MATCH(FJ308,{"III","II","I","I особая"},0),1))</f>
        <v>2</v>
      </c>
      <c r="FS308">
        <f t="shared" si="566"/>
        <v>2</v>
      </c>
      <c r="FT308" t="str">
        <f>IF(B308="","",IF(FR308&gt;IFERROR(MATCH(FQ308,{"III","II","I","I особая"},0),1),"НЕ ОБЕСПЕЧЕНА","ОК"))</f>
        <v>ОК</v>
      </c>
      <c r="FU308" t="str">
        <f>IF(A308="","",_xlfn.XLOOKUP(A308,Щиты[Щит],Щиты[Путь],""))</f>
        <v>|ГРЩ-ЖД|ЩР-2|</v>
      </c>
      <c r="FV308" t="str">
        <f>IF(B308="","",IF(AE308&lt;&gt;"",AE308,IF(IFERROR(_xlfn.XLOOKUP(AX308,Коды_код,Коды_вид)&amp;"","")="","Прочее",_xlfn.XLOOKUP(AX308,Коды_код,Коды_вид)&amp;"")))</f>
        <v>Розеточная сеть и бытовые приборы</v>
      </c>
      <c r="FW308">
        <f>IF(BH308="","",INT((BH308-1)/Столбцов_на_лист)+1)</f>
        <v>3</v>
      </c>
      <c r="FX308" t="str">
        <f t="shared" si="567"/>
        <v>ВВГнг(А)-LS (3х2,5) L=22-0,05%</v>
      </c>
      <c r="FY308">
        <f t="shared" si="568"/>
        <v>0.06</v>
      </c>
      <c r="FZ308">
        <f t="shared" si="569"/>
        <v>0.28000000000000003</v>
      </c>
      <c r="GA308">
        <f t="shared" si="570"/>
        <v>1</v>
      </c>
      <c r="GB308">
        <f t="shared" si="571"/>
        <v>0</v>
      </c>
      <c r="GC308">
        <f t="shared" si="572"/>
        <v>1</v>
      </c>
      <c r="GD308">
        <f>IF(BH308="","",IF(AND(CA308=1,GC308=1),COUNTIFS(A$3:A308,A308,CA$3:CA308,1,GC$3:GC308,1),IF(OR(OR(AW308=1,A308&lt;&gt;A307),AF308="вручную",GC308=0),"",IF(AW308=1,"",GE307))))</f>
        <v>25</v>
      </c>
      <c r="GE308">
        <f t="shared" si="573"/>
        <v>25</v>
      </c>
      <c r="GF308">
        <f>IF(B308="","",IFERROR(LOOKUP(INDEX(CHOOSE(DL308,Iдоп_1ж,Iдоп_2ж,Iдоп_3ж),MATCH(DX308,Iдоп_S,0))*DJ308*DK308,{6,10,16,20,25,32,40,50,63,80,100,125,160,200,250,315,400,500,630}),""))</f>
        <v>25</v>
      </c>
      <c r="GG308" t="str">
        <f t="shared" si="574"/>
        <v>QFD25</v>
      </c>
      <c r="GH308" t="str">
        <f t="shared" si="575"/>
        <v>QFD25</v>
      </c>
      <c r="GI308" t="str">
        <f t="shared" si="576"/>
        <v/>
      </c>
      <c r="GJ308">
        <f t="shared" si="577"/>
        <v>0</v>
      </c>
      <c r="GK308" t="str">
        <f>IF(OR(AG308="",AG308="-"),"",IFERROR(VLOOKUP(AG308,Модули_спр,2,FALSE),"R"))</f>
        <v/>
      </c>
      <c r="GL308" t="str">
        <f>IF(GK308="","",GK308&amp;"."&amp;COUNTIFS(A$3:A308,A308,GK$3:GK308,GK308))</f>
        <v/>
      </c>
      <c r="GM308" t="str">
        <f t="shared" si="578"/>
        <v/>
      </c>
      <c r="GN308" t="str">
        <f t="shared" si="579"/>
        <v/>
      </c>
      <c r="GO308" t="str">
        <f t="shared" si="580"/>
        <v/>
      </c>
      <c r="GP308" t="str">
        <f t="shared" si="581"/>
        <v/>
      </c>
      <c r="GQ308">
        <f t="shared" si="582"/>
        <v>1</v>
      </c>
      <c r="GR308" t="str">
        <f>IF(GQ308=1,"XT"&amp;COUNTIFS(A$3:A308,A308,GQ$3:GQ308,1),"")</f>
        <v>XT25</v>
      </c>
      <c r="GS308" t="str">
        <f t="shared" si="583"/>
        <v>XT25</v>
      </c>
      <c r="GT308" t="str">
        <f t="shared" si="584"/>
        <v>QFD25</v>
      </c>
      <c r="GU308" t="str">
        <f t="shared" si="585"/>
        <v/>
      </c>
      <c r="GV308" t="str">
        <f t="shared" si="586"/>
        <v>ok</v>
      </c>
      <c r="GW308" t="str">
        <f>IF(OR(GO308="",GM308=""),"",IF(GO308&gt;IFERROR(VLOOKUP(GN308,Модули_спр,3,FALSE),99),"ЛИШНИЙ КАНАЛ",IF(AND(AH308&lt;&gt;"=",COUNTIFS(Линии[_модуль гр.],GM308,Линии[Канал (итог)],GO308,Линии[Канал],"&lt;&gt;=",Линии[Щит],A308)&gt;1),"ДУБЛЬ КАНАЛА","")))</f>
        <v/>
      </c>
      <c r="GX308" s="6" t="str">
        <f t="shared" si="587"/>
        <v/>
      </c>
      <c r="GY308">
        <f t="shared" si="588"/>
        <v>10</v>
      </c>
      <c r="GZ308" t="str">
        <f t="shared" si="589"/>
        <v/>
      </c>
      <c r="HA308" t="str">
        <f>IF(AND(B308="",GT308=""),"",_xlfn.TEXTJOIN("; ",TRUE,IF(AND(B308&lt;&gt;"",FE308=""),"нет фазы",""),IF(AND(B308&lt;&gt;"",N(FY308)=0,EQ308&lt;&gt;"Нет"),"нет мощности",""),IF(AND(GS308&lt;&gt;"",COUNTIFS(Линии[Щит],A308,Линии[Клемма (итог)],GS308)&gt;1),"дубль клеммы "&amp;GS308,""),IF(AND(GV308&lt;&gt;"",GV308&lt;&gt;"ok"),GV308,""),IF(GW308&lt;&gt;"",GW308,""),IF(AND(N(BV308)&gt;=4,N(BR308)=1),BV308&amp;" жил на 1 фазе",""),IF(AND(AX308="R",CA308=1,OR(N(CK308)=0,N(CK308)&gt;30)),"розетка без дифзащиты до 30 мА",""),IFERROR(IF(AND(ISNUMBER(R308),R308&gt;DV308),"потери "&amp;FIXED(R308,1)&amp;" % &gt; "&amp;DV308&amp;" %",""),""),IFERROR(IF(LEFT(GZ308,4)="мало","Iкз мало — отключение &gt; 0,4 с",""),""),IF(AND(B308&lt;&gt;"",BH308=""),"не на схеме",""),IF(AND(CA308=0,B308&lt;&gt;"",FE308&lt;&gt;"",IF(AW308=1,"",FF307)&lt;&gt;"",FE308&lt;&gt;IF(AW308=1,"",FF307)),"фаза не как у автомата группы ("&amp;IF(AW308=1,"",FF307)&amp;")","")))</f>
        <v/>
      </c>
      <c r="HB308" s="6">
        <f>IF(OR(CA308=0,DA308=""),"",_xlfn.LET(_xlpm.t,IFERROR(_xlfn.XLOOKUP(DA308,Каталог!$U$4:$U$500,Каталог!$G$4:$G$500),""),_xlpm.k,SEARCH("кА",_xlpm.t),IFERROR(--TRIM(RIGHT(SUBSTITUTE(MID(_xlpm.t,MAX(1,_xlpm.k-4),_xlpm.k-MAX(1,_xlpm.k-4))," ",REPT(" ",9)),5)),"")))</f>
        <v>6</v>
      </c>
      <c r="HC308" t="str">
        <f>IF(OR(HB308="",CA308=0),"",IF(_xlfn.XLOOKUP(A308,Щиты[Щит],Щиты[Iкз max на шинах, кА],"")="","",IF(HB308&lt;_xlfn.XLOOKUP(A308,Щиты[Щит],Щиты[Iкз max на шинах, кА]),"Icu "&amp;HB308&amp;" кА &lt; Iкз max","ok")))</f>
        <v/>
      </c>
      <c r="HD308" t="str">
        <f t="shared" si="590"/>
        <v/>
      </c>
      <c r="HE308" t="str">
        <f t="shared" si="591"/>
        <v>QFD25|XT25</v>
      </c>
      <c r="HF308" t="str">
        <f t="shared" si="592"/>
        <v>QFD25|XT25|кабель ВВГнг(А)-LS (3х2,5) → Розеточная группа, пом. 001T</v>
      </c>
      <c r="HG308" t="str" cm="1">
        <f t="array" ref="HG308">IF(HF308="","",_xlfn.LET(_xlpm.nd,_xlfn.TEXTSPLIT(HF308,"|"),IF(COLUMNS(_xlpm.nd)&gt;1,A308&amp;"¦"&amp;INDEX(_xlpm.nd,1)&amp;"¦"&amp;INDEX(_xlpm.nd,2),"")))</f>
        <v>ЩР-2¦QFD25¦XT25</v>
      </c>
      <c r="HH308" t="str">
        <f t="shared" si="593"/>
        <v>R.3.001T.1¦Розеточная группа, пом. 001T</v>
      </c>
      <c r="HI308" t="str" cm="1">
        <f t="array" ref="HI308">IF(HF308="","",_xlfn.LET(_xlpm.nd,_xlfn.TEXTSPLIT(HF308,"|"),IF(COLUMNS(_xlpm.nd)&gt;2,A308&amp;"¦"&amp;INDEX(_xlpm.nd,2)&amp;"¦"&amp;INDEX(_xlpm.nd,3),"")))</f>
        <v>ЩР-2¦XT25¦кабель ВВГнг(А)-LS (3х2,5) → Розеточная группа, пом. 001T</v>
      </c>
      <c r="HJ308" t="str">
        <f t="shared" si="594"/>
        <v>R.3.001T.1¦Розеточная группа, пом. 001T</v>
      </c>
      <c r="HK308" t="str" cm="1">
        <f t="array" ref="HK308">IF(HF308="","",_xlfn.LET(_xlpm.nd,_xlfn.TEXTSPLIT(HF308,"|"),IF(COLUMNS(_xlpm.nd)&gt;3,A308&amp;"¦"&amp;INDEX(_xlpm.nd,3)&amp;"¦"&amp;INDEX(_xlpm.nd,4),"")))</f>
        <v/>
      </c>
      <c r="HL308" t="str">
        <f t="shared" si="595"/>
        <v/>
      </c>
      <c r="HM308" t="str" cm="1">
        <f t="array" ref="HM308">IF(HF308="","",_xlfn.LET(_xlpm.nd,_xlfn.TEXTSPLIT(HF308,"|"),IF(COLUMNS(_xlpm.nd)&gt;4,A308&amp;"¦"&amp;INDEX(_xlpm.nd,4)&amp;"¦"&amp;INDEX(_xlpm.nd,5),"")))</f>
        <v/>
      </c>
      <c r="HN308" t="str">
        <f t="shared" si="596"/>
        <v/>
      </c>
      <c r="HO308" t="str" cm="1">
        <f t="array" ref="HO308">IF(HF308="","",_xlfn.LET(_xlpm.nd,_xlfn.TEXTSPLIT(HF308,"|"),IF(COLUMNS(_xlpm.nd)&gt;5,A308&amp;"¦"&amp;INDEX(_xlpm.nd,5)&amp;"¦"&amp;INDEX(_xlpm.nd,6),"")))</f>
        <v/>
      </c>
      <c r="HP308" t="str">
        <f t="shared" si="597"/>
        <v/>
      </c>
      <c r="HQ308" t="str" cm="1">
        <f t="array" ref="HQ308">IF(HF308="","",_xlfn.LET(_xlpm.nd,_xlfn.TEXTSPLIT(HF308,"|"),IF(COLUMNS(_xlpm.nd)&gt;6,A308&amp;"¦"&amp;INDEX(_xlpm.nd,6)&amp;"¦"&amp;INDEX(_xlpm.nd,7),"")))</f>
        <v/>
      </c>
      <c r="HR308" t="str">
        <f t="shared" si="598"/>
        <v/>
      </c>
      <c r="HS308" t="str">
        <f t="shared" si="599"/>
        <v/>
      </c>
      <c r="HT308" t="str">
        <f t="shared" si="600"/>
        <v>QFD25 → XT25</v>
      </c>
      <c r="HU308">
        <f t="shared" si="601"/>
        <v>0</v>
      </c>
      <c r="HV308">
        <f t="shared" si="602"/>
        <v>1</v>
      </c>
      <c r="HW308" t="str">
        <f t="shared" si="603"/>
        <v/>
      </c>
      <c r="HX308" t="str">
        <f t="shared" si="604"/>
        <v/>
      </c>
      <c r="HY308" t="str">
        <f t="shared" si="605"/>
        <v/>
      </c>
      <c r="HZ308" t="str">
        <f t="shared" si="606"/>
        <v/>
      </c>
      <c r="IA308" t="str">
        <f>IF(B308="","",IFERROR(VLOOKUP(B308,УГО_спр,2,FALSE),IFERROR(VLOOKUP(AX308,УГО_спр,2,FALSE),IFERROR(VLOOKUP(LEFT(AX308,2),УГО_спр,2,FALSE),""))))</f>
        <v>Розетка</v>
      </c>
      <c r="IB308" t="str">
        <f>IF(B308="","",IF(OR(IA308="",IA308=0),"BOX",IFERROR(IF(VLOOKUP(IA308,УГО_блоки,3,FALSE)&amp;""&lt;&gt;"",VLOOKUP(IA308,УГО_блоки,3,FALSE),VLOOKUP(IA308,УГО_блоки,2,FALSE)),IA308)))</f>
        <v>SOCKET</v>
      </c>
      <c r="IC308">
        <f t="shared" si="607"/>
        <v>1</v>
      </c>
      <c r="ID308" t="str">
        <f>IF(DA308="","",IF(COUNTIF(DA$3:DA308,DA308)=1,MAX(ID$2:ID307)+1,""))</f>
        <v/>
      </c>
      <c r="IE308" t="str">
        <f>IF(CO308="","",IF(COUNTIF(CO$3:CO308,CO308)+COUNTIF(CP$2:CP307,CO308)+COUNTIF(CQ$2:CQ307,CO308)=1,MAX(IE$2:IG307)+1,""))</f>
        <v/>
      </c>
      <c r="IF308" t="str">
        <f>IF(CP308="","",IF(COUNTIF(CO$3:CO308,CP308)+COUNTIF(CP$3:CP308,CP308)+COUNTIF(CQ$2:CQ307,CP308)=1,MAX(IE$2:IG307,IE308)+1,""))</f>
        <v/>
      </c>
      <c r="IG308" t="str">
        <f>IF(CQ308="","",IF(COUNTIF(CO$3:CO308,CQ308)+COUNTIF(CP$3:CP308,CQ308)+COUNTIF(CQ$3:CQ308,CQ308)=1,MAX(IE$2:IG307,IE308,IF308)+1,""))</f>
        <v/>
      </c>
      <c r="IH308" t="str">
        <f t="shared" si="608"/>
        <v>3х2,5</v>
      </c>
      <c r="II308" t="str">
        <f>IF(IH308="","",IF(COUNTIF(IH$3:IH308,IH308)=1,MAX(II$2:II307)+1,""))</f>
        <v/>
      </c>
      <c r="IJ308" t="str">
        <f>IF(GL308="","",COUNTIF(GL$3:GL308,"?*"))</f>
        <v/>
      </c>
      <c r="IK308" t="str">
        <f>IF(OR(GL308="",GN308=""),"",IF(COUNTIFS(GL$3:GL308,"?*",GN$3:GN308,GN308)=1,MAX(IK$2:IK307)+1,""))</f>
        <v/>
      </c>
      <c r="IL308">
        <f t="shared" si="609"/>
        <v>0</v>
      </c>
      <c r="IM308">
        <f>IF(B308="","",COUNTIF(B$3:B308,"?*"))</f>
        <v>306</v>
      </c>
      <c r="IN308">
        <f>IF(GQ308&lt;&gt;1,0,_xlfn.LET(_xlpm.k,MAX(IFERROR(--VLOOKUP(B308,УГО_спр,5,FALSE),0),IFERROR(--VLOOKUP(AX308,УГО_спр,5,FALSE),0),IFERROR(--VLOOKUP(LEFT(AX308,2),УГО_спр,5,FALSE),0)),IF(_xlpm.k&gt;0,_xlpm.k,IF(IFERROR(--LEFT(SUBSTITUTE(IH308,"x","х"),FIND("х",SUBSTITUTE(IH308,"x","х"))-1),3)&gt;3,Каталог!$S$9,1))))</f>
        <v>1</v>
      </c>
      <c r="IO308">
        <f t="shared" si="610"/>
        <v>0</v>
      </c>
      <c r="IP308" t="str">
        <f t="shared" si="611"/>
        <v>авто</v>
      </c>
      <c r="IQ308">
        <f t="shared" si="612"/>
        <v>30</v>
      </c>
      <c r="IR308">
        <f t="shared" si="613"/>
        <v>1</v>
      </c>
      <c r="IS308">
        <f t="shared" si="614"/>
        <v>1</v>
      </c>
    </row>
    <row r="309" spans="1:253" x14ac:dyDescent="0.3">
      <c r="A309" t="s">
        <v>761</v>
      </c>
      <c r="B309" t="s">
        <v>1573</v>
      </c>
      <c r="C309" t="str">
        <f>Линии[[#This Row],[_авто наименование]]</f>
        <v>Розеточная группа, пом. 001Б</v>
      </c>
      <c r="D309">
        <v>3</v>
      </c>
      <c r="E309">
        <v>0.18</v>
      </c>
      <c r="G309">
        <v>16</v>
      </c>
      <c r="H309">
        <f>Линии[[#This Row],[_авто утечка]]</f>
        <v>30</v>
      </c>
      <c r="I309" t="str">
        <f>Линии[[#This Row],[_авто управление]]</f>
        <v/>
      </c>
      <c r="J309" t="str">
        <f>Линии[[#This Row],[_авто аппараты]]</f>
        <v/>
      </c>
      <c r="K309">
        <v>2.5</v>
      </c>
      <c r="L309">
        <v>26</v>
      </c>
      <c r="M309">
        <v>2</v>
      </c>
      <c r="N309" t="s">
        <v>486</v>
      </c>
      <c r="O309" t="str">
        <f t="shared" si="492"/>
        <v/>
      </c>
      <c r="P309" s="6" cm="1">
        <f t="array" ref="P309">IF(B309="","",IF(BC309&lt;&gt;"",IFERROR(_xlfn.XLOOKUP(BC309,Щиты[Щит],Щиты[Iр, А]),""),IF(BK309=1,IFERROR(_xlfn.XLOOKUP(A309,Щиты[Щит],Щиты[Iр, А]),""),IFERROR(_xlfn.IFS(BR309=1,BN309/((Uн_лин/SQRT(3))*BY309),BR309=3,BN309/(SQRT(3)*Uн_лин*BY309)),""))))</f>
        <v>0.8204451193747313</v>
      </c>
      <c r="Q309" s="7">
        <f>IF(B309="","",IFERROR(IF(VLOOKUP(AX309,Потребители_обозначение,4,FALSE)=1,VLOOKUP(AX309,Потребители_обозначение,3,FALSE)*(D309*2-1)+DS309+VLOOKUP(AZ309,Этаж_обозначение,3,FALSE)+VLOOKUP(AZ309,Этаж_обозначение,4,FALSE),VLOOKUP(AX309,Потребители_обозначение,3,FALSE)*(D309*2-1)+DS309),DS309))</f>
        <v>41</v>
      </c>
      <c r="R309" s="6">
        <f t="shared" si="493"/>
        <v>2.04</v>
      </c>
      <c r="S309" t="str">
        <f t="shared" si="494"/>
        <v>ВВГнг(А)-LS (3х2,5)</v>
      </c>
      <c r="T309" t="str">
        <f>IF(BH309="","",IF(BI309="вводной узел","узел ","")&amp;"л."&amp;(INT((BH309-1)/Столбцов_на_лист)+1)&amp;" / "&amp;(MOD(BH309-1,Столбцов_на_лист)+1))</f>
        <v>л.3 / 13</v>
      </c>
      <c r="V309">
        <v>1</v>
      </c>
      <c r="W309">
        <v>230</v>
      </c>
      <c r="X309" t="s">
        <v>564</v>
      </c>
      <c r="AC309" t="s">
        <v>815</v>
      </c>
      <c r="AE309" t="s">
        <v>563</v>
      </c>
      <c r="AI309">
        <v>47</v>
      </c>
      <c r="AJ309" t="s">
        <v>11</v>
      </c>
      <c r="AK309">
        <v>3</v>
      </c>
      <c r="AM309">
        <v>0</v>
      </c>
      <c r="AN309">
        <v>35</v>
      </c>
      <c r="AP309">
        <v>2</v>
      </c>
      <c r="AW309" cm="1">
        <f t="array" ref="AW309">ROW()-ROW(Линии[#Headers])</f>
        <v>307</v>
      </c>
      <c r="AX309" s="6" t="str">
        <f t="shared" si="495"/>
        <v>R</v>
      </c>
      <c r="AY309" t="str">
        <f t="shared" si="496"/>
        <v>3.001Б.1</v>
      </c>
      <c r="AZ309" t="str">
        <f t="shared" si="497"/>
        <v>3</v>
      </c>
      <c r="BA309" t="str">
        <f t="shared" si="498"/>
        <v>001Б.1</v>
      </c>
      <c r="BB309" t="str">
        <f t="shared" si="499"/>
        <v>001Б</v>
      </c>
      <c r="BC309" t="str">
        <f>IF(U309&lt;&gt;"",U309,IF(AND(B309&lt;&gt;"",B309&lt;&gt;A309,ISNUMBER(_xlfn.XMATCH(B309,Щиты[Щит]))),B309,""))</f>
        <v/>
      </c>
      <c r="BD309" t="str" cm="1">
        <f t="array" ref="BD309">IF(B309="","",IF(BC309&lt;&gt;"","Щит "&amp;BC309,_xlfn.LET(_xlpm.nm,IFERROR(_xlfn.XLOOKUP(AX309,Коды_код,Коды_имя)&amp;"",""),_xlpm.md,IFERROR(N(_xlfn.XLOOKUP(AX309,Коды_код,Коды_режим)),1),_xlpm.ex,IF(Имя_режим="по экспликации",IFERROR(_xlfn.XLOOKUP(AZ309&amp;"|"&amp;BB309,Экспликация[Этаж]&amp;"|"&amp;Экспликация[Помещение],Экспликация[Название])&amp;"",""),""),_xlpm.rm,IF(BB309="","",IF(_xlpm.ex&lt;&gt;"",". "&amp;_xlpm.ex&amp;IF(Имя_пом="нет"," ("&amp;BB309&amp;")"," (пом. "&amp;BB309&amp;")"),IF(Имя_пом="нет"," ",", пом. ")&amp;BB309)),IF(_xlpm.nm="","",IF(_xlpm.md=2,_xlpm.nm&amp;" шлейф "&amp;AZ309,_xlpm.nm&amp;_xlpm.rm)))))</f>
        <v>Розеточная группа, пом. 001Б</v>
      </c>
      <c r="BE309" t="str">
        <f t="shared" si="500"/>
        <v>Розеточная группа, пом. 001Б</v>
      </c>
      <c r="BF309">
        <f>IFERROR(_xlfn.XMATCH(A309,Щиты[Щит]),0)</f>
        <v>11</v>
      </c>
      <c r="BG309">
        <f>_xlfn.LET(_xlpm.k,IFERROR(_xlfn.XLOOKUP(A309,Щиты[Щит],Щиты[Листов под вводной узел]),""),IF(_xlpm.k="",1,N(_xlpm.k))*Столбцов_на_лист)</f>
        <v>17</v>
      </c>
      <c r="BH309">
        <f t="shared" si="501"/>
        <v>47</v>
      </c>
      <c r="BI309" t="str">
        <f t="shared" si="502"/>
        <v>линии</v>
      </c>
      <c r="BJ309" s="6">
        <f>IFERROR(N(_xlfn.XLOOKUP(AX309,Коды_код,Коды_квт)),0)</f>
        <v>0</v>
      </c>
      <c r="BK309">
        <f t="shared" si="503"/>
        <v>0</v>
      </c>
      <c r="BL309" t="str">
        <f>IF(B309="","",IF(BC309&lt;&gt;"",IFERROR(_xlfn.XLOOKUP(BC309,Щиты[Щит],Щиты[Руст, кВт]),0),IF(BK309=1,IFERROR(_xlfn.XLOOKUP(A309,Щиты[Щит],Щиты[Руст, кВт]),0),IF(BJ309&gt;0,ROUND(BJ309*MAX(1,N(D309)),3),""))))</f>
        <v/>
      </c>
      <c r="BM309">
        <f t="shared" si="504"/>
        <v>0.18</v>
      </c>
      <c r="BN309" s="6">
        <f>IF(B309="","",IF(BC309&lt;&gt;"",IFERROR(_xlfn.XLOOKUP(BC309,Щиты[Щит],Щиты[Руст, кВт]),0),N(BM309)))</f>
        <v>0.18</v>
      </c>
      <c r="BO309" t="str">
        <f>IF(B309="","",IFERROR(IF(VLOOKUP(AX309,Потребители_обозначение,8,FALSE)=0,"",VLOOKUP(AX309,Потребители_обозначение,8,FALSE)),""))</f>
        <v/>
      </c>
      <c r="BP309">
        <f t="shared" si="505"/>
        <v>230</v>
      </c>
      <c r="BQ309">
        <f>IF(B309="","",IF(BC309&lt;&gt;"",3,IFERROR(IF(N(VLOOKUP(AX309,Потребители_обозначение,9,FALSE))=0,1,VLOOKUP(AX309,Потребители_обозначение,9,FALSE)),1)))</f>
        <v>1</v>
      </c>
      <c r="BR309">
        <f t="shared" si="506"/>
        <v>1</v>
      </c>
      <c r="BS309" t="str">
        <f>IF(B309="","",_xlfn.LET(_xlpm.bc,IFERROR(IF(VLOOKUP(AX309,Потребители_обозначение,6,FALSE)=0,"",VLOOKUP(AX309,Потребители_обозначение,6,FALSE)&amp;""),""),IF(AND(FK309="да",OR(_xlpm.bc="",_xlpm.bc="мс")),Марка_пож,IF(AND(_xlpm.bc="",BC309&lt;&gt;""),"мс",_xlpm.bc))))</f>
        <v/>
      </c>
      <c r="BT309" t="str">
        <f t="shared" si="507"/>
        <v>мс</v>
      </c>
      <c r="BU309">
        <f>IF(B309="","",_xlfn.LET(_xlpm.cc,IFERROR(N(VLOOKUP(AX309,Потребители_обозначение,7,FALSE)),0),IF(_xlpm.cc&gt;0,_xlpm.cc,IF(BT309="","",IF(N(BR309)=3,5,3)))))</f>
        <v>3</v>
      </c>
      <c r="BV309">
        <f t="shared" si="508"/>
        <v>3</v>
      </c>
      <c r="BW309">
        <f>IFERROR(N(VLOOKUP(AX309,Потребители_обозначение,10,FALSE)),0)</f>
        <v>0</v>
      </c>
      <c r="BX309">
        <f>IFERROR(VLOOKUP(AX309,Потребители_обозначение,5,FALSE),0)</f>
        <v>1</v>
      </c>
      <c r="BY309" s="6" cm="1">
        <f t="array" ref="BY309">IF(B309="","",IF(BC309&lt;&gt;"",IFERROR(_xlfn.XLOOKUP(BC309,Щиты[Щит],Щиты[cos φ]),0.95),IF(BK309=1,IFERROR(_xlfn.XLOOKUP(A309,Щиты[Щит],Щиты[cos φ]),0.95),IF(ISNUMBER(Z309),Z309,IFERROR(IF(BX309=2,_xlfn.IFS(BR309=3,VLOOKUP(BN309,Справочная_двигатели,8,FALSE),BR309=1,VLOOKUP(BN309,Справочная_двигатели,10,TRUE)),IF(AND(Методика="нормы 2026",EQ309="Сил"),0.8,0.95)),0.95)))))</f>
        <v>0.95</v>
      </c>
      <c r="BZ309">
        <f t="shared" si="509"/>
        <v>0</v>
      </c>
      <c r="CA309">
        <f t="shared" si="510"/>
        <v>1</v>
      </c>
      <c r="CB309">
        <f t="shared" si="511"/>
        <v>0</v>
      </c>
      <c r="CC309">
        <f t="shared" si="512"/>
        <v>0</v>
      </c>
      <c r="CD309">
        <f t="shared" si="513"/>
        <v>0</v>
      </c>
      <c r="CE309">
        <f t="shared" si="514"/>
        <v>0</v>
      </c>
      <c r="CF309">
        <f t="shared" si="515"/>
        <v>0</v>
      </c>
      <c r="CG309">
        <f>IF(AX309="",0,_xlfn.LET(_xlpm.v,IFERROR(VLOOKUP(B309,УГО_спр,3,FALSE),IFERROR(VLOOKUP(AX309,УГО_спр,3,FALSE),IFERROR(VLOOKUP(LEFT(AX309,2),УГО_спр,3,FALSE),""))),IF(_xlpm.v="да",30,IF(ISNUMBER(_xlpm.v),_xlpm.v,0))))</f>
        <v>30</v>
      </c>
      <c r="CH309">
        <f t="shared" si="516"/>
        <v>30</v>
      </c>
      <c r="CI309" t="str">
        <f>_xlfn.LET(_xlpm.k,IFERROR(_xlfn.XLOOKUP(AX309,Коды_код,Коды_утечка)&amp;"",""),IF(_xlpm.k="","дифавтомат",_xlpm.k))</f>
        <v>дифавтомат</v>
      </c>
      <c r="CJ309">
        <f t="shared" si="517"/>
        <v>30</v>
      </c>
      <c r="CK309">
        <f t="shared" si="518"/>
        <v>30</v>
      </c>
      <c r="CL309">
        <f>IF(B309="",0,IFERROR(--VLOOKUP(B309,УГО_спр,4,FALSE),IFERROR(--VLOOKUP(AX309,УГО_спр,4,FALSE),IFERROR(--VLOOKUP(LEFT(AX309,2),УГО_спр,4,FALSE),0))))</f>
        <v>16</v>
      </c>
      <c r="CM309" t="str">
        <f>IF(B309="","",IFERROR(_xlfn.XLOOKUP(AX309,Коды_код,Коды_апп)&amp;"",""))</f>
        <v/>
      </c>
      <c r="CN309" t="str">
        <f t="shared" si="519"/>
        <v/>
      </c>
      <c r="CO309" t="str" cm="1">
        <f t="array" ref="CO309">IF(TRIM(CN309&amp;"")="","",IFERROR(TRIM(INDEX(_xlfn.TEXTSPLIT(CN309&amp;";;;",";"),1)),""))</f>
        <v/>
      </c>
      <c r="CP309" t="str" cm="1">
        <f t="array" ref="CP309">IF(TRIM(CN309&amp;"")="","",IFERROR(TRIM(INDEX(_xlfn.TEXTSPLIT(CN309&amp;";;;",";"),2)),""))</f>
        <v/>
      </c>
      <c r="CQ309" t="str" cm="1">
        <f t="array" ref="CQ309">IF(TRIM(CN309&amp;"")="","",IFERROR(TRIM(INDEX(_xlfn.TEXTSPLIT(CN309&amp;";;;",";"),3)),""))</f>
        <v/>
      </c>
      <c r="CR309">
        <f t="shared" si="520"/>
        <v>0</v>
      </c>
      <c r="CS309" t="str">
        <f>IF(B309="","",_xlfn.LET(_xlpm.t,LOWER(AV309&amp;""),IF(ISNUMBER(SEARCH("dim",_xlpm.t)),"DIM",IF(ISNUMBER(SEARCH("dali",_xlpm.t)),"DALI",IF(OR(ISNUMBER(SEARCH("relay",_xlpm.t)),ISNUMBER(SEARCH("реле",_xlpm.t))),"Relay",IF(ISNUMBER(SEARCH("кнопк",_xlpm.t)),"",IFERROR(_xlfn.XLOOKUP(AX309,Коды_код,Коды_упр)&amp;"","")))))))</f>
        <v/>
      </c>
      <c r="CT309" t="str">
        <f t="shared" si="521"/>
        <v/>
      </c>
      <c r="CU309">
        <f>IF(B309="","",_xlfn.LET(_xlpm.ig,N(P309)+IF(AF309="вручную",0,N(CB309)),_xlpm.n0,IFERROR(VLOOKUP(_xlpm.ig,Автомат_номиналы,2,TRUE),0),_xlpm.mn,MAX(CL309,IF(AF309="вручную",0,N(CE309))),MAX(_xlpm.n0,_xlpm.mn,IF(CR309=1,Мин_автомат_БП,0))))</f>
        <v>16</v>
      </c>
      <c r="CV309">
        <f t="shared" si="522"/>
        <v>1</v>
      </c>
      <c r="CW309" t="str">
        <f t="shared" si="523"/>
        <v>2P</v>
      </c>
      <c r="CX309" t="str">
        <f>_xlfn.LET(_xlpm.cc,UPPER(TRIM(IFERROR(_xlfn.XLOOKUP(AX309,Коды_код,Коды_хар)&amp;"",""))),IF(OR(_xlpm.cc="B",_xlpm.cc="В"),"B",IF(_xlpm.cc="D","D","С")))</f>
        <v>С</v>
      </c>
      <c r="CY309" t="str">
        <f t="shared" si="524"/>
        <v>2P С16А 30мА</v>
      </c>
      <c r="CZ309">
        <f t="shared" si="525"/>
        <v>16</v>
      </c>
      <c r="DA309" t="str">
        <f t="shared" si="526"/>
        <v>2P С16А 30мА</v>
      </c>
      <c r="DB309" cm="1">
        <f t="array" ref="DB309">IF(DA309="","",_xlfn.LET(_xlpm.t,SUBSTITUTE(SUBSTITUTE(SUBSTITUTE(UPPER(DA309),"С","C"),"А","A"),"В","B"),_xlpm.tk,_xlfn.TEXTSPLIT(_xlpm.t,"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9" t="str">
        <f t="shared" si="527"/>
        <v>ok</v>
      </c>
      <c r="DD309">
        <f t="shared" si="528"/>
        <v>16</v>
      </c>
      <c r="DE309" t="str">
        <f t="shared" si="529"/>
        <v>2P С16А 30мА</v>
      </c>
      <c r="DF309">
        <f t="shared" si="530"/>
        <v>30</v>
      </c>
      <c r="DG309">
        <f t="shared" si="531"/>
        <v>1</v>
      </c>
      <c r="DH309">
        <f t="shared" si="532"/>
        <v>0</v>
      </c>
      <c r="DI309">
        <f t="shared" si="533"/>
        <v>0.8204451193747313</v>
      </c>
      <c r="DJ309">
        <f t="shared" si="534"/>
        <v>1</v>
      </c>
      <c r="DK309">
        <f>IF(ISNUMBER(AL309),AL309,К_прокл)</f>
        <v>1</v>
      </c>
      <c r="DL309">
        <f t="shared" si="535"/>
        <v>2</v>
      </c>
      <c r="DM309">
        <f>IFERROR(N(VLOOKUP(BT309,Кабель_обозначение,3,FALSE)),1)</f>
        <v>1</v>
      </c>
      <c r="DN309">
        <f>IFERROR(N(_xlfn.XLOOKUP(A309,Щиты[Щит],Щиты[ΔU до шин, %])),0)</f>
        <v>1.79</v>
      </c>
      <c r="DO309" t="str">
        <f>IFERROR(_xlfn.XLOOKUP(A309,Щиты[Щит],Щиты[Zпетли на шинах, Ом]),"")</f>
        <v/>
      </c>
      <c r="DP309">
        <f>IFERROR(N(_xlfn.XLOOKUP(A309,Щиты[Щит],Щиты[ΔU до шин (подбор), %])),0)</f>
        <v>4.75</v>
      </c>
      <c r="DQ309" t="str">
        <f>IFERROR(_xlfn.XLOOKUP(A309,Щиты[Щит],Щиты[Zпетли на шинах (подбор), Ом]),"")</f>
        <v/>
      </c>
      <c r="DR309" t="str">
        <f t="shared" si="536"/>
        <v/>
      </c>
      <c r="DS309">
        <f t="shared" si="537"/>
        <v>26</v>
      </c>
      <c r="DT309">
        <f t="shared" si="538"/>
        <v>2</v>
      </c>
      <c r="DU309">
        <f t="shared" si="539"/>
        <v>0.31</v>
      </c>
      <c r="DV309" s="6">
        <f>IF(B309="","",IF(IFERROR(VLOOKUP(AX309,УГО_спр,2,FALSE),"")="Светильник",3,4)+IF(Методика="нормы 2026",MIN(0.5,MAX(0,N(Q309)-100)*0.005),0))</f>
        <v>4</v>
      </c>
      <c r="DW309" t="str" cm="1">
        <f t="array" ref="DW309">IF(OR(B309="",BT309="",DM309&lt;&gt;1),"",_xlfn.LET(_xlpm.sz,Iдоп_S,_xlpm.t_,CHOOSE(DL309,Iдоп_1ж,Iдоп_2ж,Iдоп_3ж)*DJ309*DK309,_xlpm.inn,N(DD309),_xlpm.smin,MAX(1.5,BW309),_xlpm.L_,N(Q309)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309)*(_xlpm.rho*_xlpm.L_/_xlpm.sz*N(BY309)+_xlpm.xx*_xlpm.L_*N(DU309)/1000)*N(P309)/((Uн_лин/SQRT(3))*1000)*100,999),_xlpm.kz,IF(OR(DG309=1,NOT(ISNUMBER(DQ309)),_xlpm.L_=0,_xlpm.inn=0),1,IFERROR(--(c_min*(Uн_лин*1000/SQRT(3))/(DQ309+2*ρкз_Cu*_xlpm.L_/_xlpm.sz)&gt;=GY309*_xlpm.inn),0)),_xlpm.ok,IFERROR((_xlpm.sz&gt;=_xlpm.smin)*(_xlpm.t_&gt;=_xlpm.inn)*IF(_xlpm.L_&gt;0,(_xlpm.du_+DP309&lt;=DV309+0.00001),1)*_xlpm.kz,0),_xlpm.r_,_xlfn._xlws.FILTER(_xlpm.sz,_xlpm.ok,"не подобрано"),INDEX(_xlpm.r_,1)))</f>
        <v>не подобрано</v>
      </c>
      <c r="DX309">
        <f t="shared" si="540"/>
        <v>2.5</v>
      </c>
      <c r="DY309" cm="1">
        <f t="array" ref="DY309">IF(OR(B309="",BT309="",DM309&lt;&gt;1),"",_xlfn.LET(_xlpm.sz,Iдоп_S,_xlpm.t_,CHOOSE(DL309,Iдоп_1ж,Iдоп_2ж,Iдоп_3ж)*DJ309*DK309,_xlpm.ok,IFERROR((_xlpm.sz&gt;=MAX(1.5,BW309))*(_xlpm.t_&gt;=N(DD309)),0),_xlpm.r_,_xlfn._xlws.FILTER(_xlpm.sz,_xlpm.ok,""),INDEX(_xlpm.r_,1)))</f>
        <v>1.5</v>
      </c>
      <c r="DZ309" s="6" cm="1">
        <f t="array" ref="DZ309">IFERROR(ROUNDUP(N(DT309)*(_xlfn.XLOOKUP(DY309,INDEX(Кабель_сопротивление,0,1),INDEX(Кабель_сопротивление,0,3))*N(Q309)/DY309*N(BY309)+_xlfn.XLOOKUP(DY309,INDEX(Кабель_сопротивление,0,1),INDEX(Кабель_сопротивление,0,2))*N(Q309)*N(DU309)/1000)*N(P309)/((Uн_лин/SQRT(3))*1000)*100,2),"")</f>
        <v>0.42</v>
      </c>
      <c r="EA309">
        <f>IFERROR(2*ρкз_Cu*N(Q309)/DY309,"")</f>
        <v>1.4377333333333333</v>
      </c>
      <c r="EB309">
        <f>IFERROR(VLOOKUP(DX309,Кабель_сопротивление,3,FALSE),"")</f>
        <v>2.2499999999999999E-2</v>
      </c>
      <c r="EC309">
        <f>IFERROR(VLOOKUP(DX309,Кабель_сопротивление,2,FALSE),"")</f>
        <v>0.1</v>
      </c>
      <c r="ED309">
        <f t="shared" si="541"/>
        <v>35</v>
      </c>
      <c r="EE309">
        <f t="shared" si="542"/>
        <v>37</v>
      </c>
      <c r="EF309">
        <f t="shared" si="543"/>
        <v>0.57729964468707462</v>
      </c>
      <c r="EG309" s="6">
        <f>IFERROR(ROUNDUP(EF309/((Uн_лин/SQRT(3))*1000)*100,2),"")</f>
        <v>0.25</v>
      </c>
      <c r="EH309" t="str">
        <f>IFERROR(VLOOKUP(BT309,Кабель_обозначение,2,FALSE),"")</f>
        <v>ВВГнг(А)-LS</v>
      </c>
      <c r="EI309" t="str">
        <f t="shared" si="544"/>
        <v>ВВГнг(А)-LS (3х2,5)</v>
      </c>
      <c r="EJ309" t="str">
        <f t="shared" si="545"/>
        <v>ВВГнг(А)-LS (3х2,5)
L=41-0,25%</v>
      </c>
      <c r="EK309">
        <f>IFERROR(2*ρкз_Cu*Q309/DX309,"")</f>
        <v>0.86264000000000007</v>
      </c>
      <c r="EL309">
        <f t="shared" si="546"/>
        <v>0.28700000000000003</v>
      </c>
      <c r="EM309" s="6" t="str">
        <f>IFERROR(IF(OR(B309="",NOT(ISNUMBER(DX309)),N(Q309)=0),"",_xlfn.XLOOKUP(A309,Щиты[Щит],Щиты[Zпетли на шинах, Ом])+EK309),"")</f>
        <v/>
      </c>
      <c r="EN309" s="6" t="str">
        <f>IF(ISNUMBER(EM309),c_min*(Uн_лин*1000/SQRT(3))/EM309,"")</f>
        <v/>
      </c>
      <c r="EO309" s="6" t="str">
        <f>IFERROR(IF(OR(B309="",NOT(ISNUMBER(DX309))),"",1.05*(Uн_лин*1000/SQRT(3))/(_xlfn.XLOOKUP(A309,Щиты[Щит],Щиты[Zmax на шинах, Ом])+EL309)/1000),"")</f>
        <v/>
      </c>
      <c r="EP309" s="6" t="str">
        <f>IF(B309="","",IF(ISNUMBER(Y309),"Сил",IF(IFERROR(_xlfn.XLOOKUP(AX309,Коды_код,Коды_группа)&amp;"","")="","Быт",_xlfn.XLOOKUP(AX309,Коды_код,Коды_группа)&amp;"")))</f>
        <v>Быт</v>
      </c>
      <c r="EQ309" s="6" t="str">
        <f t="shared" si="547"/>
        <v>Быт</v>
      </c>
      <c r="ER309" s="6">
        <f>IF(EQ309="Щит","щит",IF(EQ309="","",IF(EQ309="Быт",IFERROR(_xlfn.XLOOKUP(A309,Щиты[Щит],Щиты[Кс быт]),1),IF(EQ309="Сил",IF(ISNUMBER(Y309),Y309,IF(Методика="нормы 2026",IFERROR(_xlfn.XLOOKUP(A309,Щиты[Щит],Щиты[Кс силовых (табл. 7.5)]),1),1)),IF(OR(EQ309="Пост",EQ309="Отоп"),1,IF(EQ309="ВНГ",0.7,0))))))</f>
        <v>0.8</v>
      </c>
      <c r="ES309">
        <f t="shared" si="548"/>
        <v>1</v>
      </c>
      <c r="ET309">
        <f t="shared" si="549"/>
        <v>0.18</v>
      </c>
      <c r="EU309">
        <f t="shared" si="550"/>
        <v>0.18</v>
      </c>
      <c r="EV309">
        <f t="shared" si="551"/>
        <v>0</v>
      </c>
      <c r="EW309">
        <f t="shared" si="552"/>
        <v>0</v>
      </c>
      <c r="EX309">
        <f t="shared" si="553"/>
        <v>0</v>
      </c>
      <c r="EY309">
        <f t="shared" si="554"/>
        <v>0</v>
      </c>
      <c r="EZ309">
        <f t="shared" si="555"/>
        <v>0.18</v>
      </c>
      <c r="FA309">
        <f t="shared" si="556"/>
        <v>0.17099999999999999</v>
      </c>
      <c r="FB309">
        <f t="shared" si="557"/>
        <v>0.18</v>
      </c>
      <c r="FC309" t="str">
        <f t="shared" si="558"/>
        <v>L2</v>
      </c>
      <c r="FD309" t="str">
        <f>IF(B309="","",IF(CA309=0,IF(AW309=1,"",FF308),IF(OR(N(CV309)&gt;=3,N(BR309)&gt;=3),"L1,L2,L3",IFERROR(_xlfn.TEXTBEFORE(_xlfn.TEXTAFTER(_xlfn.XLOOKUP(A309,Щиты[Щит],Щиты[_фазы авто]),";"&amp;AW309&amp;":"),";"),"L1"))))</f>
        <v>L1</v>
      </c>
      <c r="FE309" t="str">
        <f t="shared" si="559"/>
        <v>L2</v>
      </c>
      <c r="FF309" t="str">
        <f t="shared" si="560"/>
        <v>L2</v>
      </c>
      <c r="FG309" cm="1">
        <f t="array" ref="FG309">IFERROR(IF(BX309=2,_xlfn.IFS(BR309=3,VLOOKUP(BN309,Справочная_двигатели,3,FALSE),BR309=1,VLOOKUP(BN309,Справочная_двигатели,5,TRUE)),0),0)</f>
        <v>0</v>
      </c>
      <c r="FH309">
        <f>IFERROR(IF(BX309=3,VLOOKUP(BN309,Справочная_ЛЭД,2,TRUE),0),0)</f>
        <v>0</v>
      </c>
      <c r="FI309" s="6">
        <f t="shared" si="561"/>
        <v>0</v>
      </c>
      <c r="FJ309" t="str" cm="1">
        <f t="array" ref="FJ309">IF(B309="","",IFERROR(INDEX({"I особая","I","II","III"},MATCH(TRIM(AC309&amp;""),{"I особая","I","II","III"},0)),"III"))</f>
        <v>II</v>
      </c>
      <c r="FK309" t="str">
        <f>IF(B309="","",IF(TRIM(AD309&amp;"")&lt;&gt;"",IF(LOWER(TRIM(AD309&amp;""))="да","да","нет"),IF(IFERROR(_xlfn.XLOOKUP(AX309,Коды_код,Коды_пожарная),"")="да","да","нет")))</f>
        <v>нет</v>
      </c>
      <c r="FL309" t="str">
        <f t="shared" si="562"/>
        <v/>
      </c>
      <c r="FM309" t="str">
        <f t="shared" si="563"/>
        <v>основная</v>
      </c>
      <c r="FN309">
        <f t="shared" si="564"/>
        <v>1</v>
      </c>
      <c r="FO309" t="str" cm="1">
        <f t="array" ref="FO309">IF(B309="","",_xlfn.LET(_xlpm.t,IFERROR(_xlfn.XLOOKUP(1,(Шины[Шина]=FM309)*(((Шины[Щит]=A309)+(Шины[Щит]=""))&gt;0),Шины[Тип]),"")&amp;"",IF(_xlpm.t&lt;&gt;"",_xlpm.t,IF(ISNUMBER(SEARCH("ИБП",FM309)),"ИБП",IF(ISNUMBER(SEARCH("ДГУ",FM309)),"ДГУ","Ввод "&amp;FN309)))))</f>
        <v>Ввод 1</v>
      </c>
      <c r="FP309" t="str">
        <f t="shared" si="565"/>
        <v>Ввод 1</v>
      </c>
      <c r="FQ309" t="str">
        <f>IF(B309="","",IF(OR(FO309="ИБП",FO309="ДГУ"),"I особая",IF(FO309="Одиночная","III",_xlfn.XLOOKUP(A309,Щиты[Щит],Щиты[Категория шины «Ввод»],"III"))))</f>
        <v>II</v>
      </c>
      <c r="FR309">
        <f>IF(B309="",0,IFERROR(MATCH(FJ309,{"III","II","I","I особая"},0),1))</f>
        <v>2</v>
      </c>
      <c r="FS309">
        <f t="shared" si="566"/>
        <v>2</v>
      </c>
      <c r="FT309" t="str">
        <f>IF(B309="","",IF(FR309&gt;IFERROR(MATCH(FQ309,{"III","II","I","I особая"},0),1),"НЕ ОБЕСПЕЧЕНА","ОК"))</f>
        <v>ОК</v>
      </c>
      <c r="FU309" t="str">
        <f>IF(A309="","",_xlfn.XLOOKUP(A309,Щиты[Щит],Щиты[Путь],""))</f>
        <v>|ГРЩ-ЖД|ЩР-2|</v>
      </c>
      <c r="FV309" t="str">
        <f>IF(B309="","",IF(AE309&lt;&gt;"",AE309,IF(IFERROR(_xlfn.XLOOKUP(AX309,Коды_код,Коды_вид)&amp;"","")="","Прочее",_xlfn.XLOOKUP(AX309,Коды_код,Коды_вид)&amp;"")))</f>
        <v>Розеточная сеть и бытовые приборы</v>
      </c>
      <c r="FW309">
        <f>IF(BH309="","",INT((BH309-1)/Столбцов_на_лист)+1)</f>
        <v>3</v>
      </c>
      <c r="FX309" t="str">
        <f t="shared" si="567"/>
        <v>ВВГнг(А)-LS (3х2,5) L=41-0,25%</v>
      </c>
      <c r="FY309">
        <f t="shared" si="568"/>
        <v>0.18</v>
      </c>
      <c r="FZ309">
        <f t="shared" si="569"/>
        <v>0.83</v>
      </c>
      <c r="GA309">
        <f t="shared" si="570"/>
        <v>1</v>
      </c>
      <c r="GB309">
        <f t="shared" si="571"/>
        <v>0</v>
      </c>
      <c r="GC309">
        <f t="shared" si="572"/>
        <v>1</v>
      </c>
      <c r="GD309">
        <f>IF(BH309="","",IF(AND(CA309=1,GC309=1),COUNTIFS(A$3:A309,A309,CA$3:CA309,1,GC$3:GC309,1),IF(OR(OR(AW309=1,A309&lt;&gt;A308),AF309="вручную",GC309=0),"",IF(AW309=1,"",GE308))))</f>
        <v>26</v>
      </c>
      <c r="GE309">
        <f t="shared" si="573"/>
        <v>26</v>
      </c>
      <c r="GF309">
        <f>IF(B309="","",IFERROR(LOOKUP(INDEX(CHOOSE(DL309,Iдоп_1ж,Iдоп_2ж,Iдоп_3ж),MATCH(DX309,Iдоп_S,0))*DJ309*DK309,{6,10,16,20,25,32,40,50,63,80,100,125,160,200,250,315,400,500,630}),""))</f>
        <v>25</v>
      </c>
      <c r="GG309" t="str">
        <f t="shared" si="574"/>
        <v>QFD26</v>
      </c>
      <c r="GH309" t="str">
        <f t="shared" si="575"/>
        <v>QFD26</v>
      </c>
      <c r="GI309" t="str">
        <f t="shared" si="576"/>
        <v/>
      </c>
      <c r="GJ309">
        <f t="shared" si="577"/>
        <v>0</v>
      </c>
      <c r="GK309" t="str">
        <f>IF(OR(AG309="",AG309="-"),"",IFERROR(VLOOKUP(AG309,Модули_спр,2,FALSE),"R"))</f>
        <v/>
      </c>
      <c r="GL309" t="str">
        <f>IF(GK309="","",GK309&amp;"."&amp;COUNTIFS(A$3:A309,A309,GK$3:GK309,GK309))</f>
        <v/>
      </c>
      <c r="GM309" t="str">
        <f t="shared" si="578"/>
        <v/>
      </c>
      <c r="GN309" t="str">
        <f t="shared" si="579"/>
        <v/>
      </c>
      <c r="GO309" t="str">
        <f t="shared" si="580"/>
        <v/>
      </c>
      <c r="GP309" t="str">
        <f t="shared" si="581"/>
        <v/>
      </c>
      <c r="GQ309">
        <f t="shared" si="582"/>
        <v>1</v>
      </c>
      <c r="GR309" t="str">
        <f>IF(GQ309=1,"XT"&amp;COUNTIFS(A$3:A309,A309,GQ$3:GQ309,1),"")</f>
        <v>XT26</v>
      </c>
      <c r="GS309" t="str">
        <f t="shared" si="583"/>
        <v/>
      </c>
      <c r="GT309" t="str">
        <f t="shared" si="584"/>
        <v>QFD26</v>
      </c>
      <c r="GU309" t="str">
        <f t="shared" si="585"/>
        <v/>
      </c>
      <c r="GV309" t="str">
        <f t="shared" si="586"/>
        <v>ok</v>
      </c>
      <c r="GW309" t="str">
        <f>IF(OR(GO309="",GM309=""),"",IF(GO309&gt;IFERROR(VLOOKUP(GN309,Модули_спр,3,FALSE),99),"ЛИШНИЙ КАНАЛ",IF(AND(AH309&lt;&gt;"=",COUNTIFS(Линии[_модуль гр.],GM309,Линии[Канал (итог)],GO309,Линии[Канал],"&lt;&gt;=",Линии[Щит],A309)&gt;1),"ДУБЛЬ КАНАЛА","")))</f>
        <v/>
      </c>
      <c r="GX309" s="6" t="str">
        <f t="shared" si="587"/>
        <v/>
      </c>
      <c r="GY309">
        <f t="shared" si="588"/>
        <v>10</v>
      </c>
      <c r="GZ309" t="str">
        <f t="shared" si="589"/>
        <v/>
      </c>
      <c r="HA309" t="str">
        <f>IF(AND(B309="",GT309=""),"",_xlfn.TEXTJOIN("; ",TRUE,IF(AND(B309&lt;&gt;"",FE309=""),"нет фазы",""),IF(AND(B309&lt;&gt;"",N(FY309)=0,EQ309&lt;&gt;"Нет"),"нет мощности",""),IF(AND(GS309&lt;&gt;"",COUNTIFS(Линии[Щит],A309,Линии[Клемма (итог)],GS309)&gt;1),"дубль клеммы "&amp;GS309,""),IF(AND(GV309&lt;&gt;"",GV309&lt;&gt;"ok"),GV309,""),IF(GW309&lt;&gt;"",GW309,""),IF(AND(N(BV309)&gt;=4,N(BR309)=1),BV309&amp;" жил на 1 фазе",""),IF(AND(AX309="R",CA309=1,OR(N(CK309)=0,N(CK309)&gt;30)),"розетка без дифзащиты до 30 мА",""),IFERROR(IF(AND(ISNUMBER(R309),R309&gt;DV309),"потери "&amp;FIXED(R309,1)&amp;" % &gt; "&amp;DV309&amp;" %",""),""),IFERROR(IF(LEFT(GZ309,4)="мало","Iкз мало — отключение &gt; 0,4 с",""),""),IF(AND(B309&lt;&gt;"",BH309=""),"не на схеме",""),IF(AND(CA309=0,B309&lt;&gt;"",FE309&lt;&gt;"",IF(AW309=1,"",FF308)&lt;&gt;"",FE309&lt;&gt;IF(AW309=1,"",FF308)),"фаза не как у автомата группы ("&amp;IF(AW309=1,"",FF308)&amp;")","")))</f>
        <v/>
      </c>
      <c r="HB309" s="6">
        <f>IF(OR(CA309=0,DA309=""),"",_xlfn.LET(_xlpm.t,IFERROR(_xlfn.XLOOKUP(DA309,Каталог!$U$4:$U$500,Каталог!$G$4:$G$500),""),_xlpm.k,SEARCH("кА",_xlpm.t),IFERROR(--TRIM(RIGHT(SUBSTITUTE(MID(_xlpm.t,MAX(1,_xlpm.k-4),_xlpm.k-MAX(1,_xlpm.k-4))," ",REPT(" ",9)),5)),"")))</f>
        <v>6</v>
      </c>
      <c r="HC309" t="str">
        <f>IF(OR(HB309="",CA309=0),"",IF(_xlfn.XLOOKUP(A309,Щиты[Щит],Щиты[Iкз max на шинах, кА],"")="","",IF(HB309&lt;_xlfn.XLOOKUP(A309,Щиты[Щит],Щиты[Iкз max на шинах, кА]),"Icu "&amp;HB309&amp;" кА &lt; Iкз max","ok")))</f>
        <v/>
      </c>
      <c r="HD309" t="str">
        <f t="shared" si="590"/>
        <v/>
      </c>
      <c r="HE309" t="str">
        <f t="shared" si="591"/>
        <v>QFD26</v>
      </c>
      <c r="HF309" t="str">
        <f t="shared" si="592"/>
        <v>QFD26|кабель ВВГнг(А)-LS (3х2,5) → Розеточная группа, пом. 001Б</v>
      </c>
      <c r="HG309" t="str" cm="1">
        <f t="array" ref="HG309">IF(HF309="","",_xlfn.LET(_xlpm.nd,_xlfn.TEXTSPLIT(HF309,"|"),IF(COLUMNS(_xlpm.nd)&gt;1,A309&amp;"¦"&amp;INDEX(_xlpm.nd,1)&amp;"¦"&amp;INDEX(_xlpm.nd,2),"")))</f>
        <v>ЩР-2¦QFD26¦кабель ВВГнг(А)-LS (3х2,5) → Розеточная группа, пом. 001Б</v>
      </c>
      <c r="HH309" t="str">
        <f t="shared" si="593"/>
        <v>R.3.001Б.1¦Розеточная группа, пом. 001Б</v>
      </c>
      <c r="HI309" t="str" cm="1">
        <f t="array" ref="HI309">IF(HF309="","",_xlfn.LET(_xlpm.nd,_xlfn.TEXTSPLIT(HF309,"|"),IF(COLUMNS(_xlpm.nd)&gt;2,A309&amp;"¦"&amp;INDEX(_xlpm.nd,2)&amp;"¦"&amp;INDEX(_xlpm.nd,3),"")))</f>
        <v/>
      </c>
      <c r="HJ309" t="str">
        <f t="shared" si="594"/>
        <v/>
      </c>
      <c r="HK309" t="str" cm="1">
        <f t="array" ref="HK309">IF(HF309="","",_xlfn.LET(_xlpm.nd,_xlfn.TEXTSPLIT(HF309,"|"),IF(COLUMNS(_xlpm.nd)&gt;3,A309&amp;"¦"&amp;INDEX(_xlpm.nd,3)&amp;"¦"&amp;INDEX(_xlpm.nd,4),"")))</f>
        <v/>
      </c>
      <c r="HL309" t="str">
        <f t="shared" si="595"/>
        <v/>
      </c>
      <c r="HM309" t="str" cm="1">
        <f t="array" ref="HM309">IF(HF309="","",_xlfn.LET(_xlpm.nd,_xlfn.TEXTSPLIT(HF309,"|"),IF(COLUMNS(_xlpm.nd)&gt;4,A309&amp;"¦"&amp;INDEX(_xlpm.nd,4)&amp;"¦"&amp;INDEX(_xlpm.nd,5),"")))</f>
        <v/>
      </c>
      <c r="HN309" t="str">
        <f t="shared" si="596"/>
        <v/>
      </c>
      <c r="HO309" t="str" cm="1">
        <f t="array" ref="HO309">IF(HF309="","",_xlfn.LET(_xlpm.nd,_xlfn.TEXTSPLIT(HF309,"|"),IF(COLUMNS(_xlpm.nd)&gt;5,A309&amp;"¦"&amp;INDEX(_xlpm.nd,5)&amp;"¦"&amp;INDEX(_xlpm.nd,6),"")))</f>
        <v/>
      </c>
      <c r="HP309" t="str">
        <f t="shared" si="597"/>
        <v/>
      </c>
      <c r="HQ309" t="str" cm="1">
        <f t="array" ref="HQ309">IF(HF309="","",_xlfn.LET(_xlpm.nd,_xlfn.TEXTSPLIT(HF309,"|"),IF(COLUMNS(_xlpm.nd)&gt;6,A309&amp;"¦"&amp;INDEX(_xlpm.nd,6)&amp;"¦"&amp;INDEX(_xlpm.nd,7),"")))</f>
        <v/>
      </c>
      <c r="HR309" t="str">
        <f t="shared" si="598"/>
        <v/>
      </c>
      <c r="HS309" t="str">
        <f t="shared" si="599"/>
        <v/>
      </c>
      <c r="HT309" t="str">
        <f t="shared" si="600"/>
        <v>QFD26</v>
      </c>
      <c r="HU309">
        <f t="shared" si="601"/>
        <v>0</v>
      </c>
      <c r="HV309">
        <f t="shared" si="602"/>
        <v>1</v>
      </c>
      <c r="HW309" t="str">
        <f t="shared" si="603"/>
        <v/>
      </c>
      <c r="HX309" t="str">
        <f t="shared" si="604"/>
        <v/>
      </c>
      <c r="HY309" t="str">
        <f t="shared" si="605"/>
        <v/>
      </c>
      <c r="HZ309" t="str">
        <f t="shared" si="606"/>
        <v/>
      </c>
      <c r="IA309" t="str">
        <f>IF(B309="","",IFERROR(VLOOKUP(B309,УГО_спр,2,FALSE),IFERROR(VLOOKUP(AX309,УГО_спр,2,FALSE),IFERROR(VLOOKUP(LEFT(AX309,2),УГО_спр,2,FALSE),""))))</f>
        <v>Розетка</v>
      </c>
      <c r="IB309" t="str">
        <f>IF(B309="","",IF(OR(IA309="",IA309=0),"BOX",IFERROR(IF(VLOOKUP(IA309,УГО_блоки,3,FALSE)&amp;""&lt;&gt;"",VLOOKUP(IA309,УГО_блоки,3,FALSE),VLOOKUP(IA309,УГО_блоки,2,FALSE)),IA309)))</f>
        <v>SOCKET</v>
      </c>
      <c r="IC309">
        <f t="shared" si="607"/>
        <v>1</v>
      </c>
      <c r="ID309" t="str">
        <f>IF(DA309="","",IF(COUNTIF(DA$3:DA309,DA309)=1,MAX(ID$2:ID308)+1,""))</f>
        <v/>
      </c>
      <c r="IE309" t="str">
        <f>IF(CO309="","",IF(COUNTIF(CO$3:CO309,CO309)+COUNTIF(CP$2:CP308,CO309)+COUNTIF(CQ$2:CQ308,CO309)=1,MAX(IE$2:IG308)+1,""))</f>
        <v/>
      </c>
      <c r="IF309" t="str">
        <f>IF(CP309="","",IF(COUNTIF(CO$3:CO309,CP309)+COUNTIF(CP$3:CP309,CP309)+COUNTIF(CQ$2:CQ308,CP309)=1,MAX(IE$2:IG308,IE309)+1,""))</f>
        <v/>
      </c>
      <c r="IG309" t="str">
        <f>IF(CQ309="","",IF(COUNTIF(CO$3:CO309,CQ309)+COUNTIF(CP$3:CP309,CQ309)+COUNTIF(CQ$3:CQ309,CQ309)=1,MAX(IE$2:IG308,IE309,IF309)+1,""))</f>
        <v/>
      </c>
      <c r="IH309" t="str">
        <f t="shared" si="608"/>
        <v>3х2,5</v>
      </c>
      <c r="II309" t="str">
        <f>IF(IH309="","",IF(COUNTIF(IH$3:IH309,IH309)=1,MAX(II$2:II308)+1,""))</f>
        <v/>
      </c>
      <c r="IJ309" t="str">
        <f>IF(GL309="","",COUNTIF(GL$3:GL309,"?*"))</f>
        <v/>
      </c>
      <c r="IK309" t="str">
        <f>IF(OR(GL309="",GN309=""),"",IF(COUNTIFS(GL$3:GL309,"?*",GN$3:GN309,GN309)=1,MAX(IK$2:IK308)+1,""))</f>
        <v/>
      </c>
      <c r="IL309">
        <f t="shared" si="609"/>
        <v>0</v>
      </c>
      <c r="IM309">
        <f>IF(B309="","",COUNTIF(B$3:B309,"?*"))</f>
        <v>307</v>
      </c>
      <c r="IN309">
        <f>IF(GQ309&lt;&gt;1,0,_xlfn.LET(_xlpm.k,MAX(IFERROR(--VLOOKUP(B309,УГО_спр,5,FALSE),0),IFERROR(--VLOOKUP(AX309,УГО_спр,5,FALSE),0),IFERROR(--VLOOKUP(LEFT(AX309,2),УГО_спр,5,FALSE),0)),IF(_xlpm.k&gt;0,_xlpm.k,IF(IFERROR(--LEFT(SUBSTITUTE(IH309,"x","х"),FIND("х",SUBSTITUTE(IH309,"x","х"))-1),3)&gt;3,Каталог!$S$9,1))))</f>
        <v>1</v>
      </c>
      <c r="IO309">
        <f t="shared" si="610"/>
        <v>0</v>
      </c>
      <c r="IP309" t="str">
        <f t="shared" si="611"/>
        <v>авто</v>
      </c>
      <c r="IQ309">
        <f t="shared" si="612"/>
        <v>30</v>
      </c>
      <c r="IR309">
        <f t="shared" si="613"/>
        <v>1</v>
      </c>
      <c r="IS309">
        <f t="shared" si="614"/>
        <v>1</v>
      </c>
    </row>
    <row r="310" spans="1:253" x14ac:dyDescent="0.3">
      <c r="A310" t="s">
        <v>761</v>
      </c>
      <c r="B310" t="s">
        <v>1574</v>
      </c>
      <c r="C310" t="s">
        <v>1684</v>
      </c>
      <c r="D310">
        <v>1</v>
      </c>
      <c r="E310">
        <v>1.5</v>
      </c>
      <c r="G310">
        <v>16</v>
      </c>
      <c r="H310" t="str">
        <f>Линии[[#This Row],[_авто утечка]]</f>
        <v/>
      </c>
      <c r="I310" t="str">
        <f>Линии[[#This Row],[_авто управление]]</f>
        <v/>
      </c>
      <c r="J310" t="str">
        <f>Линии[[#This Row],[_авто аппараты]]</f>
        <v/>
      </c>
      <c r="K310">
        <v>2.5</v>
      </c>
      <c r="L310">
        <v>38</v>
      </c>
      <c r="M310">
        <v>2</v>
      </c>
      <c r="N310" t="s">
        <v>486</v>
      </c>
      <c r="O310" t="str">
        <f t="shared" si="492"/>
        <v/>
      </c>
      <c r="P310" s="6" cm="1">
        <f t="array" ref="P310">IF(B310="","",IF(BC310&lt;&gt;"",IFERROR(_xlfn.XLOOKUP(BC310,Щиты[Щит],Щиты[Iр, А]),""),IF(BK310=1,IFERROR(_xlfn.XLOOKUP(A310,Щиты[Щит],Щиты[Iр, А]),""),IFERROR(_xlfn.IFS(BR310=1,BN310/((Uн_лин/SQRT(3))*BY310),BR310=3,BN310/(SQRT(3)*Uн_лин*BY310)),""))))</f>
        <v>6.8370426614560946</v>
      </c>
      <c r="Q310" s="7">
        <f>IF(B310="","",IFERROR(IF(VLOOKUP(AX310,Потребители_обозначение,4,FALSE)=1,VLOOKUP(AX310,Потребители_обозначение,3,FALSE)*(D310*2-1)+DS310+VLOOKUP(AZ310,Этаж_обозначение,3,FALSE)+VLOOKUP(AZ310,Этаж_обозначение,4,FALSE),VLOOKUP(AX310,Потребители_обозначение,3,FALSE)*(D310*2-1)+DS310),DS310))</f>
        <v>38</v>
      </c>
      <c r="R310" s="6">
        <f t="shared" si="493"/>
        <v>3.73</v>
      </c>
      <c r="S310" t="str">
        <f t="shared" si="494"/>
        <v>ВВГнг(А)-LS (3х2,5)</v>
      </c>
      <c r="T310" t="str">
        <f>IF(BH310="","",IF(BI310="вводной узел","узел ","")&amp;"л."&amp;(INT((BH310-1)/Столбцов_на_лист)+1)&amp;" / "&amp;(MOD(BH310-1,Столбцов_на_лист)+1))</f>
        <v>л.3 / 15</v>
      </c>
      <c r="V310">
        <v>1</v>
      </c>
      <c r="W310">
        <v>230</v>
      </c>
      <c r="X310" t="s">
        <v>575</v>
      </c>
      <c r="AC310" t="s">
        <v>815</v>
      </c>
      <c r="AE310" t="s">
        <v>574</v>
      </c>
      <c r="AI310">
        <v>49</v>
      </c>
      <c r="AJ310" t="s">
        <v>11</v>
      </c>
      <c r="AK310">
        <v>3</v>
      </c>
      <c r="AN310">
        <v>32</v>
      </c>
      <c r="AP310">
        <v>1</v>
      </c>
      <c r="AW310" cm="1">
        <f t="array" ref="AW310">ROW()-ROW(Линии[#Headers])</f>
        <v>308</v>
      </c>
      <c r="AX310" s="6" t="str">
        <f t="shared" si="495"/>
        <v>ШТК-2</v>
      </c>
      <c r="AY310" t="str">
        <f t="shared" si="496"/>
        <v/>
      </c>
      <c r="AZ310" t="str">
        <f t="shared" si="497"/>
        <v/>
      </c>
      <c r="BA310" t="str">
        <f t="shared" si="498"/>
        <v/>
      </c>
      <c r="BB310" t="str">
        <f t="shared" si="499"/>
        <v/>
      </c>
      <c r="BC310" t="str">
        <f>IF(U310&lt;&gt;"",U310,IF(AND(B310&lt;&gt;"",B310&lt;&gt;A310,ISNUMBER(_xlfn.XMATCH(B310,Щиты[Щит]))),B310,""))</f>
        <v/>
      </c>
      <c r="BD310" t="str" cm="1">
        <f t="array" ref="BD310">IF(B310="","",IF(BC310&lt;&gt;"","Щит "&amp;BC310,_xlfn.LET(_xlpm.nm,IFERROR(_xlfn.XLOOKUP(AX310,Коды_код,Коды_имя)&amp;"",""),_xlpm.md,IFERROR(N(_xlfn.XLOOKUP(AX310,Коды_код,Коды_режим)),1),_xlpm.ex,IF(Имя_режим="по экспликации",IFERROR(_xlfn.XLOOKUP(AZ310&amp;"|"&amp;BB310,Экспликация[Этаж]&amp;"|"&amp;Экспликация[Помещение],Экспликация[Название])&amp;"",""),""),_xlpm.rm,IF(BB310="","",IF(_xlpm.ex&lt;&gt;"",". "&amp;_xlpm.ex&amp;IF(Имя_пом="нет"," ("&amp;BB310&amp;")"," (пом. "&amp;BB310&amp;")"),IF(Имя_пом="нет"," ",", пом. ")&amp;BB310)),IF(_xlpm.nm="","",IF(_xlpm.md=2,_xlpm.nm&amp;" шлейф "&amp;AZ310,_xlpm.nm&amp;_xlpm.rm)))))</f>
        <v/>
      </c>
      <c r="BE310" t="str">
        <f t="shared" si="500"/>
        <v>Шкаф телекоммуникационный ШТК-2  Тех. Этаж Пом №004T</v>
      </c>
      <c r="BF310">
        <f>IFERROR(_xlfn.XMATCH(A310,Щиты[Щит]),0)</f>
        <v>11</v>
      </c>
      <c r="BG310">
        <f>_xlfn.LET(_xlpm.k,IFERROR(_xlfn.XLOOKUP(A310,Щиты[Щит],Щиты[Листов под вводной узел]),""),IF(_xlpm.k="",1,N(_xlpm.k))*Столбцов_на_лист)</f>
        <v>17</v>
      </c>
      <c r="BH310">
        <f t="shared" si="501"/>
        <v>49</v>
      </c>
      <c r="BI310" t="str">
        <f t="shared" si="502"/>
        <v>линии</v>
      </c>
      <c r="BJ310" s="6">
        <f>IFERROR(N(_xlfn.XLOOKUP(AX310,Коды_код,Коды_квт)),0)</f>
        <v>0</v>
      </c>
      <c r="BK310">
        <f t="shared" si="503"/>
        <v>0</v>
      </c>
      <c r="BL310" t="str">
        <f>IF(B310="","",IF(BC310&lt;&gt;"",IFERROR(_xlfn.XLOOKUP(BC310,Щиты[Щит],Щиты[Руст, кВт]),0),IF(BK310=1,IFERROR(_xlfn.XLOOKUP(A310,Щиты[Щит],Щиты[Руст, кВт]),0),IF(BJ310&gt;0,ROUND(BJ310*MAX(1,N(D310)),3),""))))</f>
        <v/>
      </c>
      <c r="BM310">
        <f t="shared" si="504"/>
        <v>1.5</v>
      </c>
      <c r="BN310" s="6">
        <f>IF(B310="","",IF(BC310&lt;&gt;"",IFERROR(_xlfn.XLOOKUP(BC310,Щиты[Щит],Щиты[Руст, кВт]),0),N(BM310)))</f>
        <v>1.5</v>
      </c>
      <c r="BO310" t="str">
        <f>IF(B310="","",IFERROR(IF(VLOOKUP(AX310,Потребители_обозначение,8,FALSE)=0,"",VLOOKUP(AX310,Потребители_обозначение,8,FALSE)),""))</f>
        <v/>
      </c>
      <c r="BP310">
        <f t="shared" si="505"/>
        <v>230</v>
      </c>
      <c r="BQ310">
        <f>IF(B310="","",IF(BC310&lt;&gt;"",3,IFERROR(IF(N(VLOOKUP(AX310,Потребители_обозначение,9,FALSE))=0,1,VLOOKUP(AX310,Потребители_обозначение,9,FALSE)),1)))</f>
        <v>1</v>
      </c>
      <c r="BR310">
        <f t="shared" si="506"/>
        <v>1</v>
      </c>
      <c r="BS310" t="str">
        <f>IF(B310="","",_xlfn.LET(_xlpm.bc,IFERROR(IF(VLOOKUP(AX310,Потребители_обозначение,6,FALSE)=0,"",VLOOKUP(AX310,Потребители_обозначение,6,FALSE)&amp;""),""),IF(AND(FK310="да",OR(_xlpm.bc="",_xlpm.bc="мс")),Марка_пож,IF(AND(_xlpm.bc="",BC310&lt;&gt;""),"мс",_xlpm.bc))))</f>
        <v/>
      </c>
      <c r="BT310" t="str">
        <f t="shared" si="507"/>
        <v>мс</v>
      </c>
      <c r="BU310">
        <f>IF(B310="","",_xlfn.LET(_xlpm.cc,IFERROR(N(VLOOKUP(AX310,Потребители_обозначение,7,FALSE)),0),IF(_xlpm.cc&gt;0,_xlpm.cc,IF(BT310="","",IF(N(BR310)=3,5,3)))))</f>
        <v>3</v>
      </c>
      <c r="BV310">
        <f t="shared" si="508"/>
        <v>3</v>
      </c>
      <c r="BW310">
        <f>IFERROR(N(VLOOKUP(AX310,Потребители_обозначение,10,FALSE)),0)</f>
        <v>0</v>
      </c>
      <c r="BX310">
        <f>IFERROR(VLOOKUP(AX310,Потребители_обозначение,5,FALSE),0)</f>
        <v>0</v>
      </c>
      <c r="BY310" s="6" cm="1">
        <f t="array" ref="BY310">IF(B310="","",IF(BC310&lt;&gt;"",IFERROR(_xlfn.XLOOKUP(BC310,Щиты[Щит],Щиты[cos φ]),0.95),IF(BK310=1,IFERROR(_xlfn.XLOOKUP(A310,Щиты[Щит],Щиты[cos φ]),0.95),IF(ISNUMBER(Z310),Z310,IFERROR(IF(BX310=2,_xlfn.IFS(BR310=3,VLOOKUP(BN310,Справочная_двигатели,8,FALSE),BR310=1,VLOOKUP(BN310,Справочная_двигатели,10,TRUE)),IF(AND(Методика="нормы 2026",EQ310="Сил"),0.8,0.95)),0.95)))))</f>
        <v>0.95</v>
      </c>
      <c r="BZ310">
        <f t="shared" si="509"/>
        <v>0</v>
      </c>
      <c r="CA310">
        <f t="shared" si="510"/>
        <v>1</v>
      </c>
      <c r="CB310">
        <f t="shared" si="511"/>
        <v>0</v>
      </c>
      <c r="CC310">
        <f t="shared" si="512"/>
        <v>0</v>
      </c>
      <c r="CD310">
        <f t="shared" si="513"/>
        <v>0</v>
      </c>
      <c r="CE310">
        <f t="shared" si="514"/>
        <v>0</v>
      </c>
      <c r="CF310">
        <f t="shared" si="515"/>
        <v>0</v>
      </c>
      <c r="CG310">
        <f>IF(AX310="",0,_xlfn.LET(_xlpm.v,IFERROR(VLOOKUP(B310,УГО_спр,3,FALSE),IFERROR(VLOOKUP(AX310,УГО_спр,3,FALSE),IFERROR(VLOOKUP(LEFT(AX310,2),УГО_спр,3,FALSE),""))),IF(_xlpm.v="да",30,IF(ISNUMBER(_xlpm.v),_xlpm.v,0))))</f>
        <v>0</v>
      </c>
      <c r="CH310" t="str">
        <f t="shared" si="516"/>
        <v/>
      </c>
      <c r="CI310" t="str">
        <f>_xlfn.LET(_xlpm.k,IFERROR(_xlfn.XLOOKUP(AX310,Коды_код,Коды_утечка)&amp;"",""),IF(_xlpm.k="","дифавтомат",_xlpm.k))</f>
        <v>дифавтомат</v>
      </c>
      <c r="CJ310">
        <f t="shared" si="517"/>
        <v>0</v>
      </c>
      <c r="CK310">
        <f t="shared" si="518"/>
        <v>0</v>
      </c>
      <c r="CL310">
        <f>IF(B310="",0,IFERROR(--VLOOKUP(B310,УГО_спр,4,FALSE),IFERROR(--VLOOKUP(AX310,УГО_спр,4,FALSE),IFERROR(--VLOOKUP(LEFT(AX310,2),УГО_спр,4,FALSE),0))))</f>
        <v>0</v>
      </c>
      <c r="CM310" t="str">
        <f>IF(B310="","",IFERROR(_xlfn.XLOOKUP(AX310,Коды_код,Коды_апп)&amp;"",""))</f>
        <v/>
      </c>
      <c r="CN310" t="str">
        <f t="shared" si="519"/>
        <v/>
      </c>
      <c r="CO310" t="str" cm="1">
        <f t="array" ref="CO310">IF(TRIM(CN310&amp;"")="","",IFERROR(TRIM(INDEX(_xlfn.TEXTSPLIT(CN310&amp;";;;",";"),1)),""))</f>
        <v/>
      </c>
      <c r="CP310" t="str" cm="1">
        <f t="array" ref="CP310">IF(TRIM(CN310&amp;"")="","",IFERROR(TRIM(INDEX(_xlfn.TEXTSPLIT(CN310&amp;";;;",";"),2)),""))</f>
        <v/>
      </c>
      <c r="CQ310" t="str" cm="1">
        <f t="array" ref="CQ310">IF(TRIM(CN310&amp;"")="","",IFERROR(TRIM(INDEX(_xlfn.TEXTSPLIT(CN310&amp;";;;",";"),3)),""))</f>
        <v/>
      </c>
      <c r="CR310">
        <f t="shared" si="520"/>
        <v>0</v>
      </c>
      <c r="CS310" t="str">
        <f>IF(B310="","",_xlfn.LET(_xlpm.t,LOWER(AV310&amp;""),IF(ISNUMBER(SEARCH("dim",_xlpm.t)),"DIM",IF(ISNUMBER(SEARCH("dali",_xlpm.t)),"DALI",IF(OR(ISNUMBER(SEARCH("relay",_xlpm.t)),ISNUMBER(SEARCH("реле",_xlpm.t))),"Relay",IF(ISNUMBER(SEARCH("кнопк",_xlpm.t)),"",IFERROR(_xlfn.XLOOKUP(AX310,Коды_код,Коды_упр)&amp;"","")))))))</f>
        <v/>
      </c>
      <c r="CT310" t="str">
        <f t="shared" si="521"/>
        <v/>
      </c>
      <c r="CU310">
        <f>IF(B310="","",_xlfn.LET(_xlpm.ig,N(P310)+IF(AF310="вручную",0,N(CB310)),_xlpm.n0,IFERROR(VLOOKUP(_xlpm.ig,Автомат_номиналы,2,TRUE),0),_xlpm.mn,MAX(CL310,IF(AF310="вручную",0,N(CE310))),MAX(_xlpm.n0,_xlpm.mn,IF(CR310=1,Мин_автомат_БП,0))))</f>
        <v>10</v>
      </c>
      <c r="CV310">
        <f t="shared" si="522"/>
        <v>1</v>
      </c>
      <c r="CW310" t="str">
        <f t="shared" si="523"/>
        <v>1P</v>
      </c>
      <c r="CX310" t="str">
        <f>_xlfn.LET(_xlpm.cc,UPPER(TRIM(IFERROR(_xlfn.XLOOKUP(AX310,Коды_код,Коды_хар)&amp;"",""))),IF(OR(_xlpm.cc="B",_xlpm.cc="В"),"B",IF(_xlpm.cc="D","D","С")))</f>
        <v>С</v>
      </c>
      <c r="CY310" t="str">
        <f t="shared" si="524"/>
        <v>1P С10А</v>
      </c>
      <c r="CZ310">
        <f t="shared" si="525"/>
        <v>16</v>
      </c>
      <c r="DA310" t="str">
        <f t="shared" si="526"/>
        <v>1P С16А</v>
      </c>
      <c r="DB310" cm="1">
        <f t="array" ref="DB310">IF(DA310="","",_xlfn.LET(_xlpm.t,SUBSTITUTE(SUBSTITUTE(SUBSTITUTE(UPPER(DA310),"С","C"),"А","A"),"В","B"),_xlpm.tk,_xlfn.TEXTSPLIT(_xlpm.t,"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0" t="str">
        <f t="shared" si="527"/>
        <v>ok</v>
      </c>
      <c r="DD310">
        <f t="shared" si="528"/>
        <v>16</v>
      </c>
      <c r="DE310" t="str">
        <f t="shared" si="529"/>
        <v>1P С16А</v>
      </c>
      <c r="DF310">
        <f t="shared" si="530"/>
        <v>0</v>
      </c>
      <c r="DG310">
        <f t="shared" si="531"/>
        <v>0</v>
      </c>
      <c r="DH310">
        <f t="shared" si="532"/>
        <v>0</v>
      </c>
      <c r="DI310">
        <f t="shared" si="533"/>
        <v>6.8370426614560946</v>
      </c>
      <c r="DJ310">
        <f t="shared" si="534"/>
        <v>1</v>
      </c>
      <c r="DK310">
        <f>IF(ISNUMBER(AL310),AL310,К_прокл)</f>
        <v>1</v>
      </c>
      <c r="DL310">
        <f t="shared" si="535"/>
        <v>2</v>
      </c>
      <c r="DM310">
        <f>IFERROR(N(VLOOKUP(BT310,Кабель_обозначение,3,FALSE)),1)</f>
        <v>1</v>
      </c>
      <c r="DN310">
        <f>IFERROR(N(_xlfn.XLOOKUP(A310,Щиты[Щит],Щиты[ΔU до шин, %])),0)</f>
        <v>1.79</v>
      </c>
      <c r="DO310" t="str">
        <f>IFERROR(_xlfn.XLOOKUP(A310,Щиты[Щит],Щиты[Zпетли на шинах, Ом]),"")</f>
        <v/>
      </c>
      <c r="DP310">
        <f>IFERROR(N(_xlfn.XLOOKUP(A310,Щиты[Щит],Щиты[ΔU до шин (подбор), %])),0)</f>
        <v>4.75</v>
      </c>
      <c r="DQ310" t="str">
        <f>IFERROR(_xlfn.XLOOKUP(A310,Щиты[Щит],Щиты[Zпетли на шинах (подбор), Ом]),"")</f>
        <v/>
      </c>
      <c r="DR310" t="str">
        <f t="shared" si="536"/>
        <v/>
      </c>
      <c r="DS310">
        <f t="shared" si="537"/>
        <v>38</v>
      </c>
      <c r="DT310">
        <f t="shared" si="538"/>
        <v>2</v>
      </c>
      <c r="DU310">
        <f t="shared" si="539"/>
        <v>0.31</v>
      </c>
      <c r="DV310" s="6">
        <f>IF(B310="","",IF(IFERROR(VLOOKUP(AX310,УГО_спр,2,FALSE),"")="Светильник",3,4)+IF(Методика="нормы 2026",MIN(0.5,MAX(0,N(Q310)-100)*0.005),0))</f>
        <v>4</v>
      </c>
      <c r="DW310" t="str" cm="1">
        <f t="array" ref="DW310">IF(OR(B310="",BT310="",DM310&lt;&gt;1),"",_xlfn.LET(_xlpm.sz,Iдоп_S,_xlpm.t_,CHOOSE(DL310,Iдоп_1ж,Iдоп_2ж,Iдоп_3ж)*DJ310*DK310,_xlpm.inn,N(DD310),_xlpm.smin,MAX(1.5,BW310),_xlpm.L_,N(Q310)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310)*(_xlpm.rho*_xlpm.L_/_xlpm.sz*N(BY310)+_xlpm.xx*_xlpm.L_*N(DU310)/1000)*N(P310)/((Uн_лин/SQRT(3))*1000)*100,999),_xlpm.kz,IF(OR(DG310=1,NOT(ISNUMBER(DQ310)),_xlpm.L_=0,_xlpm.inn=0),1,IFERROR(--(c_min*(Uн_лин*1000/SQRT(3))/(DQ310+2*ρкз_Cu*_xlpm.L_/_xlpm.sz)&gt;=GY310*_xlpm.inn),0)),_xlpm.ok,IFERROR((_xlpm.sz&gt;=_xlpm.smin)*(_xlpm.t_&gt;=_xlpm.inn)*IF(_xlpm.L_&gt;0,(_xlpm.du_+DP310&lt;=DV310+0.00001),1)*_xlpm.kz,0),_xlpm.r_,_xlfn._xlws.FILTER(_xlpm.sz,_xlpm.ok,"не подобрано"),INDEX(_xlpm.r_,1)))</f>
        <v>не подобрано</v>
      </c>
      <c r="DX310">
        <f t="shared" si="540"/>
        <v>2.5</v>
      </c>
      <c r="DY310" cm="1">
        <f t="array" ref="DY310">IF(OR(B310="",BT310="",DM310&lt;&gt;1),"",_xlfn.LET(_xlpm.sz,Iдоп_S,_xlpm.t_,CHOOSE(DL310,Iдоп_1ж,Iдоп_2ж,Iдоп_3ж)*DJ310*DK310,_xlpm.ok,IFERROR((_xlpm.sz&gt;=MAX(1.5,BW310))*(_xlpm.t_&gt;=N(DD310)),0),_xlpm.r_,_xlfn._xlws.FILTER(_xlpm.sz,_xlpm.ok,""),INDEX(_xlpm.r_,1)))</f>
        <v>1.5</v>
      </c>
      <c r="DZ310" s="6" cm="1">
        <f t="array" ref="DZ310">IFERROR(ROUNDUP(N(DT310)*(_xlfn.XLOOKUP(DY310,INDEX(Кабель_сопротивление,0,1),INDEX(Кабель_сопротивление,0,3))*N(Q310)/DY310*N(BY310)+_xlfn.XLOOKUP(DY310,INDEX(Кабель_сопротивление,0,1),INDEX(Кабель_сопротивление,0,2))*N(Q310)*N(DU310)/1000)*N(P310)/((Uн_лин/SQRT(3))*1000)*100,2),"")</f>
        <v>3.2199999999999998</v>
      </c>
      <c r="EA310">
        <f>IFERROR(2*ρкз_Cu*N(Q310)/DY310,"")</f>
        <v>1.3325333333333333</v>
      </c>
      <c r="EB310">
        <f>IFERROR(VLOOKUP(DX310,Кабель_сопротивление,3,FALSE),"")</f>
        <v>2.2499999999999999E-2</v>
      </c>
      <c r="EC310">
        <f>IFERROR(VLOOKUP(DX310,Кабель_сопротивление,2,FALSE),"")</f>
        <v>0.1</v>
      </c>
      <c r="ED310">
        <f t="shared" si="541"/>
        <v>32</v>
      </c>
      <c r="EE310">
        <f t="shared" si="542"/>
        <v>0</v>
      </c>
      <c r="EF310">
        <f t="shared" si="543"/>
        <v>4.4588183939245605</v>
      </c>
      <c r="EG310" s="6">
        <f>IFERROR(ROUNDUP(EF310/((Uн_лин/SQRT(3))*1000)*100,2),"")</f>
        <v>1.94</v>
      </c>
      <c r="EH310" t="str">
        <f>IFERROR(VLOOKUP(BT310,Кабель_обозначение,2,FALSE),"")</f>
        <v>ВВГнг(А)-LS</v>
      </c>
      <c r="EI310" t="str">
        <f t="shared" si="544"/>
        <v>ВВГнг(А)-LS (3х2,5)</v>
      </c>
      <c r="EJ310" t="str">
        <f t="shared" si="545"/>
        <v>ВВГнг(А)-LS (3х2,5)
L=38-1,94%</v>
      </c>
      <c r="EK310">
        <f>IFERROR(2*ρкз_Cu*Q310/DX310,"")</f>
        <v>0.79952000000000001</v>
      </c>
      <c r="EL310">
        <f t="shared" si="546"/>
        <v>0.26600000000000001</v>
      </c>
      <c r="EM310" s="6" t="str">
        <f>IFERROR(IF(OR(B310="",NOT(ISNUMBER(DX310)),N(Q310)=0),"",_xlfn.XLOOKUP(A310,Щиты[Щит],Щиты[Zпетли на шинах, Ом])+EK310),"")</f>
        <v/>
      </c>
      <c r="EN310" s="6" t="str">
        <f>IF(ISNUMBER(EM310),c_min*(Uн_лин*1000/SQRT(3))/EM310,"")</f>
        <v/>
      </c>
      <c r="EO310" s="6" t="str">
        <f>IFERROR(IF(OR(B310="",NOT(ISNUMBER(DX310))),"",1.05*(Uн_лин*1000/SQRT(3))/(_xlfn.XLOOKUP(A310,Щиты[Щит],Щиты[Zmax на шинах, Ом])+EL310)/1000),"")</f>
        <v/>
      </c>
      <c r="EP310" s="6" t="str">
        <f>IF(B310="","",IF(ISNUMBER(Y310),"Сил",IF(IFERROR(_xlfn.XLOOKUP(AX310,Коды_код,Коды_группа)&amp;"","")="","Быт",_xlfn.XLOOKUP(AX310,Коды_код,Коды_группа)&amp;"")))</f>
        <v>Быт</v>
      </c>
      <c r="EQ310" s="6" t="str">
        <f t="shared" si="547"/>
        <v>Пост</v>
      </c>
      <c r="ER310" s="6">
        <f>IF(EQ310="Щит","щит",IF(EQ310="","",IF(EQ310="Быт",IFERROR(_xlfn.XLOOKUP(A310,Щиты[Щит],Щиты[Кс быт]),1),IF(EQ310="Сил",IF(ISNUMBER(Y310),Y310,IF(Методика="нормы 2026",IFERROR(_xlfn.XLOOKUP(A310,Щиты[Щит],Щиты[Кс силовых (табл. 7.5)]),1),1)),IF(OR(EQ310="Пост",EQ310="Отоп"),1,IF(EQ310="ВНГ",0.7,0))))))</f>
        <v>1</v>
      </c>
      <c r="ES310">
        <f t="shared" si="548"/>
        <v>1</v>
      </c>
      <c r="ET310">
        <f t="shared" si="549"/>
        <v>1.5</v>
      </c>
      <c r="EU310">
        <f t="shared" si="550"/>
        <v>0</v>
      </c>
      <c r="EV310">
        <f t="shared" si="551"/>
        <v>0</v>
      </c>
      <c r="EW310">
        <f t="shared" si="552"/>
        <v>1.5</v>
      </c>
      <c r="EX310">
        <f t="shared" si="553"/>
        <v>0</v>
      </c>
      <c r="EY310">
        <f t="shared" si="554"/>
        <v>0</v>
      </c>
      <c r="EZ310">
        <f t="shared" si="555"/>
        <v>1.5</v>
      </c>
      <c r="FA310">
        <f t="shared" si="556"/>
        <v>1.4249999999999998</v>
      </c>
      <c r="FB310">
        <f t="shared" si="557"/>
        <v>1.5</v>
      </c>
      <c r="FC310" t="str">
        <f t="shared" si="558"/>
        <v>L2</v>
      </c>
      <c r="FD310" t="str">
        <f>IF(B310="","",IF(CA310=0,IF(AW310=1,"",FF309),IF(OR(N(CV310)&gt;=3,N(BR310)&gt;=3),"L1,L2,L3",IFERROR(_xlfn.TEXTBEFORE(_xlfn.TEXTAFTER(_xlfn.XLOOKUP(A310,Щиты[Щит],Щиты[_фазы авто]),";"&amp;AW310&amp;":"),";"),"L1"))))</f>
        <v>L1</v>
      </c>
      <c r="FE310" t="str">
        <f t="shared" si="559"/>
        <v>L2</v>
      </c>
      <c r="FF310" t="str">
        <f t="shared" si="560"/>
        <v>L2</v>
      </c>
      <c r="FG310" cm="1">
        <f t="array" ref="FG310">IFERROR(IF(BX310=2,_xlfn.IFS(BR310=3,VLOOKUP(BN310,Справочная_двигатели,3,FALSE),BR310=1,VLOOKUP(BN310,Справочная_двигатели,5,TRUE)),0),0)</f>
        <v>0</v>
      </c>
      <c r="FH310">
        <f>IFERROR(IF(BX310=3,VLOOKUP(BN310,Справочная_ЛЭД,2,TRUE),0),0)</f>
        <v>0</v>
      </c>
      <c r="FI310" s="6">
        <f t="shared" si="561"/>
        <v>0</v>
      </c>
      <c r="FJ310" t="str" cm="1">
        <f t="array" ref="FJ310">IF(B310="","",IFERROR(INDEX({"I особая","I","II","III"},MATCH(TRIM(AC310&amp;""),{"I особая","I","II","III"},0)),"III"))</f>
        <v>II</v>
      </c>
      <c r="FK310" t="str">
        <f>IF(B310="","",IF(TRIM(AD310&amp;"")&lt;&gt;"",IF(LOWER(TRIM(AD310&amp;""))="да","да","нет"),IF(IFERROR(_xlfn.XLOOKUP(AX310,Коды_код,Коды_пожарная),"")="да","да","нет")))</f>
        <v>нет</v>
      </c>
      <c r="FL310" t="str">
        <f t="shared" si="562"/>
        <v/>
      </c>
      <c r="FM310" t="str">
        <f t="shared" si="563"/>
        <v>основная</v>
      </c>
      <c r="FN310">
        <f t="shared" si="564"/>
        <v>1</v>
      </c>
      <c r="FO310" t="str" cm="1">
        <f t="array" ref="FO310">IF(B310="","",_xlfn.LET(_xlpm.t,IFERROR(_xlfn.XLOOKUP(1,(Шины[Шина]=FM310)*(((Шины[Щит]=A310)+(Шины[Щит]=""))&gt;0),Шины[Тип]),"")&amp;"",IF(_xlpm.t&lt;&gt;"",_xlpm.t,IF(ISNUMBER(SEARCH("ИБП",FM310)),"ИБП",IF(ISNUMBER(SEARCH("ДГУ",FM310)),"ДГУ","Ввод "&amp;FN310)))))</f>
        <v>Ввод 1</v>
      </c>
      <c r="FP310" t="str">
        <f t="shared" si="565"/>
        <v>Ввод 1</v>
      </c>
      <c r="FQ310" t="str">
        <f>IF(B310="","",IF(OR(FO310="ИБП",FO310="ДГУ"),"I особая",IF(FO310="Одиночная","III",_xlfn.XLOOKUP(A310,Щиты[Щит],Щиты[Категория шины «Ввод»],"III"))))</f>
        <v>II</v>
      </c>
      <c r="FR310">
        <f>IF(B310="",0,IFERROR(MATCH(FJ310,{"III","II","I","I особая"},0),1))</f>
        <v>2</v>
      </c>
      <c r="FS310">
        <f t="shared" si="566"/>
        <v>2</v>
      </c>
      <c r="FT310" t="str">
        <f>IF(B310="","",IF(FR310&gt;IFERROR(MATCH(FQ310,{"III","II","I","I особая"},0),1),"НЕ ОБЕСПЕЧЕНА","ОК"))</f>
        <v>ОК</v>
      </c>
      <c r="FU310" t="str">
        <f>IF(A310="","",_xlfn.XLOOKUP(A310,Щиты[Щит],Щиты[Путь],""))</f>
        <v>|ГРЩ-ЖД|ЩР-2|</v>
      </c>
      <c r="FV310" t="str">
        <f>IF(B310="","",IF(AE310&lt;&gt;"",AE310,IF(IFERROR(_xlfn.XLOOKUP(AX310,Коды_код,Коды_вид)&amp;"","")="","Прочее",_xlfn.XLOOKUP(AX310,Коды_код,Коды_вид)&amp;"")))</f>
        <v>Слаботочные системы, автоматизация, KNX</v>
      </c>
      <c r="FW310">
        <f>IF(BH310="","",INT((BH310-1)/Столбцов_на_лист)+1)</f>
        <v>3</v>
      </c>
      <c r="FX310" t="str">
        <f t="shared" si="567"/>
        <v>ВВГнг(А)-LS (3х2,5) L=38-1,94%</v>
      </c>
      <c r="FY310">
        <f t="shared" si="568"/>
        <v>1.5</v>
      </c>
      <c r="FZ310">
        <f t="shared" si="569"/>
        <v>6.84</v>
      </c>
      <c r="GA310">
        <f t="shared" si="570"/>
        <v>1</v>
      </c>
      <c r="GB310">
        <f t="shared" si="571"/>
        <v>0</v>
      </c>
      <c r="GC310">
        <f t="shared" si="572"/>
        <v>1</v>
      </c>
      <c r="GD310">
        <f>IF(BH310="","",IF(AND(CA310=1,GC310=1),COUNTIFS(A$3:A310,A310,CA$3:CA310,1,GC$3:GC310,1),IF(OR(OR(AW310=1,A310&lt;&gt;A309),AF310="вручную",GC310=0),"",IF(AW310=1,"",GE309))))</f>
        <v>27</v>
      </c>
      <c r="GE310">
        <f t="shared" si="573"/>
        <v>27</v>
      </c>
      <c r="GF310">
        <f>IF(B310="","",IFERROR(LOOKUP(INDEX(CHOOSE(DL310,Iдоп_1ж,Iдоп_2ж,Iдоп_3ж),MATCH(DX310,Iдоп_S,0))*DJ310*DK310,{6,10,16,20,25,32,40,50,63,80,100,125,160,200,250,315,400,500,630}),""))</f>
        <v>25</v>
      </c>
      <c r="GG310" t="str">
        <f t="shared" si="574"/>
        <v>QF27</v>
      </c>
      <c r="GH310" t="str">
        <f t="shared" si="575"/>
        <v>QF27</v>
      </c>
      <c r="GI310" t="str">
        <f t="shared" si="576"/>
        <v/>
      </c>
      <c r="GJ310">
        <f t="shared" si="577"/>
        <v>0</v>
      </c>
      <c r="GK310" t="str">
        <f>IF(OR(AG310="",AG310="-"),"",IFERROR(VLOOKUP(AG310,Модули_спр,2,FALSE),"R"))</f>
        <v/>
      </c>
      <c r="GL310" t="str">
        <f>IF(GK310="","",GK310&amp;"."&amp;COUNTIFS(A$3:A310,A310,GK$3:GK310,GK310))</f>
        <v/>
      </c>
      <c r="GM310" t="str">
        <f t="shared" si="578"/>
        <v/>
      </c>
      <c r="GN310" t="str">
        <f t="shared" si="579"/>
        <v/>
      </c>
      <c r="GO310" t="str">
        <f t="shared" si="580"/>
        <v/>
      </c>
      <c r="GP310" t="str">
        <f t="shared" si="581"/>
        <v/>
      </c>
      <c r="GQ310">
        <f t="shared" si="582"/>
        <v>1</v>
      </c>
      <c r="GR310" t="str">
        <f>IF(GQ310=1,"XT"&amp;COUNTIFS(A$3:A310,A310,GQ$3:GQ310,1),"")</f>
        <v>XT27</v>
      </c>
      <c r="GS310" t="str">
        <f t="shared" si="583"/>
        <v/>
      </c>
      <c r="GT310" t="str">
        <f t="shared" si="584"/>
        <v>QF27</v>
      </c>
      <c r="GU310" t="str">
        <f t="shared" si="585"/>
        <v/>
      </c>
      <c r="GV310" t="str">
        <f t="shared" si="586"/>
        <v>ok</v>
      </c>
      <c r="GW310" t="str">
        <f>IF(OR(GO310="",GM310=""),"",IF(GO310&gt;IFERROR(VLOOKUP(GN310,Модули_спр,3,FALSE),99),"ЛИШНИЙ КАНАЛ",IF(AND(AH310&lt;&gt;"=",COUNTIFS(Линии[_модуль гр.],GM310,Линии[Канал (итог)],GO310,Линии[Канал],"&lt;&gt;=",Линии[Щит],A310)&gt;1),"ДУБЛЬ КАНАЛА","")))</f>
        <v/>
      </c>
      <c r="GX310" s="6" t="str">
        <f t="shared" si="587"/>
        <v/>
      </c>
      <c r="GY310">
        <f t="shared" si="588"/>
        <v>10</v>
      </c>
      <c r="GZ310" t="str">
        <f t="shared" si="589"/>
        <v/>
      </c>
      <c r="HA310" t="str">
        <f>IF(AND(B310="",GT310=""),"",_xlfn.TEXTJOIN("; ",TRUE,IF(AND(B310&lt;&gt;"",FE310=""),"нет фазы",""),IF(AND(B310&lt;&gt;"",N(FY310)=0,EQ310&lt;&gt;"Нет"),"нет мощности",""),IF(AND(GS310&lt;&gt;"",COUNTIFS(Линии[Щит],A310,Линии[Клемма (итог)],GS310)&gt;1),"дубль клеммы "&amp;GS310,""),IF(AND(GV310&lt;&gt;"",GV310&lt;&gt;"ok"),GV310,""),IF(GW310&lt;&gt;"",GW310,""),IF(AND(N(BV310)&gt;=4,N(BR310)=1),BV310&amp;" жил на 1 фазе",""),IF(AND(AX310="R",CA310=1,OR(N(CK310)=0,N(CK310)&gt;30)),"розетка без дифзащиты до 30 мА",""),IFERROR(IF(AND(ISNUMBER(R310),R310&gt;DV310),"потери "&amp;FIXED(R310,1)&amp;" % &gt; "&amp;DV310&amp;" %",""),""),IFERROR(IF(LEFT(GZ310,4)="мало","Iкз мало — отключение &gt; 0,4 с",""),""),IF(AND(B310&lt;&gt;"",BH310=""),"не на схеме",""),IF(AND(CA310=0,B310&lt;&gt;"",FE310&lt;&gt;"",IF(AW310=1,"",FF309)&lt;&gt;"",FE310&lt;&gt;IF(AW310=1,"",FF309)),"фаза не как у автомата группы ("&amp;IF(AW310=1,"",FF309)&amp;")","")))</f>
        <v/>
      </c>
      <c r="HB310" s="6">
        <f>IF(OR(CA310=0,DA310=""),"",_xlfn.LET(_xlpm.t,IFERROR(_xlfn.XLOOKUP(DA310,Каталог!$U$4:$U$500,Каталог!$G$4:$G$500),""),_xlpm.k,SEARCH("кА",_xlpm.t),IFERROR(--TRIM(RIGHT(SUBSTITUTE(MID(_xlpm.t,MAX(1,_xlpm.k-4),_xlpm.k-MAX(1,_xlpm.k-4))," ",REPT(" ",9)),5)),"")))</f>
        <v>6</v>
      </c>
      <c r="HC310" t="str">
        <f>IF(OR(HB310="",CA310=0),"",IF(_xlfn.XLOOKUP(A310,Щиты[Щит],Щиты[Iкз max на шинах, кА],"")="","",IF(HB310&lt;_xlfn.XLOOKUP(A310,Щиты[Щит],Щиты[Iкз max на шинах, кА]),"Icu "&amp;HB310&amp;" кА &lt; Iкз max","ok")))</f>
        <v/>
      </c>
      <c r="HD310" t="str">
        <f t="shared" si="590"/>
        <v/>
      </c>
      <c r="HE310" t="str">
        <f t="shared" si="591"/>
        <v>QF27</v>
      </c>
      <c r="HF310" t="str">
        <f t="shared" si="592"/>
        <v>QF27|кабель ВВГнг(А)-LS (3х2,5) → Шкаф телекоммуникационный ШТК-2  Тех. Этаж Пом №004T</v>
      </c>
      <c r="HG310" t="str" cm="1">
        <f t="array" ref="HG310">IF(HF310="","",_xlfn.LET(_xlpm.nd,_xlfn.TEXTSPLIT(HF310,"|"),IF(COLUMNS(_xlpm.nd)&gt;1,A310&amp;"¦"&amp;INDEX(_xlpm.nd,1)&amp;"¦"&amp;INDEX(_xlpm.nd,2),"")))</f>
        <v>ЩР-2¦QF27¦кабель ВВГнг(А)-LS (3х2,5) → Шкаф телекоммуникационный ШТК-2  Тех. Этаж Пом №004T</v>
      </c>
      <c r="HH310" t="str">
        <f t="shared" si="593"/>
        <v>ШТК-2¦Шкаф телекоммуникационный ШТК-2  Тех. Этаж Пом №004T</v>
      </c>
      <c r="HI310" t="str" cm="1">
        <f t="array" ref="HI310">IF(HF310="","",_xlfn.LET(_xlpm.nd,_xlfn.TEXTSPLIT(HF310,"|"),IF(COLUMNS(_xlpm.nd)&gt;2,A310&amp;"¦"&amp;INDEX(_xlpm.nd,2)&amp;"¦"&amp;INDEX(_xlpm.nd,3),"")))</f>
        <v/>
      </c>
      <c r="HJ310" t="str">
        <f t="shared" si="594"/>
        <v/>
      </c>
      <c r="HK310" t="str" cm="1">
        <f t="array" ref="HK310">IF(HF310="","",_xlfn.LET(_xlpm.nd,_xlfn.TEXTSPLIT(HF310,"|"),IF(COLUMNS(_xlpm.nd)&gt;3,A310&amp;"¦"&amp;INDEX(_xlpm.nd,3)&amp;"¦"&amp;INDEX(_xlpm.nd,4),"")))</f>
        <v/>
      </c>
      <c r="HL310" t="str">
        <f t="shared" si="595"/>
        <v/>
      </c>
      <c r="HM310" t="str" cm="1">
        <f t="array" ref="HM310">IF(HF310="","",_xlfn.LET(_xlpm.nd,_xlfn.TEXTSPLIT(HF310,"|"),IF(COLUMNS(_xlpm.nd)&gt;4,A310&amp;"¦"&amp;INDEX(_xlpm.nd,4)&amp;"¦"&amp;INDEX(_xlpm.nd,5),"")))</f>
        <v/>
      </c>
      <c r="HN310" t="str">
        <f t="shared" si="596"/>
        <v/>
      </c>
      <c r="HO310" t="str" cm="1">
        <f t="array" ref="HO310">IF(HF310="","",_xlfn.LET(_xlpm.nd,_xlfn.TEXTSPLIT(HF310,"|"),IF(COLUMNS(_xlpm.nd)&gt;5,A310&amp;"¦"&amp;INDEX(_xlpm.nd,5)&amp;"¦"&amp;INDEX(_xlpm.nd,6),"")))</f>
        <v/>
      </c>
      <c r="HP310" t="str">
        <f t="shared" si="597"/>
        <v/>
      </c>
      <c r="HQ310" t="str" cm="1">
        <f t="array" ref="HQ310">IF(HF310="","",_xlfn.LET(_xlpm.nd,_xlfn.TEXTSPLIT(HF310,"|"),IF(COLUMNS(_xlpm.nd)&gt;6,A310&amp;"¦"&amp;INDEX(_xlpm.nd,6)&amp;"¦"&amp;INDEX(_xlpm.nd,7),"")))</f>
        <v/>
      </c>
      <c r="HR310" t="str">
        <f t="shared" si="598"/>
        <v/>
      </c>
      <c r="HS310" t="str">
        <f t="shared" si="599"/>
        <v/>
      </c>
      <c r="HT310" t="str">
        <f t="shared" si="600"/>
        <v>QF27</v>
      </c>
      <c r="HU310">
        <f t="shared" si="601"/>
        <v>0</v>
      </c>
      <c r="HV310">
        <f t="shared" si="602"/>
        <v>0</v>
      </c>
      <c r="HW310" t="str">
        <f t="shared" si="603"/>
        <v/>
      </c>
      <c r="HX310" t="str">
        <f t="shared" si="604"/>
        <v/>
      </c>
      <c r="HY310" t="str">
        <f t="shared" si="605"/>
        <v/>
      </c>
      <c r="HZ310" t="str">
        <f t="shared" si="606"/>
        <v/>
      </c>
      <c r="IA310" t="str">
        <f>IF(B310="","",IFERROR(VLOOKUP(B310,УГО_спр,2,FALSE),IFERROR(VLOOKUP(AX310,УГО_спр,2,FALSE),IFERROR(VLOOKUP(LEFT(AX310,2),УГО_спр,2,FALSE),""))))</f>
        <v/>
      </c>
      <c r="IB310" t="str">
        <f>IF(B310="","",IF(OR(IA310="",IA310=0),"BOX",IFERROR(IF(VLOOKUP(IA310,УГО_блоки,3,FALSE)&amp;""&lt;&gt;"",VLOOKUP(IA310,УГО_блоки,3,FALSE),VLOOKUP(IA310,УГО_блоки,2,FALSE)),IA310)))</f>
        <v>BOX</v>
      </c>
      <c r="IC310">
        <f t="shared" si="607"/>
        <v>1</v>
      </c>
      <c r="ID310" t="str">
        <f>IF(DA310="","",IF(COUNTIF(DA$3:DA310,DA310)=1,MAX(ID$2:ID309)+1,""))</f>
        <v/>
      </c>
      <c r="IE310" t="str">
        <f>IF(CO310="","",IF(COUNTIF(CO$3:CO310,CO310)+COUNTIF(CP$2:CP309,CO310)+COUNTIF(CQ$2:CQ309,CO310)=1,MAX(IE$2:IG309)+1,""))</f>
        <v/>
      </c>
      <c r="IF310" t="str">
        <f>IF(CP310="","",IF(COUNTIF(CO$3:CO310,CP310)+COUNTIF(CP$3:CP310,CP310)+COUNTIF(CQ$2:CQ309,CP310)=1,MAX(IE$2:IG309,IE310)+1,""))</f>
        <v/>
      </c>
      <c r="IG310" t="str">
        <f>IF(CQ310="","",IF(COUNTIF(CO$3:CO310,CQ310)+COUNTIF(CP$3:CP310,CQ310)+COUNTIF(CQ$3:CQ310,CQ310)=1,MAX(IE$2:IG309,IE310,IF310)+1,""))</f>
        <v/>
      </c>
      <c r="IH310" t="str">
        <f t="shared" si="608"/>
        <v>3х2,5</v>
      </c>
      <c r="II310" t="str">
        <f>IF(IH310="","",IF(COUNTIF(IH$3:IH310,IH310)=1,MAX(II$2:II309)+1,""))</f>
        <v/>
      </c>
      <c r="IJ310" t="str">
        <f>IF(GL310="","",COUNTIF(GL$3:GL310,"?*"))</f>
        <v/>
      </c>
      <c r="IK310" t="str">
        <f>IF(OR(GL310="",GN310=""),"",IF(COUNTIFS(GL$3:GL310,"?*",GN$3:GN310,GN310)=1,MAX(IK$2:IK309)+1,""))</f>
        <v/>
      </c>
      <c r="IL310">
        <f t="shared" si="609"/>
        <v>0</v>
      </c>
      <c r="IM310">
        <f>IF(B310="","",COUNTIF(B$3:B310,"?*"))</f>
        <v>308</v>
      </c>
      <c r="IN310">
        <f>IF(GQ310&lt;&gt;1,0,_xlfn.LET(_xlpm.k,MAX(IFERROR(--VLOOKUP(B310,УГО_спр,5,FALSE),0),IFERROR(--VLOOKUP(AX310,УГО_спр,5,FALSE),0),IFERROR(--VLOOKUP(LEFT(AX310,2),УГО_спр,5,FALSE),0)),IF(_xlpm.k&gt;0,_xlpm.k,IF(IFERROR(--LEFT(SUBSTITUTE(IH310,"x","х"),FIND("х",SUBSTITUTE(IH310,"x","х"))-1),3)&gt;3,Каталог!$S$9,1))))</f>
        <v>1</v>
      </c>
      <c r="IO310">
        <f t="shared" si="610"/>
        <v>0</v>
      </c>
      <c r="IP310" t="str">
        <f t="shared" si="611"/>
        <v>авто</v>
      </c>
      <c r="IQ310" t="str">
        <f t="shared" si="612"/>
        <v/>
      </c>
      <c r="IR310">
        <f t="shared" si="613"/>
        <v>0</v>
      </c>
      <c r="IS310">
        <f t="shared" si="614"/>
        <v>1</v>
      </c>
    </row>
    <row r="311" spans="1:253" x14ac:dyDescent="0.3">
      <c r="A311" t="s">
        <v>761</v>
      </c>
      <c r="B311" t="s">
        <v>1575</v>
      </c>
      <c r="C311" t="s">
        <v>1684</v>
      </c>
      <c r="D311">
        <v>1</v>
      </c>
      <c r="E311">
        <v>2.7</v>
      </c>
      <c r="G311">
        <v>16</v>
      </c>
      <c r="H311" t="str">
        <f>Линии[[#This Row],[_авто утечка]]</f>
        <v/>
      </c>
      <c r="I311" t="str">
        <f>Линии[[#This Row],[_авто управление]]</f>
        <v/>
      </c>
      <c r="J311" t="str">
        <f>Линии[[#This Row],[_авто аппараты]]</f>
        <v/>
      </c>
      <c r="K311">
        <v>2.5</v>
      </c>
      <c r="L311">
        <v>36</v>
      </c>
      <c r="M311">
        <v>1</v>
      </c>
      <c r="N311" t="s">
        <v>486</v>
      </c>
      <c r="O311" t="str">
        <f t="shared" si="492"/>
        <v>потери 5,4 % &gt; 4 %</v>
      </c>
      <c r="P311" s="6" cm="1">
        <f t="array" ref="P311">IF(B311="","",IF(BC311&lt;&gt;"",IFERROR(_xlfn.XLOOKUP(BC311,Щиты[Щит],Щиты[Iр, А]),""),IF(BK311=1,IFERROR(_xlfn.XLOOKUP(A311,Щиты[Щит],Щиты[Iр, А]),""),IFERROR(_xlfn.IFS(BR311=1,BN311/((Uн_лин/SQRT(3))*BY311),BR311=3,BN311/(SQRT(3)*Uн_лин*BY311)),""))))</f>
        <v>12.306676790620971</v>
      </c>
      <c r="Q311" s="7">
        <f>IF(B311="","",IFERROR(IF(VLOOKUP(AX311,Потребители_обозначение,4,FALSE)=1,VLOOKUP(AX311,Потребители_обозначение,3,FALSE)*(D311*2-1)+DS311+VLOOKUP(AZ311,Этаж_обозначение,3,FALSE)+VLOOKUP(AZ311,Этаж_обозначение,4,FALSE),VLOOKUP(AX311,Потребители_обозначение,3,FALSE)*(D311*2-1)+DS311),DS311))</f>
        <v>39</v>
      </c>
      <c r="R311" s="6">
        <f t="shared" si="493"/>
        <v>5.3599999999999994</v>
      </c>
      <c r="S311" t="str">
        <f t="shared" si="494"/>
        <v>ВВГнг(А)-LS (3х2,5)</v>
      </c>
      <c r="T311" t="str">
        <f>IF(BH311="","",IF(BI311="вводной узел","узел ","")&amp;"л."&amp;(INT((BH311-1)/Столбцов_на_лист)+1)&amp;" / "&amp;(MOD(BH311-1,Столбцов_на_лист)+1))</f>
        <v>л.3 / 16</v>
      </c>
      <c r="V311">
        <v>1</v>
      </c>
      <c r="W311">
        <v>230</v>
      </c>
      <c r="X311" t="s">
        <v>575</v>
      </c>
      <c r="AC311" t="s">
        <v>815</v>
      </c>
      <c r="AE311" t="s">
        <v>574</v>
      </c>
      <c r="AI311">
        <v>50</v>
      </c>
      <c r="AJ311" t="s">
        <v>11</v>
      </c>
      <c r="AK311">
        <v>3</v>
      </c>
      <c r="AN311">
        <v>33</v>
      </c>
      <c r="AP311">
        <v>1</v>
      </c>
      <c r="AW311" cm="1">
        <f t="array" ref="AW311">ROW()-ROW(Линии[#Headers])</f>
        <v>309</v>
      </c>
      <c r="AX311" s="6" t="str">
        <f t="shared" si="495"/>
        <v>ШТК-ЛВС</v>
      </c>
      <c r="AY311" t="str">
        <f t="shared" si="496"/>
        <v>3</v>
      </c>
      <c r="AZ311" t="str">
        <f t="shared" si="497"/>
        <v>3</v>
      </c>
      <c r="BA311" t="str">
        <f t="shared" si="498"/>
        <v/>
      </c>
      <c r="BB311" t="str">
        <f t="shared" si="499"/>
        <v/>
      </c>
      <c r="BC311" t="str">
        <f>IF(U311&lt;&gt;"",U311,IF(AND(B311&lt;&gt;"",B311&lt;&gt;A311,ISNUMBER(_xlfn.XMATCH(B311,Щиты[Щит]))),B311,""))</f>
        <v/>
      </c>
      <c r="BD311" t="str" cm="1">
        <f t="array" ref="BD311">IF(B311="","",IF(BC311&lt;&gt;"","Щит "&amp;BC311,_xlfn.LET(_xlpm.nm,IFERROR(_xlfn.XLOOKUP(AX311,Коды_код,Коды_имя)&amp;"",""),_xlpm.md,IFERROR(N(_xlfn.XLOOKUP(AX311,Коды_код,Коды_режим)),1),_xlpm.ex,IF(Имя_режим="по экспликации",IFERROR(_xlfn.XLOOKUP(AZ311&amp;"|"&amp;BB311,Экспликация[Этаж]&amp;"|"&amp;Экспликация[Помещение],Экспликация[Название])&amp;"",""),""),_xlpm.rm,IF(BB311="","",IF(_xlpm.ex&lt;&gt;"",". "&amp;_xlpm.ex&amp;IF(Имя_пом="нет"," ("&amp;BB311&amp;")"," (пом. "&amp;BB311&amp;")"),IF(Имя_пом="нет"," ",", пом. ")&amp;BB311)),IF(_xlpm.nm="","",IF(_xlpm.md=2,_xlpm.nm&amp;" шлейф "&amp;AZ311,_xlpm.nm&amp;_xlpm.rm)))))</f>
        <v>Шкаф телекоммуникационный ЛВС шлейф 3</v>
      </c>
      <c r="BE311" t="str">
        <f t="shared" si="500"/>
        <v>Шкаф телекоммуникационный ШТК-2  Тех. Этаж Пом №004T</v>
      </c>
      <c r="BF311">
        <f>IFERROR(_xlfn.XMATCH(A311,Щиты[Щит]),0)</f>
        <v>11</v>
      </c>
      <c r="BG311">
        <f>_xlfn.LET(_xlpm.k,IFERROR(_xlfn.XLOOKUP(A311,Щиты[Щит],Щиты[Листов под вводной узел]),""),IF(_xlpm.k="",1,N(_xlpm.k))*Столбцов_на_лист)</f>
        <v>17</v>
      </c>
      <c r="BH311">
        <f t="shared" si="501"/>
        <v>50</v>
      </c>
      <c r="BI311" t="str">
        <f t="shared" si="502"/>
        <v>линии</v>
      </c>
      <c r="BJ311" s="6">
        <f>IFERROR(N(_xlfn.XLOOKUP(AX311,Коды_код,Коды_квт)),0)</f>
        <v>0</v>
      </c>
      <c r="BK311">
        <f t="shared" si="503"/>
        <v>0</v>
      </c>
      <c r="BL311" t="str">
        <f>IF(B311="","",IF(BC311&lt;&gt;"",IFERROR(_xlfn.XLOOKUP(BC311,Щиты[Щит],Щиты[Руст, кВт]),0),IF(BK311=1,IFERROR(_xlfn.XLOOKUP(A311,Щиты[Щит],Щиты[Руст, кВт]),0),IF(BJ311&gt;0,ROUND(BJ311*MAX(1,N(D311)),3),""))))</f>
        <v/>
      </c>
      <c r="BM311">
        <f t="shared" si="504"/>
        <v>2.7</v>
      </c>
      <c r="BN311" s="6">
        <f>IF(B311="","",IF(BC311&lt;&gt;"",IFERROR(_xlfn.XLOOKUP(BC311,Щиты[Щит],Щиты[Руст, кВт]),0),N(BM311)))</f>
        <v>2.7</v>
      </c>
      <c r="BO311" t="str">
        <f>IF(B311="","",IFERROR(IF(VLOOKUP(AX311,Потребители_обозначение,8,FALSE)=0,"",VLOOKUP(AX311,Потребители_обозначение,8,FALSE)),""))</f>
        <v/>
      </c>
      <c r="BP311">
        <f t="shared" si="505"/>
        <v>230</v>
      </c>
      <c r="BQ311">
        <f>IF(B311="","",IF(BC311&lt;&gt;"",3,IFERROR(IF(N(VLOOKUP(AX311,Потребители_обозначение,9,FALSE))=0,1,VLOOKUP(AX311,Потребители_обозначение,9,FALSE)),1)))</f>
        <v>1</v>
      </c>
      <c r="BR311">
        <f t="shared" si="506"/>
        <v>1</v>
      </c>
      <c r="BS311" t="str">
        <f>IF(B311="","",_xlfn.LET(_xlpm.bc,IFERROR(IF(VLOOKUP(AX311,Потребители_обозначение,6,FALSE)=0,"",VLOOKUP(AX311,Потребители_обозначение,6,FALSE)&amp;""),""),IF(AND(FK311="да",OR(_xlpm.bc="",_xlpm.bc="мс")),Марка_пож,IF(AND(_xlpm.bc="",BC311&lt;&gt;""),"мс",_xlpm.bc))))</f>
        <v/>
      </c>
      <c r="BT311" t="str">
        <f t="shared" si="507"/>
        <v>мс</v>
      </c>
      <c r="BU311">
        <f>IF(B311="","",_xlfn.LET(_xlpm.cc,IFERROR(N(VLOOKUP(AX311,Потребители_обозначение,7,FALSE)),0),IF(_xlpm.cc&gt;0,_xlpm.cc,IF(BT311="","",IF(N(BR311)=3,5,3)))))</f>
        <v>3</v>
      </c>
      <c r="BV311">
        <f t="shared" si="508"/>
        <v>3</v>
      </c>
      <c r="BW311">
        <f>IFERROR(N(VLOOKUP(AX311,Потребители_обозначение,10,FALSE)),0)</f>
        <v>0</v>
      </c>
      <c r="BX311">
        <f>IFERROR(VLOOKUP(AX311,Потребители_обозначение,5,FALSE),0)</f>
        <v>1</v>
      </c>
      <c r="BY311" s="6" cm="1">
        <f t="array" ref="BY311">IF(B311="","",IF(BC311&lt;&gt;"",IFERROR(_xlfn.XLOOKUP(BC311,Щиты[Щит],Щиты[cos φ]),0.95),IF(BK311=1,IFERROR(_xlfn.XLOOKUP(A311,Щиты[Щит],Щиты[cos φ]),0.95),IF(ISNUMBER(Z311),Z311,IFERROR(IF(BX311=2,_xlfn.IFS(BR311=3,VLOOKUP(BN311,Справочная_двигатели,8,FALSE),BR311=1,VLOOKUP(BN311,Справочная_двигатели,10,TRUE)),IF(AND(Методика="нормы 2026",EQ311="Сил"),0.8,0.95)),0.95)))))</f>
        <v>0.95</v>
      </c>
      <c r="BZ311">
        <f t="shared" si="509"/>
        <v>0</v>
      </c>
      <c r="CA311">
        <f t="shared" si="510"/>
        <v>1</v>
      </c>
      <c r="CB311">
        <f t="shared" si="511"/>
        <v>0</v>
      </c>
      <c r="CC311">
        <f t="shared" si="512"/>
        <v>0</v>
      </c>
      <c r="CD311">
        <f t="shared" si="513"/>
        <v>0</v>
      </c>
      <c r="CE311">
        <f t="shared" si="514"/>
        <v>0</v>
      </c>
      <c r="CF311">
        <f t="shared" si="515"/>
        <v>0</v>
      </c>
      <c r="CG311">
        <f>IF(AX311="",0,_xlfn.LET(_xlpm.v,IFERROR(VLOOKUP(B311,УГО_спр,3,FALSE),IFERROR(VLOOKUP(AX311,УГО_спр,3,FALSE),IFERROR(VLOOKUP(LEFT(AX311,2),УГО_спр,3,FALSE),""))),IF(_xlpm.v="да",30,IF(ISNUMBER(_xlpm.v),_xlpm.v,0))))</f>
        <v>0</v>
      </c>
      <c r="CH311" t="str">
        <f t="shared" si="516"/>
        <v/>
      </c>
      <c r="CI311" t="str">
        <f>_xlfn.LET(_xlpm.k,IFERROR(_xlfn.XLOOKUP(AX311,Коды_код,Коды_утечка)&amp;"",""),IF(_xlpm.k="","дифавтомат",_xlpm.k))</f>
        <v>дифавтомат</v>
      </c>
      <c r="CJ311">
        <f t="shared" si="517"/>
        <v>0</v>
      </c>
      <c r="CK311">
        <f t="shared" si="518"/>
        <v>0</v>
      </c>
      <c r="CL311">
        <f>IF(B311="",0,IFERROR(--VLOOKUP(B311,УГО_спр,4,FALSE),IFERROR(--VLOOKUP(AX311,УГО_спр,4,FALSE),IFERROR(--VLOOKUP(LEFT(AX311,2),УГО_спр,4,FALSE),0))))</f>
        <v>0</v>
      </c>
      <c r="CM311" t="str">
        <f>IF(B311="","",IFERROR(_xlfn.XLOOKUP(AX311,Коды_код,Коды_апп)&amp;"",""))</f>
        <v/>
      </c>
      <c r="CN311" t="str">
        <f t="shared" si="519"/>
        <v/>
      </c>
      <c r="CO311" t="str" cm="1">
        <f t="array" ref="CO311">IF(TRIM(CN311&amp;"")="","",IFERROR(TRIM(INDEX(_xlfn.TEXTSPLIT(CN311&amp;";;;",";"),1)),""))</f>
        <v/>
      </c>
      <c r="CP311" t="str" cm="1">
        <f t="array" ref="CP311">IF(TRIM(CN311&amp;"")="","",IFERROR(TRIM(INDEX(_xlfn.TEXTSPLIT(CN311&amp;";;;",";"),2)),""))</f>
        <v/>
      </c>
      <c r="CQ311" t="str" cm="1">
        <f t="array" ref="CQ311">IF(TRIM(CN311&amp;"")="","",IFERROR(TRIM(INDEX(_xlfn.TEXTSPLIT(CN311&amp;";;;",";"),3)),""))</f>
        <v/>
      </c>
      <c r="CR311">
        <f t="shared" si="520"/>
        <v>0</v>
      </c>
      <c r="CS311" t="str">
        <f>IF(B311="","",_xlfn.LET(_xlpm.t,LOWER(AV311&amp;""),IF(ISNUMBER(SEARCH("dim",_xlpm.t)),"DIM",IF(ISNUMBER(SEARCH("dali",_xlpm.t)),"DALI",IF(OR(ISNUMBER(SEARCH("relay",_xlpm.t)),ISNUMBER(SEARCH("реле",_xlpm.t))),"Relay",IF(ISNUMBER(SEARCH("кнопк",_xlpm.t)),"",IFERROR(_xlfn.XLOOKUP(AX311,Коды_код,Коды_упр)&amp;"","")))))))</f>
        <v/>
      </c>
      <c r="CT311" t="str">
        <f t="shared" si="521"/>
        <v/>
      </c>
      <c r="CU311">
        <f>IF(B311="","",_xlfn.LET(_xlpm.ig,N(P311)+IF(AF311="вручную",0,N(CB311)),_xlpm.n0,IFERROR(VLOOKUP(_xlpm.ig,Автомат_номиналы,2,TRUE),0),_xlpm.mn,MAX(CL311,IF(AF311="вручную",0,N(CE311))),MAX(_xlpm.n0,_xlpm.mn,IF(CR311=1,Мин_автомат_БП,0))))</f>
        <v>16</v>
      </c>
      <c r="CV311">
        <f t="shared" si="522"/>
        <v>1</v>
      </c>
      <c r="CW311" t="str">
        <f t="shared" si="523"/>
        <v>1P</v>
      </c>
      <c r="CX311" t="str">
        <f>_xlfn.LET(_xlpm.cc,UPPER(TRIM(IFERROR(_xlfn.XLOOKUP(AX311,Коды_код,Коды_хар)&amp;"",""))),IF(OR(_xlpm.cc="B",_xlpm.cc="В"),"B",IF(_xlpm.cc="D","D","С")))</f>
        <v>С</v>
      </c>
      <c r="CY311" t="str">
        <f t="shared" si="524"/>
        <v>1P С16А</v>
      </c>
      <c r="CZ311">
        <f t="shared" si="525"/>
        <v>16</v>
      </c>
      <c r="DA311" t="str">
        <f t="shared" si="526"/>
        <v>1P С16А</v>
      </c>
      <c r="DB311" cm="1">
        <f t="array" ref="DB311">IF(DA311="","",_xlfn.LET(_xlpm.t,SUBSTITUTE(SUBSTITUTE(SUBSTITUTE(UPPER(DA311),"С","C"),"А","A"),"В","B"),_xlpm.tk,_xlfn.TEXTSPLIT(_xlpm.t,"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1" t="str">
        <f t="shared" si="527"/>
        <v>ok</v>
      </c>
      <c r="DD311">
        <f t="shared" si="528"/>
        <v>16</v>
      </c>
      <c r="DE311" t="str">
        <f t="shared" si="529"/>
        <v>1P С16А</v>
      </c>
      <c r="DF311">
        <f t="shared" si="530"/>
        <v>0</v>
      </c>
      <c r="DG311">
        <f t="shared" si="531"/>
        <v>0</v>
      </c>
      <c r="DH311">
        <f t="shared" si="532"/>
        <v>0</v>
      </c>
      <c r="DI311">
        <f t="shared" si="533"/>
        <v>12.306676790620971</v>
      </c>
      <c r="DJ311">
        <f t="shared" si="534"/>
        <v>1</v>
      </c>
      <c r="DK311">
        <f>IF(ISNUMBER(AL311),AL311,К_прокл)</f>
        <v>1</v>
      </c>
      <c r="DL311">
        <f t="shared" si="535"/>
        <v>2</v>
      </c>
      <c r="DM311">
        <f>IFERROR(N(VLOOKUP(BT311,Кабель_обозначение,3,FALSE)),1)</f>
        <v>1</v>
      </c>
      <c r="DN311">
        <f>IFERROR(N(_xlfn.XLOOKUP(A311,Щиты[Щит],Щиты[ΔU до шин, %])),0)</f>
        <v>1.79</v>
      </c>
      <c r="DO311" t="str">
        <f>IFERROR(_xlfn.XLOOKUP(A311,Щиты[Щит],Щиты[Zпетли на шинах, Ом]),"")</f>
        <v/>
      </c>
      <c r="DP311">
        <f>IFERROR(N(_xlfn.XLOOKUP(A311,Щиты[Щит],Щиты[ΔU до шин (подбор), %])),0)</f>
        <v>4.75</v>
      </c>
      <c r="DQ311" t="str">
        <f>IFERROR(_xlfn.XLOOKUP(A311,Щиты[Щит],Щиты[Zпетли на шинах (подбор), Ом]),"")</f>
        <v/>
      </c>
      <c r="DR311" t="str">
        <f t="shared" si="536"/>
        <v/>
      </c>
      <c r="DS311">
        <f t="shared" si="537"/>
        <v>36</v>
      </c>
      <c r="DT311">
        <f t="shared" si="538"/>
        <v>2</v>
      </c>
      <c r="DU311">
        <f t="shared" si="539"/>
        <v>0.31</v>
      </c>
      <c r="DV311" s="6">
        <f>IF(B311="","",IF(IFERROR(VLOOKUP(AX311,УГО_спр,2,FALSE),"")="Светильник",3,4)+IF(Методика="нормы 2026",MIN(0.5,MAX(0,N(Q311)-100)*0.005),0))</f>
        <v>4</v>
      </c>
      <c r="DW311" t="str" cm="1">
        <f t="array" ref="DW311">IF(OR(B311="",BT311="",DM311&lt;&gt;1),"",_xlfn.LET(_xlpm.sz,Iдоп_S,_xlpm.t_,CHOOSE(DL311,Iдоп_1ж,Iдоп_2ж,Iдоп_3ж)*DJ311*DK311,_xlpm.inn,N(DD311),_xlpm.smin,MAX(1.5,BW311),_xlpm.L_,N(Q311)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311)*(_xlpm.rho*_xlpm.L_/_xlpm.sz*N(BY311)+_xlpm.xx*_xlpm.L_*N(DU311)/1000)*N(P311)/((Uн_лин/SQRT(3))*1000)*100,999),_xlpm.kz,IF(OR(DG311=1,NOT(ISNUMBER(DQ311)),_xlpm.L_=0,_xlpm.inn=0),1,IFERROR(--(c_min*(Uн_лин*1000/SQRT(3))/(DQ311+2*ρкз_Cu*_xlpm.L_/_xlpm.sz)&gt;=GY311*_xlpm.inn),0)),_xlpm.ok,IFERROR((_xlpm.sz&gt;=_xlpm.smin)*(_xlpm.t_&gt;=_xlpm.inn)*IF(_xlpm.L_&gt;0,(_xlpm.du_+DP311&lt;=DV311+0.00001),1)*_xlpm.kz,0),_xlpm.r_,_xlfn._xlws.FILTER(_xlpm.sz,_xlpm.ok,"не подобрано"),INDEX(_xlpm.r_,1)))</f>
        <v>не подобрано</v>
      </c>
      <c r="DX311">
        <f t="shared" si="540"/>
        <v>2.5</v>
      </c>
      <c r="DY311" cm="1">
        <f t="array" ref="DY311">IF(OR(B311="",BT311="",DM311&lt;&gt;1),"",_xlfn.LET(_xlpm.sz,Iдоп_S,_xlpm.t_,CHOOSE(DL311,Iдоп_1ж,Iдоп_2ж,Iдоп_3ж)*DJ311*DK311,_xlpm.ok,IFERROR((_xlpm.sz&gt;=MAX(1.5,BW311))*(_xlpm.t_&gt;=N(DD311)),0),_xlpm.r_,_xlfn._xlws.FILTER(_xlpm.sz,_xlpm.ok,""),INDEX(_xlpm.r_,1)))</f>
        <v>1.5</v>
      </c>
      <c r="DZ311" s="6" cm="1">
        <f t="array" ref="DZ311">IFERROR(ROUNDUP(N(DT311)*(_xlfn.XLOOKUP(DY311,INDEX(Кабель_сопротивление,0,1),INDEX(Кабель_сопротивление,0,3))*N(Q311)/DY311*N(BY311)+_xlfn.XLOOKUP(DY311,INDEX(Кабель_сопротивление,0,1),INDEX(Кабель_сопротивление,0,2))*N(Q311)*N(DU311)/1000)*N(P311)/((Uн_лин/SQRT(3))*1000)*100,2),"")</f>
        <v>5.9399999999999995</v>
      </c>
      <c r="EA311">
        <f>IFERROR(2*ρкз_Cu*N(Q311)/DY311,"")</f>
        <v>1.3676000000000001</v>
      </c>
      <c r="EB311">
        <f>IFERROR(VLOOKUP(DX311,Кабель_сопротивление,3,FALSE),"")</f>
        <v>2.2499999999999999E-2</v>
      </c>
      <c r="EC311">
        <f>IFERROR(VLOOKUP(DX311,Кабель_сопротивление,2,FALSE),"")</f>
        <v>0.1</v>
      </c>
      <c r="ED311">
        <f t="shared" si="541"/>
        <v>33</v>
      </c>
      <c r="EE311">
        <f t="shared" si="542"/>
        <v>0</v>
      </c>
      <c r="EF311">
        <f t="shared" si="543"/>
        <v>8.2370802961448462</v>
      </c>
      <c r="EG311" s="6">
        <f>IFERROR(ROUNDUP(EF311/((Uн_лин/SQRT(3))*1000)*100,2),"")</f>
        <v>3.57</v>
      </c>
      <c r="EH311" t="str">
        <f>IFERROR(VLOOKUP(BT311,Кабель_обозначение,2,FALSE),"")</f>
        <v>ВВГнг(А)-LS</v>
      </c>
      <c r="EI311" t="str">
        <f t="shared" si="544"/>
        <v>ВВГнг(А)-LS (3х2,5)</v>
      </c>
      <c r="EJ311" t="str">
        <f t="shared" si="545"/>
        <v>ВВГнг(А)-LS (3х2,5)
L=39-3,57%</v>
      </c>
      <c r="EK311">
        <f>IFERROR(2*ρкз_Cu*Q311/DX311,"")</f>
        <v>0.82056000000000007</v>
      </c>
      <c r="EL311">
        <f t="shared" si="546"/>
        <v>0.27300000000000002</v>
      </c>
      <c r="EM311" s="6" t="str">
        <f>IFERROR(IF(OR(B311="",NOT(ISNUMBER(DX311)),N(Q311)=0),"",_xlfn.XLOOKUP(A311,Щиты[Щит],Щиты[Zпетли на шинах, Ом])+EK311),"")</f>
        <v/>
      </c>
      <c r="EN311" s="6" t="str">
        <f>IF(ISNUMBER(EM311),c_min*(Uн_лин*1000/SQRT(3))/EM311,"")</f>
        <v/>
      </c>
      <c r="EO311" s="6" t="str">
        <f>IFERROR(IF(OR(B311="",NOT(ISNUMBER(DX311))),"",1.05*(Uн_лин*1000/SQRT(3))/(_xlfn.XLOOKUP(A311,Щиты[Щит],Щиты[Zmax на шинах, Ом])+EL311)/1000),"")</f>
        <v/>
      </c>
      <c r="EP311" s="6" t="str">
        <f>IF(B311="","",IF(ISNUMBER(Y311),"Сил",IF(IFERROR(_xlfn.XLOOKUP(AX311,Коды_код,Коды_группа)&amp;"","")="","Быт",_xlfn.XLOOKUP(AX311,Коды_код,Коды_группа)&amp;"")))</f>
        <v>Быт</v>
      </c>
      <c r="EQ311" s="6" t="str">
        <f t="shared" si="547"/>
        <v>Пост</v>
      </c>
      <c r="ER311" s="6">
        <f>IF(EQ311="Щит","щит",IF(EQ311="","",IF(EQ311="Быт",IFERROR(_xlfn.XLOOKUP(A311,Щиты[Щит],Щиты[Кс быт]),1),IF(EQ311="Сил",IF(ISNUMBER(Y311),Y311,IF(Методика="нормы 2026",IFERROR(_xlfn.XLOOKUP(A311,Щиты[Щит],Щиты[Кс силовых (табл. 7.5)]),1),1)),IF(OR(EQ311="Пост",EQ311="Отоп"),1,IF(EQ311="ВНГ",0.7,0))))))</f>
        <v>1</v>
      </c>
      <c r="ES311">
        <f t="shared" si="548"/>
        <v>1</v>
      </c>
      <c r="ET311">
        <f t="shared" si="549"/>
        <v>2.7</v>
      </c>
      <c r="EU311">
        <f t="shared" si="550"/>
        <v>0</v>
      </c>
      <c r="EV311">
        <f t="shared" si="551"/>
        <v>0</v>
      </c>
      <c r="EW311">
        <f t="shared" si="552"/>
        <v>2.7</v>
      </c>
      <c r="EX311">
        <f t="shared" si="553"/>
        <v>0</v>
      </c>
      <c r="EY311">
        <f t="shared" si="554"/>
        <v>0</v>
      </c>
      <c r="EZ311">
        <f t="shared" si="555"/>
        <v>2.7</v>
      </c>
      <c r="FA311">
        <f t="shared" si="556"/>
        <v>2.5649999999999999</v>
      </c>
      <c r="FB311">
        <f t="shared" si="557"/>
        <v>2.7</v>
      </c>
      <c r="FC311" t="str">
        <f t="shared" si="558"/>
        <v>L1</v>
      </c>
      <c r="FD311" t="str">
        <f>IF(B311="","",IF(CA311=0,IF(AW311=1,"",FF310),IF(OR(N(CV311)&gt;=3,N(BR311)&gt;=3),"L1,L2,L3",IFERROR(_xlfn.TEXTBEFORE(_xlfn.TEXTAFTER(_xlfn.XLOOKUP(A311,Щиты[Щит],Щиты[_фазы авто]),";"&amp;AW311&amp;":"),";"),"L1"))))</f>
        <v>L1</v>
      </c>
      <c r="FE311" t="str">
        <f t="shared" si="559"/>
        <v>L1</v>
      </c>
      <c r="FF311" t="str">
        <f t="shared" si="560"/>
        <v>L1</v>
      </c>
      <c r="FG311" cm="1">
        <f t="array" ref="FG311">IFERROR(IF(BX311=2,_xlfn.IFS(BR311=3,VLOOKUP(BN311,Справочная_двигатели,3,FALSE),BR311=1,VLOOKUP(BN311,Справочная_двигатели,5,TRUE)),0),0)</f>
        <v>0</v>
      </c>
      <c r="FH311">
        <f>IFERROR(IF(BX311=3,VLOOKUP(BN311,Справочная_ЛЭД,2,TRUE),0),0)</f>
        <v>0</v>
      </c>
      <c r="FI311" s="6">
        <f t="shared" si="561"/>
        <v>0</v>
      </c>
      <c r="FJ311" t="str" cm="1">
        <f t="array" ref="FJ311">IF(B311="","",IFERROR(INDEX({"I особая","I","II","III"},MATCH(TRIM(AC311&amp;""),{"I особая","I","II","III"},0)),"III"))</f>
        <v>II</v>
      </c>
      <c r="FK311" t="str">
        <f>IF(B311="","",IF(TRIM(AD311&amp;"")&lt;&gt;"",IF(LOWER(TRIM(AD311&amp;""))="да","да","нет"),IF(IFERROR(_xlfn.XLOOKUP(AX311,Коды_код,Коды_пожарная),"")="да","да","нет")))</f>
        <v>нет</v>
      </c>
      <c r="FL311" t="str">
        <f t="shared" si="562"/>
        <v/>
      </c>
      <c r="FM311" t="str">
        <f t="shared" si="563"/>
        <v>основная</v>
      </c>
      <c r="FN311">
        <f t="shared" si="564"/>
        <v>1</v>
      </c>
      <c r="FO311" t="str" cm="1">
        <f t="array" ref="FO311">IF(B311="","",_xlfn.LET(_xlpm.t,IFERROR(_xlfn.XLOOKUP(1,(Шины[Шина]=FM311)*(((Шины[Щит]=A311)+(Шины[Щит]=""))&gt;0),Шины[Тип]),"")&amp;"",IF(_xlpm.t&lt;&gt;"",_xlpm.t,IF(ISNUMBER(SEARCH("ИБП",FM311)),"ИБП",IF(ISNUMBER(SEARCH("ДГУ",FM311)),"ДГУ","Ввод "&amp;FN311)))))</f>
        <v>Ввод 1</v>
      </c>
      <c r="FP311" t="str">
        <f t="shared" si="565"/>
        <v>Ввод 1</v>
      </c>
      <c r="FQ311" t="str">
        <f>IF(B311="","",IF(OR(FO311="ИБП",FO311="ДГУ"),"I особая",IF(FO311="Одиночная","III",_xlfn.XLOOKUP(A311,Щиты[Щит],Щиты[Категория шины «Ввод»],"III"))))</f>
        <v>II</v>
      </c>
      <c r="FR311">
        <f>IF(B311="",0,IFERROR(MATCH(FJ311,{"III","II","I","I особая"},0),1))</f>
        <v>2</v>
      </c>
      <c r="FS311">
        <f t="shared" si="566"/>
        <v>2</v>
      </c>
      <c r="FT311" t="str">
        <f>IF(B311="","",IF(FR311&gt;IFERROR(MATCH(FQ311,{"III","II","I","I особая"},0),1),"НЕ ОБЕСПЕЧЕНА","ОК"))</f>
        <v>ОК</v>
      </c>
      <c r="FU311" t="str">
        <f>IF(A311="","",_xlfn.XLOOKUP(A311,Щиты[Щит],Щиты[Путь],""))</f>
        <v>|ГРЩ-ЖД|ЩР-2|</v>
      </c>
      <c r="FV311" t="str">
        <f>IF(B311="","",IF(AE311&lt;&gt;"",AE311,IF(IFERROR(_xlfn.XLOOKUP(AX311,Коды_код,Коды_вид)&amp;"","")="","Прочее",_xlfn.XLOOKUP(AX311,Коды_код,Коды_вид)&amp;"")))</f>
        <v>Слаботочные системы, автоматизация, KNX</v>
      </c>
      <c r="FW311">
        <f>IF(BH311="","",INT((BH311-1)/Столбцов_на_лист)+1)</f>
        <v>3</v>
      </c>
      <c r="FX311" t="str">
        <f t="shared" si="567"/>
        <v>ВВГнг(А)-LS (3х2,5) L=39-3,57%</v>
      </c>
      <c r="FY311">
        <f t="shared" si="568"/>
        <v>2.7</v>
      </c>
      <c r="FZ311">
        <f t="shared" si="569"/>
        <v>12.31</v>
      </c>
      <c r="GA311">
        <f t="shared" si="570"/>
        <v>1</v>
      </c>
      <c r="GB311">
        <f t="shared" si="571"/>
        <v>0</v>
      </c>
      <c r="GC311">
        <f t="shared" si="572"/>
        <v>1</v>
      </c>
      <c r="GD311">
        <f>IF(BH311="","",IF(AND(CA311=1,GC311=1),COUNTIFS(A$3:A311,A311,CA$3:CA311,1,GC$3:GC311,1),IF(OR(OR(AW311=1,A311&lt;&gt;A310),AF311="вручную",GC311=0),"",IF(AW311=1,"",GE310))))</f>
        <v>28</v>
      </c>
      <c r="GE311">
        <f t="shared" si="573"/>
        <v>28</v>
      </c>
      <c r="GF311">
        <f>IF(B311="","",IFERROR(LOOKUP(INDEX(CHOOSE(DL311,Iдоп_1ж,Iдоп_2ж,Iдоп_3ж),MATCH(DX311,Iдоп_S,0))*DJ311*DK311,{6,10,16,20,25,32,40,50,63,80,100,125,160,200,250,315,400,500,630}),""))</f>
        <v>25</v>
      </c>
      <c r="GG311" t="str">
        <f t="shared" si="574"/>
        <v>QF28</v>
      </c>
      <c r="GH311" t="str">
        <f t="shared" si="575"/>
        <v>QF28</v>
      </c>
      <c r="GI311" t="str">
        <f t="shared" si="576"/>
        <v/>
      </c>
      <c r="GJ311">
        <f t="shared" si="577"/>
        <v>0</v>
      </c>
      <c r="GK311" t="str">
        <f>IF(OR(AG311="",AG311="-"),"",IFERROR(VLOOKUP(AG311,Модули_спр,2,FALSE),"R"))</f>
        <v/>
      </c>
      <c r="GL311" t="str">
        <f>IF(GK311="","",GK311&amp;"."&amp;COUNTIFS(A$3:A311,A311,GK$3:GK311,GK311))</f>
        <v/>
      </c>
      <c r="GM311" t="str">
        <f t="shared" si="578"/>
        <v/>
      </c>
      <c r="GN311" t="str">
        <f t="shared" si="579"/>
        <v/>
      </c>
      <c r="GO311" t="str">
        <f t="shared" si="580"/>
        <v/>
      </c>
      <c r="GP311" t="str">
        <f t="shared" si="581"/>
        <v/>
      </c>
      <c r="GQ311">
        <f t="shared" si="582"/>
        <v>1</v>
      </c>
      <c r="GR311" t="str">
        <f>IF(GQ311=1,"XT"&amp;COUNTIFS(A$3:A311,A311,GQ$3:GQ311,1),"")</f>
        <v>XT28</v>
      </c>
      <c r="GS311" t="str">
        <f t="shared" si="583"/>
        <v/>
      </c>
      <c r="GT311" t="str">
        <f t="shared" si="584"/>
        <v>QF28</v>
      </c>
      <c r="GU311" t="str">
        <f t="shared" si="585"/>
        <v/>
      </c>
      <c r="GV311" t="str">
        <f t="shared" si="586"/>
        <v>ok</v>
      </c>
      <c r="GW311" t="str">
        <f>IF(OR(GO311="",GM311=""),"",IF(GO311&gt;IFERROR(VLOOKUP(GN311,Модули_спр,3,FALSE),99),"ЛИШНИЙ КАНАЛ",IF(AND(AH311&lt;&gt;"=",COUNTIFS(Линии[_модуль гр.],GM311,Линии[Канал (итог)],GO311,Линии[Канал],"&lt;&gt;=",Линии[Щит],A311)&gt;1),"ДУБЛЬ КАНАЛА","")))</f>
        <v/>
      </c>
      <c r="GX311" s="6" t="str">
        <f t="shared" si="587"/>
        <v/>
      </c>
      <c r="GY311">
        <f t="shared" si="588"/>
        <v>10</v>
      </c>
      <c r="GZ311" t="str">
        <f t="shared" si="589"/>
        <v/>
      </c>
      <c r="HA311" t="str">
        <f>IF(AND(B311="",GT311=""),"",_xlfn.TEXTJOIN("; ",TRUE,IF(AND(B311&lt;&gt;"",FE311=""),"нет фазы",""),IF(AND(B311&lt;&gt;"",N(FY311)=0,EQ311&lt;&gt;"Нет"),"нет мощности",""),IF(AND(GS311&lt;&gt;"",COUNTIFS(Линии[Щит],A311,Линии[Клемма (итог)],GS311)&gt;1),"дубль клеммы "&amp;GS311,""),IF(AND(GV311&lt;&gt;"",GV311&lt;&gt;"ok"),GV311,""),IF(GW311&lt;&gt;"",GW311,""),IF(AND(N(BV311)&gt;=4,N(BR311)=1),BV311&amp;" жил на 1 фазе",""),IF(AND(AX311="R",CA311=1,OR(N(CK311)=0,N(CK311)&gt;30)),"розетка без дифзащиты до 30 мА",""),IFERROR(IF(AND(ISNUMBER(R311),R311&gt;DV311),"потери "&amp;FIXED(R311,1)&amp;" % &gt; "&amp;DV311&amp;" %",""),""),IFERROR(IF(LEFT(GZ311,4)="мало","Iкз мало — отключение &gt; 0,4 с",""),""),IF(AND(B311&lt;&gt;"",BH311=""),"не на схеме",""),IF(AND(CA311=0,B311&lt;&gt;"",FE311&lt;&gt;"",IF(AW311=1,"",FF310)&lt;&gt;"",FE311&lt;&gt;IF(AW311=1,"",FF310)),"фаза не как у автомата группы ("&amp;IF(AW311=1,"",FF310)&amp;")","")))</f>
        <v>потери 5,4 % &gt; 4 %</v>
      </c>
      <c r="HB311" s="6">
        <f>IF(OR(CA311=0,DA311=""),"",_xlfn.LET(_xlpm.t,IFERROR(_xlfn.XLOOKUP(DA311,Каталог!$U$4:$U$500,Каталог!$G$4:$G$500),""),_xlpm.k,SEARCH("кА",_xlpm.t),IFERROR(--TRIM(RIGHT(SUBSTITUTE(MID(_xlpm.t,MAX(1,_xlpm.k-4),_xlpm.k-MAX(1,_xlpm.k-4))," ",REPT(" ",9)),5)),"")))</f>
        <v>6</v>
      </c>
      <c r="HC311" t="str">
        <f>IF(OR(HB311="",CA311=0),"",IF(_xlfn.XLOOKUP(A311,Щиты[Щит],Щиты[Iкз max на шинах, кА],"")="","",IF(HB311&lt;_xlfn.XLOOKUP(A311,Щиты[Щит],Щиты[Iкз max на шинах, кА]),"Icu "&amp;HB311&amp;" кА &lt; Iкз max","ok")))</f>
        <v/>
      </c>
      <c r="HD311" t="str">
        <f t="shared" si="590"/>
        <v/>
      </c>
      <c r="HE311" t="str">
        <f t="shared" si="591"/>
        <v>QF28</v>
      </c>
      <c r="HF311" t="str">
        <f t="shared" si="592"/>
        <v>QF28|кабель ВВГнг(А)-LS (3х2,5) → Шкаф телекоммуникационный ШТК-2  Тех. Этаж Пом №004T</v>
      </c>
      <c r="HG311" t="str" cm="1">
        <f t="array" ref="HG311">IF(HF311="","",_xlfn.LET(_xlpm.nd,_xlfn.TEXTSPLIT(HF311,"|"),IF(COLUMNS(_xlpm.nd)&gt;1,A311&amp;"¦"&amp;INDEX(_xlpm.nd,1)&amp;"¦"&amp;INDEX(_xlpm.nd,2),"")))</f>
        <v>ЩР-2¦QF28¦кабель ВВГнг(А)-LS (3х2,5) → Шкаф телекоммуникационный ШТК-2  Тех. Этаж Пом №004T</v>
      </c>
      <c r="HH311" t="str">
        <f t="shared" si="593"/>
        <v>ШТК-ЛВС.3¦Шкаф телекоммуникационный ШТК-2  Тех. Этаж Пом №004T</v>
      </c>
      <c r="HI311" t="str" cm="1">
        <f t="array" ref="HI311">IF(HF311="","",_xlfn.LET(_xlpm.nd,_xlfn.TEXTSPLIT(HF311,"|"),IF(COLUMNS(_xlpm.nd)&gt;2,A311&amp;"¦"&amp;INDEX(_xlpm.nd,2)&amp;"¦"&amp;INDEX(_xlpm.nd,3),"")))</f>
        <v/>
      </c>
      <c r="HJ311" t="str">
        <f t="shared" si="594"/>
        <v/>
      </c>
      <c r="HK311" t="str" cm="1">
        <f t="array" ref="HK311">IF(HF311="","",_xlfn.LET(_xlpm.nd,_xlfn.TEXTSPLIT(HF311,"|"),IF(COLUMNS(_xlpm.nd)&gt;3,A311&amp;"¦"&amp;INDEX(_xlpm.nd,3)&amp;"¦"&amp;INDEX(_xlpm.nd,4),"")))</f>
        <v/>
      </c>
      <c r="HL311" t="str">
        <f t="shared" si="595"/>
        <v/>
      </c>
      <c r="HM311" t="str" cm="1">
        <f t="array" ref="HM311">IF(HF311="","",_xlfn.LET(_xlpm.nd,_xlfn.TEXTSPLIT(HF311,"|"),IF(COLUMNS(_xlpm.nd)&gt;4,A311&amp;"¦"&amp;INDEX(_xlpm.nd,4)&amp;"¦"&amp;INDEX(_xlpm.nd,5),"")))</f>
        <v/>
      </c>
      <c r="HN311" t="str">
        <f t="shared" si="596"/>
        <v/>
      </c>
      <c r="HO311" t="str" cm="1">
        <f t="array" ref="HO311">IF(HF311="","",_xlfn.LET(_xlpm.nd,_xlfn.TEXTSPLIT(HF311,"|"),IF(COLUMNS(_xlpm.nd)&gt;5,A311&amp;"¦"&amp;INDEX(_xlpm.nd,5)&amp;"¦"&amp;INDEX(_xlpm.nd,6),"")))</f>
        <v/>
      </c>
      <c r="HP311" t="str">
        <f t="shared" si="597"/>
        <v/>
      </c>
      <c r="HQ311" t="str" cm="1">
        <f t="array" ref="HQ311">IF(HF311="","",_xlfn.LET(_xlpm.nd,_xlfn.TEXTSPLIT(HF311,"|"),IF(COLUMNS(_xlpm.nd)&gt;6,A311&amp;"¦"&amp;INDEX(_xlpm.nd,6)&amp;"¦"&amp;INDEX(_xlpm.nd,7),"")))</f>
        <v/>
      </c>
      <c r="HR311" t="str">
        <f t="shared" si="598"/>
        <v/>
      </c>
      <c r="HS311" t="str">
        <f t="shared" si="599"/>
        <v/>
      </c>
      <c r="HT311" t="str">
        <f t="shared" si="600"/>
        <v>QF28</v>
      </c>
      <c r="HU311">
        <f t="shared" si="601"/>
        <v>0</v>
      </c>
      <c r="HV311">
        <f t="shared" si="602"/>
        <v>0</v>
      </c>
      <c r="HW311" t="str">
        <f t="shared" si="603"/>
        <v/>
      </c>
      <c r="HX311" t="str">
        <f t="shared" si="604"/>
        <v/>
      </c>
      <c r="HY311" t="str">
        <f t="shared" si="605"/>
        <v/>
      </c>
      <c r="HZ311" t="str">
        <f t="shared" si="606"/>
        <v/>
      </c>
      <c r="IA311">
        <f>IF(B311="","",IFERROR(VLOOKUP(B311,УГО_спр,2,FALSE),IFERROR(VLOOKUP(AX311,УГО_спр,2,FALSE),IFERROR(VLOOKUP(LEFT(AX311,2),УГО_спр,2,FALSE),""))))</f>
        <v>0</v>
      </c>
      <c r="IB311" t="str">
        <f>IF(B311="","",IF(OR(IA311="",IA311=0),"BOX",IFERROR(IF(VLOOKUP(IA311,УГО_блоки,3,FALSE)&amp;""&lt;&gt;"",VLOOKUP(IA311,УГО_блоки,3,FALSE),VLOOKUP(IA311,УГО_блоки,2,FALSE)),IA311)))</f>
        <v>BOX</v>
      </c>
      <c r="IC311">
        <f t="shared" si="607"/>
        <v>1</v>
      </c>
      <c r="ID311" t="str">
        <f>IF(DA311="","",IF(COUNTIF(DA$3:DA311,DA311)=1,MAX(ID$2:ID310)+1,""))</f>
        <v/>
      </c>
      <c r="IE311" t="str">
        <f>IF(CO311="","",IF(COUNTIF(CO$3:CO311,CO311)+COUNTIF(CP$2:CP310,CO311)+COUNTIF(CQ$2:CQ310,CO311)=1,MAX(IE$2:IG310)+1,""))</f>
        <v/>
      </c>
      <c r="IF311" t="str">
        <f>IF(CP311="","",IF(COUNTIF(CO$3:CO311,CP311)+COUNTIF(CP$3:CP311,CP311)+COUNTIF(CQ$2:CQ310,CP311)=1,MAX(IE$2:IG310,IE311)+1,""))</f>
        <v/>
      </c>
      <c r="IG311" t="str">
        <f>IF(CQ311="","",IF(COUNTIF(CO$3:CO311,CQ311)+COUNTIF(CP$3:CP311,CQ311)+COUNTIF(CQ$3:CQ311,CQ311)=1,MAX(IE$2:IG310,IE311,IF311)+1,""))</f>
        <v/>
      </c>
      <c r="IH311" t="str">
        <f t="shared" si="608"/>
        <v>3х2,5</v>
      </c>
      <c r="II311" t="str">
        <f>IF(IH311="","",IF(COUNTIF(IH$3:IH311,IH311)=1,MAX(II$2:II310)+1,""))</f>
        <v/>
      </c>
      <c r="IJ311" t="str">
        <f>IF(GL311="","",COUNTIF(GL$3:GL311,"?*"))</f>
        <v/>
      </c>
      <c r="IK311" t="str">
        <f>IF(OR(GL311="",GN311=""),"",IF(COUNTIFS(GL$3:GL311,"?*",GN$3:GN311,GN311)=1,MAX(IK$2:IK310)+1,""))</f>
        <v/>
      </c>
      <c r="IL311">
        <f t="shared" si="609"/>
        <v>1</v>
      </c>
      <c r="IM311">
        <f>IF(B311="","",COUNTIF(B$3:B311,"?*"))</f>
        <v>309</v>
      </c>
      <c r="IN311">
        <f>IF(GQ311&lt;&gt;1,0,_xlfn.LET(_xlpm.k,MAX(IFERROR(--VLOOKUP(B311,УГО_спр,5,FALSE),0),IFERROR(--VLOOKUP(AX311,УГО_спр,5,FALSE),0),IFERROR(--VLOOKUP(LEFT(AX311,2),УГО_спр,5,FALSE),0)),IF(_xlpm.k&gt;0,_xlpm.k,IF(IFERROR(--LEFT(SUBSTITUTE(IH311,"x","х"),FIND("х",SUBSTITUTE(IH311,"x","х"))-1),3)&gt;3,Каталог!$S$9,1))))</f>
        <v>1</v>
      </c>
      <c r="IO311">
        <f t="shared" si="610"/>
        <v>0</v>
      </c>
      <c r="IP311" t="str">
        <f t="shared" si="611"/>
        <v>авто</v>
      </c>
      <c r="IQ311" t="str">
        <f t="shared" si="612"/>
        <v/>
      </c>
      <c r="IR311">
        <f t="shared" si="613"/>
        <v>0</v>
      </c>
      <c r="IS311">
        <f t="shared" si="614"/>
        <v>1</v>
      </c>
    </row>
    <row r="312" spans="1:253" x14ac:dyDescent="0.3">
      <c r="A312" t="s">
        <v>761</v>
      </c>
      <c r="B312" t="s">
        <v>1576</v>
      </c>
      <c r="C312" t="s">
        <v>1685</v>
      </c>
      <c r="D312">
        <v>1</v>
      </c>
      <c r="E312">
        <v>0.5</v>
      </c>
      <c r="G312">
        <v>16</v>
      </c>
      <c r="H312" t="str">
        <f>Линии[[#This Row],[_авто утечка]]</f>
        <v/>
      </c>
      <c r="I312" t="str">
        <f>Линии[[#This Row],[_авто управление]]</f>
        <v/>
      </c>
      <c r="J312" t="str">
        <f>Линии[[#This Row],[_авто аппараты]]</f>
        <v/>
      </c>
      <c r="K312">
        <v>2.5</v>
      </c>
      <c r="L312">
        <v>8</v>
      </c>
      <c r="M312">
        <v>3</v>
      </c>
      <c r="N312" t="s">
        <v>486</v>
      </c>
      <c r="O312" t="str">
        <f t="shared" si="492"/>
        <v/>
      </c>
      <c r="P312" s="6" cm="1">
        <f t="array" ref="P312">IF(B312="","",IF(BC312&lt;&gt;"",IFERROR(_xlfn.XLOOKUP(BC312,Щиты[Щит],Щиты[Iр, А]),""),IF(BK312=1,IFERROR(_xlfn.XLOOKUP(A312,Щиты[Щит],Щиты[Iр, А]),""),IFERROR(_xlfn.IFS(BR312=1,BN312/((Uн_лин/SQRT(3))*BY312),BR312=3,BN312/(SQRT(3)*Uн_лин*BY312)),""))))</f>
        <v>2.2790142204853647</v>
      </c>
      <c r="Q312" s="7">
        <f>IF(B312="","",IFERROR(IF(VLOOKUP(AX312,Потребители_обозначение,4,FALSE)=1,VLOOKUP(AX312,Потребители_обозначение,3,FALSE)*(D312*2-1)+DS312+VLOOKUP(AZ312,Этаж_обозначение,3,FALSE)+VLOOKUP(AZ312,Этаж_обозначение,4,FALSE),VLOOKUP(AX312,Потребители_обозначение,3,FALSE)*(D312*2-1)+DS312),DS312))</f>
        <v>8</v>
      </c>
      <c r="R312" s="6">
        <f t="shared" si="493"/>
        <v>1.9300000000000002</v>
      </c>
      <c r="S312" t="str">
        <f t="shared" si="494"/>
        <v>ВВГнг(А)-LS (3х2,5)</v>
      </c>
      <c r="T312" t="str">
        <f>IF(BH312="","",IF(BI312="вводной узел","узел ","")&amp;"л."&amp;(INT((BH312-1)/Столбцов_на_лист)+1)&amp;" / "&amp;(MOD(BH312-1,Столбцов_на_лист)+1))</f>
        <v>л.4 / 1</v>
      </c>
      <c r="V312">
        <v>1</v>
      </c>
      <c r="W312">
        <v>230</v>
      </c>
      <c r="X312" t="s">
        <v>575</v>
      </c>
      <c r="AC312" t="s">
        <v>815</v>
      </c>
      <c r="AE312" t="s">
        <v>579</v>
      </c>
      <c r="AI312">
        <v>52</v>
      </c>
      <c r="AJ312" t="s">
        <v>11</v>
      </c>
      <c r="AK312">
        <v>3</v>
      </c>
      <c r="AN312">
        <v>8</v>
      </c>
      <c r="AP312">
        <v>1</v>
      </c>
      <c r="AW312" cm="1">
        <f t="array" ref="AW312">ROW()-ROW(Линии[#Headers])</f>
        <v>310</v>
      </c>
      <c r="AX312" s="6" t="str">
        <f t="shared" si="495"/>
        <v>ШКД</v>
      </c>
      <c r="AY312" t="str">
        <f t="shared" si="496"/>
        <v>3</v>
      </c>
      <c r="AZ312" t="str">
        <f t="shared" si="497"/>
        <v>3</v>
      </c>
      <c r="BA312" t="str">
        <f t="shared" si="498"/>
        <v/>
      </c>
      <c r="BB312" t="str">
        <f t="shared" si="499"/>
        <v/>
      </c>
      <c r="BC312" t="str">
        <f>IF(U312&lt;&gt;"",U312,IF(AND(B312&lt;&gt;"",B312&lt;&gt;A312,ISNUMBER(_xlfn.XMATCH(B312,Щиты[Щит]))),B312,""))</f>
        <v/>
      </c>
      <c r="BD312" t="str" cm="1">
        <f t="array" ref="BD312">IF(B312="","",IF(BC312&lt;&gt;"","Щит "&amp;BC312,_xlfn.LET(_xlpm.nm,IFERROR(_xlfn.XLOOKUP(AX312,Коды_код,Коды_имя)&amp;"",""),_xlpm.md,IFERROR(N(_xlfn.XLOOKUP(AX312,Коды_код,Коды_режим)),1),_xlpm.ex,IF(Имя_режим="по экспликации",IFERROR(_xlfn.XLOOKUP(AZ312&amp;"|"&amp;BB312,Экспликация[Этаж]&amp;"|"&amp;Экспликация[Помещение],Экспликация[Название])&amp;"",""),""),_xlpm.rm,IF(BB312="","",IF(_xlpm.ex&lt;&gt;"",". "&amp;_xlpm.ex&amp;IF(Имя_пом="нет"," ("&amp;BB312&amp;")"," (пом. "&amp;BB312&amp;")"),IF(Имя_пом="нет"," ",", пом. ")&amp;BB312)),IF(_xlpm.nm="","",IF(_xlpm.md=2,_xlpm.nm&amp;" шлейф "&amp;AZ312,_xlpm.nm&amp;_xlpm.rm)))))</f>
        <v/>
      </c>
      <c r="BE312" t="str">
        <f t="shared" si="500"/>
        <v>Щит контроля доступа ЩКД-2  Тех. Этаж Пом №001T</v>
      </c>
      <c r="BF312">
        <f>IFERROR(_xlfn.XMATCH(A312,Щиты[Щит]),0)</f>
        <v>11</v>
      </c>
      <c r="BG312">
        <f>_xlfn.LET(_xlpm.k,IFERROR(_xlfn.XLOOKUP(A312,Щиты[Щит],Щиты[Листов под вводной узел]),""),IF(_xlpm.k="",1,N(_xlpm.k))*Столбцов_на_лист)</f>
        <v>17</v>
      </c>
      <c r="BH312">
        <f t="shared" si="501"/>
        <v>52</v>
      </c>
      <c r="BI312" t="str">
        <f t="shared" si="502"/>
        <v>линии</v>
      </c>
      <c r="BJ312" s="6">
        <f>IFERROR(N(_xlfn.XLOOKUP(AX312,Коды_код,Коды_квт)),0)</f>
        <v>0</v>
      </c>
      <c r="BK312">
        <f t="shared" si="503"/>
        <v>0</v>
      </c>
      <c r="BL312" t="str">
        <f>IF(B312="","",IF(BC312&lt;&gt;"",IFERROR(_xlfn.XLOOKUP(BC312,Щиты[Щит],Щиты[Руст, кВт]),0),IF(BK312=1,IFERROR(_xlfn.XLOOKUP(A312,Щиты[Щит],Щиты[Руст, кВт]),0),IF(BJ312&gt;0,ROUND(BJ312*MAX(1,N(D312)),3),""))))</f>
        <v/>
      </c>
      <c r="BM312">
        <f t="shared" si="504"/>
        <v>0.5</v>
      </c>
      <c r="BN312" s="6">
        <f>IF(B312="","",IF(BC312&lt;&gt;"",IFERROR(_xlfn.XLOOKUP(BC312,Щиты[Щит],Щиты[Руст, кВт]),0),N(BM312)))</f>
        <v>0.5</v>
      </c>
      <c r="BO312" t="str">
        <f>IF(B312="","",IFERROR(IF(VLOOKUP(AX312,Потребители_обозначение,8,FALSE)=0,"",VLOOKUP(AX312,Потребители_обозначение,8,FALSE)),""))</f>
        <v/>
      </c>
      <c r="BP312">
        <f t="shared" si="505"/>
        <v>230</v>
      </c>
      <c r="BQ312">
        <f>IF(B312="","",IF(BC312&lt;&gt;"",3,IFERROR(IF(N(VLOOKUP(AX312,Потребители_обозначение,9,FALSE))=0,1,VLOOKUP(AX312,Потребители_обозначение,9,FALSE)),1)))</f>
        <v>1</v>
      </c>
      <c r="BR312">
        <f t="shared" si="506"/>
        <v>1</v>
      </c>
      <c r="BS312" t="str">
        <f>IF(B312="","",_xlfn.LET(_xlpm.bc,IFERROR(IF(VLOOKUP(AX312,Потребители_обозначение,6,FALSE)=0,"",VLOOKUP(AX312,Потребители_обозначение,6,FALSE)&amp;""),""),IF(AND(FK312="да",OR(_xlpm.bc="",_xlpm.bc="мс")),Марка_пож,IF(AND(_xlpm.bc="",BC312&lt;&gt;""),"мс",_xlpm.bc))))</f>
        <v/>
      </c>
      <c r="BT312" t="str">
        <f t="shared" si="507"/>
        <v>мс</v>
      </c>
      <c r="BU312">
        <f>IF(B312="","",_xlfn.LET(_xlpm.cc,IFERROR(N(VLOOKUP(AX312,Потребители_обозначение,7,FALSE)),0),IF(_xlpm.cc&gt;0,_xlpm.cc,IF(BT312="","",IF(N(BR312)=3,5,3)))))</f>
        <v>3</v>
      </c>
      <c r="BV312">
        <f t="shared" si="508"/>
        <v>3</v>
      </c>
      <c r="BW312">
        <f>IFERROR(N(VLOOKUP(AX312,Потребители_обозначение,10,FALSE)),0)</f>
        <v>0</v>
      </c>
      <c r="BX312">
        <f>IFERROR(VLOOKUP(AX312,Потребители_обозначение,5,FALSE),0)</f>
        <v>0</v>
      </c>
      <c r="BY312" s="6" cm="1">
        <f t="array" ref="BY312">IF(B312="","",IF(BC312&lt;&gt;"",IFERROR(_xlfn.XLOOKUP(BC312,Щиты[Щит],Щиты[cos φ]),0.95),IF(BK312=1,IFERROR(_xlfn.XLOOKUP(A312,Щиты[Щит],Щиты[cos φ]),0.95),IF(ISNUMBER(Z312),Z312,IFERROR(IF(BX312=2,_xlfn.IFS(BR312=3,VLOOKUP(BN312,Справочная_двигатели,8,FALSE),BR312=1,VLOOKUP(BN312,Справочная_двигатели,10,TRUE)),IF(AND(Методика="нормы 2026",EQ312="Сил"),0.8,0.95)),0.95)))))</f>
        <v>0.95</v>
      </c>
      <c r="BZ312">
        <f t="shared" si="509"/>
        <v>0</v>
      </c>
      <c r="CA312">
        <f t="shared" si="510"/>
        <v>1</v>
      </c>
      <c r="CB312">
        <f t="shared" si="511"/>
        <v>0</v>
      </c>
      <c r="CC312">
        <f t="shared" si="512"/>
        <v>0</v>
      </c>
      <c r="CD312">
        <f t="shared" si="513"/>
        <v>0</v>
      </c>
      <c r="CE312">
        <f t="shared" si="514"/>
        <v>0</v>
      </c>
      <c r="CF312">
        <f t="shared" si="515"/>
        <v>0</v>
      </c>
      <c r="CG312">
        <f>IF(AX312="",0,_xlfn.LET(_xlpm.v,IFERROR(VLOOKUP(B312,УГО_спр,3,FALSE),IFERROR(VLOOKUP(AX312,УГО_спр,3,FALSE),IFERROR(VLOOKUP(LEFT(AX312,2),УГО_спр,3,FALSE),""))),IF(_xlpm.v="да",30,IF(ISNUMBER(_xlpm.v),_xlpm.v,0))))</f>
        <v>0</v>
      </c>
      <c r="CH312" t="str">
        <f t="shared" si="516"/>
        <v/>
      </c>
      <c r="CI312" t="str">
        <f>_xlfn.LET(_xlpm.k,IFERROR(_xlfn.XLOOKUP(AX312,Коды_код,Коды_утечка)&amp;"",""),IF(_xlpm.k="","дифавтомат",_xlpm.k))</f>
        <v>дифавтомат</v>
      </c>
      <c r="CJ312">
        <f t="shared" si="517"/>
        <v>0</v>
      </c>
      <c r="CK312">
        <f t="shared" si="518"/>
        <v>0</v>
      </c>
      <c r="CL312">
        <f>IF(B312="",0,IFERROR(--VLOOKUP(B312,УГО_спр,4,FALSE),IFERROR(--VLOOKUP(AX312,УГО_спр,4,FALSE),IFERROR(--VLOOKUP(LEFT(AX312,2),УГО_спр,4,FALSE),0))))</f>
        <v>0</v>
      </c>
      <c r="CM312" t="str">
        <f>IF(B312="","",IFERROR(_xlfn.XLOOKUP(AX312,Коды_код,Коды_апп)&amp;"",""))</f>
        <v/>
      </c>
      <c r="CN312" t="str">
        <f t="shared" si="519"/>
        <v/>
      </c>
      <c r="CO312" t="str" cm="1">
        <f t="array" ref="CO312">IF(TRIM(CN312&amp;"")="","",IFERROR(TRIM(INDEX(_xlfn.TEXTSPLIT(CN312&amp;";;;",";"),1)),""))</f>
        <v/>
      </c>
      <c r="CP312" t="str" cm="1">
        <f t="array" ref="CP312">IF(TRIM(CN312&amp;"")="","",IFERROR(TRIM(INDEX(_xlfn.TEXTSPLIT(CN312&amp;";;;",";"),2)),""))</f>
        <v/>
      </c>
      <c r="CQ312" t="str" cm="1">
        <f t="array" ref="CQ312">IF(TRIM(CN312&amp;"")="","",IFERROR(TRIM(INDEX(_xlfn.TEXTSPLIT(CN312&amp;";;;",";"),3)),""))</f>
        <v/>
      </c>
      <c r="CR312">
        <f t="shared" si="520"/>
        <v>0</v>
      </c>
      <c r="CS312" t="str">
        <f>IF(B312="","",_xlfn.LET(_xlpm.t,LOWER(AV312&amp;""),IF(ISNUMBER(SEARCH("dim",_xlpm.t)),"DIM",IF(ISNUMBER(SEARCH("dali",_xlpm.t)),"DALI",IF(OR(ISNUMBER(SEARCH("relay",_xlpm.t)),ISNUMBER(SEARCH("реле",_xlpm.t))),"Relay",IF(ISNUMBER(SEARCH("кнопк",_xlpm.t)),"",IFERROR(_xlfn.XLOOKUP(AX312,Коды_код,Коды_упр)&amp;"","")))))))</f>
        <v/>
      </c>
      <c r="CT312" t="str">
        <f t="shared" si="521"/>
        <v/>
      </c>
      <c r="CU312">
        <f>IF(B312="","",_xlfn.LET(_xlpm.ig,N(P312)+IF(AF312="вручную",0,N(CB312)),_xlpm.n0,IFERROR(VLOOKUP(_xlpm.ig,Автомат_номиналы,2,TRUE),0),_xlpm.mn,MAX(CL312,IF(AF312="вручную",0,N(CE312))),MAX(_xlpm.n0,_xlpm.mn,IF(CR312=1,Мин_автомат_БП,0))))</f>
        <v>6</v>
      </c>
      <c r="CV312">
        <f t="shared" si="522"/>
        <v>1</v>
      </c>
      <c r="CW312" t="str">
        <f t="shared" si="523"/>
        <v>1P</v>
      </c>
      <c r="CX312" t="str">
        <f>_xlfn.LET(_xlpm.cc,UPPER(TRIM(IFERROR(_xlfn.XLOOKUP(AX312,Коды_код,Коды_хар)&amp;"",""))),IF(OR(_xlpm.cc="B",_xlpm.cc="В"),"B",IF(_xlpm.cc="D","D","С")))</f>
        <v>С</v>
      </c>
      <c r="CY312" t="str">
        <f t="shared" si="524"/>
        <v>1P С6А</v>
      </c>
      <c r="CZ312">
        <f t="shared" si="525"/>
        <v>16</v>
      </c>
      <c r="DA312" t="str">
        <f t="shared" si="526"/>
        <v>1P С16А</v>
      </c>
      <c r="DB312" cm="1">
        <f t="array" ref="DB312">IF(DA312="","",_xlfn.LET(_xlpm.t,SUBSTITUTE(SUBSTITUTE(SUBSTITUTE(UPPER(DA312),"С","C"),"А","A"),"В","B"),_xlpm.tk,_xlfn.TEXTSPLIT(_xlpm.t,"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2" t="str">
        <f t="shared" si="527"/>
        <v>ok</v>
      </c>
      <c r="DD312">
        <f t="shared" si="528"/>
        <v>16</v>
      </c>
      <c r="DE312" t="str">
        <f t="shared" si="529"/>
        <v>1P С16А</v>
      </c>
      <c r="DF312">
        <f t="shared" si="530"/>
        <v>0</v>
      </c>
      <c r="DG312">
        <f t="shared" si="531"/>
        <v>0</v>
      </c>
      <c r="DH312">
        <f t="shared" si="532"/>
        <v>0</v>
      </c>
      <c r="DI312">
        <f t="shared" si="533"/>
        <v>2.2790142204853647</v>
      </c>
      <c r="DJ312">
        <f t="shared" si="534"/>
        <v>1</v>
      </c>
      <c r="DK312">
        <f>IF(ISNUMBER(AL312),AL312,К_прокл)</f>
        <v>1</v>
      </c>
      <c r="DL312">
        <f t="shared" si="535"/>
        <v>2</v>
      </c>
      <c r="DM312">
        <f>IFERROR(N(VLOOKUP(BT312,Кабель_обозначение,3,FALSE)),1)</f>
        <v>1</v>
      </c>
      <c r="DN312">
        <f>IFERROR(N(_xlfn.XLOOKUP(A312,Щиты[Щит],Щиты[ΔU до шин, %])),0)</f>
        <v>1.79</v>
      </c>
      <c r="DO312" t="str">
        <f>IFERROR(_xlfn.XLOOKUP(A312,Щиты[Щит],Щиты[Zпетли на шинах, Ом]),"")</f>
        <v/>
      </c>
      <c r="DP312">
        <f>IFERROR(N(_xlfn.XLOOKUP(A312,Щиты[Щит],Щиты[ΔU до шин (подбор), %])),0)</f>
        <v>4.75</v>
      </c>
      <c r="DQ312" t="str">
        <f>IFERROR(_xlfn.XLOOKUP(A312,Щиты[Щит],Щиты[Zпетли на шинах (подбор), Ом]),"")</f>
        <v/>
      </c>
      <c r="DR312" t="str">
        <f t="shared" si="536"/>
        <v/>
      </c>
      <c r="DS312">
        <f t="shared" si="537"/>
        <v>8</v>
      </c>
      <c r="DT312">
        <f t="shared" si="538"/>
        <v>2</v>
      </c>
      <c r="DU312">
        <f t="shared" si="539"/>
        <v>0.31</v>
      </c>
      <c r="DV312" s="6">
        <f>IF(B312="","",IF(IFERROR(VLOOKUP(AX312,УГО_спр,2,FALSE),"")="Светильник",3,4)+IF(Методика="нормы 2026",MIN(0.5,MAX(0,N(Q312)-100)*0.005),0))</f>
        <v>4</v>
      </c>
      <c r="DW312" t="str" cm="1">
        <f t="array" ref="DW312">IF(OR(B312="",BT312="",DM312&lt;&gt;1),"",_xlfn.LET(_xlpm.sz,Iдоп_S,_xlpm.t_,CHOOSE(DL312,Iдоп_1ж,Iдоп_2ж,Iдоп_3ж)*DJ312*DK312,_xlpm.inn,N(DD312),_xlpm.smin,MAX(1.5,BW312),_xlpm.L_,N(Q312)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312)*(_xlpm.rho*_xlpm.L_/_xlpm.sz*N(BY312)+_xlpm.xx*_xlpm.L_*N(DU312)/1000)*N(P312)/((Uн_лин/SQRT(3))*1000)*100,999),_xlpm.kz,IF(OR(DG312=1,NOT(ISNUMBER(DQ312)),_xlpm.L_=0,_xlpm.inn=0),1,IFERROR(--(c_min*(Uн_лин*1000/SQRT(3))/(DQ312+2*ρкз_Cu*_xlpm.L_/_xlpm.sz)&gt;=GY312*_xlpm.inn),0)),_xlpm.ok,IFERROR((_xlpm.sz&gt;=_xlpm.smin)*(_xlpm.t_&gt;=_xlpm.inn)*IF(_xlpm.L_&gt;0,(_xlpm.du_+DP312&lt;=DV312+0.00001),1)*_xlpm.kz,0),_xlpm.r_,_xlfn._xlws.FILTER(_xlpm.sz,_xlpm.ok,"не подобрано"),INDEX(_xlpm.r_,1)))</f>
        <v>не подобрано</v>
      </c>
      <c r="DX312">
        <f t="shared" si="540"/>
        <v>2.5</v>
      </c>
      <c r="DY312" cm="1">
        <f t="array" ref="DY312">IF(OR(B312="",BT312="",DM312&lt;&gt;1),"",_xlfn.LET(_xlpm.sz,Iдоп_S,_xlpm.t_,CHOOSE(DL312,Iдоп_1ж,Iдоп_2ж,Iдоп_3ж)*DJ312*DK312,_xlpm.ok,IFERROR((_xlpm.sz&gt;=MAX(1.5,BW312))*(_xlpm.t_&gt;=N(DD312)),0),_xlpm.r_,_xlfn._xlws.FILTER(_xlpm.sz,_xlpm.ok,""),INDEX(_xlpm.r_,1)))</f>
        <v>1.5</v>
      </c>
      <c r="DZ312" s="6" cm="1">
        <f t="array" ref="DZ312">IFERROR(ROUNDUP(N(DT312)*(_xlfn.XLOOKUP(DY312,INDEX(Кабель_сопротивление,0,1),INDEX(Кабель_сопротивление,0,3))*N(Q312)/DY312*N(BY312)+_xlfn.XLOOKUP(DY312,INDEX(Кабель_сопротивление,0,1),INDEX(Кабель_сопротивление,0,2))*N(Q312)*N(DU312)/1000)*N(P312)/((Uн_лин/SQRT(3))*1000)*100,2),"")</f>
        <v>0.23</v>
      </c>
      <c r="EA312">
        <f>IFERROR(2*ρкз_Cu*N(Q312)/DY312,"")</f>
        <v>0.28053333333333336</v>
      </c>
      <c r="EB312">
        <f>IFERROR(VLOOKUP(DX312,Кабель_сопротивление,3,FALSE),"")</f>
        <v>2.2499999999999999E-2</v>
      </c>
      <c r="EC312">
        <f>IFERROR(VLOOKUP(DX312,Кабель_сопротивление,2,FALSE),"")</f>
        <v>0.1</v>
      </c>
      <c r="ED312">
        <f t="shared" si="541"/>
        <v>8</v>
      </c>
      <c r="EE312">
        <f t="shared" si="542"/>
        <v>0</v>
      </c>
      <c r="EF312">
        <f t="shared" si="543"/>
        <v>0.31289953641575857</v>
      </c>
      <c r="EG312" s="6">
        <f>IFERROR(ROUNDUP(EF312/((Uн_лин/SQRT(3))*1000)*100,2),"")</f>
        <v>0.14000000000000001</v>
      </c>
      <c r="EH312" t="str">
        <f>IFERROR(VLOOKUP(BT312,Кабель_обозначение,2,FALSE),"")</f>
        <v>ВВГнг(А)-LS</v>
      </c>
      <c r="EI312" t="str">
        <f t="shared" si="544"/>
        <v>ВВГнг(А)-LS (3х2,5)</v>
      </c>
      <c r="EJ312" t="str">
        <f t="shared" si="545"/>
        <v>ВВГнг(А)-LS (3х2,5)
L=8-0,14%</v>
      </c>
      <c r="EK312">
        <f>IFERROR(2*ρкз_Cu*Q312/DX312,"")</f>
        <v>0.16832</v>
      </c>
      <c r="EL312">
        <f t="shared" si="546"/>
        <v>5.6000000000000008E-2</v>
      </c>
      <c r="EM312" s="6" t="str">
        <f>IFERROR(IF(OR(B312="",NOT(ISNUMBER(DX312)),N(Q312)=0),"",_xlfn.XLOOKUP(A312,Щиты[Щит],Щиты[Zпетли на шинах, Ом])+EK312),"")</f>
        <v/>
      </c>
      <c r="EN312" s="6" t="str">
        <f>IF(ISNUMBER(EM312),c_min*(Uн_лин*1000/SQRT(3))/EM312,"")</f>
        <v/>
      </c>
      <c r="EO312" s="6" t="str">
        <f>IFERROR(IF(OR(B312="",NOT(ISNUMBER(DX312))),"",1.05*(Uн_лин*1000/SQRT(3))/(_xlfn.XLOOKUP(A312,Щиты[Щит],Щиты[Zmax на шинах, Ом])+EL312)/1000),"")</f>
        <v/>
      </c>
      <c r="EP312" s="6" t="str">
        <f>IF(B312="","",IF(ISNUMBER(Y312),"Сил",IF(IFERROR(_xlfn.XLOOKUP(AX312,Коды_код,Коды_группа)&amp;"","")="","Быт",_xlfn.XLOOKUP(AX312,Коды_код,Коды_группа)&amp;"")))</f>
        <v>Быт</v>
      </c>
      <c r="EQ312" s="6" t="str">
        <f t="shared" si="547"/>
        <v>Пост</v>
      </c>
      <c r="ER312" s="6">
        <f>IF(EQ312="Щит","щит",IF(EQ312="","",IF(EQ312="Быт",IFERROR(_xlfn.XLOOKUP(A312,Щиты[Щит],Щиты[Кс быт]),1),IF(EQ312="Сил",IF(ISNUMBER(Y312),Y312,IF(Методика="нормы 2026",IFERROR(_xlfn.XLOOKUP(A312,Щиты[Щит],Щиты[Кс силовых (табл. 7.5)]),1),1)),IF(OR(EQ312="Пост",EQ312="Отоп"),1,IF(EQ312="ВНГ",0.7,0))))))</f>
        <v>1</v>
      </c>
      <c r="ES312">
        <f t="shared" si="548"/>
        <v>1</v>
      </c>
      <c r="ET312">
        <f t="shared" si="549"/>
        <v>0.5</v>
      </c>
      <c r="EU312">
        <f t="shared" si="550"/>
        <v>0</v>
      </c>
      <c r="EV312">
        <f t="shared" si="551"/>
        <v>0</v>
      </c>
      <c r="EW312">
        <f t="shared" si="552"/>
        <v>0.5</v>
      </c>
      <c r="EX312">
        <f t="shared" si="553"/>
        <v>0</v>
      </c>
      <c r="EY312">
        <f t="shared" si="554"/>
        <v>0</v>
      </c>
      <c r="EZ312">
        <f t="shared" si="555"/>
        <v>0.5</v>
      </c>
      <c r="FA312">
        <f t="shared" si="556"/>
        <v>0.47499999999999998</v>
      </c>
      <c r="FB312">
        <f t="shared" si="557"/>
        <v>0.5</v>
      </c>
      <c r="FC312" t="str">
        <f t="shared" si="558"/>
        <v>L3</v>
      </c>
      <c r="FD312" t="str">
        <f>IF(B312="","",IF(CA312=0,IF(AW312=1,"",FF311),IF(OR(N(CV312)&gt;=3,N(BR312)&gt;=3),"L1,L2,L3",IFERROR(_xlfn.TEXTBEFORE(_xlfn.TEXTAFTER(_xlfn.XLOOKUP(A312,Щиты[Щит],Щиты[_фазы авто]),";"&amp;AW312&amp;":"),";"),"L1"))))</f>
        <v>L1</v>
      </c>
      <c r="FE312" t="str">
        <f t="shared" si="559"/>
        <v>L3</v>
      </c>
      <c r="FF312" t="str">
        <f t="shared" si="560"/>
        <v>L3</v>
      </c>
      <c r="FG312" cm="1">
        <f t="array" ref="FG312">IFERROR(IF(BX312=2,_xlfn.IFS(BR312=3,VLOOKUP(BN312,Справочная_двигатели,3,FALSE),BR312=1,VLOOKUP(BN312,Справочная_двигатели,5,TRUE)),0),0)</f>
        <v>0</v>
      </c>
      <c r="FH312">
        <f>IFERROR(IF(BX312=3,VLOOKUP(BN312,Справочная_ЛЭД,2,TRUE),0),0)</f>
        <v>0</v>
      </c>
      <c r="FI312" s="6">
        <f t="shared" si="561"/>
        <v>0</v>
      </c>
      <c r="FJ312" t="str" cm="1">
        <f t="array" ref="FJ312">IF(B312="","",IFERROR(INDEX({"I особая","I","II","III"},MATCH(TRIM(AC312&amp;""),{"I особая","I","II","III"},0)),"III"))</f>
        <v>II</v>
      </c>
      <c r="FK312" t="str">
        <f>IF(B312="","",IF(TRIM(AD312&amp;"")&lt;&gt;"",IF(LOWER(TRIM(AD312&amp;""))="да","да","нет"),IF(IFERROR(_xlfn.XLOOKUP(AX312,Коды_код,Коды_пожарная),"")="да","да","нет")))</f>
        <v>нет</v>
      </c>
      <c r="FL312" t="str">
        <f t="shared" si="562"/>
        <v/>
      </c>
      <c r="FM312" t="str">
        <f t="shared" si="563"/>
        <v>основная</v>
      </c>
      <c r="FN312">
        <f t="shared" si="564"/>
        <v>1</v>
      </c>
      <c r="FO312" t="str" cm="1">
        <f t="array" ref="FO312">IF(B312="","",_xlfn.LET(_xlpm.t,IFERROR(_xlfn.XLOOKUP(1,(Шины[Шина]=FM312)*(((Шины[Щит]=A312)+(Шины[Щит]=""))&gt;0),Шины[Тип]),"")&amp;"",IF(_xlpm.t&lt;&gt;"",_xlpm.t,IF(ISNUMBER(SEARCH("ИБП",FM312)),"ИБП",IF(ISNUMBER(SEARCH("ДГУ",FM312)),"ДГУ","Ввод "&amp;FN312)))))</f>
        <v>Ввод 1</v>
      </c>
      <c r="FP312" t="str">
        <f t="shared" si="565"/>
        <v>Ввод 1</v>
      </c>
      <c r="FQ312" t="str">
        <f>IF(B312="","",IF(OR(FO312="ИБП",FO312="ДГУ"),"I особая",IF(FO312="Одиночная","III",_xlfn.XLOOKUP(A312,Щиты[Щит],Щиты[Категория шины «Ввод»],"III"))))</f>
        <v>II</v>
      </c>
      <c r="FR312">
        <f>IF(B312="",0,IFERROR(MATCH(FJ312,{"III","II","I","I особая"},0),1))</f>
        <v>2</v>
      </c>
      <c r="FS312">
        <f t="shared" si="566"/>
        <v>2</v>
      </c>
      <c r="FT312" t="str">
        <f>IF(B312="","",IF(FR312&gt;IFERROR(MATCH(FQ312,{"III","II","I","I особая"},0),1),"НЕ ОБЕСПЕЧЕНА","ОК"))</f>
        <v>ОК</v>
      </c>
      <c r="FU312" t="str">
        <f>IF(A312="","",_xlfn.XLOOKUP(A312,Щиты[Щит],Щиты[Путь],""))</f>
        <v>|ГРЩ-ЖД|ЩР-2|</v>
      </c>
      <c r="FV312" t="str">
        <f>IF(B312="","",IF(AE312&lt;&gt;"",AE312,IF(IFERROR(_xlfn.XLOOKUP(AX312,Коды_код,Коды_вид)&amp;"","")="","Прочее",_xlfn.XLOOKUP(AX312,Коды_код,Коды_вид)&amp;"")))</f>
        <v>Системы безопасности и связи</v>
      </c>
      <c r="FW312">
        <f>IF(BH312="","",INT((BH312-1)/Столбцов_на_лист)+1)</f>
        <v>4</v>
      </c>
      <c r="FX312" t="str">
        <f t="shared" si="567"/>
        <v>ВВГнг(А)-LS (3х2,5) L=8-0,14%</v>
      </c>
      <c r="FY312">
        <f t="shared" si="568"/>
        <v>0.5</v>
      </c>
      <c r="FZ312">
        <f t="shared" si="569"/>
        <v>2.2799999999999998</v>
      </c>
      <c r="GA312">
        <f t="shared" si="570"/>
        <v>1</v>
      </c>
      <c r="GB312">
        <f t="shared" si="571"/>
        <v>0</v>
      </c>
      <c r="GC312">
        <f t="shared" si="572"/>
        <v>1</v>
      </c>
      <c r="GD312">
        <f>IF(BH312="","",IF(AND(CA312=1,GC312=1),COUNTIFS(A$3:A312,A312,CA$3:CA312,1,GC$3:GC312,1),IF(OR(OR(AW312=1,A312&lt;&gt;A311),AF312="вручную",GC312=0),"",IF(AW312=1,"",GE311))))</f>
        <v>29</v>
      </c>
      <c r="GE312">
        <f t="shared" si="573"/>
        <v>29</v>
      </c>
      <c r="GF312">
        <f>IF(B312="","",IFERROR(LOOKUP(INDEX(CHOOSE(DL312,Iдоп_1ж,Iдоп_2ж,Iдоп_3ж),MATCH(DX312,Iдоп_S,0))*DJ312*DK312,{6,10,16,20,25,32,40,50,63,80,100,125,160,200,250,315,400,500,630}),""))</f>
        <v>25</v>
      </c>
      <c r="GG312" t="str">
        <f t="shared" si="574"/>
        <v>QF29</v>
      </c>
      <c r="GH312" t="str">
        <f t="shared" si="575"/>
        <v>QF29</v>
      </c>
      <c r="GI312" t="str">
        <f t="shared" si="576"/>
        <v/>
      </c>
      <c r="GJ312">
        <f t="shared" si="577"/>
        <v>0</v>
      </c>
      <c r="GK312" t="str">
        <f>IF(OR(AG312="",AG312="-"),"",IFERROR(VLOOKUP(AG312,Модули_спр,2,FALSE),"R"))</f>
        <v/>
      </c>
      <c r="GL312" t="str">
        <f>IF(GK312="","",GK312&amp;"."&amp;COUNTIFS(A$3:A312,A312,GK$3:GK312,GK312))</f>
        <v/>
      </c>
      <c r="GM312" t="str">
        <f t="shared" si="578"/>
        <v/>
      </c>
      <c r="GN312" t="str">
        <f t="shared" si="579"/>
        <v/>
      </c>
      <c r="GO312" t="str">
        <f t="shared" si="580"/>
        <v/>
      </c>
      <c r="GP312" t="str">
        <f t="shared" si="581"/>
        <v/>
      </c>
      <c r="GQ312">
        <f t="shared" si="582"/>
        <v>1</v>
      </c>
      <c r="GR312" t="str">
        <f>IF(GQ312=1,"XT"&amp;COUNTIFS(A$3:A312,A312,GQ$3:GQ312,1),"")</f>
        <v>XT29</v>
      </c>
      <c r="GS312" t="str">
        <f t="shared" si="583"/>
        <v/>
      </c>
      <c r="GT312" t="str">
        <f t="shared" si="584"/>
        <v>QF29</v>
      </c>
      <c r="GU312" t="str">
        <f t="shared" si="585"/>
        <v/>
      </c>
      <c r="GV312" t="str">
        <f t="shared" si="586"/>
        <v>ok</v>
      </c>
      <c r="GW312" t="str">
        <f>IF(OR(GO312="",GM312=""),"",IF(GO312&gt;IFERROR(VLOOKUP(GN312,Модули_спр,3,FALSE),99),"ЛИШНИЙ КАНАЛ",IF(AND(AH312&lt;&gt;"=",COUNTIFS(Линии[_модуль гр.],GM312,Линии[Канал (итог)],GO312,Линии[Канал],"&lt;&gt;=",Линии[Щит],A312)&gt;1),"ДУБЛЬ КАНАЛА","")))</f>
        <v/>
      </c>
      <c r="GX312" s="6" t="str">
        <f t="shared" si="587"/>
        <v/>
      </c>
      <c r="GY312">
        <f t="shared" si="588"/>
        <v>10</v>
      </c>
      <c r="GZ312" t="str">
        <f t="shared" si="589"/>
        <v/>
      </c>
      <c r="HA312" t="str">
        <f>IF(AND(B312="",GT312=""),"",_xlfn.TEXTJOIN("; ",TRUE,IF(AND(B312&lt;&gt;"",FE312=""),"нет фазы",""),IF(AND(B312&lt;&gt;"",N(FY312)=0,EQ312&lt;&gt;"Нет"),"нет мощности",""),IF(AND(GS312&lt;&gt;"",COUNTIFS(Линии[Щит],A312,Линии[Клемма (итог)],GS312)&gt;1),"дубль клеммы "&amp;GS312,""),IF(AND(GV312&lt;&gt;"",GV312&lt;&gt;"ok"),GV312,""),IF(GW312&lt;&gt;"",GW312,""),IF(AND(N(BV312)&gt;=4,N(BR312)=1),BV312&amp;" жил на 1 фазе",""),IF(AND(AX312="R",CA312=1,OR(N(CK312)=0,N(CK312)&gt;30)),"розетка без дифзащиты до 30 мА",""),IFERROR(IF(AND(ISNUMBER(R312),R312&gt;DV312),"потери "&amp;FIXED(R312,1)&amp;" % &gt; "&amp;DV312&amp;" %",""),""),IFERROR(IF(LEFT(GZ312,4)="мало","Iкз мало — отключение &gt; 0,4 с",""),""),IF(AND(B312&lt;&gt;"",BH312=""),"не на схеме",""),IF(AND(CA312=0,B312&lt;&gt;"",FE312&lt;&gt;"",IF(AW312=1,"",FF311)&lt;&gt;"",FE312&lt;&gt;IF(AW312=1,"",FF311)),"фаза не как у автомата группы ("&amp;IF(AW312=1,"",FF311)&amp;")","")))</f>
        <v/>
      </c>
      <c r="HB312" s="6">
        <f>IF(OR(CA312=0,DA312=""),"",_xlfn.LET(_xlpm.t,IFERROR(_xlfn.XLOOKUP(DA312,Каталог!$U$4:$U$500,Каталог!$G$4:$G$500),""),_xlpm.k,SEARCH("кА",_xlpm.t),IFERROR(--TRIM(RIGHT(SUBSTITUTE(MID(_xlpm.t,MAX(1,_xlpm.k-4),_xlpm.k-MAX(1,_xlpm.k-4))," ",REPT(" ",9)),5)),"")))</f>
        <v>6</v>
      </c>
      <c r="HC312" t="str">
        <f>IF(OR(HB312="",CA312=0),"",IF(_xlfn.XLOOKUP(A312,Щиты[Щит],Щиты[Iкз max на шинах, кА],"")="","",IF(HB312&lt;_xlfn.XLOOKUP(A312,Щиты[Щит],Щиты[Iкз max на шинах, кА]),"Icu "&amp;HB312&amp;" кА &lt; Iкз max","ok")))</f>
        <v/>
      </c>
      <c r="HD312" t="str">
        <f t="shared" si="590"/>
        <v/>
      </c>
      <c r="HE312" t="str">
        <f t="shared" si="591"/>
        <v>QF29</v>
      </c>
      <c r="HF312" t="str">
        <f t="shared" si="592"/>
        <v>QF29|кабель ВВГнг(А)-LS (3х2,5) → Щит контроля доступа ЩКД-2  Тех. Этаж Пом №001T</v>
      </c>
      <c r="HG312" t="str" cm="1">
        <f t="array" ref="HG312">IF(HF312="","",_xlfn.LET(_xlpm.nd,_xlfn.TEXTSPLIT(HF312,"|"),IF(COLUMNS(_xlpm.nd)&gt;1,A312&amp;"¦"&amp;INDEX(_xlpm.nd,1)&amp;"¦"&amp;INDEX(_xlpm.nd,2),"")))</f>
        <v>ЩР-2¦QF29¦кабель ВВГнг(А)-LS (3х2,5) → Щит контроля доступа ЩКД-2  Тех. Этаж Пом №001T</v>
      </c>
      <c r="HH312" t="str">
        <f t="shared" si="593"/>
        <v>ШКД.3¦Щит контроля доступа ЩКД-2  Тех. Этаж Пом №001T</v>
      </c>
      <c r="HI312" t="str" cm="1">
        <f t="array" ref="HI312">IF(HF312="","",_xlfn.LET(_xlpm.nd,_xlfn.TEXTSPLIT(HF312,"|"),IF(COLUMNS(_xlpm.nd)&gt;2,A312&amp;"¦"&amp;INDEX(_xlpm.nd,2)&amp;"¦"&amp;INDEX(_xlpm.nd,3),"")))</f>
        <v/>
      </c>
      <c r="HJ312" t="str">
        <f t="shared" si="594"/>
        <v/>
      </c>
      <c r="HK312" t="str" cm="1">
        <f t="array" ref="HK312">IF(HF312="","",_xlfn.LET(_xlpm.nd,_xlfn.TEXTSPLIT(HF312,"|"),IF(COLUMNS(_xlpm.nd)&gt;3,A312&amp;"¦"&amp;INDEX(_xlpm.nd,3)&amp;"¦"&amp;INDEX(_xlpm.nd,4),"")))</f>
        <v/>
      </c>
      <c r="HL312" t="str">
        <f t="shared" si="595"/>
        <v/>
      </c>
      <c r="HM312" t="str" cm="1">
        <f t="array" ref="HM312">IF(HF312="","",_xlfn.LET(_xlpm.nd,_xlfn.TEXTSPLIT(HF312,"|"),IF(COLUMNS(_xlpm.nd)&gt;4,A312&amp;"¦"&amp;INDEX(_xlpm.nd,4)&amp;"¦"&amp;INDEX(_xlpm.nd,5),"")))</f>
        <v/>
      </c>
      <c r="HN312" t="str">
        <f t="shared" si="596"/>
        <v/>
      </c>
      <c r="HO312" t="str" cm="1">
        <f t="array" ref="HO312">IF(HF312="","",_xlfn.LET(_xlpm.nd,_xlfn.TEXTSPLIT(HF312,"|"),IF(COLUMNS(_xlpm.nd)&gt;5,A312&amp;"¦"&amp;INDEX(_xlpm.nd,5)&amp;"¦"&amp;INDEX(_xlpm.nd,6),"")))</f>
        <v/>
      </c>
      <c r="HP312" t="str">
        <f t="shared" si="597"/>
        <v/>
      </c>
      <c r="HQ312" t="str" cm="1">
        <f t="array" ref="HQ312">IF(HF312="","",_xlfn.LET(_xlpm.nd,_xlfn.TEXTSPLIT(HF312,"|"),IF(COLUMNS(_xlpm.nd)&gt;6,A312&amp;"¦"&amp;INDEX(_xlpm.nd,6)&amp;"¦"&amp;INDEX(_xlpm.nd,7),"")))</f>
        <v/>
      </c>
      <c r="HR312" t="str">
        <f t="shared" si="598"/>
        <v/>
      </c>
      <c r="HS312" t="str">
        <f t="shared" si="599"/>
        <v/>
      </c>
      <c r="HT312" t="str">
        <f t="shared" si="600"/>
        <v>QF29</v>
      </c>
      <c r="HU312">
        <f t="shared" si="601"/>
        <v>0</v>
      </c>
      <c r="HV312">
        <f t="shared" si="602"/>
        <v>0</v>
      </c>
      <c r="HW312" t="str">
        <f t="shared" si="603"/>
        <v/>
      </c>
      <c r="HX312" t="str">
        <f t="shared" si="604"/>
        <v/>
      </c>
      <c r="HY312" t="str">
        <f t="shared" si="605"/>
        <v/>
      </c>
      <c r="HZ312" t="str">
        <f t="shared" si="606"/>
        <v/>
      </c>
      <c r="IA312" t="str">
        <f>IF(B312="","",IFERROR(VLOOKUP(B312,УГО_спр,2,FALSE),IFERROR(VLOOKUP(AX312,УГО_спр,2,FALSE),IFERROR(VLOOKUP(LEFT(AX312,2),УГО_спр,2,FALSE),""))))</f>
        <v/>
      </c>
      <c r="IB312" t="str">
        <f>IF(B312="","",IF(OR(IA312="",IA312=0),"BOX",IFERROR(IF(VLOOKUP(IA312,УГО_блоки,3,FALSE)&amp;""&lt;&gt;"",VLOOKUP(IA312,УГО_блоки,3,FALSE),VLOOKUP(IA312,УГО_блоки,2,FALSE)),IA312)))</f>
        <v>BOX</v>
      </c>
      <c r="IC312">
        <f t="shared" si="607"/>
        <v>1</v>
      </c>
      <c r="ID312" t="str">
        <f>IF(DA312="","",IF(COUNTIF(DA$3:DA312,DA312)=1,MAX(ID$2:ID311)+1,""))</f>
        <v/>
      </c>
      <c r="IE312" t="str">
        <f>IF(CO312="","",IF(COUNTIF(CO$3:CO312,CO312)+COUNTIF(CP$2:CP311,CO312)+COUNTIF(CQ$2:CQ311,CO312)=1,MAX(IE$2:IG311)+1,""))</f>
        <v/>
      </c>
      <c r="IF312" t="str">
        <f>IF(CP312="","",IF(COUNTIF(CO$3:CO312,CP312)+COUNTIF(CP$3:CP312,CP312)+COUNTIF(CQ$2:CQ311,CP312)=1,MAX(IE$2:IG311,IE312)+1,""))</f>
        <v/>
      </c>
      <c r="IG312" t="str">
        <f>IF(CQ312="","",IF(COUNTIF(CO$3:CO312,CQ312)+COUNTIF(CP$3:CP312,CQ312)+COUNTIF(CQ$3:CQ312,CQ312)=1,MAX(IE$2:IG311,IE312,IF312)+1,""))</f>
        <v/>
      </c>
      <c r="IH312" t="str">
        <f t="shared" si="608"/>
        <v>3х2,5</v>
      </c>
      <c r="II312" t="str">
        <f>IF(IH312="","",IF(COUNTIF(IH$3:IH312,IH312)=1,MAX(II$2:II311)+1,""))</f>
        <v/>
      </c>
      <c r="IJ312" t="str">
        <f>IF(GL312="","",COUNTIF(GL$3:GL312,"?*"))</f>
        <v/>
      </c>
      <c r="IK312" t="str">
        <f>IF(OR(GL312="",GN312=""),"",IF(COUNTIFS(GL$3:GL312,"?*",GN$3:GN312,GN312)=1,MAX(IK$2:IK311)+1,""))</f>
        <v/>
      </c>
      <c r="IL312">
        <f t="shared" si="609"/>
        <v>0</v>
      </c>
      <c r="IM312">
        <f>IF(B312="","",COUNTIF(B$3:B312,"?*"))</f>
        <v>310</v>
      </c>
      <c r="IN312">
        <f>IF(GQ312&lt;&gt;1,0,_xlfn.LET(_xlpm.k,MAX(IFERROR(--VLOOKUP(B312,УГО_спр,5,FALSE),0),IFERROR(--VLOOKUP(AX312,УГО_спр,5,FALSE),0),IFERROR(--VLOOKUP(LEFT(AX312,2),УГО_спр,5,FALSE),0)),IF(_xlpm.k&gt;0,_xlpm.k,IF(IFERROR(--LEFT(SUBSTITUTE(IH312,"x","х"),FIND("х",SUBSTITUTE(IH312,"x","х"))-1),3)&gt;3,Каталог!$S$9,1))))</f>
        <v>1</v>
      </c>
      <c r="IO312">
        <f t="shared" si="610"/>
        <v>0</v>
      </c>
      <c r="IP312" t="str">
        <f t="shared" si="611"/>
        <v>авто</v>
      </c>
      <c r="IQ312" t="str">
        <f t="shared" si="612"/>
        <v/>
      </c>
      <c r="IR312">
        <f t="shared" si="613"/>
        <v>0</v>
      </c>
      <c r="IS312">
        <f t="shared" si="614"/>
        <v>1</v>
      </c>
    </row>
    <row r="313" spans="1:253" x14ac:dyDescent="0.3">
      <c r="A313" t="s">
        <v>763</v>
      </c>
      <c r="B313" t="s">
        <v>743</v>
      </c>
      <c r="C313" t="str">
        <f>Линии[[#This Row],[_авто наименование]]</f>
        <v>Вводной кабель шлейф 1</v>
      </c>
      <c r="D313">
        <v>1</v>
      </c>
      <c r="E313" t="s">
        <v>16</v>
      </c>
      <c r="G313">
        <v>40</v>
      </c>
      <c r="H313" t="str">
        <f>Линии[[#This Row],[_авто утечка]]</f>
        <v/>
      </c>
      <c r="I313" t="str">
        <f>Линии[[#This Row],[_авто управление]]</f>
        <v/>
      </c>
      <c r="J313" t="str">
        <f>Линии[[#This Row],[_авто аппараты]]</f>
        <v/>
      </c>
      <c r="K313">
        <v>10</v>
      </c>
      <c r="L313">
        <v>51</v>
      </c>
      <c r="M313" t="str">
        <f>Линии[[#This Row],[_авто фаза]]</f>
        <v>L1,L2,L3</v>
      </c>
      <c r="N313" t="str">
        <f>Линии[[#This Row],[_авто клемма]]</f>
        <v/>
      </c>
      <c r="O313" t="str">
        <f t="shared" si="492"/>
        <v/>
      </c>
      <c r="P313" s="6" cm="1">
        <f t="array" ref="P313">IF(B313="","",IF(BC313&lt;&gt;"",IFERROR(_xlfn.XLOOKUP(BC313,Щиты[Щит],Щиты[Iр, А]),""),IF(BK313=1,IFERROR(_xlfn.XLOOKUP(A313,Щиты[Щит],Щиты[Iр, А]),""),IFERROR(_xlfn.IFS(BR313=1,BN313/((Uн_лин/SQRT(3))*BY313),BR313=3,BN313/(SQRT(3)*Uн_лин*BY313)),""))))</f>
        <v>22.54372379226367</v>
      </c>
      <c r="Q313" s="7">
        <f>IF(B313="","",IFERROR(IF(VLOOKUP(AX313,Потребители_обозначение,4,FALSE)=1,VLOOKUP(AX313,Потребители_обозначение,3,FALSE)*(D313*2-1)+DS313+VLOOKUP(AZ313,Этаж_обозначение,3,FALSE)+VLOOKUP(AZ313,Этаж_обозначение,4,FALSE),VLOOKUP(AX313,Потребители_обозначение,3,FALSE)*(D313*2-1)+DS313),DS313))</f>
        <v>51</v>
      </c>
      <c r="R313" s="6">
        <f t="shared" si="493"/>
        <v>1.88</v>
      </c>
      <c r="S313" t="str">
        <f t="shared" si="494"/>
        <v>ВВГнг(А)-LS (5х10)</v>
      </c>
      <c r="T313" t="str">
        <f>IF(BH313="","",IF(BI313="вводной узел","узел ","")&amp;"л."&amp;(INT((BH313-1)/Столбцов_на_лист)+1)&amp;" / "&amp;(MOD(BH313-1,Столбцов_на_лист)+1))</f>
        <v>узел л.1 / 2</v>
      </c>
      <c r="V313">
        <v>3</v>
      </c>
      <c r="W313">
        <v>400</v>
      </c>
      <c r="X313" t="s">
        <v>549</v>
      </c>
      <c r="AF313" t="s">
        <v>1303</v>
      </c>
      <c r="AI313">
        <v>2</v>
      </c>
      <c r="AJ313" t="s">
        <v>11</v>
      </c>
      <c r="AK313">
        <v>5</v>
      </c>
      <c r="AM313">
        <v>34</v>
      </c>
      <c r="AN313">
        <v>12</v>
      </c>
      <c r="AP313">
        <v>1</v>
      </c>
      <c r="AW313" cm="1">
        <f t="array" ref="AW313">ROW()-ROW(Линии[#Headers])</f>
        <v>311</v>
      </c>
      <c r="AX313" s="6" t="str">
        <f t="shared" si="495"/>
        <v>Ввод</v>
      </c>
      <c r="AY313" t="str">
        <f t="shared" si="496"/>
        <v>1</v>
      </c>
      <c r="AZ313" t="str">
        <f t="shared" si="497"/>
        <v>1</v>
      </c>
      <c r="BA313" t="str">
        <f t="shared" si="498"/>
        <v/>
      </c>
      <c r="BB313" t="str">
        <f t="shared" si="499"/>
        <v/>
      </c>
      <c r="BC313" t="str">
        <f>IF(U313&lt;&gt;"",U313,IF(AND(B313&lt;&gt;"",B313&lt;&gt;A313,ISNUMBER(_xlfn.XMATCH(B313,Щиты[Щит]))),B313,""))</f>
        <v/>
      </c>
      <c r="BD313" t="str" cm="1">
        <f t="array" ref="BD313">IF(B313="","",IF(BC313&lt;&gt;"","Щит "&amp;BC313,_xlfn.LET(_xlpm.nm,IFERROR(_xlfn.XLOOKUP(AX313,Коды_код,Коды_имя)&amp;"",""),_xlpm.md,IFERROR(N(_xlfn.XLOOKUP(AX313,Коды_код,Коды_режим)),1),_xlpm.ex,IF(Имя_режим="по экспликации",IFERROR(_xlfn.XLOOKUP(AZ313&amp;"|"&amp;BB313,Экспликация[Этаж]&amp;"|"&amp;Экспликация[Помещение],Экспликация[Название])&amp;"",""),""),_xlpm.rm,IF(BB313="","",IF(_xlpm.ex&lt;&gt;"",". "&amp;_xlpm.ex&amp;IF(Имя_пом="нет"," ("&amp;BB313&amp;")"," (пом. "&amp;BB313&amp;")"),IF(Имя_пом="нет"," ",", пом. ")&amp;BB313)),IF(_xlpm.nm="","",IF(_xlpm.md=2,_xlpm.nm&amp;" шлейф "&amp;AZ313,_xlpm.nm&amp;_xlpm.rm)))))</f>
        <v>Вводной кабель шлейф 1</v>
      </c>
      <c r="BE313" t="str">
        <f t="shared" si="500"/>
        <v>Вводной кабель шлейф 1</v>
      </c>
      <c r="BF313">
        <f>IFERROR(_xlfn.XMATCH(A313,Щиты[Щит]),0)</f>
        <v>12</v>
      </c>
      <c r="BG313">
        <f>_xlfn.LET(_xlpm.k,IFERROR(_xlfn.XLOOKUP(A313,Щиты[Щит],Щиты[Листов под вводной узел]),""),IF(_xlpm.k="",1,N(_xlpm.k))*Столбцов_на_лист)</f>
        <v>17</v>
      </c>
      <c r="BH313">
        <f t="shared" si="501"/>
        <v>2</v>
      </c>
      <c r="BI313" t="str">
        <f t="shared" si="502"/>
        <v>вводной узел</v>
      </c>
      <c r="BJ313" s="6">
        <f>IFERROR(N(_xlfn.XLOOKUP(AX313,Коды_код,Коды_квт)),0)</f>
        <v>0</v>
      </c>
      <c r="BK313">
        <f t="shared" si="503"/>
        <v>1</v>
      </c>
      <c r="BL313">
        <f>IF(B313="","",IF(BC313&lt;&gt;"",IFERROR(_xlfn.XLOOKUP(BC313,Щиты[Щит],Щиты[Руст, кВт]),0),IF(BK313=1,IFERROR(_xlfn.XLOOKUP(A313,Щиты[Щит],Щиты[Руст, кВт]),0),IF(BJ313&gt;0,ROUND(BJ313*MAX(1,N(D313)),3),""))))</f>
        <v>24.990000000000002</v>
      </c>
      <c r="BM313" t="str">
        <f t="shared" si="504"/>
        <v>кВт</v>
      </c>
      <c r="BN313" s="6">
        <f>IF(B313="","",IF(BC313&lt;&gt;"",IFERROR(_xlfn.XLOOKUP(BC313,Щиты[Щит],Щиты[Руст, кВт]),0),N(BM313)))</f>
        <v>0</v>
      </c>
      <c r="BO313" t="str">
        <f>IF(B313="","",IFERROR(IF(VLOOKUP(AX313,Потребители_обозначение,8,FALSE)=0,"",VLOOKUP(AX313,Потребители_обозначение,8,FALSE)),""))</f>
        <v/>
      </c>
      <c r="BP313">
        <f t="shared" si="505"/>
        <v>400</v>
      </c>
      <c r="BQ313">
        <f>IF(B313="","",IF(BC313&lt;&gt;"",3,IFERROR(IF(N(VLOOKUP(AX313,Потребители_обозначение,9,FALSE))=0,1,VLOOKUP(AX313,Потребители_обозначение,9,FALSE)),1)))</f>
        <v>1</v>
      </c>
      <c r="BR313">
        <f t="shared" si="506"/>
        <v>3</v>
      </c>
      <c r="BS313" t="str">
        <f>IF(B313="","",_xlfn.LET(_xlpm.bc,IFERROR(IF(VLOOKUP(AX313,Потребители_обозначение,6,FALSE)=0,"",VLOOKUP(AX313,Потребители_обозначение,6,FALSE)&amp;""),""),IF(AND(FK313="да",OR(_xlpm.bc="",_xlpm.bc="мс")),Марка_пож,IF(AND(_xlpm.bc="",BC313&lt;&gt;""),"мс",_xlpm.bc))))</f>
        <v/>
      </c>
      <c r="BT313" t="str">
        <f t="shared" si="507"/>
        <v>мс</v>
      </c>
      <c r="BU313">
        <f>IF(B313="","",_xlfn.LET(_xlpm.cc,IFERROR(N(VLOOKUP(AX313,Потребители_обозначение,7,FALSE)),0),IF(_xlpm.cc&gt;0,_xlpm.cc,IF(BT313="","",IF(N(BR313)=3,5,3)))))</f>
        <v>5</v>
      </c>
      <c r="BV313">
        <f t="shared" si="508"/>
        <v>5</v>
      </c>
      <c r="BW313">
        <f>IFERROR(N(VLOOKUP(AX313,Потребители_обозначение,10,FALSE)),0)</f>
        <v>0</v>
      </c>
      <c r="BX313">
        <f>IFERROR(VLOOKUP(AX313,Потребители_обозначение,5,FALSE),0)</f>
        <v>1</v>
      </c>
      <c r="BY313" s="6" cm="1">
        <f t="array" ref="BY313">IF(B313="","",IF(BC313&lt;&gt;"",IFERROR(_xlfn.XLOOKUP(BC313,Щиты[Щит],Щиты[cos φ]),0.95),IF(BK313=1,IFERROR(_xlfn.XLOOKUP(A313,Щиты[Щит],Щиты[cos φ]),0.95),IF(ISNUMBER(Z313),Z313,IFERROR(IF(BX313=2,_xlfn.IFS(BR313=3,VLOOKUP(BN313,Справочная_двигатели,8,FALSE),BR313=1,VLOOKUP(BN313,Справочная_двигатели,10,TRUE)),IF(AND(Методика="нормы 2026",EQ313="Сил"),0.8,0.95)),0.95)))))</f>
        <v>0.79999999999999993</v>
      </c>
      <c r="BZ313">
        <f t="shared" si="509"/>
        <v>0</v>
      </c>
      <c r="CA313">
        <f t="shared" si="510"/>
        <v>1</v>
      </c>
      <c r="CB313">
        <f t="shared" si="511"/>
        <v>0</v>
      </c>
      <c r="CC313">
        <f t="shared" si="512"/>
        <v>0</v>
      </c>
      <c r="CD313">
        <f t="shared" si="513"/>
        <v>0</v>
      </c>
      <c r="CE313">
        <f t="shared" si="514"/>
        <v>0</v>
      </c>
      <c r="CF313">
        <f t="shared" si="515"/>
        <v>0</v>
      </c>
      <c r="CG313">
        <f>IF(AX313="",0,_xlfn.LET(_xlpm.v,IFERROR(VLOOKUP(B313,УГО_спр,3,FALSE),IFERROR(VLOOKUP(AX313,УГО_спр,3,FALSE),IFERROR(VLOOKUP(LEFT(AX313,2),УГО_спр,3,FALSE),""))),IF(_xlpm.v="да",30,IF(ISNUMBER(_xlpm.v),_xlpm.v,0))))</f>
        <v>0</v>
      </c>
      <c r="CH313" t="str">
        <f t="shared" si="516"/>
        <v/>
      </c>
      <c r="CI313" t="str">
        <f>_xlfn.LET(_xlpm.k,IFERROR(_xlfn.XLOOKUP(AX313,Коды_код,Коды_утечка)&amp;"",""),IF(_xlpm.k="","дифавтомат",_xlpm.k))</f>
        <v>дифавтомат</v>
      </c>
      <c r="CJ313">
        <f t="shared" si="517"/>
        <v>0</v>
      </c>
      <c r="CK313">
        <f t="shared" si="518"/>
        <v>0</v>
      </c>
      <c r="CL313">
        <f>IF(B313="",0,IFERROR(--VLOOKUP(B313,УГО_спр,4,FALSE),IFERROR(--VLOOKUP(AX313,УГО_спр,4,FALSE),IFERROR(--VLOOKUP(LEFT(AX313,2),УГО_спр,4,FALSE),0))))</f>
        <v>0</v>
      </c>
      <c r="CM313" t="str">
        <f>IF(B313="","",IFERROR(_xlfn.XLOOKUP(AX313,Коды_код,Коды_апп)&amp;"",""))</f>
        <v/>
      </c>
      <c r="CN313" t="str">
        <f t="shared" si="519"/>
        <v/>
      </c>
      <c r="CO313" t="str" cm="1">
        <f t="array" ref="CO313">IF(TRIM(CN313&amp;"")="","",IFERROR(TRIM(INDEX(_xlfn.TEXTSPLIT(CN313&amp;";;;",";"),1)),""))</f>
        <v/>
      </c>
      <c r="CP313" t="str" cm="1">
        <f t="array" ref="CP313">IF(TRIM(CN313&amp;"")="","",IFERROR(TRIM(INDEX(_xlfn.TEXTSPLIT(CN313&amp;";;;",";"),2)),""))</f>
        <v/>
      </c>
      <c r="CQ313" t="str" cm="1">
        <f t="array" ref="CQ313">IF(TRIM(CN313&amp;"")="","",IFERROR(TRIM(INDEX(_xlfn.TEXTSPLIT(CN313&amp;";;;",";"),3)),""))</f>
        <v/>
      </c>
      <c r="CR313">
        <f t="shared" si="520"/>
        <v>0</v>
      </c>
      <c r="CS313" t="str">
        <f>IF(B313="","",_xlfn.LET(_xlpm.t,LOWER(AV313&amp;""),IF(ISNUMBER(SEARCH("dim",_xlpm.t)),"DIM",IF(ISNUMBER(SEARCH("dali",_xlpm.t)),"DALI",IF(OR(ISNUMBER(SEARCH("relay",_xlpm.t)),ISNUMBER(SEARCH("реле",_xlpm.t))),"Relay",IF(ISNUMBER(SEARCH("кнопк",_xlpm.t)),"",IFERROR(_xlfn.XLOOKUP(AX313,Коды_код,Коды_упр)&amp;"","")))))))</f>
        <v/>
      </c>
      <c r="CT313" t="str">
        <f t="shared" si="521"/>
        <v/>
      </c>
      <c r="CU313">
        <f>IF(B313="","",_xlfn.LET(_xlpm.ig,N(P313)+IF(AF313="вручную",0,N(CB313)),_xlpm.n0,IFERROR(VLOOKUP(_xlpm.ig,Автомат_номиналы,2,TRUE),0),_xlpm.mn,MAX(CL313,IF(AF313="вручную",0,N(CE313))),MAX(_xlpm.n0,_xlpm.mn,IF(CR313=1,Мин_автомат_БП,0))))</f>
        <v>32</v>
      </c>
      <c r="CV313">
        <f t="shared" si="522"/>
        <v>3</v>
      </c>
      <c r="CW313" t="str">
        <f t="shared" si="523"/>
        <v>3P</v>
      </c>
      <c r="CX313" t="str">
        <f>_xlfn.LET(_xlpm.cc,UPPER(TRIM(IFERROR(_xlfn.XLOOKUP(AX313,Коды_код,Коды_хар)&amp;"",""))),IF(OR(_xlpm.cc="B",_xlpm.cc="В"),"B",IF(_xlpm.cc="D","D","С")))</f>
        <v>С</v>
      </c>
      <c r="CY313" t="str">
        <f t="shared" si="524"/>
        <v>3P С32А</v>
      </c>
      <c r="CZ313">
        <f t="shared" si="525"/>
        <v>40</v>
      </c>
      <c r="DA313" t="str">
        <f t="shared" si="526"/>
        <v>3P С40А</v>
      </c>
      <c r="DB313" cm="1">
        <f t="array" ref="DB313">IF(DA313="","",_xlfn.LET(_xlpm.t,SUBSTITUTE(SUBSTITUTE(SUBSTITUTE(UPPER(DA313),"С","C"),"А","A"),"В","B"),_xlpm.tk,_xlfn.TEXTSPLIT(_xlpm.t,"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313" t="str">
        <f t="shared" si="527"/>
        <v>узел</v>
      </c>
      <c r="DD313">
        <f t="shared" si="528"/>
        <v>40</v>
      </c>
      <c r="DE313" t="str">
        <f t="shared" si="529"/>
        <v>3P С40А</v>
      </c>
      <c r="DF313">
        <f t="shared" si="530"/>
        <v>0</v>
      </c>
      <c r="DG313">
        <f t="shared" si="531"/>
        <v>0</v>
      </c>
      <c r="DH313">
        <f t="shared" si="532"/>
        <v>0</v>
      </c>
      <c r="DI313">
        <f t="shared" si="533"/>
        <v>22.54372379226367</v>
      </c>
      <c r="DJ313">
        <f t="shared" si="534"/>
        <v>0.92</v>
      </c>
      <c r="DK313">
        <f>IF(ISNUMBER(AL313),AL313,К_прокл)</f>
        <v>1</v>
      </c>
      <c r="DL313">
        <f t="shared" si="535"/>
        <v>3</v>
      </c>
      <c r="DM313">
        <f>IFERROR(N(VLOOKUP(BT313,Кабель_обозначение,3,FALSE)),1)</f>
        <v>1</v>
      </c>
      <c r="DN313">
        <f>IFERROR(N(_xlfn.XLOOKUP(A313,Щиты[Щит],Щиты[ΔU до шин, %])),0)</f>
        <v>0.96</v>
      </c>
      <c r="DO313" t="str">
        <f>IFERROR(_xlfn.XLOOKUP(A313,Щиты[Щит],Щиты[Zпетли на шинах, Ом]),"")</f>
        <v/>
      </c>
      <c r="DP313">
        <f>IFERROR(N(_xlfn.XLOOKUP(A313,Щиты[Щит],Щиты[ΔU до шин (подбор), %])),0)</f>
        <v>0.96</v>
      </c>
      <c r="DQ313" t="str">
        <f>IFERROR(_xlfn.XLOOKUP(A313,Щиты[Щит],Щиты[Zпетли на шинах (подбор), Ом]),"")</f>
        <v/>
      </c>
      <c r="DR313" t="str">
        <f t="shared" si="536"/>
        <v/>
      </c>
      <c r="DS313">
        <f t="shared" si="537"/>
        <v>51</v>
      </c>
      <c r="DT313">
        <f t="shared" si="538"/>
        <v>1</v>
      </c>
      <c r="DU313">
        <f t="shared" si="539"/>
        <v>0.6</v>
      </c>
      <c r="DV313" s="6">
        <f>IF(B313="","",IF(IFERROR(VLOOKUP(AX313,УГО_спр,2,FALSE),"")="Светильник",3,4)+IF(Методика="нормы 2026",MIN(0.5,MAX(0,N(Q313)-100)*0.005),0))</f>
        <v>4</v>
      </c>
      <c r="DW313" cm="1">
        <f t="array" ref="DW313">IF(OR(B313="",BT313="",DM313&lt;&gt;1),"",_xlfn.LET(_xlpm.sz,Iдоп_S,_xlpm.t_,CHOOSE(DL313,Iдоп_1ж,Iдоп_2ж,Iдоп_3ж)*DJ313*DK313,_xlpm.inn,N(DD313),_xlpm.smin,MAX(1.5,BW313),_xlpm.L_,N(Q313)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313)*(_xlpm.rho*_xlpm.L_/_xlpm.sz*N(BY313)+_xlpm.xx*_xlpm.L_*N(DU313)/1000)*N(P313)/((Uн_лин/SQRT(3))*1000)*100,999),_xlpm.kz,IF(OR(DG313=1,NOT(ISNUMBER(DQ313)),_xlpm.L_=0,_xlpm.inn=0),1,IFERROR(--(c_min*(Uн_лин*1000/SQRT(3))/(DQ313+2*ρкз_Cu*_xlpm.L_/_xlpm.sz)&gt;=GY313*_xlpm.inn),0)),_xlpm.ok,IFERROR((_xlpm.sz&gt;=_xlpm.smin)*(_xlpm.t_&gt;=_xlpm.inn)*IF(_xlpm.L_&gt;0,(_xlpm.du_+DP313&lt;=DV313+0.00001),1)*_xlpm.kz,0),_xlpm.r_,_xlfn._xlws.FILTER(_xlpm.sz,_xlpm.ok,"не подобрано"),INDEX(_xlpm.r_,1)))</f>
        <v>10</v>
      </c>
      <c r="DX313">
        <f t="shared" si="540"/>
        <v>10</v>
      </c>
      <c r="DY313" cm="1">
        <f t="array" ref="DY313">IF(OR(B313="",BT313="",DM313&lt;&gt;1),"",_xlfn.LET(_xlpm.sz,Iдоп_S,_xlpm.t_,CHOOSE(DL313,Iдоп_1ж,Iдоп_2ж,Iдоп_3ж)*DJ313*DK313,_xlpm.ok,IFERROR((_xlpm.sz&gt;=MAX(1.5,BW313))*(_xlpm.t_&gt;=N(DD313)),0),_xlpm.r_,_xlfn._xlws.FILTER(_xlpm.sz,_xlpm.ok,""),INDEX(_xlpm.r_,1)))</f>
        <v>10</v>
      </c>
      <c r="DZ313" s="6" cm="1">
        <f t="array" ref="DZ313">IFERROR(ROUNDUP(N(DT313)*(_xlfn.XLOOKUP(DY313,INDEX(Кабель_сопротивление,0,1),INDEX(Кабель_сопротивление,0,3))*N(Q313)/DY313*N(BY313)+_xlfn.XLOOKUP(DY313,INDEX(Кабель_сопротивление,0,1),INDEX(Кабель_сопротивление,0,2))*N(Q313)*N(DU313)/1000)*N(P313)/((Uн_лин/SQRT(3))*1000)*100,2),"")</f>
        <v>0.92</v>
      </c>
      <c r="EA313">
        <f>IFERROR(2*ρкз_Cu*N(Q313)/DY313,"")</f>
        <v>0.26826</v>
      </c>
      <c r="EB313">
        <f>IFERROR(VLOOKUP(DX313,Кабель_сопротивление,3,FALSE),"")</f>
        <v>2.2499999999999999E-2</v>
      </c>
      <c r="EC313">
        <f>IFERROR(VLOOKUP(DX313,Кабель_сопротивление,2,FALSE),"")</f>
        <v>7.2999999999999995E-2</v>
      </c>
      <c r="ED313">
        <f t="shared" si="541"/>
        <v>12</v>
      </c>
      <c r="EE313">
        <f t="shared" si="542"/>
        <v>0</v>
      </c>
      <c r="EF313">
        <f t="shared" si="543"/>
        <v>2.1198720143369627</v>
      </c>
      <c r="EG313" s="6">
        <f>IFERROR(ROUNDUP(EF313/((Uн_лин/SQRT(3))*1000)*100,2),"")</f>
        <v>0.92</v>
      </c>
      <c r="EH313" t="str">
        <f>IFERROR(VLOOKUP(BT313,Кабель_обозначение,2,FALSE),"")</f>
        <v>ВВГнг(А)-LS</v>
      </c>
      <c r="EI313" t="str">
        <f t="shared" si="544"/>
        <v>ВВГнг(А)-LS (5х10)</v>
      </c>
      <c r="EJ313" t="str">
        <f t="shared" si="545"/>
        <v/>
      </c>
      <c r="EK313">
        <f>IFERROR(2*ρкз_Cu*Q313/DX313,"")</f>
        <v>0.26826</v>
      </c>
      <c r="EL313">
        <f t="shared" si="546"/>
        <v>8.925000000000001E-2</v>
      </c>
      <c r="EM313" s="6" t="str">
        <f>IFERROR(IF(OR(B313="",NOT(ISNUMBER(DX313)),N(Q313)=0),"",_xlfn.XLOOKUP(A313,Щиты[Щит],Щиты[Zпетли на шинах, Ом])+EK313),"")</f>
        <v/>
      </c>
      <c r="EN313" s="6" t="str">
        <f>IF(ISNUMBER(EM313),c_min*(Uн_лин*1000/SQRT(3))/EM313,"")</f>
        <v/>
      </c>
      <c r="EO313" s="6" t="str">
        <f>IFERROR(IF(OR(B313="",NOT(ISNUMBER(DX313))),"",1.05*(Uн_лин*1000/SQRT(3))/(_xlfn.XLOOKUP(A313,Щиты[Щит],Щиты[Zmax на шинах, Ом])+EL313)/1000),"")</f>
        <v/>
      </c>
      <c r="EP313" s="6" t="str">
        <f>IF(B313="","",IF(ISNUMBER(Y313),"Сил",IF(IFERROR(_xlfn.XLOOKUP(AX313,Коды_код,Коды_группа)&amp;"","")="","Быт",_xlfn.XLOOKUP(AX313,Коды_код,Коды_группа)&amp;"")))</f>
        <v>Быт</v>
      </c>
      <c r="EQ313" s="6" t="str">
        <f t="shared" si="547"/>
        <v>Нет</v>
      </c>
      <c r="ER313" s="6">
        <f>IF(EQ313="Щит","щит",IF(EQ313="","",IF(EQ313="Быт",IFERROR(_xlfn.XLOOKUP(A313,Щиты[Щит],Щиты[Кс быт]),1),IF(EQ313="Сил",IF(ISNUMBER(Y313),Y313,IF(Методика="нормы 2026",IFERROR(_xlfn.XLOOKUP(A313,Щиты[Щит],Щиты[Кс силовых (табл. 7.5)]),1),1)),IF(OR(EQ313="Пост",EQ313="Отоп"),1,IF(EQ313="ВНГ",0.7,0))))))</f>
        <v>0</v>
      </c>
      <c r="ES313">
        <f t="shared" si="548"/>
        <v>1</v>
      </c>
      <c r="ET313">
        <f t="shared" si="549"/>
        <v>0</v>
      </c>
      <c r="EU313">
        <f t="shared" si="550"/>
        <v>0</v>
      </c>
      <c r="EV313">
        <f t="shared" si="551"/>
        <v>0</v>
      </c>
      <c r="EW313">
        <f t="shared" si="552"/>
        <v>0</v>
      </c>
      <c r="EX313">
        <f t="shared" si="553"/>
        <v>0</v>
      </c>
      <c r="EY313">
        <f t="shared" si="554"/>
        <v>0</v>
      </c>
      <c r="EZ313">
        <f t="shared" si="555"/>
        <v>0</v>
      </c>
      <c r="FA313">
        <f t="shared" si="556"/>
        <v>0</v>
      </c>
      <c r="FB313">
        <f t="shared" si="557"/>
        <v>0</v>
      </c>
      <c r="FC313" t="str">
        <f t="shared" si="558"/>
        <v/>
      </c>
      <c r="FD313" t="str">
        <f>IF(B313="","",IF(CA313=0,IF(AW313=1,"",FF312),IF(OR(N(CV313)&gt;=3,N(BR313)&gt;=3),"L1,L2,L3",IFERROR(_xlfn.TEXTBEFORE(_xlfn.TEXTAFTER(_xlfn.XLOOKUP(A313,Щиты[Щит],Щиты[_фазы авто]),";"&amp;AW313&amp;":"),";"),"L1"))))</f>
        <v>L1,L2,L3</v>
      </c>
      <c r="FE313" t="str">
        <f t="shared" si="559"/>
        <v>L1,L2,L3</v>
      </c>
      <c r="FF313" t="str">
        <f t="shared" si="560"/>
        <v>L1,L2,L3</v>
      </c>
      <c r="FG313" cm="1">
        <f t="array" ref="FG313">IFERROR(IF(BX313=2,_xlfn.IFS(BR313=3,VLOOKUP(BN313,Справочная_двигатели,3,FALSE),BR313=1,VLOOKUP(BN313,Справочная_двигатели,5,TRUE)),0),0)</f>
        <v>0</v>
      </c>
      <c r="FH313">
        <f>IFERROR(IF(BX313=3,VLOOKUP(BN313,Справочная_ЛЭД,2,TRUE),0),0)</f>
        <v>0</v>
      </c>
      <c r="FI313" s="6">
        <f t="shared" si="561"/>
        <v>0</v>
      </c>
      <c r="FJ313" t="str" cm="1">
        <f t="array" ref="FJ313">IF(B313="","",IFERROR(INDEX({"I особая","I","II","III"},MATCH(TRIM(AC313&amp;""),{"I особая","I","II","III"},0)),"III"))</f>
        <v>III</v>
      </c>
      <c r="FK313" t="str">
        <f>IF(B313="","",IF(TRIM(AD313&amp;"")&lt;&gt;"",IF(LOWER(TRIM(AD313&amp;""))="да","да","нет"),IF(IFERROR(_xlfn.XLOOKUP(AX313,Коды_код,Коды_пожарная),"")="да","да","нет")))</f>
        <v>нет</v>
      </c>
      <c r="FL313" t="str">
        <f t="shared" si="562"/>
        <v/>
      </c>
      <c r="FM313" t="str">
        <f t="shared" si="563"/>
        <v>основная</v>
      </c>
      <c r="FN313">
        <f t="shared" si="564"/>
        <v>1</v>
      </c>
      <c r="FO313" t="str" cm="1">
        <f t="array" ref="FO313">IF(B313="","",_xlfn.LET(_xlpm.t,IFERROR(_xlfn.XLOOKUP(1,(Шины[Шина]=FM313)*(((Шины[Щит]=A313)+(Шины[Щит]=""))&gt;0),Шины[Тип]),"")&amp;"",IF(_xlpm.t&lt;&gt;"",_xlpm.t,IF(ISNUMBER(SEARCH("ИБП",FM313)),"ИБП",IF(ISNUMBER(SEARCH("ДГУ",FM313)),"ДГУ","Ввод "&amp;FN313)))))</f>
        <v>Ввод 1</v>
      </c>
      <c r="FP313" t="str">
        <f t="shared" si="565"/>
        <v>Ввод 1</v>
      </c>
      <c r="FQ313" t="str">
        <f>IF(B313="","",IF(OR(FO313="ИБП",FO313="ДГУ"),"I особая",IF(FO313="Одиночная","III",_xlfn.XLOOKUP(A313,Щиты[Щит],Щиты[Категория шины «Ввод»],"III"))))</f>
        <v>II</v>
      </c>
      <c r="FR313">
        <f>IF(B313="",0,IFERROR(MATCH(FJ313,{"III","II","I","I особая"},0),1))</f>
        <v>1</v>
      </c>
      <c r="FS313">
        <f t="shared" si="566"/>
        <v>1</v>
      </c>
      <c r="FT313" t="str">
        <f>IF(B313="","",IF(FR313&gt;IFERROR(MATCH(FQ313,{"III","II","I","I особая"},0),1),"НЕ ОБЕСПЕЧЕНА","ОК"))</f>
        <v>ОК</v>
      </c>
      <c r="FU313" t="str">
        <f>IF(A313="","",_xlfn.XLOOKUP(A313,Щиты[Щит],Щиты[Путь],""))</f>
        <v>|ГРЩ-ЖД|ЩС-Б|</v>
      </c>
      <c r="FV313" t="str">
        <f>IF(B313="","",IF(AE313&lt;&gt;"",AE313,IF(IFERROR(_xlfn.XLOOKUP(AX313,Коды_код,Коды_вид)&amp;"","")="","Прочее",_xlfn.XLOOKUP(AX313,Коды_код,Коды_вид)&amp;"")))</f>
        <v>Прочее</v>
      </c>
      <c r="FW313">
        <f>IF(BH313="","",INT((BH313-1)/Столбцов_на_лист)+1)</f>
        <v>1</v>
      </c>
      <c r="FX313" t="str">
        <f t="shared" si="567"/>
        <v/>
      </c>
      <c r="FY313">
        <f t="shared" si="568"/>
        <v>0</v>
      </c>
      <c r="FZ313">
        <f t="shared" si="569"/>
        <v>22.55</v>
      </c>
      <c r="GA313">
        <f t="shared" si="570"/>
        <v>3</v>
      </c>
      <c r="GB313">
        <f t="shared" si="571"/>
        <v>0</v>
      </c>
      <c r="GC313">
        <f t="shared" si="572"/>
        <v>0</v>
      </c>
      <c r="GD313" t="str">
        <f>IF(BH313="","",IF(AND(CA313=1,GC313=1),COUNTIFS(A$3:A313,A313,CA$3:CA313,1,GC$3:GC313,1),IF(OR(OR(AW313=1,A313&lt;&gt;A312),AF313="вручную",GC313=0),"",IF(AW313=1,"",GE312))))</f>
        <v/>
      </c>
      <c r="GE313" t="str">
        <f t="shared" si="573"/>
        <v/>
      </c>
      <c r="GF313">
        <f>IF(B313="","",IFERROR(LOOKUP(INDEX(CHOOSE(DL313,Iдоп_1ж,Iдоп_2ж,Iдоп_3ж),MATCH(DX313,Iдоп_S,0))*DJ313*DK313,{6,10,16,20,25,32,40,50,63,80,100,125,160,200,250,315,400,500,630}),""))</f>
        <v>50</v>
      </c>
      <c r="GG313" t="str">
        <f t="shared" si="574"/>
        <v/>
      </c>
      <c r="GH313" t="str">
        <f t="shared" si="575"/>
        <v/>
      </c>
      <c r="GI313" t="str">
        <f t="shared" si="576"/>
        <v/>
      </c>
      <c r="GJ313">
        <f t="shared" si="577"/>
        <v>0</v>
      </c>
      <c r="GK313" t="str">
        <f>IF(OR(AG313="",AG313="-"),"",IFERROR(VLOOKUP(AG313,Модули_спр,2,FALSE),"R"))</f>
        <v/>
      </c>
      <c r="GL313" t="str">
        <f>IF(GK313="","",GK313&amp;"."&amp;COUNTIFS(A$3:A313,A313,GK$3:GK313,GK313))</f>
        <v/>
      </c>
      <c r="GM313" t="str">
        <f t="shared" si="578"/>
        <v/>
      </c>
      <c r="GN313" t="str">
        <f t="shared" si="579"/>
        <v/>
      </c>
      <c r="GO313" t="str">
        <f t="shared" si="580"/>
        <v/>
      </c>
      <c r="GP313" t="str">
        <f t="shared" si="581"/>
        <v/>
      </c>
      <c r="GQ313">
        <f t="shared" si="582"/>
        <v>0</v>
      </c>
      <c r="GR313" t="str">
        <f>IF(GQ313=1,"XT"&amp;COUNTIFS(A$3:A313,A313,GQ$3:GQ313,1),"")</f>
        <v/>
      </c>
      <c r="GS313" t="str">
        <f t="shared" si="583"/>
        <v/>
      </c>
      <c r="GT313" t="str">
        <f t="shared" si="584"/>
        <v/>
      </c>
      <c r="GU313" t="str">
        <f t="shared" si="585"/>
        <v/>
      </c>
      <c r="GV313" t="str">
        <f t="shared" si="586"/>
        <v>ok</v>
      </c>
      <c r="GW313" t="str">
        <f>IF(OR(GO313="",GM313=""),"",IF(GO313&gt;IFERROR(VLOOKUP(GN313,Модули_спр,3,FALSE),99),"ЛИШНИЙ КАНАЛ",IF(AND(AH313&lt;&gt;"=",COUNTIFS(Линии[_модуль гр.],GM313,Линии[Канал (итог)],GO313,Линии[Канал],"&lt;&gt;=",Линии[Щит],A313)&gt;1),"ДУБЛЬ КАНАЛА","")))</f>
        <v/>
      </c>
      <c r="GX313" s="6" t="str">
        <f t="shared" si="587"/>
        <v/>
      </c>
      <c r="GY313">
        <f t="shared" si="588"/>
        <v>10</v>
      </c>
      <c r="GZ313" t="str">
        <f t="shared" si="589"/>
        <v/>
      </c>
      <c r="HA313" t="str">
        <f>IF(AND(B313="",GT313=""),"",_xlfn.TEXTJOIN("; ",TRUE,IF(AND(B313&lt;&gt;"",FE313=""),"нет фазы",""),IF(AND(B313&lt;&gt;"",N(FY313)=0,EQ313&lt;&gt;"Нет"),"нет мощности",""),IF(AND(GS313&lt;&gt;"",COUNTIFS(Линии[Щит],A313,Линии[Клемма (итог)],GS313)&gt;1),"дубль клеммы "&amp;GS313,""),IF(AND(GV313&lt;&gt;"",GV313&lt;&gt;"ok"),GV313,""),IF(GW313&lt;&gt;"",GW313,""),IF(AND(N(BV313)&gt;=4,N(BR313)=1),BV313&amp;" жил на 1 фазе",""),IF(AND(AX313="R",CA313=1,OR(N(CK313)=0,N(CK313)&gt;30)),"розетка без дифзащиты до 30 мА",""),IFERROR(IF(AND(ISNUMBER(R313),R313&gt;DV313),"потери "&amp;FIXED(R313,1)&amp;" % &gt; "&amp;DV313&amp;" %",""),""),IFERROR(IF(LEFT(GZ313,4)="мало","Iкз мало — отключение &gt; 0,4 с",""),""),IF(AND(B313&lt;&gt;"",BH313=""),"не на схеме",""),IF(AND(CA313=0,B313&lt;&gt;"",FE313&lt;&gt;"",IF(AW313=1,"",FF312)&lt;&gt;"",FE313&lt;&gt;IF(AW313=1,"",FF312)),"фаза не как у автомата группы ("&amp;IF(AW313=1,"",FF312)&amp;")","")))</f>
        <v/>
      </c>
      <c r="HB313" s="6" t="str">
        <f>IF(OR(CA313=0,DA313=""),"",_xlfn.LET(_xlpm.t,IFERROR(_xlfn.XLOOKUP(DA313,Каталог!$U$4:$U$500,Каталог!$G$4:$G$500),""),_xlpm.k,SEARCH("кА",_xlpm.t),IFERROR(--TRIM(RIGHT(SUBSTITUTE(MID(_xlpm.t,MAX(1,_xlpm.k-4),_xlpm.k-MAX(1,_xlpm.k-4))," ",REPT(" ",9)),5)),"")))</f>
        <v/>
      </c>
      <c r="HC313" t="str">
        <f>IF(OR(HB313="",CA313=0),"",IF(_xlfn.XLOOKUP(A313,Щиты[Щит],Щиты[Iкз max на шинах, кА],"")="","",IF(HB313&lt;_xlfn.XLOOKUP(A313,Щиты[Щит],Щиты[Iкз max на шинах, кА]),"Icu "&amp;HB313&amp;" кА &lt; Iкз max","ok")))</f>
        <v/>
      </c>
      <c r="HD313" t="str">
        <f t="shared" si="590"/>
        <v/>
      </c>
      <c r="HE313" t="str">
        <f t="shared" si="591"/>
        <v/>
      </c>
      <c r="HF313" t="str">
        <f t="shared" si="592"/>
        <v/>
      </c>
      <c r="HG313" t="str" cm="1">
        <f t="array" ref="HG313">IF(HF313="","",_xlfn.LET(_xlpm.nd,_xlfn.TEXTSPLIT(HF313,"|"),IF(COLUMNS(_xlpm.nd)&gt;1,A313&amp;"¦"&amp;INDEX(_xlpm.nd,1)&amp;"¦"&amp;INDEX(_xlpm.nd,2),"")))</f>
        <v/>
      </c>
      <c r="HH313" t="str">
        <f t="shared" si="593"/>
        <v/>
      </c>
      <c r="HI313" t="str" cm="1">
        <f t="array" ref="HI313">IF(HF313="","",_xlfn.LET(_xlpm.nd,_xlfn.TEXTSPLIT(HF313,"|"),IF(COLUMNS(_xlpm.nd)&gt;2,A313&amp;"¦"&amp;INDEX(_xlpm.nd,2)&amp;"¦"&amp;INDEX(_xlpm.nd,3),"")))</f>
        <v/>
      </c>
      <c r="HJ313" t="str">
        <f t="shared" si="594"/>
        <v/>
      </c>
      <c r="HK313" t="str" cm="1">
        <f t="array" ref="HK313">IF(HF313="","",_xlfn.LET(_xlpm.nd,_xlfn.TEXTSPLIT(HF313,"|"),IF(COLUMNS(_xlpm.nd)&gt;3,A313&amp;"¦"&amp;INDEX(_xlpm.nd,3)&amp;"¦"&amp;INDEX(_xlpm.nd,4),"")))</f>
        <v/>
      </c>
      <c r="HL313" t="str">
        <f t="shared" si="595"/>
        <v/>
      </c>
      <c r="HM313" t="str" cm="1">
        <f t="array" ref="HM313">IF(HF313="","",_xlfn.LET(_xlpm.nd,_xlfn.TEXTSPLIT(HF313,"|"),IF(COLUMNS(_xlpm.nd)&gt;4,A313&amp;"¦"&amp;INDEX(_xlpm.nd,4)&amp;"¦"&amp;INDEX(_xlpm.nd,5),"")))</f>
        <v/>
      </c>
      <c r="HN313" t="str">
        <f t="shared" si="596"/>
        <v/>
      </c>
      <c r="HO313" t="str" cm="1">
        <f t="array" ref="HO313">IF(HF313="","",_xlfn.LET(_xlpm.nd,_xlfn.TEXTSPLIT(HF313,"|"),IF(COLUMNS(_xlpm.nd)&gt;5,A313&amp;"¦"&amp;INDEX(_xlpm.nd,5)&amp;"¦"&amp;INDEX(_xlpm.nd,6),"")))</f>
        <v/>
      </c>
      <c r="HP313" t="str">
        <f t="shared" si="597"/>
        <v/>
      </c>
      <c r="HQ313" t="str" cm="1">
        <f t="array" ref="HQ313">IF(HF313="","",_xlfn.LET(_xlpm.nd,_xlfn.TEXTSPLIT(HF313,"|"),IF(COLUMNS(_xlpm.nd)&gt;6,A313&amp;"¦"&amp;INDEX(_xlpm.nd,6)&amp;"¦"&amp;INDEX(_xlpm.nd,7),"")))</f>
        <v/>
      </c>
      <c r="HR313" t="str">
        <f t="shared" si="598"/>
        <v/>
      </c>
      <c r="HS313" t="str">
        <f t="shared" si="599"/>
        <v/>
      </c>
      <c r="HT313" t="str">
        <f t="shared" si="600"/>
        <v/>
      </c>
      <c r="HU313">
        <f t="shared" si="601"/>
        <v>0</v>
      </c>
      <c r="HV313">
        <f t="shared" si="602"/>
        <v>0</v>
      </c>
      <c r="HW313" t="str">
        <f t="shared" si="603"/>
        <v/>
      </c>
      <c r="HX313" t="str">
        <f t="shared" si="604"/>
        <v/>
      </c>
      <c r="HY313" t="str">
        <f t="shared" si="605"/>
        <v/>
      </c>
      <c r="HZ313" t="str">
        <f t="shared" si="606"/>
        <v/>
      </c>
      <c r="IA313">
        <f>IF(B313="","",IFERROR(VLOOKUP(B313,УГО_спр,2,FALSE),IFERROR(VLOOKUP(AX313,УГО_спр,2,FALSE),IFERROR(VLOOKUP(LEFT(AX313,2),УГО_спр,2,FALSE),""))))</f>
        <v>0</v>
      </c>
      <c r="IB313" t="str">
        <f>IF(B313="","",IF(OR(IA313="",IA313=0),"BOX",IFERROR(IF(VLOOKUP(IA313,УГО_блоки,3,FALSE)&amp;""&lt;&gt;"",VLOOKUP(IA313,УГО_блоки,3,FALSE),VLOOKUP(IA313,УГО_блоки,2,FALSE)),IA313)))</f>
        <v>BOX</v>
      </c>
      <c r="IC313">
        <f t="shared" si="607"/>
        <v>1</v>
      </c>
      <c r="ID313" t="str">
        <f>IF(DA313="","",IF(COUNTIF(DA$3:DA313,DA313)=1,MAX(ID$2:ID312)+1,""))</f>
        <v/>
      </c>
      <c r="IE313" t="str">
        <f>IF(CO313="","",IF(COUNTIF(CO$3:CO313,CO313)+COUNTIF(CP$2:CP312,CO313)+COUNTIF(CQ$2:CQ312,CO313)=1,MAX(IE$2:IG312)+1,""))</f>
        <v/>
      </c>
      <c r="IF313" t="str">
        <f>IF(CP313="","",IF(COUNTIF(CO$3:CO313,CP313)+COUNTIF(CP$3:CP313,CP313)+COUNTIF(CQ$2:CQ312,CP313)=1,MAX(IE$2:IG312,IE313)+1,""))</f>
        <v/>
      </c>
      <c r="IG313" t="str">
        <f>IF(CQ313="","",IF(COUNTIF(CO$3:CO313,CQ313)+COUNTIF(CP$3:CP313,CQ313)+COUNTIF(CQ$3:CQ313,CQ313)=1,MAX(IE$2:IG312,IE313,IF313)+1,""))</f>
        <v/>
      </c>
      <c r="IH313" t="str">
        <f t="shared" si="608"/>
        <v/>
      </c>
      <c r="II313" t="str">
        <f>IF(IH313="","",IF(COUNTIF(IH$3:IH313,IH313)=1,MAX(II$2:II312)+1,""))</f>
        <v/>
      </c>
      <c r="IJ313" t="str">
        <f>IF(GL313="","",COUNTIF(GL$3:GL313,"?*"))</f>
        <v/>
      </c>
      <c r="IK313" t="str">
        <f>IF(OR(GL313="",GN313=""),"",IF(COUNTIFS(GL$3:GL313,"?*",GN$3:GN313,GN313)=1,MAX(IK$2:IK312)+1,""))</f>
        <v/>
      </c>
      <c r="IL313">
        <f t="shared" si="609"/>
        <v>0</v>
      </c>
      <c r="IM313">
        <f>IF(B313="","",COUNTIF(B$3:B313,"?*"))</f>
        <v>311</v>
      </c>
      <c r="IN313">
        <f>IF(GQ313&lt;&gt;1,0,_xlfn.LET(_xlpm.k,MAX(IFERROR(--VLOOKUP(B313,УГО_спр,5,FALSE),0),IFERROR(--VLOOKUP(AX313,УГО_спр,5,FALSE),0),IFERROR(--VLOOKUP(LEFT(AX313,2),УГО_спр,5,FALSE),0)),IF(_xlpm.k&gt;0,_xlpm.k,IF(IFERROR(--LEFT(SUBSTITUTE(IH313,"x","х"),FIND("х",SUBSTITUTE(IH313,"x","х"))-1),3)&gt;3,Каталог!$S$9,1))))</f>
        <v>0</v>
      </c>
      <c r="IO313">
        <f t="shared" si="610"/>
        <v>0</v>
      </c>
      <c r="IP313" t="str">
        <f t="shared" si="611"/>
        <v>авто</v>
      </c>
      <c r="IQ313" t="str">
        <f t="shared" si="612"/>
        <v/>
      </c>
      <c r="IR313">
        <f t="shared" si="613"/>
        <v>0</v>
      </c>
      <c r="IS313">
        <f t="shared" si="614"/>
        <v>1</v>
      </c>
    </row>
    <row r="314" spans="1:253" x14ac:dyDescent="0.3">
      <c r="A314" t="s">
        <v>763</v>
      </c>
      <c r="B314" t="s">
        <v>1577</v>
      </c>
      <c r="C314" t="s">
        <v>1686</v>
      </c>
      <c r="D314">
        <v>1</v>
      </c>
      <c r="E314">
        <v>12.45</v>
      </c>
      <c r="G314">
        <v>20</v>
      </c>
      <c r="H314" t="str">
        <f>Линии[[#This Row],[_авто утечка]]</f>
        <v/>
      </c>
      <c r="I314" t="str">
        <f>Линии[[#This Row],[_авто управление]]</f>
        <v/>
      </c>
      <c r="J314" t="str">
        <f>Линии[[#This Row],[_авто аппараты]]</f>
        <v/>
      </c>
      <c r="K314">
        <v>4</v>
      </c>
      <c r="L314">
        <v>18</v>
      </c>
      <c r="M314" t="str">
        <f>Линии[[#This Row],[_авто фаза]]</f>
        <v>L1,L2,L3</v>
      </c>
      <c r="N314" t="str">
        <f>Линии[[#This Row],[_авто клемма]]</f>
        <v>XT1</v>
      </c>
      <c r="O314" t="str">
        <f t="shared" si="492"/>
        <v>ПЕРЕГРУЗ</v>
      </c>
      <c r="P314" s="6" cm="1">
        <f t="array" ref="P314">IF(B314="","",IF(BC314&lt;&gt;"",IFERROR(_xlfn.XLOOKUP(BC314,Щиты[Щит],Щиты[Iр, А]),""),IF(BK314=1,IFERROR(_xlfn.XLOOKUP(A314,Щиты[Щит],Щиты[Iр, А]),""),IFERROR(_xlfn.IFS(BR314=1,BN314/((Uн_лин/SQRT(3))*BY314),BR314=3,BN314/(SQRT(3)*Uн_лин*BY314)),""))))</f>
        <v>22.462533910658877</v>
      </c>
      <c r="Q314" s="7">
        <f>IF(B314="","",IFERROR(IF(VLOOKUP(AX314,Потребители_обозначение,4,FALSE)=1,VLOOKUP(AX314,Потребители_обозначение,3,FALSE)*(D314*2-1)+DS314+VLOOKUP(AZ314,Этаж_обозначение,3,FALSE)+VLOOKUP(AZ314,Этаж_обозначение,4,FALSE),VLOOKUP(AX314,Потребители_обозначение,3,FALSE)*(D314*2-1)+DS314),DS314))</f>
        <v>21</v>
      </c>
      <c r="R314" s="6">
        <f t="shared" si="493"/>
        <v>1.9</v>
      </c>
      <c r="S314" t="str">
        <f t="shared" si="494"/>
        <v>ВВГнг(А)-LS (5х4)</v>
      </c>
      <c r="T314" t="str">
        <f>IF(BH314="","",IF(BI314="вводной узел","узел ","")&amp;"л."&amp;(INT((BH314-1)/Столбцов_на_лист)+1)&amp;" / "&amp;(MOD(BH314-1,Столбцов_на_лист)+1))</f>
        <v>л.2 / 1</v>
      </c>
      <c r="V314">
        <v>3</v>
      </c>
      <c r="W314">
        <v>400</v>
      </c>
      <c r="X314" t="s">
        <v>600</v>
      </c>
      <c r="Y314">
        <v>0.5</v>
      </c>
      <c r="AE314" t="s">
        <v>602</v>
      </c>
      <c r="AI314">
        <v>18</v>
      </c>
      <c r="AJ314" t="s">
        <v>11</v>
      </c>
      <c r="AK314">
        <v>5</v>
      </c>
      <c r="AM314">
        <v>3</v>
      </c>
      <c r="AN314">
        <v>15</v>
      </c>
      <c r="AP314">
        <v>1</v>
      </c>
      <c r="AW314" cm="1">
        <f t="array" ref="AW314">ROW()-ROW(Линии[#Headers])</f>
        <v>312</v>
      </c>
      <c r="AX314" s="6" t="str">
        <f t="shared" si="495"/>
        <v>Э</v>
      </c>
      <c r="AY314" t="str">
        <f t="shared" si="496"/>
        <v>1</v>
      </c>
      <c r="AZ314" t="str">
        <f t="shared" si="497"/>
        <v>1</v>
      </c>
      <c r="BA314" t="str">
        <f t="shared" si="498"/>
        <v/>
      </c>
      <c r="BB314" t="str">
        <f t="shared" si="499"/>
        <v/>
      </c>
      <c r="BC314" t="str">
        <f>IF(U314&lt;&gt;"",U314,IF(AND(B314&lt;&gt;"",B314&lt;&gt;A314,ISNUMBER(_xlfn.XMATCH(B314,Щиты[Щит]))),B314,""))</f>
        <v/>
      </c>
      <c r="BD314" t="str" cm="1">
        <f t="array" ref="BD314">IF(B314="","",IF(BC314&lt;&gt;"","Щит "&amp;BC314,_xlfn.LET(_xlpm.nm,IFERROR(_xlfn.XLOOKUP(AX314,Коды_код,Коды_имя)&amp;"",""),_xlpm.md,IFERROR(N(_xlfn.XLOOKUP(AX314,Коды_код,Коды_режим)),1),_xlpm.ex,IF(Имя_режим="по экспликации",IFERROR(_xlfn.XLOOKUP(AZ314&amp;"|"&amp;BB314,Экспликация[Этаж]&amp;"|"&amp;Экспликация[Помещение],Экспликация[Название])&amp;"",""),""),_xlpm.rm,IF(BB314="","",IF(_xlpm.ex&lt;&gt;"",". "&amp;_xlpm.ex&amp;IF(Имя_пом="нет"," ("&amp;BB314&amp;")"," (пом. "&amp;BB314&amp;")"),IF(Имя_пом="нет"," ",", пом. ")&amp;BB314)),IF(_xlpm.nm="","",IF(_xlpm.md=2,_xlpm.nm&amp;" шлейф "&amp;AZ314,_xlpm.nm&amp;_xlpm.rm)))))</f>
        <v>Управляющий электрощит бассейна</v>
      </c>
      <c r="BE314" t="str">
        <f t="shared" si="500"/>
        <v>Управляющий электрощит бассейна Подвальный этаж Пом. 002Тб</v>
      </c>
      <c r="BF314">
        <f>IFERROR(_xlfn.XMATCH(A314,Щиты[Щит]),0)</f>
        <v>12</v>
      </c>
      <c r="BG314">
        <f>_xlfn.LET(_xlpm.k,IFERROR(_xlfn.XLOOKUP(A314,Щиты[Щит],Щиты[Листов под вводной узел]),""),IF(_xlpm.k="",1,N(_xlpm.k))*Столбцов_на_лист)</f>
        <v>17</v>
      </c>
      <c r="BH314">
        <f t="shared" si="501"/>
        <v>18</v>
      </c>
      <c r="BI314" t="str">
        <f t="shared" si="502"/>
        <v>линии</v>
      </c>
      <c r="BJ314" s="6">
        <f>IFERROR(N(_xlfn.XLOOKUP(AX314,Коды_код,Коды_квт)),0)</f>
        <v>0</v>
      </c>
      <c r="BK314">
        <f t="shared" si="503"/>
        <v>0</v>
      </c>
      <c r="BL314" t="str">
        <f>IF(B314="","",IF(BC314&lt;&gt;"",IFERROR(_xlfn.XLOOKUP(BC314,Щиты[Щит],Щиты[Руст, кВт]),0),IF(BK314=1,IFERROR(_xlfn.XLOOKUP(A314,Щиты[Щит],Щиты[Руст, кВт]),0),IF(BJ314&gt;0,ROUND(BJ314*MAX(1,N(D314)),3),""))))</f>
        <v/>
      </c>
      <c r="BM314">
        <f t="shared" si="504"/>
        <v>12.45</v>
      </c>
      <c r="BN314" s="6">
        <f>IF(B314="","",IF(BC314&lt;&gt;"",IFERROR(_xlfn.XLOOKUP(BC314,Щиты[Щит],Щиты[Руст, кВт]),0),N(BM314)))</f>
        <v>12.45</v>
      </c>
      <c r="BO314" t="str">
        <f>IF(B314="","",IFERROR(IF(VLOOKUP(AX314,Потребители_обозначение,8,FALSE)=0,"",VLOOKUP(AX314,Потребители_обозначение,8,FALSE)),""))</f>
        <v/>
      </c>
      <c r="BP314">
        <f t="shared" si="505"/>
        <v>400</v>
      </c>
      <c r="BQ314">
        <f>IF(B314="","",IF(BC314&lt;&gt;"",3,IFERROR(IF(N(VLOOKUP(AX314,Потребители_обозначение,9,FALSE))=0,1,VLOOKUP(AX314,Потребители_обозначение,9,FALSE)),1)))</f>
        <v>1</v>
      </c>
      <c r="BR314">
        <f t="shared" si="506"/>
        <v>3</v>
      </c>
      <c r="BS314" t="str">
        <f>IF(B314="","",_xlfn.LET(_xlpm.bc,IFERROR(IF(VLOOKUP(AX314,Потребители_обозначение,6,FALSE)=0,"",VLOOKUP(AX314,Потребители_обозначение,6,FALSE)&amp;""),""),IF(AND(FK314="да",OR(_xlpm.bc="",_xlpm.bc="мс")),Марка_пож,IF(AND(_xlpm.bc="",BC314&lt;&gt;""),"мс",_xlpm.bc))))</f>
        <v/>
      </c>
      <c r="BT314" t="str">
        <f t="shared" si="507"/>
        <v>мс</v>
      </c>
      <c r="BU314">
        <f>IF(B314="","",_xlfn.LET(_xlpm.cc,IFERROR(N(VLOOKUP(AX314,Потребители_обозначение,7,FALSE)),0),IF(_xlpm.cc&gt;0,_xlpm.cc,IF(BT314="","",IF(N(BR314)=3,5,3)))))</f>
        <v>5</v>
      </c>
      <c r="BV314">
        <f t="shared" si="508"/>
        <v>5</v>
      </c>
      <c r="BW314">
        <f>IFERROR(N(VLOOKUP(AX314,Потребители_обозначение,10,FALSE)),0)</f>
        <v>0</v>
      </c>
      <c r="BX314">
        <f>IFERROR(VLOOKUP(AX314,Потребители_обозначение,5,FALSE),0)</f>
        <v>1</v>
      </c>
      <c r="BY314" s="6" cm="1">
        <f t="array" ref="BY314">IF(B314="","",IF(BC314&lt;&gt;"",IFERROR(_xlfn.XLOOKUP(BC314,Щиты[Щит],Щиты[cos φ]),0.95),IF(BK314=1,IFERROR(_xlfn.XLOOKUP(A314,Щиты[Щит],Щиты[cos φ]),0.95),IF(ISNUMBER(Z314),Z314,IFERROR(IF(BX314=2,_xlfn.IFS(BR314=3,VLOOKUP(BN314,Справочная_двигатели,8,FALSE),BR314=1,VLOOKUP(BN314,Справочная_двигатели,10,TRUE)),IF(AND(Методика="нормы 2026",EQ314="Сил"),0.8,0.95)),0.95)))))</f>
        <v>0.8</v>
      </c>
      <c r="BZ314">
        <f t="shared" si="509"/>
        <v>0</v>
      </c>
      <c r="CA314">
        <f t="shared" si="510"/>
        <v>1</v>
      </c>
      <c r="CB314">
        <f t="shared" si="511"/>
        <v>0</v>
      </c>
      <c r="CC314">
        <f t="shared" si="512"/>
        <v>0</v>
      </c>
      <c r="CD314">
        <f t="shared" si="513"/>
        <v>0</v>
      </c>
      <c r="CE314">
        <f t="shared" si="514"/>
        <v>0</v>
      </c>
      <c r="CF314">
        <f t="shared" si="515"/>
        <v>0</v>
      </c>
      <c r="CG314">
        <f>IF(AX314="",0,_xlfn.LET(_xlpm.v,IFERROR(VLOOKUP(B314,УГО_спр,3,FALSE),IFERROR(VLOOKUP(AX314,УГО_спр,3,FALSE),IFERROR(VLOOKUP(LEFT(AX314,2),УГО_спр,3,FALSE),""))),IF(_xlpm.v="да",30,IF(ISNUMBER(_xlpm.v),_xlpm.v,0))))</f>
        <v>0</v>
      </c>
      <c r="CH314" t="str">
        <f t="shared" si="516"/>
        <v/>
      </c>
      <c r="CI314" t="str">
        <f>_xlfn.LET(_xlpm.k,IFERROR(_xlfn.XLOOKUP(AX314,Коды_код,Коды_утечка)&amp;"",""),IF(_xlpm.k="","дифавтомат",_xlpm.k))</f>
        <v>дифавтомат</v>
      </c>
      <c r="CJ314">
        <f t="shared" si="517"/>
        <v>0</v>
      </c>
      <c r="CK314">
        <f t="shared" si="518"/>
        <v>0</v>
      </c>
      <c r="CL314">
        <f>IF(B314="",0,IFERROR(--VLOOKUP(B314,УГО_спр,4,FALSE),IFERROR(--VLOOKUP(AX314,УГО_спр,4,FALSE),IFERROR(--VLOOKUP(LEFT(AX314,2),УГО_спр,4,FALSE),0))))</f>
        <v>0</v>
      </c>
      <c r="CM314" t="str">
        <f>IF(B314="","",IFERROR(_xlfn.XLOOKUP(AX314,Коды_код,Коды_апп)&amp;"",""))</f>
        <v/>
      </c>
      <c r="CN314" t="str">
        <f t="shared" si="519"/>
        <v/>
      </c>
      <c r="CO314" t="str" cm="1">
        <f t="array" ref="CO314">IF(TRIM(CN314&amp;"")="","",IFERROR(TRIM(INDEX(_xlfn.TEXTSPLIT(CN314&amp;";;;",";"),1)),""))</f>
        <v/>
      </c>
      <c r="CP314" t="str" cm="1">
        <f t="array" ref="CP314">IF(TRIM(CN314&amp;"")="","",IFERROR(TRIM(INDEX(_xlfn.TEXTSPLIT(CN314&amp;";;;",";"),2)),""))</f>
        <v/>
      </c>
      <c r="CQ314" t="str" cm="1">
        <f t="array" ref="CQ314">IF(TRIM(CN314&amp;"")="","",IFERROR(TRIM(INDEX(_xlfn.TEXTSPLIT(CN314&amp;";;;",";"),3)),""))</f>
        <v/>
      </c>
      <c r="CR314">
        <f t="shared" si="520"/>
        <v>0</v>
      </c>
      <c r="CS314" t="str">
        <f>IF(B314="","",_xlfn.LET(_xlpm.t,LOWER(AV314&amp;""),IF(ISNUMBER(SEARCH("dim",_xlpm.t)),"DIM",IF(ISNUMBER(SEARCH("dali",_xlpm.t)),"DALI",IF(OR(ISNUMBER(SEARCH("relay",_xlpm.t)),ISNUMBER(SEARCH("реле",_xlpm.t))),"Relay",IF(ISNUMBER(SEARCH("кнопк",_xlpm.t)),"",IFERROR(_xlfn.XLOOKUP(AX314,Коды_код,Коды_упр)&amp;"","")))))))</f>
        <v/>
      </c>
      <c r="CT314" t="str">
        <f t="shared" si="521"/>
        <v/>
      </c>
      <c r="CU314">
        <f>IF(B314="","",_xlfn.LET(_xlpm.ig,N(P314)+IF(AF314="вручную",0,N(CB314)),_xlpm.n0,IFERROR(VLOOKUP(_xlpm.ig,Автомат_номиналы,2,TRUE),0),_xlpm.mn,MAX(CL314,IF(AF314="вручную",0,N(CE314))),MAX(_xlpm.n0,_xlpm.mn,IF(CR314=1,Мин_автомат_БП,0))))</f>
        <v>25</v>
      </c>
      <c r="CV314">
        <f t="shared" si="522"/>
        <v>3</v>
      </c>
      <c r="CW314" t="str">
        <f t="shared" si="523"/>
        <v>3P</v>
      </c>
      <c r="CX314" t="str">
        <f>_xlfn.LET(_xlpm.cc,UPPER(TRIM(IFERROR(_xlfn.XLOOKUP(AX314,Коды_код,Коды_хар)&amp;"",""))),IF(OR(_xlpm.cc="B",_xlpm.cc="В"),"B",IF(_xlpm.cc="D","D","С")))</f>
        <v>С</v>
      </c>
      <c r="CY314" t="str">
        <f t="shared" si="524"/>
        <v>3P С25А</v>
      </c>
      <c r="CZ314">
        <f t="shared" si="525"/>
        <v>20</v>
      </c>
      <c r="DA314" t="str">
        <f t="shared" si="526"/>
        <v>3P С20А</v>
      </c>
      <c r="DB314" cm="1">
        <f t="array" ref="DB314">IF(DA314="","",_xlfn.LET(_xlpm.t,SUBSTITUTE(SUBSTITUTE(SUBSTITUTE(UPPER(DA314),"С","C"),"А","A"),"В","B"),_xlpm.tk,_xlfn.TEXTSPLIT(_xlpm.t,"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14" t="str">
        <f t="shared" si="527"/>
        <v>ok</v>
      </c>
      <c r="DD314">
        <f t="shared" si="528"/>
        <v>20</v>
      </c>
      <c r="DE314" t="str">
        <f t="shared" si="529"/>
        <v>3P С20А</v>
      </c>
      <c r="DF314">
        <f t="shared" si="530"/>
        <v>0</v>
      </c>
      <c r="DG314">
        <f t="shared" si="531"/>
        <v>0</v>
      </c>
      <c r="DH314">
        <f t="shared" si="532"/>
        <v>0</v>
      </c>
      <c r="DI314">
        <f t="shared" si="533"/>
        <v>22.462533910658877</v>
      </c>
      <c r="DJ314">
        <f t="shared" si="534"/>
        <v>0.92</v>
      </c>
      <c r="DK314">
        <f>IF(ISNUMBER(AL314),AL314,К_прокл)</f>
        <v>1</v>
      </c>
      <c r="DL314">
        <f t="shared" si="535"/>
        <v>3</v>
      </c>
      <c r="DM314">
        <f>IFERROR(N(VLOOKUP(BT314,Кабель_обозначение,3,FALSE)),1)</f>
        <v>1</v>
      </c>
      <c r="DN314">
        <f>IFERROR(N(_xlfn.XLOOKUP(A314,Щиты[Щит],Щиты[ΔU до шин, %])),0)</f>
        <v>0.96</v>
      </c>
      <c r="DO314" t="str">
        <f>IFERROR(_xlfn.XLOOKUP(A314,Щиты[Щит],Щиты[Zпетли на шинах, Ом]),"")</f>
        <v/>
      </c>
      <c r="DP314">
        <f>IFERROR(N(_xlfn.XLOOKUP(A314,Щиты[Щит],Щиты[ΔU до шин (подбор), %])),0)</f>
        <v>0.96</v>
      </c>
      <c r="DQ314" t="str">
        <f>IFERROR(_xlfn.XLOOKUP(A314,Щиты[Щит],Щиты[Zпетли на шинах (подбор), Ом]),"")</f>
        <v/>
      </c>
      <c r="DR314" t="str">
        <f t="shared" si="536"/>
        <v/>
      </c>
      <c r="DS314">
        <f t="shared" si="537"/>
        <v>18</v>
      </c>
      <c r="DT314">
        <f t="shared" si="538"/>
        <v>1</v>
      </c>
      <c r="DU314">
        <f t="shared" si="539"/>
        <v>0.6</v>
      </c>
      <c r="DV314" s="6">
        <f>IF(B314="","",IF(IFERROR(VLOOKUP(AX314,УГО_спр,2,FALSE),"")="Светильник",3,4)+IF(Методика="нормы 2026",MIN(0.5,MAX(0,N(Q314)-100)*0.005),0))</f>
        <v>4</v>
      </c>
      <c r="DW314" cm="1">
        <f t="array" ref="DW314">IF(OR(B314="",BT314="",DM314&lt;&gt;1),"",_xlfn.LET(_xlpm.sz,Iдоп_S,_xlpm.t_,CHOOSE(DL314,Iдоп_1ж,Iдоп_2ж,Iдоп_3ж)*DJ314*DK314,_xlpm.inn,N(DD314),_xlpm.smin,MAX(1.5,BW314),_xlpm.L_,N(Q314)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314)*(_xlpm.rho*_xlpm.L_/_xlpm.sz*N(BY314)+_xlpm.xx*_xlpm.L_*N(DU314)/1000)*N(P314)/((Uн_лин/SQRT(3))*1000)*100,999),_xlpm.kz,IF(OR(DG314=1,NOT(ISNUMBER(DQ314)),_xlpm.L_=0,_xlpm.inn=0),1,IFERROR(--(c_min*(Uн_лин*1000/SQRT(3))/(DQ314+2*ρкз_Cu*_xlpm.L_/_xlpm.sz)&gt;=GY314*_xlpm.inn),0)),_xlpm.ok,IFERROR((_xlpm.sz&gt;=_xlpm.smin)*(_xlpm.t_&gt;=_xlpm.inn)*IF(_xlpm.L_&gt;0,(_xlpm.du_+DP314&lt;=DV314+0.00001),1)*_xlpm.kz,0),_xlpm.r_,_xlfn._xlws.FILTER(_xlpm.sz,_xlpm.ok,"не подобрано"),INDEX(_xlpm.r_,1)))</f>
        <v>2.5</v>
      </c>
      <c r="DX314">
        <f t="shared" si="540"/>
        <v>4</v>
      </c>
      <c r="DY314" cm="1">
        <f t="array" ref="DY314">IF(OR(B314="",BT314="",DM314&lt;&gt;1),"",_xlfn.LET(_xlpm.sz,Iдоп_S,_xlpm.t_,CHOOSE(DL314,Iдоп_1ж,Iдоп_2ж,Iдоп_3ж)*DJ314*DK314,_xlpm.ok,IFERROR((_xlpm.sz&gt;=MAX(1.5,BW314))*(_xlpm.t_&gt;=N(DD314)),0),_xlpm.r_,_xlfn._xlws.FILTER(_xlpm.sz,_xlpm.ok,""),INDEX(_xlpm.r_,1)))</f>
        <v>2.5</v>
      </c>
      <c r="DZ314" s="6" cm="1">
        <f t="array" ref="DZ314">IFERROR(ROUNDUP(N(DT314)*(_xlfn.XLOOKUP(DY314,INDEX(Кабель_сопротивление,0,1),INDEX(Кабель_сопротивление,0,3))*N(Q314)/DY314*N(BY314)+_xlfn.XLOOKUP(DY314,INDEX(Кабель_сопротивление,0,1),INDEX(Кабель_сопротивление,0,2))*N(Q314)*N(DU314)/1000)*N(P314)/((Uн_лин/SQRT(3))*1000)*100,2),"")</f>
        <v>1.49</v>
      </c>
      <c r="EA314">
        <f>IFERROR(2*ρкз_Cu*N(Q314)/DY314,"")</f>
        <v>0.44184000000000001</v>
      </c>
      <c r="EB314">
        <f>IFERROR(VLOOKUP(DX314,Кабель_сопротивление,3,FALSE),"")</f>
        <v>2.2499999999999999E-2</v>
      </c>
      <c r="EC314">
        <f>IFERROR(VLOOKUP(DX314,Кабель_сопротивление,2,FALSE),"")</f>
        <v>9.5000000000000001E-2</v>
      </c>
      <c r="ED314">
        <f t="shared" si="541"/>
        <v>15</v>
      </c>
      <c r="EE314">
        <f t="shared" si="542"/>
        <v>0</v>
      </c>
      <c r="EF314">
        <f t="shared" si="543"/>
        <v>2.1495971076483227</v>
      </c>
      <c r="EG314" s="6">
        <f>IFERROR(ROUNDUP(EF314/((Uн_лин/SQRT(3))*1000)*100,2),"")</f>
        <v>0.94000000000000006</v>
      </c>
      <c r="EH314" t="str">
        <f>IFERROR(VLOOKUP(BT314,Кабель_обозначение,2,FALSE),"")</f>
        <v>ВВГнг(А)-LS</v>
      </c>
      <c r="EI314" t="str">
        <f t="shared" si="544"/>
        <v>ВВГнг(А)-LS (5х4)</v>
      </c>
      <c r="EJ314" t="str">
        <f t="shared" si="545"/>
        <v>ВВГнг(А)-LS (5х4)
L=21-0,94%</v>
      </c>
      <c r="EK314">
        <f>IFERROR(2*ρкз_Cu*Q314/DX314,"")</f>
        <v>0.27615000000000001</v>
      </c>
      <c r="EL314">
        <f t="shared" si="546"/>
        <v>9.1875000000000012E-2</v>
      </c>
      <c r="EM314" s="6" t="str">
        <f>IFERROR(IF(OR(B314="",NOT(ISNUMBER(DX314)),N(Q314)=0),"",_xlfn.XLOOKUP(A314,Щиты[Щит],Щиты[Zпетли на шинах, Ом])+EK314),"")</f>
        <v/>
      </c>
      <c r="EN314" s="6" t="str">
        <f>IF(ISNUMBER(EM314),c_min*(Uн_лин*1000/SQRT(3))/EM314,"")</f>
        <v/>
      </c>
      <c r="EO314" s="6" t="str">
        <f>IFERROR(IF(OR(B314="",NOT(ISNUMBER(DX314))),"",1.05*(Uн_лин*1000/SQRT(3))/(_xlfn.XLOOKUP(A314,Щиты[Щит],Щиты[Zmax на шинах, Ом])+EL314)/1000),"")</f>
        <v/>
      </c>
      <c r="EP314" s="6" t="str">
        <f>IF(B314="","",IF(ISNUMBER(Y314),"Сил",IF(IFERROR(_xlfn.XLOOKUP(AX314,Коды_код,Коды_группа)&amp;"","")="","Быт",_xlfn.XLOOKUP(AX314,Коды_код,Коды_группа)&amp;"")))</f>
        <v>Сил</v>
      </c>
      <c r="EQ314" s="6" t="str">
        <f t="shared" si="547"/>
        <v>Сил</v>
      </c>
      <c r="ER314" s="6">
        <f>IF(EQ314="Щит","щит",IF(EQ314="","",IF(EQ314="Быт",IFERROR(_xlfn.XLOOKUP(A314,Щиты[Щит],Щиты[Кс быт]),1),IF(EQ314="Сил",IF(ISNUMBER(Y314),Y314,IF(Методика="нормы 2026",IFERROR(_xlfn.XLOOKUP(A314,Щиты[Щит],Щиты[Кс силовых (табл. 7.5)]),1),1)),IF(OR(EQ314="Пост",EQ314="Отоп"),1,IF(EQ314="ВНГ",0.7,0))))))</f>
        <v>0.5</v>
      </c>
      <c r="ES314">
        <f t="shared" si="548"/>
        <v>1</v>
      </c>
      <c r="ET314">
        <f t="shared" si="549"/>
        <v>12.45</v>
      </c>
      <c r="EU314">
        <f t="shared" si="550"/>
        <v>0</v>
      </c>
      <c r="EV314">
        <f t="shared" si="551"/>
        <v>6.2249999999999996</v>
      </c>
      <c r="EW314">
        <f t="shared" si="552"/>
        <v>0</v>
      </c>
      <c r="EX314">
        <f t="shared" si="553"/>
        <v>0</v>
      </c>
      <c r="EY314">
        <f t="shared" si="554"/>
        <v>0</v>
      </c>
      <c r="EZ314">
        <f t="shared" si="555"/>
        <v>12.45</v>
      </c>
      <c r="FA314">
        <f t="shared" si="556"/>
        <v>9.9600000000000009</v>
      </c>
      <c r="FB314">
        <f t="shared" si="557"/>
        <v>12.45</v>
      </c>
      <c r="FC314" t="str">
        <f t="shared" si="558"/>
        <v/>
      </c>
      <c r="FD314" t="str">
        <f>IF(B314="","",IF(CA314=0,IF(AW314=1,"",FF313),IF(OR(N(CV314)&gt;=3,N(BR314)&gt;=3),"L1,L2,L3",IFERROR(_xlfn.TEXTBEFORE(_xlfn.TEXTAFTER(_xlfn.XLOOKUP(A314,Щиты[Щит],Щиты[_фазы авто]),";"&amp;AW314&amp;":"),";"),"L1"))))</f>
        <v>L1,L2,L3</v>
      </c>
      <c r="FE314" t="str">
        <f t="shared" si="559"/>
        <v>L1,L2,L3</v>
      </c>
      <c r="FF314" t="str">
        <f t="shared" si="560"/>
        <v>L1,L2,L3</v>
      </c>
      <c r="FG314" cm="1">
        <f t="array" ref="FG314">IFERROR(IF(BX314=2,_xlfn.IFS(BR314=3,VLOOKUP(BN314,Справочная_двигатели,3,FALSE),BR314=1,VLOOKUP(BN314,Справочная_двигатели,5,TRUE)),0),0)</f>
        <v>0</v>
      </c>
      <c r="FH314">
        <f>IFERROR(IF(BX314=3,VLOOKUP(BN314,Справочная_ЛЭД,2,TRUE),0),0)</f>
        <v>0</v>
      </c>
      <c r="FI314" s="6">
        <f t="shared" si="561"/>
        <v>0</v>
      </c>
      <c r="FJ314" t="str" cm="1">
        <f t="array" ref="FJ314">IF(B314="","",IFERROR(INDEX({"I особая","I","II","III"},MATCH(TRIM(AC314&amp;""),{"I особая","I","II","III"},0)),"III"))</f>
        <v>III</v>
      </c>
      <c r="FK314" t="str">
        <f>IF(B314="","",IF(TRIM(AD314&amp;"")&lt;&gt;"",IF(LOWER(TRIM(AD314&amp;""))="да","да","нет"),IF(IFERROR(_xlfn.XLOOKUP(AX314,Коды_код,Коды_пожарная),"")="да","да","нет")))</f>
        <v>нет</v>
      </c>
      <c r="FL314" t="str">
        <f t="shared" si="562"/>
        <v/>
      </c>
      <c r="FM314" t="str">
        <f t="shared" si="563"/>
        <v>основная</v>
      </c>
      <c r="FN314">
        <f t="shared" si="564"/>
        <v>1</v>
      </c>
      <c r="FO314" t="str" cm="1">
        <f t="array" ref="FO314">IF(B314="","",_xlfn.LET(_xlpm.t,IFERROR(_xlfn.XLOOKUP(1,(Шины[Шина]=FM314)*(((Шины[Щит]=A314)+(Шины[Щит]=""))&gt;0),Шины[Тип]),"")&amp;"",IF(_xlpm.t&lt;&gt;"",_xlpm.t,IF(ISNUMBER(SEARCH("ИБП",FM314)),"ИБП",IF(ISNUMBER(SEARCH("ДГУ",FM314)),"ДГУ","Ввод "&amp;FN314)))))</f>
        <v>Ввод 1</v>
      </c>
      <c r="FP314" t="str">
        <f t="shared" si="565"/>
        <v>Ввод 1</v>
      </c>
      <c r="FQ314" t="str">
        <f>IF(B314="","",IF(OR(FO314="ИБП",FO314="ДГУ"),"I особая",IF(FO314="Одиночная","III",_xlfn.XLOOKUP(A314,Щиты[Щит],Щиты[Категория шины «Ввод»],"III"))))</f>
        <v>II</v>
      </c>
      <c r="FR314">
        <f>IF(B314="",0,IFERROR(MATCH(FJ314,{"III","II","I","I особая"},0),1))</f>
        <v>1</v>
      </c>
      <c r="FS314">
        <f t="shared" si="566"/>
        <v>1</v>
      </c>
      <c r="FT314" t="str">
        <f>IF(B314="","",IF(FR314&gt;IFERROR(MATCH(FQ314,{"III","II","I","I особая"},0),1),"НЕ ОБЕСПЕЧЕНА","ОК"))</f>
        <v>ОК</v>
      </c>
      <c r="FU314" t="str">
        <f>IF(A314="","",_xlfn.XLOOKUP(A314,Щиты[Щит],Щиты[Путь],""))</f>
        <v>|ГРЩ-ЖД|ЩС-Б|</v>
      </c>
      <c r="FV314" t="str">
        <f>IF(B314="","",IF(AE314&lt;&gt;"",AE314,IF(IFERROR(_xlfn.XLOOKUP(AX314,Коды_код,Коды_вид)&amp;"","")="","Прочее",_xlfn.XLOOKUP(AX314,Коды_код,Коды_вид)&amp;"")))</f>
        <v>Бассейн, SPA, хаммам</v>
      </c>
      <c r="FW314">
        <f>IF(BH314="","",INT((BH314-1)/Столбцов_на_лист)+1)</f>
        <v>2</v>
      </c>
      <c r="FX314" t="str">
        <f t="shared" si="567"/>
        <v>ВВГнг(А)-LS (5х4) L=21-0,94%</v>
      </c>
      <c r="FY314">
        <f t="shared" si="568"/>
        <v>12.45</v>
      </c>
      <c r="FZ314">
        <f t="shared" si="569"/>
        <v>22.470000000000002</v>
      </c>
      <c r="GA314">
        <f t="shared" si="570"/>
        <v>3</v>
      </c>
      <c r="GB314">
        <f t="shared" si="571"/>
        <v>0</v>
      </c>
      <c r="GC314">
        <f t="shared" si="572"/>
        <v>1</v>
      </c>
      <c r="GD314">
        <f>IF(BH314="","",IF(AND(CA314=1,GC314=1),COUNTIFS(A$3:A314,A314,CA$3:CA314,1,GC$3:GC314,1),IF(OR(OR(AW314=1,A314&lt;&gt;A313),AF314="вручную",GC314=0),"",IF(AW314=1,"",GE313))))</f>
        <v>1</v>
      </c>
      <c r="GE314">
        <f t="shared" si="573"/>
        <v>1</v>
      </c>
      <c r="GF314">
        <f>IF(B314="","",IFERROR(LOOKUP(INDEX(CHOOSE(DL314,Iдоп_1ж,Iдоп_2ж,Iдоп_3ж),MATCH(DX314,Iдоп_S,0))*DJ314*DK314,{6,10,16,20,25,32,40,50,63,80,100,125,160,200,250,315,400,500,630}),""))</f>
        <v>32</v>
      </c>
      <c r="GG314" t="str">
        <f t="shared" si="574"/>
        <v>QF1</v>
      </c>
      <c r="GH314" t="str">
        <f t="shared" si="575"/>
        <v>QF1</v>
      </c>
      <c r="GI314" t="str">
        <f t="shared" si="576"/>
        <v/>
      </c>
      <c r="GJ314">
        <f t="shared" si="577"/>
        <v>0</v>
      </c>
      <c r="GK314" t="str">
        <f>IF(OR(AG314="",AG314="-"),"",IFERROR(VLOOKUP(AG314,Модули_спр,2,FALSE),"R"))</f>
        <v/>
      </c>
      <c r="GL314" t="str">
        <f>IF(GK314="","",GK314&amp;"."&amp;COUNTIFS(A$3:A314,A314,GK$3:GK314,GK314))</f>
        <v/>
      </c>
      <c r="GM314" t="str">
        <f t="shared" si="578"/>
        <v/>
      </c>
      <c r="GN314" t="str">
        <f t="shared" si="579"/>
        <v/>
      </c>
      <c r="GO314" t="str">
        <f t="shared" si="580"/>
        <v/>
      </c>
      <c r="GP314" t="str">
        <f t="shared" si="581"/>
        <v/>
      </c>
      <c r="GQ314">
        <f t="shared" si="582"/>
        <v>1</v>
      </c>
      <c r="GR314" t="str">
        <f>IF(GQ314=1,"XT"&amp;COUNTIFS(A$3:A314,A314,GQ$3:GQ314,1),"")</f>
        <v>XT1</v>
      </c>
      <c r="GS314" t="str">
        <f t="shared" si="583"/>
        <v>XT1</v>
      </c>
      <c r="GT314" t="str">
        <f t="shared" si="584"/>
        <v>QF1</v>
      </c>
      <c r="GU314" t="str">
        <f t="shared" si="585"/>
        <v/>
      </c>
      <c r="GV314" t="str">
        <f t="shared" si="586"/>
        <v>ПЕРЕГРУЗ</v>
      </c>
      <c r="GW314" t="str">
        <f>IF(OR(GO314="",GM314=""),"",IF(GO314&gt;IFERROR(VLOOKUP(GN314,Модули_спр,3,FALSE),99),"ЛИШНИЙ КАНАЛ",IF(AND(AH314&lt;&gt;"=",COUNTIFS(Линии[_модуль гр.],GM314,Линии[Канал (итог)],GO314,Линии[Канал],"&lt;&gt;=",Линии[Щит],A314)&gt;1),"ДУБЛЬ КАНАЛА","")))</f>
        <v/>
      </c>
      <c r="GX314" s="6" t="str">
        <f t="shared" si="587"/>
        <v/>
      </c>
      <c r="GY314">
        <f t="shared" si="588"/>
        <v>10</v>
      </c>
      <c r="GZ314" t="str">
        <f t="shared" si="589"/>
        <v/>
      </c>
      <c r="HA314" t="str">
        <f>IF(AND(B314="",GT314=""),"",_xlfn.TEXTJOIN("; ",TRUE,IF(AND(B314&lt;&gt;"",FE314=""),"нет фазы",""),IF(AND(B314&lt;&gt;"",N(FY314)=0,EQ314&lt;&gt;"Нет"),"нет мощности",""),IF(AND(GS314&lt;&gt;"",COUNTIFS(Линии[Щит],A314,Линии[Клемма (итог)],GS314)&gt;1),"дубль клеммы "&amp;GS314,""),IF(AND(GV314&lt;&gt;"",GV314&lt;&gt;"ok"),GV314,""),IF(GW314&lt;&gt;"",GW314,""),IF(AND(N(BV314)&gt;=4,N(BR314)=1),BV314&amp;" жил на 1 фазе",""),IF(AND(AX314="R",CA314=1,OR(N(CK314)=0,N(CK314)&gt;30)),"розетка без дифзащиты до 30 мА",""),IFERROR(IF(AND(ISNUMBER(R314),R314&gt;DV314),"потери "&amp;FIXED(R314,1)&amp;" % &gt; "&amp;DV314&amp;" %",""),""),IFERROR(IF(LEFT(GZ314,4)="мало","Iкз мало — отключение &gt; 0,4 с",""),""),IF(AND(B314&lt;&gt;"",BH314=""),"не на схеме",""),IF(AND(CA314=0,B314&lt;&gt;"",FE314&lt;&gt;"",IF(AW314=1,"",FF313)&lt;&gt;"",FE314&lt;&gt;IF(AW314=1,"",FF313)),"фаза не как у автомата группы ("&amp;IF(AW314=1,"",FF313)&amp;")","")))</f>
        <v>ПЕРЕГРУЗ</v>
      </c>
      <c r="HB314" s="6">
        <f>IF(OR(CA314=0,DA314=""),"",_xlfn.LET(_xlpm.t,IFERROR(_xlfn.XLOOKUP(DA314,Каталог!$U$4:$U$500,Каталог!$G$4:$G$500),""),_xlpm.k,SEARCH("кА",_xlpm.t),IFERROR(--TRIM(RIGHT(SUBSTITUTE(MID(_xlpm.t,MAX(1,_xlpm.k-4),_xlpm.k-MAX(1,_xlpm.k-4))," ",REPT(" ",9)),5)),"")))</f>
        <v>6</v>
      </c>
      <c r="HC314" t="str">
        <f>IF(OR(HB314="",CA314=0),"",IF(_xlfn.XLOOKUP(A314,Щиты[Щит],Щиты[Iкз max на шинах, кА],"")="","",IF(HB314&lt;_xlfn.XLOOKUP(A314,Щиты[Щит],Щиты[Iкз max на шинах, кА]),"Icu "&amp;HB314&amp;" кА &lt; Iкз max","ok")))</f>
        <v/>
      </c>
      <c r="HD314" t="str">
        <f t="shared" si="590"/>
        <v/>
      </c>
      <c r="HE314" t="str">
        <f t="shared" si="591"/>
        <v>QF1|XT1</v>
      </c>
      <c r="HF314" t="str">
        <f t="shared" si="592"/>
        <v>QF1|XT1|кабель ВВГнг(А)-LS (5х4) → Управляющий электрощит бассейна Подвальный этаж Пом. 002Тб</v>
      </c>
      <c r="HG314" t="str" cm="1">
        <f t="array" ref="HG314">IF(HF314="","",_xlfn.LET(_xlpm.nd,_xlfn.TEXTSPLIT(HF314,"|"),IF(COLUMNS(_xlpm.nd)&gt;1,A314&amp;"¦"&amp;INDEX(_xlpm.nd,1)&amp;"¦"&amp;INDEX(_xlpm.nd,2),"")))</f>
        <v>ЩС-Б¦QF1¦XT1</v>
      </c>
      <c r="HH314" t="str">
        <f t="shared" si="593"/>
        <v>Э.1¦Управляющий электрощит бассейна Подвальный этаж Пом. 002Тб</v>
      </c>
      <c r="HI314" t="str" cm="1">
        <f t="array" ref="HI314">IF(HF314="","",_xlfn.LET(_xlpm.nd,_xlfn.TEXTSPLIT(HF314,"|"),IF(COLUMNS(_xlpm.nd)&gt;2,A314&amp;"¦"&amp;INDEX(_xlpm.nd,2)&amp;"¦"&amp;INDEX(_xlpm.nd,3),"")))</f>
        <v>ЩС-Б¦XT1¦кабель ВВГнг(А)-LS (5х4) → Управляющий электрощит бассейна Подвальный этаж Пом. 002Тб</v>
      </c>
      <c r="HJ314" t="str">
        <f t="shared" si="594"/>
        <v>Э.1¦Управляющий электрощит бассейна Подвальный этаж Пом. 002Тб</v>
      </c>
      <c r="HK314" t="str" cm="1">
        <f t="array" ref="HK314">IF(HF314="","",_xlfn.LET(_xlpm.nd,_xlfn.TEXTSPLIT(HF314,"|"),IF(COLUMNS(_xlpm.nd)&gt;3,A314&amp;"¦"&amp;INDEX(_xlpm.nd,3)&amp;"¦"&amp;INDEX(_xlpm.nd,4),"")))</f>
        <v/>
      </c>
      <c r="HL314" t="str">
        <f t="shared" si="595"/>
        <v/>
      </c>
      <c r="HM314" t="str" cm="1">
        <f t="array" ref="HM314">IF(HF314="","",_xlfn.LET(_xlpm.nd,_xlfn.TEXTSPLIT(HF314,"|"),IF(COLUMNS(_xlpm.nd)&gt;4,A314&amp;"¦"&amp;INDEX(_xlpm.nd,4)&amp;"¦"&amp;INDEX(_xlpm.nd,5),"")))</f>
        <v/>
      </c>
      <c r="HN314" t="str">
        <f t="shared" si="596"/>
        <v/>
      </c>
      <c r="HO314" t="str" cm="1">
        <f t="array" ref="HO314">IF(HF314="","",_xlfn.LET(_xlpm.nd,_xlfn.TEXTSPLIT(HF314,"|"),IF(COLUMNS(_xlpm.nd)&gt;5,A314&amp;"¦"&amp;INDEX(_xlpm.nd,5)&amp;"¦"&amp;INDEX(_xlpm.nd,6),"")))</f>
        <v/>
      </c>
      <c r="HP314" t="str">
        <f t="shared" si="597"/>
        <v/>
      </c>
      <c r="HQ314" t="str" cm="1">
        <f t="array" ref="HQ314">IF(HF314="","",_xlfn.LET(_xlpm.nd,_xlfn.TEXTSPLIT(HF314,"|"),IF(COLUMNS(_xlpm.nd)&gt;6,A314&amp;"¦"&amp;INDEX(_xlpm.nd,6)&amp;"¦"&amp;INDEX(_xlpm.nd,7),"")))</f>
        <v/>
      </c>
      <c r="HR314" t="str">
        <f t="shared" si="598"/>
        <v/>
      </c>
      <c r="HS314" t="str">
        <f t="shared" si="599"/>
        <v/>
      </c>
      <c r="HT314" t="str">
        <f t="shared" si="600"/>
        <v>QF1 → XT1</v>
      </c>
      <c r="HU314">
        <f t="shared" si="601"/>
        <v>0</v>
      </c>
      <c r="HV314">
        <f t="shared" si="602"/>
        <v>0</v>
      </c>
      <c r="HW314" t="str">
        <f t="shared" si="603"/>
        <v/>
      </c>
      <c r="HX314" t="str">
        <f t="shared" si="604"/>
        <v/>
      </c>
      <c r="HY314" t="str">
        <f t="shared" si="605"/>
        <v/>
      </c>
      <c r="HZ314" t="str">
        <f t="shared" si="606"/>
        <v/>
      </c>
      <c r="IA314">
        <f>IF(B314="","",IFERROR(VLOOKUP(B314,УГО_спр,2,FALSE),IFERROR(VLOOKUP(AX314,УГО_спр,2,FALSE),IFERROR(VLOOKUP(LEFT(AX314,2),УГО_спр,2,FALSE),""))))</f>
        <v>0</v>
      </c>
      <c r="IB314" t="str">
        <f>IF(B314="","",IF(OR(IA314="",IA314=0),"BOX",IFERROR(IF(VLOOKUP(IA314,УГО_блоки,3,FALSE)&amp;""&lt;&gt;"",VLOOKUP(IA314,УГО_блоки,3,FALSE),VLOOKUP(IA314,УГО_блоки,2,FALSE)),IA314)))</f>
        <v>BOX</v>
      </c>
      <c r="IC314">
        <f t="shared" si="607"/>
        <v>1</v>
      </c>
      <c r="ID314" t="str">
        <f>IF(DA314="","",IF(COUNTIF(DA$3:DA314,DA314)=1,MAX(ID$2:ID313)+1,""))</f>
        <v/>
      </c>
      <c r="IE314" t="str">
        <f>IF(CO314="","",IF(COUNTIF(CO$3:CO314,CO314)+COUNTIF(CP$2:CP313,CO314)+COUNTIF(CQ$2:CQ313,CO314)=1,MAX(IE$2:IG313)+1,""))</f>
        <v/>
      </c>
      <c r="IF314" t="str">
        <f>IF(CP314="","",IF(COUNTIF(CO$3:CO314,CP314)+COUNTIF(CP$3:CP314,CP314)+COUNTIF(CQ$2:CQ313,CP314)=1,MAX(IE$2:IG313,IE314)+1,""))</f>
        <v/>
      </c>
      <c r="IG314" t="str">
        <f>IF(CQ314="","",IF(COUNTIF(CO$3:CO314,CQ314)+COUNTIF(CP$3:CP314,CQ314)+COUNTIF(CQ$3:CQ314,CQ314)=1,MAX(IE$2:IG313,IE314,IF314)+1,""))</f>
        <v/>
      </c>
      <c r="IH314" t="str">
        <f t="shared" si="608"/>
        <v>5х4</v>
      </c>
      <c r="II314" t="str">
        <f>IF(IH314="","",IF(COUNTIF(IH$3:IH314,IH314)=1,MAX(II$2:II313)+1,""))</f>
        <v/>
      </c>
      <c r="IJ314" t="str">
        <f>IF(GL314="","",COUNTIF(GL$3:GL314,"?*"))</f>
        <v/>
      </c>
      <c r="IK314" t="str">
        <f>IF(OR(GL314="",GN314=""),"",IF(COUNTIFS(GL$3:GL314,"?*",GN$3:GN314,GN314)=1,MAX(IK$2:IK313)+1,""))</f>
        <v/>
      </c>
      <c r="IL314">
        <f t="shared" si="609"/>
        <v>2</v>
      </c>
      <c r="IM314">
        <f>IF(B314="","",COUNTIF(B$3:B314,"?*"))</f>
        <v>312</v>
      </c>
      <c r="IN314">
        <f>IF(GQ314&lt;&gt;1,0,_xlfn.LET(_xlpm.k,MAX(IFERROR(--VLOOKUP(B314,УГО_спр,5,FALSE),0),IFERROR(--VLOOKUP(AX314,УГО_спр,5,FALSE),0),IFERROR(--VLOOKUP(LEFT(AX314,2),УГО_спр,5,FALSE),0)),IF(_xlpm.k&gt;0,_xlpm.k,IF(IFERROR(--LEFT(SUBSTITUTE(IH314,"x","х"),FIND("х",SUBSTITUTE(IH314,"x","х"))-1),3)&gt;3,Каталог!$S$9,1))))</f>
        <v>1</v>
      </c>
      <c r="IO314">
        <f t="shared" si="610"/>
        <v>2</v>
      </c>
      <c r="IP314" t="str">
        <f t="shared" si="611"/>
        <v>авто</v>
      </c>
      <c r="IQ314" t="str">
        <f t="shared" si="612"/>
        <v/>
      </c>
      <c r="IR314">
        <f t="shared" si="613"/>
        <v>0</v>
      </c>
      <c r="IS314">
        <f t="shared" si="614"/>
        <v>1</v>
      </c>
    </row>
    <row r="315" spans="1:253" x14ac:dyDescent="0.3">
      <c r="A315" t="s">
        <v>763</v>
      </c>
      <c r="B315" t="s">
        <v>1578</v>
      </c>
      <c r="C315" t="s">
        <v>1687</v>
      </c>
      <c r="D315">
        <v>1</v>
      </c>
      <c r="E315">
        <v>4.6500000000000004</v>
      </c>
      <c r="G315">
        <v>16</v>
      </c>
      <c r="H315" t="str">
        <f>Линии[[#This Row],[_авто утечка]]</f>
        <v/>
      </c>
      <c r="I315" t="str">
        <f>Линии[[#This Row],[_авто управление]]</f>
        <v/>
      </c>
      <c r="J315" t="str">
        <f>Линии[[#This Row],[_авто аппараты]]</f>
        <v/>
      </c>
      <c r="K315">
        <v>2.5</v>
      </c>
      <c r="L315">
        <v>37</v>
      </c>
      <c r="M315" t="str">
        <f>Линии[[#This Row],[_авто фаза]]</f>
        <v>L1,L2,L3</v>
      </c>
      <c r="N315" t="str">
        <f>Линии[[#This Row],[_авто клемма]]</f>
        <v>XT2</v>
      </c>
      <c r="O315" t="str">
        <f t="shared" si="492"/>
        <v/>
      </c>
      <c r="P315" s="6" cm="1">
        <f t="array" ref="P315">IF(B315="","",IF(BC315&lt;&gt;"",IFERROR(_xlfn.XLOOKUP(BC315,Щиты[Щит],Щиты[Iр, А]),""),IF(BK315=1,IFERROR(_xlfn.XLOOKUP(A315,Щиты[Щит],Щиты[Iр, А]),""),IFERROR(_xlfn.IFS(BR315=1,BN315/((Uн_лин/SQRT(3))*BY315),BR315=3,BN315/(SQRT(3)*Uн_лин*BY315)),""))))</f>
        <v>8.3896210991617508</v>
      </c>
      <c r="Q315" s="7">
        <f>IF(B315="","",IFERROR(IF(VLOOKUP(AX315,Потребители_обозначение,4,FALSE)=1,VLOOKUP(AX315,Потребители_обозначение,3,FALSE)*(D315*2-1)+DS315+VLOOKUP(AZ315,Этаж_обозначение,3,FALSE)+VLOOKUP(AZ315,Этаж_обозначение,4,FALSE),VLOOKUP(AX315,Потребители_обозначение,3,FALSE)*(D315*2-1)+DS315),DS315))</f>
        <v>40</v>
      </c>
      <c r="R315" s="6">
        <f t="shared" si="493"/>
        <v>2.02</v>
      </c>
      <c r="S315" t="str">
        <f t="shared" si="494"/>
        <v>ВВГнг(А)-LS (5х2,5)</v>
      </c>
      <c r="T315" t="str">
        <f>IF(BH315="","",IF(BI315="вводной узел","узел ","")&amp;"л."&amp;(INT((BH315-1)/Столбцов_на_лист)+1)&amp;" / "&amp;(MOD(BH315-1,Столбцов_на_лист)+1))</f>
        <v>л.2 / 2</v>
      </c>
      <c r="V315">
        <v>3</v>
      </c>
      <c r="W315">
        <v>400</v>
      </c>
      <c r="X315" t="s">
        <v>600</v>
      </c>
      <c r="Y315">
        <v>0.5</v>
      </c>
      <c r="AE315" t="s">
        <v>602</v>
      </c>
      <c r="AI315">
        <v>19</v>
      </c>
      <c r="AJ315" t="s">
        <v>11</v>
      </c>
      <c r="AK315">
        <v>5</v>
      </c>
      <c r="AM315">
        <v>25</v>
      </c>
      <c r="AN315">
        <v>12</v>
      </c>
      <c r="AP315">
        <v>1</v>
      </c>
      <c r="AW315" cm="1">
        <f t="array" ref="AW315">ROW()-ROW(Линии[#Headers])</f>
        <v>313</v>
      </c>
      <c r="AX315" s="6" t="str">
        <f t="shared" si="495"/>
        <v>Э</v>
      </c>
      <c r="AY315" t="str">
        <f t="shared" si="496"/>
        <v>2</v>
      </c>
      <c r="AZ315" t="str">
        <f t="shared" si="497"/>
        <v>2</v>
      </c>
      <c r="BA315" t="str">
        <f t="shared" si="498"/>
        <v/>
      </c>
      <c r="BB315" t="str">
        <f t="shared" si="499"/>
        <v/>
      </c>
      <c r="BC315" t="str">
        <f>IF(U315&lt;&gt;"",U315,IF(AND(B315&lt;&gt;"",B315&lt;&gt;A315,ISNUMBER(_xlfn.XMATCH(B315,Щиты[Щит]))),B315,""))</f>
        <v/>
      </c>
      <c r="BD315" t="str" cm="1">
        <f t="array" ref="BD315">IF(B315="","",IF(BC315&lt;&gt;"","Щит "&amp;BC315,_xlfn.LET(_xlpm.nm,IFERROR(_xlfn.XLOOKUP(AX315,Коды_код,Коды_имя)&amp;"",""),_xlpm.md,IFERROR(N(_xlfn.XLOOKUP(AX315,Коды_код,Коды_режим)),1),_xlpm.ex,IF(Имя_режим="по экспликации",IFERROR(_xlfn.XLOOKUP(AZ315&amp;"|"&amp;BB315,Экспликация[Этаж]&amp;"|"&amp;Экспликация[Помещение],Экспликация[Название])&amp;"",""),""),_xlpm.rm,IF(BB315="","",IF(_xlpm.ex&lt;&gt;"",". "&amp;_xlpm.ex&amp;IF(Имя_пом="нет"," ("&amp;BB315&amp;")"," (пом. "&amp;BB315&amp;")"),IF(Имя_пом="нет"," ",", пом. ")&amp;BB315)),IF(_xlpm.nm="","",IF(_xlpm.md=2,_xlpm.nm&amp;" шлейф "&amp;AZ315,_xlpm.nm&amp;_xlpm.rm)))))</f>
        <v>Управляющий электрощит бассейна</v>
      </c>
      <c r="BE315" t="str">
        <f t="shared" si="500"/>
        <v>Горячая купель Подвальный этаж Пом. 002Тб</v>
      </c>
      <c r="BF315">
        <f>IFERROR(_xlfn.XMATCH(A315,Щиты[Щит]),0)</f>
        <v>12</v>
      </c>
      <c r="BG315">
        <f>_xlfn.LET(_xlpm.k,IFERROR(_xlfn.XLOOKUP(A315,Щиты[Щит],Щиты[Листов под вводной узел]),""),IF(_xlpm.k="",1,N(_xlpm.k))*Столбцов_на_лист)</f>
        <v>17</v>
      </c>
      <c r="BH315">
        <f t="shared" si="501"/>
        <v>19</v>
      </c>
      <c r="BI315" t="str">
        <f t="shared" si="502"/>
        <v>линии</v>
      </c>
      <c r="BJ315" s="6">
        <f>IFERROR(N(_xlfn.XLOOKUP(AX315,Коды_код,Коды_квт)),0)</f>
        <v>0</v>
      </c>
      <c r="BK315">
        <f t="shared" si="503"/>
        <v>0</v>
      </c>
      <c r="BL315" t="str">
        <f>IF(B315="","",IF(BC315&lt;&gt;"",IFERROR(_xlfn.XLOOKUP(BC315,Щиты[Щит],Щиты[Руст, кВт]),0),IF(BK315=1,IFERROR(_xlfn.XLOOKUP(A315,Щиты[Щит],Щиты[Руст, кВт]),0),IF(BJ315&gt;0,ROUND(BJ315*MAX(1,N(D315)),3),""))))</f>
        <v/>
      </c>
      <c r="BM315">
        <f t="shared" si="504"/>
        <v>4.6500000000000004</v>
      </c>
      <c r="BN315" s="6">
        <f>IF(B315="","",IF(BC315&lt;&gt;"",IFERROR(_xlfn.XLOOKUP(BC315,Щиты[Щит],Щиты[Руст, кВт]),0),N(BM315)))</f>
        <v>4.6500000000000004</v>
      </c>
      <c r="BO315" t="str">
        <f>IF(B315="","",IFERROR(IF(VLOOKUP(AX315,Потребители_обозначение,8,FALSE)=0,"",VLOOKUP(AX315,Потребители_обозначение,8,FALSE)),""))</f>
        <v/>
      </c>
      <c r="BP315">
        <f t="shared" si="505"/>
        <v>400</v>
      </c>
      <c r="BQ315">
        <f>IF(B315="","",IF(BC315&lt;&gt;"",3,IFERROR(IF(N(VLOOKUP(AX315,Потребители_обозначение,9,FALSE))=0,1,VLOOKUP(AX315,Потребители_обозначение,9,FALSE)),1)))</f>
        <v>1</v>
      </c>
      <c r="BR315">
        <f t="shared" si="506"/>
        <v>3</v>
      </c>
      <c r="BS315" t="str">
        <f>IF(B315="","",_xlfn.LET(_xlpm.bc,IFERROR(IF(VLOOKUP(AX315,Потребители_обозначение,6,FALSE)=0,"",VLOOKUP(AX315,Потребители_обозначение,6,FALSE)&amp;""),""),IF(AND(FK315="да",OR(_xlpm.bc="",_xlpm.bc="мс")),Марка_пож,IF(AND(_xlpm.bc="",BC315&lt;&gt;""),"мс",_xlpm.bc))))</f>
        <v/>
      </c>
      <c r="BT315" t="str">
        <f t="shared" si="507"/>
        <v>мс</v>
      </c>
      <c r="BU315">
        <f>IF(B315="","",_xlfn.LET(_xlpm.cc,IFERROR(N(VLOOKUP(AX315,Потребители_обозначение,7,FALSE)),0),IF(_xlpm.cc&gt;0,_xlpm.cc,IF(BT315="","",IF(N(BR315)=3,5,3)))))</f>
        <v>5</v>
      </c>
      <c r="BV315">
        <f t="shared" si="508"/>
        <v>5</v>
      </c>
      <c r="BW315">
        <f>IFERROR(N(VLOOKUP(AX315,Потребители_обозначение,10,FALSE)),0)</f>
        <v>0</v>
      </c>
      <c r="BX315">
        <f>IFERROR(VLOOKUP(AX315,Потребители_обозначение,5,FALSE),0)</f>
        <v>1</v>
      </c>
      <c r="BY315" s="6" cm="1">
        <f t="array" ref="BY315">IF(B315="","",IF(BC315&lt;&gt;"",IFERROR(_xlfn.XLOOKUP(BC315,Щиты[Щит],Щиты[cos φ]),0.95),IF(BK315=1,IFERROR(_xlfn.XLOOKUP(A315,Щиты[Щит],Щиты[cos φ]),0.95),IF(ISNUMBER(Z315),Z315,IFERROR(IF(BX315=2,_xlfn.IFS(BR315=3,VLOOKUP(BN315,Справочная_двигатели,8,FALSE),BR315=1,VLOOKUP(BN315,Справочная_двигатели,10,TRUE)),IF(AND(Методика="нормы 2026",EQ315="Сил"),0.8,0.95)),0.95)))))</f>
        <v>0.8</v>
      </c>
      <c r="BZ315">
        <f t="shared" si="509"/>
        <v>0</v>
      </c>
      <c r="CA315">
        <f t="shared" si="510"/>
        <v>1</v>
      </c>
      <c r="CB315">
        <f t="shared" si="511"/>
        <v>0</v>
      </c>
      <c r="CC315">
        <f t="shared" si="512"/>
        <v>0</v>
      </c>
      <c r="CD315">
        <f t="shared" si="513"/>
        <v>0</v>
      </c>
      <c r="CE315">
        <f t="shared" si="514"/>
        <v>0</v>
      </c>
      <c r="CF315">
        <f t="shared" si="515"/>
        <v>0</v>
      </c>
      <c r="CG315">
        <f>IF(AX315="",0,_xlfn.LET(_xlpm.v,IFERROR(VLOOKUP(B315,УГО_спр,3,FALSE),IFERROR(VLOOKUP(AX315,УГО_спр,3,FALSE),IFERROR(VLOOKUP(LEFT(AX315,2),УГО_спр,3,FALSE),""))),IF(_xlpm.v="да",30,IF(ISNUMBER(_xlpm.v),_xlpm.v,0))))</f>
        <v>0</v>
      </c>
      <c r="CH315" t="str">
        <f t="shared" si="516"/>
        <v/>
      </c>
      <c r="CI315" t="str">
        <f>_xlfn.LET(_xlpm.k,IFERROR(_xlfn.XLOOKUP(AX315,Коды_код,Коды_утечка)&amp;"",""),IF(_xlpm.k="","дифавтомат",_xlpm.k))</f>
        <v>дифавтомат</v>
      </c>
      <c r="CJ315">
        <f t="shared" si="517"/>
        <v>0</v>
      </c>
      <c r="CK315">
        <f t="shared" si="518"/>
        <v>0</v>
      </c>
      <c r="CL315">
        <f>IF(B315="",0,IFERROR(--VLOOKUP(B315,УГО_спр,4,FALSE),IFERROR(--VLOOKUP(AX315,УГО_спр,4,FALSE),IFERROR(--VLOOKUP(LEFT(AX315,2),УГО_спр,4,FALSE),0))))</f>
        <v>0</v>
      </c>
      <c r="CM315" t="str">
        <f>IF(B315="","",IFERROR(_xlfn.XLOOKUP(AX315,Коды_код,Коды_апп)&amp;"",""))</f>
        <v/>
      </c>
      <c r="CN315" t="str">
        <f t="shared" si="519"/>
        <v/>
      </c>
      <c r="CO315" t="str" cm="1">
        <f t="array" ref="CO315">IF(TRIM(CN315&amp;"")="","",IFERROR(TRIM(INDEX(_xlfn.TEXTSPLIT(CN315&amp;";;;",";"),1)),""))</f>
        <v/>
      </c>
      <c r="CP315" t="str" cm="1">
        <f t="array" ref="CP315">IF(TRIM(CN315&amp;"")="","",IFERROR(TRIM(INDEX(_xlfn.TEXTSPLIT(CN315&amp;";;;",";"),2)),""))</f>
        <v/>
      </c>
      <c r="CQ315" t="str" cm="1">
        <f t="array" ref="CQ315">IF(TRIM(CN315&amp;"")="","",IFERROR(TRIM(INDEX(_xlfn.TEXTSPLIT(CN315&amp;";;;",";"),3)),""))</f>
        <v/>
      </c>
      <c r="CR315">
        <f t="shared" si="520"/>
        <v>0</v>
      </c>
      <c r="CS315" t="str">
        <f>IF(B315="","",_xlfn.LET(_xlpm.t,LOWER(AV315&amp;""),IF(ISNUMBER(SEARCH("dim",_xlpm.t)),"DIM",IF(ISNUMBER(SEARCH("dali",_xlpm.t)),"DALI",IF(OR(ISNUMBER(SEARCH("relay",_xlpm.t)),ISNUMBER(SEARCH("реле",_xlpm.t))),"Relay",IF(ISNUMBER(SEARCH("кнопк",_xlpm.t)),"",IFERROR(_xlfn.XLOOKUP(AX315,Коды_код,Коды_упр)&amp;"","")))))))</f>
        <v/>
      </c>
      <c r="CT315" t="str">
        <f t="shared" si="521"/>
        <v/>
      </c>
      <c r="CU315">
        <f>IF(B315="","",_xlfn.LET(_xlpm.ig,N(P315)+IF(AF315="вручную",0,N(CB315)),_xlpm.n0,IFERROR(VLOOKUP(_xlpm.ig,Автомат_номиналы,2,TRUE),0),_xlpm.mn,MAX(CL315,IF(AF315="вручную",0,N(CE315))),MAX(_xlpm.n0,_xlpm.mn,IF(CR315=1,Мин_автомат_БП,0))))</f>
        <v>10</v>
      </c>
      <c r="CV315">
        <f t="shared" si="522"/>
        <v>3</v>
      </c>
      <c r="CW315" t="str">
        <f t="shared" si="523"/>
        <v>3P</v>
      </c>
      <c r="CX315" t="str">
        <f>_xlfn.LET(_xlpm.cc,UPPER(TRIM(IFERROR(_xlfn.XLOOKUP(AX315,Коды_код,Коды_хар)&amp;"",""))),IF(OR(_xlpm.cc="B",_xlpm.cc="В"),"B",IF(_xlpm.cc="D","D","С")))</f>
        <v>С</v>
      </c>
      <c r="CY315" t="str">
        <f t="shared" si="524"/>
        <v>3P С10А</v>
      </c>
      <c r="CZ315">
        <f t="shared" si="525"/>
        <v>16</v>
      </c>
      <c r="DA315" t="str">
        <f t="shared" si="526"/>
        <v>3P С16А</v>
      </c>
      <c r="DB315" cm="1">
        <f t="array" ref="DB315">IF(DA315="","",_xlfn.LET(_xlpm.t,SUBSTITUTE(SUBSTITUTE(SUBSTITUTE(UPPER(DA315),"С","C"),"А","A"),"В","B"),_xlpm.tk,_xlfn.TEXTSPLIT(_xlpm.t,"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5" t="str">
        <f t="shared" si="527"/>
        <v>ok</v>
      </c>
      <c r="DD315">
        <f t="shared" si="528"/>
        <v>16</v>
      </c>
      <c r="DE315" t="str">
        <f t="shared" si="529"/>
        <v>3P С16А</v>
      </c>
      <c r="DF315">
        <f t="shared" si="530"/>
        <v>0</v>
      </c>
      <c r="DG315">
        <f t="shared" si="531"/>
        <v>0</v>
      </c>
      <c r="DH315">
        <f t="shared" si="532"/>
        <v>0</v>
      </c>
      <c r="DI315">
        <f t="shared" si="533"/>
        <v>8.3896210991617508</v>
      </c>
      <c r="DJ315">
        <f t="shared" si="534"/>
        <v>0.92</v>
      </c>
      <c r="DK315">
        <f>IF(ISNUMBER(AL315),AL315,К_прокл)</f>
        <v>1</v>
      </c>
      <c r="DL315">
        <f t="shared" si="535"/>
        <v>3</v>
      </c>
      <c r="DM315">
        <f>IFERROR(N(VLOOKUP(BT315,Кабель_обозначение,3,FALSE)),1)</f>
        <v>1</v>
      </c>
      <c r="DN315">
        <f>IFERROR(N(_xlfn.XLOOKUP(A315,Щиты[Щит],Щиты[ΔU до шин, %])),0)</f>
        <v>0.96</v>
      </c>
      <c r="DO315" t="str">
        <f>IFERROR(_xlfn.XLOOKUP(A315,Щиты[Щит],Щиты[Zпетли на шинах, Ом]),"")</f>
        <v/>
      </c>
      <c r="DP315">
        <f>IFERROR(N(_xlfn.XLOOKUP(A315,Щиты[Щит],Щиты[ΔU до шин (подбор), %])),0)</f>
        <v>0.96</v>
      </c>
      <c r="DQ315" t="str">
        <f>IFERROR(_xlfn.XLOOKUP(A315,Щиты[Щит],Щиты[Zпетли на шинах (подбор), Ом]),"")</f>
        <v/>
      </c>
      <c r="DR315" t="str">
        <f t="shared" si="536"/>
        <v/>
      </c>
      <c r="DS315">
        <f t="shared" si="537"/>
        <v>37</v>
      </c>
      <c r="DT315">
        <f t="shared" si="538"/>
        <v>1</v>
      </c>
      <c r="DU315">
        <f t="shared" si="539"/>
        <v>0.6</v>
      </c>
      <c r="DV315" s="6">
        <f>IF(B315="","",IF(IFERROR(VLOOKUP(AX315,УГО_спр,2,FALSE),"")="Светильник",3,4)+IF(Методика="нормы 2026",MIN(0.5,MAX(0,N(Q315)-100)*0.005),0))</f>
        <v>4</v>
      </c>
      <c r="DW315" cm="1">
        <f t="array" ref="DW315">IF(OR(B315="",BT315="",DM315&lt;&gt;1),"",_xlfn.LET(_xlpm.sz,Iдоп_S,_xlpm.t_,CHOOSE(DL315,Iдоп_1ж,Iдоп_2ж,Iдоп_3ж)*DJ315*DK315,_xlpm.inn,N(DD315),_xlpm.smin,MAX(1.5,BW315),_xlpm.L_,N(Q315)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315)*(_xlpm.rho*_xlpm.L_/_xlpm.sz*N(BY315)+_xlpm.xx*_xlpm.L_*N(DU315)/1000)*N(P315)/((Uн_лин/SQRT(3))*1000)*100,999),_xlpm.kz,IF(OR(DG315=1,NOT(ISNUMBER(DQ315)),_xlpm.L_=0,_xlpm.inn=0),1,IFERROR(--(c_min*(Uн_лин*1000/SQRT(3))/(DQ315+2*ρкз_Cu*_xlpm.L_/_xlpm.sz)&gt;=GY315*_xlpm.inn),0)),_xlpm.ok,IFERROR((_xlpm.sz&gt;=_xlpm.smin)*(_xlpm.t_&gt;=_xlpm.inn)*IF(_xlpm.L_&gt;0,(_xlpm.du_+DP315&lt;=DV315+0.00001),1)*_xlpm.kz,0),_xlpm.r_,_xlfn._xlws.FILTER(_xlpm.sz,_xlpm.ok,"не подобрано"),INDEX(_xlpm.r_,1)))</f>
        <v>1.5</v>
      </c>
      <c r="DX315">
        <f t="shared" si="540"/>
        <v>2.5</v>
      </c>
      <c r="DY315" cm="1">
        <f t="array" ref="DY315">IF(OR(B315="",BT315="",DM315&lt;&gt;1),"",_xlfn.LET(_xlpm.sz,Iдоп_S,_xlpm.t_,CHOOSE(DL315,Iдоп_1ж,Iдоп_2ж,Iдоп_3ж)*DJ315*DK315,_xlpm.ok,IFERROR((_xlpm.sz&gt;=MAX(1.5,BW315))*(_xlpm.t_&gt;=N(DD315)),0),_xlpm.r_,_xlfn._xlws.FILTER(_xlpm.sz,_xlpm.ok,""),INDEX(_xlpm.r_,1)))</f>
        <v>1.5</v>
      </c>
      <c r="DZ315" s="6" cm="1">
        <f t="array" ref="DZ315">IFERROR(ROUNDUP(N(DT315)*(_xlfn.XLOOKUP(DY315,INDEX(Кабель_сопротивление,0,1),INDEX(Кабель_сопротивление,0,3))*N(Q315)/DY315*N(BY315)+_xlfn.XLOOKUP(DY315,INDEX(Кабель_сопротивление,0,1),INDEX(Кабель_сопротивление,0,2))*N(Q315)*N(DU315)/1000)*N(P315)/((Uн_лин/SQRT(3))*1000)*100,2),"")</f>
        <v>1.76</v>
      </c>
      <c r="EA315">
        <f>IFERROR(2*ρкз_Cu*N(Q315)/DY315,"")</f>
        <v>1.4026666666666667</v>
      </c>
      <c r="EB315">
        <f>IFERROR(VLOOKUP(DX315,Кабель_сопротивление,3,FALSE),"")</f>
        <v>2.2499999999999999E-2</v>
      </c>
      <c r="EC315">
        <f>IFERROR(VLOOKUP(DX315,Кабель_сопротивление,2,FALSE),"")</f>
        <v>0.1</v>
      </c>
      <c r="ED315">
        <f t="shared" si="541"/>
        <v>12</v>
      </c>
      <c r="EE315">
        <f t="shared" si="542"/>
        <v>0</v>
      </c>
      <c r="EF315">
        <f t="shared" si="543"/>
        <v>2.4363459671965724</v>
      </c>
      <c r="EG315" s="6">
        <f>IFERROR(ROUNDUP(EF315/((Uн_лин/SQRT(3))*1000)*100,2),"")</f>
        <v>1.06</v>
      </c>
      <c r="EH315" t="str">
        <f>IFERROR(VLOOKUP(BT315,Кабель_обозначение,2,FALSE),"")</f>
        <v>ВВГнг(А)-LS</v>
      </c>
      <c r="EI315" t="str">
        <f t="shared" si="544"/>
        <v>ВВГнг(А)-LS (5х2,5)</v>
      </c>
      <c r="EJ315" t="str">
        <f t="shared" si="545"/>
        <v>ВВГнг(А)-LS (5х2,5)
L=40-1,06%</v>
      </c>
      <c r="EK315">
        <f>IFERROR(2*ρкз_Cu*Q315/DX315,"")</f>
        <v>0.84160000000000001</v>
      </c>
      <c r="EL315">
        <f t="shared" si="546"/>
        <v>0.28000000000000003</v>
      </c>
      <c r="EM315" s="6" t="str">
        <f>IFERROR(IF(OR(B315="",NOT(ISNUMBER(DX315)),N(Q315)=0),"",_xlfn.XLOOKUP(A315,Щиты[Щит],Щиты[Zпетли на шинах, Ом])+EK315),"")</f>
        <v/>
      </c>
      <c r="EN315" s="6" t="str">
        <f>IF(ISNUMBER(EM315),c_min*(Uн_лин*1000/SQRT(3))/EM315,"")</f>
        <v/>
      </c>
      <c r="EO315" s="6" t="str">
        <f>IFERROR(IF(OR(B315="",NOT(ISNUMBER(DX315))),"",1.05*(Uн_лин*1000/SQRT(3))/(_xlfn.XLOOKUP(A315,Щиты[Щит],Щиты[Zmax на шинах, Ом])+EL315)/1000),"")</f>
        <v/>
      </c>
      <c r="EP315" s="6" t="str">
        <f>IF(B315="","",IF(ISNUMBER(Y315),"Сил",IF(IFERROR(_xlfn.XLOOKUP(AX315,Коды_код,Коды_группа)&amp;"","")="","Быт",_xlfn.XLOOKUP(AX315,Коды_код,Коды_группа)&amp;"")))</f>
        <v>Сил</v>
      </c>
      <c r="EQ315" s="6" t="str">
        <f t="shared" si="547"/>
        <v>Сил</v>
      </c>
      <c r="ER315" s="6">
        <f>IF(EQ315="Щит","щит",IF(EQ315="","",IF(EQ315="Быт",IFERROR(_xlfn.XLOOKUP(A315,Щиты[Щит],Щиты[Кс быт]),1),IF(EQ315="Сил",IF(ISNUMBER(Y315),Y315,IF(Методика="нормы 2026",IFERROR(_xlfn.XLOOKUP(A315,Щиты[Щит],Щиты[Кс силовых (табл. 7.5)]),1),1)),IF(OR(EQ315="Пост",EQ315="Отоп"),1,IF(EQ315="ВНГ",0.7,0))))))</f>
        <v>0.5</v>
      </c>
      <c r="ES315">
        <f t="shared" si="548"/>
        <v>1</v>
      </c>
      <c r="ET315">
        <f t="shared" si="549"/>
        <v>4.6500000000000004</v>
      </c>
      <c r="EU315">
        <f t="shared" si="550"/>
        <v>0</v>
      </c>
      <c r="EV315">
        <f t="shared" si="551"/>
        <v>2.3250000000000002</v>
      </c>
      <c r="EW315">
        <f t="shared" si="552"/>
        <v>0</v>
      </c>
      <c r="EX315">
        <f t="shared" si="553"/>
        <v>0</v>
      </c>
      <c r="EY315">
        <f t="shared" si="554"/>
        <v>0</v>
      </c>
      <c r="EZ315">
        <f t="shared" si="555"/>
        <v>4.6500000000000004</v>
      </c>
      <c r="FA315">
        <f t="shared" si="556"/>
        <v>3.7200000000000006</v>
      </c>
      <c r="FB315">
        <f t="shared" si="557"/>
        <v>4.6500000000000004</v>
      </c>
      <c r="FC315" t="str">
        <f t="shared" si="558"/>
        <v/>
      </c>
      <c r="FD315" t="str">
        <f>IF(B315="","",IF(CA315=0,IF(AW315=1,"",FF314),IF(OR(N(CV315)&gt;=3,N(BR315)&gt;=3),"L1,L2,L3",IFERROR(_xlfn.TEXTBEFORE(_xlfn.TEXTAFTER(_xlfn.XLOOKUP(A315,Щиты[Щит],Щиты[_фазы авто]),";"&amp;AW315&amp;":"),";"),"L1"))))</f>
        <v>L1,L2,L3</v>
      </c>
      <c r="FE315" t="str">
        <f t="shared" si="559"/>
        <v>L1,L2,L3</v>
      </c>
      <c r="FF315" t="str">
        <f t="shared" si="560"/>
        <v>L1,L2,L3</v>
      </c>
      <c r="FG315" cm="1">
        <f t="array" ref="FG315">IFERROR(IF(BX315=2,_xlfn.IFS(BR315=3,VLOOKUP(BN315,Справочная_двигатели,3,FALSE),BR315=1,VLOOKUP(BN315,Справочная_двигатели,5,TRUE)),0),0)</f>
        <v>0</v>
      </c>
      <c r="FH315">
        <f>IFERROR(IF(BX315=3,VLOOKUP(BN315,Справочная_ЛЭД,2,TRUE),0),0)</f>
        <v>0</v>
      </c>
      <c r="FI315" s="6">
        <f t="shared" si="561"/>
        <v>0</v>
      </c>
      <c r="FJ315" t="str" cm="1">
        <f t="array" ref="FJ315">IF(B315="","",IFERROR(INDEX({"I особая","I","II","III"},MATCH(TRIM(AC315&amp;""),{"I особая","I","II","III"},0)),"III"))</f>
        <v>III</v>
      </c>
      <c r="FK315" t="str">
        <f>IF(B315="","",IF(TRIM(AD315&amp;"")&lt;&gt;"",IF(LOWER(TRIM(AD315&amp;""))="да","да","нет"),IF(IFERROR(_xlfn.XLOOKUP(AX315,Коды_код,Коды_пожарная),"")="да","да","нет")))</f>
        <v>нет</v>
      </c>
      <c r="FL315" t="str">
        <f t="shared" si="562"/>
        <v/>
      </c>
      <c r="FM315" t="str">
        <f t="shared" si="563"/>
        <v>основная</v>
      </c>
      <c r="FN315">
        <f t="shared" si="564"/>
        <v>1</v>
      </c>
      <c r="FO315" t="str" cm="1">
        <f t="array" ref="FO315">IF(B315="","",_xlfn.LET(_xlpm.t,IFERROR(_xlfn.XLOOKUP(1,(Шины[Шина]=FM315)*(((Шины[Щит]=A315)+(Шины[Щит]=""))&gt;0),Шины[Тип]),"")&amp;"",IF(_xlpm.t&lt;&gt;"",_xlpm.t,IF(ISNUMBER(SEARCH("ИБП",FM315)),"ИБП",IF(ISNUMBER(SEARCH("ДГУ",FM315)),"ДГУ","Ввод "&amp;FN315)))))</f>
        <v>Ввод 1</v>
      </c>
      <c r="FP315" t="str">
        <f t="shared" si="565"/>
        <v>Ввод 1</v>
      </c>
      <c r="FQ315" t="str">
        <f>IF(B315="","",IF(OR(FO315="ИБП",FO315="ДГУ"),"I особая",IF(FO315="Одиночная","III",_xlfn.XLOOKUP(A315,Щиты[Щит],Щиты[Категория шины «Ввод»],"III"))))</f>
        <v>II</v>
      </c>
      <c r="FR315">
        <f>IF(B315="",0,IFERROR(MATCH(FJ315,{"III","II","I","I особая"},0),1))</f>
        <v>1</v>
      </c>
      <c r="FS315">
        <f t="shared" si="566"/>
        <v>1</v>
      </c>
      <c r="FT315" t="str">
        <f>IF(B315="","",IF(FR315&gt;IFERROR(MATCH(FQ315,{"III","II","I","I особая"},0),1),"НЕ ОБЕСПЕЧЕНА","ОК"))</f>
        <v>ОК</v>
      </c>
      <c r="FU315" t="str">
        <f>IF(A315="","",_xlfn.XLOOKUP(A315,Щиты[Щит],Щиты[Путь],""))</f>
        <v>|ГРЩ-ЖД|ЩС-Б|</v>
      </c>
      <c r="FV315" t="str">
        <f>IF(B315="","",IF(AE315&lt;&gt;"",AE315,IF(IFERROR(_xlfn.XLOOKUP(AX315,Коды_код,Коды_вид)&amp;"","")="","Прочее",_xlfn.XLOOKUP(AX315,Коды_код,Коды_вид)&amp;"")))</f>
        <v>Бассейн, SPA, хаммам</v>
      </c>
      <c r="FW315">
        <f>IF(BH315="","",INT((BH315-1)/Столбцов_на_лист)+1)</f>
        <v>2</v>
      </c>
      <c r="FX315" t="str">
        <f t="shared" si="567"/>
        <v>ВВГнг(А)-LS (5х2,5) L=40-1,06%</v>
      </c>
      <c r="FY315">
        <f t="shared" si="568"/>
        <v>4.6500000000000004</v>
      </c>
      <c r="FZ315">
        <f t="shared" si="569"/>
        <v>8.39</v>
      </c>
      <c r="GA315">
        <f t="shared" si="570"/>
        <v>3</v>
      </c>
      <c r="GB315">
        <f t="shared" si="571"/>
        <v>0</v>
      </c>
      <c r="GC315">
        <f t="shared" si="572"/>
        <v>1</v>
      </c>
      <c r="GD315">
        <f>IF(BH315="","",IF(AND(CA315=1,GC315=1),COUNTIFS(A$3:A315,A315,CA$3:CA315,1,GC$3:GC315,1),IF(OR(OR(AW315=1,A315&lt;&gt;A314),AF315="вручную",GC315=0),"",IF(AW315=1,"",GE314))))</f>
        <v>2</v>
      </c>
      <c r="GE315">
        <f t="shared" si="573"/>
        <v>2</v>
      </c>
      <c r="GF315">
        <f>IF(B315="","",IFERROR(LOOKUP(INDEX(CHOOSE(DL315,Iдоп_1ж,Iдоп_2ж,Iдоп_3ж),MATCH(DX315,Iдоп_S,0))*DJ315*DK315,{6,10,16,20,25,32,40,50,63,80,100,125,160,200,250,315,400,500,630}),""))</f>
        <v>20</v>
      </c>
      <c r="GG315" t="str">
        <f t="shared" si="574"/>
        <v>QF2</v>
      </c>
      <c r="GH315" t="str">
        <f t="shared" si="575"/>
        <v>QF2</v>
      </c>
      <c r="GI315" t="str">
        <f t="shared" si="576"/>
        <v/>
      </c>
      <c r="GJ315">
        <f t="shared" si="577"/>
        <v>0</v>
      </c>
      <c r="GK315" t="str">
        <f>IF(OR(AG315="",AG315="-"),"",IFERROR(VLOOKUP(AG315,Модули_спр,2,FALSE),"R"))</f>
        <v/>
      </c>
      <c r="GL315" t="str">
        <f>IF(GK315="","",GK315&amp;"."&amp;COUNTIFS(A$3:A315,A315,GK$3:GK315,GK315))</f>
        <v/>
      </c>
      <c r="GM315" t="str">
        <f t="shared" si="578"/>
        <v/>
      </c>
      <c r="GN315" t="str">
        <f t="shared" si="579"/>
        <v/>
      </c>
      <c r="GO315" t="str">
        <f t="shared" si="580"/>
        <v/>
      </c>
      <c r="GP315" t="str">
        <f t="shared" si="581"/>
        <v/>
      </c>
      <c r="GQ315">
        <f t="shared" si="582"/>
        <v>1</v>
      </c>
      <c r="GR315" t="str">
        <f>IF(GQ315=1,"XT"&amp;COUNTIFS(A$3:A315,A315,GQ$3:GQ315,1),"")</f>
        <v>XT2</v>
      </c>
      <c r="GS315" t="str">
        <f t="shared" si="583"/>
        <v>XT2</v>
      </c>
      <c r="GT315" t="str">
        <f t="shared" si="584"/>
        <v>QF2</v>
      </c>
      <c r="GU315" t="str">
        <f t="shared" si="585"/>
        <v/>
      </c>
      <c r="GV315" t="str">
        <f t="shared" si="586"/>
        <v>ok</v>
      </c>
      <c r="GW315" t="str">
        <f>IF(OR(GO315="",GM315=""),"",IF(GO315&gt;IFERROR(VLOOKUP(GN315,Модули_спр,3,FALSE),99),"ЛИШНИЙ КАНАЛ",IF(AND(AH315&lt;&gt;"=",COUNTIFS(Линии[_модуль гр.],GM315,Линии[Канал (итог)],GO315,Линии[Канал],"&lt;&gt;=",Линии[Щит],A315)&gt;1),"ДУБЛЬ КАНАЛА","")))</f>
        <v/>
      </c>
      <c r="GX315" s="6" t="str">
        <f t="shared" si="587"/>
        <v/>
      </c>
      <c r="GY315">
        <f t="shared" si="588"/>
        <v>10</v>
      </c>
      <c r="GZ315" t="str">
        <f t="shared" si="589"/>
        <v/>
      </c>
      <c r="HA315" t="str">
        <f>IF(AND(B315="",GT315=""),"",_xlfn.TEXTJOIN("; ",TRUE,IF(AND(B315&lt;&gt;"",FE315=""),"нет фазы",""),IF(AND(B315&lt;&gt;"",N(FY315)=0,EQ315&lt;&gt;"Нет"),"нет мощности",""),IF(AND(GS315&lt;&gt;"",COUNTIFS(Линии[Щит],A315,Линии[Клемма (итог)],GS315)&gt;1),"дубль клеммы "&amp;GS315,""),IF(AND(GV315&lt;&gt;"",GV315&lt;&gt;"ok"),GV315,""),IF(GW315&lt;&gt;"",GW315,""),IF(AND(N(BV315)&gt;=4,N(BR315)=1),BV315&amp;" жил на 1 фазе",""),IF(AND(AX315="R",CA315=1,OR(N(CK315)=0,N(CK315)&gt;30)),"розетка без дифзащиты до 30 мА",""),IFERROR(IF(AND(ISNUMBER(R315),R315&gt;DV315),"потери "&amp;FIXED(R315,1)&amp;" % &gt; "&amp;DV315&amp;" %",""),""),IFERROR(IF(LEFT(GZ315,4)="мало","Iкз мало — отключение &gt; 0,4 с",""),""),IF(AND(B315&lt;&gt;"",BH315=""),"не на схеме",""),IF(AND(CA315=0,B315&lt;&gt;"",FE315&lt;&gt;"",IF(AW315=1,"",FF314)&lt;&gt;"",FE315&lt;&gt;IF(AW315=1,"",FF314)),"фаза не как у автомата группы ("&amp;IF(AW315=1,"",FF314)&amp;")","")))</f>
        <v/>
      </c>
      <c r="HB315" s="6" t="str">
        <f>IF(OR(CA315=0,DA315=""),"",_xlfn.LET(_xlpm.t,IFERROR(_xlfn.XLOOKUP(DA315,Каталог!$U$4:$U$500,Каталог!$G$4:$G$500),""),_xlpm.k,SEARCH("кА",_xlpm.t),IFERROR(--TRIM(RIGHT(SUBSTITUTE(MID(_xlpm.t,MAX(1,_xlpm.k-4),_xlpm.k-MAX(1,_xlpm.k-4))," ",REPT(" ",9)),5)),"")))</f>
        <v/>
      </c>
      <c r="HC315" t="str">
        <f>IF(OR(HB315="",CA315=0),"",IF(_xlfn.XLOOKUP(A315,Щиты[Щит],Щиты[Iкз max на шинах, кА],"")="","",IF(HB315&lt;_xlfn.XLOOKUP(A315,Щиты[Щит],Щиты[Iкз max на шинах, кА]),"Icu "&amp;HB315&amp;" кА &lt; Iкз max","ok")))</f>
        <v/>
      </c>
      <c r="HD315" t="str">
        <f t="shared" si="590"/>
        <v/>
      </c>
      <c r="HE315" t="str">
        <f t="shared" si="591"/>
        <v>QF2|XT2</v>
      </c>
      <c r="HF315" t="str">
        <f t="shared" si="592"/>
        <v>QF2|XT2|кабель ВВГнг(А)-LS (5х2,5) → Горячая купель Подвальный этаж Пом. 002Тб</v>
      </c>
      <c r="HG315" t="str" cm="1">
        <f t="array" ref="HG315">IF(HF315="","",_xlfn.LET(_xlpm.nd,_xlfn.TEXTSPLIT(HF315,"|"),IF(COLUMNS(_xlpm.nd)&gt;1,A315&amp;"¦"&amp;INDEX(_xlpm.nd,1)&amp;"¦"&amp;INDEX(_xlpm.nd,2),"")))</f>
        <v>ЩС-Б¦QF2¦XT2</v>
      </c>
      <c r="HH315" t="str">
        <f t="shared" si="593"/>
        <v>Э.2¦Горячая купель Подвальный этаж Пом. 002Тб</v>
      </c>
      <c r="HI315" t="str" cm="1">
        <f t="array" ref="HI315">IF(HF315="","",_xlfn.LET(_xlpm.nd,_xlfn.TEXTSPLIT(HF315,"|"),IF(COLUMNS(_xlpm.nd)&gt;2,A315&amp;"¦"&amp;INDEX(_xlpm.nd,2)&amp;"¦"&amp;INDEX(_xlpm.nd,3),"")))</f>
        <v>ЩС-Б¦XT2¦кабель ВВГнг(А)-LS (5х2,5) → Горячая купель Подвальный этаж Пом. 002Тб</v>
      </c>
      <c r="HJ315" t="str">
        <f t="shared" si="594"/>
        <v>Э.2¦Горячая купель Подвальный этаж Пом. 002Тб</v>
      </c>
      <c r="HK315" t="str" cm="1">
        <f t="array" ref="HK315">IF(HF315="","",_xlfn.LET(_xlpm.nd,_xlfn.TEXTSPLIT(HF315,"|"),IF(COLUMNS(_xlpm.nd)&gt;3,A315&amp;"¦"&amp;INDEX(_xlpm.nd,3)&amp;"¦"&amp;INDEX(_xlpm.nd,4),"")))</f>
        <v/>
      </c>
      <c r="HL315" t="str">
        <f t="shared" si="595"/>
        <v/>
      </c>
      <c r="HM315" t="str" cm="1">
        <f t="array" ref="HM315">IF(HF315="","",_xlfn.LET(_xlpm.nd,_xlfn.TEXTSPLIT(HF315,"|"),IF(COLUMNS(_xlpm.nd)&gt;4,A315&amp;"¦"&amp;INDEX(_xlpm.nd,4)&amp;"¦"&amp;INDEX(_xlpm.nd,5),"")))</f>
        <v/>
      </c>
      <c r="HN315" t="str">
        <f t="shared" si="596"/>
        <v/>
      </c>
      <c r="HO315" t="str" cm="1">
        <f t="array" ref="HO315">IF(HF315="","",_xlfn.LET(_xlpm.nd,_xlfn.TEXTSPLIT(HF315,"|"),IF(COLUMNS(_xlpm.nd)&gt;5,A315&amp;"¦"&amp;INDEX(_xlpm.nd,5)&amp;"¦"&amp;INDEX(_xlpm.nd,6),"")))</f>
        <v/>
      </c>
      <c r="HP315" t="str">
        <f t="shared" si="597"/>
        <v/>
      </c>
      <c r="HQ315" t="str" cm="1">
        <f t="array" ref="HQ315">IF(HF315="","",_xlfn.LET(_xlpm.nd,_xlfn.TEXTSPLIT(HF315,"|"),IF(COLUMNS(_xlpm.nd)&gt;6,A315&amp;"¦"&amp;INDEX(_xlpm.nd,6)&amp;"¦"&amp;INDEX(_xlpm.nd,7),"")))</f>
        <v/>
      </c>
      <c r="HR315" t="str">
        <f t="shared" si="598"/>
        <v/>
      </c>
      <c r="HS315" t="str">
        <f t="shared" si="599"/>
        <v/>
      </c>
      <c r="HT315" t="str">
        <f t="shared" si="600"/>
        <v>QF2 → XT2</v>
      </c>
      <c r="HU315">
        <f t="shared" si="601"/>
        <v>0</v>
      </c>
      <c r="HV315">
        <f t="shared" si="602"/>
        <v>0</v>
      </c>
      <c r="HW315" t="str">
        <f t="shared" si="603"/>
        <v/>
      </c>
      <c r="HX315" t="str">
        <f t="shared" si="604"/>
        <v/>
      </c>
      <c r="HY315" t="str">
        <f t="shared" si="605"/>
        <v/>
      </c>
      <c r="HZ315" t="str">
        <f t="shared" si="606"/>
        <v/>
      </c>
      <c r="IA315">
        <f>IF(B315="","",IFERROR(VLOOKUP(B315,УГО_спр,2,FALSE),IFERROR(VLOOKUP(AX315,УГО_спр,2,FALSE),IFERROR(VLOOKUP(LEFT(AX315,2),УГО_спр,2,FALSE),""))))</f>
        <v>0</v>
      </c>
      <c r="IB315" t="str">
        <f>IF(B315="","",IF(OR(IA315="",IA315=0),"BOX",IFERROR(IF(VLOOKUP(IA315,УГО_блоки,3,FALSE)&amp;""&lt;&gt;"",VLOOKUP(IA315,УГО_блоки,3,FALSE),VLOOKUP(IA315,УГО_блоки,2,FALSE)),IA315)))</f>
        <v>BOX</v>
      </c>
      <c r="IC315">
        <f t="shared" si="607"/>
        <v>1</v>
      </c>
      <c r="ID315" t="str">
        <f>IF(DA315="","",IF(COUNTIF(DA$3:DA315,DA315)=1,MAX(ID$2:ID314)+1,""))</f>
        <v/>
      </c>
      <c r="IE315" t="str">
        <f>IF(CO315="","",IF(COUNTIF(CO$3:CO315,CO315)+COUNTIF(CP$2:CP314,CO315)+COUNTIF(CQ$2:CQ314,CO315)=1,MAX(IE$2:IG314)+1,""))</f>
        <v/>
      </c>
      <c r="IF315" t="str">
        <f>IF(CP315="","",IF(COUNTIF(CO$3:CO315,CP315)+COUNTIF(CP$3:CP315,CP315)+COUNTIF(CQ$2:CQ314,CP315)=1,MAX(IE$2:IG314,IE315)+1,""))</f>
        <v/>
      </c>
      <c r="IG315" t="str">
        <f>IF(CQ315="","",IF(COUNTIF(CO$3:CO315,CQ315)+COUNTIF(CP$3:CP315,CQ315)+COUNTIF(CQ$3:CQ315,CQ315)=1,MAX(IE$2:IG314,IE315,IF315)+1,""))</f>
        <v/>
      </c>
      <c r="IH315" t="str">
        <f t="shared" si="608"/>
        <v>5х2,5</v>
      </c>
      <c r="II315" t="str">
        <f>IF(IH315="","",IF(COUNTIF(IH$3:IH315,IH315)=1,MAX(II$2:II314)+1,""))</f>
        <v/>
      </c>
      <c r="IJ315" t="str">
        <f>IF(GL315="","",COUNTIF(GL$3:GL315,"?*"))</f>
        <v/>
      </c>
      <c r="IK315" t="str">
        <f>IF(OR(GL315="",GN315=""),"",IF(COUNTIFS(GL$3:GL315,"?*",GN$3:GN315,GN315)=1,MAX(IK$2:IK314)+1,""))</f>
        <v/>
      </c>
      <c r="IL315">
        <f t="shared" si="609"/>
        <v>0</v>
      </c>
      <c r="IM315">
        <f>IF(B315="","",COUNTIF(B$3:B315,"?*"))</f>
        <v>313</v>
      </c>
      <c r="IN315">
        <f>IF(GQ315&lt;&gt;1,0,_xlfn.LET(_xlpm.k,MAX(IFERROR(--VLOOKUP(B315,УГО_спр,5,FALSE),0),IFERROR(--VLOOKUP(AX315,УГО_спр,5,FALSE),0),IFERROR(--VLOOKUP(LEFT(AX315,2),УГО_спр,5,FALSE),0)),IF(_xlpm.k&gt;0,_xlpm.k,IF(IFERROR(--LEFT(SUBSTITUTE(IH315,"x","х"),FIND("х",SUBSTITUTE(IH315,"x","х"))-1),3)&gt;3,Каталог!$S$9,1))))</f>
        <v>1</v>
      </c>
      <c r="IO315">
        <f t="shared" si="610"/>
        <v>2</v>
      </c>
      <c r="IP315" t="str">
        <f t="shared" si="611"/>
        <v>авто</v>
      </c>
      <c r="IQ315" t="str">
        <f t="shared" si="612"/>
        <v/>
      </c>
      <c r="IR315">
        <f t="shared" si="613"/>
        <v>0</v>
      </c>
      <c r="IS315">
        <f t="shared" si="614"/>
        <v>1</v>
      </c>
    </row>
    <row r="316" spans="1:253" x14ac:dyDescent="0.3">
      <c r="A316" t="s">
        <v>763</v>
      </c>
      <c r="B316" t="s">
        <v>1579</v>
      </c>
      <c r="C316" t="s">
        <v>1688</v>
      </c>
      <c r="D316">
        <v>1</v>
      </c>
      <c r="E316">
        <v>7.89</v>
      </c>
      <c r="G316">
        <v>16</v>
      </c>
      <c r="H316" t="str">
        <f>Линии[[#This Row],[_авто утечка]]</f>
        <v/>
      </c>
      <c r="I316" t="str">
        <f>Линии[[#This Row],[_авто управление]]</f>
        <v/>
      </c>
      <c r="J316" t="str">
        <f>Линии[[#This Row],[_авто аппараты]]</f>
        <v/>
      </c>
      <c r="K316">
        <v>2.5</v>
      </c>
      <c r="L316">
        <v>27</v>
      </c>
      <c r="M316" t="str">
        <f>Линии[[#This Row],[_авто фаза]]</f>
        <v>L1,L2,L3</v>
      </c>
      <c r="N316" t="str">
        <f>Линии[[#This Row],[_авто клемма]]</f>
        <v>XT3</v>
      </c>
      <c r="O316" t="str">
        <f t="shared" si="492"/>
        <v/>
      </c>
      <c r="P316" s="6" cm="1">
        <f t="array" ref="P316">IF(B316="","",IF(BC316&lt;&gt;"",IFERROR(_xlfn.XLOOKUP(BC316,Щиты[Щит],Щиты[Iр, А]),""),IF(BK316=1,IFERROR(_xlfn.XLOOKUP(A316,Щиты[Щит],Щиты[Iр, А]),""),IFERROR(_xlfn.IFS(BR316=1,BN316/((Uн_лин/SQRT(3))*BY316),BR316=3,BN316/(SQRT(3)*Uн_лин*BY316)),""))))</f>
        <v>14.23529257470671</v>
      </c>
      <c r="Q316" s="7">
        <f>IF(B316="","",IFERROR(IF(VLOOKUP(AX316,Потребители_обозначение,4,FALSE)=1,VLOOKUP(AX316,Потребители_обозначение,3,FALSE)*(D316*2-1)+DS316+VLOOKUP(AZ316,Этаж_обозначение,3,FALSE)+VLOOKUP(AZ316,Этаж_обозначение,4,FALSE),VLOOKUP(AX316,Потребители_обозначение,3,FALSE)*(D316*2-1)+DS316),DS316))</f>
        <v>30</v>
      </c>
      <c r="R316" s="6">
        <f t="shared" si="493"/>
        <v>2.31</v>
      </c>
      <c r="S316" t="str">
        <f t="shared" si="494"/>
        <v>ВВГнг(А)-LS (5х2,5)</v>
      </c>
      <c r="T316" t="str">
        <f>IF(BH316="","",IF(BI316="вводной узел","узел ","")&amp;"л."&amp;(INT((BH316-1)/Столбцов_на_лист)+1)&amp;" / "&amp;(MOD(BH316-1,Столбцов_на_лист)+1))</f>
        <v>л.2 / 3</v>
      </c>
      <c r="V316">
        <v>3</v>
      </c>
      <c r="W316">
        <v>400</v>
      </c>
      <c r="X316" t="s">
        <v>600</v>
      </c>
      <c r="Y316">
        <v>0.5</v>
      </c>
      <c r="AE316" t="s">
        <v>602</v>
      </c>
      <c r="AI316">
        <v>20</v>
      </c>
      <c r="AJ316" t="s">
        <v>11</v>
      </c>
      <c r="AK316">
        <v>5</v>
      </c>
      <c r="AM316">
        <v>17</v>
      </c>
      <c r="AN316">
        <v>10</v>
      </c>
      <c r="AP316">
        <v>1</v>
      </c>
      <c r="AW316" cm="1">
        <f t="array" ref="AW316">ROW()-ROW(Линии[#Headers])</f>
        <v>314</v>
      </c>
      <c r="AX316" s="6" t="str">
        <f t="shared" si="495"/>
        <v>Э</v>
      </c>
      <c r="AY316" t="str">
        <f t="shared" si="496"/>
        <v>3</v>
      </c>
      <c r="AZ316" t="str">
        <f t="shared" si="497"/>
        <v>3</v>
      </c>
      <c r="BA316" t="str">
        <f t="shared" si="498"/>
        <v/>
      </c>
      <c r="BB316" t="str">
        <f t="shared" si="499"/>
        <v/>
      </c>
      <c r="BC316" t="str">
        <f>IF(U316&lt;&gt;"",U316,IF(AND(B316&lt;&gt;"",B316&lt;&gt;A316,ISNUMBER(_xlfn.XMATCH(B316,Щиты[Щит]))),B316,""))</f>
        <v/>
      </c>
      <c r="BD316" t="str" cm="1">
        <f t="array" ref="BD316">IF(B316="","",IF(BC316&lt;&gt;"","Щит "&amp;BC316,_xlfn.LET(_xlpm.nm,IFERROR(_xlfn.XLOOKUP(AX316,Коды_код,Коды_имя)&amp;"",""),_xlpm.md,IFERROR(N(_xlfn.XLOOKUP(AX316,Коды_код,Коды_режим)),1),_xlpm.ex,IF(Имя_режим="по экспликации",IFERROR(_xlfn.XLOOKUP(AZ316&amp;"|"&amp;BB316,Экспликация[Этаж]&amp;"|"&amp;Экспликация[Помещение],Экспликация[Название])&amp;"",""),""),_xlpm.rm,IF(BB316="","",IF(_xlpm.ex&lt;&gt;"",". "&amp;_xlpm.ex&amp;IF(Имя_пом="нет"," ("&amp;BB316&amp;")"," (пом. "&amp;BB316&amp;")"),IF(Имя_пом="нет"," ",", пом. ")&amp;BB316)),IF(_xlpm.nm="","",IF(_xlpm.md=2,_xlpm.nm&amp;" шлейф "&amp;AZ316,_xlpm.nm&amp;_xlpm.rm)))))</f>
        <v>Управляющий электрощит бассейна</v>
      </c>
      <c r="BE316" t="str">
        <f t="shared" si="500"/>
        <v>Холодная купель Подвальный этаж Пом. 002Тб</v>
      </c>
      <c r="BF316">
        <f>IFERROR(_xlfn.XMATCH(A316,Щиты[Щит]),0)</f>
        <v>12</v>
      </c>
      <c r="BG316">
        <f>_xlfn.LET(_xlpm.k,IFERROR(_xlfn.XLOOKUP(A316,Щиты[Щит],Щиты[Листов под вводной узел]),""),IF(_xlpm.k="",1,N(_xlpm.k))*Столбцов_на_лист)</f>
        <v>17</v>
      </c>
      <c r="BH316">
        <f t="shared" si="501"/>
        <v>20</v>
      </c>
      <c r="BI316" t="str">
        <f t="shared" si="502"/>
        <v>линии</v>
      </c>
      <c r="BJ316" s="6">
        <f>IFERROR(N(_xlfn.XLOOKUP(AX316,Коды_код,Коды_квт)),0)</f>
        <v>0</v>
      </c>
      <c r="BK316">
        <f t="shared" si="503"/>
        <v>0</v>
      </c>
      <c r="BL316" t="str">
        <f>IF(B316="","",IF(BC316&lt;&gt;"",IFERROR(_xlfn.XLOOKUP(BC316,Щиты[Щит],Щиты[Руст, кВт]),0),IF(BK316=1,IFERROR(_xlfn.XLOOKUP(A316,Щиты[Щит],Щиты[Руст, кВт]),0),IF(BJ316&gt;0,ROUND(BJ316*MAX(1,N(D316)),3),""))))</f>
        <v/>
      </c>
      <c r="BM316">
        <f t="shared" si="504"/>
        <v>7.89</v>
      </c>
      <c r="BN316" s="6">
        <f>IF(B316="","",IF(BC316&lt;&gt;"",IFERROR(_xlfn.XLOOKUP(BC316,Щиты[Щит],Щиты[Руст, кВт]),0),N(BM316)))</f>
        <v>7.89</v>
      </c>
      <c r="BO316" t="str">
        <f>IF(B316="","",IFERROR(IF(VLOOKUP(AX316,Потребители_обозначение,8,FALSE)=0,"",VLOOKUP(AX316,Потребители_обозначение,8,FALSE)),""))</f>
        <v/>
      </c>
      <c r="BP316">
        <f t="shared" si="505"/>
        <v>400</v>
      </c>
      <c r="BQ316">
        <f>IF(B316="","",IF(BC316&lt;&gt;"",3,IFERROR(IF(N(VLOOKUP(AX316,Потребители_обозначение,9,FALSE))=0,1,VLOOKUP(AX316,Потребители_обозначение,9,FALSE)),1)))</f>
        <v>1</v>
      </c>
      <c r="BR316">
        <f t="shared" si="506"/>
        <v>3</v>
      </c>
      <c r="BS316" t="str">
        <f>IF(B316="","",_xlfn.LET(_xlpm.bc,IFERROR(IF(VLOOKUP(AX316,Потребители_обозначение,6,FALSE)=0,"",VLOOKUP(AX316,Потребители_обозначение,6,FALSE)&amp;""),""),IF(AND(FK316="да",OR(_xlpm.bc="",_xlpm.bc="мс")),Марка_пож,IF(AND(_xlpm.bc="",BC316&lt;&gt;""),"мс",_xlpm.bc))))</f>
        <v/>
      </c>
      <c r="BT316" t="str">
        <f t="shared" si="507"/>
        <v>мс</v>
      </c>
      <c r="BU316">
        <f>IF(B316="","",_xlfn.LET(_xlpm.cc,IFERROR(N(VLOOKUP(AX316,Потребители_обозначение,7,FALSE)),0),IF(_xlpm.cc&gt;0,_xlpm.cc,IF(BT316="","",IF(N(BR316)=3,5,3)))))</f>
        <v>5</v>
      </c>
      <c r="BV316">
        <f t="shared" si="508"/>
        <v>5</v>
      </c>
      <c r="BW316">
        <f>IFERROR(N(VLOOKUP(AX316,Потребители_обозначение,10,FALSE)),0)</f>
        <v>0</v>
      </c>
      <c r="BX316">
        <f>IFERROR(VLOOKUP(AX316,Потребители_обозначение,5,FALSE),0)</f>
        <v>1</v>
      </c>
      <c r="BY316" s="6" cm="1">
        <f t="array" ref="BY316">IF(B316="","",IF(BC316&lt;&gt;"",IFERROR(_xlfn.XLOOKUP(BC316,Щиты[Щит],Щиты[cos φ]),0.95),IF(BK316=1,IFERROR(_xlfn.XLOOKUP(A316,Щиты[Щит],Щиты[cos φ]),0.95),IF(ISNUMBER(Z316),Z316,IFERROR(IF(BX316=2,_xlfn.IFS(BR316=3,VLOOKUP(BN316,Справочная_двигатели,8,FALSE),BR316=1,VLOOKUP(BN316,Справочная_двигатели,10,TRUE)),IF(AND(Методика="нормы 2026",EQ316="Сил"),0.8,0.95)),0.95)))))</f>
        <v>0.8</v>
      </c>
      <c r="BZ316">
        <f t="shared" si="509"/>
        <v>0</v>
      </c>
      <c r="CA316">
        <f t="shared" si="510"/>
        <v>1</v>
      </c>
      <c r="CB316">
        <f t="shared" si="511"/>
        <v>0</v>
      </c>
      <c r="CC316">
        <f t="shared" si="512"/>
        <v>0</v>
      </c>
      <c r="CD316">
        <f t="shared" si="513"/>
        <v>0</v>
      </c>
      <c r="CE316">
        <f t="shared" si="514"/>
        <v>0</v>
      </c>
      <c r="CF316">
        <f t="shared" si="515"/>
        <v>0</v>
      </c>
      <c r="CG316">
        <f>IF(AX316="",0,_xlfn.LET(_xlpm.v,IFERROR(VLOOKUP(B316,УГО_спр,3,FALSE),IFERROR(VLOOKUP(AX316,УГО_спр,3,FALSE),IFERROR(VLOOKUP(LEFT(AX316,2),УГО_спр,3,FALSE),""))),IF(_xlpm.v="да",30,IF(ISNUMBER(_xlpm.v),_xlpm.v,0))))</f>
        <v>0</v>
      </c>
      <c r="CH316" t="str">
        <f t="shared" si="516"/>
        <v/>
      </c>
      <c r="CI316" t="str">
        <f>_xlfn.LET(_xlpm.k,IFERROR(_xlfn.XLOOKUP(AX316,Коды_код,Коды_утечка)&amp;"",""),IF(_xlpm.k="","дифавтомат",_xlpm.k))</f>
        <v>дифавтомат</v>
      </c>
      <c r="CJ316">
        <f t="shared" si="517"/>
        <v>0</v>
      </c>
      <c r="CK316">
        <f t="shared" si="518"/>
        <v>0</v>
      </c>
      <c r="CL316">
        <f>IF(B316="",0,IFERROR(--VLOOKUP(B316,УГО_спр,4,FALSE),IFERROR(--VLOOKUP(AX316,УГО_спр,4,FALSE),IFERROR(--VLOOKUP(LEFT(AX316,2),УГО_спр,4,FALSE),0))))</f>
        <v>0</v>
      </c>
      <c r="CM316" t="str">
        <f>IF(B316="","",IFERROR(_xlfn.XLOOKUP(AX316,Коды_код,Коды_апп)&amp;"",""))</f>
        <v/>
      </c>
      <c r="CN316" t="str">
        <f t="shared" si="519"/>
        <v/>
      </c>
      <c r="CO316" t="str" cm="1">
        <f t="array" ref="CO316">IF(TRIM(CN316&amp;"")="","",IFERROR(TRIM(INDEX(_xlfn.TEXTSPLIT(CN316&amp;";;;",";"),1)),""))</f>
        <v/>
      </c>
      <c r="CP316" t="str" cm="1">
        <f t="array" ref="CP316">IF(TRIM(CN316&amp;"")="","",IFERROR(TRIM(INDEX(_xlfn.TEXTSPLIT(CN316&amp;";;;",";"),2)),""))</f>
        <v/>
      </c>
      <c r="CQ316" t="str" cm="1">
        <f t="array" ref="CQ316">IF(TRIM(CN316&amp;"")="","",IFERROR(TRIM(INDEX(_xlfn.TEXTSPLIT(CN316&amp;";;;",";"),3)),""))</f>
        <v/>
      </c>
      <c r="CR316">
        <f t="shared" si="520"/>
        <v>0</v>
      </c>
      <c r="CS316" t="str">
        <f>IF(B316="","",_xlfn.LET(_xlpm.t,LOWER(AV316&amp;""),IF(ISNUMBER(SEARCH("dim",_xlpm.t)),"DIM",IF(ISNUMBER(SEARCH("dali",_xlpm.t)),"DALI",IF(OR(ISNUMBER(SEARCH("relay",_xlpm.t)),ISNUMBER(SEARCH("реле",_xlpm.t))),"Relay",IF(ISNUMBER(SEARCH("кнопк",_xlpm.t)),"",IFERROR(_xlfn.XLOOKUP(AX316,Коды_код,Коды_упр)&amp;"","")))))))</f>
        <v/>
      </c>
      <c r="CT316" t="str">
        <f t="shared" si="521"/>
        <v/>
      </c>
      <c r="CU316">
        <f>IF(B316="","",_xlfn.LET(_xlpm.ig,N(P316)+IF(AF316="вручную",0,N(CB316)),_xlpm.n0,IFERROR(VLOOKUP(_xlpm.ig,Автомат_номиналы,2,TRUE),0),_xlpm.mn,MAX(CL316,IF(AF316="вручную",0,N(CE316))),MAX(_xlpm.n0,_xlpm.mn,IF(CR316=1,Мин_автомат_БП,0))))</f>
        <v>16</v>
      </c>
      <c r="CV316">
        <f t="shared" si="522"/>
        <v>3</v>
      </c>
      <c r="CW316" t="str">
        <f t="shared" si="523"/>
        <v>3P</v>
      </c>
      <c r="CX316" t="str">
        <f>_xlfn.LET(_xlpm.cc,UPPER(TRIM(IFERROR(_xlfn.XLOOKUP(AX316,Коды_код,Коды_хар)&amp;"",""))),IF(OR(_xlpm.cc="B",_xlpm.cc="В"),"B",IF(_xlpm.cc="D","D","С")))</f>
        <v>С</v>
      </c>
      <c r="CY316" t="str">
        <f t="shared" si="524"/>
        <v>3P С16А</v>
      </c>
      <c r="CZ316">
        <f t="shared" si="525"/>
        <v>16</v>
      </c>
      <c r="DA316" t="str">
        <f t="shared" si="526"/>
        <v>3P С16А</v>
      </c>
      <c r="DB316" cm="1">
        <f t="array" ref="DB316">IF(DA316="","",_xlfn.LET(_xlpm.t,SUBSTITUTE(SUBSTITUTE(SUBSTITUTE(UPPER(DA316),"С","C"),"А","A"),"В","B"),_xlpm.tk,_xlfn.TEXTSPLIT(_xlpm.t,"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6" t="str">
        <f t="shared" si="527"/>
        <v>ok</v>
      </c>
      <c r="DD316">
        <f t="shared" si="528"/>
        <v>16</v>
      </c>
      <c r="DE316" t="str">
        <f t="shared" si="529"/>
        <v>3P С16А</v>
      </c>
      <c r="DF316">
        <f t="shared" si="530"/>
        <v>0</v>
      </c>
      <c r="DG316">
        <f t="shared" si="531"/>
        <v>0</v>
      </c>
      <c r="DH316">
        <f t="shared" si="532"/>
        <v>0</v>
      </c>
      <c r="DI316">
        <f t="shared" si="533"/>
        <v>14.23529257470671</v>
      </c>
      <c r="DJ316">
        <f t="shared" si="534"/>
        <v>0.92</v>
      </c>
      <c r="DK316">
        <f>IF(ISNUMBER(AL316),AL316,К_прокл)</f>
        <v>1</v>
      </c>
      <c r="DL316">
        <f t="shared" si="535"/>
        <v>3</v>
      </c>
      <c r="DM316">
        <f>IFERROR(N(VLOOKUP(BT316,Кабель_обозначение,3,FALSE)),1)</f>
        <v>1</v>
      </c>
      <c r="DN316">
        <f>IFERROR(N(_xlfn.XLOOKUP(A316,Щиты[Щит],Щиты[ΔU до шин, %])),0)</f>
        <v>0.96</v>
      </c>
      <c r="DO316" t="str">
        <f>IFERROR(_xlfn.XLOOKUP(A316,Щиты[Щит],Щиты[Zпетли на шинах, Ом]),"")</f>
        <v/>
      </c>
      <c r="DP316">
        <f>IFERROR(N(_xlfn.XLOOKUP(A316,Щиты[Щит],Щиты[ΔU до шин (подбор), %])),0)</f>
        <v>0.96</v>
      </c>
      <c r="DQ316" t="str">
        <f>IFERROR(_xlfn.XLOOKUP(A316,Щиты[Щит],Щиты[Zпетли на шинах (подбор), Ом]),"")</f>
        <v/>
      </c>
      <c r="DR316" t="str">
        <f t="shared" si="536"/>
        <v/>
      </c>
      <c r="DS316">
        <f t="shared" si="537"/>
        <v>27</v>
      </c>
      <c r="DT316">
        <f t="shared" si="538"/>
        <v>1</v>
      </c>
      <c r="DU316">
        <f t="shared" si="539"/>
        <v>0.6</v>
      </c>
      <c r="DV316" s="6">
        <f>IF(B316="","",IF(IFERROR(VLOOKUP(AX316,УГО_спр,2,FALSE),"")="Светильник",3,4)+IF(Методика="нормы 2026",MIN(0.5,MAX(0,N(Q316)-100)*0.005),0))</f>
        <v>4</v>
      </c>
      <c r="DW316" cm="1">
        <f t="array" ref="DW316">IF(OR(B316="",BT316="",DM316&lt;&gt;1),"",_xlfn.LET(_xlpm.sz,Iдоп_S,_xlpm.t_,CHOOSE(DL316,Iдоп_1ж,Iдоп_2ж,Iдоп_3ж)*DJ316*DK316,_xlpm.inn,N(DD316),_xlpm.smin,MAX(1.5,BW316),_xlpm.L_,N(Q316)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316)*(_xlpm.rho*_xlpm.L_/_xlpm.sz*N(BY316)+_xlpm.xx*_xlpm.L_*N(DU316)/1000)*N(P316)/((Uн_лин/SQRT(3))*1000)*100,999),_xlpm.kz,IF(OR(DG316=1,NOT(ISNUMBER(DQ316)),_xlpm.L_=0,_xlpm.inn=0),1,IFERROR(--(c_min*(Uн_лин*1000/SQRT(3))/(DQ316+2*ρкз_Cu*_xlpm.L_/_xlpm.sz)&gt;=GY316*_xlpm.inn),0)),_xlpm.ok,IFERROR((_xlpm.sz&gt;=_xlpm.smin)*(_xlpm.t_&gt;=_xlpm.inn)*IF(_xlpm.L_&gt;0,(_xlpm.du_+DP316&lt;=DV316+0.00001),1)*_xlpm.kz,0),_xlpm.r_,_xlfn._xlws.FILTER(_xlpm.sz,_xlpm.ok,"не подобрано"),INDEX(_xlpm.r_,1)))</f>
        <v>1.5</v>
      </c>
      <c r="DX316">
        <f t="shared" si="540"/>
        <v>2.5</v>
      </c>
      <c r="DY316" cm="1">
        <f t="array" ref="DY316">IF(OR(B316="",BT316="",DM316&lt;&gt;1),"",_xlfn.LET(_xlpm.sz,Iдоп_S,_xlpm.t_,CHOOSE(DL316,Iдоп_1ж,Iдоп_2ж,Iдоп_3ж)*DJ316*DK316,_xlpm.ok,IFERROR((_xlpm.sz&gt;=MAX(1.5,BW316))*(_xlpm.t_&gt;=N(DD316)),0),_xlpm.r_,_xlfn._xlws.FILTER(_xlpm.sz,_xlpm.ok,""),INDEX(_xlpm.r_,1)))</f>
        <v>1.5</v>
      </c>
      <c r="DZ316" s="6" cm="1">
        <f t="array" ref="DZ316">IFERROR(ROUNDUP(N(DT316)*(_xlfn.XLOOKUP(DY316,INDEX(Кабель_сопротивление,0,1),INDEX(Кабель_сопротивление,0,3))*N(Q316)/DY316*N(BY316)+_xlfn.XLOOKUP(DY316,INDEX(Кабель_сопротивление,0,1),INDEX(Кабель_сопротивление,0,2))*N(Q316)*N(DU316)/1000)*N(P316)/((Uн_лин/SQRT(3))*1000)*100,2),"")</f>
        <v>2.2399999999999998</v>
      </c>
      <c r="EA316">
        <f>IFERROR(2*ρкз_Cu*N(Q316)/DY316,"")</f>
        <v>1.052</v>
      </c>
      <c r="EB316">
        <f>IFERROR(VLOOKUP(DX316,Кабель_сопротивление,3,FALSE),"")</f>
        <v>2.2499999999999999E-2</v>
      </c>
      <c r="EC316">
        <f>IFERROR(VLOOKUP(DX316,Кабель_сопротивление,2,FALSE),"")</f>
        <v>0.1</v>
      </c>
      <c r="ED316">
        <f t="shared" si="541"/>
        <v>10</v>
      </c>
      <c r="EE316">
        <f t="shared" si="542"/>
        <v>0</v>
      </c>
      <c r="EF316">
        <f t="shared" si="543"/>
        <v>3.100446722771121</v>
      </c>
      <c r="EG316" s="6">
        <f>IFERROR(ROUNDUP(EF316/((Uн_лин/SQRT(3))*1000)*100,2),"")</f>
        <v>1.35</v>
      </c>
      <c r="EH316" t="str">
        <f>IFERROR(VLOOKUP(BT316,Кабель_обозначение,2,FALSE),"")</f>
        <v>ВВГнг(А)-LS</v>
      </c>
      <c r="EI316" t="str">
        <f t="shared" si="544"/>
        <v>ВВГнг(А)-LS (5х2,5)</v>
      </c>
      <c r="EJ316" t="str">
        <f t="shared" si="545"/>
        <v>ВВГнг(А)-LS (5х2,5)
L=30-1,35%</v>
      </c>
      <c r="EK316">
        <f>IFERROR(2*ρкз_Cu*Q316/DX316,"")</f>
        <v>0.63119999999999998</v>
      </c>
      <c r="EL316">
        <f t="shared" si="546"/>
        <v>0.21000000000000002</v>
      </c>
      <c r="EM316" s="6" t="str">
        <f>IFERROR(IF(OR(B316="",NOT(ISNUMBER(DX316)),N(Q316)=0),"",_xlfn.XLOOKUP(A316,Щиты[Щит],Щиты[Zпетли на шинах, Ом])+EK316),"")</f>
        <v/>
      </c>
      <c r="EN316" s="6" t="str">
        <f>IF(ISNUMBER(EM316),c_min*(Uн_лин*1000/SQRT(3))/EM316,"")</f>
        <v/>
      </c>
      <c r="EO316" s="6" t="str">
        <f>IFERROR(IF(OR(B316="",NOT(ISNUMBER(DX316))),"",1.05*(Uн_лин*1000/SQRT(3))/(_xlfn.XLOOKUP(A316,Щиты[Щит],Щиты[Zmax на шинах, Ом])+EL316)/1000),"")</f>
        <v/>
      </c>
      <c r="EP316" s="6" t="str">
        <f>IF(B316="","",IF(ISNUMBER(Y316),"Сил",IF(IFERROR(_xlfn.XLOOKUP(AX316,Коды_код,Коды_группа)&amp;"","")="","Быт",_xlfn.XLOOKUP(AX316,Коды_код,Коды_группа)&amp;"")))</f>
        <v>Сил</v>
      </c>
      <c r="EQ316" s="6" t="str">
        <f t="shared" si="547"/>
        <v>Сил</v>
      </c>
      <c r="ER316" s="6">
        <f>IF(EQ316="Щит","щит",IF(EQ316="","",IF(EQ316="Быт",IFERROR(_xlfn.XLOOKUP(A316,Щиты[Щит],Щиты[Кс быт]),1),IF(EQ316="Сил",IF(ISNUMBER(Y316),Y316,IF(Методика="нормы 2026",IFERROR(_xlfn.XLOOKUP(A316,Щиты[Щит],Щиты[Кс силовых (табл. 7.5)]),1),1)),IF(OR(EQ316="Пост",EQ316="Отоп"),1,IF(EQ316="ВНГ",0.7,0))))))</f>
        <v>0.5</v>
      </c>
      <c r="ES316">
        <f t="shared" si="548"/>
        <v>1</v>
      </c>
      <c r="ET316">
        <f t="shared" si="549"/>
        <v>7.89</v>
      </c>
      <c r="EU316">
        <f t="shared" si="550"/>
        <v>0</v>
      </c>
      <c r="EV316">
        <f t="shared" si="551"/>
        <v>3.9449999999999998</v>
      </c>
      <c r="EW316">
        <f t="shared" si="552"/>
        <v>0</v>
      </c>
      <c r="EX316">
        <f t="shared" si="553"/>
        <v>0</v>
      </c>
      <c r="EY316">
        <f t="shared" si="554"/>
        <v>0</v>
      </c>
      <c r="EZ316">
        <f t="shared" si="555"/>
        <v>7.89</v>
      </c>
      <c r="FA316">
        <f t="shared" si="556"/>
        <v>6.3120000000000003</v>
      </c>
      <c r="FB316">
        <f t="shared" si="557"/>
        <v>7.89</v>
      </c>
      <c r="FC316" t="str">
        <f t="shared" si="558"/>
        <v/>
      </c>
      <c r="FD316" t="str">
        <f>IF(B316="","",IF(CA316=0,IF(AW316=1,"",FF315),IF(OR(N(CV316)&gt;=3,N(BR316)&gt;=3),"L1,L2,L3",IFERROR(_xlfn.TEXTBEFORE(_xlfn.TEXTAFTER(_xlfn.XLOOKUP(A316,Щиты[Щит],Щиты[_фазы авто]),";"&amp;AW316&amp;":"),";"),"L1"))))</f>
        <v>L1,L2,L3</v>
      </c>
      <c r="FE316" t="str">
        <f t="shared" si="559"/>
        <v>L1,L2,L3</v>
      </c>
      <c r="FF316" t="str">
        <f t="shared" si="560"/>
        <v>L1,L2,L3</v>
      </c>
      <c r="FG316" cm="1">
        <f t="array" ref="FG316">IFERROR(IF(BX316=2,_xlfn.IFS(BR316=3,VLOOKUP(BN316,Справочная_двигатели,3,FALSE),BR316=1,VLOOKUP(BN316,Справочная_двигатели,5,TRUE)),0),0)</f>
        <v>0</v>
      </c>
      <c r="FH316">
        <f>IFERROR(IF(BX316=3,VLOOKUP(BN316,Справочная_ЛЭД,2,TRUE),0),0)</f>
        <v>0</v>
      </c>
      <c r="FI316" s="6">
        <f t="shared" si="561"/>
        <v>0</v>
      </c>
      <c r="FJ316" t="str" cm="1">
        <f t="array" ref="FJ316">IF(B316="","",IFERROR(INDEX({"I особая","I","II","III"},MATCH(TRIM(AC316&amp;""),{"I особая","I","II","III"},0)),"III"))</f>
        <v>III</v>
      </c>
      <c r="FK316" t="str">
        <f>IF(B316="","",IF(TRIM(AD316&amp;"")&lt;&gt;"",IF(LOWER(TRIM(AD316&amp;""))="да","да","нет"),IF(IFERROR(_xlfn.XLOOKUP(AX316,Коды_код,Коды_пожарная),"")="да","да","нет")))</f>
        <v>нет</v>
      </c>
      <c r="FL316" t="str">
        <f t="shared" si="562"/>
        <v/>
      </c>
      <c r="FM316" t="str">
        <f t="shared" si="563"/>
        <v>основная</v>
      </c>
      <c r="FN316">
        <f t="shared" si="564"/>
        <v>1</v>
      </c>
      <c r="FO316" t="str" cm="1">
        <f t="array" ref="FO316">IF(B316="","",_xlfn.LET(_xlpm.t,IFERROR(_xlfn.XLOOKUP(1,(Шины[Шина]=FM316)*(((Шины[Щит]=A316)+(Шины[Щит]=""))&gt;0),Шины[Тип]),"")&amp;"",IF(_xlpm.t&lt;&gt;"",_xlpm.t,IF(ISNUMBER(SEARCH("ИБП",FM316)),"ИБП",IF(ISNUMBER(SEARCH("ДГУ",FM316)),"ДГУ","Ввод "&amp;FN316)))))</f>
        <v>Ввод 1</v>
      </c>
      <c r="FP316" t="str">
        <f t="shared" si="565"/>
        <v>Ввод 1</v>
      </c>
      <c r="FQ316" t="str">
        <f>IF(B316="","",IF(OR(FO316="ИБП",FO316="ДГУ"),"I особая",IF(FO316="Одиночная","III",_xlfn.XLOOKUP(A316,Щиты[Щит],Щиты[Категория шины «Ввод»],"III"))))</f>
        <v>II</v>
      </c>
      <c r="FR316">
        <f>IF(B316="",0,IFERROR(MATCH(FJ316,{"III","II","I","I особая"},0),1))</f>
        <v>1</v>
      </c>
      <c r="FS316">
        <f t="shared" si="566"/>
        <v>1</v>
      </c>
      <c r="FT316" t="str">
        <f>IF(B316="","",IF(FR316&gt;IFERROR(MATCH(FQ316,{"III","II","I","I особая"},0),1),"НЕ ОБЕСПЕЧЕНА","ОК"))</f>
        <v>ОК</v>
      </c>
      <c r="FU316" t="str">
        <f>IF(A316="","",_xlfn.XLOOKUP(A316,Щиты[Щит],Щиты[Путь],""))</f>
        <v>|ГРЩ-ЖД|ЩС-Б|</v>
      </c>
      <c r="FV316" t="str">
        <f>IF(B316="","",IF(AE316&lt;&gt;"",AE316,IF(IFERROR(_xlfn.XLOOKUP(AX316,Коды_код,Коды_вид)&amp;"","")="","Прочее",_xlfn.XLOOKUP(AX316,Коды_код,Коды_вид)&amp;"")))</f>
        <v>Бассейн, SPA, хаммам</v>
      </c>
      <c r="FW316">
        <f>IF(BH316="","",INT((BH316-1)/Столбцов_на_лист)+1)</f>
        <v>2</v>
      </c>
      <c r="FX316" t="str">
        <f t="shared" si="567"/>
        <v>ВВГнг(А)-LS (5х2,5) L=30-1,35%</v>
      </c>
      <c r="FY316">
        <f t="shared" si="568"/>
        <v>7.89</v>
      </c>
      <c r="FZ316">
        <f t="shared" si="569"/>
        <v>14.24</v>
      </c>
      <c r="GA316">
        <f t="shared" si="570"/>
        <v>3</v>
      </c>
      <c r="GB316">
        <f t="shared" si="571"/>
        <v>0</v>
      </c>
      <c r="GC316">
        <f t="shared" si="572"/>
        <v>1</v>
      </c>
      <c r="GD316">
        <f>IF(BH316="","",IF(AND(CA316=1,GC316=1),COUNTIFS(A$3:A316,A316,CA$3:CA316,1,GC$3:GC316,1),IF(OR(OR(AW316=1,A316&lt;&gt;A315),AF316="вручную",GC316=0),"",IF(AW316=1,"",GE315))))</f>
        <v>3</v>
      </c>
      <c r="GE316">
        <f t="shared" si="573"/>
        <v>3</v>
      </c>
      <c r="GF316">
        <f>IF(B316="","",IFERROR(LOOKUP(INDEX(CHOOSE(DL316,Iдоп_1ж,Iдоп_2ж,Iдоп_3ж),MATCH(DX316,Iдоп_S,0))*DJ316*DK316,{6,10,16,20,25,32,40,50,63,80,100,125,160,200,250,315,400,500,630}),""))</f>
        <v>20</v>
      </c>
      <c r="GG316" t="str">
        <f t="shared" si="574"/>
        <v>QF3</v>
      </c>
      <c r="GH316" t="str">
        <f t="shared" si="575"/>
        <v>QF3</v>
      </c>
      <c r="GI316" t="str">
        <f t="shared" si="576"/>
        <v/>
      </c>
      <c r="GJ316">
        <f t="shared" si="577"/>
        <v>0</v>
      </c>
      <c r="GK316" t="str">
        <f>IF(OR(AG316="",AG316="-"),"",IFERROR(VLOOKUP(AG316,Модули_спр,2,FALSE),"R"))</f>
        <v/>
      </c>
      <c r="GL316" t="str">
        <f>IF(GK316="","",GK316&amp;"."&amp;COUNTIFS(A$3:A316,A316,GK$3:GK316,GK316))</f>
        <v/>
      </c>
      <c r="GM316" t="str">
        <f t="shared" si="578"/>
        <v/>
      </c>
      <c r="GN316" t="str">
        <f t="shared" si="579"/>
        <v/>
      </c>
      <c r="GO316" t="str">
        <f t="shared" si="580"/>
        <v/>
      </c>
      <c r="GP316" t="str">
        <f t="shared" si="581"/>
        <v/>
      </c>
      <c r="GQ316">
        <f t="shared" si="582"/>
        <v>1</v>
      </c>
      <c r="GR316" t="str">
        <f>IF(GQ316=1,"XT"&amp;COUNTIFS(A$3:A316,A316,GQ$3:GQ316,1),"")</f>
        <v>XT3</v>
      </c>
      <c r="GS316" t="str">
        <f t="shared" si="583"/>
        <v>XT3</v>
      </c>
      <c r="GT316" t="str">
        <f t="shared" si="584"/>
        <v>QF3</v>
      </c>
      <c r="GU316" t="str">
        <f t="shared" si="585"/>
        <v/>
      </c>
      <c r="GV316" t="str">
        <f t="shared" si="586"/>
        <v>ok</v>
      </c>
      <c r="GW316" t="str">
        <f>IF(OR(GO316="",GM316=""),"",IF(GO316&gt;IFERROR(VLOOKUP(GN316,Модули_спр,3,FALSE),99),"ЛИШНИЙ КАНАЛ",IF(AND(AH316&lt;&gt;"=",COUNTIFS(Линии[_модуль гр.],GM316,Линии[Канал (итог)],GO316,Линии[Канал],"&lt;&gt;=",Линии[Щит],A316)&gt;1),"ДУБЛЬ КАНАЛА","")))</f>
        <v/>
      </c>
      <c r="GX316" s="6" t="str">
        <f t="shared" si="587"/>
        <v/>
      </c>
      <c r="GY316">
        <f t="shared" si="588"/>
        <v>10</v>
      </c>
      <c r="GZ316" t="str">
        <f t="shared" si="589"/>
        <v/>
      </c>
      <c r="HA316" t="str">
        <f>IF(AND(B316="",GT316=""),"",_xlfn.TEXTJOIN("; ",TRUE,IF(AND(B316&lt;&gt;"",FE316=""),"нет фазы",""),IF(AND(B316&lt;&gt;"",N(FY316)=0,EQ316&lt;&gt;"Нет"),"нет мощности",""),IF(AND(GS316&lt;&gt;"",COUNTIFS(Линии[Щит],A316,Линии[Клемма (итог)],GS316)&gt;1),"дубль клеммы "&amp;GS316,""),IF(AND(GV316&lt;&gt;"",GV316&lt;&gt;"ok"),GV316,""),IF(GW316&lt;&gt;"",GW316,""),IF(AND(N(BV316)&gt;=4,N(BR316)=1),BV316&amp;" жил на 1 фазе",""),IF(AND(AX316="R",CA316=1,OR(N(CK316)=0,N(CK316)&gt;30)),"розетка без дифзащиты до 30 мА",""),IFERROR(IF(AND(ISNUMBER(R316),R316&gt;DV316),"потери "&amp;FIXED(R316,1)&amp;" % &gt; "&amp;DV316&amp;" %",""),""),IFERROR(IF(LEFT(GZ316,4)="мало","Iкз мало — отключение &gt; 0,4 с",""),""),IF(AND(B316&lt;&gt;"",BH316=""),"не на схеме",""),IF(AND(CA316=0,B316&lt;&gt;"",FE316&lt;&gt;"",IF(AW316=1,"",FF315)&lt;&gt;"",FE316&lt;&gt;IF(AW316=1,"",FF315)),"фаза не как у автомата группы ("&amp;IF(AW316=1,"",FF315)&amp;")","")))</f>
        <v/>
      </c>
      <c r="HB316" s="6" t="str">
        <f>IF(OR(CA316=0,DA316=""),"",_xlfn.LET(_xlpm.t,IFERROR(_xlfn.XLOOKUP(DA316,Каталог!$U$4:$U$500,Каталог!$G$4:$G$500),""),_xlpm.k,SEARCH("кА",_xlpm.t),IFERROR(--TRIM(RIGHT(SUBSTITUTE(MID(_xlpm.t,MAX(1,_xlpm.k-4),_xlpm.k-MAX(1,_xlpm.k-4))," ",REPT(" ",9)),5)),"")))</f>
        <v/>
      </c>
      <c r="HC316" t="str">
        <f>IF(OR(HB316="",CA316=0),"",IF(_xlfn.XLOOKUP(A316,Щиты[Щит],Щиты[Iкз max на шинах, кА],"")="","",IF(HB316&lt;_xlfn.XLOOKUP(A316,Щиты[Щит],Щиты[Iкз max на шинах, кА]),"Icu "&amp;HB316&amp;" кА &lt; Iкз max","ok")))</f>
        <v/>
      </c>
      <c r="HD316" t="str">
        <f t="shared" si="590"/>
        <v/>
      </c>
      <c r="HE316" t="str">
        <f t="shared" si="591"/>
        <v>QF3|XT3</v>
      </c>
      <c r="HF316" t="str">
        <f t="shared" si="592"/>
        <v>QF3|XT3|кабель ВВГнг(А)-LS (5х2,5) → Холодная купель Подвальный этаж Пом. 002Тб</v>
      </c>
      <c r="HG316" t="str" cm="1">
        <f t="array" ref="HG316">IF(HF316="","",_xlfn.LET(_xlpm.nd,_xlfn.TEXTSPLIT(HF316,"|"),IF(COLUMNS(_xlpm.nd)&gt;1,A316&amp;"¦"&amp;INDEX(_xlpm.nd,1)&amp;"¦"&amp;INDEX(_xlpm.nd,2),"")))</f>
        <v>ЩС-Б¦QF3¦XT3</v>
      </c>
      <c r="HH316" t="str">
        <f t="shared" si="593"/>
        <v>Э.3¦Холодная купель Подвальный этаж Пом. 002Тб</v>
      </c>
      <c r="HI316" t="str" cm="1">
        <f t="array" ref="HI316">IF(HF316="","",_xlfn.LET(_xlpm.nd,_xlfn.TEXTSPLIT(HF316,"|"),IF(COLUMNS(_xlpm.nd)&gt;2,A316&amp;"¦"&amp;INDEX(_xlpm.nd,2)&amp;"¦"&amp;INDEX(_xlpm.nd,3),"")))</f>
        <v>ЩС-Б¦XT3¦кабель ВВГнг(А)-LS (5х2,5) → Холодная купель Подвальный этаж Пом. 002Тб</v>
      </c>
      <c r="HJ316" t="str">
        <f t="shared" si="594"/>
        <v>Э.3¦Холодная купель Подвальный этаж Пом. 002Тб</v>
      </c>
      <c r="HK316" t="str" cm="1">
        <f t="array" ref="HK316">IF(HF316="","",_xlfn.LET(_xlpm.nd,_xlfn.TEXTSPLIT(HF316,"|"),IF(COLUMNS(_xlpm.nd)&gt;3,A316&amp;"¦"&amp;INDEX(_xlpm.nd,3)&amp;"¦"&amp;INDEX(_xlpm.nd,4),"")))</f>
        <v/>
      </c>
      <c r="HL316" t="str">
        <f t="shared" si="595"/>
        <v/>
      </c>
      <c r="HM316" t="str" cm="1">
        <f t="array" ref="HM316">IF(HF316="","",_xlfn.LET(_xlpm.nd,_xlfn.TEXTSPLIT(HF316,"|"),IF(COLUMNS(_xlpm.nd)&gt;4,A316&amp;"¦"&amp;INDEX(_xlpm.nd,4)&amp;"¦"&amp;INDEX(_xlpm.nd,5),"")))</f>
        <v/>
      </c>
      <c r="HN316" t="str">
        <f t="shared" si="596"/>
        <v/>
      </c>
      <c r="HO316" t="str" cm="1">
        <f t="array" ref="HO316">IF(HF316="","",_xlfn.LET(_xlpm.nd,_xlfn.TEXTSPLIT(HF316,"|"),IF(COLUMNS(_xlpm.nd)&gt;5,A316&amp;"¦"&amp;INDEX(_xlpm.nd,5)&amp;"¦"&amp;INDEX(_xlpm.nd,6),"")))</f>
        <v/>
      </c>
      <c r="HP316" t="str">
        <f t="shared" si="597"/>
        <v/>
      </c>
      <c r="HQ316" t="str" cm="1">
        <f t="array" ref="HQ316">IF(HF316="","",_xlfn.LET(_xlpm.nd,_xlfn.TEXTSPLIT(HF316,"|"),IF(COLUMNS(_xlpm.nd)&gt;6,A316&amp;"¦"&amp;INDEX(_xlpm.nd,6)&amp;"¦"&amp;INDEX(_xlpm.nd,7),"")))</f>
        <v/>
      </c>
      <c r="HR316" t="str">
        <f t="shared" si="598"/>
        <v/>
      </c>
      <c r="HS316" t="str">
        <f t="shared" si="599"/>
        <v/>
      </c>
      <c r="HT316" t="str">
        <f t="shared" si="600"/>
        <v>QF3 → XT3</v>
      </c>
      <c r="HU316">
        <f t="shared" si="601"/>
        <v>0</v>
      </c>
      <c r="HV316">
        <f t="shared" si="602"/>
        <v>0</v>
      </c>
      <c r="HW316" t="str">
        <f t="shared" si="603"/>
        <v/>
      </c>
      <c r="HX316" t="str">
        <f t="shared" si="604"/>
        <v/>
      </c>
      <c r="HY316" t="str">
        <f t="shared" si="605"/>
        <v/>
      </c>
      <c r="HZ316" t="str">
        <f t="shared" si="606"/>
        <v/>
      </c>
      <c r="IA316">
        <f>IF(B316="","",IFERROR(VLOOKUP(B316,УГО_спр,2,FALSE),IFERROR(VLOOKUP(AX316,УГО_спр,2,FALSE),IFERROR(VLOOKUP(LEFT(AX316,2),УГО_спр,2,FALSE),""))))</f>
        <v>0</v>
      </c>
      <c r="IB316" t="str">
        <f>IF(B316="","",IF(OR(IA316="",IA316=0),"BOX",IFERROR(IF(VLOOKUP(IA316,УГО_блоки,3,FALSE)&amp;""&lt;&gt;"",VLOOKUP(IA316,УГО_блоки,3,FALSE),VLOOKUP(IA316,УГО_блоки,2,FALSE)),IA316)))</f>
        <v>BOX</v>
      </c>
      <c r="IC316">
        <f t="shared" si="607"/>
        <v>1</v>
      </c>
      <c r="ID316" t="str">
        <f>IF(DA316="","",IF(COUNTIF(DA$3:DA316,DA316)=1,MAX(ID$2:ID315)+1,""))</f>
        <v/>
      </c>
      <c r="IE316" t="str">
        <f>IF(CO316="","",IF(COUNTIF(CO$3:CO316,CO316)+COUNTIF(CP$2:CP315,CO316)+COUNTIF(CQ$2:CQ315,CO316)=1,MAX(IE$2:IG315)+1,""))</f>
        <v/>
      </c>
      <c r="IF316" t="str">
        <f>IF(CP316="","",IF(COUNTIF(CO$3:CO316,CP316)+COUNTIF(CP$3:CP316,CP316)+COUNTIF(CQ$2:CQ315,CP316)=1,MAX(IE$2:IG315,IE316)+1,""))</f>
        <v/>
      </c>
      <c r="IG316" t="str">
        <f>IF(CQ316="","",IF(COUNTIF(CO$3:CO316,CQ316)+COUNTIF(CP$3:CP316,CQ316)+COUNTIF(CQ$3:CQ316,CQ316)=1,MAX(IE$2:IG315,IE316,IF316)+1,""))</f>
        <v/>
      </c>
      <c r="IH316" t="str">
        <f t="shared" si="608"/>
        <v>5х2,5</v>
      </c>
      <c r="II316" t="str">
        <f>IF(IH316="","",IF(COUNTIF(IH$3:IH316,IH316)=1,MAX(II$2:II315)+1,""))</f>
        <v/>
      </c>
      <c r="IJ316" t="str">
        <f>IF(GL316="","",COUNTIF(GL$3:GL316,"?*"))</f>
        <v/>
      </c>
      <c r="IK316" t="str">
        <f>IF(OR(GL316="",GN316=""),"",IF(COUNTIFS(GL$3:GL316,"?*",GN$3:GN316,GN316)=1,MAX(IK$2:IK315)+1,""))</f>
        <v/>
      </c>
      <c r="IL316">
        <f t="shared" si="609"/>
        <v>0</v>
      </c>
      <c r="IM316">
        <f>IF(B316="","",COUNTIF(B$3:B316,"?*"))</f>
        <v>314</v>
      </c>
      <c r="IN316">
        <f>IF(GQ316&lt;&gt;1,0,_xlfn.LET(_xlpm.k,MAX(IFERROR(--VLOOKUP(B316,УГО_спр,5,FALSE),0),IFERROR(--VLOOKUP(AX316,УГО_спр,5,FALSE),0),IFERROR(--VLOOKUP(LEFT(AX316,2),УГО_спр,5,FALSE),0)),IF(_xlpm.k&gt;0,_xlpm.k,IF(IFERROR(--LEFT(SUBSTITUTE(IH316,"x","х"),FIND("х",SUBSTITUTE(IH316,"x","х"))-1),3)&gt;3,Каталог!$S$9,1))))</f>
        <v>1</v>
      </c>
      <c r="IO316">
        <f t="shared" si="610"/>
        <v>2</v>
      </c>
      <c r="IP316" t="str">
        <f t="shared" si="611"/>
        <v>авто</v>
      </c>
      <c r="IQ316" t="str">
        <f t="shared" si="612"/>
        <v/>
      </c>
      <c r="IR316">
        <f t="shared" si="613"/>
        <v>0</v>
      </c>
      <c r="IS316">
        <f t="shared" si="614"/>
        <v>1</v>
      </c>
    </row>
    <row r="317" spans="1:253" x14ac:dyDescent="0.3">
      <c r="A317" t="s">
        <v>765</v>
      </c>
      <c r="B317" t="s">
        <v>743</v>
      </c>
      <c r="C317" t="str">
        <f>Линии[[#This Row],[_авто наименование]]</f>
        <v>Вводной кабель шлейф 1</v>
      </c>
      <c r="D317">
        <v>1</v>
      </c>
      <c r="E317" t="s">
        <v>16</v>
      </c>
      <c r="G317">
        <v>20</v>
      </c>
      <c r="H317" t="str">
        <f>Линии[[#This Row],[_авто утечка]]</f>
        <v/>
      </c>
      <c r="I317" t="str">
        <f>Линии[[#This Row],[_авто управление]]</f>
        <v/>
      </c>
      <c r="J317" t="str">
        <f>Линии[[#This Row],[_авто аппараты]]</f>
        <v/>
      </c>
      <c r="K317">
        <v>4</v>
      </c>
      <c r="L317">
        <v>50</v>
      </c>
      <c r="M317" t="str">
        <f>Линии[[#This Row],[_авто фаза]]</f>
        <v>L2</v>
      </c>
      <c r="N317" t="str">
        <f>Линии[[#This Row],[_авто клемма]]</f>
        <v/>
      </c>
      <c r="O317" t="str">
        <f t="shared" si="492"/>
        <v>потери 4,2 % &gt; 4 %</v>
      </c>
      <c r="P317" s="6" cm="1">
        <f t="array" ref="P317">IF(B317="","",IF(BC317&lt;&gt;"",IFERROR(_xlfn.XLOOKUP(BC317,Щиты[Щит],Щиты[Iр, А]),""),IF(BK317=1,IFERROR(_xlfn.XLOOKUP(A317,Щиты[Щит],Щиты[Iр, А]),""),IFERROR(_xlfn.IFS(BR317=1,BN317/((Uн_лин/SQRT(3))*BY317),BR317=3,BN317/(SQRT(3)*Uн_лин*BY317)),""))))</f>
        <v>10.28405166994021</v>
      </c>
      <c r="Q317" s="7">
        <f>IF(B317="","",IFERROR(IF(VLOOKUP(AX317,Потребители_обозначение,4,FALSE)=1,VLOOKUP(AX317,Потребители_обозначение,3,FALSE)*(D317*2-1)+DS317+VLOOKUP(AZ317,Этаж_обозначение,3,FALSE)+VLOOKUP(AZ317,Этаж_обозначение,4,FALSE),VLOOKUP(AX317,Потребители_обозначение,3,FALSE)*(D317*2-1)+DS317),DS317))</f>
        <v>50</v>
      </c>
      <c r="R317" s="6">
        <f t="shared" si="493"/>
        <v>4.1499999999999995</v>
      </c>
      <c r="S317" t="str">
        <f t="shared" si="494"/>
        <v>ВВГнг(А)-LS (3х4)</v>
      </c>
      <c r="T317" t="str">
        <f>IF(BH317="","",IF(BI317="вводной узел","узел ","")&amp;"л."&amp;(INT((BH317-1)/Столбцов_на_лист)+1)&amp;" / "&amp;(MOD(BH317-1,Столбцов_на_лист)+1))</f>
        <v>узел л.1 / 2</v>
      </c>
      <c r="V317">
        <v>1</v>
      </c>
      <c r="W317">
        <v>230</v>
      </c>
      <c r="X317" t="s">
        <v>549</v>
      </c>
      <c r="AF317" t="s">
        <v>1303</v>
      </c>
      <c r="AI317">
        <v>2</v>
      </c>
      <c r="AJ317" t="s">
        <v>11</v>
      </c>
      <c r="AK317">
        <v>3</v>
      </c>
      <c r="AM317">
        <v>34</v>
      </c>
      <c r="AN317">
        <v>11</v>
      </c>
      <c r="AW317" cm="1">
        <f t="array" ref="AW317">ROW()-ROW(Линии[#Headers])</f>
        <v>315</v>
      </c>
      <c r="AX317" s="6" t="str">
        <f t="shared" si="495"/>
        <v>Ввод</v>
      </c>
      <c r="AY317" t="str">
        <f t="shared" si="496"/>
        <v>1</v>
      </c>
      <c r="AZ317" t="str">
        <f t="shared" si="497"/>
        <v>1</v>
      </c>
      <c r="BA317" t="str">
        <f t="shared" si="498"/>
        <v/>
      </c>
      <c r="BB317" t="str">
        <f t="shared" si="499"/>
        <v/>
      </c>
      <c r="BC317" t="str">
        <f>IF(U317&lt;&gt;"",U317,IF(AND(B317&lt;&gt;"",B317&lt;&gt;A317,ISNUMBER(_xlfn.XMATCH(B317,Щиты[Щит]))),B317,""))</f>
        <v/>
      </c>
      <c r="BD317" t="str" cm="1">
        <f t="array" ref="BD317">IF(B317="","",IF(BC317&lt;&gt;"","Щит "&amp;BC317,_xlfn.LET(_xlpm.nm,IFERROR(_xlfn.XLOOKUP(AX317,Коды_код,Коды_имя)&amp;"",""),_xlpm.md,IFERROR(N(_xlfn.XLOOKUP(AX317,Коды_код,Коды_режим)),1),_xlpm.ex,IF(Имя_режим="по экспликации",IFERROR(_xlfn.XLOOKUP(AZ317&amp;"|"&amp;BB317,Экспликация[Этаж]&amp;"|"&amp;Экспликация[Помещение],Экспликация[Название])&amp;"",""),""),_xlpm.rm,IF(BB317="","",IF(_xlpm.ex&lt;&gt;"",". "&amp;_xlpm.ex&amp;IF(Имя_пом="нет"," ("&amp;BB317&amp;")"," (пом. "&amp;BB317&amp;")"),IF(Имя_пом="нет"," ",", пом. ")&amp;BB317)),IF(_xlpm.nm="","",IF(_xlpm.md=2,_xlpm.nm&amp;" шлейф "&amp;AZ317,_xlpm.nm&amp;_xlpm.rm)))))</f>
        <v>Вводной кабель шлейф 1</v>
      </c>
      <c r="BE317" t="str">
        <f t="shared" si="500"/>
        <v>Вводной кабель шлейф 1</v>
      </c>
      <c r="BF317">
        <f>IFERROR(_xlfn.XMATCH(A317,Щиты[Щит]),0)</f>
        <v>13</v>
      </c>
      <c r="BG317">
        <f>_xlfn.LET(_xlpm.k,IFERROR(_xlfn.XLOOKUP(A317,Щиты[Щит],Щиты[Листов под вводной узел]),""),IF(_xlpm.k="",1,N(_xlpm.k))*Столбцов_на_лист)</f>
        <v>17</v>
      </c>
      <c r="BH317">
        <f t="shared" si="501"/>
        <v>2</v>
      </c>
      <c r="BI317" t="str">
        <f t="shared" si="502"/>
        <v>вводной узел</v>
      </c>
      <c r="BJ317" s="6">
        <f>IFERROR(N(_xlfn.XLOOKUP(AX317,Коды_код,Коды_квт)),0)</f>
        <v>0</v>
      </c>
      <c r="BK317">
        <f t="shared" si="503"/>
        <v>1</v>
      </c>
      <c r="BL317">
        <f>IF(B317="","",IF(BC317&lt;&gt;"",IFERROR(_xlfn.XLOOKUP(BC317,Щиты[Щит],Щиты[Руст, кВт]),0),IF(BK317=1,IFERROR(_xlfn.XLOOKUP(A317,Щиты[Щит],Щиты[Руст, кВт]),0),IF(BJ317&gt;0,ROUND(BJ317*MAX(1,N(D317)),3),""))))</f>
        <v>3.8000000000000003</v>
      </c>
      <c r="BM317" t="str">
        <f t="shared" si="504"/>
        <v>кВт</v>
      </c>
      <c r="BN317" s="6">
        <f>IF(B317="","",IF(BC317&lt;&gt;"",IFERROR(_xlfn.XLOOKUP(BC317,Щиты[Щит],Щиты[Руст, кВт]),0),N(BM317)))</f>
        <v>0</v>
      </c>
      <c r="BO317" t="str">
        <f>IF(B317="","",IFERROR(IF(VLOOKUP(AX317,Потребители_обозначение,8,FALSE)=0,"",VLOOKUP(AX317,Потребители_обозначение,8,FALSE)),""))</f>
        <v/>
      </c>
      <c r="BP317">
        <f t="shared" si="505"/>
        <v>230</v>
      </c>
      <c r="BQ317">
        <f>IF(B317="","",IF(BC317&lt;&gt;"",3,IFERROR(IF(N(VLOOKUP(AX317,Потребители_обозначение,9,FALSE))=0,1,VLOOKUP(AX317,Потребители_обозначение,9,FALSE)),1)))</f>
        <v>1</v>
      </c>
      <c r="BR317">
        <f t="shared" si="506"/>
        <v>1</v>
      </c>
      <c r="BS317" t="str">
        <f>IF(B317="","",_xlfn.LET(_xlpm.bc,IFERROR(IF(VLOOKUP(AX317,Потребители_обозначение,6,FALSE)=0,"",VLOOKUP(AX317,Потребители_обозначение,6,FALSE)&amp;""),""),IF(AND(FK317="да",OR(_xlpm.bc="",_xlpm.bc="мс")),Марка_пож,IF(AND(_xlpm.bc="",BC317&lt;&gt;""),"мс",_xlpm.bc))))</f>
        <v/>
      </c>
      <c r="BT317" t="str">
        <f t="shared" si="507"/>
        <v>мс</v>
      </c>
      <c r="BU317">
        <f>IF(B317="","",_xlfn.LET(_xlpm.cc,IFERROR(N(VLOOKUP(AX317,Потребители_обозначение,7,FALSE)),0),IF(_xlpm.cc&gt;0,_xlpm.cc,IF(BT317="","",IF(N(BR317)=3,5,3)))))</f>
        <v>3</v>
      </c>
      <c r="BV317">
        <f t="shared" si="508"/>
        <v>3</v>
      </c>
      <c r="BW317">
        <f>IFERROR(N(VLOOKUP(AX317,Потребители_обозначение,10,FALSE)),0)</f>
        <v>0</v>
      </c>
      <c r="BX317">
        <f>IFERROR(VLOOKUP(AX317,Потребители_обозначение,5,FALSE),0)</f>
        <v>1</v>
      </c>
      <c r="BY317" s="6" cm="1">
        <f t="array" ref="BY317">IF(B317="","",IF(BC317&lt;&gt;"",IFERROR(_xlfn.XLOOKUP(BC317,Щиты[Щит],Щиты[cos φ]),0.95),IF(BK317=1,IFERROR(_xlfn.XLOOKUP(A317,Щиты[Щит],Щиты[cos φ]),0.95),IF(ISNUMBER(Z317),Z317,IFERROR(IF(BX317=2,_xlfn.IFS(BR317=3,VLOOKUP(BN317,Справочная_двигатели,8,FALSE),BR317=1,VLOOKUP(BN317,Справочная_двигатели,10,TRUE)),IF(AND(Методика="нормы 2026",EQ317="Сил"),0.8,0.95)),0.95)))))</f>
        <v>0.79999999999999993</v>
      </c>
      <c r="BZ317">
        <f t="shared" si="509"/>
        <v>0</v>
      </c>
      <c r="CA317">
        <f t="shared" si="510"/>
        <v>1</v>
      </c>
      <c r="CB317">
        <f t="shared" si="511"/>
        <v>0</v>
      </c>
      <c r="CC317">
        <f t="shared" si="512"/>
        <v>0</v>
      </c>
      <c r="CD317">
        <f t="shared" si="513"/>
        <v>0</v>
      </c>
      <c r="CE317">
        <f t="shared" si="514"/>
        <v>0</v>
      </c>
      <c r="CF317">
        <f t="shared" si="515"/>
        <v>0</v>
      </c>
      <c r="CG317">
        <f>IF(AX317="",0,_xlfn.LET(_xlpm.v,IFERROR(VLOOKUP(B317,УГО_спр,3,FALSE),IFERROR(VLOOKUP(AX317,УГО_спр,3,FALSE),IFERROR(VLOOKUP(LEFT(AX317,2),УГО_спр,3,FALSE),""))),IF(_xlpm.v="да",30,IF(ISNUMBER(_xlpm.v),_xlpm.v,0))))</f>
        <v>0</v>
      </c>
      <c r="CH317" t="str">
        <f t="shared" si="516"/>
        <v/>
      </c>
      <c r="CI317" t="str">
        <f>_xlfn.LET(_xlpm.k,IFERROR(_xlfn.XLOOKUP(AX317,Коды_код,Коды_утечка)&amp;"",""),IF(_xlpm.k="","дифавтомат",_xlpm.k))</f>
        <v>дифавтомат</v>
      </c>
      <c r="CJ317">
        <f t="shared" si="517"/>
        <v>0</v>
      </c>
      <c r="CK317">
        <f t="shared" si="518"/>
        <v>0</v>
      </c>
      <c r="CL317">
        <f>IF(B317="",0,IFERROR(--VLOOKUP(B317,УГО_спр,4,FALSE),IFERROR(--VLOOKUP(AX317,УГО_спр,4,FALSE),IFERROR(--VLOOKUP(LEFT(AX317,2),УГО_спр,4,FALSE),0))))</f>
        <v>0</v>
      </c>
      <c r="CM317" t="str">
        <f>IF(B317="","",IFERROR(_xlfn.XLOOKUP(AX317,Коды_код,Коды_апп)&amp;"",""))</f>
        <v/>
      </c>
      <c r="CN317" t="str">
        <f t="shared" si="519"/>
        <v/>
      </c>
      <c r="CO317" t="str" cm="1">
        <f t="array" ref="CO317">IF(TRIM(CN317&amp;"")="","",IFERROR(TRIM(INDEX(_xlfn.TEXTSPLIT(CN317&amp;";;;",";"),1)),""))</f>
        <v/>
      </c>
      <c r="CP317" t="str" cm="1">
        <f t="array" ref="CP317">IF(TRIM(CN317&amp;"")="","",IFERROR(TRIM(INDEX(_xlfn.TEXTSPLIT(CN317&amp;";;;",";"),2)),""))</f>
        <v/>
      </c>
      <c r="CQ317" t="str" cm="1">
        <f t="array" ref="CQ317">IF(TRIM(CN317&amp;"")="","",IFERROR(TRIM(INDEX(_xlfn.TEXTSPLIT(CN317&amp;";;;",";"),3)),""))</f>
        <v/>
      </c>
      <c r="CR317">
        <f t="shared" si="520"/>
        <v>0</v>
      </c>
      <c r="CS317" t="str">
        <f>IF(B317="","",_xlfn.LET(_xlpm.t,LOWER(AV317&amp;""),IF(ISNUMBER(SEARCH("dim",_xlpm.t)),"DIM",IF(ISNUMBER(SEARCH("dali",_xlpm.t)),"DALI",IF(OR(ISNUMBER(SEARCH("relay",_xlpm.t)),ISNUMBER(SEARCH("реле",_xlpm.t))),"Relay",IF(ISNUMBER(SEARCH("кнопк",_xlpm.t)),"",IFERROR(_xlfn.XLOOKUP(AX317,Коды_код,Коды_упр)&amp;"","")))))))</f>
        <v/>
      </c>
      <c r="CT317" t="str">
        <f t="shared" si="521"/>
        <v/>
      </c>
      <c r="CU317">
        <f>IF(B317="","",_xlfn.LET(_xlpm.ig,N(P317)+IF(AF317="вручную",0,N(CB317)),_xlpm.n0,IFERROR(VLOOKUP(_xlpm.ig,Автомат_номиналы,2,TRUE),0),_xlpm.mn,MAX(CL317,IF(AF317="вручную",0,N(CE317))),MAX(_xlpm.n0,_xlpm.mn,IF(CR317=1,Мин_автомат_БП,0))))</f>
        <v>16</v>
      </c>
      <c r="CV317">
        <f t="shared" si="522"/>
        <v>1</v>
      </c>
      <c r="CW317" t="str">
        <f t="shared" si="523"/>
        <v>1P</v>
      </c>
      <c r="CX317" t="str">
        <f>_xlfn.LET(_xlpm.cc,UPPER(TRIM(IFERROR(_xlfn.XLOOKUP(AX317,Коды_код,Коды_хар)&amp;"",""))),IF(OR(_xlpm.cc="B",_xlpm.cc="В"),"B",IF(_xlpm.cc="D","D","С")))</f>
        <v>С</v>
      </c>
      <c r="CY317" t="str">
        <f t="shared" si="524"/>
        <v>1P С16А</v>
      </c>
      <c r="CZ317">
        <f t="shared" si="525"/>
        <v>20</v>
      </c>
      <c r="DA317" t="str">
        <f t="shared" si="526"/>
        <v>1P С20А</v>
      </c>
      <c r="DB317" cm="1">
        <f t="array" ref="DB317">IF(DA317="","",_xlfn.LET(_xlpm.t,SUBSTITUTE(SUBSTITUTE(SUBSTITUTE(UPPER(DA317),"С","C"),"А","A"),"В","B"),_xlpm.tk,_xlfn.TEXTSPLIT(_xlpm.t,"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17" t="str">
        <f t="shared" si="527"/>
        <v>узел</v>
      </c>
      <c r="DD317">
        <f t="shared" si="528"/>
        <v>20</v>
      </c>
      <c r="DE317" t="str">
        <f t="shared" si="529"/>
        <v>1P С20А</v>
      </c>
      <c r="DF317">
        <f t="shared" si="530"/>
        <v>0</v>
      </c>
      <c r="DG317">
        <f t="shared" si="531"/>
        <v>0</v>
      </c>
      <c r="DH317">
        <f t="shared" si="532"/>
        <v>0</v>
      </c>
      <c r="DI317">
        <f t="shared" si="533"/>
        <v>10.28405166994021</v>
      </c>
      <c r="DJ317">
        <f t="shared" si="534"/>
        <v>1</v>
      </c>
      <c r="DK317">
        <f>IF(ISNUMBER(AL317),AL317,К_прокл)</f>
        <v>1</v>
      </c>
      <c r="DL317">
        <f t="shared" si="535"/>
        <v>2</v>
      </c>
      <c r="DM317">
        <f>IFERROR(N(VLOOKUP(BT317,Кабель_обозначение,3,FALSE)),1)</f>
        <v>1</v>
      </c>
      <c r="DN317">
        <f>IFERROR(N(_xlfn.XLOOKUP(A317,Щиты[Щит],Щиты[ΔU до шин, %])),0)</f>
        <v>2.1199999999999997</v>
      </c>
      <c r="DO317" t="str">
        <f>IFERROR(_xlfn.XLOOKUP(A317,Щиты[Щит],Щиты[Zпетли на шинах, Ом]),"")</f>
        <v/>
      </c>
      <c r="DP317">
        <f>IFERROR(N(_xlfn.XLOOKUP(A317,Щиты[Щит],Щиты[ΔU до шин (подбор), %])),0)</f>
        <v>3.3699999999999997</v>
      </c>
      <c r="DQ317" t="str">
        <f>IFERROR(_xlfn.XLOOKUP(A317,Щиты[Щит],Щиты[Zпетли на шинах (подбор), Ом]),"")</f>
        <v/>
      </c>
      <c r="DR317" t="str">
        <f t="shared" si="536"/>
        <v/>
      </c>
      <c r="DS317">
        <f t="shared" si="537"/>
        <v>50</v>
      </c>
      <c r="DT317">
        <f t="shared" si="538"/>
        <v>2</v>
      </c>
      <c r="DU317">
        <f t="shared" si="539"/>
        <v>0.6</v>
      </c>
      <c r="DV317" s="6">
        <f>IF(B317="","",IF(IFERROR(VLOOKUP(AX317,УГО_спр,2,FALSE),"")="Светильник",3,4)+IF(Методика="нормы 2026",MIN(0.5,MAX(0,N(Q317)-100)*0.005),0))</f>
        <v>4</v>
      </c>
      <c r="DW317" cm="1">
        <f t="array" ref="DW317">IF(OR(B317="",BT317="",DM317&lt;&gt;1),"",_xlfn.LET(_xlpm.sz,Iдоп_S,_xlpm.t_,CHOOSE(DL317,Iдоп_1ж,Iдоп_2ж,Iдоп_3ж)*DJ317*DK317,_xlpm.inn,N(DD317),_xlpm.smin,MAX(1.5,BW317),_xlpm.L_,N(Q317)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317)*(_xlpm.rho*_xlpm.L_/_xlpm.sz*N(BY317)+_xlpm.xx*_xlpm.L_*N(DU317)/1000)*N(P317)/((Uн_лин/SQRT(3))*1000)*100,999),_xlpm.kz,IF(OR(DG317=1,NOT(ISNUMBER(DQ317)),_xlpm.L_=0,_xlpm.inn=0),1,IFERROR(--(c_min*(Uн_лин*1000/SQRT(3))/(DQ317+2*ρкз_Cu*_xlpm.L_/_xlpm.sz)&gt;=GY317*_xlpm.inn),0)),_xlpm.ok,IFERROR((_xlpm.sz&gt;=_xlpm.smin)*(_xlpm.t_&gt;=_xlpm.inn)*IF(_xlpm.L_&gt;0,(_xlpm.du_+DP317&lt;=DV317+0.00001),1)*_xlpm.kz,0),_xlpm.r_,_xlfn._xlws.FILTER(_xlpm.sz,_xlpm.ok,"не подобрано"),INDEX(_xlpm.r_,1)))</f>
        <v>16</v>
      </c>
      <c r="DX317">
        <f t="shared" si="540"/>
        <v>4</v>
      </c>
      <c r="DY317" cm="1">
        <f t="array" ref="DY317">IF(OR(B317="",BT317="",DM317&lt;&gt;1),"",_xlfn.LET(_xlpm.sz,Iдоп_S,_xlpm.t_,CHOOSE(DL317,Iдоп_1ж,Iдоп_2ж,Iдоп_3ж)*DJ317*DK317,_xlpm.ok,IFERROR((_xlpm.sz&gt;=MAX(1.5,BW317))*(_xlpm.t_&gt;=N(DD317)),0),_xlpm.r_,_xlfn._xlws.FILTER(_xlpm.sz,_xlpm.ok,""),INDEX(_xlpm.r_,1)))</f>
        <v>2.5</v>
      </c>
      <c r="DZ317" s="6" cm="1">
        <f t="array" ref="DZ317">IFERROR(ROUNDUP(N(DT317)*(_xlfn.XLOOKUP(DY317,INDEX(Кабель_сопротивление,0,1),INDEX(Кабель_сопротивление,0,3))*N(Q317)/DY317*N(BY317)+_xlfn.XLOOKUP(DY317,INDEX(Кабель_сопротивление,0,1),INDEX(Кабель_сопротивление,0,2))*N(Q317)*N(DU317)/1000)*N(P317)/((Uн_лин/SQRT(3))*1000)*100,2),"")</f>
        <v>3.2399999999999998</v>
      </c>
      <c r="EA317">
        <f>IFERROR(2*ρкз_Cu*N(Q317)/DY317,"")</f>
        <v>1.052</v>
      </c>
      <c r="EB317">
        <f>IFERROR(VLOOKUP(DX317,Кабель_сопротивление,3,FALSE),"")</f>
        <v>2.2499999999999999E-2</v>
      </c>
      <c r="EC317">
        <f>IFERROR(VLOOKUP(DX317,Кабель_сопротивление,2,FALSE),"")</f>
        <v>9.5000000000000001E-2</v>
      </c>
      <c r="ED317">
        <f t="shared" si="541"/>
        <v>11</v>
      </c>
      <c r="EE317" t="str">
        <f t="shared" si="542"/>
        <v/>
      </c>
      <c r="EF317">
        <f t="shared" si="543"/>
        <v>4.686442345991753</v>
      </c>
      <c r="EG317" s="6">
        <f>IFERROR(ROUNDUP(EF317/((Uн_лин/SQRT(3))*1000)*100,2),"")</f>
        <v>2.0299999999999998</v>
      </c>
      <c r="EH317" t="str">
        <f>IFERROR(VLOOKUP(BT317,Кабель_обозначение,2,FALSE),"")</f>
        <v>ВВГнг(А)-LS</v>
      </c>
      <c r="EI317" t="str">
        <f t="shared" si="544"/>
        <v>ВВГнг(А)-LS (3х4)</v>
      </c>
      <c r="EJ317" t="str">
        <f t="shared" si="545"/>
        <v/>
      </c>
      <c r="EK317">
        <f>IFERROR(2*ρкз_Cu*Q317/DX317,"")</f>
        <v>0.65749999999999997</v>
      </c>
      <c r="EL317">
        <f t="shared" si="546"/>
        <v>0.21875000000000003</v>
      </c>
      <c r="EM317" s="6" t="str">
        <f>IFERROR(IF(OR(B317="",NOT(ISNUMBER(DX317)),N(Q317)=0),"",_xlfn.XLOOKUP(A317,Щиты[Щит],Щиты[Zпетли на шинах, Ом])+EK317),"")</f>
        <v/>
      </c>
      <c r="EN317" s="6" t="str">
        <f>IF(ISNUMBER(EM317),c_min*(Uн_лин*1000/SQRT(3))/EM317,"")</f>
        <v/>
      </c>
      <c r="EO317" s="6" t="str">
        <f>IFERROR(IF(OR(B317="",NOT(ISNUMBER(DX317))),"",1.05*(Uн_лин*1000/SQRT(3))/(_xlfn.XLOOKUP(A317,Щиты[Щит],Щиты[Zmax на шинах, Ом])+EL317)/1000),"")</f>
        <v/>
      </c>
      <c r="EP317" s="6" t="str">
        <f>IF(B317="","",IF(ISNUMBER(Y317),"Сил",IF(IFERROR(_xlfn.XLOOKUP(AX317,Коды_код,Коды_группа)&amp;"","")="","Быт",_xlfn.XLOOKUP(AX317,Коды_код,Коды_группа)&amp;"")))</f>
        <v>Быт</v>
      </c>
      <c r="EQ317" s="6" t="str">
        <f t="shared" si="547"/>
        <v>Нет</v>
      </c>
      <c r="ER317" s="6">
        <f>IF(EQ317="Щит","щит",IF(EQ317="","",IF(EQ317="Быт",IFERROR(_xlfn.XLOOKUP(A317,Щиты[Щит],Щиты[Кс быт]),1),IF(EQ317="Сил",IF(ISNUMBER(Y317),Y317,IF(Методика="нормы 2026",IFERROR(_xlfn.XLOOKUP(A317,Щиты[Щит],Щиты[Кс силовых (табл. 7.5)]),1),1)),IF(OR(EQ317="Пост",EQ317="Отоп"),1,IF(EQ317="ВНГ",0.7,0))))))</f>
        <v>0</v>
      </c>
      <c r="ES317">
        <f t="shared" si="548"/>
        <v>1</v>
      </c>
      <c r="ET317">
        <f t="shared" si="549"/>
        <v>0</v>
      </c>
      <c r="EU317">
        <f t="shared" si="550"/>
        <v>0</v>
      </c>
      <c r="EV317">
        <f t="shared" si="551"/>
        <v>0</v>
      </c>
      <c r="EW317">
        <f t="shared" si="552"/>
        <v>0</v>
      </c>
      <c r="EX317">
        <f t="shared" si="553"/>
        <v>0</v>
      </c>
      <c r="EY317">
        <f t="shared" si="554"/>
        <v>0</v>
      </c>
      <c r="EZ317">
        <f t="shared" si="555"/>
        <v>0</v>
      </c>
      <c r="FA317">
        <f t="shared" si="556"/>
        <v>0</v>
      </c>
      <c r="FB317">
        <f t="shared" si="557"/>
        <v>0</v>
      </c>
      <c r="FC317" t="str">
        <f t="shared" si="558"/>
        <v/>
      </c>
      <c r="FD317" t="str">
        <f>IF(B317="","",IF(CA317=0,IF(AW317=1,"",FF316),IF(OR(N(CV317)&gt;=3,N(BR317)&gt;=3),"L1,L2,L3",IFERROR(_xlfn.TEXTBEFORE(_xlfn.TEXTAFTER(_xlfn.XLOOKUP(A317,Щиты[Щит],Щиты[_фазы авто]),";"&amp;AW317&amp;":"),";"),"L1"))))</f>
        <v>L2</v>
      </c>
      <c r="FE317" t="str">
        <f t="shared" si="559"/>
        <v>L2</v>
      </c>
      <c r="FF317" t="str">
        <f t="shared" si="560"/>
        <v>L2</v>
      </c>
      <c r="FG317" cm="1">
        <f t="array" ref="FG317">IFERROR(IF(BX317=2,_xlfn.IFS(BR317=3,VLOOKUP(BN317,Справочная_двигатели,3,FALSE),BR317=1,VLOOKUP(BN317,Справочная_двигатели,5,TRUE)),0),0)</f>
        <v>0</v>
      </c>
      <c r="FH317">
        <f>IFERROR(IF(BX317=3,VLOOKUP(BN317,Справочная_ЛЭД,2,TRUE),0),0)</f>
        <v>0</v>
      </c>
      <c r="FI317" s="6">
        <f t="shared" si="561"/>
        <v>0</v>
      </c>
      <c r="FJ317" t="str" cm="1">
        <f t="array" ref="FJ317">IF(B317="","",IFERROR(INDEX({"I особая","I","II","III"},MATCH(TRIM(AC317&amp;""),{"I особая","I","II","III"},0)),"III"))</f>
        <v>III</v>
      </c>
      <c r="FK317" t="str">
        <f>IF(B317="","",IF(TRIM(AD317&amp;"")&lt;&gt;"",IF(LOWER(TRIM(AD317&amp;""))="да","да","нет"),IF(IFERROR(_xlfn.XLOOKUP(AX317,Коды_код,Коды_пожарная),"")="да","да","нет")))</f>
        <v>нет</v>
      </c>
      <c r="FL317" t="str">
        <f t="shared" si="562"/>
        <v/>
      </c>
      <c r="FM317" t="str">
        <f t="shared" si="563"/>
        <v>основная</v>
      </c>
      <c r="FN317">
        <f t="shared" si="564"/>
        <v>1</v>
      </c>
      <c r="FO317" t="str" cm="1">
        <f t="array" ref="FO317">IF(B317="","",_xlfn.LET(_xlpm.t,IFERROR(_xlfn.XLOOKUP(1,(Шины[Шина]=FM317)*(((Шины[Щит]=A317)+(Шины[Щит]=""))&gt;0),Шины[Тип]),"")&amp;"",IF(_xlpm.t&lt;&gt;"",_xlpm.t,IF(ISNUMBER(SEARCH("ИБП",FM317)),"ИБП",IF(ISNUMBER(SEARCH("ДГУ",FM317)),"ДГУ","Ввод "&amp;FN317)))))</f>
        <v>Ввод 1</v>
      </c>
      <c r="FP317" t="str">
        <f t="shared" si="565"/>
        <v>Ввод 1</v>
      </c>
      <c r="FQ317" t="str">
        <f>IF(B317="","",IF(OR(FO317="ИБП",FO317="ДГУ"),"I особая",IF(FO317="Одиночная","III",_xlfn.XLOOKUP(A317,Щиты[Щит],Щиты[Категория шины «Ввод»],"III"))))</f>
        <v>II</v>
      </c>
      <c r="FR317">
        <f>IF(B317="",0,IFERROR(MATCH(FJ317,{"III","II","I","I особая"},0),1))</f>
        <v>1</v>
      </c>
      <c r="FS317">
        <f t="shared" si="566"/>
        <v>1</v>
      </c>
      <c r="FT317" t="str">
        <f>IF(B317="","",IF(FR317&gt;IFERROR(MATCH(FQ317,{"III","II","I","I особая"},0),1),"НЕ ОБЕСПЕЧЕНА","ОК"))</f>
        <v>ОК</v>
      </c>
      <c r="FU317" t="str">
        <f>IF(A317="","",_xlfn.XLOOKUP(A317,Щиты[Щит],Щиты[Путь],""))</f>
        <v>|ГРЩ-ЖД|ЩС-ВК.001|</v>
      </c>
      <c r="FV317" t="str">
        <f>IF(B317="","",IF(AE317&lt;&gt;"",AE317,IF(IFERROR(_xlfn.XLOOKUP(AX317,Коды_код,Коды_вид)&amp;"","")="","Прочее",_xlfn.XLOOKUP(AX317,Коды_код,Коды_вид)&amp;"")))</f>
        <v>Прочее</v>
      </c>
      <c r="FW317">
        <f>IF(BH317="","",INT((BH317-1)/Столбцов_на_лист)+1)</f>
        <v>1</v>
      </c>
      <c r="FX317" t="str">
        <f t="shared" si="567"/>
        <v/>
      </c>
      <c r="FY317">
        <f t="shared" si="568"/>
        <v>0</v>
      </c>
      <c r="FZ317">
        <f t="shared" si="569"/>
        <v>10.29</v>
      </c>
      <c r="GA317">
        <f t="shared" si="570"/>
        <v>1</v>
      </c>
      <c r="GB317">
        <f t="shared" si="571"/>
        <v>0</v>
      </c>
      <c r="GC317">
        <f t="shared" si="572"/>
        <v>0</v>
      </c>
      <c r="GD317" t="str">
        <f>IF(BH317="","",IF(AND(CA317=1,GC317=1),COUNTIFS(A$3:A317,A317,CA$3:CA317,1,GC$3:GC317,1),IF(OR(OR(AW317=1,A317&lt;&gt;A316),AF317="вручную",GC317=0),"",IF(AW317=1,"",GE316))))</f>
        <v/>
      </c>
      <c r="GE317" t="str">
        <f t="shared" si="573"/>
        <v/>
      </c>
      <c r="GF317">
        <f>IF(B317="","",IFERROR(LOOKUP(INDEX(CHOOSE(DL317,Iдоп_1ж,Iдоп_2ж,Iдоп_3ж),MATCH(DX317,Iдоп_S,0))*DJ317*DK317,{6,10,16,20,25,32,40,50,63,80,100,125,160,200,250,315,400,500,630}),""))</f>
        <v>32</v>
      </c>
      <c r="GG317" t="str">
        <f t="shared" si="574"/>
        <v/>
      </c>
      <c r="GH317" t="str">
        <f t="shared" si="575"/>
        <v/>
      </c>
      <c r="GI317" t="str">
        <f t="shared" si="576"/>
        <v/>
      </c>
      <c r="GJ317">
        <f t="shared" si="577"/>
        <v>0</v>
      </c>
      <c r="GK317" t="str">
        <f>IF(OR(AG317="",AG317="-"),"",IFERROR(VLOOKUP(AG317,Модули_спр,2,FALSE),"R"))</f>
        <v/>
      </c>
      <c r="GL317" t="str">
        <f>IF(GK317="","",GK317&amp;"."&amp;COUNTIFS(A$3:A317,A317,GK$3:GK317,GK317))</f>
        <v/>
      </c>
      <c r="GM317" t="str">
        <f t="shared" si="578"/>
        <v/>
      </c>
      <c r="GN317" t="str">
        <f t="shared" si="579"/>
        <v/>
      </c>
      <c r="GO317" t="str">
        <f t="shared" si="580"/>
        <v/>
      </c>
      <c r="GP317" t="str">
        <f t="shared" si="581"/>
        <v/>
      </c>
      <c r="GQ317">
        <f t="shared" si="582"/>
        <v>0</v>
      </c>
      <c r="GR317" t="str">
        <f>IF(GQ317=1,"XT"&amp;COUNTIFS(A$3:A317,A317,GQ$3:GQ317,1),"")</f>
        <v/>
      </c>
      <c r="GS317" t="str">
        <f t="shared" si="583"/>
        <v/>
      </c>
      <c r="GT317" t="str">
        <f t="shared" si="584"/>
        <v/>
      </c>
      <c r="GU317" t="str">
        <f t="shared" si="585"/>
        <v/>
      </c>
      <c r="GV317" t="str">
        <f t="shared" si="586"/>
        <v>ok</v>
      </c>
      <c r="GW317" t="str">
        <f>IF(OR(GO317="",GM317=""),"",IF(GO317&gt;IFERROR(VLOOKUP(GN317,Модули_спр,3,FALSE),99),"ЛИШНИЙ КАНАЛ",IF(AND(AH317&lt;&gt;"=",COUNTIFS(Линии[_модуль гр.],GM317,Линии[Канал (итог)],GO317,Линии[Канал],"&lt;&gt;=",Линии[Щит],A317)&gt;1),"ДУБЛЬ КАНАЛА","")))</f>
        <v/>
      </c>
      <c r="GX317" s="6" t="str">
        <f t="shared" si="587"/>
        <v/>
      </c>
      <c r="GY317">
        <f t="shared" si="588"/>
        <v>10</v>
      </c>
      <c r="GZ317" t="str">
        <f t="shared" si="589"/>
        <v/>
      </c>
      <c r="HA317" t="str">
        <f>IF(AND(B317="",GT317=""),"",_xlfn.TEXTJOIN("; ",TRUE,IF(AND(B317&lt;&gt;"",FE317=""),"нет фазы",""),IF(AND(B317&lt;&gt;"",N(FY317)=0,EQ317&lt;&gt;"Нет"),"нет мощности",""),IF(AND(GS317&lt;&gt;"",COUNTIFS(Линии[Щит],A317,Линии[Клемма (итог)],GS317)&gt;1),"дубль клеммы "&amp;GS317,""),IF(AND(GV317&lt;&gt;"",GV317&lt;&gt;"ok"),GV317,""),IF(GW317&lt;&gt;"",GW317,""),IF(AND(N(BV317)&gt;=4,N(BR317)=1),BV317&amp;" жил на 1 фазе",""),IF(AND(AX317="R",CA317=1,OR(N(CK317)=0,N(CK317)&gt;30)),"розетка без дифзащиты до 30 мА",""),IFERROR(IF(AND(ISNUMBER(R317),R317&gt;DV317),"потери "&amp;FIXED(R317,1)&amp;" % &gt; "&amp;DV317&amp;" %",""),""),IFERROR(IF(LEFT(GZ317,4)="мало","Iкз мало — отключение &gt; 0,4 с",""),""),IF(AND(B317&lt;&gt;"",BH317=""),"не на схеме",""),IF(AND(CA317=0,B317&lt;&gt;"",FE317&lt;&gt;"",IF(AW317=1,"",FF316)&lt;&gt;"",FE317&lt;&gt;IF(AW317=1,"",FF316)),"фаза не как у автомата группы ("&amp;IF(AW317=1,"",FF316)&amp;")","")))</f>
        <v>потери 4,2 % &gt; 4 %</v>
      </c>
      <c r="HB317" s="6" t="str">
        <f>IF(OR(CA317=0,DA317=""),"",_xlfn.LET(_xlpm.t,IFERROR(_xlfn.XLOOKUP(DA317,Каталог!$U$4:$U$500,Каталог!$G$4:$G$500),""),_xlpm.k,SEARCH("кА",_xlpm.t),IFERROR(--TRIM(RIGHT(SUBSTITUTE(MID(_xlpm.t,MAX(1,_xlpm.k-4),_xlpm.k-MAX(1,_xlpm.k-4))," ",REPT(" ",9)),5)),"")))</f>
        <v/>
      </c>
      <c r="HC317" t="str">
        <f>IF(OR(HB317="",CA317=0),"",IF(_xlfn.XLOOKUP(A317,Щиты[Щит],Щиты[Iкз max на шинах, кА],"")="","",IF(HB317&lt;_xlfn.XLOOKUP(A317,Щиты[Щит],Щиты[Iкз max на шинах, кА]),"Icu "&amp;HB317&amp;" кА &lt; Iкз max","ok")))</f>
        <v/>
      </c>
      <c r="HD317" t="str">
        <f t="shared" si="590"/>
        <v/>
      </c>
      <c r="HE317" t="str">
        <f t="shared" si="591"/>
        <v/>
      </c>
      <c r="HF317" t="str">
        <f t="shared" si="592"/>
        <v/>
      </c>
      <c r="HG317" t="str" cm="1">
        <f t="array" ref="HG317">IF(HF317="","",_xlfn.LET(_xlpm.nd,_xlfn.TEXTSPLIT(HF317,"|"),IF(COLUMNS(_xlpm.nd)&gt;1,A317&amp;"¦"&amp;INDEX(_xlpm.nd,1)&amp;"¦"&amp;INDEX(_xlpm.nd,2),"")))</f>
        <v/>
      </c>
      <c r="HH317" t="str">
        <f t="shared" si="593"/>
        <v/>
      </c>
      <c r="HI317" t="str" cm="1">
        <f t="array" ref="HI317">IF(HF317="","",_xlfn.LET(_xlpm.nd,_xlfn.TEXTSPLIT(HF317,"|"),IF(COLUMNS(_xlpm.nd)&gt;2,A317&amp;"¦"&amp;INDEX(_xlpm.nd,2)&amp;"¦"&amp;INDEX(_xlpm.nd,3),"")))</f>
        <v/>
      </c>
      <c r="HJ317" t="str">
        <f t="shared" si="594"/>
        <v/>
      </c>
      <c r="HK317" t="str" cm="1">
        <f t="array" ref="HK317">IF(HF317="","",_xlfn.LET(_xlpm.nd,_xlfn.TEXTSPLIT(HF317,"|"),IF(COLUMNS(_xlpm.nd)&gt;3,A317&amp;"¦"&amp;INDEX(_xlpm.nd,3)&amp;"¦"&amp;INDEX(_xlpm.nd,4),"")))</f>
        <v/>
      </c>
      <c r="HL317" t="str">
        <f t="shared" si="595"/>
        <v/>
      </c>
      <c r="HM317" t="str" cm="1">
        <f t="array" ref="HM317">IF(HF317="","",_xlfn.LET(_xlpm.nd,_xlfn.TEXTSPLIT(HF317,"|"),IF(COLUMNS(_xlpm.nd)&gt;4,A317&amp;"¦"&amp;INDEX(_xlpm.nd,4)&amp;"¦"&amp;INDEX(_xlpm.nd,5),"")))</f>
        <v/>
      </c>
      <c r="HN317" t="str">
        <f t="shared" si="596"/>
        <v/>
      </c>
      <c r="HO317" t="str" cm="1">
        <f t="array" ref="HO317">IF(HF317="","",_xlfn.LET(_xlpm.nd,_xlfn.TEXTSPLIT(HF317,"|"),IF(COLUMNS(_xlpm.nd)&gt;5,A317&amp;"¦"&amp;INDEX(_xlpm.nd,5)&amp;"¦"&amp;INDEX(_xlpm.nd,6),"")))</f>
        <v/>
      </c>
      <c r="HP317" t="str">
        <f t="shared" si="597"/>
        <v/>
      </c>
      <c r="HQ317" t="str" cm="1">
        <f t="array" ref="HQ317">IF(HF317="","",_xlfn.LET(_xlpm.nd,_xlfn.TEXTSPLIT(HF317,"|"),IF(COLUMNS(_xlpm.nd)&gt;6,A317&amp;"¦"&amp;INDEX(_xlpm.nd,6)&amp;"¦"&amp;INDEX(_xlpm.nd,7),"")))</f>
        <v/>
      </c>
      <c r="HR317" t="str">
        <f t="shared" si="598"/>
        <v/>
      </c>
      <c r="HS317" t="str">
        <f t="shared" si="599"/>
        <v/>
      </c>
      <c r="HT317" t="str">
        <f t="shared" si="600"/>
        <v/>
      </c>
      <c r="HU317">
        <f t="shared" si="601"/>
        <v>0</v>
      </c>
      <c r="HV317">
        <f t="shared" si="602"/>
        <v>0</v>
      </c>
      <c r="HW317" t="str">
        <f t="shared" si="603"/>
        <v/>
      </c>
      <c r="HX317" t="str">
        <f t="shared" si="604"/>
        <v/>
      </c>
      <c r="HY317" t="str">
        <f t="shared" si="605"/>
        <v/>
      </c>
      <c r="HZ317" t="str">
        <f t="shared" si="606"/>
        <v/>
      </c>
      <c r="IA317">
        <f>IF(B317="","",IFERROR(VLOOKUP(B317,УГО_спр,2,FALSE),IFERROR(VLOOKUP(AX317,УГО_спр,2,FALSE),IFERROR(VLOOKUP(LEFT(AX317,2),УГО_спр,2,FALSE),""))))</f>
        <v>0</v>
      </c>
      <c r="IB317" t="str">
        <f>IF(B317="","",IF(OR(IA317="",IA317=0),"BOX",IFERROR(IF(VLOOKUP(IA317,УГО_блоки,3,FALSE)&amp;""&lt;&gt;"",VLOOKUP(IA317,УГО_блоки,3,FALSE),VLOOKUP(IA317,УГО_блоки,2,FALSE)),IA317)))</f>
        <v>BOX</v>
      </c>
      <c r="IC317">
        <f t="shared" si="607"/>
        <v>1</v>
      </c>
      <c r="ID317" t="str">
        <f>IF(DA317="","",IF(COUNTIF(DA$3:DA317,DA317)=1,MAX(ID$2:ID316)+1,""))</f>
        <v/>
      </c>
      <c r="IE317" t="str">
        <f>IF(CO317="","",IF(COUNTIF(CO$3:CO317,CO317)+COUNTIF(CP$2:CP316,CO317)+COUNTIF(CQ$2:CQ316,CO317)=1,MAX(IE$2:IG316)+1,""))</f>
        <v/>
      </c>
      <c r="IF317" t="str">
        <f>IF(CP317="","",IF(COUNTIF(CO$3:CO317,CP317)+COUNTIF(CP$3:CP317,CP317)+COUNTIF(CQ$2:CQ316,CP317)=1,MAX(IE$2:IG316,IE317)+1,""))</f>
        <v/>
      </c>
      <c r="IG317" t="str">
        <f>IF(CQ317="","",IF(COUNTIF(CO$3:CO317,CQ317)+COUNTIF(CP$3:CP317,CQ317)+COUNTIF(CQ$3:CQ317,CQ317)=1,MAX(IE$2:IG316,IE317,IF317)+1,""))</f>
        <v/>
      </c>
      <c r="IH317" t="str">
        <f t="shared" si="608"/>
        <v/>
      </c>
      <c r="II317" t="str">
        <f>IF(IH317="","",IF(COUNTIF(IH$3:IH317,IH317)=1,MAX(II$2:II316)+1,""))</f>
        <v/>
      </c>
      <c r="IJ317" t="str">
        <f>IF(GL317="","",COUNTIF(GL$3:GL317,"?*"))</f>
        <v/>
      </c>
      <c r="IK317" t="str">
        <f>IF(OR(GL317="",GN317=""),"",IF(COUNTIFS(GL$3:GL317,"?*",GN$3:GN317,GN317)=1,MAX(IK$2:IK316)+1,""))</f>
        <v/>
      </c>
      <c r="IL317">
        <f t="shared" si="609"/>
        <v>1</v>
      </c>
      <c r="IM317">
        <f>IF(B317="","",COUNTIF(B$3:B317,"?*"))</f>
        <v>315</v>
      </c>
      <c r="IN317">
        <f>IF(GQ317&lt;&gt;1,0,_xlfn.LET(_xlpm.k,MAX(IFERROR(--VLOOKUP(B317,УГО_спр,5,FALSE),0),IFERROR(--VLOOKUP(AX317,УГО_спр,5,FALSE),0),IFERROR(--VLOOKUP(LEFT(AX317,2),УГО_спр,5,FALSE),0)),IF(_xlpm.k&gt;0,_xlpm.k,IF(IFERROR(--LEFT(SUBSTITUTE(IH317,"x","х"),FIND("х",SUBSTITUTE(IH317,"x","х"))-1),3)&gt;3,Каталог!$S$9,1))))</f>
        <v>0</v>
      </c>
      <c r="IO317">
        <f t="shared" si="610"/>
        <v>0</v>
      </c>
      <c r="IP317" t="str">
        <f t="shared" si="611"/>
        <v>авто</v>
      </c>
      <c r="IQ317" t="str">
        <f t="shared" si="612"/>
        <v/>
      </c>
      <c r="IR317">
        <f t="shared" si="613"/>
        <v>0</v>
      </c>
      <c r="IS317">
        <f t="shared" si="614"/>
        <v>1</v>
      </c>
    </row>
    <row r="318" spans="1:253" x14ac:dyDescent="0.3">
      <c r="A318" t="s">
        <v>765</v>
      </c>
      <c r="B318" t="s">
        <v>1580</v>
      </c>
      <c r="C318" t="str">
        <f>Линии[[#This Row],[_авто наименование]]</f>
        <v>Насос дренажный, пом. 003Т</v>
      </c>
      <c r="D318">
        <v>1</v>
      </c>
      <c r="E318">
        <v>0.6</v>
      </c>
      <c r="G318">
        <v>16</v>
      </c>
      <c r="H318" t="str">
        <f>Линии[[#This Row],[_авто утечка]]</f>
        <v/>
      </c>
      <c r="I318" t="str">
        <f>Линии[[#This Row],[_авто управление]]</f>
        <v/>
      </c>
      <c r="J318" t="str">
        <f>Линии[[#This Row],[_авто аппараты]]</f>
        <v/>
      </c>
      <c r="K318">
        <v>2.5</v>
      </c>
      <c r="L318">
        <v>18</v>
      </c>
      <c r="M318">
        <v>1</v>
      </c>
      <c r="N318" t="str">
        <f>Линии[[#This Row],[_авто клемма]]</f>
        <v>XT1</v>
      </c>
      <c r="O318" t="str">
        <f t="shared" si="492"/>
        <v>категория I не обеспечена (есть II)</v>
      </c>
      <c r="P318" s="6" cm="1">
        <f t="array" ref="P318">IF(B318="","",IF(BC318&lt;&gt;"",IFERROR(_xlfn.XLOOKUP(BC318,Щиты[Щит],Щиты[Iр, А]),""),IF(BK318=1,IFERROR(_xlfn.XLOOKUP(A318,Щиты[Щит],Щиты[Iр, А]),""),IFERROR(_xlfn.IFS(BR318=1,BN318/((Uн_лин/SQRT(3))*BY318),BR318=3,BN318/(SQRT(3)*Uн_лин*BY318)),""))))</f>
        <v>3.2475952641916441</v>
      </c>
      <c r="Q318" s="7">
        <f>IF(B318="","",IFERROR(IF(VLOOKUP(AX318,Потребители_обозначение,4,FALSE)=1,VLOOKUP(AX318,Потребители_обозначение,3,FALSE)*(D318*2-1)+DS318+VLOOKUP(AZ318,Этаж_обозначение,3,FALSE)+VLOOKUP(AZ318,Этаж_обозначение,4,FALSE),VLOOKUP(AX318,Потребители_обозначение,3,FALSE)*(D318*2-1)+DS318),DS318))</f>
        <v>21</v>
      </c>
      <c r="R318" s="6">
        <f t="shared" si="493"/>
        <v>2.5499999999999998</v>
      </c>
      <c r="S318" t="str">
        <f t="shared" si="494"/>
        <v>ВВГнг(А)-LS (3х2,5)</v>
      </c>
      <c r="T318" t="str">
        <f>IF(BH318="","",IF(BI318="вводной узел","узел ","")&amp;"л."&amp;(INT((BH318-1)/Столбцов_на_лист)+1)&amp;" / "&amp;(MOD(BH318-1,Столбцов_на_лист)+1))</f>
        <v>л.2 / 1</v>
      </c>
      <c r="V318">
        <v>1</v>
      </c>
      <c r="W318">
        <v>230</v>
      </c>
      <c r="X318" t="s">
        <v>600</v>
      </c>
      <c r="Y318">
        <v>0.5</v>
      </c>
      <c r="AC318" t="s">
        <v>861</v>
      </c>
      <c r="AE318" t="s">
        <v>606</v>
      </c>
      <c r="AI318">
        <v>18</v>
      </c>
      <c r="AJ318" t="s">
        <v>11</v>
      </c>
      <c r="AK318">
        <v>3</v>
      </c>
      <c r="AM318">
        <v>9</v>
      </c>
      <c r="AN318">
        <v>9</v>
      </c>
      <c r="AO318">
        <v>0</v>
      </c>
      <c r="AP318">
        <v>1</v>
      </c>
      <c r="AW318" cm="1">
        <f t="array" ref="AW318">ROW()-ROW(Линии[#Headers])</f>
        <v>316</v>
      </c>
      <c r="AX318" s="6" t="str">
        <f t="shared" si="495"/>
        <v>НВК</v>
      </c>
      <c r="AY318" t="str">
        <f t="shared" si="496"/>
        <v>00.003Т.2</v>
      </c>
      <c r="AZ318" t="str">
        <f t="shared" si="497"/>
        <v>00</v>
      </c>
      <c r="BA318" t="str">
        <f t="shared" si="498"/>
        <v>003Т.2</v>
      </c>
      <c r="BB318" t="str">
        <f t="shared" si="499"/>
        <v>003Т</v>
      </c>
      <c r="BC318" t="str">
        <f>IF(U318&lt;&gt;"",U318,IF(AND(B318&lt;&gt;"",B318&lt;&gt;A318,ISNUMBER(_xlfn.XMATCH(B318,Щиты[Щит]))),B318,""))</f>
        <v/>
      </c>
      <c r="BD318" t="str" cm="1">
        <f t="array" ref="BD318">IF(B318="","",IF(BC318&lt;&gt;"","Щит "&amp;BC318,_xlfn.LET(_xlpm.nm,IFERROR(_xlfn.XLOOKUP(AX318,Коды_код,Коды_имя)&amp;"",""),_xlpm.md,IFERROR(N(_xlfn.XLOOKUP(AX318,Коды_код,Коды_режим)),1),_xlpm.ex,IF(Имя_режим="по экспликации",IFERROR(_xlfn.XLOOKUP(AZ318&amp;"|"&amp;BB318,Экспликация[Этаж]&amp;"|"&amp;Экспликация[Помещение],Экспликация[Название])&amp;"",""),""),_xlpm.rm,IF(BB318="","",IF(_xlpm.ex&lt;&gt;"",". "&amp;_xlpm.ex&amp;IF(Имя_пом="нет"," ("&amp;BB318&amp;")"," (пом. "&amp;BB318&amp;")"),IF(Имя_пом="нет"," ",", пом. ")&amp;BB318)),IF(_xlpm.nm="","",IF(_xlpm.md=2,_xlpm.nm&amp;" шлейф "&amp;AZ318,_xlpm.nm&amp;_xlpm.rm)))))</f>
        <v>Насос дренажный, пом. 003Т</v>
      </c>
      <c r="BE318" t="str">
        <f t="shared" si="500"/>
        <v>Насос дренажный, пом. 003Т</v>
      </c>
      <c r="BF318">
        <f>IFERROR(_xlfn.XMATCH(A318,Щиты[Щит]),0)</f>
        <v>13</v>
      </c>
      <c r="BG318">
        <f>_xlfn.LET(_xlpm.k,IFERROR(_xlfn.XLOOKUP(A318,Щиты[Щит],Щиты[Листов под вводной узел]),""),IF(_xlpm.k="",1,N(_xlpm.k))*Столбцов_на_лист)</f>
        <v>17</v>
      </c>
      <c r="BH318">
        <f t="shared" si="501"/>
        <v>18</v>
      </c>
      <c r="BI318" t="str">
        <f t="shared" si="502"/>
        <v>линии</v>
      </c>
      <c r="BJ318" s="6">
        <f>IFERROR(N(_xlfn.XLOOKUP(AX318,Коды_код,Коды_квт)),0)</f>
        <v>0</v>
      </c>
      <c r="BK318">
        <f t="shared" si="503"/>
        <v>0</v>
      </c>
      <c r="BL318" t="str">
        <f>IF(B318="","",IF(BC318&lt;&gt;"",IFERROR(_xlfn.XLOOKUP(BC318,Щиты[Щит],Щиты[Руст, кВт]),0),IF(BK318=1,IFERROR(_xlfn.XLOOKUP(A318,Щиты[Щит],Щиты[Руст, кВт]),0),IF(BJ318&gt;0,ROUND(BJ318*MAX(1,N(D318)),3),""))))</f>
        <v/>
      </c>
      <c r="BM318">
        <f t="shared" si="504"/>
        <v>0.6</v>
      </c>
      <c r="BN318" s="6">
        <f>IF(B318="","",IF(BC318&lt;&gt;"",IFERROR(_xlfn.XLOOKUP(BC318,Щиты[Щит],Щиты[Руст, кВт]),0),N(BM318)))</f>
        <v>0.6</v>
      </c>
      <c r="BO318" t="str">
        <f>IF(B318="","",IFERROR(IF(VLOOKUP(AX318,Потребители_обозначение,8,FALSE)=0,"",VLOOKUP(AX318,Потребители_обозначение,8,FALSE)),""))</f>
        <v/>
      </c>
      <c r="BP318">
        <f t="shared" si="505"/>
        <v>230</v>
      </c>
      <c r="BQ318">
        <f>IF(B318="","",IF(BC318&lt;&gt;"",3,IFERROR(IF(N(VLOOKUP(AX318,Потребители_обозначение,9,FALSE))=0,1,VLOOKUP(AX318,Потребители_обозначение,9,FALSE)),1)))</f>
        <v>1</v>
      </c>
      <c r="BR318">
        <f t="shared" si="506"/>
        <v>1</v>
      </c>
      <c r="BS318" t="str">
        <f>IF(B318="","",_xlfn.LET(_xlpm.bc,IFERROR(IF(VLOOKUP(AX318,Потребители_обозначение,6,FALSE)=0,"",VLOOKUP(AX318,Потребители_обозначение,6,FALSE)&amp;""),""),IF(AND(FK318="да",OR(_xlpm.bc="",_xlpm.bc="мс")),Марка_пож,IF(AND(_xlpm.bc="",BC318&lt;&gt;""),"мс",_xlpm.bc))))</f>
        <v/>
      </c>
      <c r="BT318" t="str">
        <f t="shared" si="507"/>
        <v>мс</v>
      </c>
      <c r="BU318">
        <f>IF(B318="","",_xlfn.LET(_xlpm.cc,IFERROR(N(VLOOKUP(AX318,Потребители_обозначение,7,FALSE)),0),IF(_xlpm.cc&gt;0,_xlpm.cc,IF(BT318="","",IF(N(BR318)=3,5,3)))))</f>
        <v>3</v>
      </c>
      <c r="BV318">
        <f t="shared" si="508"/>
        <v>3</v>
      </c>
      <c r="BW318">
        <f>IFERROR(N(VLOOKUP(AX318,Потребители_обозначение,10,FALSE)),0)</f>
        <v>0</v>
      </c>
      <c r="BX318">
        <f>IFERROR(VLOOKUP(AX318,Потребители_обозначение,5,FALSE),0)</f>
        <v>1</v>
      </c>
      <c r="BY318" s="6" cm="1">
        <f t="array" ref="BY318">IF(B318="","",IF(BC318&lt;&gt;"",IFERROR(_xlfn.XLOOKUP(BC318,Щиты[Щит],Щиты[cos φ]),0.95),IF(BK318=1,IFERROR(_xlfn.XLOOKUP(A318,Щиты[Щит],Щиты[cos φ]),0.95),IF(ISNUMBER(Z318),Z318,IFERROR(IF(BX318=2,_xlfn.IFS(BR318=3,VLOOKUP(BN318,Справочная_двигатели,8,FALSE),BR318=1,VLOOKUP(BN318,Справочная_двигатели,10,TRUE)),IF(AND(Методика="нормы 2026",EQ318="Сил"),0.8,0.95)),0.95)))))</f>
        <v>0.8</v>
      </c>
      <c r="BZ318">
        <f t="shared" si="509"/>
        <v>0</v>
      </c>
      <c r="CA318">
        <f t="shared" si="510"/>
        <v>1</v>
      </c>
      <c r="CB318">
        <f t="shared" si="511"/>
        <v>0</v>
      </c>
      <c r="CC318">
        <f t="shared" si="512"/>
        <v>0</v>
      </c>
      <c r="CD318">
        <f t="shared" si="513"/>
        <v>0</v>
      </c>
      <c r="CE318">
        <f t="shared" si="514"/>
        <v>0</v>
      </c>
      <c r="CF318">
        <f t="shared" si="515"/>
        <v>0</v>
      </c>
      <c r="CG318">
        <f>IF(AX318="",0,_xlfn.LET(_xlpm.v,IFERROR(VLOOKUP(B318,УГО_спр,3,FALSE),IFERROR(VLOOKUP(AX318,УГО_спр,3,FALSE),IFERROR(VLOOKUP(LEFT(AX318,2),УГО_спр,3,FALSE),""))),IF(_xlpm.v="да",30,IF(ISNUMBER(_xlpm.v),_xlpm.v,0))))</f>
        <v>0</v>
      </c>
      <c r="CH318" t="str">
        <f t="shared" si="516"/>
        <v/>
      </c>
      <c r="CI318" t="str">
        <f>_xlfn.LET(_xlpm.k,IFERROR(_xlfn.XLOOKUP(AX318,Коды_код,Коды_утечка)&amp;"",""),IF(_xlpm.k="","дифавтомат",_xlpm.k))</f>
        <v>дифавтомат</v>
      </c>
      <c r="CJ318">
        <f t="shared" si="517"/>
        <v>0</v>
      </c>
      <c r="CK318">
        <f t="shared" si="518"/>
        <v>0</v>
      </c>
      <c r="CL318">
        <f>IF(B318="",0,IFERROR(--VLOOKUP(B318,УГО_спр,4,FALSE),IFERROR(--VLOOKUP(AX318,УГО_спр,4,FALSE),IFERROR(--VLOOKUP(LEFT(AX318,2),УГО_спр,4,FALSE),0))))</f>
        <v>0</v>
      </c>
      <c r="CM318" t="str">
        <f>IF(B318="","",IFERROR(_xlfn.XLOOKUP(AX318,Коды_код,Коды_апп)&amp;"",""))</f>
        <v/>
      </c>
      <c r="CN318" t="str">
        <f t="shared" si="519"/>
        <v/>
      </c>
      <c r="CO318" t="str" cm="1">
        <f t="array" ref="CO318">IF(TRIM(CN318&amp;"")="","",IFERROR(TRIM(INDEX(_xlfn.TEXTSPLIT(CN318&amp;";;;",";"),1)),""))</f>
        <v/>
      </c>
      <c r="CP318" t="str" cm="1">
        <f t="array" ref="CP318">IF(TRIM(CN318&amp;"")="","",IFERROR(TRIM(INDEX(_xlfn.TEXTSPLIT(CN318&amp;";;;",";"),2)),""))</f>
        <v/>
      </c>
      <c r="CQ318" t="str" cm="1">
        <f t="array" ref="CQ318">IF(TRIM(CN318&amp;"")="","",IFERROR(TRIM(INDEX(_xlfn.TEXTSPLIT(CN318&amp;";;;",";"),3)),""))</f>
        <v/>
      </c>
      <c r="CR318">
        <f t="shared" si="520"/>
        <v>0</v>
      </c>
      <c r="CS318" t="str">
        <f>IF(B318="","",_xlfn.LET(_xlpm.t,LOWER(AV318&amp;""),IF(ISNUMBER(SEARCH("dim",_xlpm.t)),"DIM",IF(ISNUMBER(SEARCH("dali",_xlpm.t)),"DALI",IF(OR(ISNUMBER(SEARCH("relay",_xlpm.t)),ISNUMBER(SEARCH("реле",_xlpm.t))),"Relay",IF(ISNUMBER(SEARCH("кнопк",_xlpm.t)),"",IFERROR(_xlfn.XLOOKUP(AX318,Коды_код,Коды_упр)&amp;"","")))))))</f>
        <v/>
      </c>
      <c r="CT318" t="str">
        <f t="shared" si="521"/>
        <v/>
      </c>
      <c r="CU318">
        <f>IF(B318="","",_xlfn.LET(_xlpm.ig,N(P318)+IF(AF318="вручную",0,N(CB318)),_xlpm.n0,IFERROR(VLOOKUP(_xlpm.ig,Автомат_номиналы,2,TRUE),0),_xlpm.mn,MAX(CL318,IF(AF318="вручную",0,N(CE318))),MAX(_xlpm.n0,_xlpm.mn,IF(CR318=1,Мин_автомат_БП,0))))</f>
        <v>6</v>
      </c>
      <c r="CV318">
        <f t="shared" si="522"/>
        <v>1</v>
      </c>
      <c r="CW318" t="str">
        <f t="shared" si="523"/>
        <v>1P</v>
      </c>
      <c r="CX318" t="str">
        <f>_xlfn.LET(_xlpm.cc,UPPER(TRIM(IFERROR(_xlfn.XLOOKUP(AX318,Коды_код,Коды_хар)&amp;"",""))),IF(OR(_xlpm.cc="B",_xlpm.cc="В"),"B",IF(_xlpm.cc="D","D","С")))</f>
        <v>С</v>
      </c>
      <c r="CY318" t="str">
        <f t="shared" si="524"/>
        <v>1P С6А</v>
      </c>
      <c r="CZ318">
        <f t="shared" si="525"/>
        <v>16</v>
      </c>
      <c r="DA318" t="str">
        <f t="shared" si="526"/>
        <v>1P С16А</v>
      </c>
      <c r="DB318" cm="1">
        <f t="array" ref="DB318">IF(DA318="","",_xlfn.LET(_xlpm.t,SUBSTITUTE(SUBSTITUTE(SUBSTITUTE(UPPER(DA318),"С","C"),"А","A"),"В","B"),_xlpm.tk,_xlfn.TEXTSPLIT(_xlpm.t,"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8" t="str">
        <f t="shared" si="527"/>
        <v>ok</v>
      </c>
      <c r="DD318">
        <f t="shared" si="528"/>
        <v>16</v>
      </c>
      <c r="DE318" t="str">
        <f t="shared" si="529"/>
        <v>1P С16А</v>
      </c>
      <c r="DF318">
        <f t="shared" si="530"/>
        <v>0</v>
      </c>
      <c r="DG318">
        <f t="shared" si="531"/>
        <v>0</v>
      </c>
      <c r="DH318">
        <f t="shared" si="532"/>
        <v>0</v>
      </c>
      <c r="DI318">
        <f t="shared" si="533"/>
        <v>3.2475952641916441</v>
      </c>
      <c r="DJ318">
        <f t="shared" si="534"/>
        <v>1</v>
      </c>
      <c r="DK318">
        <f>IF(ISNUMBER(AL318),AL318,К_прокл)</f>
        <v>1</v>
      </c>
      <c r="DL318">
        <f t="shared" si="535"/>
        <v>2</v>
      </c>
      <c r="DM318">
        <f>IFERROR(N(VLOOKUP(BT318,Кабель_обозначение,3,FALSE)),1)</f>
        <v>1</v>
      </c>
      <c r="DN318">
        <f>IFERROR(N(_xlfn.XLOOKUP(A318,Щиты[Щит],Щиты[ΔU до шин, %])),0)</f>
        <v>2.1199999999999997</v>
      </c>
      <c r="DO318" t="str">
        <f>IFERROR(_xlfn.XLOOKUP(A318,Щиты[Щит],Щиты[Zпетли на шинах, Ом]),"")</f>
        <v/>
      </c>
      <c r="DP318">
        <f>IFERROR(N(_xlfn.XLOOKUP(A318,Щиты[Щит],Щиты[ΔU до шин (подбор), %])),0)</f>
        <v>3.3699999999999997</v>
      </c>
      <c r="DQ318" t="str">
        <f>IFERROR(_xlfn.XLOOKUP(A318,Щиты[Щит],Щиты[Zпетли на шинах (подбор), Ом]),"")</f>
        <v/>
      </c>
      <c r="DR318" t="str">
        <f t="shared" si="536"/>
        <v/>
      </c>
      <c r="DS318">
        <f t="shared" si="537"/>
        <v>18</v>
      </c>
      <c r="DT318">
        <f t="shared" si="538"/>
        <v>2</v>
      </c>
      <c r="DU318">
        <f t="shared" si="539"/>
        <v>0.6</v>
      </c>
      <c r="DV318" s="6">
        <f>IF(B318="","",IF(IFERROR(VLOOKUP(AX318,УГО_спр,2,FALSE),"")="Светильник",3,4)+IF(Методика="нормы 2026",MIN(0.5,MAX(0,N(Q318)-100)*0.005),0))</f>
        <v>4</v>
      </c>
      <c r="DW318" cm="1">
        <f t="array" ref="DW318">IF(OR(B318="",BT318="",DM318&lt;&gt;1),"",_xlfn.LET(_xlpm.sz,Iдоп_S,_xlpm.t_,CHOOSE(DL318,Iдоп_1ж,Iдоп_2ж,Iдоп_3ж)*DJ318*DK318,_xlpm.inn,N(DD318),_xlpm.smin,MAX(1.5,BW318),_xlpm.L_,N(Q318)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318)*(_xlpm.rho*_xlpm.L_/_xlpm.sz*N(BY318)+_xlpm.xx*_xlpm.L_*N(DU318)/1000)*N(P318)/((Uн_лин/SQRT(3))*1000)*100,999),_xlpm.kz,IF(OR(DG318=1,NOT(ISNUMBER(DQ318)),_xlpm.L_=0,_xlpm.inn=0),1,IFERROR(--(c_min*(Uн_лин*1000/SQRT(3))/(DQ318+2*ρкз_Cu*_xlpm.L_/_xlpm.sz)&gt;=GY318*_xlpm.inn),0)),_xlpm.ok,IFERROR((_xlpm.sz&gt;=_xlpm.smin)*(_xlpm.t_&gt;=_xlpm.inn)*IF(_xlpm.L_&gt;0,(_xlpm.du_+DP318&lt;=DV318+0.00001),1)*_xlpm.kz,0),_xlpm.r_,_xlfn._xlws.FILTER(_xlpm.sz,_xlpm.ok,"не подобрано"),INDEX(_xlpm.r_,1)))</f>
        <v>2.5</v>
      </c>
      <c r="DX318">
        <f t="shared" si="540"/>
        <v>2.5</v>
      </c>
      <c r="DY318" cm="1">
        <f t="array" ref="DY318">IF(OR(B318="",BT318="",DM318&lt;&gt;1),"",_xlfn.LET(_xlpm.sz,Iдоп_S,_xlpm.t_,CHOOSE(DL318,Iдоп_1ж,Iдоп_2ж,Iдоп_3ж)*DJ318*DK318,_xlpm.ok,IFERROR((_xlpm.sz&gt;=MAX(1.5,BW318))*(_xlpm.t_&gt;=N(DD318)),0),_xlpm.r_,_xlfn._xlws.FILTER(_xlpm.sz,_xlpm.ok,""),INDEX(_xlpm.r_,1)))</f>
        <v>1.5</v>
      </c>
      <c r="DZ318" s="6" cm="1">
        <f t="array" ref="DZ318">IFERROR(ROUNDUP(N(DT318)*(_xlfn.XLOOKUP(DY318,INDEX(Кабель_сопротивление,0,1),INDEX(Кабель_сопротивление,0,3))*N(Q318)/DY318*N(BY318)+_xlfn.XLOOKUP(DY318,INDEX(Кабель_сопротивление,0,1),INDEX(Кабель_сопротивление,0,2))*N(Q318)*N(DU318)/1000)*N(P318)/((Uн_лин/SQRT(3))*1000)*100,2),"")</f>
        <v>0.72</v>
      </c>
      <c r="EA318">
        <f>IFERROR(2*ρкз_Cu*N(Q318)/DY318,"")</f>
        <v>0.73640000000000005</v>
      </c>
      <c r="EB318">
        <f>IFERROR(VLOOKUP(DX318,Кабель_сопротивление,3,FALSE),"")</f>
        <v>2.2499999999999999E-2</v>
      </c>
      <c r="EC318">
        <f>IFERROR(VLOOKUP(DX318,Кабель_сопротивление,2,FALSE),"")</f>
        <v>0.1</v>
      </c>
      <c r="ED318">
        <f t="shared" si="541"/>
        <v>9</v>
      </c>
      <c r="EE318">
        <f t="shared" si="542"/>
        <v>0</v>
      </c>
      <c r="EF318">
        <f t="shared" si="543"/>
        <v>0.99025674795731622</v>
      </c>
      <c r="EG318" s="6">
        <f>IFERROR(ROUNDUP(EF318/((Uн_лин/SQRT(3))*1000)*100,2),"")</f>
        <v>0.43</v>
      </c>
      <c r="EH318" t="str">
        <f>IFERROR(VLOOKUP(BT318,Кабель_обозначение,2,FALSE),"")</f>
        <v>ВВГнг(А)-LS</v>
      </c>
      <c r="EI318" t="str">
        <f t="shared" si="544"/>
        <v>ВВГнг(А)-LS (3х2,5)</v>
      </c>
      <c r="EJ318" t="str">
        <f t="shared" si="545"/>
        <v>ВВГнг(А)-LS (3х2,5)
L=21-0,43%</v>
      </c>
      <c r="EK318">
        <f>IFERROR(2*ρкз_Cu*Q318/DX318,"")</f>
        <v>0.44184000000000001</v>
      </c>
      <c r="EL318">
        <f t="shared" si="546"/>
        <v>0.14700000000000002</v>
      </c>
      <c r="EM318" s="6" t="str">
        <f>IFERROR(IF(OR(B318="",NOT(ISNUMBER(DX318)),N(Q318)=0),"",_xlfn.XLOOKUP(A318,Щиты[Щит],Щиты[Zпетли на шинах, Ом])+EK318),"")</f>
        <v/>
      </c>
      <c r="EN318" s="6" t="str">
        <f>IF(ISNUMBER(EM318),c_min*(Uн_лин*1000/SQRT(3))/EM318,"")</f>
        <v/>
      </c>
      <c r="EO318" s="6" t="str">
        <f>IFERROR(IF(OR(B318="",NOT(ISNUMBER(DX318))),"",1.05*(Uн_лин*1000/SQRT(3))/(_xlfn.XLOOKUP(A318,Щиты[Щит],Щиты[Zmax на шинах, Ом])+EL318)/1000),"")</f>
        <v/>
      </c>
      <c r="EP318" s="6" t="str">
        <f>IF(B318="","",IF(ISNUMBER(Y318),"Сил",IF(IFERROR(_xlfn.XLOOKUP(AX318,Коды_код,Коды_группа)&amp;"","")="","Быт",_xlfn.XLOOKUP(AX318,Коды_код,Коды_группа)&amp;"")))</f>
        <v>Сил</v>
      </c>
      <c r="EQ318" s="6" t="str">
        <f t="shared" si="547"/>
        <v>Сил</v>
      </c>
      <c r="ER318" s="6">
        <f>IF(EQ318="Щит","щит",IF(EQ318="","",IF(EQ318="Быт",IFERROR(_xlfn.XLOOKUP(A318,Щиты[Щит],Щиты[Кс быт]),1),IF(EQ318="Сил",IF(ISNUMBER(Y318),Y318,IF(Методика="нормы 2026",IFERROR(_xlfn.XLOOKUP(A318,Щиты[Щит],Щиты[Кс силовых (табл. 7.5)]),1),1)),IF(OR(EQ318="Пост",EQ318="Отоп"),1,IF(EQ318="ВНГ",0.7,0))))))</f>
        <v>0.5</v>
      </c>
      <c r="ES318">
        <f t="shared" si="548"/>
        <v>1</v>
      </c>
      <c r="ET318">
        <f t="shared" si="549"/>
        <v>0.6</v>
      </c>
      <c r="EU318">
        <f t="shared" si="550"/>
        <v>0</v>
      </c>
      <c r="EV318">
        <f t="shared" si="551"/>
        <v>0.3</v>
      </c>
      <c r="EW318">
        <f t="shared" si="552"/>
        <v>0</v>
      </c>
      <c r="EX318">
        <f t="shared" si="553"/>
        <v>0</v>
      </c>
      <c r="EY318">
        <f t="shared" si="554"/>
        <v>0</v>
      </c>
      <c r="EZ318">
        <f t="shared" si="555"/>
        <v>0.6</v>
      </c>
      <c r="FA318">
        <f t="shared" si="556"/>
        <v>0.48</v>
      </c>
      <c r="FB318">
        <f t="shared" si="557"/>
        <v>0.6</v>
      </c>
      <c r="FC318" t="str">
        <f t="shared" si="558"/>
        <v>L1</v>
      </c>
      <c r="FD318" t="str">
        <f>IF(B318="","",IF(CA318=0,IF(AW318=1,"",FF317),IF(OR(N(CV318)&gt;=3,N(BR318)&gt;=3),"L1,L2,L3",IFERROR(_xlfn.TEXTBEFORE(_xlfn.TEXTAFTER(_xlfn.XLOOKUP(A318,Щиты[Щит],Щиты[_фазы авто]),";"&amp;AW318&amp;":"),";"),"L1"))))</f>
        <v>L1</v>
      </c>
      <c r="FE318" t="str">
        <f t="shared" si="559"/>
        <v>L1</v>
      </c>
      <c r="FF318" t="str">
        <f t="shared" si="560"/>
        <v>L1</v>
      </c>
      <c r="FG318" cm="1">
        <f t="array" ref="FG318">IFERROR(IF(BX318=2,_xlfn.IFS(BR318=3,VLOOKUP(BN318,Справочная_двигатели,3,FALSE),BR318=1,VLOOKUP(BN318,Справочная_двигатели,5,TRUE)),0),0)</f>
        <v>0</v>
      </c>
      <c r="FH318">
        <f>IFERROR(IF(BX318=3,VLOOKUP(BN318,Справочная_ЛЭД,2,TRUE),0),0)</f>
        <v>0</v>
      </c>
      <c r="FI318" s="6">
        <f t="shared" si="561"/>
        <v>0</v>
      </c>
      <c r="FJ318" t="str" cm="1">
        <f t="array" ref="FJ318">IF(B318="","",IFERROR(INDEX({"I особая","I","II","III"},MATCH(TRIM(AC318&amp;""),{"I особая","I","II","III"},0)),"III"))</f>
        <v>I</v>
      </c>
      <c r="FK318" t="str">
        <f>IF(B318="","",IF(TRIM(AD318&amp;"")&lt;&gt;"",IF(LOWER(TRIM(AD318&amp;""))="да","да","нет"),IF(IFERROR(_xlfn.XLOOKUP(AX318,Коды_код,Коды_пожарная),"")="да","да","нет")))</f>
        <v>нет</v>
      </c>
      <c r="FL318" t="str">
        <f t="shared" si="562"/>
        <v/>
      </c>
      <c r="FM318" t="str">
        <f t="shared" si="563"/>
        <v>основная</v>
      </c>
      <c r="FN318">
        <f t="shared" si="564"/>
        <v>1</v>
      </c>
      <c r="FO318" t="str" cm="1">
        <f t="array" ref="FO318">IF(B318="","",_xlfn.LET(_xlpm.t,IFERROR(_xlfn.XLOOKUP(1,(Шины[Шина]=FM318)*(((Шины[Щит]=A318)+(Шины[Щит]=""))&gt;0),Шины[Тип]),"")&amp;"",IF(_xlpm.t&lt;&gt;"",_xlpm.t,IF(ISNUMBER(SEARCH("ИБП",FM318)),"ИБП",IF(ISNUMBER(SEARCH("ДГУ",FM318)),"ДГУ","Ввод "&amp;FN318)))))</f>
        <v>Ввод 1</v>
      </c>
      <c r="FP318" t="str">
        <f t="shared" si="565"/>
        <v>Ввод 1</v>
      </c>
      <c r="FQ318" t="str">
        <f>IF(B318="","",IF(OR(FO318="ИБП",FO318="ДГУ"),"I особая",IF(FO318="Одиночная","III",_xlfn.XLOOKUP(A318,Щиты[Щит],Щиты[Категория шины «Ввод»],"III"))))</f>
        <v>II</v>
      </c>
      <c r="FR318">
        <f>IF(B318="",0,IFERROR(MATCH(FJ318,{"III","II","I","I особая"},0),1))</f>
        <v>3</v>
      </c>
      <c r="FS318">
        <f t="shared" si="566"/>
        <v>3</v>
      </c>
      <c r="FT318" t="str">
        <f>IF(B318="","",IF(FR318&gt;IFERROR(MATCH(FQ318,{"III","II","I","I особая"},0),1),"НЕ ОБЕСПЕЧЕНА","ОК"))</f>
        <v>НЕ ОБЕСПЕЧЕНА</v>
      </c>
      <c r="FU318" t="str">
        <f>IF(A318="","",_xlfn.XLOOKUP(A318,Щиты[Щит],Щиты[Путь],""))</f>
        <v>|ГРЩ-ЖД|ЩС-ВК.001|</v>
      </c>
      <c r="FV318" t="str">
        <f>IF(B318="","",IF(AE318&lt;&gt;"",AE318,IF(IFERROR(_xlfn.XLOOKUP(AX318,Коды_код,Коды_вид)&amp;"","")="","Прочее",_xlfn.XLOOKUP(AX318,Коды_код,Коды_вид)&amp;"")))</f>
        <v>Насосы (водоснабжение, дренаж)</v>
      </c>
      <c r="FW318">
        <f>IF(BH318="","",INT((BH318-1)/Столбцов_на_лист)+1)</f>
        <v>2</v>
      </c>
      <c r="FX318" t="str">
        <f t="shared" si="567"/>
        <v>ВВГнг(А)-LS (3х2,5) L=21-0,43%</v>
      </c>
      <c r="FY318">
        <f t="shared" si="568"/>
        <v>0.6</v>
      </c>
      <c r="FZ318">
        <f t="shared" si="569"/>
        <v>3.25</v>
      </c>
      <c r="GA318">
        <f t="shared" si="570"/>
        <v>1</v>
      </c>
      <c r="GB318">
        <f t="shared" si="571"/>
        <v>0</v>
      </c>
      <c r="GC318">
        <f t="shared" si="572"/>
        <v>1</v>
      </c>
      <c r="GD318">
        <f>IF(BH318="","",IF(AND(CA318=1,GC318=1),COUNTIFS(A$3:A318,A318,CA$3:CA318,1,GC$3:GC318,1),IF(OR(OR(AW318=1,A318&lt;&gt;A317),AF318="вручную",GC318=0),"",IF(AW318=1,"",GE317))))</f>
        <v>1</v>
      </c>
      <c r="GE318">
        <f t="shared" si="573"/>
        <v>1</v>
      </c>
      <c r="GF318">
        <f>IF(B318="","",IFERROR(LOOKUP(INDEX(CHOOSE(DL318,Iдоп_1ж,Iдоп_2ж,Iдоп_3ж),MATCH(DX318,Iдоп_S,0))*DJ318*DK318,{6,10,16,20,25,32,40,50,63,80,100,125,160,200,250,315,400,500,630}),""))</f>
        <v>25</v>
      </c>
      <c r="GG318" t="str">
        <f t="shared" si="574"/>
        <v>QF1</v>
      </c>
      <c r="GH318" t="str">
        <f t="shared" si="575"/>
        <v>QF1</v>
      </c>
      <c r="GI318" t="str">
        <f t="shared" si="576"/>
        <v/>
      </c>
      <c r="GJ318">
        <f t="shared" si="577"/>
        <v>0</v>
      </c>
      <c r="GK318" t="str">
        <f>IF(OR(AG318="",AG318="-"),"",IFERROR(VLOOKUP(AG318,Модули_спр,2,FALSE),"R"))</f>
        <v/>
      </c>
      <c r="GL318" t="str">
        <f>IF(GK318="","",GK318&amp;"."&amp;COUNTIFS(A$3:A318,A318,GK$3:GK318,GK318))</f>
        <v/>
      </c>
      <c r="GM318" t="str">
        <f t="shared" si="578"/>
        <v/>
      </c>
      <c r="GN318" t="str">
        <f t="shared" si="579"/>
        <v/>
      </c>
      <c r="GO318" t="str">
        <f t="shared" si="580"/>
        <v/>
      </c>
      <c r="GP318" t="str">
        <f t="shared" si="581"/>
        <v/>
      </c>
      <c r="GQ318">
        <f t="shared" si="582"/>
        <v>1</v>
      </c>
      <c r="GR318" t="str">
        <f>IF(GQ318=1,"XT"&amp;COUNTIFS(A$3:A318,A318,GQ$3:GQ318,1),"")</f>
        <v>XT1</v>
      </c>
      <c r="GS318" t="str">
        <f t="shared" si="583"/>
        <v>XT1</v>
      </c>
      <c r="GT318" t="str">
        <f t="shared" si="584"/>
        <v>QF1</v>
      </c>
      <c r="GU318" t="str">
        <f t="shared" si="585"/>
        <v/>
      </c>
      <c r="GV318" t="str">
        <f t="shared" si="586"/>
        <v>ok</v>
      </c>
      <c r="GW318" t="str">
        <f>IF(OR(GO318="",GM318=""),"",IF(GO318&gt;IFERROR(VLOOKUP(GN318,Модули_спр,3,FALSE),99),"ЛИШНИЙ КАНАЛ",IF(AND(AH318&lt;&gt;"=",COUNTIFS(Линии[_модуль гр.],GM318,Линии[Канал (итог)],GO318,Линии[Канал],"&lt;&gt;=",Линии[Щит],A318)&gt;1),"ДУБЛЬ КАНАЛА","")))</f>
        <v/>
      </c>
      <c r="GX318" s="6" t="str">
        <f t="shared" si="587"/>
        <v/>
      </c>
      <c r="GY318">
        <f t="shared" si="588"/>
        <v>10</v>
      </c>
      <c r="GZ318" t="str">
        <f t="shared" si="589"/>
        <v/>
      </c>
      <c r="HA318" t="str">
        <f>IF(AND(B318="",GT318=""),"",_xlfn.TEXTJOIN("; ",TRUE,IF(AND(B318&lt;&gt;"",FE318=""),"нет фазы",""),IF(AND(B318&lt;&gt;"",N(FY318)=0,EQ318&lt;&gt;"Нет"),"нет мощности",""),IF(AND(GS318&lt;&gt;"",COUNTIFS(Линии[Щит],A318,Линии[Клемма (итог)],GS318)&gt;1),"дубль клеммы "&amp;GS318,""),IF(AND(GV318&lt;&gt;"",GV318&lt;&gt;"ok"),GV318,""),IF(GW318&lt;&gt;"",GW318,""),IF(AND(N(BV318)&gt;=4,N(BR318)=1),BV318&amp;" жил на 1 фазе",""),IF(AND(AX318="R",CA318=1,OR(N(CK318)=0,N(CK318)&gt;30)),"розетка без дифзащиты до 30 мА",""),IFERROR(IF(AND(ISNUMBER(R318),R318&gt;DV318),"потери "&amp;FIXED(R318,1)&amp;" % &gt; "&amp;DV318&amp;" %",""),""),IFERROR(IF(LEFT(GZ318,4)="мало","Iкз мало — отключение &gt; 0,4 с",""),""),IF(AND(B318&lt;&gt;"",BH318=""),"не на схеме",""),IF(AND(CA318=0,B318&lt;&gt;"",FE318&lt;&gt;"",IF(AW318=1,"",FF317)&lt;&gt;"",FE318&lt;&gt;IF(AW318=1,"",FF317)),"фаза не как у автомата группы ("&amp;IF(AW318=1,"",FF317)&amp;")","")))</f>
        <v/>
      </c>
      <c r="HB318" s="6">
        <f>IF(OR(CA318=0,DA318=""),"",_xlfn.LET(_xlpm.t,IFERROR(_xlfn.XLOOKUP(DA318,Каталог!$U$4:$U$500,Каталог!$G$4:$G$500),""),_xlpm.k,SEARCH("кА",_xlpm.t),IFERROR(--TRIM(RIGHT(SUBSTITUTE(MID(_xlpm.t,MAX(1,_xlpm.k-4),_xlpm.k-MAX(1,_xlpm.k-4))," ",REPT(" ",9)),5)),"")))</f>
        <v>6</v>
      </c>
      <c r="HC318" t="str">
        <f>IF(OR(HB318="",CA318=0),"",IF(_xlfn.XLOOKUP(A318,Щиты[Щит],Щиты[Iкз max на шинах, кА],"")="","",IF(HB318&lt;_xlfn.XLOOKUP(A318,Щиты[Щит],Щиты[Iкз max на шинах, кА]),"Icu "&amp;HB318&amp;" кА &lt; Iкз max","ok")))</f>
        <v/>
      </c>
      <c r="HD318" t="str">
        <f t="shared" si="590"/>
        <v/>
      </c>
      <c r="HE318" t="str">
        <f t="shared" si="591"/>
        <v>QF1|XT1</v>
      </c>
      <c r="HF318" t="str">
        <f t="shared" si="592"/>
        <v>QF1|XT1|кабель ВВГнг(А)-LS (3х2,5) → Насос дренажный, пом. 003Т</v>
      </c>
      <c r="HG318" t="str" cm="1">
        <f t="array" ref="HG318">IF(HF318="","",_xlfn.LET(_xlpm.nd,_xlfn.TEXTSPLIT(HF318,"|"),IF(COLUMNS(_xlpm.nd)&gt;1,A318&amp;"¦"&amp;INDEX(_xlpm.nd,1)&amp;"¦"&amp;INDEX(_xlpm.nd,2),"")))</f>
        <v>ЩС-ВК.001¦QF1¦XT1</v>
      </c>
      <c r="HH318" t="str">
        <f t="shared" si="593"/>
        <v>НВК.00.003Т.2¦Насос дренажный, пом. 003Т</v>
      </c>
      <c r="HI318" t="str" cm="1">
        <f t="array" ref="HI318">IF(HF318="","",_xlfn.LET(_xlpm.nd,_xlfn.TEXTSPLIT(HF318,"|"),IF(COLUMNS(_xlpm.nd)&gt;2,A318&amp;"¦"&amp;INDEX(_xlpm.nd,2)&amp;"¦"&amp;INDEX(_xlpm.nd,3),"")))</f>
        <v>ЩС-ВК.001¦XT1¦кабель ВВГнг(А)-LS (3х2,5) → Насос дренажный, пом. 003Т</v>
      </c>
      <c r="HJ318" t="str">
        <f t="shared" si="594"/>
        <v>НВК.00.003Т.2¦Насос дренажный, пом. 003Т</v>
      </c>
      <c r="HK318" t="str" cm="1">
        <f t="array" ref="HK318">IF(HF318="","",_xlfn.LET(_xlpm.nd,_xlfn.TEXTSPLIT(HF318,"|"),IF(COLUMNS(_xlpm.nd)&gt;3,A318&amp;"¦"&amp;INDEX(_xlpm.nd,3)&amp;"¦"&amp;INDEX(_xlpm.nd,4),"")))</f>
        <v/>
      </c>
      <c r="HL318" t="str">
        <f t="shared" si="595"/>
        <v/>
      </c>
      <c r="HM318" t="str" cm="1">
        <f t="array" ref="HM318">IF(HF318="","",_xlfn.LET(_xlpm.nd,_xlfn.TEXTSPLIT(HF318,"|"),IF(COLUMNS(_xlpm.nd)&gt;4,A318&amp;"¦"&amp;INDEX(_xlpm.nd,4)&amp;"¦"&amp;INDEX(_xlpm.nd,5),"")))</f>
        <v/>
      </c>
      <c r="HN318" t="str">
        <f t="shared" si="596"/>
        <v/>
      </c>
      <c r="HO318" t="str" cm="1">
        <f t="array" ref="HO318">IF(HF318="","",_xlfn.LET(_xlpm.nd,_xlfn.TEXTSPLIT(HF318,"|"),IF(COLUMNS(_xlpm.nd)&gt;5,A318&amp;"¦"&amp;INDEX(_xlpm.nd,5)&amp;"¦"&amp;INDEX(_xlpm.nd,6),"")))</f>
        <v/>
      </c>
      <c r="HP318" t="str">
        <f t="shared" si="597"/>
        <v/>
      </c>
      <c r="HQ318" t="str" cm="1">
        <f t="array" ref="HQ318">IF(HF318="","",_xlfn.LET(_xlpm.nd,_xlfn.TEXTSPLIT(HF318,"|"),IF(COLUMNS(_xlpm.nd)&gt;6,A318&amp;"¦"&amp;INDEX(_xlpm.nd,6)&amp;"¦"&amp;INDEX(_xlpm.nd,7),"")))</f>
        <v/>
      </c>
      <c r="HR318" t="str">
        <f t="shared" si="598"/>
        <v/>
      </c>
      <c r="HS318" t="str">
        <f t="shared" si="599"/>
        <v/>
      </c>
      <c r="HT318" t="str">
        <f t="shared" si="600"/>
        <v>QF1 → XT1</v>
      </c>
      <c r="HU318">
        <f t="shared" si="601"/>
        <v>0</v>
      </c>
      <c r="HV318">
        <f t="shared" si="602"/>
        <v>0</v>
      </c>
      <c r="HW318" t="str">
        <f t="shared" si="603"/>
        <v/>
      </c>
      <c r="HX318" t="str">
        <f t="shared" si="604"/>
        <v/>
      </c>
      <c r="HY318" t="str">
        <f t="shared" si="605"/>
        <v/>
      </c>
      <c r="HZ318" t="str">
        <f t="shared" si="606"/>
        <v/>
      </c>
      <c r="IA318">
        <f>IF(B318="","",IFERROR(VLOOKUP(B318,УГО_спр,2,FALSE),IFERROR(VLOOKUP(AX318,УГО_спр,2,FALSE),IFERROR(VLOOKUP(LEFT(AX318,2),УГО_спр,2,FALSE),""))))</f>
        <v>0</v>
      </c>
      <c r="IB318" t="str">
        <f>IF(B318="","",IF(OR(IA318="",IA318=0),"BOX",IFERROR(IF(VLOOKUP(IA318,УГО_блоки,3,FALSE)&amp;""&lt;&gt;"",VLOOKUP(IA318,УГО_блоки,3,FALSE),VLOOKUP(IA318,УГО_блоки,2,FALSE)),IA318)))</f>
        <v>BOX</v>
      </c>
      <c r="IC318">
        <f t="shared" si="607"/>
        <v>1</v>
      </c>
      <c r="ID318" t="str">
        <f>IF(DA318="","",IF(COUNTIF(DA$3:DA318,DA318)=1,MAX(ID$2:ID317)+1,""))</f>
        <v/>
      </c>
      <c r="IE318" t="str">
        <f>IF(CO318="","",IF(COUNTIF(CO$3:CO318,CO318)+COUNTIF(CP$2:CP317,CO318)+COUNTIF(CQ$2:CQ317,CO318)=1,MAX(IE$2:IG317)+1,""))</f>
        <v/>
      </c>
      <c r="IF318" t="str">
        <f>IF(CP318="","",IF(COUNTIF(CO$3:CO318,CP318)+COUNTIF(CP$3:CP318,CP318)+COUNTIF(CQ$2:CQ317,CP318)=1,MAX(IE$2:IG317,IE318)+1,""))</f>
        <v/>
      </c>
      <c r="IG318" t="str">
        <f>IF(CQ318="","",IF(COUNTIF(CO$3:CO318,CQ318)+COUNTIF(CP$3:CP318,CQ318)+COUNTIF(CQ$3:CQ318,CQ318)=1,MAX(IE$2:IG317,IE318,IF318)+1,""))</f>
        <v/>
      </c>
      <c r="IH318" t="str">
        <f t="shared" si="608"/>
        <v>3х2,5</v>
      </c>
      <c r="II318" t="str">
        <f>IF(IH318="","",IF(COUNTIF(IH$3:IH318,IH318)=1,MAX(II$2:II317)+1,""))</f>
        <v/>
      </c>
      <c r="IJ318" t="str">
        <f>IF(GL318="","",COUNTIF(GL$3:GL318,"?*"))</f>
        <v/>
      </c>
      <c r="IK318" t="str">
        <f>IF(OR(GL318="",GN318=""),"",IF(COUNTIFS(GL$3:GL318,"?*",GN$3:GN318,GN318)=1,MAX(IK$2:IK317)+1,""))</f>
        <v/>
      </c>
      <c r="IL318">
        <f t="shared" si="609"/>
        <v>0</v>
      </c>
      <c r="IM318">
        <f>IF(B318="","",COUNTIF(B$3:B318,"?*"))</f>
        <v>316</v>
      </c>
      <c r="IN318">
        <f>IF(GQ318&lt;&gt;1,0,_xlfn.LET(_xlpm.k,MAX(IFERROR(--VLOOKUP(B318,УГО_спр,5,FALSE),0),IFERROR(--VLOOKUP(AX318,УГО_спр,5,FALSE),0),IFERROR(--VLOOKUP(LEFT(AX318,2),УГО_спр,5,FALSE),0)),IF(_xlpm.k&gt;0,_xlpm.k,IF(IFERROR(--LEFT(SUBSTITUTE(IH318,"x","х"),FIND("х",SUBSTITUTE(IH318,"x","х"))-1),3)&gt;3,Каталог!$S$9,1))))</f>
        <v>1</v>
      </c>
      <c r="IO318">
        <f t="shared" si="610"/>
        <v>0</v>
      </c>
      <c r="IP318" t="str">
        <f t="shared" si="611"/>
        <v>авто</v>
      </c>
      <c r="IQ318" t="str">
        <f t="shared" si="612"/>
        <v/>
      </c>
      <c r="IR318">
        <f t="shared" si="613"/>
        <v>0</v>
      </c>
      <c r="IS318">
        <f t="shared" si="614"/>
        <v>1</v>
      </c>
    </row>
    <row r="319" spans="1:253" x14ac:dyDescent="0.3">
      <c r="A319" t="s">
        <v>765</v>
      </c>
      <c r="B319" t="s">
        <v>1581</v>
      </c>
      <c r="C319" t="str">
        <f>Линии[[#This Row],[_авто наименование]]</f>
        <v>Насос дренажный, пом. 003Т</v>
      </c>
      <c r="D319">
        <v>1</v>
      </c>
      <c r="E319">
        <v>0.6</v>
      </c>
      <c r="G319">
        <v>16</v>
      </c>
      <c r="H319" t="str">
        <f>Линии[[#This Row],[_авто утечка]]</f>
        <v/>
      </c>
      <c r="I319" t="str">
        <f>Линии[[#This Row],[_авто управление]]</f>
        <v/>
      </c>
      <c r="J319" t="str">
        <f>Линии[[#This Row],[_авто аппараты]]</f>
        <v/>
      </c>
      <c r="K319">
        <v>2.5</v>
      </c>
      <c r="L319">
        <v>18</v>
      </c>
      <c r="M319">
        <v>1</v>
      </c>
      <c r="N319" t="str">
        <f>Линии[[#This Row],[_авто клемма]]</f>
        <v>XT2</v>
      </c>
      <c r="O319" t="str">
        <f t="shared" si="492"/>
        <v>категория I не обеспечена (есть II)</v>
      </c>
      <c r="P319" s="6" cm="1">
        <f t="array" ref="P319">IF(B319="","",IF(BC319&lt;&gt;"",IFERROR(_xlfn.XLOOKUP(BC319,Щиты[Щит],Щиты[Iр, А]),""),IF(BK319=1,IFERROR(_xlfn.XLOOKUP(A319,Щиты[Щит],Щиты[Iр, А]),""),IFERROR(_xlfn.IFS(BR319=1,BN319/((Uн_лин/SQRT(3))*BY319),BR319=3,BN319/(SQRT(3)*Uн_лин*BY319)),""))))</f>
        <v>3.2475952641916441</v>
      </c>
      <c r="Q319" s="7">
        <f>IF(B319="","",IFERROR(IF(VLOOKUP(AX319,Потребители_обозначение,4,FALSE)=1,VLOOKUP(AX319,Потребители_обозначение,3,FALSE)*(D319*2-1)+DS319+VLOOKUP(AZ319,Этаж_обозначение,3,FALSE)+VLOOKUP(AZ319,Этаж_обозначение,4,FALSE),VLOOKUP(AX319,Потребители_обозначение,3,FALSE)*(D319*2-1)+DS319),DS319))</f>
        <v>21</v>
      </c>
      <c r="R319" s="6">
        <f t="shared" si="493"/>
        <v>2.5499999999999998</v>
      </c>
      <c r="S319" t="str">
        <f t="shared" si="494"/>
        <v>ВВГнг(А)-LS (3х2,5)</v>
      </c>
      <c r="T319" t="str">
        <f>IF(BH319="","",IF(BI319="вводной узел","узел ","")&amp;"л."&amp;(INT((BH319-1)/Столбцов_на_лист)+1)&amp;" / "&amp;(MOD(BH319-1,Столбцов_на_лист)+1))</f>
        <v>л.2 / 2</v>
      </c>
      <c r="V319">
        <v>1</v>
      </c>
      <c r="W319">
        <v>230</v>
      </c>
      <c r="X319" t="s">
        <v>600</v>
      </c>
      <c r="Y319">
        <v>0.5</v>
      </c>
      <c r="AC319" t="s">
        <v>861</v>
      </c>
      <c r="AE319" t="s">
        <v>606</v>
      </c>
      <c r="AI319">
        <v>19</v>
      </c>
      <c r="AJ319" t="s">
        <v>11</v>
      </c>
      <c r="AK319">
        <v>3</v>
      </c>
      <c r="AM319">
        <v>9</v>
      </c>
      <c r="AN319">
        <v>9</v>
      </c>
      <c r="AO319">
        <v>0</v>
      </c>
      <c r="AP319">
        <v>1</v>
      </c>
      <c r="AW319" cm="1">
        <f t="array" ref="AW319">ROW()-ROW(Линии[#Headers])</f>
        <v>317</v>
      </c>
      <c r="AX319" s="6" t="str">
        <f t="shared" si="495"/>
        <v>НВК</v>
      </c>
      <c r="AY319" t="str">
        <f t="shared" si="496"/>
        <v>00.003Т.1</v>
      </c>
      <c r="AZ319" t="str">
        <f t="shared" si="497"/>
        <v>00</v>
      </c>
      <c r="BA319" t="str">
        <f t="shared" si="498"/>
        <v>003Т.1</v>
      </c>
      <c r="BB319" t="str">
        <f t="shared" si="499"/>
        <v>003Т</v>
      </c>
      <c r="BC319" t="str">
        <f>IF(U319&lt;&gt;"",U319,IF(AND(B319&lt;&gt;"",B319&lt;&gt;A319,ISNUMBER(_xlfn.XMATCH(B319,Щиты[Щит]))),B319,""))</f>
        <v/>
      </c>
      <c r="BD319" t="str" cm="1">
        <f t="array" ref="BD319">IF(B319="","",IF(BC319&lt;&gt;"","Щит "&amp;BC319,_xlfn.LET(_xlpm.nm,IFERROR(_xlfn.XLOOKUP(AX319,Коды_код,Коды_имя)&amp;"",""),_xlpm.md,IFERROR(N(_xlfn.XLOOKUP(AX319,Коды_код,Коды_режим)),1),_xlpm.ex,IF(Имя_режим="по экспликации",IFERROR(_xlfn.XLOOKUP(AZ319&amp;"|"&amp;BB319,Экспликация[Этаж]&amp;"|"&amp;Экспликация[Помещение],Экспликация[Название])&amp;"",""),""),_xlpm.rm,IF(BB319="","",IF(_xlpm.ex&lt;&gt;"",". "&amp;_xlpm.ex&amp;IF(Имя_пом="нет"," ("&amp;BB319&amp;")"," (пом. "&amp;BB319&amp;")"),IF(Имя_пом="нет"," ",", пом. ")&amp;BB319)),IF(_xlpm.nm="","",IF(_xlpm.md=2,_xlpm.nm&amp;" шлейф "&amp;AZ319,_xlpm.nm&amp;_xlpm.rm)))))</f>
        <v>Насос дренажный, пом. 003Т</v>
      </c>
      <c r="BE319" t="str">
        <f t="shared" si="500"/>
        <v>Насос дренажный, пом. 003Т</v>
      </c>
      <c r="BF319">
        <f>IFERROR(_xlfn.XMATCH(A319,Щиты[Щит]),0)</f>
        <v>13</v>
      </c>
      <c r="BG319">
        <f>_xlfn.LET(_xlpm.k,IFERROR(_xlfn.XLOOKUP(A319,Щиты[Щит],Щиты[Листов под вводной узел]),""),IF(_xlpm.k="",1,N(_xlpm.k))*Столбцов_на_лист)</f>
        <v>17</v>
      </c>
      <c r="BH319">
        <f t="shared" si="501"/>
        <v>19</v>
      </c>
      <c r="BI319" t="str">
        <f t="shared" si="502"/>
        <v>линии</v>
      </c>
      <c r="BJ319" s="6">
        <f>IFERROR(N(_xlfn.XLOOKUP(AX319,Коды_код,Коды_квт)),0)</f>
        <v>0</v>
      </c>
      <c r="BK319">
        <f t="shared" si="503"/>
        <v>0</v>
      </c>
      <c r="BL319" t="str">
        <f>IF(B319="","",IF(BC319&lt;&gt;"",IFERROR(_xlfn.XLOOKUP(BC319,Щиты[Щит],Щиты[Руст, кВт]),0),IF(BK319=1,IFERROR(_xlfn.XLOOKUP(A319,Щиты[Щит],Щиты[Руст, кВт]),0),IF(BJ319&gt;0,ROUND(BJ319*MAX(1,N(D319)),3),""))))</f>
        <v/>
      </c>
      <c r="BM319">
        <f t="shared" si="504"/>
        <v>0.6</v>
      </c>
      <c r="BN319" s="6">
        <f>IF(B319="","",IF(BC319&lt;&gt;"",IFERROR(_xlfn.XLOOKUP(BC319,Щиты[Щит],Щиты[Руст, кВт]),0),N(BM319)))</f>
        <v>0.6</v>
      </c>
      <c r="BO319" t="str">
        <f>IF(B319="","",IFERROR(IF(VLOOKUP(AX319,Потребители_обозначение,8,FALSE)=0,"",VLOOKUP(AX319,Потребители_обозначение,8,FALSE)),""))</f>
        <v/>
      </c>
      <c r="BP319">
        <f t="shared" si="505"/>
        <v>230</v>
      </c>
      <c r="BQ319">
        <f>IF(B319="","",IF(BC319&lt;&gt;"",3,IFERROR(IF(N(VLOOKUP(AX319,Потребители_обозначение,9,FALSE))=0,1,VLOOKUP(AX319,Потребители_обозначение,9,FALSE)),1)))</f>
        <v>1</v>
      </c>
      <c r="BR319">
        <f t="shared" si="506"/>
        <v>1</v>
      </c>
      <c r="BS319" t="str">
        <f>IF(B319="","",_xlfn.LET(_xlpm.bc,IFERROR(IF(VLOOKUP(AX319,Потребители_обозначение,6,FALSE)=0,"",VLOOKUP(AX319,Потребители_обозначение,6,FALSE)&amp;""),""),IF(AND(FK319="да",OR(_xlpm.bc="",_xlpm.bc="мс")),Марка_пож,IF(AND(_xlpm.bc="",BC319&lt;&gt;""),"мс",_xlpm.bc))))</f>
        <v/>
      </c>
      <c r="BT319" t="str">
        <f t="shared" si="507"/>
        <v>мс</v>
      </c>
      <c r="BU319">
        <f>IF(B319="","",_xlfn.LET(_xlpm.cc,IFERROR(N(VLOOKUP(AX319,Потребители_обозначение,7,FALSE)),0),IF(_xlpm.cc&gt;0,_xlpm.cc,IF(BT319="","",IF(N(BR319)=3,5,3)))))</f>
        <v>3</v>
      </c>
      <c r="BV319">
        <f t="shared" si="508"/>
        <v>3</v>
      </c>
      <c r="BW319">
        <f>IFERROR(N(VLOOKUP(AX319,Потребители_обозначение,10,FALSE)),0)</f>
        <v>0</v>
      </c>
      <c r="BX319">
        <f>IFERROR(VLOOKUP(AX319,Потребители_обозначение,5,FALSE),0)</f>
        <v>1</v>
      </c>
      <c r="BY319" s="6" cm="1">
        <f t="array" ref="BY319">IF(B319="","",IF(BC319&lt;&gt;"",IFERROR(_xlfn.XLOOKUP(BC319,Щиты[Щит],Щиты[cos φ]),0.95),IF(BK319=1,IFERROR(_xlfn.XLOOKUP(A319,Щиты[Щит],Щиты[cos φ]),0.95),IF(ISNUMBER(Z319),Z319,IFERROR(IF(BX319=2,_xlfn.IFS(BR319=3,VLOOKUP(BN319,Справочная_двигатели,8,FALSE),BR319=1,VLOOKUP(BN319,Справочная_двигатели,10,TRUE)),IF(AND(Методика="нормы 2026",EQ319="Сил"),0.8,0.95)),0.95)))))</f>
        <v>0.8</v>
      </c>
      <c r="BZ319">
        <f t="shared" si="509"/>
        <v>0</v>
      </c>
      <c r="CA319">
        <f t="shared" si="510"/>
        <v>1</v>
      </c>
      <c r="CB319">
        <f t="shared" si="511"/>
        <v>0</v>
      </c>
      <c r="CC319">
        <f t="shared" si="512"/>
        <v>0</v>
      </c>
      <c r="CD319">
        <f t="shared" si="513"/>
        <v>0</v>
      </c>
      <c r="CE319">
        <f t="shared" si="514"/>
        <v>0</v>
      </c>
      <c r="CF319">
        <f t="shared" si="515"/>
        <v>0</v>
      </c>
      <c r="CG319">
        <f>IF(AX319="",0,_xlfn.LET(_xlpm.v,IFERROR(VLOOKUP(B319,УГО_спр,3,FALSE),IFERROR(VLOOKUP(AX319,УГО_спр,3,FALSE),IFERROR(VLOOKUP(LEFT(AX319,2),УГО_спр,3,FALSE),""))),IF(_xlpm.v="да",30,IF(ISNUMBER(_xlpm.v),_xlpm.v,0))))</f>
        <v>0</v>
      </c>
      <c r="CH319" t="str">
        <f t="shared" si="516"/>
        <v/>
      </c>
      <c r="CI319" t="str">
        <f>_xlfn.LET(_xlpm.k,IFERROR(_xlfn.XLOOKUP(AX319,Коды_код,Коды_утечка)&amp;"",""),IF(_xlpm.k="","дифавтомат",_xlpm.k))</f>
        <v>дифавтомат</v>
      </c>
      <c r="CJ319">
        <f t="shared" si="517"/>
        <v>0</v>
      </c>
      <c r="CK319">
        <f t="shared" si="518"/>
        <v>0</v>
      </c>
      <c r="CL319">
        <f>IF(B319="",0,IFERROR(--VLOOKUP(B319,УГО_спр,4,FALSE),IFERROR(--VLOOKUP(AX319,УГО_спр,4,FALSE),IFERROR(--VLOOKUP(LEFT(AX319,2),УГО_спр,4,FALSE),0))))</f>
        <v>0</v>
      </c>
      <c r="CM319" t="str">
        <f>IF(B319="","",IFERROR(_xlfn.XLOOKUP(AX319,Коды_код,Коды_апп)&amp;"",""))</f>
        <v/>
      </c>
      <c r="CN319" t="str">
        <f t="shared" si="519"/>
        <v/>
      </c>
      <c r="CO319" t="str" cm="1">
        <f t="array" ref="CO319">IF(TRIM(CN319&amp;"")="","",IFERROR(TRIM(INDEX(_xlfn.TEXTSPLIT(CN319&amp;";;;",";"),1)),""))</f>
        <v/>
      </c>
      <c r="CP319" t="str" cm="1">
        <f t="array" ref="CP319">IF(TRIM(CN319&amp;"")="","",IFERROR(TRIM(INDEX(_xlfn.TEXTSPLIT(CN319&amp;";;;",";"),2)),""))</f>
        <v/>
      </c>
      <c r="CQ319" t="str" cm="1">
        <f t="array" ref="CQ319">IF(TRIM(CN319&amp;"")="","",IFERROR(TRIM(INDEX(_xlfn.TEXTSPLIT(CN319&amp;";;;",";"),3)),""))</f>
        <v/>
      </c>
      <c r="CR319">
        <f t="shared" si="520"/>
        <v>0</v>
      </c>
      <c r="CS319" t="str">
        <f>IF(B319="","",_xlfn.LET(_xlpm.t,LOWER(AV319&amp;""),IF(ISNUMBER(SEARCH("dim",_xlpm.t)),"DIM",IF(ISNUMBER(SEARCH("dali",_xlpm.t)),"DALI",IF(OR(ISNUMBER(SEARCH("relay",_xlpm.t)),ISNUMBER(SEARCH("реле",_xlpm.t))),"Relay",IF(ISNUMBER(SEARCH("кнопк",_xlpm.t)),"",IFERROR(_xlfn.XLOOKUP(AX319,Коды_код,Коды_упр)&amp;"","")))))))</f>
        <v/>
      </c>
      <c r="CT319" t="str">
        <f t="shared" si="521"/>
        <v/>
      </c>
      <c r="CU319">
        <f>IF(B319="","",_xlfn.LET(_xlpm.ig,N(P319)+IF(AF319="вручную",0,N(CB319)),_xlpm.n0,IFERROR(VLOOKUP(_xlpm.ig,Автомат_номиналы,2,TRUE),0),_xlpm.mn,MAX(CL319,IF(AF319="вручную",0,N(CE319))),MAX(_xlpm.n0,_xlpm.mn,IF(CR319=1,Мин_автомат_БП,0))))</f>
        <v>6</v>
      </c>
      <c r="CV319">
        <f t="shared" si="522"/>
        <v>1</v>
      </c>
      <c r="CW319" t="str">
        <f t="shared" si="523"/>
        <v>1P</v>
      </c>
      <c r="CX319" t="str">
        <f>_xlfn.LET(_xlpm.cc,UPPER(TRIM(IFERROR(_xlfn.XLOOKUP(AX319,Коды_код,Коды_хар)&amp;"",""))),IF(OR(_xlpm.cc="B",_xlpm.cc="В"),"B",IF(_xlpm.cc="D","D","С")))</f>
        <v>С</v>
      </c>
      <c r="CY319" t="str">
        <f t="shared" si="524"/>
        <v>1P С6А</v>
      </c>
      <c r="CZ319">
        <f t="shared" si="525"/>
        <v>16</v>
      </c>
      <c r="DA319" t="str">
        <f t="shared" si="526"/>
        <v>1P С16А</v>
      </c>
      <c r="DB319" cm="1">
        <f t="array" ref="DB319">IF(DA319="","",_xlfn.LET(_xlpm.t,SUBSTITUTE(SUBSTITUTE(SUBSTITUTE(UPPER(DA319),"С","C"),"А","A"),"В","B"),_xlpm.tk,_xlfn.TEXTSPLIT(_xlpm.t,"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9" t="str">
        <f t="shared" si="527"/>
        <v>ok</v>
      </c>
      <c r="DD319">
        <f t="shared" si="528"/>
        <v>16</v>
      </c>
      <c r="DE319" t="str">
        <f t="shared" si="529"/>
        <v>1P С16А</v>
      </c>
      <c r="DF319">
        <f t="shared" si="530"/>
        <v>0</v>
      </c>
      <c r="DG319">
        <f t="shared" si="531"/>
        <v>0</v>
      </c>
      <c r="DH319">
        <f t="shared" si="532"/>
        <v>0</v>
      </c>
      <c r="DI319">
        <f t="shared" si="533"/>
        <v>3.2475952641916441</v>
      </c>
      <c r="DJ319">
        <f t="shared" si="534"/>
        <v>1</v>
      </c>
      <c r="DK319">
        <f>IF(ISNUMBER(AL319),AL319,К_прокл)</f>
        <v>1</v>
      </c>
      <c r="DL319">
        <f t="shared" si="535"/>
        <v>2</v>
      </c>
      <c r="DM319">
        <f>IFERROR(N(VLOOKUP(BT319,Кабель_обозначение,3,FALSE)),1)</f>
        <v>1</v>
      </c>
      <c r="DN319">
        <f>IFERROR(N(_xlfn.XLOOKUP(A319,Щиты[Щит],Щиты[ΔU до шин, %])),0)</f>
        <v>2.1199999999999997</v>
      </c>
      <c r="DO319" t="str">
        <f>IFERROR(_xlfn.XLOOKUP(A319,Щиты[Щит],Щиты[Zпетли на шинах, Ом]),"")</f>
        <v/>
      </c>
      <c r="DP319">
        <f>IFERROR(N(_xlfn.XLOOKUP(A319,Щиты[Щит],Щиты[ΔU до шин (подбор), %])),0)</f>
        <v>3.3699999999999997</v>
      </c>
      <c r="DQ319" t="str">
        <f>IFERROR(_xlfn.XLOOKUP(A319,Щиты[Щит],Щиты[Zпетли на шинах (подбор), Ом]),"")</f>
        <v/>
      </c>
      <c r="DR319" t="str">
        <f t="shared" si="536"/>
        <v/>
      </c>
      <c r="DS319">
        <f t="shared" si="537"/>
        <v>18</v>
      </c>
      <c r="DT319">
        <f t="shared" si="538"/>
        <v>2</v>
      </c>
      <c r="DU319">
        <f t="shared" si="539"/>
        <v>0.6</v>
      </c>
      <c r="DV319" s="6">
        <f>IF(B319="","",IF(IFERROR(VLOOKUP(AX319,УГО_спр,2,FALSE),"")="Светильник",3,4)+IF(Методика="нормы 2026",MIN(0.5,MAX(0,N(Q319)-100)*0.005),0))</f>
        <v>4</v>
      </c>
      <c r="DW319" cm="1">
        <f t="array" ref="DW319">IF(OR(B319="",BT319="",DM319&lt;&gt;1),"",_xlfn.LET(_xlpm.sz,Iдоп_S,_xlpm.t_,CHOOSE(DL319,Iдоп_1ж,Iдоп_2ж,Iдоп_3ж)*DJ319*DK319,_xlpm.inn,N(DD319),_xlpm.smin,MAX(1.5,BW319),_xlpm.L_,N(Q319)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319)*(_xlpm.rho*_xlpm.L_/_xlpm.sz*N(BY319)+_xlpm.xx*_xlpm.L_*N(DU319)/1000)*N(P319)/((Uн_лин/SQRT(3))*1000)*100,999),_xlpm.kz,IF(OR(DG319=1,NOT(ISNUMBER(DQ319)),_xlpm.L_=0,_xlpm.inn=0),1,IFERROR(--(c_min*(Uн_лин*1000/SQRT(3))/(DQ319+2*ρкз_Cu*_xlpm.L_/_xlpm.sz)&gt;=GY319*_xlpm.inn),0)),_xlpm.ok,IFERROR((_xlpm.sz&gt;=_xlpm.smin)*(_xlpm.t_&gt;=_xlpm.inn)*IF(_xlpm.L_&gt;0,(_xlpm.du_+DP319&lt;=DV319+0.00001),1)*_xlpm.kz,0),_xlpm.r_,_xlfn._xlws.FILTER(_xlpm.sz,_xlpm.ok,"не подобрано"),INDEX(_xlpm.r_,1)))</f>
        <v>2.5</v>
      </c>
      <c r="DX319">
        <f t="shared" si="540"/>
        <v>2.5</v>
      </c>
      <c r="DY319" cm="1">
        <f t="array" ref="DY319">IF(OR(B319="",BT319="",DM319&lt;&gt;1),"",_xlfn.LET(_xlpm.sz,Iдоп_S,_xlpm.t_,CHOOSE(DL319,Iдоп_1ж,Iдоп_2ж,Iдоп_3ж)*DJ319*DK319,_xlpm.ok,IFERROR((_xlpm.sz&gt;=MAX(1.5,BW319))*(_xlpm.t_&gt;=N(DD319)),0),_xlpm.r_,_xlfn._xlws.FILTER(_xlpm.sz,_xlpm.ok,""),INDEX(_xlpm.r_,1)))</f>
        <v>1.5</v>
      </c>
      <c r="DZ319" s="6" cm="1">
        <f t="array" ref="DZ319">IFERROR(ROUNDUP(N(DT319)*(_xlfn.XLOOKUP(DY319,INDEX(Кабель_сопротивление,0,1),INDEX(Кабель_сопротивление,0,3))*N(Q319)/DY319*N(BY319)+_xlfn.XLOOKUP(DY319,INDEX(Кабель_сопротивление,0,1),INDEX(Кабель_сопротивление,0,2))*N(Q319)*N(DU319)/1000)*N(P319)/((Uн_лин/SQRT(3))*1000)*100,2),"")</f>
        <v>0.72</v>
      </c>
      <c r="EA319">
        <f>IFERROR(2*ρкз_Cu*N(Q319)/DY319,"")</f>
        <v>0.73640000000000005</v>
      </c>
      <c r="EB319">
        <f>IFERROR(VLOOKUP(DX319,Кабель_сопротивление,3,FALSE),"")</f>
        <v>2.2499999999999999E-2</v>
      </c>
      <c r="EC319">
        <f>IFERROR(VLOOKUP(DX319,Кабель_сопротивление,2,FALSE),"")</f>
        <v>0.1</v>
      </c>
      <c r="ED319">
        <f t="shared" si="541"/>
        <v>9</v>
      </c>
      <c r="EE319">
        <f t="shared" si="542"/>
        <v>0</v>
      </c>
      <c r="EF319">
        <f t="shared" si="543"/>
        <v>0.99025674795731622</v>
      </c>
      <c r="EG319" s="6">
        <f>IFERROR(ROUNDUP(EF319/((Uн_лин/SQRT(3))*1000)*100,2),"")</f>
        <v>0.43</v>
      </c>
      <c r="EH319" t="str">
        <f>IFERROR(VLOOKUP(BT319,Кабель_обозначение,2,FALSE),"")</f>
        <v>ВВГнг(А)-LS</v>
      </c>
      <c r="EI319" t="str">
        <f t="shared" si="544"/>
        <v>ВВГнг(А)-LS (3х2,5)</v>
      </c>
      <c r="EJ319" t="str">
        <f t="shared" si="545"/>
        <v>ВВГнг(А)-LS (3х2,5)
L=21-0,43%</v>
      </c>
      <c r="EK319">
        <f>IFERROR(2*ρкз_Cu*Q319/DX319,"")</f>
        <v>0.44184000000000001</v>
      </c>
      <c r="EL319">
        <f t="shared" si="546"/>
        <v>0.14700000000000002</v>
      </c>
      <c r="EM319" s="6" t="str">
        <f>IFERROR(IF(OR(B319="",NOT(ISNUMBER(DX319)),N(Q319)=0),"",_xlfn.XLOOKUP(A319,Щиты[Щит],Щиты[Zпетли на шинах, Ом])+EK319),"")</f>
        <v/>
      </c>
      <c r="EN319" s="6" t="str">
        <f>IF(ISNUMBER(EM319),c_min*(Uн_лин*1000/SQRT(3))/EM319,"")</f>
        <v/>
      </c>
      <c r="EO319" s="6" t="str">
        <f>IFERROR(IF(OR(B319="",NOT(ISNUMBER(DX319))),"",1.05*(Uн_лин*1000/SQRT(3))/(_xlfn.XLOOKUP(A319,Щиты[Щит],Щиты[Zmax на шинах, Ом])+EL319)/1000),"")</f>
        <v/>
      </c>
      <c r="EP319" s="6" t="str">
        <f>IF(B319="","",IF(ISNUMBER(Y319),"Сил",IF(IFERROR(_xlfn.XLOOKUP(AX319,Коды_код,Коды_группа)&amp;"","")="","Быт",_xlfn.XLOOKUP(AX319,Коды_код,Коды_группа)&amp;"")))</f>
        <v>Сил</v>
      </c>
      <c r="EQ319" s="6" t="str">
        <f t="shared" si="547"/>
        <v>Сил</v>
      </c>
      <c r="ER319" s="6">
        <f>IF(EQ319="Щит","щит",IF(EQ319="","",IF(EQ319="Быт",IFERROR(_xlfn.XLOOKUP(A319,Щиты[Щит],Щиты[Кс быт]),1),IF(EQ319="Сил",IF(ISNUMBER(Y319),Y319,IF(Методика="нормы 2026",IFERROR(_xlfn.XLOOKUP(A319,Щиты[Щит],Щиты[Кс силовых (табл. 7.5)]),1),1)),IF(OR(EQ319="Пост",EQ319="Отоп"),1,IF(EQ319="ВНГ",0.7,0))))))</f>
        <v>0.5</v>
      </c>
      <c r="ES319">
        <f t="shared" si="548"/>
        <v>1</v>
      </c>
      <c r="ET319">
        <f t="shared" si="549"/>
        <v>0.6</v>
      </c>
      <c r="EU319">
        <f t="shared" si="550"/>
        <v>0</v>
      </c>
      <c r="EV319">
        <f t="shared" si="551"/>
        <v>0.3</v>
      </c>
      <c r="EW319">
        <f t="shared" si="552"/>
        <v>0</v>
      </c>
      <c r="EX319">
        <f t="shared" si="553"/>
        <v>0</v>
      </c>
      <c r="EY319">
        <f t="shared" si="554"/>
        <v>0</v>
      </c>
      <c r="EZ319">
        <f t="shared" si="555"/>
        <v>0.6</v>
      </c>
      <c r="FA319">
        <f t="shared" si="556"/>
        <v>0.48</v>
      </c>
      <c r="FB319">
        <f t="shared" si="557"/>
        <v>0.6</v>
      </c>
      <c r="FC319" t="str">
        <f t="shared" si="558"/>
        <v>L1</v>
      </c>
      <c r="FD319" t="str">
        <f>IF(B319="","",IF(CA319=0,IF(AW319=1,"",FF318),IF(OR(N(CV319)&gt;=3,N(BR319)&gt;=3),"L1,L2,L3",IFERROR(_xlfn.TEXTBEFORE(_xlfn.TEXTAFTER(_xlfn.XLOOKUP(A319,Щиты[Щит],Щиты[_фазы авто]),";"&amp;AW319&amp;":"),";"),"L1"))))</f>
        <v>L1</v>
      </c>
      <c r="FE319" t="str">
        <f t="shared" si="559"/>
        <v>L1</v>
      </c>
      <c r="FF319" t="str">
        <f t="shared" si="560"/>
        <v>L1</v>
      </c>
      <c r="FG319" cm="1">
        <f t="array" ref="FG319">IFERROR(IF(BX319=2,_xlfn.IFS(BR319=3,VLOOKUP(BN319,Справочная_двигатели,3,FALSE),BR319=1,VLOOKUP(BN319,Справочная_двигатели,5,TRUE)),0),0)</f>
        <v>0</v>
      </c>
      <c r="FH319">
        <f>IFERROR(IF(BX319=3,VLOOKUP(BN319,Справочная_ЛЭД,2,TRUE),0),0)</f>
        <v>0</v>
      </c>
      <c r="FI319" s="6">
        <f t="shared" si="561"/>
        <v>0</v>
      </c>
      <c r="FJ319" t="str" cm="1">
        <f t="array" ref="FJ319">IF(B319="","",IFERROR(INDEX({"I особая","I","II","III"},MATCH(TRIM(AC319&amp;""),{"I особая","I","II","III"},0)),"III"))</f>
        <v>I</v>
      </c>
      <c r="FK319" t="str">
        <f>IF(B319="","",IF(TRIM(AD319&amp;"")&lt;&gt;"",IF(LOWER(TRIM(AD319&amp;""))="да","да","нет"),IF(IFERROR(_xlfn.XLOOKUP(AX319,Коды_код,Коды_пожарная),"")="да","да","нет")))</f>
        <v>нет</v>
      </c>
      <c r="FL319" t="str">
        <f t="shared" si="562"/>
        <v/>
      </c>
      <c r="FM319" t="str">
        <f t="shared" si="563"/>
        <v>основная</v>
      </c>
      <c r="FN319">
        <f t="shared" si="564"/>
        <v>1</v>
      </c>
      <c r="FO319" t="str" cm="1">
        <f t="array" ref="FO319">IF(B319="","",_xlfn.LET(_xlpm.t,IFERROR(_xlfn.XLOOKUP(1,(Шины[Шина]=FM319)*(((Шины[Щит]=A319)+(Шины[Щит]=""))&gt;0),Шины[Тип]),"")&amp;"",IF(_xlpm.t&lt;&gt;"",_xlpm.t,IF(ISNUMBER(SEARCH("ИБП",FM319)),"ИБП",IF(ISNUMBER(SEARCH("ДГУ",FM319)),"ДГУ","Ввод "&amp;FN319)))))</f>
        <v>Ввод 1</v>
      </c>
      <c r="FP319" t="str">
        <f t="shared" si="565"/>
        <v>Ввод 1</v>
      </c>
      <c r="FQ319" t="str">
        <f>IF(B319="","",IF(OR(FO319="ИБП",FO319="ДГУ"),"I особая",IF(FO319="Одиночная","III",_xlfn.XLOOKUP(A319,Щиты[Щит],Щиты[Категория шины «Ввод»],"III"))))</f>
        <v>II</v>
      </c>
      <c r="FR319">
        <f>IF(B319="",0,IFERROR(MATCH(FJ319,{"III","II","I","I особая"},0),1))</f>
        <v>3</v>
      </c>
      <c r="FS319">
        <f t="shared" si="566"/>
        <v>3</v>
      </c>
      <c r="FT319" t="str">
        <f>IF(B319="","",IF(FR319&gt;IFERROR(MATCH(FQ319,{"III","II","I","I особая"},0),1),"НЕ ОБЕСПЕЧЕНА","ОК"))</f>
        <v>НЕ ОБЕСПЕЧЕНА</v>
      </c>
      <c r="FU319" t="str">
        <f>IF(A319="","",_xlfn.XLOOKUP(A319,Щиты[Щит],Щиты[Путь],""))</f>
        <v>|ГРЩ-ЖД|ЩС-ВК.001|</v>
      </c>
      <c r="FV319" t="str">
        <f>IF(B319="","",IF(AE319&lt;&gt;"",AE319,IF(IFERROR(_xlfn.XLOOKUP(AX319,Коды_код,Коды_вид)&amp;"","")="","Прочее",_xlfn.XLOOKUP(AX319,Коды_код,Коды_вид)&amp;"")))</f>
        <v>Насосы (водоснабжение, дренаж)</v>
      </c>
      <c r="FW319">
        <f>IF(BH319="","",INT((BH319-1)/Столбцов_на_лист)+1)</f>
        <v>2</v>
      </c>
      <c r="FX319" t="str">
        <f t="shared" si="567"/>
        <v>ВВГнг(А)-LS (3х2,5) L=21-0,43%</v>
      </c>
      <c r="FY319">
        <f t="shared" si="568"/>
        <v>0.6</v>
      </c>
      <c r="FZ319">
        <f t="shared" si="569"/>
        <v>3.25</v>
      </c>
      <c r="GA319">
        <f t="shared" si="570"/>
        <v>1</v>
      </c>
      <c r="GB319">
        <f t="shared" si="571"/>
        <v>0</v>
      </c>
      <c r="GC319">
        <f t="shared" si="572"/>
        <v>1</v>
      </c>
      <c r="GD319">
        <f>IF(BH319="","",IF(AND(CA319=1,GC319=1),COUNTIFS(A$3:A319,A319,CA$3:CA319,1,GC$3:GC319,1),IF(OR(OR(AW319=1,A319&lt;&gt;A318),AF319="вручную",GC319=0),"",IF(AW319=1,"",GE318))))</f>
        <v>2</v>
      </c>
      <c r="GE319">
        <f t="shared" si="573"/>
        <v>2</v>
      </c>
      <c r="GF319">
        <f>IF(B319="","",IFERROR(LOOKUP(INDEX(CHOOSE(DL319,Iдоп_1ж,Iдоп_2ж,Iдоп_3ж),MATCH(DX319,Iдоп_S,0))*DJ319*DK319,{6,10,16,20,25,32,40,50,63,80,100,125,160,200,250,315,400,500,630}),""))</f>
        <v>25</v>
      </c>
      <c r="GG319" t="str">
        <f t="shared" si="574"/>
        <v>QF2</v>
      </c>
      <c r="GH319" t="str">
        <f t="shared" si="575"/>
        <v>QF2</v>
      </c>
      <c r="GI319" t="str">
        <f t="shared" si="576"/>
        <v/>
      </c>
      <c r="GJ319">
        <f t="shared" si="577"/>
        <v>0</v>
      </c>
      <c r="GK319" t="str">
        <f>IF(OR(AG319="",AG319="-"),"",IFERROR(VLOOKUP(AG319,Модули_спр,2,FALSE),"R"))</f>
        <v/>
      </c>
      <c r="GL319" t="str">
        <f>IF(GK319="","",GK319&amp;"."&amp;COUNTIFS(A$3:A319,A319,GK$3:GK319,GK319))</f>
        <v/>
      </c>
      <c r="GM319" t="str">
        <f t="shared" si="578"/>
        <v/>
      </c>
      <c r="GN319" t="str">
        <f t="shared" si="579"/>
        <v/>
      </c>
      <c r="GO319" t="str">
        <f t="shared" si="580"/>
        <v/>
      </c>
      <c r="GP319" t="str">
        <f t="shared" si="581"/>
        <v/>
      </c>
      <c r="GQ319">
        <f t="shared" si="582"/>
        <v>1</v>
      </c>
      <c r="GR319" t="str">
        <f>IF(GQ319=1,"XT"&amp;COUNTIFS(A$3:A319,A319,GQ$3:GQ319,1),"")</f>
        <v>XT2</v>
      </c>
      <c r="GS319" t="str">
        <f t="shared" si="583"/>
        <v>XT2</v>
      </c>
      <c r="GT319" t="str">
        <f t="shared" si="584"/>
        <v>QF2</v>
      </c>
      <c r="GU319" t="str">
        <f t="shared" si="585"/>
        <v/>
      </c>
      <c r="GV319" t="str">
        <f t="shared" si="586"/>
        <v>ok</v>
      </c>
      <c r="GW319" t="str">
        <f>IF(OR(GO319="",GM319=""),"",IF(GO319&gt;IFERROR(VLOOKUP(GN319,Модули_спр,3,FALSE),99),"ЛИШНИЙ КАНАЛ",IF(AND(AH319&lt;&gt;"=",COUNTIFS(Линии[_модуль гр.],GM319,Линии[Канал (итог)],GO319,Линии[Канал],"&lt;&gt;=",Линии[Щит],A319)&gt;1),"ДУБЛЬ КАНАЛА","")))</f>
        <v/>
      </c>
      <c r="GX319" s="6" t="str">
        <f t="shared" si="587"/>
        <v/>
      </c>
      <c r="GY319">
        <f t="shared" si="588"/>
        <v>10</v>
      </c>
      <c r="GZ319" t="str">
        <f t="shared" si="589"/>
        <v/>
      </c>
      <c r="HA319" t="str">
        <f>IF(AND(B319="",GT319=""),"",_xlfn.TEXTJOIN("; ",TRUE,IF(AND(B319&lt;&gt;"",FE319=""),"нет фазы",""),IF(AND(B319&lt;&gt;"",N(FY319)=0,EQ319&lt;&gt;"Нет"),"нет мощности",""),IF(AND(GS319&lt;&gt;"",COUNTIFS(Линии[Щит],A319,Линии[Клемма (итог)],GS319)&gt;1),"дубль клеммы "&amp;GS319,""),IF(AND(GV319&lt;&gt;"",GV319&lt;&gt;"ok"),GV319,""),IF(GW319&lt;&gt;"",GW319,""),IF(AND(N(BV319)&gt;=4,N(BR319)=1),BV319&amp;" жил на 1 фазе",""),IF(AND(AX319="R",CA319=1,OR(N(CK319)=0,N(CK319)&gt;30)),"розетка без дифзащиты до 30 мА",""),IFERROR(IF(AND(ISNUMBER(R319),R319&gt;DV319),"потери "&amp;FIXED(R319,1)&amp;" % &gt; "&amp;DV319&amp;" %",""),""),IFERROR(IF(LEFT(GZ319,4)="мало","Iкз мало — отключение &gt; 0,4 с",""),""),IF(AND(B319&lt;&gt;"",BH319=""),"не на схеме",""),IF(AND(CA319=0,B319&lt;&gt;"",FE319&lt;&gt;"",IF(AW319=1,"",FF318)&lt;&gt;"",FE319&lt;&gt;IF(AW319=1,"",FF318)),"фаза не как у автомата группы ("&amp;IF(AW319=1,"",FF318)&amp;")","")))</f>
        <v/>
      </c>
      <c r="HB319" s="6">
        <f>IF(OR(CA319=0,DA319=""),"",_xlfn.LET(_xlpm.t,IFERROR(_xlfn.XLOOKUP(DA319,Каталог!$U$4:$U$500,Каталог!$G$4:$G$500),""),_xlpm.k,SEARCH("кА",_xlpm.t),IFERROR(--TRIM(RIGHT(SUBSTITUTE(MID(_xlpm.t,MAX(1,_xlpm.k-4),_xlpm.k-MAX(1,_xlpm.k-4))," ",REPT(" ",9)),5)),"")))</f>
        <v>6</v>
      </c>
      <c r="HC319" t="str">
        <f>IF(OR(HB319="",CA319=0),"",IF(_xlfn.XLOOKUP(A319,Щиты[Щит],Щиты[Iкз max на шинах, кА],"")="","",IF(HB319&lt;_xlfn.XLOOKUP(A319,Щиты[Щит],Щиты[Iкз max на шинах, кА]),"Icu "&amp;HB319&amp;" кА &lt; Iкз max","ok")))</f>
        <v/>
      </c>
      <c r="HD319" t="str">
        <f t="shared" si="590"/>
        <v/>
      </c>
      <c r="HE319" t="str">
        <f t="shared" si="591"/>
        <v>QF2|XT2</v>
      </c>
      <c r="HF319" t="str">
        <f t="shared" si="592"/>
        <v>QF2|XT2|кабель ВВГнг(А)-LS (3х2,5) → Насос дренажный, пом. 003Т</v>
      </c>
      <c r="HG319" t="str" cm="1">
        <f t="array" ref="HG319">IF(HF319="","",_xlfn.LET(_xlpm.nd,_xlfn.TEXTSPLIT(HF319,"|"),IF(COLUMNS(_xlpm.nd)&gt;1,A319&amp;"¦"&amp;INDEX(_xlpm.nd,1)&amp;"¦"&amp;INDEX(_xlpm.nd,2),"")))</f>
        <v>ЩС-ВК.001¦QF2¦XT2</v>
      </c>
      <c r="HH319" t="str">
        <f t="shared" si="593"/>
        <v>НВК.00.003Т.1¦Насос дренажный, пом. 003Т</v>
      </c>
      <c r="HI319" t="str" cm="1">
        <f t="array" ref="HI319">IF(HF319="","",_xlfn.LET(_xlpm.nd,_xlfn.TEXTSPLIT(HF319,"|"),IF(COLUMNS(_xlpm.nd)&gt;2,A319&amp;"¦"&amp;INDEX(_xlpm.nd,2)&amp;"¦"&amp;INDEX(_xlpm.nd,3),"")))</f>
        <v>ЩС-ВК.001¦XT2¦кабель ВВГнг(А)-LS (3х2,5) → Насос дренажный, пом. 003Т</v>
      </c>
      <c r="HJ319" t="str">
        <f t="shared" si="594"/>
        <v>НВК.00.003Т.1¦Насос дренажный, пом. 003Т</v>
      </c>
      <c r="HK319" t="str" cm="1">
        <f t="array" ref="HK319">IF(HF319="","",_xlfn.LET(_xlpm.nd,_xlfn.TEXTSPLIT(HF319,"|"),IF(COLUMNS(_xlpm.nd)&gt;3,A319&amp;"¦"&amp;INDEX(_xlpm.nd,3)&amp;"¦"&amp;INDEX(_xlpm.nd,4),"")))</f>
        <v/>
      </c>
      <c r="HL319" t="str">
        <f t="shared" si="595"/>
        <v/>
      </c>
      <c r="HM319" t="str" cm="1">
        <f t="array" ref="HM319">IF(HF319="","",_xlfn.LET(_xlpm.nd,_xlfn.TEXTSPLIT(HF319,"|"),IF(COLUMNS(_xlpm.nd)&gt;4,A319&amp;"¦"&amp;INDEX(_xlpm.nd,4)&amp;"¦"&amp;INDEX(_xlpm.nd,5),"")))</f>
        <v/>
      </c>
      <c r="HN319" t="str">
        <f t="shared" si="596"/>
        <v/>
      </c>
      <c r="HO319" t="str" cm="1">
        <f t="array" ref="HO319">IF(HF319="","",_xlfn.LET(_xlpm.nd,_xlfn.TEXTSPLIT(HF319,"|"),IF(COLUMNS(_xlpm.nd)&gt;5,A319&amp;"¦"&amp;INDEX(_xlpm.nd,5)&amp;"¦"&amp;INDEX(_xlpm.nd,6),"")))</f>
        <v/>
      </c>
      <c r="HP319" t="str">
        <f t="shared" si="597"/>
        <v/>
      </c>
      <c r="HQ319" t="str" cm="1">
        <f t="array" ref="HQ319">IF(HF319="","",_xlfn.LET(_xlpm.nd,_xlfn.TEXTSPLIT(HF319,"|"),IF(COLUMNS(_xlpm.nd)&gt;6,A319&amp;"¦"&amp;INDEX(_xlpm.nd,6)&amp;"¦"&amp;INDEX(_xlpm.nd,7),"")))</f>
        <v/>
      </c>
      <c r="HR319" t="str">
        <f t="shared" si="598"/>
        <v/>
      </c>
      <c r="HS319" t="str">
        <f t="shared" si="599"/>
        <v/>
      </c>
      <c r="HT319" t="str">
        <f t="shared" si="600"/>
        <v>QF2 → XT2</v>
      </c>
      <c r="HU319">
        <f t="shared" si="601"/>
        <v>0</v>
      </c>
      <c r="HV319">
        <f t="shared" si="602"/>
        <v>0</v>
      </c>
      <c r="HW319" t="str">
        <f t="shared" si="603"/>
        <v/>
      </c>
      <c r="HX319" t="str">
        <f t="shared" si="604"/>
        <v/>
      </c>
      <c r="HY319" t="str">
        <f t="shared" si="605"/>
        <v/>
      </c>
      <c r="HZ319" t="str">
        <f t="shared" si="606"/>
        <v/>
      </c>
      <c r="IA319">
        <f>IF(B319="","",IFERROR(VLOOKUP(B319,УГО_спр,2,FALSE),IFERROR(VLOOKUP(AX319,УГО_спр,2,FALSE),IFERROR(VLOOKUP(LEFT(AX319,2),УГО_спр,2,FALSE),""))))</f>
        <v>0</v>
      </c>
      <c r="IB319" t="str">
        <f>IF(B319="","",IF(OR(IA319="",IA319=0),"BOX",IFERROR(IF(VLOOKUP(IA319,УГО_блоки,3,FALSE)&amp;""&lt;&gt;"",VLOOKUP(IA319,УГО_блоки,3,FALSE),VLOOKUP(IA319,УГО_блоки,2,FALSE)),IA319)))</f>
        <v>BOX</v>
      </c>
      <c r="IC319">
        <f t="shared" si="607"/>
        <v>1</v>
      </c>
      <c r="ID319" t="str">
        <f>IF(DA319="","",IF(COUNTIF(DA$3:DA319,DA319)=1,MAX(ID$2:ID318)+1,""))</f>
        <v/>
      </c>
      <c r="IE319" t="str">
        <f>IF(CO319="","",IF(COUNTIF(CO$3:CO319,CO319)+COUNTIF(CP$2:CP318,CO319)+COUNTIF(CQ$2:CQ318,CO319)=1,MAX(IE$2:IG318)+1,""))</f>
        <v/>
      </c>
      <c r="IF319" t="str">
        <f>IF(CP319="","",IF(COUNTIF(CO$3:CO319,CP319)+COUNTIF(CP$3:CP319,CP319)+COUNTIF(CQ$2:CQ318,CP319)=1,MAX(IE$2:IG318,IE319)+1,""))</f>
        <v/>
      </c>
      <c r="IG319" t="str">
        <f>IF(CQ319="","",IF(COUNTIF(CO$3:CO319,CQ319)+COUNTIF(CP$3:CP319,CQ319)+COUNTIF(CQ$3:CQ319,CQ319)=1,MAX(IE$2:IG318,IE319,IF319)+1,""))</f>
        <v/>
      </c>
      <c r="IH319" t="str">
        <f t="shared" si="608"/>
        <v>3х2,5</v>
      </c>
      <c r="II319" t="str">
        <f>IF(IH319="","",IF(COUNTIF(IH$3:IH319,IH319)=1,MAX(II$2:II318)+1,""))</f>
        <v/>
      </c>
      <c r="IJ319" t="str">
        <f>IF(GL319="","",COUNTIF(GL$3:GL319,"?*"))</f>
        <v/>
      </c>
      <c r="IK319" t="str">
        <f>IF(OR(GL319="",GN319=""),"",IF(COUNTIFS(GL$3:GL319,"?*",GN$3:GN319,GN319)=1,MAX(IK$2:IK318)+1,""))</f>
        <v/>
      </c>
      <c r="IL319">
        <f t="shared" si="609"/>
        <v>0</v>
      </c>
      <c r="IM319">
        <f>IF(B319="","",COUNTIF(B$3:B319,"?*"))</f>
        <v>317</v>
      </c>
      <c r="IN319">
        <f>IF(GQ319&lt;&gt;1,0,_xlfn.LET(_xlpm.k,MAX(IFERROR(--VLOOKUP(B319,УГО_спр,5,FALSE),0),IFERROR(--VLOOKUP(AX319,УГО_спр,5,FALSE),0),IFERROR(--VLOOKUP(LEFT(AX319,2),УГО_спр,5,FALSE),0)),IF(_xlpm.k&gt;0,_xlpm.k,IF(IFERROR(--LEFT(SUBSTITUTE(IH319,"x","х"),FIND("х",SUBSTITUTE(IH319,"x","х"))-1),3)&gt;3,Каталог!$S$9,1))))</f>
        <v>1</v>
      </c>
      <c r="IO319">
        <f t="shared" si="610"/>
        <v>0</v>
      </c>
      <c r="IP319" t="str">
        <f t="shared" si="611"/>
        <v>авто</v>
      </c>
      <c r="IQ319" t="str">
        <f t="shared" si="612"/>
        <v/>
      </c>
      <c r="IR319">
        <f t="shared" si="613"/>
        <v>0</v>
      </c>
      <c r="IS319">
        <f t="shared" si="614"/>
        <v>1</v>
      </c>
    </row>
    <row r="320" spans="1:253" x14ac:dyDescent="0.3">
      <c r="A320" t="s">
        <v>765</v>
      </c>
      <c r="B320" t="s">
        <v>1582</v>
      </c>
      <c r="C320" t="str">
        <f>Линии[[#This Row],[_авто наименование]]</f>
        <v>Насос дренажный, пом. 005Т</v>
      </c>
      <c r="D320">
        <v>1</v>
      </c>
      <c r="E320">
        <v>0.6</v>
      </c>
      <c r="G320">
        <v>16</v>
      </c>
      <c r="H320" t="str">
        <f>Линии[[#This Row],[_авто утечка]]</f>
        <v/>
      </c>
      <c r="I320" t="str">
        <f>Линии[[#This Row],[_авто управление]]</f>
        <v/>
      </c>
      <c r="J320" t="str">
        <f>Линии[[#This Row],[_авто аппараты]]</f>
        <v/>
      </c>
      <c r="K320">
        <v>2.5</v>
      </c>
      <c r="L320">
        <v>19</v>
      </c>
      <c r="M320">
        <v>1</v>
      </c>
      <c r="N320" t="str">
        <f>Линии[[#This Row],[_авто клемма]]</f>
        <v>XT3</v>
      </c>
      <c r="O320" t="str">
        <f t="shared" si="492"/>
        <v>категория I не обеспечена (есть II)</v>
      </c>
      <c r="P320" s="6" cm="1">
        <f t="array" ref="P320">IF(B320="","",IF(BC320&lt;&gt;"",IFERROR(_xlfn.XLOOKUP(BC320,Щиты[Щит],Щиты[Iр, А]),""),IF(BK320=1,IFERROR(_xlfn.XLOOKUP(A320,Щиты[Щит],Щиты[Iр, А]),""),IFERROR(_xlfn.IFS(BR320=1,BN320/((Uн_лин/SQRT(3))*BY320),BR320=3,BN320/(SQRT(3)*Uн_лин*BY320)),""))))</f>
        <v>3.2475952641916441</v>
      </c>
      <c r="Q320" s="7">
        <f>IF(B320="","",IFERROR(IF(VLOOKUP(AX320,Потребители_обозначение,4,FALSE)=1,VLOOKUP(AX320,Потребители_обозначение,3,FALSE)*(D320*2-1)+DS320+VLOOKUP(AZ320,Этаж_обозначение,3,FALSE)+VLOOKUP(AZ320,Этаж_обозначение,4,FALSE),VLOOKUP(AX320,Потребители_обозначение,3,FALSE)*(D320*2-1)+DS320),DS320))</f>
        <v>22</v>
      </c>
      <c r="R320" s="6">
        <f t="shared" si="493"/>
        <v>2.57</v>
      </c>
      <c r="S320" t="str">
        <f t="shared" si="494"/>
        <v>ВВГнг(А)-LS (3х2,5)</v>
      </c>
      <c r="T320" t="str">
        <f>IF(BH320="","",IF(BI320="вводной узел","узел ","")&amp;"л."&amp;(INT((BH320-1)/Столбцов_на_лист)+1)&amp;" / "&amp;(MOD(BH320-1,Столбцов_на_лист)+1))</f>
        <v>л.2 / 3</v>
      </c>
      <c r="V320">
        <v>1</v>
      </c>
      <c r="W320">
        <v>230</v>
      </c>
      <c r="X320" t="s">
        <v>600</v>
      </c>
      <c r="Y320">
        <v>0.5</v>
      </c>
      <c r="AC320" t="s">
        <v>861</v>
      </c>
      <c r="AE320" t="s">
        <v>606</v>
      </c>
      <c r="AI320">
        <v>20</v>
      </c>
      <c r="AJ320" t="s">
        <v>11</v>
      </c>
      <c r="AK320">
        <v>3</v>
      </c>
      <c r="AM320">
        <v>1</v>
      </c>
      <c r="AN320">
        <v>18</v>
      </c>
      <c r="AO320">
        <v>0</v>
      </c>
      <c r="AP320">
        <v>1</v>
      </c>
      <c r="AW320" cm="1">
        <f t="array" ref="AW320">ROW()-ROW(Линии[#Headers])</f>
        <v>318</v>
      </c>
      <c r="AX320" s="6" t="str">
        <f t="shared" si="495"/>
        <v>НВК</v>
      </c>
      <c r="AY320" t="str">
        <f t="shared" si="496"/>
        <v>00.005Т.4</v>
      </c>
      <c r="AZ320" t="str">
        <f t="shared" si="497"/>
        <v>00</v>
      </c>
      <c r="BA320" t="str">
        <f t="shared" si="498"/>
        <v>005Т.4</v>
      </c>
      <c r="BB320" t="str">
        <f t="shared" si="499"/>
        <v>005Т</v>
      </c>
      <c r="BC320" t="str">
        <f>IF(U320&lt;&gt;"",U320,IF(AND(B320&lt;&gt;"",B320&lt;&gt;A320,ISNUMBER(_xlfn.XMATCH(B320,Щиты[Щит]))),B320,""))</f>
        <v/>
      </c>
      <c r="BD320" t="str" cm="1">
        <f t="array" ref="BD320">IF(B320="","",IF(BC320&lt;&gt;"","Щит "&amp;BC320,_xlfn.LET(_xlpm.nm,IFERROR(_xlfn.XLOOKUP(AX320,Коды_код,Коды_имя)&amp;"",""),_xlpm.md,IFERROR(N(_xlfn.XLOOKUP(AX320,Коды_код,Коды_режим)),1),_xlpm.ex,IF(Имя_режим="по экспликации",IFERROR(_xlfn.XLOOKUP(AZ320&amp;"|"&amp;BB320,Экспликация[Этаж]&amp;"|"&amp;Экспликация[Помещение],Экспликация[Название])&amp;"",""),""),_xlpm.rm,IF(BB320="","",IF(_xlpm.ex&lt;&gt;"",". "&amp;_xlpm.ex&amp;IF(Имя_пом="нет"," ("&amp;BB320&amp;")"," (пом. "&amp;BB320&amp;")"),IF(Имя_пом="нет"," ",", пом. ")&amp;BB320)),IF(_xlpm.nm="","",IF(_xlpm.md=2,_xlpm.nm&amp;" шлейф "&amp;AZ320,_xlpm.nm&amp;_xlpm.rm)))))</f>
        <v>Насос дренажный, пом. 005Т</v>
      </c>
      <c r="BE320" t="str">
        <f t="shared" si="500"/>
        <v>Насос дренажный, пом. 005Т</v>
      </c>
      <c r="BF320">
        <f>IFERROR(_xlfn.XMATCH(A320,Щиты[Щит]),0)</f>
        <v>13</v>
      </c>
      <c r="BG320">
        <f>_xlfn.LET(_xlpm.k,IFERROR(_xlfn.XLOOKUP(A320,Щиты[Щит],Щиты[Листов под вводной узел]),""),IF(_xlpm.k="",1,N(_xlpm.k))*Столбцов_на_лист)</f>
        <v>17</v>
      </c>
      <c r="BH320">
        <f t="shared" si="501"/>
        <v>20</v>
      </c>
      <c r="BI320" t="str">
        <f t="shared" si="502"/>
        <v>линии</v>
      </c>
      <c r="BJ320" s="6">
        <f>IFERROR(N(_xlfn.XLOOKUP(AX320,Коды_код,Коды_квт)),0)</f>
        <v>0</v>
      </c>
      <c r="BK320">
        <f t="shared" si="503"/>
        <v>0</v>
      </c>
      <c r="BL320" t="str">
        <f>IF(B320="","",IF(BC320&lt;&gt;"",IFERROR(_xlfn.XLOOKUP(BC320,Щиты[Щит],Щиты[Руст, кВт]),0),IF(BK320=1,IFERROR(_xlfn.XLOOKUP(A320,Щиты[Щит],Щиты[Руст, кВт]),0),IF(BJ320&gt;0,ROUND(BJ320*MAX(1,N(D320)),3),""))))</f>
        <v/>
      </c>
      <c r="BM320">
        <f t="shared" si="504"/>
        <v>0.6</v>
      </c>
      <c r="BN320" s="6">
        <f>IF(B320="","",IF(BC320&lt;&gt;"",IFERROR(_xlfn.XLOOKUP(BC320,Щиты[Щит],Щиты[Руст, кВт]),0),N(BM320)))</f>
        <v>0.6</v>
      </c>
      <c r="BO320" t="str">
        <f>IF(B320="","",IFERROR(IF(VLOOKUP(AX320,Потребители_обозначение,8,FALSE)=0,"",VLOOKUP(AX320,Потребители_обозначение,8,FALSE)),""))</f>
        <v/>
      </c>
      <c r="BP320">
        <f t="shared" si="505"/>
        <v>230</v>
      </c>
      <c r="BQ320">
        <f>IF(B320="","",IF(BC320&lt;&gt;"",3,IFERROR(IF(N(VLOOKUP(AX320,Потребители_обозначение,9,FALSE))=0,1,VLOOKUP(AX320,Потребители_обозначение,9,FALSE)),1)))</f>
        <v>1</v>
      </c>
      <c r="BR320">
        <f t="shared" si="506"/>
        <v>1</v>
      </c>
      <c r="BS320" t="str">
        <f>IF(B320="","",_xlfn.LET(_xlpm.bc,IFERROR(IF(VLOOKUP(AX320,Потребители_обозначение,6,FALSE)=0,"",VLOOKUP(AX320,Потребители_обозначение,6,FALSE)&amp;""),""),IF(AND(FK320="да",OR(_xlpm.bc="",_xlpm.bc="мс")),Марка_пож,IF(AND(_xlpm.bc="",BC320&lt;&gt;""),"мс",_xlpm.bc))))</f>
        <v/>
      </c>
      <c r="BT320" t="str">
        <f t="shared" si="507"/>
        <v>мс</v>
      </c>
      <c r="BU320">
        <f>IF(B320="","",_xlfn.LET(_xlpm.cc,IFERROR(N(VLOOKUP(AX320,Потребители_обозначение,7,FALSE)),0),IF(_xlpm.cc&gt;0,_xlpm.cc,IF(BT320="","",IF(N(BR320)=3,5,3)))))</f>
        <v>3</v>
      </c>
      <c r="BV320">
        <f t="shared" si="508"/>
        <v>3</v>
      </c>
      <c r="BW320">
        <f>IFERROR(N(VLOOKUP(AX320,Потребители_обозначение,10,FALSE)),0)</f>
        <v>0</v>
      </c>
      <c r="BX320">
        <f>IFERROR(VLOOKUP(AX320,Потребители_обозначение,5,FALSE),0)</f>
        <v>1</v>
      </c>
      <c r="BY320" s="6" cm="1">
        <f t="array" ref="BY320">IF(B320="","",IF(BC320&lt;&gt;"",IFERROR(_xlfn.XLOOKUP(BC320,Щиты[Щит],Щиты[cos φ]),0.95),IF(BK320=1,IFERROR(_xlfn.XLOOKUP(A320,Щиты[Щит],Щиты[cos φ]),0.95),IF(ISNUMBER(Z320),Z320,IFERROR(IF(BX320=2,_xlfn.IFS(BR320=3,VLOOKUP(BN320,Справочная_двигатели,8,FALSE),BR320=1,VLOOKUP(BN320,Справочная_двигатели,10,TRUE)),IF(AND(Методика="нормы 2026",EQ320="Сил"),0.8,0.95)),0.95)))))</f>
        <v>0.8</v>
      </c>
      <c r="BZ320">
        <f t="shared" si="509"/>
        <v>0</v>
      </c>
      <c r="CA320">
        <f t="shared" si="510"/>
        <v>1</v>
      </c>
      <c r="CB320">
        <f t="shared" si="511"/>
        <v>0</v>
      </c>
      <c r="CC320">
        <f t="shared" si="512"/>
        <v>0</v>
      </c>
      <c r="CD320">
        <f t="shared" si="513"/>
        <v>0</v>
      </c>
      <c r="CE320">
        <f t="shared" si="514"/>
        <v>0</v>
      </c>
      <c r="CF320">
        <f t="shared" si="515"/>
        <v>0</v>
      </c>
      <c r="CG320">
        <f>IF(AX320="",0,_xlfn.LET(_xlpm.v,IFERROR(VLOOKUP(B320,УГО_спр,3,FALSE),IFERROR(VLOOKUP(AX320,УГО_спр,3,FALSE),IFERROR(VLOOKUP(LEFT(AX320,2),УГО_спр,3,FALSE),""))),IF(_xlpm.v="да",30,IF(ISNUMBER(_xlpm.v),_xlpm.v,0))))</f>
        <v>0</v>
      </c>
      <c r="CH320" t="str">
        <f t="shared" si="516"/>
        <v/>
      </c>
      <c r="CI320" t="str">
        <f>_xlfn.LET(_xlpm.k,IFERROR(_xlfn.XLOOKUP(AX320,Коды_код,Коды_утечка)&amp;"",""),IF(_xlpm.k="","дифавтомат",_xlpm.k))</f>
        <v>дифавтомат</v>
      </c>
      <c r="CJ320">
        <f t="shared" si="517"/>
        <v>0</v>
      </c>
      <c r="CK320">
        <f t="shared" si="518"/>
        <v>0</v>
      </c>
      <c r="CL320">
        <f>IF(B320="",0,IFERROR(--VLOOKUP(B320,УГО_спр,4,FALSE),IFERROR(--VLOOKUP(AX320,УГО_спр,4,FALSE),IFERROR(--VLOOKUP(LEFT(AX320,2),УГО_спр,4,FALSE),0))))</f>
        <v>0</v>
      </c>
      <c r="CM320" t="str">
        <f>IF(B320="","",IFERROR(_xlfn.XLOOKUP(AX320,Коды_код,Коды_апп)&amp;"",""))</f>
        <v/>
      </c>
      <c r="CN320" t="str">
        <f t="shared" si="519"/>
        <v/>
      </c>
      <c r="CO320" t="str" cm="1">
        <f t="array" ref="CO320">IF(TRIM(CN320&amp;"")="","",IFERROR(TRIM(INDEX(_xlfn.TEXTSPLIT(CN320&amp;";;;",";"),1)),""))</f>
        <v/>
      </c>
      <c r="CP320" t="str" cm="1">
        <f t="array" ref="CP320">IF(TRIM(CN320&amp;"")="","",IFERROR(TRIM(INDEX(_xlfn.TEXTSPLIT(CN320&amp;";;;",";"),2)),""))</f>
        <v/>
      </c>
      <c r="CQ320" t="str" cm="1">
        <f t="array" ref="CQ320">IF(TRIM(CN320&amp;"")="","",IFERROR(TRIM(INDEX(_xlfn.TEXTSPLIT(CN320&amp;";;;",";"),3)),""))</f>
        <v/>
      </c>
      <c r="CR320">
        <f t="shared" si="520"/>
        <v>0</v>
      </c>
      <c r="CS320" t="str">
        <f>IF(B320="","",_xlfn.LET(_xlpm.t,LOWER(AV320&amp;""),IF(ISNUMBER(SEARCH("dim",_xlpm.t)),"DIM",IF(ISNUMBER(SEARCH("dali",_xlpm.t)),"DALI",IF(OR(ISNUMBER(SEARCH("relay",_xlpm.t)),ISNUMBER(SEARCH("реле",_xlpm.t))),"Relay",IF(ISNUMBER(SEARCH("кнопк",_xlpm.t)),"",IFERROR(_xlfn.XLOOKUP(AX320,Коды_код,Коды_упр)&amp;"","")))))))</f>
        <v/>
      </c>
      <c r="CT320" t="str">
        <f t="shared" si="521"/>
        <v/>
      </c>
      <c r="CU320">
        <f>IF(B320="","",_xlfn.LET(_xlpm.ig,N(P320)+IF(AF320="вручную",0,N(CB320)),_xlpm.n0,IFERROR(VLOOKUP(_xlpm.ig,Автомат_номиналы,2,TRUE),0),_xlpm.mn,MAX(CL320,IF(AF320="вручную",0,N(CE320))),MAX(_xlpm.n0,_xlpm.mn,IF(CR320=1,Мин_автомат_БП,0))))</f>
        <v>6</v>
      </c>
      <c r="CV320">
        <f t="shared" si="522"/>
        <v>1</v>
      </c>
      <c r="CW320" t="str">
        <f t="shared" si="523"/>
        <v>1P</v>
      </c>
      <c r="CX320" t="str">
        <f>_xlfn.LET(_xlpm.cc,UPPER(TRIM(IFERROR(_xlfn.XLOOKUP(AX320,Коды_код,Коды_хар)&amp;"",""))),IF(OR(_xlpm.cc="B",_xlpm.cc="В"),"B",IF(_xlpm.cc="D","D","С")))</f>
        <v>С</v>
      </c>
      <c r="CY320" t="str">
        <f t="shared" si="524"/>
        <v>1P С6А</v>
      </c>
      <c r="CZ320">
        <f t="shared" si="525"/>
        <v>16</v>
      </c>
      <c r="DA320" t="str">
        <f t="shared" si="526"/>
        <v>1P С16А</v>
      </c>
      <c r="DB320" cm="1">
        <f t="array" ref="DB320">IF(DA320="","",_xlfn.LET(_xlpm.t,SUBSTITUTE(SUBSTITUTE(SUBSTITUTE(UPPER(DA320),"С","C"),"А","A"),"В","B"),_xlpm.tk,_xlfn.TEXTSPLIT(_xlpm.t,"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0" t="str">
        <f t="shared" si="527"/>
        <v>ok</v>
      </c>
      <c r="DD320">
        <f t="shared" si="528"/>
        <v>16</v>
      </c>
      <c r="DE320" t="str">
        <f t="shared" si="529"/>
        <v>1P С16А</v>
      </c>
      <c r="DF320">
        <f t="shared" si="530"/>
        <v>0</v>
      </c>
      <c r="DG320">
        <f t="shared" si="531"/>
        <v>0</v>
      </c>
      <c r="DH320">
        <f t="shared" si="532"/>
        <v>0</v>
      </c>
      <c r="DI320">
        <f t="shared" si="533"/>
        <v>3.2475952641916441</v>
      </c>
      <c r="DJ320">
        <f t="shared" si="534"/>
        <v>1</v>
      </c>
      <c r="DK320">
        <f>IF(ISNUMBER(AL320),AL320,К_прокл)</f>
        <v>1</v>
      </c>
      <c r="DL320">
        <f t="shared" si="535"/>
        <v>2</v>
      </c>
      <c r="DM320">
        <f>IFERROR(N(VLOOKUP(BT320,Кабель_обозначение,3,FALSE)),1)</f>
        <v>1</v>
      </c>
      <c r="DN320">
        <f>IFERROR(N(_xlfn.XLOOKUP(A320,Щиты[Щит],Щиты[ΔU до шин, %])),0)</f>
        <v>2.1199999999999997</v>
      </c>
      <c r="DO320" t="str">
        <f>IFERROR(_xlfn.XLOOKUP(A320,Щиты[Щит],Щиты[Zпетли на шинах, Ом]),"")</f>
        <v/>
      </c>
      <c r="DP320">
        <f>IFERROR(N(_xlfn.XLOOKUP(A320,Щиты[Щит],Щиты[ΔU до шин (подбор), %])),0)</f>
        <v>3.3699999999999997</v>
      </c>
      <c r="DQ320" t="str">
        <f>IFERROR(_xlfn.XLOOKUP(A320,Щиты[Щит],Щиты[Zпетли на шинах (подбор), Ом]),"")</f>
        <v/>
      </c>
      <c r="DR320" t="str">
        <f t="shared" si="536"/>
        <v/>
      </c>
      <c r="DS320">
        <f t="shared" si="537"/>
        <v>19</v>
      </c>
      <c r="DT320">
        <f t="shared" si="538"/>
        <v>2</v>
      </c>
      <c r="DU320">
        <f t="shared" si="539"/>
        <v>0.6</v>
      </c>
      <c r="DV320" s="6">
        <f>IF(B320="","",IF(IFERROR(VLOOKUP(AX320,УГО_спр,2,FALSE),"")="Светильник",3,4)+IF(Методика="нормы 2026",MIN(0.5,MAX(0,N(Q320)-100)*0.005),0))</f>
        <v>4</v>
      </c>
      <c r="DW320" cm="1">
        <f t="array" ref="DW320">IF(OR(B320="",BT320="",DM320&lt;&gt;1),"",_xlfn.LET(_xlpm.sz,Iдоп_S,_xlpm.t_,CHOOSE(DL320,Iдоп_1ж,Iдоп_2ж,Iдоп_3ж)*DJ320*DK320,_xlpm.inn,N(DD320),_xlpm.smin,MAX(1.5,BW320),_xlpm.L_,N(Q320)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320)*(_xlpm.rho*_xlpm.L_/_xlpm.sz*N(BY320)+_xlpm.xx*_xlpm.L_*N(DU320)/1000)*N(P320)/((Uн_лин/SQRT(3))*1000)*100,999),_xlpm.kz,IF(OR(DG320=1,NOT(ISNUMBER(DQ320)),_xlpm.L_=0,_xlpm.inn=0),1,IFERROR(--(c_min*(Uн_лин*1000/SQRT(3))/(DQ320+2*ρкз_Cu*_xlpm.L_/_xlpm.sz)&gt;=GY320*_xlpm.inn),0)),_xlpm.ok,IFERROR((_xlpm.sz&gt;=_xlpm.smin)*(_xlpm.t_&gt;=_xlpm.inn)*IF(_xlpm.L_&gt;0,(_xlpm.du_+DP320&lt;=DV320+0.00001),1)*_xlpm.kz,0),_xlpm.r_,_xlfn._xlws.FILTER(_xlpm.sz,_xlpm.ok,"не подобрано"),INDEX(_xlpm.r_,1)))</f>
        <v>2.5</v>
      </c>
      <c r="DX320">
        <f t="shared" si="540"/>
        <v>2.5</v>
      </c>
      <c r="DY320" cm="1">
        <f t="array" ref="DY320">IF(OR(B320="",BT320="",DM320&lt;&gt;1),"",_xlfn.LET(_xlpm.sz,Iдоп_S,_xlpm.t_,CHOOSE(DL320,Iдоп_1ж,Iдоп_2ж,Iдоп_3ж)*DJ320*DK320,_xlpm.ok,IFERROR((_xlpm.sz&gt;=MAX(1.5,BW320))*(_xlpm.t_&gt;=N(DD320)),0),_xlpm.r_,_xlfn._xlws.FILTER(_xlpm.sz,_xlpm.ok,""),INDEX(_xlpm.r_,1)))</f>
        <v>1.5</v>
      </c>
      <c r="DZ320" s="6" cm="1">
        <f t="array" ref="DZ320">IFERROR(ROUNDUP(N(DT320)*(_xlfn.XLOOKUP(DY320,INDEX(Кабель_сопротивление,0,1),INDEX(Кабель_сопротивление,0,3))*N(Q320)/DY320*N(BY320)+_xlfn.XLOOKUP(DY320,INDEX(Кабель_сопротивление,0,1),INDEX(Кабель_сопротивление,0,2))*N(Q320)*N(DU320)/1000)*N(P320)/((Uн_лин/SQRT(3))*1000)*100,2),"")</f>
        <v>0.75</v>
      </c>
      <c r="EA320">
        <f>IFERROR(2*ρкз_Cu*N(Q320)/DY320,"")</f>
        <v>0.77146666666666663</v>
      </c>
      <c r="EB320">
        <f>IFERROR(VLOOKUP(DX320,Кабель_сопротивление,3,FALSE),"")</f>
        <v>2.2499999999999999E-2</v>
      </c>
      <c r="EC320">
        <f>IFERROR(VLOOKUP(DX320,Кабель_сопротивление,2,FALSE),"")</f>
        <v>0.1</v>
      </c>
      <c r="ED320">
        <f t="shared" si="541"/>
        <v>18</v>
      </c>
      <c r="EE320">
        <f t="shared" si="542"/>
        <v>0</v>
      </c>
      <c r="EF320">
        <f t="shared" si="543"/>
        <v>1.0374118311933789</v>
      </c>
      <c r="EG320" s="6">
        <f>IFERROR(ROUNDUP(EF320/((Uн_лин/SQRT(3))*1000)*100,2),"")</f>
        <v>0.45</v>
      </c>
      <c r="EH320" t="str">
        <f>IFERROR(VLOOKUP(BT320,Кабель_обозначение,2,FALSE),"")</f>
        <v>ВВГнг(А)-LS</v>
      </c>
      <c r="EI320" t="str">
        <f t="shared" si="544"/>
        <v>ВВГнг(А)-LS (3х2,5)</v>
      </c>
      <c r="EJ320" t="str">
        <f t="shared" si="545"/>
        <v>ВВГнг(А)-LS (3х2,5)
L=22-0,45%</v>
      </c>
      <c r="EK320">
        <f>IFERROR(2*ρкз_Cu*Q320/DX320,"")</f>
        <v>0.46288000000000001</v>
      </c>
      <c r="EL320">
        <f t="shared" si="546"/>
        <v>0.154</v>
      </c>
      <c r="EM320" s="6" t="str">
        <f>IFERROR(IF(OR(B320="",NOT(ISNUMBER(DX320)),N(Q320)=0),"",_xlfn.XLOOKUP(A320,Щиты[Щит],Щиты[Zпетли на шинах, Ом])+EK320),"")</f>
        <v/>
      </c>
      <c r="EN320" s="6" t="str">
        <f>IF(ISNUMBER(EM320),c_min*(Uн_лин*1000/SQRT(3))/EM320,"")</f>
        <v/>
      </c>
      <c r="EO320" s="6" t="str">
        <f>IFERROR(IF(OR(B320="",NOT(ISNUMBER(DX320))),"",1.05*(Uн_лин*1000/SQRT(3))/(_xlfn.XLOOKUP(A320,Щиты[Щит],Щиты[Zmax на шинах, Ом])+EL320)/1000),"")</f>
        <v/>
      </c>
      <c r="EP320" s="6" t="str">
        <f>IF(B320="","",IF(ISNUMBER(Y320),"Сил",IF(IFERROR(_xlfn.XLOOKUP(AX320,Коды_код,Коды_группа)&amp;"","")="","Быт",_xlfn.XLOOKUP(AX320,Коды_код,Коды_группа)&amp;"")))</f>
        <v>Сил</v>
      </c>
      <c r="EQ320" s="6" t="str">
        <f t="shared" si="547"/>
        <v>Сил</v>
      </c>
      <c r="ER320" s="6">
        <f>IF(EQ320="Щит","щит",IF(EQ320="","",IF(EQ320="Быт",IFERROR(_xlfn.XLOOKUP(A320,Щиты[Щит],Щиты[Кс быт]),1),IF(EQ320="Сил",IF(ISNUMBER(Y320),Y320,IF(Методика="нормы 2026",IFERROR(_xlfn.XLOOKUP(A320,Щиты[Щит],Щиты[Кс силовых (табл. 7.5)]),1),1)),IF(OR(EQ320="Пост",EQ320="Отоп"),1,IF(EQ320="ВНГ",0.7,0))))))</f>
        <v>0.5</v>
      </c>
      <c r="ES320">
        <f t="shared" si="548"/>
        <v>1</v>
      </c>
      <c r="ET320">
        <f t="shared" si="549"/>
        <v>0.6</v>
      </c>
      <c r="EU320">
        <f t="shared" si="550"/>
        <v>0</v>
      </c>
      <c r="EV320">
        <f t="shared" si="551"/>
        <v>0.3</v>
      </c>
      <c r="EW320">
        <f t="shared" si="552"/>
        <v>0</v>
      </c>
      <c r="EX320">
        <f t="shared" si="553"/>
        <v>0</v>
      </c>
      <c r="EY320">
        <f t="shared" si="554"/>
        <v>0</v>
      </c>
      <c r="EZ320">
        <f t="shared" si="555"/>
        <v>0.6</v>
      </c>
      <c r="FA320">
        <f t="shared" si="556"/>
        <v>0.48</v>
      </c>
      <c r="FB320">
        <f t="shared" si="557"/>
        <v>0.6</v>
      </c>
      <c r="FC320" t="str">
        <f t="shared" si="558"/>
        <v>L1</v>
      </c>
      <c r="FD320" t="str">
        <f>IF(B320="","",IF(CA320=0,IF(AW320=1,"",FF319),IF(OR(N(CV320)&gt;=3,N(BR320)&gt;=3),"L1,L2,L3",IFERROR(_xlfn.TEXTBEFORE(_xlfn.TEXTAFTER(_xlfn.XLOOKUP(A320,Щиты[Щит],Щиты[_фазы авто]),";"&amp;AW320&amp;":"),";"),"L1"))))</f>
        <v>L1</v>
      </c>
      <c r="FE320" t="str">
        <f t="shared" si="559"/>
        <v>L1</v>
      </c>
      <c r="FF320" t="str">
        <f t="shared" si="560"/>
        <v>L1</v>
      </c>
      <c r="FG320" cm="1">
        <f t="array" ref="FG320">IFERROR(IF(BX320=2,_xlfn.IFS(BR320=3,VLOOKUP(BN320,Справочная_двигатели,3,FALSE),BR320=1,VLOOKUP(BN320,Справочная_двигатели,5,TRUE)),0),0)</f>
        <v>0</v>
      </c>
      <c r="FH320">
        <f>IFERROR(IF(BX320=3,VLOOKUP(BN320,Справочная_ЛЭД,2,TRUE),0),0)</f>
        <v>0</v>
      </c>
      <c r="FI320" s="6">
        <f t="shared" si="561"/>
        <v>0</v>
      </c>
      <c r="FJ320" t="str" cm="1">
        <f t="array" ref="FJ320">IF(B320="","",IFERROR(INDEX({"I особая","I","II","III"},MATCH(TRIM(AC320&amp;""),{"I особая","I","II","III"},0)),"III"))</f>
        <v>I</v>
      </c>
      <c r="FK320" t="str">
        <f>IF(B320="","",IF(TRIM(AD320&amp;"")&lt;&gt;"",IF(LOWER(TRIM(AD320&amp;""))="да","да","нет"),IF(IFERROR(_xlfn.XLOOKUP(AX320,Коды_код,Коды_пожарная),"")="да","да","нет")))</f>
        <v>нет</v>
      </c>
      <c r="FL320" t="str">
        <f t="shared" si="562"/>
        <v/>
      </c>
      <c r="FM320" t="str">
        <f t="shared" si="563"/>
        <v>основная</v>
      </c>
      <c r="FN320">
        <f t="shared" si="564"/>
        <v>1</v>
      </c>
      <c r="FO320" t="str" cm="1">
        <f t="array" ref="FO320">IF(B320="","",_xlfn.LET(_xlpm.t,IFERROR(_xlfn.XLOOKUP(1,(Шины[Шина]=FM320)*(((Шины[Щит]=A320)+(Шины[Щит]=""))&gt;0),Шины[Тип]),"")&amp;"",IF(_xlpm.t&lt;&gt;"",_xlpm.t,IF(ISNUMBER(SEARCH("ИБП",FM320)),"ИБП",IF(ISNUMBER(SEARCH("ДГУ",FM320)),"ДГУ","Ввод "&amp;FN320)))))</f>
        <v>Ввод 1</v>
      </c>
      <c r="FP320" t="str">
        <f t="shared" si="565"/>
        <v>Ввод 1</v>
      </c>
      <c r="FQ320" t="str">
        <f>IF(B320="","",IF(OR(FO320="ИБП",FO320="ДГУ"),"I особая",IF(FO320="Одиночная","III",_xlfn.XLOOKUP(A320,Щиты[Щит],Щиты[Категория шины «Ввод»],"III"))))</f>
        <v>II</v>
      </c>
      <c r="FR320">
        <f>IF(B320="",0,IFERROR(MATCH(FJ320,{"III","II","I","I особая"},0),1))</f>
        <v>3</v>
      </c>
      <c r="FS320">
        <f t="shared" si="566"/>
        <v>3</v>
      </c>
      <c r="FT320" t="str">
        <f>IF(B320="","",IF(FR320&gt;IFERROR(MATCH(FQ320,{"III","II","I","I особая"},0),1),"НЕ ОБЕСПЕЧЕНА","ОК"))</f>
        <v>НЕ ОБЕСПЕЧЕНА</v>
      </c>
      <c r="FU320" t="str">
        <f>IF(A320="","",_xlfn.XLOOKUP(A320,Щиты[Щит],Щиты[Путь],""))</f>
        <v>|ГРЩ-ЖД|ЩС-ВК.001|</v>
      </c>
      <c r="FV320" t="str">
        <f>IF(B320="","",IF(AE320&lt;&gt;"",AE320,IF(IFERROR(_xlfn.XLOOKUP(AX320,Коды_код,Коды_вид)&amp;"","")="","Прочее",_xlfn.XLOOKUP(AX320,Коды_код,Коды_вид)&amp;"")))</f>
        <v>Насосы (водоснабжение, дренаж)</v>
      </c>
      <c r="FW320">
        <f>IF(BH320="","",INT((BH320-1)/Столбцов_на_лист)+1)</f>
        <v>2</v>
      </c>
      <c r="FX320" t="str">
        <f t="shared" si="567"/>
        <v>ВВГнг(А)-LS (3х2,5) L=22-0,45%</v>
      </c>
      <c r="FY320">
        <f t="shared" si="568"/>
        <v>0.6</v>
      </c>
      <c r="FZ320">
        <f t="shared" si="569"/>
        <v>3.25</v>
      </c>
      <c r="GA320">
        <f t="shared" si="570"/>
        <v>1</v>
      </c>
      <c r="GB320">
        <f t="shared" si="571"/>
        <v>0</v>
      </c>
      <c r="GC320">
        <f t="shared" si="572"/>
        <v>1</v>
      </c>
      <c r="GD320">
        <f>IF(BH320="","",IF(AND(CA320=1,GC320=1),COUNTIFS(A$3:A320,A320,CA$3:CA320,1,GC$3:GC320,1),IF(OR(OR(AW320=1,A320&lt;&gt;A319),AF320="вручную",GC320=0),"",IF(AW320=1,"",GE319))))</f>
        <v>3</v>
      </c>
      <c r="GE320">
        <f t="shared" si="573"/>
        <v>3</v>
      </c>
      <c r="GF320">
        <f>IF(B320="","",IFERROR(LOOKUP(INDEX(CHOOSE(DL320,Iдоп_1ж,Iдоп_2ж,Iдоп_3ж),MATCH(DX320,Iдоп_S,0))*DJ320*DK320,{6,10,16,20,25,32,40,50,63,80,100,125,160,200,250,315,400,500,630}),""))</f>
        <v>25</v>
      </c>
      <c r="GG320" t="str">
        <f t="shared" si="574"/>
        <v>QF3</v>
      </c>
      <c r="GH320" t="str">
        <f t="shared" si="575"/>
        <v>QF3</v>
      </c>
      <c r="GI320" t="str">
        <f t="shared" si="576"/>
        <v/>
      </c>
      <c r="GJ320">
        <f t="shared" si="577"/>
        <v>0</v>
      </c>
      <c r="GK320" t="str">
        <f>IF(OR(AG320="",AG320="-"),"",IFERROR(VLOOKUP(AG320,Модули_спр,2,FALSE),"R"))</f>
        <v/>
      </c>
      <c r="GL320" t="str">
        <f>IF(GK320="","",GK320&amp;"."&amp;COUNTIFS(A$3:A320,A320,GK$3:GK320,GK320))</f>
        <v/>
      </c>
      <c r="GM320" t="str">
        <f t="shared" si="578"/>
        <v/>
      </c>
      <c r="GN320" t="str">
        <f t="shared" si="579"/>
        <v/>
      </c>
      <c r="GO320" t="str">
        <f t="shared" si="580"/>
        <v/>
      </c>
      <c r="GP320" t="str">
        <f t="shared" si="581"/>
        <v/>
      </c>
      <c r="GQ320">
        <f t="shared" si="582"/>
        <v>1</v>
      </c>
      <c r="GR320" t="str">
        <f>IF(GQ320=1,"XT"&amp;COUNTIFS(A$3:A320,A320,GQ$3:GQ320,1),"")</f>
        <v>XT3</v>
      </c>
      <c r="GS320" t="str">
        <f t="shared" si="583"/>
        <v>XT3</v>
      </c>
      <c r="GT320" t="str">
        <f t="shared" si="584"/>
        <v>QF3</v>
      </c>
      <c r="GU320" t="str">
        <f t="shared" si="585"/>
        <v/>
      </c>
      <c r="GV320" t="str">
        <f t="shared" si="586"/>
        <v>ok</v>
      </c>
      <c r="GW320" t="str">
        <f>IF(OR(GO320="",GM320=""),"",IF(GO320&gt;IFERROR(VLOOKUP(GN320,Модули_спр,3,FALSE),99),"ЛИШНИЙ КАНАЛ",IF(AND(AH320&lt;&gt;"=",COUNTIFS(Линии[_модуль гр.],GM320,Линии[Канал (итог)],GO320,Линии[Канал],"&lt;&gt;=",Линии[Щит],A320)&gt;1),"ДУБЛЬ КАНАЛА","")))</f>
        <v/>
      </c>
      <c r="GX320" s="6" t="str">
        <f t="shared" si="587"/>
        <v/>
      </c>
      <c r="GY320">
        <f t="shared" si="588"/>
        <v>10</v>
      </c>
      <c r="GZ320" t="str">
        <f t="shared" si="589"/>
        <v/>
      </c>
      <c r="HA320" t="str">
        <f>IF(AND(B320="",GT320=""),"",_xlfn.TEXTJOIN("; ",TRUE,IF(AND(B320&lt;&gt;"",FE320=""),"нет фазы",""),IF(AND(B320&lt;&gt;"",N(FY320)=0,EQ320&lt;&gt;"Нет"),"нет мощности",""),IF(AND(GS320&lt;&gt;"",COUNTIFS(Линии[Щит],A320,Линии[Клемма (итог)],GS320)&gt;1),"дубль клеммы "&amp;GS320,""),IF(AND(GV320&lt;&gt;"",GV320&lt;&gt;"ok"),GV320,""),IF(GW320&lt;&gt;"",GW320,""),IF(AND(N(BV320)&gt;=4,N(BR320)=1),BV320&amp;" жил на 1 фазе",""),IF(AND(AX320="R",CA320=1,OR(N(CK320)=0,N(CK320)&gt;30)),"розетка без дифзащиты до 30 мА",""),IFERROR(IF(AND(ISNUMBER(R320),R320&gt;DV320),"потери "&amp;FIXED(R320,1)&amp;" % &gt; "&amp;DV320&amp;" %",""),""),IFERROR(IF(LEFT(GZ320,4)="мало","Iкз мало — отключение &gt; 0,4 с",""),""),IF(AND(B320&lt;&gt;"",BH320=""),"не на схеме",""),IF(AND(CA320=0,B320&lt;&gt;"",FE320&lt;&gt;"",IF(AW320=1,"",FF319)&lt;&gt;"",FE320&lt;&gt;IF(AW320=1,"",FF319)),"фаза не как у автомата группы ("&amp;IF(AW320=1,"",FF319)&amp;")","")))</f>
        <v/>
      </c>
      <c r="HB320" s="6">
        <f>IF(OR(CA320=0,DA320=""),"",_xlfn.LET(_xlpm.t,IFERROR(_xlfn.XLOOKUP(DA320,Каталог!$U$4:$U$500,Каталог!$G$4:$G$500),""),_xlpm.k,SEARCH("кА",_xlpm.t),IFERROR(--TRIM(RIGHT(SUBSTITUTE(MID(_xlpm.t,MAX(1,_xlpm.k-4),_xlpm.k-MAX(1,_xlpm.k-4))," ",REPT(" ",9)),5)),"")))</f>
        <v>6</v>
      </c>
      <c r="HC320" t="str">
        <f>IF(OR(HB320="",CA320=0),"",IF(_xlfn.XLOOKUP(A320,Щиты[Щит],Щиты[Iкз max на шинах, кА],"")="","",IF(HB320&lt;_xlfn.XLOOKUP(A320,Щиты[Щит],Щиты[Iкз max на шинах, кА]),"Icu "&amp;HB320&amp;" кА &lt; Iкз max","ok")))</f>
        <v/>
      </c>
      <c r="HD320" t="str">
        <f t="shared" si="590"/>
        <v/>
      </c>
      <c r="HE320" t="str">
        <f t="shared" si="591"/>
        <v>QF3|XT3</v>
      </c>
      <c r="HF320" t="str">
        <f t="shared" si="592"/>
        <v>QF3|XT3|кабель ВВГнг(А)-LS (3х2,5) → Насос дренажный, пом. 005Т</v>
      </c>
      <c r="HG320" t="str" cm="1">
        <f t="array" ref="HG320">IF(HF320="","",_xlfn.LET(_xlpm.nd,_xlfn.TEXTSPLIT(HF320,"|"),IF(COLUMNS(_xlpm.nd)&gt;1,A320&amp;"¦"&amp;INDEX(_xlpm.nd,1)&amp;"¦"&amp;INDEX(_xlpm.nd,2),"")))</f>
        <v>ЩС-ВК.001¦QF3¦XT3</v>
      </c>
      <c r="HH320" t="str">
        <f t="shared" si="593"/>
        <v>НВК.00.005Т.4¦Насос дренажный, пом. 005Т</v>
      </c>
      <c r="HI320" t="str" cm="1">
        <f t="array" ref="HI320">IF(HF320="","",_xlfn.LET(_xlpm.nd,_xlfn.TEXTSPLIT(HF320,"|"),IF(COLUMNS(_xlpm.nd)&gt;2,A320&amp;"¦"&amp;INDEX(_xlpm.nd,2)&amp;"¦"&amp;INDEX(_xlpm.nd,3),"")))</f>
        <v>ЩС-ВК.001¦XT3¦кабель ВВГнг(А)-LS (3х2,5) → Насос дренажный, пом. 005Т</v>
      </c>
      <c r="HJ320" t="str">
        <f t="shared" si="594"/>
        <v>НВК.00.005Т.4¦Насос дренажный, пом. 005Т</v>
      </c>
      <c r="HK320" t="str" cm="1">
        <f t="array" ref="HK320">IF(HF320="","",_xlfn.LET(_xlpm.nd,_xlfn.TEXTSPLIT(HF320,"|"),IF(COLUMNS(_xlpm.nd)&gt;3,A320&amp;"¦"&amp;INDEX(_xlpm.nd,3)&amp;"¦"&amp;INDEX(_xlpm.nd,4),"")))</f>
        <v/>
      </c>
      <c r="HL320" t="str">
        <f t="shared" si="595"/>
        <v/>
      </c>
      <c r="HM320" t="str" cm="1">
        <f t="array" ref="HM320">IF(HF320="","",_xlfn.LET(_xlpm.nd,_xlfn.TEXTSPLIT(HF320,"|"),IF(COLUMNS(_xlpm.nd)&gt;4,A320&amp;"¦"&amp;INDEX(_xlpm.nd,4)&amp;"¦"&amp;INDEX(_xlpm.nd,5),"")))</f>
        <v/>
      </c>
      <c r="HN320" t="str">
        <f t="shared" si="596"/>
        <v/>
      </c>
      <c r="HO320" t="str" cm="1">
        <f t="array" ref="HO320">IF(HF320="","",_xlfn.LET(_xlpm.nd,_xlfn.TEXTSPLIT(HF320,"|"),IF(COLUMNS(_xlpm.nd)&gt;5,A320&amp;"¦"&amp;INDEX(_xlpm.nd,5)&amp;"¦"&amp;INDEX(_xlpm.nd,6),"")))</f>
        <v/>
      </c>
      <c r="HP320" t="str">
        <f t="shared" si="597"/>
        <v/>
      </c>
      <c r="HQ320" t="str" cm="1">
        <f t="array" ref="HQ320">IF(HF320="","",_xlfn.LET(_xlpm.nd,_xlfn.TEXTSPLIT(HF320,"|"),IF(COLUMNS(_xlpm.nd)&gt;6,A320&amp;"¦"&amp;INDEX(_xlpm.nd,6)&amp;"¦"&amp;INDEX(_xlpm.nd,7),"")))</f>
        <v/>
      </c>
      <c r="HR320" t="str">
        <f t="shared" si="598"/>
        <v/>
      </c>
      <c r="HS320" t="str">
        <f t="shared" si="599"/>
        <v/>
      </c>
      <c r="HT320" t="str">
        <f t="shared" si="600"/>
        <v>QF3 → XT3</v>
      </c>
      <c r="HU320">
        <f t="shared" si="601"/>
        <v>0</v>
      </c>
      <c r="HV320">
        <f t="shared" si="602"/>
        <v>0</v>
      </c>
      <c r="HW320" t="str">
        <f t="shared" si="603"/>
        <v/>
      </c>
      <c r="HX320" t="str">
        <f t="shared" si="604"/>
        <v/>
      </c>
      <c r="HY320" t="str">
        <f t="shared" si="605"/>
        <v/>
      </c>
      <c r="HZ320" t="str">
        <f t="shared" si="606"/>
        <v/>
      </c>
      <c r="IA320">
        <f>IF(B320="","",IFERROR(VLOOKUP(B320,УГО_спр,2,FALSE),IFERROR(VLOOKUP(AX320,УГО_спр,2,FALSE),IFERROR(VLOOKUP(LEFT(AX320,2),УГО_спр,2,FALSE),""))))</f>
        <v>0</v>
      </c>
      <c r="IB320" t="str">
        <f>IF(B320="","",IF(OR(IA320="",IA320=0),"BOX",IFERROR(IF(VLOOKUP(IA320,УГО_блоки,3,FALSE)&amp;""&lt;&gt;"",VLOOKUP(IA320,УГО_блоки,3,FALSE),VLOOKUP(IA320,УГО_блоки,2,FALSE)),IA320)))</f>
        <v>BOX</v>
      </c>
      <c r="IC320">
        <f t="shared" si="607"/>
        <v>1</v>
      </c>
      <c r="ID320" t="str">
        <f>IF(DA320="","",IF(COUNTIF(DA$3:DA320,DA320)=1,MAX(ID$2:ID319)+1,""))</f>
        <v/>
      </c>
      <c r="IE320" t="str">
        <f>IF(CO320="","",IF(COUNTIF(CO$3:CO320,CO320)+COUNTIF(CP$2:CP319,CO320)+COUNTIF(CQ$2:CQ319,CO320)=1,MAX(IE$2:IG319)+1,""))</f>
        <v/>
      </c>
      <c r="IF320" t="str">
        <f>IF(CP320="","",IF(COUNTIF(CO$3:CO320,CP320)+COUNTIF(CP$3:CP320,CP320)+COUNTIF(CQ$2:CQ319,CP320)=1,MAX(IE$2:IG319,IE320)+1,""))</f>
        <v/>
      </c>
      <c r="IG320" t="str">
        <f>IF(CQ320="","",IF(COUNTIF(CO$3:CO320,CQ320)+COUNTIF(CP$3:CP320,CQ320)+COUNTIF(CQ$3:CQ320,CQ320)=1,MAX(IE$2:IG319,IE320,IF320)+1,""))</f>
        <v/>
      </c>
      <c r="IH320" t="str">
        <f t="shared" si="608"/>
        <v>3х2,5</v>
      </c>
      <c r="II320" t="str">
        <f>IF(IH320="","",IF(COUNTIF(IH$3:IH320,IH320)=1,MAX(II$2:II319)+1,""))</f>
        <v/>
      </c>
      <c r="IJ320" t="str">
        <f>IF(GL320="","",COUNTIF(GL$3:GL320,"?*"))</f>
        <v/>
      </c>
      <c r="IK320" t="str">
        <f>IF(OR(GL320="",GN320=""),"",IF(COUNTIFS(GL$3:GL320,"?*",GN$3:GN320,GN320)=1,MAX(IK$2:IK319)+1,""))</f>
        <v/>
      </c>
      <c r="IL320">
        <f t="shared" si="609"/>
        <v>0</v>
      </c>
      <c r="IM320">
        <f>IF(B320="","",COUNTIF(B$3:B320,"?*"))</f>
        <v>318</v>
      </c>
      <c r="IN320">
        <f>IF(GQ320&lt;&gt;1,0,_xlfn.LET(_xlpm.k,MAX(IFERROR(--VLOOKUP(B320,УГО_спр,5,FALSE),0),IFERROR(--VLOOKUP(AX320,УГО_спр,5,FALSE),0),IFERROR(--VLOOKUP(LEFT(AX320,2),УГО_спр,5,FALSE),0)),IF(_xlpm.k&gt;0,_xlpm.k,IF(IFERROR(--LEFT(SUBSTITUTE(IH320,"x","х"),FIND("х",SUBSTITUTE(IH320,"x","х"))-1),3)&gt;3,Каталог!$S$9,1))))</f>
        <v>1</v>
      </c>
      <c r="IO320">
        <f t="shared" si="610"/>
        <v>0</v>
      </c>
      <c r="IP320" t="str">
        <f t="shared" si="611"/>
        <v>авто</v>
      </c>
      <c r="IQ320" t="str">
        <f t="shared" si="612"/>
        <v/>
      </c>
      <c r="IR320">
        <f t="shared" si="613"/>
        <v>0</v>
      </c>
      <c r="IS320">
        <f t="shared" si="614"/>
        <v>1</v>
      </c>
    </row>
    <row r="321" spans="1:253" x14ac:dyDescent="0.3">
      <c r="A321" t="s">
        <v>765</v>
      </c>
      <c r="B321" t="s">
        <v>1583</v>
      </c>
      <c r="C321" t="str">
        <f>Линии[[#This Row],[_авто наименование]]</f>
        <v>Насос дренажный, пом. 005Т</v>
      </c>
      <c r="D321">
        <v>1</v>
      </c>
      <c r="E321">
        <v>0.6</v>
      </c>
      <c r="G321">
        <v>16</v>
      </c>
      <c r="H321" t="str">
        <f>Линии[[#This Row],[_авто утечка]]</f>
        <v/>
      </c>
      <c r="I321" t="str">
        <f>Линии[[#This Row],[_авто управление]]</f>
        <v/>
      </c>
      <c r="J321" t="str">
        <f>Линии[[#This Row],[_авто аппараты]]</f>
        <v/>
      </c>
      <c r="K321">
        <v>2.5</v>
      </c>
      <c r="L321">
        <v>19</v>
      </c>
      <c r="M321">
        <v>1</v>
      </c>
      <c r="N321" t="str">
        <f>Линии[[#This Row],[_авто клемма]]</f>
        <v>XT4</v>
      </c>
      <c r="O321" t="str">
        <f t="shared" si="492"/>
        <v>категория I не обеспечена (есть II)</v>
      </c>
      <c r="P321" s="6" cm="1">
        <f t="array" ref="P321">IF(B321="","",IF(BC321&lt;&gt;"",IFERROR(_xlfn.XLOOKUP(BC321,Щиты[Щит],Щиты[Iр, А]),""),IF(BK321=1,IFERROR(_xlfn.XLOOKUP(A321,Щиты[Щит],Щиты[Iр, А]),""),IFERROR(_xlfn.IFS(BR321=1,BN321/((Uн_лин/SQRT(3))*BY321),BR321=3,BN321/(SQRT(3)*Uн_лин*BY321)),""))))</f>
        <v>3.2475952641916441</v>
      </c>
      <c r="Q321" s="7">
        <f>IF(B321="","",IFERROR(IF(VLOOKUP(AX321,Потребители_обозначение,4,FALSE)=1,VLOOKUP(AX321,Потребители_обозначение,3,FALSE)*(D321*2-1)+DS321+VLOOKUP(AZ321,Этаж_обозначение,3,FALSE)+VLOOKUP(AZ321,Этаж_обозначение,4,FALSE),VLOOKUP(AX321,Потребители_обозначение,3,FALSE)*(D321*2-1)+DS321),DS321))</f>
        <v>22</v>
      </c>
      <c r="R321" s="6">
        <f t="shared" si="493"/>
        <v>2.57</v>
      </c>
      <c r="S321" t="str">
        <f t="shared" si="494"/>
        <v>ВВГнг(А)-LS (3х2,5)</v>
      </c>
      <c r="T321" t="str">
        <f>IF(BH321="","",IF(BI321="вводной узел","узел ","")&amp;"л."&amp;(INT((BH321-1)/Столбцов_на_лист)+1)&amp;" / "&amp;(MOD(BH321-1,Столбцов_на_лист)+1))</f>
        <v>л.2 / 4</v>
      </c>
      <c r="V321">
        <v>1</v>
      </c>
      <c r="W321">
        <v>230</v>
      </c>
      <c r="X321" t="s">
        <v>600</v>
      </c>
      <c r="Y321">
        <v>0.5</v>
      </c>
      <c r="AC321" t="s">
        <v>861</v>
      </c>
      <c r="AE321" t="s">
        <v>606</v>
      </c>
      <c r="AI321">
        <v>21</v>
      </c>
      <c r="AJ321" t="s">
        <v>11</v>
      </c>
      <c r="AK321">
        <v>3</v>
      </c>
      <c r="AM321">
        <v>1</v>
      </c>
      <c r="AN321">
        <v>18</v>
      </c>
      <c r="AO321">
        <v>0</v>
      </c>
      <c r="AP321">
        <v>1</v>
      </c>
      <c r="AW321" cm="1">
        <f t="array" ref="AW321">ROW()-ROW(Линии[#Headers])</f>
        <v>319</v>
      </c>
      <c r="AX321" s="6" t="str">
        <f t="shared" si="495"/>
        <v>НВК</v>
      </c>
      <c r="AY321" t="str">
        <f t="shared" si="496"/>
        <v>00.005Т.3</v>
      </c>
      <c r="AZ321" t="str">
        <f t="shared" si="497"/>
        <v>00</v>
      </c>
      <c r="BA321" t="str">
        <f t="shared" si="498"/>
        <v>005Т.3</v>
      </c>
      <c r="BB321" t="str">
        <f t="shared" si="499"/>
        <v>005Т</v>
      </c>
      <c r="BC321" t="str">
        <f>IF(U321&lt;&gt;"",U321,IF(AND(B321&lt;&gt;"",B321&lt;&gt;A321,ISNUMBER(_xlfn.XMATCH(B321,Щиты[Щит]))),B321,""))</f>
        <v/>
      </c>
      <c r="BD321" t="str" cm="1">
        <f t="array" ref="BD321">IF(B321="","",IF(BC321&lt;&gt;"","Щит "&amp;BC321,_xlfn.LET(_xlpm.nm,IFERROR(_xlfn.XLOOKUP(AX321,Коды_код,Коды_имя)&amp;"",""),_xlpm.md,IFERROR(N(_xlfn.XLOOKUP(AX321,Коды_код,Коды_режим)),1),_xlpm.ex,IF(Имя_режим="по экспликации",IFERROR(_xlfn.XLOOKUP(AZ321&amp;"|"&amp;BB321,Экспликация[Этаж]&amp;"|"&amp;Экспликация[Помещение],Экспликация[Название])&amp;"",""),""),_xlpm.rm,IF(BB321="","",IF(_xlpm.ex&lt;&gt;"",". "&amp;_xlpm.ex&amp;IF(Имя_пом="нет"," ("&amp;BB321&amp;")"," (пом. "&amp;BB321&amp;")"),IF(Имя_пом="нет"," ",", пом. ")&amp;BB321)),IF(_xlpm.nm="","",IF(_xlpm.md=2,_xlpm.nm&amp;" шлейф "&amp;AZ321,_xlpm.nm&amp;_xlpm.rm)))))</f>
        <v>Насос дренажный, пом. 005Т</v>
      </c>
      <c r="BE321" t="str">
        <f t="shared" si="500"/>
        <v>Насос дренажный, пом. 005Т</v>
      </c>
      <c r="BF321">
        <f>IFERROR(_xlfn.XMATCH(A321,Щиты[Щит]),0)</f>
        <v>13</v>
      </c>
      <c r="BG321">
        <f>_xlfn.LET(_xlpm.k,IFERROR(_xlfn.XLOOKUP(A321,Щиты[Щит],Щиты[Листов под вводной узел]),""),IF(_xlpm.k="",1,N(_xlpm.k))*Столбцов_на_лист)</f>
        <v>17</v>
      </c>
      <c r="BH321">
        <f t="shared" si="501"/>
        <v>21</v>
      </c>
      <c r="BI321" t="str">
        <f t="shared" si="502"/>
        <v>линии</v>
      </c>
      <c r="BJ321" s="6">
        <f>IFERROR(N(_xlfn.XLOOKUP(AX321,Коды_код,Коды_квт)),0)</f>
        <v>0</v>
      </c>
      <c r="BK321">
        <f t="shared" si="503"/>
        <v>0</v>
      </c>
      <c r="BL321" t="str">
        <f>IF(B321="","",IF(BC321&lt;&gt;"",IFERROR(_xlfn.XLOOKUP(BC321,Щиты[Щит],Щиты[Руст, кВт]),0),IF(BK321=1,IFERROR(_xlfn.XLOOKUP(A321,Щиты[Щит],Щиты[Руст, кВт]),0),IF(BJ321&gt;0,ROUND(BJ321*MAX(1,N(D321)),3),""))))</f>
        <v/>
      </c>
      <c r="BM321">
        <f t="shared" si="504"/>
        <v>0.6</v>
      </c>
      <c r="BN321" s="6">
        <f>IF(B321="","",IF(BC321&lt;&gt;"",IFERROR(_xlfn.XLOOKUP(BC321,Щиты[Щит],Щиты[Руст, кВт]),0),N(BM321)))</f>
        <v>0.6</v>
      </c>
      <c r="BO321" t="str">
        <f>IF(B321="","",IFERROR(IF(VLOOKUP(AX321,Потребители_обозначение,8,FALSE)=0,"",VLOOKUP(AX321,Потребители_обозначение,8,FALSE)),""))</f>
        <v/>
      </c>
      <c r="BP321">
        <f t="shared" si="505"/>
        <v>230</v>
      </c>
      <c r="BQ321">
        <f>IF(B321="","",IF(BC321&lt;&gt;"",3,IFERROR(IF(N(VLOOKUP(AX321,Потребители_обозначение,9,FALSE))=0,1,VLOOKUP(AX321,Потребители_обозначение,9,FALSE)),1)))</f>
        <v>1</v>
      </c>
      <c r="BR321">
        <f t="shared" si="506"/>
        <v>1</v>
      </c>
      <c r="BS321" t="str">
        <f>IF(B321="","",_xlfn.LET(_xlpm.bc,IFERROR(IF(VLOOKUP(AX321,Потребители_обозначение,6,FALSE)=0,"",VLOOKUP(AX321,Потребители_обозначение,6,FALSE)&amp;""),""),IF(AND(FK321="да",OR(_xlpm.bc="",_xlpm.bc="мс")),Марка_пож,IF(AND(_xlpm.bc="",BC321&lt;&gt;""),"мс",_xlpm.bc))))</f>
        <v/>
      </c>
      <c r="BT321" t="str">
        <f t="shared" si="507"/>
        <v>мс</v>
      </c>
      <c r="BU321">
        <f>IF(B321="","",_xlfn.LET(_xlpm.cc,IFERROR(N(VLOOKUP(AX321,Потребители_обозначение,7,FALSE)),0),IF(_xlpm.cc&gt;0,_xlpm.cc,IF(BT321="","",IF(N(BR321)=3,5,3)))))</f>
        <v>3</v>
      </c>
      <c r="BV321">
        <f t="shared" si="508"/>
        <v>3</v>
      </c>
      <c r="BW321">
        <f>IFERROR(N(VLOOKUP(AX321,Потребители_обозначение,10,FALSE)),0)</f>
        <v>0</v>
      </c>
      <c r="BX321">
        <f>IFERROR(VLOOKUP(AX321,Потребители_обозначение,5,FALSE),0)</f>
        <v>1</v>
      </c>
      <c r="BY321" s="6" cm="1">
        <f t="array" ref="BY321">IF(B321="","",IF(BC321&lt;&gt;"",IFERROR(_xlfn.XLOOKUP(BC321,Щиты[Щит],Щиты[cos φ]),0.95),IF(BK321=1,IFERROR(_xlfn.XLOOKUP(A321,Щиты[Щит],Щиты[cos φ]),0.95),IF(ISNUMBER(Z321),Z321,IFERROR(IF(BX321=2,_xlfn.IFS(BR321=3,VLOOKUP(BN321,Справочная_двигатели,8,FALSE),BR321=1,VLOOKUP(BN321,Справочная_двигатели,10,TRUE)),IF(AND(Методика="нормы 2026",EQ321="Сил"),0.8,0.95)),0.95)))))</f>
        <v>0.8</v>
      </c>
      <c r="BZ321">
        <f t="shared" si="509"/>
        <v>0</v>
      </c>
      <c r="CA321">
        <f t="shared" si="510"/>
        <v>1</v>
      </c>
      <c r="CB321">
        <f t="shared" si="511"/>
        <v>0</v>
      </c>
      <c r="CC321">
        <f t="shared" si="512"/>
        <v>0</v>
      </c>
      <c r="CD321">
        <f t="shared" si="513"/>
        <v>0</v>
      </c>
      <c r="CE321">
        <f t="shared" si="514"/>
        <v>0</v>
      </c>
      <c r="CF321">
        <f t="shared" si="515"/>
        <v>0</v>
      </c>
      <c r="CG321">
        <f>IF(AX321="",0,_xlfn.LET(_xlpm.v,IFERROR(VLOOKUP(B321,УГО_спр,3,FALSE),IFERROR(VLOOKUP(AX321,УГО_спр,3,FALSE),IFERROR(VLOOKUP(LEFT(AX321,2),УГО_спр,3,FALSE),""))),IF(_xlpm.v="да",30,IF(ISNUMBER(_xlpm.v),_xlpm.v,0))))</f>
        <v>0</v>
      </c>
      <c r="CH321" t="str">
        <f t="shared" si="516"/>
        <v/>
      </c>
      <c r="CI321" t="str">
        <f>_xlfn.LET(_xlpm.k,IFERROR(_xlfn.XLOOKUP(AX321,Коды_код,Коды_утечка)&amp;"",""),IF(_xlpm.k="","дифавтомат",_xlpm.k))</f>
        <v>дифавтомат</v>
      </c>
      <c r="CJ321">
        <f t="shared" si="517"/>
        <v>0</v>
      </c>
      <c r="CK321">
        <f t="shared" si="518"/>
        <v>0</v>
      </c>
      <c r="CL321">
        <f>IF(B321="",0,IFERROR(--VLOOKUP(B321,УГО_спр,4,FALSE),IFERROR(--VLOOKUP(AX321,УГО_спр,4,FALSE),IFERROR(--VLOOKUP(LEFT(AX321,2),УГО_спр,4,FALSE),0))))</f>
        <v>0</v>
      </c>
      <c r="CM321" t="str">
        <f>IF(B321="","",IFERROR(_xlfn.XLOOKUP(AX321,Коды_код,Коды_апп)&amp;"",""))</f>
        <v/>
      </c>
      <c r="CN321" t="str">
        <f t="shared" si="519"/>
        <v/>
      </c>
      <c r="CO321" t="str" cm="1">
        <f t="array" ref="CO321">IF(TRIM(CN321&amp;"")="","",IFERROR(TRIM(INDEX(_xlfn.TEXTSPLIT(CN321&amp;";;;",";"),1)),""))</f>
        <v/>
      </c>
      <c r="CP321" t="str" cm="1">
        <f t="array" ref="CP321">IF(TRIM(CN321&amp;"")="","",IFERROR(TRIM(INDEX(_xlfn.TEXTSPLIT(CN321&amp;";;;",";"),2)),""))</f>
        <v/>
      </c>
      <c r="CQ321" t="str" cm="1">
        <f t="array" ref="CQ321">IF(TRIM(CN321&amp;"")="","",IFERROR(TRIM(INDEX(_xlfn.TEXTSPLIT(CN321&amp;";;;",";"),3)),""))</f>
        <v/>
      </c>
      <c r="CR321">
        <f t="shared" si="520"/>
        <v>0</v>
      </c>
      <c r="CS321" t="str">
        <f>IF(B321="","",_xlfn.LET(_xlpm.t,LOWER(AV321&amp;""),IF(ISNUMBER(SEARCH("dim",_xlpm.t)),"DIM",IF(ISNUMBER(SEARCH("dali",_xlpm.t)),"DALI",IF(OR(ISNUMBER(SEARCH("relay",_xlpm.t)),ISNUMBER(SEARCH("реле",_xlpm.t))),"Relay",IF(ISNUMBER(SEARCH("кнопк",_xlpm.t)),"",IFERROR(_xlfn.XLOOKUP(AX321,Коды_код,Коды_упр)&amp;"","")))))))</f>
        <v/>
      </c>
      <c r="CT321" t="str">
        <f t="shared" si="521"/>
        <v/>
      </c>
      <c r="CU321">
        <f>IF(B321="","",_xlfn.LET(_xlpm.ig,N(P321)+IF(AF321="вручную",0,N(CB321)),_xlpm.n0,IFERROR(VLOOKUP(_xlpm.ig,Автомат_номиналы,2,TRUE),0),_xlpm.mn,MAX(CL321,IF(AF321="вручную",0,N(CE321))),MAX(_xlpm.n0,_xlpm.mn,IF(CR321=1,Мин_автомат_БП,0))))</f>
        <v>6</v>
      </c>
      <c r="CV321">
        <f t="shared" si="522"/>
        <v>1</v>
      </c>
      <c r="CW321" t="str">
        <f t="shared" si="523"/>
        <v>1P</v>
      </c>
      <c r="CX321" t="str">
        <f>_xlfn.LET(_xlpm.cc,UPPER(TRIM(IFERROR(_xlfn.XLOOKUP(AX321,Коды_код,Коды_хар)&amp;"",""))),IF(OR(_xlpm.cc="B",_xlpm.cc="В"),"B",IF(_xlpm.cc="D","D","С")))</f>
        <v>С</v>
      </c>
      <c r="CY321" t="str">
        <f t="shared" si="524"/>
        <v>1P С6А</v>
      </c>
      <c r="CZ321">
        <f t="shared" si="525"/>
        <v>16</v>
      </c>
      <c r="DA321" t="str">
        <f t="shared" si="526"/>
        <v>1P С16А</v>
      </c>
      <c r="DB321" cm="1">
        <f t="array" ref="DB321">IF(DA321="","",_xlfn.LET(_xlpm.t,SUBSTITUTE(SUBSTITUTE(SUBSTITUTE(UPPER(DA321),"С","C"),"А","A"),"В","B"),_xlpm.tk,_xlfn.TEXTSPLIT(_xlpm.t,"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1" t="str">
        <f t="shared" si="527"/>
        <v>ok</v>
      </c>
      <c r="DD321">
        <f t="shared" si="528"/>
        <v>16</v>
      </c>
      <c r="DE321" t="str">
        <f t="shared" si="529"/>
        <v>1P С16А</v>
      </c>
      <c r="DF321">
        <f t="shared" si="530"/>
        <v>0</v>
      </c>
      <c r="DG321">
        <f t="shared" si="531"/>
        <v>0</v>
      </c>
      <c r="DH321">
        <f t="shared" si="532"/>
        <v>0</v>
      </c>
      <c r="DI321">
        <f t="shared" si="533"/>
        <v>3.2475952641916441</v>
      </c>
      <c r="DJ321">
        <f t="shared" si="534"/>
        <v>1</v>
      </c>
      <c r="DK321">
        <f>IF(ISNUMBER(AL321),AL321,К_прокл)</f>
        <v>1</v>
      </c>
      <c r="DL321">
        <f t="shared" si="535"/>
        <v>2</v>
      </c>
      <c r="DM321">
        <f>IFERROR(N(VLOOKUP(BT321,Кабель_обозначение,3,FALSE)),1)</f>
        <v>1</v>
      </c>
      <c r="DN321">
        <f>IFERROR(N(_xlfn.XLOOKUP(A321,Щиты[Щит],Щиты[ΔU до шин, %])),0)</f>
        <v>2.1199999999999997</v>
      </c>
      <c r="DO321" t="str">
        <f>IFERROR(_xlfn.XLOOKUP(A321,Щиты[Щит],Щиты[Zпетли на шинах, Ом]),"")</f>
        <v/>
      </c>
      <c r="DP321">
        <f>IFERROR(N(_xlfn.XLOOKUP(A321,Щиты[Щит],Щиты[ΔU до шин (подбор), %])),0)</f>
        <v>3.3699999999999997</v>
      </c>
      <c r="DQ321" t="str">
        <f>IFERROR(_xlfn.XLOOKUP(A321,Щиты[Щит],Щиты[Zпетли на шинах (подбор), Ом]),"")</f>
        <v/>
      </c>
      <c r="DR321" t="str">
        <f t="shared" si="536"/>
        <v/>
      </c>
      <c r="DS321">
        <f t="shared" si="537"/>
        <v>19</v>
      </c>
      <c r="DT321">
        <f t="shared" si="538"/>
        <v>2</v>
      </c>
      <c r="DU321">
        <f t="shared" si="539"/>
        <v>0.6</v>
      </c>
      <c r="DV321" s="6">
        <f>IF(B321="","",IF(IFERROR(VLOOKUP(AX321,УГО_спр,2,FALSE),"")="Светильник",3,4)+IF(Методика="нормы 2026",MIN(0.5,MAX(0,N(Q321)-100)*0.005),0))</f>
        <v>4</v>
      </c>
      <c r="DW321" cm="1">
        <f t="array" ref="DW321">IF(OR(B321="",BT321="",DM321&lt;&gt;1),"",_xlfn.LET(_xlpm.sz,Iдоп_S,_xlpm.t_,CHOOSE(DL321,Iдоп_1ж,Iдоп_2ж,Iдоп_3ж)*DJ321*DK321,_xlpm.inn,N(DD321),_xlpm.smin,MAX(1.5,BW321),_xlpm.L_,N(Q321)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321)*(_xlpm.rho*_xlpm.L_/_xlpm.sz*N(BY321)+_xlpm.xx*_xlpm.L_*N(DU321)/1000)*N(P321)/((Uн_лин/SQRT(3))*1000)*100,999),_xlpm.kz,IF(OR(DG321=1,NOT(ISNUMBER(DQ321)),_xlpm.L_=0,_xlpm.inn=0),1,IFERROR(--(c_min*(Uн_лин*1000/SQRT(3))/(DQ321+2*ρкз_Cu*_xlpm.L_/_xlpm.sz)&gt;=GY321*_xlpm.inn),0)),_xlpm.ok,IFERROR((_xlpm.sz&gt;=_xlpm.smin)*(_xlpm.t_&gt;=_xlpm.inn)*IF(_xlpm.L_&gt;0,(_xlpm.du_+DP321&lt;=DV321+0.00001),1)*_xlpm.kz,0),_xlpm.r_,_xlfn._xlws.FILTER(_xlpm.sz,_xlpm.ok,"не подобрано"),INDEX(_xlpm.r_,1)))</f>
        <v>2.5</v>
      </c>
      <c r="DX321">
        <f t="shared" si="540"/>
        <v>2.5</v>
      </c>
      <c r="DY321" cm="1">
        <f t="array" ref="DY321">IF(OR(B321="",BT321="",DM321&lt;&gt;1),"",_xlfn.LET(_xlpm.sz,Iдоп_S,_xlpm.t_,CHOOSE(DL321,Iдоп_1ж,Iдоп_2ж,Iдоп_3ж)*DJ321*DK321,_xlpm.ok,IFERROR((_xlpm.sz&gt;=MAX(1.5,BW321))*(_xlpm.t_&gt;=N(DD321)),0),_xlpm.r_,_xlfn._xlws.FILTER(_xlpm.sz,_xlpm.ok,""),INDEX(_xlpm.r_,1)))</f>
        <v>1.5</v>
      </c>
      <c r="DZ321" s="6" cm="1">
        <f t="array" ref="DZ321">IFERROR(ROUNDUP(N(DT321)*(_xlfn.XLOOKUP(DY321,INDEX(Кабель_сопротивление,0,1),INDEX(Кабель_сопротивление,0,3))*N(Q321)/DY321*N(BY321)+_xlfn.XLOOKUP(DY321,INDEX(Кабель_сопротивление,0,1),INDEX(Кабель_сопротивление,0,2))*N(Q321)*N(DU321)/1000)*N(P321)/((Uн_лин/SQRT(3))*1000)*100,2),"")</f>
        <v>0.75</v>
      </c>
      <c r="EA321">
        <f>IFERROR(2*ρкз_Cu*N(Q321)/DY321,"")</f>
        <v>0.77146666666666663</v>
      </c>
      <c r="EB321">
        <f>IFERROR(VLOOKUP(DX321,Кабель_сопротивление,3,FALSE),"")</f>
        <v>2.2499999999999999E-2</v>
      </c>
      <c r="EC321">
        <f>IFERROR(VLOOKUP(DX321,Кабель_сопротивление,2,FALSE),"")</f>
        <v>0.1</v>
      </c>
      <c r="ED321">
        <f t="shared" si="541"/>
        <v>18</v>
      </c>
      <c r="EE321">
        <f t="shared" si="542"/>
        <v>0</v>
      </c>
      <c r="EF321">
        <f t="shared" si="543"/>
        <v>1.0374118311933789</v>
      </c>
      <c r="EG321" s="6">
        <f>IFERROR(ROUNDUP(EF321/((Uн_лин/SQRT(3))*1000)*100,2),"")</f>
        <v>0.45</v>
      </c>
      <c r="EH321" t="str">
        <f>IFERROR(VLOOKUP(BT321,Кабель_обозначение,2,FALSE),"")</f>
        <v>ВВГнг(А)-LS</v>
      </c>
      <c r="EI321" t="str">
        <f t="shared" si="544"/>
        <v>ВВГнг(А)-LS (3х2,5)</v>
      </c>
      <c r="EJ321" t="str">
        <f t="shared" si="545"/>
        <v>ВВГнг(А)-LS (3х2,5)
L=22-0,45%</v>
      </c>
      <c r="EK321">
        <f>IFERROR(2*ρкз_Cu*Q321/DX321,"")</f>
        <v>0.46288000000000001</v>
      </c>
      <c r="EL321">
        <f t="shared" si="546"/>
        <v>0.154</v>
      </c>
      <c r="EM321" s="6" t="str">
        <f>IFERROR(IF(OR(B321="",NOT(ISNUMBER(DX321)),N(Q321)=0),"",_xlfn.XLOOKUP(A321,Щиты[Щит],Щиты[Zпетли на шинах, Ом])+EK321),"")</f>
        <v/>
      </c>
      <c r="EN321" s="6" t="str">
        <f>IF(ISNUMBER(EM321),c_min*(Uн_лин*1000/SQRT(3))/EM321,"")</f>
        <v/>
      </c>
      <c r="EO321" s="6" t="str">
        <f>IFERROR(IF(OR(B321="",NOT(ISNUMBER(DX321))),"",1.05*(Uн_лин*1000/SQRT(3))/(_xlfn.XLOOKUP(A321,Щиты[Щит],Щиты[Zmax на шинах, Ом])+EL321)/1000),"")</f>
        <v/>
      </c>
      <c r="EP321" s="6" t="str">
        <f>IF(B321="","",IF(ISNUMBER(Y321),"Сил",IF(IFERROR(_xlfn.XLOOKUP(AX321,Коды_код,Коды_группа)&amp;"","")="","Быт",_xlfn.XLOOKUP(AX321,Коды_код,Коды_группа)&amp;"")))</f>
        <v>Сил</v>
      </c>
      <c r="EQ321" s="6" t="str">
        <f t="shared" si="547"/>
        <v>Сил</v>
      </c>
      <c r="ER321" s="6">
        <f>IF(EQ321="Щит","щит",IF(EQ321="","",IF(EQ321="Быт",IFERROR(_xlfn.XLOOKUP(A321,Щиты[Щит],Щиты[Кс быт]),1),IF(EQ321="Сил",IF(ISNUMBER(Y321),Y321,IF(Методика="нормы 2026",IFERROR(_xlfn.XLOOKUP(A321,Щиты[Щит],Щиты[Кс силовых (табл. 7.5)]),1),1)),IF(OR(EQ321="Пост",EQ321="Отоп"),1,IF(EQ321="ВНГ",0.7,0))))))</f>
        <v>0.5</v>
      </c>
      <c r="ES321">
        <f t="shared" si="548"/>
        <v>1</v>
      </c>
      <c r="ET321">
        <f t="shared" si="549"/>
        <v>0.6</v>
      </c>
      <c r="EU321">
        <f t="shared" si="550"/>
        <v>0</v>
      </c>
      <c r="EV321">
        <f t="shared" si="551"/>
        <v>0.3</v>
      </c>
      <c r="EW321">
        <f t="shared" si="552"/>
        <v>0</v>
      </c>
      <c r="EX321">
        <f t="shared" si="553"/>
        <v>0</v>
      </c>
      <c r="EY321">
        <f t="shared" si="554"/>
        <v>0</v>
      </c>
      <c r="EZ321">
        <f t="shared" si="555"/>
        <v>0.6</v>
      </c>
      <c r="FA321">
        <f t="shared" si="556"/>
        <v>0.48</v>
      </c>
      <c r="FB321">
        <f t="shared" si="557"/>
        <v>0.6</v>
      </c>
      <c r="FC321" t="str">
        <f t="shared" si="558"/>
        <v>L1</v>
      </c>
      <c r="FD321" t="str">
        <f>IF(B321="","",IF(CA321=0,IF(AW321=1,"",FF320),IF(OR(N(CV321)&gt;=3,N(BR321)&gt;=3),"L1,L2,L3",IFERROR(_xlfn.TEXTBEFORE(_xlfn.TEXTAFTER(_xlfn.XLOOKUP(A321,Щиты[Щит],Щиты[_фазы авто]),";"&amp;AW321&amp;":"),";"),"L1"))))</f>
        <v>L1</v>
      </c>
      <c r="FE321" t="str">
        <f t="shared" si="559"/>
        <v>L1</v>
      </c>
      <c r="FF321" t="str">
        <f t="shared" si="560"/>
        <v>L1</v>
      </c>
      <c r="FG321" cm="1">
        <f t="array" ref="FG321">IFERROR(IF(BX321=2,_xlfn.IFS(BR321=3,VLOOKUP(BN321,Справочная_двигатели,3,FALSE),BR321=1,VLOOKUP(BN321,Справочная_двигатели,5,TRUE)),0),0)</f>
        <v>0</v>
      </c>
      <c r="FH321">
        <f>IFERROR(IF(BX321=3,VLOOKUP(BN321,Справочная_ЛЭД,2,TRUE),0),0)</f>
        <v>0</v>
      </c>
      <c r="FI321" s="6">
        <f t="shared" si="561"/>
        <v>0</v>
      </c>
      <c r="FJ321" t="str" cm="1">
        <f t="array" ref="FJ321">IF(B321="","",IFERROR(INDEX({"I особая","I","II","III"},MATCH(TRIM(AC321&amp;""),{"I особая","I","II","III"},0)),"III"))</f>
        <v>I</v>
      </c>
      <c r="FK321" t="str">
        <f>IF(B321="","",IF(TRIM(AD321&amp;"")&lt;&gt;"",IF(LOWER(TRIM(AD321&amp;""))="да","да","нет"),IF(IFERROR(_xlfn.XLOOKUP(AX321,Коды_код,Коды_пожарная),"")="да","да","нет")))</f>
        <v>нет</v>
      </c>
      <c r="FL321" t="str">
        <f t="shared" si="562"/>
        <v/>
      </c>
      <c r="FM321" t="str">
        <f t="shared" si="563"/>
        <v>основная</v>
      </c>
      <c r="FN321">
        <f t="shared" si="564"/>
        <v>1</v>
      </c>
      <c r="FO321" t="str" cm="1">
        <f t="array" ref="FO321">IF(B321="","",_xlfn.LET(_xlpm.t,IFERROR(_xlfn.XLOOKUP(1,(Шины[Шина]=FM321)*(((Шины[Щит]=A321)+(Шины[Щит]=""))&gt;0),Шины[Тип]),"")&amp;"",IF(_xlpm.t&lt;&gt;"",_xlpm.t,IF(ISNUMBER(SEARCH("ИБП",FM321)),"ИБП",IF(ISNUMBER(SEARCH("ДГУ",FM321)),"ДГУ","Ввод "&amp;FN321)))))</f>
        <v>Ввод 1</v>
      </c>
      <c r="FP321" t="str">
        <f t="shared" si="565"/>
        <v>Ввод 1</v>
      </c>
      <c r="FQ321" t="str">
        <f>IF(B321="","",IF(OR(FO321="ИБП",FO321="ДГУ"),"I особая",IF(FO321="Одиночная","III",_xlfn.XLOOKUP(A321,Щиты[Щит],Щиты[Категория шины «Ввод»],"III"))))</f>
        <v>II</v>
      </c>
      <c r="FR321">
        <f>IF(B321="",0,IFERROR(MATCH(FJ321,{"III","II","I","I особая"},0),1))</f>
        <v>3</v>
      </c>
      <c r="FS321">
        <f t="shared" si="566"/>
        <v>3</v>
      </c>
      <c r="FT321" t="str">
        <f>IF(B321="","",IF(FR321&gt;IFERROR(MATCH(FQ321,{"III","II","I","I особая"},0),1),"НЕ ОБЕСПЕЧЕНА","ОК"))</f>
        <v>НЕ ОБЕСПЕЧЕНА</v>
      </c>
      <c r="FU321" t="str">
        <f>IF(A321="","",_xlfn.XLOOKUP(A321,Щиты[Щит],Щиты[Путь],""))</f>
        <v>|ГРЩ-ЖД|ЩС-ВК.001|</v>
      </c>
      <c r="FV321" t="str">
        <f>IF(B321="","",IF(AE321&lt;&gt;"",AE321,IF(IFERROR(_xlfn.XLOOKUP(AX321,Коды_код,Коды_вид)&amp;"","")="","Прочее",_xlfn.XLOOKUP(AX321,Коды_код,Коды_вид)&amp;"")))</f>
        <v>Насосы (водоснабжение, дренаж)</v>
      </c>
      <c r="FW321">
        <f>IF(BH321="","",INT((BH321-1)/Столбцов_на_лист)+1)</f>
        <v>2</v>
      </c>
      <c r="FX321" t="str">
        <f t="shared" si="567"/>
        <v>ВВГнг(А)-LS (3х2,5) L=22-0,45%</v>
      </c>
      <c r="FY321">
        <f t="shared" si="568"/>
        <v>0.6</v>
      </c>
      <c r="FZ321">
        <f t="shared" si="569"/>
        <v>3.25</v>
      </c>
      <c r="GA321">
        <f t="shared" si="570"/>
        <v>1</v>
      </c>
      <c r="GB321">
        <f t="shared" si="571"/>
        <v>0</v>
      </c>
      <c r="GC321">
        <f t="shared" si="572"/>
        <v>1</v>
      </c>
      <c r="GD321">
        <f>IF(BH321="","",IF(AND(CA321=1,GC321=1),COUNTIFS(A$3:A321,A321,CA$3:CA321,1,GC$3:GC321,1),IF(OR(OR(AW321=1,A321&lt;&gt;A320),AF321="вручную",GC321=0),"",IF(AW321=1,"",GE320))))</f>
        <v>4</v>
      </c>
      <c r="GE321">
        <f t="shared" si="573"/>
        <v>4</v>
      </c>
      <c r="GF321">
        <f>IF(B321="","",IFERROR(LOOKUP(INDEX(CHOOSE(DL321,Iдоп_1ж,Iдоп_2ж,Iдоп_3ж),MATCH(DX321,Iдоп_S,0))*DJ321*DK321,{6,10,16,20,25,32,40,50,63,80,100,125,160,200,250,315,400,500,630}),""))</f>
        <v>25</v>
      </c>
      <c r="GG321" t="str">
        <f t="shared" si="574"/>
        <v>QF4</v>
      </c>
      <c r="GH321" t="str">
        <f t="shared" si="575"/>
        <v>QF4</v>
      </c>
      <c r="GI321" t="str">
        <f t="shared" si="576"/>
        <v/>
      </c>
      <c r="GJ321">
        <f t="shared" si="577"/>
        <v>0</v>
      </c>
      <c r="GK321" t="str">
        <f>IF(OR(AG321="",AG321="-"),"",IFERROR(VLOOKUP(AG321,Модули_спр,2,FALSE),"R"))</f>
        <v/>
      </c>
      <c r="GL321" t="str">
        <f>IF(GK321="","",GK321&amp;"."&amp;COUNTIFS(A$3:A321,A321,GK$3:GK321,GK321))</f>
        <v/>
      </c>
      <c r="GM321" t="str">
        <f t="shared" si="578"/>
        <v/>
      </c>
      <c r="GN321" t="str">
        <f t="shared" si="579"/>
        <v/>
      </c>
      <c r="GO321" t="str">
        <f t="shared" si="580"/>
        <v/>
      </c>
      <c r="GP321" t="str">
        <f t="shared" si="581"/>
        <v/>
      </c>
      <c r="GQ321">
        <f t="shared" si="582"/>
        <v>1</v>
      </c>
      <c r="GR321" t="str">
        <f>IF(GQ321=1,"XT"&amp;COUNTIFS(A$3:A321,A321,GQ$3:GQ321,1),"")</f>
        <v>XT4</v>
      </c>
      <c r="GS321" t="str">
        <f t="shared" si="583"/>
        <v>XT4</v>
      </c>
      <c r="GT321" t="str">
        <f t="shared" si="584"/>
        <v>QF4</v>
      </c>
      <c r="GU321" t="str">
        <f t="shared" si="585"/>
        <v/>
      </c>
      <c r="GV321" t="str">
        <f t="shared" si="586"/>
        <v>ok</v>
      </c>
      <c r="GW321" t="str">
        <f>IF(OR(GO321="",GM321=""),"",IF(GO321&gt;IFERROR(VLOOKUP(GN321,Модули_спр,3,FALSE),99),"ЛИШНИЙ КАНАЛ",IF(AND(AH321&lt;&gt;"=",COUNTIFS(Линии[_модуль гр.],GM321,Линии[Канал (итог)],GO321,Линии[Канал],"&lt;&gt;=",Линии[Щит],A321)&gt;1),"ДУБЛЬ КАНАЛА","")))</f>
        <v/>
      </c>
      <c r="GX321" s="6" t="str">
        <f t="shared" si="587"/>
        <v/>
      </c>
      <c r="GY321">
        <f t="shared" si="588"/>
        <v>10</v>
      </c>
      <c r="GZ321" t="str">
        <f t="shared" si="589"/>
        <v/>
      </c>
      <c r="HA321" t="str">
        <f>IF(AND(B321="",GT321=""),"",_xlfn.TEXTJOIN("; ",TRUE,IF(AND(B321&lt;&gt;"",FE321=""),"нет фазы",""),IF(AND(B321&lt;&gt;"",N(FY321)=0,EQ321&lt;&gt;"Нет"),"нет мощности",""),IF(AND(GS321&lt;&gt;"",COUNTIFS(Линии[Щит],A321,Линии[Клемма (итог)],GS321)&gt;1),"дубль клеммы "&amp;GS321,""),IF(AND(GV321&lt;&gt;"",GV321&lt;&gt;"ok"),GV321,""),IF(GW321&lt;&gt;"",GW321,""),IF(AND(N(BV321)&gt;=4,N(BR321)=1),BV321&amp;" жил на 1 фазе",""),IF(AND(AX321="R",CA321=1,OR(N(CK321)=0,N(CK321)&gt;30)),"розетка без дифзащиты до 30 мА",""),IFERROR(IF(AND(ISNUMBER(R321),R321&gt;DV321),"потери "&amp;FIXED(R321,1)&amp;" % &gt; "&amp;DV321&amp;" %",""),""),IFERROR(IF(LEFT(GZ321,4)="мало","Iкз мало — отключение &gt; 0,4 с",""),""),IF(AND(B321&lt;&gt;"",BH321=""),"не на схеме",""),IF(AND(CA321=0,B321&lt;&gt;"",FE321&lt;&gt;"",IF(AW321=1,"",FF320)&lt;&gt;"",FE321&lt;&gt;IF(AW321=1,"",FF320)),"фаза не как у автомата группы ("&amp;IF(AW321=1,"",FF320)&amp;")","")))</f>
        <v/>
      </c>
      <c r="HB321" s="6">
        <f>IF(OR(CA321=0,DA321=""),"",_xlfn.LET(_xlpm.t,IFERROR(_xlfn.XLOOKUP(DA321,Каталог!$U$4:$U$500,Каталог!$G$4:$G$500),""),_xlpm.k,SEARCH("кА",_xlpm.t),IFERROR(--TRIM(RIGHT(SUBSTITUTE(MID(_xlpm.t,MAX(1,_xlpm.k-4),_xlpm.k-MAX(1,_xlpm.k-4))," ",REPT(" ",9)),5)),"")))</f>
        <v>6</v>
      </c>
      <c r="HC321" t="str">
        <f>IF(OR(HB321="",CA321=0),"",IF(_xlfn.XLOOKUP(A321,Щиты[Щит],Щиты[Iкз max на шинах, кА],"")="","",IF(HB321&lt;_xlfn.XLOOKUP(A321,Щиты[Щит],Щиты[Iкз max на шинах, кА]),"Icu "&amp;HB321&amp;" кА &lt; Iкз max","ok")))</f>
        <v/>
      </c>
      <c r="HD321" t="str">
        <f t="shared" si="590"/>
        <v/>
      </c>
      <c r="HE321" t="str">
        <f t="shared" si="591"/>
        <v>QF4|XT4</v>
      </c>
      <c r="HF321" t="str">
        <f t="shared" si="592"/>
        <v>QF4|XT4|кабель ВВГнг(А)-LS (3х2,5) → Насос дренажный, пом. 005Т</v>
      </c>
      <c r="HG321" t="str" cm="1">
        <f t="array" ref="HG321">IF(HF321="","",_xlfn.LET(_xlpm.nd,_xlfn.TEXTSPLIT(HF321,"|"),IF(COLUMNS(_xlpm.nd)&gt;1,A321&amp;"¦"&amp;INDEX(_xlpm.nd,1)&amp;"¦"&amp;INDEX(_xlpm.nd,2),"")))</f>
        <v>ЩС-ВК.001¦QF4¦XT4</v>
      </c>
      <c r="HH321" t="str">
        <f t="shared" si="593"/>
        <v>НВК.00.005Т.3¦Насос дренажный, пом. 005Т</v>
      </c>
      <c r="HI321" t="str" cm="1">
        <f t="array" ref="HI321">IF(HF321="","",_xlfn.LET(_xlpm.nd,_xlfn.TEXTSPLIT(HF321,"|"),IF(COLUMNS(_xlpm.nd)&gt;2,A321&amp;"¦"&amp;INDEX(_xlpm.nd,2)&amp;"¦"&amp;INDEX(_xlpm.nd,3),"")))</f>
        <v>ЩС-ВК.001¦XT4¦кабель ВВГнг(А)-LS (3х2,5) → Насос дренажный, пом. 005Т</v>
      </c>
      <c r="HJ321" t="str">
        <f t="shared" si="594"/>
        <v>НВК.00.005Т.3¦Насос дренажный, пом. 005Т</v>
      </c>
      <c r="HK321" t="str" cm="1">
        <f t="array" ref="HK321">IF(HF321="","",_xlfn.LET(_xlpm.nd,_xlfn.TEXTSPLIT(HF321,"|"),IF(COLUMNS(_xlpm.nd)&gt;3,A321&amp;"¦"&amp;INDEX(_xlpm.nd,3)&amp;"¦"&amp;INDEX(_xlpm.nd,4),"")))</f>
        <v/>
      </c>
      <c r="HL321" t="str">
        <f t="shared" si="595"/>
        <v/>
      </c>
      <c r="HM321" t="str" cm="1">
        <f t="array" ref="HM321">IF(HF321="","",_xlfn.LET(_xlpm.nd,_xlfn.TEXTSPLIT(HF321,"|"),IF(COLUMNS(_xlpm.nd)&gt;4,A321&amp;"¦"&amp;INDEX(_xlpm.nd,4)&amp;"¦"&amp;INDEX(_xlpm.nd,5),"")))</f>
        <v/>
      </c>
      <c r="HN321" t="str">
        <f t="shared" si="596"/>
        <v/>
      </c>
      <c r="HO321" t="str" cm="1">
        <f t="array" ref="HO321">IF(HF321="","",_xlfn.LET(_xlpm.nd,_xlfn.TEXTSPLIT(HF321,"|"),IF(COLUMNS(_xlpm.nd)&gt;5,A321&amp;"¦"&amp;INDEX(_xlpm.nd,5)&amp;"¦"&amp;INDEX(_xlpm.nd,6),"")))</f>
        <v/>
      </c>
      <c r="HP321" t="str">
        <f t="shared" si="597"/>
        <v/>
      </c>
      <c r="HQ321" t="str" cm="1">
        <f t="array" ref="HQ321">IF(HF321="","",_xlfn.LET(_xlpm.nd,_xlfn.TEXTSPLIT(HF321,"|"),IF(COLUMNS(_xlpm.nd)&gt;6,A321&amp;"¦"&amp;INDEX(_xlpm.nd,6)&amp;"¦"&amp;INDEX(_xlpm.nd,7),"")))</f>
        <v/>
      </c>
      <c r="HR321" t="str">
        <f t="shared" si="598"/>
        <v/>
      </c>
      <c r="HS321" t="str">
        <f t="shared" si="599"/>
        <v/>
      </c>
      <c r="HT321" t="str">
        <f t="shared" si="600"/>
        <v>QF4 → XT4</v>
      </c>
      <c r="HU321">
        <f t="shared" si="601"/>
        <v>0</v>
      </c>
      <c r="HV321">
        <f t="shared" si="602"/>
        <v>0</v>
      </c>
      <c r="HW321" t="str">
        <f t="shared" si="603"/>
        <v/>
      </c>
      <c r="HX321" t="str">
        <f t="shared" si="604"/>
        <v/>
      </c>
      <c r="HY321" t="str">
        <f t="shared" si="605"/>
        <v/>
      </c>
      <c r="HZ321" t="str">
        <f t="shared" si="606"/>
        <v/>
      </c>
      <c r="IA321">
        <f>IF(B321="","",IFERROR(VLOOKUP(B321,УГО_спр,2,FALSE),IFERROR(VLOOKUP(AX321,УГО_спр,2,FALSE),IFERROR(VLOOKUP(LEFT(AX321,2),УГО_спр,2,FALSE),""))))</f>
        <v>0</v>
      </c>
      <c r="IB321" t="str">
        <f>IF(B321="","",IF(OR(IA321="",IA321=0),"BOX",IFERROR(IF(VLOOKUP(IA321,УГО_блоки,3,FALSE)&amp;""&lt;&gt;"",VLOOKUP(IA321,УГО_блоки,3,FALSE),VLOOKUP(IA321,УГО_блоки,2,FALSE)),IA321)))</f>
        <v>BOX</v>
      </c>
      <c r="IC321">
        <f t="shared" si="607"/>
        <v>1</v>
      </c>
      <c r="ID321" t="str">
        <f>IF(DA321="","",IF(COUNTIF(DA$3:DA321,DA321)=1,MAX(ID$2:ID320)+1,""))</f>
        <v/>
      </c>
      <c r="IE321" t="str">
        <f>IF(CO321="","",IF(COUNTIF(CO$3:CO321,CO321)+COUNTIF(CP$2:CP320,CO321)+COUNTIF(CQ$2:CQ320,CO321)=1,MAX(IE$2:IG320)+1,""))</f>
        <v/>
      </c>
      <c r="IF321" t="str">
        <f>IF(CP321="","",IF(COUNTIF(CO$3:CO321,CP321)+COUNTIF(CP$3:CP321,CP321)+COUNTIF(CQ$2:CQ320,CP321)=1,MAX(IE$2:IG320,IE321)+1,""))</f>
        <v/>
      </c>
      <c r="IG321" t="str">
        <f>IF(CQ321="","",IF(COUNTIF(CO$3:CO321,CQ321)+COUNTIF(CP$3:CP321,CQ321)+COUNTIF(CQ$3:CQ321,CQ321)=1,MAX(IE$2:IG320,IE321,IF321)+1,""))</f>
        <v/>
      </c>
      <c r="IH321" t="str">
        <f t="shared" si="608"/>
        <v>3х2,5</v>
      </c>
      <c r="II321" t="str">
        <f>IF(IH321="","",IF(COUNTIF(IH$3:IH321,IH321)=1,MAX(II$2:II320)+1,""))</f>
        <v/>
      </c>
      <c r="IJ321" t="str">
        <f>IF(GL321="","",COUNTIF(GL$3:GL321,"?*"))</f>
        <v/>
      </c>
      <c r="IK321" t="str">
        <f>IF(OR(GL321="",GN321=""),"",IF(COUNTIFS(GL$3:GL321,"?*",GN$3:GN321,GN321)=1,MAX(IK$2:IK320)+1,""))</f>
        <v/>
      </c>
      <c r="IL321">
        <f t="shared" si="609"/>
        <v>0</v>
      </c>
      <c r="IM321">
        <f>IF(B321="","",COUNTIF(B$3:B321,"?*"))</f>
        <v>319</v>
      </c>
      <c r="IN321">
        <f>IF(GQ321&lt;&gt;1,0,_xlfn.LET(_xlpm.k,MAX(IFERROR(--VLOOKUP(B321,УГО_спр,5,FALSE),0),IFERROR(--VLOOKUP(AX321,УГО_спр,5,FALSE),0),IFERROR(--VLOOKUP(LEFT(AX321,2),УГО_спр,5,FALSE),0)),IF(_xlpm.k&gt;0,_xlpm.k,IF(IFERROR(--LEFT(SUBSTITUTE(IH321,"x","х"),FIND("х",SUBSTITUTE(IH321,"x","х"))-1),3)&gt;3,Каталог!$S$9,1))))</f>
        <v>1</v>
      </c>
      <c r="IO321">
        <f t="shared" si="610"/>
        <v>0</v>
      </c>
      <c r="IP321" t="str">
        <f t="shared" si="611"/>
        <v>авто</v>
      </c>
      <c r="IQ321" t="str">
        <f t="shared" si="612"/>
        <v/>
      </c>
      <c r="IR321">
        <f t="shared" si="613"/>
        <v>0</v>
      </c>
      <c r="IS321">
        <f t="shared" si="614"/>
        <v>1</v>
      </c>
    </row>
    <row r="322" spans="1:253" x14ac:dyDescent="0.3">
      <c r="A322" t="s">
        <v>765</v>
      </c>
      <c r="B322" t="s">
        <v>1584</v>
      </c>
      <c r="C322" t="str">
        <f>Линии[[#This Row],[_авто наименование]]</f>
        <v>Насос дренажный, пом. 005Т</v>
      </c>
      <c r="D322">
        <v>1</v>
      </c>
      <c r="E322">
        <v>0.6</v>
      </c>
      <c r="G322">
        <v>16</v>
      </c>
      <c r="H322" t="str">
        <f>Линии[[#This Row],[_авто утечка]]</f>
        <v/>
      </c>
      <c r="I322" t="str">
        <f>Линии[[#This Row],[_авто управление]]</f>
        <v/>
      </c>
      <c r="J322" t="str">
        <f>Линии[[#This Row],[_авто аппараты]]</f>
        <v/>
      </c>
      <c r="K322">
        <v>2.5</v>
      </c>
      <c r="L322">
        <v>11</v>
      </c>
      <c r="M322">
        <v>1</v>
      </c>
      <c r="N322" t="str">
        <f>Линии[[#This Row],[_авто клемма]]</f>
        <v>XT5</v>
      </c>
      <c r="O322" t="str">
        <f t="shared" si="492"/>
        <v>категория I не обеспечена (есть II)</v>
      </c>
      <c r="P322" s="6" cm="1">
        <f t="array" ref="P322">IF(B322="","",IF(BC322&lt;&gt;"",IFERROR(_xlfn.XLOOKUP(BC322,Щиты[Щит],Щиты[Iр, А]),""),IF(BK322=1,IFERROR(_xlfn.XLOOKUP(A322,Щиты[Щит],Щиты[Iр, А]),""),IFERROR(_xlfn.IFS(BR322=1,BN322/((Uн_лин/SQRT(3))*BY322),BR322=3,BN322/(SQRT(3)*Uн_лин*BY322)),""))))</f>
        <v>3.2475952641916441</v>
      </c>
      <c r="Q322" s="7">
        <f>IF(B322="","",IFERROR(IF(VLOOKUP(AX322,Потребители_обозначение,4,FALSE)=1,VLOOKUP(AX322,Потребители_обозначение,3,FALSE)*(D322*2-1)+DS322+VLOOKUP(AZ322,Этаж_обозначение,3,FALSE)+VLOOKUP(AZ322,Этаж_обозначение,4,FALSE),VLOOKUP(AX322,Потребители_обозначение,3,FALSE)*(D322*2-1)+DS322),DS322))</f>
        <v>14</v>
      </c>
      <c r="R322" s="6">
        <f t="shared" si="493"/>
        <v>2.4099999999999997</v>
      </c>
      <c r="S322" t="str">
        <f t="shared" si="494"/>
        <v>ВВГнг(А)-LS (3х2,5)</v>
      </c>
      <c r="T322" t="str">
        <f>IF(BH322="","",IF(BI322="вводной узел","узел ","")&amp;"л."&amp;(INT((BH322-1)/Столбцов_на_лист)+1)&amp;" / "&amp;(MOD(BH322-1,Столбцов_на_лист)+1))</f>
        <v>л.2 / 5</v>
      </c>
      <c r="V322">
        <v>1</v>
      </c>
      <c r="W322">
        <v>230</v>
      </c>
      <c r="X322" t="s">
        <v>600</v>
      </c>
      <c r="Y322">
        <v>0.5</v>
      </c>
      <c r="AC322" t="s">
        <v>861</v>
      </c>
      <c r="AE322" t="s">
        <v>606</v>
      </c>
      <c r="AI322">
        <v>22</v>
      </c>
      <c r="AJ322" t="s">
        <v>11</v>
      </c>
      <c r="AK322">
        <v>3</v>
      </c>
      <c r="AM322">
        <v>1</v>
      </c>
      <c r="AN322">
        <v>10</v>
      </c>
      <c r="AO322">
        <v>0</v>
      </c>
      <c r="AP322">
        <v>1</v>
      </c>
      <c r="AW322" cm="1">
        <f t="array" ref="AW322">ROW()-ROW(Линии[#Headers])</f>
        <v>320</v>
      </c>
      <c r="AX322" s="6" t="str">
        <f t="shared" si="495"/>
        <v>НВК</v>
      </c>
      <c r="AY322" t="str">
        <f t="shared" si="496"/>
        <v>00.005Т.1</v>
      </c>
      <c r="AZ322" t="str">
        <f t="shared" si="497"/>
        <v>00</v>
      </c>
      <c r="BA322" t="str">
        <f t="shared" si="498"/>
        <v>005Т.1</v>
      </c>
      <c r="BB322" t="str">
        <f t="shared" si="499"/>
        <v>005Т</v>
      </c>
      <c r="BC322" t="str">
        <f>IF(U322&lt;&gt;"",U322,IF(AND(B322&lt;&gt;"",B322&lt;&gt;A322,ISNUMBER(_xlfn.XMATCH(B322,Щиты[Щит]))),B322,""))</f>
        <v/>
      </c>
      <c r="BD322" t="str" cm="1">
        <f t="array" ref="BD322">IF(B322="","",IF(BC322&lt;&gt;"","Щит "&amp;BC322,_xlfn.LET(_xlpm.nm,IFERROR(_xlfn.XLOOKUP(AX322,Коды_код,Коды_имя)&amp;"",""),_xlpm.md,IFERROR(N(_xlfn.XLOOKUP(AX322,Коды_код,Коды_режим)),1),_xlpm.ex,IF(Имя_режим="по экспликации",IFERROR(_xlfn.XLOOKUP(AZ322&amp;"|"&amp;BB322,Экспликация[Этаж]&amp;"|"&amp;Экспликация[Помещение],Экспликация[Название])&amp;"",""),""),_xlpm.rm,IF(BB322="","",IF(_xlpm.ex&lt;&gt;"",". "&amp;_xlpm.ex&amp;IF(Имя_пом="нет"," ("&amp;BB322&amp;")"," (пом. "&amp;BB322&amp;")"),IF(Имя_пом="нет"," ",", пом. ")&amp;BB322)),IF(_xlpm.nm="","",IF(_xlpm.md=2,_xlpm.nm&amp;" шлейф "&amp;AZ322,_xlpm.nm&amp;_xlpm.rm)))))</f>
        <v>Насос дренажный, пом. 005Т</v>
      </c>
      <c r="BE322" t="str">
        <f t="shared" si="500"/>
        <v>Насос дренажный, пом. 005Т</v>
      </c>
      <c r="BF322">
        <f>IFERROR(_xlfn.XMATCH(A322,Щиты[Щит]),0)</f>
        <v>13</v>
      </c>
      <c r="BG322">
        <f>_xlfn.LET(_xlpm.k,IFERROR(_xlfn.XLOOKUP(A322,Щиты[Щит],Щиты[Листов под вводной узел]),""),IF(_xlpm.k="",1,N(_xlpm.k))*Столбцов_на_лист)</f>
        <v>17</v>
      </c>
      <c r="BH322">
        <f t="shared" si="501"/>
        <v>22</v>
      </c>
      <c r="BI322" t="str">
        <f t="shared" si="502"/>
        <v>линии</v>
      </c>
      <c r="BJ322" s="6">
        <f>IFERROR(N(_xlfn.XLOOKUP(AX322,Коды_код,Коды_квт)),0)</f>
        <v>0</v>
      </c>
      <c r="BK322">
        <f t="shared" si="503"/>
        <v>0</v>
      </c>
      <c r="BL322" t="str">
        <f>IF(B322="","",IF(BC322&lt;&gt;"",IFERROR(_xlfn.XLOOKUP(BC322,Щиты[Щит],Щиты[Руст, кВт]),0),IF(BK322=1,IFERROR(_xlfn.XLOOKUP(A322,Щиты[Щит],Щиты[Руст, кВт]),0),IF(BJ322&gt;0,ROUND(BJ322*MAX(1,N(D322)),3),""))))</f>
        <v/>
      </c>
      <c r="BM322">
        <f t="shared" si="504"/>
        <v>0.6</v>
      </c>
      <c r="BN322" s="6">
        <f>IF(B322="","",IF(BC322&lt;&gt;"",IFERROR(_xlfn.XLOOKUP(BC322,Щиты[Щит],Щиты[Руст, кВт]),0),N(BM322)))</f>
        <v>0.6</v>
      </c>
      <c r="BO322" t="str">
        <f>IF(B322="","",IFERROR(IF(VLOOKUP(AX322,Потребители_обозначение,8,FALSE)=0,"",VLOOKUP(AX322,Потребители_обозначение,8,FALSE)),""))</f>
        <v/>
      </c>
      <c r="BP322">
        <f t="shared" si="505"/>
        <v>230</v>
      </c>
      <c r="BQ322">
        <f>IF(B322="","",IF(BC322&lt;&gt;"",3,IFERROR(IF(N(VLOOKUP(AX322,Потребители_обозначение,9,FALSE))=0,1,VLOOKUP(AX322,Потребители_обозначение,9,FALSE)),1)))</f>
        <v>1</v>
      </c>
      <c r="BR322">
        <f t="shared" si="506"/>
        <v>1</v>
      </c>
      <c r="BS322" t="str">
        <f>IF(B322="","",_xlfn.LET(_xlpm.bc,IFERROR(IF(VLOOKUP(AX322,Потребители_обозначение,6,FALSE)=0,"",VLOOKUP(AX322,Потребители_обозначение,6,FALSE)&amp;""),""),IF(AND(FK322="да",OR(_xlpm.bc="",_xlpm.bc="мс")),Марка_пож,IF(AND(_xlpm.bc="",BC322&lt;&gt;""),"мс",_xlpm.bc))))</f>
        <v/>
      </c>
      <c r="BT322" t="str">
        <f t="shared" si="507"/>
        <v>мс</v>
      </c>
      <c r="BU322">
        <f>IF(B322="","",_xlfn.LET(_xlpm.cc,IFERROR(N(VLOOKUP(AX322,Потребители_обозначение,7,FALSE)),0),IF(_xlpm.cc&gt;0,_xlpm.cc,IF(BT322="","",IF(N(BR322)=3,5,3)))))</f>
        <v>3</v>
      </c>
      <c r="BV322">
        <f t="shared" si="508"/>
        <v>3</v>
      </c>
      <c r="BW322">
        <f>IFERROR(N(VLOOKUP(AX322,Потребители_обозначение,10,FALSE)),0)</f>
        <v>0</v>
      </c>
      <c r="BX322">
        <f>IFERROR(VLOOKUP(AX322,Потребители_обозначение,5,FALSE),0)</f>
        <v>1</v>
      </c>
      <c r="BY322" s="6" cm="1">
        <f t="array" ref="BY322">IF(B322="","",IF(BC322&lt;&gt;"",IFERROR(_xlfn.XLOOKUP(BC322,Щиты[Щит],Щиты[cos φ]),0.95),IF(BK322=1,IFERROR(_xlfn.XLOOKUP(A322,Щиты[Щит],Щиты[cos φ]),0.95),IF(ISNUMBER(Z322),Z322,IFERROR(IF(BX322=2,_xlfn.IFS(BR322=3,VLOOKUP(BN322,Справочная_двигатели,8,FALSE),BR322=1,VLOOKUP(BN322,Справочная_двигатели,10,TRUE)),IF(AND(Методика="нормы 2026",EQ322="Сил"),0.8,0.95)),0.95)))))</f>
        <v>0.8</v>
      </c>
      <c r="BZ322">
        <f t="shared" si="509"/>
        <v>0</v>
      </c>
      <c r="CA322">
        <f t="shared" si="510"/>
        <v>1</v>
      </c>
      <c r="CB322">
        <f t="shared" si="511"/>
        <v>0</v>
      </c>
      <c r="CC322">
        <f t="shared" si="512"/>
        <v>0</v>
      </c>
      <c r="CD322">
        <f t="shared" si="513"/>
        <v>0</v>
      </c>
      <c r="CE322">
        <f t="shared" si="514"/>
        <v>0</v>
      </c>
      <c r="CF322">
        <f t="shared" si="515"/>
        <v>0</v>
      </c>
      <c r="CG322">
        <f>IF(AX322="",0,_xlfn.LET(_xlpm.v,IFERROR(VLOOKUP(B322,УГО_спр,3,FALSE),IFERROR(VLOOKUP(AX322,УГО_спр,3,FALSE),IFERROR(VLOOKUP(LEFT(AX322,2),УГО_спр,3,FALSE),""))),IF(_xlpm.v="да",30,IF(ISNUMBER(_xlpm.v),_xlpm.v,0))))</f>
        <v>0</v>
      </c>
      <c r="CH322" t="str">
        <f t="shared" si="516"/>
        <v/>
      </c>
      <c r="CI322" t="str">
        <f>_xlfn.LET(_xlpm.k,IFERROR(_xlfn.XLOOKUP(AX322,Коды_код,Коды_утечка)&amp;"",""),IF(_xlpm.k="","дифавтомат",_xlpm.k))</f>
        <v>дифавтомат</v>
      </c>
      <c r="CJ322">
        <f t="shared" si="517"/>
        <v>0</v>
      </c>
      <c r="CK322">
        <f t="shared" si="518"/>
        <v>0</v>
      </c>
      <c r="CL322">
        <f>IF(B322="",0,IFERROR(--VLOOKUP(B322,УГО_спр,4,FALSE),IFERROR(--VLOOKUP(AX322,УГО_спр,4,FALSE),IFERROR(--VLOOKUP(LEFT(AX322,2),УГО_спр,4,FALSE),0))))</f>
        <v>0</v>
      </c>
      <c r="CM322" t="str">
        <f>IF(B322="","",IFERROR(_xlfn.XLOOKUP(AX322,Коды_код,Коды_апп)&amp;"",""))</f>
        <v/>
      </c>
      <c r="CN322" t="str">
        <f t="shared" si="519"/>
        <v/>
      </c>
      <c r="CO322" t="str" cm="1">
        <f t="array" ref="CO322">IF(TRIM(CN322&amp;"")="","",IFERROR(TRIM(INDEX(_xlfn.TEXTSPLIT(CN322&amp;";;;",";"),1)),""))</f>
        <v/>
      </c>
      <c r="CP322" t="str" cm="1">
        <f t="array" ref="CP322">IF(TRIM(CN322&amp;"")="","",IFERROR(TRIM(INDEX(_xlfn.TEXTSPLIT(CN322&amp;";;;",";"),2)),""))</f>
        <v/>
      </c>
      <c r="CQ322" t="str" cm="1">
        <f t="array" ref="CQ322">IF(TRIM(CN322&amp;"")="","",IFERROR(TRIM(INDEX(_xlfn.TEXTSPLIT(CN322&amp;";;;",";"),3)),""))</f>
        <v/>
      </c>
      <c r="CR322">
        <f t="shared" si="520"/>
        <v>0</v>
      </c>
      <c r="CS322" t="str">
        <f>IF(B322="","",_xlfn.LET(_xlpm.t,LOWER(AV322&amp;""),IF(ISNUMBER(SEARCH("dim",_xlpm.t)),"DIM",IF(ISNUMBER(SEARCH("dali",_xlpm.t)),"DALI",IF(OR(ISNUMBER(SEARCH("relay",_xlpm.t)),ISNUMBER(SEARCH("реле",_xlpm.t))),"Relay",IF(ISNUMBER(SEARCH("кнопк",_xlpm.t)),"",IFERROR(_xlfn.XLOOKUP(AX322,Коды_код,Коды_упр)&amp;"","")))))))</f>
        <v/>
      </c>
      <c r="CT322" t="str">
        <f t="shared" si="521"/>
        <v/>
      </c>
      <c r="CU322">
        <f>IF(B322="","",_xlfn.LET(_xlpm.ig,N(P322)+IF(AF322="вручную",0,N(CB322)),_xlpm.n0,IFERROR(VLOOKUP(_xlpm.ig,Автомат_номиналы,2,TRUE),0),_xlpm.mn,MAX(CL322,IF(AF322="вручную",0,N(CE322))),MAX(_xlpm.n0,_xlpm.mn,IF(CR322=1,Мин_автомат_БП,0))))</f>
        <v>6</v>
      </c>
      <c r="CV322">
        <f t="shared" si="522"/>
        <v>1</v>
      </c>
      <c r="CW322" t="str">
        <f t="shared" si="523"/>
        <v>1P</v>
      </c>
      <c r="CX322" t="str">
        <f>_xlfn.LET(_xlpm.cc,UPPER(TRIM(IFERROR(_xlfn.XLOOKUP(AX322,Коды_код,Коды_хар)&amp;"",""))),IF(OR(_xlpm.cc="B",_xlpm.cc="В"),"B",IF(_xlpm.cc="D","D","С")))</f>
        <v>С</v>
      </c>
      <c r="CY322" t="str">
        <f t="shared" si="524"/>
        <v>1P С6А</v>
      </c>
      <c r="CZ322">
        <f t="shared" si="525"/>
        <v>16</v>
      </c>
      <c r="DA322" t="str">
        <f t="shared" si="526"/>
        <v>1P С16А</v>
      </c>
      <c r="DB322" cm="1">
        <f t="array" ref="DB322">IF(DA322="","",_xlfn.LET(_xlpm.t,SUBSTITUTE(SUBSTITUTE(SUBSTITUTE(UPPER(DA322),"С","C"),"А","A"),"В","B"),_xlpm.tk,_xlfn.TEXTSPLIT(_xlpm.t,"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2" t="str">
        <f t="shared" si="527"/>
        <v>ok</v>
      </c>
      <c r="DD322">
        <f t="shared" si="528"/>
        <v>16</v>
      </c>
      <c r="DE322" t="str">
        <f t="shared" si="529"/>
        <v>1P С16А</v>
      </c>
      <c r="DF322">
        <f t="shared" si="530"/>
        <v>0</v>
      </c>
      <c r="DG322">
        <f t="shared" si="531"/>
        <v>0</v>
      </c>
      <c r="DH322">
        <f t="shared" si="532"/>
        <v>0</v>
      </c>
      <c r="DI322">
        <f t="shared" si="533"/>
        <v>3.2475952641916441</v>
      </c>
      <c r="DJ322">
        <f t="shared" si="534"/>
        <v>1</v>
      </c>
      <c r="DK322">
        <f>IF(ISNUMBER(AL322),AL322,К_прокл)</f>
        <v>1</v>
      </c>
      <c r="DL322">
        <f t="shared" si="535"/>
        <v>2</v>
      </c>
      <c r="DM322">
        <f>IFERROR(N(VLOOKUP(BT322,Кабель_обозначение,3,FALSE)),1)</f>
        <v>1</v>
      </c>
      <c r="DN322">
        <f>IFERROR(N(_xlfn.XLOOKUP(A322,Щиты[Щит],Щиты[ΔU до шин, %])),0)</f>
        <v>2.1199999999999997</v>
      </c>
      <c r="DO322" t="str">
        <f>IFERROR(_xlfn.XLOOKUP(A322,Щиты[Щит],Щиты[Zпетли на шинах, Ом]),"")</f>
        <v/>
      </c>
      <c r="DP322">
        <f>IFERROR(N(_xlfn.XLOOKUP(A322,Щиты[Щит],Щиты[ΔU до шин (подбор), %])),0)</f>
        <v>3.3699999999999997</v>
      </c>
      <c r="DQ322" t="str">
        <f>IFERROR(_xlfn.XLOOKUP(A322,Щиты[Щит],Щиты[Zпетли на шинах (подбор), Ом]),"")</f>
        <v/>
      </c>
      <c r="DR322" t="str">
        <f t="shared" si="536"/>
        <v/>
      </c>
      <c r="DS322">
        <f t="shared" si="537"/>
        <v>11</v>
      </c>
      <c r="DT322">
        <f t="shared" si="538"/>
        <v>2</v>
      </c>
      <c r="DU322">
        <f t="shared" si="539"/>
        <v>0.6</v>
      </c>
      <c r="DV322" s="6">
        <f>IF(B322="","",IF(IFERROR(VLOOKUP(AX322,УГО_спр,2,FALSE),"")="Светильник",3,4)+IF(Методика="нормы 2026",MIN(0.5,MAX(0,N(Q322)-100)*0.005),0))</f>
        <v>4</v>
      </c>
      <c r="DW322" cm="1">
        <f t="array" ref="DW322">IF(OR(B322="",BT322="",DM322&lt;&gt;1),"",_xlfn.LET(_xlpm.sz,Iдоп_S,_xlpm.t_,CHOOSE(DL322,Iдоп_1ж,Iдоп_2ж,Iдоп_3ж)*DJ322*DK322,_xlpm.inn,N(DD322),_xlpm.smin,MAX(1.5,BW322),_xlpm.L_,N(Q322)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322)*(_xlpm.rho*_xlpm.L_/_xlpm.sz*N(BY322)+_xlpm.xx*_xlpm.L_*N(DU322)/1000)*N(P322)/((Uн_лин/SQRT(3))*1000)*100,999),_xlpm.kz,IF(OR(DG322=1,NOT(ISNUMBER(DQ322)),_xlpm.L_=0,_xlpm.inn=0),1,IFERROR(--(c_min*(Uн_лин*1000/SQRT(3))/(DQ322+2*ρкз_Cu*_xlpm.L_/_xlpm.sz)&gt;=GY322*_xlpm.inn),0)),_xlpm.ok,IFERROR((_xlpm.sz&gt;=_xlpm.smin)*(_xlpm.t_&gt;=_xlpm.inn)*IF(_xlpm.L_&gt;0,(_xlpm.du_+DP322&lt;=DV322+0.00001),1)*_xlpm.kz,0),_xlpm.r_,_xlfn._xlws.FILTER(_xlpm.sz,_xlpm.ok,"не подобрано"),INDEX(_xlpm.r_,1)))</f>
        <v>1.5</v>
      </c>
      <c r="DX322">
        <f t="shared" si="540"/>
        <v>2.5</v>
      </c>
      <c r="DY322" cm="1">
        <f t="array" ref="DY322">IF(OR(B322="",BT322="",DM322&lt;&gt;1),"",_xlfn.LET(_xlpm.sz,Iдоп_S,_xlpm.t_,CHOOSE(DL322,Iдоп_1ж,Iдоп_2ж,Iдоп_3ж)*DJ322*DK322,_xlpm.ok,IFERROR((_xlpm.sz&gt;=MAX(1.5,BW322))*(_xlpm.t_&gt;=N(DD322)),0),_xlpm.r_,_xlfn._xlws.FILTER(_xlpm.sz,_xlpm.ok,""),INDEX(_xlpm.r_,1)))</f>
        <v>1.5</v>
      </c>
      <c r="DZ322" s="6" cm="1">
        <f t="array" ref="DZ322">IFERROR(ROUNDUP(N(DT322)*(_xlfn.XLOOKUP(DY322,INDEX(Кабель_сопротивление,0,1),INDEX(Кабель_сопротивление,0,3))*N(Q322)/DY322*N(BY322)+_xlfn.XLOOKUP(DY322,INDEX(Кабель_сопротивление,0,1),INDEX(Кабель_сопротивление,0,2))*N(Q322)*N(DU322)/1000)*N(P322)/((Uн_лин/SQRT(3))*1000)*100,2),"")</f>
        <v>0.48</v>
      </c>
      <c r="EA322">
        <f>IFERROR(2*ρкз_Cu*N(Q322)/DY322,"")</f>
        <v>0.49093333333333339</v>
      </c>
      <c r="EB322">
        <f>IFERROR(VLOOKUP(DX322,Кабель_сопротивление,3,FALSE),"")</f>
        <v>2.2499999999999999E-2</v>
      </c>
      <c r="EC322">
        <f>IFERROR(VLOOKUP(DX322,Кабель_сопротивление,2,FALSE),"")</f>
        <v>0.1</v>
      </c>
      <c r="ED322">
        <f t="shared" si="541"/>
        <v>10</v>
      </c>
      <c r="EE322">
        <f t="shared" si="542"/>
        <v>0</v>
      </c>
      <c r="EF322">
        <f t="shared" si="543"/>
        <v>0.66017116530487741</v>
      </c>
      <c r="EG322" s="6">
        <f>IFERROR(ROUNDUP(EF322/((Uн_лин/SQRT(3))*1000)*100,2),"")</f>
        <v>0.29000000000000004</v>
      </c>
      <c r="EH322" t="str">
        <f>IFERROR(VLOOKUP(BT322,Кабель_обозначение,2,FALSE),"")</f>
        <v>ВВГнг(А)-LS</v>
      </c>
      <c r="EI322" t="str">
        <f t="shared" si="544"/>
        <v>ВВГнг(А)-LS (3х2,5)</v>
      </c>
      <c r="EJ322" t="str">
        <f t="shared" si="545"/>
        <v>ВВГнг(А)-LS (3х2,5)
L=14-0,29%</v>
      </c>
      <c r="EK322">
        <f>IFERROR(2*ρкз_Cu*Q322/DX322,"")</f>
        <v>0.29456000000000004</v>
      </c>
      <c r="EL322">
        <f t="shared" si="546"/>
        <v>9.8000000000000004E-2</v>
      </c>
      <c r="EM322" s="6" t="str">
        <f>IFERROR(IF(OR(B322="",NOT(ISNUMBER(DX322)),N(Q322)=0),"",_xlfn.XLOOKUP(A322,Щиты[Щит],Щиты[Zпетли на шинах, Ом])+EK322),"")</f>
        <v/>
      </c>
      <c r="EN322" s="6" t="str">
        <f>IF(ISNUMBER(EM322),c_min*(Uн_лин*1000/SQRT(3))/EM322,"")</f>
        <v/>
      </c>
      <c r="EO322" s="6" t="str">
        <f>IFERROR(IF(OR(B322="",NOT(ISNUMBER(DX322))),"",1.05*(Uн_лин*1000/SQRT(3))/(_xlfn.XLOOKUP(A322,Щиты[Щит],Щиты[Zmax на шинах, Ом])+EL322)/1000),"")</f>
        <v/>
      </c>
      <c r="EP322" s="6" t="str">
        <f>IF(B322="","",IF(ISNUMBER(Y322),"Сил",IF(IFERROR(_xlfn.XLOOKUP(AX322,Коды_код,Коды_группа)&amp;"","")="","Быт",_xlfn.XLOOKUP(AX322,Коды_код,Коды_группа)&amp;"")))</f>
        <v>Сил</v>
      </c>
      <c r="EQ322" s="6" t="str">
        <f t="shared" si="547"/>
        <v>Сил</v>
      </c>
      <c r="ER322" s="6">
        <f>IF(EQ322="Щит","щит",IF(EQ322="","",IF(EQ322="Быт",IFERROR(_xlfn.XLOOKUP(A322,Щиты[Щит],Щиты[Кс быт]),1),IF(EQ322="Сил",IF(ISNUMBER(Y322),Y322,IF(Методика="нормы 2026",IFERROR(_xlfn.XLOOKUP(A322,Щиты[Щит],Щиты[Кс силовых (табл. 7.5)]),1),1)),IF(OR(EQ322="Пост",EQ322="Отоп"),1,IF(EQ322="ВНГ",0.7,0))))))</f>
        <v>0.5</v>
      </c>
      <c r="ES322">
        <f t="shared" si="548"/>
        <v>1</v>
      </c>
      <c r="ET322">
        <f t="shared" si="549"/>
        <v>0.6</v>
      </c>
      <c r="EU322">
        <f t="shared" si="550"/>
        <v>0</v>
      </c>
      <c r="EV322">
        <f t="shared" si="551"/>
        <v>0.3</v>
      </c>
      <c r="EW322">
        <f t="shared" si="552"/>
        <v>0</v>
      </c>
      <c r="EX322">
        <f t="shared" si="553"/>
        <v>0</v>
      </c>
      <c r="EY322">
        <f t="shared" si="554"/>
        <v>0</v>
      </c>
      <c r="EZ322">
        <f t="shared" si="555"/>
        <v>0.6</v>
      </c>
      <c r="FA322">
        <f t="shared" si="556"/>
        <v>0.48</v>
      </c>
      <c r="FB322">
        <f t="shared" si="557"/>
        <v>0.6</v>
      </c>
      <c r="FC322" t="str">
        <f t="shared" si="558"/>
        <v>L1</v>
      </c>
      <c r="FD322" t="str">
        <f>IF(B322="","",IF(CA322=0,IF(AW322=1,"",FF321),IF(OR(N(CV322)&gt;=3,N(BR322)&gt;=3),"L1,L2,L3",IFERROR(_xlfn.TEXTBEFORE(_xlfn.TEXTAFTER(_xlfn.XLOOKUP(A322,Щиты[Щит],Щиты[_фазы авто]),";"&amp;AW322&amp;":"),";"),"L1"))))</f>
        <v>L1</v>
      </c>
      <c r="FE322" t="str">
        <f t="shared" si="559"/>
        <v>L1</v>
      </c>
      <c r="FF322" t="str">
        <f t="shared" si="560"/>
        <v>L1</v>
      </c>
      <c r="FG322" cm="1">
        <f t="array" ref="FG322">IFERROR(IF(BX322=2,_xlfn.IFS(BR322=3,VLOOKUP(BN322,Справочная_двигатели,3,FALSE),BR322=1,VLOOKUP(BN322,Справочная_двигатели,5,TRUE)),0),0)</f>
        <v>0</v>
      </c>
      <c r="FH322">
        <f>IFERROR(IF(BX322=3,VLOOKUP(BN322,Справочная_ЛЭД,2,TRUE),0),0)</f>
        <v>0</v>
      </c>
      <c r="FI322" s="6">
        <f t="shared" si="561"/>
        <v>0</v>
      </c>
      <c r="FJ322" t="str" cm="1">
        <f t="array" ref="FJ322">IF(B322="","",IFERROR(INDEX({"I особая","I","II","III"},MATCH(TRIM(AC322&amp;""),{"I особая","I","II","III"},0)),"III"))</f>
        <v>I</v>
      </c>
      <c r="FK322" t="str">
        <f>IF(B322="","",IF(TRIM(AD322&amp;"")&lt;&gt;"",IF(LOWER(TRIM(AD322&amp;""))="да","да","нет"),IF(IFERROR(_xlfn.XLOOKUP(AX322,Коды_код,Коды_пожарная),"")="да","да","нет")))</f>
        <v>нет</v>
      </c>
      <c r="FL322" t="str">
        <f t="shared" si="562"/>
        <v/>
      </c>
      <c r="FM322" t="str">
        <f t="shared" si="563"/>
        <v>основная</v>
      </c>
      <c r="FN322">
        <f t="shared" si="564"/>
        <v>1</v>
      </c>
      <c r="FO322" t="str" cm="1">
        <f t="array" ref="FO322">IF(B322="","",_xlfn.LET(_xlpm.t,IFERROR(_xlfn.XLOOKUP(1,(Шины[Шина]=FM322)*(((Шины[Щит]=A322)+(Шины[Щит]=""))&gt;0),Шины[Тип]),"")&amp;"",IF(_xlpm.t&lt;&gt;"",_xlpm.t,IF(ISNUMBER(SEARCH("ИБП",FM322)),"ИБП",IF(ISNUMBER(SEARCH("ДГУ",FM322)),"ДГУ","Ввод "&amp;FN322)))))</f>
        <v>Ввод 1</v>
      </c>
      <c r="FP322" t="str">
        <f t="shared" si="565"/>
        <v>Ввод 1</v>
      </c>
      <c r="FQ322" t="str">
        <f>IF(B322="","",IF(OR(FO322="ИБП",FO322="ДГУ"),"I особая",IF(FO322="Одиночная","III",_xlfn.XLOOKUP(A322,Щиты[Щит],Щиты[Категория шины «Ввод»],"III"))))</f>
        <v>II</v>
      </c>
      <c r="FR322">
        <f>IF(B322="",0,IFERROR(MATCH(FJ322,{"III","II","I","I особая"},0),1))</f>
        <v>3</v>
      </c>
      <c r="FS322">
        <f t="shared" si="566"/>
        <v>3</v>
      </c>
      <c r="FT322" t="str">
        <f>IF(B322="","",IF(FR322&gt;IFERROR(MATCH(FQ322,{"III","II","I","I особая"},0),1),"НЕ ОБЕСПЕЧЕНА","ОК"))</f>
        <v>НЕ ОБЕСПЕЧЕНА</v>
      </c>
      <c r="FU322" t="str">
        <f>IF(A322="","",_xlfn.XLOOKUP(A322,Щиты[Щит],Щиты[Путь],""))</f>
        <v>|ГРЩ-ЖД|ЩС-ВК.001|</v>
      </c>
      <c r="FV322" t="str">
        <f>IF(B322="","",IF(AE322&lt;&gt;"",AE322,IF(IFERROR(_xlfn.XLOOKUP(AX322,Коды_код,Коды_вид)&amp;"","")="","Прочее",_xlfn.XLOOKUP(AX322,Коды_код,Коды_вид)&amp;"")))</f>
        <v>Насосы (водоснабжение, дренаж)</v>
      </c>
      <c r="FW322">
        <f>IF(BH322="","",INT((BH322-1)/Столбцов_на_лист)+1)</f>
        <v>2</v>
      </c>
      <c r="FX322" t="str">
        <f t="shared" si="567"/>
        <v>ВВГнг(А)-LS (3х2,5) L=14-0,29%</v>
      </c>
      <c r="FY322">
        <f t="shared" si="568"/>
        <v>0.6</v>
      </c>
      <c r="FZ322">
        <f t="shared" si="569"/>
        <v>3.25</v>
      </c>
      <c r="GA322">
        <f t="shared" si="570"/>
        <v>1</v>
      </c>
      <c r="GB322">
        <f t="shared" si="571"/>
        <v>0</v>
      </c>
      <c r="GC322">
        <f t="shared" si="572"/>
        <v>1</v>
      </c>
      <c r="GD322">
        <f>IF(BH322="","",IF(AND(CA322=1,GC322=1),COUNTIFS(A$3:A322,A322,CA$3:CA322,1,GC$3:GC322,1),IF(OR(OR(AW322=1,A322&lt;&gt;A321),AF322="вручную",GC322=0),"",IF(AW322=1,"",GE321))))</f>
        <v>5</v>
      </c>
      <c r="GE322">
        <f t="shared" si="573"/>
        <v>5</v>
      </c>
      <c r="GF322">
        <f>IF(B322="","",IFERROR(LOOKUP(INDEX(CHOOSE(DL322,Iдоп_1ж,Iдоп_2ж,Iдоп_3ж),MATCH(DX322,Iдоп_S,0))*DJ322*DK322,{6,10,16,20,25,32,40,50,63,80,100,125,160,200,250,315,400,500,630}),""))</f>
        <v>25</v>
      </c>
      <c r="GG322" t="str">
        <f t="shared" si="574"/>
        <v>QF5</v>
      </c>
      <c r="GH322" t="str">
        <f t="shared" si="575"/>
        <v>QF5</v>
      </c>
      <c r="GI322" t="str">
        <f t="shared" si="576"/>
        <v/>
      </c>
      <c r="GJ322">
        <f t="shared" si="577"/>
        <v>0</v>
      </c>
      <c r="GK322" t="str">
        <f>IF(OR(AG322="",AG322="-"),"",IFERROR(VLOOKUP(AG322,Модули_спр,2,FALSE),"R"))</f>
        <v/>
      </c>
      <c r="GL322" t="str">
        <f>IF(GK322="","",GK322&amp;"."&amp;COUNTIFS(A$3:A322,A322,GK$3:GK322,GK322))</f>
        <v/>
      </c>
      <c r="GM322" t="str">
        <f t="shared" si="578"/>
        <v/>
      </c>
      <c r="GN322" t="str">
        <f t="shared" si="579"/>
        <v/>
      </c>
      <c r="GO322" t="str">
        <f t="shared" si="580"/>
        <v/>
      </c>
      <c r="GP322" t="str">
        <f t="shared" si="581"/>
        <v/>
      </c>
      <c r="GQ322">
        <f t="shared" si="582"/>
        <v>1</v>
      </c>
      <c r="GR322" t="str">
        <f>IF(GQ322=1,"XT"&amp;COUNTIFS(A$3:A322,A322,GQ$3:GQ322,1),"")</f>
        <v>XT5</v>
      </c>
      <c r="GS322" t="str">
        <f t="shared" si="583"/>
        <v>XT5</v>
      </c>
      <c r="GT322" t="str">
        <f t="shared" si="584"/>
        <v>QF5</v>
      </c>
      <c r="GU322" t="str">
        <f t="shared" si="585"/>
        <v/>
      </c>
      <c r="GV322" t="str">
        <f t="shared" si="586"/>
        <v>ok</v>
      </c>
      <c r="GW322" t="str">
        <f>IF(OR(GO322="",GM322=""),"",IF(GO322&gt;IFERROR(VLOOKUP(GN322,Модули_спр,3,FALSE),99),"ЛИШНИЙ КАНАЛ",IF(AND(AH322&lt;&gt;"=",COUNTIFS(Линии[_модуль гр.],GM322,Линии[Канал (итог)],GO322,Линии[Канал],"&lt;&gt;=",Линии[Щит],A322)&gt;1),"ДУБЛЬ КАНАЛА","")))</f>
        <v/>
      </c>
      <c r="GX322" s="6" t="str">
        <f t="shared" si="587"/>
        <v/>
      </c>
      <c r="GY322">
        <f t="shared" si="588"/>
        <v>10</v>
      </c>
      <c r="GZ322" t="str">
        <f t="shared" si="589"/>
        <v/>
      </c>
      <c r="HA322" t="str">
        <f>IF(AND(B322="",GT322=""),"",_xlfn.TEXTJOIN("; ",TRUE,IF(AND(B322&lt;&gt;"",FE322=""),"нет фазы",""),IF(AND(B322&lt;&gt;"",N(FY322)=0,EQ322&lt;&gt;"Нет"),"нет мощности",""),IF(AND(GS322&lt;&gt;"",COUNTIFS(Линии[Щит],A322,Линии[Клемма (итог)],GS322)&gt;1),"дубль клеммы "&amp;GS322,""),IF(AND(GV322&lt;&gt;"",GV322&lt;&gt;"ok"),GV322,""),IF(GW322&lt;&gt;"",GW322,""),IF(AND(N(BV322)&gt;=4,N(BR322)=1),BV322&amp;" жил на 1 фазе",""),IF(AND(AX322="R",CA322=1,OR(N(CK322)=0,N(CK322)&gt;30)),"розетка без дифзащиты до 30 мА",""),IFERROR(IF(AND(ISNUMBER(R322),R322&gt;DV322),"потери "&amp;FIXED(R322,1)&amp;" % &gt; "&amp;DV322&amp;" %",""),""),IFERROR(IF(LEFT(GZ322,4)="мало","Iкз мало — отключение &gt; 0,4 с",""),""),IF(AND(B322&lt;&gt;"",BH322=""),"не на схеме",""),IF(AND(CA322=0,B322&lt;&gt;"",FE322&lt;&gt;"",IF(AW322=1,"",FF321)&lt;&gt;"",FE322&lt;&gt;IF(AW322=1,"",FF321)),"фаза не как у автомата группы ("&amp;IF(AW322=1,"",FF321)&amp;")","")))</f>
        <v/>
      </c>
      <c r="HB322" s="6">
        <f>IF(OR(CA322=0,DA322=""),"",_xlfn.LET(_xlpm.t,IFERROR(_xlfn.XLOOKUP(DA322,Каталог!$U$4:$U$500,Каталог!$G$4:$G$500),""),_xlpm.k,SEARCH("кА",_xlpm.t),IFERROR(--TRIM(RIGHT(SUBSTITUTE(MID(_xlpm.t,MAX(1,_xlpm.k-4),_xlpm.k-MAX(1,_xlpm.k-4))," ",REPT(" ",9)),5)),"")))</f>
        <v>6</v>
      </c>
      <c r="HC322" t="str">
        <f>IF(OR(HB322="",CA322=0),"",IF(_xlfn.XLOOKUP(A322,Щиты[Щит],Щиты[Iкз max на шинах, кА],"")="","",IF(HB322&lt;_xlfn.XLOOKUP(A322,Щиты[Щит],Щиты[Iкз max на шинах, кА]),"Icu "&amp;HB322&amp;" кА &lt; Iкз max","ok")))</f>
        <v/>
      </c>
      <c r="HD322" t="str">
        <f t="shared" si="590"/>
        <v/>
      </c>
      <c r="HE322" t="str">
        <f t="shared" si="591"/>
        <v>QF5|XT5</v>
      </c>
      <c r="HF322" t="str">
        <f t="shared" si="592"/>
        <v>QF5|XT5|кабель ВВГнг(А)-LS (3х2,5) → Насос дренажный, пом. 005Т</v>
      </c>
      <c r="HG322" t="str" cm="1">
        <f t="array" ref="HG322">IF(HF322="","",_xlfn.LET(_xlpm.nd,_xlfn.TEXTSPLIT(HF322,"|"),IF(COLUMNS(_xlpm.nd)&gt;1,A322&amp;"¦"&amp;INDEX(_xlpm.nd,1)&amp;"¦"&amp;INDEX(_xlpm.nd,2),"")))</f>
        <v>ЩС-ВК.001¦QF5¦XT5</v>
      </c>
      <c r="HH322" t="str">
        <f t="shared" si="593"/>
        <v>НВК.00.005Т.1¦Насос дренажный, пом. 005Т</v>
      </c>
      <c r="HI322" t="str" cm="1">
        <f t="array" ref="HI322">IF(HF322="","",_xlfn.LET(_xlpm.nd,_xlfn.TEXTSPLIT(HF322,"|"),IF(COLUMNS(_xlpm.nd)&gt;2,A322&amp;"¦"&amp;INDEX(_xlpm.nd,2)&amp;"¦"&amp;INDEX(_xlpm.nd,3),"")))</f>
        <v>ЩС-ВК.001¦XT5¦кабель ВВГнг(А)-LS (3х2,5) → Насос дренажный, пом. 005Т</v>
      </c>
      <c r="HJ322" t="str">
        <f t="shared" si="594"/>
        <v>НВК.00.005Т.1¦Насос дренажный, пом. 005Т</v>
      </c>
      <c r="HK322" t="str" cm="1">
        <f t="array" ref="HK322">IF(HF322="","",_xlfn.LET(_xlpm.nd,_xlfn.TEXTSPLIT(HF322,"|"),IF(COLUMNS(_xlpm.nd)&gt;3,A322&amp;"¦"&amp;INDEX(_xlpm.nd,3)&amp;"¦"&amp;INDEX(_xlpm.nd,4),"")))</f>
        <v/>
      </c>
      <c r="HL322" t="str">
        <f t="shared" si="595"/>
        <v/>
      </c>
      <c r="HM322" t="str" cm="1">
        <f t="array" ref="HM322">IF(HF322="","",_xlfn.LET(_xlpm.nd,_xlfn.TEXTSPLIT(HF322,"|"),IF(COLUMNS(_xlpm.nd)&gt;4,A322&amp;"¦"&amp;INDEX(_xlpm.nd,4)&amp;"¦"&amp;INDEX(_xlpm.nd,5),"")))</f>
        <v/>
      </c>
      <c r="HN322" t="str">
        <f t="shared" si="596"/>
        <v/>
      </c>
      <c r="HO322" t="str" cm="1">
        <f t="array" ref="HO322">IF(HF322="","",_xlfn.LET(_xlpm.nd,_xlfn.TEXTSPLIT(HF322,"|"),IF(COLUMNS(_xlpm.nd)&gt;5,A322&amp;"¦"&amp;INDEX(_xlpm.nd,5)&amp;"¦"&amp;INDEX(_xlpm.nd,6),"")))</f>
        <v/>
      </c>
      <c r="HP322" t="str">
        <f t="shared" si="597"/>
        <v/>
      </c>
      <c r="HQ322" t="str" cm="1">
        <f t="array" ref="HQ322">IF(HF322="","",_xlfn.LET(_xlpm.nd,_xlfn.TEXTSPLIT(HF322,"|"),IF(COLUMNS(_xlpm.nd)&gt;6,A322&amp;"¦"&amp;INDEX(_xlpm.nd,6)&amp;"¦"&amp;INDEX(_xlpm.nd,7),"")))</f>
        <v/>
      </c>
      <c r="HR322" t="str">
        <f t="shared" si="598"/>
        <v/>
      </c>
      <c r="HS322" t="str">
        <f t="shared" si="599"/>
        <v/>
      </c>
      <c r="HT322" t="str">
        <f t="shared" si="600"/>
        <v>QF5 → XT5</v>
      </c>
      <c r="HU322">
        <f t="shared" si="601"/>
        <v>0</v>
      </c>
      <c r="HV322">
        <f t="shared" si="602"/>
        <v>0</v>
      </c>
      <c r="HW322" t="str">
        <f t="shared" si="603"/>
        <v/>
      </c>
      <c r="HX322" t="str">
        <f t="shared" si="604"/>
        <v/>
      </c>
      <c r="HY322" t="str">
        <f t="shared" si="605"/>
        <v/>
      </c>
      <c r="HZ322" t="str">
        <f t="shared" si="606"/>
        <v/>
      </c>
      <c r="IA322">
        <f>IF(B322="","",IFERROR(VLOOKUP(B322,УГО_спр,2,FALSE),IFERROR(VLOOKUP(AX322,УГО_спр,2,FALSE),IFERROR(VLOOKUP(LEFT(AX322,2),УГО_спр,2,FALSE),""))))</f>
        <v>0</v>
      </c>
      <c r="IB322" t="str">
        <f>IF(B322="","",IF(OR(IA322="",IA322=0),"BOX",IFERROR(IF(VLOOKUP(IA322,УГО_блоки,3,FALSE)&amp;""&lt;&gt;"",VLOOKUP(IA322,УГО_блоки,3,FALSE),VLOOKUP(IA322,УГО_блоки,2,FALSE)),IA322)))</f>
        <v>BOX</v>
      </c>
      <c r="IC322">
        <f t="shared" si="607"/>
        <v>1</v>
      </c>
      <c r="ID322" t="str">
        <f>IF(DA322="","",IF(COUNTIF(DA$3:DA322,DA322)=1,MAX(ID$2:ID321)+1,""))</f>
        <v/>
      </c>
      <c r="IE322" t="str">
        <f>IF(CO322="","",IF(COUNTIF(CO$3:CO322,CO322)+COUNTIF(CP$2:CP321,CO322)+COUNTIF(CQ$2:CQ321,CO322)=1,MAX(IE$2:IG321)+1,""))</f>
        <v/>
      </c>
      <c r="IF322" t="str">
        <f>IF(CP322="","",IF(COUNTIF(CO$3:CO322,CP322)+COUNTIF(CP$3:CP322,CP322)+COUNTIF(CQ$2:CQ321,CP322)=1,MAX(IE$2:IG321,IE322)+1,""))</f>
        <v/>
      </c>
      <c r="IG322" t="str">
        <f>IF(CQ322="","",IF(COUNTIF(CO$3:CO322,CQ322)+COUNTIF(CP$3:CP322,CQ322)+COUNTIF(CQ$3:CQ322,CQ322)=1,MAX(IE$2:IG321,IE322,IF322)+1,""))</f>
        <v/>
      </c>
      <c r="IH322" t="str">
        <f t="shared" si="608"/>
        <v>3х2,5</v>
      </c>
      <c r="II322" t="str">
        <f>IF(IH322="","",IF(COUNTIF(IH$3:IH322,IH322)=1,MAX(II$2:II321)+1,""))</f>
        <v/>
      </c>
      <c r="IJ322" t="str">
        <f>IF(GL322="","",COUNTIF(GL$3:GL322,"?*"))</f>
        <v/>
      </c>
      <c r="IK322" t="str">
        <f>IF(OR(GL322="",GN322=""),"",IF(COUNTIFS(GL$3:GL322,"?*",GN$3:GN322,GN322)=1,MAX(IK$2:IK321)+1,""))</f>
        <v/>
      </c>
      <c r="IL322">
        <f t="shared" si="609"/>
        <v>0</v>
      </c>
      <c r="IM322">
        <f>IF(B322="","",COUNTIF(B$3:B322,"?*"))</f>
        <v>320</v>
      </c>
      <c r="IN322">
        <f>IF(GQ322&lt;&gt;1,0,_xlfn.LET(_xlpm.k,MAX(IFERROR(--VLOOKUP(B322,УГО_спр,5,FALSE),0),IFERROR(--VLOOKUP(AX322,УГО_спр,5,FALSE),0),IFERROR(--VLOOKUP(LEFT(AX322,2),УГО_спр,5,FALSE),0)),IF(_xlpm.k&gt;0,_xlpm.k,IF(IFERROR(--LEFT(SUBSTITUTE(IH322,"x","х"),FIND("х",SUBSTITUTE(IH322,"x","х"))-1),3)&gt;3,Каталог!$S$9,1))))</f>
        <v>1</v>
      </c>
      <c r="IO322">
        <f t="shared" si="610"/>
        <v>0</v>
      </c>
      <c r="IP322" t="str">
        <f t="shared" si="611"/>
        <v>авто</v>
      </c>
      <c r="IQ322" t="str">
        <f t="shared" si="612"/>
        <v/>
      </c>
      <c r="IR322">
        <f t="shared" si="613"/>
        <v>0</v>
      </c>
      <c r="IS322">
        <f t="shared" si="614"/>
        <v>1</v>
      </c>
    </row>
    <row r="323" spans="1:253" x14ac:dyDescent="0.3">
      <c r="A323" t="s">
        <v>765</v>
      </c>
      <c r="B323" t="s">
        <v>1585</v>
      </c>
      <c r="C323" t="str">
        <f>Линии[[#This Row],[_авто наименование]]</f>
        <v>Насос дренажный, пом. 005Т</v>
      </c>
      <c r="D323">
        <v>1</v>
      </c>
      <c r="E323">
        <v>0.6</v>
      </c>
      <c r="G323">
        <v>16</v>
      </c>
      <c r="H323" t="str">
        <f>Линии[[#This Row],[_авто утечка]]</f>
        <v/>
      </c>
      <c r="I323" t="str">
        <f>Линии[[#This Row],[_авто управление]]</f>
        <v/>
      </c>
      <c r="J323" t="str">
        <f>Линии[[#This Row],[_авто аппараты]]</f>
        <v/>
      </c>
      <c r="K323">
        <v>2.5</v>
      </c>
      <c r="L323">
        <v>11</v>
      </c>
      <c r="M323">
        <v>1</v>
      </c>
      <c r="N323" t="str">
        <f>Линии[[#This Row],[_авто клемма]]</f>
        <v>XT6</v>
      </c>
      <c r="O323" t="str">
        <f t="shared" ref="O323:O352" si="615">_xlfn.TEXTJOIN("; ",TRUE,HD323,HA323,IF(FT323="НЕ ОБЕСПЕЧЕНА","категория "&amp;FJ323&amp;" не обеспечена (есть "&amp;FQ323&amp;")",""),IF(LEFT(HC323,3)="Icu",HC323,""),IF(AND(B323&lt;&gt;"",DX323="не подобрано"),"сечение не подобрано: проверьте длину и автомат или впишите сечение",""))</f>
        <v>категория I не обеспечена (есть II)</v>
      </c>
      <c r="P323" s="6" cm="1">
        <f t="array" ref="P323">IF(B323="","",IF(BC323&lt;&gt;"",IFERROR(_xlfn.XLOOKUP(BC323,Щиты[Щит],Щиты[Iр, А]),""),IF(BK323=1,IFERROR(_xlfn.XLOOKUP(A323,Щиты[Щит],Щиты[Iр, А]),""),IFERROR(_xlfn.IFS(BR323=1,BN323/((Uн_лин/SQRT(3))*BY323),BR323=3,BN323/(SQRT(3)*Uн_лин*BY323)),""))))</f>
        <v>3.2475952641916441</v>
      </c>
      <c r="Q323" s="7">
        <f>IF(B323="","",IFERROR(IF(VLOOKUP(AX323,Потребители_обозначение,4,FALSE)=1,VLOOKUP(AX323,Потребители_обозначение,3,FALSE)*(D323*2-1)+DS323+VLOOKUP(AZ323,Этаж_обозначение,3,FALSE)+VLOOKUP(AZ323,Этаж_обозначение,4,FALSE),VLOOKUP(AX323,Потребители_обозначение,3,FALSE)*(D323*2-1)+DS323),DS323))</f>
        <v>14</v>
      </c>
      <c r="R323" s="6">
        <f t="shared" ref="R323:R352" si="616">IF(ISNUMBER(EG323),EG323+DN323,"")</f>
        <v>2.4099999999999997</v>
      </c>
      <c r="S323" t="str">
        <f t="shared" ref="S323:S352" si="617">IF(OR(B323="",EH323=""),"",IF(DX323="не подобрано",EH323&amp;" — сечение не подобрано",EI323))</f>
        <v>ВВГнг(А)-LS (3х2,5)</v>
      </c>
      <c r="T323" t="str">
        <f>IF(BH323="","",IF(BI323="вводной узел","узел ","")&amp;"л."&amp;(INT((BH323-1)/Столбцов_на_лист)+1)&amp;" / "&amp;(MOD(BH323-1,Столбцов_на_лист)+1))</f>
        <v>л.2 / 6</v>
      </c>
      <c r="V323">
        <v>1</v>
      </c>
      <c r="W323">
        <v>230</v>
      </c>
      <c r="X323" t="s">
        <v>600</v>
      </c>
      <c r="Y323">
        <v>0.5</v>
      </c>
      <c r="AC323" t="s">
        <v>861</v>
      </c>
      <c r="AE323" t="s">
        <v>606</v>
      </c>
      <c r="AI323">
        <v>23</v>
      </c>
      <c r="AJ323" t="s">
        <v>11</v>
      </c>
      <c r="AK323">
        <v>3</v>
      </c>
      <c r="AM323">
        <v>1</v>
      </c>
      <c r="AN323">
        <v>10</v>
      </c>
      <c r="AO323">
        <v>0</v>
      </c>
      <c r="AP323">
        <v>1</v>
      </c>
      <c r="AW323" cm="1">
        <f t="array" ref="AW323">ROW()-ROW(Линии[#Headers])</f>
        <v>321</v>
      </c>
      <c r="AX323" s="6" t="str">
        <f t="shared" ref="AX323:AX352" si="618">IF(B323="","",IFERROR(LEFT(B323,SEARCH(".",B323)-1),B323))</f>
        <v>НВК</v>
      </c>
      <c r="AY323" t="str">
        <f t="shared" ref="AY323:AY352" si="619">IFERROR(RIGHT(B323,LEN(B323)-SEARCH(".",B323)),"")</f>
        <v>00.005Т.2</v>
      </c>
      <c r="AZ323" t="str">
        <f t="shared" ref="AZ323:AZ386" si="620">IFERROR(LEFT(AY323,SEARCH(".",AY323)-1),AY323)</f>
        <v>00</v>
      </c>
      <c r="BA323" t="str">
        <f t="shared" ref="BA323:BA352" si="621">IFERROR(RIGHT(AY323,LEN(AY323)-SEARCH(".",AY323)),"")</f>
        <v>005Т.2</v>
      </c>
      <c r="BB323" t="str">
        <f t="shared" ref="BB323:BB386" si="622">IFERROR(LEFT(BA323,SEARCH(".",BA323)-1),BA323)</f>
        <v>005Т</v>
      </c>
      <c r="BC323" t="str">
        <f>IF(U323&lt;&gt;"",U323,IF(AND(B323&lt;&gt;"",B323&lt;&gt;A323,ISNUMBER(_xlfn.XMATCH(B323,Щиты[Щит]))),B323,""))</f>
        <v/>
      </c>
      <c r="BD323" t="str" cm="1">
        <f t="array" ref="BD323">IF(B323="","",IF(BC323&lt;&gt;"","Щит "&amp;BC323,_xlfn.LET(_xlpm.nm,IFERROR(_xlfn.XLOOKUP(AX323,Коды_код,Коды_имя)&amp;"",""),_xlpm.md,IFERROR(N(_xlfn.XLOOKUP(AX323,Коды_код,Коды_режим)),1),_xlpm.ex,IF(Имя_режим="по экспликации",IFERROR(_xlfn.XLOOKUP(AZ323&amp;"|"&amp;BB323,Экспликация[Этаж]&amp;"|"&amp;Экспликация[Помещение],Экспликация[Название])&amp;"",""),""),_xlpm.rm,IF(BB323="","",IF(_xlpm.ex&lt;&gt;"",". "&amp;_xlpm.ex&amp;IF(Имя_пом="нет"," ("&amp;BB323&amp;")"," (пом. "&amp;BB323&amp;")"),IF(Имя_пом="нет"," ",", пом. ")&amp;BB323)),IF(_xlpm.nm="","",IF(_xlpm.md=2,_xlpm.nm&amp;" шлейф "&amp;AZ323,_xlpm.nm&amp;_xlpm.rm)))))</f>
        <v>Насос дренажный, пом. 005Т</v>
      </c>
      <c r="BE323" t="str">
        <f t="shared" ref="BE323:BE386" si="623">IF(TRIM(C323&amp;"")="",BD323,C323)</f>
        <v>Насос дренажный, пом. 005Т</v>
      </c>
      <c r="BF323">
        <f>IFERROR(_xlfn.XMATCH(A323,Щиты[Щит]),0)</f>
        <v>13</v>
      </c>
      <c r="BG323">
        <f>_xlfn.LET(_xlpm.k,IFERROR(_xlfn.XLOOKUP(A323,Щиты[Щит],Щиты[Листов под вводной узел]),""),IF(_xlpm.k="",1,N(_xlpm.k))*Столбцов_на_лист)</f>
        <v>17</v>
      </c>
      <c r="BH323">
        <f t="shared" ref="BH323:BH386" si="624">IF(AI323="-","",IF(ISNUMBER(AI323),AI323,_xlfn.LET(_xlpm.prev,IF(OR(AW323=1,A323&lt;&gt;A322),0,N(IF(AW323=1,"",BH322))),_xlpm.nx,_xlpm.prev+1,IF(AND(AF323&lt;&gt;"вручную",_xlpm.nx&lt;=BG323),BG323+1,_xlpm.nx))))</f>
        <v>23</v>
      </c>
      <c r="BI323" t="str">
        <f t="shared" ref="BI323:BI386" si="625">IF(BH323="","",IF(BH323&lt;=BG323,"вводной узел","линии"))</f>
        <v>линии</v>
      </c>
      <c r="BJ323" s="6">
        <f>IFERROR(N(_xlfn.XLOOKUP(AX323,Коды_код,Коды_квт)),0)</f>
        <v>0</v>
      </c>
      <c r="BK323">
        <f t="shared" ref="BK323:BK352" si="626">IF(AND(B323&lt;&gt;"",AX323="Ввод"),1,0)</f>
        <v>0</v>
      </c>
      <c r="BL323" t="str">
        <f>IF(B323="","",IF(BC323&lt;&gt;"",IFERROR(_xlfn.XLOOKUP(BC323,Щиты[Щит],Щиты[Руст, кВт]),0),IF(BK323=1,IFERROR(_xlfn.XLOOKUP(A323,Щиты[Щит],Щиты[Руст, кВт]),0),IF(BJ323&gt;0,ROUND(BJ323*MAX(1,N(D323)),3),""))))</f>
        <v/>
      </c>
      <c r="BM323">
        <f t="shared" ref="BM323:BM386" si="627">IF(TRIM(E323&amp;"")="",BL323,E323)</f>
        <v>0.6</v>
      </c>
      <c r="BN323" s="6">
        <f>IF(B323="","",IF(BC323&lt;&gt;"",IFERROR(_xlfn.XLOOKUP(BC323,Щиты[Щит],Щиты[Руст, кВт]),0),N(BM323)))</f>
        <v>0.6</v>
      </c>
      <c r="BO323" t="str">
        <f>IF(B323="","",IFERROR(IF(VLOOKUP(AX323,Потребители_обозначение,8,FALSE)=0,"",VLOOKUP(AX323,Потребители_обозначение,8,FALSE)),""))</f>
        <v/>
      </c>
      <c r="BP323">
        <f t="shared" ref="BP323:BP386" si="628">IF(TRIM(W323&amp;"")="",BO323,W323)</f>
        <v>230</v>
      </c>
      <c r="BQ323">
        <f>IF(B323="","",IF(BC323&lt;&gt;"",3,IFERROR(IF(N(VLOOKUP(AX323,Потребители_обозначение,9,FALSE))=0,1,VLOOKUP(AX323,Потребители_обозначение,9,FALSE)),1)))</f>
        <v>1</v>
      </c>
      <c r="BR323">
        <f t="shared" ref="BR323:BR386" si="629">IF(B323="","",IF(TRIM(V323&amp;"")="",BQ323,N(V323)))</f>
        <v>1</v>
      </c>
      <c r="BS323" t="str">
        <f>IF(B323="","",_xlfn.LET(_xlpm.bc,IFERROR(IF(VLOOKUP(AX323,Потребители_обозначение,6,FALSE)=0,"",VLOOKUP(AX323,Потребители_обозначение,6,FALSE)&amp;""),""),IF(AND(FK323="да",OR(_xlpm.bc="",_xlpm.bc="мс")),Марка_пож,IF(AND(_xlpm.bc="",BC323&lt;&gt;""),"мс",_xlpm.bc))))</f>
        <v/>
      </c>
      <c r="BT323" t="str">
        <f t="shared" ref="BT323:BT386" si="630">IF(TRIM(AJ323&amp;"")="",BS323,AJ323)</f>
        <v>мс</v>
      </c>
      <c r="BU323">
        <f>IF(B323="","",_xlfn.LET(_xlpm.cc,IFERROR(N(VLOOKUP(AX323,Потребители_обозначение,7,FALSE)),0),IF(_xlpm.cc&gt;0,_xlpm.cc,IF(BT323="","",IF(N(BR323)=3,5,3)))))</f>
        <v>3</v>
      </c>
      <c r="BV323">
        <f t="shared" ref="BV323:BV386" si="631">IF(TRIM(AK323&amp;"")="",BU323,AK323)</f>
        <v>3</v>
      </c>
      <c r="BW323">
        <f>IFERROR(N(VLOOKUP(AX323,Потребители_обозначение,10,FALSE)),0)</f>
        <v>0</v>
      </c>
      <c r="BX323">
        <f>IFERROR(VLOOKUP(AX323,Потребители_обозначение,5,FALSE),0)</f>
        <v>1</v>
      </c>
      <c r="BY323" s="6" cm="1">
        <f t="array" ref="BY323">IF(B323="","",IF(BC323&lt;&gt;"",IFERROR(_xlfn.XLOOKUP(BC323,Щиты[Щит],Щиты[cos φ]),0.95),IF(BK323=1,IFERROR(_xlfn.XLOOKUP(A323,Щиты[Щит],Щиты[cos φ]),0.95),IF(ISNUMBER(Z323),Z323,IFERROR(IF(BX323=2,_xlfn.IFS(BR323=3,VLOOKUP(BN323,Справочная_двигатели,8,FALSE),BR323=1,VLOOKUP(BN323,Справочная_двигатели,10,TRUE)),IF(AND(Методика="нормы 2026",EQ323="Сил"),0.8,0.95)),0.95)))))</f>
        <v>0.8</v>
      </c>
      <c r="BZ323">
        <f t="shared" ref="BZ323:BZ352" si="632">IF(OR(TRIM(F323&amp;"")="гр",TRIM(F323&amp;"")="=",TRIM(F323&amp;"")="^",TRIM(F323&amp;"")="↑"),1,0)</f>
        <v>0</v>
      </c>
      <c r="CA323">
        <f t="shared" ref="CA323:CA386" si="633">IF(AND(B323&lt;&gt;"",BZ323=0),1,0)</f>
        <v>1</v>
      </c>
      <c r="CB323">
        <f t="shared" ref="CB323:CB352" si="634">IF(AND(A324=A323,AF324&lt;&gt;"вручную",OR(B324="",BZ324=1)),IF(B324="",0,N(P324))+N(CB324),0)</f>
        <v>0</v>
      </c>
      <c r="CC323">
        <f t="shared" ref="CC323:CC352" si="635">IF(AND(A324=A323,AF324&lt;&gt;"вручную",OR(B324="",BZ324=1)),IF(B324="",0,N(BN324))+N(CC324),0)</f>
        <v>0</v>
      </c>
      <c r="CD323">
        <f t="shared" ref="CD323:CD352" si="636">IF(AND(A324=A323,AF324&lt;&gt;"вручную",OR(B324="",BZ324=1)),MAX(IF(B324="",0,N(BR324)),N(CD324)),0)</f>
        <v>0</v>
      </c>
      <c r="CE323">
        <f t="shared" ref="CE323:CE352" si="637">IF(AND(A324=A323,AF324&lt;&gt;"вручную",OR(B324="",BZ324=1)),MAX(IF(B324="",0,N(CL324)),N(CE324)),0)</f>
        <v>0</v>
      </c>
      <c r="CF323">
        <f t="shared" ref="CF323:CF352" si="638">IF(AND(A324=A323,AF324&lt;&gt;"вручную",OR(B324="",BZ324=1)),_xlfn.LET(_xlpm.a_,IF(B324="",0,N(CJ324)),_xlpm.b_,N(CF324),IF(_xlpm.a_=0,_xlpm.b_,IF(_xlpm.b_=0,_xlpm.a_,MIN(_xlpm.a_,_xlpm.b_)))),0)</f>
        <v>0</v>
      </c>
      <c r="CG323">
        <f>IF(AX323="",0,_xlfn.LET(_xlpm.v,IFERROR(VLOOKUP(B323,УГО_спр,3,FALSE),IFERROR(VLOOKUP(AX323,УГО_спр,3,FALSE),IFERROR(VLOOKUP(LEFT(AX323,2),УГО_спр,3,FALSE),""))),IF(_xlpm.v="да",30,IF(ISNUMBER(_xlpm.v),_xlpm.v,0))))</f>
        <v>0</v>
      </c>
      <c r="CH323" t="str">
        <f t="shared" ref="CH323:CH386" si="639">IF(B323="","",IF(N(CG323)&gt;0,CG323,""))</f>
        <v/>
      </c>
      <c r="CI323" t="str">
        <f>_xlfn.LET(_xlpm.k,IFERROR(_xlfn.XLOOKUP(AX323,Коды_код,Коды_утечка)&amp;"",""),IF(_xlpm.k="","дифавтомат",_xlpm.k))</f>
        <v>дифавтомат</v>
      </c>
      <c r="CJ323">
        <f t="shared" ref="CJ323:CJ386" si="640">IF(B323="",0,_xlfn.LET(_xlpm.v,IF(TRIM(H323&amp;"")="",CH323,H323),_xlpm.nm,IF(_xlpm.v&amp;""="нет",0,IF(_xlpm.v&amp;""="да",30,IFERROR(--_xlpm.v,0))),IF(CI323="УЗО на группу",0,_xlpm.nm)))</f>
        <v>0</v>
      </c>
      <c r="CK323">
        <f t="shared" ref="CK323:CK386" si="641">IF(CA323=0,"",_xlfn.LET(_xlpm.a_,N(CJ323),_xlpm.b_,IF(AF323="вручную",0,N(CF323)),IF(_xlpm.a_=0,_xlpm.b_,IF(_xlpm.b_=0,_xlpm.a_,MIN(_xlpm.a_,_xlpm.b_)))))</f>
        <v>0</v>
      </c>
      <c r="CL323">
        <f>IF(B323="",0,IFERROR(--VLOOKUP(B323,УГО_спр,4,FALSE),IFERROR(--VLOOKUP(AX323,УГО_спр,4,FALSE),IFERROR(--VLOOKUP(LEFT(AX323,2),УГО_спр,4,FALSE),0))))</f>
        <v>0</v>
      </c>
      <c r="CM323" t="str">
        <f>IF(B323="","",IFERROR(_xlfn.XLOOKUP(AX323,Коды_код,Коды_апп)&amp;"",""))</f>
        <v/>
      </c>
      <c r="CN323" t="str">
        <f t="shared" ref="CN323:CN386" si="642">IF(TRIM(J323&amp;"")="",CM323,J323)</f>
        <v/>
      </c>
      <c r="CO323" t="str" cm="1">
        <f t="array" ref="CO323">IF(TRIM(CN323&amp;"")="","",IFERROR(TRIM(INDEX(_xlfn.TEXTSPLIT(CN323&amp;";;;",";"),1)),""))</f>
        <v/>
      </c>
      <c r="CP323" t="str" cm="1">
        <f t="array" ref="CP323">IF(TRIM(CN323&amp;"")="","",IFERROR(TRIM(INDEX(_xlfn.TEXTSPLIT(CN323&amp;";;;",";"),2)),""))</f>
        <v/>
      </c>
      <c r="CQ323" t="str" cm="1">
        <f t="array" ref="CQ323">IF(TRIM(CN323&amp;"")="","",IFERROR(TRIM(INDEX(_xlfn.TEXTSPLIT(CN323&amp;";;;",";"),3)),""))</f>
        <v/>
      </c>
      <c r="CR323">
        <f t="shared" ref="CR323:CR352" si="643">IF(CN323="",0,IF(OR(LEFT(CO323,2)="T ",LEFT(CO323,2)="Т ",ISNUMBER(SEARCH("БП",CN323)),ISNUMBER(SEARCH("; T ",CN323)),ISNUMBER(SEARCH("; Т ",CN323))),1,0))</f>
        <v>0</v>
      </c>
      <c r="CS323" t="str">
        <f>IF(B323="","",_xlfn.LET(_xlpm.t,LOWER(AV323&amp;""),IF(ISNUMBER(SEARCH("dim",_xlpm.t)),"DIM",IF(ISNUMBER(SEARCH("dali",_xlpm.t)),"DALI",IF(OR(ISNUMBER(SEARCH("relay",_xlpm.t)),ISNUMBER(SEARCH("реле",_xlpm.t))),"Relay",IF(ISNUMBER(SEARCH("кнопк",_xlpm.t)),"",IFERROR(_xlfn.XLOOKUP(AX323,Коды_код,Коды_упр)&amp;"","")))))))</f>
        <v/>
      </c>
      <c r="CT323" t="str">
        <f t="shared" ref="CT323:CT386" si="644">IF(TRIM(I323&amp;"")="",CS323,I323)</f>
        <v/>
      </c>
      <c r="CU323">
        <f>IF(B323="","",_xlfn.LET(_xlpm.ig,N(P323)+IF(AF323="вручную",0,N(CB323)),_xlpm.n0,IFERROR(VLOOKUP(_xlpm.ig,Автомат_номиналы,2,TRUE),0),_xlpm.mn,MAX(CL323,IF(AF323="вручную",0,N(CE323))),MAX(_xlpm.n0,_xlpm.mn,IF(CR323=1,Мин_автомат_БП,0))))</f>
        <v>6</v>
      </c>
      <c r="CV323">
        <f t="shared" ref="CV323:CV352" si="645">IF(B323="","",MAX(N(BR323),IF(AF323="вручную",0,N(CD323))))</f>
        <v>1</v>
      </c>
      <c r="CW323" t="str">
        <f t="shared" ref="CW323:CW386" si="646">IF(B323="","",IF(N(CV323)&gt;=3,IF(N(CK323)&gt;0,"4P","3P"),IF(N(CK323)&gt;0,"2P","1P")))</f>
        <v>1P</v>
      </c>
      <c r="CX323" t="str">
        <f>_xlfn.LET(_xlpm.cc,UPPER(TRIM(IFERROR(_xlfn.XLOOKUP(AX323,Коды_код,Коды_хар)&amp;"",""))),IF(OR(_xlpm.cc="B",_xlpm.cc="В"),"B",IF(_xlpm.cc="D","D","С")))</f>
        <v>С</v>
      </c>
      <c r="CY323" t="str">
        <f t="shared" ref="CY323:CY386" si="647">IF(B323="","",IF(CA323=0,IF(AND(AND(NOT(OR(AW323=1,A323&lt;&gt;A322)),AF323&lt;&gt;"вручную",IF(AW323=1,"",DC322)="ok"),IF(AW323=1,"",DE322)&lt;&gt;""),"↑ "&amp;IF(AW323=1,"",DE322),""),IF(N(CU323)=0,"",CW323&amp;" "&amp;CX323&amp;CU323&amp;"А"&amp;IF(N(CK323)&gt;0," "&amp;CK323&amp;"мА",""))))</f>
        <v>1P С6А</v>
      </c>
      <c r="CZ323">
        <f t="shared" ref="CZ323:CZ386" si="648">IF(TRIM(G323&amp;"")="",CY323,G323)</f>
        <v>16</v>
      </c>
      <c r="DA323" t="str">
        <f t="shared" ref="DA323:DA386" si="649">IF(CA323=0,"",_xlfn.LET(_xlpm.v,TRIM(CZ323&amp;""),IF(_xlpm.v="","",IF(ISNUMBER(--_xlpm.v),CW323&amp;" "&amp;CX323&amp;(--_xlpm.v)&amp;"А"&amp;IF(N(CK323)&gt;0," "&amp;CK323&amp;"мА",""),IF(ISNUMBER(SEARCH("P",UPPER(_xlpm.v))),_xlpm.v,CW323&amp;" "&amp;_xlpm.v)))))</f>
        <v>1P С16А</v>
      </c>
      <c r="DB323" cm="1">
        <f t="array" ref="DB323">IF(DA323="","",_xlfn.LET(_xlpm.t,SUBSTITUTE(SUBSTITUTE(SUBSTITUTE(UPPER(DA323),"С","C"),"А","A"),"В","B"),_xlpm.tk,_xlfn.TEXTSPLIT(_xlpm.t,"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3" t="str">
        <f t="shared" ref="DC323:DC352" si="650">IF(CA323=1,IF(AF323="вручную","узел","ok"),IF(OR(OR(AW323=1,A323&lt;&gt;A322),AF323="вручную"),"",IF(AW323=1,"",DC322)))</f>
        <v>ok</v>
      </c>
      <c r="DD323">
        <f t="shared" ref="DD323:DD352" si="651">IF(CA323=1,DB323,IF(AND(NOT(OR(AW323=1,A323&lt;&gt;A322)),AF323&lt;&gt;"вручную",IF(AW323=1,"",DC322)="ok"),IF(AW323=1,"",DD322),""))</f>
        <v>16</v>
      </c>
      <c r="DE323" t="str">
        <f t="shared" ref="DE323:DE352" si="652">IF(CA323=1,DA323,IF(AND(NOT(OR(AW323=1,A323&lt;&gt;A322)),AF323&lt;&gt;"вручную",IF(AW323=1,"",DC322)="ok"),IF(AW323=1,"",DE322),""))</f>
        <v>1P С16А</v>
      </c>
      <c r="DF323">
        <f t="shared" ref="DF323:DF352" si="653">IF(CA323=1,CK323,IF(AND(NOT(OR(AW323=1,A323&lt;&gt;A322)),AF323&lt;&gt;"вручную",IF(AW323=1,"",DC322)="ok"),IF(AW323=1,"",DF322),""))</f>
        <v>0</v>
      </c>
      <c r="DG323">
        <f t="shared" ref="DG323:DG386" si="654">IF(N(DF323)&gt;0,1,0)</f>
        <v>0</v>
      </c>
      <c r="DH323">
        <f t="shared" ref="DH323:DH352" si="655">IF(CA323=1,CR323,IF(AND(NOT(OR(AW323=1,A323&lt;&gt;A322)),AF323&lt;&gt;"вручную",IF(AW323=1,"",DC322)="ok"),N(IF(AW323=1,"",DH322)),0))</f>
        <v>0</v>
      </c>
      <c r="DI323">
        <f t="shared" ref="DI323:DI352" si="656">IF(CA323=1,N(P323)+IF(AF323="вручную",0,N(CB323)),"")</f>
        <v>3.2475952641916441</v>
      </c>
      <c r="DJ323">
        <f t="shared" ref="DJ323:DJ352" si="657">IF(N(BV323)=1,1,IF(BR323=1,1,IF(N(BV323)&gt;=4,0.92,1)))</f>
        <v>1</v>
      </c>
      <c r="DK323">
        <f>IF(ISNUMBER(AL323),AL323,К_прокл)</f>
        <v>1</v>
      </c>
      <c r="DL323">
        <f t="shared" ref="DL323:DL352" si="658">IF(N(BV323)=1,1,IF(BR323=1,2,3))</f>
        <v>2</v>
      </c>
      <c r="DM323">
        <f>IFERROR(N(VLOOKUP(BT323,Кабель_обозначение,3,FALSE)),1)</f>
        <v>1</v>
      </c>
      <c r="DN323">
        <f>IFERROR(N(_xlfn.XLOOKUP(A323,Щиты[Щит],Щиты[ΔU до шин, %])),0)</f>
        <v>2.1199999999999997</v>
      </c>
      <c r="DO323" t="str">
        <f>IFERROR(_xlfn.XLOOKUP(A323,Щиты[Щит],Щиты[Zпетли на шинах, Ом]),"")</f>
        <v/>
      </c>
      <c r="DP323">
        <f>IFERROR(N(_xlfn.XLOOKUP(A323,Щиты[Щит],Щиты[ΔU до шин (подбор), %])),0)</f>
        <v>3.3699999999999997</v>
      </c>
      <c r="DQ323" t="str">
        <f>IFERROR(_xlfn.XLOOKUP(A323,Щиты[Щит],Щиты[Zпетли на шинах (подбор), Ом]),"")</f>
        <v/>
      </c>
      <c r="DR323" t="str">
        <f t="shared" ref="DR323:DR352" si="659">IF(COUNT(AR323,AS323)=0,"",ROUNDUP(SUM(AR323,AS323),0))</f>
        <v/>
      </c>
      <c r="DS323">
        <f t="shared" ref="DS323:DS386" si="660">IF(TRIM(L323&amp;"")="",DR323,L323)</f>
        <v>11</v>
      </c>
      <c r="DT323">
        <f t="shared" ref="DT323:DT352" si="661">IF(BR323=1,2,IF(BR323=3,1,""))</f>
        <v>2</v>
      </c>
      <c r="DU323">
        <f t="shared" ref="DU323:DU352" si="662">IFERROR(ROUND(SIN(ACOS(BY323)),2),"")</f>
        <v>0.6</v>
      </c>
      <c r="DV323" s="6">
        <f>IF(B323="","",IF(IFERROR(VLOOKUP(AX323,УГО_спр,2,FALSE),"")="Светильник",3,4)+IF(Методика="нормы 2026",MIN(0.5,MAX(0,N(Q323)-100)*0.005),0))</f>
        <v>4</v>
      </c>
      <c r="DW323" cm="1">
        <f t="array" ref="DW323">IF(OR(B323="",BT323="",DM323&lt;&gt;1),"",_xlfn.LET(_xlpm.sz,Iдоп_S,_xlpm.t_,CHOOSE(DL323,Iдоп_1ж,Iдоп_2ж,Iдоп_3ж)*DJ323*DK323,_xlpm.inn,N(DD323),_xlpm.smin,MAX(1.5,BW323),_xlpm.L_,N(Q323)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323)*(_xlpm.rho*_xlpm.L_/_xlpm.sz*N(BY323)+_xlpm.xx*_xlpm.L_*N(DU323)/1000)*N(P323)/((Uн_лин/SQRT(3))*1000)*100,999),_xlpm.kz,IF(OR(DG323=1,NOT(ISNUMBER(DQ323)),_xlpm.L_=0,_xlpm.inn=0),1,IFERROR(--(c_min*(Uн_лин*1000/SQRT(3))/(DQ323+2*ρкз_Cu*_xlpm.L_/_xlpm.sz)&gt;=GY323*_xlpm.inn),0)),_xlpm.ok,IFERROR((_xlpm.sz&gt;=_xlpm.smin)*(_xlpm.t_&gt;=_xlpm.inn)*IF(_xlpm.L_&gt;0,(_xlpm.du_+DP323&lt;=DV323+0.00001),1)*_xlpm.kz,0),_xlpm.r_,_xlfn._xlws.FILTER(_xlpm.sz,_xlpm.ok,"не подобрано"),INDEX(_xlpm.r_,1)))</f>
        <v>1.5</v>
      </c>
      <c r="DX323">
        <f t="shared" ref="DX323:DX386" si="663">IF(B323="","",IF(TRIM(K323&amp;"")="",DW323,K323))</f>
        <v>2.5</v>
      </c>
      <c r="DY323" cm="1">
        <f t="array" ref="DY323">IF(OR(B323="",BT323="",DM323&lt;&gt;1),"",_xlfn.LET(_xlpm.sz,Iдоп_S,_xlpm.t_,CHOOSE(DL323,Iдоп_1ж,Iдоп_2ж,Iдоп_3ж)*DJ323*DK323,_xlpm.ok,IFERROR((_xlpm.sz&gt;=MAX(1.5,BW323))*(_xlpm.t_&gt;=N(DD323)),0),_xlpm.r_,_xlfn._xlws.FILTER(_xlpm.sz,_xlpm.ok,""),INDEX(_xlpm.r_,1)))</f>
        <v>1.5</v>
      </c>
      <c r="DZ323" s="6" cm="1">
        <f t="array" ref="DZ323">IFERROR(ROUNDUP(N(DT323)*(_xlfn.XLOOKUP(DY323,INDEX(Кабель_сопротивление,0,1),INDEX(Кабель_сопротивление,0,3))*N(Q323)/DY323*N(BY323)+_xlfn.XLOOKUP(DY323,INDEX(Кабель_сопротивление,0,1),INDEX(Кабель_сопротивление,0,2))*N(Q323)*N(DU323)/1000)*N(P323)/((Uн_лин/SQRT(3))*1000)*100,2),"")</f>
        <v>0.48</v>
      </c>
      <c r="EA323">
        <f>IFERROR(2*ρкз_Cu*N(Q323)/DY323,"")</f>
        <v>0.49093333333333339</v>
      </c>
      <c r="EB323">
        <f>IFERROR(VLOOKUP(DX323,Кабель_сопротивление,3,FALSE),"")</f>
        <v>2.2499999999999999E-2</v>
      </c>
      <c r="EC323">
        <f>IFERROR(VLOOKUP(DX323,Кабель_сопротивление,2,FALSE),"")</f>
        <v>0.1</v>
      </c>
      <c r="ED323">
        <f t="shared" ref="ED323:ED352" si="664">IF(AN323&lt;&gt;"",AN323,IF(OR(DS323="",AP323=""),"",IF(AP323=1,MAX(0,Q323-ROUNDUP(N(AS323),0)-4),ROUNDUP(N(AR323),0))))</f>
        <v>10</v>
      </c>
      <c r="EE323">
        <f t="shared" ref="EE323:EE352" si="665">IF(AO323&lt;&gt;"",AO323,IF(OR(DS323="",AP323=""),"",IF(AP323=2,MAX(0,Q323-ROUNDUP(N(AR323),0)-4),ROUNDUP(N(AS323),0))))</f>
        <v>0</v>
      </c>
      <c r="EF323">
        <f t="shared" ref="EF323:EF352" si="666">IFERROR(DT323*(EB323*Q323/DX323*BY323+EC323*Q323*DU323/1000)*P323,"")</f>
        <v>0.66017116530487741</v>
      </c>
      <c r="EG323" s="6">
        <f>IFERROR(ROUNDUP(EF323/((Uн_лин/SQRT(3))*1000)*100,2),"")</f>
        <v>0.29000000000000004</v>
      </c>
      <c r="EH323" t="str">
        <f>IFERROR(VLOOKUP(BT323,Кабель_обозначение,2,FALSE),"")</f>
        <v>ВВГнг(А)-LS</v>
      </c>
      <c r="EI323" t="str">
        <f t="shared" ref="EI323:EI386" si="667">IFERROR(IF(DM323=1,IF(ISNUMBER(DX323),EH323&amp;" ("&amp;BV323&amp;"х"&amp;DX323&amp;")",EH323),EH323),"")</f>
        <v>ВВГнг(А)-LS (3х2,5)</v>
      </c>
      <c r="EJ323" t="str">
        <f t="shared" ref="EJ323:EJ386" si="668">IF(OR(B323="",EH323="",AND(BM323&lt;&gt;"",NOT(ISNUMBER(BM323)))),"",IF(N(DX323)=0,EH323,EI323&amp;CHAR(10)&amp;"L="&amp;Q323&amp;"-"&amp;EG323&amp;"%"))</f>
        <v>ВВГнг(А)-LS (3х2,5)
L=14-0,29%</v>
      </c>
      <c r="EK323">
        <f>IFERROR(2*ρкз_Cu*Q323/DX323,"")</f>
        <v>0.29456000000000004</v>
      </c>
      <c r="EL323">
        <f t="shared" ref="EL323:EL352" si="669">IFERROR(0.0175*N(Q323)/DX323,"")</f>
        <v>9.8000000000000004E-2</v>
      </c>
      <c r="EM323" s="6" t="str">
        <f>IFERROR(IF(OR(B323="",NOT(ISNUMBER(DX323)),N(Q323)=0),"",_xlfn.XLOOKUP(A323,Щиты[Щит],Щиты[Zпетли на шинах, Ом])+EK323),"")</f>
        <v/>
      </c>
      <c r="EN323" s="6" t="str">
        <f>IF(ISNUMBER(EM323),c_min*(Uн_лин*1000/SQRT(3))/EM323,"")</f>
        <v/>
      </c>
      <c r="EO323" s="6" t="str">
        <f>IFERROR(IF(OR(B323="",NOT(ISNUMBER(DX323))),"",1.05*(Uн_лин*1000/SQRT(3))/(_xlfn.XLOOKUP(A323,Щиты[Щит],Щиты[Zmax на шинах, Ом])+EL323)/1000),"")</f>
        <v/>
      </c>
      <c r="EP323" s="6" t="str">
        <f>IF(B323="","",IF(ISNUMBER(Y323),"Сил",IF(IFERROR(_xlfn.XLOOKUP(AX323,Коды_код,Коды_группа)&amp;"","")="","Быт",_xlfn.XLOOKUP(AX323,Коды_код,Коды_группа)&amp;"")))</f>
        <v>Сил</v>
      </c>
      <c r="EQ323" s="6" t="str">
        <f t="shared" ref="EQ323:EQ386" si="670">IF(B323="","",IF(BC323&lt;&gt;"","Щит",IF(TRIM(X323&amp;"")="",EP323,X323)))</f>
        <v>Сил</v>
      </c>
      <c r="ER323" s="6">
        <f>IF(EQ323="Щит","щит",IF(EQ323="","",IF(EQ323="Быт",IFERROR(_xlfn.XLOOKUP(A323,Щиты[Щит],Щиты[Кс быт]),1),IF(EQ323="Сил",IF(ISNUMBER(Y323),Y323,IF(Методика="нормы 2026",IFERROR(_xlfn.XLOOKUP(A323,Щиты[Щит],Щиты[Кс силовых (табл. 7.5)]),1),1)),IF(OR(EQ323="Пост",EQ323="Отоп"),1,IF(EQ323="ВНГ",0.7,0))))))</f>
        <v>0.5</v>
      </c>
      <c r="ES323">
        <f t="shared" ref="ES323:ES352" si="671">IF(EQ323="","",IFERROR(MIN(3,MAX(1,INT(--AA323))),1))</f>
        <v>1</v>
      </c>
      <c r="ET323">
        <f t="shared" ref="ET323:ET352" si="672">IF(OR(EQ323="",EQ323="Нет",EQ323="Щит"),0,N(BN323))</f>
        <v>0.6</v>
      </c>
      <c r="EU323">
        <f t="shared" ref="EU323:EU352" si="673">IF(EQ323="Быт",N(BN323),0)</f>
        <v>0</v>
      </c>
      <c r="EV323">
        <f t="shared" ref="EV323:EV352" si="674">IF(EQ323="Сил",N(BN323)*N(ER323),0)</f>
        <v>0.3</v>
      </c>
      <c r="EW323">
        <f t="shared" ref="EW323:EW352" si="675">IF(EQ323="Пост",N(BN323),0)</f>
        <v>0</v>
      </c>
      <c r="EX323">
        <f t="shared" ref="EX323:EX352" si="676">IF(EQ323="Отоп",N(BN323),0)</f>
        <v>0</v>
      </c>
      <c r="EY323">
        <f t="shared" ref="EY323:EY352" si="677">IF(EQ323="ВНГ",N(BN323)*0.7,0)</f>
        <v>0</v>
      </c>
      <c r="EZ323">
        <f t="shared" ref="EZ323:EZ352" si="678">IF(OR(B323="",EQ323="Щит",EQ323="Нет"),0,N(BN323))</f>
        <v>0.6</v>
      </c>
      <c r="FA323">
        <f t="shared" ref="FA323:FA352" si="679">IF(OR(B323="",EQ323="Щит",EQ323="Нет"),0,N(BN323)*N(BY323))</f>
        <v>0.48</v>
      </c>
      <c r="FB323">
        <f t="shared" ref="FB323:FB352" si="680">IF(CA323=1,N(BN323)+IF(AF323="вручную",0,N(CC323)),0)</f>
        <v>0.6</v>
      </c>
      <c r="FC323" t="str">
        <f t="shared" ref="FC323:FC352" si="681">IF(B323="","",IF(_xlfn.ISFORMULA(M323),"",_xlfn.LET(_xlpm.v,UPPER(SUBSTITUTE(TRIM(M323&amp;"")," ","")),IF(_xlpm.v="","",IF(OR(_xlpm.v="1,2,3",_xlpm.v="L1,L2,L3",_xlpm.v="123",_xlpm.v="3Ф"),"L1,L2,L3",IF(OR(_xlpm.v="1",_xlpm.v="2",_xlpm.v="3"),"L"&amp;_xlpm.v,IF(OR(_xlpm.v="L1",_xlpm.v="L2",_xlpm.v="L3"),_xlpm.v,"")))))))</f>
        <v>L1</v>
      </c>
      <c r="FD323" t="str">
        <f>IF(B323="","",IF(CA323=0,IF(AW323=1,"",FF322),IF(OR(N(CV323)&gt;=3,N(BR323)&gt;=3),"L1,L2,L3",IFERROR(_xlfn.TEXTBEFORE(_xlfn.TEXTAFTER(_xlfn.XLOOKUP(A323,Щиты[Щит],Щиты[_фазы авто]),";"&amp;AW323&amp;":"),";"),"L1"))))</f>
        <v>L1</v>
      </c>
      <c r="FE323" t="str">
        <f t="shared" ref="FE323:FE386" si="682">IF(B323="","",_xlfn.LET(_xlpm.v,UPPER(SUBSTITUTE(TRIM(M323&amp;"")," ","")),IF(_xlpm.v="",FD323,IF(OR(_xlpm.v="1,2,3",_xlpm.v="L1,L2,L3",_xlpm.v="123",_xlpm.v="3Ф"),"L1,L2,L3",IF(OR(_xlpm.v="1",_xlpm.v="2",_xlpm.v="3"),"L"&amp;_xlpm.v,IF(OR(_xlpm.v="L1",_xlpm.v="L2",_xlpm.v="L3"),_xlpm.v,IF(_xlpm.v="УПР","",_xlpm.v)))))))</f>
        <v>L1</v>
      </c>
      <c r="FF323" t="str">
        <f t="shared" ref="FF323:FF386" si="683">IF(CA323=1,FE323,IF(AND(NOT(OR(AW323=1,A323&lt;&gt;A322)),AF323&lt;&gt;"вручную",IF(AW323=1,"",DC322)="ok"),IF(AW323=1,"",FF322),""))</f>
        <v>L1</v>
      </c>
      <c r="FG323" cm="1">
        <f t="array" ref="FG323">IFERROR(IF(BX323=2,_xlfn.IFS(BR323=3,VLOOKUP(BN323,Справочная_двигатели,3,FALSE),BR323=1,VLOOKUP(BN323,Справочная_двигатели,5,TRUE)),0),0)</f>
        <v>0</v>
      </c>
      <c r="FH323">
        <f>IFERROR(IF(BX323=3,VLOOKUP(BN323,Справочная_ЛЭД,2,TRUE),0),0)</f>
        <v>0</v>
      </c>
      <c r="FI323" s="6">
        <f t="shared" ref="FI323:FI386" si="684">IF(B323="","",IF(FG323=0,FH323,FG323))</f>
        <v>0</v>
      </c>
      <c r="FJ323" t="str" cm="1">
        <f t="array" ref="FJ323">IF(B323="","",IFERROR(INDEX({"I особая","I","II","III"},MATCH(TRIM(AC323&amp;""),{"I особая","I","II","III"},0)),"III"))</f>
        <v>I</v>
      </c>
      <c r="FK323" t="str">
        <f>IF(B323="","",IF(TRIM(AD323&amp;"")&lt;&gt;"",IF(LOWER(TRIM(AD323&amp;""))="да","да","нет"),IF(IFERROR(_xlfn.XLOOKUP(AX323,Коды_код,Коды_пожарная),"")="да","да","нет")))</f>
        <v>нет</v>
      </c>
      <c r="FL323" t="str">
        <f t="shared" ref="FL323:FL352" si="685">IF(AB323&lt;&gt;"",AB323,IF(CA323=1,"",IF(GH323="","",IF(AW323=1,"",FL322))))</f>
        <v/>
      </c>
      <c r="FM323" t="str">
        <f t="shared" ref="FM323:FM386" si="686">IF(B323="","",IF(FL323="","основная",FL323))</f>
        <v>основная</v>
      </c>
      <c r="FN323">
        <f t="shared" ref="FN323:FN352" si="687">IFERROR(MIN(3,MAX(1,INT(--AA323))),1)</f>
        <v>1</v>
      </c>
      <c r="FO323" t="str" cm="1">
        <f t="array" ref="FO323">IF(B323="","",_xlfn.LET(_xlpm.t,IFERROR(_xlfn.XLOOKUP(1,(Шины[Шина]=FM323)*(((Шины[Щит]=A323)+(Шины[Щит]=""))&gt;0),Шины[Тип]),"")&amp;"",IF(_xlpm.t&lt;&gt;"",_xlpm.t,IF(ISNUMBER(SEARCH("ИБП",FM323)),"ИБП",IF(ISNUMBER(SEARCH("ДГУ",FM323)),"ДГУ","Ввод "&amp;FN323)))))</f>
        <v>Ввод 1</v>
      </c>
      <c r="FP323" t="str">
        <f t="shared" ref="FP323:FP386" si="688">IF(B323="","",IF(OR(FO323="ИБП",FO323="ДГУ"),FO323,IF(LEFT(FO323,5)="Ввод ",FO323,"Ввод "&amp;FN323)))</f>
        <v>Ввод 1</v>
      </c>
      <c r="FQ323" t="str">
        <f>IF(B323="","",IF(OR(FO323="ИБП",FO323="ДГУ"),"I особая",IF(FO323="Одиночная","III",_xlfn.XLOOKUP(A323,Щиты[Щит],Щиты[Категория шины «Ввод»],"III"))))</f>
        <v>II</v>
      </c>
      <c r="FR323">
        <f>IF(B323="",0,IFERROR(MATCH(FJ323,{"III","II","I","I особая"},0),1))</f>
        <v>3</v>
      </c>
      <c r="FS323">
        <f t="shared" ref="FS323:FS386" si="689">IF(OR(FO323="ИБП",FO323="ДГУ"),MIN(FR323,3),FR323)</f>
        <v>3</v>
      </c>
      <c r="FT323" t="str">
        <f>IF(B323="","",IF(FR323&gt;IFERROR(MATCH(FQ323,{"III","II","I","I особая"},0),1),"НЕ ОБЕСПЕЧЕНА","ОК"))</f>
        <v>НЕ ОБЕСПЕЧЕНА</v>
      </c>
      <c r="FU323" t="str">
        <f>IF(A323="","",_xlfn.XLOOKUP(A323,Щиты[Щит],Щиты[Путь],""))</f>
        <v>|ГРЩ-ЖД|ЩС-ВК.001|</v>
      </c>
      <c r="FV323" t="str">
        <f>IF(B323="","",IF(AE323&lt;&gt;"",AE323,IF(IFERROR(_xlfn.XLOOKUP(AX323,Коды_код,Коды_вид)&amp;"","")="","Прочее",_xlfn.XLOOKUP(AX323,Коды_код,Коды_вид)&amp;"")))</f>
        <v>Насосы (водоснабжение, дренаж)</v>
      </c>
      <c r="FW323">
        <f>IF(BH323="","",INT((BH323-1)/Столбцов_на_лист)+1)</f>
        <v>2</v>
      </c>
      <c r="FX323" t="str">
        <f t="shared" ref="FX323:FX352" si="690">IF(B323="","",SUBSTITUTE(EJ323,CHAR(10)," "))</f>
        <v>ВВГнг(А)-LS (3х2,5) L=14-0,29%</v>
      </c>
      <c r="FY323">
        <f t="shared" ref="FY323:FY352" si="691">IF(B323="","",IFERROR(--BN323,""))</f>
        <v>0.6</v>
      </c>
      <c r="FZ323">
        <f t="shared" ref="FZ323:FZ352" si="692">IF(B323="","",IFERROR(ROUNDUP(P323,2),""))</f>
        <v>3.25</v>
      </c>
      <c r="GA323">
        <f t="shared" ref="GA323:GA352" si="693">IF(B323="","",IFERROR(--BR323,1))</f>
        <v>1</v>
      </c>
      <c r="GB323">
        <f t="shared" ref="GB323:GB352" si="694">IF(OR(AH323="+",AND(B323&lt;&gt;"",B323=IF(AW323=1,"",B322))),1,0)</f>
        <v>0</v>
      </c>
      <c r="GC323">
        <f t="shared" ref="GC323:GC352" si="695">IF(OR(BH323="",AF323="вручную",AND(BI323="вводной узел",AF323&lt;&gt;"рисовать")),0,1)</f>
        <v>1</v>
      </c>
      <c r="GD323">
        <f>IF(BH323="","",IF(AND(CA323=1,GC323=1),COUNTIFS(A$3:A323,A323,CA$3:CA323,1,GC$3:GC323,1),IF(OR(OR(AW323=1,A323&lt;&gt;A322),AF323="вручную",GC323=0),"",IF(AW323=1,"",GE322))))</f>
        <v>6</v>
      </c>
      <c r="GE323">
        <f t="shared" ref="GE323:GE386" si="696">IF(BH323="",IF(OR(AW323=1,A323&lt;&gt;A322),"",IF(AW323=1,"",GE322)),GD323)</f>
        <v>6</v>
      </c>
      <c r="GF323">
        <f>IF(B323="","",IFERROR(LOOKUP(INDEX(CHOOSE(DL323,Iдоп_1ж,Iдоп_2ж,Iдоп_3ж),MATCH(DX323,Iдоп_S,0))*DJ323*DK323,{6,10,16,20,25,32,40,50,63,80,100,125,160,200,250,315,400,500,630}),""))</f>
        <v>25</v>
      </c>
      <c r="GG323" t="str">
        <f t="shared" ref="GG323:GG352" si="697">IF(AND(CA323=1,GC323=1,GD323&lt;&gt;""),IF(N(CK323)&gt;0,"QFD","QF")&amp;GD323,"")</f>
        <v>QF6</v>
      </c>
      <c r="GH323" t="str">
        <f t="shared" ref="GH323:GH386" si="698">IF(GG323&lt;&gt;"",GG323,IF(OR(OR(AW323=1,A323&lt;&gt;A322),AF323="вручную"),"",IF(AW323=1,"",GH322)))</f>
        <v>QF6</v>
      </c>
      <c r="GI323" t="str">
        <f t="shared" ref="GI323:GI386" si="699">IF(GG323&lt;&gt;"",_xlfn.TEXTJOIN(" → ",TRUE,CO323,CP323,CQ323),IF(GH323="","",IF(AW323=1,"",GI322)))</f>
        <v/>
      </c>
      <c r="GJ323">
        <f t="shared" ref="GJ323:GJ386" si="700">IF(GI323="",0,IF(OR(LEFT(GI323,2)="T ",LEFT(GI323,2)="Т ",ISNUMBER(SEARCH("→ T ",GI323)),ISNUMBER(SEARCH("→ Т ",GI323)),ISNUMBER(SEARCH("БП",GI323))),1,0))</f>
        <v>0</v>
      </c>
      <c r="GK323" t="str">
        <f>IF(OR(AG323="",AG323="-"),"",IFERROR(VLOOKUP(AG323,Модули_спр,2,FALSE),"R"))</f>
        <v/>
      </c>
      <c r="GL323" t="str">
        <f>IF(GK323="","",GK323&amp;"."&amp;COUNTIFS(A$3:A323,A323,GK$3:GK323,GK323))</f>
        <v/>
      </c>
      <c r="GM323" t="str">
        <f t="shared" ref="GM323:GM386" si="701">IF(AG323="-","",IF(GL323&lt;&gt;"",GL323,IF(OR(AW323=1,A323&lt;&gt;A322),"",IF(AW323=1,"",GM322))))</f>
        <v/>
      </c>
      <c r="GN323" t="str">
        <f t="shared" ref="GN323:GN386" si="702">IF(GM323="","",IF(AND(AG323&lt;&gt;"",AG323&lt;&gt;"-"),AG323,IF(AW323=1,"",GN322)))</f>
        <v/>
      </c>
      <c r="GO323" t="str">
        <f t="shared" ref="GO323:GO352" si="703">IF(AH323="=",IF(AW323=1,"",GP322),IF(ISNUMBER(AH323),AH323,IF(GM323="","",IF(OR(B323&lt;&gt;"",AH323="+",AH323="р"),IF(OR(GL323&lt;&gt;"",IF(AW323=1,"",GP322)=""),1,IF(AW323=1,"",GP322)+1),""))))</f>
        <v/>
      </c>
      <c r="GP323" t="str">
        <f t="shared" ref="GP323:GP386" si="704">IF(GO323&lt;&gt;"",GO323,IF(OR(OR(AW323=1,A323&lt;&gt;A322),AG323="-",GL323&lt;&gt;""),"",IF(AW323=1,"",GP322)))</f>
        <v/>
      </c>
      <c r="GQ323">
        <f t="shared" ref="GQ323:GQ352" si="705">IF(OR(AH323="б/к",AF323="вручную"),0,IF(OR(ISNUMBER(SEARCH("L=",EJ323)),AH323="+",AH323="="),1,0))</f>
        <v>1</v>
      </c>
      <c r="GR323" t="str">
        <f>IF(GQ323=1,"XT"&amp;COUNTIFS(A$3:A323,A323,GQ$3:GQ323,1),"")</f>
        <v>XT6</v>
      </c>
      <c r="GS323" t="str">
        <f t="shared" ref="GS323:GS386" si="706">_xlfn.LET(_xlpm.v,TRIM(N323&amp;""),IF(_xlpm.v="нет","",IF(_xlpm.v="",GR323,_xlpm.v)))</f>
        <v>XT6</v>
      </c>
      <c r="GT323" t="str">
        <f t="shared" ref="GT323:GT352" si="707">IF(OR(B323&lt;&gt;"",GO323&lt;&gt;"",GQ323=1),GH323,"")</f>
        <v>QF6</v>
      </c>
      <c r="GU323" t="str">
        <f t="shared" ref="GU323:GU352" si="708">IF(OR(GO323&lt;&gt;"",AND(AG323&lt;&gt;"",AG323&lt;&gt;"-")),GM323,"")</f>
        <v/>
      </c>
      <c r="GV323" t="str">
        <f t="shared" ref="GV323:GV352" si="709">IF(B323="","",IF(AND(CA323=1,DA323&lt;&gt;"",DB323=""),"номинал автомата не распознан",IF(DD323="",IF(BZ323=1,"«гр»: нет автомата выше",""),IF(AND(CA323=1,N(DI323)&gt;N(DD323)),"ПЕРЕГРУЗ",IF(AND(N(DH323)=0,ISNUMBER(GF323),N(GF323)&lt;N(DD323)),"КАБЕЛЬ НЕ ЗАЩИЩЁН","ok")))))</f>
        <v>ok</v>
      </c>
      <c r="GW323" t="str">
        <f>IF(OR(GO323="",GM323=""),"",IF(GO323&gt;IFERROR(VLOOKUP(GN323,Модули_спр,3,FALSE),99),"ЛИШНИЙ КАНАЛ",IF(AND(AH323&lt;&gt;"=",COUNTIFS(Линии[_модуль гр.],GM323,Линии[Канал (итог)],GO323,Линии[Канал],"&lt;&gt;=",Линии[Щит],A323)&gt;1),"ДУБЛЬ КАНАЛА","")))</f>
        <v/>
      </c>
      <c r="GX323" s="6" t="str">
        <f t="shared" ref="GX323:GX352" si="710">IFERROR(IF(ISNUMBER(EN323),EN323/N(DD323),""),"")</f>
        <v/>
      </c>
      <c r="GY323">
        <f t="shared" ref="GY323:GY352" si="711">IF(OR(ISNUMBER(SEARCH(" B"," "&amp;DE323)),ISNUMBER(SEARCH(" В"," "&amp;DE323))),5,IF(ISNUMBER(SEARCH(" D"," "&amp;DE323)),20,10))</f>
        <v>10</v>
      </c>
      <c r="GZ323" t="str">
        <f t="shared" ref="GZ323:GZ386" si="712">IF(NOT(ISNUMBER(GX323)),"",IF(GX323&gt;=GY323,"ok",IF(N(DG323)=1,"ok (дифзащита "&amp;DF323&amp;" мА)","мало: Iкз &lt; "&amp;GY323&amp;"·In")))</f>
        <v/>
      </c>
      <c r="HA323" t="str">
        <f>IF(AND(B323="",GT323=""),"",_xlfn.TEXTJOIN("; ",TRUE,IF(AND(B323&lt;&gt;"",FE323=""),"нет фазы",""),IF(AND(B323&lt;&gt;"",N(FY323)=0,EQ323&lt;&gt;"Нет"),"нет мощности",""),IF(AND(GS323&lt;&gt;"",COUNTIFS(Линии[Щит],A323,Линии[Клемма (итог)],GS323)&gt;1),"дубль клеммы "&amp;GS323,""),IF(AND(GV323&lt;&gt;"",GV323&lt;&gt;"ok"),GV323,""),IF(GW323&lt;&gt;"",GW323,""),IF(AND(N(BV323)&gt;=4,N(BR323)=1),BV323&amp;" жил на 1 фазе",""),IF(AND(AX323="R",CA323=1,OR(N(CK323)=0,N(CK323)&gt;30)),"розетка без дифзащиты до 30 мА",""),IFERROR(IF(AND(ISNUMBER(R323),R323&gt;DV323),"потери "&amp;FIXED(R323,1)&amp;" % &gt; "&amp;DV323&amp;" %",""),""),IFERROR(IF(LEFT(GZ323,4)="мало","Iкз мало — отключение &gt; 0,4 с",""),""),IF(AND(B323&lt;&gt;"",BH323=""),"не на схеме",""),IF(AND(CA323=0,B323&lt;&gt;"",FE323&lt;&gt;"",IF(AW323=1,"",FF322)&lt;&gt;"",FE323&lt;&gt;IF(AW323=1,"",FF322)),"фаза не как у автомата группы ("&amp;IF(AW323=1,"",FF322)&amp;")","")))</f>
        <v/>
      </c>
      <c r="HB323" s="6">
        <f>IF(OR(CA323=0,DA323=""),"",_xlfn.LET(_xlpm.t,IFERROR(_xlfn.XLOOKUP(DA323,Каталог!$U$4:$U$500,Каталог!$G$4:$G$500),""),_xlpm.k,SEARCH("кА",_xlpm.t),IFERROR(--TRIM(RIGHT(SUBSTITUTE(MID(_xlpm.t,MAX(1,_xlpm.k-4),_xlpm.k-MAX(1,_xlpm.k-4))," ",REPT(" ",9)),5)),"")))</f>
        <v>6</v>
      </c>
      <c r="HC323" t="str">
        <f>IF(OR(HB323="",CA323=0),"",IF(_xlfn.XLOOKUP(A323,Щиты[Щит],Щиты[Iкз max на шинах, кА],"")="","",IF(HB323&lt;_xlfn.XLOOKUP(A323,Щиты[Щит],Щиты[Iкз max на шинах, кА]),"Icu "&amp;HB323&amp;" кА &lt; Iкз max","ok")))</f>
        <v/>
      </c>
      <c r="HD323" t="str">
        <f t="shared" ref="HD323:HD352" si="713">IF(OR(AND(AW323&gt;1,N(AW322)&lt;&gt;AW323-1),AND(AW324&lt;&gt;"",N(AW324)&lt;&gt;AW323+1)),"строки сдвинуты (вставка или удаление) — нажмите «Починить формулы»","")</f>
        <v/>
      </c>
      <c r="HE323" t="str">
        <f t="shared" ref="HE323:HE352" si="714">IF(OR(AF323="вручную",BH323="",AND(B323="",GS323="")),"",_xlfn.TEXTJOIN("|",TRUE,GH323,SUBSTITUTE(GI323," → ","|"),IF(GM323&lt;&gt;"",GM323&amp;IF(GO323&lt;&gt;""," к."&amp;GO323,""),""),GS323))</f>
        <v>QF6|XT6</v>
      </c>
      <c r="HF323" t="str">
        <f t="shared" ref="HF323:HF386" si="715">IF(HE323="","",HE323&amp;IF(B323&lt;&gt;"","|кабель "&amp;EI323&amp;" → "&amp;BE323,""))</f>
        <v>QF6|XT6|кабель ВВГнг(А)-LS (3х2,5) → Насос дренажный, пом. 005Т</v>
      </c>
      <c r="HG323" t="str" cm="1">
        <f t="array" ref="HG323">IF(HF323="","",_xlfn.LET(_xlpm.nd,_xlfn.TEXTSPLIT(HF323,"|"),IF(COLUMNS(_xlpm.nd)&gt;1,A323&amp;"¦"&amp;INDEX(_xlpm.nd,1)&amp;"¦"&amp;INDEX(_xlpm.nd,2),"")))</f>
        <v>ЩС-ВК.001¦QF6¦XT6</v>
      </c>
      <c r="HH323" t="str">
        <f t="shared" ref="HH323:HH386" si="716">IF(HG323="","",B323&amp;"¦"&amp;BE323)</f>
        <v>НВК.00.005Т.2¦Насос дренажный, пом. 005Т</v>
      </c>
      <c r="HI323" t="str" cm="1">
        <f t="array" ref="HI323">IF(HF323="","",_xlfn.LET(_xlpm.nd,_xlfn.TEXTSPLIT(HF323,"|"),IF(COLUMNS(_xlpm.nd)&gt;2,A323&amp;"¦"&amp;INDEX(_xlpm.nd,2)&amp;"¦"&amp;INDEX(_xlpm.nd,3),"")))</f>
        <v>ЩС-ВК.001¦XT6¦кабель ВВГнг(А)-LS (3х2,5) → Насос дренажный, пом. 005Т</v>
      </c>
      <c r="HJ323" t="str">
        <f t="shared" ref="HJ323:HJ386" si="717">IF(HI323="","",B323&amp;"¦"&amp;BE323)</f>
        <v>НВК.00.005Т.2¦Насос дренажный, пом. 005Т</v>
      </c>
      <c r="HK323" t="str" cm="1">
        <f t="array" ref="HK323">IF(HF323="","",_xlfn.LET(_xlpm.nd,_xlfn.TEXTSPLIT(HF323,"|"),IF(COLUMNS(_xlpm.nd)&gt;3,A323&amp;"¦"&amp;INDEX(_xlpm.nd,3)&amp;"¦"&amp;INDEX(_xlpm.nd,4),"")))</f>
        <v/>
      </c>
      <c r="HL323" t="str">
        <f t="shared" ref="HL323:HL386" si="718">IF(HK323="","",B323&amp;"¦"&amp;BE323)</f>
        <v/>
      </c>
      <c r="HM323" t="str" cm="1">
        <f t="array" ref="HM323">IF(HF323="","",_xlfn.LET(_xlpm.nd,_xlfn.TEXTSPLIT(HF323,"|"),IF(COLUMNS(_xlpm.nd)&gt;4,A323&amp;"¦"&amp;INDEX(_xlpm.nd,4)&amp;"¦"&amp;INDEX(_xlpm.nd,5),"")))</f>
        <v/>
      </c>
      <c r="HN323" t="str">
        <f t="shared" ref="HN323:HN386" si="719">IF(HM323="","",B323&amp;"¦"&amp;BE323)</f>
        <v/>
      </c>
      <c r="HO323" t="str" cm="1">
        <f t="array" ref="HO323">IF(HF323="","",_xlfn.LET(_xlpm.nd,_xlfn.TEXTSPLIT(HF323,"|"),IF(COLUMNS(_xlpm.nd)&gt;5,A323&amp;"¦"&amp;INDEX(_xlpm.nd,5)&amp;"¦"&amp;INDEX(_xlpm.nd,6),"")))</f>
        <v/>
      </c>
      <c r="HP323" t="str">
        <f t="shared" ref="HP323:HP386" si="720">IF(HO323="","",B323&amp;"¦"&amp;BE323)</f>
        <v/>
      </c>
      <c r="HQ323" t="str" cm="1">
        <f t="array" ref="HQ323">IF(HF323="","",_xlfn.LET(_xlpm.nd,_xlfn.TEXTSPLIT(HF323,"|"),IF(COLUMNS(_xlpm.nd)&gt;6,A323&amp;"¦"&amp;INDEX(_xlpm.nd,6)&amp;"¦"&amp;INDEX(_xlpm.nd,7),"")))</f>
        <v/>
      </c>
      <c r="HR323" t="str">
        <f t="shared" ref="HR323:HR386" si="721">IF(HQ323="","",B323&amp;"¦"&amp;BE323)</f>
        <v/>
      </c>
      <c r="HS323" t="str">
        <f t="shared" ref="HS323:HS352" si="722">IF(GU323="","",GN323)</f>
        <v/>
      </c>
      <c r="HT323" t="str">
        <f t="shared" ref="HT323:HT352" si="723">IF(AND(B323="",GO323="",GS323=""),"",_xlfn.TEXTJOIN(" → ",TRUE,GH323,GI323,IF(GM323&lt;&gt;"",GM323&amp;IF(GO323&lt;&gt;""," к."&amp;GO323,""),IF(GO323&lt;&gt;"","к."&amp;GO323,"")),GS323,IF(GB323=1,"(в кабель выше)","")))</f>
        <v>QF6 → XT6</v>
      </c>
      <c r="HU323">
        <f t="shared" ref="HU323:HU352" si="724">IF(AB323="",0,1)</f>
        <v>0</v>
      </c>
      <c r="HV323">
        <f t="shared" ref="HV323:HV352" si="725">IF(GG323="",0,IF(LEFT(GG323,3)="QFD",1,0))</f>
        <v>0</v>
      </c>
      <c r="HW323" t="str">
        <f t="shared" ref="HW323:HW352" si="726">IF(AH323="=","=",IF(AH323="+","+",IF(AH323="р","R","")))</f>
        <v/>
      </c>
      <c r="HX323" t="str">
        <f t="shared" ref="HX323:HX352" si="727">IF(CO323="","",IF(OR(LEFT(CO323,1)="T",LEFT(CO323,1)="Т"),"T",IF(LEFT(UPPER(CO323),2)="БП","PS",IF(OR(LEFT(UPPER(CO323),2)="МК",LEFT(UPPER(CO323),2)="MK"),"MK",IF(OR(LEFT(UPPER(CO323),2)="КМ",LEFT(UPPER(CO323),2)="KM"),"KM","X")))))</f>
        <v/>
      </c>
      <c r="HY323" t="str">
        <f t="shared" ref="HY323:HY352" si="728">IF(CP323="","",IF(OR(LEFT(CP323,1)="T",LEFT(CP323,1)="Т"),"T",IF(LEFT(UPPER(CP323),2)="БП","PS",IF(OR(LEFT(UPPER(CP323),2)="МК",LEFT(UPPER(CP323),2)="MK"),"MK",IF(OR(LEFT(UPPER(CP323),2)="КМ",LEFT(UPPER(CP323),2)="KM"),"KM","X")))))</f>
        <v/>
      </c>
      <c r="HZ323" t="str">
        <f t="shared" ref="HZ323:HZ352" si="729">IF(CQ323="","",IF(OR(LEFT(CQ323,1)="T",LEFT(CQ323,1)="Т"),"T",IF(LEFT(UPPER(CQ323),2)="БП","PS",IF(OR(LEFT(UPPER(CQ323),2)="МК",LEFT(UPPER(CQ323),2)="MK"),"MK",IF(OR(LEFT(UPPER(CQ323),2)="КМ",LEFT(UPPER(CQ323),2)="KM"),"KM","X")))))</f>
        <v/>
      </c>
      <c r="IA323">
        <f>IF(B323="","",IFERROR(VLOOKUP(B323,УГО_спр,2,FALSE),IFERROR(VLOOKUP(AX323,УГО_спр,2,FALSE),IFERROR(VLOOKUP(LEFT(AX323,2),УГО_спр,2,FALSE),""))))</f>
        <v>0</v>
      </c>
      <c r="IB323" t="str">
        <f>IF(B323="","",IF(OR(IA323="",IA323=0),"BOX",IFERROR(IF(VLOOKUP(IA323,УГО_блоки,3,FALSE)&amp;""&lt;&gt;"",VLOOKUP(IA323,УГО_блоки,3,FALSE),VLOOKUP(IA323,УГО_блоки,2,FALSE)),IA323)))</f>
        <v>BOX</v>
      </c>
      <c r="IC323">
        <f t="shared" ref="IC323:IC352" si="730">IF(B323="",0,1)</f>
        <v>1</v>
      </c>
      <c r="ID323" t="str">
        <f>IF(DA323="","",IF(COUNTIF(DA$3:DA323,DA323)=1,MAX(ID$2:ID322)+1,""))</f>
        <v/>
      </c>
      <c r="IE323" t="str">
        <f>IF(CO323="","",IF(COUNTIF(CO$3:CO323,CO323)+COUNTIF(CP$2:CP322,CO323)+COUNTIF(CQ$2:CQ322,CO323)=1,MAX(IE$2:IG322)+1,""))</f>
        <v/>
      </c>
      <c r="IF323" t="str">
        <f>IF(CP323="","",IF(COUNTIF(CO$3:CO323,CP323)+COUNTIF(CP$3:CP323,CP323)+COUNTIF(CQ$2:CQ322,CP323)=1,MAX(IE$2:IG322,IE323)+1,""))</f>
        <v/>
      </c>
      <c r="IG323" t="str">
        <f>IF(CQ323="","",IF(COUNTIF(CO$3:CO323,CQ323)+COUNTIF(CP$3:CP323,CQ323)+COUNTIF(CQ$3:CQ323,CQ323)=1,MAX(IE$2:IG322,IE323,IF323)+1,""))</f>
        <v/>
      </c>
      <c r="IH323" t="str">
        <f t="shared" ref="IH323:IH352" si="731">IF(GQ323=1,IFERROR(MID(FX323,FIND(" (",FX323)+2,FIND(")",FX323,FIND(" (",FX323))-FIND(" (",FX323)-2),"?"),"")</f>
        <v>3х2,5</v>
      </c>
      <c r="II323" t="str">
        <f>IF(IH323="","",IF(COUNTIF(IH$3:IH323,IH323)=1,MAX(II$2:II322)+1,""))</f>
        <v/>
      </c>
      <c r="IJ323" t="str">
        <f>IF(GL323="","",COUNTIF(GL$3:GL323,"?*"))</f>
        <v/>
      </c>
      <c r="IK323" t="str">
        <f>IF(OR(GL323="",GN323=""),"",IF(COUNTIFS(GL$3:GL323,"?*",GN$3:GN323,GN323)=1,MAX(IK$2:IK322)+1,""))</f>
        <v/>
      </c>
      <c r="IL323">
        <f t="shared" ref="IL323:IL352" si="732">IF(HA323="",0,IF(OR(ISNUMBER(SEARCH("дубль",HA323)),ISNUMBER(SEARCH("ПЕРЕГРУЗ",HA323)),ISNUMBER(SEARCH("ЗАЩИЩ",HA323)),ISNUMBER(SEARCH("КАНАЛ",HA323)),ISNUMBER(SEARCH("без диф",HA323))),2,1))</f>
        <v>0</v>
      </c>
      <c r="IM323">
        <f>IF(B323="","",COUNTIF(B$3:B323,"?*"))</f>
        <v>321</v>
      </c>
      <c r="IN323">
        <f>IF(GQ323&lt;&gt;1,0,_xlfn.LET(_xlpm.k,MAX(IFERROR(--VLOOKUP(B323,УГО_спр,5,FALSE),0),IFERROR(--VLOOKUP(AX323,УГО_спр,5,FALSE),0),IFERROR(--VLOOKUP(LEFT(AX323,2),УГО_спр,5,FALSE),0)),IF(_xlpm.k&gt;0,_xlpm.k,IF(IFERROR(--LEFT(SUBSTITUTE(IH323,"x","х"),FIND("х",SUBSTITUTE(IH323,"x","х"))-1),3)&gt;3,Каталог!$S$9,1))))</f>
        <v>1</v>
      </c>
      <c r="IO323">
        <f t="shared" ref="IO323:IO386" si="733">IF(GQ323&lt;&gt;1,0,MAX(0,IFERROR(--LEFT(SUBSTITUTE(IH323,"x","х"),FIND("х",SUBSTITUTE(IH323,"x","х"))-1),3)-3*IN323))</f>
        <v>0</v>
      </c>
      <c r="IP323" t="str">
        <f t="shared" ref="IP323:IP352" si="734">IF(CA323=1,"авто","")</f>
        <v>авто</v>
      </c>
      <c r="IQ323" t="str">
        <f t="shared" ref="IQ323:IQ352" si="735">IF(CA323=1,IF(N(CK323)&gt;0,CK323,""),"")</f>
        <v/>
      </c>
      <c r="IR323">
        <f t="shared" ref="IR323:IR352" si="736">IF(CA323=1,IF(N(CK323)&gt;0,1,0),"")</f>
        <v>0</v>
      </c>
      <c r="IS323">
        <f t="shared" ref="IS323:IS352" si="737">SUBTOTAL(103,A323)</f>
        <v>1</v>
      </c>
    </row>
    <row r="324" spans="1:253" x14ac:dyDescent="0.3">
      <c r="A324" t="s">
        <v>765</v>
      </c>
      <c r="B324" t="s">
        <v>1586</v>
      </c>
      <c r="C324" t="s">
        <v>1689</v>
      </c>
      <c r="D324">
        <v>2</v>
      </c>
      <c r="E324">
        <v>0.2</v>
      </c>
      <c r="G324">
        <v>16</v>
      </c>
      <c r="H324" t="str">
        <f>Линии[[#This Row],[_авто утечка]]</f>
        <v/>
      </c>
      <c r="I324" t="str">
        <f>Линии[[#This Row],[_авто управление]]</f>
        <v/>
      </c>
      <c r="J324" t="str">
        <f>Линии[[#This Row],[_авто аппараты]]</f>
        <v/>
      </c>
      <c r="K324">
        <v>2.5</v>
      </c>
      <c r="L324">
        <v>13</v>
      </c>
      <c r="M324">
        <v>1</v>
      </c>
      <c r="N324" t="str">
        <f>Линии[[#This Row],[_авто клемма]]</f>
        <v>XT7</v>
      </c>
      <c r="O324" t="str">
        <f t="shared" si="615"/>
        <v>категория I не обеспечена (есть II)</v>
      </c>
      <c r="P324" s="6" cm="1">
        <f t="array" ref="P324">IF(B324="","",IF(BC324&lt;&gt;"",IFERROR(_xlfn.XLOOKUP(BC324,Щиты[Щит],Щиты[Iр, А]),""),IF(BK324=1,IFERROR(_xlfn.XLOOKUP(A324,Щиты[Щит],Щиты[Iр, А]),""),IFERROR(_xlfn.IFS(BR324=1,BN324/((Uн_лин/SQRT(3))*BY324),BR324=3,BN324/(SQRT(3)*Uн_лин*BY324)),""))))</f>
        <v>1.0825317547305482</v>
      </c>
      <c r="Q324" s="7">
        <f>IF(B324="","",IFERROR(IF(VLOOKUP(AX324,Потребители_обозначение,4,FALSE)=1,VLOOKUP(AX324,Потребители_обозначение,3,FALSE)*(D324*2-1)+DS324+VLOOKUP(AZ324,Этаж_обозначение,3,FALSE)+VLOOKUP(AZ324,Этаж_обозначение,4,FALSE),VLOOKUP(AX324,Потребители_обозначение,3,FALSE)*(D324*2-1)+DS324),DS324))</f>
        <v>22</v>
      </c>
      <c r="R324" s="6">
        <f t="shared" si="616"/>
        <v>2.2699999999999996</v>
      </c>
      <c r="S324" t="str">
        <f t="shared" si="617"/>
        <v>ВВГнг(А)-LS (3х2,5)</v>
      </c>
      <c r="T324" t="str">
        <f>IF(BH324="","",IF(BI324="вводной узел","узел ","")&amp;"л."&amp;(INT((BH324-1)/Столбцов_на_лист)+1)&amp;" / "&amp;(MOD(BH324-1,Столбцов_на_лист)+1))</f>
        <v>л.2 / 7</v>
      </c>
      <c r="V324">
        <v>1</v>
      </c>
      <c r="W324">
        <v>230</v>
      </c>
      <c r="X324" t="s">
        <v>600</v>
      </c>
      <c r="Y324">
        <v>0.5</v>
      </c>
      <c r="AC324" t="s">
        <v>861</v>
      </c>
      <c r="AE324" t="s">
        <v>606</v>
      </c>
      <c r="AI324">
        <v>24</v>
      </c>
      <c r="AJ324" t="s">
        <v>11</v>
      </c>
      <c r="AK324">
        <v>3</v>
      </c>
      <c r="AM324">
        <v>4</v>
      </c>
      <c r="AN324">
        <v>15</v>
      </c>
      <c r="AO324">
        <v>0</v>
      </c>
      <c r="AP324">
        <v>1</v>
      </c>
      <c r="AW324" cm="1">
        <f t="array" ref="AW324">ROW()-ROW(Линии[#Headers])</f>
        <v>322</v>
      </c>
      <c r="AX324" s="6" t="str">
        <f t="shared" si="618"/>
        <v>НВК</v>
      </c>
      <c r="AY324" t="str">
        <f t="shared" si="619"/>
        <v>00.002Т.1</v>
      </c>
      <c r="AZ324" t="str">
        <f t="shared" si="620"/>
        <v>00</v>
      </c>
      <c r="BA324" t="str">
        <f t="shared" si="621"/>
        <v>002Т.1</v>
      </c>
      <c r="BB324" t="str">
        <f t="shared" si="622"/>
        <v>002Т</v>
      </c>
      <c r="BC324" t="str">
        <f>IF(U324&lt;&gt;"",U324,IF(AND(B324&lt;&gt;"",B324&lt;&gt;A324,ISNUMBER(_xlfn.XMATCH(B324,Щиты[Щит]))),B324,""))</f>
        <v/>
      </c>
      <c r="BD324" t="str" cm="1">
        <f t="array" ref="BD324">IF(B324="","",IF(BC324&lt;&gt;"","Щит "&amp;BC324,_xlfn.LET(_xlpm.nm,IFERROR(_xlfn.XLOOKUP(AX324,Коды_код,Коды_имя)&amp;"",""),_xlpm.md,IFERROR(N(_xlfn.XLOOKUP(AX324,Коды_код,Коды_режим)),1),_xlpm.ex,IF(Имя_режим="по экспликации",IFERROR(_xlfn.XLOOKUP(AZ324&amp;"|"&amp;BB324,Экспликация[Этаж]&amp;"|"&amp;Экспликация[Помещение],Экспликация[Название])&amp;"",""),""),_xlpm.rm,IF(BB324="","",IF(_xlpm.ex&lt;&gt;"",". "&amp;_xlpm.ex&amp;IF(Имя_пом="нет"," ("&amp;BB324&amp;")"," (пом. "&amp;BB324&amp;")"),IF(Имя_пом="нет"," ",", пом. ")&amp;BB324)),IF(_xlpm.nm="","",IF(_xlpm.md=2,_xlpm.nm&amp;" шлейф "&amp;AZ324,_xlpm.nm&amp;_xlpm.rm)))))</f>
        <v>Насос дренажный, пом. 002Т</v>
      </c>
      <c r="BE324" t="str">
        <f t="shared" si="623"/>
        <v>циркуляционный насос Подвальный этаж Пом. №002Т</v>
      </c>
      <c r="BF324">
        <f>IFERROR(_xlfn.XMATCH(A324,Щиты[Щит]),0)</f>
        <v>13</v>
      </c>
      <c r="BG324">
        <f>_xlfn.LET(_xlpm.k,IFERROR(_xlfn.XLOOKUP(A324,Щиты[Щит],Щиты[Листов под вводной узел]),""),IF(_xlpm.k="",1,N(_xlpm.k))*Столбцов_на_лист)</f>
        <v>17</v>
      </c>
      <c r="BH324">
        <f t="shared" si="624"/>
        <v>24</v>
      </c>
      <c r="BI324" t="str">
        <f t="shared" si="625"/>
        <v>линии</v>
      </c>
      <c r="BJ324" s="6">
        <f>IFERROR(N(_xlfn.XLOOKUP(AX324,Коды_код,Коды_квт)),0)</f>
        <v>0</v>
      </c>
      <c r="BK324">
        <f t="shared" si="626"/>
        <v>0</v>
      </c>
      <c r="BL324" t="str">
        <f>IF(B324="","",IF(BC324&lt;&gt;"",IFERROR(_xlfn.XLOOKUP(BC324,Щиты[Щит],Щиты[Руст, кВт]),0),IF(BK324=1,IFERROR(_xlfn.XLOOKUP(A324,Щиты[Щит],Щиты[Руст, кВт]),0),IF(BJ324&gt;0,ROUND(BJ324*MAX(1,N(D324)),3),""))))</f>
        <v/>
      </c>
      <c r="BM324">
        <f t="shared" si="627"/>
        <v>0.2</v>
      </c>
      <c r="BN324" s="6">
        <f>IF(B324="","",IF(BC324&lt;&gt;"",IFERROR(_xlfn.XLOOKUP(BC324,Щиты[Щит],Щиты[Руст, кВт]),0),N(BM324)))</f>
        <v>0.2</v>
      </c>
      <c r="BO324" t="str">
        <f>IF(B324="","",IFERROR(IF(VLOOKUP(AX324,Потребители_обозначение,8,FALSE)=0,"",VLOOKUP(AX324,Потребители_обозначение,8,FALSE)),""))</f>
        <v/>
      </c>
      <c r="BP324">
        <f t="shared" si="628"/>
        <v>230</v>
      </c>
      <c r="BQ324">
        <f>IF(B324="","",IF(BC324&lt;&gt;"",3,IFERROR(IF(N(VLOOKUP(AX324,Потребители_обозначение,9,FALSE))=0,1,VLOOKUP(AX324,Потребители_обозначение,9,FALSE)),1)))</f>
        <v>1</v>
      </c>
      <c r="BR324">
        <f t="shared" si="629"/>
        <v>1</v>
      </c>
      <c r="BS324" t="str">
        <f>IF(B324="","",_xlfn.LET(_xlpm.bc,IFERROR(IF(VLOOKUP(AX324,Потребители_обозначение,6,FALSE)=0,"",VLOOKUP(AX324,Потребители_обозначение,6,FALSE)&amp;""),""),IF(AND(FK324="да",OR(_xlpm.bc="",_xlpm.bc="мс")),Марка_пож,IF(AND(_xlpm.bc="",BC324&lt;&gt;""),"мс",_xlpm.bc))))</f>
        <v/>
      </c>
      <c r="BT324" t="str">
        <f t="shared" si="630"/>
        <v>мс</v>
      </c>
      <c r="BU324">
        <f>IF(B324="","",_xlfn.LET(_xlpm.cc,IFERROR(N(VLOOKUP(AX324,Потребители_обозначение,7,FALSE)),0),IF(_xlpm.cc&gt;0,_xlpm.cc,IF(BT324="","",IF(N(BR324)=3,5,3)))))</f>
        <v>3</v>
      </c>
      <c r="BV324">
        <f t="shared" si="631"/>
        <v>3</v>
      </c>
      <c r="BW324">
        <f>IFERROR(N(VLOOKUP(AX324,Потребители_обозначение,10,FALSE)),0)</f>
        <v>0</v>
      </c>
      <c r="BX324">
        <f>IFERROR(VLOOKUP(AX324,Потребители_обозначение,5,FALSE),0)</f>
        <v>1</v>
      </c>
      <c r="BY324" s="6" cm="1">
        <f t="array" ref="BY324">IF(B324="","",IF(BC324&lt;&gt;"",IFERROR(_xlfn.XLOOKUP(BC324,Щиты[Щит],Щиты[cos φ]),0.95),IF(BK324=1,IFERROR(_xlfn.XLOOKUP(A324,Щиты[Щит],Щиты[cos φ]),0.95),IF(ISNUMBER(Z324),Z324,IFERROR(IF(BX324=2,_xlfn.IFS(BR324=3,VLOOKUP(BN324,Справочная_двигатели,8,FALSE),BR324=1,VLOOKUP(BN324,Справочная_двигатели,10,TRUE)),IF(AND(Методика="нормы 2026",EQ324="Сил"),0.8,0.95)),0.95)))))</f>
        <v>0.8</v>
      </c>
      <c r="BZ324">
        <f t="shared" si="632"/>
        <v>0</v>
      </c>
      <c r="CA324">
        <f t="shared" si="633"/>
        <v>1</v>
      </c>
      <c r="CB324">
        <f t="shared" si="634"/>
        <v>0</v>
      </c>
      <c r="CC324">
        <f t="shared" si="635"/>
        <v>0</v>
      </c>
      <c r="CD324">
        <f t="shared" si="636"/>
        <v>0</v>
      </c>
      <c r="CE324">
        <f t="shared" si="637"/>
        <v>0</v>
      </c>
      <c r="CF324">
        <f t="shared" si="638"/>
        <v>0</v>
      </c>
      <c r="CG324">
        <f>IF(AX324="",0,_xlfn.LET(_xlpm.v,IFERROR(VLOOKUP(B324,УГО_спр,3,FALSE),IFERROR(VLOOKUP(AX324,УГО_спр,3,FALSE),IFERROR(VLOOKUP(LEFT(AX324,2),УГО_спр,3,FALSE),""))),IF(_xlpm.v="да",30,IF(ISNUMBER(_xlpm.v),_xlpm.v,0))))</f>
        <v>0</v>
      </c>
      <c r="CH324" t="str">
        <f t="shared" si="639"/>
        <v/>
      </c>
      <c r="CI324" t="str">
        <f>_xlfn.LET(_xlpm.k,IFERROR(_xlfn.XLOOKUP(AX324,Коды_код,Коды_утечка)&amp;"",""),IF(_xlpm.k="","дифавтомат",_xlpm.k))</f>
        <v>дифавтомат</v>
      </c>
      <c r="CJ324">
        <f t="shared" si="640"/>
        <v>0</v>
      </c>
      <c r="CK324">
        <f t="shared" si="641"/>
        <v>0</v>
      </c>
      <c r="CL324">
        <f>IF(B324="",0,IFERROR(--VLOOKUP(B324,УГО_спр,4,FALSE),IFERROR(--VLOOKUP(AX324,УГО_спр,4,FALSE),IFERROR(--VLOOKUP(LEFT(AX324,2),УГО_спр,4,FALSE),0))))</f>
        <v>0</v>
      </c>
      <c r="CM324" t="str">
        <f>IF(B324="","",IFERROR(_xlfn.XLOOKUP(AX324,Коды_код,Коды_апп)&amp;"",""))</f>
        <v/>
      </c>
      <c r="CN324" t="str">
        <f t="shared" si="642"/>
        <v/>
      </c>
      <c r="CO324" t="str" cm="1">
        <f t="array" ref="CO324">IF(TRIM(CN324&amp;"")="","",IFERROR(TRIM(INDEX(_xlfn.TEXTSPLIT(CN324&amp;";;;",";"),1)),""))</f>
        <v/>
      </c>
      <c r="CP324" t="str" cm="1">
        <f t="array" ref="CP324">IF(TRIM(CN324&amp;"")="","",IFERROR(TRIM(INDEX(_xlfn.TEXTSPLIT(CN324&amp;";;;",";"),2)),""))</f>
        <v/>
      </c>
      <c r="CQ324" t="str" cm="1">
        <f t="array" ref="CQ324">IF(TRIM(CN324&amp;"")="","",IFERROR(TRIM(INDEX(_xlfn.TEXTSPLIT(CN324&amp;";;;",";"),3)),""))</f>
        <v/>
      </c>
      <c r="CR324">
        <f t="shared" si="643"/>
        <v>0</v>
      </c>
      <c r="CS324" t="str">
        <f>IF(B324="","",_xlfn.LET(_xlpm.t,LOWER(AV324&amp;""),IF(ISNUMBER(SEARCH("dim",_xlpm.t)),"DIM",IF(ISNUMBER(SEARCH("dali",_xlpm.t)),"DALI",IF(OR(ISNUMBER(SEARCH("relay",_xlpm.t)),ISNUMBER(SEARCH("реле",_xlpm.t))),"Relay",IF(ISNUMBER(SEARCH("кнопк",_xlpm.t)),"",IFERROR(_xlfn.XLOOKUP(AX324,Коды_код,Коды_упр)&amp;"","")))))))</f>
        <v/>
      </c>
      <c r="CT324" t="str">
        <f t="shared" si="644"/>
        <v/>
      </c>
      <c r="CU324">
        <f>IF(B324="","",_xlfn.LET(_xlpm.ig,N(P324)+IF(AF324="вручную",0,N(CB324)),_xlpm.n0,IFERROR(VLOOKUP(_xlpm.ig,Автомат_номиналы,2,TRUE),0),_xlpm.mn,MAX(CL324,IF(AF324="вручную",0,N(CE324))),MAX(_xlpm.n0,_xlpm.mn,IF(CR324=1,Мин_автомат_БП,0))))</f>
        <v>6</v>
      </c>
      <c r="CV324">
        <f t="shared" si="645"/>
        <v>1</v>
      </c>
      <c r="CW324" t="str">
        <f t="shared" si="646"/>
        <v>1P</v>
      </c>
      <c r="CX324" t="str">
        <f>_xlfn.LET(_xlpm.cc,UPPER(TRIM(IFERROR(_xlfn.XLOOKUP(AX324,Коды_код,Коды_хар)&amp;"",""))),IF(OR(_xlpm.cc="B",_xlpm.cc="В"),"B",IF(_xlpm.cc="D","D","С")))</f>
        <v>С</v>
      </c>
      <c r="CY324" t="str">
        <f t="shared" si="647"/>
        <v>1P С6А</v>
      </c>
      <c r="CZ324">
        <f t="shared" si="648"/>
        <v>16</v>
      </c>
      <c r="DA324" t="str">
        <f t="shared" si="649"/>
        <v>1P С16А</v>
      </c>
      <c r="DB324" cm="1">
        <f t="array" ref="DB324">IF(DA324="","",_xlfn.LET(_xlpm.t,SUBSTITUTE(SUBSTITUTE(SUBSTITUTE(UPPER(DA324),"С","C"),"А","A"),"В","B"),_xlpm.tk,_xlfn.TEXTSPLIT(_xlpm.t,"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4" t="str">
        <f t="shared" si="650"/>
        <v>ok</v>
      </c>
      <c r="DD324">
        <f t="shared" si="651"/>
        <v>16</v>
      </c>
      <c r="DE324" t="str">
        <f t="shared" si="652"/>
        <v>1P С16А</v>
      </c>
      <c r="DF324">
        <f t="shared" si="653"/>
        <v>0</v>
      </c>
      <c r="DG324">
        <f t="shared" si="654"/>
        <v>0</v>
      </c>
      <c r="DH324">
        <f t="shared" si="655"/>
        <v>0</v>
      </c>
      <c r="DI324">
        <f t="shared" si="656"/>
        <v>1.0825317547305482</v>
      </c>
      <c r="DJ324">
        <f t="shared" si="657"/>
        <v>1</v>
      </c>
      <c r="DK324">
        <f>IF(ISNUMBER(AL324),AL324,К_прокл)</f>
        <v>1</v>
      </c>
      <c r="DL324">
        <f t="shared" si="658"/>
        <v>2</v>
      </c>
      <c r="DM324">
        <f>IFERROR(N(VLOOKUP(BT324,Кабель_обозначение,3,FALSE)),1)</f>
        <v>1</v>
      </c>
      <c r="DN324">
        <f>IFERROR(N(_xlfn.XLOOKUP(A324,Щиты[Щит],Щиты[ΔU до шин, %])),0)</f>
        <v>2.1199999999999997</v>
      </c>
      <c r="DO324" t="str">
        <f>IFERROR(_xlfn.XLOOKUP(A324,Щиты[Щит],Щиты[Zпетли на шинах, Ом]),"")</f>
        <v/>
      </c>
      <c r="DP324">
        <f>IFERROR(N(_xlfn.XLOOKUP(A324,Щиты[Щит],Щиты[ΔU до шин (подбор), %])),0)</f>
        <v>3.3699999999999997</v>
      </c>
      <c r="DQ324" t="str">
        <f>IFERROR(_xlfn.XLOOKUP(A324,Щиты[Щит],Щиты[Zпетли на шинах (подбор), Ом]),"")</f>
        <v/>
      </c>
      <c r="DR324" t="str">
        <f t="shared" si="659"/>
        <v/>
      </c>
      <c r="DS324">
        <f t="shared" si="660"/>
        <v>13</v>
      </c>
      <c r="DT324">
        <f t="shared" si="661"/>
        <v>2</v>
      </c>
      <c r="DU324">
        <f t="shared" si="662"/>
        <v>0.6</v>
      </c>
      <c r="DV324" s="6">
        <f>IF(B324="","",IF(IFERROR(VLOOKUP(AX324,УГО_спр,2,FALSE),"")="Светильник",3,4)+IF(Методика="нормы 2026",MIN(0.5,MAX(0,N(Q324)-100)*0.005),0))</f>
        <v>4</v>
      </c>
      <c r="DW324" cm="1">
        <f t="array" ref="DW324">IF(OR(B324="",BT324="",DM324&lt;&gt;1),"",_xlfn.LET(_xlpm.sz,Iдоп_S,_xlpm.t_,CHOOSE(DL324,Iдоп_1ж,Iдоп_2ж,Iдоп_3ж)*DJ324*DK324,_xlpm.inn,N(DD324),_xlpm.smin,MAX(1.5,BW324),_xlpm.L_,N(Q324)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324)*(_xlpm.rho*_xlpm.L_/_xlpm.sz*N(BY324)+_xlpm.xx*_xlpm.L_*N(DU324)/1000)*N(P324)/((Uн_лин/SQRT(3))*1000)*100,999),_xlpm.kz,IF(OR(DG324=1,NOT(ISNUMBER(DQ324)),_xlpm.L_=0,_xlpm.inn=0),1,IFERROR(--(c_min*(Uн_лин*1000/SQRT(3))/(DQ324+2*ρкз_Cu*_xlpm.L_/_xlpm.sz)&gt;=GY324*_xlpm.inn),0)),_xlpm.ok,IFERROR((_xlpm.sz&gt;=_xlpm.smin)*(_xlpm.t_&gt;=_xlpm.inn)*IF(_xlpm.L_&gt;0,(_xlpm.du_+DP324&lt;=DV324+0.00001),1)*_xlpm.kz,0),_xlpm.r_,_xlfn._xlws.FILTER(_xlpm.sz,_xlpm.ok,"не подобрано"),INDEX(_xlpm.r_,1)))</f>
        <v>1.5</v>
      </c>
      <c r="DX324">
        <f t="shared" si="663"/>
        <v>2.5</v>
      </c>
      <c r="DY324" cm="1">
        <f t="array" ref="DY324">IF(OR(B324="",BT324="",DM324&lt;&gt;1),"",_xlfn.LET(_xlpm.sz,Iдоп_S,_xlpm.t_,CHOOSE(DL324,Iдоп_1ж,Iдоп_2ж,Iдоп_3ж)*DJ324*DK324,_xlpm.ok,IFERROR((_xlpm.sz&gt;=MAX(1.5,BW324))*(_xlpm.t_&gt;=N(DD324)),0),_xlpm.r_,_xlfn._xlws.FILTER(_xlpm.sz,_xlpm.ok,""),INDEX(_xlpm.r_,1)))</f>
        <v>1.5</v>
      </c>
      <c r="DZ324" s="6" cm="1">
        <f t="array" ref="DZ324">IFERROR(ROUNDUP(N(DT324)*(_xlfn.XLOOKUP(DY324,INDEX(Кабель_сопротивление,0,1),INDEX(Кабель_сопротивление,0,3))*N(Q324)/DY324*N(BY324)+_xlfn.XLOOKUP(DY324,INDEX(Кабель_сопротивление,0,1),INDEX(Кабель_сопротивление,0,2))*N(Q324)*N(DU324)/1000)*N(P324)/((Uн_лин/SQRT(3))*1000)*100,2),"")</f>
        <v>0.25</v>
      </c>
      <c r="EA324">
        <f>IFERROR(2*ρкз_Cu*N(Q324)/DY324,"")</f>
        <v>0.77146666666666663</v>
      </c>
      <c r="EB324">
        <f>IFERROR(VLOOKUP(DX324,Кабель_сопротивление,3,FALSE),"")</f>
        <v>2.2499999999999999E-2</v>
      </c>
      <c r="EC324">
        <f>IFERROR(VLOOKUP(DX324,Кабель_сопротивление,2,FALSE),"")</f>
        <v>0.1</v>
      </c>
      <c r="ED324">
        <f t="shared" si="664"/>
        <v>15</v>
      </c>
      <c r="EE324">
        <f t="shared" si="665"/>
        <v>0</v>
      </c>
      <c r="EF324">
        <f t="shared" si="666"/>
        <v>0.34580394373112633</v>
      </c>
      <c r="EG324" s="6">
        <f>IFERROR(ROUNDUP(EF324/((Uн_лин/SQRT(3))*1000)*100,2),"")</f>
        <v>0.15000000000000002</v>
      </c>
      <c r="EH324" t="str">
        <f>IFERROR(VLOOKUP(BT324,Кабель_обозначение,2,FALSE),"")</f>
        <v>ВВГнг(А)-LS</v>
      </c>
      <c r="EI324" t="str">
        <f t="shared" si="667"/>
        <v>ВВГнг(А)-LS (3х2,5)</v>
      </c>
      <c r="EJ324" t="str">
        <f t="shared" si="668"/>
        <v>ВВГнг(А)-LS (3х2,5)
L=22-0,15%</v>
      </c>
      <c r="EK324">
        <f>IFERROR(2*ρкз_Cu*Q324/DX324,"")</f>
        <v>0.46288000000000001</v>
      </c>
      <c r="EL324">
        <f t="shared" si="669"/>
        <v>0.154</v>
      </c>
      <c r="EM324" s="6" t="str">
        <f>IFERROR(IF(OR(B324="",NOT(ISNUMBER(DX324)),N(Q324)=0),"",_xlfn.XLOOKUP(A324,Щиты[Щит],Щиты[Zпетли на шинах, Ом])+EK324),"")</f>
        <v/>
      </c>
      <c r="EN324" s="6" t="str">
        <f>IF(ISNUMBER(EM324),c_min*(Uн_лин*1000/SQRT(3))/EM324,"")</f>
        <v/>
      </c>
      <c r="EO324" s="6" t="str">
        <f>IFERROR(IF(OR(B324="",NOT(ISNUMBER(DX324))),"",1.05*(Uн_лин*1000/SQRT(3))/(_xlfn.XLOOKUP(A324,Щиты[Щит],Щиты[Zmax на шинах, Ом])+EL324)/1000),"")</f>
        <v/>
      </c>
      <c r="EP324" s="6" t="str">
        <f>IF(B324="","",IF(ISNUMBER(Y324),"Сил",IF(IFERROR(_xlfn.XLOOKUP(AX324,Коды_код,Коды_группа)&amp;"","")="","Быт",_xlfn.XLOOKUP(AX324,Коды_код,Коды_группа)&amp;"")))</f>
        <v>Сил</v>
      </c>
      <c r="EQ324" s="6" t="str">
        <f t="shared" si="670"/>
        <v>Сил</v>
      </c>
      <c r="ER324" s="6">
        <f>IF(EQ324="Щит","щит",IF(EQ324="","",IF(EQ324="Быт",IFERROR(_xlfn.XLOOKUP(A324,Щиты[Щит],Щиты[Кс быт]),1),IF(EQ324="Сил",IF(ISNUMBER(Y324),Y324,IF(Методика="нормы 2026",IFERROR(_xlfn.XLOOKUP(A324,Щиты[Щит],Щиты[Кс силовых (табл. 7.5)]),1),1)),IF(OR(EQ324="Пост",EQ324="Отоп"),1,IF(EQ324="ВНГ",0.7,0))))))</f>
        <v>0.5</v>
      </c>
      <c r="ES324">
        <f t="shared" si="671"/>
        <v>1</v>
      </c>
      <c r="ET324">
        <f t="shared" si="672"/>
        <v>0.2</v>
      </c>
      <c r="EU324">
        <f t="shared" si="673"/>
        <v>0</v>
      </c>
      <c r="EV324">
        <f t="shared" si="674"/>
        <v>0.1</v>
      </c>
      <c r="EW324">
        <f t="shared" si="675"/>
        <v>0</v>
      </c>
      <c r="EX324">
        <f t="shared" si="676"/>
        <v>0</v>
      </c>
      <c r="EY324">
        <f t="shared" si="677"/>
        <v>0</v>
      </c>
      <c r="EZ324">
        <f t="shared" si="678"/>
        <v>0.2</v>
      </c>
      <c r="FA324">
        <f t="shared" si="679"/>
        <v>0.16000000000000003</v>
      </c>
      <c r="FB324">
        <f t="shared" si="680"/>
        <v>0.2</v>
      </c>
      <c r="FC324" t="str">
        <f t="shared" si="681"/>
        <v>L1</v>
      </c>
      <c r="FD324" t="str">
        <f>IF(B324="","",IF(CA324=0,IF(AW324=1,"",FF323),IF(OR(N(CV324)&gt;=3,N(BR324)&gt;=3),"L1,L2,L3",IFERROR(_xlfn.TEXTBEFORE(_xlfn.TEXTAFTER(_xlfn.XLOOKUP(A324,Щиты[Щит],Щиты[_фазы авто]),";"&amp;AW324&amp;":"),";"),"L1"))))</f>
        <v>L1</v>
      </c>
      <c r="FE324" t="str">
        <f t="shared" si="682"/>
        <v>L1</v>
      </c>
      <c r="FF324" t="str">
        <f t="shared" si="683"/>
        <v>L1</v>
      </c>
      <c r="FG324" cm="1">
        <f t="array" ref="FG324">IFERROR(IF(BX324=2,_xlfn.IFS(BR324=3,VLOOKUP(BN324,Справочная_двигатели,3,FALSE),BR324=1,VLOOKUP(BN324,Справочная_двигатели,5,TRUE)),0),0)</f>
        <v>0</v>
      </c>
      <c r="FH324">
        <f>IFERROR(IF(BX324=3,VLOOKUP(BN324,Справочная_ЛЭД,2,TRUE),0),0)</f>
        <v>0</v>
      </c>
      <c r="FI324" s="6">
        <f t="shared" si="684"/>
        <v>0</v>
      </c>
      <c r="FJ324" t="str" cm="1">
        <f t="array" ref="FJ324">IF(B324="","",IFERROR(INDEX({"I особая","I","II","III"},MATCH(TRIM(AC324&amp;""),{"I особая","I","II","III"},0)),"III"))</f>
        <v>I</v>
      </c>
      <c r="FK324" t="str">
        <f>IF(B324="","",IF(TRIM(AD324&amp;"")&lt;&gt;"",IF(LOWER(TRIM(AD324&amp;""))="да","да","нет"),IF(IFERROR(_xlfn.XLOOKUP(AX324,Коды_код,Коды_пожарная),"")="да","да","нет")))</f>
        <v>нет</v>
      </c>
      <c r="FL324" t="str">
        <f t="shared" si="685"/>
        <v/>
      </c>
      <c r="FM324" t="str">
        <f t="shared" si="686"/>
        <v>основная</v>
      </c>
      <c r="FN324">
        <f t="shared" si="687"/>
        <v>1</v>
      </c>
      <c r="FO324" t="str" cm="1">
        <f t="array" ref="FO324">IF(B324="","",_xlfn.LET(_xlpm.t,IFERROR(_xlfn.XLOOKUP(1,(Шины[Шина]=FM324)*(((Шины[Щит]=A324)+(Шины[Щит]=""))&gt;0),Шины[Тип]),"")&amp;"",IF(_xlpm.t&lt;&gt;"",_xlpm.t,IF(ISNUMBER(SEARCH("ИБП",FM324)),"ИБП",IF(ISNUMBER(SEARCH("ДГУ",FM324)),"ДГУ","Ввод "&amp;FN324)))))</f>
        <v>Ввод 1</v>
      </c>
      <c r="FP324" t="str">
        <f t="shared" si="688"/>
        <v>Ввод 1</v>
      </c>
      <c r="FQ324" t="str">
        <f>IF(B324="","",IF(OR(FO324="ИБП",FO324="ДГУ"),"I особая",IF(FO324="Одиночная","III",_xlfn.XLOOKUP(A324,Щиты[Щит],Щиты[Категория шины «Ввод»],"III"))))</f>
        <v>II</v>
      </c>
      <c r="FR324">
        <f>IF(B324="",0,IFERROR(MATCH(FJ324,{"III","II","I","I особая"},0),1))</f>
        <v>3</v>
      </c>
      <c r="FS324">
        <f t="shared" si="689"/>
        <v>3</v>
      </c>
      <c r="FT324" t="str">
        <f>IF(B324="","",IF(FR324&gt;IFERROR(MATCH(FQ324,{"III","II","I","I особая"},0),1),"НЕ ОБЕСПЕЧЕНА","ОК"))</f>
        <v>НЕ ОБЕСПЕЧЕНА</v>
      </c>
      <c r="FU324" t="str">
        <f>IF(A324="","",_xlfn.XLOOKUP(A324,Щиты[Щит],Щиты[Путь],""))</f>
        <v>|ГРЩ-ЖД|ЩС-ВК.001|</v>
      </c>
      <c r="FV324" t="str">
        <f>IF(B324="","",IF(AE324&lt;&gt;"",AE324,IF(IFERROR(_xlfn.XLOOKUP(AX324,Коды_код,Коды_вид)&amp;"","")="","Прочее",_xlfn.XLOOKUP(AX324,Коды_код,Коды_вид)&amp;"")))</f>
        <v>Насосы (водоснабжение, дренаж)</v>
      </c>
      <c r="FW324">
        <f>IF(BH324="","",INT((BH324-1)/Столбцов_на_лист)+1)</f>
        <v>2</v>
      </c>
      <c r="FX324" t="str">
        <f t="shared" si="690"/>
        <v>ВВГнг(А)-LS (3х2,5) L=22-0,15%</v>
      </c>
      <c r="FY324">
        <f t="shared" si="691"/>
        <v>0.2</v>
      </c>
      <c r="FZ324">
        <f t="shared" si="692"/>
        <v>1.0900000000000001</v>
      </c>
      <c r="GA324">
        <f t="shared" si="693"/>
        <v>1</v>
      </c>
      <c r="GB324">
        <f t="shared" si="694"/>
        <v>0</v>
      </c>
      <c r="GC324">
        <f t="shared" si="695"/>
        <v>1</v>
      </c>
      <c r="GD324">
        <f>IF(BH324="","",IF(AND(CA324=1,GC324=1),COUNTIFS(A$3:A324,A324,CA$3:CA324,1,GC$3:GC324,1),IF(OR(OR(AW324=1,A324&lt;&gt;A323),AF324="вручную",GC324=0),"",IF(AW324=1,"",GE323))))</f>
        <v>7</v>
      </c>
      <c r="GE324">
        <f t="shared" si="696"/>
        <v>7</v>
      </c>
      <c r="GF324">
        <f>IF(B324="","",IFERROR(LOOKUP(INDEX(CHOOSE(DL324,Iдоп_1ж,Iдоп_2ж,Iдоп_3ж),MATCH(DX324,Iдоп_S,0))*DJ324*DK324,{6,10,16,20,25,32,40,50,63,80,100,125,160,200,250,315,400,500,630}),""))</f>
        <v>25</v>
      </c>
      <c r="GG324" t="str">
        <f t="shared" si="697"/>
        <v>QF7</v>
      </c>
      <c r="GH324" t="str">
        <f t="shared" si="698"/>
        <v>QF7</v>
      </c>
      <c r="GI324" t="str">
        <f t="shared" si="699"/>
        <v/>
      </c>
      <c r="GJ324">
        <f t="shared" si="700"/>
        <v>0</v>
      </c>
      <c r="GK324" t="str">
        <f>IF(OR(AG324="",AG324="-"),"",IFERROR(VLOOKUP(AG324,Модули_спр,2,FALSE),"R"))</f>
        <v/>
      </c>
      <c r="GL324" t="str">
        <f>IF(GK324="","",GK324&amp;"."&amp;COUNTIFS(A$3:A324,A324,GK$3:GK324,GK324))</f>
        <v/>
      </c>
      <c r="GM324" t="str">
        <f t="shared" si="701"/>
        <v/>
      </c>
      <c r="GN324" t="str">
        <f t="shared" si="702"/>
        <v/>
      </c>
      <c r="GO324" t="str">
        <f t="shared" si="703"/>
        <v/>
      </c>
      <c r="GP324" t="str">
        <f t="shared" si="704"/>
        <v/>
      </c>
      <c r="GQ324">
        <f t="shared" si="705"/>
        <v>1</v>
      </c>
      <c r="GR324" t="str">
        <f>IF(GQ324=1,"XT"&amp;COUNTIFS(A$3:A324,A324,GQ$3:GQ324,1),"")</f>
        <v>XT7</v>
      </c>
      <c r="GS324" t="str">
        <f t="shared" si="706"/>
        <v>XT7</v>
      </c>
      <c r="GT324" t="str">
        <f t="shared" si="707"/>
        <v>QF7</v>
      </c>
      <c r="GU324" t="str">
        <f t="shared" si="708"/>
        <v/>
      </c>
      <c r="GV324" t="str">
        <f t="shared" si="709"/>
        <v>ok</v>
      </c>
      <c r="GW324" t="str">
        <f>IF(OR(GO324="",GM324=""),"",IF(GO324&gt;IFERROR(VLOOKUP(GN324,Модули_спр,3,FALSE),99),"ЛИШНИЙ КАНАЛ",IF(AND(AH324&lt;&gt;"=",COUNTIFS(Линии[_модуль гр.],GM324,Линии[Канал (итог)],GO324,Линии[Канал],"&lt;&gt;=",Линии[Щит],A324)&gt;1),"ДУБЛЬ КАНАЛА","")))</f>
        <v/>
      </c>
      <c r="GX324" s="6" t="str">
        <f t="shared" si="710"/>
        <v/>
      </c>
      <c r="GY324">
        <f t="shared" si="711"/>
        <v>10</v>
      </c>
      <c r="GZ324" t="str">
        <f t="shared" si="712"/>
        <v/>
      </c>
      <c r="HA324" t="str">
        <f>IF(AND(B324="",GT324=""),"",_xlfn.TEXTJOIN("; ",TRUE,IF(AND(B324&lt;&gt;"",FE324=""),"нет фазы",""),IF(AND(B324&lt;&gt;"",N(FY324)=0,EQ324&lt;&gt;"Нет"),"нет мощности",""),IF(AND(GS324&lt;&gt;"",COUNTIFS(Линии[Щит],A324,Линии[Клемма (итог)],GS324)&gt;1),"дубль клеммы "&amp;GS324,""),IF(AND(GV324&lt;&gt;"",GV324&lt;&gt;"ok"),GV324,""),IF(GW324&lt;&gt;"",GW324,""),IF(AND(N(BV324)&gt;=4,N(BR324)=1),BV324&amp;" жил на 1 фазе",""),IF(AND(AX324="R",CA324=1,OR(N(CK324)=0,N(CK324)&gt;30)),"розетка без дифзащиты до 30 мА",""),IFERROR(IF(AND(ISNUMBER(R324),R324&gt;DV324),"потери "&amp;FIXED(R324,1)&amp;" % &gt; "&amp;DV324&amp;" %",""),""),IFERROR(IF(LEFT(GZ324,4)="мало","Iкз мало — отключение &gt; 0,4 с",""),""),IF(AND(B324&lt;&gt;"",BH324=""),"не на схеме",""),IF(AND(CA324=0,B324&lt;&gt;"",FE324&lt;&gt;"",IF(AW324=1,"",FF323)&lt;&gt;"",FE324&lt;&gt;IF(AW324=1,"",FF323)),"фаза не как у автомата группы ("&amp;IF(AW324=1,"",FF323)&amp;")","")))</f>
        <v/>
      </c>
      <c r="HB324" s="6">
        <f>IF(OR(CA324=0,DA324=""),"",_xlfn.LET(_xlpm.t,IFERROR(_xlfn.XLOOKUP(DA324,Каталог!$U$4:$U$500,Каталог!$G$4:$G$500),""),_xlpm.k,SEARCH("кА",_xlpm.t),IFERROR(--TRIM(RIGHT(SUBSTITUTE(MID(_xlpm.t,MAX(1,_xlpm.k-4),_xlpm.k-MAX(1,_xlpm.k-4))," ",REPT(" ",9)),5)),"")))</f>
        <v>6</v>
      </c>
      <c r="HC324" t="str">
        <f>IF(OR(HB324="",CA324=0),"",IF(_xlfn.XLOOKUP(A324,Щиты[Щит],Щиты[Iкз max на шинах, кА],"")="","",IF(HB324&lt;_xlfn.XLOOKUP(A324,Щиты[Щит],Щиты[Iкз max на шинах, кА]),"Icu "&amp;HB324&amp;" кА &lt; Iкз max","ok")))</f>
        <v/>
      </c>
      <c r="HD324" t="str">
        <f t="shared" si="713"/>
        <v/>
      </c>
      <c r="HE324" t="str">
        <f t="shared" si="714"/>
        <v>QF7|XT7</v>
      </c>
      <c r="HF324" t="str">
        <f t="shared" si="715"/>
        <v>QF7|XT7|кабель ВВГнг(А)-LS (3х2,5) → циркуляционный насос Подвальный этаж Пом. №002Т</v>
      </c>
      <c r="HG324" t="str" cm="1">
        <f t="array" ref="HG324">IF(HF324="","",_xlfn.LET(_xlpm.nd,_xlfn.TEXTSPLIT(HF324,"|"),IF(COLUMNS(_xlpm.nd)&gt;1,A324&amp;"¦"&amp;INDEX(_xlpm.nd,1)&amp;"¦"&amp;INDEX(_xlpm.nd,2),"")))</f>
        <v>ЩС-ВК.001¦QF7¦XT7</v>
      </c>
      <c r="HH324" t="str">
        <f t="shared" si="716"/>
        <v>НВК.00.002Т.1¦циркуляционный насос Подвальный этаж Пом. №002Т</v>
      </c>
      <c r="HI324" t="str" cm="1">
        <f t="array" ref="HI324">IF(HF324="","",_xlfn.LET(_xlpm.nd,_xlfn.TEXTSPLIT(HF324,"|"),IF(COLUMNS(_xlpm.nd)&gt;2,A324&amp;"¦"&amp;INDEX(_xlpm.nd,2)&amp;"¦"&amp;INDEX(_xlpm.nd,3),"")))</f>
        <v>ЩС-ВК.001¦XT7¦кабель ВВГнг(А)-LS (3х2,5) → циркуляционный насос Подвальный этаж Пом. №002Т</v>
      </c>
      <c r="HJ324" t="str">
        <f t="shared" si="717"/>
        <v>НВК.00.002Т.1¦циркуляционный насос Подвальный этаж Пом. №002Т</v>
      </c>
      <c r="HK324" t="str" cm="1">
        <f t="array" ref="HK324">IF(HF324="","",_xlfn.LET(_xlpm.nd,_xlfn.TEXTSPLIT(HF324,"|"),IF(COLUMNS(_xlpm.nd)&gt;3,A324&amp;"¦"&amp;INDEX(_xlpm.nd,3)&amp;"¦"&amp;INDEX(_xlpm.nd,4),"")))</f>
        <v/>
      </c>
      <c r="HL324" t="str">
        <f t="shared" si="718"/>
        <v/>
      </c>
      <c r="HM324" t="str" cm="1">
        <f t="array" ref="HM324">IF(HF324="","",_xlfn.LET(_xlpm.nd,_xlfn.TEXTSPLIT(HF324,"|"),IF(COLUMNS(_xlpm.nd)&gt;4,A324&amp;"¦"&amp;INDEX(_xlpm.nd,4)&amp;"¦"&amp;INDEX(_xlpm.nd,5),"")))</f>
        <v/>
      </c>
      <c r="HN324" t="str">
        <f t="shared" si="719"/>
        <v/>
      </c>
      <c r="HO324" t="str" cm="1">
        <f t="array" ref="HO324">IF(HF324="","",_xlfn.LET(_xlpm.nd,_xlfn.TEXTSPLIT(HF324,"|"),IF(COLUMNS(_xlpm.nd)&gt;5,A324&amp;"¦"&amp;INDEX(_xlpm.nd,5)&amp;"¦"&amp;INDEX(_xlpm.nd,6),"")))</f>
        <v/>
      </c>
      <c r="HP324" t="str">
        <f t="shared" si="720"/>
        <v/>
      </c>
      <c r="HQ324" t="str" cm="1">
        <f t="array" ref="HQ324">IF(HF324="","",_xlfn.LET(_xlpm.nd,_xlfn.TEXTSPLIT(HF324,"|"),IF(COLUMNS(_xlpm.nd)&gt;6,A324&amp;"¦"&amp;INDEX(_xlpm.nd,6)&amp;"¦"&amp;INDEX(_xlpm.nd,7),"")))</f>
        <v/>
      </c>
      <c r="HR324" t="str">
        <f t="shared" si="721"/>
        <v/>
      </c>
      <c r="HS324" t="str">
        <f t="shared" si="722"/>
        <v/>
      </c>
      <c r="HT324" t="str">
        <f t="shared" si="723"/>
        <v>QF7 → XT7</v>
      </c>
      <c r="HU324">
        <f t="shared" si="724"/>
        <v>0</v>
      </c>
      <c r="HV324">
        <f t="shared" si="725"/>
        <v>0</v>
      </c>
      <c r="HW324" t="str">
        <f t="shared" si="726"/>
        <v/>
      </c>
      <c r="HX324" t="str">
        <f t="shared" si="727"/>
        <v/>
      </c>
      <c r="HY324" t="str">
        <f t="shared" si="728"/>
        <v/>
      </c>
      <c r="HZ324" t="str">
        <f t="shared" si="729"/>
        <v/>
      </c>
      <c r="IA324">
        <f>IF(B324="","",IFERROR(VLOOKUP(B324,УГО_спр,2,FALSE),IFERROR(VLOOKUP(AX324,УГО_спр,2,FALSE),IFERROR(VLOOKUP(LEFT(AX324,2),УГО_спр,2,FALSE),""))))</f>
        <v>0</v>
      </c>
      <c r="IB324" t="str">
        <f>IF(B324="","",IF(OR(IA324="",IA324=0),"BOX",IFERROR(IF(VLOOKUP(IA324,УГО_блоки,3,FALSE)&amp;""&lt;&gt;"",VLOOKUP(IA324,УГО_блоки,3,FALSE),VLOOKUP(IA324,УГО_блоки,2,FALSE)),IA324)))</f>
        <v>BOX</v>
      </c>
      <c r="IC324">
        <f t="shared" si="730"/>
        <v>1</v>
      </c>
      <c r="ID324" t="str">
        <f>IF(DA324="","",IF(COUNTIF(DA$3:DA324,DA324)=1,MAX(ID$2:ID323)+1,""))</f>
        <v/>
      </c>
      <c r="IE324" t="str">
        <f>IF(CO324="","",IF(COUNTIF(CO$3:CO324,CO324)+COUNTIF(CP$2:CP323,CO324)+COUNTIF(CQ$2:CQ323,CO324)=1,MAX(IE$2:IG323)+1,""))</f>
        <v/>
      </c>
      <c r="IF324" t="str">
        <f>IF(CP324="","",IF(COUNTIF(CO$3:CO324,CP324)+COUNTIF(CP$3:CP324,CP324)+COUNTIF(CQ$2:CQ323,CP324)=1,MAX(IE$2:IG323,IE324)+1,""))</f>
        <v/>
      </c>
      <c r="IG324" t="str">
        <f>IF(CQ324="","",IF(COUNTIF(CO$3:CO324,CQ324)+COUNTIF(CP$3:CP324,CQ324)+COUNTIF(CQ$3:CQ324,CQ324)=1,MAX(IE$2:IG323,IE324,IF324)+1,""))</f>
        <v/>
      </c>
      <c r="IH324" t="str">
        <f t="shared" si="731"/>
        <v>3х2,5</v>
      </c>
      <c r="II324" t="str">
        <f>IF(IH324="","",IF(COUNTIF(IH$3:IH324,IH324)=1,MAX(II$2:II323)+1,""))</f>
        <v/>
      </c>
      <c r="IJ324" t="str">
        <f>IF(GL324="","",COUNTIF(GL$3:GL324,"?*"))</f>
        <v/>
      </c>
      <c r="IK324" t="str">
        <f>IF(OR(GL324="",GN324=""),"",IF(COUNTIFS(GL$3:GL324,"?*",GN$3:GN324,GN324)=1,MAX(IK$2:IK323)+1,""))</f>
        <v/>
      </c>
      <c r="IL324">
        <f t="shared" si="732"/>
        <v>0</v>
      </c>
      <c r="IM324">
        <f>IF(B324="","",COUNTIF(B$3:B324,"?*"))</f>
        <v>322</v>
      </c>
      <c r="IN324">
        <f>IF(GQ324&lt;&gt;1,0,_xlfn.LET(_xlpm.k,MAX(IFERROR(--VLOOKUP(B324,УГО_спр,5,FALSE),0),IFERROR(--VLOOKUP(AX324,УГО_спр,5,FALSE),0),IFERROR(--VLOOKUP(LEFT(AX324,2),УГО_спр,5,FALSE),0)),IF(_xlpm.k&gt;0,_xlpm.k,IF(IFERROR(--LEFT(SUBSTITUTE(IH324,"x","х"),FIND("х",SUBSTITUTE(IH324,"x","х"))-1),3)&gt;3,Каталог!$S$9,1))))</f>
        <v>1</v>
      </c>
      <c r="IO324">
        <f t="shared" si="733"/>
        <v>0</v>
      </c>
      <c r="IP324" t="str">
        <f t="shared" si="734"/>
        <v>авто</v>
      </c>
      <c r="IQ324" t="str">
        <f t="shared" si="735"/>
        <v/>
      </c>
      <c r="IR324">
        <f t="shared" si="736"/>
        <v>0</v>
      </c>
      <c r="IS324">
        <f t="shared" si="737"/>
        <v>1</v>
      </c>
    </row>
    <row r="325" spans="1:253" x14ac:dyDescent="0.3">
      <c r="A325" t="s">
        <v>767</v>
      </c>
      <c r="B325" t="s">
        <v>743</v>
      </c>
      <c r="C325" t="str">
        <f>Линии[[#This Row],[_авто наименование]]</f>
        <v>Вводной кабель шлейф 1</v>
      </c>
      <c r="D325">
        <v>1</v>
      </c>
      <c r="E325" t="s">
        <v>16</v>
      </c>
      <c r="G325">
        <v>20</v>
      </c>
      <c r="H325" t="str">
        <f>Линии[[#This Row],[_авто утечка]]</f>
        <v/>
      </c>
      <c r="I325" t="str">
        <f>Линии[[#This Row],[_авто управление]]</f>
        <v/>
      </c>
      <c r="J325" t="str">
        <f>Линии[[#This Row],[_авто аппараты]]</f>
        <v/>
      </c>
      <c r="K325">
        <v>4</v>
      </c>
      <c r="L325">
        <v>51</v>
      </c>
      <c r="M325" t="str">
        <f>Линии[[#This Row],[_авто фаза]]</f>
        <v>L2</v>
      </c>
      <c r="N325" t="str">
        <f>Линии[[#This Row],[_авто клемма]]</f>
        <v/>
      </c>
      <c r="O325" t="str">
        <f t="shared" si="615"/>
        <v/>
      </c>
      <c r="P325" s="6" cm="1">
        <f t="array" ref="P325">IF(B325="","",IF(BC325&lt;&gt;"",IFERROR(_xlfn.XLOOKUP(BC325,Щиты[Щит],Щиты[Iр, А]),""),IF(BK325=1,IFERROR(_xlfn.XLOOKUP(A325,Щиты[Щит],Щиты[Iр, А]),""),IFERROR(_xlfn.IFS(BR325=1,BN325/((Uн_лин/SQRT(3))*BY325),BR325=3,BN325/(SQRT(3)*Uн_лин*BY325)),""))))</f>
        <v>9.0932667397366043</v>
      </c>
      <c r="Q325" s="7">
        <f>IF(B325="","",IFERROR(IF(VLOOKUP(AX325,Потребители_обозначение,4,FALSE)=1,VLOOKUP(AX325,Потребители_обозначение,3,FALSE)*(D325*2-1)+DS325+VLOOKUP(AZ325,Этаж_обозначение,3,FALSE)+VLOOKUP(AZ325,Этаж_обозначение,4,FALSE),VLOOKUP(AX325,Потребители_обозначение,3,FALSE)*(D325*2-1)+DS325),DS325))</f>
        <v>51</v>
      </c>
      <c r="R325" s="6">
        <f t="shared" si="616"/>
        <v>3.68</v>
      </c>
      <c r="S325" t="str">
        <f t="shared" si="617"/>
        <v>ВВГнг(А)-LS (3х4)</v>
      </c>
      <c r="T325" t="str">
        <f>IF(BH325="","",IF(BI325="вводной узел","узел ","")&amp;"л."&amp;(INT((BH325-1)/Столбцов_на_лист)+1)&amp;" / "&amp;(MOD(BH325-1,Столбцов_на_лист)+1))</f>
        <v>узел л.1 / 2</v>
      </c>
      <c r="V325">
        <v>1</v>
      </c>
      <c r="W325">
        <v>230</v>
      </c>
      <c r="X325" t="s">
        <v>549</v>
      </c>
      <c r="AF325" t="s">
        <v>1303</v>
      </c>
      <c r="AI325">
        <v>2</v>
      </c>
      <c r="AJ325" t="s">
        <v>11</v>
      </c>
      <c r="AK325">
        <v>3</v>
      </c>
      <c r="AM325">
        <v>34</v>
      </c>
      <c r="AN325">
        <v>12</v>
      </c>
      <c r="AW325" cm="1">
        <f t="array" ref="AW325">ROW()-ROW(Линии[#Headers])</f>
        <v>323</v>
      </c>
      <c r="AX325" s="6" t="str">
        <f t="shared" si="618"/>
        <v>Ввод</v>
      </c>
      <c r="AY325" t="str">
        <f t="shared" si="619"/>
        <v>1</v>
      </c>
      <c r="AZ325" t="str">
        <f t="shared" si="620"/>
        <v>1</v>
      </c>
      <c r="BA325" t="str">
        <f t="shared" si="621"/>
        <v/>
      </c>
      <c r="BB325" t="str">
        <f t="shared" si="622"/>
        <v/>
      </c>
      <c r="BC325" t="str">
        <f>IF(U325&lt;&gt;"",U325,IF(AND(B325&lt;&gt;"",B325&lt;&gt;A325,ISNUMBER(_xlfn.XMATCH(B325,Щиты[Щит]))),B325,""))</f>
        <v/>
      </c>
      <c r="BD325" t="str" cm="1">
        <f t="array" ref="BD325">IF(B325="","",IF(BC325&lt;&gt;"","Щит "&amp;BC325,_xlfn.LET(_xlpm.nm,IFERROR(_xlfn.XLOOKUP(AX325,Коды_код,Коды_имя)&amp;"",""),_xlpm.md,IFERROR(N(_xlfn.XLOOKUP(AX325,Коды_код,Коды_режим)),1),_xlpm.ex,IF(Имя_режим="по экспликации",IFERROR(_xlfn.XLOOKUP(AZ325&amp;"|"&amp;BB325,Экспликация[Этаж]&amp;"|"&amp;Экспликация[Помещение],Экспликация[Название])&amp;"",""),""),_xlpm.rm,IF(BB325="","",IF(_xlpm.ex&lt;&gt;"",". "&amp;_xlpm.ex&amp;IF(Имя_пом="нет"," ("&amp;BB325&amp;")"," (пом. "&amp;BB325&amp;")"),IF(Имя_пом="нет"," ",", пом. ")&amp;BB325)),IF(_xlpm.nm="","",IF(_xlpm.md=2,_xlpm.nm&amp;" шлейф "&amp;AZ325,_xlpm.nm&amp;_xlpm.rm)))))</f>
        <v>Вводной кабель шлейф 1</v>
      </c>
      <c r="BE325" t="str">
        <f t="shared" si="623"/>
        <v>Вводной кабель шлейф 1</v>
      </c>
      <c r="BF325">
        <f>IFERROR(_xlfn.XMATCH(A325,Щиты[Щит]),0)</f>
        <v>14</v>
      </c>
      <c r="BG325">
        <f>_xlfn.LET(_xlpm.k,IFERROR(_xlfn.XLOOKUP(A325,Щиты[Щит],Щиты[Листов под вводной узел]),""),IF(_xlpm.k="",1,N(_xlpm.k))*Столбцов_на_лист)</f>
        <v>17</v>
      </c>
      <c r="BH325">
        <f t="shared" si="624"/>
        <v>2</v>
      </c>
      <c r="BI325" t="str">
        <f t="shared" si="625"/>
        <v>вводной узел</v>
      </c>
      <c r="BJ325" s="6">
        <f>IFERROR(N(_xlfn.XLOOKUP(AX325,Коды_код,Коды_квт)),0)</f>
        <v>0</v>
      </c>
      <c r="BK325">
        <f t="shared" si="626"/>
        <v>1</v>
      </c>
      <c r="BL325">
        <f>IF(B325="","",IF(BC325&lt;&gt;"",IFERROR(_xlfn.XLOOKUP(BC325,Щиты[Щит],Щиты[Руст, кВт]),0),IF(BK325=1,IFERROR(_xlfn.XLOOKUP(A325,Щиты[Щит],Щиты[Руст, кВт]),0),IF(BJ325&gt;0,ROUND(BJ325*MAX(1,N(D325)),3),""))))</f>
        <v>2.4</v>
      </c>
      <c r="BM325" t="str">
        <f t="shared" si="627"/>
        <v>кВт</v>
      </c>
      <c r="BN325" s="6">
        <f>IF(B325="","",IF(BC325&lt;&gt;"",IFERROR(_xlfn.XLOOKUP(BC325,Щиты[Щит],Щиты[Руст, кВт]),0),N(BM325)))</f>
        <v>0</v>
      </c>
      <c r="BO325" t="str">
        <f>IF(B325="","",IFERROR(IF(VLOOKUP(AX325,Потребители_обозначение,8,FALSE)=0,"",VLOOKUP(AX325,Потребители_обозначение,8,FALSE)),""))</f>
        <v/>
      </c>
      <c r="BP325">
        <f t="shared" si="628"/>
        <v>230</v>
      </c>
      <c r="BQ325">
        <f>IF(B325="","",IF(BC325&lt;&gt;"",3,IFERROR(IF(N(VLOOKUP(AX325,Потребители_обозначение,9,FALSE))=0,1,VLOOKUP(AX325,Потребители_обозначение,9,FALSE)),1)))</f>
        <v>1</v>
      </c>
      <c r="BR325">
        <f t="shared" si="629"/>
        <v>1</v>
      </c>
      <c r="BS325" t="str">
        <f>IF(B325="","",_xlfn.LET(_xlpm.bc,IFERROR(IF(VLOOKUP(AX325,Потребители_обозначение,6,FALSE)=0,"",VLOOKUP(AX325,Потребители_обозначение,6,FALSE)&amp;""),""),IF(AND(FK325="да",OR(_xlpm.bc="",_xlpm.bc="мс")),Марка_пож,IF(AND(_xlpm.bc="",BC325&lt;&gt;""),"мс",_xlpm.bc))))</f>
        <v/>
      </c>
      <c r="BT325" t="str">
        <f t="shared" si="630"/>
        <v>мс</v>
      </c>
      <c r="BU325">
        <f>IF(B325="","",_xlfn.LET(_xlpm.cc,IFERROR(N(VLOOKUP(AX325,Потребители_обозначение,7,FALSE)),0),IF(_xlpm.cc&gt;0,_xlpm.cc,IF(BT325="","",IF(N(BR325)=3,5,3)))))</f>
        <v>3</v>
      </c>
      <c r="BV325">
        <f t="shared" si="631"/>
        <v>3</v>
      </c>
      <c r="BW325">
        <f>IFERROR(N(VLOOKUP(AX325,Потребители_обозначение,10,FALSE)),0)</f>
        <v>0</v>
      </c>
      <c r="BX325">
        <f>IFERROR(VLOOKUP(AX325,Потребители_обозначение,5,FALSE),0)</f>
        <v>1</v>
      </c>
      <c r="BY325" s="6" cm="1">
        <f t="array" ref="BY325">IF(B325="","",IF(BC325&lt;&gt;"",IFERROR(_xlfn.XLOOKUP(BC325,Щиты[Щит],Щиты[cos φ]),0.95),IF(BK325=1,IFERROR(_xlfn.XLOOKUP(A325,Щиты[Щит],Щиты[cos φ]),0.95),IF(ISNUMBER(Z325),Z325,IFERROR(IF(BX325=2,_xlfn.IFS(BR325=3,VLOOKUP(BN325,Справочная_двигатели,8,FALSE),BR325=1,VLOOKUP(BN325,Справочная_двигатели,10,TRUE)),IF(AND(Методика="нормы 2026",EQ325="Сил"),0.8,0.95)),0.95)))))</f>
        <v>0.8</v>
      </c>
      <c r="BZ325">
        <f t="shared" si="632"/>
        <v>0</v>
      </c>
      <c r="CA325">
        <f t="shared" si="633"/>
        <v>1</v>
      </c>
      <c r="CB325">
        <f t="shared" si="634"/>
        <v>0</v>
      </c>
      <c r="CC325">
        <f t="shared" si="635"/>
        <v>0</v>
      </c>
      <c r="CD325">
        <f t="shared" si="636"/>
        <v>0</v>
      </c>
      <c r="CE325">
        <f t="shared" si="637"/>
        <v>0</v>
      </c>
      <c r="CF325">
        <f t="shared" si="638"/>
        <v>0</v>
      </c>
      <c r="CG325">
        <f>IF(AX325="",0,_xlfn.LET(_xlpm.v,IFERROR(VLOOKUP(B325,УГО_спр,3,FALSE),IFERROR(VLOOKUP(AX325,УГО_спр,3,FALSE),IFERROR(VLOOKUP(LEFT(AX325,2),УГО_спр,3,FALSE),""))),IF(_xlpm.v="да",30,IF(ISNUMBER(_xlpm.v),_xlpm.v,0))))</f>
        <v>0</v>
      </c>
      <c r="CH325" t="str">
        <f t="shared" si="639"/>
        <v/>
      </c>
      <c r="CI325" t="str">
        <f>_xlfn.LET(_xlpm.k,IFERROR(_xlfn.XLOOKUP(AX325,Коды_код,Коды_утечка)&amp;"",""),IF(_xlpm.k="","дифавтомат",_xlpm.k))</f>
        <v>дифавтомат</v>
      </c>
      <c r="CJ325">
        <f t="shared" si="640"/>
        <v>0</v>
      </c>
      <c r="CK325">
        <f t="shared" si="641"/>
        <v>0</v>
      </c>
      <c r="CL325">
        <f>IF(B325="",0,IFERROR(--VLOOKUP(B325,УГО_спр,4,FALSE),IFERROR(--VLOOKUP(AX325,УГО_спр,4,FALSE),IFERROR(--VLOOKUP(LEFT(AX325,2),УГО_спр,4,FALSE),0))))</f>
        <v>0</v>
      </c>
      <c r="CM325" t="str">
        <f>IF(B325="","",IFERROR(_xlfn.XLOOKUP(AX325,Коды_код,Коды_апп)&amp;"",""))</f>
        <v/>
      </c>
      <c r="CN325" t="str">
        <f t="shared" si="642"/>
        <v/>
      </c>
      <c r="CO325" t="str" cm="1">
        <f t="array" ref="CO325">IF(TRIM(CN325&amp;"")="","",IFERROR(TRIM(INDEX(_xlfn.TEXTSPLIT(CN325&amp;";;;",";"),1)),""))</f>
        <v/>
      </c>
      <c r="CP325" t="str" cm="1">
        <f t="array" ref="CP325">IF(TRIM(CN325&amp;"")="","",IFERROR(TRIM(INDEX(_xlfn.TEXTSPLIT(CN325&amp;";;;",";"),2)),""))</f>
        <v/>
      </c>
      <c r="CQ325" t="str" cm="1">
        <f t="array" ref="CQ325">IF(TRIM(CN325&amp;"")="","",IFERROR(TRIM(INDEX(_xlfn.TEXTSPLIT(CN325&amp;";;;",";"),3)),""))</f>
        <v/>
      </c>
      <c r="CR325">
        <f t="shared" si="643"/>
        <v>0</v>
      </c>
      <c r="CS325" t="str">
        <f>IF(B325="","",_xlfn.LET(_xlpm.t,LOWER(AV325&amp;""),IF(ISNUMBER(SEARCH("dim",_xlpm.t)),"DIM",IF(ISNUMBER(SEARCH("dali",_xlpm.t)),"DALI",IF(OR(ISNUMBER(SEARCH("relay",_xlpm.t)),ISNUMBER(SEARCH("реле",_xlpm.t))),"Relay",IF(ISNUMBER(SEARCH("кнопк",_xlpm.t)),"",IFERROR(_xlfn.XLOOKUP(AX325,Коды_код,Коды_упр)&amp;"","")))))))</f>
        <v/>
      </c>
      <c r="CT325" t="str">
        <f t="shared" si="644"/>
        <v/>
      </c>
      <c r="CU325">
        <f>IF(B325="","",_xlfn.LET(_xlpm.ig,N(P325)+IF(AF325="вручную",0,N(CB325)),_xlpm.n0,IFERROR(VLOOKUP(_xlpm.ig,Автомат_номиналы,2,TRUE),0),_xlpm.mn,MAX(CL325,IF(AF325="вручную",0,N(CE325))),MAX(_xlpm.n0,_xlpm.mn,IF(CR325=1,Мин_автомат_БП,0))))</f>
        <v>16</v>
      </c>
      <c r="CV325">
        <f t="shared" si="645"/>
        <v>1</v>
      </c>
      <c r="CW325" t="str">
        <f t="shared" si="646"/>
        <v>1P</v>
      </c>
      <c r="CX325" t="str">
        <f>_xlfn.LET(_xlpm.cc,UPPER(TRIM(IFERROR(_xlfn.XLOOKUP(AX325,Коды_код,Коды_хар)&amp;"",""))),IF(OR(_xlpm.cc="B",_xlpm.cc="В"),"B",IF(_xlpm.cc="D","D","С")))</f>
        <v>С</v>
      </c>
      <c r="CY325" t="str">
        <f t="shared" si="647"/>
        <v>1P С16А</v>
      </c>
      <c r="CZ325">
        <f t="shared" si="648"/>
        <v>20</v>
      </c>
      <c r="DA325" t="str">
        <f t="shared" si="649"/>
        <v>1P С20А</v>
      </c>
      <c r="DB325" cm="1">
        <f t="array" ref="DB325">IF(DA325="","",_xlfn.LET(_xlpm.t,SUBSTITUTE(SUBSTITUTE(SUBSTITUTE(UPPER(DA325),"С","C"),"А","A"),"В","B"),_xlpm.tk,_xlfn.TEXTSPLIT(_xlpm.t,"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25" t="str">
        <f t="shared" si="650"/>
        <v>узел</v>
      </c>
      <c r="DD325">
        <f t="shared" si="651"/>
        <v>20</v>
      </c>
      <c r="DE325" t="str">
        <f t="shared" si="652"/>
        <v>1P С20А</v>
      </c>
      <c r="DF325">
        <f t="shared" si="653"/>
        <v>0</v>
      </c>
      <c r="DG325">
        <f t="shared" si="654"/>
        <v>0</v>
      </c>
      <c r="DH325">
        <f t="shared" si="655"/>
        <v>0</v>
      </c>
      <c r="DI325">
        <f t="shared" si="656"/>
        <v>9.0932667397366043</v>
      </c>
      <c r="DJ325">
        <f t="shared" si="657"/>
        <v>1</v>
      </c>
      <c r="DK325">
        <f>IF(ISNUMBER(AL325),AL325,К_прокл)</f>
        <v>1</v>
      </c>
      <c r="DL325">
        <f t="shared" si="658"/>
        <v>2</v>
      </c>
      <c r="DM325">
        <f>IFERROR(N(VLOOKUP(BT325,Кабель_обозначение,3,FALSE)),1)</f>
        <v>1</v>
      </c>
      <c r="DN325">
        <f>IFERROR(N(_xlfn.XLOOKUP(A325,Щиты[Щит],Щиты[ΔU до шин, %])),0)</f>
        <v>1.84</v>
      </c>
      <c r="DO325" t="str">
        <f>IFERROR(_xlfn.XLOOKUP(A325,Щиты[Щит],Щиты[Zпетли на шинах, Ом]),"")</f>
        <v/>
      </c>
      <c r="DP325">
        <f>IFERROR(N(_xlfn.XLOOKUP(A325,Щиты[Щит],Щиты[ΔU до шин (подбор), %])),0)</f>
        <v>4.8499999999999996</v>
      </c>
      <c r="DQ325" t="str">
        <f>IFERROR(_xlfn.XLOOKUP(A325,Щиты[Щит],Щиты[Zпетли на шинах (подбор), Ом]),"")</f>
        <v/>
      </c>
      <c r="DR325" t="str">
        <f t="shared" si="659"/>
        <v/>
      </c>
      <c r="DS325">
        <f t="shared" si="660"/>
        <v>51</v>
      </c>
      <c r="DT325">
        <f t="shared" si="661"/>
        <v>2</v>
      </c>
      <c r="DU325">
        <f t="shared" si="662"/>
        <v>0.6</v>
      </c>
      <c r="DV325" s="6">
        <f>IF(B325="","",IF(IFERROR(VLOOKUP(AX325,УГО_спр,2,FALSE),"")="Светильник",3,4)+IF(Методика="нормы 2026",MIN(0.5,MAX(0,N(Q325)-100)*0.005),0))</f>
        <v>4</v>
      </c>
      <c r="DW325" t="str" cm="1">
        <f t="array" ref="DW325">IF(OR(B325="",BT325="",DM325&lt;&gt;1),"",_xlfn.LET(_xlpm.sz,Iдоп_S,_xlpm.t_,CHOOSE(DL325,Iдоп_1ж,Iдоп_2ж,Iдоп_3ж)*DJ325*DK325,_xlpm.inn,N(DD325),_xlpm.smin,MAX(1.5,BW325),_xlpm.L_,N(Q325)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325)*(_xlpm.rho*_xlpm.L_/_xlpm.sz*N(BY325)+_xlpm.xx*_xlpm.L_*N(DU325)/1000)*N(P325)/((Uн_лин/SQRT(3))*1000)*100,999),_xlpm.kz,IF(OR(DG325=1,NOT(ISNUMBER(DQ325)),_xlpm.L_=0,_xlpm.inn=0),1,IFERROR(--(c_min*(Uн_лин*1000/SQRT(3))/(DQ325+2*ρкз_Cu*_xlpm.L_/_xlpm.sz)&gt;=GY325*_xlpm.inn),0)),_xlpm.ok,IFERROR((_xlpm.sz&gt;=_xlpm.smin)*(_xlpm.t_&gt;=_xlpm.inn)*IF(_xlpm.L_&gt;0,(_xlpm.du_+DP325&lt;=DV325+0.00001),1)*_xlpm.kz,0),_xlpm.r_,_xlfn._xlws.FILTER(_xlpm.sz,_xlpm.ok,"не подобрано"),INDEX(_xlpm.r_,1)))</f>
        <v>не подобрано</v>
      </c>
      <c r="DX325">
        <f t="shared" si="663"/>
        <v>4</v>
      </c>
      <c r="DY325" cm="1">
        <f t="array" ref="DY325">IF(OR(B325="",BT325="",DM325&lt;&gt;1),"",_xlfn.LET(_xlpm.sz,Iдоп_S,_xlpm.t_,CHOOSE(DL325,Iдоп_1ж,Iдоп_2ж,Iдоп_3ж)*DJ325*DK325,_xlpm.ok,IFERROR((_xlpm.sz&gt;=MAX(1.5,BW325))*(_xlpm.t_&gt;=N(DD325)),0),_xlpm.r_,_xlfn._xlws.FILTER(_xlpm.sz,_xlpm.ok,""),INDEX(_xlpm.r_,1)))</f>
        <v>2.5</v>
      </c>
      <c r="DZ325" s="6" cm="1">
        <f t="array" ref="DZ325">IFERROR(ROUNDUP(N(DT325)*(_xlfn.XLOOKUP(DY325,INDEX(Кабель_сопротивление,0,1),INDEX(Кабель_сопротивление,0,3))*N(Q325)/DY325*N(BY325)+_xlfn.XLOOKUP(DY325,INDEX(Кабель_сопротивление,0,1),INDEX(Кабель_сопротивление,0,2))*N(Q325)*N(DU325)/1000)*N(P325)/((Uн_лин/SQRT(3))*1000)*100,2),"")</f>
        <v>2.92</v>
      </c>
      <c r="EA325">
        <f>IFERROR(2*ρкз_Cu*N(Q325)/DY325,"")</f>
        <v>1.07304</v>
      </c>
      <c r="EB325">
        <f>IFERROR(VLOOKUP(DX325,Кабель_сопротивление,3,FALSE),"")</f>
        <v>2.2499999999999999E-2</v>
      </c>
      <c r="EC325">
        <f>IFERROR(VLOOKUP(DX325,Кабель_сопротивление,2,FALSE),"")</f>
        <v>9.5000000000000001E-2</v>
      </c>
      <c r="ED325">
        <f t="shared" si="664"/>
        <v>12</v>
      </c>
      <c r="EE325" t="str">
        <f t="shared" si="665"/>
        <v/>
      </c>
      <c r="EF325">
        <f t="shared" si="666"/>
        <v>4.2266776863639297</v>
      </c>
      <c r="EG325" s="6">
        <f>IFERROR(ROUNDUP(EF325/((Uн_лин/SQRT(3))*1000)*100,2),"")</f>
        <v>1.84</v>
      </c>
      <c r="EH325" t="str">
        <f>IFERROR(VLOOKUP(BT325,Кабель_обозначение,2,FALSE),"")</f>
        <v>ВВГнг(А)-LS</v>
      </c>
      <c r="EI325" t="str">
        <f t="shared" si="667"/>
        <v>ВВГнг(А)-LS (3х4)</v>
      </c>
      <c r="EJ325" t="str">
        <f t="shared" si="668"/>
        <v/>
      </c>
      <c r="EK325">
        <f>IFERROR(2*ρкз_Cu*Q325/DX325,"")</f>
        <v>0.67064999999999997</v>
      </c>
      <c r="EL325">
        <f t="shared" si="669"/>
        <v>0.22312500000000002</v>
      </c>
      <c r="EM325" s="6" t="str">
        <f>IFERROR(IF(OR(B325="",NOT(ISNUMBER(DX325)),N(Q325)=0),"",_xlfn.XLOOKUP(A325,Щиты[Щит],Щиты[Zпетли на шинах, Ом])+EK325),"")</f>
        <v/>
      </c>
      <c r="EN325" s="6" t="str">
        <f>IF(ISNUMBER(EM325),c_min*(Uн_лин*1000/SQRT(3))/EM325,"")</f>
        <v/>
      </c>
      <c r="EO325" s="6" t="str">
        <f>IFERROR(IF(OR(B325="",NOT(ISNUMBER(DX325))),"",1.05*(Uн_лин*1000/SQRT(3))/(_xlfn.XLOOKUP(A325,Щиты[Щит],Щиты[Zmax на шинах, Ом])+EL325)/1000),"")</f>
        <v/>
      </c>
      <c r="EP325" s="6" t="str">
        <f>IF(B325="","",IF(ISNUMBER(Y325),"Сил",IF(IFERROR(_xlfn.XLOOKUP(AX325,Коды_код,Коды_группа)&amp;"","")="","Быт",_xlfn.XLOOKUP(AX325,Коды_код,Коды_группа)&amp;"")))</f>
        <v>Быт</v>
      </c>
      <c r="EQ325" s="6" t="str">
        <f t="shared" si="670"/>
        <v>Нет</v>
      </c>
      <c r="ER325" s="6">
        <f>IF(EQ325="Щит","щит",IF(EQ325="","",IF(EQ325="Быт",IFERROR(_xlfn.XLOOKUP(A325,Щиты[Щит],Щиты[Кс быт]),1),IF(EQ325="Сил",IF(ISNUMBER(Y325),Y325,IF(Методика="нормы 2026",IFERROR(_xlfn.XLOOKUP(A325,Щиты[Щит],Щиты[Кс силовых (табл. 7.5)]),1),1)),IF(OR(EQ325="Пост",EQ325="Отоп"),1,IF(EQ325="ВНГ",0.7,0))))))</f>
        <v>0</v>
      </c>
      <c r="ES325">
        <f t="shared" si="671"/>
        <v>1</v>
      </c>
      <c r="ET325">
        <f t="shared" si="672"/>
        <v>0</v>
      </c>
      <c r="EU325">
        <f t="shared" si="673"/>
        <v>0</v>
      </c>
      <c r="EV325">
        <f t="shared" si="674"/>
        <v>0</v>
      </c>
      <c r="EW325">
        <f t="shared" si="675"/>
        <v>0</v>
      </c>
      <c r="EX325">
        <f t="shared" si="676"/>
        <v>0</v>
      </c>
      <c r="EY325">
        <f t="shared" si="677"/>
        <v>0</v>
      </c>
      <c r="EZ325">
        <f t="shared" si="678"/>
        <v>0</v>
      </c>
      <c r="FA325">
        <f t="shared" si="679"/>
        <v>0</v>
      </c>
      <c r="FB325">
        <f t="shared" si="680"/>
        <v>0</v>
      </c>
      <c r="FC325" t="str">
        <f t="shared" si="681"/>
        <v/>
      </c>
      <c r="FD325" t="str">
        <f>IF(B325="","",IF(CA325=0,IF(AW325=1,"",FF324),IF(OR(N(CV325)&gt;=3,N(BR325)&gt;=3),"L1,L2,L3",IFERROR(_xlfn.TEXTBEFORE(_xlfn.TEXTAFTER(_xlfn.XLOOKUP(A325,Щиты[Щит],Щиты[_фазы авто]),";"&amp;AW325&amp;":"),";"),"L1"))))</f>
        <v>L2</v>
      </c>
      <c r="FE325" t="str">
        <f t="shared" si="682"/>
        <v>L2</v>
      </c>
      <c r="FF325" t="str">
        <f t="shared" si="683"/>
        <v>L2</v>
      </c>
      <c r="FG325" cm="1">
        <f t="array" ref="FG325">IFERROR(IF(BX325=2,_xlfn.IFS(BR325=3,VLOOKUP(BN325,Справочная_двигатели,3,FALSE),BR325=1,VLOOKUP(BN325,Справочная_двигатели,5,TRUE)),0),0)</f>
        <v>0</v>
      </c>
      <c r="FH325">
        <f>IFERROR(IF(BX325=3,VLOOKUP(BN325,Справочная_ЛЭД,2,TRUE),0),0)</f>
        <v>0</v>
      </c>
      <c r="FI325" s="6">
        <f t="shared" si="684"/>
        <v>0</v>
      </c>
      <c r="FJ325" t="str" cm="1">
        <f t="array" ref="FJ325">IF(B325="","",IFERROR(INDEX({"I особая","I","II","III"},MATCH(TRIM(AC325&amp;""),{"I особая","I","II","III"},0)),"III"))</f>
        <v>III</v>
      </c>
      <c r="FK325" t="str">
        <f>IF(B325="","",IF(TRIM(AD325&amp;"")&lt;&gt;"",IF(LOWER(TRIM(AD325&amp;""))="да","да","нет"),IF(IFERROR(_xlfn.XLOOKUP(AX325,Коды_код,Коды_пожарная),"")="да","да","нет")))</f>
        <v>нет</v>
      </c>
      <c r="FL325" t="str">
        <f t="shared" si="685"/>
        <v/>
      </c>
      <c r="FM325" t="str">
        <f t="shared" si="686"/>
        <v>основная</v>
      </c>
      <c r="FN325">
        <f t="shared" si="687"/>
        <v>1</v>
      </c>
      <c r="FO325" t="str" cm="1">
        <f t="array" ref="FO325">IF(B325="","",_xlfn.LET(_xlpm.t,IFERROR(_xlfn.XLOOKUP(1,(Шины[Шина]=FM325)*(((Шины[Щит]=A325)+(Шины[Щит]=""))&gt;0),Шины[Тип]),"")&amp;"",IF(_xlpm.t&lt;&gt;"",_xlpm.t,IF(ISNUMBER(SEARCH("ИБП",FM325)),"ИБП",IF(ISNUMBER(SEARCH("ДГУ",FM325)),"ДГУ","Ввод "&amp;FN325)))))</f>
        <v>Ввод 1</v>
      </c>
      <c r="FP325" t="str">
        <f t="shared" si="688"/>
        <v>Ввод 1</v>
      </c>
      <c r="FQ325" t="str">
        <f>IF(B325="","",IF(OR(FO325="ИБП",FO325="ДГУ"),"I особая",IF(FO325="Одиночная","III",_xlfn.XLOOKUP(A325,Щиты[Щит],Щиты[Категория шины «Ввод»],"III"))))</f>
        <v>II</v>
      </c>
      <c r="FR325">
        <f>IF(B325="",0,IFERROR(MATCH(FJ325,{"III","II","I","I особая"},0),1))</f>
        <v>1</v>
      </c>
      <c r="FS325">
        <f t="shared" si="689"/>
        <v>1</v>
      </c>
      <c r="FT325" t="str">
        <f>IF(B325="","",IF(FR325&gt;IFERROR(MATCH(FQ325,{"III","II","I","I особая"},0),1),"НЕ ОБЕСПЕЧЕНА","ОК"))</f>
        <v>ОК</v>
      </c>
      <c r="FU325" t="str">
        <f>IF(A325="","",_xlfn.XLOOKUP(A325,Щиты[Щит],Щиты[Путь],""))</f>
        <v>|ГРЩ-ЖД|ЩС-ВК.002|</v>
      </c>
      <c r="FV325" t="str">
        <f>IF(B325="","",IF(AE325&lt;&gt;"",AE325,IF(IFERROR(_xlfn.XLOOKUP(AX325,Коды_код,Коды_вид)&amp;"","")="","Прочее",_xlfn.XLOOKUP(AX325,Коды_код,Коды_вид)&amp;"")))</f>
        <v>Прочее</v>
      </c>
      <c r="FW325">
        <f>IF(BH325="","",INT((BH325-1)/Столбцов_на_лист)+1)</f>
        <v>1</v>
      </c>
      <c r="FX325" t="str">
        <f t="shared" si="690"/>
        <v/>
      </c>
      <c r="FY325">
        <f t="shared" si="691"/>
        <v>0</v>
      </c>
      <c r="FZ325">
        <f t="shared" si="692"/>
        <v>9.1</v>
      </c>
      <c r="GA325">
        <f t="shared" si="693"/>
        <v>1</v>
      </c>
      <c r="GB325">
        <f t="shared" si="694"/>
        <v>0</v>
      </c>
      <c r="GC325">
        <f t="shared" si="695"/>
        <v>0</v>
      </c>
      <c r="GD325" t="str">
        <f>IF(BH325="","",IF(AND(CA325=1,GC325=1),COUNTIFS(A$3:A325,A325,CA$3:CA325,1,GC$3:GC325,1),IF(OR(OR(AW325=1,A325&lt;&gt;A324),AF325="вручную",GC325=0),"",IF(AW325=1,"",GE324))))</f>
        <v/>
      </c>
      <c r="GE325" t="str">
        <f t="shared" si="696"/>
        <v/>
      </c>
      <c r="GF325">
        <f>IF(B325="","",IFERROR(LOOKUP(INDEX(CHOOSE(DL325,Iдоп_1ж,Iдоп_2ж,Iдоп_3ж),MATCH(DX325,Iдоп_S,0))*DJ325*DK325,{6,10,16,20,25,32,40,50,63,80,100,125,160,200,250,315,400,500,630}),""))</f>
        <v>32</v>
      </c>
      <c r="GG325" t="str">
        <f t="shared" si="697"/>
        <v/>
      </c>
      <c r="GH325" t="str">
        <f t="shared" si="698"/>
        <v/>
      </c>
      <c r="GI325" t="str">
        <f t="shared" si="699"/>
        <v/>
      </c>
      <c r="GJ325">
        <f t="shared" si="700"/>
        <v>0</v>
      </c>
      <c r="GK325" t="str">
        <f>IF(OR(AG325="",AG325="-"),"",IFERROR(VLOOKUP(AG325,Модули_спр,2,FALSE),"R"))</f>
        <v/>
      </c>
      <c r="GL325" t="str">
        <f>IF(GK325="","",GK325&amp;"."&amp;COUNTIFS(A$3:A325,A325,GK$3:GK325,GK325))</f>
        <v/>
      </c>
      <c r="GM325" t="str">
        <f t="shared" si="701"/>
        <v/>
      </c>
      <c r="GN325" t="str">
        <f t="shared" si="702"/>
        <v/>
      </c>
      <c r="GO325" t="str">
        <f t="shared" si="703"/>
        <v/>
      </c>
      <c r="GP325" t="str">
        <f t="shared" si="704"/>
        <v/>
      </c>
      <c r="GQ325">
        <f t="shared" si="705"/>
        <v>0</v>
      </c>
      <c r="GR325" t="str">
        <f>IF(GQ325=1,"XT"&amp;COUNTIFS(A$3:A325,A325,GQ$3:GQ325,1),"")</f>
        <v/>
      </c>
      <c r="GS325" t="str">
        <f t="shared" si="706"/>
        <v/>
      </c>
      <c r="GT325" t="str">
        <f t="shared" si="707"/>
        <v/>
      </c>
      <c r="GU325" t="str">
        <f t="shared" si="708"/>
        <v/>
      </c>
      <c r="GV325" t="str">
        <f t="shared" si="709"/>
        <v>ok</v>
      </c>
      <c r="GW325" t="str">
        <f>IF(OR(GO325="",GM325=""),"",IF(GO325&gt;IFERROR(VLOOKUP(GN325,Модули_спр,3,FALSE),99),"ЛИШНИЙ КАНАЛ",IF(AND(AH325&lt;&gt;"=",COUNTIFS(Линии[_модуль гр.],GM325,Линии[Канал (итог)],GO325,Линии[Канал],"&lt;&gt;=",Линии[Щит],A325)&gt;1),"ДУБЛЬ КАНАЛА","")))</f>
        <v/>
      </c>
      <c r="GX325" s="6" t="str">
        <f t="shared" si="710"/>
        <v/>
      </c>
      <c r="GY325">
        <f t="shared" si="711"/>
        <v>10</v>
      </c>
      <c r="GZ325" t="str">
        <f t="shared" si="712"/>
        <v/>
      </c>
      <c r="HA325" t="str">
        <f>IF(AND(B325="",GT325=""),"",_xlfn.TEXTJOIN("; ",TRUE,IF(AND(B325&lt;&gt;"",FE325=""),"нет фазы",""),IF(AND(B325&lt;&gt;"",N(FY325)=0,EQ325&lt;&gt;"Нет"),"нет мощности",""),IF(AND(GS325&lt;&gt;"",COUNTIFS(Линии[Щит],A325,Линии[Клемма (итог)],GS325)&gt;1),"дубль клеммы "&amp;GS325,""),IF(AND(GV325&lt;&gt;"",GV325&lt;&gt;"ok"),GV325,""),IF(GW325&lt;&gt;"",GW325,""),IF(AND(N(BV325)&gt;=4,N(BR325)=1),BV325&amp;" жил на 1 фазе",""),IF(AND(AX325="R",CA325=1,OR(N(CK325)=0,N(CK325)&gt;30)),"розетка без дифзащиты до 30 мА",""),IFERROR(IF(AND(ISNUMBER(R325),R325&gt;DV325),"потери "&amp;FIXED(R325,1)&amp;" % &gt; "&amp;DV325&amp;" %",""),""),IFERROR(IF(LEFT(GZ325,4)="мало","Iкз мало — отключение &gt; 0,4 с",""),""),IF(AND(B325&lt;&gt;"",BH325=""),"не на схеме",""),IF(AND(CA325=0,B325&lt;&gt;"",FE325&lt;&gt;"",IF(AW325=1,"",FF324)&lt;&gt;"",FE325&lt;&gt;IF(AW325=1,"",FF324)),"фаза не как у автомата группы ("&amp;IF(AW325=1,"",FF324)&amp;")","")))</f>
        <v/>
      </c>
      <c r="HB325" s="6" t="str">
        <f>IF(OR(CA325=0,DA325=""),"",_xlfn.LET(_xlpm.t,IFERROR(_xlfn.XLOOKUP(DA325,Каталог!$U$4:$U$500,Каталог!$G$4:$G$500),""),_xlpm.k,SEARCH("кА",_xlpm.t),IFERROR(--TRIM(RIGHT(SUBSTITUTE(MID(_xlpm.t,MAX(1,_xlpm.k-4),_xlpm.k-MAX(1,_xlpm.k-4))," ",REPT(" ",9)),5)),"")))</f>
        <v/>
      </c>
      <c r="HC325" t="str">
        <f>IF(OR(HB325="",CA325=0),"",IF(_xlfn.XLOOKUP(A325,Щиты[Щит],Щиты[Iкз max на шинах, кА],"")="","",IF(HB325&lt;_xlfn.XLOOKUP(A325,Щиты[Щит],Щиты[Iкз max на шинах, кА]),"Icu "&amp;HB325&amp;" кА &lt; Iкз max","ok")))</f>
        <v/>
      </c>
      <c r="HD325" t="str">
        <f t="shared" si="713"/>
        <v/>
      </c>
      <c r="HE325" t="str">
        <f t="shared" si="714"/>
        <v/>
      </c>
      <c r="HF325" t="str">
        <f t="shared" si="715"/>
        <v/>
      </c>
      <c r="HG325" t="str" cm="1">
        <f t="array" ref="HG325">IF(HF325="","",_xlfn.LET(_xlpm.nd,_xlfn.TEXTSPLIT(HF325,"|"),IF(COLUMNS(_xlpm.nd)&gt;1,A325&amp;"¦"&amp;INDEX(_xlpm.nd,1)&amp;"¦"&amp;INDEX(_xlpm.nd,2),"")))</f>
        <v/>
      </c>
      <c r="HH325" t="str">
        <f t="shared" si="716"/>
        <v/>
      </c>
      <c r="HI325" t="str" cm="1">
        <f t="array" ref="HI325">IF(HF325="","",_xlfn.LET(_xlpm.nd,_xlfn.TEXTSPLIT(HF325,"|"),IF(COLUMNS(_xlpm.nd)&gt;2,A325&amp;"¦"&amp;INDEX(_xlpm.nd,2)&amp;"¦"&amp;INDEX(_xlpm.nd,3),"")))</f>
        <v/>
      </c>
      <c r="HJ325" t="str">
        <f t="shared" si="717"/>
        <v/>
      </c>
      <c r="HK325" t="str" cm="1">
        <f t="array" ref="HK325">IF(HF325="","",_xlfn.LET(_xlpm.nd,_xlfn.TEXTSPLIT(HF325,"|"),IF(COLUMNS(_xlpm.nd)&gt;3,A325&amp;"¦"&amp;INDEX(_xlpm.nd,3)&amp;"¦"&amp;INDEX(_xlpm.nd,4),"")))</f>
        <v/>
      </c>
      <c r="HL325" t="str">
        <f t="shared" si="718"/>
        <v/>
      </c>
      <c r="HM325" t="str" cm="1">
        <f t="array" ref="HM325">IF(HF325="","",_xlfn.LET(_xlpm.nd,_xlfn.TEXTSPLIT(HF325,"|"),IF(COLUMNS(_xlpm.nd)&gt;4,A325&amp;"¦"&amp;INDEX(_xlpm.nd,4)&amp;"¦"&amp;INDEX(_xlpm.nd,5),"")))</f>
        <v/>
      </c>
      <c r="HN325" t="str">
        <f t="shared" si="719"/>
        <v/>
      </c>
      <c r="HO325" t="str" cm="1">
        <f t="array" ref="HO325">IF(HF325="","",_xlfn.LET(_xlpm.nd,_xlfn.TEXTSPLIT(HF325,"|"),IF(COLUMNS(_xlpm.nd)&gt;5,A325&amp;"¦"&amp;INDEX(_xlpm.nd,5)&amp;"¦"&amp;INDEX(_xlpm.nd,6),"")))</f>
        <v/>
      </c>
      <c r="HP325" t="str">
        <f t="shared" si="720"/>
        <v/>
      </c>
      <c r="HQ325" t="str" cm="1">
        <f t="array" ref="HQ325">IF(HF325="","",_xlfn.LET(_xlpm.nd,_xlfn.TEXTSPLIT(HF325,"|"),IF(COLUMNS(_xlpm.nd)&gt;6,A325&amp;"¦"&amp;INDEX(_xlpm.nd,6)&amp;"¦"&amp;INDEX(_xlpm.nd,7),"")))</f>
        <v/>
      </c>
      <c r="HR325" t="str">
        <f t="shared" si="721"/>
        <v/>
      </c>
      <c r="HS325" t="str">
        <f t="shared" si="722"/>
        <v/>
      </c>
      <c r="HT325" t="str">
        <f t="shared" si="723"/>
        <v/>
      </c>
      <c r="HU325">
        <f t="shared" si="724"/>
        <v>0</v>
      </c>
      <c r="HV325">
        <f t="shared" si="725"/>
        <v>0</v>
      </c>
      <c r="HW325" t="str">
        <f t="shared" si="726"/>
        <v/>
      </c>
      <c r="HX325" t="str">
        <f t="shared" si="727"/>
        <v/>
      </c>
      <c r="HY325" t="str">
        <f t="shared" si="728"/>
        <v/>
      </c>
      <c r="HZ325" t="str">
        <f t="shared" si="729"/>
        <v/>
      </c>
      <c r="IA325">
        <f>IF(B325="","",IFERROR(VLOOKUP(B325,УГО_спр,2,FALSE),IFERROR(VLOOKUP(AX325,УГО_спр,2,FALSE),IFERROR(VLOOKUP(LEFT(AX325,2),УГО_спр,2,FALSE),""))))</f>
        <v>0</v>
      </c>
      <c r="IB325" t="str">
        <f>IF(B325="","",IF(OR(IA325="",IA325=0),"BOX",IFERROR(IF(VLOOKUP(IA325,УГО_блоки,3,FALSE)&amp;""&lt;&gt;"",VLOOKUP(IA325,УГО_блоки,3,FALSE),VLOOKUP(IA325,УГО_блоки,2,FALSE)),IA325)))</f>
        <v>BOX</v>
      </c>
      <c r="IC325">
        <f t="shared" si="730"/>
        <v>1</v>
      </c>
      <c r="ID325" t="str">
        <f>IF(DA325="","",IF(COUNTIF(DA$3:DA325,DA325)=1,MAX(ID$2:ID324)+1,""))</f>
        <v/>
      </c>
      <c r="IE325" t="str">
        <f>IF(CO325="","",IF(COUNTIF(CO$3:CO325,CO325)+COUNTIF(CP$2:CP324,CO325)+COUNTIF(CQ$2:CQ324,CO325)=1,MAX(IE$2:IG324)+1,""))</f>
        <v/>
      </c>
      <c r="IF325" t="str">
        <f>IF(CP325="","",IF(COUNTIF(CO$3:CO325,CP325)+COUNTIF(CP$3:CP325,CP325)+COUNTIF(CQ$2:CQ324,CP325)=1,MAX(IE$2:IG324,IE325)+1,""))</f>
        <v/>
      </c>
      <c r="IG325" t="str">
        <f>IF(CQ325="","",IF(COUNTIF(CO$3:CO325,CQ325)+COUNTIF(CP$3:CP325,CQ325)+COUNTIF(CQ$3:CQ325,CQ325)=1,MAX(IE$2:IG324,IE325,IF325)+1,""))</f>
        <v/>
      </c>
      <c r="IH325" t="str">
        <f t="shared" si="731"/>
        <v/>
      </c>
      <c r="II325" t="str">
        <f>IF(IH325="","",IF(COUNTIF(IH$3:IH325,IH325)=1,MAX(II$2:II324)+1,""))</f>
        <v/>
      </c>
      <c r="IJ325" t="str">
        <f>IF(GL325="","",COUNTIF(GL$3:GL325,"?*"))</f>
        <v/>
      </c>
      <c r="IK325" t="str">
        <f>IF(OR(GL325="",GN325=""),"",IF(COUNTIFS(GL$3:GL325,"?*",GN$3:GN325,GN325)=1,MAX(IK$2:IK324)+1,""))</f>
        <v/>
      </c>
      <c r="IL325">
        <f t="shared" si="732"/>
        <v>0</v>
      </c>
      <c r="IM325">
        <f>IF(B325="","",COUNTIF(B$3:B325,"?*"))</f>
        <v>323</v>
      </c>
      <c r="IN325">
        <f>IF(GQ325&lt;&gt;1,0,_xlfn.LET(_xlpm.k,MAX(IFERROR(--VLOOKUP(B325,УГО_спр,5,FALSE),0),IFERROR(--VLOOKUP(AX325,УГО_спр,5,FALSE),0),IFERROR(--VLOOKUP(LEFT(AX325,2),УГО_спр,5,FALSE),0)),IF(_xlpm.k&gt;0,_xlpm.k,IF(IFERROR(--LEFT(SUBSTITUTE(IH325,"x","х"),FIND("х",SUBSTITUTE(IH325,"x","х"))-1),3)&gt;3,Каталог!$S$9,1))))</f>
        <v>0</v>
      </c>
      <c r="IO325">
        <f t="shared" si="733"/>
        <v>0</v>
      </c>
      <c r="IP325" t="str">
        <f t="shared" si="734"/>
        <v>авто</v>
      </c>
      <c r="IQ325" t="str">
        <f t="shared" si="735"/>
        <v/>
      </c>
      <c r="IR325">
        <f t="shared" si="736"/>
        <v>0</v>
      </c>
      <c r="IS325">
        <f t="shared" si="737"/>
        <v>1</v>
      </c>
    </row>
    <row r="326" spans="1:253" x14ac:dyDescent="0.3">
      <c r="A326" t="s">
        <v>767</v>
      </c>
      <c r="B326" t="s">
        <v>1587</v>
      </c>
      <c r="C326" t="str">
        <f>Линии[[#This Row],[_авто наименование]]</f>
        <v>Насос дренажный, пом. 002Тб</v>
      </c>
      <c r="D326">
        <v>1</v>
      </c>
      <c r="E326">
        <v>0.6</v>
      </c>
      <c r="G326">
        <v>16</v>
      </c>
      <c r="H326" t="str">
        <f>Линии[[#This Row],[_авто утечка]]</f>
        <v/>
      </c>
      <c r="I326" t="str">
        <f>Линии[[#This Row],[_авто управление]]</f>
        <v/>
      </c>
      <c r="J326" t="str">
        <f>Линии[[#This Row],[_авто аппараты]]</f>
        <v/>
      </c>
      <c r="K326">
        <v>2.5</v>
      </c>
      <c r="L326">
        <v>34</v>
      </c>
      <c r="M326">
        <v>1</v>
      </c>
      <c r="N326" t="str">
        <f>Линии[[#This Row],[_авто клемма]]</f>
        <v>XT1</v>
      </c>
      <c r="O326" t="str">
        <f t="shared" si="615"/>
        <v/>
      </c>
      <c r="P326" s="6" cm="1">
        <f t="array" ref="P326">IF(B326="","",IF(BC326&lt;&gt;"",IFERROR(_xlfn.XLOOKUP(BC326,Щиты[Щит],Щиты[Iр, А]),""),IF(BK326=1,IFERROR(_xlfn.XLOOKUP(A326,Щиты[Щит],Щиты[Iр, А]),""),IFERROR(_xlfn.IFS(BR326=1,BN326/((Uн_лин/SQRT(3))*BY326),BR326=3,BN326/(SQRT(3)*Uн_лин*BY326)),""))))</f>
        <v>3.2475952641916441</v>
      </c>
      <c r="Q326" s="7">
        <f>IF(B326="","",IFERROR(IF(VLOOKUP(AX326,Потребители_обозначение,4,FALSE)=1,VLOOKUP(AX326,Потребители_обозначение,3,FALSE)*(D326*2-1)+DS326+VLOOKUP(AZ326,Этаж_обозначение,3,FALSE)+VLOOKUP(AZ326,Этаж_обозначение,4,FALSE),VLOOKUP(AX326,Потребители_обозначение,3,FALSE)*(D326*2-1)+DS326),DS326))</f>
        <v>37</v>
      </c>
      <c r="R326" s="6">
        <f t="shared" si="616"/>
        <v>2.6</v>
      </c>
      <c r="S326" t="str">
        <f t="shared" si="617"/>
        <v>ВВГнг(А)-LS (3х2,5)</v>
      </c>
      <c r="T326" t="str">
        <f>IF(BH326="","",IF(BI326="вводной узел","узел ","")&amp;"л."&amp;(INT((BH326-1)/Столбцов_на_лист)+1)&amp;" / "&amp;(MOD(BH326-1,Столбцов_на_лист)+1))</f>
        <v>л.2 / 1</v>
      </c>
      <c r="V326">
        <v>1</v>
      </c>
      <c r="W326">
        <v>230</v>
      </c>
      <c r="X326" t="s">
        <v>600</v>
      </c>
      <c r="Y326">
        <v>0.7</v>
      </c>
      <c r="AC326" t="s">
        <v>815</v>
      </c>
      <c r="AE326" t="s">
        <v>606</v>
      </c>
      <c r="AI326">
        <v>18</v>
      </c>
      <c r="AJ326" t="s">
        <v>11</v>
      </c>
      <c r="AK326">
        <v>3</v>
      </c>
      <c r="AM326">
        <v>23</v>
      </c>
      <c r="AN326">
        <v>5</v>
      </c>
      <c r="AO326">
        <v>0</v>
      </c>
      <c r="AP326">
        <v>1</v>
      </c>
      <c r="AW326" cm="1">
        <f t="array" ref="AW326">ROW()-ROW(Линии[#Headers])</f>
        <v>324</v>
      </c>
      <c r="AX326" s="6" t="str">
        <f t="shared" si="618"/>
        <v>НВК</v>
      </c>
      <c r="AY326" t="str">
        <f t="shared" si="619"/>
        <v>00.002Тб.3</v>
      </c>
      <c r="AZ326" t="str">
        <f t="shared" si="620"/>
        <v>00</v>
      </c>
      <c r="BA326" t="str">
        <f t="shared" si="621"/>
        <v>002Тб.3</v>
      </c>
      <c r="BB326" t="str">
        <f t="shared" si="622"/>
        <v>002Тб</v>
      </c>
      <c r="BC326" t="str">
        <f>IF(U326&lt;&gt;"",U326,IF(AND(B326&lt;&gt;"",B326&lt;&gt;A326,ISNUMBER(_xlfn.XMATCH(B326,Щиты[Щит]))),B326,""))</f>
        <v/>
      </c>
      <c r="BD326" t="str" cm="1">
        <f t="array" ref="BD326">IF(B326="","",IF(BC326&lt;&gt;"","Щит "&amp;BC326,_xlfn.LET(_xlpm.nm,IFERROR(_xlfn.XLOOKUP(AX326,Коды_код,Коды_имя)&amp;"",""),_xlpm.md,IFERROR(N(_xlfn.XLOOKUP(AX326,Коды_код,Коды_режим)),1),_xlpm.ex,IF(Имя_режим="по экспликации",IFERROR(_xlfn.XLOOKUP(AZ326&amp;"|"&amp;BB326,Экспликация[Этаж]&amp;"|"&amp;Экспликация[Помещение],Экспликация[Название])&amp;"",""),""),_xlpm.rm,IF(BB326="","",IF(_xlpm.ex&lt;&gt;"",". "&amp;_xlpm.ex&amp;IF(Имя_пом="нет"," ("&amp;BB326&amp;")"," (пом. "&amp;BB326&amp;")"),IF(Имя_пом="нет"," ",", пом. ")&amp;BB326)),IF(_xlpm.nm="","",IF(_xlpm.md=2,_xlpm.nm&amp;" шлейф "&amp;AZ326,_xlpm.nm&amp;_xlpm.rm)))))</f>
        <v>Насос дренажный, пом. 002Тб</v>
      </c>
      <c r="BE326" t="str">
        <f t="shared" si="623"/>
        <v>Насос дренажный, пом. 002Тб</v>
      </c>
      <c r="BF326">
        <f>IFERROR(_xlfn.XMATCH(A326,Щиты[Щит]),0)</f>
        <v>14</v>
      </c>
      <c r="BG326">
        <f>_xlfn.LET(_xlpm.k,IFERROR(_xlfn.XLOOKUP(A326,Щиты[Щит],Щиты[Листов под вводной узел]),""),IF(_xlpm.k="",1,N(_xlpm.k))*Столбцов_на_лист)</f>
        <v>17</v>
      </c>
      <c r="BH326">
        <f t="shared" si="624"/>
        <v>18</v>
      </c>
      <c r="BI326" t="str">
        <f t="shared" si="625"/>
        <v>линии</v>
      </c>
      <c r="BJ326" s="6">
        <f>IFERROR(N(_xlfn.XLOOKUP(AX326,Коды_код,Коды_квт)),0)</f>
        <v>0</v>
      </c>
      <c r="BK326">
        <f t="shared" si="626"/>
        <v>0</v>
      </c>
      <c r="BL326" t="str">
        <f>IF(B326="","",IF(BC326&lt;&gt;"",IFERROR(_xlfn.XLOOKUP(BC326,Щиты[Щит],Щиты[Руст, кВт]),0),IF(BK326=1,IFERROR(_xlfn.XLOOKUP(A326,Щиты[Щит],Щиты[Руст, кВт]),0),IF(BJ326&gt;0,ROUND(BJ326*MAX(1,N(D326)),3),""))))</f>
        <v/>
      </c>
      <c r="BM326">
        <f t="shared" si="627"/>
        <v>0.6</v>
      </c>
      <c r="BN326" s="6">
        <f>IF(B326="","",IF(BC326&lt;&gt;"",IFERROR(_xlfn.XLOOKUP(BC326,Щиты[Щит],Щиты[Руст, кВт]),0),N(BM326)))</f>
        <v>0.6</v>
      </c>
      <c r="BO326" t="str">
        <f>IF(B326="","",IFERROR(IF(VLOOKUP(AX326,Потребители_обозначение,8,FALSE)=0,"",VLOOKUP(AX326,Потребители_обозначение,8,FALSE)),""))</f>
        <v/>
      </c>
      <c r="BP326">
        <f t="shared" si="628"/>
        <v>230</v>
      </c>
      <c r="BQ326">
        <f>IF(B326="","",IF(BC326&lt;&gt;"",3,IFERROR(IF(N(VLOOKUP(AX326,Потребители_обозначение,9,FALSE))=0,1,VLOOKUP(AX326,Потребители_обозначение,9,FALSE)),1)))</f>
        <v>1</v>
      </c>
      <c r="BR326">
        <f t="shared" si="629"/>
        <v>1</v>
      </c>
      <c r="BS326" t="str">
        <f>IF(B326="","",_xlfn.LET(_xlpm.bc,IFERROR(IF(VLOOKUP(AX326,Потребители_обозначение,6,FALSE)=0,"",VLOOKUP(AX326,Потребители_обозначение,6,FALSE)&amp;""),""),IF(AND(FK326="да",OR(_xlpm.bc="",_xlpm.bc="мс")),Марка_пож,IF(AND(_xlpm.bc="",BC326&lt;&gt;""),"мс",_xlpm.bc))))</f>
        <v/>
      </c>
      <c r="BT326" t="str">
        <f t="shared" si="630"/>
        <v>мс</v>
      </c>
      <c r="BU326">
        <f>IF(B326="","",_xlfn.LET(_xlpm.cc,IFERROR(N(VLOOKUP(AX326,Потребители_обозначение,7,FALSE)),0),IF(_xlpm.cc&gt;0,_xlpm.cc,IF(BT326="","",IF(N(BR326)=3,5,3)))))</f>
        <v>3</v>
      </c>
      <c r="BV326">
        <f t="shared" si="631"/>
        <v>3</v>
      </c>
      <c r="BW326">
        <f>IFERROR(N(VLOOKUP(AX326,Потребители_обозначение,10,FALSE)),0)</f>
        <v>0</v>
      </c>
      <c r="BX326">
        <f>IFERROR(VLOOKUP(AX326,Потребители_обозначение,5,FALSE),0)</f>
        <v>1</v>
      </c>
      <c r="BY326" s="6" cm="1">
        <f t="array" ref="BY326">IF(B326="","",IF(BC326&lt;&gt;"",IFERROR(_xlfn.XLOOKUP(BC326,Щиты[Щит],Щиты[cos φ]),0.95),IF(BK326=1,IFERROR(_xlfn.XLOOKUP(A326,Щиты[Щит],Щиты[cos φ]),0.95),IF(ISNUMBER(Z326),Z326,IFERROR(IF(BX326=2,_xlfn.IFS(BR326=3,VLOOKUP(BN326,Справочная_двигатели,8,FALSE),BR326=1,VLOOKUP(BN326,Справочная_двигатели,10,TRUE)),IF(AND(Методика="нормы 2026",EQ326="Сил"),0.8,0.95)),0.95)))))</f>
        <v>0.8</v>
      </c>
      <c r="BZ326">
        <f t="shared" si="632"/>
        <v>0</v>
      </c>
      <c r="CA326">
        <f t="shared" si="633"/>
        <v>1</v>
      </c>
      <c r="CB326">
        <f t="shared" si="634"/>
        <v>0</v>
      </c>
      <c r="CC326">
        <f t="shared" si="635"/>
        <v>0</v>
      </c>
      <c r="CD326">
        <f t="shared" si="636"/>
        <v>0</v>
      </c>
      <c r="CE326">
        <f t="shared" si="637"/>
        <v>0</v>
      </c>
      <c r="CF326">
        <f t="shared" si="638"/>
        <v>0</v>
      </c>
      <c r="CG326">
        <f>IF(AX326="",0,_xlfn.LET(_xlpm.v,IFERROR(VLOOKUP(B326,УГО_спр,3,FALSE),IFERROR(VLOOKUP(AX326,УГО_спр,3,FALSE),IFERROR(VLOOKUP(LEFT(AX326,2),УГО_спр,3,FALSE),""))),IF(_xlpm.v="да",30,IF(ISNUMBER(_xlpm.v),_xlpm.v,0))))</f>
        <v>0</v>
      </c>
      <c r="CH326" t="str">
        <f t="shared" si="639"/>
        <v/>
      </c>
      <c r="CI326" t="str">
        <f>_xlfn.LET(_xlpm.k,IFERROR(_xlfn.XLOOKUP(AX326,Коды_код,Коды_утечка)&amp;"",""),IF(_xlpm.k="","дифавтомат",_xlpm.k))</f>
        <v>дифавтомат</v>
      </c>
      <c r="CJ326">
        <f t="shared" si="640"/>
        <v>0</v>
      </c>
      <c r="CK326">
        <f t="shared" si="641"/>
        <v>0</v>
      </c>
      <c r="CL326">
        <f>IF(B326="",0,IFERROR(--VLOOKUP(B326,УГО_спр,4,FALSE),IFERROR(--VLOOKUP(AX326,УГО_спр,4,FALSE),IFERROR(--VLOOKUP(LEFT(AX326,2),УГО_спр,4,FALSE),0))))</f>
        <v>0</v>
      </c>
      <c r="CM326" t="str">
        <f>IF(B326="","",IFERROR(_xlfn.XLOOKUP(AX326,Коды_код,Коды_апп)&amp;"",""))</f>
        <v/>
      </c>
      <c r="CN326" t="str">
        <f t="shared" si="642"/>
        <v/>
      </c>
      <c r="CO326" t="str" cm="1">
        <f t="array" ref="CO326">IF(TRIM(CN326&amp;"")="","",IFERROR(TRIM(INDEX(_xlfn.TEXTSPLIT(CN326&amp;";;;",";"),1)),""))</f>
        <v/>
      </c>
      <c r="CP326" t="str" cm="1">
        <f t="array" ref="CP326">IF(TRIM(CN326&amp;"")="","",IFERROR(TRIM(INDEX(_xlfn.TEXTSPLIT(CN326&amp;";;;",";"),2)),""))</f>
        <v/>
      </c>
      <c r="CQ326" t="str" cm="1">
        <f t="array" ref="CQ326">IF(TRIM(CN326&amp;"")="","",IFERROR(TRIM(INDEX(_xlfn.TEXTSPLIT(CN326&amp;";;;",";"),3)),""))</f>
        <v/>
      </c>
      <c r="CR326">
        <f t="shared" si="643"/>
        <v>0</v>
      </c>
      <c r="CS326" t="str">
        <f>IF(B326="","",_xlfn.LET(_xlpm.t,LOWER(AV326&amp;""),IF(ISNUMBER(SEARCH("dim",_xlpm.t)),"DIM",IF(ISNUMBER(SEARCH("dali",_xlpm.t)),"DALI",IF(OR(ISNUMBER(SEARCH("relay",_xlpm.t)),ISNUMBER(SEARCH("реле",_xlpm.t))),"Relay",IF(ISNUMBER(SEARCH("кнопк",_xlpm.t)),"",IFERROR(_xlfn.XLOOKUP(AX326,Коды_код,Коды_упр)&amp;"","")))))))</f>
        <v/>
      </c>
      <c r="CT326" t="str">
        <f t="shared" si="644"/>
        <v/>
      </c>
      <c r="CU326">
        <f>IF(B326="","",_xlfn.LET(_xlpm.ig,N(P326)+IF(AF326="вручную",0,N(CB326)),_xlpm.n0,IFERROR(VLOOKUP(_xlpm.ig,Автомат_номиналы,2,TRUE),0),_xlpm.mn,MAX(CL326,IF(AF326="вручную",0,N(CE326))),MAX(_xlpm.n0,_xlpm.mn,IF(CR326=1,Мин_автомат_БП,0))))</f>
        <v>6</v>
      </c>
      <c r="CV326">
        <f t="shared" si="645"/>
        <v>1</v>
      </c>
      <c r="CW326" t="str">
        <f t="shared" si="646"/>
        <v>1P</v>
      </c>
      <c r="CX326" t="str">
        <f>_xlfn.LET(_xlpm.cc,UPPER(TRIM(IFERROR(_xlfn.XLOOKUP(AX326,Коды_код,Коды_хар)&amp;"",""))),IF(OR(_xlpm.cc="B",_xlpm.cc="В"),"B",IF(_xlpm.cc="D","D","С")))</f>
        <v>С</v>
      </c>
      <c r="CY326" t="str">
        <f t="shared" si="647"/>
        <v>1P С6А</v>
      </c>
      <c r="CZ326">
        <f t="shared" si="648"/>
        <v>16</v>
      </c>
      <c r="DA326" t="str">
        <f t="shared" si="649"/>
        <v>1P С16А</v>
      </c>
      <c r="DB326" cm="1">
        <f t="array" ref="DB326">IF(DA326="","",_xlfn.LET(_xlpm.t,SUBSTITUTE(SUBSTITUTE(SUBSTITUTE(UPPER(DA326),"С","C"),"А","A"),"В","B"),_xlpm.tk,_xlfn.TEXTSPLIT(_xlpm.t,"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6" t="str">
        <f t="shared" si="650"/>
        <v>ok</v>
      </c>
      <c r="DD326">
        <f t="shared" si="651"/>
        <v>16</v>
      </c>
      <c r="DE326" t="str">
        <f t="shared" si="652"/>
        <v>1P С16А</v>
      </c>
      <c r="DF326">
        <f t="shared" si="653"/>
        <v>0</v>
      </c>
      <c r="DG326">
        <f t="shared" si="654"/>
        <v>0</v>
      </c>
      <c r="DH326">
        <f t="shared" si="655"/>
        <v>0</v>
      </c>
      <c r="DI326">
        <f t="shared" si="656"/>
        <v>3.2475952641916441</v>
      </c>
      <c r="DJ326">
        <f t="shared" si="657"/>
        <v>1</v>
      </c>
      <c r="DK326">
        <f>IF(ISNUMBER(AL326),AL326,К_прокл)</f>
        <v>1</v>
      </c>
      <c r="DL326">
        <f t="shared" si="658"/>
        <v>2</v>
      </c>
      <c r="DM326">
        <f>IFERROR(N(VLOOKUP(BT326,Кабель_обозначение,3,FALSE)),1)</f>
        <v>1</v>
      </c>
      <c r="DN326">
        <f>IFERROR(N(_xlfn.XLOOKUP(A326,Щиты[Щит],Щиты[ΔU до шин, %])),0)</f>
        <v>1.84</v>
      </c>
      <c r="DO326" t="str">
        <f>IFERROR(_xlfn.XLOOKUP(A326,Щиты[Щит],Щиты[Zпетли на шинах, Ом]),"")</f>
        <v/>
      </c>
      <c r="DP326">
        <f>IFERROR(N(_xlfn.XLOOKUP(A326,Щиты[Щит],Щиты[ΔU до шин (подбор), %])),0)</f>
        <v>4.8499999999999996</v>
      </c>
      <c r="DQ326" t="str">
        <f>IFERROR(_xlfn.XLOOKUP(A326,Щиты[Щит],Щиты[Zпетли на шинах (подбор), Ом]),"")</f>
        <v/>
      </c>
      <c r="DR326" t="str">
        <f t="shared" si="659"/>
        <v/>
      </c>
      <c r="DS326">
        <f t="shared" si="660"/>
        <v>34</v>
      </c>
      <c r="DT326">
        <f t="shared" si="661"/>
        <v>2</v>
      </c>
      <c r="DU326">
        <f t="shared" si="662"/>
        <v>0.6</v>
      </c>
      <c r="DV326" s="6">
        <f>IF(B326="","",IF(IFERROR(VLOOKUP(AX326,УГО_спр,2,FALSE),"")="Светильник",3,4)+IF(Методика="нормы 2026",MIN(0.5,MAX(0,N(Q326)-100)*0.005),0))</f>
        <v>4</v>
      </c>
      <c r="DW326" t="str" cm="1">
        <f t="array" ref="DW326">IF(OR(B326="",BT326="",DM326&lt;&gt;1),"",_xlfn.LET(_xlpm.sz,Iдоп_S,_xlpm.t_,CHOOSE(DL326,Iдоп_1ж,Iдоп_2ж,Iдоп_3ж)*DJ326*DK326,_xlpm.inn,N(DD326),_xlpm.smin,MAX(1.5,BW326),_xlpm.L_,N(Q326)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326)*(_xlpm.rho*_xlpm.L_/_xlpm.sz*N(BY326)+_xlpm.xx*_xlpm.L_*N(DU326)/1000)*N(P326)/((Uн_лин/SQRT(3))*1000)*100,999),_xlpm.kz,IF(OR(DG326=1,NOT(ISNUMBER(DQ326)),_xlpm.L_=0,_xlpm.inn=0),1,IFERROR(--(c_min*(Uн_лин*1000/SQRT(3))/(DQ326+2*ρкз_Cu*_xlpm.L_/_xlpm.sz)&gt;=GY326*_xlpm.inn),0)),_xlpm.ok,IFERROR((_xlpm.sz&gt;=_xlpm.smin)*(_xlpm.t_&gt;=_xlpm.inn)*IF(_xlpm.L_&gt;0,(_xlpm.du_+DP326&lt;=DV326+0.00001),1)*_xlpm.kz,0),_xlpm.r_,_xlfn._xlws.FILTER(_xlpm.sz,_xlpm.ok,"не подобрано"),INDEX(_xlpm.r_,1)))</f>
        <v>не подобрано</v>
      </c>
      <c r="DX326">
        <f t="shared" si="663"/>
        <v>2.5</v>
      </c>
      <c r="DY326" cm="1">
        <f t="array" ref="DY326">IF(OR(B326="",BT326="",DM326&lt;&gt;1),"",_xlfn.LET(_xlpm.sz,Iдоп_S,_xlpm.t_,CHOOSE(DL326,Iдоп_1ж,Iдоп_2ж,Iдоп_3ж)*DJ326*DK326,_xlpm.ok,IFERROR((_xlpm.sz&gt;=MAX(1.5,BW326))*(_xlpm.t_&gt;=N(DD326)),0),_xlpm.r_,_xlfn._xlws.FILTER(_xlpm.sz,_xlpm.ok,""),INDEX(_xlpm.r_,1)))</f>
        <v>1.5</v>
      </c>
      <c r="DZ326" s="6" cm="1">
        <f t="array" ref="DZ326">IFERROR(ROUNDUP(N(DT326)*(_xlfn.XLOOKUP(DY326,INDEX(Кабель_сопротивление,0,1),INDEX(Кабель_сопротивление,0,3))*N(Q326)/DY326*N(BY326)+_xlfn.XLOOKUP(DY326,INDEX(Кабель_сопротивление,0,1),INDEX(Кабель_сопротивление,0,2))*N(Q326)*N(DU326)/1000)*N(P326)/((Uн_лин/SQRT(3))*1000)*100,2),"")</f>
        <v>1.26</v>
      </c>
      <c r="EA326">
        <f>IFERROR(2*ρкз_Cu*N(Q326)/DY326,"")</f>
        <v>1.2974666666666665</v>
      </c>
      <c r="EB326">
        <f>IFERROR(VLOOKUP(DX326,Кабель_сопротивление,3,FALSE),"")</f>
        <v>2.2499999999999999E-2</v>
      </c>
      <c r="EC326">
        <f>IFERROR(VLOOKUP(DX326,Кабель_сопротивление,2,FALSE),"")</f>
        <v>0.1</v>
      </c>
      <c r="ED326">
        <f t="shared" si="664"/>
        <v>5</v>
      </c>
      <c r="EE326">
        <f t="shared" si="665"/>
        <v>0</v>
      </c>
      <c r="EF326">
        <f t="shared" si="666"/>
        <v>1.744738079734319</v>
      </c>
      <c r="EG326" s="6">
        <f>IFERROR(ROUNDUP(EF326/((Uн_лин/SQRT(3))*1000)*100,2),"")</f>
        <v>0.76</v>
      </c>
      <c r="EH326" t="str">
        <f>IFERROR(VLOOKUP(BT326,Кабель_обозначение,2,FALSE),"")</f>
        <v>ВВГнг(А)-LS</v>
      </c>
      <c r="EI326" t="str">
        <f t="shared" si="667"/>
        <v>ВВГнг(А)-LS (3х2,5)</v>
      </c>
      <c r="EJ326" t="str">
        <f t="shared" si="668"/>
        <v>ВВГнг(А)-LS (3х2,5)
L=37-0,76%</v>
      </c>
      <c r="EK326">
        <f>IFERROR(2*ρкз_Cu*Q326/DX326,"")</f>
        <v>0.77847999999999995</v>
      </c>
      <c r="EL326">
        <f t="shared" si="669"/>
        <v>0.25900000000000001</v>
      </c>
      <c r="EM326" s="6" t="str">
        <f>IFERROR(IF(OR(B326="",NOT(ISNUMBER(DX326)),N(Q326)=0),"",_xlfn.XLOOKUP(A326,Щиты[Щит],Щиты[Zпетли на шинах, Ом])+EK326),"")</f>
        <v/>
      </c>
      <c r="EN326" s="6" t="str">
        <f>IF(ISNUMBER(EM326),c_min*(Uн_лин*1000/SQRT(3))/EM326,"")</f>
        <v/>
      </c>
      <c r="EO326" s="6" t="str">
        <f>IFERROR(IF(OR(B326="",NOT(ISNUMBER(DX326))),"",1.05*(Uн_лин*1000/SQRT(3))/(_xlfn.XLOOKUP(A326,Щиты[Щит],Щиты[Zmax на шинах, Ом])+EL326)/1000),"")</f>
        <v/>
      </c>
      <c r="EP326" s="6" t="str">
        <f>IF(B326="","",IF(ISNUMBER(Y326),"Сил",IF(IFERROR(_xlfn.XLOOKUP(AX326,Коды_код,Коды_группа)&amp;"","")="","Быт",_xlfn.XLOOKUP(AX326,Коды_код,Коды_группа)&amp;"")))</f>
        <v>Сил</v>
      </c>
      <c r="EQ326" s="6" t="str">
        <f t="shared" si="670"/>
        <v>Сил</v>
      </c>
      <c r="ER326" s="6">
        <f>IF(EQ326="Щит","щит",IF(EQ326="","",IF(EQ326="Быт",IFERROR(_xlfn.XLOOKUP(A326,Щиты[Щит],Щиты[Кс быт]),1),IF(EQ326="Сил",IF(ISNUMBER(Y326),Y326,IF(Методика="нормы 2026",IFERROR(_xlfn.XLOOKUP(A326,Щиты[Щит],Щиты[Кс силовых (табл. 7.5)]),1),1)),IF(OR(EQ326="Пост",EQ326="Отоп"),1,IF(EQ326="ВНГ",0.7,0))))))</f>
        <v>0.7</v>
      </c>
      <c r="ES326">
        <f t="shared" si="671"/>
        <v>1</v>
      </c>
      <c r="ET326">
        <f t="shared" si="672"/>
        <v>0.6</v>
      </c>
      <c r="EU326">
        <f t="shared" si="673"/>
        <v>0</v>
      </c>
      <c r="EV326">
        <f t="shared" si="674"/>
        <v>0.42</v>
      </c>
      <c r="EW326">
        <f t="shared" si="675"/>
        <v>0</v>
      </c>
      <c r="EX326">
        <f t="shared" si="676"/>
        <v>0</v>
      </c>
      <c r="EY326">
        <f t="shared" si="677"/>
        <v>0</v>
      </c>
      <c r="EZ326">
        <f t="shared" si="678"/>
        <v>0.6</v>
      </c>
      <c r="FA326">
        <f t="shared" si="679"/>
        <v>0.48</v>
      </c>
      <c r="FB326">
        <f t="shared" si="680"/>
        <v>0.6</v>
      </c>
      <c r="FC326" t="str">
        <f t="shared" si="681"/>
        <v>L1</v>
      </c>
      <c r="FD326" t="str">
        <f>IF(B326="","",IF(CA326=0,IF(AW326=1,"",FF325),IF(OR(N(CV326)&gt;=3,N(BR326)&gt;=3),"L1,L2,L3",IFERROR(_xlfn.TEXTBEFORE(_xlfn.TEXTAFTER(_xlfn.XLOOKUP(A326,Щиты[Щит],Щиты[_фазы авто]),";"&amp;AW326&amp;":"),";"),"L1"))))</f>
        <v>L1</v>
      </c>
      <c r="FE326" t="str">
        <f t="shared" si="682"/>
        <v>L1</v>
      </c>
      <c r="FF326" t="str">
        <f t="shared" si="683"/>
        <v>L1</v>
      </c>
      <c r="FG326" cm="1">
        <f t="array" ref="FG326">IFERROR(IF(BX326=2,_xlfn.IFS(BR326=3,VLOOKUP(BN326,Справочная_двигатели,3,FALSE),BR326=1,VLOOKUP(BN326,Справочная_двигатели,5,TRUE)),0),0)</f>
        <v>0</v>
      </c>
      <c r="FH326">
        <f>IFERROR(IF(BX326=3,VLOOKUP(BN326,Справочная_ЛЭД,2,TRUE),0),0)</f>
        <v>0</v>
      </c>
      <c r="FI326" s="6">
        <f t="shared" si="684"/>
        <v>0</v>
      </c>
      <c r="FJ326" t="str" cm="1">
        <f t="array" ref="FJ326">IF(B326="","",IFERROR(INDEX({"I особая","I","II","III"},MATCH(TRIM(AC326&amp;""),{"I особая","I","II","III"},0)),"III"))</f>
        <v>II</v>
      </c>
      <c r="FK326" t="str">
        <f>IF(B326="","",IF(TRIM(AD326&amp;"")&lt;&gt;"",IF(LOWER(TRIM(AD326&amp;""))="да","да","нет"),IF(IFERROR(_xlfn.XLOOKUP(AX326,Коды_код,Коды_пожарная),"")="да","да","нет")))</f>
        <v>нет</v>
      </c>
      <c r="FL326" t="str">
        <f t="shared" si="685"/>
        <v/>
      </c>
      <c r="FM326" t="str">
        <f t="shared" si="686"/>
        <v>основная</v>
      </c>
      <c r="FN326">
        <f t="shared" si="687"/>
        <v>1</v>
      </c>
      <c r="FO326" t="str" cm="1">
        <f t="array" ref="FO326">IF(B326="","",_xlfn.LET(_xlpm.t,IFERROR(_xlfn.XLOOKUP(1,(Шины[Шина]=FM326)*(((Шины[Щит]=A326)+(Шины[Щит]=""))&gt;0),Шины[Тип]),"")&amp;"",IF(_xlpm.t&lt;&gt;"",_xlpm.t,IF(ISNUMBER(SEARCH("ИБП",FM326)),"ИБП",IF(ISNUMBER(SEARCH("ДГУ",FM326)),"ДГУ","Ввод "&amp;FN326)))))</f>
        <v>Ввод 1</v>
      </c>
      <c r="FP326" t="str">
        <f t="shared" si="688"/>
        <v>Ввод 1</v>
      </c>
      <c r="FQ326" t="str">
        <f>IF(B326="","",IF(OR(FO326="ИБП",FO326="ДГУ"),"I особая",IF(FO326="Одиночная","III",_xlfn.XLOOKUP(A326,Щиты[Щит],Щиты[Категория шины «Ввод»],"III"))))</f>
        <v>II</v>
      </c>
      <c r="FR326">
        <f>IF(B326="",0,IFERROR(MATCH(FJ326,{"III","II","I","I особая"},0),1))</f>
        <v>2</v>
      </c>
      <c r="FS326">
        <f t="shared" si="689"/>
        <v>2</v>
      </c>
      <c r="FT326" t="str">
        <f>IF(B326="","",IF(FR326&gt;IFERROR(MATCH(FQ326,{"III","II","I","I особая"},0),1),"НЕ ОБЕСПЕЧЕНА","ОК"))</f>
        <v>ОК</v>
      </c>
      <c r="FU326" t="str">
        <f>IF(A326="","",_xlfn.XLOOKUP(A326,Щиты[Щит],Щиты[Путь],""))</f>
        <v>|ГРЩ-ЖД|ЩС-ВК.002|</v>
      </c>
      <c r="FV326" t="str">
        <f>IF(B326="","",IF(AE326&lt;&gt;"",AE326,IF(IFERROR(_xlfn.XLOOKUP(AX326,Коды_код,Коды_вид)&amp;"","")="","Прочее",_xlfn.XLOOKUP(AX326,Коды_код,Коды_вид)&amp;"")))</f>
        <v>Насосы (водоснабжение, дренаж)</v>
      </c>
      <c r="FW326">
        <f>IF(BH326="","",INT((BH326-1)/Столбцов_на_лист)+1)</f>
        <v>2</v>
      </c>
      <c r="FX326" t="str">
        <f t="shared" si="690"/>
        <v>ВВГнг(А)-LS (3х2,5) L=37-0,76%</v>
      </c>
      <c r="FY326">
        <f t="shared" si="691"/>
        <v>0.6</v>
      </c>
      <c r="FZ326">
        <f t="shared" si="692"/>
        <v>3.25</v>
      </c>
      <c r="GA326">
        <f t="shared" si="693"/>
        <v>1</v>
      </c>
      <c r="GB326">
        <f t="shared" si="694"/>
        <v>0</v>
      </c>
      <c r="GC326">
        <f t="shared" si="695"/>
        <v>1</v>
      </c>
      <c r="GD326">
        <f>IF(BH326="","",IF(AND(CA326=1,GC326=1),COUNTIFS(A$3:A326,A326,CA$3:CA326,1,GC$3:GC326,1),IF(OR(OR(AW326=1,A326&lt;&gt;A325),AF326="вручную",GC326=0),"",IF(AW326=1,"",GE325))))</f>
        <v>1</v>
      </c>
      <c r="GE326">
        <f t="shared" si="696"/>
        <v>1</v>
      </c>
      <c r="GF326">
        <f>IF(B326="","",IFERROR(LOOKUP(INDEX(CHOOSE(DL326,Iдоп_1ж,Iдоп_2ж,Iдоп_3ж),MATCH(DX326,Iдоп_S,0))*DJ326*DK326,{6,10,16,20,25,32,40,50,63,80,100,125,160,200,250,315,400,500,630}),""))</f>
        <v>25</v>
      </c>
      <c r="GG326" t="str">
        <f t="shared" si="697"/>
        <v>QF1</v>
      </c>
      <c r="GH326" t="str">
        <f t="shared" si="698"/>
        <v>QF1</v>
      </c>
      <c r="GI326" t="str">
        <f t="shared" si="699"/>
        <v/>
      </c>
      <c r="GJ326">
        <f t="shared" si="700"/>
        <v>0</v>
      </c>
      <c r="GK326" t="str">
        <f>IF(OR(AG326="",AG326="-"),"",IFERROR(VLOOKUP(AG326,Модули_спр,2,FALSE),"R"))</f>
        <v/>
      </c>
      <c r="GL326" t="str">
        <f>IF(GK326="","",GK326&amp;"."&amp;COUNTIFS(A$3:A326,A326,GK$3:GK326,GK326))</f>
        <v/>
      </c>
      <c r="GM326" t="str">
        <f t="shared" si="701"/>
        <v/>
      </c>
      <c r="GN326" t="str">
        <f t="shared" si="702"/>
        <v/>
      </c>
      <c r="GO326" t="str">
        <f t="shared" si="703"/>
        <v/>
      </c>
      <c r="GP326" t="str">
        <f t="shared" si="704"/>
        <v/>
      </c>
      <c r="GQ326">
        <f t="shared" si="705"/>
        <v>1</v>
      </c>
      <c r="GR326" t="str">
        <f>IF(GQ326=1,"XT"&amp;COUNTIFS(A$3:A326,A326,GQ$3:GQ326,1),"")</f>
        <v>XT1</v>
      </c>
      <c r="GS326" t="str">
        <f t="shared" si="706"/>
        <v>XT1</v>
      </c>
      <c r="GT326" t="str">
        <f t="shared" si="707"/>
        <v>QF1</v>
      </c>
      <c r="GU326" t="str">
        <f t="shared" si="708"/>
        <v/>
      </c>
      <c r="GV326" t="str">
        <f t="shared" si="709"/>
        <v>ok</v>
      </c>
      <c r="GW326" t="str">
        <f>IF(OR(GO326="",GM326=""),"",IF(GO326&gt;IFERROR(VLOOKUP(GN326,Модули_спр,3,FALSE),99),"ЛИШНИЙ КАНАЛ",IF(AND(AH326&lt;&gt;"=",COUNTIFS(Линии[_модуль гр.],GM326,Линии[Канал (итог)],GO326,Линии[Канал],"&lt;&gt;=",Линии[Щит],A326)&gt;1),"ДУБЛЬ КАНАЛА","")))</f>
        <v/>
      </c>
      <c r="GX326" s="6" t="str">
        <f t="shared" si="710"/>
        <v/>
      </c>
      <c r="GY326">
        <f t="shared" si="711"/>
        <v>10</v>
      </c>
      <c r="GZ326" t="str">
        <f t="shared" si="712"/>
        <v/>
      </c>
      <c r="HA326" t="str">
        <f>IF(AND(B326="",GT326=""),"",_xlfn.TEXTJOIN("; ",TRUE,IF(AND(B326&lt;&gt;"",FE326=""),"нет фазы",""),IF(AND(B326&lt;&gt;"",N(FY326)=0,EQ326&lt;&gt;"Нет"),"нет мощности",""),IF(AND(GS326&lt;&gt;"",COUNTIFS(Линии[Щит],A326,Линии[Клемма (итог)],GS326)&gt;1),"дубль клеммы "&amp;GS326,""),IF(AND(GV326&lt;&gt;"",GV326&lt;&gt;"ok"),GV326,""),IF(GW326&lt;&gt;"",GW326,""),IF(AND(N(BV326)&gt;=4,N(BR326)=1),BV326&amp;" жил на 1 фазе",""),IF(AND(AX326="R",CA326=1,OR(N(CK326)=0,N(CK326)&gt;30)),"розетка без дифзащиты до 30 мА",""),IFERROR(IF(AND(ISNUMBER(R326),R326&gt;DV326),"потери "&amp;FIXED(R326,1)&amp;" % &gt; "&amp;DV326&amp;" %",""),""),IFERROR(IF(LEFT(GZ326,4)="мало","Iкз мало — отключение &gt; 0,4 с",""),""),IF(AND(B326&lt;&gt;"",BH326=""),"не на схеме",""),IF(AND(CA326=0,B326&lt;&gt;"",FE326&lt;&gt;"",IF(AW326=1,"",FF325)&lt;&gt;"",FE326&lt;&gt;IF(AW326=1,"",FF325)),"фаза не как у автомата группы ("&amp;IF(AW326=1,"",FF325)&amp;")","")))</f>
        <v/>
      </c>
      <c r="HB326" s="6">
        <f>IF(OR(CA326=0,DA326=""),"",_xlfn.LET(_xlpm.t,IFERROR(_xlfn.XLOOKUP(DA326,Каталог!$U$4:$U$500,Каталог!$G$4:$G$500),""),_xlpm.k,SEARCH("кА",_xlpm.t),IFERROR(--TRIM(RIGHT(SUBSTITUTE(MID(_xlpm.t,MAX(1,_xlpm.k-4),_xlpm.k-MAX(1,_xlpm.k-4))," ",REPT(" ",9)),5)),"")))</f>
        <v>6</v>
      </c>
      <c r="HC326" t="str">
        <f>IF(OR(HB326="",CA326=0),"",IF(_xlfn.XLOOKUP(A326,Щиты[Щит],Щиты[Iкз max на шинах, кА],"")="","",IF(HB326&lt;_xlfn.XLOOKUP(A326,Щиты[Щит],Щиты[Iкз max на шинах, кА]),"Icu "&amp;HB326&amp;" кА &lt; Iкз max","ok")))</f>
        <v/>
      </c>
      <c r="HD326" t="str">
        <f t="shared" si="713"/>
        <v/>
      </c>
      <c r="HE326" t="str">
        <f t="shared" si="714"/>
        <v>QF1|XT1</v>
      </c>
      <c r="HF326" t="str">
        <f t="shared" si="715"/>
        <v>QF1|XT1|кабель ВВГнг(А)-LS (3х2,5) → Насос дренажный, пом. 002Тб</v>
      </c>
      <c r="HG326" t="str" cm="1">
        <f t="array" ref="HG326">IF(HF326="","",_xlfn.LET(_xlpm.nd,_xlfn.TEXTSPLIT(HF326,"|"),IF(COLUMNS(_xlpm.nd)&gt;1,A326&amp;"¦"&amp;INDEX(_xlpm.nd,1)&amp;"¦"&amp;INDEX(_xlpm.nd,2),"")))</f>
        <v>ЩС-ВК.002¦QF1¦XT1</v>
      </c>
      <c r="HH326" t="str">
        <f t="shared" si="716"/>
        <v>НВК.00.002Тб.3¦Насос дренажный, пом. 002Тб</v>
      </c>
      <c r="HI326" t="str" cm="1">
        <f t="array" ref="HI326">IF(HF326="","",_xlfn.LET(_xlpm.nd,_xlfn.TEXTSPLIT(HF326,"|"),IF(COLUMNS(_xlpm.nd)&gt;2,A326&amp;"¦"&amp;INDEX(_xlpm.nd,2)&amp;"¦"&amp;INDEX(_xlpm.nd,3),"")))</f>
        <v>ЩС-ВК.002¦XT1¦кабель ВВГнг(А)-LS (3х2,5) → Насос дренажный, пом. 002Тб</v>
      </c>
      <c r="HJ326" t="str">
        <f t="shared" si="717"/>
        <v>НВК.00.002Тб.3¦Насос дренажный, пом. 002Тб</v>
      </c>
      <c r="HK326" t="str" cm="1">
        <f t="array" ref="HK326">IF(HF326="","",_xlfn.LET(_xlpm.nd,_xlfn.TEXTSPLIT(HF326,"|"),IF(COLUMNS(_xlpm.nd)&gt;3,A326&amp;"¦"&amp;INDEX(_xlpm.nd,3)&amp;"¦"&amp;INDEX(_xlpm.nd,4),"")))</f>
        <v/>
      </c>
      <c r="HL326" t="str">
        <f t="shared" si="718"/>
        <v/>
      </c>
      <c r="HM326" t="str" cm="1">
        <f t="array" ref="HM326">IF(HF326="","",_xlfn.LET(_xlpm.nd,_xlfn.TEXTSPLIT(HF326,"|"),IF(COLUMNS(_xlpm.nd)&gt;4,A326&amp;"¦"&amp;INDEX(_xlpm.nd,4)&amp;"¦"&amp;INDEX(_xlpm.nd,5),"")))</f>
        <v/>
      </c>
      <c r="HN326" t="str">
        <f t="shared" si="719"/>
        <v/>
      </c>
      <c r="HO326" t="str" cm="1">
        <f t="array" ref="HO326">IF(HF326="","",_xlfn.LET(_xlpm.nd,_xlfn.TEXTSPLIT(HF326,"|"),IF(COLUMNS(_xlpm.nd)&gt;5,A326&amp;"¦"&amp;INDEX(_xlpm.nd,5)&amp;"¦"&amp;INDEX(_xlpm.nd,6),"")))</f>
        <v/>
      </c>
      <c r="HP326" t="str">
        <f t="shared" si="720"/>
        <v/>
      </c>
      <c r="HQ326" t="str" cm="1">
        <f t="array" ref="HQ326">IF(HF326="","",_xlfn.LET(_xlpm.nd,_xlfn.TEXTSPLIT(HF326,"|"),IF(COLUMNS(_xlpm.nd)&gt;6,A326&amp;"¦"&amp;INDEX(_xlpm.nd,6)&amp;"¦"&amp;INDEX(_xlpm.nd,7),"")))</f>
        <v/>
      </c>
      <c r="HR326" t="str">
        <f t="shared" si="721"/>
        <v/>
      </c>
      <c r="HS326" t="str">
        <f t="shared" si="722"/>
        <v/>
      </c>
      <c r="HT326" t="str">
        <f t="shared" si="723"/>
        <v>QF1 → XT1</v>
      </c>
      <c r="HU326">
        <f t="shared" si="724"/>
        <v>0</v>
      </c>
      <c r="HV326">
        <f t="shared" si="725"/>
        <v>0</v>
      </c>
      <c r="HW326" t="str">
        <f t="shared" si="726"/>
        <v/>
      </c>
      <c r="HX326" t="str">
        <f t="shared" si="727"/>
        <v/>
      </c>
      <c r="HY326" t="str">
        <f t="shared" si="728"/>
        <v/>
      </c>
      <c r="HZ326" t="str">
        <f t="shared" si="729"/>
        <v/>
      </c>
      <c r="IA326">
        <f>IF(B326="","",IFERROR(VLOOKUP(B326,УГО_спр,2,FALSE),IFERROR(VLOOKUP(AX326,УГО_спр,2,FALSE),IFERROR(VLOOKUP(LEFT(AX326,2),УГО_спр,2,FALSE),""))))</f>
        <v>0</v>
      </c>
      <c r="IB326" t="str">
        <f>IF(B326="","",IF(OR(IA326="",IA326=0),"BOX",IFERROR(IF(VLOOKUP(IA326,УГО_блоки,3,FALSE)&amp;""&lt;&gt;"",VLOOKUP(IA326,УГО_блоки,3,FALSE),VLOOKUP(IA326,УГО_блоки,2,FALSE)),IA326)))</f>
        <v>BOX</v>
      </c>
      <c r="IC326">
        <f t="shared" si="730"/>
        <v>1</v>
      </c>
      <c r="ID326" t="str">
        <f>IF(DA326="","",IF(COUNTIF(DA$3:DA326,DA326)=1,MAX(ID$2:ID325)+1,""))</f>
        <v/>
      </c>
      <c r="IE326" t="str">
        <f>IF(CO326="","",IF(COUNTIF(CO$3:CO326,CO326)+COUNTIF(CP$2:CP325,CO326)+COUNTIF(CQ$2:CQ325,CO326)=1,MAX(IE$2:IG325)+1,""))</f>
        <v/>
      </c>
      <c r="IF326" t="str">
        <f>IF(CP326="","",IF(COUNTIF(CO$3:CO326,CP326)+COUNTIF(CP$3:CP326,CP326)+COUNTIF(CQ$2:CQ325,CP326)=1,MAX(IE$2:IG325,IE326)+1,""))</f>
        <v/>
      </c>
      <c r="IG326" t="str">
        <f>IF(CQ326="","",IF(COUNTIF(CO$3:CO326,CQ326)+COUNTIF(CP$3:CP326,CQ326)+COUNTIF(CQ$3:CQ326,CQ326)=1,MAX(IE$2:IG325,IE326,IF326)+1,""))</f>
        <v/>
      </c>
      <c r="IH326" t="str">
        <f t="shared" si="731"/>
        <v>3х2,5</v>
      </c>
      <c r="II326" t="str">
        <f>IF(IH326="","",IF(COUNTIF(IH$3:IH326,IH326)=1,MAX(II$2:II325)+1,""))</f>
        <v/>
      </c>
      <c r="IJ326" t="str">
        <f>IF(GL326="","",COUNTIF(GL$3:GL326,"?*"))</f>
        <v/>
      </c>
      <c r="IK326" t="str">
        <f>IF(OR(GL326="",GN326=""),"",IF(COUNTIFS(GL$3:GL326,"?*",GN$3:GN326,GN326)=1,MAX(IK$2:IK325)+1,""))</f>
        <v/>
      </c>
      <c r="IL326">
        <f t="shared" si="732"/>
        <v>0</v>
      </c>
      <c r="IM326">
        <f>IF(B326="","",COUNTIF(B$3:B326,"?*"))</f>
        <v>324</v>
      </c>
      <c r="IN326">
        <f>IF(GQ326&lt;&gt;1,0,_xlfn.LET(_xlpm.k,MAX(IFERROR(--VLOOKUP(B326,УГО_спр,5,FALSE),0),IFERROR(--VLOOKUP(AX326,УГО_спр,5,FALSE),0),IFERROR(--VLOOKUP(LEFT(AX326,2),УГО_спр,5,FALSE),0)),IF(_xlpm.k&gt;0,_xlpm.k,IF(IFERROR(--LEFT(SUBSTITUTE(IH326,"x","х"),FIND("х",SUBSTITUTE(IH326,"x","х"))-1),3)&gt;3,Каталог!$S$9,1))))</f>
        <v>1</v>
      </c>
      <c r="IO326">
        <f t="shared" si="733"/>
        <v>0</v>
      </c>
      <c r="IP326" t="str">
        <f t="shared" si="734"/>
        <v>авто</v>
      </c>
      <c r="IQ326" t="str">
        <f t="shared" si="735"/>
        <v/>
      </c>
      <c r="IR326">
        <f t="shared" si="736"/>
        <v>0</v>
      </c>
      <c r="IS326">
        <f t="shared" si="737"/>
        <v>1</v>
      </c>
    </row>
    <row r="327" spans="1:253" x14ac:dyDescent="0.3">
      <c r="A327" t="s">
        <v>767</v>
      </c>
      <c r="B327" t="s">
        <v>1588</v>
      </c>
      <c r="C327" t="str">
        <f>Линии[[#This Row],[_авто наименование]]</f>
        <v>Насос дренажный, пом. 002Тб</v>
      </c>
      <c r="D327">
        <v>1</v>
      </c>
      <c r="E327">
        <v>0.6</v>
      </c>
      <c r="G327">
        <v>16</v>
      </c>
      <c r="H327" t="str">
        <f>Линии[[#This Row],[_авто утечка]]</f>
        <v/>
      </c>
      <c r="I327" t="str">
        <f>Линии[[#This Row],[_авто управление]]</f>
        <v/>
      </c>
      <c r="J327" t="str">
        <f>Линии[[#This Row],[_авто аппараты]]</f>
        <v/>
      </c>
      <c r="K327">
        <v>2.5</v>
      </c>
      <c r="L327">
        <v>33</v>
      </c>
      <c r="M327">
        <v>1</v>
      </c>
      <c r="N327" t="str">
        <f>Линии[[#This Row],[_авто клемма]]</f>
        <v>XT2</v>
      </c>
      <c r="O327" t="str">
        <f t="shared" si="615"/>
        <v/>
      </c>
      <c r="P327" s="6" cm="1">
        <f t="array" ref="P327">IF(B327="","",IF(BC327&lt;&gt;"",IFERROR(_xlfn.XLOOKUP(BC327,Щиты[Щит],Щиты[Iр, А]),""),IF(BK327=1,IFERROR(_xlfn.XLOOKUP(A327,Щиты[Щит],Щиты[Iр, А]),""),IFERROR(_xlfn.IFS(BR327=1,BN327/((Uн_лин/SQRT(3))*BY327),BR327=3,BN327/(SQRT(3)*Uн_лин*BY327)),""))))</f>
        <v>3.2475952641916441</v>
      </c>
      <c r="Q327" s="7">
        <f>IF(B327="","",IFERROR(IF(VLOOKUP(AX327,Потребители_обозначение,4,FALSE)=1,VLOOKUP(AX327,Потребители_обозначение,3,FALSE)*(D327*2-1)+DS327+VLOOKUP(AZ327,Этаж_обозначение,3,FALSE)+VLOOKUP(AZ327,Этаж_обозначение,4,FALSE),VLOOKUP(AX327,Потребители_обозначение,3,FALSE)*(D327*2-1)+DS327),DS327))</f>
        <v>36</v>
      </c>
      <c r="R327" s="6">
        <f t="shared" si="616"/>
        <v>2.58</v>
      </c>
      <c r="S327" t="str">
        <f t="shared" si="617"/>
        <v>ВВГнг(А)-LS (3х2,5)</v>
      </c>
      <c r="T327" t="str">
        <f>IF(BH327="","",IF(BI327="вводной узел","узел ","")&amp;"л."&amp;(INT((BH327-1)/Столбцов_на_лист)+1)&amp;" / "&amp;(MOD(BH327-1,Столбцов_на_лист)+1))</f>
        <v>л.2 / 2</v>
      </c>
      <c r="V327">
        <v>1</v>
      </c>
      <c r="W327">
        <v>230</v>
      </c>
      <c r="X327" t="s">
        <v>600</v>
      </c>
      <c r="Y327">
        <v>0.7</v>
      </c>
      <c r="AC327" t="s">
        <v>815</v>
      </c>
      <c r="AE327" t="s">
        <v>606</v>
      </c>
      <c r="AI327">
        <v>19</v>
      </c>
      <c r="AJ327" t="s">
        <v>11</v>
      </c>
      <c r="AK327">
        <v>3</v>
      </c>
      <c r="AM327">
        <v>23</v>
      </c>
      <c r="AN327">
        <v>4</v>
      </c>
      <c r="AO327">
        <v>0</v>
      </c>
      <c r="AP327">
        <v>1</v>
      </c>
      <c r="AW327" cm="1">
        <f t="array" ref="AW327">ROW()-ROW(Линии[#Headers])</f>
        <v>325</v>
      </c>
      <c r="AX327" s="6" t="str">
        <f t="shared" si="618"/>
        <v>НВК</v>
      </c>
      <c r="AY327" t="str">
        <f t="shared" si="619"/>
        <v>00.002Тб.4</v>
      </c>
      <c r="AZ327" t="str">
        <f t="shared" si="620"/>
        <v>00</v>
      </c>
      <c r="BA327" t="str">
        <f t="shared" si="621"/>
        <v>002Тб.4</v>
      </c>
      <c r="BB327" t="str">
        <f t="shared" si="622"/>
        <v>002Тб</v>
      </c>
      <c r="BC327" t="str">
        <f>IF(U327&lt;&gt;"",U327,IF(AND(B327&lt;&gt;"",B327&lt;&gt;A327,ISNUMBER(_xlfn.XMATCH(B327,Щиты[Щит]))),B327,""))</f>
        <v/>
      </c>
      <c r="BD327" t="str" cm="1">
        <f t="array" ref="BD327">IF(B327="","",IF(BC327&lt;&gt;"","Щит "&amp;BC327,_xlfn.LET(_xlpm.nm,IFERROR(_xlfn.XLOOKUP(AX327,Коды_код,Коды_имя)&amp;"",""),_xlpm.md,IFERROR(N(_xlfn.XLOOKUP(AX327,Коды_код,Коды_режим)),1),_xlpm.ex,IF(Имя_режим="по экспликации",IFERROR(_xlfn.XLOOKUP(AZ327&amp;"|"&amp;BB327,Экспликация[Этаж]&amp;"|"&amp;Экспликация[Помещение],Экспликация[Название])&amp;"",""),""),_xlpm.rm,IF(BB327="","",IF(_xlpm.ex&lt;&gt;"",". "&amp;_xlpm.ex&amp;IF(Имя_пом="нет"," ("&amp;BB327&amp;")"," (пом. "&amp;BB327&amp;")"),IF(Имя_пом="нет"," ",", пом. ")&amp;BB327)),IF(_xlpm.nm="","",IF(_xlpm.md=2,_xlpm.nm&amp;" шлейф "&amp;AZ327,_xlpm.nm&amp;_xlpm.rm)))))</f>
        <v>Насос дренажный, пом. 002Тб</v>
      </c>
      <c r="BE327" t="str">
        <f t="shared" si="623"/>
        <v>Насос дренажный, пом. 002Тб</v>
      </c>
      <c r="BF327">
        <f>IFERROR(_xlfn.XMATCH(A327,Щиты[Щит]),0)</f>
        <v>14</v>
      </c>
      <c r="BG327">
        <f>_xlfn.LET(_xlpm.k,IFERROR(_xlfn.XLOOKUP(A327,Щиты[Щит],Щиты[Листов под вводной узел]),""),IF(_xlpm.k="",1,N(_xlpm.k))*Столбцов_на_лист)</f>
        <v>17</v>
      </c>
      <c r="BH327">
        <f t="shared" si="624"/>
        <v>19</v>
      </c>
      <c r="BI327" t="str">
        <f t="shared" si="625"/>
        <v>линии</v>
      </c>
      <c r="BJ327" s="6">
        <f>IFERROR(N(_xlfn.XLOOKUP(AX327,Коды_код,Коды_квт)),0)</f>
        <v>0</v>
      </c>
      <c r="BK327">
        <f t="shared" si="626"/>
        <v>0</v>
      </c>
      <c r="BL327" t="str">
        <f>IF(B327="","",IF(BC327&lt;&gt;"",IFERROR(_xlfn.XLOOKUP(BC327,Щиты[Щит],Щиты[Руст, кВт]),0),IF(BK327=1,IFERROR(_xlfn.XLOOKUP(A327,Щиты[Щит],Щиты[Руст, кВт]),0),IF(BJ327&gt;0,ROUND(BJ327*MAX(1,N(D327)),3),""))))</f>
        <v/>
      </c>
      <c r="BM327">
        <f t="shared" si="627"/>
        <v>0.6</v>
      </c>
      <c r="BN327" s="6">
        <f>IF(B327="","",IF(BC327&lt;&gt;"",IFERROR(_xlfn.XLOOKUP(BC327,Щиты[Щит],Щиты[Руст, кВт]),0),N(BM327)))</f>
        <v>0.6</v>
      </c>
      <c r="BO327" t="str">
        <f>IF(B327="","",IFERROR(IF(VLOOKUP(AX327,Потребители_обозначение,8,FALSE)=0,"",VLOOKUP(AX327,Потребители_обозначение,8,FALSE)),""))</f>
        <v/>
      </c>
      <c r="BP327">
        <f t="shared" si="628"/>
        <v>230</v>
      </c>
      <c r="BQ327">
        <f>IF(B327="","",IF(BC327&lt;&gt;"",3,IFERROR(IF(N(VLOOKUP(AX327,Потребители_обозначение,9,FALSE))=0,1,VLOOKUP(AX327,Потребители_обозначение,9,FALSE)),1)))</f>
        <v>1</v>
      </c>
      <c r="BR327">
        <f t="shared" si="629"/>
        <v>1</v>
      </c>
      <c r="BS327" t="str">
        <f>IF(B327="","",_xlfn.LET(_xlpm.bc,IFERROR(IF(VLOOKUP(AX327,Потребители_обозначение,6,FALSE)=0,"",VLOOKUP(AX327,Потребители_обозначение,6,FALSE)&amp;""),""),IF(AND(FK327="да",OR(_xlpm.bc="",_xlpm.bc="мс")),Марка_пож,IF(AND(_xlpm.bc="",BC327&lt;&gt;""),"мс",_xlpm.bc))))</f>
        <v/>
      </c>
      <c r="BT327" t="str">
        <f t="shared" si="630"/>
        <v>мс</v>
      </c>
      <c r="BU327">
        <f>IF(B327="","",_xlfn.LET(_xlpm.cc,IFERROR(N(VLOOKUP(AX327,Потребители_обозначение,7,FALSE)),0),IF(_xlpm.cc&gt;0,_xlpm.cc,IF(BT327="","",IF(N(BR327)=3,5,3)))))</f>
        <v>3</v>
      </c>
      <c r="BV327">
        <f t="shared" si="631"/>
        <v>3</v>
      </c>
      <c r="BW327">
        <f>IFERROR(N(VLOOKUP(AX327,Потребители_обозначение,10,FALSE)),0)</f>
        <v>0</v>
      </c>
      <c r="BX327">
        <f>IFERROR(VLOOKUP(AX327,Потребители_обозначение,5,FALSE),0)</f>
        <v>1</v>
      </c>
      <c r="BY327" s="6" cm="1">
        <f t="array" ref="BY327">IF(B327="","",IF(BC327&lt;&gt;"",IFERROR(_xlfn.XLOOKUP(BC327,Щиты[Щит],Щиты[cos φ]),0.95),IF(BK327=1,IFERROR(_xlfn.XLOOKUP(A327,Щиты[Щит],Щиты[cos φ]),0.95),IF(ISNUMBER(Z327),Z327,IFERROR(IF(BX327=2,_xlfn.IFS(BR327=3,VLOOKUP(BN327,Справочная_двигатели,8,FALSE),BR327=1,VLOOKUP(BN327,Справочная_двигатели,10,TRUE)),IF(AND(Методика="нормы 2026",EQ327="Сил"),0.8,0.95)),0.95)))))</f>
        <v>0.8</v>
      </c>
      <c r="BZ327">
        <f t="shared" si="632"/>
        <v>0</v>
      </c>
      <c r="CA327">
        <f t="shared" si="633"/>
        <v>1</v>
      </c>
      <c r="CB327">
        <f t="shared" si="634"/>
        <v>0</v>
      </c>
      <c r="CC327">
        <f t="shared" si="635"/>
        <v>0</v>
      </c>
      <c r="CD327">
        <f t="shared" si="636"/>
        <v>0</v>
      </c>
      <c r="CE327">
        <f t="shared" si="637"/>
        <v>0</v>
      </c>
      <c r="CF327">
        <f t="shared" si="638"/>
        <v>0</v>
      </c>
      <c r="CG327">
        <f>IF(AX327="",0,_xlfn.LET(_xlpm.v,IFERROR(VLOOKUP(B327,УГО_спр,3,FALSE),IFERROR(VLOOKUP(AX327,УГО_спр,3,FALSE),IFERROR(VLOOKUP(LEFT(AX327,2),УГО_спр,3,FALSE),""))),IF(_xlpm.v="да",30,IF(ISNUMBER(_xlpm.v),_xlpm.v,0))))</f>
        <v>0</v>
      </c>
      <c r="CH327" t="str">
        <f t="shared" si="639"/>
        <v/>
      </c>
      <c r="CI327" t="str">
        <f>_xlfn.LET(_xlpm.k,IFERROR(_xlfn.XLOOKUP(AX327,Коды_код,Коды_утечка)&amp;"",""),IF(_xlpm.k="","дифавтомат",_xlpm.k))</f>
        <v>дифавтомат</v>
      </c>
      <c r="CJ327">
        <f t="shared" si="640"/>
        <v>0</v>
      </c>
      <c r="CK327">
        <f t="shared" si="641"/>
        <v>0</v>
      </c>
      <c r="CL327">
        <f>IF(B327="",0,IFERROR(--VLOOKUP(B327,УГО_спр,4,FALSE),IFERROR(--VLOOKUP(AX327,УГО_спр,4,FALSE),IFERROR(--VLOOKUP(LEFT(AX327,2),УГО_спр,4,FALSE),0))))</f>
        <v>0</v>
      </c>
      <c r="CM327" t="str">
        <f>IF(B327="","",IFERROR(_xlfn.XLOOKUP(AX327,Коды_код,Коды_апп)&amp;"",""))</f>
        <v/>
      </c>
      <c r="CN327" t="str">
        <f t="shared" si="642"/>
        <v/>
      </c>
      <c r="CO327" t="str" cm="1">
        <f t="array" ref="CO327">IF(TRIM(CN327&amp;"")="","",IFERROR(TRIM(INDEX(_xlfn.TEXTSPLIT(CN327&amp;";;;",";"),1)),""))</f>
        <v/>
      </c>
      <c r="CP327" t="str" cm="1">
        <f t="array" ref="CP327">IF(TRIM(CN327&amp;"")="","",IFERROR(TRIM(INDEX(_xlfn.TEXTSPLIT(CN327&amp;";;;",";"),2)),""))</f>
        <v/>
      </c>
      <c r="CQ327" t="str" cm="1">
        <f t="array" ref="CQ327">IF(TRIM(CN327&amp;"")="","",IFERROR(TRIM(INDEX(_xlfn.TEXTSPLIT(CN327&amp;";;;",";"),3)),""))</f>
        <v/>
      </c>
      <c r="CR327">
        <f t="shared" si="643"/>
        <v>0</v>
      </c>
      <c r="CS327" t="str">
        <f>IF(B327="","",_xlfn.LET(_xlpm.t,LOWER(AV327&amp;""),IF(ISNUMBER(SEARCH("dim",_xlpm.t)),"DIM",IF(ISNUMBER(SEARCH("dali",_xlpm.t)),"DALI",IF(OR(ISNUMBER(SEARCH("relay",_xlpm.t)),ISNUMBER(SEARCH("реле",_xlpm.t))),"Relay",IF(ISNUMBER(SEARCH("кнопк",_xlpm.t)),"",IFERROR(_xlfn.XLOOKUP(AX327,Коды_код,Коды_упр)&amp;"","")))))))</f>
        <v/>
      </c>
      <c r="CT327" t="str">
        <f t="shared" si="644"/>
        <v/>
      </c>
      <c r="CU327">
        <f>IF(B327="","",_xlfn.LET(_xlpm.ig,N(P327)+IF(AF327="вручную",0,N(CB327)),_xlpm.n0,IFERROR(VLOOKUP(_xlpm.ig,Автомат_номиналы,2,TRUE),0),_xlpm.mn,MAX(CL327,IF(AF327="вручную",0,N(CE327))),MAX(_xlpm.n0,_xlpm.mn,IF(CR327=1,Мин_автомат_БП,0))))</f>
        <v>6</v>
      </c>
      <c r="CV327">
        <f t="shared" si="645"/>
        <v>1</v>
      </c>
      <c r="CW327" t="str">
        <f t="shared" si="646"/>
        <v>1P</v>
      </c>
      <c r="CX327" t="str">
        <f>_xlfn.LET(_xlpm.cc,UPPER(TRIM(IFERROR(_xlfn.XLOOKUP(AX327,Коды_код,Коды_хар)&amp;"",""))),IF(OR(_xlpm.cc="B",_xlpm.cc="В"),"B",IF(_xlpm.cc="D","D","С")))</f>
        <v>С</v>
      </c>
      <c r="CY327" t="str">
        <f t="shared" si="647"/>
        <v>1P С6А</v>
      </c>
      <c r="CZ327">
        <f t="shared" si="648"/>
        <v>16</v>
      </c>
      <c r="DA327" t="str">
        <f t="shared" si="649"/>
        <v>1P С16А</v>
      </c>
      <c r="DB327" cm="1">
        <f t="array" ref="DB327">IF(DA327="","",_xlfn.LET(_xlpm.t,SUBSTITUTE(SUBSTITUTE(SUBSTITUTE(UPPER(DA327),"С","C"),"А","A"),"В","B"),_xlpm.tk,_xlfn.TEXTSPLIT(_xlpm.t,"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7" t="str">
        <f t="shared" si="650"/>
        <v>ok</v>
      </c>
      <c r="DD327">
        <f t="shared" si="651"/>
        <v>16</v>
      </c>
      <c r="DE327" t="str">
        <f t="shared" si="652"/>
        <v>1P С16А</v>
      </c>
      <c r="DF327">
        <f t="shared" si="653"/>
        <v>0</v>
      </c>
      <c r="DG327">
        <f t="shared" si="654"/>
        <v>0</v>
      </c>
      <c r="DH327">
        <f t="shared" si="655"/>
        <v>0</v>
      </c>
      <c r="DI327">
        <f t="shared" si="656"/>
        <v>3.2475952641916441</v>
      </c>
      <c r="DJ327">
        <f t="shared" si="657"/>
        <v>1</v>
      </c>
      <c r="DK327">
        <f>IF(ISNUMBER(AL327),AL327,К_прокл)</f>
        <v>1</v>
      </c>
      <c r="DL327">
        <f t="shared" si="658"/>
        <v>2</v>
      </c>
      <c r="DM327">
        <f>IFERROR(N(VLOOKUP(BT327,Кабель_обозначение,3,FALSE)),1)</f>
        <v>1</v>
      </c>
      <c r="DN327">
        <f>IFERROR(N(_xlfn.XLOOKUP(A327,Щиты[Щит],Щиты[ΔU до шин, %])),0)</f>
        <v>1.84</v>
      </c>
      <c r="DO327" t="str">
        <f>IFERROR(_xlfn.XLOOKUP(A327,Щиты[Щит],Щиты[Zпетли на шинах, Ом]),"")</f>
        <v/>
      </c>
      <c r="DP327">
        <f>IFERROR(N(_xlfn.XLOOKUP(A327,Щиты[Щит],Щиты[ΔU до шин (подбор), %])),0)</f>
        <v>4.8499999999999996</v>
      </c>
      <c r="DQ327" t="str">
        <f>IFERROR(_xlfn.XLOOKUP(A327,Щиты[Щит],Щиты[Zпетли на шинах (подбор), Ом]),"")</f>
        <v/>
      </c>
      <c r="DR327" t="str">
        <f t="shared" si="659"/>
        <v/>
      </c>
      <c r="DS327">
        <f t="shared" si="660"/>
        <v>33</v>
      </c>
      <c r="DT327">
        <f t="shared" si="661"/>
        <v>2</v>
      </c>
      <c r="DU327">
        <f t="shared" si="662"/>
        <v>0.6</v>
      </c>
      <c r="DV327" s="6">
        <f>IF(B327="","",IF(IFERROR(VLOOKUP(AX327,УГО_спр,2,FALSE),"")="Светильник",3,4)+IF(Методика="нормы 2026",MIN(0.5,MAX(0,N(Q327)-100)*0.005),0))</f>
        <v>4</v>
      </c>
      <c r="DW327" t="str" cm="1">
        <f t="array" ref="DW327">IF(OR(B327="",BT327="",DM327&lt;&gt;1),"",_xlfn.LET(_xlpm.sz,Iдоп_S,_xlpm.t_,CHOOSE(DL327,Iдоп_1ж,Iдоп_2ж,Iдоп_3ж)*DJ327*DK327,_xlpm.inn,N(DD327),_xlpm.smin,MAX(1.5,BW327),_xlpm.L_,N(Q327)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327)*(_xlpm.rho*_xlpm.L_/_xlpm.sz*N(BY327)+_xlpm.xx*_xlpm.L_*N(DU327)/1000)*N(P327)/((Uн_лин/SQRT(3))*1000)*100,999),_xlpm.kz,IF(OR(DG327=1,NOT(ISNUMBER(DQ327)),_xlpm.L_=0,_xlpm.inn=0),1,IFERROR(--(c_min*(Uн_лин*1000/SQRT(3))/(DQ327+2*ρкз_Cu*_xlpm.L_/_xlpm.sz)&gt;=GY327*_xlpm.inn),0)),_xlpm.ok,IFERROR((_xlpm.sz&gt;=_xlpm.smin)*(_xlpm.t_&gt;=_xlpm.inn)*IF(_xlpm.L_&gt;0,(_xlpm.du_+DP327&lt;=DV327+0.00001),1)*_xlpm.kz,0),_xlpm.r_,_xlfn._xlws.FILTER(_xlpm.sz,_xlpm.ok,"не подобрано"),INDEX(_xlpm.r_,1)))</f>
        <v>не подобрано</v>
      </c>
      <c r="DX327">
        <f t="shared" si="663"/>
        <v>2.5</v>
      </c>
      <c r="DY327" cm="1">
        <f t="array" ref="DY327">IF(OR(B327="",BT327="",DM327&lt;&gt;1),"",_xlfn.LET(_xlpm.sz,Iдоп_S,_xlpm.t_,CHOOSE(DL327,Iдоп_1ж,Iдоп_2ж,Iдоп_3ж)*DJ327*DK327,_xlpm.ok,IFERROR((_xlpm.sz&gt;=MAX(1.5,BW327))*(_xlpm.t_&gt;=N(DD327)),0),_xlpm.r_,_xlfn._xlws.FILTER(_xlpm.sz,_xlpm.ok,""),INDEX(_xlpm.r_,1)))</f>
        <v>1.5</v>
      </c>
      <c r="DZ327" s="6" cm="1">
        <f t="array" ref="DZ327">IFERROR(ROUNDUP(N(DT327)*(_xlfn.XLOOKUP(DY327,INDEX(Кабель_сопротивление,0,1),INDEX(Кабель_сопротивление,0,3))*N(Q327)/DY327*N(BY327)+_xlfn.XLOOKUP(DY327,INDEX(Кабель_сопротивление,0,1),INDEX(Кабель_сопротивление,0,2))*N(Q327)*N(DU327)/1000)*N(P327)/((Uн_лин/SQRT(3))*1000)*100,2),"")</f>
        <v>1.23</v>
      </c>
      <c r="EA327">
        <f>IFERROR(2*ρкз_Cu*N(Q327)/DY327,"")</f>
        <v>1.2624</v>
      </c>
      <c r="EB327">
        <f>IFERROR(VLOOKUP(DX327,Кабель_сопротивление,3,FALSE),"")</f>
        <v>2.2499999999999999E-2</v>
      </c>
      <c r="EC327">
        <f>IFERROR(VLOOKUP(DX327,Кабель_сопротивление,2,FALSE),"")</f>
        <v>0.1</v>
      </c>
      <c r="ED327">
        <f t="shared" si="664"/>
        <v>4</v>
      </c>
      <c r="EE327">
        <f t="shared" si="665"/>
        <v>0</v>
      </c>
      <c r="EF327">
        <f t="shared" si="666"/>
        <v>1.6975829964982561</v>
      </c>
      <c r="EG327" s="6">
        <f>IFERROR(ROUNDUP(EF327/((Uн_лин/SQRT(3))*1000)*100,2),"")</f>
        <v>0.74</v>
      </c>
      <c r="EH327" t="str">
        <f>IFERROR(VLOOKUP(BT327,Кабель_обозначение,2,FALSE),"")</f>
        <v>ВВГнг(А)-LS</v>
      </c>
      <c r="EI327" t="str">
        <f t="shared" si="667"/>
        <v>ВВГнг(А)-LS (3х2,5)</v>
      </c>
      <c r="EJ327" t="str">
        <f t="shared" si="668"/>
        <v>ВВГнг(А)-LS (3х2,5)
L=36-0,74%</v>
      </c>
      <c r="EK327">
        <f>IFERROR(2*ρкз_Cu*Q327/DX327,"")</f>
        <v>0.75744</v>
      </c>
      <c r="EL327">
        <f t="shared" si="669"/>
        <v>0.25200000000000006</v>
      </c>
      <c r="EM327" s="6" t="str">
        <f>IFERROR(IF(OR(B327="",NOT(ISNUMBER(DX327)),N(Q327)=0),"",_xlfn.XLOOKUP(A327,Щиты[Щит],Щиты[Zпетли на шинах, Ом])+EK327),"")</f>
        <v/>
      </c>
      <c r="EN327" s="6" t="str">
        <f>IF(ISNUMBER(EM327),c_min*(Uн_лин*1000/SQRT(3))/EM327,"")</f>
        <v/>
      </c>
      <c r="EO327" s="6" t="str">
        <f>IFERROR(IF(OR(B327="",NOT(ISNUMBER(DX327))),"",1.05*(Uн_лин*1000/SQRT(3))/(_xlfn.XLOOKUP(A327,Щиты[Щит],Щиты[Zmax на шинах, Ом])+EL327)/1000),"")</f>
        <v/>
      </c>
      <c r="EP327" s="6" t="str">
        <f>IF(B327="","",IF(ISNUMBER(Y327),"Сил",IF(IFERROR(_xlfn.XLOOKUP(AX327,Коды_код,Коды_группа)&amp;"","")="","Быт",_xlfn.XLOOKUP(AX327,Коды_код,Коды_группа)&amp;"")))</f>
        <v>Сил</v>
      </c>
      <c r="EQ327" s="6" t="str">
        <f t="shared" si="670"/>
        <v>Сил</v>
      </c>
      <c r="ER327" s="6">
        <f>IF(EQ327="Щит","щит",IF(EQ327="","",IF(EQ327="Быт",IFERROR(_xlfn.XLOOKUP(A327,Щиты[Щит],Щиты[Кс быт]),1),IF(EQ327="Сил",IF(ISNUMBER(Y327),Y327,IF(Методика="нормы 2026",IFERROR(_xlfn.XLOOKUP(A327,Щиты[Щит],Щиты[Кс силовых (табл. 7.5)]),1),1)),IF(OR(EQ327="Пост",EQ327="Отоп"),1,IF(EQ327="ВНГ",0.7,0))))))</f>
        <v>0.7</v>
      </c>
      <c r="ES327">
        <f t="shared" si="671"/>
        <v>1</v>
      </c>
      <c r="ET327">
        <f t="shared" si="672"/>
        <v>0.6</v>
      </c>
      <c r="EU327">
        <f t="shared" si="673"/>
        <v>0</v>
      </c>
      <c r="EV327">
        <f t="shared" si="674"/>
        <v>0.42</v>
      </c>
      <c r="EW327">
        <f t="shared" si="675"/>
        <v>0</v>
      </c>
      <c r="EX327">
        <f t="shared" si="676"/>
        <v>0</v>
      </c>
      <c r="EY327">
        <f t="shared" si="677"/>
        <v>0</v>
      </c>
      <c r="EZ327">
        <f t="shared" si="678"/>
        <v>0.6</v>
      </c>
      <c r="FA327">
        <f t="shared" si="679"/>
        <v>0.48</v>
      </c>
      <c r="FB327">
        <f t="shared" si="680"/>
        <v>0.6</v>
      </c>
      <c r="FC327" t="str">
        <f t="shared" si="681"/>
        <v>L1</v>
      </c>
      <c r="FD327" t="str">
        <f>IF(B327="","",IF(CA327=0,IF(AW327=1,"",FF326),IF(OR(N(CV327)&gt;=3,N(BR327)&gt;=3),"L1,L2,L3",IFERROR(_xlfn.TEXTBEFORE(_xlfn.TEXTAFTER(_xlfn.XLOOKUP(A327,Щиты[Щит],Щиты[_фазы авто]),";"&amp;AW327&amp;":"),";"),"L1"))))</f>
        <v>L1</v>
      </c>
      <c r="FE327" t="str">
        <f t="shared" si="682"/>
        <v>L1</v>
      </c>
      <c r="FF327" t="str">
        <f t="shared" si="683"/>
        <v>L1</v>
      </c>
      <c r="FG327" cm="1">
        <f t="array" ref="FG327">IFERROR(IF(BX327=2,_xlfn.IFS(BR327=3,VLOOKUP(BN327,Справочная_двигатели,3,FALSE),BR327=1,VLOOKUP(BN327,Справочная_двигатели,5,TRUE)),0),0)</f>
        <v>0</v>
      </c>
      <c r="FH327">
        <f>IFERROR(IF(BX327=3,VLOOKUP(BN327,Справочная_ЛЭД,2,TRUE),0),0)</f>
        <v>0</v>
      </c>
      <c r="FI327" s="6">
        <f t="shared" si="684"/>
        <v>0</v>
      </c>
      <c r="FJ327" t="str" cm="1">
        <f t="array" ref="FJ327">IF(B327="","",IFERROR(INDEX({"I особая","I","II","III"},MATCH(TRIM(AC327&amp;""),{"I особая","I","II","III"},0)),"III"))</f>
        <v>II</v>
      </c>
      <c r="FK327" t="str">
        <f>IF(B327="","",IF(TRIM(AD327&amp;"")&lt;&gt;"",IF(LOWER(TRIM(AD327&amp;""))="да","да","нет"),IF(IFERROR(_xlfn.XLOOKUP(AX327,Коды_код,Коды_пожарная),"")="да","да","нет")))</f>
        <v>нет</v>
      </c>
      <c r="FL327" t="str">
        <f t="shared" si="685"/>
        <v/>
      </c>
      <c r="FM327" t="str">
        <f t="shared" si="686"/>
        <v>основная</v>
      </c>
      <c r="FN327">
        <f t="shared" si="687"/>
        <v>1</v>
      </c>
      <c r="FO327" t="str" cm="1">
        <f t="array" ref="FO327">IF(B327="","",_xlfn.LET(_xlpm.t,IFERROR(_xlfn.XLOOKUP(1,(Шины[Шина]=FM327)*(((Шины[Щит]=A327)+(Шины[Щит]=""))&gt;0),Шины[Тип]),"")&amp;"",IF(_xlpm.t&lt;&gt;"",_xlpm.t,IF(ISNUMBER(SEARCH("ИБП",FM327)),"ИБП",IF(ISNUMBER(SEARCH("ДГУ",FM327)),"ДГУ","Ввод "&amp;FN327)))))</f>
        <v>Ввод 1</v>
      </c>
      <c r="FP327" t="str">
        <f t="shared" si="688"/>
        <v>Ввод 1</v>
      </c>
      <c r="FQ327" t="str">
        <f>IF(B327="","",IF(OR(FO327="ИБП",FO327="ДГУ"),"I особая",IF(FO327="Одиночная","III",_xlfn.XLOOKUP(A327,Щиты[Щит],Щиты[Категория шины «Ввод»],"III"))))</f>
        <v>II</v>
      </c>
      <c r="FR327">
        <f>IF(B327="",0,IFERROR(MATCH(FJ327,{"III","II","I","I особая"},0),1))</f>
        <v>2</v>
      </c>
      <c r="FS327">
        <f t="shared" si="689"/>
        <v>2</v>
      </c>
      <c r="FT327" t="str">
        <f>IF(B327="","",IF(FR327&gt;IFERROR(MATCH(FQ327,{"III","II","I","I особая"},0),1),"НЕ ОБЕСПЕЧЕНА","ОК"))</f>
        <v>ОК</v>
      </c>
      <c r="FU327" t="str">
        <f>IF(A327="","",_xlfn.XLOOKUP(A327,Щиты[Щит],Щиты[Путь],""))</f>
        <v>|ГРЩ-ЖД|ЩС-ВК.002|</v>
      </c>
      <c r="FV327" t="str">
        <f>IF(B327="","",IF(AE327&lt;&gt;"",AE327,IF(IFERROR(_xlfn.XLOOKUP(AX327,Коды_код,Коды_вид)&amp;"","")="","Прочее",_xlfn.XLOOKUP(AX327,Коды_код,Коды_вид)&amp;"")))</f>
        <v>Насосы (водоснабжение, дренаж)</v>
      </c>
      <c r="FW327">
        <f>IF(BH327="","",INT((BH327-1)/Столбцов_на_лист)+1)</f>
        <v>2</v>
      </c>
      <c r="FX327" t="str">
        <f t="shared" si="690"/>
        <v>ВВГнг(А)-LS (3х2,5) L=36-0,74%</v>
      </c>
      <c r="FY327">
        <f t="shared" si="691"/>
        <v>0.6</v>
      </c>
      <c r="FZ327">
        <f t="shared" si="692"/>
        <v>3.25</v>
      </c>
      <c r="GA327">
        <f t="shared" si="693"/>
        <v>1</v>
      </c>
      <c r="GB327">
        <f t="shared" si="694"/>
        <v>0</v>
      </c>
      <c r="GC327">
        <f t="shared" si="695"/>
        <v>1</v>
      </c>
      <c r="GD327">
        <f>IF(BH327="","",IF(AND(CA327=1,GC327=1),COUNTIFS(A$3:A327,A327,CA$3:CA327,1,GC$3:GC327,1),IF(OR(OR(AW327=1,A327&lt;&gt;A326),AF327="вручную",GC327=0),"",IF(AW327=1,"",GE326))))</f>
        <v>2</v>
      </c>
      <c r="GE327">
        <f t="shared" si="696"/>
        <v>2</v>
      </c>
      <c r="GF327">
        <f>IF(B327="","",IFERROR(LOOKUP(INDEX(CHOOSE(DL327,Iдоп_1ж,Iдоп_2ж,Iдоп_3ж),MATCH(DX327,Iдоп_S,0))*DJ327*DK327,{6,10,16,20,25,32,40,50,63,80,100,125,160,200,250,315,400,500,630}),""))</f>
        <v>25</v>
      </c>
      <c r="GG327" t="str">
        <f t="shared" si="697"/>
        <v>QF2</v>
      </c>
      <c r="GH327" t="str">
        <f t="shared" si="698"/>
        <v>QF2</v>
      </c>
      <c r="GI327" t="str">
        <f t="shared" si="699"/>
        <v/>
      </c>
      <c r="GJ327">
        <f t="shared" si="700"/>
        <v>0</v>
      </c>
      <c r="GK327" t="str">
        <f>IF(OR(AG327="",AG327="-"),"",IFERROR(VLOOKUP(AG327,Модули_спр,2,FALSE),"R"))</f>
        <v/>
      </c>
      <c r="GL327" t="str">
        <f>IF(GK327="","",GK327&amp;"."&amp;COUNTIFS(A$3:A327,A327,GK$3:GK327,GK327))</f>
        <v/>
      </c>
      <c r="GM327" t="str">
        <f t="shared" si="701"/>
        <v/>
      </c>
      <c r="GN327" t="str">
        <f t="shared" si="702"/>
        <v/>
      </c>
      <c r="GO327" t="str">
        <f t="shared" si="703"/>
        <v/>
      </c>
      <c r="GP327" t="str">
        <f t="shared" si="704"/>
        <v/>
      </c>
      <c r="GQ327">
        <f t="shared" si="705"/>
        <v>1</v>
      </c>
      <c r="GR327" t="str">
        <f>IF(GQ327=1,"XT"&amp;COUNTIFS(A$3:A327,A327,GQ$3:GQ327,1),"")</f>
        <v>XT2</v>
      </c>
      <c r="GS327" t="str">
        <f t="shared" si="706"/>
        <v>XT2</v>
      </c>
      <c r="GT327" t="str">
        <f t="shared" si="707"/>
        <v>QF2</v>
      </c>
      <c r="GU327" t="str">
        <f t="shared" si="708"/>
        <v/>
      </c>
      <c r="GV327" t="str">
        <f t="shared" si="709"/>
        <v>ok</v>
      </c>
      <c r="GW327" t="str">
        <f>IF(OR(GO327="",GM327=""),"",IF(GO327&gt;IFERROR(VLOOKUP(GN327,Модули_спр,3,FALSE),99),"ЛИШНИЙ КАНАЛ",IF(AND(AH327&lt;&gt;"=",COUNTIFS(Линии[_модуль гр.],GM327,Линии[Канал (итог)],GO327,Линии[Канал],"&lt;&gt;=",Линии[Щит],A327)&gt;1),"ДУБЛЬ КАНАЛА","")))</f>
        <v/>
      </c>
      <c r="GX327" s="6" t="str">
        <f t="shared" si="710"/>
        <v/>
      </c>
      <c r="GY327">
        <f t="shared" si="711"/>
        <v>10</v>
      </c>
      <c r="GZ327" t="str">
        <f t="shared" si="712"/>
        <v/>
      </c>
      <c r="HA327" t="str">
        <f>IF(AND(B327="",GT327=""),"",_xlfn.TEXTJOIN("; ",TRUE,IF(AND(B327&lt;&gt;"",FE327=""),"нет фазы",""),IF(AND(B327&lt;&gt;"",N(FY327)=0,EQ327&lt;&gt;"Нет"),"нет мощности",""),IF(AND(GS327&lt;&gt;"",COUNTIFS(Линии[Щит],A327,Линии[Клемма (итог)],GS327)&gt;1),"дубль клеммы "&amp;GS327,""),IF(AND(GV327&lt;&gt;"",GV327&lt;&gt;"ok"),GV327,""),IF(GW327&lt;&gt;"",GW327,""),IF(AND(N(BV327)&gt;=4,N(BR327)=1),BV327&amp;" жил на 1 фазе",""),IF(AND(AX327="R",CA327=1,OR(N(CK327)=0,N(CK327)&gt;30)),"розетка без дифзащиты до 30 мА",""),IFERROR(IF(AND(ISNUMBER(R327),R327&gt;DV327),"потери "&amp;FIXED(R327,1)&amp;" % &gt; "&amp;DV327&amp;" %",""),""),IFERROR(IF(LEFT(GZ327,4)="мало","Iкз мало — отключение &gt; 0,4 с",""),""),IF(AND(B327&lt;&gt;"",BH327=""),"не на схеме",""),IF(AND(CA327=0,B327&lt;&gt;"",FE327&lt;&gt;"",IF(AW327=1,"",FF326)&lt;&gt;"",FE327&lt;&gt;IF(AW327=1,"",FF326)),"фаза не как у автомата группы ("&amp;IF(AW327=1,"",FF326)&amp;")","")))</f>
        <v/>
      </c>
      <c r="HB327" s="6">
        <f>IF(OR(CA327=0,DA327=""),"",_xlfn.LET(_xlpm.t,IFERROR(_xlfn.XLOOKUP(DA327,Каталог!$U$4:$U$500,Каталог!$G$4:$G$500),""),_xlpm.k,SEARCH("кА",_xlpm.t),IFERROR(--TRIM(RIGHT(SUBSTITUTE(MID(_xlpm.t,MAX(1,_xlpm.k-4),_xlpm.k-MAX(1,_xlpm.k-4))," ",REPT(" ",9)),5)),"")))</f>
        <v>6</v>
      </c>
      <c r="HC327" t="str">
        <f>IF(OR(HB327="",CA327=0),"",IF(_xlfn.XLOOKUP(A327,Щиты[Щит],Щиты[Iкз max на шинах, кА],"")="","",IF(HB327&lt;_xlfn.XLOOKUP(A327,Щиты[Щит],Щиты[Iкз max на шинах, кА]),"Icu "&amp;HB327&amp;" кА &lt; Iкз max","ok")))</f>
        <v/>
      </c>
      <c r="HD327" t="str">
        <f t="shared" si="713"/>
        <v/>
      </c>
      <c r="HE327" t="str">
        <f t="shared" si="714"/>
        <v>QF2|XT2</v>
      </c>
      <c r="HF327" t="str">
        <f t="shared" si="715"/>
        <v>QF2|XT2|кабель ВВГнг(А)-LS (3х2,5) → Насос дренажный, пом. 002Тб</v>
      </c>
      <c r="HG327" t="str" cm="1">
        <f t="array" ref="HG327">IF(HF327="","",_xlfn.LET(_xlpm.nd,_xlfn.TEXTSPLIT(HF327,"|"),IF(COLUMNS(_xlpm.nd)&gt;1,A327&amp;"¦"&amp;INDEX(_xlpm.nd,1)&amp;"¦"&amp;INDEX(_xlpm.nd,2),"")))</f>
        <v>ЩС-ВК.002¦QF2¦XT2</v>
      </c>
      <c r="HH327" t="str">
        <f t="shared" si="716"/>
        <v>НВК.00.002Тб.4¦Насос дренажный, пом. 002Тб</v>
      </c>
      <c r="HI327" t="str" cm="1">
        <f t="array" ref="HI327">IF(HF327="","",_xlfn.LET(_xlpm.nd,_xlfn.TEXTSPLIT(HF327,"|"),IF(COLUMNS(_xlpm.nd)&gt;2,A327&amp;"¦"&amp;INDEX(_xlpm.nd,2)&amp;"¦"&amp;INDEX(_xlpm.nd,3),"")))</f>
        <v>ЩС-ВК.002¦XT2¦кабель ВВГнг(А)-LS (3х2,5) → Насос дренажный, пом. 002Тб</v>
      </c>
      <c r="HJ327" t="str">
        <f t="shared" si="717"/>
        <v>НВК.00.002Тб.4¦Насос дренажный, пом. 002Тб</v>
      </c>
      <c r="HK327" t="str" cm="1">
        <f t="array" ref="HK327">IF(HF327="","",_xlfn.LET(_xlpm.nd,_xlfn.TEXTSPLIT(HF327,"|"),IF(COLUMNS(_xlpm.nd)&gt;3,A327&amp;"¦"&amp;INDEX(_xlpm.nd,3)&amp;"¦"&amp;INDEX(_xlpm.nd,4),"")))</f>
        <v/>
      </c>
      <c r="HL327" t="str">
        <f t="shared" si="718"/>
        <v/>
      </c>
      <c r="HM327" t="str" cm="1">
        <f t="array" ref="HM327">IF(HF327="","",_xlfn.LET(_xlpm.nd,_xlfn.TEXTSPLIT(HF327,"|"),IF(COLUMNS(_xlpm.nd)&gt;4,A327&amp;"¦"&amp;INDEX(_xlpm.nd,4)&amp;"¦"&amp;INDEX(_xlpm.nd,5),"")))</f>
        <v/>
      </c>
      <c r="HN327" t="str">
        <f t="shared" si="719"/>
        <v/>
      </c>
      <c r="HO327" t="str" cm="1">
        <f t="array" ref="HO327">IF(HF327="","",_xlfn.LET(_xlpm.nd,_xlfn.TEXTSPLIT(HF327,"|"),IF(COLUMNS(_xlpm.nd)&gt;5,A327&amp;"¦"&amp;INDEX(_xlpm.nd,5)&amp;"¦"&amp;INDEX(_xlpm.nd,6),"")))</f>
        <v/>
      </c>
      <c r="HP327" t="str">
        <f t="shared" si="720"/>
        <v/>
      </c>
      <c r="HQ327" t="str" cm="1">
        <f t="array" ref="HQ327">IF(HF327="","",_xlfn.LET(_xlpm.nd,_xlfn.TEXTSPLIT(HF327,"|"),IF(COLUMNS(_xlpm.nd)&gt;6,A327&amp;"¦"&amp;INDEX(_xlpm.nd,6)&amp;"¦"&amp;INDEX(_xlpm.nd,7),"")))</f>
        <v/>
      </c>
      <c r="HR327" t="str">
        <f t="shared" si="721"/>
        <v/>
      </c>
      <c r="HS327" t="str">
        <f t="shared" si="722"/>
        <v/>
      </c>
      <c r="HT327" t="str">
        <f t="shared" si="723"/>
        <v>QF2 → XT2</v>
      </c>
      <c r="HU327">
        <f t="shared" si="724"/>
        <v>0</v>
      </c>
      <c r="HV327">
        <f t="shared" si="725"/>
        <v>0</v>
      </c>
      <c r="HW327" t="str">
        <f t="shared" si="726"/>
        <v/>
      </c>
      <c r="HX327" t="str">
        <f t="shared" si="727"/>
        <v/>
      </c>
      <c r="HY327" t="str">
        <f t="shared" si="728"/>
        <v/>
      </c>
      <c r="HZ327" t="str">
        <f t="shared" si="729"/>
        <v/>
      </c>
      <c r="IA327">
        <f>IF(B327="","",IFERROR(VLOOKUP(B327,УГО_спр,2,FALSE),IFERROR(VLOOKUP(AX327,УГО_спр,2,FALSE),IFERROR(VLOOKUP(LEFT(AX327,2),УГО_спр,2,FALSE),""))))</f>
        <v>0</v>
      </c>
      <c r="IB327" t="str">
        <f>IF(B327="","",IF(OR(IA327="",IA327=0),"BOX",IFERROR(IF(VLOOKUP(IA327,УГО_блоки,3,FALSE)&amp;""&lt;&gt;"",VLOOKUP(IA327,УГО_блоки,3,FALSE),VLOOKUP(IA327,УГО_блоки,2,FALSE)),IA327)))</f>
        <v>BOX</v>
      </c>
      <c r="IC327">
        <f t="shared" si="730"/>
        <v>1</v>
      </c>
      <c r="ID327" t="str">
        <f>IF(DA327="","",IF(COUNTIF(DA$3:DA327,DA327)=1,MAX(ID$2:ID326)+1,""))</f>
        <v/>
      </c>
      <c r="IE327" t="str">
        <f>IF(CO327="","",IF(COUNTIF(CO$3:CO327,CO327)+COUNTIF(CP$2:CP326,CO327)+COUNTIF(CQ$2:CQ326,CO327)=1,MAX(IE$2:IG326)+1,""))</f>
        <v/>
      </c>
      <c r="IF327" t="str">
        <f>IF(CP327="","",IF(COUNTIF(CO$3:CO327,CP327)+COUNTIF(CP$3:CP327,CP327)+COUNTIF(CQ$2:CQ326,CP327)=1,MAX(IE$2:IG326,IE327)+1,""))</f>
        <v/>
      </c>
      <c r="IG327" t="str">
        <f>IF(CQ327="","",IF(COUNTIF(CO$3:CO327,CQ327)+COUNTIF(CP$3:CP327,CQ327)+COUNTIF(CQ$3:CQ327,CQ327)=1,MAX(IE$2:IG326,IE327,IF327)+1,""))</f>
        <v/>
      </c>
      <c r="IH327" t="str">
        <f t="shared" si="731"/>
        <v>3х2,5</v>
      </c>
      <c r="II327" t="str">
        <f>IF(IH327="","",IF(COUNTIF(IH$3:IH327,IH327)=1,MAX(II$2:II326)+1,""))</f>
        <v/>
      </c>
      <c r="IJ327" t="str">
        <f>IF(GL327="","",COUNTIF(GL$3:GL327,"?*"))</f>
        <v/>
      </c>
      <c r="IK327" t="str">
        <f>IF(OR(GL327="",GN327=""),"",IF(COUNTIFS(GL$3:GL327,"?*",GN$3:GN327,GN327)=1,MAX(IK$2:IK326)+1,""))</f>
        <v/>
      </c>
      <c r="IL327">
        <f t="shared" si="732"/>
        <v>0</v>
      </c>
      <c r="IM327">
        <f>IF(B327="","",COUNTIF(B$3:B327,"?*"))</f>
        <v>325</v>
      </c>
      <c r="IN327">
        <f>IF(GQ327&lt;&gt;1,0,_xlfn.LET(_xlpm.k,MAX(IFERROR(--VLOOKUP(B327,УГО_спр,5,FALSE),0),IFERROR(--VLOOKUP(AX327,УГО_спр,5,FALSE),0),IFERROR(--VLOOKUP(LEFT(AX327,2),УГО_спр,5,FALSE),0)),IF(_xlpm.k&gt;0,_xlpm.k,IF(IFERROR(--LEFT(SUBSTITUTE(IH327,"x","х"),FIND("х",SUBSTITUTE(IH327,"x","х"))-1),3)&gt;3,Каталог!$S$9,1))))</f>
        <v>1</v>
      </c>
      <c r="IO327">
        <f t="shared" si="733"/>
        <v>0</v>
      </c>
      <c r="IP327" t="str">
        <f t="shared" si="734"/>
        <v>авто</v>
      </c>
      <c r="IQ327" t="str">
        <f t="shared" si="735"/>
        <v/>
      </c>
      <c r="IR327">
        <f t="shared" si="736"/>
        <v>0</v>
      </c>
      <c r="IS327">
        <f t="shared" si="737"/>
        <v>1</v>
      </c>
    </row>
    <row r="328" spans="1:253" x14ac:dyDescent="0.3">
      <c r="A328" t="s">
        <v>767</v>
      </c>
      <c r="B328" t="s">
        <v>1589</v>
      </c>
      <c r="C328" t="str">
        <f>Линии[[#This Row],[_авто наименование]]</f>
        <v>Насос дренажный, пом. 002Тб</v>
      </c>
      <c r="D328">
        <v>1</v>
      </c>
      <c r="E328">
        <v>0.6</v>
      </c>
      <c r="G328">
        <v>16</v>
      </c>
      <c r="H328" t="str">
        <f>Линии[[#This Row],[_авто утечка]]</f>
        <v/>
      </c>
      <c r="I328" t="str">
        <f>Линии[[#This Row],[_авто управление]]</f>
        <v/>
      </c>
      <c r="J328" t="str">
        <f>Линии[[#This Row],[_авто аппараты]]</f>
        <v/>
      </c>
      <c r="K328">
        <v>2.5</v>
      </c>
      <c r="L328">
        <v>10</v>
      </c>
      <c r="M328">
        <v>1</v>
      </c>
      <c r="N328" t="str">
        <f>Линии[[#This Row],[_авто клемма]]</f>
        <v>XT3</v>
      </c>
      <c r="O328" t="str">
        <f t="shared" si="615"/>
        <v/>
      </c>
      <c r="P328" s="6" cm="1">
        <f t="array" ref="P328">IF(B328="","",IF(BC328&lt;&gt;"",IFERROR(_xlfn.XLOOKUP(BC328,Щиты[Щит],Щиты[Iр, А]),""),IF(BK328=1,IFERROR(_xlfn.XLOOKUP(A328,Щиты[Щит],Щиты[Iр, А]),""),IFERROR(_xlfn.IFS(BR328=1,BN328/((Uн_лин/SQRT(3))*BY328),BR328=3,BN328/(SQRT(3)*Uн_лин*BY328)),""))))</f>
        <v>3.2475952641916441</v>
      </c>
      <c r="Q328" s="7">
        <f>IF(B328="","",IFERROR(IF(VLOOKUP(AX328,Потребители_обозначение,4,FALSE)=1,VLOOKUP(AX328,Потребители_обозначение,3,FALSE)*(D328*2-1)+DS328+VLOOKUP(AZ328,Этаж_обозначение,3,FALSE)+VLOOKUP(AZ328,Этаж_обозначение,4,FALSE),VLOOKUP(AX328,Потребители_обозначение,3,FALSE)*(D328*2-1)+DS328),DS328))</f>
        <v>13</v>
      </c>
      <c r="R328" s="6">
        <f t="shared" si="616"/>
        <v>2.1100000000000003</v>
      </c>
      <c r="S328" t="str">
        <f t="shared" si="617"/>
        <v>ВВГнг(А)-LS (3х2,5)</v>
      </c>
      <c r="T328" t="str">
        <f>IF(BH328="","",IF(BI328="вводной узел","узел ","")&amp;"л."&amp;(INT((BH328-1)/Столбцов_на_лист)+1)&amp;" / "&amp;(MOD(BH328-1,Столбцов_на_лист)+1))</f>
        <v>л.2 / 3</v>
      </c>
      <c r="V328">
        <v>1</v>
      </c>
      <c r="W328">
        <v>230</v>
      </c>
      <c r="X328" t="s">
        <v>600</v>
      </c>
      <c r="Y328">
        <v>0.7</v>
      </c>
      <c r="AC328" t="s">
        <v>815</v>
      </c>
      <c r="AE328" t="s">
        <v>606</v>
      </c>
      <c r="AI328">
        <v>20</v>
      </c>
      <c r="AJ328" t="s">
        <v>11</v>
      </c>
      <c r="AK328">
        <v>3</v>
      </c>
      <c r="AM328">
        <v>0</v>
      </c>
      <c r="AN328">
        <v>10</v>
      </c>
      <c r="AO328">
        <v>0</v>
      </c>
      <c r="AP328">
        <v>1</v>
      </c>
      <c r="AW328" cm="1">
        <f t="array" ref="AW328">ROW()-ROW(Линии[#Headers])</f>
        <v>326</v>
      </c>
      <c r="AX328" s="6" t="str">
        <f t="shared" si="618"/>
        <v>НВК</v>
      </c>
      <c r="AY328" t="str">
        <f t="shared" si="619"/>
        <v>00.002Тб.2</v>
      </c>
      <c r="AZ328" t="str">
        <f t="shared" si="620"/>
        <v>00</v>
      </c>
      <c r="BA328" t="str">
        <f t="shared" si="621"/>
        <v>002Тб.2</v>
      </c>
      <c r="BB328" t="str">
        <f t="shared" si="622"/>
        <v>002Тб</v>
      </c>
      <c r="BC328" t="str">
        <f>IF(U328&lt;&gt;"",U328,IF(AND(B328&lt;&gt;"",B328&lt;&gt;A328,ISNUMBER(_xlfn.XMATCH(B328,Щиты[Щит]))),B328,""))</f>
        <v/>
      </c>
      <c r="BD328" t="str" cm="1">
        <f t="array" ref="BD328">IF(B328="","",IF(BC328&lt;&gt;"","Щит "&amp;BC328,_xlfn.LET(_xlpm.nm,IFERROR(_xlfn.XLOOKUP(AX328,Коды_код,Коды_имя)&amp;"",""),_xlpm.md,IFERROR(N(_xlfn.XLOOKUP(AX328,Коды_код,Коды_режим)),1),_xlpm.ex,IF(Имя_режим="по экспликации",IFERROR(_xlfn.XLOOKUP(AZ328&amp;"|"&amp;BB328,Экспликация[Этаж]&amp;"|"&amp;Экспликация[Помещение],Экспликация[Название])&amp;"",""),""),_xlpm.rm,IF(BB328="","",IF(_xlpm.ex&lt;&gt;"",". "&amp;_xlpm.ex&amp;IF(Имя_пом="нет"," ("&amp;BB328&amp;")"," (пом. "&amp;BB328&amp;")"),IF(Имя_пом="нет"," ",", пом. ")&amp;BB328)),IF(_xlpm.nm="","",IF(_xlpm.md=2,_xlpm.nm&amp;" шлейф "&amp;AZ328,_xlpm.nm&amp;_xlpm.rm)))))</f>
        <v>Насос дренажный, пом. 002Тб</v>
      </c>
      <c r="BE328" t="str">
        <f t="shared" si="623"/>
        <v>Насос дренажный, пом. 002Тб</v>
      </c>
      <c r="BF328">
        <f>IFERROR(_xlfn.XMATCH(A328,Щиты[Щит]),0)</f>
        <v>14</v>
      </c>
      <c r="BG328">
        <f>_xlfn.LET(_xlpm.k,IFERROR(_xlfn.XLOOKUP(A328,Щиты[Щит],Щиты[Листов под вводной узел]),""),IF(_xlpm.k="",1,N(_xlpm.k))*Столбцов_на_лист)</f>
        <v>17</v>
      </c>
      <c r="BH328">
        <f t="shared" si="624"/>
        <v>20</v>
      </c>
      <c r="BI328" t="str">
        <f t="shared" si="625"/>
        <v>линии</v>
      </c>
      <c r="BJ328" s="6">
        <f>IFERROR(N(_xlfn.XLOOKUP(AX328,Коды_код,Коды_квт)),0)</f>
        <v>0</v>
      </c>
      <c r="BK328">
        <f t="shared" si="626"/>
        <v>0</v>
      </c>
      <c r="BL328" t="str">
        <f>IF(B328="","",IF(BC328&lt;&gt;"",IFERROR(_xlfn.XLOOKUP(BC328,Щиты[Щит],Щиты[Руст, кВт]),0),IF(BK328=1,IFERROR(_xlfn.XLOOKUP(A328,Щиты[Щит],Щиты[Руст, кВт]),0),IF(BJ328&gt;0,ROUND(BJ328*MAX(1,N(D328)),3),""))))</f>
        <v/>
      </c>
      <c r="BM328">
        <f t="shared" si="627"/>
        <v>0.6</v>
      </c>
      <c r="BN328" s="6">
        <f>IF(B328="","",IF(BC328&lt;&gt;"",IFERROR(_xlfn.XLOOKUP(BC328,Щиты[Щит],Щиты[Руст, кВт]),0),N(BM328)))</f>
        <v>0.6</v>
      </c>
      <c r="BO328" t="str">
        <f>IF(B328="","",IFERROR(IF(VLOOKUP(AX328,Потребители_обозначение,8,FALSE)=0,"",VLOOKUP(AX328,Потребители_обозначение,8,FALSE)),""))</f>
        <v/>
      </c>
      <c r="BP328">
        <f t="shared" si="628"/>
        <v>230</v>
      </c>
      <c r="BQ328">
        <f>IF(B328="","",IF(BC328&lt;&gt;"",3,IFERROR(IF(N(VLOOKUP(AX328,Потребители_обозначение,9,FALSE))=0,1,VLOOKUP(AX328,Потребители_обозначение,9,FALSE)),1)))</f>
        <v>1</v>
      </c>
      <c r="BR328">
        <f t="shared" si="629"/>
        <v>1</v>
      </c>
      <c r="BS328" t="str">
        <f>IF(B328="","",_xlfn.LET(_xlpm.bc,IFERROR(IF(VLOOKUP(AX328,Потребители_обозначение,6,FALSE)=0,"",VLOOKUP(AX328,Потребители_обозначение,6,FALSE)&amp;""),""),IF(AND(FK328="да",OR(_xlpm.bc="",_xlpm.bc="мс")),Марка_пож,IF(AND(_xlpm.bc="",BC328&lt;&gt;""),"мс",_xlpm.bc))))</f>
        <v/>
      </c>
      <c r="BT328" t="str">
        <f t="shared" si="630"/>
        <v>мс</v>
      </c>
      <c r="BU328">
        <f>IF(B328="","",_xlfn.LET(_xlpm.cc,IFERROR(N(VLOOKUP(AX328,Потребители_обозначение,7,FALSE)),0),IF(_xlpm.cc&gt;0,_xlpm.cc,IF(BT328="","",IF(N(BR328)=3,5,3)))))</f>
        <v>3</v>
      </c>
      <c r="BV328">
        <f t="shared" si="631"/>
        <v>3</v>
      </c>
      <c r="BW328">
        <f>IFERROR(N(VLOOKUP(AX328,Потребители_обозначение,10,FALSE)),0)</f>
        <v>0</v>
      </c>
      <c r="BX328">
        <f>IFERROR(VLOOKUP(AX328,Потребители_обозначение,5,FALSE),0)</f>
        <v>1</v>
      </c>
      <c r="BY328" s="6" cm="1">
        <f t="array" ref="BY328">IF(B328="","",IF(BC328&lt;&gt;"",IFERROR(_xlfn.XLOOKUP(BC328,Щиты[Щит],Щиты[cos φ]),0.95),IF(BK328=1,IFERROR(_xlfn.XLOOKUP(A328,Щиты[Щит],Щиты[cos φ]),0.95),IF(ISNUMBER(Z328),Z328,IFERROR(IF(BX328=2,_xlfn.IFS(BR328=3,VLOOKUP(BN328,Справочная_двигатели,8,FALSE),BR328=1,VLOOKUP(BN328,Справочная_двигатели,10,TRUE)),IF(AND(Методика="нормы 2026",EQ328="Сил"),0.8,0.95)),0.95)))))</f>
        <v>0.8</v>
      </c>
      <c r="BZ328">
        <f t="shared" si="632"/>
        <v>0</v>
      </c>
      <c r="CA328">
        <f t="shared" si="633"/>
        <v>1</v>
      </c>
      <c r="CB328">
        <f t="shared" si="634"/>
        <v>0</v>
      </c>
      <c r="CC328">
        <f t="shared" si="635"/>
        <v>0</v>
      </c>
      <c r="CD328">
        <f t="shared" si="636"/>
        <v>0</v>
      </c>
      <c r="CE328">
        <f t="shared" si="637"/>
        <v>0</v>
      </c>
      <c r="CF328">
        <f t="shared" si="638"/>
        <v>0</v>
      </c>
      <c r="CG328">
        <f>IF(AX328="",0,_xlfn.LET(_xlpm.v,IFERROR(VLOOKUP(B328,УГО_спр,3,FALSE),IFERROR(VLOOKUP(AX328,УГО_спр,3,FALSE),IFERROR(VLOOKUP(LEFT(AX328,2),УГО_спр,3,FALSE),""))),IF(_xlpm.v="да",30,IF(ISNUMBER(_xlpm.v),_xlpm.v,0))))</f>
        <v>0</v>
      </c>
      <c r="CH328" t="str">
        <f t="shared" si="639"/>
        <v/>
      </c>
      <c r="CI328" t="str">
        <f>_xlfn.LET(_xlpm.k,IFERROR(_xlfn.XLOOKUP(AX328,Коды_код,Коды_утечка)&amp;"",""),IF(_xlpm.k="","дифавтомат",_xlpm.k))</f>
        <v>дифавтомат</v>
      </c>
      <c r="CJ328">
        <f t="shared" si="640"/>
        <v>0</v>
      </c>
      <c r="CK328">
        <f t="shared" si="641"/>
        <v>0</v>
      </c>
      <c r="CL328">
        <f>IF(B328="",0,IFERROR(--VLOOKUP(B328,УГО_спр,4,FALSE),IFERROR(--VLOOKUP(AX328,УГО_спр,4,FALSE),IFERROR(--VLOOKUP(LEFT(AX328,2),УГО_спр,4,FALSE),0))))</f>
        <v>0</v>
      </c>
      <c r="CM328" t="str">
        <f>IF(B328="","",IFERROR(_xlfn.XLOOKUP(AX328,Коды_код,Коды_апп)&amp;"",""))</f>
        <v/>
      </c>
      <c r="CN328" t="str">
        <f t="shared" si="642"/>
        <v/>
      </c>
      <c r="CO328" t="str" cm="1">
        <f t="array" ref="CO328">IF(TRIM(CN328&amp;"")="","",IFERROR(TRIM(INDEX(_xlfn.TEXTSPLIT(CN328&amp;";;;",";"),1)),""))</f>
        <v/>
      </c>
      <c r="CP328" t="str" cm="1">
        <f t="array" ref="CP328">IF(TRIM(CN328&amp;"")="","",IFERROR(TRIM(INDEX(_xlfn.TEXTSPLIT(CN328&amp;";;;",";"),2)),""))</f>
        <v/>
      </c>
      <c r="CQ328" t="str" cm="1">
        <f t="array" ref="CQ328">IF(TRIM(CN328&amp;"")="","",IFERROR(TRIM(INDEX(_xlfn.TEXTSPLIT(CN328&amp;";;;",";"),3)),""))</f>
        <v/>
      </c>
      <c r="CR328">
        <f t="shared" si="643"/>
        <v>0</v>
      </c>
      <c r="CS328" t="str">
        <f>IF(B328="","",_xlfn.LET(_xlpm.t,LOWER(AV328&amp;""),IF(ISNUMBER(SEARCH("dim",_xlpm.t)),"DIM",IF(ISNUMBER(SEARCH("dali",_xlpm.t)),"DALI",IF(OR(ISNUMBER(SEARCH("relay",_xlpm.t)),ISNUMBER(SEARCH("реле",_xlpm.t))),"Relay",IF(ISNUMBER(SEARCH("кнопк",_xlpm.t)),"",IFERROR(_xlfn.XLOOKUP(AX328,Коды_код,Коды_упр)&amp;"","")))))))</f>
        <v/>
      </c>
      <c r="CT328" t="str">
        <f t="shared" si="644"/>
        <v/>
      </c>
      <c r="CU328">
        <f>IF(B328="","",_xlfn.LET(_xlpm.ig,N(P328)+IF(AF328="вручную",0,N(CB328)),_xlpm.n0,IFERROR(VLOOKUP(_xlpm.ig,Автомат_номиналы,2,TRUE),0),_xlpm.mn,MAX(CL328,IF(AF328="вручную",0,N(CE328))),MAX(_xlpm.n0,_xlpm.mn,IF(CR328=1,Мин_автомат_БП,0))))</f>
        <v>6</v>
      </c>
      <c r="CV328">
        <f t="shared" si="645"/>
        <v>1</v>
      </c>
      <c r="CW328" t="str">
        <f t="shared" si="646"/>
        <v>1P</v>
      </c>
      <c r="CX328" t="str">
        <f>_xlfn.LET(_xlpm.cc,UPPER(TRIM(IFERROR(_xlfn.XLOOKUP(AX328,Коды_код,Коды_хар)&amp;"",""))),IF(OR(_xlpm.cc="B",_xlpm.cc="В"),"B",IF(_xlpm.cc="D","D","С")))</f>
        <v>С</v>
      </c>
      <c r="CY328" t="str">
        <f t="shared" si="647"/>
        <v>1P С6А</v>
      </c>
      <c r="CZ328">
        <f t="shared" si="648"/>
        <v>16</v>
      </c>
      <c r="DA328" t="str">
        <f t="shared" si="649"/>
        <v>1P С16А</v>
      </c>
      <c r="DB328" cm="1">
        <f t="array" ref="DB328">IF(DA328="","",_xlfn.LET(_xlpm.t,SUBSTITUTE(SUBSTITUTE(SUBSTITUTE(UPPER(DA328),"С","C"),"А","A"),"В","B"),_xlpm.tk,_xlfn.TEXTSPLIT(_xlpm.t,"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8" t="str">
        <f t="shared" si="650"/>
        <v>ok</v>
      </c>
      <c r="DD328">
        <f t="shared" si="651"/>
        <v>16</v>
      </c>
      <c r="DE328" t="str">
        <f t="shared" si="652"/>
        <v>1P С16А</v>
      </c>
      <c r="DF328">
        <f t="shared" si="653"/>
        <v>0</v>
      </c>
      <c r="DG328">
        <f t="shared" si="654"/>
        <v>0</v>
      </c>
      <c r="DH328">
        <f t="shared" si="655"/>
        <v>0</v>
      </c>
      <c r="DI328">
        <f t="shared" si="656"/>
        <v>3.2475952641916441</v>
      </c>
      <c r="DJ328">
        <f t="shared" si="657"/>
        <v>1</v>
      </c>
      <c r="DK328">
        <f>IF(ISNUMBER(AL328),AL328,К_прокл)</f>
        <v>1</v>
      </c>
      <c r="DL328">
        <f t="shared" si="658"/>
        <v>2</v>
      </c>
      <c r="DM328">
        <f>IFERROR(N(VLOOKUP(BT328,Кабель_обозначение,3,FALSE)),1)</f>
        <v>1</v>
      </c>
      <c r="DN328">
        <f>IFERROR(N(_xlfn.XLOOKUP(A328,Щиты[Щит],Щиты[ΔU до шин, %])),0)</f>
        <v>1.84</v>
      </c>
      <c r="DO328" t="str">
        <f>IFERROR(_xlfn.XLOOKUP(A328,Щиты[Щит],Щиты[Zпетли на шинах, Ом]),"")</f>
        <v/>
      </c>
      <c r="DP328">
        <f>IFERROR(N(_xlfn.XLOOKUP(A328,Щиты[Щит],Щиты[ΔU до шин (подбор), %])),0)</f>
        <v>4.8499999999999996</v>
      </c>
      <c r="DQ328" t="str">
        <f>IFERROR(_xlfn.XLOOKUP(A328,Щиты[Щит],Щиты[Zпетли на шинах (подбор), Ом]),"")</f>
        <v/>
      </c>
      <c r="DR328" t="str">
        <f t="shared" si="659"/>
        <v/>
      </c>
      <c r="DS328">
        <f t="shared" si="660"/>
        <v>10</v>
      </c>
      <c r="DT328">
        <f t="shared" si="661"/>
        <v>2</v>
      </c>
      <c r="DU328">
        <f t="shared" si="662"/>
        <v>0.6</v>
      </c>
      <c r="DV328" s="6">
        <f>IF(B328="","",IF(IFERROR(VLOOKUP(AX328,УГО_спр,2,FALSE),"")="Светильник",3,4)+IF(Методика="нормы 2026",MIN(0.5,MAX(0,N(Q328)-100)*0.005),0))</f>
        <v>4</v>
      </c>
      <c r="DW328" t="str" cm="1">
        <f t="array" ref="DW328">IF(OR(B328="",BT328="",DM328&lt;&gt;1),"",_xlfn.LET(_xlpm.sz,Iдоп_S,_xlpm.t_,CHOOSE(DL328,Iдоп_1ж,Iдоп_2ж,Iдоп_3ж)*DJ328*DK328,_xlpm.inn,N(DD328),_xlpm.smin,MAX(1.5,BW328),_xlpm.L_,N(Q328)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328)*(_xlpm.rho*_xlpm.L_/_xlpm.sz*N(BY328)+_xlpm.xx*_xlpm.L_*N(DU328)/1000)*N(P328)/((Uн_лин/SQRT(3))*1000)*100,999),_xlpm.kz,IF(OR(DG328=1,NOT(ISNUMBER(DQ328)),_xlpm.L_=0,_xlpm.inn=0),1,IFERROR(--(c_min*(Uн_лин*1000/SQRT(3))/(DQ328+2*ρкз_Cu*_xlpm.L_/_xlpm.sz)&gt;=GY328*_xlpm.inn),0)),_xlpm.ok,IFERROR((_xlpm.sz&gt;=_xlpm.smin)*(_xlpm.t_&gt;=_xlpm.inn)*IF(_xlpm.L_&gt;0,(_xlpm.du_+DP328&lt;=DV328+0.00001),1)*_xlpm.kz,0),_xlpm.r_,_xlfn._xlws.FILTER(_xlpm.sz,_xlpm.ok,"не подобрано"),INDEX(_xlpm.r_,1)))</f>
        <v>не подобрано</v>
      </c>
      <c r="DX328">
        <f t="shared" si="663"/>
        <v>2.5</v>
      </c>
      <c r="DY328" cm="1">
        <f t="array" ref="DY328">IF(OR(B328="",BT328="",DM328&lt;&gt;1),"",_xlfn.LET(_xlpm.sz,Iдоп_S,_xlpm.t_,CHOOSE(DL328,Iдоп_1ж,Iдоп_2ж,Iдоп_3ж)*DJ328*DK328,_xlpm.ok,IFERROR((_xlpm.sz&gt;=MAX(1.5,BW328))*(_xlpm.t_&gt;=N(DD328)),0),_xlpm.r_,_xlfn._xlws.FILTER(_xlpm.sz,_xlpm.ok,""),INDEX(_xlpm.r_,1)))</f>
        <v>1.5</v>
      </c>
      <c r="DZ328" s="6" cm="1">
        <f t="array" ref="DZ328">IFERROR(ROUNDUP(N(DT328)*(_xlfn.XLOOKUP(DY328,INDEX(Кабель_сопротивление,0,1),INDEX(Кабель_сопротивление,0,3))*N(Q328)/DY328*N(BY328)+_xlfn.XLOOKUP(DY328,INDEX(Кабель_сопротивление,0,1),INDEX(Кабель_сопротивление,0,2))*N(Q328)*N(DU328)/1000)*N(P328)/((Uн_лин/SQRT(3))*1000)*100,2),"")</f>
        <v>0.45</v>
      </c>
      <c r="EA328">
        <f>IFERROR(2*ρкз_Cu*N(Q328)/DY328,"")</f>
        <v>0.45586666666666664</v>
      </c>
      <c r="EB328">
        <f>IFERROR(VLOOKUP(DX328,Кабель_сопротивление,3,FALSE),"")</f>
        <v>2.2499999999999999E-2</v>
      </c>
      <c r="EC328">
        <f>IFERROR(VLOOKUP(DX328,Кабель_сопротивление,2,FALSE),"")</f>
        <v>0.1</v>
      </c>
      <c r="ED328">
        <f t="shared" si="664"/>
        <v>10</v>
      </c>
      <c r="EE328">
        <f t="shared" si="665"/>
        <v>0</v>
      </c>
      <c r="EF328">
        <f t="shared" si="666"/>
        <v>0.61301608206881475</v>
      </c>
      <c r="EG328" s="6">
        <f>IFERROR(ROUNDUP(EF328/((Uн_лин/SQRT(3))*1000)*100,2),"")</f>
        <v>0.27</v>
      </c>
      <c r="EH328" t="str">
        <f>IFERROR(VLOOKUP(BT328,Кабель_обозначение,2,FALSE),"")</f>
        <v>ВВГнг(А)-LS</v>
      </c>
      <c r="EI328" t="str">
        <f t="shared" si="667"/>
        <v>ВВГнг(А)-LS (3х2,5)</v>
      </c>
      <c r="EJ328" t="str">
        <f t="shared" si="668"/>
        <v>ВВГнг(А)-LS (3х2,5)
L=13-0,27%</v>
      </c>
      <c r="EK328">
        <f>IFERROR(2*ρкз_Cu*Q328/DX328,"")</f>
        <v>0.27351999999999999</v>
      </c>
      <c r="EL328">
        <f t="shared" si="669"/>
        <v>9.1000000000000011E-2</v>
      </c>
      <c r="EM328" s="6" t="str">
        <f>IFERROR(IF(OR(B328="",NOT(ISNUMBER(DX328)),N(Q328)=0),"",_xlfn.XLOOKUP(A328,Щиты[Щит],Щиты[Zпетли на шинах, Ом])+EK328),"")</f>
        <v/>
      </c>
      <c r="EN328" s="6" t="str">
        <f>IF(ISNUMBER(EM328),c_min*(Uн_лин*1000/SQRT(3))/EM328,"")</f>
        <v/>
      </c>
      <c r="EO328" s="6" t="str">
        <f>IFERROR(IF(OR(B328="",NOT(ISNUMBER(DX328))),"",1.05*(Uн_лин*1000/SQRT(3))/(_xlfn.XLOOKUP(A328,Щиты[Щит],Щиты[Zmax на шинах, Ом])+EL328)/1000),"")</f>
        <v/>
      </c>
      <c r="EP328" s="6" t="str">
        <f>IF(B328="","",IF(ISNUMBER(Y328),"Сил",IF(IFERROR(_xlfn.XLOOKUP(AX328,Коды_код,Коды_группа)&amp;"","")="","Быт",_xlfn.XLOOKUP(AX328,Коды_код,Коды_группа)&amp;"")))</f>
        <v>Сил</v>
      </c>
      <c r="EQ328" s="6" t="str">
        <f t="shared" si="670"/>
        <v>Сил</v>
      </c>
      <c r="ER328" s="6">
        <f>IF(EQ328="Щит","щит",IF(EQ328="","",IF(EQ328="Быт",IFERROR(_xlfn.XLOOKUP(A328,Щиты[Щит],Щиты[Кс быт]),1),IF(EQ328="Сил",IF(ISNUMBER(Y328),Y328,IF(Методика="нормы 2026",IFERROR(_xlfn.XLOOKUP(A328,Щиты[Щит],Щиты[Кс силовых (табл. 7.5)]),1),1)),IF(OR(EQ328="Пост",EQ328="Отоп"),1,IF(EQ328="ВНГ",0.7,0))))))</f>
        <v>0.7</v>
      </c>
      <c r="ES328">
        <f t="shared" si="671"/>
        <v>1</v>
      </c>
      <c r="ET328">
        <f t="shared" si="672"/>
        <v>0.6</v>
      </c>
      <c r="EU328">
        <f t="shared" si="673"/>
        <v>0</v>
      </c>
      <c r="EV328">
        <f t="shared" si="674"/>
        <v>0.42</v>
      </c>
      <c r="EW328">
        <f t="shared" si="675"/>
        <v>0</v>
      </c>
      <c r="EX328">
        <f t="shared" si="676"/>
        <v>0</v>
      </c>
      <c r="EY328">
        <f t="shared" si="677"/>
        <v>0</v>
      </c>
      <c r="EZ328">
        <f t="shared" si="678"/>
        <v>0.6</v>
      </c>
      <c r="FA328">
        <f t="shared" si="679"/>
        <v>0.48</v>
      </c>
      <c r="FB328">
        <f t="shared" si="680"/>
        <v>0.6</v>
      </c>
      <c r="FC328" t="str">
        <f t="shared" si="681"/>
        <v>L1</v>
      </c>
      <c r="FD328" t="str">
        <f>IF(B328="","",IF(CA328=0,IF(AW328=1,"",FF327),IF(OR(N(CV328)&gt;=3,N(BR328)&gt;=3),"L1,L2,L3",IFERROR(_xlfn.TEXTBEFORE(_xlfn.TEXTAFTER(_xlfn.XLOOKUP(A328,Щиты[Щит],Щиты[_фазы авто]),";"&amp;AW328&amp;":"),";"),"L1"))))</f>
        <v>L1</v>
      </c>
      <c r="FE328" t="str">
        <f t="shared" si="682"/>
        <v>L1</v>
      </c>
      <c r="FF328" t="str">
        <f t="shared" si="683"/>
        <v>L1</v>
      </c>
      <c r="FG328" cm="1">
        <f t="array" ref="FG328">IFERROR(IF(BX328=2,_xlfn.IFS(BR328=3,VLOOKUP(BN328,Справочная_двигатели,3,FALSE),BR328=1,VLOOKUP(BN328,Справочная_двигатели,5,TRUE)),0),0)</f>
        <v>0</v>
      </c>
      <c r="FH328">
        <f>IFERROR(IF(BX328=3,VLOOKUP(BN328,Справочная_ЛЭД,2,TRUE),0),0)</f>
        <v>0</v>
      </c>
      <c r="FI328" s="6">
        <f t="shared" si="684"/>
        <v>0</v>
      </c>
      <c r="FJ328" t="str" cm="1">
        <f t="array" ref="FJ328">IF(B328="","",IFERROR(INDEX({"I особая","I","II","III"},MATCH(TRIM(AC328&amp;""),{"I особая","I","II","III"},0)),"III"))</f>
        <v>II</v>
      </c>
      <c r="FK328" t="str">
        <f>IF(B328="","",IF(TRIM(AD328&amp;"")&lt;&gt;"",IF(LOWER(TRIM(AD328&amp;""))="да","да","нет"),IF(IFERROR(_xlfn.XLOOKUP(AX328,Коды_код,Коды_пожарная),"")="да","да","нет")))</f>
        <v>нет</v>
      </c>
      <c r="FL328" t="str">
        <f t="shared" si="685"/>
        <v/>
      </c>
      <c r="FM328" t="str">
        <f t="shared" si="686"/>
        <v>основная</v>
      </c>
      <c r="FN328">
        <f t="shared" si="687"/>
        <v>1</v>
      </c>
      <c r="FO328" t="str" cm="1">
        <f t="array" ref="FO328">IF(B328="","",_xlfn.LET(_xlpm.t,IFERROR(_xlfn.XLOOKUP(1,(Шины[Шина]=FM328)*(((Шины[Щит]=A328)+(Шины[Щит]=""))&gt;0),Шины[Тип]),"")&amp;"",IF(_xlpm.t&lt;&gt;"",_xlpm.t,IF(ISNUMBER(SEARCH("ИБП",FM328)),"ИБП",IF(ISNUMBER(SEARCH("ДГУ",FM328)),"ДГУ","Ввод "&amp;FN328)))))</f>
        <v>Ввод 1</v>
      </c>
      <c r="FP328" t="str">
        <f t="shared" si="688"/>
        <v>Ввод 1</v>
      </c>
      <c r="FQ328" t="str">
        <f>IF(B328="","",IF(OR(FO328="ИБП",FO328="ДГУ"),"I особая",IF(FO328="Одиночная","III",_xlfn.XLOOKUP(A328,Щиты[Щит],Щиты[Категория шины «Ввод»],"III"))))</f>
        <v>II</v>
      </c>
      <c r="FR328">
        <f>IF(B328="",0,IFERROR(MATCH(FJ328,{"III","II","I","I особая"},0),1))</f>
        <v>2</v>
      </c>
      <c r="FS328">
        <f t="shared" si="689"/>
        <v>2</v>
      </c>
      <c r="FT328" t="str">
        <f>IF(B328="","",IF(FR328&gt;IFERROR(MATCH(FQ328,{"III","II","I","I особая"},0),1),"НЕ ОБЕСПЕЧЕНА","ОК"))</f>
        <v>ОК</v>
      </c>
      <c r="FU328" t="str">
        <f>IF(A328="","",_xlfn.XLOOKUP(A328,Щиты[Щит],Щиты[Путь],""))</f>
        <v>|ГРЩ-ЖД|ЩС-ВК.002|</v>
      </c>
      <c r="FV328" t="str">
        <f>IF(B328="","",IF(AE328&lt;&gt;"",AE328,IF(IFERROR(_xlfn.XLOOKUP(AX328,Коды_код,Коды_вид)&amp;"","")="","Прочее",_xlfn.XLOOKUP(AX328,Коды_код,Коды_вид)&amp;"")))</f>
        <v>Насосы (водоснабжение, дренаж)</v>
      </c>
      <c r="FW328">
        <f>IF(BH328="","",INT((BH328-1)/Столбцов_на_лист)+1)</f>
        <v>2</v>
      </c>
      <c r="FX328" t="str">
        <f t="shared" si="690"/>
        <v>ВВГнг(А)-LS (3х2,5) L=13-0,27%</v>
      </c>
      <c r="FY328">
        <f t="shared" si="691"/>
        <v>0.6</v>
      </c>
      <c r="FZ328">
        <f t="shared" si="692"/>
        <v>3.25</v>
      </c>
      <c r="GA328">
        <f t="shared" si="693"/>
        <v>1</v>
      </c>
      <c r="GB328">
        <f t="shared" si="694"/>
        <v>0</v>
      </c>
      <c r="GC328">
        <f t="shared" si="695"/>
        <v>1</v>
      </c>
      <c r="GD328">
        <f>IF(BH328="","",IF(AND(CA328=1,GC328=1),COUNTIFS(A$3:A328,A328,CA$3:CA328,1,GC$3:GC328,1),IF(OR(OR(AW328=1,A328&lt;&gt;A327),AF328="вручную",GC328=0),"",IF(AW328=1,"",GE327))))</f>
        <v>3</v>
      </c>
      <c r="GE328">
        <f t="shared" si="696"/>
        <v>3</v>
      </c>
      <c r="GF328">
        <f>IF(B328="","",IFERROR(LOOKUP(INDEX(CHOOSE(DL328,Iдоп_1ж,Iдоп_2ж,Iдоп_3ж),MATCH(DX328,Iдоп_S,0))*DJ328*DK328,{6,10,16,20,25,32,40,50,63,80,100,125,160,200,250,315,400,500,630}),""))</f>
        <v>25</v>
      </c>
      <c r="GG328" t="str">
        <f t="shared" si="697"/>
        <v>QF3</v>
      </c>
      <c r="GH328" t="str">
        <f t="shared" si="698"/>
        <v>QF3</v>
      </c>
      <c r="GI328" t="str">
        <f t="shared" si="699"/>
        <v/>
      </c>
      <c r="GJ328">
        <f t="shared" si="700"/>
        <v>0</v>
      </c>
      <c r="GK328" t="str">
        <f>IF(OR(AG328="",AG328="-"),"",IFERROR(VLOOKUP(AG328,Модули_спр,2,FALSE),"R"))</f>
        <v/>
      </c>
      <c r="GL328" t="str">
        <f>IF(GK328="","",GK328&amp;"."&amp;COUNTIFS(A$3:A328,A328,GK$3:GK328,GK328))</f>
        <v/>
      </c>
      <c r="GM328" t="str">
        <f t="shared" si="701"/>
        <v/>
      </c>
      <c r="GN328" t="str">
        <f t="shared" si="702"/>
        <v/>
      </c>
      <c r="GO328" t="str">
        <f t="shared" si="703"/>
        <v/>
      </c>
      <c r="GP328" t="str">
        <f t="shared" si="704"/>
        <v/>
      </c>
      <c r="GQ328">
        <f t="shared" si="705"/>
        <v>1</v>
      </c>
      <c r="GR328" t="str">
        <f>IF(GQ328=1,"XT"&amp;COUNTIFS(A$3:A328,A328,GQ$3:GQ328,1),"")</f>
        <v>XT3</v>
      </c>
      <c r="GS328" t="str">
        <f t="shared" si="706"/>
        <v>XT3</v>
      </c>
      <c r="GT328" t="str">
        <f t="shared" si="707"/>
        <v>QF3</v>
      </c>
      <c r="GU328" t="str">
        <f t="shared" si="708"/>
        <v/>
      </c>
      <c r="GV328" t="str">
        <f t="shared" si="709"/>
        <v>ok</v>
      </c>
      <c r="GW328" t="str">
        <f>IF(OR(GO328="",GM328=""),"",IF(GO328&gt;IFERROR(VLOOKUP(GN328,Модули_спр,3,FALSE),99),"ЛИШНИЙ КАНАЛ",IF(AND(AH328&lt;&gt;"=",COUNTIFS(Линии[_модуль гр.],GM328,Линии[Канал (итог)],GO328,Линии[Канал],"&lt;&gt;=",Линии[Щит],A328)&gt;1),"ДУБЛЬ КАНАЛА","")))</f>
        <v/>
      </c>
      <c r="GX328" s="6" t="str">
        <f t="shared" si="710"/>
        <v/>
      </c>
      <c r="GY328">
        <f t="shared" si="711"/>
        <v>10</v>
      </c>
      <c r="GZ328" t="str">
        <f t="shared" si="712"/>
        <v/>
      </c>
      <c r="HA328" t="str">
        <f>IF(AND(B328="",GT328=""),"",_xlfn.TEXTJOIN("; ",TRUE,IF(AND(B328&lt;&gt;"",FE328=""),"нет фазы",""),IF(AND(B328&lt;&gt;"",N(FY328)=0,EQ328&lt;&gt;"Нет"),"нет мощности",""),IF(AND(GS328&lt;&gt;"",COUNTIFS(Линии[Щит],A328,Линии[Клемма (итог)],GS328)&gt;1),"дубль клеммы "&amp;GS328,""),IF(AND(GV328&lt;&gt;"",GV328&lt;&gt;"ok"),GV328,""),IF(GW328&lt;&gt;"",GW328,""),IF(AND(N(BV328)&gt;=4,N(BR328)=1),BV328&amp;" жил на 1 фазе",""),IF(AND(AX328="R",CA328=1,OR(N(CK328)=0,N(CK328)&gt;30)),"розетка без дифзащиты до 30 мА",""),IFERROR(IF(AND(ISNUMBER(R328),R328&gt;DV328),"потери "&amp;FIXED(R328,1)&amp;" % &gt; "&amp;DV328&amp;" %",""),""),IFERROR(IF(LEFT(GZ328,4)="мало","Iкз мало — отключение &gt; 0,4 с",""),""),IF(AND(B328&lt;&gt;"",BH328=""),"не на схеме",""),IF(AND(CA328=0,B328&lt;&gt;"",FE328&lt;&gt;"",IF(AW328=1,"",FF327)&lt;&gt;"",FE328&lt;&gt;IF(AW328=1,"",FF327)),"фаза не как у автомата группы ("&amp;IF(AW328=1,"",FF327)&amp;")","")))</f>
        <v/>
      </c>
      <c r="HB328" s="6">
        <f>IF(OR(CA328=0,DA328=""),"",_xlfn.LET(_xlpm.t,IFERROR(_xlfn.XLOOKUP(DA328,Каталог!$U$4:$U$500,Каталог!$G$4:$G$500),""),_xlpm.k,SEARCH("кА",_xlpm.t),IFERROR(--TRIM(RIGHT(SUBSTITUTE(MID(_xlpm.t,MAX(1,_xlpm.k-4),_xlpm.k-MAX(1,_xlpm.k-4))," ",REPT(" ",9)),5)),"")))</f>
        <v>6</v>
      </c>
      <c r="HC328" t="str">
        <f>IF(OR(HB328="",CA328=0),"",IF(_xlfn.XLOOKUP(A328,Щиты[Щит],Щиты[Iкз max на шинах, кА],"")="","",IF(HB328&lt;_xlfn.XLOOKUP(A328,Щиты[Щит],Щиты[Iкз max на шинах, кА]),"Icu "&amp;HB328&amp;" кА &lt; Iкз max","ok")))</f>
        <v/>
      </c>
      <c r="HD328" t="str">
        <f t="shared" si="713"/>
        <v/>
      </c>
      <c r="HE328" t="str">
        <f t="shared" si="714"/>
        <v>QF3|XT3</v>
      </c>
      <c r="HF328" t="str">
        <f t="shared" si="715"/>
        <v>QF3|XT3|кабель ВВГнг(А)-LS (3х2,5) → Насос дренажный, пом. 002Тб</v>
      </c>
      <c r="HG328" t="str" cm="1">
        <f t="array" ref="HG328">IF(HF328="","",_xlfn.LET(_xlpm.nd,_xlfn.TEXTSPLIT(HF328,"|"),IF(COLUMNS(_xlpm.nd)&gt;1,A328&amp;"¦"&amp;INDEX(_xlpm.nd,1)&amp;"¦"&amp;INDEX(_xlpm.nd,2),"")))</f>
        <v>ЩС-ВК.002¦QF3¦XT3</v>
      </c>
      <c r="HH328" t="str">
        <f t="shared" si="716"/>
        <v>НВК.00.002Тб.2¦Насос дренажный, пом. 002Тб</v>
      </c>
      <c r="HI328" t="str" cm="1">
        <f t="array" ref="HI328">IF(HF328="","",_xlfn.LET(_xlpm.nd,_xlfn.TEXTSPLIT(HF328,"|"),IF(COLUMNS(_xlpm.nd)&gt;2,A328&amp;"¦"&amp;INDEX(_xlpm.nd,2)&amp;"¦"&amp;INDEX(_xlpm.nd,3),"")))</f>
        <v>ЩС-ВК.002¦XT3¦кабель ВВГнг(А)-LS (3х2,5) → Насос дренажный, пом. 002Тб</v>
      </c>
      <c r="HJ328" t="str">
        <f t="shared" si="717"/>
        <v>НВК.00.002Тб.2¦Насос дренажный, пом. 002Тб</v>
      </c>
      <c r="HK328" t="str" cm="1">
        <f t="array" ref="HK328">IF(HF328="","",_xlfn.LET(_xlpm.nd,_xlfn.TEXTSPLIT(HF328,"|"),IF(COLUMNS(_xlpm.nd)&gt;3,A328&amp;"¦"&amp;INDEX(_xlpm.nd,3)&amp;"¦"&amp;INDEX(_xlpm.nd,4),"")))</f>
        <v/>
      </c>
      <c r="HL328" t="str">
        <f t="shared" si="718"/>
        <v/>
      </c>
      <c r="HM328" t="str" cm="1">
        <f t="array" ref="HM328">IF(HF328="","",_xlfn.LET(_xlpm.nd,_xlfn.TEXTSPLIT(HF328,"|"),IF(COLUMNS(_xlpm.nd)&gt;4,A328&amp;"¦"&amp;INDEX(_xlpm.nd,4)&amp;"¦"&amp;INDEX(_xlpm.nd,5),"")))</f>
        <v/>
      </c>
      <c r="HN328" t="str">
        <f t="shared" si="719"/>
        <v/>
      </c>
      <c r="HO328" t="str" cm="1">
        <f t="array" ref="HO328">IF(HF328="","",_xlfn.LET(_xlpm.nd,_xlfn.TEXTSPLIT(HF328,"|"),IF(COLUMNS(_xlpm.nd)&gt;5,A328&amp;"¦"&amp;INDEX(_xlpm.nd,5)&amp;"¦"&amp;INDEX(_xlpm.nd,6),"")))</f>
        <v/>
      </c>
      <c r="HP328" t="str">
        <f t="shared" si="720"/>
        <v/>
      </c>
      <c r="HQ328" t="str" cm="1">
        <f t="array" ref="HQ328">IF(HF328="","",_xlfn.LET(_xlpm.nd,_xlfn.TEXTSPLIT(HF328,"|"),IF(COLUMNS(_xlpm.nd)&gt;6,A328&amp;"¦"&amp;INDEX(_xlpm.nd,6)&amp;"¦"&amp;INDEX(_xlpm.nd,7),"")))</f>
        <v/>
      </c>
      <c r="HR328" t="str">
        <f t="shared" si="721"/>
        <v/>
      </c>
      <c r="HS328" t="str">
        <f t="shared" si="722"/>
        <v/>
      </c>
      <c r="HT328" t="str">
        <f t="shared" si="723"/>
        <v>QF3 → XT3</v>
      </c>
      <c r="HU328">
        <f t="shared" si="724"/>
        <v>0</v>
      </c>
      <c r="HV328">
        <f t="shared" si="725"/>
        <v>0</v>
      </c>
      <c r="HW328" t="str">
        <f t="shared" si="726"/>
        <v/>
      </c>
      <c r="HX328" t="str">
        <f t="shared" si="727"/>
        <v/>
      </c>
      <c r="HY328" t="str">
        <f t="shared" si="728"/>
        <v/>
      </c>
      <c r="HZ328" t="str">
        <f t="shared" si="729"/>
        <v/>
      </c>
      <c r="IA328">
        <f>IF(B328="","",IFERROR(VLOOKUP(B328,УГО_спр,2,FALSE),IFERROR(VLOOKUP(AX328,УГО_спр,2,FALSE),IFERROR(VLOOKUP(LEFT(AX328,2),УГО_спр,2,FALSE),""))))</f>
        <v>0</v>
      </c>
      <c r="IB328" t="str">
        <f>IF(B328="","",IF(OR(IA328="",IA328=0),"BOX",IFERROR(IF(VLOOKUP(IA328,УГО_блоки,3,FALSE)&amp;""&lt;&gt;"",VLOOKUP(IA328,УГО_блоки,3,FALSE),VLOOKUP(IA328,УГО_блоки,2,FALSE)),IA328)))</f>
        <v>BOX</v>
      </c>
      <c r="IC328">
        <f t="shared" si="730"/>
        <v>1</v>
      </c>
      <c r="ID328" t="str">
        <f>IF(DA328="","",IF(COUNTIF(DA$3:DA328,DA328)=1,MAX(ID$2:ID327)+1,""))</f>
        <v/>
      </c>
      <c r="IE328" t="str">
        <f>IF(CO328="","",IF(COUNTIF(CO$3:CO328,CO328)+COUNTIF(CP$2:CP327,CO328)+COUNTIF(CQ$2:CQ327,CO328)=1,MAX(IE$2:IG327)+1,""))</f>
        <v/>
      </c>
      <c r="IF328" t="str">
        <f>IF(CP328="","",IF(COUNTIF(CO$3:CO328,CP328)+COUNTIF(CP$3:CP328,CP328)+COUNTIF(CQ$2:CQ327,CP328)=1,MAX(IE$2:IG327,IE328)+1,""))</f>
        <v/>
      </c>
      <c r="IG328" t="str">
        <f>IF(CQ328="","",IF(COUNTIF(CO$3:CO328,CQ328)+COUNTIF(CP$3:CP328,CQ328)+COUNTIF(CQ$3:CQ328,CQ328)=1,MAX(IE$2:IG327,IE328,IF328)+1,""))</f>
        <v/>
      </c>
      <c r="IH328" t="str">
        <f t="shared" si="731"/>
        <v>3х2,5</v>
      </c>
      <c r="II328" t="str">
        <f>IF(IH328="","",IF(COUNTIF(IH$3:IH328,IH328)=1,MAX(II$2:II327)+1,""))</f>
        <v/>
      </c>
      <c r="IJ328" t="str">
        <f>IF(GL328="","",COUNTIF(GL$3:GL328,"?*"))</f>
        <v/>
      </c>
      <c r="IK328" t="str">
        <f>IF(OR(GL328="",GN328=""),"",IF(COUNTIFS(GL$3:GL328,"?*",GN$3:GN328,GN328)=1,MAX(IK$2:IK327)+1,""))</f>
        <v/>
      </c>
      <c r="IL328">
        <f t="shared" si="732"/>
        <v>0</v>
      </c>
      <c r="IM328">
        <f>IF(B328="","",COUNTIF(B$3:B328,"?*"))</f>
        <v>326</v>
      </c>
      <c r="IN328">
        <f>IF(GQ328&lt;&gt;1,0,_xlfn.LET(_xlpm.k,MAX(IFERROR(--VLOOKUP(B328,УГО_спр,5,FALSE),0),IFERROR(--VLOOKUP(AX328,УГО_спр,5,FALSE),0),IFERROR(--VLOOKUP(LEFT(AX328,2),УГО_спр,5,FALSE),0)),IF(_xlpm.k&gt;0,_xlpm.k,IF(IFERROR(--LEFT(SUBSTITUTE(IH328,"x","х"),FIND("х",SUBSTITUTE(IH328,"x","х"))-1),3)&gt;3,Каталог!$S$9,1))))</f>
        <v>1</v>
      </c>
      <c r="IO328">
        <f t="shared" si="733"/>
        <v>0</v>
      </c>
      <c r="IP328" t="str">
        <f t="shared" si="734"/>
        <v>авто</v>
      </c>
      <c r="IQ328" t="str">
        <f t="shared" si="735"/>
        <v/>
      </c>
      <c r="IR328">
        <f t="shared" si="736"/>
        <v>0</v>
      </c>
      <c r="IS328">
        <f t="shared" si="737"/>
        <v>1</v>
      </c>
    </row>
    <row r="329" spans="1:253" x14ac:dyDescent="0.3">
      <c r="A329" t="s">
        <v>767</v>
      </c>
      <c r="B329" t="s">
        <v>1590</v>
      </c>
      <c r="C329" t="str">
        <f>Линии[[#This Row],[_авто наименование]]</f>
        <v>Насос дренажный, пом. 002Тб</v>
      </c>
      <c r="D329">
        <v>1</v>
      </c>
      <c r="E329">
        <v>0.6</v>
      </c>
      <c r="G329">
        <v>16</v>
      </c>
      <c r="H329" t="str">
        <f>Линии[[#This Row],[_авто утечка]]</f>
        <v/>
      </c>
      <c r="I329" t="str">
        <f>Линии[[#This Row],[_авто управление]]</f>
        <v/>
      </c>
      <c r="J329" t="str">
        <f>Линии[[#This Row],[_авто аппараты]]</f>
        <v/>
      </c>
      <c r="K329">
        <v>2.5</v>
      </c>
      <c r="L329">
        <v>10</v>
      </c>
      <c r="M329">
        <v>1</v>
      </c>
      <c r="N329" t="str">
        <f>Линии[[#This Row],[_авто клемма]]</f>
        <v>XT4</v>
      </c>
      <c r="O329" t="str">
        <f t="shared" si="615"/>
        <v/>
      </c>
      <c r="P329" s="6" cm="1">
        <f t="array" ref="P329">IF(B329="","",IF(BC329&lt;&gt;"",IFERROR(_xlfn.XLOOKUP(BC329,Щиты[Щит],Щиты[Iр, А]),""),IF(BK329=1,IFERROR(_xlfn.XLOOKUP(A329,Щиты[Щит],Щиты[Iр, А]),""),IFERROR(_xlfn.IFS(BR329=1,BN329/((Uн_лин/SQRT(3))*BY329),BR329=3,BN329/(SQRT(3)*Uн_лин*BY329)),""))))</f>
        <v>3.2475952641916441</v>
      </c>
      <c r="Q329" s="7">
        <f>IF(B329="","",IFERROR(IF(VLOOKUP(AX329,Потребители_обозначение,4,FALSE)=1,VLOOKUP(AX329,Потребители_обозначение,3,FALSE)*(D329*2-1)+DS329+VLOOKUP(AZ329,Этаж_обозначение,3,FALSE)+VLOOKUP(AZ329,Этаж_обозначение,4,FALSE),VLOOKUP(AX329,Потребители_обозначение,3,FALSE)*(D329*2-1)+DS329),DS329))</f>
        <v>13</v>
      </c>
      <c r="R329" s="6">
        <f t="shared" si="616"/>
        <v>2.1100000000000003</v>
      </c>
      <c r="S329" t="str">
        <f t="shared" si="617"/>
        <v>ВВГнг(А)-LS (3х2,5)</v>
      </c>
      <c r="T329" t="str">
        <f>IF(BH329="","",IF(BI329="вводной узел","узел ","")&amp;"л."&amp;(INT((BH329-1)/Столбцов_на_лист)+1)&amp;" / "&amp;(MOD(BH329-1,Столбцов_на_лист)+1))</f>
        <v>л.2 / 4</v>
      </c>
      <c r="V329">
        <v>1</v>
      </c>
      <c r="W329">
        <v>230</v>
      </c>
      <c r="X329" t="s">
        <v>600</v>
      </c>
      <c r="Y329">
        <v>0.7</v>
      </c>
      <c r="AC329" t="s">
        <v>815</v>
      </c>
      <c r="AE329" t="s">
        <v>606</v>
      </c>
      <c r="AI329">
        <v>21</v>
      </c>
      <c r="AJ329" t="s">
        <v>11</v>
      </c>
      <c r="AK329">
        <v>3</v>
      </c>
      <c r="AM329">
        <v>0</v>
      </c>
      <c r="AN329">
        <v>10</v>
      </c>
      <c r="AO329">
        <v>0</v>
      </c>
      <c r="AP329">
        <v>1</v>
      </c>
      <c r="AW329" cm="1">
        <f t="array" ref="AW329">ROW()-ROW(Линии[#Headers])</f>
        <v>327</v>
      </c>
      <c r="AX329" s="6" t="str">
        <f t="shared" si="618"/>
        <v>НВК</v>
      </c>
      <c r="AY329" t="str">
        <f t="shared" si="619"/>
        <v>00.002Тб.1</v>
      </c>
      <c r="AZ329" t="str">
        <f t="shared" si="620"/>
        <v>00</v>
      </c>
      <c r="BA329" t="str">
        <f t="shared" si="621"/>
        <v>002Тб.1</v>
      </c>
      <c r="BB329" t="str">
        <f t="shared" si="622"/>
        <v>002Тб</v>
      </c>
      <c r="BC329" t="str">
        <f>IF(U329&lt;&gt;"",U329,IF(AND(B329&lt;&gt;"",B329&lt;&gt;A329,ISNUMBER(_xlfn.XMATCH(B329,Щиты[Щит]))),B329,""))</f>
        <v/>
      </c>
      <c r="BD329" t="str" cm="1">
        <f t="array" ref="BD329">IF(B329="","",IF(BC329&lt;&gt;"","Щит "&amp;BC329,_xlfn.LET(_xlpm.nm,IFERROR(_xlfn.XLOOKUP(AX329,Коды_код,Коды_имя)&amp;"",""),_xlpm.md,IFERROR(N(_xlfn.XLOOKUP(AX329,Коды_код,Коды_режим)),1),_xlpm.ex,IF(Имя_режим="по экспликации",IFERROR(_xlfn.XLOOKUP(AZ329&amp;"|"&amp;BB329,Экспликация[Этаж]&amp;"|"&amp;Экспликация[Помещение],Экспликация[Название])&amp;"",""),""),_xlpm.rm,IF(BB329="","",IF(_xlpm.ex&lt;&gt;"",". "&amp;_xlpm.ex&amp;IF(Имя_пом="нет"," ("&amp;BB329&amp;")"," (пом. "&amp;BB329&amp;")"),IF(Имя_пом="нет"," ",", пом. ")&amp;BB329)),IF(_xlpm.nm="","",IF(_xlpm.md=2,_xlpm.nm&amp;" шлейф "&amp;AZ329,_xlpm.nm&amp;_xlpm.rm)))))</f>
        <v>Насос дренажный, пом. 002Тб</v>
      </c>
      <c r="BE329" t="str">
        <f t="shared" si="623"/>
        <v>Насос дренажный, пом. 002Тб</v>
      </c>
      <c r="BF329">
        <f>IFERROR(_xlfn.XMATCH(A329,Щиты[Щит]),0)</f>
        <v>14</v>
      </c>
      <c r="BG329">
        <f>_xlfn.LET(_xlpm.k,IFERROR(_xlfn.XLOOKUP(A329,Щиты[Щит],Щиты[Листов под вводной узел]),""),IF(_xlpm.k="",1,N(_xlpm.k))*Столбцов_на_лист)</f>
        <v>17</v>
      </c>
      <c r="BH329">
        <f t="shared" si="624"/>
        <v>21</v>
      </c>
      <c r="BI329" t="str">
        <f t="shared" si="625"/>
        <v>линии</v>
      </c>
      <c r="BJ329" s="6">
        <f>IFERROR(N(_xlfn.XLOOKUP(AX329,Коды_код,Коды_квт)),0)</f>
        <v>0</v>
      </c>
      <c r="BK329">
        <f t="shared" si="626"/>
        <v>0</v>
      </c>
      <c r="BL329" t="str">
        <f>IF(B329="","",IF(BC329&lt;&gt;"",IFERROR(_xlfn.XLOOKUP(BC329,Щиты[Щит],Щиты[Руст, кВт]),0),IF(BK329=1,IFERROR(_xlfn.XLOOKUP(A329,Щиты[Щит],Щиты[Руст, кВт]),0),IF(BJ329&gt;0,ROUND(BJ329*MAX(1,N(D329)),3),""))))</f>
        <v/>
      </c>
      <c r="BM329">
        <f t="shared" si="627"/>
        <v>0.6</v>
      </c>
      <c r="BN329" s="6">
        <f>IF(B329="","",IF(BC329&lt;&gt;"",IFERROR(_xlfn.XLOOKUP(BC329,Щиты[Щит],Щиты[Руст, кВт]),0),N(BM329)))</f>
        <v>0.6</v>
      </c>
      <c r="BO329" t="str">
        <f>IF(B329="","",IFERROR(IF(VLOOKUP(AX329,Потребители_обозначение,8,FALSE)=0,"",VLOOKUP(AX329,Потребители_обозначение,8,FALSE)),""))</f>
        <v/>
      </c>
      <c r="BP329">
        <f t="shared" si="628"/>
        <v>230</v>
      </c>
      <c r="BQ329">
        <f>IF(B329="","",IF(BC329&lt;&gt;"",3,IFERROR(IF(N(VLOOKUP(AX329,Потребители_обозначение,9,FALSE))=0,1,VLOOKUP(AX329,Потребители_обозначение,9,FALSE)),1)))</f>
        <v>1</v>
      </c>
      <c r="BR329">
        <f t="shared" si="629"/>
        <v>1</v>
      </c>
      <c r="BS329" t="str">
        <f>IF(B329="","",_xlfn.LET(_xlpm.bc,IFERROR(IF(VLOOKUP(AX329,Потребители_обозначение,6,FALSE)=0,"",VLOOKUP(AX329,Потребители_обозначение,6,FALSE)&amp;""),""),IF(AND(FK329="да",OR(_xlpm.bc="",_xlpm.bc="мс")),Марка_пож,IF(AND(_xlpm.bc="",BC329&lt;&gt;""),"мс",_xlpm.bc))))</f>
        <v/>
      </c>
      <c r="BT329" t="str">
        <f t="shared" si="630"/>
        <v>мс</v>
      </c>
      <c r="BU329">
        <f>IF(B329="","",_xlfn.LET(_xlpm.cc,IFERROR(N(VLOOKUP(AX329,Потребители_обозначение,7,FALSE)),0),IF(_xlpm.cc&gt;0,_xlpm.cc,IF(BT329="","",IF(N(BR329)=3,5,3)))))</f>
        <v>3</v>
      </c>
      <c r="BV329">
        <f t="shared" si="631"/>
        <v>3</v>
      </c>
      <c r="BW329">
        <f>IFERROR(N(VLOOKUP(AX329,Потребители_обозначение,10,FALSE)),0)</f>
        <v>0</v>
      </c>
      <c r="BX329">
        <f>IFERROR(VLOOKUP(AX329,Потребители_обозначение,5,FALSE),0)</f>
        <v>1</v>
      </c>
      <c r="BY329" s="6" cm="1">
        <f t="array" ref="BY329">IF(B329="","",IF(BC329&lt;&gt;"",IFERROR(_xlfn.XLOOKUP(BC329,Щиты[Щит],Щиты[cos φ]),0.95),IF(BK329=1,IFERROR(_xlfn.XLOOKUP(A329,Щиты[Щит],Щиты[cos φ]),0.95),IF(ISNUMBER(Z329),Z329,IFERROR(IF(BX329=2,_xlfn.IFS(BR329=3,VLOOKUP(BN329,Справочная_двигатели,8,FALSE),BR329=1,VLOOKUP(BN329,Справочная_двигатели,10,TRUE)),IF(AND(Методика="нормы 2026",EQ329="Сил"),0.8,0.95)),0.95)))))</f>
        <v>0.8</v>
      </c>
      <c r="BZ329">
        <f t="shared" si="632"/>
        <v>0</v>
      </c>
      <c r="CA329">
        <f t="shared" si="633"/>
        <v>1</v>
      </c>
      <c r="CB329">
        <f t="shared" si="634"/>
        <v>0</v>
      </c>
      <c r="CC329">
        <f t="shared" si="635"/>
        <v>0</v>
      </c>
      <c r="CD329">
        <f t="shared" si="636"/>
        <v>0</v>
      </c>
      <c r="CE329">
        <f t="shared" si="637"/>
        <v>0</v>
      </c>
      <c r="CF329">
        <f t="shared" si="638"/>
        <v>0</v>
      </c>
      <c r="CG329">
        <f>IF(AX329="",0,_xlfn.LET(_xlpm.v,IFERROR(VLOOKUP(B329,УГО_спр,3,FALSE),IFERROR(VLOOKUP(AX329,УГО_спр,3,FALSE),IFERROR(VLOOKUP(LEFT(AX329,2),УГО_спр,3,FALSE),""))),IF(_xlpm.v="да",30,IF(ISNUMBER(_xlpm.v),_xlpm.v,0))))</f>
        <v>0</v>
      </c>
      <c r="CH329" t="str">
        <f t="shared" si="639"/>
        <v/>
      </c>
      <c r="CI329" t="str">
        <f>_xlfn.LET(_xlpm.k,IFERROR(_xlfn.XLOOKUP(AX329,Коды_код,Коды_утечка)&amp;"",""),IF(_xlpm.k="","дифавтомат",_xlpm.k))</f>
        <v>дифавтомат</v>
      </c>
      <c r="CJ329">
        <f t="shared" si="640"/>
        <v>0</v>
      </c>
      <c r="CK329">
        <f t="shared" si="641"/>
        <v>0</v>
      </c>
      <c r="CL329">
        <f>IF(B329="",0,IFERROR(--VLOOKUP(B329,УГО_спр,4,FALSE),IFERROR(--VLOOKUP(AX329,УГО_спр,4,FALSE),IFERROR(--VLOOKUP(LEFT(AX329,2),УГО_спр,4,FALSE),0))))</f>
        <v>0</v>
      </c>
      <c r="CM329" t="str">
        <f>IF(B329="","",IFERROR(_xlfn.XLOOKUP(AX329,Коды_код,Коды_апп)&amp;"",""))</f>
        <v/>
      </c>
      <c r="CN329" t="str">
        <f t="shared" si="642"/>
        <v/>
      </c>
      <c r="CO329" t="str" cm="1">
        <f t="array" ref="CO329">IF(TRIM(CN329&amp;"")="","",IFERROR(TRIM(INDEX(_xlfn.TEXTSPLIT(CN329&amp;";;;",";"),1)),""))</f>
        <v/>
      </c>
      <c r="CP329" t="str" cm="1">
        <f t="array" ref="CP329">IF(TRIM(CN329&amp;"")="","",IFERROR(TRIM(INDEX(_xlfn.TEXTSPLIT(CN329&amp;";;;",";"),2)),""))</f>
        <v/>
      </c>
      <c r="CQ329" t="str" cm="1">
        <f t="array" ref="CQ329">IF(TRIM(CN329&amp;"")="","",IFERROR(TRIM(INDEX(_xlfn.TEXTSPLIT(CN329&amp;";;;",";"),3)),""))</f>
        <v/>
      </c>
      <c r="CR329">
        <f t="shared" si="643"/>
        <v>0</v>
      </c>
      <c r="CS329" t="str">
        <f>IF(B329="","",_xlfn.LET(_xlpm.t,LOWER(AV329&amp;""),IF(ISNUMBER(SEARCH("dim",_xlpm.t)),"DIM",IF(ISNUMBER(SEARCH("dali",_xlpm.t)),"DALI",IF(OR(ISNUMBER(SEARCH("relay",_xlpm.t)),ISNUMBER(SEARCH("реле",_xlpm.t))),"Relay",IF(ISNUMBER(SEARCH("кнопк",_xlpm.t)),"",IFERROR(_xlfn.XLOOKUP(AX329,Коды_код,Коды_упр)&amp;"","")))))))</f>
        <v/>
      </c>
      <c r="CT329" t="str">
        <f t="shared" si="644"/>
        <v/>
      </c>
      <c r="CU329">
        <f>IF(B329="","",_xlfn.LET(_xlpm.ig,N(P329)+IF(AF329="вручную",0,N(CB329)),_xlpm.n0,IFERROR(VLOOKUP(_xlpm.ig,Автомат_номиналы,2,TRUE),0),_xlpm.mn,MAX(CL329,IF(AF329="вручную",0,N(CE329))),MAX(_xlpm.n0,_xlpm.mn,IF(CR329=1,Мин_автомат_БП,0))))</f>
        <v>6</v>
      </c>
      <c r="CV329">
        <f t="shared" si="645"/>
        <v>1</v>
      </c>
      <c r="CW329" t="str">
        <f t="shared" si="646"/>
        <v>1P</v>
      </c>
      <c r="CX329" t="str">
        <f>_xlfn.LET(_xlpm.cc,UPPER(TRIM(IFERROR(_xlfn.XLOOKUP(AX329,Коды_код,Коды_хар)&amp;"",""))),IF(OR(_xlpm.cc="B",_xlpm.cc="В"),"B",IF(_xlpm.cc="D","D","С")))</f>
        <v>С</v>
      </c>
      <c r="CY329" t="str">
        <f t="shared" si="647"/>
        <v>1P С6А</v>
      </c>
      <c r="CZ329">
        <f t="shared" si="648"/>
        <v>16</v>
      </c>
      <c r="DA329" t="str">
        <f t="shared" si="649"/>
        <v>1P С16А</v>
      </c>
      <c r="DB329" cm="1">
        <f t="array" ref="DB329">IF(DA329="","",_xlfn.LET(_xlpm.t,SUBSTITUTE(SUBSTITUTE(SUBSTITUTE(UPPER(DA329),"С","C"),"А","A"),"В","B"),_xlpm.tk,_xlfn.TEXTSPLIT(_xlpm.t,"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9" t="str">
        <f t="shared" si="650"/>
        <v>ok</v>
      </c>
      <c r="DD329">
        <f t="shared" si="651"/>
        <v>16</v>
      </c>
      <c r="DE329" t="str">
        <f t="shared" si="652"/>
        <v>1P С16А</v>
      </c>
      <c r="DF329">
        <f t="shared" si="653"/>
        <v>0</v>
      </c>
      <c r="DG329">
        <f t="shared" si="654"/>
        <v>0</v>
      </c>
      <c r="DH329">
        <f t="shared" si="655"/>
        <v>0</v>
      </c>
      <c r="DI329">
        <f t="shared" si="656"/>
        <v>3.2475952641916441</v>
      </c>
      <c r="DJ329">
        <f t="shared" si="657"/>
        <v>1</v>
      </c>
      <c r="DK329">
        <f>IF(ISNUMBER(AL329),AL329,К_прокл)</f>
        <v>1</v>
      </c>
      <c r="DL329">
        <f t="shared" si="658"/>
        <v>2</v>
      </c>
      <c r="DM329">
        <f>IFERROR(N(VLOOKUP(BT329,Кабель_обозначение,3,FALSE)),1)</f>
        <v>1</v>
      </c>
      <c r="DN329">
        <f>IFERROR(N(_xlfn.XLOOKUP(A329,Щиты[Щит],Щиты[ΔU до шин, %])),0)</f>
        <v>1.84</v>
      </c>
      <c r="DO329" t="str">
        <f>IFERROR(_xlfn.XLOOKUP(A329,Щиты[Щит],Щиты[Zпетли на шинах, Ом]),"")</f>
        <v/>
      </c>
      <c r="DP329">
        <f>IFERROR(N(_xlfn.XLOOKUP(A329,Щиты[Щит],Щиты[ΔU до шин (подбор), %])),0)</f>
        <v>4.8499999999999996</v>
      </c>
      <c r="DQ329" t="str">
        <f>IFERROR(_xlfn.XLOOKUP(A329,Щиты[Щит],Щиты[Zпетли на шинах (подбор), Ом]),"")</f>
        <v/>
      </c>
      <c r="DR329" t="str">
        <f t="shared" si="659"/>
        <v/>
      </c>
      <c r="DS329">
        <f t="shared" si="660"/>
        <v>10</v>
      </c>
      <c r="DT329">
        <f t="shared" si="661"/>
        <v>2</v>
      </c>
      <c r="DU329">
        <f t="shared" si="662"/>
        <v>0.6</v>
      </c>
      <c r="DV329" s="6">
        <f>IF(B329="","",IF(IFERROR(VLOOKUP(AX329,УГО_спр,2,FALSE),"")="Светильник",3,4)+IF(Методика="нормы 2026",MIN(0.5,MAX(0,N(Q329)-100)*0.005),0))</f>
        <v>4</v>
      </c>
      <c r="DW329" t="str" cm="1">
        <f t="array" ref="DW329">IF(OR(B329="",BT329="",DM329&lt;&gt;1),"",_xlfn.LET(_xlpm.sz,Iдоп_S,_xlpm.t_,CHOOSE(DL329,Iдоп_1ж,Iдоп_2ж,Iдоп_3ж)*DJ329*DK329,_xlpm.inn,N(DD329),_xlpm.smin,MAX(1.5,BW329),_xlpm.L_,N(Q329)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329)*(_xlpm.rho*_xlpm.L_/_xlpm.sz*N(BY329)+_xlpm.xx*_xlpm.L_*N(DU329)/1000)*N(P329)/((Uн_лин/SQRT(3))*1000)*100,999),_xlpm.kz,IF(OR(DG329=1,NOT(ISNUMBER(DQ329)),_xlpm.L_=0,_xlpm.inn=0),1,IFERROR(--(c_min*(Uн_лин*1000/SQRT(3))/(DQ329+2*ρкз_Cu*_xlpm.L_/_xlpm.sz)&gt;=GY329*_xlpm.inn),0)),_xlpm.ok,IFERROR((_xlpm.sz&gt;=_xlpm.smin)*(_xlpm.t_&gt;=_xlpm.inn)*IF(_xlpm.L_&gt;0,(_xlpm.du_+DP329&lt;=DV329+0.00001),1)*_xlpm.kz,0),_xlpm.r_,_xlfn._xlws.FILTER(_xlpm.sz,_xlpm.ok,"не подобрано"),INDEX(_xlpm.r_,1)))</f>
        <v>не подобрано</v>
      </c>
      <c r="DX329">
        <f t="shared" si="663"/>
        <v>2.5</v>
      </c>
      <c r="DY329" cm="1">
        <f t="array" ref="DY329">IF(OR(B329="",BT329="",DM329&lt;&gt;1),"",_xlfn.LET(_xlpm.sz,Iдоп_S,_xlpm.t_,CHOOSE(DL329,Iдоп_1ж,Iдоп_2ж,Iдоп_3ж)*DJ329*DK329,_xlpm.ok,IFERROR((_xlpm.sz&gt;=MAX(1.5,BW329))*(_xlpm.t_&gt;=N(DD329)),0),_xlpm.r_,_xlfn._xlws.FILTER(_xlpm.sz,_xlpm.ok,""),INDEX(_xlpm.r_,1)))</f>
        <v>1.5</v>
      </c>
      <c r="DZ329" s="6" cm="1">
        <f t="array" ref="DZ329">IFERROR(ROUNDUP(N(DT329)*(_xlfn.XLOOKUP(DY329,INDEX(Кабель_сопротивление,0,1),INDEX(Кабель_сопротивление,0,3))*N(Q329)/DY329*N(BY329)+_xlfn.XLOOKUP(DY329,INDEX(Кабель_сопротивление,0,1),INDEX(Кабель_сопротивление,0,2))*N(Q329)*N(DU329)/1000)*N(P329)/((Uн_лин/SQRT(3))*1000)*100,2),"")</f>
        <v>0.45</v>
      </c>
      <c r="EA329">
        <f>IFERROR(2*ρкз_Cu*N(Q329)/DY329,"")</f>
        <v>0.45586666666666664</v>
      </c>
      <c r="EB329">
        <f>IFERROR(VLOOKUP(DX329,Кабель_сопротивление,3,FALSE),"")</f>
        <v>2.2499999999999999E-2</v>
      </c>
      <c r="EC329">
        <f>IFERROR(VLOOKUP(DX329,Кабель_сопротивление,2,FALSE),"")</f>
        <v>0.1</v>
      </c>
      <c r="ED329">
        <f t="shared" si="664"/>
        <v>10</v>
      </c>
      <c r="EE329">
        <f t="shared" si="665"/>
        <v>0</v>
      </c>
      <c r="EF329">
        <f t="shared" si="666"/>
        <v>0.61301608206881475</v>
      </c>
      <c r="EG329" s="6">
        <f>IFERROR(ROUNDUP(EF329/((Uн_лин/SQRT(3))*1000)*100,2),"")</f>
        <v>0.27</v>
      </c>
      <c r="EH329" t="str">
        <f>IFERROR(VLOOKUP(BT329,Кабель_обозначение,2,FALSE),"")</f>
        <v>ВВГнг(А)-LS</v>
      </c>
      <c r="EI329" t="str">
        <f t="shared" si="667"/>
        <v>ВВГнг(А)-LS (3х2,5)</v>
      </c>
      <c r="EJ329" t="str">
        <f t="shared" si="668"/>
        <v>ВВГнг(А)-LS (3х2,5)
L=13-0,27%</v>
      </c>
      <c r="EK329">
        <f>IFERROR(2*ρкз_Cu*Q329/DX329,"")</f>
        <v>0.27351999999999999</v>
      </c>
      <c r="EL329">
        <f t="shared" si="669"/>
        <v>9.1000000000000011E-2</v>
      </c>
      <c r="EM329" s="6" t="str">
        <f>IFERROR(IF(OR(B329="",NOT(ISNUMBER(DX329)),N(Q329)=0),"",_xlfn.XLOOKUP(A329,Щиты[Щит],Щиты[Zпетли на шинах, Ом])+EK329),"")</f>
        <v/>
      </c>
      <c r="EN329" s="6" t="str">
        <f>IF(ISNUMBER(EM329),c_min*(Uн_лин*1000/SQRT(3))/EM329,"")</f>
        <v/>
      </c>
      <c r="EO329" s="6" t="str">
        <f>IFERROR(IF(OR(B329="",NOT(ISNUMBER(DX329))),"",1.05*(Uн_лин*1000/SQRT(3))/(_xlfn.XLOOKUP(A329,Щиты[Щит],Щиты[Zmax на шинах, Ом])+EL329)/1000),"")</f>
        <v/>
      </c>
      <c r="EP329" s="6" t="str">
        <f>IF(B329="","",IF(ISNUMBER(Y329),"Сил",IF(IFERROR(_xlfn.XLOOKUP(AX329,Коды_код,Коды_группа)&amp;"","")="","Быт",_xlfn.XLOOKUP(AX329,Коды_код,Коды_группа)&amp;"")))</f>
        <v>Сил</v>
      </c>
      <c r="EQ329" s="6" t="str">
        <f t="shared" si="670"/>
        <v>Сил</v>
      </c>
      <c r="ER329" s="6">
        <f>IF(EQ329="Щит","щит",IF(EQ329="","",IF(EQ329="Быт",IFERROR(_xlfn.XLOOKUP(A329,Щиты[Щит],Щиты[Кс быт]),1),IF(EQ329="Сил",IF(ISNUMBER(Y329),Y329,IF(Методика="нормы 2026",IFERROR(_xlfn.XLOOKUP(A329,Щиты[Щит],Щиты[Кс силовых (табл. 7.5)]),1),1)),IF(OR(EQ329="Пост",EQ329="Отоп"),1,IF(EQ329="ВНГ",0.7,0))))))</f>
        <v>0.7</v>
      </c>
      <c r="ES329">
        <f t="shared" si="671"/>
        <v>1</v>
      </c>
      <c r="ET329">
        <f t="shared" si="672"/>
        <v>0.6</v>
      </c>
      <c r="EU329">
        <f t="shared" si="673"/>
        <v>0</v>
      </c>
      <c r="EV329">
        <f t="shared" si="674"/>
        <v>0.42</v>
      </c>
      <c r="EW329">
        <f t="shared" si="675"/>
        <v>0</v>
      </c>
      <c r="EX329">
        <f t="shared" si="676"/>
        <v>0</v>
      </c>
      <c r="EY329">
        <f t="shared" si="677"/>
        <v>0</v>
      </c>
      <c r="EZ329">
        <f t="shared" si="678"/>
        <v>0.6</v>
      </c>
      <c r="FA329">
        <f t="shared" si="679"/>
        <v>0.48</v>
      </c>
      <c r="FB329">
        <f t="shared" si="680"/>
        <v>0.6</v>
      </c>
      <c r="FC329" t="str">
        <f t="shared" si="681"/>
        <v>L1</v>
      </c>
      <c r="FD329" t="str">
        <f>IF(B329="","",IF(CA329=0,IF(AW329=1,"",FF328),IF(OR(N(CV329)&gt;=3,N(BR329)&gt;=3),"L1,L2,L3",IFERROR(_xlfn.TEXTBEFORE(_xlfn.TEXTAFTER(_xlfn.XLOOKUP(A329,Щиты[Щит],Щиты[_фазы авто]),";"&amp;AW329&amp;":"),";"),"L1"))))</f>
        <v>L1</v>
      </c>
      <c r="FE329" t="str">
        <f t="shared" si="682"/>
        <v>L1</v>
      </c>
      <c r="FF329" t="str">
        <f t="shared" si="683"/>
        <v>L1</v>
      </c>
      <c r="FG329" cm="1">
        <f t="array" ref="FG329">IFERROR(IF(BX329=2,_xlfn.IFS(BR329=3,VLOOKUP(BN329,Справочная_двигатели,3,FALSE),BR329=1,VLOOKUP(BN329,Справочная_двигатели,5,TRUE)),0),0)</f>
        <v>0</v>
      </c>
      <c r="FH329">
        <f>IFERROR(IF(BX329=3,VLOOKUP(BN329,Справочная_ЛЭД,2,TRUE),0),0)</f>
        <v>0</v>
      </c>
      <c r="FI329" s="6">
        <f t="shared" si="684"/>
        <v>0</v>
      </c>
      <c r="FJ329" t="str" cm="1">
        <f t="array" ref="FJ329">IF(B329="","",IFERROR(INDEX({"I особая","I","II","III"},MATCH(TRIM(AC329&amp;""),{"I особая","I","II","III"},0)),"III"))</f>
        <v>II</v>
      </c>
      <c r="FK329" t="str">
        <f>IF(B329="","",IF(TRIM(AD329&amp;"")&lt;&gt;"",IF(LOWER(TRIM(AD329&amp;""))="да","да","нет"),IF(IFERROR(_xlfn.XLOOKUP(AX329,Коды_код,Коды_пожарная),"")="да","да","нет")))</f>
        <v>нет</v>
      </c>
      <c r="FL329" t="str">
        <f t="shared" si="685"/>
        <v/>
      </c>
      <c r="FM329" t="str">
        <f t="shared" si="686"/>
        <v>основная</v>
      </c>
      <c r="FN329">
        <f t="shared" si="687"/>
        <v>1</v>
      </c>
      <c r="FO329" t="str" cm="1">
        <f t="array" ref="FO329">IF(B329="","",_xlfn.LET(_xlpm.t,IFERROR(_xlfn.XLOOKUP(1,(Шины[Шина]=FM329)*(((Шины[Щит]=A329)+(Шины[Щит]=""))&gt;0),Шины[Тип]),"")&amp;"",IF(_xlpm.t&lt;&gt;"",_xlpm.t,IF(ISNUMBER(SEARCH("ИБП",FM329)),"ИБП",IF(ISNUMBER(SEARCH("ДГУ",FM329)),"ДГУ","Ввод "&amp;FN329)))))</f>
        <v>Ввод 1</v>
      </c>
      <c r="FP329" t="str">
        <f t="shared" si="688"/>
        <v>Ввод 1</v>
      </c>
      <c r="FQ329" t="str">
        <f>IF(B329="","",IF(OR(FO329="ИБП",FO329="ДГУ"),"I особая",IF(FO329="Одиночная","III",_xlfn.XLOOKUP(A329,Щиты[Щит],Щиты[Категория шины «Ввод»],"III"))))</f>
        <v>II</v>
      </c>
      <c r="FR329">
        <f>IF(B329="",0,IFERROR(MATCH(FJ329,{"III","II","I","I особая"},0),1))</f>
        <v>2</v>
      </c>
      <c r="FS329">
        <f t="shared" si="689"/>
        <v>2</v>
      </c>
      <c r="FT329" t="str">
        <f>IF(B329="","",IF(FR329&gt;IFERROR(MATCH(FQ329,{"III","II","I","I особая"},0),1),"НЕ ОБЕСПЕЧЕНА","ОК"))</f>
        <v>ОК</v>
      </c>
      <c r="FU329" t="str">
        <f>IF(A329="","",_xlfn.XLOOKUP(A329,Щиты[Щит],Щиты[Путь],""))</f>
        <v>|ГРЩ-ЖД|ЩС-ВК.002|</v>
      </c>
      <c r="FV329" t="str">
        <f>IF(B329="","",IF(AE329&lt;&gt;"",AE329,IF(IFERROR(_xlfn.XLOOKUP(AX329,Коды_код,Коды_вид)&amp;"","")="","Прочее",_xlfn.XLOOKUP(AX329,Коды_код,Коды_вид)&amp;"")))</f>
        <v>Насосы (водоснабжение, дренаж)</v>
      </c>
      <c r="FW329">
        <f>IF(BH329="","",INT((BH329-1)/Столбцов_на_лист)+1)</f>
        <v>2</v>
      </c>
      <c r="FX329" t="str">
        <f t="shared" si="690"/>
        <v>ВВГнг(А)-LS (3х2,5) L=13-0,27%</v>
      </c>
      <c r="FY329">
        <f t="shared" si="691"/>
        <v>0.6</v>
      </c>
      <c r="FZ329">
        <f t="shared" si="692"/>
        <v>3.25</v>
      </c>
      <c r="GA329">
        <f t="shared" si="693"/>
        <v>1</v>
      </c>
      <c r="GB329">
        <f t="shared" si="694"/>
        <v>0</v>
      </c>
      <c r="GC329">
        <f t="shared" si="695"/>
        <v>1</v>
      </c>
      <c r="GD329">
        <f>IF(BH329="","",IF(AND(CA329=1,GC329=1),COUNTIFS(A$3:A329,A329,CA$3:CA329,1,GC$3:GC329,1),IF(OR(OR(AW329=1,A329&lt;&gt;A328),AF329="вручную",GC329=0),"",IF(AW329=1,"",GE328))))</f>
        <v>4</v>
      </c>
      <c r="GE329">
        <f t="shared" si="696"/>
        <v>4</v>
      </c>
      <c r="GF329">
        <f>IF(B329="","",IFERROR(LOOKUP(INDEX(CHOOSE(DL329,Iдоп_1ж,Iдоп_2ж,Iдоп_3ж),MATCH(DX329,Iдоп_S,0))*DJ329*DK329,{6,10,16,20,25,32,40,50,63,80,100,125,160,200,250,315,400,500,630}),""))</f>
        <v>25</v>
      </c>
      <c r="GG329" t="str">
        <f t="shared" si="697"/>
        <v>QF4</v>
      </c>
      <c r="GH329" t="str">
        <f t="shared" si="698"/>
        <v>QF4</v>
      </c>
      <c r="GI329" t="str">
        <f t="shared" si="699"/>
        <v/>
      </c>
      <c r="GJ329">
        <f t="shared" si="700"/>
        <v>0</v>
      </c>
      <c r="GK329" t="str">
        <f>IF(OR(AG329="",AG329="-"),"",IFERROR(VLOOKUP(AG329,Модули_спр,2,FALSE),"R"))</f>
        <v/>
      </c>
      <c r="GL329" t="str">
        <f>IF(GK329="","",GK329&amp;"."&amp;COUNTIFS(A$3:A329,A329,GK$3:GK329,GK329))</f>
        <v/>
      </c>
      <c r="GM329" t="str">
        <f t="shared" si="701"/>
        <v/>
      </c>
      <c r="GN329" t="str">
        <f t="shared" si="702"/>
        <v/>
      </c>
      <c r="GO329" t="str">
        <f t="shared" si="703"/>
        <v/>
      </c>
      <c r="GP329" t="str">
        <f t="shared" si="704"/>
        <v/>
      </c>
      <c r="GQ329">
        <f t="shared" si="705"/>
        <v>1</v>
      </c>
      <c r="GR329" t="str">
        <f>IF(GQ329=1,"XT"&amp;COUNTIFS(A$3:A329,A329,GQ$3:GQ329,1),"")</f>
        <v>XT4</v>
      </c>
      <c r="GS329" t="str">
        <f t="shared" si="706"/>
        <v>XT4</v>
      </c>
      <c r="GT329" t="str">
        <f t="shared" si="707"/>
        <v>QF4</v>
      </c>
      <c r="GU329" t="str">
        <f t="shared" si="708"/>
        <v/>
      </c>
      <c r="GV329" t="str">
        <f t="shared" si="709"/>
        <v>ok</v>
      </c>
      <c r="GW329" t="str">
        <f>IF(OR(GO329="",GM329=""),"",IF(GO329&gt;IFERROR(VLOOKUP(GN329,Модули_спр,3,FALSE),99),"ЛИШНИЙ КАНАЛ",IF(AND(AH329&lt;&gt;"=",COUNTIFS(Линии[_модуль гр.],GM329,Линии[Канал (итог)],GO329,Линии[Канал],"&lt;&gt;=",Линии[Щит],A329)&gt;1),"ДУБЛЬ КАНАЛА","")))</f>
        <v/>
      </c>
      <c r="GX329" s="6" t="str">
        <f t="shared" si="710"/>
        <v/>
      </c>
      <c r="GY329">
        <f t="shared" si="711"/>
        <v>10</v>
      </c>
      <c r="GZ329" t="str">
        <f t="shared" si="712"/>
        <v/>
      </c>
      <c r="HA329" t="str">
        <f>IF(AND(B329="",GT329=""),"",_xlfn.TEXTJOIN("; ",TRUE,IF(AND(B329&lt;&gt;"",FE329=""),"нет фазы",""),IF(AND(B329&lt;&gt;"",N(FY329)=0,EQ329&lt;&gt;"Нет"),"нет мощности",""),IF(AND(GS329&lt;&gt;"",COUNTIFS(Линии[Щит],A329,Линии[Клемма (итог)],GS329)&gt;1),"дубль клеммы "&amp;GS329,""),IF(AND(GV329&lt;&gt;"",GV329&lt;&gt;"ok"),GV329,""),IF(GW329&lt;&gt;"",GW329,""),IF(AND(N(BV329)&gt;=4,N(BR329)=1),BV329&amp;" жил на 1 фазе",""),IF(AND(AX329="R",CA329=1,OR(N(CK329)=0,N(CK329)&gt;30)),"розетка без дифзащиты до 30 мА",""),IFERROR(IF(AND(ISNUMBER(R329),R329&gt;DV329),"потери "&amp;FIXED(R329,1)&amp;" % &gt; "&amp;DV329&amp;" %",""),""),IFERROR(IF(LEFT(GZ329,4)="мало","Iкз мало — отключение &gt; 0,4 с",""),""),IF(AND(B329&lt;&gt;"",BH329=""),"не на схеме",""),IF(AND(CA329=0,B329&lt;&gt;"",FE329&lt;&gt;"",IF(AW329=1,"",FF328)&lt;&gt;"",FE329&lt;&gt;IF(AW329=1,"",FF328)),"фаза не как у автомата группы ("&amp;IF(AW329=1,"",FF328)&amp;")","")))</f>
        <v/>
      </c>
      <c r="HB329" s="6">
        <f>IF(OR(CA329=0,DA329=""),"",_xlfn.LET(_xlpm.t,IFERROR(_xlfn.XLOOKUP(DA329,Каталог!$U$4:$U$500,Каталог!$G$4:$G$500),""),_xlpm.k,SEARCH("кА",_xlpm.t),IFERROR(--TRIM(RIGHT(SUBSTITUTE(MID(_xlpm.t,MAX(1,_xlpm.k-4),_xlpm.k-MAX(1,_xlpm.k-4))," ",REPT(" ",9)),5)),"")))</f>
        <v>6</v>
      </c>
      <c r="HC329" t="str">
        <f>IF(OR(HB329="",CA329=0),"",IF(_xlfn.XLOOKUP(A329,Щиты[Щит],Щиты[Iкз max на шинах, кА],"")="","",IF(HB329&lt;_xlfn.XLOOKUP(A329,Щиты[Щит],Щиты[Iкз max на шинах, кА]),"Icu "&amp;HB329&amp;" кА &lt; Iкз max","ok")))</f>
        <v/>
      </c>
      <c r="HD329" t="str">
        <f t="shared" si="713"/>
        <v/>
      </c>
      <c r="HE329" t="str">
        <f t="shared" si="714"/>
        <v>QF4|XT4</v>
      </c>
      <c r="HF329" t="str">
        <f t="shared" si="715"/>
        <v>QF4|XT4|кабель ВВГнг(А)-LS (3х2,5) → Насос дренажный, пом. 002Тб</v>
      </c>
      <c r="HG329" t="str" cm="1">
        <f t="array" ref="HG329">IF(HF329="","",_xlfn.LET(_xlpm.nd,_xlfn.TEXTSPLIT(HF329,"|"),IF(COLUMNS(_xlpm.nd)&gt;1,A329&amp;"¦"&amp;INDEX(_xlpm.nd,1)&amp;"¦"&amp;INDEX(_xlpm.nd,2),"")))</f>
        <v>ЩС-ВК.002¦QF4¦XT4</v>
      </c>
      <c r="HH329" t="str">
        <f t="shared" si="716"/>
        <v>НВК.00.002Тб.1¦Насос дренажный, пом. 002Тб</v>
      </c>
      <c r="HI329" t="str" cm="1">
        <f t="array" ref="HI329">IF(HF329="","",_xlfn.LET(_xlpm.nd,_xlfn.TEXTSPLIT(HF329,"|"),IF(COLUMNS(_xlpm.nd)&gt;2,A329&amp;"¦"&amp;INDEX(_xlpm.nd,2)&amp;"¦"&amp;INDEX(_xlpm.nd,3),"")))</f>
        <v>ЩС-ВК.002¦XT4¦кабель ВВГнг(А)-LS (3х2,5) → Насос дренажный, пом. 002Тб</v>
      </c>
      <c r="HJ329" t="str">
        <f t="shared" si="717"/>
        <v>НВК.00.002Тб.1¦Насос дренажный, пом. 002Тб</v>
      </c>
      <c r="HK329" t="str" cm="1">
        <f t="array" ref="HK329">IF(HF329="","",_xlfn.LET(_xlpm.nd,_xlfn.TEXTSPLIT(HF329,"|"),IF(COLUMNS(_xlpm.nd)&gt;3,A329&amp;"¦"&amp;INDEX(_xlpm.nd,3)&amp;"¦"&amp;INDEX(_xlpm.nd,4),"")))</f>
        <v/>
      </c>
      <c r="HL329" t="str">
        <f t="shared" si="718"/>
        <v/>
      </c>
      <c r="HM329" t="str" cm="1">
        <f t="array" ref="HM329">IF(HF329="","",_xlfn.LET(_xlpm.nd,_xlfn.TEXTSPLIT(HF329,"|"),IF(COLUMNS(_xlpm.nd)&gt;4,A329&amp;"¦"&amp;INDEX(_xlpm.nd,4)&amp;"¦"&amp;INDEX(_xlpm.nd,5),"")))</f>
        <v/>
      </c>
      <c r="HN329" t="str">
        <f t="shared" si="719"/>
        <v/>
      </c>
      <c r="HO329" t="str" cm="1">
        <f t="array" ref="HO329">IF(HF329="","",_xlfn.LET(_xlpm.nd,_xlfn.TEXTSPLIT(HF329,"|"),IF(COLUMNS(_xlpm.nd)&gt;5,A329&amp;"¦"&amp;INDEX(_xlpm.nd,5)&amp;"¦"&amp;INDEX(_xlpm.nd,6),"")))</f>
        <v/>
      </c>
      <c r="HP329" t="str">
        <f t="shared" si="720"/>
        <v/>
      </c>
      <c r="HQ329" t="str" cm="1">
        <f t="array" ref="HQ329">IF(HF329="","",_xlfn.LET(_xlpm.nd,_xlfn.TEXTSPLIT(HF329,"|"),IF(COLUMNS(_xlpm.nd)&gt;6,A329&amp;"¦"&amp;INDEX(_xlpm.nd,6)&amp;"¦"&amp;INDEX(_xlpm.nd,7),"")))</f>
        <v/>
      </c>
      <c r="HR329" t="str">
        <f t="shared" si="721"/>
        <v/>
      </c>
      <c r="HS329" t="str">
        <f t="shared" si="722"/>
        <v/>
      </c>
      <c r="HT329" t="str">
        <f t="shared" si="723"/>
        <v>QF4 → XT4</v>
      </c>
      <c r="HU329">
        <f t="shared" si="724"/>
        <v>0</v>
      </c>
      <c r="HV329">
        <f t="shared" si="725"/>
        <v>0</v>
      </c>
      <c r="HW329" t="str">
        <f t="shared" si="726"/>
        <v/>
      </c>
      <c r="HX329" t="str">
        <f t="shared" si="727"/>
        <v/>
      </c>
      <c r="HY329" t="str">
        <f t="shared" si="728"/>
        <v/>
      </c>
      <c r="HZ329" t="str">
        <f t="shared" si="729"/>
        <v/>
      </c>
      <c r="IA329">
        <f>IF(B329="","",IFERROR(VLOOKUP(B329,УГО_спр,2,FALSE),IFERROR(VLOOKUP(AX329,УГО_спр,2,FALSE),IFERROR(VLOOKUP(LEFT(AX329,2),УГО_спр,2,FALSE),""))))</f>
        <v>0</v>
      </c>
      <c r="IB329" t="str">
        <f>IF(B329="","",IF(OR(IA329="",IA329=0),"BOX",IFERROR(IF(VLOOKUP(IA329,УГО_блоки,3,FALSE)&amp;""&lt;&gt;"",VLOOKUP(IA329,УГО_блоки,3,FALSE),VLOOKUP(IA329,УГО_блоки,2,FALSE)),IA329)))</f>
        <v>BOX</v>
      </c>
      <c r="IC329">
        <f t="shared" si="730"/>
        <v>1</v>
      </c>
      <c r="ID329" t="str">
        <f>IF(DA329="","",IF(COUNTIF(DA$3:DA329,DA329)=1,MAX(ID$2:ID328)+1,""))</f>
        <v/>
      </c>
      <c r="IE329" t="str">
        <f>IF(CO329="","",IF(COUNTIF(CO$3:CO329,CO329)+COUNTIF(CP$2:CP328,CO329)+COUNTIF(CQ$2:CQ328,CO329)=1,MAX(IE$2:IG328)+1,""))</f>
        <v/>
      </c>
      <c r="IF329" t="str">
        <f>IF(CP329="","",IF(COUNTIF(CO$3:CO329,CP329)+COUNTIF(CP$3:CP329,CP329)+COUNTIF(CQ$2:CQ328,CP329)=1,MAX(IE$2:IG328,IE329)+1,""))</f>
        <v/>
      </c>
      <c r="IG329" t="str">
        <f>IF(CQ329="","",IF(COUNTIF(CO$3:CO329,CQ329)+COUNTIF(CP$3:CP329,CQ329)+COUNTIF(CQ$3:CQ329,CQ329)=1,MAX(IE$2:IG328,IE329,IF329)+1,""))</f>
        <v/>
      </c>
      <c r="IH329" t="str">
        <f t="shared" si="731"/>
        <v>3х2,5</v>
      </c>
      <c r="II329" t="str">
        <f>IF(IH329="","",IF(COUNTIF(IH$3:IH329,IH329)=1,MAX(II$2:II328)+1,""))</f>
        <v/>
      </c>
      <c r="IJ329" t="str">
        <f>IF(GL329="","",COUNTIF(GL$3:GL329,"?*"))</f>
        <v/>
      </c>
      <c r="IK329" t="str">
        <f>IF(OR(GL329="",GN329=""),"",IF(COUNTIFS(GL$3:GL329,"?*",GN$3:GN329,GN329)=1,MAX(IK$2:IK328)+1,""))</f>
        <v/>
      </c>
      <c r="IL329">
        <f t="shared" si="732"/>
        <v>0</v>
      </c>
      <c r="IM329">
        <f>IF(B329="","",COUNTIF(B$3:B329,"?*"))</f>
        <v>327</v>
      </c>
      <c r="IN329">
        <f>IF(GQ329&lt;&gt;1,0,_xlfn.LET(_xlpm.k,MAX(IFERROR(--VLOOKUP(B329,УГО_спр,5,FALSE),0),IFERROR(--VLOOKUP(AX329,УГО_спр,5,FALSE),0),IFERROR(--VLOOKUP(LEFT(AX329,2),УГО_спр,5,FALSE),0)),IF(_xlpm.k&gt;0,_xlpm.k,IF(IFERROR(--LEFT(SUBSTITUTE(IH329,"x","х"),FIND("х",SUBSTITUTE(IH329,"x","х"))-1),3)&gt;3,Каталог!$S$9,1))))</f>
        <v>1</v>
      </c>
      <c r="IO329">
        <f t="shared" si="733"/>
        <v>0</v>
      </c>
      <c r="IP329" t="str">
        <f t="shared" si="734"/>
        <v>авто</v>
      </c>
      <c r="IQ329" t="str">
        <f t="shared" si="735"/>
        <v/>
      </c>
      <c r="IR329">
        <f t="shared" si="736"/>
        <v>0</v>
      </c>
      <c r="IS329">
        <f t="shared" si="737"/>
        <v>1</v>
      </c>
    </row>
    <row r="330" spans="1:253" x14ac:dyDescent="0.3">
      <c r="A330" t="s">
        <v>769</v>
      </c>
      <c r="B330" t="s">
        <v>743</v>
      </c>
      <c r="C330" t="str">
        <f>Линии[[#This Row],[_авто наименование]]</f>
        <v>Вводной кабель шлейф 1</v>
      </c>
      <c r="D330">
        <v>1</v>
      </c>
      <c r="E330" t="s">
        <v>16</v>
      </c>
      <c r="G330">
        <v>20</v>
      </c>
      <c r="H330" t="str">
        <f>Линии[[#This Row],[_авто утечка]]</f>
        <v/>
      </c>
      <c r="I330" t="str">
        <f>Линии[[#This Row],[_авто управление]]</f>
        <v/>
      </c>
      <c r="J330" t="str">
        <f>Линии[[#This Row],[_авто аппараты]]</f>
        <v/>
      </c>
      <c r="K330">
        <v>4</v>
      </c>
      <c r="L330">
        <v>53</v>
      </c>
      <c r="M330" t="str">
        <f>Линии[[#This Row],[_авто фаза]]</f>
        <v>L1,L2,L3</v>
      </c>
      <c r="N330" t="str">
        <f>Линии[[#This Row],[_авто клемма]]</f>
        <v/>
      </c>
      <c r="O330" t="str">
        <f t="shared" si="615"/>
        <v>потери 5,2 % &gt; 4 %</v>
      </c>
      <c r="P330" s="6" cm="1">
        <f t="array" ref="P330">IF(B330="","",IF(BC330&lt;&gt;"",IFERROR(_xlfn.XLOOKUP(BC330,Щиты[Щит],Щиты[Iр, А]),""),IF(BK330=1,IFERROR(_xlfn.XLOOKUP(A330,Щиты[Щит],Щиты[Iр, А]),""),IFERROR(_xlfn.IFS(BR330=1,BN330/((Uн_лин/SQRT(3))*BY330),BR330=3,BN330/(SQRT(3)*Uн_лин*BY330)),""))))</f>
        <v>16.443657354357025</v>
      </c>
      <c r="Q330" s="7">
        <f>IF(B330="","",IFERROR(IF(VLOOKUP(AX330,Потребители_обозначение,4,FALSE)=1,VLOOKUP(AX330,Потребители_обозначение,3,FALSE)*(D330*2-1)+DS330+VLOOKUP(AZ330,Этаж_обозначение,3,FALSE)+VLOOKUP(AZ330,Этаж_обозначение,4,FALSE),VLOOKUP(AX330,Потребители_обозначение,3,FALSE)*(D330*2-1)+DS330),DS330))</f>
        <v>53</v>
      </c>
      <c r="R330" s="6">
        <f t="shared" si="616"/>
        <v>5.16</v>
      </c>
      <c r="S330" t="str">
        <f t="shared" si="617"/>
        <v>ВВГнг(А)-LS (3х4)</v>
      </c>
      <c r="T330" t="str">
        <f>IF(BH330="","",IF(BI330="вводной узел","узел ","")&amp;"л."&amp;(INT((BH330-1)/Столбцов_на_лист)+1)&amp;" / "&amp;(MOD(BH330-1,Столбцов_на_лист)+1))</f>
        <v>узел л.1 / 2</v>
      </c>
      <c r="V330">
        <v>3</v>
      </c>
      <c r="W330">
        <v>230</v>
      </c>
      <c r="X330" t="s">
        <v>549</v>
      </c>
      <c r="AF330" t="s">
        <v>1303</v>
      </c>
      <c r="AI330">
        <v>2</v>
      </c>
      <c r="AJ330" t="s">
        <v>11</v>
      </c>
      <c r="AK330">
        <v>3</v>
      </c>
      <c r="AM330">
        <v>48</v>
      </c>
      <c r="AN330">
        <v>5</v>
      </c>
      <c r="AW330" cm="1">
        <f t="array" ref="AW330">ROW()-ROW(Линии[#Headers])</f>
        <v>328</v>
      </c>
      <c r="AX330" s="6" t="str">
        <f t="shared" si="618"/>
        <v>Ввод</v>
      </c>
      <c r="AY330" t="str">
        <f t="shared" si="619"/>
        <v>1</v>
      </c>
      <c r="AZ330" t="str">
        <f t="shared" si="620"/>
        <v>1</v>
      </c>
      <c r="BA330" t="str">
        <f t="shared" si="621"/>
        <v/>
      </c>
      <c r="BB330" t="str">
        <f t="shared" si="622"/>
        <v/>
      </c>
      <c r="BC330" t="str">
        <f>IF(U330&lt;&gt;"",U330,IF(AND(B330&lt;&gt;"",B330&lt;&gt;A330,ISNUMBER(_xlfn.XMATCH(B330,Щиты[Щит]))),B330,""))</f>
        <v/>
      </c>
      <c r="BD330" t="str" cm="1">
        <f t="array" ref="BD330">IF(B330="","",IF(BC330&lt;&gt;"","Щит "&amp;BC330,_xlfn.LET(_xlpm.nm,IFERROR(_xlfn.XLOOKUP(AX330,Коды_код,Коды_имя)&amp;"",""),_xlpm.md,IFERROR(N(_xlfn.XLOOKUP(AX330,Коды_код,Коды_режим)),1),_xlpm.ex,IF(Имя_режим="по экспликации",IFERROR(_xlfn.XLOOKUP(AZ330&amp;"|"&amp;BB330,Экспликация[Этаж]&amp;"|"&amp;Экспликация[Помещение],Экспликация[Название])&amp;"",""),""),_xlpm.rm,IF(BB330="","",IF(_xlpm.ex&lt;&gt;"",". "&amp;_xlpm.ex&amp;IF(Имя_пом="нет"," ("&amp;BB330&amp;")"," (пом. "&amp;BB330&amp;")"),IF(Имя_пом="нет"," ",", пом. ")&amp;BB330)),IF(_xlpm.nm="","",IF(_xlpm.md=2,_xlpm.nm&amp;" шлейф "&amp;AZ330,_xlpm.nm&amp;_xlpm.rm)))))</f>
        <v>Вводной кабель шлейф 1</v>
      </c>
      <c r="BE330" t="str">
        <f t="shared" si="623"/>
        <v>Вводной кабель шлейф 1</v>
      </c>
      <c r="BF330">
        <f>IFERROR(_xlfn.XMATCH(A330,Щиты[Щит]),0)</f>
        <v>15</v>
      </c>
      <c r="BG330">
        <f>_xlfn.LET(_xlpm.k,IFERROR(_xlfn.XLOOKUP(A330,Щиты[Щит],Щиты[Листов под вводной узел]),""),IF(_xlpm.k="",1,N(_xlpm.k))*Столбцов_на_лист)</f>
        <v>17</v>
      </c>
      <c r="BH330">
        <f t="shared" si="624"/>
        <v>2</v>
      </c>
      <c r="BI330" t="str">
        <f t="shared" si="625"/>
        <v>вводной узел</v>
      </c>
      <c r="BJ330" s="6">
        <f>IFERROR(N(_xlfn.XLOOKUP(AX330,Коды_код,Коды_квт)),0)</f>
        <v>0</v>
      </c>
      <c r="BK330">
        <f t="shared" si="626"/>
        <v>1</v>
      </c>
      <c r="BL330">
        <f>IF(B330="","",IF(BC330&lt;&gt;"",IFERROR(_xlfn.XLOOKUP(BC330,Щиты[Щит],Щиты[Руст, кВт]),0),IF(BK330=1,IFERROR(_xlfn.XLOOKUP(A330,Щиты[Щит],Щиты[Руст, кВт]),0),IF(BJ330&gt;0,ROUND(BJ330*MAX(1,N(D330)),3),""))))</f>
        <v>4.34</v>
      </c>
      <c r="BM330" t="str">
        <f t="shared" si="627"/>
        <v>кВт</v>
      </c>
      <c r="BN330" s="6">
        <f>IF(B330="","",IF(BC330&lt;&gt;"",IFERROR(_xlfn.XLOOKUP(BC330,Щиты[Щит],Щиты[Руст, кВт]),0),N(BM330)))</f>
        <v>0</v>
      </c>
      <c r="BO330" t="str">
        <f>IF(B330="","",IFERROR(IF(VLOOKUP(AX330,Потребители_обозначение,8,FALSE)=0,"",VLOOKUP(AX330,Потребители_обозначение,8,FALSE)),""))</f>
        <v/>
      </c>
      <c r="BP330">
        <f t="shared" si="628"/>
        <v>230</v>
      </c>
      <c r="BQ330">
        <f>IF(B330="","",IF(BC330&lt;&gt;"",3,IFERROR(IF(N(VLOOKUP(AX330,Потребители_обозначение,9,FALSE))=0,1,VLOOKUP(AX330,Потребители_обозначение,9,FALSE)),1)))</f>
        <v>1</v>
      </c>
      <c r="BR330">
        <f t="shared" si="629"/>
        <v>3</v>
      </c>
      <c r="BS330" t="str">
        <f>IF(B330="","",_xlfn.LET(_xlpm.bc,IFERROR(IF(VLOOKUP(AX330,Потребители_обозначение,6,FALSE)=0,"",VLOOKUP(AX330,Потребители_обозначение,6,FALSE)&amp;""),""),IF(AND(FK330="да",OR(_xlpm.bc="",_xlpm.bc="мс")),Марка_пож,IF(AND(_xlpm.bc="",BC330&lt;&gt;""),"мс",_xlpm.bc))))</f>
        <v/>
      </c>
      <c r="BT330" t="str">
        <f t="shared" si="630"/>
        <v>мс</v>
      </c>
      <c r="BU330">
        <f>IF(B330="","",_xlfn.LET(_xlpm.cc,IFERROR(N(VLOOKUP(AX330,Потребители_обозначение,7,FALSE)),0),IF(_xlpm.cc&gt;0,_xlpm.cc,IF(BT330="","",IF(N(BR330)=3,5,3)))))</f>
        <v>5</v>
      </c>
      <c r="BV330">
        <f t="shared" si="631"/>
        <v>3</v>
      </c>
      <c r="BW330">
        <f>IFERROR(N(VLOOKUP(AX330,Потребители_обозначение,10,FALSE)),0)</f>
        <v>0</v>
      </c>
      <c r="BX330">
        <f>IFERROR(VLOOKUP(AX330,Потребители_обозначение,5,FALSE),0)</f>
        <v>1</v>
      </c>
      <c r="BY330" s="6" cm="1">
        <f t="array" ref="BY330">IF(B330="","",IF(BC330&lt;&gt;"",IFERROR(_xlfn.XLOOKUP(BC330,Щиты[Щит],Щиты[cos φ]),0.95),IF(BK330=1,IFERROR(_xlfn.XLOOKUP(A330,Щиты[Щит],Щиты[cos φ]),0.95),IF(ISNUMBER(Z330),Z330,IFERROR(IF(BX330=2,_xlfn.IFS(BR330=3,VLOOKUP(BN330,Справочная_двигатели,8,FALSE),BR330=1,VLOOKUP(BN330,Справочная_двигатели,10,TRUE)),IF(AND(Методика="нормы 2026",EQ330="Сил"),0.8,0.95)),0.95)))))</f>
        <v>0.8</v>
      </c>
      <c r="BZ330">
        <f t="shared" si="632"/>
        <v>0</v>
      </c>
      <c r="CA330">
        <f t="shared" si="633"/>
        <v>1</v>
      </c>
      <c r="CB330">
        <f t="shared" si="634"/>
        <v>0</v>
      </c>
      <c r="CC330">
        <f t="shared" si="635"/>
        <v>0</v>
      </c>
      <c r="CD330">
        <f t="shared" si="636"/>
        <v>0</v>
      </c>
      <c r="CE330">
        <f t="shared" si="637"/>
        <v>0</v>
      </c>
      <c r="CF330">
        <f t="shared" si="638"/>
        <v>0</v>
      </c>
      <c r="CG330">
        <f>IF(AX330="",0,_xlfn.LET(_xlpm.v,IFERROR(VLOOKUP(B330,УГО_спр,3,FALSE),IFERROR(VLOOKUP(AX330,УГО_спр,3,FALSE),IFERROR(VLOOKUP(LEFT(AX330,2),УГО_спр,3,FALSE),""))),IF(_xlpm.v="да",30,IF(ISNUMBER(_xlpm.v),_xlpm.v,0))))</f>
        <v>0</v>
      </c>
      <c r="CH330" t="str">
        <f t="shared" si="639"/>
        <v/>
      </c>
      <c r="CI330" t="str">
        <f>_xlfn.LET(_xlpm.k,IFERROR(_xlfn.XLOOKUP(AX330,Коды_код,Коды_утечка)&amp;"",""),IF(_xlpm.k="","дифавтомат",_xlpm.k))</f>
        <v>дифавтомат</v>
      </c>
      <c r="CJ330">
        <f t="shared" si="640"/>
        <v>0</v>
      </c>
      <c r="CK330">
        <f t="shared" si="641"/>
        <v>0</v>
      </c>
      <c r="CL330">
        <f>IF(B330="",0,IFERROR(--VLOOKUP(B330,УГО_спр,4,FALSE),IFERROR(--VLOOKUP(AX330,УГО_спр,4,FALSE),IFERROR(--VLOOKUP(LEFT(AX330,2),УГО_спр,4,FALSE),0))))</f>
        <v>0</v>
      </c>
      <c r="CM330" t="str">
        <f>IF(B330="","",IFERROR(_xlfn.XLOOKUP(AX330,Коды_код,Коды_апп)&amp;"",""))</f>
        <v/>
      </c>
      <c r="CN330" t="str">
        <f t="shared" si="642"/>
        <v/>
      </c>
      <c r="CO330" t="str" cm="1">
        <f t="array" ref="CO330">IF(TRIM(CN330&amp;"")="","",IFERROR(TRIM(INDEX(_xlfn.TEXTSPLIT(CN330&amp;";;;",";"),1)),""))</f>
        <v/>
      </c>
      <c r="CP330" t="str" cm="1">
        <f t="array" ref="CP330">IF(TRIM(CN330&amp;"")="","",IFERROR(TRIM(INDEX(_xlfn.TEXTSPLIT(CN330&amp;";;;",";"),2)),""))</f>
        <v/>
      </c>
      <c r="CQ330" t="str" cm="1">
        <f t="array" ref="CQ330">IF(TRIM(CN330&amp;"")="","",IFERROR(TRIM(INDEX(_xlfn.TEXTSPLIT(CN330&amp;";;;",";"),3)),""))</f>
        <v/>
      </c>
      <c r="CR330">
        <f t="shared" si="643"/>
        <v>0</v>
      </c>
      <c r="CS330" t="str">
        <f>IF(B330="","",_xlfn.LET(_xlpm.t,LOWER(AV330&amp;""),IF(ISNUMBER(SEARCH("dim",_xlpm.t)),"DIM",IF(ISNUMBER(SEARCH("dali",_xlpm.t)),"DALI",IF(OR(ISNUMBER(SEARCH("relay",_xlpm.t)),ISNUMBER(SEARCH("реле",_xlpm.t))),"Relay",IF(ISNUMBER(SEARCH("кнопк",_xlpm.t)),"",IFERROR(_xlfn.XLOOKUP(AX330,Коды_код,Коды_упр)&amp;"","")))))))</f>
        <v/>
      </c>
      <c r="CT330" t="str">
        <f t="shared" si="644"/>
        <v/>
      </c>
      <c r="CU330">
        <f>IF(B330="","",_xlfn.LET(_xlpm.ig,N(P330)+IF(AF330="вручную",0,N(CB330)),_xlpm.n0,IFERROR(VLOOKUP(_xlpm.ig,Автомат_номиналы,2,TRUE),0),_xlpm.mn,MAX(CL330,IF(AF330="вручную",0,N(CE330))),MAX(_xlpm.n0,_xlpm.mn,IF(CR330=1,Мин_автомат_БП,0))))</f>
        <v>20</v>
      </c>
      <c r="CV330">
        <f t="shared" si="645"/>
        <v>3</v>
      </c>
      <c r="CW330" t="str">
        <f t="shared" si="646"/>
        <v>3P</v>
      </c>
      <c r="CX330" t="str">
        <f>_xlfn.LET(_xlpm.cc,UPPER(TRIM(IFERROR(_xlfn.XLOOKUP(AX330,Коды_код,Коды_хар)&amp;"",""))),IF(OR(_xlpm.cc="B",_xlpm.cc="В"),"B",IF(_xlpm.cc="D","D","С")))</f>
        <v>С</v>
      </c>
      <c r="CY330" t="str">
        <f t="shared" si="647"/>
        <v>3P С20А</v>
      </c>
      <c r="CZ330">
        <f t="shared" si="648"/>
        <v>20</v>
      </c>
      <c r="DA330" t="str">
        <f t="shared" si="649"/>
        <v>3P С20А</v>
      </c>
      <c r="DB330" cm="1">
        <f t="array" ref="DB330">IF(DA330="","",_xlfn.LET(_xlpm.t,SUBSTITUTE(SUBSTITUTE(SUBSTITUTE(UPPER(DA330),"С","C"),"А","A"),"В","B"),_xlpm.tk,_xlfn.TEXTSPLIT(_xlpm.t,"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30" t="str">
        <f t="shared" si="650"/>
        <v>узел</v>
      </c>
      <c r="DD330">
        <f t="shared" si="651"/>
        <v>20</v>
      </c>
      <c r="DE330" t="str">
        <f t="shared" si="652"/>
        <v>3P С20А</v>
      </c>
      <c r="DF330">
        <f t="shared" si="653"/>
        <v>0</v>
      </c>
      <c r="DG330">
        <f t="shared" si="654"/>
        <v>0</v>
      </c>
      <c r="DH330">
        <f t="shared" si="655"/>
        <v>0</v>
      </c>
      <c r="DI330">
        <f t="shared" si="656"/>
        <v>16.443657354357025</v>
      </c>
      <c r="DJ330">
        <f t="shared" si="657"/>
        <v>1</v>
      </c>
      <c r="DK330">
        <f>IF(ISNUMBER(AL330),AL330,К_прокл)</f>
        <v>1</v>
      </c>
      <c r="DL330">
        <f t="shared" si="658"/>
        <v>3</v>
      </c>
      <c r="DM330">
        <f>IFERROR(N(VLOOKUP(BT330,Кабель_обозначение,3,FALSE)),1)</f>
        <v>1</v>
      </c>
      <c r="DN330">
        <f>IFERROR(N(_xlfn.XLOOKUP(A330,Щиты[Щит],Щиты[ΔU до шин, %])),0)</f>
        <v>3.44</v>
      </c>
      <c r="DO330" t="str">
        <f>IFERROR(_xlfn.XLOOKUP(A330,Щиты[Щит],Щиты[Zпетли на шинах, Ом]),"")</f>
        <v/>
      </c>
      <c r="DP330">
        <f>IFERROR(N(_xlfn.XLOOKUP(A330,Щиты[Щит],Щиты[ΔU до шин (подбор), %])),0)</f>
        <v>5.4799999999999995</v>
      </c>
      <c r="DQ330" t="str">
        <f>IFERROR(_xlfn.XLOOKUP(A330,Щиты[Щит],Щиты[Zпетли на шинах (подбор), Ом]),"")</f>
        <v/>
      </c>
      <c r="DR330" t="str">
        <f t="shared" si="659"/>
        <v/>
      </c>
      <c r="DS330">
        <f t="shared" si="660"/>
        <v>53</v>
      </c>
      <c r="DT330">
        <f t="shared" si="661"/>
        <v>1</v>
      </c>
      <c r="DU330">
        <f t="shared" si="662"/>
        <v>0.6</v>
      </c>
      <c r="DV330" s="6">
        <f>IF(B330="","",IF(IFERROR(VLOOKUP(AX330,УГО_спр,2,FALSE),"")="Светильник",3,4)+IF(Методика="нормы 2026",MIN(0.5,MAX(0,N(Q330)-100)*0.005),0))</f>
        <v>4</v>
      </c>
      <c r="DW330" t="str" cm="1">
        <f t="array" ref="DW330">IF(OR(B330="",BT330="",DM330&lt;&gt;1),"",_xlfn.LET(_xlpm.sz,Iдоп_S,_xlpm.t_,CHOOSE(DL330,Iдоп_1ж,Iдоп_2ж,Iдоп_3ж)*DJ330*DK330,_xlpm.inn,N(DD330),_xlpm.smin,MAX(1.5,BW330),_xlpm.L_,N(Q330)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330)*(_xlpm.rho*_xlpm.L_/_xlpm.sz*N(BY330)+_xlpm.xx*_xlpm.L_*N(DU330)/1000)*N(P330)/((Uн_лин/SQRT(3))*1000)*100,999),_xlpm.kz,IF(OR(DG330=1,NOT(ISNUMBER(DQ330)),_xlpm.L_=0,_xlpm.inn=0),1,IFERROR(--(c_min*(Uн_лин*1000/SQRT(3))/(DQ330+2*ρкз_Cu*_xlpm.L_/_xlpm.sz)&gt;=GY330*_xlpm.inn),0)),_xlpm.ok,IFERROR((_xlpm.sz&gt;=_xlpm.smin)*(_xlpm.t_&gt;=_xlpm.inn)*IF(_xlpm.L_&gt;0,(_xlpm.du_+DP330&lt;=DV330+0.00001),1)*_xlpm.kz,0),_xlpm.r_,_xlfn._xlws.FILTER(_xlpm.sz,_xlpm.ok,"не подобрано"),INDEX(_xlpm.r_,1)))</f>
        <v>не подобрано</v>
      </c>
      <c r="DX330">
        <f t="shared" si="663"/>
        <v>4</v>
      </c>
      <c r="DY330" cm="1">
        <f t="array" ref="DY330">IF(OR(B330="",BT330="",DM330&lt;&gt;1),"",_xlfn.LET(_xlpm.sz,Iдоп_S,_xlpm.t_,CHOOSE(DL330,Iдоп_1ж,Iдоп_2ж,Iдоп_3ж)*DJ330*DK330,_xlpm.ok,IFERROR((_xlpm.sz&gt;=MAX(1.5,BW330))*(_xlpm.t_&gt;=N(DD330)),0),_xlpm.r_,_xlfn._xlws.FILTER(_xlpm.sz,_xlpm.ok,""),INDEX(_xlpm.r_,1)))</f>
        <v>2.5</v>
      </c>
      <c r="DZ330" s="6" cm="1">
        <f t="array" ref="DZ330">IFERROR(ROUNDUP(N(DT330)*(_xlfn.XLOOKUP(DY330,INDEX(Кабель_сопротивление,0,1),INDEX(Кабель_сопротивление,0,3))*N(Q330)/DY330*N(BY330)+_xlfn.XLOOKUP(DY330,INDEX(Кабель_сопротивление,0,1),INDEX(Кабель_сопротивление,0,2))*N(Q330)*N(DU330)/1000)*N(P330)/((Uн_лин/SQRT(3))*1000)*100,2),"")</f>
        <v>2.7399999999999998</v>
      </c>
      <c r="EA330">
        <f>IFERROR(2*ρкз_Cu*N(Q330)/DY330,"")</f>
        <v>1.1151199999999999</v>
      </c>
      <c r="EB330">
        <f>IFERROR(VLOOKUP(DX330,Кабель_сопротивление,3,FALSE),"")</f>
        <v>2.2499999999999999E-2</v>
      </c>
      <c r="EC330">
        <f>IFERROR(VLOOKUP(DX330,Кабель_сопротивление,2,FALSE),"")</f>
        <v>9.5000000000000001E-2</v>
      </c>
      <c r="ED330">
        <f t="shared" si="664"/>
        <v>5</v>
      </c>
      <c r="EE330" t="str">
        <f t="shared" si="665"/>
        <v/>
      </c>
      <c r="EF330">
        <f t="shared" si="666"/>
        <v>3.9714885678816629</v>
      </c>
      <c r="EG330" s="6">
        <f>IFERROR(ROUNDUP(EF330/((Uн_лин/SQRT(3))*1000)*100,2),"")</f>
        <v>1.72</v>
      </c>
      <c r="EH330" t="str">
        <f>IFERROR(VLOOKUP(BT330,Кабель_обозначение,2,FALSE),"")</f>
        <v>ВВГнг(А)-LS</v>
      </c>
      <c r="EI330" t="str">
        <f t="shared" si="667"/>
        <v>ВВГнг(А)-LS (3х4)</v>
      </c>
      <c r="EJ330" t="str">
        <f t="shared" si="668"/>
        <v/>
      </c>
      <c r="EK330">
        <f>IFERROR(2*ρкз_Cu*Q330/DX330,"")</f>
        <v>0.69694999999999996</v>
      </c>
      <c r="EL330">
        <f t="shared" si="669"/>
        <v>0.23187500000000003</v>
      </c>
      <c r="EM330" s="6" t="str">
        <f>IFERROR(IF(OR(B330="",NOT(ISNUMBER(DX330)),N(Q330)=0),"",_xlfn.XLOOKUP(A330,Щиты[Щит],Щиты[Zпетли на шинах, Ом])+EK330),"")</f>
        <v/>
      </c>
      <c r="EN330" s="6" t="str">
        <f>IF(ISNUMBER(EM330),c_min*(Uн_лин*1000/SQRT(3))/EM330,"")</f>
        <v/>
      </c>
      <c r="EO330" s="6" t="str">
        <f>IFERROR(IF(OR(B330="",NOT(ISNUMBER(DX330))),"",1.05*(Uн_лин*1000/SQRT(3))/(_xlfn.XLOOKUP(A330,Щиты[Щит],Щиты[Zmax на шинах, Ом])+EL330)/1000),"")</f>
        <v/>
      </c>
      <c r="EP330" s="6" t="str">
        <f>IF(B330="","",IF(ISNUMBER(Y330),"Сил",IF(IFERROR(_xlfn.XLOOKUP(AX330,Коды_код,Коды_группа)&amp;"","")="","Быт",_xlfn.XLOOKUP(AX330,Коды_код,Коды_группа)&amp;"")))</f>
        <v>Быт</v>
      </c>
      <c r="EQ330" s="6" t="str">
        <f t="shared" si="670"/>
        <v>Нет</v>
      </c>
      <c r="ER330" s="6">
        <f>IF(EQ330="Щит","щит",IF(EQ330="","",IF(EQ330="Быт",IFERROR(_xlfn.XLOOKUP(A330,Щиты[Щит],Щиты[Кс быт]),1),IF(EQ330="Сил",IF(ISNUMBER(Y330),Y330,IF(Методика="нормы 2026",IFERROR(_xlfn.XLOOKUP(A330,Щиты[Щит],Щиты[Кс силовых (табл. 7.5)]),1),1)),IF(OR(EQ330="Пост",EQ330="Отоп"),1,IF(EQ330="ВНГ",0.7,0))))))</f>
        <v>0</v>
      </c>
      <c r="ES330">
        <f t="shared" si="671"/>
        <v>1</v>
      </c>
      <c r="ET330">
        <f t="shared" si="672"/>
        <v>0</v>
      </c>
      <c r="EU330">
        <f t="shared" si="673"/>
        <v>0</v>
      </c>
      <c r="EV330">
        <f t="shared" si="674"/>
        <v>0</v>
      </c>
      <c r="EW330">
        <f t="shared" si="675"/>
        <v>0</v>
      </c>
      <c r="EX330">
        <f t="shared" si="676"/>
        <v>0</v>
      </c>
      <c r="EY330">
        <f t="shared" si="677"/>
        <v>0</v>
      </c>
      <c r="EZ330">
        <f t="shared" si="678"/>
        <v>0</v>
      </c>
      <c r="FA330">
        <f t="shared" si="679"/>
        <v>0</v>
      </c>
      <c r="FB330">
        <f t="shared" si="680"/>
        <v>0</v>
      </c>
      <c r="FC330" t="str">
        <f t="shared" si="681"/>
        <v/>
      </c>
      <c r="FD330" t="str">
        <f>IF(B330="","",IF(CA330=0,IF(AW330=1,"",FF329),IF(OR(N(CV330)&gt;=3,N(BR330)&gt;=3),"L1,L2,L3",IFERROR(_xlfn.TEXTBEFORE(_xlfn.TEXTAFTER(_xlfn.XLOOKUP(A330,Щиты[Щит],Щиты[_фазы авто]),";"&amp;AW330&amp;":"),";"),"L1"))))</f>
        <v>L1,L2,L3</v>
      </c>
      <c r="FE330" t="str">
        <f t="shared" si="682"/>
        <v>L1,L2,L3</v>
      </c>
      <c r="FF330" t="str">
        <f t="shared" si="683"/>
        <v>L1,L2,L3</v>
      </c>
      <c r="FG330" cm="1">
        <f t="array" ref="FG330">IFERROR(IF(BX330=2,_xlfn.IFS(BR330=3,VLOOKUP(BN330,Справочная_двигатели,3,FALSE),BR330=1,VLOOKUP(BN330,Справочная_двигатели,5,TRUE)),0),0)</f>
        <v>0</v>
      </c>
      <c r="FH330">
        <f>IFERROR(IF(BX330=3,VLOOKUP(BN330,Справочная_ЛЭД,2,TRUE),0),0)</f>
        <v>0</v>
      </c>
      <c r="FI330" s="6">
        <f t="shared" si="684"/>
        <v>0</v>
      </c>
      <c r="FJ330" t="str" cm="1">
        <f t="array" ref="FJ330">IF(B330="","",IFERROR(INDEX({"I особая","I","II","III"},MATCH(TRIM(AC330&amp;""),{"I особая","I","II","III"},0)),"III"))</f>
        <v>III</v>
      </c>
      <c r="FK330" t="str">
        <f>IF(B330="","",IF(TRIM(AD330&amp;"")&lt;&gt;"",IF(LOWER(TRIM(AD330&amp;""))="да","да","нет"),IF(IFERROR(_xlfn.XLOOKUP(AX330,Коды_код,Коды_пожарная),"")="да","да","нет")))</f>
        <v>нет</v>
      </c>
      <c r="FL330" t="str">
        <f t="shared" si="685"/>
        <v/>
      </c>
      <c r="FM330" t="str">
        <f t="shared" si="686"/>
        <v>основная</v>
      </c>
      <c r="FN330">
        <f t="shared" si="687"/>
        <v>1</v>
      </c>
      <c r="FO330" t="str" cm="1">
        <f t="array" ref="FO330">IF(B330="","",_xlfn.LET(_xlpm.t,IFERROR(_xlfn.XLOOKUP(1,(Шины[Шина]=FM330)*(((Шины[Щит]=A330)+(Шины[Щит]=""))&gt;0),Шины[Тип]),"")&amp;"",IF(_xlpm.t&lt;&gt;"",_xlpm.t,IF(ISNUMBER(SEARCH("ИБП",FM330)),"ИБП",IF(ISNUMBER(SEARCH("ДГУ",FM330)),"ДГУ","Ввод "&amp;FN330)))))</f>
        <v>Ввод 1</v>
      </c>
      <c r="FP330" t="str">
        <f t="shared" si="688"/>
        <v>Ввод 1</v>
      </c>
      <c r="FQ330" t="str">
        <f>IF(B330="","",IF(OR(FO330="ИБП",FO330="ДГУ"),"I особая",IF(FO330="Одиночная","III",_xlfn.XLOOKUP(A330,Щиты[Щит],Щиты[Категория шины «Ввод»],"III"))))</f>
        <v>II</v>
      </c>
      <c r="FR330">
        <f>IF(B330="",0,IFERROR(MATCH(FJ330,{"III","II","I","I особая"},0),1))</f>
        <v>1</v>
      </c>
      <c r="FS330">
        <f t="shared" si="689"/>
        <v>1</v>
      </c>
      <c r="FT330" t="str">
        <f>IF(B330="","",IF(FR330&gt;IFERROR(MATCH(FQ330,{"III","II","I","I особая"},0),1),"НЕ ОБЕСПЕЧЕНА","ОК"))</f>
        <v>ОК</v>
      </c>
      <c r="FU330" t="str">
        <f>IF(A330="","",_xlfn.XLOOKUP(A330,Щиты[Щит],Щиты[Путь],""))</f>
        <v>|ГРЩ-ЖД|ЩС-ВК.003|</v>
      </c>
      <c r="FV330" t="str">
        <f>IF(B330="","",IF(AE330&lt;&gt;"",AE330,IF(IFERROR(_xlfn.XLOOKUP(AX330,Коды_код,Коды_вид)&amp;"","")="","Прочее",_xlfn.XLOOKUP(AX330,Коды_код,Коды_вид)&amp;"")))</f>
        <v>Прочее</v>
      </c>
      <c r="FW330">
        <f>IF(BH330="","",INT((BH330-1)/Столбцов_на_лист)+1)</f>
        <v>1</v>
      </c>
      <c r="FX330" t="str">
        <f t="shared" si="690"/>
        <v/>
      </c>
      <c r="FY330">
        <f t="shared" si="691"/>
        <v>0</v>
      </c>
      <c r="FZ330">
        <f t="shared" si="692"/>
        <v>16.450000000000003</v>
      </c>
      <c r="GA330">
        <f t="shared" si="693"/>
        <v>3</v>
      </c>
      <c r="GB330">
        <f t="shared" si="694"/>
        <v>0</v>
      </c>
      <c r="GC330">
        <f t="shared" si="695"/>
        <v>0</v>
      </c>
      <c r="GD330" t="str">
        <f>IF(BH330="","",IF(AND(CA330=1,GC330=1),COUNTIFS(A$3:A330,A330,CA$3:CA330,1,GC$3:GC330,1),IF(OR(OR(AW330=1,A330&lt;&gt;A329),AF330="вручную",GC330=0),"",IF(AW330=1,"",GE329))))</f>
        <v/>
      </c>
      <c r="GE330" t="str">
        <f t="shared" si="696"/>
        <v/>
      </c>
      <c r="GF330">
        <f>IF(B330="","",IFERROR(LOOKUP(INDEX(CHOOSE(DL330,Iдоп_1ж,Iдоп_2ж,Iдоп_3ж),MATCH(DX330,Iдоп_S,0))*DJ330*DK330,{6,10,16,20,25,32,40,50,63,80,100,125,160,200,250,315,400,500,630}),""))</f>
        <v>32</v>
      </c>
      <c r="GG330" t="str">
        <f t="shared" si="697"/>
        <v/>
      </c>
      <c r="GH330" t="str">
        <f t="shared" si="698"/>
        <v/>
      </c>
      <c r="GI330" t="str">
        <f t="shared" si="699"/>
        <v/>
      </c>
      <c r="GJ330">
        <f t="shared" si="700"/>
        <v>0</v>
      </c>
      <c r="GK330" t="str">
        <f>IF(OR(AG330="",AG330="-"),"",IFERROR(VLOOKUP(AG330,Модули_спр,2,FALSE),"R"))</f>
        <v/>
      </c>
      <c r="GL330" t="str">
        <f>IF(GK330="","",GK330&amp;"."&amp;COUNTIFS(A$3:A330,A330,GK$3:GK330,GK330))</f>
        <v/>
      </c>
      <c r="GM330" t="str">
        <f t="shared" si="701"/>
        <v/>
      </c>
      <c r="GN330" t="str">
        <f t="shared" si="702"/>
        <v/>
      </c>
      <c r="GO330" t="str">
        <f t="shared" si="703"/>
        <v/>
      </c>
      <c r="GP330" t="str">
        <f t="shared" si="704"/>
        <v/>
      </c>
      <c r="GQ330">
        <f t="shared" si="705"/>
        <v>0</v>
      </c>
      <c r="GR330" t="str">
        <f>IF(GQ330=1,"XT"&amp;COUNTIFS(A$3:A330,A330,GQ$3:GQ330,1),"")</f>
        <v/>
      </c>
      <c r="GS330" t="str">
        <f t="shared" si="706"/>
        <v/>
      </c>
      <c r="GT330" t="str">
        <f t="shared" si="707"/>
        <v/>
      </c>
      <c r="GU330" t="str">
        <f t="shared" si="708"/>
        <v/>
      </c>
      <c r="GV330" t="str">
        <f t="shared" si="709"/>
        <v>ok</v>
      </c>
      <c r="GW330" t="str">
        <f>IF(OR(GO330="",GM330=""),"",IF(GO330&gt;IFERROR(VLOOKUP(GN330,Модули_спр,3,FALSE),99),"ЛИШНИЙ КАНАЛ",IF(AND(AH330&lt;&gt;"=",COUNTIFS(Линии[_модуль гр.],GM330,Линии[Канал (итог)],GO330,Линии[Канал],"&lt;&gt;=",Линии[Щит],A330)&gt;1),"ДУБЛЬ КАНАЛА","")))</f>
        <v/>
      </c>
      <c r="GX330" s="6" t="str">
        <f t="shared" si="710"/>
        <v/>
      </c>
      <c r="GY330">
        <f t="shared" si="711"/>
        <v>10</v>
      </c>
      <c r="GZ330" t="str">
        <f t="shared" si="712"/>
        <v/>
      </c>
      <c r="HA330" t="str">
        <f>IF(AND(B330="",GT330=""),"",_xlfn.TEXTJOIN("; ",TRUE,IF(AND(B330&lt;&gt;"",FE330=""),"нет фазы",""),IF(AND(B330&lt;&gt;"",N(FY330)=0,EQ330&lt;&gt;"Нет"),"нет мощности",""),IF(AND(GS330&lt;&gt;"",COUNTIFS(Линии[Щит],A330,Линии[Клемма (итог)],GS330)&gt;1),"дубль клеммы "&amp;GS330,""),IF(AND(GV330&lt;&gt;"",GV330&lt;&gt;"ok"),GV330,""),IF(GW330&lt;&gt;"",GW330,""),IF(AND(N(BV330)&gt;=4,N(BR330)=1),BV330&amp;" жил на 1 фазе",""),IF(AND(AX330="R",CA330=1,OR(N(CK330)=0,N(CK330)&gt;30)),"розетка без дифзащиты до 30 мА",""),IFERROR(IF(AND(ISNUMBER(R330),R330&gt;DV330),"потери "&amp;FIXED(R330,1)&amp;" % &gt; "&amp;DV330&amp;" %",""),""),IFERROR(IF(LEFT(GZ330,4)="мало","Iкз мало — отключение &gt; 0,4 с",""),""),IF(AND(B330&lt;&gt;"",BH330=""),"не на схеме",""),IF(AND(CA330=0,B330&lt;&gt;"",FE330&lt;&gt;"",IF(AW330=1,"",FF329)&lt;&gt;"",FE330&lt;&gt;IF(AW330=1,"",FF329)),"фаза не как у автомата группы ("&amp;IF(AW330=1,"",FF329)&amp;")","")))</f>
        <v>потери 5,2 % &gt; 4 %</v>
      </c>
      <c r="HB330" s="6">
        <f>IF(OR(CA330=0,DA330=""),"",_xlfn.LET(_xlpm.t,IFERROR(_xlfn.XLOOKUP(DA330,Каталог!$U$4:$U$500,Каталог!$G$4:$G$500),""),_xlpm.k,SEARCH("кА",_xlpm.t),IFERROR(--TRIM(RIGHT(SUBSTITUTE(MID(_xlpm.t,MAX(1,_xlpm.k-4),_xlpm.k-MAX(1,_xlpm.k-4))," ",REPT(" ",9)),5)),"")))</f>
        <v>6</v>
      </c>
      <c r="HC330" t="str">
        <f>IF(OR(HB330="",CA330=0),"",IF(_xlfn.XLOOKUP(A330,Щиты[Щит],Щиты[Iкз max на шинах, кА],"")="","",IF(HB330&lt;_xlfn.XLOOKUP(A330,Щиты[Щит],Щиты[Iкз max на шинах, кА]),"Icu "&amp;HB330&amp;" кА &lt; Iкз max","ok")))</f>
        <v/>
      </c>
      <c r="HD330" t="str">
        <f t="shared" si="713"/>
        <v/>
      </c>
      <c r="HE330" t="str">
        <f t="shared" si="714"/>
        <v/>
      </c>
      <c r="HF330" t="str">
        <f t="shared" si="715"/>
        <v/>
      </c>
      <c r="HG330" t="str" cm="1">
        <f t="array" ref="HG330">IF(HF330="","",_xlfn.LET(_xlpm.nd,_xlfn.TEXTSPLIT(HF330,"|"),IF(COLUMNS(_xlpm.nd)&gt;1,A330&amp;"¦"&amp;INDEX(_xlpm.nd,1)&amp;"¦"&amp;INDEX(_xlpm.nd,2),"")))</f>
        <v/>
      </c>
      <c r="HH330" t="str">
        <f t="shared" si="716"/>
        <v/>
      </c>
      <c r="HI330" t="str" cm="1">
        <f t="array" ref="HI330">IF(HF330="","",_xlfn.LET(_xlpm.nd,_xlfn.TEXTSPLIT(HF330,"|"),IF(COLUMNS(_xlpm.nd)&gt;2,A330&amp;"¦"&amp;INDEX(_xlpm.nd,2)&amp;"¦"&amp;INDEX(_xlpm.nd,3),"")))</f>
        <v/>
      </c>
      <c r="HJ330" t="str">
        <f t="shared" si="717"/>
        <v/>
      </c>
      <c r="HK330" t="str" cm="1">
        <f t="array" ref="HK330">IF(HF330="","",_xlfn.LET(_xlpm.nd,_xlfn.TEXTSPLIT(HF330,"|"),IF(COLUMNS(_xlpm.nd)&gt;3,A330&amp;"¦"&amp;INDEX(_xlpm.nd,3)&amp;"¦"&amp;INDEX(_xlpm.nd,4),"")))</f>
        <v/>
      </c>
      <c r="HL330" t="str">
        <f t="shared" si="718"/>
        <v/>
      </c>
      <c r="HM330" t="str" cm="1">
        <f t="array" ref="HM330">IF(HF330="","",_xlfn.LET(_xlpm.nd,_xlfn.TEXTSPLIT(HF330,"|"),IF(COLUMNS(_xlpm.nd)&gt;4,A330&amp;"¦"&amp;INDEX(_xlpm.nd,4)&amp;"¦"&amp;INDEX(_xlpm.nd,5),"")))</f>
        <v/>
      </c>
      <c r="HN330" t="str">
        <f t="shared" si="719"/>
        <v/>
      </c>
      <c r="HO330" t="str" cm="1">
        <f t="array" ref="HO330">IF(HF330="","",_xlfn.LET(_xlpm.nd,_xlfn.TEXTSPLIT(HF330,"|"),IF(COLUMNS(_xlpm.nd)&gt;5,A330&amp;"¦"&amp;INDEX(_xlpm.nd,5)&amp;"¦"&amp;INDEX(_xlpm.nd,6),"")))</f>
        <v/>
      </c>
      <c r="HP330" t="str">
        <f t="shared" si="720"/>
        <v/>
      </c>
      <c r="HQ330" t="str" cm="1">
        <f t="array" ref="HQ330">IF(HF330="","",_xlfn.LET(_xlpm.nd,_xlfn.TEXTSPLIT(HF330,"|"),IF(COLUMNS(_xlpm.nd)&gt;6,A330&amp;"¦"&amp;INDEX(_xlpm.nd,6)&amp;"¦"&amp;INDEX(_xlpm.nd,7),"")))</f>
        <v/>
      </c>
      <c r="HR330" t="str">
        <f t="shared" si="721"/>
        <v/>
      </c>
      <c r="HS330" t="str">
        <f t="shared" si="722"/>
        <v/>
      </c>
      <c r="HT330" t="str">
        <f t="shared" si="723"/>
        <v/>
      </c>
      <c r="HU330">
        <f t="shared" si="724"/>
        <v>0</v>
      </c>
      <c r="HV330">
        <f t="shared" si="725"/>
        <v>0</v>
      </c>
      <c r="HW330" t="str">
        <f t="shared" si="726"/>
        <v/>
      </c>
      <c r="HX330" t="str">
        <f t="shared" si="727"/>
        <v/>
      </c>
      <c r="HY330" t="str">
        <f t="shared" si="728"/>
        <v/>
      </c>
      <c r="HZ330" t="str">
        <f t="shared" si="729"/>
        <v/>
      </c>
      <c r="IA330">
        <f>IF(B330="","",IFERROR(VLOOKUP(B330,УГО_спр,2,FALSE),IFERROR(VLOOKUP(AX330,УГО_спр,2,FALSE),IFERROR(VLOOKUP(LEFT(AX330,2),УГО_спр,2,FALSE),""))))</f>
        <v>0</v>
      </c>
      <c r="IB330" t="str">
        <f>IF(B330="","",IF(OR(IA330="",IA330=0),"BOX",IFERROR(IF(VLOOKUP(IA330,УГО_блоки,3,FALSE)&amp;""&lt;&gt;"",VLOOKUP(IA330,УГО_блоки,3,FALSE),VLOOKUP(IA330,УГО_блоки,2,FALSE)),IA330)))</f>
        <v>BOX</v>
      </c>
      <c r="IC330">
        <f t="shared" si="730"/>
        <v>1</v>
      </c>
      <c r="ID330" t="str">
        <f>IF(DA330="","",IF(COUNTIF(DA$3:DA330,DA330)=1,MAX(ID$2:ID329)+1,""))</f>
        <v/>
      </c>
      <c r="IE330" t="str">
        <f>IF(CO330="","",IF(COUNTIF(CO$3:CO330,CO330)+COUNTIF(CP$2:CP329,CO330)+COUNTIF(CQ$2:CQ329,CO330)=1,MAX(IE$2:IG329)+1,""))</f>
        <v/>
      </c>
      <c r="IF330" t="str">
        <f>IF(CP330="","",IF(COUNTIF(CO$3:CO330,CP330)+COUNTIF(CP$3:CP330,CP330)+COUNTIF(CQ$2:CQ329,CP330)=1,MAX(IE$2:IG329,IE330)+1,""))</f>
        <v/>
      </c>
      <c r="IG330" t="str">
        <f>IF(CQ330="","",IF(COUNTIF(CO$3:CO330,CQ330)+COUNTIF(CP$3:CP330,CQ330)+COUNTIF(CQ$3:CQ330,CQ330)=1,MAX(IE$2:IG329,IE330,IF330)+1,""))</f>
        <v/>
      </c>
      <c r="IH330" t="str">
        <f t="shared" si="731"/>
        <v/>
      </c>
      <c r="II330" t="str">
        <f>IF(IH330="","",IF(COUNTIF(IH$3:IH330,IH330)=1,MAX(II$2:II329)+1,""))</f>
        <v/>
      </c>
      <c r="IJ330" t="str">
        <f>IF(GL330="","",COUNTIF(GL$3:GL330,"?*"))</f>
        <v/>
      </c>
      <c r="IK330" t="str">
        <f>IF(OR(GL330="",GN330=""),"",IF(COUNTIFS(GL$3:GL330,"?*",GN$3:GN330,GN330)=1,MAX(IK$2:IK329)+1,""))</f>
        <v/>
      </c>
      <c r="IL330">
        <f t="shared" si="732"/>
        <v>1</v>
      </c>
      <c r="IM330">
        <f>IF(B330="","",COUNTIF(B$3:B330,"?*"))</f>
        <v>328</v>
      </c>
      <c r="IN330">
        <f>IF(GQ330&lt;&gt;1,0,_xlfn.LET(_xlpm.k,MAX(IFERROR(--VLOOKUP(B330,УГО_спр,5,FALSE),0),IFERROR(--VLOOKUP(AX330,УГО_спр,5,FALSE),0),IFERROR(--VLOOKUP(LEFT(AX330,2),УГО_спр,5,FALSE),0)),IF(_xlpm.k&gt;0,_xlpm.k,IF(IFERROR(--LEFT(SUBSTITUTE(IH330,"x","х"),FIND("х",SUBSTITUTE(IH330,"x","х"))-1),3)&gt;3,Каталог!$S$9,1))))</f>
        <v>0</v>
      </c>
      <c r="IO330">
        <f t="shared" si="733"/>
        <v>0</v>
      </c>
      <c r="IP330" t="str">
        <f t="shared" si="734"/>
        <v>авто</v>
      </c>
      <c r="IQ330" t="str">
        <f t="shared" si="735"/>
        <v/>
      </c>
      <c r="IR330">
        <f t="shared" si="736"/>
        <v>0</v>
      </c>
      <c r="IS330">
        <f t="shared" si="737"/>
        <v>1</v>
      </c>
    </row>
    <row r="331" spans="1:253" x14ac:dyDescent="0.3">
      <c r="A331" t="s">
        <v>769</v>
      </c>
      <c r="B331" t="s">
        <v>1591</v>
      </c>
      <c r="C331" t="str">
        <f>Линии[[#This Row],[_авто наименование]]</f>
        <v>Насос дренажный, пом. 006Т</v>
      </c>
      <c r="D331">
        <v>1</v>
      </c>
      <c r="E331">
        <v>0.6</v>
      </c>
      <c r="G331">
        <v>16</v>
      </c>
      <c r="H331" t="str">
        <f>Линии[[#This Row],[_авто утечка]]</f>
        <v/>
      </c>
      <c r="I331" t="str">
        <f>Линии[[#This Row],[_авто управление]]</f>
        <v/>
      </c>
      <c r="J331" t="str">
        <f>Линии[[#This Row],[_авто аппараты]]</f>
        <v/>
      </c>
      <c r="K331">
        <v>2.5</v>
      </c>
      <c r="L331">
        <v>13</v>
      </c>
      <c r="M331">
        <v>3</v>
      </c>
      <c r="N331" t="str">
        <f>Линии[[#This Row],[_авто клемма]]</f>
        <v>XT1</v>
      </c>
      <c r="O331" t="str">
        <f t="shared" si="615"/>
        <v/>
      </c>
      <c r="P331" s="6" cm="1">
        <f t="array" ref="P331">IF(B331="","",IF(BC331&lt;&gt;"",IFERROR(_xlfn.XLOOKUP(BC331,Щиты[Щит],Щиты[Iр, А]),""),IF(BK331=1,IFERROR(_xlfn.XLOOKUP(A331,Щиты[Щит],Щиты[Iр, А]),""),IFERROR(_xlfn.IFS(BR331=1,BN331/((Uн_лин/SQRT(3))*BY331),BR331=3,BN331/(SQRT(3)*Uн_лин*BY331)),""))))</f>
        <v>3.2475952641916441</v>
      </c>
      <c r="Q331" s="7">
        <f>IF(B331="","",IFERROR(IF(VLOOKUP(AX331,Потребители_обозначение,4,FALSE)=1,VLOOKUP(AX331,Потребители_обозначение,3,FALSE)*(D331*2-1)+DS331+VLOOKUP(AZ331,Этаж_обозначение,3,FALSE)+VLOOKUP(AZ331,Этаж_обозначение,4,FALSE),VLOOKUP(AX331,Потребители_обозначение,3,FALSE)*(D331*2-1)+DS331),DS331))</f>
        <v>16</v>
      </c>
      <c r="R331" s="6">
        <f t="shared" si="616"/>
        <v>3.77</v>
      </c>
      <c r="S331" t="str">
        <f t="shared" si="617"/>
        <v>ВВГнг(А)-LS (3х2,5)</v>
      </c>
      <c r="T331" t="str">
        <f>IF(BH331="","",IF(BI331="вводной узел","узел ","")&amp;"л."&amp;(INT((BH331-1)/Столбцов_на_лист)+1)&amp;" / "&amp;(MOD(BH331-1,Столбцов_на_лист)+1))</f>
        <v>л.2 / 1</v>
      </c>
      <c r="V331">
        <v>1</v>
      </c>
      <c r="W331">
        <v>230</v>
      </c>
      <c r="X331" t="s">
        <v>600</v>
      </c>
      <c r="Y331">
        <v>0.7</v>
      </c>
      <c r="AC331" t="s">
        <v>815</v>
      </c>
      <c r="AE331" t="s">
        <v>606</v>
      </c>
      <c r="AI331">
        <v>18</v>
      </c>
      <c r="AJ331" t="s">
        <v>11</v>
      </c>
      <c r="AK331">
        <v>3</v>
      </c>
      <c r="AM331">
        <v>0</v>
      </c>
      <c r="AN331">
        <v>12</v>
      </c>
      <c r="AW331" cm="1">
        <f t="array" ref="AW331">ROW()-ROW(Линии[#Headers])</f>
        <v>329</v>
      </c>
      <c r="AX331" s="6" t="str">
        <f t="shared" si="618"/>
        <v>НВК</v>
      </c>
      <c r="AY331" t="str">
        <f t="shared" si="619"/>
        <v>00.006Т.2</v>
      </c>
      <c r="AZ331" t="str">
        <f t="shared" si="620"/>
        <v>00</v>
      </c>
      <c r="BA331" t="str">
        <f t="shared" si="621"/>
        <v>006Т.2</v>
      </c>
      <c r="BB331" t="str">
        <f t="shared" si="622"/>
        <v>006Т</v>
      </c>
      <c r="BC331" t="str">
        <f>IF(U331&lt;&gt;"",U331,IF(AND(B331&lt;&gt;"",B331&lt;&gt;A331,ISNUMBER(_xlfn.XMATCH(B331,Щиты[Щит]))),B331,""))</f>
        <v/>
      </c>
      <c r="BD331" t="str" cm="1">
        <f t="array" ref="BD331">IF(B331="","",IF(BC331&lt;&gt;"","Щит "&amp;BC331,_xlfn.LET(_xlpm.nm,IFERROR(_xlfn.XLOOKUP(AX331,Коды_код,Коды_имя)&amp;"",""),_xlpm.md,IFERROR(N(_xlfn.XLOOKUP(AX331,Коды_код,Коды_режим)),1),_xlpm.ex,IF(Имя_режим="по экспликации",IFERROR(_xlfn.XLOOKUP(AZ331&amp;"|"&amp;BB331,Экспликация[Этаж]&amp;"|"&amp;Экспликация[Помещение],Экспликация[Название])&amp;"",""),""),_xlpm.rm,IF(BB331="","",IF(_xlpm.ex&lt;&gt;"",". "&amp;_xlpm.ex&amp;IF(Имя_пом="нет"," ("&amp;BB331&amp;")"," (пом. "&amp;BB331&amp;")"),IF(Имя_пом="нет"," ",", пом. ")&amp;BB331)),IF(_xlpm.nm="","",IF(_xlpm.md=2,_xlpm.nm&amp;" шлейф "&amp;AZ331,_xlpm.nm&amp;_xlpm.rm)))))</f>
        <v>Насос дренажный, пом. 006Т</v>
      </c>
      <c r="BE331" t="str">
        <f t="shared" si="623"/>
        <v>Насос дренажный, пом. 006Т</v>
      </c>
      <c r="BF331">
        <f>IFERROR(_xlfn.XMATCH(A331,Щиты[Щит]),0)</f>
        <v>15</v>
      </c>
      <c r="BG331">
        <f>_xlfn.LET(_xlpm.k,IFERROR(_xlfn.XLOOKUP(A331,Щиты[Щит],Щиты[Листов под вводной узел]),""),IF(_xlpm.k="",1,N(_xlpm.k))*Столбцов_на_лист)</f>
        <v>17</v>
      </c>
      <c r="BH331">
        <f t="shared" si="624"/>
        <v>18</v>
      </c>
      <c r="BI331" t="str">
        <f t="shared" si="625"/>
        <v>линии</v>
      </c>
      <c r="BJ331" s="6">
        <f>IFERROR(N(_xlfn.XLOOKUP(AX331,Коды_код,Коды_квт)),0)</f>
        <v>0</v>
      </c>
      <c r="BK331">
        <f t="shared" si="626"/>
        <v>0</v>
      </c>
      <c r="BL331" t="str">
        <f>IF(B331="","",IF(BC331&lt;&gt;"",IFERROR(_xlfn.XLOOKUP(BC331,Щиты[Щит],Щиты[Руст, кВт]),0),IF(BK331=1,IFERROR(_xlfn.XLOOKUP(A331,Щиты[Щит],Щиты[Руст, кВт]),0),IF(BJ331&gt;0,ROUND(BJ331*MAX(1,N(D331)),3),""))))</f>
        <v/>
      </c>
      <c r="BM331">
        <f t="shared" si="627"/>
        <v>0.6</v>
      </c>
      <c r="BN331" s="6">
        <f>IF(B331="","",IF(BC331&lt;&gt;"",IFERROR(_xlfn.XLOOKUP(BC331,Щиты[Щит],Щиты[Руст, кВт]),0),N(BM331)))</f>
        <v>0.6</v>
      </c>
      <c r="BO331" t="str">
        <f>IF(B331="","",IFERROR(IF(VLOOKUP(AX331,Потребители_обозначение,8,FALSE)=0,"",VLOOKUP(AX331,Потребители_обозначение,8,FALSE)),""))</f>
        <v/>
      </c>
      <c r="BP331">
        <f t="shared" si="628"/>
        <v>230</v>
      </c>
      <c r="BQ331">
        <f>IF(B331="","",IF(BC331&lt;&gt;"",3,IFERROR(IF(N(VLOOKUP(AX331,Потребители_обозначение,9,FALSE))=0,1,VLOOKUP(AX331,Потребители_обозначение,9,FALSE)),1)))</f>
        <v>1</v>
      </c>
      <c r="BR331">
        <f t="shared" si="629"/>
        <v>1</v>
      </c>
      <c r="BS331" t="str">
        <f>IF(B331="","",_xlfn.LET(_xlpm.bc,IFERROR(IF(VLOOKUP(AX331,Потребители_обозначение,6,FALSE)=0,"",VLOOKUP(AX331,Потребители_обозначение,6,FALSE)&amp;""),""),IF(AND(FK331="да",OR(_xlpm.bc="",_xlpm.bc="мс")),Марка_пож,IF(AND(_xlpm.bc="",BC331&lt;&gt;""),"мс",_xlpm.bc))))</f>
        <v/>
      </c>
      <c r="BT331" t="str">
        <f t="shared" si="630"/>
        <v>мс</v>
      </c>
      <c r="BU331">
        <f>IF(B331="","",_xlfn.LET(_xlpm.cc,IFERROR(N(VLOOKUP(AX331,Потребители_обозначение,7,FALSE)),0),IF(_xlpm.cc&gt;0,_xlpm.cc,IF(BT331="","",IF(N(BR331)=3,5,3)))))</f>
        <v>3</v>
      </c>
      <c r="BV331">
        <f t="shared" si="631"/>
        <v>3</v>
      </c>
      <c r="BW331">
        <f>IFERROR(N(VLOOKUP(AX331,Потребители_обозначение,10,FALSE)),0)</f>
        <v>0</v>
      </c>
      <c r="BX331">
        <f>IFERROR(VLOOKUP(AX331,Потребители_обозначение,5,FALSE),0)</f>
        <v>1</v>
      </c>
      <c r="BY331" s="6" cm="1">
        <f t="array" ref="BY331">IF(B331="","",IF(BC331&lt;&gt;"",IFERROR(_xlfn.XLOOKUP(BC331,Щиты[Щит],Щиты[cos φ]),0.95),IF(BK331=1,IFERROR(_xlfn.XLOOKUP(A331,Щиты[Щит],Щиты[cos φ]),0.95),IF(ISNUMBER(Z331),Z331,IFERROR(IF(BX331=2,_xlfn.IFS(BR331=3,VLOOKUP(BN331,Справочная_двигатели,8,FALSE),BR331=1,VLOOKUP(BN331,Справочная_двигатели,10,TRUE)),IF(AND(Методика="нормы 2026",EQ331="Сил"),0.8,0.95)),0.95)))))</f>
        <v>0.8</v>
      </c>
      <c r="BZ331">
        <f t="shared" si="632"/>
        <v>0</v>
      </c>
      <c r="CA331">
        <f t="shared" si="633"/>
        <v>1</v>
      </c>
      <c r="CB331">
        <f t="shared" si="634"/>
        <v>0</v>
      </c>
      <c r="CC331">
        <f t="shared" si="635"/>
        <v>0</v>
      </c>
      <c r="CD331">
        <f t="shared" si="636"/>
        <v>0</v>
      </c>
      <c r="CE331">
        <f t="shared" si="637"/>
        <v>0</v>
      </c>
      <c r="CF331">
        <f t="shared" si="638"/>
        <v>0</v>
      </c>
      <c r="CG331">
        <f>IF(AX331="",0,_xlfn.LET(_xlpm.v,IFERROR(VLOOKUP(B331,УГО_спр,3,FALSE),IFERROR(VLOOKUP(AX331,УГО_спр,3,FALSE),IFERROR(VLOOKUP(LEFT(AX331,2),УГО_спр,3,FALSE),""))),IF(_xlpm.v="да",30,IF(ISNUMBER(_xlpm.v),_xlpm.v,0))))</f>
        <v>0</v>
      </c>
      <c r="CH331" t="str">
        <f t="shared" si="639"/>
        <v/>
      </c>
      <c r="CI331" t="str">
        <f>_xlfn.LET(_xlpm.k,IFERROR(_xlfn.XLOOKUP(AX331,Коды_код,Коды_утечка)&amp;"",""),IF(_xlpm.k="","дифавтомат",_xlpm.k))</f>
        <v>дифавтомат</v>
      </c>
      <c r="CJ331">
        <f t="shared" si="640"/>
        <v>0</v>
      </c>
      <c r="CK331">
        <f t="shared" si="641"/>
        <v>0</v>
      </c>
      <c r="CL331">
        <f>IF(B331="",0,IFERROR(--VLOOKUP(B331,УГО_спр,4,FALSE),IFERROR(--VLOOKUP(AX331,УГО_спр,4,FALSE),IFERROR(--VLOOKUP(LEFT(AX331,2),УГО_спр,4,FALSE),0))))</f>
        <v>0</v>
      </c>
      <c r="CM331" t="str">
        <f>IF(B331="","",IFERROR(_xlfn.XLOOKUP(AX331,Коды_код,Коды_апп)&amp;"",""))</f>
        <v/>
      </c>
      <c r="CN331" t="str">
        <f t="shared" si="642"/>
        <v/>
      </c>
      <c r="CO331" t="str" cm="1">
        <f t="array" ref="CO331">IF(TRIM(CN331&amp;"")="","",IFERROR(TRIM(INDEX(_xlfn.TEXTSPLIT(CN331&amp;";;;",";"),1)),""))</f>
        <v/>
      </c>
      <c r="CP331" t="str" cm="1">
        <f t="array" ref="CP331">IF(TRIM(CN331&amp;"")="","",IFERROR(TRIM(INDEX(_xlfn.TEXTSPLIT(CN331&amp;";;;",";"),2)),""))</f>
        <v/>
      </c>
      <c r="CQ331" t="str" cm="1">
        <f t="array" ref="CQ331">IF(TRIM(CN331&amp;"")="","",IFERROR(TRIM(INDEX(_xlfn.TEXTSPLIT(CN331&amp;";;;",";"),3)),""))</f>
        <v/>
      </c>
      <c r="CR331">
        <f t="shared" si="643"/>
        <v>0</v>
      </c>
      <c r="CS331" t="str">
        <f>IF(B331="","",_xlfn.LET(_xlpm.t,LOWER(AV331&amp;""),IF(ISNUMBER(SEARCH("dim",_xlpm.t)),"DIM",IF(ISNUMBER(SEARCH("dali",_xlpm.t)),"DALI",IF(OR(ISNUMBER(SEARCH("relay",_xlpm.t)),ISNUMBER(SEARCH("реле",_xlpm.t))),"Relay",IF(ISNUMBER(SEARCH("кнопк",_xlpm.t)),"",IFERROR(_xlfn.XLOOKUP(AX331,Коды_код,Коды_упр)&amp;"","")))))))</f>
        <v/>
      </c>
      <c r="CT331" t="str">
        <f t="shared" si="644"/>
        <v/>
      </c>
      <c r="CU331">
        <f>IF(B331="","",_xlfn.LET(_xlpm.ig,N(P331)+IF(AF331="вручную",0,N(CB331)),_xlpm.n0,IFERROR(VLOOKUP(_xlpm.ig,Автомат_номиналы,2,TRUE),0),_xlpm.mn,MAX(CL331,IF(AF331="вручную",0,N(CE331))),MAX(_xlpm.n0,_xlpm.mn,IF(CR331=1,Мин_автомат_БП,0))))</f>
        <v>6</v>
      </c>
      <c r="CV331">
        <f t="shared" si="645"/>
        <v>1</v>
      </c>
      <c r="CW331" t="str">
        <f t="shared" si="646"/>
        <v>1P</v>
      </c>
      <c r="CX331" t="str">
        <f>_xlfn.LET(_xlpm.cc,UPPER(TRIM(IFERROR(_xlfn.XLOOKUP(AX331,Коды_код,Коды_хар)&amp;"",""))),IF(OR(_xlpm.cc="B",_xlpm.cc="В"),"B",IF(_xlpm.cc="D","D","С")))</f>
        <v>С</v>
      </c>
      <c r="CY331" t="str">
        <f t="shared" si="647"/>
        <v>1P С6А</v>
      </c>
      <c r="CZ331">
        <f t="shared" si="648"/>
        <v>16</v>
      </c>
      <c r="DA331" t="str">
        <f t="shared" si="649"/>
        <v>1P С16А</v>
      </c>
      <c r="DB331" cm="1">
        <f t="array" ref="DB331">IF(DA331="","",_xlfn.LET(_xlpm.t,SUBSTITUTE(SUBSTITUTE(SUBSTITUTE(UPPER(DA331),"С","C"),"А","A"),"В","B"),_xlpm.tk,_xlfn.TEXTSPLIT(_xlpm.t,"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1" t="str">
        <f t="shared" si="650"/>
        <v>ok</v>
      </c>
      <c r="DD331">
        <f t="shared" si="651"/>
        <v>16</v>
      </c>
      <c r="DE331" t="str">
        <f t="shared" si="652"/>
        <v>1P С16А</v>
      </c>
      <c r="DF331">
        <f t="shared" si="653"/>
        <v>0</v>
      </c>
      <c r="DG331">
        <f t="shared" si="654"/>
        <v>0</v>
      </c>
      <c r="DH331">
        <f t="shared" si="655"/>
        <v>0</v>
      </c>
      <c r="DI331">
        <f t="shared" si="656"/>
        <v>3.2475952641916441</v>
      </c>
      <c r="DJ331">
        <f t="shared" si="657"/>
        <v>1</v>
      </c>
      <c r="DK331">
        <f>IF(ISNUMBER(AL331),AL331,К_прокл)</f>
        <v>1</v>
      </c>
      <c r="DL331">
        <f t="shared" si="658"/>
        <v>2</v>
      </c>
      <c r="DM331">
        <f>IFERROR(N(VLOOKUP(BT331,Кабель_обозначение,3,FALSE)),1)</f>
        <v>1</v>
      </c>
      <c r="DN331">
        <f>IFERROR(N(_xlfn.XLOOKUP(A331,Щиты[Щит],Щиты[ΔU до шин, %])),0)</f>
        <v>3.44</v>
      </c>
      <c r="DO331" t="str">
        <f>IFERROR(_xlfn.XLOOKUP(A331,Щиты[Щит],Щиты[Zпетли на шинах, Ом]),"")</f>
        <v/>
      </c>
      <c r="DP331">
        <f>IFERROR(N(_xlfn.XLOOKUP(A331,Щиты[Щит],Щиты[ΔU до шин (подбор), %])),0)</f>
        <v>5.4799999999999995</v>
      </c>
      <c r="DQ331" t="str">
        <f>IFERROR(_xlfn.XLOOKUP(A331,Щиты[Щит],Щиты[Zпетли на шинах (подбор), Ом]),"")</f>
        <v/>
      </c>
      <c r="DR331" t="str">
        <f t="shared" si="659"/>
        <v/>
      </c>
      <c r="DS331">
        <f t="shared" si="660"/>
        <v>13</v>
      </c>
      <c r="DT331">
        <f t="shared" si="661"/>
        <v>2</v>
      </c>
      <c r="DU331">
        <f t="shared" si="662"/>
        <v>0.6</v>
      </c>
      <c r="DV331" s="6">
        <f>IF(B331="","",IF(IFERROR(VLOOKUP(AX331,УГО_спр,2,FALSE),"")="Светильник",3,4)+IF(Методика="нормы 2026",MIN(0.5,MAX(0,N(Q331)-100)*0.005),0))</f>
        <v>4</v>
      </c>
      <c r="DW331" t="str" cm="1">
        <f t="array" ref="DW331">IF(OR(B331="",BT331="",DM331&lt;&gt;1),"",_xlfn.LET(_xlpm.sz,Iдоп_S,_xlpm.t_,CHOOSE(DL331,Iдоп_1ж,Iдоп_2ж,Iдоп_3ж)*DJ331*DK331,_xlpm.inn,N(DD331),_xlpm.smin,MAX(1.5,BW331),_xlpm.L_,N(Q331)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331)*(_xlpm.rho*_xlpm.L_/_xlpm.sz*N(BY331)+_xlpm.xx*_xlpm.L_*N(DU331)/1000)*N(P331)/((Uн_лин/SQRT(3))*1000)*100,999),_xlpm.kz,IF(OR(DG331=1,NOT(ISNUMBER(DQ331)),_xlpm.L_=0,_xlpm.inn=0),1,IFERROR(--(c_min*(Uн_лин*1000/SQRT(3))/(DQ331+2*ρкз_Cu*_xlpm.L_/_xlpm.sz)&gt;=GY331*_xlpm.inn),0)),_xlpm.ok,IFERROR((_xlpm.sz&gt;=_xlpm.smin)*(_xlpm.t_&gt;=_xlpm.inn)*IF(_xlpm.L_&gt;0,(_xlpm.du_+DP331&lt;=DV331+0.00001),1)*_xlpm.kz,0),_xlpm.r_,_xlfn._xlws.FILTER(_xlpm.sz,_xlpm.ok,"не подобрано"),INDEX(_xlpm.r_,1)))</f>
        <v>не подобрано</v>
      </c>
      <c r="DX331">
        <f t="shared" si="663"/>
        <v>2.5</v>
      </c>
      <c r="DY331" cm="1">
        <f t="array" ref="DY331">IF(OR(B331="",BT331="",DM331&lt;&gt;1),"",_xlfn.LET(_xlpm.sz,Iдоп_S,_xlpm.t_,CHOOSE(DL331,Iдоп_1ж,Iдоп_2ж,Iдоп_3ж)*DJ331*DK331,_xlpm.ok,IFERROR((_xlpm.sz&gt;=MAX(1.5,BW331))*(_xlpm.t_&gt;=N(DD331)),0),_xlpm.r_,_xlfn._xlws.FILTER(_xlpm.sz,_xlpm.ok,""),INDEX(_xlpm.r_,1)))</f>
        <v>1.5</v>
      </c>
      <c r="DZ331" s="6" cm="1">
        <f t="array" ref="DZ331">IFERROR(ROUNDUP(N(DT331)*(_xlfn.XLOOKUP(DY331,INDEX(Кабель_сопротивление,0,1),INDEX(Кабель_сопротивление,0,3))*N(Q331)/DY331*N(BY331)+_xlfn.XLOOKUP(DY331,INDEX(Кабель_сопротивление,0,1),INDEX(Кабель_сопротивление,0,2))*N(Q331)*N(DU331)/1000)*N(P331)/((Uн_лин/SQRT(3))*1000)*100,2),"")</f>
        <v>0.55000000000000004</v>
      </c>
      <c r="EA331">
        <f>IFERROR(2*ρкз_Cu*N(Q331)/DY331,"")</f>
        <v>0.56106666666666671</v>
      </c>
      <c r="EB331">
        <f>IFERROR(VLOOKUP(DX331,Кабель_сопротивление,3,FALSE),"")</f>
        <v>2.2499999999999999E-2</v>
      </c>
      <c r="EC331">
        <f>IFERROR(VLOOKUP(DX331,Кабель_сопротивление,2,FALSE),"")</f>
        <v>0.1</v>
      </c>
      <c r="ED331">
        <f t="shared" si="664"/>
        <v>12</v>
      </c>
      <c r="EE331" t="str">
        <f t="shared" si="665"/>
        <v/>
      </c>
      <c r="EF331">
        <f t="shared" si="666"/>
        <v>0.75448133177700272</v>
      </c>
      <c r="EG331" s="6">
        <f>IFERROR(ROUNDUP(EF331/((Uн_лин/SQRT(3))*1000)*100,2),"")</f>
        <v>0.33</v>
      </c>
      <c r="EH331" t="str">
        <f>IFERROR(VLOOKUP(BT331,Кабель_обозначение,2,FALSE),"")</f>
        <v>ВВГнг(А)-LS</v>
      </c>
      <c r="EI331" t="str">
        <f t="shared" si="667"/>
        <v>ВВГнг(А)-LS (3х2,5)</v>
      </c>
      <c r="EJ331" t="str">
        <f t="shared" si="668"/>
        <v>ВВГнг(А)-LS (3х2,5)
L=16-0,33%</v>
      </c>
      <c r="EK331">
        <f>IFERROR(2*ρкз_Cu*Q331/DX331,"")</f>
        <v>0.33663999999999999</v>
      </c>
      <c r="EL331">
        <f t="shared" si="669"/>
        <v>0.11200000000000002</v>
      </c>
      <c r="EM331" s="6" t="str">
        <f>IFERROR(IF(OR(B331="",NOT(ISNUMBER(DX331)),N(Q331)=0),"",_xlfn.XLOOKUP(A331,Щиты[Щит],Щиты[Zпетли на шинах, Ом])+EK331),"")</f>
        <v/>
      </c>
      <c r="EN331" s="6" t="str">
        <f>IF(ISNUMBER(EM331),c_min*(Uн_лин*1000/SQRT(3))/EM331,"")</f>
        <v/>
      </c>
      <c r="EO331" s="6" t="str">
        <f>IFERROR(IF(OR(B331="",NOT(ISNUMBER(DX331))),"",1.05*(Uн_лин*1000/SQRT(3))/(_xlfn.XLOOKUP(A331,Щиты[Щит],Щиты[Zmax на шинах, Ом])+EL331)/1000),"")</f>
        <v/>
      </c>
      <c r="EP331" s="6" t="str">
        <f>IF(B331="","",IF(ISNUMBER(Y331),"Сил",IF(IFERROR(_xlfn.XLOOKUP(AX331,Коды_код,Коды_группа)&amp;"","")="","Быт",_xlfn.XLOOKUP(AX331,Коды_код,Коды_группа)&amp;"")))</f>
        <v>Сил</v>
      </c>
      <c r="EQ331" s="6" t="str">
        <f t="shared" si="670"/>
        <v>Сил</v>
      </c>
      <c r="ER331" s="6">
        <f>IF(EQ331="Щит","щит",IF(EQ331="","",IF(EQ331="Быт",IFERROR(_xlfn.XLOOKUP(A331,Щиты[Щит],Щиты[Кс быт]),1),IF(EQ331="Сил",IF(ISNUMBER(Y331),Y331,IF(Методика="нормы 2026",IFERROR(_xlfn.XLOOKUP(A331,Щиты[Щит],Щиты[Кс силовых (табл. 7.5)]),1),1)),IF(OR(EQ331="Пост",EQ331="Отоп"),1,IF(EQ331="ВНГ",0.7,0))))))</f>
        <v>0.7</v>
      </c>
      <c r="ES331">
        <f t="shared" si="671"/>
        <v>1</v>
      </c>
      <c r="ET331">
        <f t="shared" si="672"/>
        <v>0.6</v>
      </c>
      <c r="EU331">
        <f t="shared" si="673"/>
        <v>0</v>
      </c>
      <c r="EV331">
        <f t="shared" si="674"/>
        <v>0.42</v>
      </c>
      <c r="EW331">
        <f t="shared" si="675"/>
        <v>0</v>
      </c>
      <c r="EX331">
        <f t="shared" si="676"/>
        <v>0</v>
      </c>
      <c r="EY331">
        <f t="shared" si="677"/>
        <v>0</v>
      </c>
      <c r="EZ331">
        <f t="shared" si="678"/>
        <v>0.6</v>
      </c>
      <c r="FA331">
        <f t="shared" si="679"/>
        <v>0.48</v>
      </c>
      <c r="FB331">
        <f t="shared" si="680"/>
        <v>0.6</v>
      </c>
      <c r="FC331" t="str">
        <f t="shared" si="681"/>
        <v>L3</v>
      </c>
      <c r="FD331" t="str">
        <f>IF(B331="","",IF(CA331=0,IF(AW331=1,"",FF330),IF(OR(N(CV331)&gt;=3,N(BR331)&gt;=3),"L1,L2,L3",IFERROR(_xlfn.TEXTBEFORE(_xlfn.TEXTAFTER(_xlfn.XLOOKUP(A331,Щиты[Щит],Щиты[_фазы авто]),";"&amp;AW331&amp;":"),";"),"L1"))))</f>
        <v>L1</v>
      </c>
      <c r="FE331" t="str">
        <f t="shared" si="682"/>
        <v>L3</v>
      </c>
      <c r="FF331" t="str">
        <f t="shared" si="683"/>
        <v>L3</v>
      </c>
      <c r="FG331" cm="1">
        <f t="array" ref="FG331">IFERROR(IF(BX331=2,_xlfn.IFS(BR331=3,VLOOKUP(BN331,Справочная_двигатели,3,FALSE),BR331=1,VLOOKUP(BN331,Справочная_двигатели,5,TRUE)),0),0)</f>
        <v>0</v>
      </c>
      <c r="FH331">
        <f>IFERROR(IF(BX331=3,VLOOKUP(BN331,Справочная_ЛЭД,2,TRUE),0),0)</f>
        <v>0</v>
      </c>
      <c r="FI331" s="6">
        <f t="shared" si="684"/>
        <v>0</v>
      </c>
      <c r="FJ331" t="str" cm="1">
        <f t="array" ref="FJ331">IF(B331="","",IFERROR(INDEX({"I особая","I","II","III"},MATCH(TRIM(AC331&amp;""),{"I особая","I","II","III"},0)),"III"))</f>
        <v>II</v>
      </c>
      <c r="FK331" t="str">
        <f>IF(B331="","",IF(TRIM(AD331&amp;"")&lt;&gt;"",IF(LOWER(TRIM(AD331&amp;""))="да","да","нет"),IF(IFERROR(_xlfn.XLOOKUP(AX331,Коды_код,Коды_пожарная),"")="да","да","нет")))</f>
        <v>нет</v>
      </c>
      <c r="FL331" t="str">
        <f t="shared" si="685"/>
        <v/>
      </c>
      <c r="FM331" t="str">
        <f t="shared" si="686"/>
        <v>основная</v>
      </c>
      <c r="FN331">
        <f t="shared" si="687"/>
        <v>1</v>
      </c>
      <c r="FO331" t="str" cm="1">
        <f t="array" ref="FO331">IF(B331="","",_xlfn.LET(_xlpm.t,IFERROR(_xlfn.XLOOKUP(1,(Шины[Шина]=FM331)*(((Шины[Щит]=A331)+(Шины[Щит]=""))&gt;0),Шины[Тип]),"")&amp;"",IF(_xlpm.t&lt;&gt;"",_xlpm.t,IF(ISNUMBER(SEARCH("ИБП",FM331)),"ИБП",IF(ISNUMBER(SEARCH("ДГУ",FM331)),"ДГУ","Ввод "&amp;FN331)))))</f>
        <v>Ввод 1</v>
      </c>
      <c r="FP331" t="str">
        <f t="shared" si="688"/>
        <v>Ввод 1</v>
      </c>
      <c r="FQ331" t="str">
        <f>IF(B331="","",IF(OR(FO331="ИБП",FO331="ДГУ"),"I особая",IF(FO331="Одиночная","III",_xlfn.XLOOKUP(A331,Щиты[Щит],Щиты[Категория шины «Ввод»],"III"))))</f>
        <v>II</v>
      </c>
      <c r="FR331">
        <f>IF(B331="",0,IFERROR(MATCH(FJ331,{"III","II","I","I особая"},0),1))</f>
        <v>2</v>
      </c>
      <c r="FS331">
        <f t="shared" si="689"/>
        <v>2</v>
      </c>
      <c r="FT331" t="str">
        <f>IF(B331="","",IF(FR331&gt;IFERROR(MATCH(FQ331,{"III","II","I","I особая"},0),1),"НЕ ОБЕСПЕЧЕНА","ОК"))</f>
        <v>ОК</v>
      </c>
      <c r="FU331" t="str">
        <f>IF(A331="","",_xlfn.XLOOKUP(A331,Щиты[Щит],Щиты[Путь],""))</f>
        <v>|ГРЩ-ЖД|ЩС-ВК.003|</v>
      </c>
      <c r="FV331" t="str">
        <f>IF(B331="","",IF(AE331&lt;&gt;"",AE331,IF(IFERROR(_xlfn.XLOOKUP(AX331,Коды_код,Коды_вид)&amp;"","")="","Прочее",_xlfn.XLOOKUP(AX331,Коды_код,Коды_вид)&amp;"")))</f>
        <v>Насосы (водоснабжение, дренаж)</v>
      </c>
      <c r="FW331">
        <f>IF(BH331="","",INT((BH331-1)/Столбцов_на_лист)+1)</f>
        <v>2</v>
      </c>
      <c r="FX331" t="str">
        <f t="shared" si="690"/>
        <v>ВВГнг(А)-LS (3х2,5) L=16-0,33%</v>
      </c>
      <c r="FY331">
        <f t="shared" si="691"/>
        <v>0.6</v>
      </c>
      <c r="FZ331">
        <f t="shared" si="692"/>
        <v>3.25</v>
      </c>
      <c r="GA331">
        <f t="shared" si="693"/>
        <v>1</v>
      </c>
      <c r="GB331">
        <f t="shared" si="694"/>
        <v>0</v>
      </c>
      <c r="GC331">
        <f t="shared" si="695"/>
        <v>1</v>
      </c>
      <c r="GD331">
        <f>IF(BH331="","",IF(AND(CA331=1,GC331=1),COUNTIFS(A$3:A331,A331,CA$3:CA331,1,GC$3:GC331,1),IF(OR(OR(AW331=1,A331&lt;&gt;A330),AF331="вручную",GC331=0),"",IF(AW331=1,"",GE330))))</f>
        <v>1</v>
      </c>
      <c r="GE331">
        <f t="shared" si="696"/>
        <v>1</v>
      </c>
      <c r="GF331">
        <f>IF(B331="","",IFERROR(LOOKUP(INDEX(CHOOSE(DL331,Iдоп_1ж,Iдоп_2ж,Iдоп_3ж),MATCH(DX331,Iдоп_S,0))*DJ331*DK331,{6,10,16,20,25,32,40,50,63,80,100,125,160,200,250,315,400,500,630}),""))</f>
        <v>25</v>
      </c>
      <c r="GG331" t="str">
        <f t="shared" si="697"/>
        <v>QF1</v>
      </c>
      <c r="GH331" t="str">
        <f t="shared" si="698"/>
        <v>QF1</v>
      </c>
      <c r="GI331" t="str">
        <f t="shared" si="699"/>
        <v/>
      </c>
      <c r="GJ331">
        <f t="shared" si="700"/>
        <v>0</v>
      </c>
      <c r="GK331" t="str">
        <f>IF(OR(AG331="",AG331="-"),"",IFERROR(VLOOKUP(AG331,Модули_спр,2,FALSE),"R"))</f>
        <v/>
      </c>
      <c r="GL331" t="str">
        <f>IF(GK331="","",GK331&amp;"."&amp;COUNTIFS(A$3:A331,A331,GK$3:GK331,GK331))</f>
        <v/>
      </c>
      <c r="GM331" t="str">
        <f t="shared" si="701"/>
        <v/>
      </c>
      <c r="GN331" t="str">
        <f t="shared" si="702"/>
        <v/>
      </c>
      <c r="GO331" t="str">
        <f t="shared" si="703"/>
        <v/>
      </c>
      <c r="GP331" t="str">
        <f t="shared" si="704"/>
        <v/>
      </c>
      <c r="GQ331">
        <f t="shared" si="705"/>
        <v>1</v>
      </c>
      <c r="GR331" t="str">
        <f>IF(GQ331=1,"XT"&amp;COUNTIFS(A$3:A331,A331,GQ$3:GQ331,1),"")</f>
        <v>XT1</v>
      </c>
      <c r="GS331" t="str">
        <f t="shared" si="706"/>
        <v>XT1</v>
      </c>
      <c r="GT331" t="str">
        <f t="shared" si="707"/>
        <v>QF1</v>
      </c>
      <c r="GU331" t="str">
        <f t="shared" si="708"/>
        <v/>
      </c>
      <c r="GV331" t="str">
        <f t="shared" si="709"/>
        <v>ok</v>
      </c>
      <c r="GW331" t="str">
        <f>IF(OR(GO331="",GM331=""),"",IF(GO331&gt;IFERROR(VLOOKUP(GN331,Модули_спр,3,FALSE),99),"ЛИШНИЙ КАНАЛ",IF(AND(AH331&lt;&gt;"=",COUNTIFS(Линии[_модуль гр.],GM331,Линии[Канал (итог)],GO331,Линии[Канал],"&lt;&gt;=",Линии[Щит],A331)&gt;1),"ДУБЛЬ КАНАЛА","")))</f>
        <v/>
      </c>
      <c r="GX331" s="6" t="str">
        <f t="shared" si="710"/>
        <v/>
      </c>
      <c r="GY331">
        <f t="shared" si="711"/>
        <v>10</v>
      </c>
      <c r="GZ331" t="str">
        <f t="shared" si="712"/>
        <v/>
      </c>
      <c r="HA331" t="str">
        <f>IF(AND(B331="",GT331=""),"",_xlfn.TEXTJOIN("; ",TRUE,IF(AND(B331&lt;&gt;"",FE331=""),"нет фазы",""),IF(AND(B331&lt;&gt;"",N(FY331)=0,EQ331&lt;&gt;"Нет"),"нет мощности",""),IF(AND(GS331&lt;&gt;"",COUNTIFS(Линии[Щит],A331,Линии[Клемма (итог)],GS331)&gt;1),"дубль клеммы "&amp;GS331,""),IF(AND(GV331&lt;&gt;"",GV331&lt;&gt;"ok"),GV331,""),IF(GW331&lt;&gt;"",GW331,""),IF(AND(N(BV331)&gt;=4,N(BR331)=1),BV331&amp;" жил на 1 фазе",""),IF(AND(AX331="R",CA331=1,OR(N(CK331)=0,N(CK331)&gt;30)),"розетка без дифзащиты до 30 мА",""),IFERROR(IF(AND(ISNUMBER(R331),R331&gt;DV331),"потери "&amp;FIXED(R331,1)&amp;" % &gt; "&amp;DV331&amp;" %",""),""),IFERROR(IF(LEFT(GZ331,4)="мало","Iкз мало — отключение &gt; 0,4 с",""),""),IF(AND(B331&lt;&gt;"",BH331=""),"не на схеме",""),IF(AND(CA331=0,B331&lt;&gt;"",FE331&lt;&gt;"",IF(AW331=1,"",FF330)&lt;&gt;"",FE331&lt;&gt;IF(AW331=1,"",FF330)),"фаза не как у автомата группы ("&amp;IF(AW331=1,"",FF330)&amp;")","")))</f>
        <v/>
      </c>
      <c r="HB331" s="6">
        <f>IF(OR(CA331=0,DA331=""),"",_xlfn.LET(_xlpm.t,IFERROR(_xlfn.XLOOKUP(DA331,Каталог!$U$4:$U$500,Каталог!$G$4:$G$500),""),_xlpm.k,SEARCH("кА",_xlpm.t),IFERROR(--TRIM(RIGHT(SUBSTITUTE(MID(_xlpm.t,MAX(1,_xlpm.k-4),_xlpm.k-MAX(1,_xlpm.k-4))," ",REPT(" ",9)),5)),"")))</f>
        <v>6</v>
      </c>
      <c r="HC331" t="str">
        <f>IF(OR(HB331="",CA331=0),"",IF(_xlfn.XLOOKUP(A331,Щиты[Щит],Щиты[Iкз max на шинах, кА],"")="","",IF(HB331&lt;_xlfn.XLOOKUP(A331,Щиты[Щит],Щиты[Iкз max на шинах, кА]),"Icu "&amp;HB331&amp;" кА &lt; Iкз max","ok")))</f>
        <v/>
      </c>
      <c r="HD331" t="str">
        <f t="shared" si="713"/>
        <v/>
      </c>
      <c r="HE331" t="str">
        <f t="shared" si="714"/>
        <v>QF1|XT1</v>
      </c>
      <c r="HF331" t="str">
        <f t="shared" si="715"/>
        <v>QF1|XT1|кабель ВВГнг(А)-LS (3х2,5) → Насос дренажный, пом. 006Т</v>
      </c>
      <c r="HG331" t="str" cm="1">
        <f t="array" ref="HG331">IF(HF331="","",_xlfn.LET(_xlpm.nd,_xlfn.TEXTSPLIT(HF331,"|"),IF(COLUMNS(_xlpm.nd)&gt;1,A331&amp;"¦"&amp;INDEX(_xlpm.nd,1)&amp;"¦"&amp;INDEX(_xlpm.nd,2),"")))</f>
        <v>ЩС-ВК.003¦QF1¦XT1</v>
      </c>
      <c r="HH331" t="str">
        <f t="shared" si="716"/>
        <v>НВК.00.006Т.2¦Насос дренажный, пом. 006Т</v>
      </c>
      <c r="HI331" t="str" cm="1">
        <f t="array" ref="HI331">IF(HF331="","",_xlfn.LET(_xlpm.nd,_xlfn.TEXTSPLIT(HF331,"|"),IF(COLUMNS(_xlpm.nd)&gt;2,A331&amp;"¦"&amp;INDEX(_xlpm.nd,2)&amp;"¦"&amp;INDEX(_xlpm.nd,3),"")))</f>
        <v>ЩС-ВК.003¦XT1¦кабель ВВГнг(А)-LS (3х2,5) → Насос дренажный, пом. 006Т</v>
      </c>
      <c r="HJ331" t="str">
        <f t="shared" si="717"/>
        <v>НВК.00.006Т.2¦Насос дренажный, пом. 006Т</v>
      </c>
      <c r="HK331" t="str" cm="1">
        <f t="array" ref="HK331">IF(HF331="","",_xlfn.LET(_xlpm.nd,_xlfn.TEXTSPLIT(HF331,"|"),IF(COLUMNS(_xlpm.nd)&gt;3,A331&amp;"¦"&amp;INDEX(_xlpm.nd,3)&amp;"¦"&amp;INDEX(_xlpm.nd,4),"")))</f>
        <v/>
      </c>
      <c r="HL331" t="str">
        <f t="shared" si="718"/>
        <v/>
      </c>
      <c r="HM331" t="str" cm="1">
        <f t="array" ref="HM331">IF(HF331="","",_xlfn.LET(_xlpm.nd,_xlfn.TEXTSPLIT(HF331,"|"),IF(COLUMNS(_xlpm.nd)&gt;4,A331&amp;"¦"&amp;INDEX(_xlpm.nd,4)&amp;"¦"&amp;INDEX(_xlpm.nd,5),"")))</f>
        <v/>
      </c>
      <c r="HN331" t="str">
        <f t="shared" si="719"/>
        <v/>
      </c>
      <c r="HO331" t="str" cm="1">
        <f t="array" ref="HO331">IF(HF331="","",_xlfn.LET(_xlpm.nd,_xlfn.TEXTSPLIT(HF331,"|"),IF(COLUMNS(_xlpm.nd)&gt;5,A331&amp;"¦"&amp;INDEX(_xlpm.nd,5)&amp;"¦"&amp;INDEX(_xlpm.nd,6),"")))</f>
        <v/>
      </c>
      <c r="HP331" t="str">
        <f t="shared" si="720"/>
        <v/>
      </c>
      <c r="HQ331" t="str" cm="1">
        <f t="array" ref="HQ331">IF(HF331="","",_xlfn.LET(_xlpm.nd,_xlfn.TEXTSPLIT(HF331,"|"),IF(COLUMNS(_xlpm.nd)&gt;6,A331&amp;"¦"&amp;INDEX(_xlpm.nd,6)&amp;"¦"&amp;INDEX(_xlpm.nd,7),"")))</f>
        <v/>
      </c>
      <c r="HR331" t="str">
        <f t="shared" si="721"/>
        <v/>
      </c>
      <c r="HS331" t="str">
        <f t="shared" si="722"/>
        <v/>
      </c>
      <c r="HT331" t="str">
        <f t="shared" si="723"/>
        <v>QF1 → XT1</v>
      </c>
      <c r="HU331">
        <f t="shared" si="724"/>
        <v>0</v>
      </c>
      <c r="HV331">
        <f t="shared" si="725"/>
        <v>0</v>
      </c>
      <c r="HW331" t="str">
        <f t="shared" si="726"/>
        <v/>
      </c>
      <c r="HX331" t="str">
        <f t="shared" si="727"/>
        <v/>
      </c>
      <c r="HY331" t="str">
        <f t="shared" si="728"/>
        <v/>
      </c>
      <c r="HZ331" t="str">
        <f t="shared" si="729"/>
        <v/>
      </c>
      <c r="IA331">
        <f>IF(B331="","",IFERROR(VLOOKUP(B331,УГО_спр,2,FALSE),IFERROR(VLOOKUP(AX331,УГО_спр,2,FALSE),IFERROR(VLOOKUP(LEFT(AX331,2),УГО_спр,2,FALSE),""))))</f>
        <v>0</v>
      </c>
      <c r="IB331" t="str">
        <f>IF(B331="","",IF(OR(IA331="",IA331=0),"BOX",IFERROR(IF(VLOOKUP(IA331,УГО_блоки,3,FALSE)&amp;""&lt;&gt;"",VLOOKUP(IA331,УГО_блоки,3,FALSE),VLOOKUP(IA331,УГО_блоки,2,FALSE)),IA331)))</f>
        <v>BOX</v>
      </c>
      <c r="IC331">
        <f t="shared" si="730"/>
        <v>1</v>
      </c>
      <c r="ID331" t="str">
        <f>IF(DA331="","",IF(COUNTIF(DA$3:DA331,DA331)=1,MAX(ID$2:ID330)+1,""))</f>
        <v/>
      </c>
      <c r="IE331" t="str">
        <f>IF(CO331="","",IF(COUNTIF(CO$3:CO331,CO331)+COUNTIF(CP$2:CP330,CO331)+COUNTIF(CQ$2:CQ330,CO331)=1,MAX(IE$2:IG330)+1,""))</f>
        <v/>
      </c>
      <c r="IF331" t="str">
        <f>IF(CP331="","",IF(COUNTIF(CO$3:CO331,CP331)+COUNTIF(CP$3:CP331,CP331)+COUNTIF(CQ$2:CQ330,CP331)=1,MAX(IE$2:IG330,IE331)+1,""))</f>
        <v/>
      </c>
      <c r="IG331" t="str">
        <f>IF(CQ331="","",IF(COUNTIF(CO$3:CO331,CQ331)+COUNTIF(CP$3:CP331,CQ331)+COUNTIF(CQ$3:CQ331,CQ331)=1,MAX(IE$2:IG330,IE331,IF331)+1,""))</f>
        <v/>
      </c>
      <c r="IH331" t="str">
        <f t="shared" si="731"/>
        <v>3х2,5</v>
      </c>
      <c r="II331" t="str">
        <f>IF(IH331="","",IF(COUNTIF(IH$3:IH331,IH331)=1,MAX(II$2:II330)+1,""))</f>
        <v/>
      </c>
      <c r="IJ331" t="str">
        <f>IF(GL331="","",COUNTIF(GL$3:GL331,"?*"))</f>
        <v/>
      </c>
      <c r="IK331" t="str">
        <f>IF(OR(GL331="",GN331=""),"",IF(COUNTIFS(GL$3:GL331,"?*",GN$3:GN331,GN331)=1,MAX(IK$2:IK330)+1,""))</f>
        <v/>
      </c>
      <c r="IL331">
        <f t="shared" si="732"/>
        <v>0</v>
      </c>
      <c r="IM331">
        <f>IF(B331="","",COUNTIF(B$3:B331,"?*"))</f>
        <v>329</v>
      </c>
      <c r="IN331">
        <f>IF(GQ331&lt;&gt;1,0,_xlfn.LET(_xlpm.k,MAX(IFERROR(--VLOOKUP(B331,УГО_спр,5,FALSE),0),IFERROR(--VLOOKUP(AX331,УГО_спр,5,FALSE),0),IFERROR(--VLOOKUP(LEFT(AX331,2),УГО_спр,5,FALSE),0)),IF(_xlpm.k&gt;0,_xlpm.k,IF(IFERROR(--LEFT(SUBSTITUTE(IH331,"x","х"),FIND("х",SUBSTITUTE(IH331,"x","х"))-1),3)&gt;3,Каталог!$S$9,1))))</f>
        <v>1</v>
      </c>
      <c r="IO331">
        <f t="shared" si="733"/>
        <v>0</v>
      </c>
      <c r="IP331" t="str">
        <f t="shared" si="734"/>
        <v>авто</v>
      </c>
      <c r="IQ331" t="str">
        <f t="shared" si="735"/>
        <v/>
      </c>
      <c r="IR331">
        <f t="shared" si="736"/>
        <v>0</v>
      </c>
      <c r="IS331">
        <f t="shared" si="737"/>
        <v>1</v>
      </c>
    </row>
    <row r="332" spans="1:253" x14ac:dyDescent="0.3">
      <c r="A332" t="s">
        <v>769</v>
      </c>
      <c r="B332" t="s">
        <v>1592</v>
      </c>
      <c r="C332" t="str">
        <f>Линии[[#This Row],[_авто наименование]]</f>
        <v>Насос дренажный, пом. 006Т</v>
      </c>
      <c r="D332">
        <v>1</v>
      </c>
      <c r="E332">
        <v>0.6</v>
      </c>
      <c r="G332">
        <v>16</v>
      </c>
      <c r="H332" t="str">
        <f>Линии[[#This Row],[_авто утечка]]</f>
        <v/>
      </c>
      <c r="I332" t="str">
        <f>Линии[[#This Row],[_авто управление]]</f>
        <v/>
      </c>
      <c r="J332" t="str">
        <f>Линии[[#This Row],[_авто аппараты]]</f>
        <v/>
      </c>
      <c r="K332">
        <v>2.5</v>
      </c>
      <c r="L332">
        <v>12</v>
      </c>
      <c r="M332">
        <v>3</v>
      </c>
      <c r="N332" t="str">
        <f>Линии[[#This Row],[_авто клемма]]</f>
        <v>XT2</v>
      </c>
      <c r="O332" t="str">
        <f t="shared" si="615"/>
        <v/>
      </c>
      <c r="P332" s="6" cm="1">
        <f t="array" ref="P332">IF(B332="","",IF(BC332&lt;&gt;"",IFERROR(_xlfn.XLOOKUP(BC332,Щиты[Щит],Щиты[Iр, А]),""),IF(BK332=1,IFERROR(_xlfn.XLOOKUP(A332,Щиты[Щит],Щиты[Iр, А]),""),IFERROR(_xlfn.IFS(BR332=1,BN332/((Uн_лин/SQRT(3))*BY332),BR332=3,BN332/(SQRT(3)*Uн_лин*BY332)),""))))</f>
        <v>3.2475952641916441</v>
      </c>
      <c r="Q332" s="7">
        <f>IF(B332="","",IFERROR(IF(VLOOKUP(AX332,Потребители_обозначение,4,FALSE)=1,VLOOKUP(AX332,Потребители_обозначение,3,FALSE)*(D332*2-1)+DS332+VLOOKUP(AZ332,Этаж_обозначение,3,FALSE)+VLOOKUP(AZ332,Этаж_обозначение,4,FALSE),VLOOKUP(AX332,Потребители_обозначение,3,FALSE)*(D332*2-1)+DS332),DS332))</f>
        <v>15</v>
      </c>
      <c r="R332" s="6">
        <f t="shared" si="616"/>
        <v>3.75</v>
      </c>
      <c r="S332" t="str">
        <f t="shared" si="617"/>
        <v>ВВГнг(А)-LS (3х2,5)</v>
      </c>
      <c r="T332" t="str">
        <f>IF(BH332="","",IF(BI332="вводной узел","узел ","")&amp;"л."&amp;(INT((BH332-1)/Столбцов_на_лист)+1)&amp;" / "&amp;(MOD(BH332-1,Столбцов_на_лист)+1))</f>
        <v>л.2 / 2</v>
      </c>
      <c r="V332">
        <v>1</v>
      </c>
      <c r="W332">
        <v>230</v>
      </c>
      <c r="X332" t="s">
        <v>600</v>
      </c>
      <c r="Y332">
        <v>0.7</v>
      </c>
      <c r="AC332" t="s">
        <v>815</v>
      </c>
      <c r="AE332" t="s">
        <v>606</v>
      </c>
      <c r="AI332">
        <v>19</v>
      </c>
      <c r="AJ332" t="s">
        <v>11</v>
      </c>
      <c r="AK332">
        <v>3</v>
      </c>
      <c r="AM332">
        <v>0</v>
      </c>
      <c r="AN332">
        <v>11</v>
      </c>
      <c r="AW332" cm="1">
        <f t="array" ref="AW332">ROW()-ROW(Линии[#Headers])</f>
        <v>330</v>
      </c>
      <c r="AX332" s="6" t="str">
        <f t="shared" si="618"/>
        <v>НВК</v>
      </c>
      <c r="AY332" t="str">
        <f t="shared" si="619"/>
        <v>00.006Т.1</v>
      </c>
      <c r="AZ332" t="str">
        <f t="shared" si="620"/>
        <v>00</v>
      </c>
      <c r="BA332" t="str">
        <f t="shared" si="621"/>
        <v>006Т.1</v>
      </c>
      <c r="BB332" t="str">
        <f t="shared" si="622"/>
        <v>006Т</v>
      </c>
      <c r="BC332" t="str">
        <f>IF(U332&lt;&gt;"",U332,IF(AND(B332&lt;&gt;"",B332&lt;&gt;A332,ISNUMBER(_xlfn.XMATCH(B332,Щиты[Щит]))),B332,""))</f>
        <v/>
      </c>
      <c r="BD332" t="str" cm="1">
        <f t="array" ref="BD332">IF(B332="","",IF(BC332&lt;&gt;"","Щит "&amp;BC332,_xlfn.LET(_xlpm.nm,IFERROR(_xlfn.XLOOKUP(AX332,Коды_код,Коды_имя)&amp;"",""),_xlpm.md,IFERROR(N(_xlfn.XLOOKUP(AX332,Коды_код,Коды_режим)),1),_xlpm.ex,IF(Имя_режим="по экспликации",IFERROR(_xlfn.XLOOKUP(AZ332&amp;"|"&amp;BB332,Экспликация[Этаж]&amp;"|"&amp;Экспликация[Помещение],Экспликация[Название])&amp;"",""),""),_xlpm.rm,IF(BB332="","",IF(_xlpm.ex&lt;&gt;"",". "&amp;_xlpm.ex&amp;IF(Имя_пом="нет"," ("&amp;BB332&amp;")"," (пом. "&amp;BB332&amp;")"),IF(Имя_пом="нет"," ",", пом. ")&amp;BB332)),IF(_xlpm.nm="","",IF(_xlpm.md=2,_xlpm.nm&amp;" шлейф "&amp;AZ332,_xlpm.nm&amp;_xlpm.rm)))))</f>
        <v>Насос дренажный, пом. 006Т</v>
      </c>
      <c r="BE332" t="str">
        <f t="shared" si="623"/>
        <v>Насос дренажный, пом. 006Т</v>
      </c>
      <c r="BF332">
        <f>IFERROR(_xlfn.XMATCH(A332,Щиты[Щит]),0)</f>
        <v>15</v>
      </c>
      <c r="BG332">
        <f>_xlfn.LET(_xlpm.k,IFERROR(_xlfn.XLOOKUP(A332,Щиты[Щит],Щиты[Листов под вводной узел]),""),IF(_xlpm.k="",1,N(_xlpm.k))*Столбцов_на_лист)</f>
        <v>17</v>
      </c>
      <c r="BH332">
        <f t="shared" si="624"/>
        <v>19</v>
      </c>
      <c r="BI332" t="str">
        <f t="shared" si="625"/>
        <v>линии</v>
      </c>
      <c r="BJ332" s="6">
        <f>IFERROR(N(_xlfn.XLOOKUP(AX332,Коды_код,Коды_квт)),0)</f>
        <v>0</v>
      </c>
      <c r="BK332">
        <f t="shared" si="626"/>
        <v>0</v>
      </c>
      <c r="BL332" t="str">
        <f>IF(B332="","",IF(BC332&lt;&gt;"",IFERROR(_xlfn.XLOOKUP(BC332,Щиты[Щит],Щиты[Руст, кВт]),0),IF(BK332=1,IFERROR(_xlfn.XLOOKUP(A332,Щиты[Щит],Щиты[Руст, кВт]),0),IF(BJ332&gt;0,ROUND(BJ332*MAX(1,N(D332)),3),""))))</f>
        <v/>
      </c>
      <c r="BM332">
        <f t="shared" si="627"/>
        <v>0.6</v>
      </c>
      <c r="BN332" s="6">
        <f>IF(B332="","",IF(BC332&lt;&gt;"",IFERROR(_xlfn.XLOOKUP(BC332,Щиты[Щит],Щиты[Руст, кВт]),0),N(BM332)))</f>
        <v>0.6</v>
      </c>
      <c r="BO332" t="str">
        <f>IF(B332="","",IFERROR(IF(VLOOKUP(AX332,Потребители_обозначение,8,FALSE)=0,"",VLOOKUP(AX332,Потребители_обозначение,8,FALSE)),""))</f>
        <v/>
      </c>
      <c r="BP332">
        <f t="shared" si="628"/>
        <v>230</v>
      </c>
      <c r="BQ332">
        <f>IF(B332="","",IF(BC332&lt;&gt;"",3,IFERROR(IF(N(VLOOKUP(AX332,Потребители_обозначение,9,FALSE))=0,1,VLOOKUP(AX332,Потребители_обозначение,9,FALSE)),1)))</f>
        <v>1</v>
      </c>
      <c r="BR332">
        <f t="shared" si="629"/>
        <v>1</v>
      </c>
      <c r="BS332" t="str">
        <f>IF(B332="","",_xlfn.LET(_xlpm.bc,IFERROR(IF(VLOOKUP(AX332,Потребители_обозначение,6,FALSE)=0,"",VLOOKUP(AX332,Потребители_обозначение,6,FALSE)&amp;""),""),IF(AND(FK332="да",OR(_xlpm.bc="",_xlpm.bc="мс")),Марка_пож,IF(AND(_xlpm.bc="",BC332&lt;&gt;""),"мс",_xlpm.bc))))</f>
        <v/>
      </c>
      <c r="BT332" t="str">
        <f t="shared" si="630"/>
        <v>мс</v>
      </c>
      <c r="BU332">
        <f>IF(B332="","",_xlfn.LET(_xlpm.cc,IFERROR(N(VLOOKUP(AX332,Потребители_обозначение,7,FALSE)),0),IF(_xlpm.cc&gt;0,_xlpm.cc,IF(BT332="","",IF(N(BR332)=3,5,3)))))</f>
        <v>3</v>
      </c>
      <c r="BV332">
        <f t="shared" si="631"/>
        <v>3</v>
      </c>
      <c r="BW332">
        <f>IFERROR(N(VLOOKUP(AX332,Потребители_обозначение,10,FALSE)),0)</f>
        <v>0</v>
      </c>
      <c r="BX332">
        <f>IFERROR(VLOOKUP(AX332,Потребители_обозначение,5,FALSE),0)</f>
        <v>1</v>
      </c>
      <c r="BY332" s="6" cm="1">
        <f t="array" ref="BY332">IF(B332="","",IF(BC332&lt;&gt;"",IFERROR(_xlfn.XLOOKUP(BC332,Щиты[Щит],Щиты[cos φ]),0.95),IF(BK332=1,IFERROR(_xlfn.XLOOKUP(A332,Щиты[Щит],Щиты[cos φ]),0.95),IF(ISNUMBER(Z332),Z332,IFERROR(IF(BX332=2,_xlfn.IFS(BR332=3,VLOOKUP(BN332,Справочная_двигатели,8,FALSE),BR332=1,VLOOKUP(BN332,Справочная_двигатели,10,TRUE)),IF(AND(Методика="нормы 2026",EQ332="Сил"),0.8,0.95)),0.95)))))</f>
        <v>0.8</v>
      </c>
      <c r="BZ332">
        <f t="shared" si="632"/>
        <v>0</v>
      </c>
      <c r="CA332">
        <f t="shared" si="633"/>
        <v>1</v>
      </c>
      <c r="CB332">
        <f t="shared" si="634"/>
        <v>0</v>
      </c>
      <c r="CC332">
        <f t="shared" si="635"/>
        <v>0</v>
      </c>
      <c r="CD332">
        <f t="shared" si="636"/>
        <v>0</v>
      </c>
      <c r="CE332">
        <f t="shared" si="637"/>
        <v>0</v>
      </c>
      <c r="CF332">
        <f t="shared" si="638"/>
        <v>0</v>
      </c>
      <c r="CG332">
        <f>IF(AX332="",0,_xlfn.LET(_xlpm.v,IFERROR(VLOOKUP(B332,УГО_спр,3,FALSE),IFERROR(VLOOKUP(AX332,УГО_спр,3,FALSE),IFERROR(VLOOKUP(LEFT(AX332,2),УГО_спр,3,FALSE),""))),IF(_xlpm.v="да",30,IF(ISNUMBER(_xlpm.v),_xlpm.v,0))))</f>
        <v>0</v>
      </c>
      <c r="CH332" t="str">
        <f t="shared" si="639"/>
        <v/>
      </c>
      <c r="CI332" t="str">
        <f>_xlfn.LET(_xlpm.k,IFERROR(_xlfn.XLOOKUP(AX332,Коды_код,Коды_утечка)&amp;"",""),IF(_xlpm.k="","дифавтомат",_xlpm.k))</f>
        <v>дифавтомат</v>
      </c>
      <c r="CJ332">
        <f t="shared" si="640"/>
        <v>0</v>
      </c>
      <c r="CK332">
        <f t="shared" si="641"/>
        <v>0</v>
      </c>
      <c r="CL332">
        <f>IF(B332="",0,IFERROR(--VLOOKUP(B332,УГО_спр,4,FALSE),IFERROR(--VLOOKUP(AX332,УГО_спр,4,FALSE),IFERROR(--VLOOKUP(LEFT(AX332,2),УГО_спр,4,FALSE),0))))</f>
        <v>0</v>
      </c>
      <c r="CM332" t="str">
        <f>IF(B332="","",IFERROR(_xlfn.XLOOKUP(AX332,Коды_код,Коды_апп)&amp;"",""))</f>
        <v/>
      </c>
      <c r="CN332" t="str">
        <f t="shared" si="642"/>
        <v/>
      </c>
      <c r="CO332" t="str" cm="1">
        <f t="array" ref="CO332">IF(TRIM(CN332&amp;"")="","",IFERROR(TRIM(INDEX(_xlfn.TEXTSPLIT(CN332&amp;";;;",";"),1)),""))</f>
        <v/>
      </c>
      <c r="CP332" t="str" cm="1">
        <f t="array" ref="CP332">IF(TRIM(CN332&amp;"")="","",IFERROR(TRIM(INDEX(_xlfn.TEXTSPLIT(CN332&amp;";;;",";"),2)),""))</f>
        <v/>
      </c>
      <c r="CQ332" t="str" cm="1">
        <f t="array" ref="CQ332">IF(TRIM(CN332&amp;"")="","",IFERROR(TRIM(INDEX(_xlfn.TEXTSPLIT(CN332&amp;";;;",";"),3)),""))</f>
        <v/>
      </c>
      <c r="CR332">
        <f t="shared" si="643"/>
        <v>0</v>
      </c>
      <c r="CS332" t="str">
        <f>IF(B332="","",_xlfn.LET(_xlpm.t,LOWER(AV332&amp;""),IF(ISNUMBER(SEARCH("dim",_xlpm.t)),"DIM",IF(ISNUMBER(SEARCH("dali",_xlpm.t)),"DALI",IF(OR(ISNUMBER(SEARCH("relay",_xlpm.t)),ISNUMBER(SEARCH("реле",_xlpm.t))),"Relay",IF(ISNUMBER(SEARCH("кнопк",_xlpm.t)),"",IFERROR(_xlfn.XLOOKUP(AX332,Коды_код,Коды_упр)&amp;"","")))))))</f>
        <v/>
      </c>
      <c r="CT332" t="str">
        <f t="shared" si="644"/>
        <v/>
      </c>
      <c r="CU332">
        <f>IF(B332="","",_xlfn.LET(_xlpm.ig,N(P332)+IF(AF332="вручную",0,N(CB332)),_xlpm.n0,IFERROR(VLOOKUP(_xlpm.ig,Автомат_номиналы,2,TRUE),0),_xlpm.mn,MAX(CL332,IF(AF332="вручную",0,N(CE332))),MAX(_xlpm.n0,_xlpm.mn,IF(CR332=1,Мин_автомат_БП,0))))</f>
        <v>6</v>
      </c>
      <c r="CV332">
        <f t="shared" si="645"/>
        <v>1</v>
      </c>
      <c r="CW332" t="str">
        <f t="shared" si="646"/>
        <v>1P</v>
      </c>
      <c r="CX332" t="str">
        <f>_xlfn.LET(_xlpm.cc,UPPER(TRIM(IFERROR(_xlfn.XLOOKUP(AX332,Коды_код,Коды_хар)&amp;"",""))),IF(OR(_xlpm.cc="B",_xlpm.cc="В"),"B",IF(_xlpm.cc="D","D","С")))</f>
        <v>С</v>
      </c>
      <c r="CY332" t="str">
        <f t="shared" si="647"/>
        <v>1P С6А</v>
      </c>
      <c r="CZ332">
        <f t="shared" si="648"/>
        <v>16</v>
      </c>
      <c r="DA332" t="str">
        <f t="shared" si="649"/>
        <v>1P С16А</v>
      </c>
      <c r="DB332" cm="1">
        <f t="array" ref="DB332">IF(DA332="","",_xlfn.LET(_xlpm.t,SUBSTITUTE(SUBSTITUTE(SUBSTITUTE(UPPER(DA332),"С","C"),"А","A"),"В","B"),_xlpm.tk,_xlfn.TEXTSPLIT(_xlpm.t,"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2" t="str">
        <f t="shared" si="650"/>
        <v>ok</v>
      </c>
      <c r="DD332">
        <f t="shared" si="651"/>
        <v>16</v>
      </c>
      <c r="DE332" t="str">
        <f t="shared" si="652"/>
        <v>1P С16А</v>
      </c>
      <c r="DF332">
        <f t="shared" si="653"/>
        <v>0</v>
      </c>
      <c r="DG332">
        <f t="shared" si="654"/>
        <v>0</v>
      </c>
      <c r="DH332">
        <f t="shared" si="655"/>
        <v>0</v>
      </c>
      <c r="DI332">
        <f t="shared" si="656"/>
        <v>3.2475952641916441</v>
      </c>
      <c r="DJ332">
        <f t="shared" si="657"/>
        <v>1</v>
      </c>
      <c r="DK332">
        <f>IF(ISNUMBER(AL332),AL332,К_прокл)</f>
        <v>1</v>
      </c>
      <c r="DL332">
        <f t="shared" si="658"/>
        <v>2</v>
      </c>
      <c r="DM332">
        <f>IFERROR(N(VLOOKUP(BT332,Кабель_обозначение,3,FALSE)),1)</f>
        <v>1</v>
      </c>
      <c r="DN332">
        <f>IFERROR(N(_xlfn.XLOOKUP(A332,Щиты[Щит],Щиты[ΔU до шин, %])),0)</f>
        <v>3.44</v>
      </c>
      <c r="DO332" t="str">
        <f>IFERROR(_xlfn.XLOOKUP(A332,Щиты[Щит],Щиты[Zпетли на шинах, Ом]),"")</f>
        <v/>
      </c>
      <c r="DP332">
        <f>IFERROR(N(_xlfn.XLOOKUP(A332,Щиты[Щит],Щиты[ΔU до шин (подбор), %])),0)</f>
        <v>5.4799999999999995</v>
      </c>
      <c r="DQ332" t="str">
        <f>IFERROR(_xlfn.XLOOKUP(A332,Щиты[Щит],Щиты[Zпетли на шинах (подбор), Ом]),"")</f>
        <v/>
      </c>
      <c r="DR332" t="str">
        <f t="shared" si="659"/>
        <v/>
      </c>
      <c r="DS332">
        <f t="shared" si="660"/>
        <v>12</v>
      </c>
      <c r="DT332">
        <f t="shared" si="661"/>
        <v>2</v>
      </c>
      <c r="DU332">
        <f t="shared" si="662"/>
        <v>0.6</v>
      </c>
      <c r="DV332" s="6">
        <f>IF(B332="","",IF(IFERROR(VLOOKUP(AX332,УГО_спр,2,FALSE),"")="Светильник",3,4)+IF(Методика="нормы 2026",MIN(0.5,MAX(0,N(Q332)-100)*0.005),0))</f>
        <v>4</v>
      </c>
      <c r="DW332" t="str" cm="1">
        <f t="array" ref="DW332">IF(OR(B332="",BT332="",DM332&lt;&gt;1),"",_xlfn.LET(_xlpm.sz,Iдоп_S,_xlpm.t_,CHOOSE(DL332,Iдоп_1ж,Iдоп_2ж,Iдоп_3ж)*DJ332*DK332,_xlpm.inn,N(DD332),_xlpm.smin,MAX(1.5,BW332),_xlpm.L_,N(Q332)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332)*(_xlpm.rho*_xlpm.L_/_xlpm.sz*N(BY332)+_xlpm.xx*_xlpm.L_*N(DU332)/1000)*N(P332)/((Uн_лин/SQRT(3))*1000)*100,999),_xlpm.kz,IF(OR(DG332=1,NOT(ISNUMBER(DQ332)),_xlpm.L_=0,_xlpm.inn=0),1,IFERROR(--(c_min*(Uн_лин*1000/SQRT(3))/(DQ332+2*ρкз_Cu*_xlpm.L_/_xlpm.sz)&gt;=GY332*_xlpm.inn),0)),_xlpm.ok,IFERROR((_xlpm.sz&gt;=_xlpm.smin)*(_xlpm.t_&gt;=_xlpm.inn)*IF(_xlpm.L_&gt;0,(_xlpm.du_+DP332&lt;=DV332+0.00001),1)*_xlpm.kz,0),_xlpm.r_,_xlfn._xlws.FILTER(_xlpm.sz,_xlpm.ok,"не подобрано"),INDEX(_xlpm.r_,1)))</f>
        <v>не подобрано</v>
      </c>
      <c r="DX332">
        <f t="shared" si="663"/>
        <v>2.5</v>
      </c>
      <c r="DY332" cm="1">
        <f t="array" ref="DY332">IF(OR(B332="",BT332="",DM332&lt;&gt;1),"",_xlfn.LET(_xlpm.sz,Iдоп_S,_xlpm.t_,CHOOSE(DL332,Iдоп_1ж,Iдоп_2ж,Iдоп_3ж)*DJ332*DK332,_xlpm.ok,IFERROR((_xlpm.sz&gt;=MAX(1.5,BW332))*(_xlpm.t_&gt;=N(DD332)),0),_xlpm.r_,_xlfn._xlws.FILTER(_xlpm.sz,_xlpm.ok,""),INDEX(_xlpm.r_,1)))</f>
        <v>1.5</v>
      </c>
      <c r="DZ332" s="6" cm="1">
        <f t="array" ref="DZ332">IFERROR(ROUNDUP(N(DT332)*(_xlfn.XLOOKUP(DY332,INDEX(Кабель_сопротивление,0,1),INDEX(Кабель_сопротивление,0,3))*N(Q332)/DY332*N(BY332)+_xlfn.XLOOKUP(DY332,INDEX(Кабель_сопротивление,0,1),INDEX(Кабель_сопротивление,0,2))*N(Q332)*N(DU332)/1000)*N(P332)/((Uн_лин/SQRT(3))*1000)*100,2),"")</f>
        <v>0.51</v>
      </c>
      <c r="EA332">
        <f>IFERROR(2*ρкз_Cu*N(Q332)/DY332,"")</f>
        <v>0.52600000000000002</v>
      </c>
      <c r="EB332">
        <f>IFERROR(VLOOKUP(DX332,Кабель_сопротивление,3,FALSE),"")</f>
        <v>2.2499999999999999E-2</v>
      </c>
      <c r="EC332">
        <f>IFERROR(VLOOKUP(DX332,Кабель_сопротивление,2,FALSE),"")</f>
        <v>0.1</v>
      </c>
      <c r="ED332">
        <f t="shared" si="664"/>
        <v>11</v>
      </c>
      <c r="EE332" t="str">
        <f t="shared" si="665"/>
        <v/>
      </c>
      <c r="EF332">
        <f t="shared" si="666"/>
        <v>0.70732624854093995</v>
      </c>
      <c r="EG332" s="6">
        <f>IFERROR(ROUNDUP(EF332/((Uн_лин/SQRT(3))*1000)*100,2),"")</f>
        <v>0.31</v>
      </c>
      <c r="EH332" t="str">
        <f>IFERROR(VLOOKUP(BT332,Кабель_обозначение,2,FALSE),"")</f>
        <v>ВВГнг(А)-LS</v>
      </c>
      <c r="EI332" t="str">
        <f t="shared" si="667"/>
        <v>ВВГнг(А)-LS (3х2,5)</v>
      </c>
      <c r="EJ332" t="str">
        <f t="shared" si="668"/>
        <v>ВВГнг(А)-LS (3х2,5)
L=15-0,31%</v>
      </c>
      <c r="EK332">
        <f>IFERROR(2*ρкз_Cu*Q332/DX332,"")</f>
        <v>0.31559999999999999</v>
      </c>
      <c r="EL332">
        <f t="shared" si="669"/>
        <v>0.10500000000000001</v>
      </c>
      <c r="EM332" s="6" t="str">
        <f>IFERROR(IF(OR(B332="",NOT(ISNUMBER(DX332)),N(Q332)=0),"",_xlfn.XLOOKUP(A332,Щиты[Щит],Щиты[Zпетли на шинах, Ом])+EK332),"")</f>
        <v/>
      </c>
      <c r="EN332" s="6" t="str">
        <f>IF(ISNUMBER(EM332),c_min*(Uн_лин*1000/SQRT(3))/EM332,"")</f>
        <v/>
      </c>
      <c r="EO332" s="6" t="str">
        <f>IFERROR(IF(OR(B332="",NOT(ISNUMBER(DX332))),"",1.05*(Uн_лин*1000/SQRT(3))/(_xlfn.XLOOKUP(A332,Щиты[Щит],Щиты[Zmax на шинах, Ом])+EL332)/1000),"")</f>
        <v/>
      </c>
      <c r="EP332" s="6" t="str">
        <f>IF(B332="","",IF(ISNUMBER(Y332),"Сил",IF(IFERROR(_xlfn.XLOOKUP(AX332,Коды_код,Коды_группа)&amp;"","")="","Быт",_xlfn.XLOOKUP(AX332,Коды_код,Коды_группа)&amp;"")))</f>
        <v>Сил</v>
      </c>
      <c r="EQ332" s="6" t="str">
        <f t="shared" si="670"/>
        <v>Сил</v>
      </c>
      <c r="ER332" s="6">
        <f>IF(EQ332="Щит","щит",IF(EQ332="","",IF(EQ332="Быт",IFERROR(_xlfn.XLOOKUP(A332,Щиты[Щит],Щиты[Кс быт]),1),IF(EQ332="Сил",IF(ISNUMBER(Y332),Y332,IF(Методика="нормы 2026",IFERROR(_xlfn.XLOOKUP(A332,Щиты[Щит],Щиты[Кс силовых (табл. 7.5)]),1),1)),IF(OR(EQ332="Пост",EQ332="Отоп"),1,IF(EQ332="ВНГ",0.7,0))))))</f>
        <v>0.7</v>
      </c>
      <c r="ES332">
        <f t="shared" si="671"/>
        <v>1</v>
      </c>
      <c r="ET332">
        <f t="shared" si="672"/>
        <v>0.6</v>
      </c>
      <c r="EU332">
        <f t="shared" si="673"/>
        <v>0</v>
      </c>
      <c r="EV332">
        <f t="shared" si="674"/>
        <v>0.42</v>
      </c>
      <c r="EW332">
        <f t="shared" si="675"/>
        <v>0</v>
      </c>
      <c r="EX332">
        <f t="shared" si="676"/>
        <v>0</v>
      </c>
      <c r="EY332">
        <f t="shared" si="677"/>
        <v>0</v>
      </c>
      <c r="EZ332">
        <f t="shared" si="678"/>
        <v>0.6</v>
      </c>
      <c r="FA332">
        <f t="shared" si="679"/>
        <v>0.48</v>
      </c>
      <c r="FB332">
        <f t="shared" si="680"/>
        <v>0.6</v>
      </c>
      <c r="FC332" t="str">
        <f t="shared" si="681"/>
        <v>L3</v>
      </c>
      <c r="FD332" t="str">
        <f>IF(B332="","",IF(CA332=0,IF(AW332=1,"",FF331),IF(OR(N(CV332)&gt;=3,N(BR332)&gt;=3),"L1,L2,L3",IFERROR(_xlfn.TEXTBEFORE(_xlfn.TEXTAFTER(_xlfn.XLOOKUP(A332,Щиты[Щит],Щиты[_фазы авто]),";"&amp;AW332&amp;":"),";"),"L1"))))</f>
        <v>L1</v>
      </c>
      <c r="FE332" t="str">
        <f t="shared" si="682"/>
        <v>L3</v>
      </c>
      <c r="FF332" t="str">
        <f t="shared" si="683"/>
        <v>L3</v>
      </c>
      <c r="FG332" cm="1">
        <f t="array" ref="FG332">IFERROR(IF(BX332=2,_xlfn.IFS(BR332=3,VLOOKUP(BN332,Справочная_двигатели,3,FALSE),BR332=1,VLOOKUP(BN332,Справочная_двигатели,5,TRUE)),0),0)</f>
        <v>0</v>
      </c>
      <c r="FH332">
        <f>IFERROR(IF(BX332=3,VLOOKUP(BN332,Справочная_ЛЭД,2,TRUE),0),0)</f>
        <v>0</v>
      </c>
      <c r="FI332" s="6">
        <f t="shared" si="684"/>
        <v>0</v>
      </c>
      <c r="FJ332" t="str" cm="1">
        <f t="array" ref="FJ332">IF(B332="","",IFERROR(INDEX({"I особая","I","II","III"},MATCH(TRIM(AC332&amp;""),{"I особая","I","II","III"},0)),"III"))</f>
        <v>II</v>
      </c>
      <c r="FK332" t="str">
        <f>IF(B332="","",IF(TRIM(AD332&amp;"")&lt;&gt;"",IF(LOWER(TRIM(AD332&amp;""))="да","да","нет"),IF(IFERROR(_xlfn.XLOOKUP(AX332,Коды_код,Коды_пожарная),"")="да","да","нет")))</f>
        <v>нет</v>
      </c>
      <c r="FL332" t="str">
        <f t="shared" si="685"/>
        <v/>
      </c>
      <c r="FM332" t="str">
        <f t="shared" si="686"/>
        <v>основная</v>
      </c>
      <c r="FN332">
        <f t="shared" si="687"/>
        <v>1</v>
      </c>
      <c r="FO332" t="str" cm="1">
        <f t="array" ref="FO332">IF(B332="","",_xlfn.LET(_xlpm.t,IFERROR(_xlfn.XLOOKUP(1,(Шины[Шина]=FM332)*(((Шины[Щит]=A332)+(Шины[Щит]=""))&gt;0),Шины[Тип]),"")&amp;"",IF(_xlpm.t&lt;&gt;"",_xlpm.t,IF(ISNUMBER(SEARCH("ИБП",FM332)),"ИБП",IF(ISNUMBER(SEARCH("ДГУ",FM332)),"ДГУ","Ввод "&amp;FN332)))))</f>
        <v>Ввод 1</v>
      </c>
      <c r="FP332" t="str">
        <f t="shared" si="688"/>
        <v>Ввод 1</v>
      </c>
      <c r="FQ332" t="str">
        <f>IF(B332="","",IF(OR(FO332="ИБП",FO332="ДГУ"),"I особая",IF(FO332="Одиночная","III",_xlfn.XLOOKUP(A332,Щиты[Щит],Щиты[Категория шины «Ввод»],"III"))))</f>
        <v>II</v>
      </c>
      <c r="FR332">
        <f>IF(B332="",0,IFERROR(MATCH(FJ332,{"III","II","I","I особая"},0),1))</f>
        <v>2</v>
      </c>
      <c r="FS332">
        <f t="shared" si="689"/>
        <v>2</v>
      </c>
      <c r="FT332" t="str">
        <f>IF(B332="","",IF(FR332&gt;IFERROR(MATCH(FQ332,{"III","II","I","I особая"},0),1),"НЕ ОБЕСПЕЧЕНА","ОК"))</f>
        <v>ОК</v>
      </c>
      <c r="FU332" t="str">
        <f>IF(A332="","",_xlfn.XLOOKUP(A332,Щиты[Щит],Щиты[Путь],""))</f>
        <v>|ГРЩ-ЖД|ЩС-ВК.003|</v>
      </c>
      <c r="FV332" t="str">
        <f>IF(B332="","",IF(AE332&lt;&gt;"",AE332,IF(IFERROR(_xlfn.XLOOKUP(AX332,Коды_код,Коды_вид)&amp;"","")="","Прочее",_xlfn.XLOOKUP(AX332,Коды_код,Коды_вид)&amp;"")))</f>
        <v>Насосы (водоснабжение, дренаж)</v>
      </c>
      <c r="FW332">
        <f>IF(BH332="","",INT((BH332-1)/Столбцов_на_лист)+1)</f>
        <v>2</v>
      </c>
      <c r="FX332" t="str">
        <f t="shared" si="690"/>
        <v>ВВГнг(А)-LS (3х2,5) L=15-0,31%</v>
      </c>
      <c r="FY332">
        <f t="shared" si="691"/>
        <v>0.6</v>
      </c>
      <c r="FZ332">
        <f t="shared" si="692"/>
        <v>3.25</v>
      </c>
      <c r="GA332">
        <f t="shared" si="693"/>
        <v>1</v>
      </c>
      <c r="GB332">
        <f t="shared" si="694"/>
        <v>0</v>
      </c>
      <c r="GC332">
        <f t="shared" si="695"/>
        <v>1</v>
      </c>
      <c r="GD332">
        <f>IF(BH332="","",IF(AND(CA332=1,GC332=1),COUNTIFS(A$3:A332,A332,CA$3:CA332,1,GC$3:GC332,1),IF(OR(OR(AW332=1,A332&lt;&gt;A331),AF332="вручную",GC332=0),"",IF(AW332=1,"",GE331))))</f>
        <v>2</v>
      </c>
      <c r="GE332">
        <f t="shared" si="696"/>
        <v>2</v>
      </c>
      <c r="GF332">
        <f>IF(B332="","",IFERROR(LOOKUP(INDEX(CHOOSE(DL332,Iдоп_1ж,Iдоп_2ж,Iдоп_3ж),MATCH(DX332,Iдоп_S,0))*DJ332*DK332,{6,10,16,20,25,32,40,50,63,80,100,125,160,200,250,315,400,500,630}),""))</f>
        <v>25</v>
      </c>
      <c r="GG332" t="str">
        <f t="shared" si="697"/>
        <v>QF2</v>
      </c>
      <c r="GH332" t="str">
        <f t="shared" si="698"/>
        <v>QF2</v>
      </c>
      <c r="GI332" t="str">
        <f t="shared" si="699"/>
        <v/>
      </c>
      <c r="GJ332">
        <f t="shared" si="700"/>
        <v>0</v>
      </c>
      <c r="GK332" t="str">
        <f>IF(OR(AG332="",AG332="-"),"",IFERROR(VLOOKUP(AG332,Модули_спр,2,FALSE),"R"))</f>
        <v/>
      </c>
      <c r="GL332" t="str">
        <f>IF(GK332="","",GK332&amp;"."&amp;COUNTIFS(A$3:A332,A332,GK$3:GK332,GK332))</f>
        <v/>
      </c>
      <c r="GM332" t="str">
        <f t="shared" si="701"/>
        <v/>
      </c>
      <c r="GN332" t="str">
        <f t="shared" si="702"/>
        <v/>
      </c>
      <c r="GO332" t="str">
        <f t="shared" si="703"/>
        <v/>
      </c>
      <c r="GP332" t="str">
        <f t="shared" si="704"/>
        <v/>
      </c>
      <c r="GQ332">
        <f t="shared" si="705"/>
        <v>1</v>
      </c>
      <c r="GR332" t="str">
        <f>IF(GQ332=1,"XT"&amp;COUNTIFS(A$3:A332,A332,GQ$3:GQ332,1),"")</f>
        <v>XT2</v>
      </c>
      <c r="GS332" t="str">
        <f t="shared" si="706"/>
        <v>XT2</v>
      </c>
      <c r="GT332" t="str">
        <f t="shared" si="707"/>
        <v>QF2</v>
      </c>
      <c r="GU332" t="str">
        <f t="shared" si="708"/>
        <v/>
      </c>
      <c r="GV332" t="str">
        <f t="shared" si="709"/>
        <v>ok</v>
      </c>
      <c r="GW332" t="str">
        <f>IF(OR(GO332="",GM332=""),"",IF(GO332&gt;IFERROR(VLOOKUP(GN332,Модули_спр,3,FALSE),99),"ЛИШНИЙ КАНАЛ",IF(AND(AH332&lt;&gt;"=",COUNTIFS(Линии[_модуль гр.],GM332,Линии[Канал (итог)],GO332,Линии[Канал],"&lt;&gt;=",Линии[Щит],A332)&gt;1),"ДУБЛЬ КАНАЛА","")))</f>
        <v/>
      </c>
      <c r="GX332" s="6" t="str">
        <f t="shared" si="710"/>
        <v/>
      </c>
      <c r="GY332">
        <f t="shared" si="711"/>
        <v>10</v>
      </c>
      <c r="GZ332" t="str">
        <f t="shared" si="712"/>
        <v/>
      </c>
      <c r="HA332" t="str">
        <f>IF(AND(B332="",GT332=""),"",_xlfn.TEXTJOIN("; ",TRUE,IF(AND(B332&lt;&gt;"",FE332=""),"нет фазы",""),IF(AND(B332&lt;&gt;"",N(FY332)=0,EQ332&lt;&gt;"Нет"),"нет мощности",""),IF(AND(GS332&lt;&gt;"",COUNTIFS(Линии[Щит],A332,Линии[Клемма (итог)],GS332)&gt;1),"дубль клеммы "&amp;GS332,""),IF(AND(GV332&lt;&gt;"",GV332&lt;&gt;"ok"),GV332,""),IF(GW332&lt;&gt;"",GW332,""),IF(AND(N(BV332)&gt;=4,N(BR332)=1),BV332&amp;" жил на 1 фазе",""),IF(AND(AX332="R",CA332=1,OR(N(CK332)=0,N(CK332)&gt;30)),"розетка без дифзащиты до 30 мА",""),IFERROR(IF(AND(ISNUMBER(R332),R332&gt;DV332),"потери "&amp;FIXED(R332,1)&amp;" % &gt; "&amp;DV332&amp;" %",""),""),IFERROR(IF(LEFT(GZ332,4)="мало","Iкз мало — отключение &gt; 0,4 с",""),""),IF(AND(B332&lt;&gt;"",BH332=""),"не на схеме",""),IF(AND(CA332=0,B332&lt;&gt;"",FE332&lt;&gt;"",IF(AW332=1,"",FF331)&lt;&gt;"",FE332&lt;&gt;IF(AW332=1,"",FF331)),"фаза не как у автомата группы ("&amp;IF(AW332=1,"",FF331)&amp;")","")))</f>
        <v/>
      </c>
      <c r="HB332" s="6">
        <f>IF(OR(CA332=0,DA332=""),"",_xlfn.LET(_xlpm.t,IFERROR(_xlfn.XLOOKUP(DA332,Каталог!$U$4:$U$500,Каталог!$G$4:$G$500),""),_xlpm.k,SEARCH("кА",_xlpm.t),IFERROR(--TRIM(RIGHT(SUBSTITUTE(MID(_xlpm.t,MAX(1,_xlpm.k-4),_xlpm.k-MAX(1,_xlpm.k-4))," ",REPT(" ",9)),5)),"")))</f>
        <v>6</v>
      </c>
      <c r="HC332" t="str">
        <f>IF(OR(HB332="",CA332=0),"",IF(_xlfn.XLOOKUP(A332,Щиты[Щит],Щиты[Iкз max на шинах, кА],"")="","",IF(HB332&lt;_xlfn.XLOOKUP(A332,Щиты[Щит],Щиты[Iкз max на шинах, кА]),"Icu "&amp;HB332&amp;" кА &lt; Iкз max","ok")))</f>
        <v/>
      </c>
      <c r="HD332" t="str">
        <f t="shared" si="713"/>
        <v/>
      </c>
      <c r="HE332" t="str">
        <f t="shared" si="714"/>
        <v>QF2|XT2</v>
      </c>
      <c r="HF332" t="str">
        <f t="shared" si="715"/>
        <v>QF2|XT2|кабель ВВГнг(А)-LS (3х2,5) → Насос дренажный, пом. 006Т</v>
      </c>
      <c r="HG332" t="str" cm="1">
        <f t="array" ref="HG332">IF(HF332="","",_xlfn.LET(_xlpm.nd,_xlfn.TEXTSPLIT(HF332,"|"),IF(COLUMNS(_xlpm.nd)&gt;1,A332&amp;"¦"&amp;INDEX(_xlpm.nd,1)&amp;"¦"&amp;INDEX(_xlpm.nd,2),"")))</f>
        <v>ЩС-ВК.003¦QF2¦XT2</v>
      </c>
      <c r="HH332" t="str">
        <f t="shared" si="716"/>
        <v>НВК.00.006Т.1¦Насос дренажный, пом. 006Т</v>
      </c>
      <c r="HI332" t="str" cm="1">
        <f t="array" ref="HI332">IF(HF332="","",_xlfn.LET(_xlpm.nd,_xlfn.TEXTSPLIT(HF332,"|"),IF(COLUMNS(_xlpm.nd)&gt;2,A332&amp;"¦"&amp;INDEX(_xlpm.nd,2)&amp;"¦"&amp;INDEX(_xlpm.nd,3),"")))</f>
        <v>ЩС-ВК.003¦XT2¦кабель ВВГнг(А)-LS (3х2,5) → Насос дренажный, пом. 006Т</v>
      </c>
      <c r="HJ332" t="str">
        <f t="shared" si="717"/>
        <v>НВК.00.006Т.1¦Насос дренажный, пом. 006Т</v>
      </c>
      <c r="HK332" t="str" cm="1">
        <f t="array" ref="HK332">IF(HF332="","",_xlfn.LET(_xlpm.nd,_xlfn.TEXTSPLIT(HF332,"|"),IF(COLUMNS(_xlpm.nd)&gt;3,A332&amp;"¦"&amp;INDEX(_xlpm.nd,3)&amp;"¦"&amp;INDEX(_xlpm.nd,4),"")))</f>
        <v/>
      </c>
      <c r="HL332" t="str">
        <f t="shared" si="718"/>
        <v/>
      </c>
      <c r="HM332" t="str" cm="1">
        <f t="array" ref="HM332">IF(HF332="","",_xlfn.LET(_xlpm.nd,_xlfn.TEXTSPLIT(HF332,"|"),IF(COLUMNS(_xlpm.nd)&gt;4,A332&amp;"¦"&amp;INDEX(_xlpm.nd,4)&amp;"¦"&amp;INDEX(_xlpm.nd,5),"")))</f>
        <v/>
      </c>
      <c r="HN332" t="str">
        <f t="shared" si="719"/>
        <v/>
      </c>
      <c r="HO332" t="str" cm="1">
        <f t="array" ref="HO332">IF(HF332="","",_xlfn.LET(_xlpm.nd,_xlfn.TEXTSPLIT(HF332,"|"),IF(COLUMNS(_xlpm.nd)&gt;5,A332&amp;"¦"&amp;INDEX(_xlpm.nd,5)&amp;"¦"&amp;INDEX(_xlpm.nd,6),"")))</f>
        <v/>
      </c>
      <c r="HP332" t="str">
        <f t="shared" si="720"/>
        <v/>
      </c>
      <c r="HQ332" t="str" cm="1">
        <f t="array" ref="HQ332">IF(HF332="","",_xlfn.LET(_xlpm.nd,_xlfn.TEXTSPLIT(HF332,"|"),IF(COLUMNS(_xlpm.nd)&gt;6,A332&amp;"¦"&amp;INDEX(_xlpm.nd,6)&amp;"¦"&amp;INDEX(_xlpm.nd,7),"")))</f>
        <v/>
      </c>
      <c r="HR332" t="str">
        <f t="shared" si="721"/>
        <v/>
      </c>
      <c r="HS332" t="str">
        <f t="shared" si="722"/>
        <v/>
      </c>
      <c r="HT332" t="str">
        <f t="shared" si="723"/>
        <v>QF2 → XT2</v>
      </c>
      <c r="HU332">
        <f t="shared" si="724"/>
        <v>0</v>
      </c>
      <c r="HV332">
        <f t="shared" si="725"/>
        <v>0</v>
      </c>
      <c r="HW332" t="str">
        <f t="shared" si="726"/>
        <v/>
      </c>
      <c r="HX332" t="str">
        <f t="shared" si="727"/>
        <v/>
      </c>
      <c r="HY332" t="str">
        <f t="shared" si="728"/>
        <v/>
      </c>
      <c r="HZ332" t="str">
        <f t="shared" si="729"/>
        <v/>
      </c>
      <c r="IA332">
        <f>IF(B332="","",IFERROR(VLOOKUP(B332,УГО_спр,2,FALSE),IFERROR(VLOOKUP(AX332,УГО_спр,2,FALSE),IFERROR(VLOOKUP(LEFT(AX332,2),УГО_спр,2,FALSE),""))))</f>
        <v>0</v>
      </c>
      <c r="IB332" t="str">
        <f>IF(B332="","",IF(OR(IA332="",IA332=0),"BOX",IFERROR(IF(VLOOKUP(IA332,УГО_блоки,3,FALSE)&amp;""&lt;&gt;"",VLOOKUP(IA332,УГО_блоки,3,FALSE),VLOOKUP(IA332,УГО_блоки,2,FALSE)),IA332)))</f>
        <v>BOX</v>
      </c>
      <c r="IC332">
        <f t="shared" si="730"/>
        <v>1</v>
      </c>
      <c r="ID332" t="str">
        <f>IF(DA332="","",IF(COUNTIF(DA$3:DA332,DA332)=1,MAX(ID$2:ID331)+1,""))</f>
        <v/>
      </c>
      <c r="IE332" t="str">
        <f>IF(CO332="","",IF(COUNTIF(CO$3:CO332,CO332)+COUNTIF(CP$2:CP331,CO332)+COUNTIF(CQ$2:CQ331,CO332)=1,MAX(IE$2:IG331)+1,""))</f>
        <v/>
      </c>
      <c r="IF332" t="str">
        <f>IF(CP332="","",IF(COUNTIF(CO$3:CO332,CP332)+COUNTIF(CP$3:CP332,CP332)+COUNTIF(CQ$2:CQ331,CP332)=1,MAX(IE$2:IG331,IE332)+1,""))</f>
        <v/>
      </c>
      <c r="IG332" t="str">
        <f>IF(CQ332="","",IF(COUNTIF(CO$3:CO332,CQ332)+COUNTIF(CP$3:CP332,CQ332)+COUNTIF(CQ$3:CQ332,CQ332)=1,MAX(IE$2:IG331,IE332,IF332)+1,""))</f>
        <v/>
      </c>
      <c r="IH332" t="str">
        <f t="shared" si="731"/>
        <v>3х2,5</v>
      </c>
      <c r="II332" t="str">
        <f>IF(IH332="","",IF(COUNTIF(IH$3:IH332,IH332)=1,MAX(II$2:II331)+1,""))</f>
        <v/>
      </c>
      <c r="IJ332" t="str">
        <f>IF(GL332="","",COUNTIF(GL$3:GL332,"?*"))</f>
        <v/>
      </c>
      <c r="IK332" t="str">
        <f>IF(OR(GL332="",GN332=""),"",IF(COUNTIFS(GL$3:GL332,"?*",GN$3:GN332,GN332)=1,MAX(IK$2:IK331)+1,""))</f>
        <v/>
      </c>
      <c r="IL332">
        <f t="shared" si="732"/>
        <v>0</v>
      </c>
      <c r="IM332">
        <f>IF(B332="","",COUNTIF(B$3:B332,"?*"))</f>
        <v>330</v>
      </c>
      <c r="IN332">
        <f>IF(GQ332&lt;&gt;1,0,_xlfn.LET(_xlpm.k,MAX(IFERROR(--VLOOKUP(B332,УГО_спр,5,FALSE),0),IFERROR(--VLOOKUP(AX332,УГО_спр,5,FALSE),0),IFERROR(--VLOOKUP(LEFT(AX332,2),УГО_спр,5,FALSE),0)),IF(_xlpm.k&gt;0,_xlpm.k,IF(IFERROR(--LEFT(SUBSTITUTE(IH332,"x","х"),FIND("х",SUBSTITUTE(IH332,"x","х"))-1),3)&gt;3,Каталог!$S$9,1))))</f>
        <v>1</v>
      </c>
      <c r="IO332">
        <f t="shared" si="733"/>
        <v>0</v>
      </c>
      <c r="IP332" t="str">
        <f t="shared" si="734"/>
        <v>авто</v>
      </c>
      <c r="IQ332" t="str">
        <f t="shared" si="735"/>
        <v/>
      </c>
      <c r="IR332">
        <f t="shared" si="736"/>
        <v>0</v>
      </c>
      <c r="IS332">
        <f t="shared" si="737"/>
        <v>1</v>
      </c>
    </row>
    <row r="333" spans="1:253" x14ac:dyDescent="0.3">
      <c r="A333" t="s">
        <v>769</v>
      </c>
      <c r="B333" t="s">
        <v>1593</v>
      </c>
      <c r="C333" t="s">
        <v>1690</v>
      </c>
      <c r="D333">
        <v>1</v>
      </c>
      <c r="E333">
        <v>2.5</v>
      </c>
      <c r="G333">
        <v>16</v>
      </c>
      <c r="H333" t="str">
        <f>Линии[[#This Row],[_авто утечка]]</f>
        <v/>
      </c>
      <c r="I333" t="str">
        <f>Линии[[#This Row],[_авто управление]]</f>
        <v/>
      </c>
      <c r="J333" t="str">
        <f>Линии[[#This Row],[_авто аппараты]]</f>
        <v/>
      </c>
      <c r="K333">
        <v>2.5</v>
      </c>
      <c r="L333">
        <v>9</v>
      </c>
      <c r="M333">
        <v>3</v>
      </c>
      <c r="N333" t="str">
        <f>Линии[[#This Row],[_авто клемма]]</f>
        <v>XT3</v>
      </c>
      <c r="O333" t="str">
        <f t="shared" si="615"/>
        <v>потери 4,5 % &gt; 4 %</v>
      </c>
      <c r="P333" s="6" cm="1">
        <f t="array" ref="P333">IF(B333="","",IF(BC333&lt;&gt;"",IFERROR(_xlfn.XLOOKUP(BC333,Щиты[Щит],Щиты[Iр, А]),""),IF(BK333=1,IFERROR(_xlfn.XLOOKUP(A333,Щиты[Щит],Щиты[Iр, А]),""),IFERROR(_xlfn.IFS(BR333=1,BN333/((Uн_лин/SQRT(3))*BY333),BR333=3,BN333/(SQRT(3)*Uн_лин*BY333)),""))))</f>
        <v>13.531646934131851</v>
      </c>
      <c r="Q333" s="7">
        <f>IF(B333="","",IFERROR(IF(VLOOKUP(AX333,Потребители_обозначение,4,FALSE)=1,VLOOKUP(AX333,Потребители_обозначение,3,FALSE)*(D333*2-1)+DS333+VLOOKUP(AZ333,Этаж_обозначение,3,FALSE)+VLOOKUP(AZ333,Этаж_обозначение,4,FALSE),VLOOKUP(AX333,Потребители_обозначение,3,FALSE)*(D333*2-1)+DS333),DS333))</f>
        <v>12</v>
      </c>
      <c r="R333" s="6">
        <f t="shared" si="616"/>
        <v>4.47</v>
      </c>
      <c r="S333" t="str">
        <f t="shared" si="617"/>
        <v>ВВГнг(А)-LS (3х2,5)</v>
      </c>
      <c r="T333" t="str">
        <f>IF(BH333="","",IF(BI333="вводной узел","узел ","")&amp;"л."&amp;(INT((BH333-1)/Столбцов_на_лист)+1)&amp;" / "&amp;(MOD(BH333-1,Столбцов_на_лист)+1))</f>
        <v>л.2 / 3</v>
      </c>
      <c r="V333">
        <v>1</v>
      </c>
      <c r="W333">
        <v>230</v>
      </c>
      <c r="X333" t="s">
        <v>600</v>
      </c>
      <c r="Y333">
        <v>0.7</v>
      </c>
      <c r="AC333" t="s">
        <v>815</v>
      </c>
      <c r="AE333" t="s">
        <v>606</v>
      </c>
      <c r="AI333">
        <v>20</v>
      </c>
      <c r="AJ333" t="s">
        <v>11</v>
      </c>
      <c r="AK333">
        <v>3</v>
      </c>
      <c r="AM333">
        <v>0</v>
      </c>
      <c r="AN333">
        <v>9</v>
      </c>
      <c r="AO333">
        <v>0</v>
      </c>
      <c r="AW333" cm="1">
        <f t="array" ref="AW333">ROW()-ROW(Линии[#Headers])</f>
        <v>331</v>
      </c>
      <c r="AX333" s="6" t="str">
        <f t="shared" si="618"/>
        <v>ЖУ</v>
      </c>
      <c r="AY333" t="str">
        <f t="shared" si="619"/>
        <v>1</v>
      </c>
      <c r="AZ333" t="str">
        <f t="shared" si="620"/>
        <v>1</v>
      </c>
      <c r="BA333" t="str">
        <f t="shared" si="621"/>
        <v/>
      </c>
      <c r="BB333" t="str">
        <f t="shared" si="622"/>
        <v/>
      </c>
      <c r="BC333" t="str">
        <f>IF(U333&lt;&gt;"",U333,IF(AND(B333&lt;&gt;"",B333&lt;&gt;A333,ISNUMBER(_xlfn.XMATCH(B333,Щиты[Щит]))),B333,""))</f>
        <v/>
      </c>
      <c r="BD333" t="str" cm="1">
        <f t="array" ref="BD333">IF(B333="","",IF(BC333&lt;&gt;"","Щит "&amp;BC333,_xlfn.LET(_xlpm.nm,IFERROR(_xlfn.XLOOKUP(AX333,Коды_код,Коды_имя)&amp;"",""),_xlpm.md,IFERROR(N(_xlfn.XLOOKUP(AX333,Коды_код,Коды_режим)),1),_xlpm.ex,IF(Имя_режим="по экспликации",IFERROR(_xlfn.XLOOKUP(AZ333&amp;"|"&amp;BB333,Экспликация[Этаж]&amp;"|"&amp;Экспликация[Помещение],Экспликация[Название])&amp;"",""),""),_xlpm.rm,IF(BB333="","",IF(_xlpm.ex&lt;&gt;"",". "&amp;_xlpm.ex&amp;IF(Имя_пом="нет"," ("&amp;BB333&amp;")"," (пом. "&amp;BB333&amp;")"),IF(Имя_пом="нет"," ",", пом. ")&amp;BB333)),IF(_xlpm.nm="","",IF(_xlpm.md=2,_xlpm.nm&amp;" шлейф "&amp;AZ333,_xlpm.nm&amp;_xlpm.rm)))))</f>
        <v>Жироулавливатель</v>
      </c>
      <c r="BE333" t="str">
        <f t="shared" si="623"/>
        <v>Жироулавливатель Подвальный этаж Пом. №006Т</v>
      </c>
      <c r="BF333">
        <f>IFERROR(_xlfn.XMATCH(A333,Щиты[Щит]),0)</f>
        <v>15</v>
      </c>
      <c r="BG333">
        <f>_xlfn.LET(_xlpm.k,IFERROR(_xlfn.XLOOKUP(A333,Щиты[Щит],Щиты[Листов под вводной узел]),""),IF(_xlpm.k="",1,N(_xlpm.k))*Столбцов_на_лист)</f>
        <v>17</v>
      </c>
      <c r="BH333">
        <f t="shared" si="624"/>
        <v>20</v>
      </c>
      <c r="BI333" t="str">
        <f t="shared" si="625"/>
        <v>линии</v>
      </c>
      <c r="BJ333" s="6">
        <f>IFERROR(N(_xlfn.XLOOKUP(AX333,Коды_код,Коды_квт)),0)</f>
        <v>0</v>
      </c>
      <c r="BK333">
        <f t="shared" si="626"/>
        <v>0</v>
      </c>
      <c r="BL333" t="str">
        <f>IF(B333="","",IF(BC333&lt;&gt;"",IFERROR(_xlfn.XLOOKUP(BC333,Щиты[Щит],Щиты[Руст, кВт]),0),IF(BK333=1,IFERROR(_xlfn.XLOOKUP(A333,Щиты[Щит],Щиты[Руст, кВт]),0),IF(BJ333&gt;0,ROUND(BJ333*MAX(1,N(D333)),3),""))))</f>
        <v/>
      </c>
      <c r="BM333">
        <f t="shared" si="627"/>
        <v>2.5</v>
      </c>
      <c r="BN333" s="6">
        <f>IF(B333="","",IF(BC333&lt;&gt;"",IFERROR(_xlfn.XLOOKUP(BC333,Щиты[Щит],Щиты[Руст, кВт]),0),N(BM333)))</f>
        <v>2.5</v>
      </c>
      <c r="BO333" t="str">
        <f>IF(B333="","",IFERROR(IF(VLOOKUP(AX333,Потребители_обозначение,8,FALSE)=0,"",VLOOKUP(AX333,Потребители_обозначение,8,FALSE)),""))</f>
        <v/>
      </c>
      <c r="BP333">
        <f t="shared" si="628"/>
        <v>230</v>
      </c>
      <c r="BQ333">
        <f>IF(B333="","",IF(BC333&lt;&gt;"",3,IFERROR(IF(N(VLOOKUP(AX333,Потребители_обозначение,9,FALSE))=0,1,VLOOKUP(AX333,Потребители_обозначение,9,FALSE)),1)))</f>
        <v>1</v>
      </c>
      <c r="BR333">
        <f t="shared" si="629"/>
        <v>1</v>
      </c>
      <c r="BS333" t="str">
        <f>IF(B333="","",_xlfn.LET(_xlpm.bc,IFERROR(IF(VLOOKUP(AX333,Потребители_обозначение,6,FALSE)=0,"",VLOOKUP(AX333,Потребители_обозначение,6,FALSE)&amp;""),""),IF(AND(FK333="да",OR(_xlpm.bc="",_xlpm.bc="мс")),Марка_пож,IF(AND(_xlpm.bc="",BC333&lt;&gt;""),"мс",_xlpm.bc))))</f>
        <v/>
      </c>
      <c r="BT333" t="str">
        <f t="shared" si="630"/>
        <v>мс</v>
      </c>
      <c r="BU333">
        <f>IF(B333="","",_xlfn.LET(_xlpm.cc,IFERROR(N(VLOOKUP(AX333,Потребители_обозначение,7,FALSE)),0),IF(_xlpm.cc&gt;0,_xlpm.cc,IF(BT333="","",IF(N(BR333)=3,5,3)))))</f>
        <v>3</v>
      </c>
      <c r="BV333">
        <f t="shared" si="631"/>
        <v>3</v>
      </c>
      <c r="BW333">
        <f>IFERROR(N(VLOOKUP(AX333,Потребители_обозначение,10,FALSE)),0)</f>
        <v>0</v>
      </c>
      <c r="BX333">
        <f>IFERROR(VLOOKUP(AX333,Потребители_обозначение,5,FALSE),0)</f>
        <v>1</v>
      </c>
      <c r="BY333" s="6" cm="1">
        <f t="array" ref="BY333">IF(B333="","",IF(BC333&lt;&gt;"",IFERROR(_xlfn.XLOOKUP(BC333,Щиты[Щит],Щиты[cos φ]),0.95),IF(BK333=1,IFERROR(_xlfn.XLOOKUP(A333,Щиты[Щит],Щиты[cos φ]),0.95),IF(ISNUMBER(Z333),Z333,IFERROR(IF(BX333=2,_xlfn.IFS(BR333=3,VLOOKUP(BN333,Справочная_двигатели,8,FALSE),BR333=1,VLOOKUP(BN333,Справочная_двигатели,10,TRUE)),IF(AND(Методика="нормы 2026",EQ333="Сил"),0.8,0.95)),0.95)))))</f>
        <v>0.8</v>
      </c>
      <c r="BZ333">
        <f t="shared" si="632"/>
        <v>0</v>
      </c>
      <c r="CA333">
        <f t="shared" si="633"/>
        <v>1</v>
      </c>
      <c r="CB333">
        <f t="shared" si="634"/>
        <v>0</v>
      </c>
      <c r="CC333">
        <f t="shared" si="635"/>
        <v>0</v>
      </c>
      <c r="CD333">
        <f t="shared" si="636"/>
        <v>0</v>
      </c>
      <c r="CE333">
        <f t="shared" si="637"/>
        <v>0</v>
      </c>
      <c r="CF333">
        <f t="shared" si="638"/>
        <v>0</v>
      </c>
      <c r="CG333">
        <f>IF(AX333="",0,_xlfn.LET(_xlpm.v,IFERROR(VLOOKUP(B333,УГО_спр,3,FALSE),IFERROR(VLOOKUP(AX333,УГО_спр,3,FALSE),IFERROR(VLOOKUP(LEFT(AX333,2),УГО_спр,3,FALSE),""))),IF(_xlpm.v="да",30,IF(ISNUMBER(_xlpm.v),_xlpm.v,0))))</f>
        <v>0</v>
      </c>
      <c r="CH333" t="str">
        <f t="shared" si="639"/>
        <v/>
      </c>
      <c r="CI333" t="str">
        <f>_xlfn.LET(_xlpm.k,IFERROR(_xlfn.XLOOKUP(AX333,Коды_код,Коды_утечка)&amp;"",""),IF(_xlpm.k="","дифавтомат",_xlpm.k))</f>
        <v>дифавтомат</v>
      </c>
      <c r="CJ333">
        <f t="shared" si="640"/>
        <v>0</v>
      </c>
      <c r="CK333">
        <f t="shared" si="641"/>
        <v>0</v>
      </c>
      <c r="CL333">
        <f>IF(B333="",0,IFERROR(--VLOOKUP(B333,УГО_спр,4,FALSE),IFERROR(--VLOOKUP(AX333,УГО_спр,4,FALSE),IFERROR(--VLOOKUP(LEFT(AX333,2),УГО_спр,4,FALSE),0))))</f>
        <v>0</v>
      </c>
      <c r="CM333" t="str">
        <f>IF(B333="","",IFERROR(_xlfn.XLOOKUP(AX333,Коды_код,Коды_апп)&amp;"",""))</f>
        <v/>
      </c>
      <c r="CN333" t="str">
        <f t="shared" si="642"/>
        <v/>
      </c>
      <c r="CO333" t="str" cm="1">
        <f t="array" ref="CO333">IF(TRIM(CN333&amp;"")="","",IFERROR(TRIM(INDEX(_xlfn.TEXTSPLIT(CN333&amp;";;;",";"),1)),""))</f>
        <v/>
      </c>
      <c r="CP333" t="str" cm="1">
        <f t="array" ref="CP333">IF(TRIM(CN333&amp;"")="","",IFERROR(TRIM(INDEX(_xlfn.TEXTSPLIT(CN333&amp;";;;",";"),2)),""))</f>
        <v/>
      </c>
      <c r="CQ333" t="str" cm="1">
        <f t="array" ref="CQ333">IF(TRIM(CN333&amp;"")="","",IFERROR(TRIM(INDEX(_xlfn.TEXTSPLIT(CN333&amp;";;;",";"),3)),""))</f>
        <v/>
      </c>
      <c r="CR333">
        <f t="shared" si="643"/>
        <v>0</v>
      </c>
      <c r="CS333" t="str">
        <f>IF(B333="","",_xlfn.LET(_xlpm.t,LOWER(AV333&amp;""),IF(ISNUMBER(SEARCH("dim",_xlpm.t)),"DIM",IF(ISNUMBER(SEARCH("dali",_xlpm.t)),"DALI",IF(OR(ISNUMBER(SEARCH("relay",_xlpm.t)),ISNUMBER(SEARCH("реле",_xlpm.t))),"Relay",IF(ISNUMBER(SEARCH("кнопк",_xlpm.t)),"",IFERROR(_xlfn.XLOOKUP(AX333,Коды_код,Коды_упр)&amp;"","")))))))</f>
        <v/>
      </c>
      <c r="CT333" t="str">
        <f t="shared" si="644"/>
        <v/>
      </c>
      <c r="CU333">
        <f>IF(B333="","",_xlfn.LET(_xlpm.ig,N(P333)+IF(AF333="вручную",0,N(CB333)),_xlpm.n0,IFERROR(VLOOKUP(_xlpm.ig,Автомат_номиналы,2,TRUE),0),_xlpm.mn,MAX(CL333,IF(AF333="вручную",0,N(CE333))),MAX(_xlpm.n0,_xlpm.mn,IF(CR333=1,Мин_автомат_БП,0))))</f>
        <v>16</v>
      </c>
      <c r="CV333">
        <f t="shared" si="645"/>
        <v>1</v>
      </c>
      <c r="CW333" t="str">
        <f t="shared" si="646"/>
        <v>1P</v>
      </c>
      <c r="CX333" t="str">
        <f>_xlfn.LET(_xlpm.cc,UPPER(TRIM(IFERROR(_xlfn.XLOOKUP(AX333,Коды_код,Коды_хар)&amp;"",""))),IF(OR(_xlpm.cc="B",_xlpm.cc="В"),"B",IF(_xlpm.cc="D","D","С")))</f>
        <v>С</v>
      </c>
      <c r="CY333" t="str">
        <f t="shared" si="647"/>
        <v>1P С16А</v>
      </c>
      <c r="CZ333">
        <f t="shared" si="648"/>
        <v>16</v>
      </c>
      <c r="DA333" t="str">
        <f t="shared" si="649"/>
        <v>1P С16А</v>
      </c>
      <c r="DB333" cm="1">
        <f t="array" ref="DB333">IF(DA333="","",_xlfn.LET(_xlpm.t,SUBSTITUTE(SUBSTITUTE(SUBSTITUTE(UPPER(DA333),"С","C"),"А","A"),"В","B"),_xlpm.tk,_xlfn.TEXTSPLIT(_xlpm.t,"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3" t="str">
        <f t="shared" si="650"/>
        <v>ok</v>
      </c>
      <c r="DD333">
        <f t="shared" si="651"/>
        <v>16</v>
      </c>
      <c r="DE333" t="str">
        <f t="shared" si="652"/>
        <v>1P С16А</v>
      </c>
      <c r="DF333">
        <f t="shared" si="653"/>
        <v>0</v>
      </c>
      <c r="DG333">
        <f t="shared" si="654"/>
        <v>0</v>
      </c>
      <c r="DH333">
        <f t="shared" si="655"/>
        <v>0</v>
      </c>
      <c r="DI333">
        <f t="shared" si="656"/>
        <v>13.531646934131851</v>
      </c>
      <c r="DJ333">
        <f t="shared" si="657"/>
        <v>1</v>
      </c>
      <c r="DK333">
        <f>IF(ISNUMBER(AL333),AL333,К_прокл)</f>
        <v>1</v>
      </c>
      <c r="DL333">
        <f t="shared" si="658"/>
        <v>2</v>
      </c>
      <c r="DM333">
        <f>IFERROR(N(VLOOKUP(BT333,Кабель_обозначение,3,FALSE)),1)</f>
        <v>1</v>
      </c>
      <c r="DN333">
        <f>IFERROR(N(_xlfn.XLOOKUP(A333,Щиты[Щит],Щиты[ΔU до шин, %])),0)</f>
        <v>3.44</v>
      </c>
      <c r="DO333" t="str">
        <f>IFERROR(_xlfn.XLOOKUP(A333,Щиты[Щит],Щиты[Zпетли на шинах, Ом]),"")</f>
        <v/>
      </c>
      <c r="DP333">
        <f>IFERROR(N(_xlfn.XLOOKUP(A333,Щиты[Щит],Щиты[ΔU до шин (подбор), %])),0)</f>
        <v>5.4799999999999995</v>
      </c>
      <c r="DQ333" t="str">
        <f>IFERROR(_xlfn.XLOOKUP(A333,Щиты[Щит],Щиты[Zпетли на шинах (подбор), Ом]),"")</f>
        <v/>
      </c>
      <c r="DR333" t="str">
        <f t="shared" si="659"/>
        <v/>
      </c>
      <c r="DS333">
        <f t="shared" si="660"/>
        <v>9</v>
      </c>
      <c r="DT333">
        <f t="shared" si="661"/>
        <v>2</v>
      </c>
      <c r="DU333">
        <f t="shared" si="662"/>
        <v>0.6</v>
      </c>
      <c r="DV333" s="6">
        <f>IF(B333="","",IF(IFERROR(VLOOKUP(AX333,УГО_спр,2,FALSE),"")="Светильник",3,4)+IF(Методика="нормы 2026",MIN(0.5,MAX(0,N(Q333)-100)*0.005),0))</f>
        <v>4</v>
      </c>
      <c r="DW333" t="str" cm="1">
        <f t="array" ref="DW333">IF(OR(B333="",BT333="",DM333&lt;&gt;1),"",_xlfn.LET(_xlpm.sz,Iдоп_S,_xlpm.t_,CHOOSE(DL333,Iдоп_1ж,Iдоп_2ж,Iдоп_3ж)*DJ333*DK333,_xlpm.inn,N(DD333),_xlpm.smin,MAX(1.5,BW333),_xlpm.L_,N(Q333)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333)*(_xlpm.rho*_xlpm.L_/_xlpm.sz*N(BY333)+_xlpm.xx*_xlpm.L_*N(DU333)/1000)*N(P333)/((Uн_лин/SQRT(3))*1000)*100,999),_xlpm.kz,IF(OR(DG333=1,NOT(ISNUMBER(DQ333)),_xlpm.L_=0,_xlpm.inn=0),1,IFERROR(--(c_min*(Uн_лин*1000/SQRT(3))/(DQ333+2*ρкз_Cu*_xlpm.L_/_xlpm.sz)&gt;=GY333*_xlpm.inn),0)),_xlpm.ok,IFERROR((_xlpm.sz&gt;=_xlpm.smin)*(_xlpm.t_&gt;=_xlpm.inn)*IF(_xlpm.L_&gt;0,(_xlpm.du_+DP333&lt;=DV333+0.00001),1)*_xlpm.kz,0),_xlpm.r_,_xlfn._xlws.FILTER(_xlpm.sz,_xlpm.ok,"не подобрано"),INDEX(_xlpm.r_,1)))</f>
        <v>не подобрано</v>
      </c>
      <c r="DX333">
        <f t="shared" si="663"/>
        <v>2.5</v>
      </c>
      <c r="DY333" cm="1">
        <f t="array" ref="DY333">IF(OR(B333="",BT333="",DM333&lt;&gt;1),"",_xlfn.LET(_xlpm.sz,Iдоп_S,_xlpm.t_,CHOOSE(DL333,Iдоп_1ж,Iдоп_2ж,Iдоп_3ж)*DJ333*DK333,_xlpm.ok,IFERROR((_xlpm.sz&gt;=MAX(1.5,BW333))*(_xlpm.t_&gt;=N(DD333)),0),_xlpm.r_,_xlfn._xlws.FILTER(_xlpm.sz,_xlpm.ok,""),INDEX(_xlpm.r_,1)))</f>
        <v>1.5</v>
      </c>
      <c r="DZ333" s="6" cm="1">
        <f t="array" ref="DZ333">IFERROR(ROUNDUP(N(DT333)*(_xlfn.XLOOKUP(DY333,INDEX(Кабель_сопротивление,0,1),INDEX(Кабель_сопротивление,0,3))*N(Q333)/DY333*N(BY333)+_xlfn.XLOOKUP(DY333,INDEX(Кабель_сопротивление,0,1),INDEX(Кабель_сопротивление,0,2))*N(Q333)*N(DU333)/1000)*N(P333)/((Uн_лин/SQRT(3))*1000)*100,2),"")</f>
        <v>1.7</v>
      </c>
      <c r="EA333">
        <f>IFERROR(2*ρкз_Cu*N(Q333)/DY333,"")</f>
        <v>0.42080000000000001</v>
      </c>
      <c r="EB333">
        <f>IFERROR(VLOOKUP(DX333,Кабель_сопротивление,3,FALSE),"")</f>
        <v>2.2499999999999999E-2</v>
      </c>
      <c r="EC333">
        <f>IFERROR(VLOOKUP(DX333,Кабель_сопротивление,2,FALSE),"")</f>
        <v>0.1</v>
      </c>
      <c r="ED333">
        <f t="shared" si="664"/>
        <v>9</v>
      </c>
      <c r="EE333">
        <f t="shared" si="665"/>
        <v>0</v>
      </c>
      <c r="EF333">
        <f t="shared" si="666"/>
        <v>2.3577541618031344</v>
      </c>
      <c r="EG333" s="6">
        <f>IFERROR(ROUNDUP(EF333/((Uн_лин/SQRT(3))*1000)*100,2),"")</f>
        <v>1.03</v>
      </c>
      <c r="EH333" t="str">
        <f>IFERROR(VLOOKUP(BT333,Кабель_обозначение,2,FALSE),"")</f>
        <v>ВВГнг(А)-LS</v>
      </c>
      <c r="EI333" t="str">
        <f t="shared" si="667"/>
        <v>ВВГнг(А)-LS (3х2,5)</v>
      </c>
      <c r="EJ333" t="str">
        <f t="shared" si="668"/>
        <v>ВВГнг(А)-LS (3х2,5)
L=12-1,03%</v>
      </c>
      <c r="EK333">
        <f>IFERROR(2*ρкз_Cu*Q333/DX333,"")</f>
        <v>0.25247999999999998</v>
      </c>
      <c r="EL333">
        <f t="shared" si="669"/>
        <v>8.4000000000000005E-2</v>
      </c>
      <c r="EM333" s="6" t="str">
        <f>IFERROR(IF(OR(B333="",NOT(ISNUMBER(DX333)),N(Q333)=0),"",_xlfn.XLOOKUP(A333,Щиты[Щит],Щиты[Zпетли на шинах, Ом])+EK333),"")</f>
        <v/>
      </c>
      <c r="EN333" s="6" t="str">
        <f>IF(ISNUMBER(EM333),c_min*(Uн_лин*1000/SQRT(3))/EM333,"")</f>
        <v/>
      </c>
      <c r="EO333" s="6" t="str">
        <f>IFERROR(IF(OR(B333="",NOT(ISNUMBER(DX333))),"",1.05*(Uн_лин*1000/SQRT(3))/(_xlfn.XLOOKUP(A333,Щиты[Щит],Щиты[Zmax на шинах, Ом])+EL333)/1000),"")</f>
        <v/>
      </c>
      <c r="EP333" s="6" t="str">
        <f>IF(B333="","",IF(ISNUMBER(Y333),"Сил",IF(IFERROR(_xlfn.XLOOKUP(AX333,Коды_код,Коды_группа)&amp;"","")="","Быт",_xlfn.XLOOKUP(AX333,Коды_код,Коды_группа)&amp;"")))</f>
        <v>Сил</v>
      </c>
      <c r="EQ333" s="6" t="str">
        <f t="shared" si="670"/>
        <v>Сил</v>
      </c>
      <c r="ER333" s="6">
        <f>IF(EQ333="Щит","щит",IF(EQ333="","",IF(EQ333="Быт",IFERROR(_xlfn.XLOOKUP(A333,Щиты[Щит],Щиты[Кс быт]),1),IF(EQ333="Сил",IF(ISNUMBER(Y333),Y333,IF(Методика="нормы 2026",IFERROR(_xlfn.XLOOKUP(A333,Щиты[Щит],Щиты[Кс силовых (табл. 7.5)]),1),1)),IF(OR(EQ333="Пост",EQ333="Отоп"),1,IF(EQ333="ВНГ",0.7,0))))))</f>
        <v>0.7</v>
      </c>
      <c r="ES333">
        <f t="shared" si="671"/>
        <v>1</v>
      </c>
      <c r="ET333">
        <f t="shared" si="672"/>
        <v>2.5</v>
      </c>
      <c r="EU333">
        <f t="shared" si="673"/>
        <v>0</v>
      </c>
      <c r="EV333">
        <f t="shared" si="674"/>
        <v>1.75</v>
      </c>
      <c r="EW333">
        <f t="shared" si="675"/>
        <v>0</v>
      </c>
      <c r="EX333">
        <f t="shared" si="676"/>
        <v>0</v>
      </c>
      <c r="EY333">
        <f t="shared" si="677"/>
        <v>0</v>
      </c>
      <c r="EZ333">
        <f t="shared" si="678"/>
        <v>2.5</v>
      </c>
      <c r="FA333">
        <f t="shared" si="679"/>
        <v>2</v>
      </c>
      <c r="FB333">
        <f t="shared" si="680"/>
        <v>2.5</v>
      </c>
      <c r="FC333" t="str">
        <f t="shared" si="681"/>
        <v>L3</v>
      </c>
      <c r="FD333" t="str">
        <f>IF(B333="","",IF(CA333=0,IF(AW333=1,"",FF332),IF(OR(N(CV333)&gt;=3,N(BR333)&gt;=3),"L1,L2,L3",IFERROR(_xlfn.TEXTBEFORE(_xlfn.TEXTAFTER(_xlfn.XLOOKUP(A333,Щиты[Щит],Щиты[_фазы авто]),";"&amp;AW333&amp;":"),";"),"L1"))))</f>
        <v>L1</v>
      </c>
      <c r="FE333" t="str">
        <f t="shared" si="682"/>
        <v>L3</v>
      </c>
      <c r="FF333" t="str">
        <f t="shared" si="683"/>
        <v>L3</v>
      </c>
      <c r="FG333" cm="1">
        <f t="array" ref="FG333">IFERROR(IF(BX333=2,_xlfn.IFS(BR333=3,VLOOKUP(BN333,Справочная_двигатели,3,FALSE),BR333=1,VLOOKUP(BN333,Справочная_двигатели,5,TRUE)),0),0)</f>
        <v>0</v>
      </c>
      <c r="FH333">
        <f>IFERROR(IF(BX333=3,VLOOKUP(BN333,Справочная_ЛЭД,2,TRUE),0),0)</f>
        <v>0</v>
      </c>
      <c r="FI333" s="6">
        <f t="shared" si="684"/>
        <v>0</v>
      </c>
      <c r="FJ333" t="str" cm="1">
        <f t="array" ref="FJ333">IF(B333="","",IFERROR(INDEX({"I особая","I","II","III"},MATCH(TRIM(AC333&amp;""),{"I особая","I","II","III"},0)),"III"))</f>
        <v>II</v>
      </c>
      <c r="FK333" t="str">
        <f>IF(B333="","",IF(TRIM(AD333&amp;"")&lt;&gt;"",IF(LOWER(TRIM(AD333&amp;""))="да","да","нет"),IF(IFERROR(_xlfn.XLOOKUP(AX333,Коды_код,Коды_пожарная),"")="да","да","нет")))</f>
        <v>нет</v>
      </c>
      <c r="FL333" t="str">
        <f t="shared" si="685"/>
        <v/>
      </c>
      <c r="FM333" t="str">
        <f t="shared" si="686"/>
        <v>основная</v>
      </c>
      <c r="FN333">
        <f t="shared" si="687"/>
        <v>1</v>
      </c>
      <c r="FO333" t="str" cm="1">
        <f t="array" ref="FO333">IF(B333="","",_xlfn.LET(_xlpm.t,IFERROR(_xlfn.XLOOKUP(1,(Шины[Шина]=FM333)*(((Шины[Щит]=A333)+(Шины[Щит]=""))&gt;0),Шины[Тип]),"")&amp;"",IF(_xlpm.t&lt;&gt;"",_xlpm.t,IF(ISNUMBER(SEARCH("ИБП",FM333)),"ИБП",IF(ISNUMBER(SEARCH("ДГУ",FM333)),"ДГУ","Ввод "&amp;FN333)))))</f>
        <v>Ввод 1</v>
      </c>
      <c r="FP333" t="str">
        <f t="shared" si="688"/>
        <v>Ввод 1</v>
      </c>
      <c r="FQ333" t="str">
        <f>IF(B333="","",IF(OR(FO333="ИБП",FO333="ДГУ"),"I особая",IF(FO333="Одиночная","III",_xlfn.XLOOKUP(A333,Щиты[Щит],Щиты[Категория шины «Ввод»],"III"))))</f>
        <v>II</v>
      </c>
      <c r="FR333">
        <f>IF(B333="",0,IFERROR(MATCH(FJ333,{"III","II","I","I особая"},0),1))</f>
        <v>2</v>
      </c>
      <c r="FS333">
        <f t="shared" si="689"/>
        <v>2</v>
      </c>
      <c r="FT333" t="str">
        <f>IF(B333="","",IF(FR333&gt;IFERROR(MATCH(FQ333,{"III","II","I","I особая"},0),1),"НЕ ОБЕСПЕЧЕНА","ОК"))</f>
        <v>ОК</v>
      </c>
      <c r="FU333" t="str">
        <f>IF(A333="","",_xlfn.XLOOKUP(A333,Щиты[Щит],Щиты[Путь],""))</f>
        <v>|ГРЩ-ЖД|ЩС-ВК.003|</v>
      </c>
      <c r="FV333" t="str">
        <f>IF(B333="","",IF(AE333&lt;&gt;"",AE333,IF(IFERROR(_xlfn.XLOOKUP(AX333,Коды_код,Коды_вид)&amp;"","")="","Прочее",_xlfn.XLOOKUP(AX333,Коды_код,Коды_вид)&amp;"")))</f>
        <v>Насосы (водоснабжение, дренаж)</v>
      </c>
      <c r="FW333">
        <f>IF(BH333="","",INT((BH333-1)/Столбцов_на_лист)+1)</f>
        <v>2</v>
      </c>
      <c r="FX333" t="str">
        <f t="shared" si="690"/>
        <v>ВВГнг(А)-LS (3х2,5) L=12-1,03%</v>
      </c>
      <c r="FY333">
        <f t="shared" si="691"/>
        <v>2.5</v>
      </c>
      <c r="FZ333">
        <f t="shared" si="692"/>
        <v>13.54</v>
      </c>
      <c r="GA333">
        <f t="shared" si="693"/>
        <v>1</v>
      </c>
      <c r="GB333">
        <f t="shared" si="694"/>
        <v>0</v>
      </c>
      <c r="GC333">
        <f t="shared" si="695"/>
        <v>1</v>
      </c>
      <c r="GD333">
        <f>IF(BH333="","",IF(AND(CA333=1,GC333=1),COUNTIFS(A$3:A333,A333,CA$3:CA333,1,GC$3:GC333,1),IF(OR(OR(AW333=1,A333&lt;&gt;A332),AF333="вручную",GC333=0),"",IF(AW333=1,"",GE332))))</f>
        <v>3</v>
      </c>
      <c r="GE333">
        <f t="shared" si="696"/>
        <v>3</v>
      </c>
      <c r="GF333">
        <f>IF(B333="","",IFERROR(LOOKUP(INDEX(CHOOSE(DL333,Iдоп_1ж,Iдоп_2ж,Iдоп_3ж),MATCH(DX333,Iдоп_S,0))*DJ333*DK333,{6,10,16,20,25,32,40,50,63,80,100,125,160,200,250,315,400,500,630}),""))</f>
        <v>25</v>
      </c>
      <c r="GG333" t="str">
        <f t="shared" si="697"/>
        <v>QF3</v>
      </c>
      <c r="GH333" t="str">
        <f t="shared" si="698"/>
        <v>QF3</v>
      </c>
      <c r="GI333" t="str">
        <f t="shared" si="699"/>
        <v/>
      </c>
      <c r="GJ333">
        <f t="shared" si="700"/>
        <v>0</v>
      </c>
      <c r="GK333" t="str">
        <f>IF(OR(AG333="",AG333="-"),"",IFERROR(VLOOKUP(AG333,Модули_спр,2,FALSE),"R"))</f>
        <v/>
      </c>
      <c r="GL333" t="str">
        <f>IF(GK333="","",GK333&amp;"."&amp;COUNTIFS(A$3:A333,A333,GK$3:GK333,GK333))</f>
        <v/>
      </c>
      <c r="GM333" t="str">
        <f t="shared" si="701"/>
        <v/>
      </c>
      <c r="GN333" t="str">
        <f t="shared" si="702"/>
        <v/>
      </c>
      <c r="GO333" t="str">
        <f t="shared" si="703"/>
        <v/>
      </c>
      <c r="GP333" t="str">
        <f t="shared" si="704"/>
        <v/>
      </c>
      <c r="GQ333">
        <f t="shared" si="705"/>
        <v>1</v>
      </c>
      <c r="GR333" t="str">
        <f>IF(GQ333=1,"XT"&amp;COUNTIFS(A$3:A333,A333,GQ$3:GQ333,1),"")</f>
        <v>XT3</v>
      </c>
      <c r="GS333" t="str">
        <f t="shared" si="706"/>
        <v>XT3</v>
      </c>
      <c r="GT333" t="str">
        <f t="shared" si="707"/>
        <v>QF3</v>
      </c>
      <c r="GU333" t="str">
        <f t="shared" si="708"/>
        <v/>
      </c>
      <c r="GV333" t="str">
        <f t="shared" si="709"/>
        <v>ok</v>
      </c>
      <c r="GW333" t="str">
        <f>IF(OR(GO333="",GM333=""),"",IF(GO333&gt;IFERROR(VLOOKUP(GN333,Модули_спр,3,FALSE),99),"ЛИШНИЙ КАНАЛ",IF(AND(AH333&lt;&gt;"=",COUNTIFS(Линии[_модуль гр.],GM333,Линии[Канал (итог)],GO333,Линии[Канал],"&lt;&gt;=",Линии[Щит],A333)&gt;1),"ДУБЛЬ КАНАЛА","")))</f>
        <v/>
      </c>
      <c r="GX333" s="6" t="str">
        <f t="shared" si="710"/>
        <v/>
      </c>
      <c r="GY333">
        <f t="shared" si="711"/>
        <v>10</v>
      </c>
      <c r="GZ333" t="str">
        <f t="shared" si="712"/>
        <v/>
      </c>
      <c r="HA333" t="str">
        <f>IF(AND(B333="",GT333=""),"",_xlfn.TEXTJOIN("; ",TRUE,IF(AND(B333&lt;&gt;"",FE333=""),"нет фазы",""),IF(AND(B333&lt;&gt;"",N(FY333)=0,EQ333&lt;&gt;"Нет"),"нет мощности",""),IF(AND(GS333&lt;&gt;"",COUNTIFS(Линии[Щит],A333,Линии[Клемма (итог)],GS333)&gt;1),"дубль клеммы "&amp;GS333,""),IF(AND(GV333&lt;&gt;"",GV333&lt;&gt;"ok"),GV333,""),IF(GW333&lt;&gt;"",GW333,""),IF(AND(N(BV333)&gt;=4,N(BR333)=1),BV333&amp;" жил на 1 фазе",""),IF(AND(AX333="R",CA333=1,OR(N(CK333)=0,N(CK333)&gt;30)),"розетка без дифзащиты до 30 мА",""),IFERROR(IF(AND(ISNUMBER(R333),R333&gt;DV333),"потери "&amp;FIXED(R333,1)&amp;" % &gt; "&amp;DV333&amp;" %",""),""),IFERROR(IF(LEFT(GZ333,4)="мало","Iкз мало — отключение &gt; 0,4 с",""),""),IF(AND(B333&lt;&gt;"",BH333=""),"не на схеме",""),IF(AND(CA333=0,B333&lt;&gt;"",FE333&lt;&gt;"",IF(AW333=1,"",FF332)&lt;&gt;"",FE333&lt;&gt;IF(AW333=1,"",FF332)),"фаза не как у автомата группы ("&amp;IF(AW333=1,"",FF332)&amp;")","")))</f>
        <v>потери 4,5 % &gt; 4 %</v>
      </c>
      <c r="HB333" s="6">
        <f>IF(OR(CA333=0,DA333=""),"",_xlfn.LET(_xlpm.t,IFERROR(_xlfn.XLOOKUP(DA333,Каталог!$U$4:$U$500,Каталог!$G$4:$G$500),""),_xlpm.k,SEARCH("кА",_xlpm.t),IFERROR(--TRIM(RIGHT(SUBSTITUTE(MID(_xlpm.t,MAX(1,_xlpm.k-4),_xlpm.k-MAX(1,_xlpm.k-4))," ",REPT(" ",9)),5)),"")))</f>
        <v>6</v>
      </c>
      <c r="HC333" t="str">
        <f>IF(OR(HB333="",CA333=0),"",IF(_xlfn.XLOOKUP(A333,Щиты[Щит],Щиты[Iкз max на шинах, кА],"")="","",IF(HB333&lt;_xlfn.XLOOKUP(A333,Щиты[Щит],Щиты[Iкз max на шинах, кА]),"Icu "&amp;HB333&amp;" кА &lt; Iкз max","ok")))</f>
        <v/>
      </c>
      <c r="HD333" t="str">
        <f t="shared" si="713"/>
        <v/>
      </c>
      <c r="HE333" t="str">
        <f t="shared" si="714"/>
        <v>QF3|XT3</v>
      </c>
      <c r="HF333" t="str">
        <f t="shared" si="715"/>
        <v>QF3|XT3|кабель ВВГнг(А)-LS (3х2,5) → Жироулавливатель Подвальный этаж Пом. №006Т</v>
      </c>
      <c r="HG333" t="str" cm="1">
        <f t="array" ref="HG333">IF(HF333="","",_xlfn.LET(_xlpm.nd,_xlfn.TEXTSPLIT(HF333,"|"),IF(COLUMNS(_xlpm.nd)&gt;1,A333&amp;"¦"&amp;INDEX(_xlpm.nd,1)&amp;"¦"&amp;INDEX(_xlpm.nd,2),"")))</f>
        <v>ЩС-ВК.003¦QF3¦XT3</v>
      </c>
      <c r="HH333" t="str">
        <f t="shared" si="716"/>
        <v>ЖУ.1¦Жироулавливатель Подвальный этаж Пом. №006Т</v>
      </c>
      <c r="HI333" t="str" cm="1">
        <f t="array" ref="HI333">IF(HF333="","",_xlfn.LET(_xlpm.nd,_xlfn.TEXTSPLIT(HF333,"|"),IF(COLUMNS(_xlpm.nd)&gt;2,A333&amp;"¦"&amp;INDEX(_xlpm.nd,2)&amp;"¦"&amp;INDEX(_xlpm.nd,3),"")))</f>
        <v>ЩС-ВК.003¦XT3¦кабель ВВГнг(А)-LS (3х2,5) → Жироулавливатель Подвальный этаж Пом. №006Т</v>
      </c>
      <c r="HJ333" t="str">
        <f t="shared" si="717"/>
        <v>ЖУ.1¦Жироулавливатель Подвальный этаж Пом. №006Т</v>
      </c>
      <c r="HK333" t="str" cm="1">
        <f t="array" ref="HK333">IF(HF333="","",_xlfn.LET(_xlpm.nd,_xlfn.TEXTSPLIT(HF333,"|"),IF(COLUMNS(_xlpm.nd)&gt;3,A333&amp;"¦"&amp;INDEX(_xlpm.nd,3)&amp;"¦"&amp;INDEX(_xlpm.nd,4),"")))</f>
        <v/>
      </c>
      <c r="HL333" t="str">
        <f t="shared" si="718"/>
        <v/>
      </c>
      <c r="HM333" t="str" cm="1">
        <f t="array" ref="HM333">IF(HF333="","",_xlfn.LET(_xlpm.nd,_xlfn.TEXTSPLIT(HF333,"|"),IF(COLUMNS(_xlpm.nd)&gt;4,A333&amp;"¦"&amp;INDEX(_xlpm.nd,4)&amp;"¦"&amp;INDEX(_xlpm.nd,5),"")))</f>
        <v/>
      </c>
      <c r="HN333" t="str">
        <f t="shared" si="719"/>
        <v/>
      </c>
      <c r="HO333" t="str" cm="1">
        <f t="array" ref="HO333">IF(HF333="","",_xlfn.LET(_xlpm.nd,_xlfn.TEXTSPLIT(HF333,"|"),IF(COLUMNS(_xlpm.nd)&gt;5,A333&amp;"¦"&amp;INDEX(_xlpm.nd,5)&amp;"¦"&amp;INDEX(_xlpm.nd,6),"")))</f>
        <v/>
      </c>
      <c r="HP333" t="str">
        <f t="shared" si="720"/>
        <v/>
      </c>
      <c r="HQ333" t="str" cm="1">
        <f t="array" ref="HQ333">IF(HF333="","",_xlfn.LET(_xlpm.nd,_xlfn.TEXTSPLIT(HF333,"|"),IF(COLUMNS(_xlpm.nd)&gt;6,A333&amp;"¦"&amp;INDEX(_xlpm.nd,6)&amp;"¦"&amp;INDEX(_xlpm.nd,7),"")))</f>
        <v/>
      </c>
      <c r="HR333" t="str">
        <f t="shared" si="721"/>
        <v/>
      </c>
      <c r="HS333" t="str">
        <f t="shared" si="722"/>
        <v/>
      </c>
      <c r="HT333" t="str">
        <f t="shared" si="723"/>
        <v>QF3 → XT3</v>
      </c>
      <c r="HU333">
        <f t="shared" si="724"/>
        <v>0</v>
      </c>
      <c r="HV333">
        <f t="shared" si="725"/>
        <v>0</v>
      </c>
      <c r="HW333" t="str">
        <f t="shared" si="726"/>
        <v/>
      </c>
      <c r="HX333" t="str">
        <f t="shared" si="727"/>
        <v/>
      </c>
      <c r="HY333" t="str">
        <f t="shared" si="728"/>
        <v/>
      </c>
      <c r="HZ333" t="str">
        <f t="shared" si="729"/>
        <v/>
      </c>
      <c r="IA333">
        <f>IF(B333="","",IFERROR(VLOOKUP(B333,УГО_спр,2,FALSE),IFERROR(VLOOKUP(AX333,УГО_спр,2,FALSE),IFERROR(VLOOKUP(LEFT(AX333,2),УГО_спр,2,FALSE),""))))</f>
        <v>0</v>
      </c>
      <c r="IB333" t="str">
        <f>IF(B333="","",IF(OR(IA333="",IA333=0),"BOX",IFERROR(IF(VLOOKUP(IA333,УГО_блоки,3,FALSE)&amp;""&lt;&gt;"",VLOOKUP(IA333,УГО_блоки,3,FALSE),VLOOKUP(IA333,УГО_блоки,2,FALSE)),IA333)))</f>
        <v>BOX</v>
      </c>
      <c r="IC333">
        <f t="shared" si="730"/>
        <v>1</v>
      </c>
      <c r="ID333" t="str">
        <f>IF(DA333="","",IF(COUNTIF(DA$3:DA333,DA333)=1,MAX(ID$2:ID332)+1,""))</f>
        <v/>
      </c>
      <c r="IE333" t="str">
        <f>IF(CO333="","",IF(COUNTIF(CO$3:CO333,CO333)+COUNTIF(CP$2:CP332,CO333)+COUNTIF(CQ$2:CQ332,CO333)=1,MAX(IE$2:IG332)+1,""))</f>
        <v/>
      </c>
      <c r="IF333" t="str">
        <f>IF(CP333="","",IF(COUNTIF(CO$3:CO333,CP333)+COUNTIF(CP$3:CP333,CP333)+COUNTIF(CQ$2:CQ332,CP333)=1,MAX(IE$2:IG332,IE333)+1,""))</f>
        <v/>
      </c>
      <c r="IG333" t="str">
        <f>IF(CQ333="","",IF(COUNTIF(CO$3:CO333,CQ333)+COUNTIF(CP$3:CP333,CQ333)+COUNTIF(CQ$3:CQ333,CQ333)=1,MAX(IE$2:IG332,IE333,IF333)+1,""))</f>
        <v/>
      </c>
      <c r="IH333" t="str">
        <f t="shared" si="731"/>
        <v>3х2,5</v>
      </c>
      <c r="II333" t="str">
        <f>IF(IH333="","",IF(COUNTIF(IH$3:IH333,IH333)=1,MAX(II$2:II332)+1,""))</f>
        <v/>
      </c>
      <c r="IJ333" t="str">
        <f>IF(GL333="","",COUNTIF(GL$3:GL333,"?*"))</f>
        <v/>
      </c>
      <c r="IK333" t="str">
        <f>IF(OR(GL333="",GN333=""),"",IF(COUNTIFS(GL$3:GL333,"?*",GN$3:GN333,GN333)=1,MAX(IK$2:IK332)+1,""))</f>
        <v/>
      </c>
      <c r="IL333">
        <f t="shared" si="732"/>
        <v>1</v>
      </c>
      <c r="IM333">
        <f>IF(B333="","",COUNTIF(B$3:B333,"?*"))</f>
        <v>331</v>
      </c>
      <c r="IN333">
        <f>IF(GQ333&lt;&gt;1,0,_xlfn.LET(_xlpm.k,MAX(IFERROR(--VLOOKUP(B333,УГО_спр,5,FALSE),0),IFERROR(--VLOOKUP(AX333,УГО_спр,5,FALSE),0),IFERROR(--VLOOKUP(LEFT(AX333,2),УГО_спр,5,FALSE),0)),IF(_xlpm.k&gt;0,_xlpm.k,IF(IFERROR(--LEFT(SUBSTITUTE(IH333,"x","х"),FIND("х",SUBSTITUTE(IH333,"x","х"))-1),3)&gt;3,Каталог!$S$9,1))))</f>
        <v>1</v>
      </c>
      <c r="IO333">
        <f t="shared" si="733"/>
        <v>0</v>
      </c>
      <c r="IP333" t="str">
        <f t="shared" si="734"/>
        <v>авто</v>
      </c>
      <c r="IQ333" t="str">
        <f t="shared" si="735"/>
        <v/>
      </c>
      <c r="IR333">
        <f t="shared" si="736"/>
        <v>0</v>
      </c>
      <c r="IS333">
        <f t="shared" si="737"/>
        <v>1</v>
      </c>
    </row>
    <row r="334" spans="1:253" x14ac:dyDescent="0.3">
      <c r="A334" t="s">
        <v>769</v>
      </c>
      <c r="B334" t="s">
        <v>1594</v>
      </c>
      <c r="C334" t="s">
        <v>1691</v>
      </c>
      <c r="D334">
        <v>1</v>
      </c>
      <c r="E334">
        <v>0.64</v>
      </c>
      <c r="G334">
        <v>16</v>
      </c>
      <c r="H334">
        <f>Линии[[#This Row],[_авто утечка]]</f>
        <v>30</v>
      </c>
      <c r="I334" t="str">
        <f>Линии[[#This Row],[_авто управление]]</f>
        <v/>
      </c>
      <c r="J334" t="str">
        <f>Линии[[#This Row],[_авто аппараты]]</f>
        <v/>
      </c>
      <c r="K334">
        <v>2.5</v>
      </c>
      <c r="L334">
        <v>28</v>
      </c>
      <c r="M334">
        <v>3</v>
      </c>
      <c r="N334" t="str">
        <f>Линии[[#This Row],[_авто клемма]]</f>
        <v>XT4</v>
      </c>
      <c r="O334" t="str">
        <f t="shared" si="615"/>
        <v>потери 4,1 % &gt; 4 %</v>
      </c>
      <c r="P334" s="6" cm="1">
        <f t="array" ref="P334">IF(B334="","",IF(BC334&lt;&gt;"",IFERROR(_xlfn.XLOOKUP(BC334,Щиты[Щит],Щиты[Iр, А]),""),IF(BK334=1,IFERROR(_xlfn.XLOOKUP(A334,Щиты[Щит],Щиты[Iр, А]),""),IFERROR(_xlfn.IFS(BR334=1,BN334/((Uн_лин/SQRT(3))*BY334),BR334=3,BN334/(SQRT(3)*Uн_лин*BY334)),""))))</f>
        <v>3.4641016151377539</v>
      </c>
      <c r="Q334" s="7">
        <f>IF(B334="","",IFERROR(IF(VLOOKUP(AX334,Потребители_обозначение,4,FALSE)=1,VLOOKUP(AX334,Потребители_обозначение,3,FALSE)*(D334*2-1)+DS334+VLOOKUP(AZ334,Этаж_обозначение,3,FALSE)+VLOOKUP(AZ334,Этаж_обозначение,4,FALSE),VLOOKUP(AX334,Потребители_обозначение,3,FALSE)*(D334*2-1)+DS334),DS334))</f>
        <v>31</v>
      </c>
      <c r="R334" s="6">
        <f t="shared" si="616"/>
        <v>4.12</v>
      </c>
      <c r="S334" t="str">
        <f t="shared" si="617"/>
        <v>ВВГнг(А)-LS (3х2,5)</v>
      </c>
      <c r="T334" t="str">
        <f>IF(BH334="","",IF(BI334="вводной узел","узел ","")&amp;"л."&amp;(INT((BH334-1)/Столбцов_на_лист)+1)&amp;" / "&amp;(MOD(BH334-1,Столбцов_на_лист)+1))</f>
        <v>л.2 / 4</v>
      </c>
      <c r="V334">
        <v>1</v>
      </c>
      <c r="W334">
        <v>230</v>
      </c>
      <c r="X334" t="s">
        <v>600</v>
      </c>
      <c r="Y334">
        <v>0.7</v>
      </c>
      <c r="AC334" t="s">
        <v>815</v>
      </c>
      <c r="AE334" t="s">
        <v>563</v>
      </c>
      <c r="AI334">
        <v>21</v>
      </c>
      <c r="AJ334" t="s">
        <v>11</v>
      </c>
      <c r="AK334">
        <v>3</v>
      </c>
      <c r="AM334">
        <v>13</v>
      </c>
      <c r="AN334">
        <v>15</v>
      </c>
      <c r="AO334">
        <v>0</v>
      </c>
      <c r="AW334" cm="1">
        <f t="array" ref="AW334">ROW()-ROW(Линии[#Headers])</f>
        <v>332</v>
      </c>
      <c r="AX334" s="6" t="str">
        <f t="shared" si="618"/>
        <v>R</v>
      </c>
      <c r="AY334" t="str">
        <f t="shared" si="619"/>
        <v>00.002Б.3</v>
      </c>
      <c r="AZ334" t="str">
        <f t="shared" si="620"/>
        <v>00</v>
      </c>
      <c r="BA334" t="str">
        <f t="shared" si="621"/>
        <v>002Б.3</v>
      </c>
      <c r="BB334" t="str">
        <f t="shared" si="622"/>
        <v>002Б</v>
      </c>
      <c r="BC334" t="str">
        <f>IF(U334&lt;&gt;"",U334,IF(AND(B334&lt;&gt;"",B334&lt;&gt;A334,ISNUMBER(_xlfn.XMATCH(B334,Щиты[Щит]))),B334,""))</f>
        <v/>
      </c>
      <c r="BD334" t="str" cm="1">
        <f t="array" ref="BD334">IF(B334="","",IF(BC334&lt;&gt;"","Щит "&amp;BC334,_xlfn.LET(_xlpm.nm,IFERROR(_xlfn.XLOOKUP(AX334,Коды_код,Коды_имя)&amp;"",""),_xlpm.md,IFERROR(N(_xlfn.XLOOKUP(AX334,Коды_код,Коды_режим)),1),_xlpm.ex,IF(Имя_режим="по экспликации",IFERROR(_xlfn.XLOOKUP(AZ334&amp;"|"&amp;BB334,Экспликация[Этаж]&amp;"|"&amp;Экспликация[Помещение],Экспликация[Название])&amp;"",""),""),_xlpm.rm,IF(BB334="","",IF(_xlpm.ex&lt;&gt;"",". "&amp;_xlpm.ex&amp;IF(Имя_пом="нет"," ("&amp;BB334&amp;")"," (пом. "&amp;BB334&amp;")"),IF(Имя_пом="нет"," ",", пом. ")&amp;BB334)),IF(_xlpm.nm="","",IF(_xlpm.md=2,_xlpm.nm&amp;" шлейф "&amp;AZ334,_xlpm.nm&amp;_xlpm.rm)))))</f>
        <v>Розеточная группа, пом. 002Б</v>
      </c>
      <c r="BE334" t="str">
        <f t="shared" si="623"/>
        <v>Сололифт Подвальный этаж Пом. №002Б</v>
      </c>
      <c r="BF334">
        <f>IFERROR(_xlfn.XMATCH(A334,Щиты[Щит]),0)</f>
        <v>15</v>
      </c>
      <c r="BG334">
        <f>_xlfn.LET(_xlpm.k,IFERROR(_xlfn.XLOOKUP(A334,Щиты[Щит],Щиты[Листов под вводной узел]),""),IF(_xlpm.k="",1,N(_xlpm.k))*Столбцов_на_лист)</f>
        <v>17</v>
      </c>
      <c r="BH334">
        <f t="shared" si="624"/>
        <v>21</v>
      </c>
      <c r="BI334" t="str">
        <f t="shared" si="625"/>
        <v>линии</v>
      </c>
      <c r="BJ334" s="6">
        <f>IFERROR(N(_xlfn.XLOOKUP(AX334,Коды_код,Коды_квт)),0)</f>
        <v>0</v>
      </c>
      <c r="BK334">
        <f t="shared" si="626"/>
        <v>0</v>
      </c>
      <c r="BL334" t="str">
        <f>IF(B334="","",IF(BC334&lt;&gt;"",IFERROR(_xlfn.XLOOKUP(BC334,Щиты[Щит],Щиты[Руст, кВт]),0),IF(BK334=1,IFERROR(_xlfn.XLOOKUP(A334,Щиты[Щит],Щиты[Руст, кВт]),0),IF(BJ334&gt;0,ROUND(BJ334*MAX(1,N(D334)),3),""))))</f>
        <v/>
      </c>
      <c r="BM334">
        <f t="shared" si="627"/>
        <v>0.64</v>
      </c>
      <c r="BN334" s="6">
        <f>IF(B334="","",IF(BC334&lt;&gt;"",IFERROR(_xlfn.XLOOKUP(BC334,Щиты[Щит],Щиты[Руст, кВт]),0),N(BM334)))</f>
        <v>0.64</v>
      </c>
      <c r="BO334" t="str">
        <f>IF(B334="","",IFERROR(IF(VLOOKUP(AX334,Потребители_обозначение,8,FALSE)=0,"",VLOOKUP(AX334,Потребители_обозначение,8,FALSE)),""))</f>
        <v/>
      </c>
      <c r="BP334">
        <f t="shared" si="628"/>
        <v>230</v>
      </c>
      <c r="BQ334">
        <f>IF(B334="","",IF(BC334&lt;&gt;"",3,IFERROR(IF(N(VLOOKUP(AX334,Потребители_обозначение,9,FALSE))=0,1,VLOOKUP(AX334,Потребители_обозначение,9,FALSE)),1)))</f>
        <v>1</v>
      </c>
      <c r="BR334">
        <f t="shared" si="629"/>
        <v>1</v>
      </c>
      <c r="BS334" t="str">
        <f>IF(B334="","",_xlfn.LET(_xlpm.bc,IFERROR(IF(VLOOKUP(AX334,Потребители_обозначение,6,FALSE)=0,"",VLOOKUP(AX334,Потребители_обозначение,6,FALSE)&amp;""),""),IF(AND(FK334="да",OR(_xlpm.bc="",_xlpm.bc="мс")),Марка_пож,IF(AND(_xlpm.bc="",BC334&lt;&gt;""),"мс",_xlpm.bc))))</f>
        <v/>
      </c>
      <c r="BT334" t="str">
        <f t="shared" si="630"/>
        <v>мс</v>
      </c>
      <c r="BU334">
        <f>IF(B334="","",_xlfn.LET(_xlpm.cc,IFERROR(N(VLOOKUP(AX334,Потребители_обозначение,7,FALSE)),0),IF(_xlpm.cc&gt;0,_xlpm.cc,IF(BT334="","",IF(N(BR334)=3,5,3)))))</f>
        <v>3</v>
      </c>
      <c r="BV334">
        <f t="shared" si="631"/>
        <v>3</v>
      </c>
      <c r="BW334">
        <f>IFERROR(N(VLOOKUP(AX334,Потребители_обозначение,10,FALSE)),0)</f>
        <v>0</v>
      </c>
      <c r="BX334">
        <f>IFERROR(VLOOKUP(AX334,Потребители_обозначение,5,FALSE),0)</f>
        <v>1</v>
      </c>
      <c r="BY334" s="6" cm="1">
        <f t="array" ref="BY334">IF(B334="","",IF(BC334&lt;&gt;"",IFERROR(_xlfn.XLOOKUP(BC334,Щиты[Щит],Щиты[cos φ]),0.95),IF(BK334=1,IFERROR(_xlfn.XLOOKUP(A334,Щиты[Щит],Щиты[cos φ]),0.95),IF(ISNUMBER(Z334),Z334,IFERROR(IF(BX334=2,_xlfn.IFS(BR334=3,VLOOKUP(BN334,Справочная_двигатели,8,FALSE),BR334=1,VLOOKUP(BN334,Справочная_двигатели,10,TRUE)),IF(AND(Методика="нормы 2026",EQ334="Сил"),0.8,0.95)),0.95)))))</f>
        <v>0.8</v>
      </c>
      <c r="BZ334">
        <f t="shared" si="632"/>
        <v>0</v>
      </c>
      <c r="CA334">
        <f t="shared" si="633"/>
        <v>1</v>
      </c>
      <c r="CB334">
        <f t="shared" si="634"/>
        <v>0</v>
      </c>
      <c r="CC334">
        <f t="shared" si="635"/>
        <v>0</v>
      </c>
      <c r="CD334">
        <f t="shared" si="636"/>
        <v>0</v>
      </c>
      <c r="CE334">
        <f t="shared" si="637"/>
        <v>0</v>
      </c>
      <c r="CF334">
        <f t="shared" si="638"/>
        <v>0</v>
      </c>
      <c r="CG334">
        <f>IF(AX334="",0,_xlfn.LET(_xlpm.v,IFERROR(VLOOKUP(B334,УГО_спр,3,FALSE),IFERROR(VLOOKUP(AX334,УГО_спр,3,FALSE),IFERROR(VLOOKUP(LEFT(AX334,2),УГО_спр,3,FALSE),""))),IF(_xlpm.v="да",30,IF(ISNUMBER(_xlpm.v),_xlpm.v,0))))</f>
        <v>30</v>
      </c>
      <c r="CH334">
        <f t="shared" si="639"/>
        <v>30</v>
      </c>
      <c r="CI334" t="str">
        <f>_xlfn.LET(_xlpm.k,IFERROR(_xlfn.XLOOKUP(AX334,Коды_код,Коды_утечка)&amp;"",""),IF(_xlpm.k="","дифавтомат",_xlpm.k))</f>
        <v>дифавтомат</v>
      </c>
      <c r="CJ334">
        <f t="shared" si="640"/>
        <v>30</v>
      </c>
      <c r="CK334">
        <f t="shared" si="641"/>
        <v>30</v>
      </c>
      <c r="CL334">
        <f>IF(B334="",0,IFERROR(--VLOOKUP(B334,УГО_спр,4,FALSE),IFERROR(--VLOOKUP(AX334,УГО_спр,4,FALSE),IFERROR(--VLOOKUP(LEFT(AX334,2),УГО_спр,4,FALSE),0))))</f>
        <v>16</v>
      </c>
      <c r="CM334" t="str">
        <f>IF(B334="","",IFERROR(_xlfn.XLOOKUP(AX334,Коды_код,Коды_апп)&amp;"",""))</f>
        <v/>
      </c>
      <c r="CN334" t="str">
        <f t="shared" si="642"/>
        <v/>
      </c>
      <c r="CO334" t="str" cm="1">
        <f t="array" ref="CO334">IF(TRIM(CN334&amp;"")="","",IFERROR(TRIM(INDEX(_xlfn.TEXTSPLIT(CN334&amp;";;;",";"),1)),""))</f>
        <v/>
      </c>
      <c r="CP334" t="str" cm="1">
        <f t="array" ref="CP334">IF(TRIM(CN334&amp;"")="","",IFERROR(TRIM(INDEX(_xlfn.TEXTSPLIT(CN334&amp;";;;",";"),2)),""))</f>
        <v/>
      </c>
      <c r="CQ334" t="str" cm="1">
        <f t="array" ref="CQ334">IF(TRIM(CN334&amp;"")="","",IFERROR(TRIM(INDEX(_xlfn.TEXTSPLIT(CN334&amp;";;;",";"),3)),""))</f>
        <v/>
      </c>
      <c r="CR334">
        <f t="shared" si="643"/>
        <v>0</v>
      </c>
      <c r="CS334" t="str">
        <f>IF(B334="","",_xlfn.LET(_xlpm.t,LOWER(AV334&amp;""),IF(ISNUMBER(SEARCH("dim",_xlpm.t)),"DIM",IF(ISNUMBER(SEARCH("dali",_xlpm.t)),"DALI",IF(OR(ISNUMBER(SEARCH("relay",_xlpm.t)),ISNUMBER(SEARCH("реле",_xlpm.t))),"Relay",IF(ISNUMBER(SEARCH("кнопк",_xlpm.t)),"",IFERROR(_xlfn.XLOOKUP(AX334,Коды_код,Коды_упр)&amp;"","")))))))</f>
        <v/>
      </c>
      <c r="CT334" t="str">
        <f t="shared" si="644"/>
        <v/>
      </c>
      <c r="CU334">
        <f>IF(B334="","",_xlfn.LET(_xlpm.ig,N(P334)+IF(AF334="вручную",0,N(CB334)),_xlpm.n0,IFERROR(VLOOKUP(_xlpm.ig,Автомат_номиналы,2,TRUE),0),_xlpm.mn,MAX(CL334,IF(AF334="вручную",0,N(CE334))),MAX(_xlpm.n0,_xlpm.mn,IF(CR334=1,Мин_автомат_БП,0))))</f>
        <v>16</v>
      </c>
      <c r="CV334">
        <f t="shared" si="645"/>
        <v>1</v>
      </c>
      <c r="CW334" t="str">
        <f t="shared" si="646"/>
        <v>2P</v>
      </c>
      <c r="CX334" t="str">
        <f>_xlfn.LET(_xlpm.cc,UPPER(TRIM(IFERROR(_xlfn.XLOOKUP(AX334,Коды_код,Коды_хар)&amp;"",""))),IF(OR(_xlpm.cc="B",_xlpm.cc="В"),"B",IF(_xlpm.cc="D","D","С")))</f>
        <v>С</v>
      </c>
      <c r="CY334" t="str">
        <f t="shared" si="647"/>
        <v>2P С16А 30мА</v>
      </c>
      <c r="CZ334">
        <f t="shared" si="648"/>
        <v>16</v>
      </c>
      <c r="DA334" t="str">
        <f t="shared" si="649"/>
        <v>2P С16А 30мА</v>
      </c>
      <c r="DB334" cm="1">
        <f t="array" ref="DB334">IF(DA334="","",_xlfn.LET(_xlpm.t,SUBSTITUTE(SUBSTITUTE(SUBSTITUTE(UPPER(DA334),"С","C"),"А","A"),"В","B"),_xlpm.tk,_xlfn.TEXTSPLIT(_xlpm.t,"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4" t="str">
        <f t="shared" si="650"/>
        <v>ok</v>
      </c>
      <c r="DD334">
        <f t="shared" si="651"/>
        <v>16</v>
      </c>
      <c r="DE334" t="str">
        <f t="shared" si="652"/>
        <v>2P С16А 30мА</v>
      </c>
      <c r="DF334">
        <f t="shared" si="653"/>
        <v>30</v>
      </c>
      <c r="DG334">
        <f t="shared" si="654"/>
        <v>1</v>
      </c>
      <c r="DH334">
        <f t="shared" si="655"/>
        <v>0</v>
      </c>
      <c r="DI334">
        <f t="shared" si="656"/>
        <v>3.4641016151377539</v>
      </c>
      <c r="DJ334">
        <f t="shared" si="657"/>
        <v>1</v>
      </c>
      <c r="DK334">
        <f>IF(ISNUMBER(AL334),AL334,К_прокл)</f>
        <v>1</v>
      </c>
      <c r="DL334">
        <f t="shared" si="658"/>
        <v>2</v>
      </c>
      <c r="DM334">
        <f>IFERROR(N(VLOOKUP(BT334,Кабель_обозначение,3,FALSE)),1)</f>
        <v>1</v>
      </c>
      <c r="DN334">
        <f>IFERROR(N(_xlfn.XLOOKUP(A334,Щиты[Щит],Щиты[ΔU до шин, %])),0)</f>
        <v>3.44</v>
      </c>
      <c r="DO334" t="str">
        <f>IFERROR(_xlfn.XLOOKUP(A334,Щиты[Щит],Щиты[Zпетли на шинах, Ом]),"")</f>
        <v/>
      </c>
      <c r="DP334">
        <f>IFERROR(N(_xlfn.XLOOKUP(A334,Щиты[Щит],Щиты[ΔU до шин (подбор), %])),0)</f>
        <v>5.4799999999999995</v>
      </c>
      <c r="DQ334" t="str">
        <f>IFERROR(_xlfn.XLOOKUP(A334,Щиты[Щит],Щиты[Zпетли на шинах (подбор), Ом]),"")</f>
        <v/>
      </c>
      <c r="DR334" t="str">
        <f t="shared" si="659"/>
        <v/>
      </c>
      <c r="DS334">
        <f t="shared" si="660"/>
        <v>28</v>
      </c>
      <c r="DT334">
        <f t="shared" si="661"/>
        <v>2</v>
      </c>
      <c r="DU334">
        <f t="shared" si="662"/>
        <v>0.6</v>
      </c>
      <c r="DV334" s="6">
        <f>IF(B334="","",IF(IFERROR(VLOOKUP(AX334,УГО_спр,2,FALSE),"")="Светильник",3,4)+IF(Методика="нормы 2026",MIN(0.5,MAX(0,N(Q334)-100)*0.005),0))</f>
        <v>4</v>
      </c>
      <c r="DW334" t="str" cm="1">
        <f t="array" ref="DW334">IF(OR(B334="",BT334="",DM334&lt;&gt;1),"",_xlfn.LET(_xlpm.sz,Iдоп_S,_xlpm.t_,CHOOSE(DL334,Iдоп_1ж,Iдоп_2ж,Iдоп_3ж)*DJ334*DK334,_xlpm.inn,N(DD334),_xlpm.smin,MAX(1.5,BW334),_xlpm.L_,N(Q334)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334)*(_xlpm.rho*_xlpm.L_/_xlpm.sz*N(BY334)+_xlpm.xx*_xlpm.L_*N(DU334)/1000)*N(P334)/((Uн_лин/SQRT(3))*1000)*100,999),_xlpm.kz,IF(OR(DG334=1,NOT(ISNUMBER(DQ334)),_xlpm.L_=0,_xlpm.inn=0),1,IFERROR(--(c_min*(Uн_лин*1000/SQRT(3))/(DQ334+2*ρкз_Cu*_xlpm.L_/_xlpm.sz)&gt;=GY334*_xlpm.inn),0)),_xlpm.ok,IFERROR((_xlpm.sz&gt;=_xlpm.smin)*(_xlpm.t_&gt;=_xlpm.inn)*IF(_xlpm.L_&gt;0,(_xlpm.du_+DP334&lt;=DV334+0.00001),1)*_xlpm.kz,0),_xlpm.r_,_xlfn._xlws.FILTER(_xlpm.sz,_xlpm.ok,"не подобрано"),INDEX(_xlpm.r_,1)))</f>
        <v>не подобрано</v>
      </c>
      <c r="DX334">
        <f t="shared" si="663"/>
        <v>2.5</v>
      </c>
      <c r="DY334" cm="1">
        <f t="array" ref="DY334">IF(OR(B334="",BT334="",DM334&lt;&gt;1),"",_xlfn.LET(_xlpm.sz,Iдоп_S,_xlpm.t_,CHOOSE(DL334,Iдоп_1ж,Iдоп_2ж,Iдоп_3ж)*DJ334*DK334,_xlpm.ok,IFERROR((_xlpm.sz&gt;=MAX(1.5,BW334))*(_xlpm.t_&gt;=N(DD334)),0),_xlpm.r_,_xlfn._xlws.FILTER(_xlpm.sz,_xlpm.ok,""),INDEX(_xlpm.r_,1)))</f>
        <v>1.5</v>
      </c>
      <c r="DZ334" s="6" cm="1">
        <f t="array" ref="DZ334">IFERROR(ROUNDUP(N(DT334)*(_xlfn.XLOOKUP(DY334,INDEX(Кабель_сопротивление,0,1),INDEX(Кабель_сопротивление,0,3))*N(Q334)/DY334*N(BY334)+_xlfn.XLOOKUP(DY334,INDEX(Кабель_сопротивление,0,1),INDEX(Кабель_сопротивление,0,2))*N(Q334)*N(DU334)/1000)*N(P334)/((Uн_лин/SQRT(3))*1000)*100,2),"")</f>
        <v>1.1300000000000001</v>
      </c>
      <c r="EA334">
        <f>IFERROR(2*ρкз_Cu*N(Q334)/DY334,"")</f>
        <v>1.0870666666666666</v>
      </c>
      <c r="EB334">
        <f>IFERROR(VLOOKUP(DX334,Кабель_сопротивление,3,FALSE),"")</f>
        <v>2.2499999999999999E-2</v>
      </c>
      <c r="EC334">
        <f>IFERROR(VLOOKUP(DX334,Кабель_сопротивление,2,FALSE),"")</f>
        <v>0.1</v>
      </c>
      <c r="ED334">
        <f t="shared" si="664"/>
        <v>15</v>
      </c>
      <c r="EE334">
        <f t="shared" si="665"/>
        <v>0</v>
      </c>
      <c r="EF334">
        <f t="shared" si="666"/>
        <v>1.5592614190058061</v>
      </c>
      <c r="EG334" s="6">
        <f>IFERROR(ROUNDUP(EF334/((Uн_лин/SQRT(3))*1000)*100,2),"")</f>
        <v>0.68</v>
      </c>
      <c r="EH334" t="str">
        <f>IFERROR(VLOOKUP(BT334,Кабель_обозначение,2,FALSE),"")</f>
        <v>ВВГнг(А)-LS</v>
      </c>
      <c r="EI334" t="str">
        <f t="shared" si="667"/>
        <v>ВВГнг(А)-LS (3х2,5)</v>
      </c>
      <c r="EJ334" t="str">
        <f t="shared" si="668"/>
        <v>ВВГнг(А)-LS (3х2,5)
L=31-0,68%</v>
      </c>
      <c r="EK334">
        <f>IFERROR(2*ρкз_Cu*Q334/DX334,"")</f>
        <v>0.65224000000000004</v>
      </c>
      <c r="EL334">
        <f t="shared" si="669"/>
        <v>0.21700000000000003</v>
      </c>
      <c r="EM334" s="6" t="str">
        <f>IFERROR(IF(OR(B334="",NOT(ISNUMBER(DX334)),N(Q334)=0),"",_xlfn.XLOOKUP(A334,Щиты[Щит],Щиты[Zпетли на шинах, Ом])+EK334),"")</f>
        <v/>
      </c>
      <c r="EN334" s="6" t="str">
        <f>IF(ISNUMBER(EM334),c_min*(Uн_лин*1000/SQRT(3))/EM334,"")</f>
        <v/>
      </c>
      <c r="EO334" s="6" t="str">
        <f>IFERROR(IF(OR(B334="",NOT(ISNUMBER(DX334))),"",1.05*(Uн_лин*1000/SQRT(3))/(_xlfn.XLOOKUP(A334,Щиты[Щит],Щиты[Zmax на шинах, Ом])+EL334)/1000),"")</f>
        <v/>
      </c>
      <c r="EP334" s="6" t="str">
        <f>IF(B334="","",IF(ISNUMBER(Y334),"Сил",IF(IFERROR(_xlfn.XLOOKUP(AX334,Коды_код,Коды_группа)&amp;"","")="","Быт",_xlfn.XLOOKUP(AX334,Коды_код,Коды_группа)&amp;"")))</f>
        <v>Сил</v>
      </c>
      <c r="EQ334" s="6" t="str">
        <f t="shared" si="670"/>
        <v>Сил</v>
      </c>
      <c r="ER334" s="6">
        <f>IF(EQ334="Щит","щит",IF(EQ334="","",IF(EQ334="Быт",IFERROR(_xlfn.XLOOKUP(A334,Щиты[Щит],Щиты[Кс быт]),1),IF(EQ334="Сил",IF(ISNUMBER(Y334),Y334,IF(Методика="нормы 2026",IFERROR(_xlfn.XLOOKUP(A334,Щиты[Щит],Щиты[Кс силовых (табл. 7.5)]),1),1)),IF(OR(EQ334="Пост",EQ334="Отоп"),1,IF(EQ334="ВНГ",0.7,0))))))</f>
        <v>0.7</v>
      </c>
      <c r="ES334">
        <f t="shared" si="671"/>
        <v>1</v>
      </c>
      <c r="ET334">
        <f t="shared" si="672"/>
        <v>0.64</v>
      </c>
      <c r="EU334">
        <f t="shared" si="673"/>
        <v>0</v>
      </c>
      <c r="EV334">
        <f t="shared" si="674"/>
        <v>0.44799999999999995</v>
      </c>
      <c r="EW334">
        <f t="shared" si="675"/>
        <v>0</v>
      </c>
      <c r="EX334">
        <f t="shared" si="676"/>
        <v>0</v>
      </c>
      <c r="EY334">
        <f t="shared" si="677"/>
        <v>0</v>
      </c>
      <c r="EZ334">
        <f t="shared" si="678"/>
        <v>0.64</v>
      </c>
      <c r="FA334">
        <f t="shared" si="679"/>
        <v>0.51200000000000001</v>
      </c>
      <c r="FB334">
        <f t="shared" si="680"/>
        <v>0.64</v>
      </c>
      <c r="FC334" t="str">
        <f t="shared" si="681"/>
        <v>L3</v>
      </c>
      <c r="FD334" t="str">
        <f>IF(B334="","",IF(CA334=0,IF(AW334=1,"",FF333),IF(OR(N(CV334)&gt;=3,N(BR334)&gt;=3),"L1,L2,L3",IFERROR(_xlfn.TEXTBEFORE(_xlfn.TEXTAFTER(_xlfn.XLOOKUP(A334,Щиты[Щит],Щиты[_фазы авто]),";"&amp;AW334&amp;":"),";"),"L1"))))</f>
        <v>L1</v>
      </c>
      <c r="FE334" t="str">
        <f t="shared" si="682"/>
        <v>L3</v>
      </c>
      <c r="FF334" t="str">
        <f t="shared" si="683"/>
        <v>L3</v>
      </c>
      <c r="FG334" cm="1">
        <f t="array" ref="FG334">IFERROR(IF(BX334=2,_xlfn.IFS(BR334=3,VLOOKUP(BN334,Справочная_двигатели,3,FALSE),BR334=1,VLOOKUP(BN334,Справочная_двигатели,5,TRUE)),0),0)</f>
        <v>0</v>
      </c>
      <c r="FH334">
        <f>IFERROR(IF(BX334=3,VLOOKUP(BN334,Справочная_ЛЭД,2,TRUE),0),0)</f>
        <v>0</v>
      </c>
      <c r="FI334" s="6">
        <f t="shared" si="684"/>
        <v>0</v>
      </c>
      <c r="FJ334" t="str" cm="1">
        <f t="array" ref="FJ334">IF(B334="","",IFERROR(INDEX({"I особая","I","II","III"},MATCH(TRIM(AC334&amp;""),{"I особая","I","II","III"},0)),"III"))</f>
        <v>II</v>
      </c>
      <c r="FK334" t="str">
        <f>IF(B334="","",IF(TRIM(AD334&amp;"")&lt;&gt;"",IF(LOWER(TRIM(AD334&amp;""))="да","да","нет"),IF(IFERROR(_xlfn.XLOOKUP(AX334,Коды_код,Коды_пожарная),"")="да","да","нет")))</f>
        <v>нет</v>
      </c>
      <c r="FL334" t="str">
        <f t="shared" si="685"/>
        <v/>
      </c>
      <c r="FM334" t="str">
        <f t="shared" si="686"/>
        <v>основная</v>
      </c>
      <c r="FN334">
        <f t="shared" si="687"/>
        <v>1</v>
      </c>
      <c r="FO334" t="str" cm="1">
        <f t="array" ref="FO334">IF(B334="","",_xlfn.LET(_xlpm.t,IFERROR(_xlfn.XLOOKUP(1,(Шины[Шина]=FM334)*(((Шины[Щит]=A334)+(Шины[Щит]=""))&gt;0),Шины[Тип]),"")&amp;"",IF(_xlpm.t&lt;&gt;"",_xlpm.t,IF(ISNUMBER(SEARCH("ИБП",FM334)),"ИБП",IF(ISNUMBER(SEARCH("ДГУ",FM334)),"ДГУ","Ввод "&amp;FN334)))))</f>
        <v>Ввод 1</v>
      </c>
      <c r="FP334" t="str">
        <f t="shared" si="688"/>
        <v>Ввод 1</v>
      </c>
      <c r="FQ334" t="str">
        <f>IF(B334="","",IF(OR(FO334="ИБП",FO334="ДГУ"),"I особая",IF(FO334="Одиночная","III",_xlfn.XLOOKUP(A334,Щиты[Щит],Щиты[Категория шины «Ввод»],"III"))))</f>
        <v>II</v>
      </c>
      <c r="FR334">
        <f>IF(B334="",0,IFERROR(MATCH(FJ334,{"III","II","I","I особая"},0),1))</f>
        <v>2</v>
      </c>
      <c r="FS334">
        <f t="shared" si="689"/>
        <v>2</v>
      </c>
      <c r="FT334" t="str">
        <f>IF(B334="","",IF(FR334&gt;IFERROR(MATCH(FQ334,{"III","II","I","I особая"},0),1),"НЕ ОБЕСПЕЧЕНА","ОК"))</f>
        <v>ОК</v>
      </c>
      <c r="FU334" t="str">
        <f>IF(A334="","",_xlfn.XLOOKUP(A334,Щиты[Щит],Щиты[Путь],""))</f>
        <v>|ГРЩ-ЖД|ЩС-ВК.003|</v>
      </c>
      <c r="FV334" t="str">
        <f>IF(B334="","",IF(AE334&lt;&gt;"",AE334,IF(IFERROR(_xlfn.XLOOKUP(AX334,Коды_код,Коды_вид)&amp;"","")="","Прочее",_xlfn.XLOOKUP(AX334,Коды_код,Коды_вид)&amp;"")))</f>
        <v>Розеточная сеть и бытовые приборы</v>
      </c>
      <c r="FW334">
        <f>IF(BH334="","",INT((BH334-1)/Столбцов_на_лист)+1)</f>
        <v>2</v>
      </c>
      <c r="FX334" t="str">
        <f t="shared" si="690"/>
        <v>ВВГнг(А)-LS (3х2,5) L=31-0,68%</v>
      </c>
      <c r="FY334">
        <f t="shared" si="691"/>
        <v>0.64</v>
      </c>
      <c r="FZ334">
        <f t="shared" si="692"/>
        <v>3.4699999999999998</v>
      </c>
      <c r="GA334">
        <f t="shared" si="693"/>
        <v>1</v>
      </c>
      <c r="GB334">
        <f t="shared" si="694"/>
        <v>0</v>
      </c>
      <c r="GC334">
        <f t="shared" si="695"/>
        <v>1</v>
      </c>
      <c r="GD334">
        <f>IF(BH334="","",IF(AND(CA334=1,GC334=1),COUNTIFS(A$3:A334,A334,CA$3:CA334,1,GC$3:GC334,1),IF(OR(OR(AW334=1,A334&lt;&gt;A333),AF334="вручную",GC334=0),"",IF(AW334=1,"",GE333))))</f>
        <v>4</v>
      </c>
      <c r="GE334">
        <f t="shared" si="696"/>
        <v>4</v>
      </c>
      <c r="GF334">
        <f>IF(B334="","",IFERROR(LOOKUP(INDEX(CHOOSE(DL334,Iдоп_1ж,Iдоп_2ж,Iдоп_3ж),MATCH(DX334,Iдоп_S,0))*DJ334*DK334,{6,10,16,20,25,32,40,50,63,80,100,125,160,200,250,315,400,500,630}),""))</f>
        <v>25</v>
      </c>
      <c r="GG334" t="str">
        <f t="shared" si="697"/>
        <v>QFD4</v>
      </c>
      <c r="GH334" t="str">
        <f t="shared" si="698"/>
        <v>QFD4</v>
      </c>
      <c r="GI334" t="str">
        <f t="shared" si="699"/>
        <v/>
      </c>
      <c r="GJ334">
        <f t="shared" si="700"/>
        <v>0</v>
      </c>
      <c r="GK334" t="str">
        <f>IF(OR(AG334="",AG334="-"),"",IFERROR(VLOOKUP(AG334,Модули_спр,2,FALSE),"R"))</f>
        <v/>
      </c>
      <c r="GL334" t="str">
        <f>IF(GK334="","",GK334&amp;"."&amp;COUNTIFS(A$3:A334,A334,GK$3:GK334,GK334))</f>
        <v/>
      </c>
      <c r="GM334" t="str">
        <f t="shared" si="701"/>
        <v/>
      </c>
      <c r="GN334" t="str">
        <f t="shared" si="702"/>
        <v/>
      </c>
      <c r="GO334" t="str">
        <f t="shared" si="703"/>
        <v/>
      </c>
      <c r="GP334" t="str">
        <f t="shared" si="704"/>
        <v/>
      </c>
      <c r="GQ334">
        <f t="shared" si="705"/>
        <v>1</v>
      </c>
      <c r="GR334" t="str">
        <f>IF(GQ334=1,"XT"&amp;COUNTIFS(A$3:A334,A334,GQ$3:GQ334,1),"")</f>
        <v>XT4</v>
      </c>
      <c r="GS334" t="str">
        <f t="shared" si="706"/>
        <v>XT4</v>
      </c>
      <c r="GT334" t="str">
        <f t="shared" si="707"/>
        <v>QFD4</v>
      </c>
      <c r="GU334" t="str">
        <f t="shared" si="708"/>
        <v/>
      </c>
      <c r="GV334" t="str">
        <f t="shared" si="709"/>
        <v>ok</v>
      </c>
      <c r="GW334" t="str">
        <f>IF(OR(GO334="",GM334=""),"",IF(GO334&gt;IFERROR(VLOOKUP(GN334,Модули_спр,3,FALSE),99),"ЛИШНИЙ КАНАЛ",IF(AND(AH334&lt;&gt;"=",COUNTIFS(Линии[_модуль гр.],GM334,Линии[Канал (итог)],GO334,Линии[Канал],"&lt;&gt;=",Линии[Щит],A334)&gt;1),"ДУБЛЬ КАНАЛА","")))</f>
        <v/>
      </c>
      <c r="GX334" s="6" t="str">
        <f t="shared" si="710"/>
        <v/>
      </c>
      <c r="GY334">
        <f t="shared" si="711"/>
        <v>10</v>
      </c>
      <c r="GZ334" t="str">
        <f t="shared" si="712"/>
        <v/>
      </c>
      <c r="HA334" t="str">
        <f>IF(AND(B334="",GT334=""),"",_xlfn.TEXTJOIN("; ",TRUE,IF(AND(B334&lt;&gt;"",FE334=""),"нет фазы",""),IF(AND(B334&lt;&gt;"",N(FY334)=0,EQ334&lt;&gt;"Нет"),"нет мощности",""),IF(AND(GS334&lt;&gt;"",COUNTIFS(Линии[Щит],A334,Линии[Клемма (итог)],GS334)&gt;1),"дубль клеммы "&amp;GS334,""),IF(AND(GV334&lt;&gt;"",GV334&lt;&gt;"ok"),GV334,""),IF(GW334&lt;&gt;"",GW334,""),IF(AND(N(BV334)&gt;=4,N(BR334)=1),BV334&amp;" жил на 1 фазе",""),IF(AND(AX334="R",CA334=1,OR(N(CK334)=0,N(CK334)&gt;30)),"розетка без дифзащиты до 30 мА",""),IFERROR(IF(AND(ISNUMBER(R334),R334&gt;DV334),"потери "&amp;FIXED(R334,1)&amp;" % &gt; "&amp;DV334&amp;" %",""),""),IFERROR(IF(LEFT(GZ334,4)="мало","Iкз мало — отключение &gt; 0,4 с",""),""),IF(AND(B334&lt;&gt;"",BH334=""),"не на схеме",""),IF(AND(CA334=0,B334&lt;&gt;"",FE334&lt;&gt;"",IF(AW334=1,"",FF333)&lt;&gt;"",FE334&lt;&gt;IF(AW334=1,"",FF333)),"фаза не как у автомата группы ("&amp;IF(AW334=1,"",FF333)&amp;")","")))</f>
        <v>потери 4,1 % &gt; 4 %</v>
      </c>
      <c r="HB334" s="6">
        <f>IF(OR(CA334=0,DA334=""),"",_xlfn.LET(_xlpm.t,IFERROR(_xlfn.XLOOKUP(DA334,Каталог!$U$4:$U$500,Каталог!$G$4:$G$500),""),_xlpm.k,SEARCH("кА",_xlpm.t),IFERROR(--TRIM(RIGHT(SUBSTITUTE(MID(_xlpm.t,MAX(1,_xlpm.k-4),_xlpm.k-MAX(1,_xlpm.k-4))," ",REPT(" ",9)),5)),"")))</f>
        <v>6</v>
      </c>
      <c r="HC334" t="str">
        <f>IF(OR(HB334="",CA334=0),"",IF(_xlfn.XLOOKUP(A334,Щиты[Щит],Щиты[Iкз max на шинах, кА],"")="","",IF(HB334&lt;_xlfn.XLOOKUP(A334,Щиты[Щит],Щиты[Iкз max на шинах, кА]),"Icu "&amp;HB334&amp;" кА &lt; Iкз max","ok")))</f>
        <v/>
      </c>
      <c r="HD334" t="str">
        <f t="shared" si="713"/>
        <v/>
      </c>
      <c r="HE334" t="str">
        <f t="shared" si="714"/>
        <v>QFD4|XT4</v>
      </c>
      <c r="HF334" t="str">
        <f t="shared" si="715"/>
        <v>QFD4|XT4|кабель ВВГнг(А)-LS (3х2,5) → Сололифт Подвальный этаж Пом. №002Б</v>
      </c>
      <c r="HG334" t="str" cm="1">
        <f t="array" ref="HG334">IF(HF334="","",_xlfn.LET(_xlpm.nd,_xlfn.TEXTSPLIT(HF334,"|"),IF(COLUMNS(_xlpm.nd)&gt;1,A334&amp;"¦"&amp;INDEX(_xlpm.nd,1)&amp;"¦"&amp;INDEX(_xlpm.nd,2),"")))</f>
        <v>ЩС-ВК.003¦QFD4¦XT4</v>
      </c>
      <c r="HH334" t="str">
        <f t="shared" si="716"/>
        <v>R.00.002Б.3¦Сололифт Подвальный этаж Пом. №002Б</v>
      </c>
      <c r="HI334" t="str" cm="1">
        <f t="array" ref="HI334">IF(HF334="","",_xlfn.LET(_xlpm.nd,_xlfn.TEXTSPLIT(HF334,"|"),IF(COLUMNS(_xlpm.nd)&gt;2,A334&amp;"¦"&amp;INDEX(_xlpm.nd,2)&amp;"¦"&amp;INDEX(_xlpm.nd,3),"")))</f>
        <v>ЩС-ВК.003¦XT4¦кабель ВВГнг(А)-LS (3х2,5) → Сололифт Подвальный этаж Пом. №002Б</v>
      </c>
      <c r="HJ334" t="str">
        <f t="shared" si="717"/>
        <v>R.00.002Б.3¦Сололифт Подвальный этаж Пом. №002Б</v>
      </c>
      <c r="HK334" t="str" cm="1">
        <f t="array" ref="HK334">IF(HF334="","",_xlfn.LET(_xlpm.nd,_xlfn.TEXTSPLIT(HF334,"|"),IF(COLUMNS(_xlpm.nd)&gt;3,A334&amp;"¦"&amp;INDEX(_xlpm.nd,3)&amp;"¦"&amp;INDEX(_xlpm.nd,4),"")))</f>
        <v/>
      </c>
      <c r="HL334" t="str">
        <f t="shared" si="718"/>
        <v/>
      </c>
      <c r="HM334" t="str" cm="1">
        <f t="array" ref="HM334">IF(HF334="","",_xlfn.LET(_xlpm.nd,_xlfn.TEXTSPLIT(HF334,"|"),IF(COLUMNS(_xlpm.nd)&gt;4,A334&amp;"¦"&amp;INDEX(_xlpm.nd,4)&amp;"¦"&amp;INDEX(_xlpm.nd,5),"")))</f>
        <v/>
      </c>
      <c r="HN334" t="str">
        <f t="shared" si="719"/>
        <v/>
      </c>
      <c r="HO334" t="str" cm="1">
        <f t="array" ref="HO334">IF(HF334="","",_xlfn.LET(_xlpm.nd,_xlfn.TEXTSPLIT(HF334,"|"),IF(COLUMNS(_xlpm.nd)&gt;5,A334&amp;"¦"&amp;INDEX(_xlpm.nd,5)&amp;"¦"&amp;INDEX(_xlpm.nd,6),"")))</f>
        <v/>
      </c>
      <c r="HP334" t="str">
        <f t="shared" si="720"/>
        <v/>
      </c>
      <c r="HQ334" t="str" cm="1">
        <f t="array" ref="HQ334">IF(HF334="","",_xlfn.LET(_xlpm.nd,_xlfn.TEXTSPLIT(HF334,"|"),IF(COLUMNS(_xlpm.nd)&gt;6,A334&amp;"¦"&amp;INDEX(_xlpm.nd,6)&amp;"¦"&amp;INDEX(_xlpm.nd,7),"")))</f>
        <v/>
      </c>
      <c r="HR334" t="str">
        <f t="shared" si="721"/>
        <v/>
      </c>
      <c r="HS334" t="str">
        <f t="shared" si="722"/>
        <v/>
      </c>
      <c r="HT334" t="str">
        <f t="shared" si="723"/>
        <v>QFD4 → XT4</v>
      </c>
      <c r="HU334">
        <f t="shared" si="724"/>
        <v>0</v>
      </c>
      <c r="HV334">
        <f t="shared" si="725"/>
        <v>1</v>
      </c>
      <c r="HW334" t="str">
        <f t="shared" si="726"/>
        <v/>
      </c>
      <c r="HX334" t="str">
        <f t="shared" si="727"/>
        <v/>
      </c>
      <c r="HY334" t="str">
        <f t="shared" si="728"/>
        <v/>
      </c>
      <c r="HZ334" t="str">
        <f t="shared" si="729"/>
        <v/>
      </c>
      <c r="IA334" t="str">
        <f>IF(B334="","",IFERROR(VLOOKUP(B334,УГО_спр,2,FALSE),IFERROR(VLOOKUP(AX334,УГО_спр,2,FALSE),IFERROR(VLOOKUP(LEFT(AX334,2),УГО_спр,2,FALSE),""))))</f>
        <v>Розетка</v>
      </c>
      <c r="IB334" t="str">
        <f>IF(B334="","",IF(OR(IA334="",IA334=0),"BOX",IFERROR(IF(VLOOKUP(IA334,УГО_блоки,3,FALSE)&amp;""&lt;&gt;"",VLOOKUP(IA334,УГО_блоки,3,FALSE),VLOOKUP(IA334,УГО_блоки,2,FALSE)),IA334)))</f>
        <v>SOCKET</v>
      </c>
      <c r="IC334">
        <f t="shared" si="730"/>
        <v>1</v>
      </c>
      <c r="ID334" t="str">
        <f>IF(DA334="","",IF(COUNTIF(DA$3:DA334,DA334)=1,MAX(ID$2:ID333)+1,""))</f>
        <v/>
      </c>
      <c r="IE334" t="str">
        <f>IF(CO334="","",IF(COUNTIF(CO$3:CO334,CO334)+COUNTIF(CP$2:CP333,CO334)+COUNTIF(CQ$2:CQ333,CO334)=1,MAX(IE$2:IG333)+1,""))</f>
        <v/>
      </c>
      <c r="IF334" t="str">
        <f>IF(CP334="","",IF(COUNTIF(CO$3:CO334,CP334)+COUNTIF(CP$3:CP334,CP334)+COUNTIF(CQ$2:CQ333,CP334)=1,MAX(IE$2:IG333,IE334)+1,""))</f>
        <v/>
      </c>
      <c r="IG334" t="str">
        <f>IF(CQ334="","",IF(COUNTIF(CO$3:CO334,CQ334)+COUNTIF(CP$3:CP334,CQ334)+COUNTIF(CQ$3:CQ334,CQ334)=1,MAX(IE$2:IG333,IE334,IF334)+1,""))</f>
        <v/>
      </c>
      <c r="IH334" t="str">
        <f t="shared" si="731"/>
        <v>3х2,5</v>
      </c>
      <c r="II334" t="str">
        <f>IF(IH334="","",IF(COUNTIF(IH$3:IH334,IH334)=1,MAX(II$2:II333)+1,""))</f>
        <v/>
      </c>
      <c r="IJ334" t="str">
        <f>IF(GL334="","",COUNTIF(GL$3:GL334,"?*"))</f>
        <v/>
      </c>
      <c r="IK334" t="str">
        <f>IF(OR(GL334="",GN334=""),"",IF(COUNTIFS(GL$3:GL334,"?*",GN$3:GN334,GN334)=1,MAX(IK$2:IK333)+1,""))</f>
        <v/>
      </c>
      <c r="IL334">
        <f t="shared" si="732"/>
        <v>1</v>
      </c>
      <c r="IM334">
        <f>IF(B334="","",COUNTIF(B$3:B334,"?*"))</f>
        <v>332</v>
      </c>
      <c r="IN334">
        <f>IF(GQ334&lt;&gt;1,0,_xlfn.LET(_xlpm.k,MAX(IFERROR(--VLOOKUP(B334,УГО_спр,5,FALSE),0),IFERROR(--VLOOKUP(AX334,УГО_спр,5,FALSE),0),IFERROR(--VLOOKUP(LEFT(AX334,2),УГО_спр,5,FALSE),0)),IF(_xlpm.k&gt;0,_xlpm.k,IF(IFERROR(--LEFT(SUBSTITUTE(IH334,"x","х"),FIND("х",SUBSTITUTE(IH334,"x","х"))-1),3)&gt;3,Каталог!$S$9,1))))</f>
        <v>1</v>
      </c>
      <c r="IO334">
        <f t="shared" si="733"/>
        <v>0</v>
      </c>
      <c r="IP334" t="str">
        <f t="shared" si="734"/>
        <v>авто</v>
      </c>
      <c r="IQ334">
        <f t="shared" si="735"/>
        <v>30</v>
      </c>
      <c r="IR334">
        <f t="shared" si="736"/>
        <v>1</v>
      </c>
      <c r="IS334">
        <f t="shared" si="737"/>
        <v>1</v>
      </c>
    </row>
    <row r="335" spans="1:253" x14ac:dyDescent="0.3">
      <c r="A335" t="s">
        <v>1105</v>
      </c>
      <c r="B335" t="s">
        <v>743</v>
      </c>
      <c r="C335" t="s">
        <v>1020</v>
      </c>
      <c r="D335">
        <v>1</v>
      </c>
      <c r="E335">
        <v>0</v>
      </c>
      <c r="G335">
        <v>16</v>
      </c>
      <c r="H335" t="str">
        <f>Линии[[#This Row],[_авто утечка]]</f>
        <v/>
      </c>
      <c r="I335" t="str">
        <f>Линии[[#This Row],[_авто управление]]</f>
        <v/>
      </c>
      <c r="J335" t="str">
        <f>Линии[[#This Row],[_авто аппараты]]</f>
        <v/>
      </c>
      <c r="K335">
        <v>2.5</v>
      </c>
      <c r="L335">
        <v>16</v>
      </c>
      <c r="M335" t="str">
        <f>Линии[[#This Row],[_авто фаза]]</f>
        <v>L1,L2,L3</v>
      </c>
      <c r="N335" t="str">
        <f>Линии[[#This Row],[_авто клемма]]</f>
        <v/>
      </c>
      <c r="O335" t="str">
        <f t="shared" si="615"/>
        <v/>
      </c>
      <c r="P335" s="6" cm="1">
        <f t="array" ref="P335">IF(B335="","",IF(BC335&lt;&gt;"",IFERROR(_xlfn.XLOOKUP(BC335,Щиты[Щит],Щиты[Iр, А]),""),IF(BK335=1,IFERROR(_xlfn.XLOOKUP(A335,Щиты[Щит],Щиты[Iр, А]),""),IFERROR(_xlfn.IFS(BR335=1,BN335/((Uн_лин/SQRT(3))*BY335),BR335=3,BN335/(SQRT(3)*Uн_лин*BY335)),""))))</f>
        <v>3.646422752776584</v>
      </c>
      <c r="Q335" s="7">
        <f>IF(B335="","",IFERROR(IF(VLOOKUP(AX335,Потребители_обозначение,4,FALSE)=1,VLOOKUP(AX335,Потребители_обозначение,3,FALSE)*(D335*2-1)+DS335+VLOOKUP(AZ335,Этаж_обозначение,3,FALSE)+VLOOKUP(AZ335,Этаж_обозначение,4,FALSE),VLOOKUP(AX335,Потребители_обозначение,3,FALSE)*(D335*2-1)+DS335),DS335))</f>
        <v>16</v>
      </c>
      <c r="R335" s="6">
        <f t="shared" si="616"/>
        <v>0.63</v>
      </c>
      <c r="S335" t="str">
        <f t="shared" si="617"/>
        <v>ВВГнг(А)-FRLS (5х2,5)</v>
      </c>
      <c r="T335" t="str">
        <f>IF(BH335="","",IF(BI335="вводной узел","узел ","")&amp;"л."&amp;(INT((BH335-1)/Столбцов_на_лист)+1)&amp;" / "&amp;(MOD(BH335-1,Столбцов_на_лист)+1))</f>
        <v>узел л.1 / 2</v>
      </c>
      <c r="V335">
        <v>3</v>
      </c>
      <c r="W335">
        <v>400</v>
      </c>
      <c r="X335" t="s">
        <v>549</v>
      </c>
      <c r="AF335" t="s">
        <v>1303</v>
      </c>
      <c r="AI335">
        <v>2</v>
      </c>
      <c r="AJ335" t="s">
        <v>13</v>
      </c>
      <c r="AK335">
        <v>5</v>
      </c>
      <c r="AM335">
        <v>5</v>
      </c>
      <c r="AN335">
        <v>11</v>
      </c>
      <c r="AW335" cm="1">
        <f t="array" ref="AW335">ROW()-ROW(Линии[#Headers])</f>
        <v>333</v>
      </c>
      <c r="AX335" s="6" t="str">
        <f t="shared" si="618"/>
        <v>Ввод</v>
      </c>
      <c r="AY335" t="str">
        <f t="shared" si="619"/>
        <v>1</v>
      </c>
      <c r="AZ335" t="str">
        <f t="shared" si="620"/>
        <v>1</v>
      </c>
      <c r="BA335" t="str">
        <f t="shared" si="621"/>
        <v/>
      </c>
      <c r="BB335" t="str">
        <f t="shared" si="622"/>
        <v/>
      </c>
      <c r="BC335" t="str">
        <f>IF(U335&lt;&gt;"",U335,IF(AND(B335&lt;&gt;"",B335&lt;&gt;A335,ISNUMBER(_xlfn.XMATCH(B335,Щиты[Щит]))),B335,""))</f>
        <v/>
      </c>
      <c r="BD335" t="str" cm="1">
        <f t="array" ref="BD335">IF(B335="","",IF(BC335&lt;&gt;"","Щит "&amp;BC335,_xlfn.LET(_xlpm.nm,IFERROR(_xlfn.XLOOKUP(AX335,Коды_код,Коды_имя)&amp;"",""),_xlpm.md,IFERROR(N(_xlfn.XLOOKUP(AX335,Коды_код,Коды_режим)),1),_xlpm.ex,IF(Имя_режим="по экспликации",IFERROR(_xlfn.XLOOKUP(AZ335&amp;"|"&amp;BB335,Экспликация[Этаж]&amp;"|"&amp;Экспликация[Помещение],Экспликация[Название])&amp;"",""),""),_xlpm.rm,IF(BB335="","",IF(_xlpm.ex&lt;&gt;"",". "&amp;_xlpm.ex&amp;IF(Имя_пом="нет"," ("&amp;BB335&amp;")"," (пом. "&amp;BB335&amp;")"),IF(Имя_пом="нет"," ",", пом. ")&amp;BB335)),IF(_xlpm.nm="","",IF(_xlpm.md=2,_xlpm.nm&amp;" шлейф "&amp;AZ335,_xlpm.nm&amp;_xlpm.rm)))))</f>
        <v>Вводной кабель шлейф 1</v>
      </c>
      <c r="BE335" t="str">
        <f t="shared" si="623"/>
        <v>Вводной кабель №1</v>
      </c>
      <c r="BF335">
        <f>IFERROR(_xlfn.XMATCH(A335,Щиты[Щит]),0)</f>
        <v>16</v>
      </c>
      <c r="BG335">
        <f>_xlfn.LET(_xlpm.k,IFERROR(_xlfn.XLOOKUP(A335,Щиты[Щит],Щиты[Листов под вводной узел]),""),IF(_xlpm.k="",1,N(_xlpm.k))*Столбцов_на_лист)</f>
        <v>17</v>
      </c>
      <c r="BH335">
        <f t="shared" si="624"/>
        <v>2</v>
      </c>
      <c r="BI335" t="str">
        <f t="shared" si="625"/>
        <v>вводной узел</v>
      </c>
      <c r="BJ335" s="6">
        <f>IFERROR(N(_xlfn.XLOOKUP(AX335,Коды_код,Коды_квт)),0)</f>
        <v>0</v>
      </c>
      <c r="BK335">
        <f t="shared" si="626"/>
        <v>1</v>
      </c>
      <c r="BL335">
        <f>IF(B335="","",IF(BC335&lt;&gt;"",IFERROR(_xlfn.XLOOKUP(BC335,Щиты[Щит],Щиты[Руст, кВт]),0),IF(BK335=1,IFERROR(_xlfn.XLOOKUP(A335,Щиты[Щит],Щиты[Руст, кВт]),0),IF(BJ335&gt;0,ROUND(BJ335*MAX(1,N(D335)),3),""))))</f>
        <v>1.6</v>
      </c>
      <c r="BM335">
        <f t="shared" si="627"/>
        <v>0</v>
      </c>
      <c r="BN335" s="6">
        <f>IF(B335="","",IF(BC335&lt;&gt;"",IFERROR(_xlfn.XLOOKUP(BC335,Щиты[Щит],Щиты[Руст, кВт]),0),N(BM335)))</f>
        <v>0</v>
      </c>
      <c r="BO335" t="str">
        <f>IF(B335="","",IFERROR(IF(VLOOKUP(AX335,Потребители_обозначение,8,FALSE)=0,"",VLOOKUP(AX335,Потребители_обозначение,8,FALSE)),""))</f>
        <v/>
      </c>
      <c r="BP335">
        <f t="shared" si="628"/>
        <v>400</v>
      </c>
      <c r="BQ335">
        <f>IF(B335="","",IF(BC335&lt;&gt;"",3,IFERROR(IF(N(VLOOKUP(AX335,Потребители_обозначение,9,FALSE))=0,1,VLOOKUP(AX335,Потребители_обозначение,9,FALSE)),1)))</f>
        <v>1</v>
      </c>
      <c r="BR335">
        <f t="shared" si="629"/>
        <v>3</v>
      </c>
      <c r="BS335" t="str">
        <f>IF(B335="","",_xlfn.LET(_xlpm.bc,IFERROR(IF(VLOOKUP(AX335,Потребители_обозначение,6,FALSE)=0,"",VLOOKUP(AX335,Потребители_обозначение,6,FALSE)&amp;""),""),IF(AND(FK335="да",OR(_xlpm.bc="",_xlpm.bc="мс")),Марка_пож,IF(AND(_xlpm.bc="",BC335&lt;&gt;""),"мс",_xlpm.bc))))</f>
        <v/>
      </c>
      <c r="BT335" t="str">
        <f t="shared" si="630"/>
        <v>мфр</v>
      </c>
      <c r="BU335">
        <f>IF(B335="","",_xlfn.LET(_xlpm.cc,IFERROR(N(VLOOKUP(AX335,Потребители_обозначение,7,FALSE)),0),IF(_xlpm.cc&gt;0,_xlpm.cc,IF(BT335="","",IF(N(BR335)=3,5,3)))))</f>
        <v>5</v>
      </c>
      <c r="BV335">
        <f t="shared" si="631"/>
        <v>5</v>
      </c>
      <c r="BW335">
        <f>IFERROR(N(VLOOKUP(AX335,Потребители_обозначение,10,FALSE)),0)</f>
        <v>0</v>
      </c>
      <c r="BX335">
        <f>IFERROR(VLOOKUP(AX335,Потребители_обозначение,5,FALSE),0)</f>
        <v>1</v>
      </c>
      <c r="BY335" s="6" cm="1">
        <f t="array" ref="BY335">IF(B335="","",IF(BC335&lt;&gt;"",IFERROR(_xlfn.XLOOKUP(BC335,Щиты[Щит],Щиты[cos φ]),0.95),IF(BK335=1,IFERROR(_xlfn.XLOOKUP(A335,Щиты[Щит],Щиты[cos φ]),0.95),IF(ISNUMBER(Z335),Z335,IFERROR(IF(BX335=2,_xlfn.IFS(BR335=3,VLOOKUP(BN335,Справочная_двигатели,8,FALSE),BR335=1,VLOOKUP(BN335,Справочная_двигатели,10,TRUE)),IF(AND(Методика="нормы 2026",EQ335="Сил"),0.8,0.95)),0.95)))))</f>
        <v>0.95</v>
      </c>
      <c r="BZ335">
        <f t="shared" si="632"/>
        <v>0</v>
      </c>
      <c r="CA335">
        <f t="shared" si="633"/>
        <v>1</v>
      </c>
      <c r="CB335">
        <f t="shared" si="634"/>
        <v>0</v>
      </c>
      <c r="CC335">
        <f t="shared" si="635"/>
        <v>0</v>
      </c>
      <c r="CD335">
        <f t="shared" si="636"/>
        <v>0</v>
      </c>
      <c r="CE335">
        <f t="shared" si="637"/>
        <v>0</v>
      </c>
      <c r="CF335">
        <f t="shared" si="638"/>
        <v>0</v>
      </c>
      <c r="CG335">
        <f>IF(AX335="",0,_xlfn.LET(_xlpm.v,IFERROR(VLOOKUP(B335,УГО_спр,3,FALSE),IFERROR(VLOOKUP(AX335,УГО_спр,3,FALSE),IFERROR(VLOOKUP(LEFT(AX335,2),УГО_спр,3,FALSE),""))),IF(_xlpm.v="да",30,IF(ISNUMBER(_xlpm.v),_xlpm.v,0))))</f>
        <v>0</v>
      </c>
      <c r="CH335" t="str">
        <f t="shared" si="639"/>
        <v/>
      </c>
      <c r="CI335" t="str">
        <f>_xlfn.LET(_xlpm.k,IFERROR(_xlfn.XLOOKUP(AX335,Коды_код,Коды_утечка)&amp;"",""),IF(_xlpm.k="","дифавтомат",_xlpm.k))</f>
        <v>дифавтомат</v>
      </c>
      <c r="CJ335">
        <f t="shared" si="640"/>
        <v>0</v>
      </c>
      <c r="CK335">
        <f t="shared" si="641"/>
        <v>0</v>
      </c>
      <c r="CL335">
        <f>IF(B335="",0,IFERROR(--VLOOKUP(B335,УГО_спр,4,FALSE),IFERROR(--VLOOKUP(AX335,УГО_спр,4,FALSE),IFERROR(--VLOOKUP(LEFT(AX335,2),УГО_спр,4,FALSE),0))))</f>
        <v>0</v>
      </c>
      <c r="CM335" t="str">
        <f>IF(B335="","",IFERROR(_xlfn.XLOOKUP(AX335,Коды_код,Коды_апп)&amp;"",""))</f>
        <v/>
      </c>
      <c r="CN335" t="str">
        <f t="shared" si="642"/>
        <v/>
      </c>
      <c r="CO335" t="str" cm="1">
        <f t="array" ref="CO335">IF(TRIM(CN335&amp;"")="","",IFERROR(TRIM(INDEX(_xlfn.TEXTSPLIT(CN335&amp;";;;",";"),1)),""))</f>
        <v/>
      </c>
      <c r="CP335" t="str" cm="1">
        <f t="array" ref="CP335">IF(TRIM(CN335&amp;"")="","",IFERROR(TRIM(INDEX(_xlfn.TEXTSPLIT(CN335&amp;";;;",";"),2)),""))</f>
        <v/>
      </c>
      <c r="CQ335" t="str" cm="1">
        <f t="array" ref="CQ335">IF(TRIM(CN335&amp;"")="","",IFERROR(TRIM(INDEX(_xlfn.TEXTSPLIT(CN335&amp;";;;",";"),3)),""))</f>
        <v/>
      </c>
      <c r="CR335">
        <f t="shared" si="643"/>
        <v>0</v>
      </c>
      <c r="CS335" t="str">
        <f>IF(B335="","",_xlfn.LET(_xlpm.t,LOWER(AV335&amp;""),IF(ISNUMBER(SEARCH("dim",_xlpm.t)),"DIM",IF(ISNUMBER(SEARCH("dali",_xlpm.t)),"DALI",IF(OR(ISNUMBER(SEARCH("relay",_xlpm.t)),ISNUMBER(SEARCH("реле",_xlpm.t))),"Relay",IF(ISNUMBER(SEARCH("кнопк",_xlpm.t)),"",IFERROR(_xlfn.XLOOKUP(AX335,Коды_код,Коды_упр)&amp;"","")))))))</f>
        <v/>
      </c>
      <c r="CT335" t="str">
        <f t="shared" si="644"/>
        <v/>
      </c>
      <c r="CU335">
        <f>IF(B335="","",_xlfn.LET(_xlpm.ig,N(P335)+IF(AF335="вручную",0,N(CB335)),_xlpm.n0,IFERROR(VLOOKUP(_xlpm.ig,Автомат_номиналы,2,TRUE),0),_xlpm.mn,MAX(CL335,IF(AF335="вручную",0,N(CE335))),MAX(_xlpm.n0,_xlpm.mn,IF(CR335=1,Мин_автомат_БП,0))))</f>
        <v>6</v>
      </c>
      <c r="CV335">
        <f t="shared" si="645"/>
        <v>3</v>
      </c>
      <c r="CW335" t="str">
        <f t="shared" si="646"/>
        <v>3P</v>
      </c>
      <c r="CX335" t="str">
        <f>_xlfn.LET(_xlpm.cc,UPPER(TRIM(IFERROR(_xlfn.XLOOKUP(AX335,Коды_код,Коды_хар)&amp;"",""))),IF(OR(_xlpm.cc="B",_xlpm.cc="В"),"B",IF(_xlpm.cc="D","D","С")))</f>
        <v>С</v>
      </c>
      <c r="CY335" t="str">
        <f t="shared" si="647"/>
        <v>3P С6А</v>
      </c>
      <c r="CZ335">
        <f t="shared" si="648"/>
        <v>16</v>
      </c>
      <c r="DA335" t="str">
        <f t="shared" si="649"/>
        <v>3P С16А</v>
      </c>
      <c r="DB335" cm="1">
        <f t="array" ref="DB335">IF(DA335="","",_xlfn.LET(_xlpm.t,SUBSTITUTE(SUBSTITUTE(SUBSTITUTE(UPPER(DA335),"С","C"),"А","A"),"В","B"),_xlpm.tk,_xlfn.TEXTSPLIT(_xlpm.t,"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5" t="str">
        <f t="shared" si="650"/>
        <v>узел</v>
      </c>
      <c r="DD335">
        <f t="shared" si="651"/>
        <v>16</v>
      </c>
      <c r="DE335" t="str">
        <f t="shared" si="652"/>
        <v>3P С16А</v>
      </c>
      <c r="DF335">
        <f t="shared" si="653"/>
        <v>0</v>
      </c>
      <c r="DG335">
        <f t="shared" si="654"/>
        <v>0</v>
      </c>
      <c r="DH335">
        <f t="shared" si="655"/>
        <v>0</v>
      </c>
      <c r="DI335">
        <f t="shared" si="656"/>
        <v>3.646422752776584</v>
      </c>
      <c r="DJ335">
        <f t="shared" si="657"/>
        <v>0.92</v>
      </c>
      <c r="DK335">
        <f>IF(ISNUMBER(AL335),AL335,К_прокл)</f>
        <v>1</v>
      </c>
      <c r="DL335">
        <f t="shared" si="658"/>
        <v>3</v>
      </c>
      <c r="DM335">
        <f>IFERROR(N(VLOOKUP(BT335,Кабель_обозначение,3,FALSE)),1)</f>
        <v>1</v>
      </c>
      <c r="DN335">
        <f>IFERROR(N(_xlfn.XLOOKUP(A335,Щиты[Щит],Щиты[ΔU до шин, %])),0)</f>
        <v>0.41000000000000003</v>
      </c>
      <c r="DO335" t="str">
        <f>IFERROR(_xlfn.XLOOKUP(A335,Щиты[Щит],Щиты[Zпетли на шинах, Ом]),"")</f>
        <v/>
      </c>
      <c r="DP335">
        <f>IFERROR(N(_xlfn.XLOOKUP(A335,Щиты[Щит],Щиты[ΔU до шин (подбор), %])),0)</f>
        <v>0.68</v>
      </c>
      <c r="DQ335" t="str">
        <f>IFERROR(_xlfn.XLOOKUP(A335,Щиты[Щит],Щиты[Zпетли на шинах (подбор), Ом]),"")</f>
        <v/>
      </c>
      <c r="DR335" t="str">
        <f t="shared" si="659"/>
        <v/>
      </c>
      <c r="DS335">
        <f t="shared" si="660"/>
        <v>16</v>
      </c>
      <c r="DT335">
        <f t="shared" si="661"/>
        <v>1</v>
      </c>
      <c r="DU335">
        <f t="shared" si="662"/>
        <v>0.31</v>
      </c>
      <c r="DV335" s="6">
        <f>IF(B335="","",IF(IFERROR(VLOOKUP(AX335,УГО_спр,2,FALSE),"")="Светильник",3,4)+IF(Методика="нормы 2026",MIN(0.5,MAX(0,N(Q335)-100)*0.005),0))</f>
        <v>4</v>
      </c>
      <c r="DW335" cm="1">
        <f t="array" ref="DW335">IF(OR(B335="",BT335="",DM335&lt;&gt;1),"",_xlfn.LET(_xlpm.sz,Iдоп_S,_xlpm.t_,CHOOSE(DL335,Iдоп_1ж,Iдоп_2ж,Iдоп_3ж)*DJ335*DK335,_xlpm.inn,N(DD335),_xlpm.smin,MAX(1.5,BW335),_xlpm.L_,N(Q335)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335)*(_xlpm.rho*_xlpm.L_/_xlpm.sz*N(BY335)+_xlpm.xx*_xlpm.L_*N(DU335)/1000)*N(P335)/((Uн_лин/SQRT(3))*1000)*100,999),_xlpm.kz,IF(OR(DG335=1,NOT(ISNUMBER(DQ335)),_xlpm.L_=0,_xlpm.inn=0),1,IFERROR(--(c_min*(Uн_лин*1000/SQRT(3))/(DQ335+2*ρкз_Cu*_xlpm.L_/_xlpm.sz)&gt;=GY335*_xlpm.inn),0)),_xlpm.ok,IFERROR((_xlpm.sz&gt;=_xlpm.smin)*(_xlpm.t_&gt;=_xlpm.inn)*IF(_xlpm.L_&gt;0,(_xlpm.du_+DP335&lt;=DV335+0.00001),1)*_xlpm.kz,0),_xlpm.r_,_xlfn._xlws.FILTER(_xlpm.sz,_xlpm.ok,"не подобрано"),INDEX(_xlpm.r_,1)))</f>
        <v>1.5</v>
      </c>
      <c r="DX335">
        <f t="shared" si="663"/>
        <v>2.5</v>
      </c>
      <c r="DY335" cm="1">
        <f t="array" ref="DY335">IF(OR(B335="",BT335="",DM335&lt;&gt;1),"",_xlfn.LET(_xlpm.sz,Iдоп_S,_xlpm.t_,CHOOSE(DL335,Iдоп_1ж,Iдоп_2ж,Iдоп_3ж)*DJ335*DK335,_xlpm.ok,IFERROR((_xlpm.sz&gt;=MAX(1.5,BW335))*(_xlpm.t_&gt;=N(DD335)),0),_xlpm.r_,_xlfn._xlws.FILTER(_xlpm.sz,_xlpm.ok,""),INDEX(_xlpm.r_,1)))</f>
        <v>1.5</v>
      </c>
      <c r="DZ335" s="6" cm="1">
        <f t="array" ref="DZ335">IFERROR(ROUNDUP(N(DT335)*(_xlfn.XLOOKUP(DY335,INDEX(Кабель_сопротивление,0,1),INDEX(Кабель_сопротивление,0,3))*N(Q335)/DY335*N(BY335)+_xlfn.XLOOKUP(DY335,INDEX(Кабель_сопротивление,0,1),INDEX(Кабель_сопротивление,0,2))*N(Q335)*N(DU335)/1000)*N(P335)/((Uн_лин/SQRT(3))*1000)*100,2),"")</f>
        <v>0.37</v>
      </c>
      <c r="EA335">
        <f>IFERROR(2*ρкз_Cu*N(Q335)/DY335,"")</f>
        <v>0.56106666666666671</v>
      </c>
      <c r="EB335">
        <f>IFERROR(VLOOKUP(DX335,Кабель_сопротивление,3,FALSE),"")</f>
        <v>2.2499999999999999E-2</v>
      </c>
      <c r="EC335">
        <f>IFERROR(VLOOKUP(DX335,Кабель_сопротивление,2,FALSE),"")</f>
        <v>0.1</v>
      </c>
      <c r="ED335">
        <f t="shared" si="664"/>
        <v>11</v>
      </c>
      <c r="EE335" t="str">
        <f t="shared" si="665"/>
        <v/>
      </c>
      <c r="EF335">
        <f t="shared" si="666"/>
        <v>0.50063925826521383</v>
      </c>
      <c r="EG335" s="6">
        <f>IFERROR(ROUNDUP(EF335/((Uн_лин/SQRT(3))*1000)*100,2),"")</f>
        <v>0.22</v>
      </c>
      <c r="EH335" t="str">
        <f>IFERROR(VLOOKUP(BT335,Кабель_обозначение,2,FALSE),"")</f>
        <v>ВВГнг(А)-FRLS</v>
      </c>
      <c r="EI335" t="str">
        <f t="shared" si="667"/>
        <v>ВВГнг(А)-FRLS (5х2,5)</v>
      </c>
      <c r="EJ335" t="str">
        <f t="shared" si="668"/>
        <v>ВВГнг(А)-FRLS (5х2,5)
L=16-0,22%</v>
      </c>
      <c r="EK335">
        <f>IFERROR(2*ρкз_Cu*Q335/DX335,"")</f>
        <v>0.33663999999999999</v>
      </c>
      <c r="EL335">
        <f t="shared" si="669"/>
        <v>0.11200000000000002</v>
      </c>
      <c r="EM335" s="6" t="str">
        <f>IFERROR(IF(OR(B335="",NOT(ISNUMBER(DX335)),N(Q335)=0),"",_xlfn.XLOOKUP(A335,Щиты[Щит],Щиты[Zпетли на шинах, Ом])+EK335),"")</f>
        <v/>
      </c>
      <c r="EN335" s="6" t="str">
        <f>IF(ISNUMBER(EM335),c_min*(Uн_лин*1000/SQRT(3))/EM335,"")</f>
        <v/>
      </c>
      <c r="EO335" s="6" t="str">
        <f>IFERROR(IF(OR(B335="",NOT(ISNUMBER(DX335))),"",1.05*(Uн_лин*1000/SQRT(3))/(_xlfn.XLOOKUP(A335,Щиты[Щит],Щиты[Zmax на шинах, Ом])+EL335)/1000),"")</f>
        <v/>
      </c>
      <c r="EP335" s="6" t="str">
        <f>IF(B335="","",IF(ISNUMBER(Y335),"Сил",IF(IFERROR(_xlfn.XLOOKUP(AX335,Коды_код,Коды_группа)&amp;"","")="","Быт",_xlfn.XLOOKUP(AX335,Коды_код,Коды_группа)&amp;"")))</f>
        <v>Быт</v>
      </c>
      <c r="EQ335" s="6" t="str">
        <f t="shared" si="670"/>
        <v>Нет</v>
      </c>
      <c r="ER335" s="6">
        <f>IF(EQ335="Щит","щит",IF(EQ335="","",IF(EQ335="Быт",IFERROR(_xlfn.XLOOKUP(A335,Щиты[Щит],Щиты[Кс быт]),1),IF(EQ335="Сил",IF(ISNUMBER(Y335),Y335,IF(Методика="нормы 2026",IFERROR(_xlfn.XLOOKUP(A335,Щиты[Щит],Щиты[Кс силовых (табл. 7.5)]),1),1)),IF(OR(EQ335="Пост",EQ335="Отоп"),1,IF(EQ335="ВНГ",0.7,0))))))</f>
        <v>0</v>
      </c>
      <c r="ES335">
        <f t="shared" si="671"/>
        <v>1</v>
      </c>
      <c r="ET335">
        <f t="shared" si="672"/>
        <v>0</v>
      </c>
      <c r="EU335">
        <f t="shared" si="673"/>
        <v>0</v>
      </c>
      <c r="EV335">
        <f t="shared" si="674"/>
        <v>0</v>
      </c>
      <c r="EW335">
        <f t="shared" si="675"/>
        <v>0</v>
      </c>
      <c r="EX335">
        <f t="shared" si="676"/>
        <v>0</v>
      </c>
      <c r="EY335">
        <f t="shared" si="677"/>
        <v>0</v>
      </c>
      <c r="EZ335">
        <f t="shared" si="678"/>
        <v>0</v>
      </c>
      <c r="FA335">
        <f t="shared" si="679"/>
        <v>0</v>
      </c>
      <c r="FB335">
        <f t="shared" si="680"/>
        <v>0</v>
      </c>
      <c r="FC335" t="str">
        <f t="shared" si="681"/>
        <v/>
      </c>
      <c r="FD335" t="str">
        <f>IF(B335="","",IF(CA335=0,IF(AW335=1,"",FF334),IF(OR(N(CV335)&gt;=3,N(BR335)&gt;=3),"L1,L2,L3",IFERROR(_xlfn.TEXTBEFORE(_xlfn.TEXTAFTER(_xlfn.XLOOKUP(A335,Щиты[Щит],Щиты[_фазы авто]),";"&amp;AW335&amp;":"),";"),"L1"))))</f>
        <v>L1,L2,L3</v>
      </c>
      <c r="FE335" t="str">
        <f t="shared" si="682"/>
        <v>L1,L2,L3</v>
      </c>
      <c r="FF335" t="str">
        <f t="shared" si="683"/>
        <v>L1,L2,L3</v>
      </c>
      <c r="FG335" cm="1">
        <f t="array" ref="FG335">IFERROR(IF(BX335=2,_xlfn.IFS(BR335=3,VLOOKUP(BN335,Справочная_двигатели,3,FALSE),BR335=1,VLOOKUP(BN335,Справочная_двигатели,5,TRUE)),0),0)</f>
        <v>0</v>
      </c>
      <c r="FH335">
        <f>IFERROR(IF(BX335=3,VLOOKUP(BN335,Справочная_ЛЭД,2,TRUE),0),0)</f>
        <v>0</v>
      </c>
      <c r="FI335" s="6">
        <f t="shared" si="684"/>
        <v>0</v>
      </c>
      <c r="FJ335" t="str" cm="1">
        <f t="array" ref="FJ335">IF(B335="","",IFERROR(INDEX({"I особая","I","II","III"},MATCH(TRIM(AC335&amp;""),{"I особая","I","II","III"},0)),"III"))</f>
        <v>III</v>
      </c>
      <c r="FK335" t="str">
        <f>IF(B335="","",IF(TRIM(AD335&amp;"")&lt;&gt;"",IF(LOWER(TRIM(AD335&amp;""))="да","да","нет"),IF(IFERROR(_xlfn.XLOOKUP(AX335,Коды_код,Коды_пожарная),"")="да","да","нет")))</f>
        <v>нет</v>
      </c>
      <c r="FL335" t="str">
        <f t="shared" si="685"/>
        <v/>
      </c>
      <c r="FM335" t="str">
        <f t="shared" si="686"/>
        <v>основная</v>
      </c>
      <c r="FN335">
        <f t="shared" si="687"/>
        <v>1</v>
      </c>
      <c r="FO335" t="str" cm="1">
        <f t="array" ref="FO335">IF(B335="","",_xlfn.LET(_xlpm.t,IFERROR(_xlfn.XLOOKUP(1,(Шины[Шина]=FM335)*(((Шины[Щит]=A335)+(Шины[Щит]=""))&gt;0),Шины[Тип]),"")&amp;"",IF(_xlpm.t&lt;&gt;"",_xlpm.t,IF(ISNUMBER(SEARCH("ИБП",FM335)),"ИБП",IF(ISNUMBER(SEARCH("ДГУ",FM335)),"ДГУ","Ввод "&amp;FN335)))))</f>
        <v>Ввод 1</v>
      </c>
      <c r="FP335" t="str">
        <f t="shared" si="688"/>
        <v>Ввод 1</v>
      </c>
      <c r="FQ335" t="str">
        <f>IF(B335="","",IF(OR(FO335="ИБП",FO335="ДГУ"),"I особая",IF(FO335="Одиночная","III",_xlfn.XLOOKUP(A335,Щиты[Щит],Щиты[Категория шины «Ввод»],"III"))))</f>
        <v>I</v>
      </c>
      <c r="FR335">
        <f>IF(B335="",0,IFERROR(MATCH(FJ335,{"III","II","I","I особая"},0),1))</f>
        <v>1</v>
      </c>
      <c r="FS335">
        <f t="shared" si="689"/>
        <v>1</v>
      </c>
      <c r="FT335" t="str">
        <f>IF(B335="","",IF(FR335&gt;IFERROR(MATCH(FQ335,{"III","II","I","I особая"},0),1),"НЕ ОБЕСПЕЧЕНА","ОК"))</f>
        <v>ОК</v>
      </c>
      <c r="FU335" t="str">
        <f>IF(A335="","",_xlfn.XLOOKUP(A335,Щиты[Щит],Щиты[Путь],""))</f>
        <v>|ГРЩ-ЖД|ЩСПЗ-ЖД|</v>
      </c>
      <c r="FV335" t="str">
        <f>IF(B335="","",IF(AE335&lt;&gt;"",AE335,IF(IFERROR(_xlfn.XLOOKUP(AX335,Коды_код,Коды_вид)&amp;"","")="","Прочее",_xlfn.XLOOKUP(AX335,Коды_код,Коды_вид)&amp;"")))</f>
        <v>Прочее</v>
      </c>
      <c r="FW335">
        <f>IF(BH335="","",INT((BH335-1)/Столбцов_на_лист)+1)</f>
        <v>1</v>
      </c>
      <c r="FX335" t="str">
        <f t="shared" si="690"/>
        <v>ВВГнг(А)-FRLS (5х2,5) L=16-0,22%</v>
      </c>
      <c r="FY335">
        <f t="shared" si="691"/>
        <v>0</v>
      </c>
      <c r="FZ335">
        <f t="shared" si="692"/>
        <v>3.65</v>
      </c>
      <c r="GA335">
        <f t="shared" si="693"/>
        <v>3</v>
      </c>
      <c r="GB335">
        <f t="shared" si="694"/>
        <v>0</v>
      </c>
      <c r="GC335">
        <f t="shared" si="695"/>
        <v>0</v>
      </c>
      <c r="GD335" t="str">
        <f>IF(BH335="","",IF(AND(CA335=1,GC335=1),COUNTIFS(A$3:A335,A335,CA$3:CA335,1,GC$3:GC335,1),IF(OR(OR(AW335=1,A335&lt;&gt;A334),AF335="вручную",GC335=0),"",IF(AW335=1,"",GE334))))</f>
        <v/>
      </c>
      <c r="GE335" t="str">
        <f t="shared" si="696"/>
        <v/>
      </c>
      <c r="GF335">
        <f>IF(B335="","",IFERROR(LOOKUP(INDEX(CHOOSE(DL335,Iдоп_1ж,Iдоп_2ж,Iдоп_3ж),MATCH(DX335,Iдоп_S,0))*DJ335*DK335,{6,10,16,20,25,32,40,50,63,80,100,125,160,200,250,315,400,500,630}),""))</f>
        <v>20</v>
      </c>
      <c r="GG335" t="str">
        <f t="shared" si="697"/>
        <v/>
      </c>
      <c r="GH335" t="str">
        <f t="shared" si="698"/>
        <v/>
      </c>
      <c r="GI335" t="str">
        <f t="shared" si="699"/>
        <v/>
      </c>
      <c r="GJ335">
        <f t="shared" si="700"/>
        <v>0</v>
      </c>
      <c r="GK335" t="str">
        <f>IF(OR(AG335="",AG335="-"),"",IFERROR(VLOOKUP(AG335,Модули_спр,2,FALSE),"R"))</f>
        <v/>
      </c>
      <c r="GL335" t="str">
        <f>IF(GK335="","",GK335&amp;"."&amp;COUNTIFS(A$3:A335,A335,GK$3:GK335,GK335))</f>
        <v/>
      </c>
      <c r="GM335" t="str">
        <f t="shared" si="701"/>
        <v/>
      </c>
      <c r="GN335" t="str">
        <f t="shared" si="702"/>
        <v/>
      </c>
      <c r="GO335" t="str">
        <f t="shared" si="703"/>
        <v/>
      </c>
      <c r="GP335" t="str">
        <f t="shared" si="704"/>
        <v/>
      </c>
      <c r="GQ335">
        <f t="shared" si="705"/>
        <v>0</v>
      </c>
      <c r="GR335" t="str">
        <f>IF(GQ335=1,"XT"&amp;COUNTIFS(A$3:A335,A335,GQ$3:GQ335,1),"")</f>
        <v/>
      </c>
      <c r="GS335" t="str">
        <f t="shared" si="706"/>
        <v/>
      </c>
      <c r="GT335" t="str">
        <f t="shared" si="707"/>
        <v/>
      </c>
      <c r="GU335" t="str">
        <f t="shared" si="708"/>
        <v/>
      </c>
      <c r="GV335" t="str">
        <f t="shared" si="709"/>
        <v>ok</v>
      </c>
      <c r="GW335" t="str">
        <f>IF(OR(GO335="",GM335=""),"",IF(GO335&gt;IFERROR(VLOOKUP(GN335,Модули_спр,3,FALSE),99),"ЛИШНИЙ КАНАЛ",IF(AND(AH335&lt;&gt;"=",COUNTIFS(Линии[_модуль гр.],GM335,Линии[Канал (итог)],GO335,Линии[Канал],"&lt;&gt;=",Линии[Щит],A335)&gt;1),"ДУБЛЬ КАНАЛА","")))</f>
        <v/>
      </c>
      <c r="GX335" s="6" t="str">
        <f t="shared" si="710"/>
        <v/>
      </c>
      <c r="GY335">
        <f t="shared" si="711"/>
        <v>10</v>
      </c>
      <c r="GZ335" t="str">
        <f t="shared" si="712"/>
        <v/>
      </c>
      <c r="HA335" t="str">
        <f>IF(AND(B335="",GT335=""),"",_xlfn.TEXTJOIN("; ",TRUE,IF(AND(B335&lt;&gt;"",FE335=""),"нет фазы",""),IF(AND(B335&lt;&gt;"",N(FY335)=0,EQ335&lt;&gt;"Нет"),"нет мощности",""),IF(AND(GS335&lt;&gt;"",COUNTIFS(Линии[Щит],A335,Линии[Клемма (итог)],GS335)&gt;1),"дубль клеммы "&amp;GS335,""),IF(AND(GV335&lt;&gt;"",GV335&lt;&gt;"ok"),GV335,""),IF(GW335&lt;&gt;"",GW335,""),IF(AND(N(BV335)&gt;=4,N(BR335)=1),BV335&amp;" жил на 1 фазе",""),IF(AND(AX335="R",CA335=1,OR(N(CK335)=0,N(CK335)&gt;30)),"розетка без дифзащиты до 30 мА",""),IFERROR(IF(AND(ISNUMBER(R335),R335&gt;DV335),"потери "&amp;FIXED(R335,1)&amp;" % &gt; "&amp;DV335&amp;" %",""),""),IFERROR(IF(LEFT(GZ335,4)="мало","Iкз мало — отключение &gt; 0,4 с",""),""),IF(AND(B335&lt;&gt;"",BH335=""),"не на схеме",""),IF(AND(CA335=0,B335&lt;&gt;"",FE335&lt;&gt;"",IF(AW335=1,"",FF334)&lt;&gt;"",FE335&lt;&gt;IF(AW335=1,"",FF334)),"фаза не как у автомата группы ("&amp;IF(AW335=1,"",FF334)&amp;")","")))</f>
        <v/>
      </c>
      <c r="HB335" s="6" t="str">
        <f>IF(OR(CA335=0,DA335=""),"",_xlfn.LET(_xlpm.t,IFERROR(_xlfn.XLOOKUP(DA335,Каталог!$U$4:$U$500,Каталог!$G$4:$G$500),""),_xlpm.k,SEARCH("кА",_xlpm.t),IFERROR(--TRIM(RIGHT(SUBSTITUTE(MID(_xlpm.t,MAX(1,_xlpm.k-4),_xlpm.k-MAX(1,_xlpm.k-4))," ",REPT(" ",9)),5)),"")))</f>
        <v/>
      </c>
      <c r="HC335" t="str">
        <f>IF(OR(HB335="",CA335=0),"",IF(_xlfn.XLOOKUP(A335,Щиты[Щит],Щиты[Iкз max на шинах, кА],"")="","",IF(HB335&lt;_xlfn.XLOOKUP(A335,Щиты[Щит],Щиты[Iкз max на шинах, кА]),"Icu "&amp;HB335&amp;" кА &lt; Iкз max","ok")))</f>
        <v/>
      </c>
      <c r="HD335" t="str">
        <f t="shared" si="713"/>
        <v/>
      </c>
      <c r="HE335" t="str">
        <f t="shared" si="714"/>
        <v/>
      </c>
      <c r="HF335" t="str">
        <f t="shared" si="715"/>
        <v/>
      </c>
      <c r="HG335" t="str" cm="1">
        <f t="array" ref="HG335">IF(HF335="","",_xlfn.LET(_xlpm.nd,_xlfn.TEXTSPLIT(HF335,"|"),IF(COLUMNS(_xlpm.nd)&gt;1,A335&amp;"¦"&amp;INDEX(_xlpm.nd,1)&amp;"¦"&amp;INDEX(_xlpm.nd,2),"")))</f>
        <v/>
      </c>
      <c r="HH335" t="str">
        <f t="shared" si="716"/>
        <v/>
      </c>
      <c r="HI335" t="str" cm="1">
        <f t="array" ref="HI335">IF(HF335="","",_xlfn.LET(_xlpm.nd,_xlfn.TEXTSPLIT(HF335,"|"),IF(COLUMNS(_xlpm.nd)&gt;2,A335&amp;"¦"&amp;INDEX(_xlpm.nd,2)&amp;"¦"&amp;INDEX(_xlpm.nd,3),"")))</f>
        <v/>
      </c>
      <c r="HJ335" t="str">
        <f t="shared" si="717"/>
        <v/>
      </c>
      <c r="HK335" t="str" cm="1">
        <f t="array" ref="HK335">IF(HF335="","",_xlfn.LET(_xlpm.nd,_xlfn.TEXTSPLIT(HF335,"|"),IF(COLUMNS(_xlpm.nd)&gt;3,A335&amp;"¦"&amp;INDEX(_xlpm.nd,3)&amp;"¦"&amp;INDEX(_xlpm.nd,4),"")))</f>
        <v/>
      </c>
      <c r="HL335" t="str">
        <f t="shared" si="718"/>
        <v/>
      </c>
      <c r="HM335" t="str" cm="1">
        <f t="array" ref="HM335">IF(HF335="","",_xlfn.LET(_xlpm.nd,_xlfn.TEXTSPLIT(HF335,"|"),IF(COLUMNS(_xlpm.nd)&gt;4,A335&amp;"¦"&amp;INDEX(_xlpm.nd,4)&amp;"¦"&amp;INDEX(_xlpm.nd,5),"")))</f>
        <v/>
      </c>
      <c r="HN335" t="str">
        <f t="shared" si="719"/>
        <v/>
      </c>
      <c r="HO335" t="str" cm="1">
        <f t="array" ref="HO335">IF(HF335="","",_xlfn.LET(_xlpm.nd,_xlfn.TEXTSPLIT(HF335,"|"),IF(COLUMNS(_xlpm.nd)&gt;5,A335&amp;"¦"&amp;INDEX(_xlpm.nd,5)&amp;"¦"&amp;INDEX(_xlpm.nd,6),"")))</f>
        <v/>
      </c>
      <c r="HP335" t="str">
        <f t="shared" si="720"/>
        <v/>
      </c>
      <c r="HQ335" t="str" cm="1">
        <f t="array" ref="HQ335">IF(HF335="","",_xlfn.LET(_xlpm.nd,_xlfn.TEXTSPLIT(HF335,"|"),IF(COLUMNS(_xlpm.nd)&gt;6,A335&amp;"¦"&amp;INDEX(_xlpm.nd,6)&amp;"¦"&amp;INDEX(_xlpm.nd,7),"")))</f>
        <v/>
      </c>
      <c r="HR335" t="str">
        <f t="shared" si="721"/>
        <v/>
      </c>
      <c r="HS335" t="str">
        <f t="shared" si="722"/>
        <v/>
      </c>
      <c r="HT335" t="str">
        <f t="shared" si="723"/>
        <v/>
      </c>
      <c r="HU335">
        <f t="shared" si="724"/>
        <v>0</v>
      </c>
      <c r="HV335">
        <f t="shared" si="725"/>
        <v>0</v>
      </c>
      <c r="HW335" t="str">
        <f t="shared" si="726"/>
        <v/>
      </c>
      <c r="HX335" t="str">
        <f t="shared" si="727"/>
        <v/>
      </c>
      <c r="HY335" t="str">
        <f t="shared" si="728"/>
        <v/>
      </c>
      <c r="HZ335" t="str">
        <f t="shared" si="729"/>
        <v/>
      </c>
      <c r="IA335">
        <f>IF(B335="","",IFERROR(VLOOKUP(B335,УГО_спр,2,FALSE),IFERROR(VLOOKUP(AX335,УГО_спр,2,FALSE),IFERROR(VLOOKUP(LEFT(AX335,2),УГО_спр,2,FALSE),""))))</f>
        <v>0</v>
      </c>
      <c r="IB335" t="str">
        <f>IF(B335="","",IF(OR(IA335="",IA335=0),"BOX",IFERROR(IF(VLOOKUP(IA335,УГО_блоки,3,FALSE)&amp;""&lt;&gt;"",VLOOKUP(IA335,УГО_блоки,3,FALSE),VLOOKUP(IA335,УГО_блоки,2,FALSE)),IA335)))</f>
        <v>BOX</v>
      </c>
      <c r="IC335">
        <f t="shared" si="730"/>
        <v>1</v>
      </c>
      <c r="ID335" t="str">
        <f>IF(DA335="","",IF(COUNTIF(DA$3:DA335,DA335)=1,MAX(ID$2:ID334)+1,""))</f>
        <v/>
      </c>
      <c r="IE335" t="str">
        <f>IF(CO335="","",IF(COUNTIF(CO$3:CO335,CO335)+COUNTIF(CP$2:CP334,CO335)+COUNTIF(CQ$2:CQ334,CO335)=1,MAX(IE$2:IG334)+1,""))</f>
        <v/>
      </c>
      <c r="IF335" t="str">
        <f>IF(CP335="","",IF(COUNTIF(CO$3:CO335,CP335)+COUNTIF(CP$3:CP335,CP335)+COUNTIF(CQ$2:CQ334,CP335)=1,MAX(IE$2:IG334,IE335)+1,""))</f>
        <v/>
      </c>
      <c r="IG335" t="str">
        <f>IF(CQ335="","",IF(COUNTIF(CO$3:CO335,CQ335)+COUNTIF(CP$3:CP335,CQ335)+COUNTIF(CQ$3:CQ335,CQ335)=1,MAX(IE$2:IG334,IE335,IF335)+1,""))</f>
        <v/>
      </c>
      <c r="IH335" t="str">
        <f t="shared" si="731"/>
        <v/>
      </c>
      <c r="II335" t="str">
        <f>IF(IH335="","",IF(COUNTIF(IH$3:IH335,IH335)=1,MAX(II$2:II334)+1,""))</f>
        <v/>
      </c>
      <c r="IJ335" t="str">
        <f>IF(GL335="","",COUNTIF(GL$3:GL335,"?*"))</f>
        <v/>
      </c>
      <c r="IK335" t="str">
        <f>IF(OR(GL335="",GN335=""),"",IF(COUNTIFS(GL$3:GL335,"?*",GN$3:GN335,GN335)=1,MAX(IK$2:IK334)+1,""))</f>
        <v/>
      </c>
      <c r="IL335">
        <f t="shared" si="732"/>
        <v>0</v>
      </c>
      <c r="IM335">
        <f>IF(B335="","",COUNTIF(B$3:B335,"?*"))</f>
        <v>333</v>
      </c>
      <c r="IN335">
        <f>IF(GQ335&lt;&gt;1,0,_xlfn.LET(_xlpm.k,MAX(IFERROR(--VLOOKUP(B335,УГО_спр,5,FALSE),0),IFERROR(--VLOOKUP(AX335,УГО_спр,5,FALSE),0),IFERROR(--VLOOKUP(LEFT(AX335,2),УГО_спр,5,FALSE),0)),IF(_xlpm.k&gt;0,_xlpm.k,IF(IFERROR(--LEFT(SUBSTITUTE(IH335,"x","х"),FIND("х",SUBSTITUTE(IH335,"x","х"))-1),3)&gt;3,Каталог!$S$9,1))))</f>
        <v>0</v>
      </c>
      <c r="IO335">
        <f t="shared" si="733"/>
        <v>0</v>
      </c>
      <c r="IP335" t="str">
        <f t="shared" si="734"/>
        <v>авто</v>
      </c>
      <c r="IQ335" t="str">
        <f t="shared" si="735"/>
        <v/>
      </c>
      <c r="IR335">
        <f t="shared" si="736"/>
        <v>0</v>
      </c>
      <c r="IS335">
        <f t="shared" si="737"/>
        <v>1</v>
      </c>
    </row>
    <row r="336" spans="1:253" x14ac:dyDescent="0.3">
      <c r="A336" t="s">
        <v>1105</v>
      </c>
      <c r="B336" t="s">
        <v>745</v>
      </c>
      <c r="C336" t="s">
        <v>1019</v>
      </c>
      <c r="D336">
        <v>1</v>
      </c>
      <c r="E336">
        <v>0</v>
      </c>
      <c r="G336">
        <v>16</v>
      </c>
      <c r="H336" t="str">
        <f>Линии[[#This Row],[_авто утечка]]</f>
        <v/>
      </c>
      <c r="I336" t="str">
        <f>Линии[[#This Row],[_авто управление]]</f>
        <v/>
      </c>
      <c r="J336" t="str">
        <f>Линии[[#This Row],[_авто аппараты]]</f>
        <v/>
      </c>
      <c r="K336">
        <v>2.5</v>
      </c>
      <c r="L336">
        <v>16</v>
      </c>
      <c r="M336" t="str">
        <f>Линии[[#This Row],[_авто фаза]]</f>
        <v>L1,L2,L3</v>
      </c>
      <c r="N336" t="str">
        <f>Линии[[#This Row],[_авто клемма]]</f>
        <v/>
      </c>
      <c r="O336" t="str">
        <f t="shared" si="615"/>
        <v/>
      </c>
      <c r="P336" s="6" cm="1">
        <f t="array" ref="P336">IF(B336="","",IF(BC336&lt;&gt;"",IFERROR(_xlfn.XLOOKUP(BC336,Щиты[Щит],Щиты[Iр, А]),""),IF(BK336=1,IFERROR(_xlfn.XLOOKUP(A336,Щиты[Щит],Щиты[Iр, А]),""),IFERROR(_xlfn.IFS(BR336=1,BN336/((Uн_лин/SQRT(3))*BY336),BR336=3,BN336/(SQRT(3)*Uн_лин*BY336)),""))))</f>
        <v>3.646422752776584</v>
      </c>
      <c r="Q336" s="7">
        <f>IF(B336="","",IFERROR(IF(VLOOKUP(AX336,Потребители_обозначение,4,FALSE)=1,VLOOKUP(AX336,Потребители_обозначение,3,FALSE)*(D336*2-1)+DS336+VLOOKUP(AZ336,Этаж_обозначение,3,FALSE)+VLOOKUP(AZ336,Этаж_обозначение,4,FALSE),VLOOKUP(AX336,Потребители_обозначение,3,FALSE)*(D336*2-1)+DS336),DS336))</f>
        <v>16</v>
      </c>
      <c r="R336" s="6">
        <f t="shared" si="616"/>
        <v>0.63</v>
      </c>
      <c r="S336" t="str">
        <f t="shared" si="617"/>
        <v>ВВГнг(А)-FRLS (5х2,5)</v>
      </c>
      <c r="T336" t="str">
        <f>IF(BH336="","",IF(BI336="вводной узел","узел ","")&amp;"л."&amp;(INT((BH336-1)/Столбцов_на_лист)+1)&amp;" / "&amp;(MOD(BH336-1,Столбцов_на_лист)+1))</f>
        <v>узел л.1 / 3</v>
      </c>
      <c r="V336">
        <v>3</v>
      </c>
      <c r="W336">
        <v>400</v>
      </c>
      <c r="X336" t="s">
        <v>549</v>
      </c>
      <c r="AF336" t="s">
        <v>1303</v>
      </c>
      <c r="AI336">
        <v>3</v>
      </c>
      <c r="AJ336" t="s">
        <v>13</v>
      </c>
      <c r="AK336">
        <v>5</v>
      </c>
      <c r="AM336">
        <v>5</v>
      </c>
      <c r="AN336">
        <v>11</v>
      </c>
      <c r="AW336" cm="1">
        <f t="array" ref="AW336">ROW()-ROW(Линии[#Headers])</f>
        <v>334</v>
      </c>
      <c r="AX336" s="6" t="str">
        <f t="shared" si="618"/>
        <v>Ввод</v>
      </c>
      <c r="AY336" t="str">
        <f t="shared" si="619"/>
        <v>2</v>
      </c>
      <c r="AZ336" t="str">
        <f t="shared" si="620"/>
        <v>2</v>
      </c>
      <c r="BA336" t="str">
        <f t="shared" si="621"/>
        <v/>
      </c>
      <c r="BB336" t="str">
        <f t="shared" si="622"/>
        <v/>
      </c>
      <c r="BC336" t="str">
        <f>IF(U336&lt;&gt;"",U336,IF(AND(B336&lt;&gt;"",B336&lt;&gt;A336,ISNUMBER(_xlfn.XMATCH(B336,Щиты[Щит]))),B336,""))</f>
        <v/>
      </c>
      <c r="BD336" t="str" cm="1">
        <f t="array" ref="BD336">IF(B336="","",IF(BC336&lt;&gt;"","Щит "&amp;BC336,_xlfn.LET(_xlpm.nm,IFERROR(_xlfn.XLOOKUP(AX336,Коды_код,Коды_имя)&amp;"",""),_xlpm.md,IFERROR(N(_xlfn.XLOOKUP(AX336,Коды_код,Коды_режим)),1),_xlpm.ex,IF(Имя_режим="по экспликации",IFERROR(_xlfn.XLOOKUP(AZ336&amp;"|"&amp;BB336,Экспликация[Этаж]&amp;"|"&amp;Экспликация[Помещение],Экспликация[Название])&amp;"",""),""),_xlpm.rm,IF(BB336="","",IF(_xlpm.ex&lt;&gt;"",". "&amp;_xlpm.ex&amp;IF(Имя_пом="нет"," ("&amp;BB336&amp;")"," (пом. "&amp;BB336&amp;")"),IF(Имя_пом="нет"," ",", пом. ")&amp;BB336)),IF(_xlpm.nm="","",IF(_xlpm.md=2,_xlpm.nm&amp;" шлейф "&amp;AZ336,_xlpm.nm&amp;_xlpm.rm)))))</f>
        <v>Вводной кабель шлейф 2</v>
      </c>
      <c r="BE336" t="str">
        <f t="shared" si="623"/>
        <v>Вводной кабель №2</v>
      </c>
      <c r="BF336">
        <f>IFERROR(_xlfn.XMATCH(A336,Щиты[Щит]),0)</f>
        <v>16</v>
      </c>
      <c r="BG336">
        <f>_xlfn.LET(_xlpm.k,IFERROR(_xlfn.XLOOKUP(A336,Щиты[Щит],Щиты[Листов под вводной узел]),""),IF(_xlpm.k="",1,N(_xlpm.k))*Столбцов_на_лист)</f>
        <v>17</v>
      </c>
      <c r="BH336">
        <f t="shared" si="624"/>
        <v>3</v>
      </c>
      <c r="BI336" t="str">
        <f t="shared" si="625"/>
        <v>вводной узел</v>
      </c>
      <c r="BJ336" s="6">
        <f>IFERROR(N(_xlfn.XLOOKUP(AX336,Коды_код,Коды_квт)),0)</f>
        <v>0</v>
      </c>
      <c r="BK336">
        <f t="shared" si="626"/>
        <v>1</v>
      </c>
      <c r="BL336">
        <f>IF(B336="","",IF(BC336&lt;&gt;"",IFERROR(_xlfn.XLOOKUP(BC336,Щиты[Щит],Щиты[Руст, кВт]),0),IF(BK336=1,IFERROR(_xlfn.XLOOKUP(A336,Щиты[Щит],Щиты[Руст, кВт]),0),IF(BJ336&gt;0,ROUND(BJ336*MAX(1,N(D336)),3),""))))</f>
        <v>1.6</v>
      </c>
      <c r="BM336">
        <f t="shared" si="627"/>
        <v>0</v>
      </c>
      <c r="BN336" s="6">
        <f>IF(B336="","",IF(BC336&lt;&gt;"",IFERROR(_xlfn.XLOOKUP(BC336,Щиты[Щит],Щиты[Руст, кВт]),0),N(BM336)))</f>
        <v>0</v>
      </c>
      <c r="BO336" t="str">
        <f>IF(B336="","",IFERROR(IF(VLOOKUP(AX336,Потребители_обозначение,8,FALSE)=0,"",VLOOKUP(AX336,Потребители_обозначение,8,FALSE)),""))</f>
        <v/>
      </c>
      <c r="BP336">
        <f t="shared" si="628"/>
        <v>400</v>
      </c>
      <c r="BQ336">
        <f>IF(B336="","",IF(BC336&lt;&gt;"",3,IFERROR(IF(N(VLOOKUP(AX336,Потребители_обозначение,9,FALSE))=0,1,VLOOKUP(AX336,Потребители_обозначение,9,FALSE)),1)))</f>
        <v>1</v>
      </c>
      <c r="BR336">
        <f t="shared" si="629"/>
        <v>3</v>
      </c>
      <c r="BS336" t="str">
        <f>IF(B336="","",_xlfn.LET(_xlpm.bc,IFERROR(IF(VLOOKUP(AX336,Потребители_обозначение,6,FALSE)=0,"",VLOOKUP(AX336,Потребители_обозначение,6,FALSE)&amp;""),""),IF(AND(FK336="да",OR(_xlpm.bc="",_xlpm.bc="мс")),Марка_пож,IF(AND(_xlpm.bc="",BC336&lt;&gt;""),"мс",_xlpm.bc))))</f>
        <v/>
      </c>
      <c r="BT336" t="str">
        <f t="shared" si="630"/>
        <v>мфр</v>
      </c>
      <c r="BU336">
        <f>IF(B336="","",_xlfn.LET(_xlpm.cc,IFERROR(N(VLOOKUP(AX336,Потребители_обозначение,7,FALSE)),0),IF(_xlpm.cc&gt;0,_xlpm.cc,IF(BT336="","",IF(N(BR336)=3,5,3)))))</f>
        <v>5</v>
      </c>
      <c r="BV336">
        <f t="shared" si="631"/>
        <v>5</v>
      </c>
      <c r="BW336">
        <f>IFERROR(N(VLOOKUP(AX336,Потребители_обозначение,10,FALSE)),0)</f>
        <v>0</v>
      </c>
      <c r="BX336">
        <f>IFERROR(VLOOKUP(AX336,Потребители_обозначение,5,FALSE),0)</f>
        <v>1</v>
      </c>
      <c r="BY336" s="6" cm="1">
        <f t="array" ref="BY336">IF(B336="","",IF(BC336&lt;&gt;"",IFERROR(_xlfn.XLOOKUP(BC336,Щиты[Щит],Щиты[cos φ]),0.95),IF(BK336=1,IFERROR(_xlfn.XLOOKUP(A336,Щиты[Щит],Щиты[cos φ]),0.95),IF(ISNUMBER(Z336),Z336,IFERROR(IF(BX336=2,_xlfn.IFS(BR336=3,VLOOKUP(BN336,Справочная_двигатели,8,FALSE),BR336=1,VLOOKUP(BN336,Справочная_двигатели,10,TRUE)),IF(AND(Методика="нормы 2026",EQ336="Сил"),0.8,0.95)),0.95)))))</f>
        <v>0.95</v>
      </c>
      <c r="BZ336">
        <f t="shared" si="632"/>
        <v>0</v>
      </c>
      <c r="CA336">
        <f t="shared" si="633"/>
        <v>1</v>
      </c>
      <c r="CB336">
        <f t="shared" si="634"/>
        <v>0</v>
      </c>
      <c r="CC336">
        <f t="shared" si="635"/>
        <v>0</v>
      </c>
      <c r="CD336">
        <f t="shared" si="636"/>
        <v>0</v>
      </c>
      <c r="CE336">
        <f t="shared" si="637"/>
        <v>0</v>
      </c>
      <c r="CF336">
        <f t="shared" si="638"/>
        <v>0</v>
      </c>
      <c r="CG336">
        <f>IF(AX336="",0,_xlfn.LET(_xlpm.v,IFERROR(VLOOKUP(B336,УГО_спр,3,FALSE),IFERROR(VLOOKUP(AX336,УГО_спр,3,FALSE),IFERROR(VLOOKUP(LEFT(AX336,2),УГО_спр,3,FALSE),""))),IF(_xlpm.v="да",30,IF(ISNUMBER(_xlpm.v),_xlpm.v,0))))</f>
        <v>0</v>
      </c>
      <c r="CH336" t="str">
        <f t="shared" si="639"/>
        <v/>
      </c>
      <c r="CI336" t="str">
        <f>_xlfn.LET(_xlpm.k,IFERROR(_xlfn.XLOOKUP(AX336,Коды_код,Коды_утечка)&amp;"",""),IF(_xlpm.k="","дифавтомат",_xlpm.k))</f>
        <v>дифавтомат</v>
      </c>
      <c r="CJ336">
        <f t="shared" si="640"/>
        <v>0</v>
      </c>
      <c r="CK336">
        <f t="shared" si="641"/>
        <v>0</v>
      </c>
      <c r="CL336">
        <f>IF(B336="",0,IFERROR(--VLOOKUP(B336,УГО_спр,4,FALSE),IFERROR(--VLOOKUP(AX336,УГО_спр,4,FALSE),IFERROR(--VLOOKUP(LEFT(AX336,2),УГО_спр,4,FALSE),0))))</f>
        <v>0</v>
      </c>
      <c r="CM336" t="str">
        <f>IF(B336="","",IFERROR(_xlfn.XLOOKUP(AX336,Коды_код,Коды_апп)&amp;"",""))</f>
        <v/>
      </c>
      <c r="CN336" t="str">
        <f t="shared" si="642"/>
        <v/>
      </c>
      <c r="CO336" t="str" cm="1">
        <f t="array" ref="CO336">IF(TRIM(CN336&amp;"")="","",IFERROR(TRIM(INDEX(_xlfn.TEXTSPLIT(CN336&amp;";;;",";"),1)),""))</f>
        <v/>
      </c>
      <c r="CP336" t="str" cm="1">
        <f t="array" ref="CP336">IF(TRIM(CN336&amp;"")="","",IFERROR(TRIM(INDEX(_xlfn.TEXTSPLIT(CN336&amp;";;;",";"),2)),""))</f>
        <v/>
      </c>
      <c r="CQ336" t="str" cm="1">
        <f t="array" ref="CQ336">IF(TRIM(CN336&amp;"")="","",IFERROR(TRIM(INDEX(_xlfn.TEXTSPLIT(CN336&amp;";;;",";"),3)),""))</f>
        <v/>
      </c>
      <c r="CR336">
        <f t="shared" si="643"/>
        <v>0</v>
      </c>
      <c r="CS336" t="str">
        <f>IF(B336="","",_xlfn.LET(_xlpm.t,LOWER(AV336&amp;""),IF(ISNUMBER(SEARCH("dim",_xlpm.t)),"DIM",IF(ISNUMBER(SEARCH("dali",_xlpm.t)),"DALI",IF(OR(ISNUMBER(SEARCH("relay",_xlpm.t)),ISNUMBER(SEARCH("реле",_xlpm.t))),"Relay",IF(ISNUMBER(SEARCH("кнопк",_xlpm.t)),"",IFERROR(_xlfn.XLOOKUP(AX336,Коды_код,Коды_упр)&amp;"","")))))))</f>
        <v/>
      </c>
      <c r="CT336" t="str">
        <f t="shared" si="644"/>
        <v/>
      </c>
      <c r="CU336">
        <f>IF(B336="","",_xlfn.LET(_xlpm.ig,N(P336)+IF(AF336="вручную",0,N(CB336)),_xlpm.n0,IFERROR(VLOOKUP(_xlpm.ig,Автомат_номиналы,2,TRUE),0),_xlpm.mn,MAX(CL336,IF(AF336="вручную",0,N(CE336))),MAX(_xlpm.n0,_xlpm.mn,IF(CR336=1,Мин_автомат_БП,0))))</f>
        <v>6</v>
      </c>
      <c r="CV336">
        <f t="shared" si="645"/>
        <v>3</v>
      </c>
      <c r="CW336" t="str">
        <f t="shared" si="646"/>
        <v>3P</v>
      </c>
      <c r="CX336" t="str">
        <f>_xlfn.LET(_xlpm.cc,UPPER(TRIM(IFERROR(_xlfn.XLOOKUP(AX336,Коды_код,Коды_хар)&amp;"",""))),IF(OR(_xlpm.cc="B",_xlpm.cc="В"),"B",IF(_xlpm.cc="D","D","С")))</f>
        <v>С</v>
      </c>
      <c r="CY336" t="str">
        <f t="shared" si="647"/>
        <v>3P С6А</v>
      </c>
      <c r="CZ336">
        <f t="shared" si="648"/>
        <v>16</v>
      </c>
      <c r="DA336" t="str">
        <f t="shared" si="649"/>
        <v>3P С16А</v>
      </c>
      <c r="DB336" cm="1">
        <f t="array" ref="DB336">IF(DA336="","",_xlfn.LET(_xlpm.t,SUBSTITUTE(SUBSTITUTE(SUBSTITUTE(UPPER(DA336),"С","C"),"А","A"),"В","B"),_xlpm.tk,_xlfn.TEXTSPLIT(_xlpm.t,"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6" t="str">
        <f t="shared" si="650"/>
        <v>узел</v>
      </c>
      <c r="DD336">
        <f t="shared" si="651"/>
        <v>16</v>
      </c>
      <c r="DE336" t="str">
        <f t="shared" si="652"/>
        <v>3P С16А</v>
      </c>
      <c r="DF336">
        <f t="shared" si="653"/>
        <v>0</v>
      </c>
      <c r="DG336">
        <f t="shared" si="654"/>
        <v>0</v>
      </c>
      <c r="DH336">
        <f t="shared" si="655"/>
        <v>0</v>
      </c>
      <c r="DI336">
        <f t="shared" si="656"/>
        <v>3.646422752776584</v>
      </c>
      <c r="DJ336">
        <f t="shared" si="657"/>
        <v>0.92</v>
      </c>
      <c r="DK336">
        <f>IF(ISNUMBER(AL336),AL336,К_прокл)</f>
        <v>1</v>
      </c>
      <c r="DL336">
        <f t="shared" si="658"/>
        <v>3</v>
      </c>
      <c r="DM336">
        <f>IFERROR(N(VLOOKUP(BT336,Кабель_обозначение,3,FALSE)),1)</f>
        <v>1</v>
      </c>
      <c r="DN336">
        <f>IFERROR(N(_xlfn.XLOOKUP(A336,Щиты[Щит],Щиты[ΔU до шин, %])),0)</f>
        <v>0.41000000000000003</v>
      </c>
      <c r="DO336" t="str">
        <f>IFERROR(_xlfn.XLOOKUP(A336,Щиты[Щит],Щиты[Zпетли на шинах, Ом]),"")</f>
        <v/>
      </c>
      <c r="DP336">
        <f>IFERROR(N(_xlfn.XLOOKUP(A336,Щиты[Щит],Щиты[ΔU до шин (подбор), %])),0)</f>
        <v>0.68</v>
      </c>
      <c r="DQ336" t="str">
        <f>IFERROR(_xlfn.XLOOKUP(A336,Щиты[Щит],Щиты[Zпетли на шинах (подбор), Ом]),"")</f>
        <v/>
      </c>
      <c r="DR336" t="str">
        <f t="shared" si="659"/>
        <v/>
      </c>
      <c r="DS336">
        <f t="shared" si="660"/>
        <v>16</v>
      </c>
      <c r="DT336">
        <f t="shared" si="661"/>
        <v>1</v>
      </c>
      <c r="DU336">
        <f t="shared" si="662"/>
        <v>0.31</v>
      </c>
      <c r="DV336" s="6">
        <f>IF(B336="","",IF(IFERROR(VLOOKUP(AX336,УГО_спр,2,FALSE),"")="Светильник",3,4)+IF(Методика="нормы 2026",MIN(0.5,MAX(0,N(Q336)-100)*0.005),0))</f>
        <v>4</v>
      </c>
      <c r="DW336" cm="1">
        <f t="array" ref="DW336">IF(OR(B336="",BT336="",DM336&lt;&gt;1),"",_xlfn.LET(_xlpm.sz,Iдоп_S,_xlpm.t_,CHOOSE(DL336,Iдоп_1ж,Iдоп_2ж,Iдоп_3ж)*DJ336*DK336,_xlpm.inn,N(DD336),_xlpm.smin,MAX(1.5,BW336),_xlpm.L_,N(Q336)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336)*(_xlpm.rho*_xlpm.L_/_xlpm.sz*N(BY336)+_xlpm.xx*_xlpm.L_*N(DU336)/1000)*N(P336)/((Uн_лин/SQRT(3))*1000)*100,999),_xlpm.kz,IF(OR(DG336=1,NOT(ISNUMBER(DQ336)),_xlpm.L_=0,_xlpm.inn=0),1,IFERROR(--(c_min*(Uн_лин*1000/SQRT(3))/(DQ336+2*ρкз_Cu*_xlpm.L_/_xlpm.sz)&gt;=GY336*_xlpm.inn),0)),_xlpm.ok,IFERROR((_xlpm.sz&gt;=_xlpm.smin)*(_xlpm.t_&gt;=_xlpm.inn)*IF(_xlpm.L_&gt;0,(_xlpm.du_+DP336&lt;=DV336+0.00001),1)*_xlpm.kz,0),_xlpm.r_,_xlfn._xlws.FILTER(_xlpm.sz,_xlpm.ok,"не подобрано"),INDEX(_xlpm.r_,1)))</f>
        <v>1.5</v>
      </c>
      <c r="DX336">
        <f t="shared" si="663"/>
        <v>2.5</v>
      </c>
      <c r="DY336" cm="1">
        <f t="array" ref="DY336">IF(OR(B336="",BT336="",DM336&lt;&gt;1),"",_xlfn.LET(_xlpm.sz,Iдоп_S,_xlpm.t_,CHOOSE(DL336,Iдоп_1ж,Iдоп_2ж,Iдоп_3ж)*DJ336*DK336,_xlpm.ok,IFERROR((_xlpm.sz&gt;=MAX(1.5,BW336))*(_xlpm.t_&gt;=N(DD336)),0),_xlpm.r_,_xlfn._xlws.FILTER(_xlpm.sz,_xlpm.ok,""),INDEX(_xlpm.r_,1)))</f>
        <v>1.5</v>
      </c>
      <c r="DZ336" s="6" cm="1">
        <f t="array" ref="DZ336">IFERROR(ROUNDUP(N(DT336)*(_xlfn.XLOOKUP(DY336,INDEX(Кабель_сопротивление,0,1),INDEX(Кабель_сопротивление,0,3))*N(Q336)/DY336*N(BY336)+_xlfn.XLOOKUP(DY336,INDEX(Кабель_сопротивление,0,1),INDEX(Кабель_сопротивление,0,2))*N(Q336)*N(DU336)/1000)*N(P336)/((Uн_лин/SQRT(3))*1000)*100,2),"")</f>
        <v>0.37</v>
      </c>
      <c r="EA336">
        <f>IFERROR(2*ρкз_Cu*N(Q336)/DY336,"")</f>
        <v>0.56106666666666671</v>
      </c>
      <c r="EB336">
        <f>IFERROR(VLOOKUP(DX336,Кабель_сопротивление,3,FALSE),"")</f>
        <v>2.2499999999999999E-2</v>
      </c>
      <c r="EC336">
        <f>IFERROR(VLOOKUP(DX336,Кабель_сопротивление,2,FALSE),"")</f>
        <v>0.1</v>
      </c>
      <c r="ED336">
        <f t="shared" si="664"/>
        <v>11</v>
      </c>
      <c r="EE336" t="str">
        <f t="shared" si="665"/>
        <v/>
      </c>
      <c r="EF336">
        <f t="shared" si="666"/>
        <v>0.50063925826521383</v>
      </c>
      <c r="EG336" s="6">
        <f>IFERROR(ROUNDUP(EF336/((Uн_лин/SQRT(3))*1000)*100,2),"")</f>
        <v>0.22</v>
      </c>
      <c r="EH336" t="str">
        <f>IFERROR(VLOOKUP(BT336,Кабель_обозначение,2,FALSE),"")</f>
        <v>ВВГнг(А)-FRLS</v>
      </c>
      <c r="EI336" t="str">
        <f t="shared" si="667"/>
        <v>ВВГнг(А)-FRLS (5х2,5)</v>
      </c>
      <c r="EJ336" t="str">
        <f t="shared" si="668"/>
        <v>ВВГнг(А)-FRLS (5х2,5)
L=16-0,22%</v>
      </c>
      <c r="EK336">
        <f>IFERROR(2*ρкз_Cu*Q336/DX336,"")</f>
        <v>0.33663999999999999</v>
      </c>
      <c r="EL336">
        <f t="shared" si="669"/>
        <v>0.11200000000000002</v>
      </c>
      <c r="EM336" s="6" t="str">
        <f>IFERROR(IF(OR(B336="",NOT(ISNUMBER(DX336)),N(Q336)=0),"",_xlfn.XLOOKUP(A336,Щиты[Щит],Щиты[Zпетли на шинах, Ом])+EK336),"")</f>
        <v/>
      </c>
      <c r="EN336" s="6" t="str">
        <f>IF(ISNUMBER(EM336),c_min*(Uн_лин*1000/SQRT(3))/EM336,"")</f>
        <v/>
      </c>
      <c r="EO336" s="6" t="str">
        <f>IFERROR(IF(OR(B336="",NOT(ISNUMBER(DX336))),"",1.05*(Uн_лин*1000/SQRT(3))/(_xlfn.XLOOKUP(A336,Щиты[Щит],Щиты[Zmax на шинах, Ом])+EL336)/1000),"")</f>
        <v/>
      </c>
      <c r="EP336" s="6" t="str">
        <f>IF(B336="","",IF(ISNUMBER(Y336),"Сил",IF(IFERROR(_xlfn.XLOOKUP(AX336,Коды_код,Коды_группа)&amp;"","")="","Быт",_xlfn.XLOOKUP(AX336,Коды_код,Коды_группа)&amp;"")))</f>
        <v>Быт</v>
      </c>
      <c r="EQ336" s="6" t="str">
        <f t="shared" si="670"/>
        <v>Нет</v>
      </c>
      <c r="ER336" s="6">
        <f>IF(EQ336="Щит","щит",IF(EQ336="","",IF(EQ336="Быт",IFERROR(_xlfn.XLOOKUP(A336,Щиты[Щит],Щиты[Кс быт]),1),IF(EQ336="Сил",IF(ISNUMBER(Y336),Y336,IF(Методика="нормы 2026",IFERROR(_xlfn.XLOOKUP(A336,Щиты[Щит],Щиты[Кс силовых (табл. 7.5)]),1),1)),IF(OR(EQ336="Пост",EQ336="Отоп"),1,IF(EQ336="ВНГ",0.7,0))))))</f>
        <v>0</v>
      </c>
      <c r="ES336">
        <f t="shared" si="671"/>
        <v>1</v>
      </c>
      <c r="ET336">
        <f t="shared" si="672"/>
        <v>0</v>
      </c>
      <c r="EU336">
        <f t="shared" si="673"/>
        <v>0</v>
      </c>
      <c r="EV336">
        <f t="shared" si="674"/>
        <v>0</v>
      </c>
      <c r="EW336">
        <f t="shared" si="675"/>
        <v>0</v>
      </c>
      <c r="EX336">
        <f t="shared" si="676"/>
        <v>0</v>
      </c>
      <c r="EY336">
        <f t="shared" si="677"/>
        <v>0</v>
      </c>
      <c r="EZ336">
        <f t="shared" si="678"/>
        <v>0</v>
      </c>
      <c r="FA336">
        <f t="shared" si="679"/>
        <v>0</v>
      </c>
      <c r="FB336">
        <f t="shared" si="680"/>
        <v>0</v>
      </c>
      <c r="FC336" t="str">
        <f t="shared" si="681"/>
        <v/>
      </c>
      <c r="FD336" t="str">
        <f>IF(B336="","",IF(CA336=0,IF(AW336=1,"",FF335),IF(OR(N(CV336)&gt;=3,N(BR336)&gt;=3),"L1,L2,L3",IFERROR(_xlfn.TEXTBEFORE(_xlfn.TEXTAFTER(_xlfn.XLOOKUP(A336,Щиты[Щит],Щиты[_фазы авто]),";"&amp;AW336&amp;":"),";"),"L1"))))</f>
        <v>L1,L2,L3</v>
      </c>
      <c r="FE336" t="str">
        <f t="shared" si="682"/>
        <v>L1,L2,L3</v>
      </c>
      <c r="FF336" t="str">
        <f t="shared" si="683"/>
        <v>L1,L2,L3</v>
      </c>
      <c r="FG336" cm="1">
        <f t="array" ref="FG336">IFERROR(IF(BX336=2,_xlfn.IFS(BR336=3,VLOOKUP(BN336,Справочная_двигатели,3,FALSE),BR336=1,VLOOKUP(BN336,Справочная_двигатели,5,TRUE)),0),0)</f>
        <v>0</v>
      </c>
      <c r="FH336">
        <f>IFERROR(IF(BX336=3,VLOOKUP(BN336,Справочная_ЛЭД,2,TRUE),0),0)</f>
        <v>0</v>
      </c>
      <c r="FI336" s="6">
        <f t="shared" si="684"/>
        <v>0</v>
      </c>
      <c r="FJ336" t="str" cm="1">
        <f t="array" ref="FJ336">IF(B336="","",IFERROR(INDEX({"I особая","I","II","III"},MATCH(TRIM(AC336&amp;""),{"I особая","I","II","III"},0)),"III"))</f>
        <v>III</v>
      </c>
      <c r="FK336" t="str">
        <f>IF(B336="","",IF(TRIM(AD336&amp;"")&lt;&gt;"",IF(LOWER(TRIM(AD336&amp;""))="да","да","нет"),IF(IFERROR(_xlfn.XLOOKUP(AX336,Коды_код,Коды_пожарная),"")="да","да","нет")))</f>
        <v>нет</v>
      </c>
      <c r="FL336" t="str">
        <f t="shared" si="685"/>
        <v/>
      </c>
      <c r="FM336" t="str">
        <f t="shared" si="686"/>
        <v>основная</v>
      </c>
      <c r="FN336">
        <f t="shared" si="687"/>
        <v>1</v>
      </c>
      <c r="FO336" t="str" cm="1">
        <f t="array" ref="FO336">IF(B336="","",_xlfn.LET(_xlpm.t,IFERROR(_xlfn.XLOOKUP(1,(Шины[Шина]=FM336)*(((Шины[Щит]=A336)+(Шины[Щит]=""))&gt;0),Шины[Тип]),"")&amp;"",IF(_xlpm.t&lt;&gt;"",_xlpm.t,IF(ISNUMBER(SEARCH("ИБП",FM336)),"ИБП",IF(ISNUMBER(SEARCH("ДГУ",FM336)),"ДГУ","Ввод "&amp;FN336)))))</f>
        <v>Ввод 1</v>
      </c>
      <c r="FP336" t="str">
        <f t="shared" si="688"/>
        <v>Ввод 1</v>
      </c>
      <c r="FQ336" t="str">
        <f>IF(B336="","",IF(OR(FO336="ИБП",FO336="ДГУ"),"I особая",IF(FO336="Одиночная","III",_xlfn.XLOOKUP(A336,Щиты[Щит],Щиты[Категория шины «Ввод»],"III"))))</f>
        <v>I</v>
      </c>
      <c r="FR336">
        <f>IF(B336="",0,IFERROR(MATCH(FJ336,{"III","II","I","I особая"},0),1))</f>
        <v>1</v>
      </c>
      <c r="FS336">
        <f t="shared" si="689"/>
        <v>1</v>
      </c>
      <c r="FT336" t="str">
        <f>IF(B336="","",IF(FR336&gt;IFERROR(MATCH(FQ336,{"III","II","I","I особая"},0),1),"НЕ ОБЕСПЕЧЕНА","ОК"))</f>
        <v>ОК</v>
      </c>
      <c r="FU336" t="str">
        <f>IF(A336="","",_xlfn.XLOOKUP(A336,Щиты[Щит],Щиты[Путь],""))</f>
        <v>|ГРЩ-ЖД|ЩСПЗ-ЖД|</v>
      </c>
      <c r="FV336" t="str">
        <f>IF(B336="","",IF(AE336&lt;&gt;"",AE336,IF(IFERROR(_xlfn.XLOOKUP(AX336,Коды_код,Коды_вид)&amp;"","")="","Прочее",_xlfn.XLOOKUP(AX336,Коды_код,Коды_вид)&amp;"")))</f>
        <v>Прочее</v>
      </c>
      <c r="FW336">
        <f>IF(BH336="","",INT((BH336-1)/Столбцов_на_лист)+1)</f>
        <v>1</v>
      </c>
      <c r="FX336" t="str">
        <f t="shared" si="690"/>
        <v>ВВГнг(А)-FRLS (5х2,5) L=16-0,22%</v>
      </c>
      <c r="FY336">
        <f t="shared" si="691"/>
        <v>0</v>
      </c>
      <c r="FZ336">
        <f t="shared" si="692"/>
        <v>3.65</v>
      </c>
      <c r="GA336">
        <f t="shared" si="693"/>
        <v>3</v>
      </c>
      <c r="GB336">
        <f t="shared" si="694"/>
        <v>0</v>
      </c>
      <c r="GC336">
        <f t="shared" si="695"/>
        <v>0</v>
      </c>
      <c r="GD336" t="str">
        <f>IF(BH336="","",IF(AND(CA336=1,GC336=1),COUNTIFS(A$3:A336,A336,CA$3:CA336,1,GC$3:GC336,1),IF(OR(OR(AW336=1,A336&lt;&gt;A335),AF336="вручную",GC336=0),"",IF(AW336=1,"",GE335))))</f>
        <v/>
      </c>
      <c r="GE336" t="str">
        <f t="shared" si="696"/>
        <v/>
      </c>
      <c r="GF336">
        <f>IF(B336="","",IFERROR(LOOKUP(INDEX(CHOOSE(DL336,Iдоп_1ж,Iдоп_2ж,Iдоп_3ж),MATCH(DX336,Iдоп_S,0))*DJ336*DK336,{6,10,16,20,25,32,40,50,63,80,100,125,160,200,250,315,400,500,630}),""))</f>
        <v>20</v>
      </c>
      <c r="GG336" t="str">
        <f t="shared" si="697"/>
        <v/>
      </c>
      <c r="GH336" t="str">
        <f t="shared" si="698"/>
        <v/>
      </c>
      <c r="GI336" t="str">
        <f t="shared" si="699"/>
        <v/>
      </c>
      <c r="GJ336">
        <f t="shared" si="700"/>
        <v>0</v>
      </c>
      <c r="GK336" t="str">
        <f>IF(OR(AG336="",AG336="-"),"",IFERROR(VLOOKUP(AG336,Модули_спр,2,FALSE),"R"))</f>
        <v/>
      </c>
      <c r="GL336" t="str">
        <f>IF(GK336="","",GK336&amp;"."&amp;COUNTIFS(A$3:A336,A336,GK$3:GK336,GK336))</f>
        <v/>
      </c>
      <c r="GM336" t="str">
        <f t="shared" si="701"/>
        <v/>
      </c>
      <c r="GN336" t="str">
        <f t="shared" si="702"/>
        <v/>
      </c>
      <c r="GO336" t="str">
        <f t="shared" si="703"/>
        <v/>
      </c>
      <c r="GP336" t="str">
        <f t="shared" si="704"/>
        <v/>
      </c>
      <c r="GQ336">
        <f t="shared" si="705"/>
        <v>0</v>
      </c>
      <c r="GR336" t="str">
        <f>IF(GQ336=1,"XT"&amp;COUNTIFS(A$3:A336,A336,GQ$3:GQ336,1),"")</f>
        <v/>
      </c>
      <c r="GS336" t="str">
        <f t="shared" si="706"/>
        <v/>
      </c>
      <c r="GT336" t="str">
        <f t="shared" si="707"/>
        <v/>
      </c>
      <c r="GU336" t="str">
        <f t="shared" si="708"/>
        <v/>
      </c>
      <c r="GV336" t="str">
        <f t="shared" si="709"/>
        <v>ok</v>
      </c>
      <c r="GW336" t="str">
        <f>IF(OR(GO336="",GM336=""),"",IF(GO336&gt;IFERROR(VLOOKUP(GN336,Модули_спр,3,FALSE),99),"ЛИШНИЙ КАНАЛ",IF(AND(AH336&lt;&gt;"=",COUNTIFS(Линии[_модуль гр.],GM336,Линии[Канал (итог)],GO336,Линии[Канал],"&lt;&gt;=",Линии[Щит],A336)&gt;1),"ДУБЛЬ КАНАЛА","")))</f>
        <v/>
      </c>
      <c r="GX336" s="6" t="str">
        <f t="shared" si="710"/>
        <v/>
      </c>
      <c r="GY336">
        <f t="shared" si="711"/>
        <v>10</v>
      </c>
      <c r="GZ336" t="str">
        <f t="shared" si="712"/>
        <v/>
      </c>
      <c r="HA336" t="str">
        <f>IF(AND(B336="",GT336=""),"",_xlfn.TEXTJOIN("; ",TRUE,IF(AND(B336&lt;&gt;"",FE336=""),"нет фазы",""),IF(AND(B336&lt;&gt;"",N(FY336)=0,EQ336&lt;&gt;"Нет"),"нет мощности",""),IF(AND(GS336&lt;&gt;"",COUNTIFS(Линии[Щит],A336,Линии[Клемма (итог)],GS336)&gt;1),"дубль клеммы "&amp;GS336,""),IF(AND(GV336&lt;&gt;"",GV336&lt;&gt;"ok"),GV336,""),IF(GW336&lt;&gt;"",GW336,""),IF(AND(N(BV336)&gt;=4,N(BR336)=1),BV336&amp;" жил на 1 фазе",""),IF(AND(AX336="R",CA336=1,OR(N(CK336)=0,N(CK336)&gt;30)),"розетка без дифзащиты до 30 мА",""),IFERROR(IF(AND(ISNUMBER(R336),R336&gt;DV336),"потери "&amp;FIXED(R336,1)&amp;" % &gt; "&amp;DV336&amp;" %",""),""),IFERROR(IF(LEFT(GZ336,4)="мало","Iкз мало — отключение &gt; 0,4 с",""),""),IF(AND(B336&lt;&gt;"",BH336=""),"не на схеме",""),IF(AND(CA336=0,B336&lt;&gt;"",FE336&lt;&gt;"",IF(AW336=1,"",FF335)&lt;&gt;"",FE336&lt;&gt;IF(AW336=1,"",FF335)),"фаза не как у автомата группы ("&amp;IF(AW336=1,"",FF335)&amp;")","")))</f>
        <v/>
      </c>
      <c r="HB336" s="6" t="str">
        <f>IF(OR(CA336=0,DA336=""),"",_xlfn.LET(_xlpm.t,IFERROR(_xlfn.XLOOKUP(DA336,Каталог!$U$4:$U$500,Каталог!$G$4:$G$500),""),_xlpm.k,SEARCH("кА",_xlpm.t),IFERROR(--TRIM(RIGHT(SUBSTITUTE(MID(_xlpm.t,MAX(1,_xlpm.k-4),_xlpm.k-MAX(1,_xlpm.k-4))," ",REPT(" ",9)),5)),"")))</f>
        <v/>
      </c>
      <c r="HC336" t="str">
        <f>IF(OR(HB336="",CA336=0),"",IF(_xlfn.XLOOKUP(A336,Щиты[Щит],Щиты[Iкз max на шинах, кА],"")="","",IF(HB336&lt;_xlfn.XLOOKUP(A336,Щиты[Щит],Щиты[Iкз max на шинах, кА]),"Icu "&amp;HB336&amp;" кА &lt; Iкз max","ok")))</f>
        <v/>
      </c>
      <c r="HD336" t="str">
        <f t="shared" si="713"/>
        <v/>
      </c>
      <c r="HE336" t="str">
        <f t="shared" si="714"/>
        <v/>
      </c>
      <c r="HF336" t="str">
        <f t="shared" si="715"/>
        <v/>
      </c>
      <c r="HG336" t="str" cm="1">
        <f t="array" ref="HG336">IF(HF336="","",_xlfn.LET(_xlpm.nd,_xlfn.TEXTSPLIT(HF336,"|"),IF(COLUMNS(_xlpm.nd)&gt;1,A336&amp;"¦"&amp;INDEX(_xlpm.nd,1)&amp;"¦"&amp;INDEX(_xlpm.nd,2),"")))</f>
        <v/>
      </c>
      <c r="HH336" t="str">
        <f t="shared" si="716"/>
        <v/>
      </c>
      <c r="HI336" t="str" cm="1">
        <f t="array" ref="HI336">IF(HF336="","",_xlfn.LET(_xlpm.nd,_xlfn.TEXTSPLIT(HF336,"|"),IF(COLUMNS(_xlpm.nd)&gt;2,A336&amp;"¦"&amp;INDEX(_xlpm.nd,2)&amp;"¦"&amp;INDEX(_xlpm.nd,3),"")))</f>
        <v/>
      </c>
      <c r="HJ336" t="str">
        <f t="shared" si="717"/>
        <v/>
      </c>
      <c r="HK336" t="str" cm="1">
        <f t="array" ref="HK336">IF(HF336="","",_xlfn.LET(_xlpm.nd,_xlfn.TEXTSPLIT(HF336,"|"),IF(COLUMNS(_xlpm.nd)&gt;3,A336&amp;"¦"&amp;INDEX(_xlpm.nd,3)&amp;"¦"&amp;INDEX(_xlpm.nd,4),"")))</f>
        <v/>
      </c>
      <c r="HL336" t="str">
        <f t="shared" si="718"/>
        <v/>
      </c>
      <c r="HM336" t="str" cm="1">
        <f t="array" ref="HM336">IF(HF336="","",_xlfn.LET(_xlpm.nd,_xlfn.TEXTSPLIT(HF336,"|"),IF(COLUMNS(_xlpm.nd)&gt;4,A336&amp;"¦"&amp;INDEX(_xlpm.nd,4)&amp;"¦"&amp;INDEX(_xlpm.nd,5),"")))</f>
        <v/>
      </c>
      <c r="HN336" t="str">
        <f t="shared" si="719"/>
        <v/>
      </c>
      <c r="HO336" t="str" cm="1">
        <f t="array" ref="HO336">IF(HF336="","",_xlfn.LET(_xlpm.nd,_xlfn.TEXTSPLIT(HF336,"|"),IF(COLUMNS(_xlpm.nd)&gt;5,A336&amp;"¦"&amp;INDEX(_xlpm.nd,5)&amp;"¦"&amp;INDEX(_xlpm.nd,6),"")))</f>
        <v/>
      </c>
      <c r="HP336" t="str">
        <f t="shared" si="720"/>
        <v/>
      </c>
      <c r="HQ336" t="str" cm="1">
        <f t="array" ref="HQ336">IF(HF336="","",_xlfn.LET(_xlpm.nd,_xlfn.TEXTSPLIT(HF336,"|"),IF(COLUMNS(_xlpm.nd)&gt;6,A336&amp;"¦"&amp;INDEX(_xlpm.nd,6)&amp;"¦"&amp;INDEX(_xlpm.nd,7),"")))</f>
        <v/>
      </c>
      <c r="HR336" t="str">
        <f t="shared" si="721"/>
        <v/>
      </c>
      <c r="HS336" t="str">
        <f t="shared" si="722"/>
        <v/>
      </c>
      <c r="HT336" t="str">
        <f t="shared" si="723"/>
        <v/>
      </c>
      <c r="HU336">
        <f t="shared" si="724"/>
        <v>0</v>
      </c>
      <c r="HV336">
        <f t="shared" si="725"/>
        <v>0</v>
      </c>
      <c r="HW336" t="str">
        <f t="shared" si="726"/>
        <v/>
      </c>
      <c r="HX336" t="str">
        <f t="shared" si="727"/>
        <v/>
      </c>
      <c r="HY336" t="str">
        <f t="shared" si="728"/>
        <v/>
      </c>
      <c r="HZ336" t="str">
        <f t="shared" si="729"/>
        <v/>
      </c>
      <c r="IA336">
        <f>IF(B336="","",IFERROR(VLOOKUP(B336,УГО_спр,2,FALSE),IFERROR(VLOOKUP(AX336,УГО_спр,2,FALSE),IFERROR(VLOOKUP(LEFT(AX336,2),УГО_спр,2,FALSE),""))))</f>
        <v>0</v>
      </c>
      <c r="IB336" t="str">
        <f>IF(B336="","",IF(OR(IA336="",IA336=0),"BOX",IFERROR(IF(VLOOKUP(IA336,УГО_блоки,3,FALSE)&amp;""&lt;&gt;"",VLOOKUP(IA336,УГО_блоки,3,FALSE),VLOOKUP(IA336,УГО_блоки,2,FALSE)),IA336)))</f>
        <v>BOX</v>
      </c>
      <c r="IC336">
        <f t="shared" si="730"/>
        <v>1</v>
      </c>
      <c r="ID336" t="str">
        <f>IF(DA336="","",IF(COUNTIF(DA$3:DA336,DA336)=1,MAX(ID$2:ID335)+1,""))</f>
        <v/>
      </c>
      <c r="IE336" t="str">
        <f>IF(CO336="","",IF(COUNTIF(CO$3:CO336,CO336)+COUNTIF(CP$2:CP335,CO336)+COUNTIF(CQ$2:CQ335,CO336)=1,MAX(IE$2:IG335)+1,""))</f>
        <v/>
      </c>
      <c r="IF336" t="str">
        <f>IF(CP336="","",IF(COUNTIF(CO$3:CO336,CP336)+COUNTIF(CP$3:CP336,CP336)+COUNTIF(CQ$2:CQ335,CP336)=1,MAX(IE$2:IG335,IE336)+1,""))</f>
        <v/>
      </c>
      <c r="IG336" t="str">
        <f>IF(CQ336="","",IF(COUNTIF(CO$3:CO336,CQ336)+COUNTIF(CP$3:CP336,CQ336)+COUNTIF(CQ$3:CQ336,CQ336)=1,MAX(IE$2:IG335,IE336,IF336)+1,""))</f>
        <v/>
      </c>
      <c r="IH336" t="str">
        <f t="shared" si="731"/>
        <v/>
      </c>
      <c r="II336" t="str">
        <f>IF(IH336="","",IF(COUNTIF(IH$3:IH336,IH336)=1,MAX(II$2:II335)+1,""))</f>
        <v/>
      </c>
      <c r="IJ336" t="str">
        <f>IF(GL336="","",COUNTIF(GL$3:GL336,"?*"))</f>
        <v/>
      </c>
      <c r="IK336" t="str">
        <f>IF(OR(GL336="",GN336=""),"",IF(COUNTIFS(GL$3:GL336,"?*",GN$3:GN336,GN336)=1,MAX(IK$2:IK335)+1,""))</f>
        <v/>
      </c>
      <c r="IL336">
        <f t="shared" si="732"/>
        <v>0</v>
      </c>
      <c r="IM336">
        <f>IF(B336="","",COUNTIF(B$3:B336,"?*"))</f>
        <v>334</v>
      </c>
      <c r="IN336">
        <f>IF(GQ336&lt;&gt;1,0,_xlfn.LET(_xlpm.k,MAX(IFERROR(--VLOOKUP(B336,УГО_спр,5,FALSE),0),IFERROR(--VLOOKUP(AX336,УГО_спр,5,FALSE),0),IFERROR(--VLOOKUP(LEFT(AX336,2),УГО_спр,5,FALSE),0)),IF(_xlpm.k&gt;0,_xlpm.k,IF(IFERROR(--LEFT(SUBSTITUTE(IH336,"x","х"),FIND("х",SUBSTITUTE(IH336,"x","х"))-1),3)&gt;3,Каталог!$S$9,1))))</f>
        <v>0</v>
      </c>
      <c r="IO336">
        <f t="shared" si="733"/>
        <v>0</v>
      </c>
      <c r="IP336" t="str">
        <f t="shared" si="734"/>
        <v>авто</v>
      </c>
      <c r="IQ336" t="str">
        <f t="shared" si="735"/>
        <v/>
      </c>
      <c r="IR336">
        <f t="shared" si="736"/>
        <v>0</v>
      </c>
      <c r="IS336">
        <f t="shared" si="737"/>
        <v>1</v>
      </c>
    </row>
    <row r="337" spans="1:253" x14ac:dyDescent="0.3">
      <c r="A337" t="s">
        <v>1105</v>
      </c>
      <c r="B337" t="s">
        <v>1595</v>
      </c>
      <c r="C337" t="s">
        <v>1692</v>
      </c>
      <c r="D337">
        <v>1</v>
      </c>
      <c r="E337">
        <v>0.4</v>
      </c>
      <c r="G337">
        <v>16</v>
      </c>
      <c r="H337" t="str">
        <f>Линии[[#This Row],[_авто утечка]]</f>
        <v/>
      </c>
      <c r="I337" t="str">
        <f>Линии[[#This Row],[_авто управление]]</f>
        <v/>
      </c>
      <c r="J337" t="str">
        <f>Линии[[#This Row],[_авто аппараты]]</f>
        <v/>
      </c>
      <c r="K337">
        <v>2.5</v>
      </c>
      <c r="L337">
        <v>46</v>
      </c>
      <c r="M337" t="str">
        <f>Линии[[#This Row],[_авто фаза]]</f>
        <v>L1</v>
      </c>
      <c r="N337" t="str">
        <f>Линии[[#This Row],[_авто клемма]]</f>
        <v>XT1</v>
      </c>
      <c r="O337" t="str">
        <f t="shared" si="615"/>
        <v/>
      </c>
      <c r="P337" s="6" cm="1">
        <f t="array" ref="P337">IF(B337="","",IF(BC337&lt;&gt;"",IFERROR(_xlfn.XLOOKUP(BC337,Щиты[Щит],Щиты[Iр, А]),""),IF(BK337=1,IFERROR(_xlfn.XLOOKUP(A337,Щиты[Щит],Щиты[Iр, А]),""),IFERROR(_xlfn.IFS(BR337=1,BN337/((Uн_лин/SQRT(3))*BY337),BR337=3,BN337/(SQRT(3)*Uн_лин*BY337)),""))))</f>
        <v>1.823211376388292</v>
      </c>
      <c r="Q337" s="7">
        <f>IF(B337="","",IFERROR(IF(VLOOKUP(AX337,Потребители_обозначение,4,FALSE)=1,VLOOKUP(AX337,Потребители_обозначение,3,FALSE)*(D337*2-1)+DS337+VLOOKUP(AZ337,Этаж_обозначение,3,FALSE)+VLOOKUP(AZ337,Этаж_обозначение,4,FALSE),VLOOKUP(AX337,Потребители_обозначение,3,FALSE)*(D337*2-1)+DS337),DS337))</f>
        <v>46</v>
      </c>
      <c r="R337" s="6">
        <f t="shared" si="616"/>
        <v>1.04</v>
      </c>
      <c r="S337" t="str">
        <f t="shared" si="617"/>
        <v>ВВГнг(А)-FRLS (3х2,5)</v>
      </c>
      <c r="T337" t="str">
        <f>IF(BH337="","",IF(BI337="вводной узел","узел ","")&amp;"л."&amp;(INT((BH337-1)/Столбцов_на_лист)+1)&amp;" / "&amp;(MOD(BH337-1,Столбцов_на_лист)+1))</f>
        <v>л.2 / 1</v>
      </c>
      <c r="V337">
        <v>1</v>
      </c>
      <c r="W337">
        <v>230</v>
      </c>
      <c r="X337" t="s">
        <v>575</v>
      </c>
      <c r="AC337" t="s">
        <v>861</v>
      </c>
      <c r="AD337" t="s">
        <v>490</v>
      </c>
      <c r="AE337" t="s">
        <v>593</v>
      </c>
      <c r="AI337">
        <v>18</v>
      </c>
      <c r="AJ337" t="s">
        <v>13</v>
      </c>
      <c r="AK337">
        <v>3</v>
      </c>
      <c r="AM337">
        <v>21</v>
      </c>
      <c r="AN337">
        <v>17</v>
      </c>
      <c r="AP337">
        <v>1</v>
      </c>
      <c r="AW337" cm="1">
        <f t="array" ref="AW337">ROW()-ROW(Линии[#Headers])</f>
        <v>335</v>
      </c>
      <c r="AX337" s="6" t="str">
        <f t="shared" si="618"/>
        <v>FCP1-2</v>
      </c>
      <c r="AY337" t="str">
        <f t="shared" si="619"/>
        <v/>
      </c>
      <c r="AZ337" t="str">
        <f t="shared" si="620"/>
        <v/>
      </c>
      <c r="BA337" t="str">
        <f t="shared" si="621"/>
        <v/>
      </c>
      <c r="BB337" t="str">
        <f t="shared" si="622"/>
        <v/>
      </c>
      <c r="BC337" t="str">
        <f>IF(U337&lt;&gt;"",U337,IF(AND(B337&lt;&gt;"",B337&lt;&gt;A337,ISNUMBER(_xlfn.XMATCH(B337,Щиты[Щит]))),B337,""))</f>
        <v/>
      </c>
      <c r="BD337" t="str" cm="1">
        <f t="array" ref="BD337">IF(B337="","",IF(BC337&lt;&gt;"","Щит "&amp;BC337,_xlfn.LET(_xlpm.nm,IFERROR(_xlfn.XLOOKUP(AX337,Коды_код,Коды_имя)&amp;"",""),_xlpm.md,IFERROR(N(_xlfn.XLOOKUP(AX337,Коды_код,Коды_режим)),1),_xlpm.ex,IF(Имя_режим="по экспликации",IFERROR(_xlfn.XLOOKUP(AZ337&amp;"|"&amp;BB337,Экспликация[Этаж]&amp;"|"&amp;Экспликация[Помещение],Экспликация[Название])&amp;"",""),""),_xlpm.rm,IF(BB337="","",IF(_xlpm.ex&lt;&gt;"",". "&amp;_xlpm.ex&amp;IF(Имя_пом="нет"," ("&amp;BB337&amp;")"," (пом. "&amp;BB337&amp;")"),IF(Имя_пом="нет"," ",", пом. ")&amp;BB337)),IF(_xlpm.nm="","",IF(_xlpm.md=2,_xlpm.nm&amp;" шлейф "&amp;AZ337,_xlpm.nm&amp;_xlpm.rm)))))</f>
        <v/>
      </c>
      <c r="BE337" t="str">
        <f t="shared" si="623"/>
        <v>шкаф пожарной сигнализации  Подвальный этаж Пом. №007Т</v>
      </c>
      <c r="BF337">
        <f>IFERROR(_xlfn.XMATCH(A337,Щиты[Щит]),0)</f>
        <v>16</v>
      </c>
      <c r="BG337">
        <f>_xlfn.LET(_xlpm.k,IFERROR(_xlfn.XLOOKUP(A337,Щиты[Щит],Щиты[Листов под вводной узел]),""),IF(_xlpm.k="",1,N(_xlpm.k))*Столбцов_на_лист)</f>
        <v>17</v>
      </c>
      <c r="BH337">
        <f t="shared" si="624"/>
        <v>18</v>
      </c>
      <c r="BI337" t="str">
        <f t="shared" si="625"/>
        <v>линии</v>
      </c>
      <c r="BJ337" s="6">
        <f>IFERROR(N(_xlfn.XLOOKUP(AX337,Коды_код,Коды_квт)),0)</f>
        <v>0</v>
      </c>
      <c r="BK337">
        <f t="shared" si="626"/>
        <v>0</v>
      </c>
      <c r="BL337" t="str">
        <f>IF(B337="","",IF(BC337&lt;&gt;"",IFERROR(_xlfn.XLOOKUP(BC337,Щиты[Щит],Щиты[Руст, кВт]),0),IF(BK337=1,IFERROR(_xlfn.XLOOKUP(A337,Щиты[Щит],Щиты[Руст, кВт]),0),IF(BJ337&gt;0,ROUND(BJ337*MAX(1,N(D337)),3),""))))</f>
        <v/>
      </c>
      <c r="BM337">
        <f t="shared" si="627"/>
        <v>0.4</v>
      </c>
      <c r="BN337" s="6">
        <f>IF(B337="","",IF(BC337&lt;&gt;"",IFERROR(_xlfn.XLOOKUP(BC337,Щиты[Щит],Щиты[Руст, кВт]),0),N(BM337)))</f>
        <v>0.4</v>
      </c>
      <c r="BO337" t="str">
        <f>IF(B337="","",IFERROR(IF(VLOOKUP(AX337,Потребители_обозначение,8,FALSE)=0,"",VLOOKUP(AX337,Потребители_обозначение,8,FALSE)),""))</f>
        <v/>
      </c>
      <c r="BP337">
        <f t="shared" si="628"/>
        <v>230</v>
      </c>
      <c r="BQ337">
        <f>IF(B337="","",IF(BC337&lt;&gt;"",3,IFERROR(IF(N(VLOOKUP(AX337,Потребители_обозначение,9,FALSE))=0,1,VLOOKUP(AX337,Потребители_обозначение,9,FALSE)),1)))</f>
        <v>1</v>
      </c>
      <c r="BR337">
        <f t="shared" si="629"/>
        <v>1</v>
      </c>
      <c r="BS337" t="str">
        <f>IF(B337="","",_xlfn.LET(_xlpm.bc,IFERROR(IF(VLOOKUP(AX337,Потребители_обозначение,6,FALSE)=0,"",VLOOKUP(AX337,Потребители_обозначение,6,FALSE)&amp;""),""),IF(AND(FK337="да",OR(_xlpm.bc="",_xlpm.bc="мс")),Марка_пож,IF(AND(_xlpm.bc="",BC337&lt;&gt;""),"мс",_xlpm.bc))))</f>
        <v>мфр</v>
      </c>
      <c r="BT337" t="str">
        <f t="shared" si="630"/>
        <v>мфр</v>
      </c>
      <c r="BU337">
        <f>IF(B337="","",_xlfn.LET(_xlpm.cc,IFERROR(N(VLOOKUP(AX337,Потребители_обозначение,7,FALSE)),0),IF(_xlpm.cc&gt;0,_xlpm.cc,IF(BT337="","",IF(N(BR337)=3,5,3)))))</f>
        <v>3</v>
      </c>
      <c r="BV337">
        <f t="shared" si="631"/>
        <v>3</v>
      </c>
      <c r="BW337">
        <f>IFERROR(N(VLOOKUP(AX337,Потребители_обозначение,10,FALSE)),0)</f>
        <v>0</v>
      </c>
      <c r="BX337">
        <f>IFERROR(VLOOKUP(AX337,Потребители_обозначение,5,FALSE),0)</f>
        <v>0</v>
      </c>
      <c r="BY337" s="6" cm="1">
        <f t="array" ref="BY337">IF(B337="","",IF(BC337&lt;&gt;"",IFERROR(_xlfn.XLOOKUP(BC337,Щиты[Щит],Щиты[cos φ]),0.95),IF(BK337=1,IFERROR(_xlfn.XLOOKUP(A337,Щиты[Щит],Щиты[cos φ]),0.95),IF(ISNUMBER(Z337),Z337,IFERROR(IF(BX337=2,_xlfn.IFS(BR337=3,VLOOKUP(BN337,Справочная_двигатели,8,FALSE),BR337=1,VLOOKUP(BN337,Справочная_двигатели,10,TRUE)),IF(AND(Методика="нормы 2026",EQ337="Сил"),0.8,0.95)),0.95)))))</f>
        <v>0.95</v>
      </c>
      <c r="BZ337">
        <f t="shared" si="632"/>
        <v>0</v>
      </c>
      <c r="CA337">
        <f t="shared" si="633"/>
        <v>1</v>
      </c>
      <c r="CB337">
        <f t="shared" si="634"/>
        <v>0</v>
      </c>
      <c r="CC337">
        <f t="shared" si="635"/>
        <v>0</v>
      </c>
      <c r="CD337">
        <f t="shared" si="636"/>
        <v>0</v>
      </c>
      <c r="CE337">
        <f t="shared" si="637"/>
        <v>0</v>
      </c>
      <c r="CF337">
        <f t="shared" si="638"/>
        <v>0</v>
      </c>
      <c r="CG337">
        <f>IF(AX337="",0,_xlfn.LET(_xlpm.v,IFERROR(VLOOKUP(B337,УГО_спр,3,FALSE),IFERROR(VLOOKUP(AX337,УГО_спр,3,FALSE),IFERROR(VLOOKUP(LEFT(AX337,2),УГО_спр,3,FALSE),""))),IF(_xlpm.v="да",30,IF(ISNUMBER(_xlpm.v),_xlpm.v,0))))</f>
        <v>0</v>
      </c>
      <c r="CH337" t="str">
        <f t="shared" si="639"/>
        <v/>
      </c>
      <c r="CI337" t="str">
        <f>_xlfn.LET(_xlpm.k,IFERROR(_xlfn.XLOOKUP(AX337,Коды_код,Коды_утечка)&amp;"",""),IF(_xlpm.k="","дифавтомат",_xlpm.k))</f>
        <v>дифавтомат</v>
      </c>
      <c r="CJ337">
        <f t="shared" si="640"/>
        <v>0</v>
      </c>
      <c r="CK337">
        <f t="shared" si="641"/>
        <v>0</v>
      </c>
      <c r="CL337">
        <f>IF(B337="",0,IFERROR(--VLOOKUP(B337,УГО_спр,4,FALSE),IFERROR(--VLOOKUP(AX337,УГО_спр,4,FALSE),IFERROR(--VLOOKUP(LEFT(AX337,2),УГО_спр,4,FALSE),0))))</f>
        <v>0</v>
      </c>
      <c r="CM337" t="str">
        <f>IF(B337="","",IFERROR(_xlfn.XLOOKUP(AX337,Коды_код,Коды_апп)&amp;"",""))</f>
        <v/>
      </c>
      <c r="CN337" t="str">
        <f t="shared" si="642"/>
        <v/>
      </c>
      <c r="CO337" t="str" cm="1">
        <f t="array" ref="CO337">IF(TRIM(CN337&amp;"")="","",IFERROR(TRIM(INDEX(_xlfn.TEXTSPLIT(CN337&amp;";;;",";"),1)),""))</f>
        <v/>
      </c>
      <c r="CP337" t="str" cm="1">
        <f t="array" ref="CP337">IF(TRIM(CN337&amp;"")="","",IFERROR(TRIM(INDEX(_xlfn.TEXTSPLIT(CN337&amp;";;;",";"),2)),""))</f>
        <v/>
      </c>
      <c r="CQ337" t="str" cm="1">
        <f t="array" ref="CQ337">IF(TRIM(CN337&amp;"")="","",IFERROR(TRIM(INDEX(_xlfn.TEXTSPLIT(CN337&amp;";;;",";"),3)),""))</f>
        <v/>
      </c>
      <c r="CR337">
        <f t="shared" si="643"/>
        <v>0</v>
      </c>
      <c r="CS337" t="str">
        <f>IF(B337="","",_xlfn.LET(_xlpm.t,LOWER(AV337&amp;""),IF(ISNUMBER(SEARCH("dim",_xlpm.t)),"DIM",IF(ISNUMBER(SEARCH("dali",_xlpm.t)),"DALI",IF(OR(ISNUMBER(SEARCH("relay",_xlpm.t)),ISNUMBER(SEARCH("реле",_xlpm.t))),"Relay",IF(ISNUMBER(SEARCH("кнопк",_xlpm.t)),"",IFERROR(_xlfn.XLOOKUP(AX337,Коды_код,Коды_упр)&amp;"","")))))))</f>
        <v/>
      </c>
      <c r="CT337" t="str">
        <f t="shared" si="644"/>
        <v/>
      </c>
      <c r="CU337">
        <f>IF(B337="","",_xlfn.LET(_xlpm.ig,N(P337)+IF(AF337="вручную",0,N(CB337)),_xlpm.n0,IFERROR(VLOOKUP(_xlpm.ig,Автомат_номиналы,2,TRUE),0),_xlpm.mn,MAX(CL337,IF(AF337="вручную",0,N(CE337))),MAX(_xlpm.n0,_xlpm.mn,IF(CR337=1,Мин_автомат_БП,0))))</f>
        <v>6</v>
      </c>
      <c r="CV337">
        <f t="shared" si="645"/>
        <v>1</v>
      </c>
      <c r="CW337" t="str">
        <f t="shared" si="646"/>
        <v>1P</v>
      </c>
      <c r="CX337" t="str">
        <f>_xlfn.LET(_xlpm.cc,UPPER(TRIM(IFERROR(_xlfn.XLOOKUP(AX337,Коды_код,Коды_хар)&amp;"",""))),IF(OR(_xlpm.cc="B",_xlpm.cc="В"),"B",IF(_xlpm.cc="D","D","С")))</f>
        <v>С</v>
      </c>
      <c r="CY337" t="str">
        <f t="shared" si="647"/>
        <v>1P С6А</v>
      </c>
      <c r="CZ337">
        <f t="shared" si="648"/>
        <v>16</v>
      </c>
      <c r="DA337" t="str">
        <f t="shared" si="649"/>
        <v>1P С16А</v>
      </c>
      <c r="DB337" cm="1">
        <f t="array" ref="DB337">IF(DA337="","",_xlfn.LET(_xlpm.t,SUBSTITUTE(SUBSTITUTE(SUBSTITUTE(UPPER(DA337),"С","C"),"А","A"),"В","B"),_xlpm.tk,_xlfn.TEXTSPLIT(_xlpm.t,"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7" t="str">
        <f t="shared" si="650"/>
        <v>ok</v>
      </c>
      <c r="DD337">
        <f t="shared" si="651"/>
        <v>16</v>
      </c>
      <c r="DE337" t="str">
        <f t="shared" si="652"/>
        <v>1P С16А</v>
      </c>
      <c r="DF337">
        <f t="shared" si="653"/>
        <v>0</v>
      </c>
      <c r="DG337">
        <f t="shared" si="654"/>
        <v>0</v>
      </c>
      <c r="DH337">
        <f t="shared" si="655"/>
        <v>0</v>
      </c>
      <c r="DI337">
        <f t="shared" si="656"/>
        <v>1.823211376388292</v>
      </c>
      <c r="DJ337">
        <f t="shared" si="657"/>
        <v>1</v>
      </c>
      <c r="DK337">
        <f>IF(ISNUMBER(AL337),AL337,К_прокл)</f>
        <v>1</v>
      </c>
      <c r="DL337">
        <f t="shared" si="658"/>
        <v>2</v>
      </c>
      <c r="DM337">
        <f>IFERROR(N(VLOOKUP(BT337,Кабель_обозначение,3,FALSE)),1)</f>
        <v>1</v>
      </c>
      <c r="DN337">
        <f>IFERROR(N(_xlfn.XLOOKUP(A337,Щиты[Щит],Щиты[ΔU до шин, %])),0)</f>
        <v>0.41000000000000003</v>
      </c>
      <c r="DO337" t="str">
        <f>IFERROR(_xlfn.XLOOKUP(A337,Щиты[Щит],Щиты[Zпетли на шинах, Ом]),"")</f>
        <v/>
      </c>
      <c r="DP337">
        <f>IFERROR(N(_xlfn.XLOOKUP(A337,Щиты[Щит],Щиты[ΔU до шин (подбор), %])),0)</f>
        <v>0.68</v>
      </c>
      <c r="DQ337" t="str">
        <f>IFERROR(_xlfn.XLOOKUP(A337,Щиты[Щит],Щиты[Zпетли на шинах (подбор), Ом]),"")</f>
        <v/>
      </c>
      <c r="DR337" t="str">
        <f t="shared" si="659"/>
        <v/>
      </c>
      <c r="DS337">
        <f t="shared" si="660"/>
        <v>46</v>
      </c>
      <c r="DT337">
        <f t="shared" si="661"/>
        <v>2</v>
      </c>
      <c r="DU337">
        <f t="shared" si="662"/>
        <v>0.31</v>
      </c>
      <c r="DV337" s="6">
        <f>IF(B337="","",IF(IFERROR(VLOOKUP(AX337,УГО_спр,2,FALSE),"")="Светильник",3,4)+IF(Методика="нормы 2026",MIN(0.5,MAX(0,N(Q337)-100)*0.005),0))</f>
        <v>4</v>
      </c>
      <c r="DW337" cm="1">
        <f t="array" ref="DW337">IF(OR(B337="",BT337="",DM337&lt;&gt;1),"",_xlfn.LET(_xlpm.sz,Iдоп_S,_xlpm.t_,CHOOSE(DL337,Iдоп_1ж,Iдоп_2ж,Iдоп_3ж)*DJ337*DK337,_xlpm.inn,N(DD337),_xlpm.smin,MAX(1.5,BW337),_xlpm.L_,N(Q337)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337)*(_xlpm.rho*_xlpm.L_/_xlpm.sz*N(BY337)+_xlpm.xx*_xlpm.L_*N(DU337)/1000)*N(P337)/((Uн_лин/SQRT(3))*1000)*100,999),_xlpm.kz,IF(OR(DG337=1,NOT(ISNUMBER(DQ337)),_xlpm.L_=0,_xlpm.inn=0),1,IFERROR(--(c_min*(Uн_лин*1000/SQRT(3))/(DQ337+2*ρкз_Cu*_xlpm.L_/_xlpm.sz)&gt;=GY337*_xlpm.inn),0)),_xlpm.ok,IFERROR((_xlpm.sz&gt;=_xlpm.smin)*(_xlpm.t_&gt;=_xlpm.inn)*IF(_xlpm.L_&gt;0,(_xlpm.du_+DP337&lt;=DV337+0.00001),1)*_xlpm.kz,0),_xlpm.r_,_xlfn._xlws.FILTER(_xlpm.sz,_xlpm.ok,"не подобрано"),INDEX(_xlpm.r_,1)))</f>
        <v>1.5</v>
      </c>
      <c r="DX337">
        <f t="shared" si="663"/>
        <v>2.5</v>
      </c>
      <c r="DY337" cm="1">
        <f t="array" ref="DY337">IF(OR(B337="",BT337="",DM337&lt;&gt;1),"",_xlfn.LET(_xlpm.sz,Iдоп_S,_xlpm.t_,CHOOSE(DL337,Iдоп_1ж,Iдоп_2ж,Iдоп_3ж)*DJ337*DK337,_xlpm.ok,IFERROR((_xlpm.sz&gt;=MAX(1.5,BW337))*(_xlpm.t_&gt;=N(DD337)),0),_xlpm.r_,_xlfn._xlws.FILTER(_xlpm.sz,_xlpm.ok,""),INDEX(_xlpm.r_,1)))</f>
        <v>1.5</v>
      </c>
      <c r="DZ337" s="6" cm="1">
        <f t="array" ref="DZ337">IFERROR(ROUNDUP(N(DT337)*(_xlfn.XLOOKUP(DY337,INDEX(Кабель_сопротивление,0,1),INDEX(Кабель_сопротивление,0,3))*N(Q337)/DY337*N(BY337)+_xlfn.XLOOKUP(DY337,INDEX(Кабель_сопротивление,0,1),INDEX(Кабель_сопротивление,0,2))*N(Q337)*N(DU337)/1000)*N(P337)/((Uн_лин/SQRT(3))*1000)*100,2),"")</f>
        <v>1.04</v>
      </c>
      <c r="EA337">
        <f>IFERROR(2*ρкз_Cu*N(Q337)/DY337,"")</f>
        <v>1.6130666666666666</v>
      </c>
      <c r="EB337">
        <f>IFERROR(VLOOKUP(DX337,Кабель_сопротивление,3,FALSE),"")</f>
        <v>2.2499999999999999E-2</v>
      </c>
      <c r="EC337">
        <f>IFERROR(VLOOKUP(DX337,Кабель_сопротивление,2,FALSE),"")</f>
        <v>0.1</v>
      </c>
      <c r="ED337">
        <f t="shared" si="664"/>
        <v>17</v>
      </c>
      <c r="EE337">
        <f t="shared" si="665"/>
        <v>0</v>
      </c>
      <c r="EF337">
        <f t="shared" si="666"/>
        <v>1.4393378675124897</v>
      </c>
      <c r="EG337" s="6">
        <f>IFERROR(ROUNDUP(EF337/((Uн_лин/SQRT(3))*1000)*100,2),"")</f>
        <v>0.63</v>
      </c>
      <c r="EH337" t="str">
        <f>IFERROR(VLOOKUP(BT337,Кабель_обозначение,2,FALSE),"")</f>
        <v>ВВГнг(А)-FRLS</v>
      </c>
      <c r="EI337" t="str">
        <f t="shared" si="667"/>
        <v>ВВГнг(А)-FRLS (3х2,5)</v>
      </c>
      <c r="EJ337" t="str">
        <f t="shared" si="668"/>
        <v>ВВГнг(А)-FRLS (3х2,5)
L=46-0,63%</v>
      </c>
      <c r="EK337">
        <f>IFERROR(2*ρкз_Cu*Q337/DX337,"")</f>
        <v>0.96784000000000003</v>
      </c>
      <c r="EL337">
        <f t="shared" si="669"/>
        <v>0.32200000000000001</v>
      </c>
      <c r="EM337" s="6" t="str">
        <f>IFERROR(IF(OR(B337="",NOT(ISNUMBER(DX337)),N(Q337)=0),"",_xlfn.XLOOKUP(A337,Щиты[Щит],Щиты[Zпетли на шинах, Ом])+EK337),"")</f>
        <v/>
      </c>
      <c r="EN337" s="6" t="str">
        <f>IF(ISNUMBER(EM337),c_min*(Uн_лин*1000/SQRT(3))/EM337,"")</f>
        <v/>
      </c>
      <c r="EO337" s="6" t="str">
        <f>IFERROR(IF(OR(B337="",NOT(ISNUMBER(DX337))),"",1.05*(Uн_лин*1000/SQRT(3))/(_xlfn.XLOOKUP(A337,Щиты[Щит],Щиты[Zmax на шинах, Ом])+EL337)/1000),"")</f>
        <v/>
      </c>
      <c r="EP337" s="6" t="str">
        <f>IF(B337="","",IF(ISNUMBER(Y337),"Сил",IF(IFERROR(_xlfn.XLOOKUP(AX337,Коды_код,Коды_группа)&amp;"","")="","Быт",_xlfn.XLOOKUP(AX337,Коды_код,Коды_группа)&amp;"")))</f>
        <v>Быт</v>
      </c>
      <c r="EQ337" s="6" t="str">
        <f t="shared" si="670"/>
        <v>Пост</v>
      </c>
      <c r="ER337" s="6">
        <f>IF(EQ337="Щит","щит",IF(EQ337="","",IF(EQ337="Быт",IFERROR(_xlfn.XLOOKUP(A337,Щиты[Щит],Щиты[Кс быт]),1),IF(EQ337="Сил",IF(ISNUMBER(Y337),Y337,IF(Методика="нормы 2026",IFERROR(_xlfn.XLOOKUP(A337,Щиты[Щит],Щиты[Кс силовых (табл. 7.5)]),1),1)),IF(OR(EQ337="Пост",EQ337="Отоп"),1,IF(EQ337="ВНГ",0.7,0))))))</f>
        <v>1</v>
      </c>
      <c r="ES337">
        <f t="shared" si="671"/>
        <v>1</v>
      </c>
      <c r="ET337">
        <f t="shared" si="672"/>
        <v>0.4</v>
      </c>
      <c r="EU337">
        <f t="shared" si="673"/>
        <v>0</v>
      </c>
      <c r="EV337">
        <f t="shared" si="674"/>
        <v>0</v>
      </c>
      <c r="EW337">
        <f t="shared" si="675"/>
        <v>0.4</v>
      </c>
      <c r="EX337">
        <f t="shared" si="676"/>
        <v>0</v>
      </c>
      <c r="EY337">
        <f t="shared" si="677"/>
        <v>0</v>
      </c>
      <c r="EZ337">
        <f t="shared" si="678"/>
        <v>0.4</v>
      </c>
      <c r="FA337">
        <f t="shared" si="679"/>
        <v>0.38</v>
      </c>
      <c r="FB337">
        <f t="shared" si="680"/>
        <v>0.4</v>
      </c>
      <c r="FC337" t="str">
        <f t="shared" si="681"/>
        <v/>
      </c>
      <c r="FD337" t="str">
        <f>IF(B337="","",IF(CA337=0,IF(AW337=1,"",FF336),IF(OR(N(CV337)&gt;=3,N(BR337)&gt;=3),"L1,L2,L3",IFERROR(_xlfn.TEXTBEFORE(_xlfn.TEXTAFTER(_xlfn.XLOOKUP(A337,Щиты[Щит],Щиты[_фазы авто]),";"&amp;AW337&amp;":"),";"),"L1"))))</f>
        <v>L1</v>
      </c>
      <c r="FE337" t="str">
        <f t="shared" si="682"/>
        <v>L1</v>
      </c>
      <c r="FF337" t="str">
        <f t="shared" si="683"/>
        <v>L1</v>
      </c>
      <c r="FG337" cm="1">
        <f t="array" ref="FG337">IFERROR(IF(BX337=2,_xlfn.IFS(BR337=3,VLOOKUP(BN337,Справочная_двигатели,3,FALSE),BR337=1,VLOOKUP(BN337,Справочная_двигатели,5,TRUE)),0),0)</f>
        <v>0</v>
      </c>
      <c r="FH337">
        <f>IFERROR(IF(BX337=3,VLOOKUP(BN337,Справочная_ЛЭД,2,TRUE),0),0)</f>
        <v>0</v>
      </c>
      <c r="FI337" s="6">
        <f t="shared" si="684"/>
        <v>0</v>
      </c>
      <c r="FJ337" t="str" cm="1">
        <f t="array" ref="FJ337">IF(B337="","",IFERROR(INDEX({"I особая","I","II","III"},MATCH(TRIM(AC337&amp;""),{"I особая","I","II","III"},0)),"III"))</f>
        <v>I</v>
      </c>
      <c r="FK337" t="str">
        <f>IF(B337="","",IF(TRIM(AD337&amp;"")&lt;&gt;"",IF(LOWER(TRIM(AD337&amp;""))="да","да","нет"),IF(IFERROR(_xlfn.XLOOKUP(AX337,Коды_код,Коды_пожарная),"")="да","да","нет")))</f>
        <v>да</v>
      </c>
      <c r="FL337" t="str">
        <f t="shared" si="685"/>
        <v/>
      </c>
      <c r="FM337" t="str">
        <f t="shared" si="686"/>
        <v>основная</v>
      </c>
      <c r="FN337">
        <f t="shared" si="687"/>
        <v>1</v>
      </c>
      <c r="FO337" t="str" cm="1">
        <f t="array" ref="FO337">IF(B337="","",_xlfn.LET(_xlpm.t,IFERROR(_xlfn.XLOOKUP(1,(Шины[Шина]=FM337)*(((Шины[Щит]=A337)+(Шины[Щит]=""))&gt;0),Шины[Тип]),"")&amp;"",IF(_xlpm.t&lt;&gt;"",_xlpm.t,IF(ISNUMBER(SEARCH("ИБП",FM337)),"ИБП",IF(ISNUMBER(SEARCH("ДГУ",FM337)),"ДГУ","Ввод "&amp;FN337)))))</f>
        <v>Ввод 1</v>
      </c>
      <c r="FP337" t="str">
        <f t="shared" si="688"/>
        <v>Ввод 1</v>
      </c>
      <c r="FQ337" t="str">
        <f>IF(B337="","",IF(OR(FO337="ИБП",FO337="ДГУ"),"I особая",IF(FO337="Одиночная","III",_xlfn.XLOOKUP(A337,Щиты[Щит],Щиты[Категория шины «Ввод»],"III"))))</f>
        <v>I</v>
      </c>
      <c r="FR337">
        <f>IF(B337="",0,IFERROR(MATCH(FJ337,{"III","II","I","I особая"},0),1))</f>
        <v>3</v>
      </c>
      <c r="FS337">
        <f t="shared" si="689"/>
        <v>3</v>
      </c>
      <c r="FT337" t="str">
        <f>IF(B337="","",IF(FR337&gt;IFERROR(MATCH(FQ337,{"III","II","I","I особая"},0),1),"НЕ ОБЕСПЕЧЕНА","ОК"))</f>
        <v>ОК</v>
      </c>
      <c r="FU337" t="str">
        <f>IF(A337="","",_xlfn.XLOOKUP(A337,Щиты[Щит],Щиты[Путь],""))</f>
        <v>|ГРЩ-ЖД|ЩСПЗ-ЖД|</v>
      </c>
      <c r="FV337" t="str">
        <f>IF(B337="","",IF(AE337&lt;&gt;"",AE337,IF(IFERROR(_xlfn.XLOOKUP(AX337,Коды_код,Коды_вид)&amp;"","")="","Прочее",_xlfn.XLOOKUP(AX337,Коды_код,Коды_вид)&amp;"")))</f>
        <v>Системы противопожарной защиты</v>
      </c>
      <c r="FW337">
        <f>IF(BH337="","",INT((BH337-1)/Столбцов_на_лист)+1)</f>
        <v>2</v>
      </c>
      <c r="FX337" t="str">
        <f t="shared" si="690"/>
        <v>ВВГнг(А)-FRLS (3х2,5) L=46-0,63%</v>
      </c>
      <c r="FY337">
        <f t="shared" si="691"/>
        <v>0.4</v>
      </c>
      <c r="FZ337">
        <f t="shared" si="692"/>
        <v>1.83</v>
      </c>
      <c r="GA337">
        <f t="shared" si="693"/>
        <v>1</v>
      </c>
      <c r="GB337">
        <f t="shared" si="694"/>
        <v>0</v>
      </c>
      <c r="GC337">
        <f t="shared" si="695"/>
        <v>1</v>
      </c>
      <c r="GD337">
        <f>IF(BH337="","",IF(AND(CA337=1,GC337=1),COUNTIFS(A$3:A337,A337,CA$3:CA337,1,GC$3:GC337,1),IF(OR(OR(AW337=1,A337&lt;&gt;A336),AF337="вручную",GC337=0),"",IF(AW337=1,"",GE336))))</f>
        <v>1</v>
      </c>
      <c r="GE337">
        <f t="shared" si="696"/>
        <v>1</v>
      </c>
      <c r="GF337">
        <f>IF(B337="","",IFERROR(LOOKUP(INDEX(CHOOSE(DL337,Iдоп_1ж,Iдоп_2ж,Iдоп_3ж),MATCH(DX337,Iдоп_S,0))*DJ337*DK337,{6,10,16,20,25,32,40,50,63,80,100,125,160,200,250,315,400,500,630}),""))</f>
        <v>25</v>
      </c>
      <c r="GG337" t="str">
        <f t="shared" si="697"/>
        <v>QF1</v>
      </c>
      <c r="GH337" t="str">
        <f t="shared" si="698"/>
        <v>QF1</v>
      </c>
      <c r="GI337" t="str">
        <f t="shared" si="699"/>
        <v/>
      </c>
      <c r="GJ337">
        <f t="shared" si="700"/>
        <v>0</v>
      </c>
      <c r="GK337" t="str">
        <f>IF(OR(AG337="",AG337="-"),"",IFERROR(VLOOKUP(AG337,Модули_спр,2,FALSE),"R"))</f>
        <v/>
      </c>
      <c r="GL337" t="str">
        <f>IF(GK337="","",GK337&amp;"."&amp;COUNTIFS(A$3:A337,A337,GK$3:GK337,GK337))</f>
        <v/>
      </c>
      <c r="GM337" t="str">
        <f t="shared" si="701"/>
        <v/>
      </c>
      <c r="GN337" t="str">
        <f t="shared" si="702"/>
        <v/>
      </c>
      <c r="GO337" t="str">
        <f t="shared" si="703"/>
        <v/>
      </c>
      <c r="GP337" t="str">
        <f t="shared" si="704"/>
        <v/>
      </c>
      <c r="GQ337">
        <f t="shared" si="705"/>
        <v>1</v>
      </c>
      <c r="GR337" t="str">
        <f>IF(GQ337=1,"XT"&amp;COUNTIFS(A$3:A337,A337,GQ$3:GQ337,1),"")</f>
        <v>XT1</v>
      </c>
      <c r="GS337" t="str">
        <f t="shared" si="706"/>
        <v>XT1</v>
      </c>
      <c r="GT337" t="str">
        <f t="shared" si="707"/>
        <v>QF1</v>
      </c>
      <c r="GU337" t="str">
        <f t="shared" si="708"/>
        <v/>
      </c>
      <c r="GV337" t="str">
        <f t="shared" si="709"/>
        <v>ok</v>
      </c>
      <c r="GW337" t="str">
        <f>IF(OR(GO337="",GM337=""),"",IF(GO337&gt;IFERROR(VLOOKUP(GN337,Модули_спр,3,FALSE),99),"ЛИШНИЙ КАНАЛ",IF(AND(AH337&lt;&gt;"=",COUNTIFS(Линии[_модуль гр.],GM337,Линии[Канал (итог)],GO337,Линии[Канал],"&lt;&gt;=",Линии[Щит],A337)&gt;1),"ДУБЛЬ КАНАЛА","")))</f>
        <v/>
      </c>
      <c r="GX337" s="6" t="str">
        <f t="shared" si="710"/>
        <v/>
      </c>
      <c r="GY337">
        <f t="shared" si="711"/>
        <v>10</v>
      </c>
      <c r="GZ337" t="str">
        <f t="shared" si="712"/>
        <v/>
      </c>
      <c r="HA337" t="str">
        <f>IF(AND(B337="",GT337=""),"",_xlfn.TEXTJOIN("; ",TRUE,IF(AND(B337&lt;&gt;"",FE337=""),"нет фазы",""),IF(AND(B337&lt;&gt;"",N(FY337)=0,EQ337&lt;&gt;"Нет"),"нет мощности",""),IF(AND(GS337&lt;&gt;"",COUNTIFS(Линии[Щит],A337,Линии[Клемма (итог)],GS337)&gt;1),"дубль клеммы "&amp;GS337,""),IF(AND(GV337&lt;&gt;"",GV337&lt;&gt;"ok"),GV337,""),IF(GW337&lt;&gt;"",GW337,""),IF(AND(N(BV337)&gt;=4,N(BR337)=1),BV337&amp;" жил на 1 фазе",""),IF(AND(AX337="R",CA337=1,OR(N(CK337)=0,N(CK337)&gt;30)),"розетка без дифзащиты до 30 мА",""),IFERROR(IF(AND(ISNUMBER(R337),R337&gt;DV337),"потери "&amp;FIXED(R337,1)&amp;" % &gt; "&amp;DV337&amp;" %",""),""),IFERROR(IF(LEFT(GZ337,4)="мало","Iкз мало — отключение &gt; 0,4 с",""),""),IF(AND(B337&lt;&gt;"",BH337=""),"не на схеме",""),IF(AND(CA337=0,B337&lt;&gt;"",FE337&lt;&gt;"",IF(AW337=1,"",FF336)&lt;&gt;"",FE337&lt;&gt;IF(AW337=1,"",FF336)),"фаза не как у автомата группы ("&amp;IF(AW337=1,"",FF336)&amp;")","")))</f>
        <v/>
      </c>
      <c r="HB337" s="6">
        <f>IF(OR(CA337=0,DA337=""),"",_xlfn.LET(_xlpm.t,IFERROR(_xlfn.XLOOKUP(DA337,Каталог!$U$4:$U$500,Каталог!$G$4:$G$500),""),_xlpm.k,SEARCH("кА",_xlpm.t),IFERROR(--TRIM(RIGHT(SUBSTITUTE(MID(_xlpm.t,MAX(1,_xlpm.k-4),_xlpm.k-MAX(1,_xlpm.k-4))," ",REPT(" ",9)),5)),"")))</f>
        <v>6</v>
      </c>
      <c r="HC337" t="str">
        <f>IF(OR(HB337="",CA337=0),"",IF(_xlfn.XLOOKUP(A337,Щиты[Щит],Щиты[Iкз max на шинах, кА],"")="","",IF(HB337&lt;_xlfn.XLOOKUP(A337,Щиты[Щит],Щиты[Iкз max на шинах, кА]),"Icu "&amp;HB337&amp;" кА &lt; Iкз max","ok")))</f>
        <v/>
      </c>
      <c r="HD337" t="str">
        <f t="shared" si="713"/>
        <v/>
      </c>
      <c r="HE337" t="str">
        <f t="shared" si="714"/>
        <v>QF1|XT1</v>
      </c>
      <c r="HF337" t="str">
        <f t="shared" si="715"/>
        <v>QF1|XT1|кабель ВВГнг(А)-FRLS (3х2,5) → шкаф пожарной сигнализации  Подвальный этаж Пом. №007Т</v>
      </c>
      <c r="HG337" t="str" cm="1">
        <f t="array" ref="HG337">IF(HF337="","",_xlfn.LET(_xlpm.nd,_xlfn.TEXTSPLIT(HF337,"|"),IF(COLUMNS(_xlpm.nd)&gt;1,A337&amp;"¦"&amp;INDEX(_xlpm.nd,1)&amp;"¦"&amp;INDEX(_xlpm.nd,2),"")))</f>
        <v>ЩСПЗ-ЖД¦QF1¦XT1</v>
      </c>
      <c r="HH337" t="str">
        <f t="shared" si="716"/>
        <v>FCP1-2¦шкаф пожарной сигнализации  Подвальный этаж Пом. №007Т</v>
      </c>
      <c r="HI337" t="str" cm="1">
        <f t="array" ref="HI337">IF(HF337="","",_xlfn.LET(_xlpm.nd,_xlfn.TEXTSPLIT(HF337,"|"),IF(COLUMNS(_xlpm.nd)&gt;2,A337&amp;"¦"&amp;INDEX(_xlpm.nd,2)&amp;"¦"&amp;INDEX(_xlpm.nd,3),"")))</f>
        <v>ЩСПЗ-ЖД¦XT1¦кабель ВВГнг(А)-FRLS (3х2,5) → шкаф пожарной сигнализации  Подвальный этаж Пом. №007Т</v>
      </c>
      <c r="HJ337" t="str">
        <f t="shared" si="717"/>
        <v>FCP1-2¦шкаф пожарной сигнализации  Подвальный этаж Пом. №007Т</v>
      </c>
      <c r="HK337" t="str" cm="1">
        <f t="array" ref="HK337">IF(HF337="","",_xlfn.LET(_xlpm.nd,_xlfn.TEXTSPLIT(HF337,"|"),IF(COLUMNS(_xlpm.nd)&gt;3,A337&amp;"¦"&amp;INDEX(_xlpm.nd,3)&amp;"¦"&amp;INDEX(_xlpm.nd,4),"")))</f>
        <v/>
      </c>
      <c r="HL337" t="str">
        <f t="shared" si="718"/>
        <v/>
      </c>
      <c r="HM337" t="str" cm="1">
        <f t="array" ref="HM337">IF(HF337="","",_xlfn.LET(_xlpm.nd,_xlfn.TEXTSPLIT(HF337,"|"),IF(COLUMNS(_xlpm.nd)&gt;4,A337&amp;"¦"&amp;INDEX(_xlpm.nd,4)&amp;"¦"&amp;INDEX(_xlpm.nd,5),"")))</f>
        <v/>
      </c>
      <c r="HN337" t="str">
        <f t="shared" si="719"/>
        <v/>
      </c>
      <c r="HO337" t="str" cm="1">
        <f t="array" ref="HO337">IF(HF337="","",_xlfn.LET(_xlpm.nd,_xlfn.TEXTSPLIT(HF337,"|"),IF(COLUMNS(_xlpm.nd)&gt;5,A337&amp;"¦"&amp;INDEX(_xlpm.nd,5)&amp;"¦"&amp;INDEX(_xlpm.nd,6),"")))</f>
        <v/>
      </c>
      <c r="HP337" t="str">
        <f t="shared" si="720"/>
        <v/>
      </c>
      <c r="HQ337" t="str" cm="1">
        <f t="array" ref="HQ337">IF(HF337="","",_xlfn.LET(_xlpm.nd,_xlfn.TEXTSPLIT(HF337,"|"),IF(COLUMNS(_xlpm.nd)&gt;6,A337&amp;"¦"&amp;INDEX(_xlpm.nd,6)&amp;"¦"&amp;INDEX(_xlpm.nd,7),"")))</f>
        <v/>
      </c>
      <c r="HR337" t="str">
        <f t="shared" si="721"/>
        <v/>
      </c>
      <c r="HS337" t="str">
        <f t="shared" si="722"/>
        <v/>
      </c>
      <c r="HT337" t="str">
        <f t="shared" si="723"/>
        <v>QF1 → XT1</v>
      </c>
      <c r="HU337">
        <f t="shared" si="724"/>
        <v>0</v>
      </c>
      <c r="HV337">
        <f t="shared" si="725"/>
        <v>0</v>
      </c>
      <c r="HW337" t="str">
        <f t="shared" si="726"/>
        <v/>
      </c>
      <c r="HX337" t="str">
        <f t="shared" si="727"/>
        <v/>
      </c>
      <c r="HY337" t="str">
        <f t="shared" si="728"/>
        <v/>
      </c>
      <c r="HZ337" t="str">
        <f t="shared" si="729"/>
        <v/>
      </c>
      <c r="IA337" t="str">
        <f>IF(B337="","",IFERROR(VLOOKUP(B337,УГО_спр,2,FALSE),IFERROR(VLOOKUP(AX337,УГО_спр,2,FALSE),IFERROR(VLOOKUP(LEFT(AX337,2),УГО_спр,2,FALSE),""))))</f>
        <v/>
      </c>
      <c r="IB337" t="str">
        <f>IF(B337="","",IF(OR(IA337="",IA337=0),"BOX",IFERROR(IF(VLOOKUP(IA337,УГО_блоки,3,FALSE)&amp;""&lt;&gt;"",VLOOKUP(IA337,УГО_блоки,3,FALSE),VLOOKUP(IA337,УГО_блоки,2,FALSE)),IA337)))</f>
        <v>BOX</v>
      </c>
      <c r="IC337">
        <f t="shared" si="730"/>
        <v>1</v>
      </c>
      <c r="ID337" t="str">
        <f>IF(DA337="","",IF(COUNTIF(DA$3:DA337,DA337)=1,MAX(ID$2:ID336)+1,""))</f>
        <v/>
      </c>
      <c r="IE337" t="str">
        <f>IF(CO337="","",IF(COUNTIF(CO$3:CO337,CO337)+COUNTIF(CP$2:CP336,CO337)+COUNTIF(CQ$2:CQ336,CO337)=1,MAX(IE$2:IG336)+1,""))</f>
        <v/>
      </c>
      <c r="IF337" t="str">
        <f>IF(CP337="","",IF(COUNTIF(CO$3:CO337,CP337)+COUNTIF(CP$3:CP337,CP337)+COUNTIF(CQ$2:CQ336,CP337)=1,MAX(IE$2:IG336,IE337)+1,""))</f>
        <v/>
      </c>
      <c r="IG337" t="str">
        <f>IF(CQ337="","",IF(COUNTIF(CO$3:CO337,CQ337)+COUNTIF(CP$3:CP337,CQ337)+COUNTIF(CQ$3:CQ337,CQ337)=1,MAX(IE$2:IG336,IE337,IF337)+1,""))</f>
        <v/>
      </c>
      <c r="IH337" t="str">
        <f t="shared" si="731"/>
        <v>3х2,5</v>
      </c>
      <c r="II337" t="str">
        <f>IF(IH337="","",IF(COUNTIF(IH$3:IH337,IH337)=1,MAX(II$2:II336)+1,""))</f>
        <v/>
      </c>
      <c r="IJ337" t="str">
        <f>IF(GL337="","",COUNTIF(GL$3:GL337,"?*"))</f>
        <v/>
      </c>
      <c r="IK337" t="str">
        <f>IF(OR(GL337="",GN337=""),"",IF(COUNTIFS(GL$3:GL337,"?*",GN$3:GN337,GN337)=1,MAX(IK$2:IK336)+1,""))</f>
        <v/>
      </c>
      <c r="IL337">
        <f t="shared" si="732"/>
        <v>0</v>
      </c>
      <c r="IM337">
        <f>IF(B337="","",COUNTIF(B$3:B337,"?*"))</f>
        <v>335</v>
      </c>
      <c r="IN337">
        <f>IF(GQ337&lt;&gt;1,0,_xlfn.LET(_xlpm.k,MAX(IFERROR(--VLOOKUP(B337,УГО_спр,5,FALSE),0),IFERROR(--VLOOKUP(AX337,УГО_спр,5,FALSE),0),IFERROR(--VLOOKUP(LEFT(AX337,2),УГО_спр,5,FALSE),0)),IF(_xlpm.k&gt;0,_xlpm.k,IF(IFERROR(--LEFT(SUBSTITUTE(IH337,"x","х"),FIND("х",SUBSTITUTE(IH337,"x","х"))-1),3)&gt;3,Каталог!$S$9,1))))</f>
        <v>1</v>
      </c>
      <c r="IO337">
        <f t="shared" si="733"/>
        <v>0</v>
      </c>
      <c r="IP337" t="str">
        <f t="shared" si="734"/>
        <v>авто</v>
      </c>
      <c r="IQ337" t="str">
        <f t="shared" si="735"/>
        <v/>
      </c>
      <c r="IR337">
        <f t="shared" si="736"/>
        <v>0</v>
      </c>
      <c r="IS337">
        <f t="shared" si="737"/>
        <v>1</v>
      </c>
    </row>
    <row r="338" spans="1:253" x14ac:dyDescent="0.3">
      <c r="A338" t="s">
        <v>1105</v>
      </c>
      <c r="B338" t="s">
        <v>1596</v>
      </c>
      <c r="C338" t="s">
        <v>1693</v>
      </c>
      <c r="D338">
        <v>1</v>
      </c>
      <c r="E338">
        <v>0.4</v>
      </c>
      <c r="G338">
        <v>16</v>
      </c>
      <c r="H338" t="str">
        <f>Линии[[#This Row],[_авто утечка]]</f>
        <v/>
      </c>
      <c r="I338" t="str">
        <f>Линии[[#This Row],[_авто управление]]</f>
        <v/>
      </c>
      <c r="J338" t="str">
        <f>Линии[[#This Row],[_авто аппараты]]</f>
        <v/>
      </c>
      <c r="K338">
        <v>2.5</v>
      </c>
      <c r="L338">
        <v>31</v>
      </c>
      <c r="M338" t="str">
        <f>Линии[[#This Row],[_авто фаза]]</f>
        <v>L2</v>
      </c>
      <c r="N338" t="str">
        <f>Линии[[#This Row],[_авто клемма]]</f>
        <v>XT2</v>
      </c>
      <c r="O338" t="str">
        <f t="shared" si="615"/>
        <v/>
      </c>
      <c r="P338" s="6" cm="1">
        <f t="array" ref="P338">IF(B338="","",IF(BC338&lt;&gt;"",IFERROR(_xlfn.XLOOKUP(BC338,Щиты[Щит],Щиты[Iр, А]),""),IF(BK338=1,IFERROR(_xlfn.XLOOKUP(A338,Щиты[Щит],Щиты[Iр, А]),""),IFERROR(_xlfn.IFS(BR338=1,BN338/((Uн_лин/SQRT(3))*BY338),BR338=3,BN338/(SQRT(3)*Uн_лин*BY338)),""))))</f>
        <v>1.823211376388292</v>
      </c>
      <c r="Q338" s="7">
        <f>IF(B338="","",IFERROR(IF(VLOOKUP(AX338,Потребители_обозначение,4,FALSE)=1,VLOOKUP(AX338,Потребители_обозначение,3,FALSE)*(D338*2-1)+DS338+VLOOKUP(AZ338,Этаж_обозначение,3,FALSE)+VLOOKUP(AZ338,Этаж_обозначение,4,FALSE),VLOOKUP(AX338,Потребители_обозначение,3,FALSE)*(D338*2-1)+DS338),DS338))</f>
        <v>31</v>
      </c>
      <c r="R338" s="6">
        <f t="shared" si="616"/>
        <v>0.84000000000000008</v>
      </c>
      <c r="S338" t="str">
        <f t="shared" si="617"/>
        <v>ВВГнг(А)-FRLS (3х2,5)</v>
      </c>
      <c r="T338" t="str">
        <f>IF(BH338="","",IF(BI338="вводной узел","узел ","")&amp;"л."&amp;(INT((BH338-1)/Столбцов_на_лист)+1)&amp;" / "&amp;(MOD(BH338-1,Столбцов_на_лист)+1))</f>
        <v>л.2 / 2</v>
      </c>
      <c r="V338">
        <v>1</v>
      </c>
      <c r="W338">
        <v>230</v>
      </c>
      <c r="X338" t="s">
        <v>575</v>
      </c>
      <c r="AC338" t="s">
        <v>861</v>
      </c>
      <c r="AD338" t="s">
        <v>490</v>
      </c>
      <c r="AE338" t="s">
        <v>593</v>
      </c>
      <c r="AI338">
        <v>19</v>
      </c>
      <c r="AJ338" t="s">
        <v>13</v>
      </c>
      <c r="AK338">
        <v>3</v>
      </c>
      <c r="AM338">
        <v>11</v>
      </c>
      <c r="AN338">
        <v>12</v>
      </c>
      <c r="AP338">
        <v>1</v>
      </c>
      <c r="AW338" cm="1">
        <f t="array" ref="AW338">ROW()-ROW(Линии[#Headers])</f>
        <v>336</v>
      </c>
      <c r="AX338" s="6" t="str">
        <f t="shared" si="618"/>
        <v>ENC1-11</v>
      </c>
      <c r="AY338" t="str">
        <f t="shared" si="619"/>
        <v/>
      </c>
      <c r="AZ338" t="str">
        <f t="shared" si="620"/>
        <v/>
      </c>
      <c r="BA338" t="str">
        <f t="shared" si="621"/>
        <v/>
      </c>
      <c r="BB338" t="str">
        <f t="shared" si="622"/>
        <v/>
      </c>
      <c r="BC338" t="str">
        <f>IF(U338&lt;&gt;"",U338,IF(AND(B338&lt;&gt;"",B338&lt;&gt;A338,ISNUMBER(_xlfn.XMATCH(B338,Щиты[Щит]))),B338,""))</f>
        <v/>
      </c>
      <c r="BD338" t="str" cm="1">
        <f t="array" ref="BD338">IF(B338="","",IF(BC338&lt;&gt;"","Щит "&amp;BC338,_xlfn.LET(_xlpm.nm,IFERROR(_xlfn.XLOOKUP(AX338,Коды_код,Коды_имя)&amp;"",""),_xlpm.md,IFERROR(N(_xlfn.XLOOKUP(AX338,Коды_код,Коды_режим)),1),_xlpm.ex,IF(Имя_режим="по экспликации",IFERROR(_xlfn.XLOOKUP(AZ338&amp;"|"&amp;BB338,Экспликация[Этаж]&amp;"|"&amp;Экспликация[Помещение],Экспликация[Название])&amp;"",""),""),_xlpm.rm,IF(BB338="","",IF(_xlpm.ex&lt;&gt;"",". "&amp;_xlpm.ex&amp;IF(Имя_пом="нет"," ("&amp;BB338&amp;")"," (пом. "&amp;BB338&amp;")"),IF(Имя_пом="нет"," ",", пом. ")&amp;BB338)),IF(_xlpm.nm="","",IF(_xlpm.md=2,_xlpm.nm&amp;" шлейф "&amp;AZ338,_xlpm.nm&amp;_xlpm.rm)))))</f>
        <v/>
      </c>
      <c r="BE338" t="str">
        <f t="shared" si="623"/>
        <v>шкаф системы оповещения и управления эвакуацией Цокольный этаж Пом. №002Т</v>
      </c>
      <c r="BF338">
        <f>IFERROR(_xlfn.XMATCH(A338,Щиты[Щит]),0)</f>
        <v>16</v>
      </c>
      <c r="BG338">
        <f>_xlfn.LET(_xlpm.k,IFERROR(_xlfn.XLOOKUP(A338,Щиты[Щит],Щиты[Листов под вводной узел]),""),IF(_xlpm.k="",1,N(_xlpm.k))*Столбцов_на_лист)</f>
        <v>17</v>
      </c>
      <c r="BH338">
        <f t="shared" si="624"/>
        <v>19</v>
      </c>
      <c r="BI338" t="str">
        <f t="shared" si="625"/>
        <v>линии</v>
      </c>
      <c r="BJ338" s="6">
        <f>IFERROR(N(_xlfn.XLOOKUP(AX338,Коды_код,Коды_квт)),0)</f>
        <v>0</v>
      </c>
      <c r="BK338">
        <f t="shared" si="626"/>
        <v>0</v>
      </c>
      <c r="BL338" t="str">
        <f>IF(B338="","",IF(BC338&lt;&gt;"",IFERROR(_xlfn.XLOOKUP(BC338,Щиты[Щит],Щиты[Руст, кВт]),0),IF(BK338=1,IFERROR(_xlfn.XLOOKUP(A338,Щиты[Щит],Щиты[Руст, кВт]),0),IF(BJ338&gt;0,ROUND(BJ338*MAX(1,N(D338)),3),""))))</f>
        <v/>
      </c>
      <c r="BM338">
        <f t="shared" si="627"/>
        <v>0.4</v>
      </c>
      <c r="BN338" s="6">
        <f>IF(B338="","",IF(BC338&lt;&gt;"",IFERROR(_xlfn.XLOOKUP(BC338,Щиты[Щит],Щиты[Руст, кВт]),0),N(BM338)))</f>
        <v>0.4</v>
      </c>
      <c r="BO338" t="str">
        <f>IF(B338="","",IFERROR(IF(VLOOKUP(AX338,Потребители_обозначение,8,FALSE)=0,"",VLOOKUP(AX338,Потребители_обозначение,8,FALSE)),""))</f>
        <v/>
      </c>
      <c r="BP338">
        <f t="shared" si="628"/>
        <v>230</v>
      </c>
      <c r="BQ338">
        <f>IF(B338="","",IF(BC338&lt;&gt;"",3,IFERROR(IF(N(VLOOKUP(AX338,Потребители_обозначение,9,FALSE))=0,1,VLOOKUP(AX338,Потребители_обозначение,9,FALSE)),1)))</f>
        <v>1</v>
      </c>
      <c r="BR338">
        <f t="shared" si="629"/>
        <v>1</v>
      </c>
      <c r="BS338" t="str">
        <f>IF(B338="","",_xlfn.LET(_xlpm.bc,IFERROR(IF(VLOOKUP(AX338,Потребители_обозначение,6,FALSE)=0,"",VLOOKUP(AX338,Потребители_обозначение,6,FALSE)&amp;""),""),IF(AND(FK338="да",OR(_xlpm.bc="",_xlpm.bc="мс")),Марка_пож,IF(AND(_xlpm.bc="",BC338&lt;&gt;""),"мс",_xlpm.bc))))</f>
        <v>мфр</v>
      </c>
      <c r="BT338" t="str">
        <f t="shared" si="630"/>
        <v>мфр</v>
      </c>
      <c r="BU338">
        <f>IF(B338="","",_xlfn.LET(_xlpm.cc,IFERROR(N(VLOOKUP(AX338,Потребители_обозначение,7,FALSE)),0),IF(_xlpm.cc&gt;0,_xlpm.cc,IF(BT338="","",IF(N(BR338)=3,5,3)))))</f>
        <v>3</v>
      </c>
      <c r="BV338">
        <f t="shared" si="631"/>
        <v>3</v>
      </c>
      <c r="BW338">
        <f>IFERROR(N(VLOOKUP(AX338,Потребители_обозначение,10,FALSE)),0)</f>
        <v>0</v>
      </c>
      <c r="BX338">
        <f>IFERROR(VLOOKUP(AX338,Потребители_обозначение,5,FALSE),0)</f>
        <v>0</v>
      </c>
      <c r="BY338" s="6" cm="1">
        <f t="array" ref="BY338">IF(B338="","",IF(BC338&lt;&gt;"",IFERROR(_xlfn.XLOOKUP(BC338,Щиты[Щит],Щиты[cos φ]),0.95),IF(BK338=1,IFERROR(_xlfn.XLOOKUP(A338,Щиты[Щит],Щиты[cos φ]),0.95),IF(ISNUMBER(Z338),Z338,IFERROR(IF(BX338=2,_xlfn.IFS(BR338=3,VLOOKUP(BN338,Справочная_двигатели,8,FALSE),BR338=1,VLOOKUP(BN338,Справочная_двигатели,10,TRUE)),IF(AND(Методика="нормы 2026",EQ338="Сил"),0.8,0.95)),0.95)))))</f>
        <v>0.95</v>
      </c>
      <c r="BZ338">
        <f t="shared" si="632"/>
        <v>0</v>
      </c>
      <c r="CA338">
        <f t="shared" si="633"/>
        <v>1</v>
      </c>
      <c r="CB338">
        <f t="shared" si="634"/>
        <v>0</v>
      </c>
      <c r="CC338">
        <f t="shared" si="635"/>
        <v>0</v>
      </c>
      <c r="CD338">
        <f t="shared" si="636"/>
        <v>0</v>
      </c>
      <c r="CE338">
        <f t="shared" si="637"/>
        <v>0</v>
      </c>
      <c r="CF338">
        <f t="shared" si="638"/>
        <v>0</v>
      </c>
      <c r="CG338">
        <f>IF(AX338="",0,_xlfn.LET(_xlpm.v,IFERROR(VLOOKUP(B338,УГО_спр,3,FALSE),IFERROR(VLOOKUP(AX338,УГО_спр,3,FALSE),IFERROR(VLOOKUP(LEFT(AX338,2),УГО_спр,3,FALSE),""))),IF(_xlpm.v="да",30,IF(ISNUMBER(_xlpm.v),_xlpm.v,0))))</f>
        <v>0</v>
      </c>
      <c r="CH338" t="str">
        <f t="shared" si="639"/>
        <v/>
      </c>
      <c r="CI338" t="str">
        <f>_xlfn.LET(_xlpm.k,IFERROR(_xlfn.XLOOKUP(AX338,Коды_код,Коды_утечка)&amp;"",""),IF(_xlpm.k="","дифавтомат",_xlpm.k))</f>
        <v>дифавтомат</v>
      </c>
      <c r="CJ338">
        <f t="shared" si="640"/>
        <v>0</v>
      </c>
      <c r="CK338">
        <f t="shared" si="641"/>
        <v>0</v>
      </c>
      <c r="CL338">
        <f>IF(B338="",0,IFERROR(--VLOOKUP(B338,УГО_спр,4,FALSE),IFERROR(--VLOOKUP(AX338,УГО_спр,4,FALSE),IFERROR(--VLOOKUP(LEFT(AX338,2),УГО_спр,4,FALSE),0))))</f>
        <v>0</v>
      </c>
      <c r="CM338" t="str">
        <f>IF(B338="","",IFERROR(_xlfn.XLOOKUP(AX338,Коды_код,Коды_апп)&amp;"",""))</f>
        <v/>
      </c>
      <c r="CN338" t="str">
        <f t="shared" si="642"/>
        <v/>
      </c>
      <c r="CO338" t="str" cm="1">
        <f t="array" ref="CO338">IF(TRIM(CN338&amp;"")="","",IFERROR(TRIM(INDEX(_xlfn.TEXTSPLIT(CN338&amp;";;;",";"),1)),""))</f>
        <v/>
      </c>
      <c r="CP338" t="str" cm="1">
        <f t="array" ref="CP338">IF(TRIM(CN338&amp;"")="","",IFERROR(TRIM(INDEX(_xlfn.TEXTSPLIT(CN338&amp;";;;",";"),2)),""))</f>
        <v/>
      </c>
      <c r="CQ338" t="str" cm="1">
        <f t="array" ref="CQ338">IF(TRIM(CN338&amp;"")="","",IFERROR(TRIM(INDEX(_xlfn.TEXTSPLIT(CN338&amp;";;;",";"),3)),""))</f>
        <v/>
      </c>
      <c r="CR338">
        <f t="shared" si="643"/>
        <v>0</v>
      </c>
      <c r="CS338" t="str">
        <f>IF(B338="","",_xlfn.LET(_xlpm.t,LOWER(AV338&amp;""),IF(ISNUMBER(SEARCH("dim",_xlpm.t)),"DIM",IF(ISNUMBER(SEARCH("dali",_xlpm.t)),"DALI",IF(OR(ISNUMBER(SEARCH("relay",_xlpm.t)),ISNUMBER(SEARCH("реле",_xlpm.t))),"Relay",IF(ISNUMBER(SEARCH("кнопк",_xlpm.t)),"",IFERROR(_xlfn.XLOOKUP(AX338,Коды_код,Коды_упр)&amp;"","")))))))</f>
        <v/>
      </c>
      <c r="CT338" t="str">
        <f t="shared" si="644"/>
        <v/>
      </c>
      <c r="CU338">
        <f>IF(B338="","",_xlfn.LET(_xlpm.ig,N(P338)+IF(AF338="вручную",0,N(CB338)),_xlpm.n0,IFERROR(VLOOKUP(_xlpm.ig,Автомат_номиналы,2,TRUE),0),_xlpm.mn,MAX(CL338,IF(AF338="вручную",0,N(CE338))),MAX(_xlpm.n0,_xlpm.mn,IF(CR338=1,Мин_автомат_БП,0))))</f>
        <v>6</v>
      </c>
      <c r="CV338">
        <f t="shared" si="645"/>
        <v>1</v>
      </c>
      <c r="CW338" t="str">
        <f t="shared" si="646"/>
        <v>1P</v>
      </c>
      <c r="CX338" t="str">
        <f>_xlfn.LET(_xlpm.cc,UPPER(TRIM(IFERROR(_xlfn.XLOOKUP(AX338,Коды_код,Коды_хар)&amp;"",""))),IF(OR(_xlpm.cc="B",_xlpm.cc="В"),"B",IF(_xlpm.cc="D","D","С")))</f>
        <v>С</v>
      </c>
      <c r="CY338" t="str">
        <f t="shared" si="647"/>
        <v>1P С6А</v>
      </c>
      <c r="CZ338">
        <f t="shared" si="648"/>
        <v>16</v>
      </c>
      <c r="DA338" t="str">
        <f t="shared" si="649"/>
        <v>1P С16А</v>
      </c>
      <c r="DB338" cm="1">
        <f t="array" ref="DB338">IF(DA338="","",_xlfn.LET(_xlpm.t,SUBSTITUTE(SUBSTITUTE(SUBSTITUTE(UPPER(DA338),"С","C"),"А","A"),"В","B"),_xlpm.tk,_xlfn.TEXTSPLIT(_xlpm.t,"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8" t="str">
        <f t="shared" si="650"/>
        <v>ok</v>
      </c>
      <c r="DD338">
        <f t="shared" si="651"/>
        <v>16</v>
      </c>
      <c r="DE338" t="str">
        <f t="shared" si="652"/>
        <v>1P С16А</v>
      </c>
      <c r="DF338">
        <f t="shared" si="653"/>
        <v>0</v>
      </c>
      <c r="DG338">
        <f t="shared" si="654"/>
        <v>0</v>
      </c>
      <c r="DH338">
        <f t="shared" si="655"/>
        <v>0</v>
      </c>
      <c r="DI338">
        <f t="shared" si="656"/>
        <v>1.823211376388292</v>
      </c>
      <c r="DJ338">
        <f t="shared" si="657"/>
        <v>1</v>
      </c>
      <c r="DK338">
        <f>IF(ISNUMBER(AL338),AL338,К_прокл)</f>
        <v>1</v>
      </c>
      <c r="DL338">
        <f t="shared" si="658"/>
        <v>2</v>
      </c>
      <c r="DM338">
        <f>IFERROR(N(VLOOKUP(BT338,Кабель_обозначение,3,FALSE)),1)</f>
        <v>1</v>
      </c>
      <c r="DN338">
        <f>IFERROR(N(_xlfn.XLOOKUP(A338,Щиты[Щит],Щиты[ΔU до шин, %])),0)</f>
        <v>0.41000000000000003</v>
      </c>
      <c r="DO338" t="str">
        <f>IFERROR(_xlfn.XLOOKUP(A338,Щиты[Щит],Щиты[Zпетли на шинах, Ом]),"")</f>
        <v/>
      </c>
      <c r="DP338">
        <f>IFERROR(N(_xlfn.XLOOKUP(A338,Щиты[Щит],Щиты[ΔU до шин (подбор), %])),0)</f>
        <v>0.68</v>
      </c>
      <c r="DQ338" t="str">
        <f>IFERROR(_xlfn.XLOOKUP(A338,Щиты[Щит],Щиты[Zпетли на шинах (подбор), Ом]),"")</f>
        <v/>
      </c>
      <c r="DR338" t="str">
        <f t="shared" si="659"/>
        <v/>
      </c>
      <c r="DS338">
        <f t="shared" si="660"/>
        <v>31</v>
      </c>
      <c r="DT338">
        <f t="shared" si="661"/>
        <v>2</v>
      </c>
      <c r="DU338">
        <f t="shared" si="662"/>
        <v>0.31</v>
      </c>
      <c r="DV338" s="6">
        <f>IF(B338="","",IF(IFERROR(VLOOKUP(AX338,УГО_спр,2,FALSE),"")="Светильник",3,4)+IF(Методика="нормы 2026",MIN(0.5,MAX(0,N(Q338)-100)*0.005),0))</f>
        <v>4</v>
      </c>
      <c r="DW338" cm="1">
        <f t="array" ref="DW338">IF(OR(B338="",BT338="",DM338&lt;&gt;1),"",_xlfn.LET(_xlpm.sz,Iдоп_S,_xlpm.t_,CHOOSE(DL338,Iдоп_1ж,Iдоп_2ж,Iдоп_3ж)*DJ338*DK338,_xlpm.inn,N(DD338),_xlpm.smin,MAX(1.5,BW338),_xlpm.L_,N(Q338)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338)*(_xlpm.rho*_xlpm.L_/_xlpm.sz*N(BY338)+_xlpm.xx*_xlpm.L_*N(DU338)/1000)*N(P338)/((Uн_лин/SQRT(3))*1000)*100,999),_xlpm.kz,IF(OR(DG338=1,NOT(ISNUMBER(DQ338)),_xlpm.L_=0,_xlpm.inn=0),1,IFERROR(--(c_min*(Uн_лин*1000/SQRT(3))/(DQ338+2*ρкз_Cu*_xlpm.L_/_xlpm.sz)&gt;=GY338*_xlpm.inn),0)),_xlpm.ok,IFERROR((_xlpm.sz&gt;=_xlpm.smin)*(_xlpm.t_&gt;=_xlpm.inn)*IF(_xlpm.L_&gt;0,(_xlpm.du_+DP338&lt;=DV338+0.00001),1)*_xlpm.kz,0),_xlpm.r_,_xlfn._xlws.FILTER(_xlpm.sz,_xlpm.ok,"не подобрано"),INDEX(_xlpm.r_,1)))</f>
        <v>1.5</v>
      </c>
      <c r="DX338">
        <f t="shared" si="663"/>
        <v>2.5</v>
      </c>
      <c r="DY338" cm="1">
        <f t="array" ref="DY338">IF(OR(B338="",BT338="",DM338&lt;&gt;1),"",_xlfn.LET(_xlpm.sz,Iдоп_S,_xlpm.t_,CHOOSE(DL338,Iдоп_1ж,Iдоп_2ж,Iдоп_3ж)*DJ338*DK338,_xlpm.ok,IFERROR((_xlpm.sz&gt;=MAX(1.5,BW338))*(_xlpm.t_&gt;=N(DD338)),0),_xlpm.r_,_xlfn._xlws.FILTER(_xlpm.sz,_xlpm.ok,""),INDEX(_xlpm.r_,1)))</f>
        <v>1.5</v>
      </c>
      <c r="DZ338" s="6" cm="1">
        <f t="array" ref="DZ338">IFERROR(ROUNDUP(N(DT338)*(_xlfn.XLOOKUP(DY338,INDEX(Кабель_сопротивление,0,1),INDEX(Кабель_сопротивление,0,3))*N(Q338)/DY338*N(BY338)+_xlfn.XLOOKUP(DY338,INDEX(Кабель_сопротивление,0,1),INDEX(Кабель_сопротивление,0,2))*N(Q338)*N(DU338)/1000)*N(P338)/((Uн_лин/SQRT(3))*1000)*100,2),"")</f>
        <v>0.7</v>
      </c>
      <c r="EA338">
        <f>IFERROR(2*ρкз_Cu*N(Q338)/DY338,"")</f>
        <v>1.0870666666666666</v>
      </c>
      <c r="EB338">
        <f>IFERROR(VLOOKUP(DX338,Кабель_сопротивление,3,FALSE),"")</f>
        <v>2.2499999999999999E-2</v>
      </c>
      <c r="EC338">
        <f>IFERROR(VLOOKUP(DX338,Кабель_сопротивление,2,FALSE),"")</f>
        <v>0.1</v>
      </c>
      <c r="ED338">
        <f t="shared" si="664"/>
        <v>12</v>
      </c>
      <c r="EE338">
        <f t="shared" si="665"/>
        <v>0</v>
      </c>
      <c r="EF338">
        <f t="shared" si="666"/>
        <v>0.96998856288885182</v>
      </c>
      <c r="EG338" s="6">
        <f>IFERROR(ROUNDUP(EF338/((Uн_лин/SQRT(3))*1000)*100,2),"")</f>
        <v>0.43</v>
      </c>
      <c r="EH338" t="str">
        <f>IFERROR(VLOOKUP(BT338,Кабель_обозначение,2,FALSE),"")</f>
        <v>ВВГнг(А)-FRLS</v>
      </c>
      <c r="EI338" t="str">
        <f t="shared" si="667"/>
        <v>ВВГнг(А)-FRLS (3х2,5)</v>
      </c>
      <c r="EJ338" t="str">
        <f t="shared" si="668"/>
        <v>ВВГнг(А)-FRLS (3х2,5)
L=31-0,43%</v>
      </c>
      <c r="EK338">
        <f>IFERROR(2*ρкз_Cu*Q338/DX338,"")</f>
        <v>0.65224000000000004</v>
      </c>
      <c r="EL338">
        <f t="shared" si="669"/>
        <v>0.21700000000000003</v>
      </c>
      <c r="EM338" s="6" t="str">
        <f>IFERROR(IF(OR(B338="",NOT(ISNUMBER(DX338)),N(Q338)=0),"",_xlfn.XLOOKUP(A338,Щиты[Щит],Щиты[Zпетли на шинах, Ом])+EK338),"")</f>
        <v/>
      </c>
      <c r="EN338" s="6" t="str">
        <f>IF(ISNUMBER(EM338),c_min*(Uн_лин*1000/SQRT(3))/EM338,"")</f>
        <v/>
      </c>
      <c r="EO338" s="6" t="str">
        <f>IFERROR(IF(OR(B338="",NOT(ISNUMBER(DX338))),"",1.05*(Uн_лин*1000/SQRT(3))/(_xlfn.XLOOKUP(A338,Щиты[Щит],Щиты[Zmax на шинах, Ом])+EL338)/1000),"")</f>
        <v/>
      </c>
      <c r="EP338" s="6" t="str">
        <f>IF(B338="","",IF(ISNUMBER(Y338),"Сил",IF(IFERROR(_xlfn.XLOOKUP(AX338,Коды_код,Коды_группа)&amp;"","")="","Быт",_xlfn.XLOOKUP(AX338,Коды_код,Коды_группа)&amp;"")))</f>
        <v>Быт</v>
      </c>
      <c r="EQ338" s="6" t="str">
        <f t="shared" si="670"/>
        <v>Пост</v>
      </c>
      <c r="ER338" s="6">
        <f>IF(EQ338="Щит","щит",IF(EQ338="","",IF(EQ338="Быт",IFERROR(_xlfn.XLOOKUP(A338,Щиты[Щит],Щиты[Кс быт]),1),IF(EQ338="Сил",IF(ISNUMBER(Y338),Y338,IF(Методика="нормы 2026",IFERROR(_xlfn.XLOOKUP(A338,Щиты[Щит],Щиты[Кс силовых (табл. 7.5)]),1),1)),IF(OR(EQ338="Пост",EQ338="Отоп"),1,IF(EQ338="ВНГ",0.7,0))))))</f>
        <v>1</v>
      </c>
      <c r="ES338">
        <f t="shared" si="671"/>
        <v>1</v>
      </c>
      <c r="ET338">
        <f t="shared" si="672"/>
        <v>0.4</v>
      </c>
      <c r="EU338">
        <f t="shared" si="673"/>
        <v>0</v>
      </c>
      <c r="EV338">
        <f t="shared" si="674"/>
        <v>0</v>
      </c>
      <c r="EW338">
        <f t="shared" si="675"/>
        <v>0.4</v>
      </c>
      <c r="EX338">
        <f t="shared" si="676"/>
        <v>0</v>
      </c>
      <c r="EY338">
        <f t="shared" si="677"/>
        <v>0</v>
      </c>
      <c r="EZ338">
        <f t="shared" si="678"/>
        <v>0.4</v>
      </c>
      <c r="FA338">
        <f t="shared" si="679"/>
        <v>0.38</v>
      </c>
      <c r="FB338">
        <f t="shared" si="680"/>
        <v>0.4</v>
      </c>
      <c r="FC338" t="str">
        <f t="shared" si="681"/>
        <v/>
      </c>
      <c r="FD338" t="str">
        <f>IF(B338="","",IF(CA338=0,IF(AW338=1,"",FF337),IF(OR(N(CV338)&gt;=3,N(BR338)&gt;=3),"L1,L2,L3",IFERROR(_xlfn.TEXTBEFORE(_xlfn.TEXTAFTER(_xlfn.XLOOKUP(A338,Щиты[Щит],Щиты[_фазы авто]),";"&amp;AW338&amp;":"),";"),"L1"))))</f>
        <v>L2</v>
      </c>
      <c r="FE338" t="str">
        <f t="shared" si="682"/>
        <v>L2</v>
      </c>
      <c r="FF338" t="str">
        <f t="shared" si="683"/>
        <v>L2</v>
      </c>
      <c r="FG338" cm="1">
        <f t="array" ref="FG338">IFERROR(IF(BX338=2,_xlfn.IFS(BR338=3,VLOOKUP(BN338,Справочная_двигатели,3,FALSE),BR338=1,VLOOKUP(BN338,Справочная_двигатели,5,TRUE)),0),0)</f>
        <v>0</v>
      </c>
      <c r="FH338">
        <f>IFERROR(IF(BX338=3,VLOOKUP(BN338,Справочная_ЛЭД,2,TRUE),0),0)</f>
        <v>0</v>
      </c>
      <c r="FI338" s="6">
        <f t="shared" si="684"/>
        <v>0</v>
      </c>
      <c r="FJ338" t="str" cm="1">
        <f t="array" ref="FJ338">IF(B338="","",IFERROR(INDEX({"I особая","I","II","III"},MATCH(TRIM(AC338&amp;""),{"I особая","I","II","III"},0)),"III"))</f>
        <v>I</v>
      </c>
      <c r="FK338" t="str">
        <f>IF(B338="","",IF(TRIM(AD338&amp;"")&lt;&gt;"",IF(LOWER(TRIM(AD338&amp;""))="да","да","нет"),IF(IFERROR(_xlfn.XLOOKUP(AX338,Коды_код,Коды_пожарная),"")="да","да","нет")))</f>
        <v>да</v>
      </c>
      <c r="FL338" t="str">
        <f t="shared" si="685"/>
        <v/>
      </c>
      <c r="FM338" t="str">
        <f t="shared" si="686"/>
        <v>основная</v>
      </c>
      <c r="FN338">
        <f t="shared" si="687"/>
        <v>1</v>
      </c>
      <c r="FO338" t="str" cm="1">
        <f t="array" ref="FO338">IF(B338="","",_xlfn.LET(_xlpm.t,IFERROR(_xlfn.XLOOKUP(1,(Шины[Шина]=FM338)*(((Шины[Щит]=A338)+(Шины[Щит]=""))&gt;0),Шины[Тип]),"")&amp;"",IF(_xlpm.t&lt;&gt;"",_xlpm.t,IF(ISNUMBER(SEARCH("ИБП",FM338)),"ИБП",IF(ISNUMBER(SEARCH("ДГУ",FM338)),"ДГУ","Ввод "&amp;FN338)))))</f>
        <v>Ввод 1</v>
      </c>
      <c r="FP338" t="str">
        <f t="shared" si="688"/>
        <v>Ввод 1</v>
      </c>
      <c r="FQ338" t="str">
        <f>IF(B338="","",IF(OR(FO338="ИБП",FO338="ДГУ"),"I особая",IF(FO338="Одиночная","III",_xlfn.XLOOKUP(A338,Щиты[Щит],Щиты[Категория шины «Ввод»],"III"))))</f>
        <v>I</v>
      </c>
      <c r="FR338">
        <f>IF(B338="",0,IFERROR(MATCH(FJ338,{"III","II","I","I особая"},0),1))</f>
        <v>3</v>
      </c>
      <c r="FS338">
        <f t="shared" si="689"/>
        <v>3</v>
      </c>
      <c r="FT338" t="str">
        <f>IF(B338="","",IF(FR338&gt;IFERROR(MATCH(FQ338,{"III","II","I","I особая"},0),1),"НЕ ОБЕСПЕЧЕНА","ОК"))</f>
        <v>ОК</v>
      </c>
      <c r="FU338" t="str">
        <f>IF(A338="","",_xlfn.XLOOKUP(A338,Щиты[Щит],Щиты[Путь],""))</f>
        <v>|ГРЩ-ЖД|ЩСПЗ-ЖД|</v>
      </c>
      <c r="FV338" t="str">
        <f>IF(B338="","",IF(AE338&lt;&gt;"",AE338,IF(IFERROR(_xlfn.XLOOKUP(AX338,Коды_код,Коды_вид)&amp;"","")="","Прочее",_xlfn.XLOOKUP(AX338,Коды_код,Коды_вид)&amp;"")))</f>
        <v>Системы противопожарной защиты</v>
      </c>
      <c r="FW338">
        <f>IF(BH338="","",INT((BH338-1)/Столбцов_на_лист)+1)</f>
        <v>2</v>
      </c>
      <c r="FX338" t="str">
        <f t="shared" si="690"/>
        <v>ВВГнг(А)-FRLS (3х2,5) L=31-0,43%</v>
      </c>
      <c r="FY338">
        <f t="shared" si="691"/>
        <v>0.4</v>
      </c>
      <c r="FZ338">
        <f t="shared" si="692"/>
        <v>1.83</v>
      </c>
      <c r="GA338">
        <f t="shared" si="693"/>
        <v>1</v>
      </c>
      <c r="GB338">
        <f t="shared" si="694"/>
        <v>0</v>
      </c>
      <c r="GC338">
        <f t="shared" si="695"/>
        <v>1</v>
      </c>
      <c r="GD338">
        <f>IF(BH338="","",IF(AND(CA338=1,GC338=1),COUNTIFS(A$3:A338,A338,CA$3:CA338,1,GC$3:GC338,1),IF(OR(OR(AW338=1,A338&lt;&gt;A337),AF338="вручную",GC338=0),"",IF(AW338=1,"",GE337))))</f>
        <v>2</v>
      </c>
      <c r="GE338">
        <f t="shared" si="696"/>
        <v>2</v>
      </c>
      <c r="GF338">
        <f>IF(B338="","",IFERROR(LOOKUP(INDEX(CHOOSE(DL338,Iдоп_1ж,Iдоп_2ж,Iдоп_3ж),MATCH(DX338,Iдоп_S,0))*DJ338*DK338,{6,10,16,20,25,32,40,50,63,80,100,125,160,200,250,315,400,500,630}),""))</f>
        <v>25</v>
      </c>
      <c r="GG338" t="str">
        <f t="shared" si="697"/>
        <v>QF2</v>
      </c>
      <c r="GH338" t="str">
        <f t="shared" si="698"/>
        <v>QF2</v>
      </c>
      <c r="GI338" t="str">
        <f t="shared" si="699"/>
        <v/>
      </c>
      <c r="GJ338">
        <f t="shared" si="700"/>
        <v>0</v>
      </c>
      <c r="GK338" t="str">
        <f>IF(OR(AG338="",AG338="-"),"",IFERROR(VLOOKUP(AG338,Модули_спр,2,FALSE),"R"))</f>
        <v/>
      </c>
      <c r="GL338" t="str">
        <f>IF(GK338="","",GK338&amp;"."&amp;COUNTIFS(A$3:A338,A338,GK$3:GK338,GK338))</f>
        <v/>
      </c>
      <c r="GM338" t="str">
        <f t="shared" si="701"/>
        <v/>
      </c>
      <c r="GN338" t="str">
        <f t="shared" si="702"/>
        <v/>
      </c>
      <c r="GO338" t="str">
        <f t="shared" si="703"/>
        <v/>
      </c>
      <c r="GP338" t="str">
        <f t="shared" si="704"/>
        <v/>
      </c>
      <c r="GQ338">
        <f t="shared" si="705"/>
        <v>1</v>
      </c>
      <c r="GR338" t="str">
        <f>IF(GQ338=1,"XT"&amp;COUNTIFS(A$3:A338,A338,GQ$3:GQ338,1),"")</f>
        <v>XT2</v>
      </c>
      <c r="GS338" t="str">
        <f t="shared" si="706"/>
        <v>XT2</v>
      </c>
      <c r="GT338" t="str">
        <f t="shared" si="707"/>
        <v>QF2</v>
      </c>
      <c r="GU338" t="str">
        <f t="shared" si="708"/>
        <v/>
      </c>
      <c r="GV338" t="str">
        <f t="shared" si="709"/>
        <v>ok</v>
      </c>
      <c r="GW338" t="str">
        <f>IF(OR(GO338="",GM338=""),"",IF(GO338&gt;IFERROR(VLOOKUP(GN338,Модули_спр,3,FALSE),99),"ЛИШНИЙ КАНАЛ",IF(AND(AH338&lt;&gt;"=",COUNTIFS(Линии[_модуль гр.],GM338,Линии[Канал (итог)],GO338,Линии[Канал],"&lt;&gt;=",Линии[Щит],A338)&gt;1),"ДУБЛЬ КАНАЛА","")))</f>
        <v/>
      </c>
      <c r="GX338" s="6" t="str">
        <f t="shared" si="710"/>
        <v/>
      </c>
      <c r="GY338">
        <f t="shared" si="711"/>
        <v>10</v>
      </c>
      <c r="GZ338" t="str">
        <f t="shared" si="712"/>
        <v/>
      </c>
      <c r="HA338" t="str">
        <f>IF(AND(B338="",GT338=""),"",_xlfn.TEXTJOIN("; ",TRUE,IF(AND(B338&lt;&gt;"",FE338=""),"нет фазы",""),IF(AND(B338&lt;&gt;"",N(FY338)=0,EQ338&lt;&gt;"Нет"),"нет мощности",""),IF(AND(GS338&lt;&gt;"",COUNTIFS(Линии[Щит],A338,Линии[Клемма (итог)],GS338)&gt;1),"дубль клеммы "&amp;GS338,""),IF(AND(GV338&lt;&gt;"",GV338&lt;&gt;"ok"),GV338,""),IF(GW338&lt;&gt;"",GW338,""),IF(AND(N(BV338)&gt;=4,N(BR338)=1),BV338&amp;" жил на 1 фазе",""),IF(AND(AX338="R",CA338=1,OR(N(CK338)=0,N(CK338)&gt;30)),"розетка без дифзащиты до 30 мА",""),IFERROR(IF(AND(ISNUMBER(R338),R338&gt;DV338),"потери "&amp;FIXED(R338,1)&amp;" % &gt; "&amp;DV338&amp;" %",""),""),IFERROR(IF(LEFT(GZ338,4)="мало","Iкз мало — отключение &gt; 0,4 с",""),""),IF(AND(B338&lt;&gt;"",BH338=""),"не на схеме",""),IF(AND(CA338=0,B338&lt;&gt;"",FE338&lt;&gt;"",IF(AW338=1,"",FF337)&lt;&gt;"",FE338&lt;&gt;IF(AW338=1,"",FF337)),"фаза не как у автомата группы ("&amp;IF(AW338=1,"",FF337)&amp;")","")))</f>
        <v/>
      </c>
      <c r="HB338" s="6">
        <f>IF(OR(CA338=0,DA338=""),"",_xlfn.LET(_xlpm.t,IFERROR(_xlfn.XLOOKUP(DA338,Каталог!$U$4:$U$500,Каталог!$G$4:$G$500),""),_xlpm.k,SEARCH("кА",_xlpm.t),IFERROR(--TRIM(RIGHT(SUBSTITUTE(MID(_xlpm.t,MAX(1,_xlpm.k-4),_xlpm.k-MAX(1,_xlpm.k-4))," ",REPT(" ",9)),5)),"")))</f>
        <v>6</v>
      </c>
      <c r="HC338" t="str">
        <f>IF(OR(HB338="",CA338=0),"",IF(_xlfn.XLOOKUP(A338,Щиты[Щит],Щиты[Iкз max на шинах, кА],"")="","",IF(HB338&lt;_xlfn.XLOOKUP(A338,Щиты[Щит],Щиты[Iкз max на шинах, кА]),"Icu "&amp;HB338&amp;" кА &lt; Iкз max","ok")))</f>
        <v/>
      </c>
      <c r="HD338" t="str">
        <f t="shared" si="713"/>
        <v/>
      </c>
      <c r="HE338" t="str">
        <f t="shared" si="714"/>
        <v>QF2|XT2</v>
      </c>
      <c r="HF338" t="str">
        <f t="shared" si="715"/>
        <v>QF2|XT2|кабель ВВГнг(А)-FRLS (3х2,5) → шкаф системы оповещения и управления эвакуацией Цокольный этаж Пом. №002Т</v>
      </c>
      <c r="HG338" t="str" cm="1">
        <f t="array" ref="HG338">IF(HF338="","",_xlfn.LET(_xlpm.nd,_xlfn.TEXTSPLIT(HF338,"|"),IF(COLUMNS(_xlpm.nd)&gt;1,A338&amp;"¦"&amp;INDEX(_xlpm.nd,1)&amp;"¦"&amp;INDEX(_xlpm.nd,2),"")))</f>
        <v>ЩСПЗ-ЖД¦QF2¦XT2</v>
      </c>
      <c r="HH338" t="str">
        <f t="shared" si="716"/>
        <v>ENC1-11¦шкаф системы оповещения и управления эвакуацией Цокольный этаж Пом. №002Т</v>
      </c>
      <c r="HI338" t="str" cm="1">
        <f t="array" ref="HI338">IF(HF338="","",_xlfn.LET(_xlpm.nd,_xlfn.TEXTSPLIT(HF338,"|"),IF(COLUMNS(_xlpm.nd)&gt;2,A338&amp;"¦"&amp;INDEX(_xlpm.nd,2)&amp;"¦"&amp;INDEX(_xlpm.nd,3),"")))</f>
        <v>ЩСПЗ-ЖД¦XT2¦кабель ВВГнг(А)-FRLS (3х2,5) → шкаф системы оповещения и управления эвакуацией Цокольный этаж Пом. №002Т</v>
      </c>
      <c r="HJ338" t="str">
        <f t="shared" si="717"/>
        <v>ENC1-11¦шкаф системы оповещения и управления эвакуацией Цокольный этаж Пом. №002Т</v>
      </c>
      <c r="HK338" t="str" cm="1">
        <f t="array" ref="HK338">IF(HF338="","",_xlfn.LET(_xlpm.nd,_xlfn.TEXTSPLIT(HF338,"|"),IF(COLUMNS(_xlpm.nd)&gt;3,A338&amp;"¦"&amp;INDEX(_xlpm.nd,3)&amp;"¦"&amp;INDEX(_xlpm.nd,4),"")))</f>
        <v/>
      </c>
      <c r="HL338" t="str">
        <f t="shared" si="718"/>
        <v/>
      </c>
      <c r="HM338" t="str" cm="1">
        <f t="array" ref="HM338">IF(HF338="","",_xlfn.LET(_xlpm.nd,_xlfn.TEXTSPLIT(HF338,"|"),IF(COLUMNS(_xlpm.nd)&gt;4,A338&amp;"¦"&amp;INDEX(_xlpm.nd,4)&amp;"¦"&amp;INDEX(_xlpm.nd,5),"")))</f>
        <v/>
      </c>
      <c r="HN338" t="str">
        <f t="shared" si="719"/>
        <v/>
      </c>
      <c r="HO338" t="str" cm="1">
        <f t="array" ref="HO338">IF(HF338="","",_xlfn.LET(_xlpm.nd,_xlfn.TEXTSPLIT(HF338,"|"),IF(COLUMNS(_xlpm.nd)&gt;5,A338&amp;"¦"&amp;INDEX(_xlpm.nd,5)&amp;"¦"&amp;INDEX(_xlpm.nd,6),"")))</f>
        <v/>
      </c>
      <c r="HP338" t="str">
        <f t="shared" si="720"/>
        <v/>
      </c>
      <c r="HQ338" t="str" cm="1">
        <f t="array" ref="HQ338">IF(HF338="","",_xlfn.LET(_xlpm.nd,_xlfn.TEXTSPLIT(HF338,"|"),IF(COLUMNS(_xlpm.nd)&gt;6,A338&amp;"¦"&amp;INDEX(_xlpm.nd,6)&amp;"¦"&amp;INDEX(_xlpm.nd,7),"")))</f>
        <v/>
      </c>
      <c r="HR338" t="str">
        <f t="shared" si="721"/>
        <v/>
      </c>
      <c r="HS338" t="str">
        <f t="shared" si="722"/>
        <v/>
      </c>
      <c r="HT338" t="str">
        <f t="shared" si="723"/>
        <v>QF2 → XT2</v>
      </c>
      <c r="HU338">
        <f t="shared" si="724"/>
        <v>0</v>
      </c>
      <c r="HV338">
        <f t="shared" si="725"/>
        <v>0</v>
      </c>
      <c r="HW338" t="str">
        <f t="shared" si="726"/>
        <v/>
      </c>
      <c r="HX338" t="str">
        <f t="shared" si="727"/>
        <v/>
      </c>
      <c r="HY338" t="str">
        <f t="shared" si="728"/>
        <v/>
      </c>
      <c r="HZ338" t="str">
        <f t="shared" si="729"/>
        <v/>
      </c>
      <c r="IA338" t="str">
        <f>IF(B338="","",IFERROR(VLOOKUP(B338,УГО_спр,2,FALSE),IFERROR(VLOOKUP(AX338,УГО_спр,2,FALSE),IFERROR(VLOOKUP(LEFT(AX338,2),УГО_спр,2,FALSE),""))))</f>
        <v/>
      </c>
      <c r="IB338" t="str">
        <f>IF(B338="","",IF(OR(IA338="",IA338=0),"BOX",IFERROR(IF(VLOOKUP(IA338,УГО_блоки,3,FALSE)&amp;""&lt;&gt;"",VLOOKUP(IA338,УГО_блоки,3,FALSE),VLOOKUP(IA338,УГО_блоки,2,FALSE)),IA338)))</f>
        <v>BOX</v>
      </c>
      <c r="IC338">
        <f t="shared" si="730"/>
        <v>1</v>
      </c>
      <c r="ID338" t="str">
        <f>IF(DA338="","",IF(COUNTIF(DA$3:DA338,DA338)=1,MAX(ID$2:ID337)+1,""))</f>
        <v/>
      </c>
      <c r="IE338" t="str">
        <f>IF(CO338="","",IF(COUNTIF(CO$3:CO338,CO338)+COUNTIF(CP$2:CP337,CO338)+COUNTIF(CQ$2:CQ337,CO338)=1,MAX(IE$2:IG337)+1,""))</f>
        <v/>
      </c>
      <c r="IF338" t="str">
        <f>IF(CP338="","",IF(COUNTIF(CO$3:CO338,CP338)+COUNTIF(CP$3:CP338,CP338)+COUNTIF(CQ$2:CQ337,CP338)=1,MAX(IE$2:IG337,IE338)+1,""))</f>
        <v/>
      </c>
      <c r="IG338" t="str">
        <f>IF(CQ338="","",IF(COUNTIF(CO$3:CO338,CQ338)+COUNTIF(CP$3:CP338,CQ338)+COUNTIF(CQ$3:CQ338,CQ338)=1,MAX(IE$2:IG337,IE338,IF338)+1,""))</f>
        <v/>
      </c>
      <c r="IH338" t="str">
        <f t="shared" si="731"/>
        <v>3х2,5</v>
      </c>
      <c r="II338" t="str">
        <f>IF(IH338="","",IF(COUNTIF(IH$3:IH338,IH338)=1,MAX(II$2:II337)+1,""))</f>
        <v/>
      </c>
      <c r="IJ338" t="str">
        <f>IF(GL338="","",COUNTIF(GL$3:GL338,"?*"))</f>
        <v/>
      </c>
      <c r="IK338" t="str">
        <f>IF(OR(GL338="",GN338=""),"",IF(COUNTIFS(GL$3:GL338,"?*",GN$3:GN338,GN338)=1,MAX(IK$2:IK337)+1,""))</f>
        <v/>
      </c>
      <c r="IL338">
        <f t="shared" si="732"/>
        <v>0</v>
      </c>
      <c r="IM338">
        <f>IF(B338="","",COUNTIF(B$3:B338,"?*"))</f>
        <v>336</v>
      </c>
      <c r="IN338">
        <f>IF(GQ338&lt;&gt;1,0,_xlfn.LET(_xlpm.k,MAX(IFERROR(--VLOOKUP(B338,УГО_спр,5,FALSE),0),IFERROR(--VLOOKUP(AX338,УГО_спр,5,FALSE),0),IFERROR(--VLOOKUP(LEFT(AX338,2),УГО_спр,5,FALSE),0)),IF(_xlpm.k&gt;0,_xlpm.k,IF(IFERROR(--LEFT(SUBSTITUTE(IH338,"x","х"),FIND("х",SUBSTITUTE(IH338,"x","х"))-1),3)&gt;3,Каталог!$S$9,1))))</f>
        <v>1</v>
      </c>
      <c r="IO338">
        <f t="shared" si="733"/>
        <v>0</v>
      </c>
      <c r="IP338" t="str">
        <f t="shared" si="734"/>
        <v>авто</v>
      </c>
      <c r="IQ338" t="str">
        <f t="shared" si="735"/>
        <v/>
      </c>
      <c r="IR338">
        <f t="shared" si="736"/>
        <v>0</v>
      </c>
      <c r="IS338">
        <f t="shared" si="737"/>
        <v>1</v>
      </c>
    </row>
    <row r="339" spans="1:253" x14ac:dyDescent="0.3">
      <c r="A339" t="s">
        <v>1105</v>
      </c>
      <c r="B339" t="s">
        <v>1597</v>
      </c>
      <c r="C339" t="s">
        <v>1694</v>
      </c>
      <c r="D339">
        <v>1</v>
      </c>
      <c r="E339">
        <v>0.4</v>
      </c>
      <c r="G339">
        <v>16</v>
      </c>
      <c r="H339" t="str">
        <f>Линии[[#This Row],[_авто утечка]]</f>
        <v/>
      </c>
      <c r="I339" t="str">
        <f>Линии[[#This Row],[_авто управление]]</f>
        <v/>
      </c>
      <c r="J339" t="str">
        <f>Линии[[#This Row],[_авто аппараты]]</f>
        <v/>
      </c>
      <c r="K339">
        <v>2.5</v>
      </c>
      <c r="L339">
        <v>31</v>
      </c>
      <c r="M339" t="str">
        <f>Линии[[#This Row],[_авто фаза]]</f>
        <v>L3</v>
      </c>
      <c r="N339" t="str">
        <f>Линии[[#This Row],[_авто клемма]]</f>
        <v>XT3</v>
      </c>
      <c r="O339" t="str">
        <f t="shared" si="615"/>
        <v/>
      </c>
      <c r="P339" s="6" cm="1">
        <f t="array" ref="P339">IF(B339="","",IF(BC339&lt;&gt;"",IFERROR(_xlfn.XLOOKUP(BC339,Щиты[Щит],Щиты[Iр, А]),""),IF(BK339=1,IFERROR(_xlfn.XLOOKUP(A339,Щиты[Щит],Щиты[Iр, А]),""),IFERROR(_xlfn.IFS(BR339=1,BN339/((Uн_лин/SQRT(3))*BY339),BR339=3,BN339/(SQRT(3)*Uн_лин*BY339)),""))))</f>
        <v>1.823211376388292</v>
      </c>
      <c r="Q339" s="7">
        <f>IF(B339="","",IFERROR(IF(VLOOKUP(AX339,Потребители_обозначение,4,FALSE)=1,VLOOKUP(AX339,Потребители_обозначение,3,FALSE)*(D339*2-1)+DS339+VLOOKUP(AZ339,Этаж_обозначение,3,FALSE)+VLOOKUP(AZ339,Этаж_обозначение,4,FALSE),VLOOKUP(AX339,Потребители_обозначение,3,FALSE)*(D339*2-1)+DS339),DS339))</f>
        <v>31</v>
      </c>
      <c r="R339" s="6">
        <f t="shared" si="616"/>
        <v>0.84000000000000008</v>
      </c>
      <c r="S339" t="str">
        <f t="shared" si="617"/>
        <v>ВВГнг(А)-FRLS (3х2,5)</v>
      </c>
      <c r="T339" t="str">
        <f>IF(BH339="","",IF(BI339="вводной узел","узел ","")&amp;"л."&amp;(INT((BH339-1)/Столбцов_на_лист)+1)&amp;" / "&amp;(MOD(BH339-1,Столбцов_на_лист)+1))</f>
        <v>л.2 / 3</v>
      </c>
      <c r="V339">
        <v>1</v>
      </c>
      <c r="W339">
        <v>230</v>
      </c>
      <c r="X339" t="s">
        <v>575</v>
      </c>
      <c r="AC339" t="s">
        <v>861</v>
      </c>
      <c r="AD339" t="s">
        <v>490</v>
      </c>
      <c r="AE339" t="s">
        <v>593</v>
      </c>
      <c r="AI339">
        <v>20</v>
      </c>
      <c r="AJ339" t="s">
        <v>13</v>
      </c>
      <c r="AK339">
        <v>3</v>
      </c>
      <c r="AM339">
        <v>11</v>
      </c>
      <c r="AN339">
        <v>12</v>
      </c>
      <c r="AP339">
        <v>1</v>
      </c>
      <c r="AW339" cm="1">
        <f t="array" ref="AW339">ROW()-ROW(Линии[#Headers])</f>
        <v>337</v>
      </c>
      <c r="AX339" s="6" t="str">
        <f t="shared" si="618"/>
        <v>FCP1-1</v>
      </c>
      <c r="AY339" t="str">
        <f t="shared" si="619"/>
        <v/>
      </c>
      <c r="AZ339" t="str">
        <f t="shared" si="620"/>
        <v/>
      </c>
      <c r="BA339" t="str">
        <f t="shared" si="621"/>
        <v/>
      </c>
      <c r="BB339" t="str">
        <f t="shared" si="622"/>
        <v/>
      </c>
      <c r="BC339" t="str">
        <f>IF(U339&lt;&gt;"",U339,IF(AND(B339&lt;&gt;"",B339&lt;&gt;A339,ISNUMBER(_xlfn.XMATCH(B339,Щиты[Щит]))),B339,""))</f>
        <v/>
      </c>
      <c r="BD339" t="str" cm="1">
        <f t="array" ref="BD339">IF(B339="","",IF(BC339&lt;&gt;"","Щит "&amp;BC339,_xlfn.LET(_xlpm.nm,IFERROR(_xlfn.XLOOKUP(AX339,Коды_код,Коды_имя)&amp;"",""),_xlpm.md,IFERROR(N(_xlfn.XLOOKUP(AX339,Коды_код,Коды_режим)),1),_xlpm.ex,IF(Имя_режим="по экспликации",IFERROR(_xlfn.XLOOKUP(AZ339&amp;"|"&amp;BB339,Экспликация[Этаж]&amp;"|"&amp;Экспликация[Помещение],Экспликация[Название])&amp;"",""),""),_xlpm.rm,IF(BB339="","",IF(_xlpm.ex&lt;&gt;"",". "&amp;_xlpm.ex&amp;IF(Имя_пом="нет"," ("&amp;BB339&amp;")"," (пом. "&amp;BB339&amp;")"),IF(Имя_пом="нет"," ",", пом. ")&amp;BB339)),IF(_xlpm.nm="","",IF(_xlpm.md=2,_xlpm.nm&amp;" шлейф "&amp;AZ339,_xlpm.nm&amp;_xlpm.rm)))))</f>
        <v/>
      </c>
      <c r="BE339" t="str">
        <f t="shared" si="623"/>
        <v>шкаф пожарной сигнализации Цокольный этаж Пом. №002Т</v>
      </c>
      <c r="BF339">
        <f>IFERROR(_xlfn.XMATCH(A339,Щиты[Щит]),0)</f>
        <v>16</v>
      </c>
      <c r="BG339">
        <f>_xlfn.LET(_xlpm.k,IFERROR(_xlfn.XLOOKUP(A339,Щиты[Щит],Щиты[Листов под вводной узел]),""),IF(_xlpm.k="",1,N(_xlpm.k))*Столбцов_на_лист)</f>
        <v>17</v>
      </c>
      <c r="BH339">
        <f t="shared" si="624"/>
        <v>20</v>
      </c>
      <c r="BI339" t="str">
        <f t="shared" si="625"/>
        <v>линии</v>
      </c>
      <c r="BJ339" s="6">
        <f>IFERROR(N(_xlfn.XLOOKUP(AX339,Коды_код,Коды_квт)),0)</f>
        <v>0</v>
      </c>
      <c r="BK339">
        <f t="shared" si="626"/>
        <v>0</v>
      </c>
      <c r="BL339" t="str">
        <f>IF(B339="","",IF(BC339&lt;&gt;"",IFERROR(_xlfn.XLOOKUP(BC339,Щиты[Щит],Щиты[Руст, кВт]),0),IF(BK339=1,IFERROR(_xlfn.XLOOKUP(A339,Щиты[Щит],Щиты[Руст, кВт]),0),IF(BJ339&gt;0,ROUND(BJ339*MAX(1,N(D339)),3),""))))</f>
        <v/>
      </c>
      <c r="BM339">
        <f t="shared" si="627"/>
        <v>0.4</v>
      </c>
      <c r="BN339" s="6">
        <f>IF(B339="","",IF(BC339&lt;&gt;"",IFERROR(_xlfn.XLOOKUP(BC339,Щиты[Щит],Щиты[Руст, кВт]),0),N(BM339)))</f>
        <v>0.4</v>
      </c>
      <c r="BO339" t="str">
        <f>IF(B339="","",IFERROR(IF(VLOOKUP(AX339,Потребители_обозначение,8,FALSE)=0,"",VLOOKUP(AX339,Потребители_обозначение,8,FALSE)),""))</f>
        <v/>
      </c>
      <c r="BP339">
        <f t="shared" si="628"/>
        <v>230</v>
      </c>
      <c r="BQ339">
        <f>IF(B339="","",IF(BC339&lt;&gt;"",3,IFERROR(IF(N(VLOOKUP(AX339,Потребители_обозначение,9,FALSE))=0,1,VLOOKUP(AX339,Потребители_обозначение,9,FALSE)),1)))</f>
        <v>1</v>
      </c>
      <c r="BR339">
        <f t="shared" si="629"/>
        <v>1</v>
      </c>
      <c r="BS339" t="str">
        <f>IF(B339="","",_xlfn.LET(_xlpm.bc,IFERROR(IF(VLOOKUP(AX339,Потребители_обозначение,6,FALSE)=0,"",VLOOKUP(AX339,Потребители_обозначение,6,FALSE)&amp;""),""),IF(AND(FK339="да",OR(_xlpm.bc="",_xlpm.bc="мс")),Марка_пож,IF(AND(_xlpm.bc="",BC339&lt;&gt;""),"мс",_xlpm.bc))))</f>
        <v>мфр</v>
      </c>
      <c r="BT339" t="str">
        <f t="shared" si="630"/>
        <v>мфр</v>
      </c>
      <c r="BU339">
        <f>IF(B339="","",_xlfn.LET(_xlpm.cc,IFERROR(N(VLOOKUP(AX339,Потребители_обозначение,7,FALSE)),0),IF(_xlpm.cc&gt;0,_xlpm.cc,IF(BT339="","",IF(N(BR339)=3,5,3)))))</f>
        <v>3</v>
      </c>
      <c r="BV339">
        <f t="shared" si="631"/>
        <v>3</v>
      </c>
      <c r="BW339">
        <f>IFERROR(N(VLOOKUP(AX339,Потребители_обозначение,10,FALSE)),0)</f>
        <v>0</v>
      </c>
      <c r="BX339">
        <f>IFERROR(VLOOKUP(AX339,Потребители_обозначение,5,FALSE),0)</f>
        <v>0</v>
      </c>
      <c r="BY339" s="6" cm="1">
        <f t="array" ref="BY339">IF(B339="","",IF(BC339&lt;&gt;"",IFERROR(_xlfn.XLOOKUP(BC339,Щиты[Щит],Щиты[cos φ]),0.95),IF(BK339=1,IFERROR(_xlfn.XLOOKUP(A339,Щиты[Щит],Щиты[cos φ]),0.95),IF(ISNUMBER(Z339),Z339,IFERROR(IF(BX339=2,_xlfn.IFS(BR339=3,VLOOKUP(BN339,Справочная_двигатели,8,FALSE),BR339=1,VLOOKUP(BN339,Справочная_двигатели,10,TRUE)),IF(AND(Методика="нормы 2026",EQ339="Сил"),0.8,0.95)),0.95)))))</f>
        <v>0.95</v>
      </c>
      <c r="BZ339">
        <f t="shared" si="632"/>
        <v>0</v>
      </c>
      <c r="CA339">
        <f t="shared" si="633"/>
        <v>1</v>
      </c>
      <c r="CB339">
        <f t="shared" si="634"/>
        <v>0</v>
      </c>
      <c r="CC339">
        <f t="shared" si="635"/>
        <v>0</v>
      </c>
      <c r="CD339">
        <f t="shared" si="636"/>
        <v>0</v>
      </c>
      <c r="CE339">
        <f t="shared" si="637"/>
        <v>0</v>
      </c>
      <c r="CF339">
        <f t="shared" si="638"/>
        <v>0</v>
      </c>
      <c r="CG339">
        <f>IF(AX339="",0,_xlfn.LET(_xlpm.v,IFERROR(VLOOKUP(B339,УГО_спр,3,FALSE),IFERROR(VLOOKUP(AX339,УГО_спр,3,FALSE),IFERROR(VLOOKUP(LEFT(AX339,2),УГО_спр,3,FALSE),""))),IF(_xlpm.v="да",30,IF(ISNUMBER(_xlpm.v),_xlpm.v,0))))</f>
        <v>0</v>
      </c>
      <c r="CH339" t="str">
        <f t="shared" si="639"/>
        <v/>
      </c>
      <c r="CI339" t="str">
        <f>_xlfn.LET(_xlpm.k,IFERROR(_xlfn.XLOOKUP(AX339,Коды_код,Коды_утечка)&amp;"",""),IF(_xlpm.k="","дифавтомат",_xlpm.k))</f>
        <v>дифавтомат</v>
      </c>
      <c r="CJ339">
        <f t="shared" si="640"/>
        <v>0</v>
      </c>
      <c r="CK339">
        <f t="shared" si="641"/>
        <v>0</v>
      </c>
      <c r="CL339">
        <f>IF(B339="",0,IFERROR(--VLOOKUP(B339,УГО_спр,4,FALSE),IFERROR(--VLOOKUP(AX339,УГО_спр,4,FALSE),IFERROR(--VLOOKUP(LEFT(AX339,2),УГО_спр,4,FALSE),0))))</f>
        <v>0</v>
      </c>
      <c r="CM339" t="str">
        <f>IF(B339="","",IFERROR(_xlfn.XLOOKUP(AX339,Коды_код,Коды_апп)&amp;"",""))</f>
        <v/>
      </c>
      <c r="CN339" t="str">
        <f t="shared" si="642"/>
        <v/>
      </c>
      <c r="CO339" t="str" cm="1">
        <f t="array" ref="CO339">IF(TRIM(CN339&amp;"")="","",IFERROR(TRIM(INDEX(_xlfn.TEXTSPLIT(CN339&amp;";;;",";"),1)),""))</f>
        <v/>
      </c>
      <c r="CP339" t="str" cm="1">
        <f t="array" ref="CP339">IF(TRIM(CN339&amp;"")="","",IFERROR(TRIM(INDEX(_xlfn.TEXTSPLIT(CN339&amp;";;;",";"),2)),""))</f>
        <v/>
      </c>
      <c r="CQ339" t="str" cm="1">
        <f t="array" ref="CQ339">IF(TRIM(CN339&amp;"")="","",IFERROR(TRIM(INDEX(_xlfn.TEXTSPLIT(CN339&amp;";;;",";"),3)),""))</f>
        <v/>
      </c>
      <c r="CR339">
        <f t="shared" si="643"/>
        <v>0</v>
      </c>
      <c r="CS339" t="str">
        <f>IF(B339="","",_xlfn.LET(_xlpm.t,LOWER(AV339&amp;""),IF(ISNUMBER(SEARCH("dim",_xlpm.t)),"DIM",IF(ISNUMBER(SEARCH("dali",_xlpm.t)),"DALI",IF(OR(ISNUMBER(SEARCH("relay",_xlpm.t)),ISNUMBER(SEARCH("реле",_xlpm.t))),"Relay",IF(ISNUMBER(SEARCH("кнопк",_xlpm.t)),"",IFERROR(_xlfn.XLOOKUP(AX339,Коды_код,Коды_упр)&amp;"","")))))))</f>
        <v/>
      </c>
      <c r="CT339" t="str">
        <f t="shared" si="644"/>
        <v/>
      </c>
      <c r="CU339">
        <f>IF(B339="","",_xlfn.LET(_xlpm.ig,N(P339)+IF(AF339="вручную",0,N(CB339)),_xlpm.n0,IFERROR(VLOOKUP(_xlpm.ig,Автомат_номиналы,2,TRUE),0),_xlpm.mn,MAX(CL339,IF(AF339="вручную",0,N(CE339))),MAX(_xlpm.n0,_xlpm.mn,IF(CR339=1,Мин_автомат_БП,0))))</f>
        <v>6</v>
      </c>
      <c r="CV339">
        <f t="shared" si="645"/>
        <v>1</v>
      </c>
      <c r="CW339" t="str">
        <f t="shared" si="646"/>
        <v>1P</v>
      </c>
      <c r="CX339" t="str">
        <f>_xlfn.LET(_xlpm.cc,UPPER(TRIM(IFERROR(_xlfn.XLOOKUP(AX339,Коды_код,Коды_хар)&amp;"",""))),IF(OR(_xlpm.cc="B",_xlpm.cc="В"),"B",IF(_xlpm.cc="D","D","С")))</f>
        <v>С</v>
      </c>
      <c r="CY339" t="str">
        <f t="shared" si="647"/>
        <v>1P С6А</v>
      </c>
      <c r="CZ339">
        <f t="shared" si="648"/>
        <v>16</v>
      </c>
      <c r="DA339" t="str">
        <f t="shared" si="649"/>
        <v>1P С16А</v>
      </c>
      <c r="DB339" cm="1">
        <f t="array" ref="DB339">IF(DA339="","",_xlfn.LET(_xlpm.t,SUBSTITUTE(SUBSTITUTE(SUBSTITUTE(UPPER(DA339),"С","C"),"А","A"),"В","B"),_xlpm.tk,_xlfn.TEXTSPLIT(_xlpm.t,"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9" t="str">
        <f t="shared" si="650"/>
        <v>ok</v>
      </c>
      <c r="DD339">
        <f t="shared" si="651"/>
        <v>16</v>
      </c>
      <c r="DE339" t="str">
        <f t="shared" si="652"/>
        <v>1P С16А</v>
      </c>
      <c r="DF339">
        <f t="shared" si="653"/>
        <v>0</v>
      </c>
      <c r="DG339">
        <f t="shared" si="654"/>
        <v>0</v>
      </c>
      <c r="DH339">
        <f t="shared" si="655"/>
        <v>0</v>
      </c>
      <c r="DI339">
        <f t="shared" si="656"/>
        <v>1.823211376388292</v>
      </c>
      <c r="DJ339">
        <f t="shared" si="657"/>
        <v>1</v>
      </c>
      <c r="DK339">
        <f>IF(ISNUMBER(AL339),AL339,К_прокл)</f>
        <v>1</v>
      </c>
      <c r="DL339">
        <f t="shared" si="658"/>
        <v>2</v>
      </c>
      <c r="DM339">
        <f>IFERROR(N(VLOOKUP(BT339,Кабель_обозначение,3,FALSE)),1)</f>
        <v>1</v>
      </c>
      <c r="DN339">
        <f>IFERROR(N(_xlfn.XLOOKUP(A339,Щиты[Щит],Щиты[ΔU до шин, %])),0)</f>
        <v>0.41000000000000003</v>
      </c>
      <c r="DO339" t="str">
        <f>IFERROR(_xlfn.XLOOKUP(A339,Щиты[Щит],Щиты[Zпетли на шинах, Ом]),"")</f>
        <v/>
      </c>
      <c r="DP339">
        <f>IFERROR(N(_xlfn.XLOOKUP(A339,Щиты[Щит],Щиты[ΔU до шин (подбор), %])),0)</f>
        <v>0.68</v>
      </c>
      <c r="DQ339" t="str">
        <f>IFERROR(_xlfn.XLOOKUP(A339,Щиты[Щит],Щиты[Zпетли на шинах (подбор), Ом]),"")</f>
        <v/>
      </c>
      <c r="DR339" t="str">
        <f t="shared" si="659"/>
        <v/>
      </c>
      <c r="DS339">
        <f t="shared" si="660"/>
        <v>31</v>
      </c>
      <c r="DT339">
        <f t="shared" si="661"/>
        <v>2</v>
      </c>
      <c r="DU339">
        <f t="shared" si="662"/>
        <v>0.31</v>
      </c>
      <c r="DV339" s="6">
        <f>IF(B339="","",IF(IFERROR(VLOOKUP(AX339,УГО_спр,2,FALSE),"")="Светильник",3,4)+IF(Методика="нормы 2026",MIN(0.5,MAX(0,N(Q339)-100)*0.005),0))</f>
        <v>4</v>
      </c>
      <c r="DW339" cm="1">
        <f t="array" ref="DW339">IF(OR(B339="",BT339="",DM339&lt;&gt;1),"",_xlfn.LET(_xlpm.sz,Iдоп_S,_xlpm.t_,CHOOSE(DL339,Iдоп_1ж,Iдоп_2ж,Iдоп_3ж)*DJ339*DK339,_xlpm.inn,N(DD339),_xlpm.smin,MAX(1.5,BW339),_xlpm.L_,N(Q339)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339)*(_xlpm.rho*_xlpm.L_/_xlpm.sz*N(BY339)+_xlpm.xx*_xlpm.L_*N(DU339)/1000)*N(P339)/((Uн_лин/SQRT(3))*1000)*100,999),_xlpm.kz,IF(OR(DG339=1,NOT(ISNUMBER(DQ339)),_xlpm.L_=0,_xlpm.inn=0),1,IFERROR(--(c_min*(Uн_лин*1000/SQRT(3))/(DQ339+2*ρкз_Cu*_xlpm.L_/_xlpm.sz)&gt;=GY339*_xlpm.inn),0)),_xlpm.ok,IFERROR((_xlpm.sz&gt;=_xlpm.smin)*(_xlpm.t_&gt;=_xlpm.inn)*IF(_xlpm.L_&gt;0,(_xlpm.du_+DP339&lt;=DV339+0.00001),1)*_xlpm.kz,0),_xlpm.r_,_xlfn._xlws.FILTER(_xlpm.sz,_xlpm.ok,"не подобрано"),INDEX(_xlpm.r_,1)))</f>
        <v>1.5</v>
      </c>
      <c r="DX339">
        <f t="shared" si="663"/>
        <v>2.5</v>
      </c>
      <c r="DY339" cm="1">
        <f t="array" ref="DY339">IF(OR(B339="",BT339="",DM339&lt;&gt;1),"",_xlfn.LET(_xlpm.sz,Iдоп_S,_xlpm.t_,CHOOSE(DL339,Iдоп_1ж,Iдоп_2ж,Iдоп_3ж)*DJ339*DK339,_xlpm.ok,IFERROR((_xlpm.sz&gt;=MAX(1.5,BW339))*(_xlpm.t_&gt;=N(DD339)),0),_xlpm.r_,_xlfn._xlws.FILTER(_xlpm.sz,_xlpm.ok,""),INDEX(_xlpm.r_,1)))</f>
        <v>1.5</v>
      </c>
      <c r="DZ339" s="6" cm="1">
        <f t="array" ref="DZ339">IFERROR(ROUNDUP(N(DT339)*(_xlfn.XLOOKUP(DY339,INDEX(Кабель_сопротивление,0,1),INDEX(Кабель_сопротивление,0,3))*N(Q339)/DY339*N(BY339)+_xlfn.XLOOKUP(DY339,INDEX(Кабель_сопротивление,0,1),INDEX(Кабель_сопротивление,0,2))*N(Q339)*N(DU339)/1000)*N(P339)/((Uн_лин/SQRT(3))*1000)*100,2),"")</f>
        <v>0.7</v>
      </c>
      <c r="EA339">
        <f>IFERROR(2*ρкз_Cu*N(Q339)/DY339,"")</f>
        <v>1.0870666666666666</v>
      </c>
      <c r="EB339">
        <f>IFERROR(VLOOKUP(DX339,Кабель_сопротивление,3,FALSE),"")</f>
        <v>2.2499999999999999E-2</v>
      </c>
      <c r="EC339">
        <f>IFERROR(VLOOKUP(DX339,Кабель_сопротивление,2,FALSE),"")</f>
        <v>0.1</v>
      </c>
      <c r="ED339">
        <f t="shared" si="664"/>
        <v>12</v>
      </c>
      <c r="EE339">
        <f t="shared" si="665"/>
        <v>0</v>
      </c>
      <c r="EF339">
        <f t="shared" si="666"/>
        <v>0.96998856288885182</v>
      </c>
      <c r="EG339" s="6">
        <f>IFERROR(ROUNDUP(EF339/((Uн_лин/SQRT(3))*1000)*100,2),"")</f>
        <v>0.43</v>
      </c>
      <c r="EH339" t="str">
        <f>IFERROR(VLOOKUP(BT339,Кабель_обозначение,2,FALSE),"")</f>
        <v>ВВГнг(А)-FRLS</v>
      </c>
      <c r="EI339" t="str">
        <f t="shared" si="667"/>
        <v>ВВГнг(А)-FRLS (3х2,5)</v>
      </c>
      <c r="EJ339" t="str">
        <f t="shared" si="668"/>
        <v>ВВГнг(А)-FRLS (3х2,5)
L=31-0,43%</v>
      </c>
      <c r="EK339">
        <f>IFERROR(2*ρкз_Cu*Q339/DX339,"")</f>
        <v>0.65224000000000004</v>
      </c>
      <c r="EL339">
        <f t="shared" si="669"/>
        <v>0.21700000000000003</v>
      </c>
      <c r="EM339" s="6" t="str">
        <f>IFERROR(IF(OR(B339="",NOT(ISNUMBER(DX339)),N(Q339)=0),"",_xlfn.XLOOKUP(A339,Щиты[Щит],Щиты[Zпетли на шинах, Ом])+EK339),"")</f>
        <v/>
      </c>
      <c r="EN339" s="6" t="str">
        <f>IF(ISNUMBER(EM339),c_min*(Uн_лин*1000/SQRT(3))/EM339,"")</f>
        <v/>
      </c>
      <c r="EO339" s="6" t="str">
        <f>IFERROR(IF(OR(B339="",NOT(ISNUMBER(DX339))),"",1.05*(Uн_лин*1000/SQRT(3))/(_xlfn.XLOOKUP(A339,Щиты[Щит],Щиты[Zmax на шинах, Ом])+EL339)/1000),"")</f>
        <v/>
      </c>
      <c r="EP339" s="6" t="str">
        <f>IF(B339="","",IF(ISNUMBER(Y339),"Сил",IF(IFERROR(_xlfn.XLOOKUP(AX339,Коды_код,Коды_группа)&amp;"","")="","Быт",_xlfn.XLOOKUP(AX339,Коды_код,Коды_группа)&amp;"")))</f>
        <v>Быт</v>
      </c>
      <c r="EQ339" s="6" t="str">
        <f t="shared" si="670"/>
        <v>Пост</v>
      </c>
      <c r="ER339" s="6">
        <f>IF(EQ339="Щит","щит",IF(EQ339="","",IF(EQ339="Быт",IFERROR(_xlfn.XLOOKUP(A339,Щиты[Щит],Щиты[Кс быт]),1),IF(EQ339="Сил",IF(ISNUMBER(Y339),Y339,IF(Методика="нормы 2026",IFERROR(_xlfn.XLOOKUP(A339,Щиты[Щит],Щиты[Кс силовых (табл. 7.5)]),1),1)),IF(OR(EQ339="Пост",EQ339="Отоп"),1,IF(EQ339="ВНГ",0.7,0))))))</f>
        <v>1</v>
      </c>
      <c r="ES339">
        <f t="shared" si="671"/>
        <v>1</v>
      </c>
      <c r="ET339">
        <f t="shared" si="672"/>
        <v>0.4</v>
      </c>
      <c r="EU339">
        <f t="shared" si="673"/>
        <v>0</v>
      </c>
      <c r="EV339">
        <f t="shared" si="674"/>
        <v>0</v>
      </c>
      <c r="EW339">
        <f t="shared" si="675"/>
        <v>0.4</v>
      </c>
      <c r="EX339">
        <f t="shared" si="676"/>
        <v>0</v>
      </c>
      <c r="EY339">
        <f t="shared" si="677"/>
        <v>0</v>
      </c>
      <c r="EZ339">
        <f t="shared" si="678"/>
        <v>0.4</v>
      </c>
      <c r="FA339">
        <f t="shared" si="679"/>
        <v>0.38</v>
      </c>
      <c r="FB339">
        <f t="shared" si="680"/>
        <v>0.4</v>
      </c>
      <c r="FC339" t="str">
        <f t="shared" si="681"/>
        <v/>
      </c>
      <c r="FD339" t="str">
        <f>IF(B339="","",IF(CA339=0,IF(AW339=1,"",FF338),IF(OR(N(CV339)&gt;=3,N(BR339)&gt;=3),"L1,L2,L3",IFERROR(_xlfn.TEXTBEFORE(_xlfn.TEXTAFTER(_xlfn.XLOOKUP(A339,Щиты[Щит],Щиты[_фазы авто]),";"&amp;AW339&amp;":"),";"),"L1"))))</f>
        <v>L3</v>
      </c>
      <c r="FE339" t="str">
        <f t="shared" si="682"/>
        <v>L3</v>
      </c>
      <c r="FF339" t="str">
        <f t="shared" si="683"/>
        <v>L3</v>
      </c>
      <c r="FG339" cm="1">
        <f t="array" ref="FG339">IFERROR(IF(BX339=2,_xlfn.IFS(BR339=3,VLOOKUP(BN339,Справочная_двигатели,3,FALSE),BR339=1,VLOOKUP(BN339,Справочная_двигатели,5,TRUE)),0),0)</f>
        <v>0</v>
      </c>
      <c r="FH339">
        <f>IFERROR(IF(BX339=3,VLOOKUP(BN339,Справочная_ЛЭД,2,TRUE),0),0)</f>
        <v>0</v>
      </c>
      <c r="FI339" s="6">
        <f t="shared" si="684"/>
        <v>0</v>
      </c>
      <c r="FJ339" t="str" cm="1">
        <f t="array" ref="FJ339">IF(B339="","",IFERROR(INDEX({"I особая","I","II","III"},MATCH(TRIM(AC339&amp;""),{"I особая","I","II","III"},0)),"III"))</f>
        <v>I</v>
      </c>
      <c r="FK339" t="str">
        <f>IF(B339="","",IF(TRIM(AD339&amp;"")&lt;&gt;"",IF(LOWER(TRIM(AD339&amp;""))="да","да","нет"),IF(IFERROR(_xlfn.XLOOKUP(AX339,Коды_код,Коды_пожарная),"")="да","да","нет")))</f>
        <v>да</v>
      </c>
      <c r="FL339" t="str">
        <f t="shared" si="685"/>
        <v/>
      </c>
      <c r="FM339" t="str">
        <f t="shared" si="686"/>
        <v>основная</v>
      </c>
      <c r="FN339">
        <f t="shared" si="687"/>
        <v>1</v>
      </c>
      <c r="FO339" t="str" cm="1">
        <f t="array" ref="FO339">IF(B339="","",_xlfn.LET(_xlpm.t,IFERROR(_xlfn.XLOOKUP(1,(Шины[Шина]=FM339)*(((Шины[Щит]=A339)+(Шины[Щит]=""))&gt;0),Шины[Тип]),"")&amp;"",IF(_xlpm.t&lt;&gt;"",_xlpm.t,IF(ISNUMBER(SEARCH("ИБП",FM339)),"ИБП",IF(ISNUMBER(SEARCH("ДГУ",FM339)),"ДГУ","Ввод "&amp;FN339)))))</f>
        <v>Ввод 1</v>
      </c>
      <c r="FP339" t="str">
        <f t="shared" si="688"/>
        <v>Ввод 1</v>
      </c>
      <c r="FQ339" t="str">
        <f>IF(B339="","",IF(OR(FO339="ИБП",FO339="ДГУ"),"I особая",IF(FO339="Одиночная","III",_xlfn.XLOOKUP(A339,Щиты[Щит],Щиты[Категория шины «Ввод»],"III"))))</f>
        <v>I</v>
      </c>
      <c r="FR339">
        <f>IF(B339="",0,IFERROR(MATCH(FJ339,{"III","II","I","I особая"},0),1))</f>
        <v>3</v>
      </c>
      <c r="FS339">
        <f t="shared" si="689"/>
        <v>3</v>
      </c>
      <c r="FT339" t="str">
        <f>IF(B339="","",IF(FR339&gt;IFERROR(MATCH(FQ339,{"III","II","I","I особая"},0),1),"НЕ ОБЕСПЕЧЕНА","ОК"))</f>
        <v>ОК</v>
      </c>
      <c r="FU339" t="str">
        <f>IF(A339="","",_xlfn.XLOOKUP(A339,Щиты[Щит],Щиты[Путь],""))</f>
        <v>|ГРЩ-ЖД|ЩСПЗ-ЖД|</v>
      </c>
      <c r="FV339" t="str">
        <f>IF(B339="","",IF(AE339&lt;&gt;"",AE339,IF(IFERROR(_xlfn.XLOOKUP(AX339,Коды_код,Коды_вид)&amp;"","")="","Прочее",_xlfn.XLOOKUP(AX339,Коды_код,Коды_вид)&amp;"")))</f>
        <v>Системы противопожарной защиты</v>
      </c>
      <c r="FW339">
        <f>IF(BH339="","",INT((BH339-1)/Столбцов_на_лист)+1)</f>
        <v>2</v>
      </c>
      <c r="FX339" t="str">
        <f t="shared" si="690"/>
        <v>ВВГнг(А)-FRLS (3х2,5) L=31-0,43%</v>
      </c>
      <c r="FY339">
        <f t="shared" si="691"/>
        <v>0.4</v>
      </c>
      <c r="FZ339">
        <f t="shared" si="692"/>
        <v>1.83</v>
      </c>
      <c r="GA339">
        <f t="shared" si="693"/>
        <v>1</v>
      </c>
      <c r="GB339">
        <f t="shared" si="694"/>
        <v>0</v>
      </c>
      <c r="GC339">
        <f t="shared" si="695"/>
        <v>1</v>
      </c>
      <c r="GD339">
        <f>IF(BH339="","",IF(AND(CA339=1,GC339=1),COUNTIFS(A$3:A339,A339,CA$3:CA339,1,GC$3:GC339,1),IF(OR(OR(AW339=1,A339&lt;&gt;A338),AF339="вручную",GC339=0),"",IF(AW339=1,"",GE338))))</f>
        <v>3</v>
      </c>
      <c r="GE339">
        <f t="shared" si="696"/>
        <v>3</v>
      </c>
      <c r="GF339">
        <f>IF(B339="","",IFERROR(LOOKUP(INDEX(CHOOSE(DL339,Iдоп_1ж,Iдоп_2ж,Iдоп_3ж),MATCH(DX339,Iдоп_S,0))*DJ339*DK339,{6,10,16,20,25,32,40,50,63,80,100,125,160,200,250,315,400,500,630}),""))</f>
        <v>25</v>
      </c>
      <c r="GG339" t="str">
        <f t="shared" si="697"/>
        <v>QF3</v>
      </c>
      <c r="GH339" t="str">
        <f t="shared" si="698"/>
        <v>QF3</v>
      </c>
      <c r="GI339" t="str">
        <f t="shared" si="699"/>
        <v/>
      </c>
      <c r="GJ339">
        <f t="shared" si="700"/>
        <v>0</v>
      </c>
      <c r="GK339" t="str">
        <f>IF(OR(AG339="",AG339="-"),"",IFERROR(VLOOKUP(AG339,Модули_спр,2,FALSE),"R"))</f>
        <v/>
      </c>
      <c r="GL339" t="str">
        <f>IF(GK339="","",GK339&amp;"."&amp;COUNTIFS(A$3:A339,A339,GK$3:GK339,GK339))</f>
        <v/>
      </c>
      <c r="GM339" t="str">
        <f t="shared" si="701"/>
        <v/>
      </c>
      <c r="GN339" t="str">
        <f t="shared" si="702"/>
        <v/>
      </c>
      <c r="GO339" t="str">
        <f t="shared" si="703"/>
        <v/>
      </c>
      <c r="GP339" t="str">
        <f t="shared" si="704"/>
        <v/>
      </c>
      <c r="GQ339">
        <f t="shared" si="705"/>
        <v>1</v>
      </c>
      <c r="GR339" t="str">
        <f>IF(GQ339=1,"XT"&amp;COUNTIFS(A$3:A339,A339,GQ$3:GQ339,1),"")</f>
        <v>XT3</v>
      </c>
      <c r="GS339" t="str">
        <f t="shared" si="706"/>
        <v>XT3</v>
      </c>
      <c r="GT339" t="str">
        <f t="shared" si="707"/>
        <v>QF3</v>
      </c>
      <c r="GU339" t="str">
        <f t="shared" si="708"/>
        <v/>
      </c>
      <c r="GV339" t="str">
        <f t="shared" si="709"/>
        <v>ok</v>
      </c>
      <c r="GW339" t="str">
        <f>IF(OR(GO339="",GM339=""),"",IF(GO339&gt;IFERROR(VLOOKUP(GN339,Модули_спр,3,FALSE),99),"ЛИШНИЙ КАНАЛ",IF(AND(AH339&lt;&gt;"=",COUNTIFS(Линии[_модуль гр.],GM339,Линии[Канал (итог)],GO339,Линии[Канал],"&lt;&gt;=",Линии[Щит],A339)&gt;1),"ДУБЛЬ КАНАЛА","")))</f>
        <v/>
      </c>
      <c r="GX339" s="6" t="str">
        <f t="shared" si="710"/>
        <v/>
      </c>
      <c r="GY339">
        <f t="shared" si="711"/>
        <v>10</v>
      </c>
      <c r="GZ339" t="str">
        <f t="shared" si="712"/>
        <v/>
      </c>
      <c r="HA339" t="str">
        <f>IF(AND(B339="",GT339=""),"",_xlfn.TEXTJOIN("; ",TRUE,IF(AND(B339&lt;&gt;"",FE339=""),"нет фазы",""),IF(AND(B339&lt;&gt;"",N(FY339)=0,EQ339&lt;&gt;"Нет"),"нет мощности",""),IF(AND(GS339&lt;&gt;"",COUNTIFS(Линии[Щит],A339,Линии[Клемма (итог)],GS339)&gt;1),"дубль клеммы "&amp;GS339,""),IF(AND(GV339&lt;&gt;"",GV339&lt;&gt;"ok"),GV339,""),IF(GW339&lt;&gt;"",GW339,""),IF(AND(N(BV339)&gt;=4,N(BR339)=1),BV339&amp;" жил на 1 фазе",""),IF(AND(AX339="R",CA339=1,OR(N(CK339)=0,N(CK339)&gt;30)),"розетка без дифзащиты до 30 мА",""),IFERROR(IF(AND(ISNUMBER(R339),R339&gt;DV339),"потери "&amp;FIXED(R339,1)&amp;" % &gt; "&amp;DV339&amp;" %",""),""),IFERROR(IF(LEFT(GZ339,4)="мало","Iкз мало — отключение &gt; 0,4 с",""),""),IF(AND(B339&lt;&gt;"",BH339=""),"не на схеме",""),IF(AND(CA339=0,B339&lt;&gt;"",FE339&lt;&gt;"",IF(AW339=1,"",FF338)&lt;&gt;"",FE339&lt;&gt;IF(AW339=1,"",FF338)),"фаза не как у автомата группы ("&amp;IF(AW339=1,"",FF338)&amp;")","")))</f>
        <v/>
      </c>
      <c r="HB339" s="6">
        <f>IF(OR(CA339=0,DA339=""),"",_xlfn.LET(_xlpm.t,IFERROR(_xlfn.XLOOKUP(DA339,Каталог!$U$4:$U$500,Каталог!$G$4:$G$500),""),_xlpm.k,SEARCH("кА",_xlpm.t),IFERROR(--TRIM(RIGHT(SUBSTITUTE(MID(_xlpm.t,MAX(1,_xlpm.k-4),_xlpm.k-MAX(1,_xlpm.k-4))," ",REPT(" ",9)),5)),"")))</f>
        <v>6</v>
      </c>
      <c r="HC339" t="str">
        <f>IF(OR(HB339="",CA339=0),"",IF(_xlfn.XLOOKUP(A339,Щиты[Щит],Щиты[Iкз max на шинах, кА],"")="","",IF(HB339&lt;_xlfn.XLOOKUP(A339,Щиты[Щит],Щиты[Iкз max на шинах, кА]),"Icu "&amp;HB339&amp;" кА &lt; Iкз max","ok")))</f>
        <v/>
      </c>
      <c r="HD339" t="str">
        <f t="shared" si="713"/>
        <v/>
      </c>
      <c r="HE339" t="str">
        <f t="shared" si="714"/>
        <v>QF3|XT3</v>
      </c>
      <c r="HF339" t="str">
        <f t="shared" si="715"/>
        <v>QF3|XT3|кабель ВВГнг(А)-FRLS (3х2,5) → шкаф пожарной сигнализации Цокольный этаж Пом. №002Т</v>
      </c>
      <c r="HG339" t="str" cm="1">
        <f t="array" ref="HG339">IF(HF339="","",_xlfn.LET(_xlpm.nd,_xlfn.TEXTSPLIT(HF339,"|"),IF(COLUMNS(_xlpm.nd)&gt;1,A339&amp;"¦"&amp;INDEX(_xlpm.nd,1)&amp;"¦"&amp;INDEX(_xlpm.nd,2),"")))</f>
        <v>ЩСПЗ-ЖД¦QF3¦XT3</v>
      </c>
      <c r="HH339" t="str">
        <f t="shared" si="716"/>
        <v>FCP1-1¦шкаф пожарной сигнализации Цокольный этаж Пом. №002Т</v>
      </c>
      <c r="HI339" t="str" cm="1">
        <f t="array" ref="HI339">IF(HF339="","",_xlfn.LET(_xlpm.nd,_xlfn.TEXTSPLIT(HF339,"|"),IF(COLUMNS(_xlpm.nd)&gt;2,A339&amp;"¦"&amp;INDEX(_xlpm.nd,2)&amp;"¦"&amp;INDEX(_xlpm.nd,3),"")))</f>
        <v>ЩСПЗ-ЖД¦XT3¦кабель ВВГнг(А)-FRLS (3х2,5) → шкаф пожарной сигнализации Цокольный этаж Пом. №002Т</v>
      </c>
      <c r="HJ339" t="str">
        <f t="shared" si="717"/>
        <v>FCP1-1¦шкаф пожарной сигнализации Цокольный этаж Пом. №002Т</v>
      </c>
      <c r="HK339" t="str" cm="1">
        <f t="array" ref="HK339">IF(HF339="","",_xlfn.LET(_xlpm.nd,_xlfn.TEXTSPLIT(HF339,"|"),IF(COLUMNS(_xlpm.nd)&gt;3,A339&amp;"¦"&amp;INDEX(_xlpm.nd,3)&amp;"¦"&amp;INDEX(_xlpm.nd,4),"")))</f>
        <v/>
      </c>
      <c r="HL339" t="str">
        <f t="shared" si="718"/>
        <v/>
      </c>
      <c r="HM339" t="str" cm="1">
        <f t="array" ref="HM339">IF(HF339="","",_xlfn.LET(_xlpm.nd,_xlfn.TEXTSPLIT(HF339,"|"),IF(COLUMNS(_xlpm.nd)&gt;4,A339&amp;"¦"&amp;INDEX(_xlpm.nd,4)&amp;"¦"&amp;INDEX(_xlpm.nd,5),"")))</f>
        <v/>
      </c>
      <c r="HN339" t="str">
        <f t="shared" si="719"/>
        <v/>
      </c>
      <c r="HO339" t="str" cm="1">
        <f t="array" ref="HO339">IF(HF339="","",_xlfn.LET(_xlpm.nd,_xlfn.TEXTSPLIT(HF339,"|"),IF(COLUMNS(_xlpm.nd)&gt;5,A339&amp;"¦"&amp;INDEX(_xlpm.nd,5)&amp;"¦"&amp;INDEX(_xlpm.nd,6),"")))</f>
        <v/>
      </c>
      <c r="HP339" t="str">
        <f t="shared" si="720"/>
        <v/>
      </c>
      <c r="HQ339" t="str" cm="1">
        <f t="array" ref="HQ339">IF(HF339="","",_xlfn.LET(_xlpm.nd,_xlfn.TEXTSPLIT(HF339,"|"),IF(COLUMNS(_xlpm.nd)&gt;6,A339&amp;"¦"&amp;INDEX(_xlpm.nd,6)&amp;"¦"&amp;INDEX(_xlpm.nd,7),"")))</f>
        <v/>
      </c>
      <c r="HR339" t="str">
        <f t="shared" si="721"/>
        <v/>
      </c>
      <c r="HS339" t="str">
        <f t="shared" si="722"/>
        <v/>
      </c>
      <c r="HT339" t="str">
        <f t="shared" si="723"/>
        <v>QF3 → XT3</v>
      </c>
      <c r="HU339">
        <f t="shared" si="724"/>
        <v>0</v>
      </c>
      <c r="HV339">
        <f t="shared" si="725"/>
        <v>0</v>
      </c>
      <c r="HW339" t="str">
        <f t="shared" si="726"/>
        <v/>
      </c>
      <c r="HX339" t="str">
        <f t="shared" si="727"/>
        <v/>
      </c>
      <c r="HY339" t="str">
        <f t="shared" si="728"/>
        <v/>
      </c>
      <c r="HZ339" t="str">
        <f t="shared" si="729"/>
        <v/>
      </c>
      <c r="IA339" t="str">
        <f>IF(B339="","",IFERROR(VLOOKUP(B339,УГО_спр,2,FALSE),IFERROR(VLOOKUP(AX339,УГО_спр,2,FALSE),IFERROR(VLOOKUP(LEFT(AX339,2),УГО_спр,2,FALSE),""))))</f>
        <v/>
      </c>
      <c r="IB339" t="str">
        <f>IF(B339="","",IF(OR(IA339="",IA339=0),"BOX",IFERROR(IF(VLOOKUP(IA339,УГО_блоки,3,FALSE)&amp;""&lt;&gt;"",VLOOKUP(IA339,УГО_блоки,3,FALSE),VLOOKUP(IA339,УГО_блоки,2,FALSE)),IA339)))</f>
        <v>BOX</v>
      </c>
      <c r="IC339">
        <f t="shared" si="730"/>
        <v>1</v>
      </c>
      <c r="ID339" t="str">
        <f>IF(DA339="","",IF(COUNTIF(DA$3:DA339,DA339)=1,MAX(ID$2:ID338)+1,""))</f>
        <v/>
      </c>
      <c r="IE339" t="str">
        <f>IF(CO339="","",IF(COUNTIF(CO$3:CO339,CO339)+COUNTIF(CP$2:CP338,CO339)+COUNTIF(CQ$2:CQ338,CO339)=1,MAX(IE$2:IG338)+1,""))</f>
        <v/>
      </c>
      <c r="IF339" t="str">
        <f>IF(CP339="","",IF(COUNTIF(CO$3:CO339,CP339)+COUNTIF(CP$3:CP339,CP339)+COUNTIF(CQ$2:CQ338,CP339)=1,MAX(IE$2:IG338,IE339)+1,""))</f>
        <v/>
      </c>
      <c r="IG339" t="str">
        <f>IF(CQ339="","",IF(COUNTIF(CO$3:CO339,CQ339)+COUNTIF(CP$3:CP339,CQ339)+COUNTIF(CQ$3:CQ339,CQ339)=1,MAX(IE$2:IG338,IE339,IF339)+1,""))</f>
        <v/>
      </c>
      <c r="IH339" t="str">
        <f t="shared" si="731"/>
        <v>3х2,5</v>
      </c>
      <c r="II339" t="str">
        <f>IF(IH339="","",IF(COUNTIF(IH$3:IH339,IH339)=1,MAX(II$2:II338)+1,""))</f>
        <v/>
      </c>
      <c r="IJ339" t="str">
        <f>IF(GL339="","",COUNTIF(GL$3:GL339,"?*"))</f>
        <v/>
      </c>
      <c r="IK339" t="str">
        <f>IF(OR(GL339="",GN339=""),"",IF(COUNTIFS(GL$3:GL339,"?*",GN$3:GN339,GN339)=1,MAX(IK$2:IK338)+1,""))</f>
        <v/>
      </c>
      <c r="IL339">
        <f t="shared" si="732"/>
        <v>0</v>
      </c>
      <c r="IM339">
        <f>IF(B339="","",COUNTIF(B$3:B339,"?*"))</f>
        <v>337</v>
      </c>
      <c r="IN339">
        <f>IF(GQ339&lt;&gt;1,0,_xlfn.LET(_xlpm.k,MAX(IFERROR(--VLOOKUP(B339,УГО_спр,5,FALSE),0),IFERROR(--VLOOKUP(AX339,УГО_спр,5,FALSE),0),IFERROR(--VLOOKUP(LEFT(AX339,2),УГО_спр,5,FALSE),0)),IF(_xlpm.k&gt;0,_xlpm.k,IF(IFERROR(--LEFT(SUBSTITUTE(IH339,"x","х"),FIND("х",SUBSTITUTE(IH339,"x","х"))-1),3)&gt;3,Каталог!$S$9,1))))</f>
        <v>1</v>
      </c>
      <c r="IO339">
        <f t="shared" si="733"/>
        <v>0</v>
      </c>
      <c r="IP339" t="str">
        <f t="shared" si="734"/>
        <v>авто</v>
      </c>
      <c r="IQ339" t="str">
        <f t="shared" si="735"/>
        <v/>
      </c>
      <c r="IR339">
        <f t="shared" si="736"/>
        <v>0</v>
      </c>
      <c r="IS339">
        <f t="shared" si="737"/>
        <v>1</v>
      </c>
    </row>
    <row r="340" spans="1:253" x14ac:dyDescent="0.3">
      <c r="A340" t="s">
        <v>1105</v>
      </c>
      <c r="B340" t="s">
        <v>1598</v>
      </c>
      <c r="C340" t="s">
        <v>1695</v>
      </c>
      <c r="D340">
        <v>1</v>
      </c>
      <c r="E340">
        <v>0.4</v>
      </c>
      <c r="G340">
        <v>16</v>
      </c>
      <c r="H340" t="str">
        <f>Линии[[#This Row],[_авто утечка]]</f>
        <v/>
      </c>
      <c r="I340" t="str">
        <f>Линии[[#This Row],[_авто управление]]</f>
        <v/>
      </c>
      <c r="J340" t="str">
        <f>Линии[[#This Row],[_авто аппараты]]</f>
        <v/>
      </c>
      <c r="K340">
        <v>2.5</v>
      </c>
      <c r="L340">
        <v>80</v>
      </c>
      <c r="M340" t="str">
        <f>Линии[[#This Row],[_авто фаза]]</f>
        <v>L1</v>
      </c>
      <c r="N340" t="str">
        <f>Линии[[#This Row],[_авто клемма]]</f>
        <v>XT4</v>
      </c>
      <c r="O340" t="str">
        <f t="shared" si="615"/>
        <v/>
      </c>
      <c r="P340" s="6" cm="1">
        <f t="array" ref="P340">IF(B340="","",IF(BC340&lt;&gt;"",IFERROR(_xlfn.XLOOKUP(BC340,Щиты[Щит],Щиты[Iр, А]),""),IF(BK340=1,IFERROR(_xlfn.XLOOKUP(A340,Щиты[Щит],Щиты[Iр, А]),""),IFERROR(_xlfn.IFS(BR340=1,BN340/((Uн_лин/SQRT(3))*BY340),BR340=3,BN340/(SQRT(3)*Uн_лин*BY340)),""))))</f>
        <v>1.823211376388292</v>
      </c>
      <c r="Q340" s="7">
        <f>IF(B340="","",IFERROR(IF(VLOOKUP(AX340,Потребители_обозначение,4,FALSE)=1,VLOOKUP(AX340,Потребители_обозначение,3,FALSE)*(D340*2-1)+DS340+VLOOKUP(AZ340,Этаж_обозначение,3,FALSE)+VLOOKUP(AZ340,Этаж_обозначение,4,FALSE),VLOOKUP(AX340,Потребители_обозначение,3,FALSE)*(D340*2-1)+DS340),DS340))</f>
        <v>80</v>
      </c>
      <c r="R340" s="6">
        <f t="shared" si="616"/>
        <v>1.5</v>
      </c>
      <c r="S340" t="str">
        <f t="shared" si="617"/>
        <v>ВВГнг(А)-FRLS (3х2,5)</v>
      </c>
      <c r="T340" t="str">
        <f>IF(BH340="","",IF(BI340="вводной узел","узел ","")&amp;"л."&amp;(INT((BH340-1)/Столбцов_на_лист)+1)&amp;" / "&amp;(MOD(BH340-1,Столбцов_на_лист)+1))</f>
        <v>л.2 / 4</v>
      </c>
      <c r="V340">
        <v>1</v>
      </c>
      <c r="W340">
        <v>230</v>
      </c>
      <c r="X340" t="s">
        <v>575</v>
      </c>
      <c r="AC340" t="s">
        <v>861</v>
      </c>
      <c r="AD340" t="s">
        <v>490</v>
      </c>
      <c r="AE340" t="s">
        <v>593</v>
      </c>
      <c r="AI340">
        <v>21</v>
      </c>
      <c r="AJ340" t="s">
        <v>13</v>
      </c>
      <c r="AK340">
        <v>3</v>
      </c>
      <c r="AM340">
        <v>42</v>
      </c>
      <c r="AN340">
        <v>30</v>
      </c>
      <c r="AP340">
        <v>1</v>
      </c>
      <c r="AW340" cm="1">
        <f t="array" ref="AW340">ROW()-ROW(Линии[#Headers])</f>
        <v>338</v>
      </c>
      <c r="AX340" s="6" t="str">
        <f t="shared" si="618"/>
        <v>FCP13</v>
      </c>
      <c r="AY340" t="str">
        <f t="shared" si="619"/>
        <v/>
      </c>
      <c r="AZ340" t="str">
        <f t="shared" si="620"/>
        <v/>
      </c>
      <c r="BA340" t="str">
        <f t="shared" si="621"/>
        <v/>
      </c>
      <c r="BB340" t="str">
        <f t="shared" si="622"/>
        <v/>
      </c>
      <c r="BC340" t="str">
        <f>IF(U340&lt;&gt;"",U340,IF(AND(B340&lt;&gt;"",B340&lt;&gt;A340,ISNUMBER(_xlfn.XMATCH(B340,Щиты[Щит]))),B340,""))</f>
        <v/>
      </c>
      <c r="BD340" t="str" cm="1">
        <f t="array" ref="BD340">IF(B340="","",IF(BC340&lt;&gt;"","Щит "&amp;BC340,_xlfn.LET(_xlpm.nm,IFERROR(_xlfn.XLOOKUP(AX340,Коды_код,Коды_имя)&amp;"",""),_xlpm.md,IFERROR(N(_xlfn.XLOOKUP(AX340,Коды_код,Коды_режим)),1),_xlpm.ex,IF(Имя_режим="по экспликации",IFERROR(_xlfn.XLOOKUP(AZ340&amp;"|"&amp;BB340,Экспликация[Этаж]&amp;"|"&amp;Экспликация[Помещение],Экспликация[Название])&amp;"",""),""),_xlpm.rm,IF(BB340="","",IF(_xlpm.ex&lt;&gt;"",". "&amp;_xlpm.ex&amp;IF(Имя_пом="нет"," ("&amp;BB340&amp;")"," (пом. "&amp;BB340&amp;")"),IF(Имя_пом="нет"," ",", пом. ")&amp;BB340)),IF(_xlpm.nm="","",IF(_xlpm.md=2,_xlpm.nm&amp;" шлейф "&amp;AZ340,_xlpm.nm&amp;_xlpm.rm)))))</f>
        <v/>
      </c>
      <c r="BE340" t="str">
        <f t="shared" si="623"/>
        <v>шкаф пожарной сигнализации Тех. этаж Пом. №004Т</v>
      </c>
      <c r="BF340">
        <f>IFERROR(_xlfn.XMATCH(A340,Щиты[Щит]),0)</f>
        <v>16</v>
      </c>
      <c r="BG340">
        <f>_xlfn.LET(_xlpm.k,IFERROR(_xlfn.XLOOKUP(A340,Щиты[Щит],Щиты[Листов под вводной узел]),""),IF(_xlpm.k="",1,N(_xlpm.k))*Столбцов_на_лист)</f>
        <v>17</v>
      </c>
      <c r="BH340">
        <f t="shared" si="624"/>
        <v>21</v>
      </c>
      <c r="BI340" t="str">
        <f t="shared" si="625"/>
        <v>линии</v>
      </c>
      <c r="BJ340" s="6">
        <f>IFERROR(N(_xlfn.XLOOKUP(AX340,Коды_код,Коды_квт)),0)</f>
        <v>0</v>
      </c>
      <c r="BK340">
        <f t="shared" si="626"/>
        <v>0</v>
      </c>
      <c r="BL340" t="str">
        <f>IF(B340="","",IF(BC340&lt;&gt;"",IFERROR(_xlfn.XLOOKUP(BC340,Щиты[Щит],Щиты[Руст, кВт]),0),IF(BK340=1,IFERROR(_xlfn.XLOOKUP(A340,Щиты[Щит],Щиты[Руст, кВт]),0),IF(BJ340&gt;0,ROUND(BJ340*MAX(1,N(D340)),3),""))))</f>
        <v/>
      </c>
      <c r="BM340">
        <f t="shared" si="627"/>
        <v>0.4</v>
      </c>
      <c r="BN340" s="6">
        <f>IF(B340="","",IF(BC340&lt;&gt;"",IFERROR(_xlfn.XLOOKUP(BC340,Щиты[Щит],Щиты[Руст, кВт]),0),N(BM340)))</f>
        <v>0.4</v>
      </c>
      <c r="BO340" t="str">
        <f>IF(B340="","",IFERROR(IF(VLOOKUP(AX340,Потребители_обозначение,8,FALSE)=0,"",VLOOKUP(AX340,Потребители_обозначение,8,FALSE)),""))</f>
        <v/>
      </c>
      <c r="BP340">
        <f t="shared" si="628"/>
        <v>230</v>
      </c>
      <c r="BQ340">
        <f>IF(B340="","",IF(BC340&lt;&gt;"",3,IFERROR(IF(N(VLOOKUP(AX340,Потребители_обозначение,9,FALSE))=0,1,VLOOKUP(AX340,Потребители_обозначение,9,FALSE)),1)))</f>
        <v>1</v>
      </c>
      <c r="BR340">
        <f t="shared" si="629"/>
        <v>1</v>
      </c>
      <c r="BS340" t="str">
        <f>IF(B340="","",_xlfn.LET(_xlpm.bc,IFERROR(IF(VLOOKUP(AX340,Потребители_обозначение,6,FALSE)=0,"",VLOOKUP(AX340,Потребители_обозначение,6,FALSE)&amp;""),""),IF(AND(FK340="да",OR(_xlpm.bc="",_xlpm.bc="мс")),Марка_пож,IF(AND(_xlpm.bc="",BC340&lt;&gt;""),"мс",_xlpm.bc))))</f>
        <v>мфр</v>
      </c>
      <c r="BT340" t="str">
        <f t="shared" si="630"/>
        <v>мфр</v>
      </c>
      <c r="BU340">
        <f>IF(B340="","",_xlfn.LET(_xlpm.cc,IFERROR(N(VLOOKUP(AX340,Потребители_обозначение,7,FALSE)),0),IF(_xlpm.cc&gt;0,_xlpm.cc,IF(BT340="","",IF(N(BR340)=3,5,3)))))</f>
        <v>3</v>
      </c>
      <c r="BV340">
        <f t="shared" si="631"/>
        <v>3</v>
      </c>
      <c r="BW340">
        <f>IFERROR(N(VLOOKUP(AX340,Потребители_обозначение,10,FALSE)),0)</f>
        <v>0</v>
      </c>
      <c r="BX340">
        <f>IFERROR(VLOOKUP(AX340,Потребители_обозначение,5,FALSE),0)</f>
        <v>0</v>
      </c>
      <c r="BY340" s="6" cm="1">
        <f t="array" ref="BY340">IF(B340="","",IF(BC340&lt;&gt;"",IFERROR(_xlfn.XLOOKUP(BC340,Щиты[Щит],Щиты[cos φ]),0.95),IF(BK340=1,IFERROR(_xlfn.XLOOKUP(A340,Щиты[Щит],Щиты[cos φ]),0.95),IF(ISNUMBER(Z340),Z340,IFERROR(IF(BX340=2,_xlfn.IFS(BR340=3,VLOOKUP(BN340,Справочная_двигатели,8,FALSE),BR340=1,VLOOKUP(BN340,Справочная_двигатели,10,TRUE)),IF(AND(Методика="нормы 2026",EQ340="Сил"),0.8,0.95)),0.95)))))</f>
        <v>0.95</v>
      </c>
      <c r="BZ340">
        <f t="shared" si="632"/>
        <v>0</v>
      </c>
      <c r="CA340">
        <f t="shared" si="633"/>
        <v>1</v>
      </c>
      <c r="CB340">
        <f t="shared" si="634"/>
        <v>0</v>
      </c>
      <c r="CC340">
        <f t="shared" si="635"/>
        <v>0</v>
      </c>
      <c r="CD340">
        <f t="shared" si="636"/>
        <v>0</v>
      </c>
      <c r="CE340">
        <f t="shared" si="637"/>
        <v>0</v>
      </c>
      <c r="CF340">
        <f t="shared" si="638"/>
        <v>0</v>
      </c>
      <c r="CG340">
        <f>IF(AX340="",0,_xlfn.LET(_xlpm.v,IFERROR(VLOOKUP(B340,УГО_спр,3,FALSE),IFERROR(VLOOKUP(AX340,УГО_спр,3,FALSE),IFERROR(VLOOKUP(LEFT(AX340,2),УГО_спр,3,FALSE),""))),IF(_xlpm.v="да",30,IF(ISNUMBER(_xlpm.v),_xlpm.v,0))))</f>
        <v>0</v>
      </c>
      <c r="CH340" t="str">
        <f t="shared" si="639"/>
        <v/>
      </c>
      <c r="CI340" t="str">
        <f>_xlfn.LET(_xlpm.k,IFERROR(_xlfn.XLOOKUP(AX340,Коды_код,Коды_утечка)&amp;"",""),IF(_xlpm.k="","дифавтомат",_xlpm.k))</f>
        <v>дифавтомат</v>
      </c>
      <c r="CJ340">
        <f t="shared" si="640"/>
        <v>0</v>
      </c>
      <c r="CK340">
        <f t="shared" si="641"/>
        <v>0</v>
      </c>
      <c r="CL340">
        <f>IF(B340="",0,IFERROR(--VLOOKUP(B340,УГО_спр,4,FALSE),IFERROR(--VLOOKUP(AX340,УГО_спр,4,FALSE),IFERROR(--VLOOKUP(LEFT(AX340,2),УГО_спр,4,FALSE),0))))</f>
        <v>0</v>
      </c>
      <c r="CM340" t="str">
        <f>IF(B340="","",IFERROR(_xlfn.XLOOKUP(AX340,Коды_код,Коды_апп)&amp;"",""))</f>
        <v/>
      </c>
      <c r="CN340" t="str">
        <f t="shared" si="642"/>
        <v/>
      </c>
      <c r="CO340" t="str" cm="1">
        <f t="array" ref="CO340">IF(TRIM(CN340&amp;"")="","",IFERROR(TRIM(INDEX(_xlfn.TEXTSPLIT(CN340&amp;";;;",";"),1)),""))</f>
        <v/>
      </c>
      <c r="CP340" t="str" cm="1">
        <f t="array" ref="CP340">IF(TRIM(CN340&amp;"")="","",IFERROR(TRIM(INDEX(_xlfn.TEXTSPLIT(CN340&amp;";;;",";"),2)),""))</f>
        <v/>
      </c>
      <c r="CQ340" t="str" cm="1">
        <f t="array" ref="CQ340">IF(TRIM(CN340&amp;"")="","",IFERROR(TRIM(INDEX(_xlfn.TEXTSPLIT(CN340&amp;";;;",";"),3)),""))</f>
        <v/>
      </c>
      <c r="CR340">
        <f t="shared" si="643"/>
        <v>0</v>
      </c>
      <c r="CS340" t="str">
        <f>IF(B340="","",_xlfn.LET(_xlpm.t,LOWER(AV340&amp;""),IF(ISNUMBER(SEARCH("dim",_xlpm.t)),"DIM",IF(ISNUMBER(SEARCH("dali",_xlpm.t)),"DALI",IF(OR(ISNUMBER(SEARCH("relay",_xlpm.t)),ISNUMBER(SEARCH("реле",_xlpm.t))),"Relay",IF(ISNUMBER(SEARCH("кнопк",_xlpm.t)),"",IFERROR(_xlfn.XLOOKUP(AX340,Коды_код,Коды_упр)&amp;"","")))))))</f>
        <v/>
      </c>
      <c r="CT340" t="str">
        <f t="shared" si="644"/>
        <v/>
      </c>
      <c r="CU340">
        <f>IF(B340="","",_xlfn.LET(_xlpm.ig,N(P340)+IF(AF340="вручную",0,N(CB340)),_xlpm.n0,IFERROR(VLOOKUP(_xlpm.ig,Автомат_номиналы,2,TRUE),0),_xlpm.mn,MAX(CL340,IF(AF340="вручную",0,N(CE340))),MAX(_xlpm.n0,_xlpm.mn,IF(CR340=1,Мин_автомат_БП,0))))</f>
        <v>6</v>
      </c>
      <c r="CV340">
        <f t="shared" si="645"/>
        <v>1</v>
      </c>
      <c r="CW340" t="str">
        <f t="shared" si="646"/>
        <v>1P</v>
      </c>
      <c r="CX340" t="str">
        <f>_xlfn.LET(_xlpm.cc,UPPER(TRIM(IFERROR(_xlfn.XLOOKUP(AX340,Коды_код,Коды_хар)&amp;"",""))),IF(OR(_xlpm.cc="B",_xlpm.cc="В"),"B",IF(_xlpm.cc="D","D","С")))</f>
        <v>С</v>
      </c>
      <c r="CY340" t="str">
        <f t="shared" si="647"/>
        <v>1P С6А</v>
      </c>
      <c r="CZ340">
        <f t="shared" si="648"/>
        <v>16</v>
      </c>
      <c r="DA340" t="str">
        <f t="shared" si="649"/>
        <v>1P С16А</v>
      </c>
      <c r="DB340" cm="1">
        <f t="array" ref="DB340">IF(DA340="","",_xlfn.LET(_xlpm.t,SUBSTITUTE(SUBSTITUTE(SUBSTITUTE(UPPER(DA340),"С","C"),"А","A"),"В","B"),_xlpm.tk,_xlfn.TEXTSPLIT(_xlpm.t,"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0" t="str">
        <f t="shared" si="650"/>
        <v>ok</v>
      </c>
      <c r="DD340">
        <f t="shared" si="651"/>
        <v>16</v>
      </c>
      <c r="DE340" t="str">
        <f t="shared" si="652"/>
        <v>1P С16А</v>
      </c>
      <c r="DF340">
        <f t="shared" si="653"/>
        <v>0</v>
      </c>
      <c r="DG340">
        <f t="shared" si="654"/>
        <v>0</v>
      </c>
      <c r="DH340">
        <f t="shared" si="655"/>
        <v>0</v>
      </c>
      <c r="DI340">
        <f t="shared" si="656"/>
        <v>1.823211376388292</v>
      </c>
      <c r="DJ340">
        <f t="shared" si="657"/>
        <v>1</v>
      </c>
      <c r="DK340">
        <f>IF(ISNUMBER(AL340),AL340,К_прокл)</f>
        <v>1</v>
      </c>
      <c r="DL340">
        <f t="shared" si="658"/>
        <v>2</v>
      </c>
      <c r="DM340">
        <f>IFERROR(N(VLOOKUP(BT340,Кабель_обозначение,3,FALSE)),1)</f>
        <v>1</v>
      </c>
      <c r="DN340">
        <f>IFERROR(N(_xlfn.XLOOKUP(A340,Щиты[Щит],Щиты[ΔU до шин, %])),0)</f>
        <v>0.41000000000000003</v>
      </c>
      <c r="DO340" t="str">
        <f>IFERROR(_xlfn.XLOOKUP(A340,Щиты[Щит],Щиты[Zпетли на шинах, Ом]),"")</f>
        <v/>
      </c>
      <c r="DP340">
        <f>IFERROR(N(_xlfn.XLOOKUP(A340,Щиты[Щит],Щиты[ΔU до шин (подбор), %])),0)</f>
        <v>0.68</v>
      </c>
      <c r="DQ340" t="str">
        <f>IFERROR(_xlfn.XLOOKUP(A340,Щиты[Щит],Щиты[Zпетли на шинах (подбор), Ом]),"")</f>
        <v/>
      </c>
      <c r="DR340" t="str">
        <f t="shared" si="659"/>
        <v/>
      </c>
      <c r="DS340">
        <f t="shared" si="660"/>
        <v>80</v>
      </c>
      <c r="DT340">
        <f t="shared" si="661"/>
        <v>2</v>
      </c>
      <c r="DU340">
        <f t="shared" si="662"/>
        <v>0.31</v>
      </c>
      <c r="DV340" s="6">
        <f>IF(B340="","",IF(IFERROR(VLOOKUP(AX340,УГО_спр,2,FALSE),"")="Светильник",3,4)+IF(Методика="нормы 2026",MIN(0.5,MAX(0,N(Q340)-100)*0.005),0))</f>
        <v>4</v>
      </c>
      <c r="DW340" cm="1">
        <f t="array" ref="DW340">IF(OR(B340="",BT340="",DM340&lt;&gt;1),"",_xlfn.LET(_xlpm.sz,Iдоп_S,_xlpm.t_,CHOOSE(DL340,Iдоп_1ж,Iдоп_2ж,Iдоп_3ж)*DJ340*DK340,_xlpm.inn,N(DD340),_xlpm.smin,MAX(1.5,BW340),_xlpm.L_,N(Q340)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340)*(_xlpm.rho*_xlpm.L_/_xlpm.sz*N(BY340)+_xlpm.xx*_xlpm.L_*N(DU340)/1000)*N(P340)/((Uн_лин/SQRT(3))*1000)*100,999),_xlpm.kz,IF(OR(DG340=1,NOT(ISNUMBER(DQ340)),_xlpm.L_=0,_xlpm.inn=0),1,IFERROR(--(c_min*(Uн_лин*1000/SQRT(3))/(DQ340+2*ρкз_Cu*_xlpm.L_/_xlpm.sz)&gt;=GY340*_xlpm.inn),0)),_xlpm.ok,IFERROR((_xlpm.sz&gt;=_xlpm.smin)*(_xlpm.t_&gt;=_xlpm.inn)*IF(_xlpm.L_&gt;0,(_xlpm.du_+DP340&lt;=DV340+0.00001),1)*_xlpm.kz,0),_xlpm.r_,_xlfn._xlws.FILTER(_xlpm.sz,_xlpm.ok,"не подобрано"),INDEX(_xlpm.r_,1)))</f>
        <v>1.5</v>
      </c>
      <c r="DX340">
        <f t="shared" si="663"/>
        <v>2.5</v>
      </c>
      <c r="DY340" cm="1">
        <f t="array" ref="DY340">IF(OR(B340="",BT340="",DM340&lt;&gt;1),"",_xlfn.LET(_xlpm.sz,Iдоп_S,_xlpm.t_,CHOOSE(DL340,Iдоп_1ж,Iдоп_2ж,Iдоп_3ж)*DJ340*DK340,_xlpm.ok,IFERROR((_xlpm.sz&gt;=MAX(1.5,BW340))*(_xlpm.t_&gt;=N(DD340)),0),_xlpm.r_,_xlfn._xlws.FILTER(_xlpm.sz,_xlpm.ok,""),INDEX(_xlpm.r_,1)))</f>
        <v>1.5</v>
      </c>
      <c r="DZ340" s="6" cm="1">
        <f t="array" ref="DZ340">IFERROR(ROUNDUP(N(DT340)*(_xlfn.XLOOKUP(DY340,INDEX(Кабель_сопротивление,0,1),INDEX(Кабель_сопротивление,0,3))*N(Q340)/DY340*N(BY340)+_xlfn.XLOOKUP(DY340,INDEX(Кабель_сопротивление,0,1),INDEX(Кабель_сопротивление,0,2))*N(Q340)*N(DU340)/1000)*N(P340)/((Uн_лин/SQRT(3))*1000)*100,2),"")</f>
        <v>1.81</v>
      </c>
      <c r="EA340">
        <f>IFERROR(2*ρкз_Cu*N(Q340)/DY340,"")</f>
        <v>2.8053333333333335</v>
      </c>
      <c r="EB340">
        <f>IFERROR(VLOOKUP(DX340,Кабель_сопротивление,3,FALSE),"")</f>
        <v>2.2499999999999999E-2</v>
      </c>
      <c r="EC340">
        <f>IFERROR(VLOOKUP(DX340,Кабель_сопротивление,2,FALSE),"")</f>
        <v>0.1</v>
      </c>
      <c r="ED340">
        <f t="shared" si="664"/>
        <v>30</v>
      </c>
      <c r="EE340">
        <f t="shared" si="665"/>
        <v>0</v>
      </c>
      <c r="EF340">
        <f t="shared" si="666"/>
        <v>2.5031962913260695</v>
      </c>
      <c r="EG340" s="6">
        <f>IFERROR(ROUNDUP(EF340/((Uн_лин/SQRT(3))*1000)*100,2),"")</f>
        <v>1.0900000000000001</v>
      </c>
      <c r="EH340" t="str">
        <f>IFERROR(VLOOKUP(BT340,Кабель_обозначение,2,FALSE),"")</f>
        <v>ВВГнг(А)-FRLS</v>
      </c>
      <c r="EI340" t="str">
        <f t="shared" si="667"/>
        <v>ВВГнг(А)-FRLS (3х2,5)</v>
      </c>
      <c r="EJ340" t="str">
        <f t="shared" si="668"/>
        <v>ВВГнг(А)-FRLS (3х2,5)
L=80-1,09%</v>
      </c>
      <c r="EK340">
        <f>IFERROR(2*ρкз_Cu*Q340/DX340,"")</f>
        <v>1.6832</v>
      </c>
      <c r="EL340">
        <f t="shared" si="669"/>
        <v>0.56000000000000005</v>
      </c>
      <c r="EM340" s="6" t="str">
        <f>IFERROR(IF(OR(B340="",NOT(ISNUMBER(DX340)),N(Q340)=0),"",_xlfn.XLOOKUP(A340,Щиты[Щит],Щиты[Zпетли на шинах, Ом])+EK340),"")</f>
        <v/>
      </c>
      <c r="EN340" s="6" t="str">
        <f>IF(ISNUMBER(EM340),c_min*(Uн_лин*1000/SQRT(3))/EM340,"")</f>
        <v/>
      </c>
      <c r="EO340" s="6" t="str">
        <f>IFERROR(IF(OR(B340="",NOT(ISNUMBER(DX340))),"",1.05*(Uн_лин*1000/SQRT(3))/(_xlfn.XLOOKUP(A340,Щиты[Щит],Щиты[Zmax на шинах, Ом])+EL340)/1000),"")</f>
        <v/>
      </c>
      <c r="EP340" s="6" t="str">
        <f>IF(B340="","",IF(ISNUMBER(Y340),"Сил",IF(IFERROR(_xlfn.XLOOKUP(AX340,Коды_код,Коды_группа)&amp;"","")="","Быт",_xlfn.XLOOKUP(AX340,Коды_код,Коды_группа)&amp;"")))</f>
        <v>Быт</v>
      </c>
      <c r="EQ340" s="6" t="str">
        <f t="shared" si="670"/>
        <v>Пост</v>
      </c>
      <c r="ER340" s="6">
        <f>IF(EQ340="Щит","щит",IF(EQ340="","",IF(EQ340="Быт",IFERROR(_xlfn.XLOOKUP(A340,Щиты[Щит],Щиты[Кс быт]),1),IF(EQ340="Сил",IF(ISNUMBER(Y340),Y340,IF(Методика="нормы 2026",IFERROR(_xlfn.XLOOKUP(A340,Щиты[Щит],Щиты[Кс силовых (табл. 7.5)]),1),1)),IF(OR(EQ340="Пост",EQ340="Отоп"),1,IF(EQ340="ВНГ",0.7,0))))))</f>
        <v>1</v>
      </c>
      <c r="ES340">
        <f t="shared" si="671"/>
        <v>1</v>
      </c>
      <c r="ET340">
        <f t="shared" si="672"/>
        <v>0.4</v>
      </c>
      <c r="EU340">
        <f t="shared" si="673"/>
        <v>0</v>
      </c>
      <c r="EV340">
        <f t="shared" si="674"/>
        <v>0</v>
      </c>
      <c r="EW340">
        <f t="shared" si="675"/>
        <v>0.4</v>
      </c>
      <c r="EX340">
        <f t="shared" si="676"/>
        <v>0</v>
      </c>
      <c r="EY340">
        <f t="shared" si="677"/>
        <v>0</v>
      </c>
      <c r="EZ340">
        <f t="shared" si="678"/>
        <v>0.4</v>
      </c>
      <c r="FA340">
        <f t="shared" si="679"/>
        <v>0.38</v>
      </c>
      <c r="FB340">
        <f t="shared" si="680"/>
        <v>0.4</v>
      </c>
      <c r="FC340" t="str">
        <f t="shared" si="681"/>
        <v/>
      </c>
      <c r="FD340" t="str">
        <f>IF(B340="","",IF(CA340=0,IF(AW340=1,"",FF339),IF(OR(N(CV340)&gt;=3,N(BR340)&gt;=3),"L1,L2,L3",IFERROR(_xlfn.TEXTBEFORE(_xlfn.TEXTAFTER(_xlfn.XLOOKUP(A340,Щиты[Щит],Щиты[_фазы авто]),";"&amp;AW340&amp;":"),";"),"L1"))))</f>
        <v>L1</v>
      </c>
      <c r="FE340" t="str">
        <f t="shared" si="682"/>
        <v>L1</v>
      </c>
      <c r="FF340" t="str">
        <f t="shared" si="683"/>
        <v>L1</v>
      </c>
      <c r="FG340" cm="1">
        <f t="array" ref="FG340">IFERROR(IF(BX340=2,_xlfn.IFS(BR340=3,VLOOKUP(BN340,Справочная_двигатели,3,FALSE),BR340=1,VLOOKUP(BN340,Справочная_двигатели,5,TRUE)),0),0)</f>
        <v>0</v>
      </c>
      <c r="FH340">
        <f>IFERROR(IF(BX340=3,VLOOKUP(BN340,Справочная_ЛЭД,2,TRUE),0),0)</f>
        <v>0</v>
      </c>
      <c r="FI340" s="6">
        <f t="shared" si="684"/>
        <v>0</v>
      </c>
      <c r="FJ340" t="str" cm="1">
        <f t="array" ref="FJ340">IF(B340="","",IFERROR(INDEX({"I особая","I","II","III"},MATCH(TRIM(AC340&amp;""),{"I особая","I","II","III"},0)),"III"))</f>
        <v>I</v>
      </c>
      <c r="FK340" t="str">
        <f>IF(B340="","",IF(TRIM(AD340&amp;"")&lt;&gt;"",IF(LOWER(TRIM(AD340&amp;""))="да","да","нет"),IF(IFERROR(_xlfn.XLOOKUP(AX340,Коды_код,Коды_пожарная),"")="да","да","нет")))</f>
        <v>да</v>
      </c>
      <c r="FL340" t="str">
        <f t="shared" si="685"/>
        <v/>
      </c>
      <c r="FM340" t="str">
        <f t="shared" si="686"/>
        <v>основная</v>
      </c>
      <c r="FN340">
        <f t="shared" si="687"/>
        <v>1</v>
      </c>
      <c r="FO340" t="str" cm="1">
        <f t="array" ref="FO340">IF(B340="","",_xlfn.LET(_xlpm.t,IFERROR(_xlfn.XLOOKUP(1,(Шины[Шина]=FM340)*(((Шины[Щит]=A340)+(Шины[Щит]=""))&gt;0),Шины[Тип]),"")&amp;"",IF(_xlpm.t&lt;&gt;"",_xlpm.t,IF(ISNUMBER(SEARCH("ИБП",FM340)),"ИБП",IF(ISNUMBER(SEARCH("ДГУ",FM340)),"ДГУ","Ввод "&amp;FN340)))))</f>
        <v>Ввод 1</v>
      </c>
      <c r="FP340" t="str">
        <f t="shared" si="688"/>
        <v>Ввод 1</v>
      </c>
      <c r="FQ340" t="str">
        <f>IF(B340="","",IF(OR(FO340="ИБП",FO340="ДГУ"),"I особая",IF(FO340="Одиночная","III",_xlfn.XLOOKUP(A340,Щиты[Щит],Щиты[Категория шины «Ввод»],"III"))))</f>
        <v>I</v>
      </c>
      <c r="FR340">
        <f>IF(B340="",0,IFERROR(MATCH(FJ340,{"III","II","I","I особая"},0),1))</f>
        <v>3</v>
      </c>
      <c r="FS340">
        <f t="shared" si="689"/>
        <v>3</v>
      </c>
      <c r="FT340" t="str">
        <f>IF(B340="","",IF(FR340&gt;IFERROR(MATCH(FQ340,{"III","II","I","I особая"},0),1),"НЕ ОБЕСПЕЧЕНА","ОК"))</f>
        <v>ОК</v>
      </c>
      <c r="FU340" t="str">
        <f>IF(A340="","",_xlfn.XLOOKUP(A340,Щиты[Щит],Щиты[Путь],""))</f>
        <v>|ГРЩ-ЖД|ЩСПЗ-ЖД|</v>
      </c>
      <c r="FV340" t="str">
        <f>IF(B340="","",IF(AE340&lt;&gt;"",AE340,IF(IFERROR(_xlfn.XLOOKUP(AX340,Коды_код,Коды_вид)&amp;"","")="","Прочее",_xlfn.XLOOKUP(AX340,Коды_код,Коды_вид)&amp;"")))</f>
        <v>Системы противопожарной защиты</v>
      </c>
      <c r="FW340">
        <f>IF(BH340="","",INT((BH340-1)/Столбцов_на_лист)+1)</f>
        <v>2</v>
      </c>
      <c r="FX340" t="str">
        <f t="shared" si="690"/>
        <v>ВВГнг(А)-FRLS (3х2,5) L=80-1,09%</v>
      </c>
      <c r="FY340">
        <f t="shared" si="691"/>
        <v>0.4</v>
      </c>
      <c r="FZ340">
        <f t="shared" si="692"/>
        <v>1.83</v>
      </c>
      <c r="GA340">
        <f t="shared" si="693"/>
        <v>1</v>
      </c>
      <c r="GB340">
        <f t="shared" si="694"/>
        <v>0</v>
      </c>
      <c r="GC340">
        <f t="shared" si="695"/>
        <v>1</v>
      </c>
      <c r="GD340">
        <f>IF(BH340="","",IF(AND(CA340=1,GC340=1),COUNTIFS(A$3:A340,A340,CA$3:CA340,1,GC$3:GC340,1),IF(OR(OR(AW340=1,A340&lt;&gt;A339),AF340="вручную",GC340=0),"",IF(AW340=1,"",GE339))))</f>
        <v>4</v>
      </c>
      <c r="GE340">
        <f t="shared" si="696"/>
        <v>4</v>
      </c>
      <c r="GF340">
        <f>IF(B340="","",IFERROR(LOOKUP(INDEX(CHOOSE(DL340,Iдоп_1ж,Iдоп_2ж,Iдоп_3ж),MATCH(DX340,Iдоп_S,0))*DJ340*DK340,{6,10,16,20,25,32,40,50,63,80,100,125,160,200,250,315,400,500,630}),""))</f>
        <v>25</v>
      </c>
      <c r="GG340" t="str">
        <f t="shared" si="697"/>
        <v>QF4</v>
      </c>
      <c r="GH340" t="str">
        <f t="shared" si="698"/>
        <v>QF4</v>
      </c>
      <c r="GI340" t="str">
        <f t="shared" si="699"/>
        <v/>
      </c>
      <c r="GJ340">
        <f t="shared" si="700"/>
        <v>0</v>
      </c>
      <c r="GK340" t="str">
        <f>IF(OR(AG340="",AG340="-"),"",IFERROR(VLOOKUP(AG340,Модули_спр,2,FALSE),"R"))</f>
        <v/>
      </c>
      <c r="GL340" t="str">
        <f>IF(GK340="","",GK340&amp;"."&amp;COUNTIFS(A$3:A340,A340,GK$3:GK340,GK340))</f>
        <v/>
      </c>
      <c r="GM340" t="str">
        <f t="shared" si="701"/>
        <v/>
      </c>
      <c r="GN340" t="str">
        <f t="shared" si="702"/>
        <v/>
      </c>
      <c r="GO340" t="str">
        <f t="shared" si="703"/>
        <v/>
      </c>
      <c r="GP340" t="str">
        <f t="shared" si="704"/>
        <v/>
      </c>
      <c r="GQ340">
        <f t="shared" si="705"/>
        <v>1</v>
      </c>
      <c r="GR340" t="str">
        <f>IF(GQ340=1,"XT"&amp;COUNTIFS(A$3:A340,A340,GQ$3:GQ340,1),"")</f>
        <v>XT4</v>
      </c>
      <c r="GS340" t="str">
        <f t="shared" si="706"/>
        <v>XT4</v>
      </c>
      <c r="GT340" t="str">
        <f t="shared" si="707"/>
        <v>QF4</v>
      </c>
      <c r="GU340" t="str">
        <f t="shared" si="708"/>
        <v/>
      </c>
      <c r="GV340" t="str">
        <f t="shared" si="709"/>
        <v>ok</v>
      </c>
      <c r="GW340" t="str">
        <f>IF(OR(GO340="",GM340=""),"",IF(GO340&gt;IFERROR(VLOOKUP(GN340,Модули_спр,3,FALSE),99),"ЛИШНИЙ КАНАЛ",IF(AND(AH340&lt;&gt;"=",COUNTIFS(Линии[_модуль гр.],GM340,Линии[Канал (итог)],GO340,Линии[Канал],"&lt;&gt;=",Линии[Щит],A340)&gt;1),"ДУБЛЬ КАНАЛА","")))</f>
        <v/>
      </c>
      <c r="GX340" s="6" t="str">
        <f t="shared" si="710"/>
        <v/>
      </c>
      <c r="GY340">
        <f t="shared" si="711"/>
        <v>10</v>
      </c>
      <c r="GZ340" t="str">
        <f t="shared" si="712"/>
        <v/>
      </c>
      <c r="HA340" t="str">
        <f>IF(AND(B340="",GT340=""),"",_xlfn.TEXTJOIN("; ",TRUE,IF(AND(B340&lt;&gt;"",FE340=""),"нет фазы",""),IF(AND(B340&lt;&gt;"",N(FY340)=0,EQ340&lt;&gt;"Нет"),"нет мощности",""),IF(AND(GS340&lt;&gt;"",COUNTIFS(Линии[Щит],A340,Линии[Клемма (итог)],GS340)&gt;1),"дубль клеммы "&amp;GS340,""),IF(AND(GV340&lt;&gt;"",GV340&lt;&gt;"ok"),GV340,""),IF(GW340&lt;&gt;"",GW340,""),IF(AND(N(BV340)&gt;=4,N(BR340)=1),BV340&amp;" жил на 1 фазе",""),IF(AND(AX340="R",CA340=1,OR(N(CK340)=0,N(CK340)&gt;30)),"розетка без дифзащиты до 30 мА",""),IFERROR(IF(AND(ISNUMBER(R340),R340&gt;DV340),"потери "&amp;FIXED(R340,1)&amp;" % &gt; "&amp;DV340&amp;" %",""),""),IFERROR(IF(LEFT(GZ340,4)="мало","Iкз мало — отключение &gt; 0,4 с",""),""),IF(AND(B340&lt;&gt;"",BH340=""),"не на схеме",""),IF(AND(CA340=0,B340&lt;&gt;"",FE340&lt;&gt;"",IF(AW340=1,"",FF339)&lt;&gt;"",FE340&lt;&gt;IF(AW340=1,"",FF339)),"фаза не как у автомата группы ("&amp;IF(AW340=1,"",FF339)&amp;")","")))</f>
        <v/>
      </c>
      <c r="HB340" s="6">
        <f>IF(OR(CA340=0,DA340=""),"",_xlfn.LET(_xlpm.t,IFERROR(_xlfn.XLOOKUP(DA340,Каталог!$U$4:$U$500,Каталог!$G$4:$G$500),""),_xlpm.k,SEARCH("кА",_xlpm.t),IFERROR(--TRIM(RIGHT(SUBSTITUTE(MID(_xlpm.t,MAX(1,_xlpm.k-4),_xlpm.k-MAX(1,_xlpm.k-4))," ",REPT(" ",9)),5)),"")))</f>
        <v>6</v>
      </c>
      <c r="HC340" t="str">
        <f>IF(OR(HB340="",CA340=0),"",IF(_xlfn.XLOOKUP(A340,Щиты[Щит],Щиты[Iкз max на шинах, кА],"")="","",IF(HB340&lt;_xlfn.XLOOKUP(A340,Щиты[Щит],Щиты[Iкз max на шинах, кА]),"Icu "&amp;HB340&amp;" кА &lt; Iкз max","ok")))</f>
        <v/>
      </c>
      <c r="HD340" t="str">
        <f t="shared" si="713"/>
        <v/>
      </c>
      <c r="HE340" t="str">
        <f t="shared" si="714"/>
        <v>QF4|XT4</v>
      </c>
      <c r="HF340" t="str">
        <f t="shared" si="715"/>
        <v>QF4|XT4|кабель ВВГнг(А)-FRLS (3х2,5) → шкаф пожарной сигнализации Тех. этаж Пом. №004Т</v>
      </c>
      <c r="HG340" t="str" cm="1">
        <f t="array" ref="HG340">IF(HF340="","",_xlfn.LET(_xlpm.nd,_xlfn.TEXTSPLIT(HF340,"|"),IF(COLUMNS(_xlpm.nd)&gt;1,A340&amp;"¦"&amp;INDEX(_xlpm.nd,1)&amp;"¦"&amp;INDEX(_xlpm.nd,2),"")))</f>
        <v>ЩСПЗ-ЖД¦QF4¦XT4</v>
      </c>
      <c r="HH340" t="str">
        <f t="shared" si="716"/>
        <v>FCP13¦шкаф пожарной сигнализации Тех. этаж Пом. №004Т</v>
      </c>
      <c r="HI340" t="str" cm="1">
        <f t="array" ref="HI340">IF(HF340="","",_xlfn.LET(_xlpm.nd,_xlfn.TEXTSPLIT(HF340,"|"),IF(COLUMNS(_xlpm.nd)&gt;2,A340&amp;"¦"&amp;INDEX(_xlpm.nd,2)&amp;"¦"&amp;INDEX(_xlpm.nd,3),"")))</f>
        <v>ЩСПЗ-ЖД¦XT4¦кабель ВВГнг(А)-FRLS (3х2,5) → шкаф пожарной сигнализации Тех. этаж Пом. №004Т</v>
      </c>
      <c r="HJ340" t="str">
        <f t="shared" si="717"/>
        <v>FCP13¦шкаф пожарной сигнализации Тех. этаж Пом. №004Т</v>
      </c>
      <c r="HK340" t="str" cm="1">
        <f t="array" ref="HK340">IF(HF340="","",_xlfn.LET(_xlpm.nd,_xlfn.TEXTSPLIT(HF340,"|"),IF(COLUMNS(_xlpm.nd)&gt;3,A340&amp;"¦"&amp;INDEX(_xlpm.nd,3)&amp;"¦"&amp;INDEX(_xlpm.nd,4),"")))</f>
        <v/>
      </c>
      <c r="HL340" t="str">
        <f t="shared" si="718"/>
        <v/>
      </c>
      <c r="HM340" t="str" cm="1">
        <f t="array" ref="HM340">IF(HF340="","",_xlfn.LET(_xlpm.nd,_xlfn.TEXTSPLIT(HF340,"|"),IF(COLUMNS(_xlpm.nd)&gt;4,A340&amp;"¦"&amp;INDEX(_xlpm.nd,4)&amp;"¦"&amp;INDEX(_xlpm.nd,5),"")))</f>
        <v/>
      </c>
      <c r="HN340" t="str">
        <f t="shared" si="719"/>
        <v/>
      </c>
      <c r="HO340" t="str" cm="1">
        <f t="array" ref="HO340">IF(HF340="","",_xlfn.LET(_xlpm.nd,_xlfn.TEXTSPLIT(HF340,"|"),IF(COLUMNS(_xlpm.nd)&gt;5,A340&amp;"¦"&amp;INDEX(_xlpm.nd,5)&amp;"¦"&amp;INDEX(_xlpm.nd,6),"")))</f>
        <v/>
      </c>
      <c r="HP340" t="str">
        <f t="shared" si="720"/>
        <v/>
      </c>
      <c r="HQ340" t="str" cm="1">
        <f t="array" ref="HQ340">IF(HF340="","",_xlfn.LET(_xlpm.nd,_xlfn.TEXTSPLIT(HF340,"|"),IF(COLUMNS(_xlpm.nd)&gt;6,A340&amp;"¦"&amp;INDEX(_xlpm.nd,6)&amp;"¦"&amp;INDEX(_xlpm.nd,7),"")))</f>
        <v/>
      </c>
      <c r="HR340" t="str">
        <f t="shared" si="721"/>
        <v/>
      </c>
      <c r="HS340" t="str">
        <f t="shared" si="722"/>
        <v/>
      </c>
      <c r="HT340" t="str">
        <f t="shared" si="723"/>
        <v>QF4 → XT4</v>
      </c>
      <c r="HU340">
        <f t="shared" si="724"/>
        <v>0</v>
      </c>
      <c r="HV340">
        <f t="shared" si="725"/>
        <v>0</v>
      </c>
      <c r="HW340" t="str">
        <f t="shared" si="726"/>
        <v/>
      </c>
      <c r="HX340" t="str">
        <f t="shared" si="727"/>
        <v/>
      </c>
      <c r="HY340" t="str">
        <f t="shared" si="728"/>
        <v/>
      </c>
      <c r="HZ340" t="str">
        <f t="shared" si="729"/>
        <v/>
      </c>
      <c r="IA340" t="str">
        <f>IF(B340="","",IFERROR(VLOOKUP(B340,УГО_спр,2,FALSE),IFERROR(VLOOKUP(AX340,УГО_спр,2,FALSE),IFERROR(VLOOKUP(LEFT(AX340,2),УГО_спр,2,FALSE),""))))</f>
        <v/>
      </c>
      <c r="IB340" t="str">
        <f>IF(B340="","",IF(OR(IA340="",IA340=0),"BOX",IFERROR(IF(VLOOKUP(IA340,УГО_блоки,3,FALSE)&amp;""&lt;&gt;"",VLOOKUP(IA340,УГО_блоки,3,FALSE),VLOOKUP(IA340,УГО_блоки,2,FALSE)),IA340)))</f>
        <v>BOX</v>
      </c>
      <c r="IC340">
        <f t="shared" si="730"/>
        <v>1</v>
      </c>
      <c r="ID340" t="str">
        <f>IF(DA340="","",IF(COUNTIF(DA$3:DA340,DA340)=1,MAX(ID$2:ID339)+1,""))</f>
        <v/>
      </c>
      <c r="IE340" t="str">
        <f>IF(CO340="","",IF(COUNTIF(CO$3:CO340,CO340)+COUNTIF(CP$2:CP339,CO340)+COUNTIF(CQ$2:CQ339,CO340)=1,MAX(IE$2:IG339)+1,""))</f>
        <v/>
      </c>
      <c r="IF340" t="str">
        <f>IF(CP340="","",IF(COUNTIF(CO$3:CO340,CP340)+COUNTIF(CP$3:CP340,CP340)+COUNTIF(CQ$2:CQ339,CP340)=1,MAX(IE$2:IG339,IE340)+1,""))</f>
        <v/>
      </c>
      <c r="IG340" t="str">
        <f>IF(CQ340="","",IF(COUNTIF(CO$3:CO340,CQ340)+COUNTIF(CP$3:CP340,CQ340)+COUNTIF(CQ$3:CQ340,CQ340)=1,MAX(IE$2:IG339,IE340,IF340)+1,""))</f>
        <v/>
      </c>
      <c r="IH340" t="str">
        <f t="shared" si="731"/>
        <v>3х2,5</v>
      </c>
      <c r="II340" t="str">
        <f>IF(IH340="","",IF(COUNTIF(IH$3:IH340,IH340)=1,MAX(II$2:II339)+1,""))</f>
        <v/>
      </c>
      <c r="IJ340" t="str">
        <f>IF(GL340="","",COUNTIF(GL$3:GL340,"?*"))</f>
        <v/>
      </c>
      <c r="IK340" t="str">
        <f>IF(OR(GL340="",GN340=""),"",IF(COUNTIFS(GL$3:GL340,"?*",GN$3:GN340,GN340)=1,MAX(IK$2:IK339)+1,""))</f>
        <v/>
      </c>
      <c r="IL340">
        <f t="shared" si="732"/>
        <v>0</v>
      </c>
      <c r="IM340">
        <f>IF(B340="","",COUNTIF(B$3:B340,"?*"))</f>
        <v>338</v>
      </c>
      <c r="IN340">
        <f>IF(GQ340&lt;&gt;1,0,_xlfn.LET(_xlpm.k,MAX(IFERROR(--VLOOKUP(B340,УГО_спр,5,FALSE),0),IFERROR(--VLOOKUP(AX340,УГО_спр,5,FALSE),0),IFERROR(--VLOOKUP(LEFT(AX340,2),УГО_спр,5,FALSE),0)),IF(_xlpm.k&gt;0,_xlpm.k,IF(IFERROR(--LEFT(SUBSTITUTE(IH340,"x","х"),FIND("х",SUBSTITUTE(IH340,"x","х"))-1),3)&gt;3,Каталог!$S$9,1))))</f>
        <v>1</v>
      </c>
      <c r="IO340">
        <f t="shared" si="733"/>
        <v>0</v>
      </c>
      <c r="IP340" t="str">
        <f t="shared" si="734"/>
        <v>авто</v>
      </c>
      <c r="IQ340" t="str">
        <f t="shared" si="735"/>
        <v/>
      </c>
      <c r="IR340">
        <f t="shared" si="736"/>
        <v>0</v>
      </c>
      <c r="IS340">
        <f t="shared" si="737"/>
        <v>1</v>
      </c>
    </row>
    <row r="341" spans="1:253" x14ac:dyDescent="0.3">
      <c r="A341" t="s">
        <v>771</v>
      </c>
      <c r="B341" t="s">
        <v>743</v>
      </c>
      <c r="C341" t="str">
        <f>Линии[[#This Row],[_авто наименование]]</f>
        <v>Вводной кабель шлейф 1</v>
      </c>
      <c r="D341">
        <v>1</v>
      </c>
      <c r="E341" t="s">
        <v>16</v>
      </c>
      <c r="G341">
        <v>32</v>
      </c>
      <c r="H341" t="str">
        <f>Линии[[#This Row],[_авто утечка]]</f>
        <v/>
      </c>
      <c r="I341" t="str">
        <f>Линии[[#This Row],[_авто управление]]</f>
        <v/>
      </c>
      <c r="J341" t="str">
        <f>Линии[[#This Row],[_авто аппараты]]</f>
        <v/>
      </c>
      <c r="K341">
        <v>6</v>
      </c>
      <c r="L341">
        <v>50</v>
      </c>
      <c r="M341" t="str">
        <f>Линии[[#This Row],[_авто фаза]]</f>
        <v>L1,L2,L3</v>
      </c>
      <c r="N341" t="str">
        <f>Линии[[#This Row],[_авто клемма]]</f>
        <v/>
      </c>
      <c r="O341" t="str">
        <f t="shared" si="615"/>
        <v>потери 4,9 % &gt; 4 %</v>
      </c>
      <c r="P341" s="6" cm="1">
        <f t="array" ref="P341">IF(B341="","",IF(BC341&lt;&gt;"",IFERROR(_xlfn.XLOOKUP(BC341,Щиты[Щит],Щиты[Iр, А]),""),IF(BK341=1,IFERROR(_xlfn.XLOOKUP(A341,Щиты[Щит],Щиты[Iр, А]),""),IFERROR(_xlfn.IFS(BR341=1,BN341/((Uн_лин/SQRT(3))*BY341),BR341=3,BN341/(SQRT(3)*Uн_лин*BY341)),""))))</f>
        <v>30.766691976552419</v>
      </c>
      <c r="Q341" s="7">
        <f>IF(B341="","",IFERROR(IF(VLOOKUP(AX341,Потребители_обозначение,4,FALSE)=1,VLOOKUP(AX341,Потребители_обозначение,3,FALSE)*(D341*2-1)+DS341+VLOOKUP(AZ341,Этаж_обозначение,3,FALSE)+VLOOKUP(AZ341,Этаж_обозначение,4,FALSE),VLOOKUP(AX341,Потребители_обозначение,3,FALSE)*(D341*2-1)+DS341),DS341))</f>
        <v>50</v>
      </c>
      <c r="R341" s="6">
        <f t="shared" si="616"/>
        <v>4.8899999999999997</v>
      </c>
      <c r="S341" t="str">
        <f t="shared" si="617"/>
        <v>ВВГнг(А)-LS (5х6)</v>
      </c>
      <c r="T341" t="str">
        <f>IF(BH341="","",IF(BI341="вводной узел","узел ","")&amp;"л."&amp;(INT((BH341-1)/Столбцов_на_лист)+1)&amp;" / "&amp;(MOD(BH341-1,Столбцов_на_лист)+1))</f>
        <v>узел л.1 / 2</v>
      </c>
      <c r="V341">
        <v>3</v>
      </c>
      <c r="W341">
        <v>400</v>
      </c>
      <c r="X341" t="s">
        <v>549</v>
      </c>
      <c r="AF341" t="s">
        <v>1303</v>
      </c>
      <c r="AI341">
        <v>2</v>
      </c>
      <c r="AJ341" t="s">
        <v>11</v>
      </c>
      <c r="AK341">
        <v>5</v>
      </c>
      <c r="AM341">
        <v>34</v>
      </c>
      <c r="AN341">
        <v>11</v>
      </c>
      <c r="AW341" cm="1">
        <f t="array" ref="AW341">ROW()-ROW(Линии[#Headers])</f>
        <v>339</v>
      </c>
      <c r="AX341" s="6" t="str">
        <f t="shared" si="618"/>
        <v>Ввод</v>
      </c>
      <c r="AY341" t="str">
        <f t="shared" si="619"/>
        <v>1</v>
      </c>
      <c r="AZ341" t="str">
        <f t="shared" si="620"/>
        <v>1</v>
      </c>
      <c r="BA341" t="str">
        <f t="shared" si="621"/>
        <v/>
      </c>
      <c r="BB341" t="str">
        <f t="shared" si="622"/>
        <v/>
      </c>
      <c r="BC341" t="str">
        <f>IF(U341&lt;&gt;"",U341,IF(AND(B341&lt;&gt;"",B341&lt;&gt;A341,ISNUMBER(_xlfn.XMATCH(B341,Щиты[Щит]))),B341,""))</f>
        <v/>
      </c>
      <c r="BD341" t="str" cm="1">
        <f t="array" ref="BD341">IF(B341="","",IF(BC341&lt;&gt;"","Щит "&amp;BC341,_xlfn.LET(_xlpm.nm,IFERROR(_xlfn.XLOOKUP(AX341,Коды_код,Коды_имя)&amp;"",""),_xlpm.md,IFERROR(N(_xlfn.XLOOKUP(AX341,Коды_код,Коды_режим)),1),_xlpm.ex,IF(Имя_режим="по экспликации",IFERROR(_xlfn.XLOOKUP(AZ341&amp;"|"&amp;BB341,Экспликация[Этаж]&amp;"|"&amp;Экспликация[Помещение],Экспликация[Название])&amp;"",""),""),_xlpm.rm,IF(BB341="","",IF(_xlpm.ex&lt;&gt;"",". "&amp;_xlpm.ex&amp;IF(Имя_пом="нет"," ("&amp;BB341&amp;")"," (пом. "&amp;BB341&amp;")"),IF(Имя_пом="нет"," ",", пом. ")&amp;BB341)),IF(_xlpm.nm="","",IF(_xlpm.md=2,_xlpm.nm&amp;" шлейф "&amp;AZ341,_xlpm.nm&amp;_xlpm.rm)))))</f>
        <v>Вводной кабель шлейф 1</v>
      </c>
      <c r="BE341" t="str">
        <f t="shared" si="623"/>
        <v>Вводной кабель шлейф 1</v>
      </c>
      <c r="BF341">
        <f>IFERROR(_xlfn.XMATCH(A341,Щиты[Щит]),0)</f>
        <v>17</v>
      </c>
      <c r="BG341">
        <f>_xlfn.LET(_xlpm.k,IFERROR(_xlfn.XLOOKUP(A341,Щиты[Щит],Щиты[Листов под вводной узел]),""),IF(_xlpm.k="",1,N(_xlpm.k))*Столбцов_на_лист)</f>
        <v>17</v>
      </c>
      <c r="BH341">
        <f t="shared" si="624"/>
        <v>2</v>
      </c>
      <c r="BI341" t="str">
        <f t="shared" si="625"/>
        <v>вводной узел</v>
      </c>
      <c r="BJ341" s="6">
        <f>IFERROR(N(_xlfn.XLOOKUP(AX341,Коды_код,Коды_квт)),0)</f>
        <v>0</v>
      </c>
      <c r="BK341">
        <f t="shared" si="626"/>
        <v>1</v>
      </c>
      <c r="BL341">
        <f>IF(B341="","",IF(BC341&lt;&gt;"",IFERROR(_xlfn.XLOOKUP(BC341,Щиты[Щит],Щиты[Руст, кВт]),0),IF(BK341=1,IFERROR(_xlfn.XLOOKUP(A341,Щиты[Щит],Щиты[Руст, кВт]),0),IF(BJ341&gt;0,ROUND(BJ341*MAX(1,N(D341)),3),""))))</f>
        <v>16.439999999999998</v>
      </c>
      <c r="BM341" t="str">
        <f t="shared" si="627"/>
        <v>кВт</v>
      </c>
      <c r="BN341" s="6">
        <f>IF(B341="","",IF(BC341&lt;&gt;"",IFERROR(_xlfn.XLOOKUP(BC341,Щиты[Щит],Щиты[Руст, кВт]),0),N(BM341)))</f>
        <v>0</v>
      </c>
      <c r="BO341" t="str">
        <f>IF(B341="","",IFERROR(IF(VLOOKUP(AX341,Потребители_обозначение,8,FALSE)=0,"",VLOOKUP(AX341,Потребители_обозначение,8,FALSE)),""))</f>
        <v/>
      </c>
      <c r="BP341">
        <f t="shared" si="628"/>
        <v>400</v>
      </c>
      <c r="BQ341">
        <f>IF(B341="","",IF(BC341&lt;&gt;"",3,IFERROR(IF(N(VLOOKUP(AX341,Потребители_обозначение,9,FALSE))=0,1,VLOOKUP(AX341,Потребители_обозначение,9,FALSE)),1)))</f>
        <v>1</v>
      </c>
      <c r="BR341">
        <f t="shared" si="629"/>
        <v>3</v>
      </c>
      <c r="BS341" t="str">
        <f>IF(B341="","",_xlfn.LET(_xlpm.bc,IFERROR(IF(VLOOKUP(AX341,Потребители_обозначение,6,FALSE)=0,"",VLOOKUP(AX341,Потребители_обозначение,6,FALSE)&amp;""),""),IF(AND(FK341="да",OR(_xlpm.bc="",_xlpm.bc="мс")),Марка_пож,IF(AND(_xlpm.bc="",BC341&lt;&gt;""),"мс",_xlpm.bc))))</f>
        <v/>
      </c>
      <c r="BT341" t="str">
        <f t="shared" si="630"/>
        <v>мс</v>
      </c>
      <c r="BU341">
        <f>IF(B341="","",_xlfn.LET(_xlpm.cc,IFERROR(N(VLOOKUP(AX341,Потребители_обозначение,7,FALSE)),0),IF(_xlpm.cc&gt;0,_xlpm.cc,IF(BT341="","",IF(N(BR341)=3,5,3)))))</f>
        <v>5</v>
      </c>
      <c r="BV341">
        <f t="shared" si="631"/>
        <v>5</v>
      </c>
      <c r="BW341">
        <f>IFERROR(N(VLOOKUP(AX341,Потребители_обозначение,10,FALSE)),0)</f>
        <v>0</v>
      </c>
      <c r="BX341">
        <f>IFERROR(VLOOKUP(AX341,Потребители_обозначение,5,FALSE),0)</f>
        <v>1</v>
      </c>
      <c r="BY341" s="6" cm="1">
        <f t="array" ref="BY341">IF(B341="","",IF(BC341&lt;&gt;"",IFERROR(_xlfn.XLOOKUP(BC341,Щиты[Щит],Щиты[cos φ]),0.95),IF(BK341=1,IFERROR(_xlfn.XLOOKUP(A341,Щиты[Щит],Щиты[cos φ]),0.95),IF(ISNUMBER(Z341),Z341,IFERROR(IF(BX341=2,_xlfn.IFS(BR341=3,VLOOKUP(BN341,Справочная_двигатели,8,FALSE),BR341=1,VLOOKUP(BN341,Справочная_двигатели,10,TRUE)),IF(AND(Методика="нормы 2026",EQ341="Сил"),0.8,0.95)),0.95)))))</f>
        <v>0.95000000000000007</v>
      </c>
      <c r="BZ341">
        <f t="shared" si="632"/>
        <v>0</v>
      </c>
      <c r="CA341">
        <f t="shared" si="633"/>
        <v>1</v>
      </c>
      <c r="CB341">
        <f t="shared" si="634"/>
        <v>0</v>
      </c>
      <c r="CC341">
        <f t="shared" si="635"/>
        <v>0</v>
      </c>
      <c r="CD341">
        <f t="shared" si="636"/>
        <v>0</v>
      </c>
      <c r="CE341">
        <f t="shared" si="637"/>
        <v>0</v>
      </c>
      <c r="CF341">
        <f t="shared" si="638"/>
        <v>0</v>
      </c>
      <c r="CG341">
        <f>IF(AX341="",0,_xlfn.LET(_xlpm.v,IFERROR(VLOOKUP(B341,УГО_спр,3,FALSE),IFERROR(VLOOKUP(AX341,УГО_спр,3,FALSE),IFERROR(VLOOKUP(LEFT(AX341,2),УГО_спр,3,FALSE),""))),IF(_xlpm.v="да",30,IF(ISNUMBER(_xlpm.v),_xlpm.v,0))))</f>
        <v>0</v>
      </c>
      <c r="CH341" t="str">
        <f t="shared" si="639"/>
        <v/>
      </c>
      <c r="CI341" t="str">
        <f>_xlfn.LET(_xlpm.k,IFERROR(_xlfn.XLOOKUP(AX341,Коды_код,Коды_утечка)&amp;"",""),IF(_xlpm.k="","дифавтомат",_xlpm.k))</f>
        <v>дифавтомат</v>
      </c>
      <c r="CJ341">
        <f t="shared" si="640"/>
        <v>0</v>
      </c>
      <c r="CK341">
        <f t="shared" si="641"/>
        <v>0</v>
      </c>
      <c r="CL341">
        <f>IF(B341="",0,IFERROR(--VLOOKUP(B341,УГО_спр,4,FALSE),IFERROR(--VLOOKUP(AX341,УГО_спр,4,FALSE),IFERROR(--VLOOKUP(LEFT(AX341,2),УГО_спр,4,FALSE),0))))</f>
        <v>0</v>
      </c>
      <c r="CM341" t="str">
        <f>IF(B341="","",IFERROR(_xlfn.XLOOKUP(AX341,Коды_код,Коды_апп)&amp;"",""))</f>
        <v/>
      </c>
      <c r="CN341" t="str">
        <f t="shared" si="642"/>
        <v/>
      </c>
      <c r="CO341" t="str" cm="1">
        <f t="array" ref="CO341">IF(TRIM(CN341&amp;"")="","",IFERROR(TRIM(INDEX(_xlfn.TEXTSPLIT(CN341&amp;";;;",";"),1)),""))</f>
        <v/>
      </c>
      <c r="CP341" t="str" cm="1">
        <f t="array" ref="CP341">IF(TRIM(CN341&amp;"")="","",IFERROR(TRIM(INDEX(_xlfn.TEXTSPLIT(CN341&amp;";;;",";"),2)),""))</f>
        <v/>
      </c>
      <c r="CQ341" t="str" cm="1">
        <f t="array" ref="CQ341">IF(TRIM(CN341&amp;"")="","",IFERROR(TRIM(INDEX(_xlfn.TEXTSPLIT(CN341&amp;";;;",";"),3)),""))</f>
        <v/>
      </c>
      <c r="CR341">
        <f t="shared" si="643"/>
        <v>0</v>
      </c>
      <c r="CS341" t="str">
        <f>IF(B341="","",_xlfn.LET(_xlpm.t,LOWER(AV341&amp;""),IF(ISNUMBER(SEARCH("dim",_xlpm.t)),"DIM",IF(ISNUMBER(SEARCH("dali",_xlpm.t)),"DALI",IF(OR(ISNUMBER(SEARCH("relay",_xlpm.t)),ISNUMBER(SEARCH("реле",_xlpm.t))),"Relay",IF(ISNUMBER(SEARCH("кнопк",_xlpm.t)),"",IFERROR(_xlfn.XLOOKUP(AX341,Коды_код,Коды_упр)&amp;"","")))))))</f>
        <v/>
      </c>
      <c r="CT341" t="str">
        <f t="shared" si="644"/>
        <v/>
      </c>
      <c r="CU341">
        <f>IF(B341="","",_xlfn.LET(_xlpm.ig,N(P341)+IF(AF341="вручную",0,N(CB341)),_xlpm.n0,IFERROR(VLOOKUP(_xlpm.ig,Автомат_номиналы,2,TRUE),0),_xlpm.mn,MAX(CL341,IF(AF341="вручную",0,N(CE341))),MAX(_xlpm.n0,_xlpm.mn,IF(CR341=1,Мин_автомат_БП,0))))</f>
        <v>40</v>
      </c>
      <c r="CV341">
        <f t="shared" si="645"/>
        <v>3</v>
      </c>
      <c r="CW341" t="str">
        <f t="shared" si="646"/>
        <v>3P</v>
      </c>
      <c r="CX341" t="str">
        <f>_xlfn.LET(_xlpm.cc,UPPER(TRIM(IFERROR(_xlfn.XLOOKUP(AX341,Коды_код,Коды_хар)&amp;"",""))),IF(OR(_xlpm.cc="B",_xlpm.cc="В"),"B",IF(_xlpm.cc="D","D","С")))</f>
        <v>С</v>
      </c>
      <c r="CY341" t="str">
        <f t="shared" si="647"/>
        <v>3P С40А</v>
      </c>
      <c r="CZ341">
        <f t="shared" si="648"/>
        <v>32</v>
      </c>
      <c r="DA341" t="str">
        <f t="shared" si="649"/>
        <v>3P С32А</v>
      </c>
      <c r="DB341" cm="1">
        <f t="array" ref="DB341">IF(DA341="","",_xlfn.LET(_xlpm.t,SUBSTITUTE(SUBSTITUTE(SUBSTITUTE(UPPER(DA341),"С","C"),"А","A"),"В","B"),_xlpm.tk,_xlfn.TEXTSPLIT(_xlpm.t,"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32</v>
      </c>
      <c r="DC341" t="str">
        <f t="shared" si="650"/>
        <v>узел</v>
      </c>
      <c r="DD341">
        <f t="shared" si="651"/>
        <v>32</v>
      </c>
      <c r="DE341" t="str">
        <f t="shared" si="652"/>
        <v>3P С32А</v>
      </c>
      <c r="DF341">
        <f t="shared" si="653"/>
        <v>0</v>
      </c>
      <c r="DG341">
        <f t="shared" si="654"/>
        <v>0</v>
      </c>
      <c r="DH341">
        <f t="shared" si="655"/>
        <v>0</v>
      </c>
      <c r="DI341">
        <f t="shared" si="656"/>
        <v>30.766691976552419</v>
      </c>
      <c r="DJ341">
        <f t="shared" si="657"/>
        <v>0.92</v>
      </c>
      <c r="DK341">
        <f>IF(ISNUMBER(AL341),AL341,К_прокл)</f>
        <v>1</v>
      </c>
      <c r="DL341">
        <f t="shared" si="658"/>
        <v>3</v>
      </c>
      <c r="DM341">
        <f>IFERROR(N(VLOOKUP(BT341,Кабель_обозначение,3,FALSE)),1)</f>
        <v>1</v>
      </c>
      <c r="DN341">
        <f>IFERROR(N(_xlfn.XLOOKUP(A341,Щиты[Щит],Щиты[ΔU до шин, %])),0)</f>
        <v>2.4899999999999998</v>
      </c>
      <c r="DO341" t="str">
        <f>IFERROR(_xlfn.XLOOKUP(A341,Щиты[Щит],Щиты[Zпетли на шинах, Ом]),"")</f>
        <v/>
      </c>
      <c r="DP341">
        <f>IFERROR(N(_xlfn.XLOOKUP(A341,Щиты[Щит],Щиты[ΔU до шин (подбор), %])),0)</f>
        <v>3.73</v>
      </c>
      <c r="DQ341" t="str">
        <f>IFERROR(_xlfn.XLOOKUP(A341,Щиты[Щит],Щиты[Zпетли на шинах (подбор), Ом]),"")</f>
        <v/>
      </c>
      <c r="DR341" t="str">
        <f t="shared" si="659"/>
        <v/>
      </c>
      <c r="DS341">
        <f t="shared" si="660"/>
        <v>50</v>
      </c>
      <c r="DT341">
        <f t="shared" si="661"/>
        <v>1</v>
      </c>
      <c r="DU341">
        <f t="shared" si="662"/>
        <v>0.31</v>
      </c>
      <c r="DV341" s="6">
        <f>IF(B341="","",IF(IFERROR(VLOOKUP(AX341,УГО_спр,2,FALSE),"")="Светильник",3,4)+IF(Методика="нормы 2026",MIN(0.5,MAX(0,N(Q341)-100)*0.005),0))</f>
        <v>4</v>
      </c>
      <c r="DW341" cm="1">
        <f t="array" ref="DW341">IF(OR(B341="",BT341="",DM341&lt;&gt;1),"",_xlfn.LET(_xlpm.sz,Iдоп_S,_xlpm.t_,CHOOSE(DL341,Iдоп_1ж,Iдоп_2ж,Iдоп_3ж)*DJ341*DK341,_xlpm.inn,N(DD341),_xlpm.smin,MAX(1.5,BW341),_xlpm.L_,N(Q341)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341)*(_xlpm.rho*_xlpm.L_/_xlpm.sz*N(BY341)+_xlpm.xx*_xlpm.L_*N(DU341)/1000)*N(P341)/((Uн_лин/SQRT(3))*1000)*100,999),_xlpm.kz,IF(OR(DG341=1,NOT(ISNUMBER(DQ341)),_xlpm.L_=0,_xlpm.inn=0),1,IFERROR(--(c_min*(Uн_лин*1000/SQRT(3))/(DQ341+2*ρкз_Cu*_xlpm.L_/_xlpm.sz)&gt;=GY341*_xlpm.inn),0)),_xlpm.ok,IFERROR((_xlpm.sz&gt;=_xlpm.smin)*(_xlpm.t_&gt;=_xlpm.inn)*IF(_xlpm.L_&gt;0,(_xlpm.du_+DP341&lt;=DV341+0.00001),1)*_xlpm.kz,0),_xlpm.r_,_xlfn._xlws.FILTER(_xlpm.sz,_xlpm.ok,"не подобрано"),INDEX(_xlpm.r_,1)))</f>
        <v>70</v>
      </c>
      <c r="DX341">
        <f t="shared" si="663"/>
        <v>6</v>
      </c>
      <c r="DY341" cm="1">
        <f t="array" ref="DY341">IF(OR(B341="",BT341="",DM341&lt;&gt;1),"",_xlfn.LET(_xlpm.sz,Iдоп_S,_xlpm.t_,CHOOSE(DL341,Iдоп_1ж,Iдоп_2ж,Iдоп_3ж)*DJ341*DK341,_xlpm.ok,IFERROR((_xlpm.sz&gt;=MAX(1.5,BW341))*(_xlpm.t_&gt;=N(DD341)),0),_xlpm.r_,_xlfn._xlws.FILTER(_xlpm.sz,_xlpm.ok,""),INDEX(_xlpm.r_,1)))</f>
        <v>4</v>
      </c>
      <c r="DZ341" s="6" cm="1">
        <f t="array" ref="DZ341">IFERROR(ROUNDUP(N(DT341)*(_xlfn.XLOOKUP(DY341,INDEX(Кабель_сопротивление,0,1),INDEX(Кабель_сопротивление,0,3))*N(Q341)/DY341*N(BY341)+_xlfn.XLOOKUP(DY341,INDEX(Кабель_сопротивление,0,1),INDEX(Кабель_сопротивление,0,2))*N(Q341)*N(DU341)/1000)*N(P341)/((Uн_лин/SQRT(3))*1000)*100,2),"")</f>
        <v>3.5799999999999996</v>
      </c>
      <c r="EA341">
        <f>IFERROR(2*ρкз_Cu*N(Q341)/DY341,"")</f>
        <v>0.65749999999999997</v>
      </c>
      <c r="EB341">
        <f>IFERROR(VLOOKUP(DX341,Кабель_сопротивление,3,FALSE),"")</f>
        <v>2.2499999999999999E-2</v>
      </c>
      <c r="EC341">
        <f>IFERROR(VLOOKUP(DX341,Кабель_сопротивление,2,FALSE),"")</f>
        <v>0.09</v>
      </c>
      <c r="ED341">
        <f t="shared" si="664"/>
        <v>11</v>
      </c>
      <c r="EE341" t="str">
        <f t="shared" si="665"/>
        <v/>
      </c>
      <c r="EF341">
        <f t="shared" si="666"/>
        <v>5.5232365436306905</v>
      </c>
      <c r="EG341" s="6">
        <f>IFERROR(ROUNDUP(EF341/((Uн_лин/SQRT(3))*1000)*100,2),"")</f>
        <v>2.4</v>
      </c>
      <c r="EH341" t="str">
        <f>IFERROR(VLOOKUP(BT341,Кабель_обозначение,2,FALSE),"")</f>
        <v>ВВГнг(А)-LS</v>
      </c>
      <c r="EI341" t="str">
        <f t="shared" si="667"/>
        <v>ВВГнг(А)-LS (5х6)</v>
      </c>
      <c r="EJ341" t="str">
        <f t="shared" si="668"/>
        <v/>
      </c>
      <c r="EK341">
        <f>IFERROR(2*ρкз_Cu*Q341/DX341,"")</f>
        <v>0.4383333333333333</v>
      </c>
      <c r="EL341">
        <f t="shared" si="669"/>
        <v>0.14583333333333334</v>
      </c>
      <c r="EM341" s="6" t="str">
        <f>IFERROR(IF(OR(B341="",NOT(ISNUMBER(DX341)),N(Q341)=0),"",_xlfn.XLOOKUP(A341,Щиты[Щит],Щиты[Zпетли на шинах, Ом])+EK341),"")</f>
        <v/>
      </c>
      <c r="EN341" s="6" t="str">
        <f>IF(ISNUMBER(EM341),c_min*(Uн_лин*1000/SQRT(3))/EM341,"")</f>
        <v/>
      </c>
      <c r="EO341" s="6" t="str">
        <f>IFERROR(IF(OR(B341="",NOT(ISNUMBER(DX341))),"",1.05*(Uн_лин*1000/SQRT(3))/(_xlfn.XLOOKUP(A341,Щиты[Щит],Щиты[Zmax на шинах, Ом])+EL341)/1000),"")</f>
        <v/>
      </c>
      <c r="EP341" s="6" t="str">
        <f>IF(B341="","",IF(ISNUMBER(Y341),"Сил",IF(IFERROR(_xlfn.XLOOKUP(AX341,Коды_код,Коды_группа)&amp;"","")="","Быт",_xlfn.XLOOKUP(AX341,Коды_код,Коды_группа)&amp;"")))</f>
        <v>Быт</v>
      </c>
      <c r="EQ341" s="6" t="str">
        <f t="shared" si="670"/>
        <v>Нет</v>
      </c>
      <c r="ER341" s="6">
        <f>IF(EQ341="Щит","щит",IF(EQ341="","",IF(EQ341="Быт",IFERROR(_xlfn.XLOOKUP(A341,Щиты[Щит],Щиты[Кс быт]),1),IF(EQ341="Сил",IF(ISNUMBER(Y341),Y341,IF(Методика="нормы 2026",IFERROR(_xlfn.XLOOKUP(A341,Щиты[Щит],Щиты[Кс силовых (табл. 7.5)]),1),1)),IF(OR(EQ341="Пост",EQ341="Отоп"),1,IF(EQ341="ВНГ",0.7,0))))))</f>
        <v>0</v>
      </c>
      <c r="ES341">
        <f t="shared" si="671"/>
        <v>1</v>
      </c>
      <c r="ET341">
        <f t="shared" si="672"/>
        <v>0</v>
      </c>
      <c r="EU341">
        <f t="shared" si="673"/>
        <v>0</v>
      </c>
      <c r="EV341">
        <f t="shared" si="674"/>
        <v>0</v>
      </c>
      <c r="EW341">
        <f t="shared" si="675"/>
        <v>0</v>
      </c>
      <c r="EX341">
        <f t="shared" si="676"/>
        <v>0</v>
      </c>
      <c r="EY341">
        <f t="shared" si="677"/>
        <v>0</v>
      </c>
      <c r="EZ341">
        <f t="shared" si="678"/>
        <v>0</v>
      </c>
      <c r="FA341">
        <f t="shared" si="679"/>
        <v>0</v>
      </c>
      <c r="FB341">
        <f t="shared" si="680"/>
        <v>0</v>
      </c>
      <c r="FC341" t="str">
        <f t="shared" si="681"/>
        <v/>
      </c>
      <c r="FD341" t="str">
        <f>IF(B341="","",IF(CA341=0,IF(AW341=1,"",FF340),IF(OR(N(CV341)&gt;=3,N(BR341)&gt;=3),"L1,L2,L3",IFERROR(_xlfn.TEXTBEFORE(_xlfn.TEXTAFTER(_xlfn.XLOOKUP(A341,Щиты[Щит],Щиты[_фазы авто]),";"&amp;AW341&amp;":"),";"),"L1"))))</f>
        <v>L1,L2,L3</v>
      </c>
      <c r="FE341" t="str">
        <f t="shared" si="682"/>
        <v>L1,L2,L3</v>
      </c>
      <c r="FF341" t="str">
        <f t="shared" si="683"/>
        <v>L1,L2,L3</v>
      </c>
      <c r="FG341" cm="1">
        <f t="array" ref="FG341">IFERROR(IF(BX341=2,_xlfn.IFS(BR341=3,VLOOKUP(BN341,Справочная_двигатели,3,FALSE),BR341=1,VLOOKUP(BN341,Справочная_двигатели,5,TRUE)),0),0)</f>
        <v>0</v>
      </c>
      <c r="FH341">
        <f>IFERROR(IF(BX341=3,VLOOKUP(BN341,Справочная_ЛЭД,2,TRUE),0),0)</f>
        <v>0</v>
      </c>
      <c r="FI341" s="6">
        <f t="shared" si="684"/>
        <v>0</v>
      </c>
      <c r="FJ341" t="str" cm="1">
        <f t="array" ref="FJ341">IF(B341="","",IFERROR(INDEX({"I особая","I","II","III"},MATCH(TRIM(AC341&amp;""),{"I особая","I","II","III"},0)),"III"))</f>
        <v>III</v>
      </c>
      <c r="FK341" t="str">
        <f>IF(B341="","",IF(TRIM(AD341&amp;"")&lt;&gt;"",IF(LOWER(TRIM(AD341&amp;""))="да","да","нет"),IF(IFERROR(_xlfn.XLOOKUP(AX341,Коды_код,Коды_пожарная),"")="да","да","нет")))</f>
        <v>нет</v>
      </c>
      <c r="FL341" t="str">
        <f t="shared" si="685"/>
        <v/>
      </c>
      <c r="FM341" t="str">
        <f t="shared" si="686"/>
        <v>основная</v>
      </c>
      <c r="FN341">
        <f t="shared" si="687"/>
        <v>1</v>
      </c>
      <c r="FO341" t="str" cm="1">
        <f t="array" ref="FO341">IF(B341="","",_xlfn.LET(_xlpm.t,IFERROR(_xlfn.XLOOKUP(1,(Шины[Шина]=FM341)*(((Шины[Щит]=A341)+(Шины[Щит]=""))&gt;0),Шины[Тип]),"")&amp;"",IF(_xlpm.t&lt;&gt;"",_xlpm.t,IF(ISNUMBER(SEARCH("ИБП",FM341)),"ИБП",IF(ISNUMBER(SEARCH("ДГУ",FM341)),"ДГУ","Ввод "&amp;FN341)))))</f>
        <v>Ввод 1</v>
      </c>
      <c r="FP341" t="str">
        <f t="shared" si="688"/>
        <v>Ввод 1</v>
      </c>
      <c r="FQ341" t="str">
        <f>IF(B341="","",IF(OR(FO341="ИБП",FO341="ДГУ"),"I особая",IF(FO341="Одиночная","III",_xlfn.XLOOKUP(A341,Щиты[Щит],Щиты[Категория шины «Ввод»],"III"))))</f>
        <v>II</v>
      </c>
      <c r="FR341">
        <f>IF(B341="",0,IFERROR(MATCH(FJ341,{"III","II","I","I особая"},0),1))</f>
        <v>1</v>
      </c>
      <c r="FS341">
        <f t="shared" si="689"/>
        <v>1</v>
      </c>
      <c r="FT341" t="str">
        <f>IF(B341="","",IF(FR341&gt;IFERROR(MATCH(FQ341,{"III","II","I","I особая"},0),1),"НЕ ОБЕСПЕЧЕНА","ОК"))</f>
        <v>ОК</v>
      </c>
      <c r="FU341" t="str">
        <f>IF(A341="","",_xlfn.XLOOKUP(A341,Щиты[Щит],Щиты[Путь],""))</f>
        <v>|ГРЩ-ЖД|ЩУОВ|</v>
      </c>
      <c r="FV341" t="str">
        <f>IF(B341="","",IF(AE341&lt;&gt;"",AE341,IF(IFERROR(_xlfn.XLOOKUP(AX341,Коды_код,Коды_вид)&amp;"","")="","Прочее",_xlfn.XLOOKUP(AX341,Коды_код,Коды_вид)&amp;"")))</f>
        <v>Прочее</v>
      </c>
      <c r="FW341">
        <f>IF(BH341="","",INT((BH341-1)/Столбцов_на_лист)+1)</f>
        <v>1</v>
      </c>
      <c r="FX341" t="str">
        <f t="shared" si="690"/>
        <v/>
      </c>
      <c r="FY341">
        <f t="shared" si="691"/>
        <v>0</v>
      </c>
      <c r="FZ341">
        <f t="shared" si="692"/>
        <v>30.770000000000003</v>
      </c>
      <c r="GA341">
        <f t="shared" si="693"/>
        <v>3</v>
      </c>
      <c r="GB341">
        <f t="shared" si="694"/>
        <v>0</v>
      </c>
      <c r="GC341">
        <f t="shared" si="695"/>
        <v>0</v>
      </c>
      <c r="GD341" t="str">
        <f>IF(BH341="","",IF(AND(CA341=1,GC341=1),COUNTIFS(A$3:A341,A341,CA$3:CA341,1,GC$3:GC341,1),IF(OR(OR(AW341=1,A341&lt;&gt;A340),AF341="вручную",GC341=0),"",IF(AW341=1,"",GE340))))</f>
        <v/>
      </c>
      <c r="GE341" t="str">
        <f t="shared" si="696"/>
        <v/>
      </c>
      <c r="GF341">
        <f>IF(B341="","",IFERROR(LOOKUP(INDEX(CHOOSE(DL341,Iдоп_1ж,Iдоп_2ж,Iдоп_3ж),MATCH(DX341,Iдоп_S,0))*DJ341*DK341,{6,10,16,20,25,32,40,50,63,80,100,125,160,200,250,315,400,500,630}),""))</f>
        <v>32</v>
      </c>
      <c r="GG341" t="str">
        <f t="shared" si="697"/>
        <v/>
      </c>
      <c r="GH341" t="str">
        <f t="shared" si="698"/>
        <v/>
      </c>
      <c r="GI341" t="str">
        <f t="shared" si="699"/>
        <v/>
      </c>
      <c r="GJ341">
        <f t="shared" si="700"/>
        <v>0</v>
      </c>
      <c r="GK341" t="str">
        <f>IF(OR(AG341="",AG341="-"),"",IFERROR(VLOOKUP(AG341,Модули_спр,2,FALSE),"R"))</f>
        <v/>
      </c>
      <c r="GL341" t="str">
        <f>IF(GK341="","",GK341&amp;"."&amp;COUNTIFS(A$3:A341,A341,GK$3:GK341,GK341))</f>
        <v/>
      </c>
      <c r="GM341" t="str">
        <f t="shared" si="701"/>
        <v/>
      </c>
      <c r="GN341" t="str">
        <f t="shared" si="702"/>
        <v/>
      </c>
      <c r="GO341" t="str">
        <f t="shared" si="703"/>
        <v/>
      </c>
      <c r="GP341" t="str">
        <f t="shared" si="704"/>
        <v/>
      </c>
      <c r="GQ341">
        <f t="shared" si="705"/>
        <v>0</v>
      </c>
      <c r="GR341" t="str">
        <f>IF(GQ341=1,"XT"&amp;COUNTIFS(A$3:A341,A341,GQ$3:GQ341,1),"")</f>
        <v/>
      </c>
      <c r="GS341" t="str">
        <f t="shared" si="706"/>
        <v/>
      </c>
      <c r="GT341" t="str">
        <f t="shared" si="707"/>
        <v/>
      </c>
      <c r="GU341" t="str">
        <f t="shared" si="708"/>
        <v/>
      </c>
      <c r="GV341" t="str">
        <f t="shared" si="709"/>
        <v>ok</v>
      </c>
      <c r="GW341" t="str">
        <f>IF(OR(GO341="",GM341=""),"",IF(GO341&gt;IFERROR(VLOOKUP(GN341,Модули_спр,3,FALSE),99),"ЛИШНИЙ КАНАЛ",IF(AND(AH341&lt;&gt;"=",COUNTIFS(Линии[_модуль гр.],GM341,Линии[Канал (итог)],GO341,Линии[Канал],"&lt;&gt;=",Линии[Щит],A341)&gt;1),"ДУБЛЬ КАНАЛА","")))</f>
        <v/>
      </c>
      <c r="GX341" s="6" t="str">
        <f t="shared" si="710"/>
        <v/>
      </c>
      <c r="GY341">
        <f t="shared" si="711"/>
        <v>10</v>
      </c>
      <c r="GZ341" t="str">
        <f t="shared" si="712"/>
        <v/>
      </c>
      <c r="HA341" t="str">
        <f>IF(AND(B341="",GT341=""),"",_xlfn.TEXTJOIN("; ",TRUE,IF(AND(B341&lt;&gt;"",FE341=""),"нет фазы",""),IF(AND(B341&lt;&gt;"",N(FY341)=0,EQ341&lt;&gt;"Нет"),"нет мощности",""),IF(AND(GS341&lt;&gt;"",COUNTIFS(Линии[Щит],A341,Линии[Клемма (итог)],GS341)&gt;1),"дубль клеммы "&amp;GS341,""),IF(AND(GV341&lt;&gt;"",GV341&lt;&gt;"ok"),GV341,""),IF(GW341&lt;&gt;"",GW341,""),IF(AND(N(BV341)&gt;=4,N(BR341)=1),BV341&amp;" жил на 1 фазе",""),IF(AND(AX341="R",CA341=1,OR(N(CK341)=0,N(CK341)&gt;30)),"розетка без дифзащиты до 30 мА",""),IFERROR(IF(AND(ISNUMBER(R341),R341&gt;DV341),"потери "&amp;FIXED(R341,1)&amp;" % &gt; "&amp;DV341&amp;" %",""),""),IFERROR(IF(LEFT(GZ341,4)="мало","Iкз мало — отключение &gt; 0,4 с",""),""),IF(AND(B341&lt;&gt;"",BH341=""),"не на схеме",""),IF(AND(CA341=0,B341&lt;&gt;"",FE341&lt;&gt;"",IF(AW341=1,"",FF340)&lt;&gt;"",FE341&lt;&gt;IF(AW341=1,"",FF340)),"фаза не как у автомата группы ("&amp;IF(AW341=1,"",FF340)&amp;")","")))</f>
        <v>потери 4,9 % &gt; 4 %</v>
      </c>
      <c r="HB341" s="6" t="str">
        <f>IF(OR(CA341=0,DA341=""),"",_xlfn.LET(_xlpm.t,IFERROR(_xlfn.XLOOKUP(DA341,Каталог!$U$4:$U$500,Каталог!$G$4:$G$500),""),_xlpm.k,SEARCH("кА",_xlpm.t),IFERROR(--TRIM(RIGHT(SUBSTITUTE(MID(_xlpm.t,MAX(1,_xlpm.k-4),_xlpm.k-MAX(1,_xlpm.k-4))," ",REPT(" ",9)),5)),"")))</f>
        <v/>
      </c>
      <c r="HC341" t="str">
        <f>IF(OR(HB341="",CA341=0),"",IF(_xlfn.XLOOKUP(A341,Щиты[Щит],Щиты[Iкз max на шинах, кА],"")="","",IF(HB341&lt;_xlfn.XLOOKUP(A341,Щиты[Щит],Щиты[Iкз max на шинах, кА]),"Icu "&amp;HB341&amp;" кА &lt; Iкз max","ok")))</f>
        <v/>
      </c>
      <c r="HD341" t="str">
        <f t="shared" si="713"/>
        <v/>
      </c>
      <c r="HE341" t="str">
        <f t="shared" si="714"/>
        <v/>
      </c>
      <c r="HF341" t="str">
        <f t="shared" si="715"/>
        <v/>
      </c>
      <c r="HG341" t="str" cm="1">
        <f t="array" ref="HG341">IF(HF341="","",_xlfn.LET(_xlpm.nd,_xlfn.TEXTSPLIT(HF341,"|"),IF(COLUMNS(_xlpm.nd)&gt;1,A341&amp;"¦"&amp;INDEX(_xlpm.nd,1)&amp;"¦"&amp;INDEX(_xlpm.nd,2),"")))</f>
        <v/>
      </c>
      <c r="HH341" t="str">
        <f t="shared" si="716"/>
        <v/>
      </c>
      <c r="HI341" t="str" cm="1">
        <f t="array" ref="HI341">IF(HF341="","",_xlfn.LET(_xlpm.nd,_xlfn.TEXTSPLIT(HF341,"|"),IF(COLUMNS(_xlpm.nd)&gt;2,A341&amp;"¦"&amp;INDEX(_xlpm.nd,2)&amp;"¦"&amp;INDEX(_xlpm.nd,3),"")))</f>
        <v/>
      </c>
      <c r="HJ341" t="str">
        <f t="shared" si="717"/>
        <v/>
      </c>
      <c r="HK341" t="str" cm="1">
        <f t="array" ref="HK341">IF(HF341="","",_xlfn.LET(_xlpm.nd,_xlfn.TEXTSPLIT(HF341,"|"),IF(COLUMNS(_xlpm.nd)&gt;3,A341&amp;"¦"&amp;INDEX(_xlpm.nd,3)&amp;"¦"&amp;INDEX(_xlpm.nd,4),"")))</f>
        <v/>
      </c>
      <c r="HL341" t="str">
        <f t="shared" si="718"/>
        <v/>
      </c>
      <c r="HM341" t="str" cm="1">
        <f t="array" ref="HM341">IF(HF341="","",_xlfn.LET(_xlpm.nd,_xlfn.TEXTSPLIT(HF341,"|"),IF(COLUMNS(_xlpm.nd)&gt;4,A341&amp;"¦"&amp;INDEX(_xlpm.nd,4)&amp;"¦"&amp;INDEX(_xlpm.nd,5),"")))</f>
        <v/>
      </c>
      <c r="HN341" t="str">
        <f t="shared" si="719"/>
        <v/>
      </c>
      <c r="HO341" t="str" cm="1">
        <f t="array" ref="HO341">IF(HF341="","",_xlfn.LET(_xlpm.nd,_xlfn.TEXTSPLIT(HF341,"|"),IF(COLUMNS(_xlpm.nd)&gt;5,A341&amp;"¦"&amp;INDEX(_xlpm.nd,5)&amp;"¦"&amp;INDEX(_xlpm.nd,6),"")))</f>
        <v/>
      </c>
      <c r="HP341" t="str">
        <f t="shared" si="720"/>
        <v/>
      </c>
      <c r="HQ341" t="str" cm="1">
        <f t="array" ref="HQ341">IF(HF341="","",_xlfn.LET(_xlpm.nd,_xlfn.TEXTSPLIT(HF341,"|"),IF(COLUMNS(_xlpm.nd)&gt;6,A341&amp;"¦"&amp;INDEX(_xlpm.nd,6)&amp;"¦"&amp;INDEX(_xlpm.nd,7),"")))</f>
        <v/>
      </c>
      <c r="HR341" t="str">
        <f t="shared" si="721"/>
        <v/>
      </c>
      <c r="HS341" t="str">
        <f t="shared" si="722"/>
        <v/>
      </c>
      <c r="HT341" t="str">
        <f t="shared" si="723"/>
        <v/>
      </c>
      <c r="HU341">
        <f t="shared" si="724"/>
        <v>0</v>
      </c>
      <c r="HV341">
        <f t="shared" si="725"/>
        <v>0</v>
      </c>
      <c r="HW341" t="str">
        <f t="shared" si="726"/>
        <v/>
      </c>
      <c r="HX341" t="str">
        <f t="shared" si="727"/>
        <v/>
      </c>
      <c r="HY341" t="str">
        <f t="shared" si="728"/>
        <v/>
      </c>
      <c r="HZ341" t="str">
        <f t="shared" si="729"/>
        <v/>
      </c>
      <c r="IA341">
        <f>IF(B341="","",IFERROR(VLOOKUP(B341,УГО_спр,2,FALSE),IFERROR(VLOOKUP(AX341,УГО_спр,2,FALSE),IFERROR(VLOOKUP(LEFT(AX341,2),УГО_спр,2,FALSE),""))))</f>
        <v>0</v>
      </c>
      <c r="IB341" t="str">
        <f>IF(B341="","",IF(OR(IA341="",IA341=0),"BOX",IFERROR(IF(VLOOKUP(IA341,УГО_блоки,3,FALSE)&amp;""&lt;&gt;"",VLOOKUP(IA341,УГО_блоки,3,FALSE),VLOOKUP(IA341,УГО_блоки,2,FALSE)),IA341)))</f>
        <v>BOX</v>
      </c>
      <c r="IC341">
        <f t="shared" si="730"/>
        <v>1</v>
      </c>
      <c r="ID341" t="str">
        <f>IF(DA341="","",IF(COUNTIF(DA$3:DA341,DA341)=1,MAX(ID$2:ID340)+1,""))</f>
        <v/>
      </c>
      <c r="IE341" t="str">
        <f>IF(CO341="","",IF(COUNTIF(CO$3:CO341,CO341)+COUNTIF(CP$2:CP340,CO341)+COUNTIF(CQ$2:CQ340,CO341)=1,MAX(IE$2:IG340)+1,""))</f>
        <v/>
      </c>
      <c r="IF341" t="str">
        <f>IF(CP341="","",IF(COUNTIF(CO$3:CO341,CP341)+COUNTIF(CP$3:CP341,CP341)+COUNTIF(CQ$2:CQ340,CP341)=1,MAX(IE$2:IG340,IE341)+1,""))</f>
        <v/>
      </c>
      <c r="IG341" t="str">
        <f>IF(CQ341="","",IF(COUNTIF(CO$3:CO341,CQ341)+COUNTIF(CP$3:CP341,CQ341)+COUNTIF(CQ$3:CQ341,CQ341)=1,MAX(IE$2:IG340,IE341,IF341)+1,""))</f>
        <v/>
      </c>
      <c r="IH341" t="str">
        <f t="shared" si="731"/>
        <v/>
      </c>
      <c r="II341" t="str">
        <f>IF(IH341="","",IF(COUNTIF(IH$3:IH341,IH341)=1,MAX(II$2:II340)+1,""))</f>
        <v/>
      </c>
      <c r="IJ341" t="str">
        <f>IF(GL341="","",COUNTIF(GL$3:GL341,"?*"))</f>
        <v/>
      </c>
      <c r="IK341" t="str">
        <f>IF(OR(GL341="",GN341=""),"",IF(COUNTIFS(GL$3:GL341,"?*",GN$3:GN341,GN341)=1,MAX(IK$2:IK340)+1,""))</f>
        <v/>
      </c>
      <c r="IL341">
        <f t="shared" si="732"/>
        <v>1</v>
      </c>
      <c r="IM341">
        <f>IF(B341="","",COUNTIF(B$3:B341,"?*"))</f>
        <v>339</v>
      </c>
      <c r="IN341">
        <f>IF(GQ341&lt;&gt;1,0,_xlfn.LET(_xlpm.k,MAX(IFERROR(--VLOOKUP(B341,УГО_спр,5,FALSE),0),IFERROR(--VLOOKUP(AX341,УГО_спр,5,FALSE),0),IFERROR(--VLOOKUP(LEFT(AX341,2),УГО_спр,5,FALSE),0)),IF(_xlpm.k&gt;0,_xlpm.k,IF(IFERROR(--LEFT(SUBSTITUTE(IH341,"x","х"),FIND("х",SUBSTITUTE(IH341,"x","х"))-1),3)&gt;3,Каталог!$S$9,1))))</f>
        <v>0</v>
      </c>
      <c r="IO341">
        <f t="shared" si="733"/>
        <v>0</v>
      </c>
      <c r="IP341" t="str">
        <f t="shared" si="734"/>
        <v>авто</v>
      </c>
      <c r="IQ341" t="str">
        <f t="shared" si="735"/>
        <v/>
      </c>
      <c r="IR341">
        <f t="shared" si="736"/>
        <v>0</v>
      </c>
      <c r="IS341">
        <f t="shared" si="737"/>
        <v>1</v>
      </c>
    </row>
    <row r="342" spans="1:253" x14ac:dyDescent="0.3">
      <c r="A342" t="s">
        <v>771</v>
      </c>
      <c r="B342" t="s">
        <v>1599</v>
      </c>
      <c r="C342" t="str">
        <f>Линии[[#This Row],[_авто наименование]]</f>
        <v/>
      </c>
      <c r="D342">
        <v>1</v>
      </c>
      <c r="E342">
        <v>0</v>
      </c>
      <c r="G342" t="str">
        <f>Линии[[#This Row],[_авто автомат]]</f>
        <v>1P С6А</v>
      </c>
      <c r="H342" t="str">
        <f>Линии[[#This Row],[_авто утечка]]</f>
        <v/>
      </c>
      <c r="I342" t="str">
        <f>Линии[[#This Row],[_авто управление]]</f>
        <v/>
      </c>
      <c r="J342" t="str">
        <f>Линии[[#This Row],[_авто аппараты]]</f>
        <v/>
      </c>
      <c r="K342">
        <v>0.75</v>
      </c>
      <c r="L342">
        <v>24</v>
      </c>
      <c r="M342">
        <v>2</v>
      </c>
      <c r="N342" t="str">
        <f>Линии[[#This Row],[_авто клемма]]</f>
        <v>XT1</v>
      </c>
      <c r="O342" t="str">
        <f t="shared" si="615"/>
        <v>нет мощности</v>
      </c>
      <c r="P342" s="6" cm="1">
        <f t="array" ref="P342">IF(B342="","",IF(BC342&lt;&gt;"",IFERROR(_xlfn.XLOOKUP(BC342,Щиты[Щит],Щиты[Iр, А]),""),IF(BK342=1,IFERROR(_xlfn.XLOOKUP(A342,Щиты[Щит],Щиты[Iр, А]),""),IFERROR(_xlfn.IFS(BR342=1,BN342/((Uн_лин/SQRT(3))*BY342),BR342=3,BN342/(SQRT(3)*Uн_лин*BY342)),""))))</f>
        <v>0</v>
      </c>
      <c r="Q342" s="7">
        <f>IF(B342="","",IFERROR(IF(VLOOKUP(AX342,Потребители_обозначение,4,FALSE)=1,VLOOKUP(AX342,Потребители_обозначение,3,FALSE)*(D342*2-1)+DS342+VLOOKUP(AZ342,Этаж_обозначение,3,FALSE)+VLOOKUP(AZ342,Этаж_обозначение,4,FALSE),VLOOKUP(AX342,Потребители_обозначение,3,FALSE)*(D342*2-1)+DS342),DS342))</f>
        <v>24</v>
      </c>
      <c r="R342" s="6">
        <f t="shared" si="616"/>
        <v>2.4899999999999998</v>
      </c>
      <c r="S342" t="str">
        <f t="shared" si="617"/>
        <v>МКЭШнг(A)-LS (2х0,75)</v>
      </c>
      <c r="T342" t="str">
        <f>IF(BH342="","",IF(BI342="вводной узел","узел ","")&amp;"л."&amp;(INT((BH342-1)/Столбцов_на_лист)+1)&amp;" / "&amp;(MOD(BH342-1,Столбцов_на_лист)+1))</f>
        <v>л.2 / 1</v>
      </c>
      <c r="V342">
        <v>1</v>
      </c>
      <c r="W342">
        <v>0</v>
      </c>
      <c r="X342" t="s">
        <v>575</v>
      </c>
      <c r="AC342" t="s">
        <v>815</v>
      </c>
      <c r="AE342" t="s">
        <v>611</v>
      </c>
      <c r="AI342">
        <v>18</v>
      </c>
      <c r="AJ342" t="s">
        <v>603</v>
      </c>
      <c r="AK342">
        <v>2</v>
      </c>
      <c r="AN342">
        <v>19</v>
      </c>
      <c r="AO342">
        <v>5</v>
      </c>
      <c r="AW342" cm="1">
        <f t="array" ref="AW342">ROW()-ROW(Линии[#Headers])</f>
        <v>340</v>
      </c>
      <c r="AX342" s="6" t="str">
        <f t="shared" si="618"/>
        <v>DW</v>
      </c>
      <c r="AY342" t="str">
        <f t="shared" si="619"/>
        <v>1</v>
      </c>
      <c r="AZ342" t="str">
        <f t="shared" si="620"/>
        <v>1</v>
      </c>
      <c r="BA342" t="str">
        <f t="shared" si="621"/>
        <v/>
      </c>
      <c r="BB342" t="str">
        <f t="shared" si="622"/>
        <v/>
      </c>
      <c r="BC342" t="str">
        <f>IF(U342&lt;&gt;"",U342,IF(AND(B342&lt;&gt;"",B342&lt;&gt;A342,ISNUMBER(_xlfn.XMATCH(B342,Щиты[Щит]))),B342,""))</f>
        <v/>
      </c>
      <c r="BD342" t="str" cm="1">
        <f t="array" ref="BD342">IF(B342="","",IF(BC342&lt;&gt;"","Щит "&amp;BC342,_xlfn.LET(_xlpm.nm,IFERROR(_xlfn.XLOOKUP(AX342,Коды_код,Коды_имя)&amp;"",""),_xlpm.md,IFERROR(N(_xlfn.XLOOKUP(AX342,Коды_код,Коды_режим)),1),_xlpm.ex,IF(Имя_режим="по экспликации",IFERROR(_xlfn.XLOOKUP(AZ342&amp;"|"&amp;BB342,Экспликация[Этаж]&amp;"|"&amp;Экспликация[Помещение],Экспликация[Название])&amp;"",""),""),_xlpm.rm,IF(BB342="","",IF(_xlpm.ex&lt;&gt;"",". "&amp;_xlpm.ex&amp;IF(Имя_пом="нет"," ("&amp;BB342&amp;")"," (пом. "&amp;BB342&amp;")"),IF(Имя_пом="нет"," ",", пом. ")&amp;BB342)),IF(_xlpm.nm="","",IF(_xlpm.md=2,_xlpm.nm&amp;" шлейф "&amp;AZ342,_xlpm.nm&amp;_xlpm.rm)))))</f>
        <v/>
      </c>
      <c r="BE342" t="str">
        <f t="shared" si="623"/>
        <v/>
      </c>
      <c r="BF342">
        <f>IFERROR(_xlfn.XMATCH(A342,Щиты[Щит]),0)</f>
        <v>17</v>
      </c>
      <c r="BG342">
        <f>_xlfn.LET(_xlpm.k,IFERROR(_xlfn.XLOOKUP(A342,Щиты[Щит],Щиты[Листов под вводной узел]),""),IF(_xlpm.k="",1,N(_xlpm.k))*Столбцов_на_лист)</f>
        <v>17</v>
      </c>
      <c r="BH342">
        <f t="shared" si="624"/>
        <v>18</v>
      </c>
      <c r="BI342" t="str">
        <f t="shared" si="625"/>
        <v>линии</v>
      </c>
      <c r="BJ342" s="6">
        <f>IFERROR(N(_xlfn.XLOOKUP(AX342,Коды_код,Коды_квт)),0)</f>
        <v>0</v>
      </c>
      <c r="BK342">
        <f t="shared" si="626"/>
        <v>0</v>
      </c>
      <c r="BL342" t="str">
        <f>IF(B342="","",IF(BC342&lt;&gt;"",IFERROR(_xlfn.XLOOKUP(BC342,Щиты[Щит],Щиты[Руст, кВт]),0),IF(BK342=1,IFERROR(_xlfn.XLOOKUP(A342,Щиты[Щит],Щиты[Руст, кВт]),0),IF(BJ342&gt;0,ROUND(BJ342*MAX(1,N(D342)),3),""))))</f>
        <v/>
      </c>
      <c r="BM342">
        <f t="shared" si="627"/>
        <v>0</v>
      </c>
      <c r="BN342" s="6">
        <f>IF(B342="","",IF(BC342&lt;&gt;"",IFERROR(_xlfn.XLOOKUP(BC342,Щиты[Щит],Щиты[Руст, кВт]),0),N(BM342)))</f>
        <v>0</v>
      </c>
      <c r="BO342" t="str">
        <f>IF(B342="","",IFERROR(IF(VLOOKUP(AX342,Потребители_обозначение,8,FALSE)=0,"",VLOOKUP(AX342,Потребители_обозначение,8,FALSE)),""))</f>
        <v/>
      </c>
      <c r="BP342">
        <f t="shared" si="628"/>
        <v>0</v>
      </c>
      <c r="BQ342">
        <f>IF(B342="","",IF(BC342&lt;&gt;"",3,IFERROR(IF(N(VLOOKUP(AX342,Потребители_обозначение,9,FALSE))=0,1,VLOOKUP(AX342,Потребители_обозначение,9,FALSE)),1)))</f>
        <v>1</v>
      </c>
      <c r="BR342">
        <f t="shared" si="629"/>
        <v>1</v>
      </c>
      <c r="BS342" t="str">
        <f>IF(B342="","",_xlfn.LET(_xlpm.bc,IFERROR(IF(VLOOKUP(AX342,Потребители_обозначение,6,FALSE)=0,"",VLOOKUP(AX342,Потребители_обозначение,6,FALSE)&amp;""),""),IF(AND(FK342="да",OR(_xlpm.bc="",_xlpm.bc="мс")),Марка_пож,IF(AND(_xlpm.bc="",BC342&lt;&gt;""),"мс",_xlpm.bc))))</f>
        <v/>
      </c>
      <c r="BT342" t="str">
        <f t="shared" si="630"/>
        <v>эк</v>
      </c>
      <c r="BU342">
        <f>IF(B342="","",_xlfn.LET(_xlpm.cc,IFERROR(N(VLOOKUP(AX342,Потребители_обозначение,7,FALSE)),0),IF(_xlpm.cc&gt;0,_xlpm.cc,IF(BT342="","",IF(N(BR342)=3,5,3)))))</f>
        <v>3</v>
      </c>
      <c r="BV342">
        <f t="shared" si="631"/>
        <v>2</v>
      </c>
      <c r="BW342">
        <f>IFERROR(N(VLOOKUP(AX342,Потребители_обозначение,10,FALSE)),0)</f>
        <v>0</v>
      </c>
      <c r="BX342">
        <f>IFERROR(VLOOKUP(AX342,Потребители_обозначение,5,FALSE),0)</f>
        <v>0</v>
      </c>
      <c r="BY342" s="6" cm="1">
        <f t="array" ref="BY342">IF(B342="","",IF(BC342&lt;&gt;"",IFERROR(_xlfn.XLOOKUP(BC342,Щиты[Щит],Щиты[cos φ]),0.95),IF(BK342=1,IFERROR(_xlfn.XLOOKUP(A342,Щиты[Щит],Щиты[cos φ]),0.95),IF(ISNUMBER(Z342),Z342,IFERROR(IF(BX342=2,_xlfn.IFS(BR342=3,VLOOKUP(BN342,Справочная_двигатели,8,FALSE),BR342=1,VLOOKUP(BN342,Справочная_двигатели,10,TRUE)),IF(AND(Методика="нормы 2026",EQ342="Сил"),0.8,0.95)),0.95)))))</f>
        <v>0.95</v>
      </c>
      <c r="BZ342">
        <f t="shared" si="632"/>
        <v>0</v>
      </c>
      <c r="CA342">
        <f t="shared" si="633"/>
        <v>1</v>
      </c>
      <c r="CB342">
        <f t="shared" si="634"/>
        <v>0</v>
      </c>
      <c r="CC342">
        <f t="shared" si="635"/>
        <v>0</v>
      </c>
      <c r="CD342">
        <f t="shared" si="636"/>
        <v>0</v>
      </c>
      <c r="CE342">
        <f t="shared" si="637"/>
        <v>0</v>
      </c>
      <c r="CF342">
        <f t="shared" si="638"/>
        <v>0</v>
      </c>
      <c r="CG342">
        <f>IF(AX342="",0,_xlfn.LET(_xlpm.v,IFERROR(VLOOKUP(B342,УГО_спр,3,FALSE),IFERROR(VLOOKUP(AX342,УГО_спр,3,FALSE),IFERROR(VLOOKUP(LEFT(AX342,2),УГО_спр,3,FALSE),""))),IF(_xlpm.v="да",30,IF(ISNUMBER(_xlpm.v),_xlpm.v,0))))</f>
        <v>0</v>
      </c>
      <c r="CH342" t="str">
        <f t="shared" si="639"/>
        <v/>
      </c>
      <c r="CI342" t="str">
        <f>_xlfn.LET(_xlpm.k,IFERROR(_xlfn.XLOOKUP(AX342,Коды_код,Коды_утечка)&amp;"",""),IF(_xlpm.k="","дифавтомат",_xlpm.k))</f>
        <v>дифавтомат</v>
      </c>
      <c r="CJ342">
        <f t="shared" si="640"/>
        <v>0</v>
      </c>
      <c r="CK342">
        <f t="shared" si="641"/>
        <v>0</v>
      </c>
      <c r="CL342">
        <f>IF(B342="",0,IFERROR(--VLOOKUP(B342,УГО_спр,4,FALSE),IFERROR(--VLOOKUP(AX342,УГО_спр,4,FALSE),IFERROR(--VLOOKUP(LEFT(AX342,2),УГО_спр,4,FALSE),0))))</f>
        <v>0</v>
      </c>
      <c r="CM342" t="str">
        <f>IF(B342="","",IFERROR(_xlfn.XLOOKUP(AX342,Коды_код,Коды_апп)&amp;"",""))</f>
        <v/>
      </c>
      <c r="CN342" t="str">
        <f t="shared" si="642"/>
        <v/>
      </c>
      <c r="CO342" t="str" cm="1">
        <f t="array" ref="CO342">IF(TRIM(CN342&amp;"")="","",IFERROR(TRIM(INDEX(_xlfn.TEXTSPLIT(CN342&amp;";;;",";"),1)),""))</f>
        <v/>
      </c>
      <c r="CP342" t="str" cm="1">
        <f t="array" ref="CP342">IF(TRIM(CN342&amp;"")="","",IFERROR(TRIM(INDEX(_xlfn.TEXTSPLIT(CN342&amp;";;;",";"),2)),""))</f>
        <v/>
      </c>
      <c r="CQ342" t="str" cm="1">
        <f t="array" ref="CQ342">IF(TRIM(CN342&amp;"")="","",IFERROR(TRIM(INDEX(_xlfn.TEXTSPLIT(CN342&amp;";;;",";"),3)),""))</f>
        <v/>
      </c>
      <c r="CR342">
        <f t="shared" si="643"/>
        <v>0</v>
      </c>
      <c r="CS342" t="str">
        <f>IF(B342="","",_xlfn.LET(_xlpm.t,LOWER(AV342&amp;""),IF(ISNUMBER(SEARCH("dim",_xlpm.t)),"DIM",IF(ISNUMBER(SEARCH("dali",_xlpm.t)),"DALI",IF(OR(ISNUMBER(SEARCH("relay",_xlpm.t)),ISNUMBER(SEARCH("реле",_xlpm.t))),"Relay",IF(ISNUMBER(SEARCH("кнопк",_xlpm.t)),"",IFERROR(_xlfn.XLOOKUP(AX342,Коды_код,Коды_упр)&amp;"","")))))))</f>
        <v/>
      </c>
      <c r="CT342" t="str">
        <f t="shared" si="644"/>
        <v/>
      </c>
      <c r="CU342">
        <f>IF(B342="","",_xlfn.LET(_xlpm.ig,N(P342)+IF(AF342="вручную",0,N(CB342)),_xlpm.n0,IFERROR(VLOOKUP(_xlpm.ig,Автомат_номиналы,2,TRUE),0),_xlpm.mn,MAX(CL342,IF(AF342="вручную",0,N(CE342))),MAX(_xlpm.n0,_xlpm.mn,IF(CR342=1,Мин_автомат_БП,0))))</f>
        <v>6</v>
      </c>
      <c r="CV342">
        <f t="shared" si="645"/>
        <v>1</v>
      </c>
      <c r="CW342" t="str">
        <f t="shared" si="646"/>
        <v>1P</v>
      </c>
      <c r="CX342" t="str">
        <f>_xlfn.LET(_xlpm.cc,UPPER(TRIM(IFERROR(_xlfn.XLOOKUP(AX342,Коды_код,Коды_хар)&amp;"",""))),IF(OR(_xlpm.cc="B",_xlpm.cc="В"),"B",IF(_xlpm.cc="D","D","С")))</f>
        <v>С</v>
      </c>
      <c r="CY342" t="str">
        <f t="shared" si="647"/>
        <v>1P С6А</v>
      </c>
      <c r="CZ342" t="str">
        <f t="shared" si="648"/>
        <v>1P С6А</v>
      </c>
      <c r="DA342" t="str">
        <f t="shared" si="649"/>
        <v>1P С6А</v>
      </c>
      <c r="DB342" cm="1">
        <f t="array" ref="DB342">IF(DA342="","",_xlfn.LET(_xlpm.t,SUBSTITUTE(SUBSTITUTE(SUBSTITUTE(UPPER(DA342),"С","C"),"А","A"),"В","B"),_xlpm.tk,_xlfn.TEXTSPLIT(_xlpm.t,"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342" t="str">
        <f t="shared" si="650"/>
        <v>ok</v>
      </c>
      <c r="DD342">
        <f t="shared" si="651"/>
        <v>6</v>
      </c>
      <c r="DE342" t="str">
        <f t="shared" si="652"/>
        <v>1P С6А</v>
      </c>
      <c r="DF342">
        <f t="shared" si="653"/>
        <v>0</v>
      </c>
      <c r="DG342">
        <f t="shared" si="654"/>
        <v>0</v>
      </c>
      <c r="DH342">
        <f t="shared" si="655"/>
        <v>0</v>
      </c>
      <c r="DI342">
        <f t="shared" si="656"/>
        <v>0</v>
      </c>
      <c r="DJ342">
        <f t="shared" si="657"/>
        <v>1</v>
      </c>
      <c r="DK342">
        <f>IF(ISNUMBER(AL342),AL342,К_прокл)</f>
        <v>1</v>
      </c>
      <c r="DL342">
        <f t="shared" si="658"/>
        <v>2</v>
      </c>
      <c r="DM342">
        <f>IFERROR(N(VLOOKUP(BT342,Кабель_обозначение,3,FALSE)),1)</f>
        <v>1</v>
      </c>
      <c r="DN342">
        <f>IFERROR(N(_xlfn.XLOOKUP(A342,Щиты[Щит],Щиты[ΔU до шин, %])),0)</f>
        <v>2.4899999999999998</v>
      </c>
      <c r="DO342" t="str">
        <f>IFERROR(_xlfn.XLOOKUP(A342,Щиты[Щит],Щиты[Zпетли на шинах, Ом]),"")</f>
        <v/>
      </c>
      <c r="DP342">
        <f>IFERROR(N(_xlfn.XLOOKUP(A342,Щиты[Щит],Щиты[ΔU до шин (подбор), %])),0)</f>
        <v>3.73</v>
      </c>
      <c r="DQ342" t="str">
        <f>IFERROR(_xlfn.XLOOKUP(A342,Щиты[Щит],Щиты[Zпетли на шинах (подбор), Ом]),"")</f>
        <v/>
      </c>
      <c r="DR342" t="str">
        <f t="shared" si="659"/>
        <v/>
      </c>
      <c r="DS342">
        <f t="shared" si="660"/>
        <v>24</v>
      </c>
      <c r="DT342">
        <f t="shared" si="661"/>
        <v>2</v>
      </c>
      <c r="DU342">
        <f t="shared" si="662"/>
        <v>0.31</v>
      </c>
      <c r="DV342" s="6">
        <f>IF(B342="","",IF(IFERROR(VLOOKUP(AX342,УГО_спр,2,FALSE),"")="Светильник",3,4)+IF(Методика="нормы 2026",MIN(0.5,MAX(0,N(Q342)-100)*0.005),0))</f>
        <v>4</v>
      </c>
      <c r="DW342" cm="1">
        <f t="array" ref="DW342">IF(OR(B342="",BT342="",DM342&lt;&gt;1),"",_xlfn.LET(_xlpm.sz,Iдоп_S,_xlpm.t_,CHOOSE(DL342,Iдоп_1ж,Iдоп_2ж,Iдоп_3ж)*DJ342*DK342,_xlpm.inn,N(DD342),_xlpm.smin,MAX(1.5,BW342),_xlpm.L_,N(Q342)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342)*(_xlpm.rho*_xlpm.L_/_xlpm.sz*N(BY342)+_xlpm.xx*_xlpm.L_*N(DU342)/1000)*N(P342)/((Uн_лин/SQRT(3))*1000)*100,999),_xlpm.kz,IF(OR(DG342=1,NOT(ISNUMBER(DQ342)),_xlpm.L_=0,_xlpm.inn=0),1,IFERROR(--(c_min*(Uн_лин*1000/SQRT(3))/(DQ342+2*ρкз_Cu*_xlpm.L_/_xlpm.sz)&gt;=GY342*_xlpm.inn),0)),_xlpm.ok,IFERROR((_xlpm.sz&gt;=_xlpm.smin)*(_xlpm.t_&gt;=_xlpm.inn)*IF(_xlpm.L_&gt;0,(_xlpm.du_+DP342&lt;=DV342+0.00001),1)*_xlpm.kz,0),_xlpm.r_,_xlfn._xlws.FILTER(_xlpm.sz,_xlpm.ok,"не подобрано"),INDEX(_xlpm.r_,1)))</f>
        <v>1.5</v>
      </c>
      <c r="DX342">
        <f t="shared" si="663"/>
        <v>0.75</v>
      </c>
      <c r="DY342" cm="1">
        <f t="array" ref="DY342">IF(OR(B342="",BT342="",DM342&lt;&gt;1),"",_xlfn.LET(_xlpm.sz,Iдоп_S,_xlpm.t_,CHOOSE(DL342,Iдоп_1ж,Iдоп_2ж,Iдоп_3ж)*DJ342*DK342,_xlpm.ok,IFERROR((_xlpm.sz&gt;=MAX(1.5,BW342))*(_xlpm.t_&gt;=N(DD342)),0),_xlpm.r_,_xlfn._xlws.FILTER(_xlpm.sz,_xlpm.ok,""),INDEX(_xlpm.r_,1)))</f>
        <v>1.5</v>
      </c>
      <c r="DZ342" s="6" cm="1">
        <f t="array" ref="DZ342">IFERROR(ROUNDUP(N(DT342)*(_xlfn.XLOOKUP(DY342,INDEX(Кабель_сопротивление,0,1),INDEX(Кабель_сопротивление,0,3))*N(Q342)/DY342*N(BY342)+_xlfn.XLOOKUP(DY342,INDEX(Кабель_сопротивление,0,1),INDEX(Кабель_сопротивление,0,2))*N(Q342)*N(DU342)/1000)*N(P342)/((Uн_лин/SQRT(3))*1000)*100,2),"")</f>
        <v>0</v>
      </c>
      <c r="EA342">
        <f>IFERROR(2*ρкз_Cu*N(Q342)/DY342,"")</f>
        <v>0.84160000000000001</v>
      </c>
      <c r="EB342">
        <f>IFERROR(VLOOKUP(DX342,Кабель_сопротивление,3,FALSE),"")</f>
        <v>2.2499999999999999E-2</v>
      </c>
      <c r="EC342">
        <f>IFERROR(VLOOKUP(DX342,Кабель_сопротивление,2,FALSE),"")</f>
        <v>0.13</v>
      </c>
      <c r="ED342">
        <f t="shared" si="664"/>
        <v>19</v>
      </c>
      <c r="EE342">
        <f t="shared" si="665"/>
        <v>5</v>
      </c>
      <c r="EF342">
        <f t="shared" si="666"/>
        <v>0</v>
      </c>
      <c r="EG342" s="6">
        <f>IFERROR(ROUNDUP(EF342/((Uн_лин/SQRT(3))*1000)*100,2),"")</f>
        <v>0</v>
      </c>
      <c r="EH342" t="str">
        <f>IFERROR(VLOOKUP(BT342,Кабель_обозначение,2,FALSE),"")</f>
        <v>МКЭШнг(A)-LS</v>
      </c>
      <c r="EI342" t="str">
        <f t="shared" si="667"/>
        <v>МКЭШнг(A)-LS (2х0,75)</v>
      </c>
      <c r="EJ342" t="str">
        <f t="shared" si="668"/>
        <v>МКЭШнг(A)-LS (2х0,75)
L=24-0%</v>
      </c>
      <c r="EK342">
        <f>IFERROR(2*ρкз_Cu*Q342/DX342,"")</f>
        <v>1.6832</v>
      </c>
      <c r="EL342">
        <f t="shared" si="669"/>
        <v>0.56000000000000005</v>
      </c>
      <c r="EM342" s="6" t="str">
        <f>IFERROR(IF(OR(B342="",NOT(ISNUMBER(DX342)),N(Q342)=0),"",_xlfn.XLOOKUP(A342,Щиты[Щит],Щиты[Zпетли на шинах, Ом])+EK342),"")</f>
        <v/>
      </c>
      <c r="EN342" s="6" t="str">
        <f>IF(ISNUMBER(EM342),c_min*(Uн_лин*1000/SQRT(3))/EM342,"")</f>
        <v/>
      </c>
      <c r="EO342" s="6" t="str">
        <f>IFERROR(IF(OR(B342="",NOT(ISNUMBER(DX342))),"",1.05*(Uн_лин*1000/SQRT(3))/(_xlfn.XLOOKUP(A342,Щиты[Щит],Щиты[Zmax на шинах, Ом])+EL342)/1000),"")</f>
        <v/>
      </c>
      <c r="EP342" s="6" t="str">
        <f>IF(B342="","",IF(ISNUMBER(Y342),"Сил",IF(IFERROR(_xlfn.XLOOKUP(AX342,Коды_код,Коды_группа)&amp;"","")="","Быт",_xlfn.XLOOKUP(AX342,Коды_код,Коды_группа)&amp;"")))</f>
        <v>Быт</v>
      </c>
      <c r="EQ342" s="6" t="str">
        <f t="shared" si="670"/>
        <v>Пост</v>
      </c>
      <c r="ER342" s="6">
        <f>IF(EQ342="Щит","щит",IF(EQ342="","",IF(EQ342="Быт",IFERROR(_xlfn.XLOOKUP(A342,Щиты[Щит],Щиты[Кс быт]),1),IF(EQ342="Сил",IF(ISNUMBER(Y342),Y342,IF(Методика="нормы 2026",IFERROR(_xlfn.XLOOKUP(A342,Щиты[Щит],Щиты[Кс силовых (табл. 7.5)]),1),1)),IF(OR(EQ342="Пост",EQ342="Отоп"),1,IF(EQ342="ВНГ",0.7,0))))))</f>
        <v>1</v>
      </c>
      <c r="ES342">
        <f t="shared" si="671"/>
        <v>1</v>
      </c>
      <c r="ET342">
        <f t="shared" si="672"/>
        <v>0</v>
      </c>
      <c r="EU342">
        <f t="shared" si="673"/>
        <v>0</v>
      </c>
      <c r="EV342">
        <f t="shared" si="674"/>
        <v>0</v>
      </c>
      <c r="EW342">
        <f t="shared" si="675"/>
        <v>0</v>
      </c>
      <c r="EX342">
        <f t="shared" si="676"/>
        <v>0</v>
      </c>
      <c r="EY342">
        <f t="shared" si="677"/>
        <v>0</v>
      </c>
      <c r="EZ342">
        <f t="shared" si="678"/>
        <v>0</v>
      </c>
      <c r="FA342">
        <f t="shared" si="679"/>
        <v>0</v>
      </c>
      <c r="FB342">
        <f t="shared" si="680"/>
        <v>0</v>
      </c>
      <c r="FC342" t="str">
        <f t="shared" si="681"/>
        <v>L2</v>
      </c>
      <c r="FD342" t="str">
        <f>IF(B342="","",IF(CA342=0,IF(AW342=1,"",FF341),IF(OR(N(CV342)&gt;=3,N(BR342)&gt;=3),"L1,L2,L3",IFERROR(_xlfn.TEXTBEFORE(_xlfn.TEXTAFTER(_xlfn.XLOOKUP(A342,Щиты[Щит],Щиты[_фазы авто]),";"&amp;AW342&amp;":"),";"),"L1"))))</f>
        <v>L1</v>
      </c>
      <c r="FE342" t="str">
        <f t="shared" si="682"/>
        <v>L2</v>
      </c>
      <c r="FF342" t="str">
        <f t="shared" si="683"/>
        <v>L2</v>
      </c>
      <c r="FG342" cm="1">
        <f t="array" ref="FG342">IFERROR(IF(BX342=2,_xlfn.IFS(BR342=3,VLOOKUP(BN342,Справочная_двигатели,3,FALSE),BR342=1,VLOOKUP(BN342,Справочная_двигатели,5,TRUE)),0),0)</f>
        <v>0</v>
      </c>
      <c r="FH342">
        <f>IFERROR(IF(BX342=3,VLOOKUP(BN342,Справочная_ЛЭД,2,TRUE),0),0)</f>
        <v>0</v>
      </c>
      <c r="FI342" s="6">
        <f t="shared" si="684"/>
        <v>0</v>
      </c>
      <c r="FJ342" t="str" cm="1">
        <f t="array" ref="FJ342">IF(B342="","",IFERROR(INDEX({"I особая","I","II","III"},MATCH(TRIM(AC342&amp;""),{"I особая","I","II","III"},0)),"III"))</f>
        <v>II</v>
      </c>
      <c r="FK342" t="str">
        <f>IF(B342="","",IF(TRIM(AD342&amp;"")&lt;&gt;"",IF(LOWER(TRIM(AD342&amp;""))="да","да","нет"),IF(IFERROR(_xlfn.XLOOKUP(AX342,Коды_код,Коды_пожарная),"")="да","да","нет")))</f>
        <v>нет</v>
      </c>
      <c r="FL342" t="str">
        <f t="shared" si="685"/>
        <v/>
      </c>
      <c r="FM342" t="str">
        <f t="shared" si="686"/>
        <v>основная</v>
      </c>
      <c r="FN342">
        <f t="shared" si="687"/>
        <v>1</v>
      </c>
      <c r="FO342" t="str" cm="1">
        <f t="array" ref="FO342">IF(B342="","",_xlfn.LET(_xlpm.t,IFERROR(_xlfn.XLOOKUP(1,(Шины[Шина]=FM342)*(((Шины[Щит]=A342)+(Шины[Щит]=""))&gt;0),Шины[Тип]),"")&amp;"",IF(_xlpm.t&lt;&gt;"",_xlpm.t,IF(ISNUMBER(SEARCH("ИБП",FM342)),"ИБП",IF(ISNUMBER(SEARCH("ДГУ",FM342)),"ДГУ","Ввод "&amp;FN342)))))</f>
        <v>Ввод 1</v>
      </c>
      <c r="FP342" t="str">
        <f t="shared" si="688"/>
        <v>Ввод 1</v>
      </c>
      <c r="FQ342" t="str">
        <f>IF(B342="","",IF(OR(FO342="ИБП",FO342="ДГУ"),"I особая",IF(FO342="Одиночная","III",_xlfn.XLOOKUP(A342,Щиты[Щит],Щиты[Категория шины «Ввод»],"III"))))</f>
        <v>II</v>
      </c>
      <c r="FR342">
        <f>IF(B342="",0,IFERROR(MATCH(FJ342,{"III","II","I","I особая"},0),1))</f>
        <v>2</v>
      </c>
      <c r="FS342">
        <f t="shared" si="689"/>
        <v>2</v>
      </c>
      <c r="FT342" t="str">
        <f>IF(B342="","",IF(FR342&gt;IFERROR(MATCH(FQ342,{"III","II","I","I особая"},0),1),"НЕ ОБЕСПЕЧЕНА","ОК"))</f>
        <v>ОК</v>
      </c>
      <c r="FU342" t="str">
        <f>IF(A342="","",_xlfn.XLOOKUP(A342,Щиты[Щит],Щиты[Путь],""))</f>
        <v>|ГРЩ-ЖД|ЩУОВ|</v>
      </c>
      <c r="FV342" t="str">
        <f>IF(B342="","",IF(AE342&lt;&gt;"",AE342,IF(IFERROR(_xlfn.XLOOKUP(AX342,Коды_код,Коды_вид)&amp;"","")="","Прочее",_xlfn.XLOOKUP(AX342,Коды_код,Коды_вид)&amp;"")))</f>
        <v>Обогрев водостоков и кровли</v>
      </c>
      <c r="FW342">
        <f>IF(BH342="","",INT((BH342-1)/Столбцов_на_лист)+1)</f>
        <v>2</v>
      </c>
      <c r="FX342" t="str">
        <f t="shared" si="690"/>
        <v>МКЭШнг(A)-LS (2х0,75) L=24-0%</v>
      </c>
      <c r="FY342">
        <f t="shared" si="691"/>
        <v>0</v>
      </c>
      <c r="FZ342">
        <f t="shared" si="692"/>
        <v>0</v>
      </c>
      <c r="GA342">
        <f t="shared" si="693"/>
        <v>1</v>
      </c>
      <c r="GB342">
        <f t="shared" si="694"/>
        <v>0</v>
      </c>
      <c r="GC342">
        <f t="shared" si="695"/>
        <v>1</v>
      </c>
      <c r="GD342">
        <f>IF(BH342="","",IF(AND(CA342=1,GC342=1),COUNTIFS(A$3:A342,A342,CA$3:CA342,1,GC$3:GC342,1),IF(OR(OR(AW342=1,A342&lt;&gt;A341),AF342="вручную",GC342=0),"",IF(AW342=1,"",GE341))))</f>
        <v>1</v>
      </c>
      <c r="GE342">
        <f t="shared" si="696"/>
        <v>1</v>
      </c>
      <c r="GF342" t="str">
        <f>IF(B342="","",IFERROR(LOOKUP(INDEX(CHOOSE(DL342,Iдоп_1ж,Iдоп_2ж,Iдоп_3ж),MATCH(DX342,Iдоп_S,0))*DJ342*DK342,{6,10,16,20,25,32,40,50,63,80,100,125,160,200,250,315,400,500,630}),""))</f>
        <v/>
      </c>
      <c r="GG342" t="str">
        <f t="shared" si="697"/>
        <v>QF1</v>
      </c>
      <c r="GH342" t="str">
        <f t="shared" si="698"/>
        <v>QF1</v>
      </c>
      <c r="GI342" t="str">
        <f t="shared" si="699"/>
        <v/>
      </c>
      <c r="GJ342">
        <f t="shared" si="700"/>
        <v>0</v>
      </c>
      <c r="GK342" t="str">
        <f>IF(OR(AG342="",AG342="-"),"",IFERROR(VLOOKUP(AG342,Модули_спр,2,FALSE),"R"))</f>
        <v/>
      </c>
      <c r="GL342" t="str">
        <f>IF(GK342="","",GK342&amp;"."&amp;COUNTIFS(A$3:A342,A342,GK$3:GK342,GK342))</f>
        <v/>
      </c>
      <c r="GM342" t="str">
        <f t="shared" si="701"/>
        <v/>
      </c>
      <c r="GN342" t="str">
        <f t="shared" si="702"/>
        <v/>
      </c>
      <c r="GO342" t="str">
        <f t="shared" si="703"/>
        <v/>
      </c>
      <c r="GP342" t="str">
        <f t="shared" si="704"/>
        <v/>
      </c>
      <c r="GQ342">
        <f t="shared" si="705"/>
        <v>1</v>
      </c>
      <c r="GR342" t="str">
        <f>IF(GQ342=1,"XT"&amp;COUNTIFS(A$3:A342,A342,GQ$3:GQ342,1),"")</f>
        <v>XT1</v>
      </c>
      <c r="GS342" t="str">
        <f t="shared" si="706"/>
        <v>XT1</v>
      </c>
      <c r="GT342" t="str">
        <f t="shared" si="707"/>
        <v>QF1</v>
      </c>
      <c r="GU342" t="str">
        <f t="shared" si="708"/>
        <v/>
      </c>
      <c r="GV342" t="str">
        <f t="shared" si="709"/>
        <v>ok</v>
      </c>
      <c r="GW342" t="str">
        <f>IF(OR(GO342="",GM342=""),"",IF(GO342&gt;IFERROR(VLOOKUP(GN342,Модули_спр,3,FALSE),99),"ЛИШНИЙ КАНАЛ",IF(AND(AH342&lt;&gt;"=",COUNTIFS(Линии[_модуль гр.],GM342,Линии[Канал (итог)],GO342,Линии[Канал],"&lt;&gt;=",Линии[Щит],A342)&gt;1),"ДУБЛЬ КАНАЛА","")))</f>
        <v/>
      </c>
      <c r="GX342" s="6" t="str">
        <f t="shared" si="710"/>
        <v/>
      </c>
      <c r="GY342">
        <f t="shared" si="711"/>
        <v>10</v>
      </c>
      <c r="GZ342" t="str">
        <f t="shared" si="712"/>
        <v/>
      </c>
      <c r="HA342" t="str">
        <f>IF(AND(B342="",GT342=""),"",_xlfn.TEXTJOIN("; ",TRUE,IF(AND(B342&lt;&gt;"",FE342=""),"нет фазы",""),IF(AND(B342&lt;&gt;"",N(FY342)=0,EQ342&lt;&gt;"Нет"),"нет мощности",""),IF(AND(GS342&lt;&gt;"",COUNTIFS(Линии[Щит],A342,Линии[Клемма (итог)],GS342)&gt;1),"дубль клеммы "&amp;GS342,""),IF(AND(GV342&lt;&gt;"",GV342&lt;&gt;"ok"),GV342,""),IF(GW342&lt;&gt;"",GW342,""),IF(AND(N(BV342)&gt;=4,N(BR342)=1),BV342&amp;" жил на 1 фазе",""),IF(AND(AX342="R",CA342=1,OR(N(CK342)=0,N(CK342)&gt;30)),"розетка без дифзащиты до 30 мА",""),IFERROR(IF(AND(ISNUMBER(R342),R342&gt;DV342),"потери "&amp;FIXED(R342,1)&amp;" % &gt; "&amp;DV342&amp;" %",""),""),IFERROR(IF(LEFT(GZ342,4)="мало","Iкз мало — отключение &gt; 0,4 с",""),""),IF(AND(B342&lt;&gt;"",BH342=""),"не на схеме",""),IF(AND(CA342=0,B342&lt;&gt;"",FE342&lt;&gt;"",IF(AW342=1,"",FF341)&lt;&gt;"",FE342&lt;&gt;IF(AW342=1,"",FF341)),"фаза не как у автомата группы ("&amp;IF(AW342=1,"",FF341)&amp;")","")))</f>
        <v>нет мощности</v>
      </c>
      <c r="HB342" s="6" t="str">
        <f>IF(OR(CA342=0,DA342=""),"",_xlfn.LET(_xlpm.t,IFERROR(_xlfn.XLOOKUP(DA342,Каталог!$U$4:$U$500,Каталог!$G$4:$G$500),""),_xlpm.k,SEARCH("кА",_xlpm.t),IFERROR(--TRIM(RIGHT(SUBSTITUTE(MID(_xlpm.t,MAX(1,_xlpm.k-4),_xlpm.k-MAX(1,_xlpm.k-4))," ",REPT(" ",9)),5)),"")))</f>
        <v/>
      </c>
      <c r="HC342" t="str">
        <f>IF(OR(HB342="",CA342=0),"",IF(_xlfn.XLOOKUP(A342,Щиты[Щит],Щиты[Iкз max на шинах, кА],"")="","",IF(HB342&lt;_xlfn.XLOOKUP(A342,Щиты[Щит],Щиты[Iкз max на шинах, кА]),"Icu "&amp;HB342&amp;" кА &lt; Iкз max","ok")))</f>
        <v/>
      </c>
      <c r="HD342" t="str">
        <f t="shared" si="713"/>
        <v/>
      </c>
      <c r="HE342" t="str">
        <f t="shared" si="714"/>
        <v>QF1|XT1</v>
      </c>
      <c r="HF342" t="str">
        <f t="shared" si="715"/>
        <v xml:space="preserve">QF1|XT1|кабель МКЭШнг(A)-LS (2х0,75) → </v>
      </c>
      <c r="HG342" t="str" cm="1">
        <f t="array" ref="HG342">IF(HF342="","",_xlfn.LET(_xlpm.nd,_xlfn.TEXTSPLIT(HF342,"|"),IF(COLUMNS(_xlpm.nd)&gt;1,A342&amp;"¦"&amp;INDEX(_xlpm.nd,1)&amp;"¦"&amp;INDEX(_xlpm.nd,2),"")))</f>
        <v>ЩУОВ¦QF1¦XT1</v>
      </c>
      <c r="HH342" t="str">
        <f t="shared" si="716"/>
        <v>DW.1¦</v>
      </c>
      <c r="HI342" t="str" cm="1">
        <f t="array" ref="HI342">IF(HF342="","",_xlfn.LET(_xlpm.nd,_xlfn.TEXTSPLIT(HF342,"|"),IF(COLUMNS(_xlpm.nd)&gt;2,A342&amp;"¦"&amp;INDEX(_xlpm.nd,2)&amp;"¦"&amp;INDEX(_xlpm.nd,3),"")))</f>
        <v xml:space="preserve">ЩУОВ¦XT1¦кабель МКЭШнг(A)-LS (2х0,75) → </v>
      </c>
      <c r="HJ342" t="str">
        <f t="shared" si="717"/>
        <v>DW.1¦</v>
      </c>
      <c r="HK342" t="str" cm="1">
        <f t="array" ref="HK342">IF(HF342="","",_xlfn.LET(_xlpm.nd,_xlfn.TEXTSPLIT(HF342,"|"),IF(COLUMNS(_xlpm.nd)&gt;3,A342&amp;"¦"&amp;INDEX(_xlpm.nd,3)&amp;"¦"&amp;INDEX(_xlpm.nd,4),"")))</f>
        <v/>
      </c>
      <c r="HL342" t="str">
        <f t="shared" si="718"/>
        <v/>
      </c>
      <c r="HM342" t="str" cm="1">
        <f t="array" ref="HM342">IF(HF342="","",_xlfn.LET(_xlpm.nd,_xlfn.TEXTSPLIT(HF342,"|"),IF(COLUMNS(_xlpm.nd)&gt;4,A342&amp;"¦"&amp;INDEX(_xlpm.nd,4)&amp;"¦"&amp;INDEX(_xlpm.nd,5),"")))</f>
        <v/>
      </c>
      <c r="HN342" t="str">
        <f t="shared" si="719"/>
        <v/>
      </c>
      <c r="HO342" t="str" cm="1">
        <f t="array" ref="HO342">IF(HF342="","",_xlfn.LET(_xlpm.nd,_xlfn.TEXTSPLIT(HF342,"|"),IF(COLUMNS(_xlpm.nd)&gt;5,A342&amp;"¦"&amp;INDEX(_xlpm.nd,5)&amp;"¦"&amp;INDEX(_xlpm.nd,6),"")))</f>
        <v/>
      </c>
      <c r="HP342" t="str">
        <f t="shared" si="720"/>
        <v/>
      </c>
      <c r="HQ342" t="str" cm="1">
        <f t="array" ref="HQ342">IF(HF342="","",_xlfn.LET(_xlpm.nd,_xlfn.TEXTSPLIT(HF342,"|"),IF(COLUMNS(_xlpm.nd)&gt;6,A342&amp;"¦"&amp;INDEX(_xlpm.nd,6)&amp;"¦"&amp;INDEX(_xlpm.nd,7),"")))</f>
        <v/>
      </c>
      <c r="HR342" t="str">
        <f t="shared" si="721"/>
        <v/>
      </c>
      <c r="HS342" t="str">
        <f t="shared" si="722"/>
        <v/>
      </c>
      <c r="HT342" t="str">
        <f t="shared" si="723"/>
        <v>QF1 → XT1</v>
      </c>
      <c r="HU342">
        <f t="shared" si="724"/>
        <v>0</v>
      </c>
      <c r="HV342">
        <f t="shared" si="725"/>
        <v>0</v>
      </c>
      <c r="HW342" t="str">
        <f t="shared" si="726"/>
        <v/>
      </c>
      <c r="HX342" t="str">
        <f t="shared" si="727"/>
        <v/>
      </c>
      <c r="HY342" t="str">
        <f t="shared" si="728"/>
        <v/>
      </c>
      <c r="HZ342" t="str">
        <f t="shared" si="729"/>
        <v/>
      </c>
      <c r="IA342" t="str">
        <f>IF(B342="","",IFERROR(VLOOKUP(B342,УГО_спр,2,FALSE),IFERROR(VLOOKUP(AX342,УГО_спр,2,FALSE),IFERROR(VLOOKUP(LEFT(AX342,2),УГО_спр,2,FALSE),""))))</f>
        <v/>
      </c>
      <c r="IB342" t="str">
        <f>IF(B342="","",IF(OR(IA342="",IA342=0),"BOX",IFERROR(IF(VLOOKUP(IA342,УГО_блоки,3,FALSE)&amp;""&lt;&gt;"",VLOOKUP(IA342,УГО_блоки,3,FALSE),VLOOKUP(IA342,УГО_блоки,2,FALSE)),IA342)))</f>
        <v>BOX</v>
      </c>
      <c r="IC342">
        <f t="shared" si="730"/>
        <v>1</v>
      </c>
      <c r="ID342" t="str">
        <f>IF(DA342="","",IF(COUNTIF(DA$3:DA342,DA342)=1,MAX(ID$2:ID341)+1,""))</f>
        <v/>
      </c>
      <c r="IE342" t="str">
        <f>IF(CO342="","",IF(COUNTIF(CO$3:CO342,CO342)+COUNTIF(CP$2:CP341,CO342)+COUNTIF(CQ$2:CQ341,CO342)=1,MAX(IE$2:IG341)+1,""))</f>
        <v/>
      </c>
      <c r="IF342" t="str">
        <f>IF(CP342="","",IF(COUNTIF(CO$3:CO342,CP342)+COUNTIF(CP$3:CP342,CP342)+COUNTIF(CQ$2:CQ341,CP342)=1,MAX(IE$2:IG341,IE342)+1,""))</f>
        <v/>
      </c>
      <c r="IG342" t="str">
        <f>IF(CQ342="","",IF(COUNTIF(CO$3:CO342,CQ342)+COUNTIF(CP$3:CP342,CQ342)+COUNTIF(CQ$3:CQ342,CQ342)=1,MAX(IE$2:IG341,IE342,IF342)+1,""))</f>
        <v/>
      </c>
      <c r="IH342" t="str">
        <f t="shared" si="731"/>
        <v>2х0,75</v>
      </c>
      <c r="II342">
        <f>IF(IH342="","",IF(COUNTIF(IH$3:IH342,IH342)=1,MAX(II$2:II341)+1,""))</f>
        <v>14</v>
      </c>
      <c r="IJ342" t="str">
        <f>IF(GL342="","",COUNTIF(GL$3:GL342,"?*"))</f>
        <v/>
      </c>
      <c r="IK342" t="str">
        <f>IF(OR(GL342="",GN342=""),"",IF(COUNTIFS(GL$3:GL342,"?*",GN$3:GN342,GN342)=1,MAX(IK$2:IK341)+1,""))</f>
        <v/>
      </c>
      <c r="IL342">
        <f t="shared" si="732"/>
        <v>1</v>
      </c>
      <c r="IM342">
        <f>IF(B342="","",COUNTIF(B$3:B342,"?*"))</f>
        <v>340</v>
      </c>
      <c r="IN342">
        <f>IF(GQ342&lt;&gt;1,0,_xlfn.LET(_xlpm.k,MAX(IFERROR(--VLOOKUP(B342,УГО_спр,5,FALSE),0),IFERROR(--VLOOKUP(AX342,УГО_спр,5,FALSE),0),IFERROR(--VLOOKUP(LEFT(AX342,2),УГО_спр,5,FALSE),0)),IF(_xlpm.k&gt;0,_xlpm.k,IF(IFERROR(--LEFT(SUBSTITUTE(IH342,"x","х"),FIND("х",SUBSTITUTE(IH342,"x","х"))-1),3)&gt;3,Каталог!$S$9,1))))</f>
        <v>1</v>
      </c>
      <c r="IO342">
        <f t="shared" si="733"/>
        <v>0</v>
      </c>
      <c r="IP342" t="str">
        <f t="shared" si="734"/>
        <v>авто</v>
      </c>
      <c r="IQ342" t="str">
        <f t="shared" si="735"/>
        <v/>
      </c>
      <c r="IR342">
        <f t="shared" si="736"/>
        <v>0</v>
      </c>
      <c r="IS342">
        <f t="shared" si="737"/>
        <v>1</v>
      </c>
    </row>
    <row r="343" spans="1:253" x14ac:dyDescent="0.3">
      <c r="A343" t="s">
        <v>771</v>
      </c>
      <c r="B343" t="s">
        <v>1600</v>
      </c>
      <c r="C343" t="str">
        <f>Линии[[#This Row],[_авто наименование]]</f>
        <v/>
      </c>
      <c r="D343">
        <v>1</v>
      </c>
      <c r="E343">
        <v>0</v>
      </c>
      <c r="G343" t="str">
        <f>Линии[[#This Row],[_авто автомат]]</f>
        <v>1P С6А</v>
      </c>
      <c r="H343" t="str">
        <f>Линии[[#This Row],[_авто утечка]]</f>
        <v/>
      </c>
      <c r="I343" t="str">
        <f>Линии[[#This Row],[_авто управление]]</f>
        <v/>
      </c>
      <c r="J343" t="str">
        <f>Линии[[#This Row],[_авто аппараты]]</f>
        <v/>
      </c>
      <c r="K343">
        <v>0.75</v>
      </c>
      <c r="L343">
        <v>19</v>
      </c>
      <c r="M343">
        <v>2</v>
      </c>
      <c r="N343" t="str">
        <f>Линии[[#This Row],[_авто клемма]]</f>
        <v>XT2</v>
      </c>
      <c r="O343" t="str">
        <f t="shared" si="615"/>
        <v>нет мощности</v>
      </c>
      <c r="P343" s="6" cm="1">
        <f t="array" ref="P343">IF(B343="","",IF(BC343&lt;&gt;"",IFERROR(_xlfn.XLOOKUP(BC343,Щиты[Щит],Щиты[Iр, А]),""),IF(BK343=1,IFERROR(_xlfn.XLOOKUP(A343,Щиты[Щит],Щиты[Iр, А]),""),IFERROR(_xlfn.IFS(BR343=1,BN343/((Uн_лин/SQRT(3))*BY343),BR343=3,BN343/(SQRT(3)*Uн_лин*BY343)),""))))</f>
        <v>0</v>
      </c>
      <c r="Q343" s="7">
        <f>IF(B343="","",IFERROR(IF(VLOOKUP(AX343,Потребители_обозначение,4,FALSE)=1,VLOOKUP(AX343,Потребители_обозначение,3,FALSE)*(D343*2-1)+DS343+VLOOKUP(AZ343,Этаж_обозначение,3,FALSE)+VLOOKUP(AZ343,Этаж_обозначение,4,FALSE),VLOOKUP(AX343,Потребители_обозначение,3,FALSE)*(D343*2-1)+DS343),DS343))</f>
        <v>19</v>
      </c>
      <c r="R343" s="6">
        <f t="shared" si="616"/>
        <v>2.4899999999999998</v>
      </c>
      <c r="S343" t="str">
        <f t="shared" si="617"/>
        <v>МКЭШнг(A)-LS (2х0,75)</v>
      </c>
      <c r="T343" t="str">
        <f>IF(BH343="","",IF(BI343="вводной узел","узел ","")&amp;"л."&amp;(INT((BH343-1)/Столбцов_на_лист)+1)&amp;" / "&amp;(MOD(BH343-1,Столбцов_на_лист)+1))</f>
        <v>л.2 / 2</v>
      </c>
      <c r="V343">
        <v>1</v>
      </c>
      <c r="W343">
        <v>0</v>
      </c>
      <c r="X343" t="s">
        <v>575</v>
      </c>
      <c r="AC343" t="s">
        <v>815</v>
      </c>
      <c r="AE343" t="s">
        <v>611</v>
      </c>
      <c r="AI343">
        <v>19</v>
      </c>
      <c r="AJ343" t="s">
        <v>603</v>
      </c>
      <c r="AK343">
        <v>2</v>
      </c>
      <c r="AN343">
        <v>9</v>
      </c>
      <c r="AO343">
        <v>10</v>
      </c>
      <c r="AW343" cm="1">
        <f t="array" ref="AW343">ROW()-ROW(Линии[#Headers])</f>
        <v>341</v>
      </c>
      <c r="AX343" s="6" t="str">
        <f t="shared" si="618"/>
        <v>DT</v>
      </c>
      <c r="AY343" t="str">
        <f t="shared" si="619"/>
        <v>1</v>
      </c>
      <c r="AZ343" t="str">
        <f t="shared" si="620"/>
        <v>1</v>
      </c>
      <c r="BA343" t="str">
        <f t="shared" si="621"/>
        <v/>
      </c>
      <c r="BB343" t="str">
        <f t="shared" si="622"/>
        <v/>
      </c>
      <c r="BC343" t="str">
        <f>IF(U343&lt;&gt;"",U343,IF(AND(B343&lt;&gt;"",B343&lt;&gt;A343,ISNUMBER(_xlfn.XMATCH(B343,Щиты[Щит]))),B343,""))</f>
        <v/>
      </c>
      <c r="BD343" t="str" cm="1">
        <f t="array" ref="BD343">IF(B343="","",IF(BC343&lt;&gt;"","Щит "&amp;BC343,_xlfn.LET(_xlpm.nm,IFERROR(_xlfn.XLOOKUP(AX343,Коды_код,Коды_имя)&amp;"",""),_xlpm.md,IFERROR(N(_xlfn.XLOOKUP(AX343,Коды_код,Коды_режим)),1),_xlpm.ex,IF(Имя_режим="по экспликации",IFERROR(_xlfn.XLOOKUP(AZ343&amp;"|"&amp;BB343,Экспликация[Этаж]&amp;"|"&amp;Экспликация[Помещение],Экспликация[Название])&amp;"",""),""),_xlpm.rm,IF(BB343="","",IF(_xlpm.ex&lt;&gt;"",". "&amp;_xlpm.ex&amp;IF(Имя_пом="нет"," ("&amp;BB343&amp;")"," (пом. "&amp;BB343&amp;")"),IF(Имя_пом="нет"," ",", пом. ")&amp;BB343)),IF(_xlpm.nm="","",IF(_xlpm.md=2,_xlpm.nm&amp;" шлейф "&amp;AZ343,_xlpm.nm&amp;_xlpm.rm)))))</f>
        <v/>
      </c>
      <c r="BE343" t="str">
        <f t="shared" si="623"/>
        <v/>
      </c>
      <c r="BF343">
        <f>IFERROR(_xlfn.XMATCH(A343,Щиты[Щит]),0)</f>
        <v>17</v>
      </c>
      <c r="BG343">
        <f>_xlfn.LET(_xlpm.k,IFERROR(_xlfn.XLOOKUP(A343,Щиты[Щит],Щиты[Листов под вводной узел]),""),IF(_xlpm.k="",1,N(_xlpm.k))*Столбцов_на_лист)</f>
        <v>17</v>
      </c>
      <c r="BH343">
        <f t="shared" si="624"/>
        <v>19</v>
      </c>
      <c r="BI343" t="str">
        <f t="shared" si="625"/>
        <v>линии</v>
      </c>
      <c r="BJ343" s="6">
        <f>IFERROR(N(_xlfn.XLOOKUP(AX343,Коды_код,Коды_квт)),0)</f>
        <v>0</v>
      </c>
      <c r="BK343">
        <f t="shared" si="626"/>
        <v>0</v>
      </c>
      <c r="BL343" t="str">
        <f>IF(B343="","",IF(BC343&lt;&gt;"",IFERROR(_xlfn.XLOOKUP(BC343,Щиты[Щит],Щиты[Руст, кВт]),0),IF(BK343=1,IFERROR(_xlfn.XLOOKUP(A343,Щиты[Щит],Щиты[Руст, кВт]),0),IF(BJ343&gt;0,ROUND(BJ343*MAX(1,N(D343)),3),""))))</f>
        <v/>
      </c>
      <c r="BM343">
        <f t="shared" si="627"/>
        <v>0</v>
      </c>
      <c r="BN343" s="6">
        <f>IF(B343="","",IF(BC343&lt;&gt;"",IFERROR(_xlfn.XLOOKUP(BC343,Щиты[Щит],Щиты[Руст, кВт]),0),N(BM343)))</f>
        <v>0</v>
      </c>
      <c r="BO343" t="str">
        <f>IF(B343="","",IFERROR(IF(VLOOKUP(AX343,Потребители_обозначение,8,FALSE)=0,"",VLOOKUP(AX343,Потребители_обозначение,8,FALSE)),""))</f>
        <v/>
      </c>
      <c r="BP343">
        <f t="shared" si="628"/>
        <v>0</v>
      </c>
      <c r="BQ343">
        <f>IF(B343="","",IF(BC343&lt;&gt;"",3,IFERROR(IF(N(VLOOKUP(AX343,Потребители_обозначение,9,FALSE))=0,1,VLOOKUP(AX343,Потребители_обозначение,9,FALSE)),1)))</f>
        <v>1</v>
      </c>
      <c r="BR343">
        <f t="shared" si="629"/>
        <v>1</v>
      </c>
      <c r="BS343" t="str">
        <f>IF(B343="","",_xlfn.LET(_xlpm.bc,IFERROR(IF(VLOOKUP(AX343,Потребители_обозначение,6,FALSE)=0,"",VLOOKUP(AX343,Потребители_обозначение,6,FALSE)&amp;""),""),IF(AND(FK343="да",OR(_xlpm.bc="",_xlpm.bc="мс")),Марка_пож,IF(AND(_xlpm.bc="",BC343&lt;&gt;""),"мс",_xlpm.bc))))</f>
        <v/>
      </c>
      <c r="BT343" t="str">
        <f t="shared" si="630"/>
        <v>эк</v>
      </c>
      <c r="BU343">
        <f>IF(B343="","",_xlfn.LET(_xlpm.cc,IFERROR(N(VLOOKUP(AX343,Потребители_обозначение,7,FALSE)),0),IF(_xlpm.cc&gt;0,_xlpm.cc,IF(BT343="","",IF(N(BR343)=3,5,3)))))</f>
        <v>3</v>
      </c>
      <c r="BV343">
        <f t="shared" si="631"/>
        <v>2</v>
      </c>
      <c r="BW343">
        <f>IFERROR(N(VLOOKUP(AX343,Потребители_обозначение,10,FALSE)),0)</f>
        <v>0</v>
      </c>
      <c r="BX343">
        <f>IFERROR(VLOOKUP(AX343,Потребители_обозначение,5,FALSE),0)</f>
        <v>0</v>
      </c>
      <c r="BY343" s="6" cm="1">
        <f t="array" ref="BY343">IF(B343="","",IF(BC343&lt;&gt;"",IFERROR(_xlfn.XLOOKUP(BC343,Щиты[Щит],Щиты[cos φ]),0.95),IF(BK343=1,IFERROR(_xlfn.XLOOKUP(A343,Щиты[Щит],Щиты[cos φ]),0.95),IF(ISNUMBER(Z343),Z343,IFERROR(IF(BX343=2,_xlfn.IFS(BR343=3,VLOOKUP(BN343,Справочная_двигатели,8,FALSE),BR343=1,VLOOKUP(BN343,Справочная_двигатели,10,TRUE)),IF(AND(Методика="нормы 2026",EQ343="Сил"),0.8,0.95)),0.95)))))</f>
        <v>0.95</v>
      </c>
      <c r="BZ343">
        <f t="shared" si="632"/>
        <v>0</v>
      </c>
      <c r="CA343">
        <f t="shared" si="633"/>
        <v>1</v>
      </c>
      <c r="CB343">
        <f t="shared" si="634"/>
        <v>0</v>
      </c>
      <c r="CC343">
        <f t="shared" si="635"/>
        <v>0</v>
      </c>
      <c r="CD343">
        <f t="shared" si="636"/>
        <v>0</v>
      </c>
      <c r="CE343">
        <f t="shared" si="637"/>
        <v>0</v>
      </c>
      <c r="CF343">
        <f t="shared" si="638"/>
        <v>0</v>
      </c>
      <c r="CG343">
        <f>IF(AX343="",0,_xlfn.LET(_xlpm.v,IFERROR(VLOOKUP(B343,УГО_спр,3,FALSE),IFERROR(VLOOKUP(AX343,УГО_спр,3,FALSE),IFERROR(VLOOKUP(LEFT(AX343,2),УГО_спр,3,FALSE),""))),IF(_xlpm.v="да",30,IF(ISNUMBER(_xlpm.v),_xlpm.v,0))))</f>
        <v>0</v>
      </c>
      <c r="CH343" t="str">
        <f t="shared" si="639"/>
        <v/>
      </c>
      <c r="CI343" t="str">
        <f>_xlfn.LET(_xlpm.k,IFERROR(_xlfn.XLOOKUP(AX343,Коды_код,Коды_утечка)&amp;"",""),IF(_xlpm.k="","дифавтомат",_xlpm.k))</f>
        <v>дифавтомат</v>
      </c>
      <c r="CJ343">
        <f t="shared" si="640"/>
        <v>0</v>
      </c>
      <c r="CK343">
        <f t="shared" si="641"/>
        <v>0</v>
      </c>
      <c r="CL343">
        <f>IF(B343="",0,IFERROR(--VLOOKUP(B343,УГО_спр,4,FALSE),IFERROR(--VLOOKUP(AX343,УГО_спр,4,FALSE),IFERROR(--VLOOKUP(LEFT(AX343,2),УГО_спр,4,FALSE),0))))</f>
        <v>0</v>
      </c>
      <c r="CM343" t="str">
        <f>IF(B343="","",IFERROR(_xlfn.XLOOKUP(AX343,Коды_код,Коды_апп)&amp;"",""))</f>
        <v/>
      </c>
      <c r="CN343" t="str">
        <f t="shared" si="642"/>
        <v/>
      </c>
      <c r="CO343" t="str" cm="1">
        <f t="array" ref="CO343">IF(TRIM(CN343&amp;"")="","",IFERROR(TRIM(INDEX(_xlfn.TEXTSPLIT(CN343&amp;";;;",";"),1)),""))</f>
        <v/>
      </c>
      <c r="CP343" t="str" cm="1">
        <f t="array" ref="CP343">IF(TRIM(CN343&amp;"")="","",IFERROR(TRIM(INDEX(_xlfn.TEXTSPLIT(CN343&amp;";;;",";"),2)),""))</f>
        <v/>
      </c>
      <c r="CQ343" t="str" cm="1">
        <f t="array" ref="CQ343">IF(TRIM(CN343&amp;"")="","",IFERROR(TRIM(INDEX(_xlfn.TEXTSPLIT(CN343&amp;";;;",";"),3)),""))</f>
        <v/>
      </c>
      <c r="CR343">
        <f t="shared" si="643"/>
        <v>0</v>
      </c>
      <c r="CS343" t="str">
        <f>IF(B343="","",_xlfn.LET(_xlpm.t,LOWER(AV343&amp;""),IF(ISNUMBER(SEARCH("dim",_xlpm.t)),"DIM",IF(ISNUMBER(SEARCH("dali",_xlpm.t)),"DALI",IF(OR(ISNUMBER(SEARCH("relay",_xlpm.t)),ISNUMBER(SEARCH("реле",_xlpm.t))),"Relay",IF(ISNUMBER(SEARCH("кнопк",_xlpm.t)),"",IFERROR(_xlfn.XLOOKUP(AX343,Коды_код,Коды_упр)&amp;"","")))))))</f>
        <v/>
      </c>
      <c r="CT343" t="str">
        <f t="shared" si="644"/>
        <v/>
      </c>
      <c r="CU343">
        <f>IF(B343="","",_xlfn.LET(_xlpm.ig,N(P343)+IF(AF343="вручную",0,N(CB343)),_xlpm.n0,IFERROR(VLOOKUP(_xlpm.ig,Автомат_номиналы,2,TRUE),0),_xlpm.mn,MAX(CL343,IF(AF343="вручную",0,N(CE343))),MAX(_xlpm.n0,_xlpm.mn,IF(CR343=1,Мин_автомат_БП,0))))</f>
        <v>6</v>
      </c>
      <c r="CV343">
        <f t="shared" si="645"/>
        <v>1</v>
      </c>
      <c r="CW343" t="str">
        <f t="shared" si="646"/>
        <v>1P</v>
      </c>
      <c r="CX343" t="str">
        <f>_xlfn.LET(_xlpm.cc,UPPER(TRIM(IFERROR(_xlfn.XLOOKUP(AX343,Коды_код,Коды_хар)&amp;"",""))),IF(OR(_xlpm.cc="B",_xlpm.cc="В"),"B",IF(_xlpm.cc="D","D","С")))</f>
        <v>С</v>
      </c>
      <c r="CY343" t="str">
        <f t="shared" si="647"/>
        <v>1P С6А</v>
      </c>
      <c r="CZ343" t="str">
        <f t="shared" si="648"/>
        <v>1P С6А</v>
      </c>
      <c r="DA343" t="str">
        <f t="shared" si="649"/>
        <v>1P С6А</v>
      </c>
      <c r="DB343" cm="1">
        <f t="array" ref="DB343">IF(DA343="","",_xlfn.LET(_xlpm.t,SUBSTITUTE(SUBSTITUTE(SUBSTITUTE(UPPER(DA343),"С","C"),"А","A"),"В","B"),_xlpm.tk,_xlfn.TEXTSPLIT(_xlpm.t,"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343" t="str">
        <f t="shared" si="650"/>
        <v>ok</v>
      </c>
      <c r="DD343">
        <f t="shared" si="651"/>
        <v>6</v>
      </c>
      <c r="DE343" t="str">
        <f t="shared" si="652"/>
        <v>1P С6А</v>
      </c>
      <c r="DF343">
        <f t="shared" si="653"/>
        <v>0</v>
      </c>
      <c r="DG343">
        <f t="shared" si="654"/>
        <v>0</v>
      </c>
      <c r="DH343">
        <f t="shared" si="655"/>
        <v>0</v>
      </c>
      <c r="DI343">
        <f t="shared" si="656"/>
        <v>0</v>
      </c>
      <c r="DJ343">
        <f t="shared" si="657"/>
        <v>1</v>
      </c>
      <c r="DK343">
        <f>IF(ISNUMBER(AL343),AL343,К_прокл)</f>
        <v>1</v>
      </c>
      <c r="DL343">
        <f t="shared" si="658"/>
        <v>2</v>
      </c>
      <c r="DM343">
        <f>IFERROR(N(VLOOKUP(BT343,Кабель_обозначение,3,FALSE)),1)</f>
        <v>1</v>
      </c>
      <c r="DN343">
        <f>IFERROR(N(_xlfn.XLOOKUP(A343,Щиты[Щит],Щиты[ΔU до шин, %])),0)</f>
        <v>2.4899999999999998</v>
      </c>
      <c r="DO343" t="str">
        <f>IFERROR(_xlfn.XLOOKUP(A343,Щиты[Щит],Щиты[Zпетли на шинах, Ом]),"")</f>
        <v/>
      </c>
      <c r="DP343">
        <f>IFERROR(N(_xlfn.XLOOKUP(A343,Щиты[Щит],Щиты[ΔU до шин (подбор), %])),0)</f>
        <v>3.73</v>
      </c>
      <c r="DQ343" t="str">
        <f>IFERROR(_xlfn.XLOOKUP(A343,Щиты[Щит],Щиты[Zпетли на шинах (подбор), Ом]),"")</f>
        <v/>
      </c>
      <c r="DR343" t="str">
        <f t="shared" si="659"/>
        <v/>
      </c>
      <c r="DS343">
        <f t="shared" si="660"/>
        <v>19</v>
      </c>
      <c r="DT343">
        <f t="shared" si="661"/>
        <v>2</v>
      </c>
      <c r="DU343">
        <f t="shared" si="662"/>
        <v>0.31</v>
      </c>
      <c r="DV343" s="6">
        <f>IF(B343="","",IF(IFERROR(VLOOKUP(AX343,УГО_спр,2,FALSE),"")="Светильник",3,4)+IF(Методика="нормы 2026",MIN(0.5,MAX(0,N(Q343)-100)*0.005),0))</f>
        <v>4</v>
      </c>
      <c r="DW343" cm="1">
        <f t="array" ref="DW343">IF(OR(B343="",BT343="",DM343&lt;&gt;1),"",_xlfn.LET(_xlpm.sz,Iдоп_S,_xlpm.t_,CHOOSE(DL343,Iдоп_1ж,Iдоп_2ж,Iдоп_3ж)*DJ343*DK343,_xlpm.inn,N(DD343),_xlpm.smin,MAX(1.5,BW343),_xlpm.L_,N(Q343)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343)*(_xlpm.rho*_xlpm.L_/_xlpm.sz*N(BY343)+_xlpm.xx*_xlpm.L_*N(DU343)/1000)*N(P343)/((Uн_лин/SQRT(3))*1000)*100,999),_xlpm.kz,IF(OR(DG343=1,NOT(ISNUMBER(DQ343)),_xlpm.L_=0,_xlpm.inn=0),1,IFERROR(--(c_min*(Uн_лин*1000/SQRT(3))/(DQ343+2*ρкз_Cu*_xlpm.L_/_xlpm.sz)&gt;=GY343*_xlpm.inn),0)),_xlpm.ok,IFERROR((_xlpm.sz&gt;=_xlpm.smin)*(_xlpm.t_&gt;=_xlpm.inn)*IF(_xlpm.L_&gt;0,(_xlpm.du_+DP343&lt;=DV343+0.00001),1)*_xlpm.kz,0),_xlpm.r_,_xlfn._xlws.FILTER(_xlpm.sz,_xlpm.ok,"не подобрано"),INDEX(_xlpm.r_,1)))</f>
        <v>1.5</v>
      </c>
      <c r="DX343">
        <f t="shared" si="663"/>
        <v>0.75</v>
      </c>
      <c r="DY343" cm="1">
        <f t="array" ref="DY343">IF(OR(B343="",BT343="",DM343&lt;&gt;1),"",_xlfn.LET(_xlpm.sz,Iдоп_S,_xlpm.t_,CHOOSE(DL343,Iдоп_1ж,Iдоп_2ж,Iдоп_3ж)*DJ343*DK343,_xlpm.ok,IFERROR((_xlpm.sz&gt;=MAX(1.5,BW343))*(_xlpm.t_&gt;=N(DD343)),0),_xlpm.r_,_xlfn._xlws.FILTER(_xlpm.sz,_xlpm.ok,""),INDEX(_xlpm.r_,1)))</f>
        <v>1.5</v>
      </c>
      <c r="DZ343" s="6" cm="1">
        <f t="array" ref="DZ343">IFERROR(ROUNDUP(N(DT343)*(_xlfn.XLOOKUP(DY343,INDEX(Кабель_сопротивление,0,1),INDEX(Кабель_сопротивление,0,3))*N(Q343)/DY343*N(BY343)+_xlfn.XLOOKUP(DY343,INDEX(Кабель_сопротивление,0,1),INDEX(Кабель_сопротивление,0,2))*N(Q343)*N(DU343)/1000)*N(P343)/((Uн_лин/SQRT(3))*1000)*100,2),"")</f>
        <v>0</v>
      </c>
      <c r="EA343">
        <f>IFERROR(2*ρкз_Cu*N(Q343)/DY343,"")</f>
        <v>0.66626666666666667</v>
      </c>
      <c r="EB343">
        <f>IFERROR(VLOOKUP(DX343,Кабель_сопротивление,3,FALSE),"")</f>
        <v>2.2499999999999999E-2</v>
      </c>
      <c r="EC343">
        <f>IFERROR(VLOOKUP(DX343,Кабель_сопротивление,2,FALSE),"")</f>
        <v>0.13</v>
      </c>
      <c r="ED343">
        <f t="shared" si="664"/>
        <v>9</v>
      </c>
      <c r="EE343">
        <f t="shared" si="665"/>
        <v>10</v>
      </c>
      <c r="EF343">
        <f t="shared" si="666"/>
        <v>0</v>
      </c>
      <c r="EG343" s="6">
        <f>IFERROR(ROUNDUP(EF343/((Uн_лин/SQRT(3))*1000)*100,2),"")</f>
        <v>0</v>
      </c>
      <c r="EH343" t="str">
        <f>IFERROR(VLOOKUP(BT343,Кабель_обозначение,2,FALSE),"")</f>
        <v>МКЭШнг(A)-LS</v>
      </c>
      <c r="EI343" t="str">
        <f t="shared" si="667"/>
        <v>МКЭШнг(A)-LS (2х0,75)</v>
      </c>
      <c r="EJ343" t="str">
        <f t="shared" si="668"/>
        <v>МКЭШнг(A)-LS (2х0,75)
L=19-0%</v>
      </c>
      <c r="EK343">
        <f>IFERROR(2*ρкз_Cu*Q343/DX343,"")</f>
        <v>1.3325333333333333</v>
      </c>
      <c r="EL343">
        <f t="shared" si="669"/>
        <v>0.44333333333333336</v>
      </c>
      <c r="EM343" s="6" t="str">
        <f>IFERROR(IF(OR(B343="",NOT(ISNUMBER(DX343)),N(Q343)=0),"",_xlfn.XLOOKUP(A343,Щиты[Щит],Щиты[Zпетли на шинах, Ом])+EK343),"")</f>
        <v/>
      </c>
      <c r="EN343" s="6" t="str">
        <f>IF(ISNUMBER(EM343),c_min*(Uн_лин*1000/SQRT(3))/EM343,"")</f>
        <v/>
      </c>
      <c r="EO343" s="6" t="str">
        <f>IFERROR(IF(OR(B343="",NOT(ISNUMBER(DX343))),"",1.05*(Uн_лин*1000/SQRT(3))/(_xlfn.XLOOKUP(A343,Щиты[Щит],Щиты[Zmax на шинах, Ом])+EL343)/1000),"")</f>
        <v/>
      </c>
      <c r="EP343" s="6" t="str">
        <f>IF(B343="","",IF(ISNUMBER(Y343),"Сил",IF(IFERROR(_xlfn.XLOOKUP(AX343,Коды_код,Коды_группа)&amp;"","")="","Быт",_xlfn.XLOOKUP(AX343,Коды_код,Коды_группа)&amp;"")))</f>
        <v>Быт</v>
      </c>
      <c r="EQ343" s="6" t="str">
        <f t="shared" si="670"/>
        <v>Пост</v>
      </c>
      <c r="ER343" s="6">
        <f>IF(EQ343="Щит","щит",IF(EQ343="","",IF(EQ343="Быт",IFERROR(_xlfn.XLOOKUP(A343,Щиты[Щит],Щиты[Кс быт]),1),IF(EQ343="Сил",IF(ISNUMBER(Y343),Y343,IF(Методика="нормы 2026",IFERROR(_xlfn.XLOOKUP(A343,Щиты[Щит],Щиты[Кс силовых (табл. 7.5)]),1),1)),IF(OR(EQ343="Пост",EQ343="Отоп"),1,IF(EQ343="ВНГ",0.7,0))))))</f>
        <v>1</v>
      </c>
      <c r="ES343">
        <f t="shared" si="671"/>
        <v>1</v>
      </c>
      <c r="ET343">
        <f t="shared" si="672"/>
        <v>0</v>
      </c>
      <c r="EU343">
        <f t="shared" si="673"/>
        <v>0</v>
      </c>
      <c r="EV343">
        <f t="shared" si="674"/>
        <v>0</v>
      </c>
      <c r="EW343">
        <f t="shared" si="675"/>
        <v>0</v>
      </c>
      <c r="EX343">
        <f t="shared" si="676"/>
        <v>0</v>
      </c>
      <c r="EY343">
        <f t="shared" si="677"/>
        <v>0</v>
      </c>
      <c r="EZ343">
        <f t="shared" si="678"/>
        <v>0</v>
      </c>
      <c r="FA343">
        <f t="shared" si="679"/>
        <v>0</v>
      </c>
      <c r="FB343">
        <f t="shared" si="680"/>
        <v>0</v>
      </c>
      <c r="FC343" t="str">
        <f t="shared" si="681"/>
        <v>L2</v>
      </c>
      <c r="FD343" t="str">
        <f>IF(B343="","",IF(CA343=0,IF(AW343=1,"",FF342),IF(OR(N(CV343)&gt;=3,N(BR343)&gt;=3),"L1,L2,L3",IFERROR(_xlfn.TEXTBEFORE(_xlfn.TEXTAFTER(_xlfn.XLOOKUP(A343,Щиты[Щит],Щиты[_фазы авто]),";"&amp;AW343&amp;":"),";"),"L1"))))</f>
        <v>L1</v>
      </c>
      <c r="FE343" t="str">
        <f t="shared" si="682"/>
        <v>L2</v>
      </c>
      <c r="FF343" t="str">
        <f t="shared" si="683"/>
        <v>L2</v>
      </c>
      <c r="FG343" cm="1">
        <f t="array" ref="FG343">IFERROR(IF(BX343=2,_xlfn.IFS(BR343=3,VLOOKUP(BN343,Справочная_двигатели,3,FALSE),BR343=1,VLOOKUP(BN343,Справочная_двигатели,5,TRUE)),0),0)</f>
        <v>0</v>
      </c>
      <c r="FH343">
        <f>IFERROR(IF(BX343=3,VLOOKUP(BN343,Справочная_ЛЭД,2,TRUE),0),0)</f>
        <v>0</v>
      </c>
      <c r="FI343" s="6">
        <f t="shared" si="684"/>
        <v>0</v>
      </c>
      <c r="FJ343" t="str" cm="1">
        <f t="array" ref="FJ343">IF(B343="","",IFERROR(INDEX({"I особая","I","II","III"},MATCH(TRIM(AC343&amp;""),{"I особая","I","II","III"},0)),"III"))</f>
        <v>II</v>
      </c>
      <c r="FK343" t="str">
        <f>IF(B343="","",IF(TRIM(AD343&amp;"")&lt;&gt;"",IF(LOWER(TRIM(AD343&amp;""))="да","да","нет"),IF(IFERROR(_xlfn.XLOOKUP(AX343,Коды_код,Коды_пожарная),"")="да","да","нет")))</f>
        <v>нет</v>
      </c>
      <c r="FL343" t="str">
        <f t="shared" si="685"/>
        <v/>
      </c>
      <c r="FM343" t="str">
        <f t="shared" si="686"/>
        <v>основная</v>
      </c>
      <c r="FN343">
        <f t="shared" si="687"/>
        <v>1</v>
      </c>
      <c r="FO343" t="str" cm="1">
        <f t="array" ref="FO343">IF(B343="","",_xlfn.LET(_xlpm.t,IFERROR(_xlfn.XLOOKUP(1,(Шины[Шина]=FM343)*(((Шины[Щит]=A343)+(Шины[Щит]=""))&gt;0),Шины[Тип]),"")&amp;"",IF(_xlpm.t&lt;&gt;"",_xlpm.t,IF(ISNUMBER(SEARCH("ИБП",FM343)),"ИБП",IF(ISNUMBER(SEARCH("ДГУ",FM343)),"ДГУ","Ввод "&amp;FN343)))))</f>
        <v>Ввод 1</v>
      </c>
      <c r="FP343" t="str">
        <f t="shared" si="688"/>
        <v>Ввод 1</v>
      </c>
      <c r="FQ343" t="str">
        <f>IF(B343="","",IF(OR(FO343="ИБП",FO343="ДГУ"),"I особая",IF(FO343="Одиночная","III",_xlfn.XLOOKUP(A343,Щиты[Щит],Щиты[Категория шины «Ввод»],"III"))))</f>
        <v>II</v>
      </c>
      <c r="FR343">
        <f>IF(B343="",0,IFERROR(MATCH(FJ343,{"III","II","I","I особая"},0),1))</f>
        <v>2</v>
      </c>
      <c r="FS343">
        <f t="shared" si="689"/>
        <v>2</v>
      </c>
      <c r="FT343" t="str">
        <f>IF(B343="","",IF(FR343&gt;IFERROR(MATCH(FQ343,{"III","II","I","I особая"},0),1),"НЕ ОБЕСПЕЧЕНА","ОК"))</f>
        <v>ОК</v>
      </c>
      <c r="FU343" t="str">
        <f>IF(A343="","",_xlfn.XLOOKUP(A343,Щиты[Щит],Щиты[Путь],""))</f>
        <v>|ГРЩ-ЖД|ЩУОВ|</v>
      </c>
      <c r="FV343" t="str">
        <f>IF(B343="","",IF(AE343&lt;&gt;"",AE343,IF(IFERROR(_xlfn.XLOOKUP(AX343,Коды_код,Коды_вид)&amp;"","")="","Прочее",_xlfn.XLOOKUP(AX343,Коды_код,Коды_вид)&amp;"")))</f>
        <v>Обогрев водостоков и кровли</v>
      </c>
      <c r="FW343">
        <f>IF(BH343="","",INT((BH343-1)/Столбцов_на_лист)+1)</f>
        <v>2</v>
      </c>
      <c r="FX343" t="str">
        <f t="shared" si="690"/>
        <v>МКЭШнг(A)-LS (2х0,75) L=19-0%</v>
      </c>
      <c r="FY343">
        <f t="shared" si="691"/>
        <v>0</v>
      </c>
      <c r="FZ343">
        <f t="shared" si="692"/>
        <v>0</v>
      </c>
      <c r="GA343">
        <f t="shared" si="693"/>
        <v>1</v>
      </c>
      <c r="GB343">
        <f t="shared" si="694"/>
        <v>0</v>
      </c>
      <c r="GC343">
        <f t="shared" si="695"/>
        <v>1</v>
      </c>
      <c r="GD343">
        <f>IF(BH343="","",IF(AND(CA343=1,GC343=1),COUNTIFS(A$3:A343,A343,CA$3:CA343,1,GC$3:GC343,1),IF(OR(OR(AW343=1,A343&lt;&gt;A342),AF343="вручную",GC343=0),"",IF(AW343=1,"",GE342))))</f>
        <v>2</v>
      </c>
      <c r="GE343">
        <f t="shared" si="696"/>
        <v>2</v>
      </c>
      <c r="GF343" t="str">
        <f>IF(B343="","",IFERROR(LOOKUP(INDEX(CHOOSE(DL343,Iдоп_1ж,Iдоп_2ж,Iдоп_3ж),MATCH(DX343,Iдоп_S,0))*DJ343*DK343,{6,10,16,20,25,32,40,50,63,80,100,125,160,200,250,315,400,500,630}),""))</f>
        <v/>
      </c>
      <c r="GG343" t="str">
        <f t="shared" si="697"/>
        <v>QF2</v>
      </c>
      <c r="GH343" t="str">
        <f t="shared" si="698"/>
        <v>QF2</v>
      </c>
      <c r="GI343" t="str">
        <f t="shared" si="699"/>
        <v/>
      </c>
      <c r="GJ343">
        <f t="shared" si="700"/>
        <v>0</v>
      </c>
      <c r="GK343" t="str">
        <f>IF(OR(AG343="",AG343="-"),"",IFERROR(VLOOKUP(AG343,Модули_спр,2,FALSE),"R"))</f>
        <v/>
      </c>
      <c r="GL343" t="str">
        <f>IF(GK343="","",GK343&amp;"."&amp;COUNTIFS(A$3:A343,A343,GK$3:GK343,GK343))</f>
        <v/>
      </c>
      <c r="GM343" t="str">
        <f t="shared" si="701"/>
        <v/>
      </c>
      <c r="GN343" t="str">
        <f t="shared" si="702"/>
        <v/>
      </c>
      <c r="GO343" t="str">
        <f t="shared" si="703"/>
        <v/>
      </c>
      <c r="GP343" t="str">
        <f t="shared" si="704"/>
        <v/>
      </c>
      <c r="GQ343">
        <f t="shared" si="705"/>
        <v>1</v>
      </c>
      <c r="GR343" t="str">
        <f>IF(GQ343=1,"XT"&amp;COUNTIFS(A$3:A343,A343,GQ$3:GQ343,1),"")</f>
        <v>XT2</v>
      </c>
      <c r="GS343" t="str">
        <f t="shared" si="706"/>
        <v>XT2</v>
      </c>
      <c r="GT343" t="str">
        <f t="shared" si="707"/>
        <v>QF2</v>
      </c>
      <c r="GU343" t="str">
        <f t="shared" si="708"/>
        <v/>
      </c>
      <c r="GV343" t="str">
        <f t="shared" si="709"/>
        <v>ok</v>
      </c>
      <c r="GW343" t="str">
        <f>IF(OR(GO343="",GM343=""),"",IF(GO343&gt;IFERROR(VLOOKUP(GN343,Модули_спр,3,FALSE),99),"ЛИШНИЙ КАНАЛ",IF(AND(AH343&lt;&gt;"=",COUNTIFS(Линии[_модуль гр.],GM343,Линии[Канал (итог)],GO343,Линии[Канал],"&lt;&gt;=",Линии[Щит],A343)&gt;1),"ДУБЛЬ КАНАЛА","")))</f>
        <v/>
      </c>
      <c r="GX343" s="6" t="str">
        <f t="shared" si="710"/>
        <v/>
      </c>
      <c r="GY343">
        <f t="shared" si="711"/>
        <v>10</v>
      </c>
      <c r="GZ343" t="str">
        <f t="shared" si="712"/>
        <v/>
      </c>
      <c r="HA343" t="str">
        <f>IF(AND(B343="",GT343=""),"",_xlfn.TEXTJOIN("; ",TRUE,IF(AND(B343&lt;&gt;"",FE343=""),"нет фазы",""),IF(AND(B343&lt;&gt;"",N(FY343)=0,EQ343&lt;&gt;"Нет"),"нет мощности",""),IF(AND(GS343&lt;&gt;"",COUNTIFS(Линии[Щит],A343,Линии[Клемма (итог)],GS343)&gt;1),"дубль клеммы "&amp;GS343,""),IF(AND(GV343&lt;&gt;"",GV343&lt;&gt;"ok"),GV343,""),IF(GW343&lt;&gt;"",GW343,""),IF(AND(N(BV343)&gt;=4,N(BR343)=1),BV343&amp;" жил на 1 фазе",""),IF(AND(AX343="R",CA343=1,OR(N(CK343)=0,N(CK343)&gt;30)),"розетка без дифзащиты до 30 мА",""),IFERROR(IF(AND(ISNUMBER(R343),R343&gt;DV343),"потери "&amp;FIXED(R343,1)&amp;" % &gt; "&amp;DV343&amp;" %",""),""),IFERROR(IF(LEFT(GZ343,4)="мало","Iкз мало — отключение &gt; 0,4 с",""),""),IF(AND(B343&lt;&gt;"",BH343=""),"не на схеме",""),IF(AND(CA343=0,B343&lt;&gt;"",FE343&lt;&gt;"",IF(AW343=1,"",FF342)&lt;&gt;"",FE343&lt;&gt;IF(AW343=1,"",FF342)),"фаза не как у автомата группы ("&amp;IF(AW343=1,"",FF342)&amp;")","")))</f>
        <v>нет мощности</v>
      </c>
      <c r="HB343" s="6" t="str">
        <f>IF(OR(CA343=0,DA343=""),"",_xlfn.LET(_xlpm.t,IFERROR(_xlfn.XLOOKUP(DA343,Каталог!$U$4:$U$500,Каталог!$G$4:$G$500),""),_xlpm.k,SEARCH("кА",_xlpm.t),IFERROR(--TRIM(RIGHT(SUBSTITUTE(MID(_xlpm.t,MAX(1,_xlpm.k-4),_xlpm.k-MAX(1,_xlpm.k-4))," ",REPT(" ",9)),5)),"")))</f>
        <v/>
      </c>
      <c r="HC343" t="str">
        <f>IF(OR(HB343="",CA343=0),"",IF(_xlfn.XLOOKUP(A343,Щиты[Щит],Щиты[Iкз max на шинах, кА],"")="","",IF(HB343&lt;_xlfn.XLOOKUP(A343,Щиты[Щит],Щиты[Iкз max на шинах, кА]),"Icu "&amp;HB343&amp;" кА &lt; Iкз max","ok")))</f>
        <v/>
      </c>
      <c r="HD343" t="str">
        <f t="shared" si="713"/>
        <v/>
      </c>
      <c r="HE343" t="str">
        <f t="shared" si="714"/>
        <v>QF2|XT2</v>
      </c>
      <c r="HF343" t="str">
        <f t="shared" si="715"/>
        <v xml:space="preserve">QF2|XT2|кабель МКЭШнг(A)-LS (2х0,75) → </v>
      </c>
      <c r="HG343" t="str" cm="1">
        <f t="array" ref="HG343">IF(HF343="","",_xlfn.LET(_xlpm.nd,_xlfn.TEXTSPLIT(HF343,"|"),IF(COLUMNS(_xlpm.nd)&gt;1,A343&amp;"¦"&amp;INDEX(_xlpm.nd,1)&amp;"¦"&amp;INDEX(_xlpm.nd,2),"")))</f>
        <v>ЩУОВ¦QF2¦XT2</v>
      </c>
      <c r="HH343" t="str">
        <f t="shared" si="716"/>
        <v>DT.1¦</v>
      </c>
      <c r="HI343" t="str" cm="1">
        <f t="array" ref="HI343">IF(HF343="","",_xlfn.LET(_xlpm.nd,_xlfn.TEXTSPLIT(HF343,"|"),IF(COLUMNS(_xlpm.nd)&gt;2,A343&amp;"¦"&amp;INDEX(_xlpm.nd,2)&amp;"¦"&amp;INDEX(_xlpm.nd,3),"")))</f>
        <v xml:space="preserve">ЩУОВ¦XT2¦кабель МКЭШнг(A)-LS (2х0,75) → </v>
      </c>
      <c r="HJ343" t="str">
        <f t="shared" si="717"/>
        <v>DT.1¦</v>
      </c>
      <c r="HK343" t="str" cm="1">
        <f t="array" ref="HK343">IF(HF343="","",_xlfn.LET(_xlpm.nd,_xlfn.TEXTSPLIT(HF343,"|"),IF(COLUMNS(_xlpm.nd)&gt;3,A343&amp;"¦"&amp;INDEX(_xlpm.nd,3)&amp;"¦"&amp;INDEX(_xlpm.nd,4),"")))</f>
        <v/>
      </c>
      <c r="HL343" t="str">
        <f t="shared" si="718"/>
        <v/>
      </c>
      <c r="HM343" t="str" cm="1">
        <f t="array" ref="HM343">IF(HF343="","",_xlfn.LET(_xlpm.nd,_xlfn.TEXTSPLIT(HF343,"|"),IF(COLUMNS(_xlpm.nd)&gt;4,A343&amp;"¦"&amp;INDEX(_xlpm.nd,4)&amp;"¦"&amp;INDEX(_xlpm.nd,5),"")))</f>
        <v/>
      </c>
      <c r="HN343" t="str">
        <f t="shared" si="719"/>
        <v/>
      </c>
      <c r="HO343" t="str" cm="1">
        <f t="array" ref="HO343">IF(HF343="","",_xlfn.LET(_xlpm.nd,_xlfn.TEXTSPLIT(HF343,"|"),IF(COLUMNS(_xlpm.nd)&gt;5,A343&amp;"¦"&amp;INDEX(_xlpm.nd,5)&amp;"¦"&amp;INDEX(_xlpm.nd,6),"")))</f>
        <v/>
      </c>
      <c r="HP343" t="str">
        <f t="shared" si="720"/>
        <v/>
      </c>
      <c r="HQ343" t="str" cm="1">
        <f t="array" ref="HQ343">IF(HF343="","",_xlfn.LET(_xlpm.nd,_xlfn.TEXTSPLIT(HF343,"|"),IF(COLUMNS(_xlpm.nd)&gt;6,A343&amp;"¦"&amp;INDEX(_xlpm.nd,6)&amp;"¦"&amp;INDEX(_xlpm.nd,7),"")))</f>
        <v/>
      </c>
      <c r="HR343" t="str">
        <f t="shared" si="721"/>
        <v/>
      </c>
      <c r="HS343" t="str">
        <f t="shared" si="722"/>
        <v/>
      </c>
      <c r="HT343" t="str">
        <f t="shared" si="723"/>
        <v>QF2 → XT2</v>
      </c>
      <c r="HU343">
        <f t="shared" si="724"/>
        <v>0</v>
      </c>
      <c r="HV343">
        <f t="shared" si="725"/>
        <v>0</v>
      </c>
      <c r="HW343" t="str">
        <f t="shared" si="726"/>
        <v/>
      </c>
      <c r="HX343" t="str">
        <f t="shared" si="727"/>
        <v/>
      </c>
      <c r="HY343" t="str">
        <f t="shared" si="728"/>
        <v/>
      </c>
      <c r="HZ343" t="str">
        <f t="shared" si="729"/>
        <v/>
      </c>
      <c r="IA343" t="str">
        <f>IF(B343="","",IFERROR(VLOOKUP(B343,УГО_спр,2,FALSE),IFERROR(VLOOKUP(AX343,УГО_спр,2,FALSE),IFERROR(VLOOKUP(LEFT(AX343,2),УГО_спр,2,FALSE),""))))</f>
        <v/>
      </c>
      <c r="IB343" t="str">
        <f>IF(B343="","",IF(OR(IA343="",IA343=0),"BOX",IFERROR(IF(VLOOKUP(IA343,УГО_блоки,3,FALSE)&amp;""&lt;&gt;"",VLOOKUP(IA343,УГО_блоки,3,FALSE),VLOOKUP(IA343,УГО_блоки,2,FALSE)),IA343)))</f>
        <v>BOX</v>
      </c>
      <c r="IC343">
        <f t="shared" si="730"/>
        <v>1</v>
      </c>
      <c r="ID343" t="str">
        <f>IF(DA343="","",IF(COUNTIF(DA$3:DA343,DA343)=1,MAX(ID$2:ID342)+1,""))</f>
        <v/>
      </c>
      <c r="IE343" t="str">
        <f>IF(CO343="","",IF(COUNTIF(CO$3:CO343,CO343)+COUNTIF(CP$2:CP342,CO343)+COUNTIF(CQ$2:CQ342,CO343)=1,MAX(IE$2:IG342)+1,""))</f>
        <v/>
      </c>
      <c r="IF343" t="str">
        <f>IF(CP343="","",IF(COUNTIF(CO$3:CO343,CP343)+COUNTIF(CP$3:CP343,CP343)+COUNTIF(CQ$2:CQ342,CP343)=1,MAX(IE$2:IG342,IE343)+1,""))</f>
        <v/>
      </c>
      <c r="IG343" t="str">
        <f>IF(CQ343="","",IF(COUNTIF(CO$3:CO343,CQ343)+COUNTIF(CP$3:CP343,CQ343)+COUNTIF(CQ$3:CQ343,CQ343)=1,MAX(IE$2:IG342,IE343,IF343)+1,""))</f>
        <v/>
      </c>
      <c r="IH343" t="str">
        <f t="shared" si="731"/>
        <v>2х0,75</v>
      </c>
      <c r="II343" t="str">
        <f>IF(IH343="","",IF(COUNTIF(IH$3:IH343,IH343)=1,MAX(II$2:II342)+1,""))</f>
        <v/>
      </c>
      <c r="IJ343" t="str">
        <f>IF(GL343="","",COUNTIF(GL$3:GL343,"?*"))</f>
        <v/>
      </c>
      <c r="IK343" t="str">
        <f>IF(OR(GL343="",GN343=""),"",IF(COUNTIFS(GL$3:GL343,"?*",GN$3:GN343,GN343)=1,MAX(IK$2:IK342)+1,""))</f>
        <v/>
      </c>
      <c r="IL343">
        <f t="shared" si="732"/>
        <v>1</v>
      </c>
      <c r="IM343">
        <f>IF(B343="","",COUNTIF(B$3:B343,"?*"))</f>
        <v>341</v>
      </c>
      <c r="IN343">
        <f>IF(GQ343&lt;&gt;1,0,_xlfn.LET(_xlpm.k,MAX(IFERROR(--VLOOKUP(B343,УГО_спр,5,FALSE),0),IFERROR(--VLOOKUP(AX343,УГО_спр,5,FALSE),0),IFERROR(--VLOOKUP(LEFT(AX343,2),УГО_спр,5,FALSE),0)),IF(_xlpm.k&gt;0,_xlpm.k,IF(IFERROR(--LEFT(SUBSTITUTE(IH343,"x","х"),FIND("х",SUBSTITUTE(IH343,"x","х"))-1),3)&gt;3,Каталог!$S$9,1))))</f>
        <v>1</v>
      </c>
      <c r="IO343">
        <f t="shared" si="733"/>
        <v>0</v>
      </c>
      <c r="IP343" t="str">
        <f t="shared" si="734"/>
        <v>авто</v>
      </c>
      <c r="IQ343" t="str">
        <f t="shared" si="735"/>
        <v/>
      </c>
      <c r="IR343">
        <f t="shared" si="736"/>
        <v>0</v>
      </c>
      <c r="IS343">
        <f t="shared" si="737"/>
        <v>1</v>
      </c>
    </row>
    <row r="344" spans="1:253" x14ac:dyDescent="0.3">
      <c r="A344" t="s">
        <v>771</v>
      </c>
      <c r="B344" t="s">
        <v>1601</v>
      </c>
      <c r="C344" t="str">
        <f>Линии[[#This Row],[_авто наименование]]</f>
        <v/>
      </c>
      <c r="D344">
        <v>5</v>
      </c>
      <c r="E344">
        <v>2.37</v>
      </c>
      <c r="G344">
        <v>16</v>
      </c>
      <c r="H344" t="str">
        <f>Линии[[#This Row],[_авто утечка]]</f>
        <v/>
      </c>
      <c r="I344" t="str">
        <f>Линии[[#This Row],[_авто управление]]</f>
        <v/>
      </c>
      <c r="J344" t="str">
        <f>Линии[[#This Row],[_авто аппараты]]</f>
        <v/>
      </c>
      <c r="K344">
        <v>4</v>
      </c>
      <c r="L344">
        <v>95</v>
      </c>
      <c r="M344">
        <v>1</v>
      </c>
      <c r="N344" t="s">
        <v>486</v>
      </c>
      <c r="O344" t="str">
        <f t="shared" si="615"/>
        <v>потери 7,3 % &gt; 4 %</v>
      </c>
      <c r="P344" s="6" cm="1">
        <f t="array" ref="P344">IF(B344="","",IF(BC344&lt;&gt;"",IFERROR(_xlfn.XLOOKUP(BC344,Щиты[Щит],Щиты[Iр, А]),""),IF(BK344=1,IFERROR(_xlfn.XLOOKUP(A344,Щиты[Щит],Щиты[Iр, А]),""),IFERROR(_xlfn.IFS(BR344=1,BN344/((Uн_лин/SQRT(3))*BY344),BR344=3,BN344/(SQRT(3)*Uн_лин*BY344)),""))))</f>
        <v>10.80252740510063</v>
      </c>
      <c r="Q344" s="7">
        <f>IF(B344="","",IFERROR(IF(VLOOKUP(AX344,Потребители_обозначение,4,FALSE)=1,VLOOKUP(AX344,Потребители_обозначение,3,FALSE)*(D344*2-1)+DS344+VLOOKUP(AZ344,Этаж_обозначение,3,FALSE)+VLOOKUP(AZ344,Этаж_обозначение,4,FALSE),VLOOKUP(AX344,Потребители_обозначение,3,FALSE)*(D344*2-1)+DS344),DS344))</f>
        <v>95</v>
      </c>
      <c r="R344" s="6">
        <f t="shared" si="616"/>
        <v>7.27</v>
      </c>
      <c r="S344" t="str">
        <f t="shared" si="617"/>
        <v>ВВГнг(А)-LS (3х4)</v>
      </c>
      <c r="T344" t="str">
        <f>IF(BH344="","",IF(BI344="вводной узел","узел ","")&amp;"л."&amp;(INT((BH344-1)/Столбцов_на_лист)+1)&amp;" / "&amp;(MOD(BH344-1,Столбцов_на_лист)+1))</f>
        <v>л.2 / 9</v>
      </c>
      <c r="V344">
        <v>1</v>
      </c>
      <c r="W344">
        <v>230</v>
      </c>
      <c r="X344" t="s">
        <v>575</v>
      </c>
      <c r="AC344" t="s">
        <v>815</v>
      </c>
      <c r="AE344" t="s">
        <v>611</v>
      </c>
      <c r="AI344">
        <v>26</v>
      </c>
      <c r="AJ344" t="s">
        <v>11</v>
      </c>
      <c r="AK344">
        <v>3</v>
      </c>
      <c r="AM344">
        <v>7</v>
      </c>
      <c r="AN344">
        <v>38</v>
      </c>
      <c r="AO344">
        <v>50</v>
      </c>
      <c r="AP344">
        <v>1</v>
      </c>
      <c r="AW344" cm="1">
        <f t="array" ref="AW344">ROW()-ROW(Линии[#Headers])</f>
        <v>342</v>
      </c>
      <c r="AX344" s="6" t="str">
        <f t="shared" si="618"/>
        <v>OV</v>
      </c>
      <c r="AY344" t="str">
        <f t="shared" si="619"/>
        <v>2.002Г.1</v>
      </c>
      <c r="AZ344" t="str">
        <f t="shared" si="620"/>
        <v>2</v>
      </c>
      <c r="BA344" t="str">
        <f t="shared" si="621"/>
        <v>002Г.1</v>
      </c>
      <c r="BB344" t="str">
        <f t="shared" si="622"/>
        <v>002Г</v>
      </c>
      <c r="BC344" t="str">
        <f>IF(U344&lt;&gt;"",U344,IF(AND(B344&lt;&gt;"",B344&lt;&gt;A344,ISNUMBER(_xlfn.XMATCH(B344,Щиты[Щит]))),B344,""))</f>
        <v/>
      </c>
      <c r="BD344" t="str" cm="1">
        <f t="array" ref="BD344">IF(B344="","",IF(BC344&lt;&gt;"","Щит "&amp;BC344,_xlfn.LET(_xlpm.nm,IFERROR(_xlfn.XLOOKUP(AX344,Коды_код,Коды_имя)&amp;"",""),_xlpm.md,IFERROR(N(_xlfn.XLOOKUP(AX344,Коды_код,Коды_режим)),1),_xlpm.ex,IF(Имя_режим="по экспликации",IFERROR(_xlfn.XLOOKUP(AZ344&amp;"|"&amp;BB344,Экспликация[Этаж]&amp;"|"&amp;Экспликация[Помещение],Экспликация[Название])&amp;"",""),""),_xlpm.rm,IF(BB344="","",IF(_xlpm.ex&lt;&gt;"",". "&amp;_xlpm.ex&amp;IF(Имя_пом="нет"," ("&amp;BB344&amp;")"," (пом. "&amp;BB344&amp;")"),IF(Имя_пом="нет"," ",", пом. ")&amp;BB344)),IF(_xlpm.nm="","",IF(_xlpm.md=2,_xlpm.nm&amp;" шлейф "&amp;AZ344,_xlpm.nm&amp;_xlpm.rm)))))</f>
        <v/>
      </c>
      <c r="BE344" t="str">
        <f t="shared" si="623"/>
        <v/>
      </c>
      <c r="BF344">
        <f>IFERROR(_xlfn.XMATCH(A344,Щиты[Щит]),0)</f>
        <v>17</v>
      </c>
      <c r="BG344">
        <f>_xlfn.LET(_xlpm.k,IFERROR(_xlfn.XLOOKUP(A344,Щиты[Щит],Щиты[Листов под вводной узел]),""),IF(_xlpm.k="",1,N(_xlpm.k))*Столбцов_на_лист)</f>
        <v>17</v>
      </c>
      <c r="BH344">
        <f t="shared" si="624"/>
        <v>26</v>
      </c>
      <c r="BI344" t="str">
        <f t="shared" si="625"/>
        <v>линии</v>
      </c>
      <c r="BJ344" s="6">
        <f>IFERROR(N(_xlfn.XLOOKUP(AX344,Коды_код,Коды_квт)),0)</f>
        <v>0</v>
      </c>
      <c r="BK344">
        <f t="shared" si="626"/>
        <v>0</v>
      </c>
      <c r="BL344" t="str">
        <f>IF(B344="","",IF(BC344&lt;&gt;"",IFERROR(_xlfn.XLOOKUP(BC344,Щиты[Щит],Щиты[Руст, кВт]),0),IF(BK344=1,IFERROR(_xlfn.XLOOKUP(A344,Щиты[Щит],Щиты[Руст, кВт]),0),IF(BJ344&gt;0,ROUND(BJ344*MAX(1,N(D344)),3),""))))</f>
        <v/>
      </c>
      <c r="BM344">
        <f t="shared" si="627"/>
        <v>2.37</v>
      </c>
      <c r="BN344" s="6">
        <f>IF(B344="","",IF(BC344&lt;&gt;"",IFERROR(_xlfn.XLOOKUP(BC344,Щиты[Щит],Щиты[Руст, кВт]),0),N(BM344)))</f>
        <v>2.37</v>
      </c>
      <c r="BO344" t="str">
        <f>IF(B344="","",IFERROR(IF(VLOOKUP(AX344,Потребители_обозначение,8,FALSE)=0,"",VLOOKUP(AX344,Потребители_обозначение,8,FALSE)),""))</f>
        <v/>
      </c>
      <c r="BP344">
        <f t="shared" si="628"/>
        <v>230</v>
      </c>
      <c r="BQ344">
        <f>IF(B344="","",IF(BC344&lt;&gt;"",3,IFERROR(IF(N(VLOOKUP(AX344,Потребители_обозначение,9,FALSE))=0,1,VLOOKUP(AX344,Потребители_обозначение,9,FALSE)),1)))</f>
        <v>1</v>
      </c>
      <c r="BR344">
        <f t="shared" si="629"/>
        <v>1</v>
      </c>
      <c r="BS344" t="str">
        <f>IF(B344="","",_xlfn.LET(_xlpm.bc,IFERROR(IF(VLOOKUP(AX344,Потребители_обозначение,6,FALSE)=0,"",VLOOKUP(AX344,Потребители_обозначение,6,FALSE)&amp;""),""),IF(AND(FK344="да",OR(_xlpm.bc="",_xlpm.bc="мс")),Марка_пож,IF(AND(_xlpm.bc="",BC344&lt;&gt;""),"мс",_xlpm.bc))))</f>
        <v/>
      </c>
      <c r="BT344" t="str">
        <f t="shared" si="630"/>
        <v>мс</v>
      </c>
      <c r="BU344">
        <f>IF(B344="","",_xlfn.LET(_xlpm.cc,IFERROR(N(VLOOKUP(AX344,Потребители_обозначение,7,FALSE)),0),IF(_xlpm.cc&gt;0,_xlpm.cc,IF(BT344="","",IF(N(BR344)=3,5,3)))))</f>
        <v>3</v>
      </c>
      <c r="BV344">
        <f t="shared" si="631"/>
        <v>3</v>
      </c>
      <c r="BW344">
        <f>IFERROR(N(VLOOKUP(AX344,Потребители_обозначение,10,FALSE)),0)</f>
        <v>0</v>
      </c>
      <c r="BX344">
        <f>IFERROR(VLOOKUP(AX344,Потребители_обозначение,5,FALSE),0)</f>
        <v>0</v>
      </c>
      <c r="BY344" s="6" cm="1">
        <f t="array" ref="BY344">IF(B344="","",IF(BC344&lt;&gt;"",IFERROR(_xlfn.XLOOKUP(BC344,Щиты[Щит],Щиты[cos φ]),0.95),IF(BK344=1,IFERROR(_xlfn.XLOOKUP(A344,Щиты[Щит],Щиты[cos φ]),0.95),IF(ISNUMBER(Z344),Z344,IFERROR(IF(BX344=2,_xlfn.IFS(BR344=3,VLOOKUP(BN344,Справочная_двигатели,8,FALSE),BR344=1,VLOOKUP(BN344,Справочная_двигатели,10,TRUE)),IF(AND(Методика="нормы 2026",EQ344="Сил"),0.8,0.95)),0.95)))))</f>
        <v>0.95</v>
      </c>
      <c r="BZ344">
        <f t="shared" si="632"/>
        <v>0</v>
      </c>
      <c r="CA344">
        <f t="shared" si="633"/>
        <v>1</v>
      </c>
      <c r="CB344">
        <f t="shared" si="634"/>
        <v>0</v>
      </c>
      <c r="CC344">
        <f t="shared" si="635"/>
        <v>0</v>
      </c>
      <c r="CD344">
        <f t="shared" si="636"/>
        <v>0</v>
      </c>
      <c r="CE344">
        <f t="shared" si="637"/>
        <v>0</v>
      </c>
      <c r="CF344">
        <f t="shared" si="638"/>
        <v>0</v>
      </c>
      <c r="CG344">
        <f>IF(AX344="",0,_xlfn.LET(_xlpm.v,IFERROR(VLOOKUP(B344,УГО_спр,3,FALSE),IFERROR(VLOOKUP(AX344,УГО_спр,3,FALSE),IFERROR(VLOOKUP(LEFT(AX344,2),УГО_спр,3,FALSE),""))),IF(_xlpm.v="да",30,IF(ISNUMBER(_xlpm.v),_xlpm.v,0))))</f>
        <v>0</v>
      </c>
      <c r="CH344" t="str">
        <f t="shared" si="639"/>
        <v/>
      </c>
      <c r="CI344" t="str">
        <f>_xlfn.LET(_xlpm.k,IFERROR(_xlfn.XLOOKUP(AX344,Коды_код,Коды_утечка)&amp;"",""),IF(_xlpm.k="","дифавтомат",_xlpm.k))</f>
        <v>дифавтомат</v>
      </c>
      <c r="CJ344">
        <f t="shared" si="640"/>
        <v>0</v>
      </c>
      <c r="CK344">
        <f t="shared" si="641"/>
        <v>0</v>
      </c>
      <c r="CL344">
        <f>IF(B344="",0,IFERROR(--VLOOKUP(B344,УГО_спр,4,FALSE),IFERROR(--VLOOKUP(AX344,УГО_спр,4,FALSE),IFERROR(--VLOOKUP(LEFT(AX344,2),УГО_спр,4,FALSE),0))))</f>
        <v>0</v>
      </c>
      <c r="CM344" t="str">
        <f>IF(B344="","",IFERROR(_xlfn.XLOOKUP(AX344,Коды_код,Коды_апп)&amp;"",""))</f>
        <v/>
      </c>
      <c r="CN344" t="str">
        <f t="shared" si="642"/>
        <v/>
      </c>
      <c r="CO344" t="str" cm="1">
        <f t="array" ref="CO344">IF(TRIM(CN344&amp;"")="","",IFERROR(TRIM(INDEX(_xlfn.TEXTSPLIT(CN344&amp;";;;",";"),1)),""))</f>
        <v/>
      </c>
      <c r="CP344" t="str" cm="1">
        <f t="array" ref="CP344">IF(TRIM(CN344&amp;"")="","",IFERROR(TRIM(INDEX(_xlfn.TEXTSPLIT(CN344&amp;";;;",";"),2)),""))</f>
        <v/>
      </c>
      <c r="CQ344" t="str" cm="1">
        <f t="array" ref="CQ344">IF(TRIM(CN344&amp;"")="","",IFERROR(TRIM(INDEX(_xlfn.TEXTSPLIT(CN344&amp;";;;",";"),3)),""))</f>
        <v/>
      </c>
      <c r="CR344">
        <f t="shared" si="643"/>
        <v>0</v>
      </c>
      <c r="CS344" t="str">
        <f>IF(B344="","",_xlfn.LET(_xlpm.t,LOWER(AV344&amp;""),IF(ISNUMBER(SEARCH("dim",_xlpm.t)),"DIM",IF(ISNUMBER(SEARCH("dali",_xlpm.t)),"DALI",IF(OR(ISNUMBER(SEARCH("relay",_xlpm.t)),ISNUMBER(SEARCH("реле",_xlpm.t))),"Relay",IF(ISNUMBER(SEARCH("кнопк",_xlpm.t)),"",IFERROR(_xlfn.XLOOKUP(AX344,Коды_код,Коды_упр)&amp;"","")))))))</f>
        <v/>
      </c>
      <c r="CT344" t="str">
        <f t="shared" si="644"/>
        <v/>
      </c>
      <c r="CU344">
        <f>IF(B344="","",_xlfn.LET(_xlpm.ig,N(P344)+IF(AF344="вручную",0,N(CB344)),_xlpm.n0,IFERROR(VLOOKUP(_xlpm.ig,Автомат_номиналы,2,TRUE),0),_xlpm.mn,MAX(CL344,IF(AF344="вручную",0,N(CE344))),MAX(_xlpm.n0,_xlpm.mn,IF(CR344=1,Мин_автомат_БП,0))))</f>
        <v>16</v>
      </c>
      <c r="CV344">
        <f t="shared" si="645"/>
        <v>1</v>
      </c>
      <c r="CW344" t="str">
        <f t="shared" si="646"/>
        <v>1P</v>
      </c>
      <c r="CX344" t="str">
        <f>_xlfn.LET(_xlpm.cc,UPPER(TRIM(IFERROR(_xlfn.XLOOKUP(AX344,Коды_код,Коды_хар)&amp;"",""))),IF(OR(_xlpm.cc="B",_xlpm.cc="В"),"B",IF(_xlpm.cc="D","D","С")))</f>
        <v>С</v>
      </c>
      <c r="CY344" t="str">
        <f t="shared" si="647"/>
        <v>1P С16А</v>
      </c>
      <c r="CZ344">
        <f t="shared" si="648"/>
        <v>16</v>
      </c>
      <c r="DA344" t="str">
        <f t="shared" si="649"/>
        <v>1P С16А</v>
      </c>
      <c r="DB344" cm="1">
        <f t="array" ref="DB344">IF(DA344="","",_xlfn.LET(_xlpm.t,SUBSTITUTE(SUBSTITUTE(SUBSTITUTE(UPPER(DA344),"С","C"),"А","A"),"В","B"),_xlpm.tk,_xlfn.TEXTSPLIT(_xlpm.t,"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4" t="str">
        <f t="shared" si="650"/>
        <v>ok</v>
      </c>
      <c r="DD344">
        <f t="shared" si="651"/>
        <v>16</v>
      </c>
      <c r="DE344" t="str">
        <f t="shared" si="652"/>
        <v>1P С16А</v>
      </c>
      <c r="DF344">
        <f t="shared" si="653"/>
        <v>0</v>
      </c>
      <c r="DG344">
        <f t="shared" si="654"/>
        <v>0</v>
      </c>
      <c r="DH344">
        <f t="shared" si="655"/>
        <v>0</v>
      </c>
      <c r="DI344">
        <f t="shared" si="656"/>
        <v>10.80252740510063</v>
      </c>
      <c r="DJ344">
        <f t="shared" si="657"/>
        <v>1</v>
      </c>
      <c r="DK344">
        <f>IF(ISNUMBER(AL344),AL344,К_прокл)</f>
        <v>1</v>
      </c>
      <c r="DL344">
        <f t="shared" si="658"/>
        <v>2</v>
      </c>
      <c r="DM344">
        <f>IFERROR(N(VLOOKUP(BT344,Кабель_обозначение,3,FALSE)),1)</f>
        <v>1</v>
      </c>
      <c r="DN344">
        <f>IFERROR(N(_xlfn.XLOOKUP(A344,Щиты[Щит],Щиты[ΔU до шин, %])),0)</f>
        <v>2.4899999999999998</v>
      </c>
      <c r="DO344" t="str">
        <f>IFERROR(_xlfn.XLOOKUP(A344,Щиты[Щит],Щиты[Zпетли на шинах, Ом]),"")</f>
        <v/>
      </c>
      <c r="DP344">
        <f>IFERROR(N(_xlfn.XLOOKUP(A344,Щиты[Щит],Щиты[ΔU до шин (подбор), %])),0)</f>
        <v>3.73</v>
      </c>
      <c r="DQ344" t="str">
        <f>IFERROR(_xlfn.XLOOKUP(A344,Щиты[Щит],Щиты[Zпетли на шинах (подбор), Ом]),"")</f>
        <v/>
      </c>
      <c r="DR344" t="str">
        <f t="shared" si="659"/>
        <v/>
      </c>
      <c r="DS344">
        <f t="shared" si="660"/>
        <v>95</v>
      </c>
      <c r="DT344">
        <f t="shared" si="661"/>
        <v>2</v>
      </c>
      <c r="DU344">
        <f t="shared" si="662"/>
        <v>0.31</v>
      </c>
      <c r="DV344" s="6">
        <f>IF(B344="","",IF(IFERROR(VLOOKUP(AX344,УГО_спр,2,FALSE),"")="Светильник",3,4)+IF(Методика="нормы 2026",MIN(0.5,MAX(0,N(Q344)-100)*0.005),0))</f>
        <v>4</v>
      </c>
      <c r="DW344" cm="1">
        <f t="array" ref="DW344">IF(OR(B344="",BT344="",DM344&lt;&gt;1),"",_xlfn.LET(_xlpm.sz,Iдоп_S,_xlpm.t_,CHOOSE(DL344,Iдоп_1ж,Iдоп_2ж,Iдоп_3ж)*DJ344*DK344,_xlpm.inn,N(DD344),_xlpm.smin,MAX(1.5,BW344),_xlpm.L_,N(Q344)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344)*(_xlpm.rho*_xlpm.L_/_xlpm.sz*N(BY344)+_xlpm.xx*_xlpm.L_*N(DU344)/1000)*N(P344)/((Uн_лин/SQRT(3))*1000)*100,999),_xlpm.kz,IF(OR(DG344=1,NOT(ISNUMBER(DQ344)),_xlpm.L_=0,_xlpm.inn=0),1,IFERROR(--(c_min*(Uн_лин*1000/SQRT(3))/(DQ344+2*ρкз_Cu*_xlpm.L_/_xlpm.sz)&gt;=GY344*_xlpm.inn),0)),_xlpm.ok,IFERROR((_xlpm.sz&gt;=_xlpm.smin)*(_xlpm.t_&gt;=_xlpm.inn)*IF(_xlpm.L_&gt;0,(_xlpm.du_+DP344&lt;=DV344+0.00001),1)*_xlpm.kz,0),_xlpm.r_,_xlfn._xlws.FILTER(_xlpm.sz,_xlpm.ok,"не подобрано"),INDEX(_xlpm.r_,1)))</f>
        <v>95</v>
      </c>
      <c r="DX344">
        <f t="shared" si="663"/>
        <v>4</v>
      </c>
      <c r="DY344" cm="1">
        <f t="array" ref="DY344">IF(OR(B344="",BT344="",DM344&lt;&gt;1),"",_xlfn.LET(_xlpm.sz,Iдоп_S,_xlpm.t_,CHOOSE(DL344,Iдоп_1ж,Iдоп_2ж,Iдоп_3ж)*DJ344*DK344,_xlpm.ok,IFERROR((_xlpm.sz&gt;=MAX(1.5,BW344))*(_xlpm.t_&gt;=N(DD344)),0),_xlpm.r_,_xlfn._xlws.FILTER(_xlpm.sz,_xlpm.ok,""),INDEX(_xlpm.r_,1)))</f>
        <v>1.5</v>
      </c>
      <c r="DZ344" s="6" cm="1">
        <f t="array" ref="DZ344">IFERROR(ROUNDUP(N(DT344)*(_xlfn.XLOOKUP(DY344,INDEX(Кабель_сопротивление,0,1),INDEX(Кабель_сопротивление,0,3))*N(Q344)/DY344*N(BY344)+_xlfn.XLOOKUP(DY344,INDEX(Кабель_сопротивление,0,1),INDEX(Кабель_сопротивление,0,2))*N(Q344)*N(DU344)/1000)*N(P344)/((Uн_лин/SQRT(3))*1000)*100,2),"")</f>
        <v>12.7</v>
      </c>
      <c r="EA344">
        <f>IFERROR(2*ρкз_Cu*N(Q344)/DY344,"")</f>
        <v>3.3313333333333333</v>
      </c>
      <c r="EB344">
        <f>IFERROR(VLOOKUP(DX344,Кабель_сопротивление,3,FALSE),"")</f>
        <v>2.2499999999999999E-2</v>
      </c>
      <c r="EC344">
        <f>IFERROR(VLOOKUP(DX344,Кабель_сопротивление,2,FALSE),"")</f>
        <v>9.5000000000000001E-2</v>
      </c>
      <c r="ED344">
        <f t="shared" si="664"/>
        <v>38</v>
      </c>
      <c r="EE344">
        <f t="shared" si="665"/>
        <v>50</v>
      </c>
      <c r="EF344">
        <f t="shared" si="666"/>
        <v>11.028386648086473</v>
      </c>
      <c r="EG344" s="6">
        <f>IFERROR(ROUNDUP(EF344/((Uн_лин/SQRT(3))*1000)*100,2),"")</f>
        <v>4.7799999999999994</v>
      </c>
      <c r="EH344" t="str">
        <f>IFERROR(VLOOKUP(BT344,Кабель_обозначение,2,FALSE),"")</f>
        <v>ВВГнг(А)-LS</v>
      </c>
      <c r="EI344" t="str">
        <f t="shared" si="667"/>
        <v>ВВГнг(А)-LS (3х4)</v>
      </c>
      <c r="EJ344" t="str">
        <f t="shared" si="668"/>
        <v>ВВГнг(А)-LS (3х4)
L=95-4,78%</v>
      </c>
      <c r="EK344">
        <f>IFERROR(2*ρкз_Cu*Q344/DX344,"")</f>
        <v>1.24925</v>
      </c>
      <c r="EL344">
        <f t="shared" si="669"/>
        <v>0.41562500000000002</v>
      </c>
      <c r="EM344" s="6" t="str">
        <f>IFERROR(IF(OR(B344="",NOT(ISNUMBER(DX344)),N(Q344)=0),"",_xlfn.XLOOKUP(A344,Щиты[Щит],Щиты[Zпетли на шинах, Ом])+EK344),"")</f>
        <v/>
      </c>
      <c r="EN344" s="6" t="str">
        <f>IF(ISNUMBER(EM344),c_min*(Uн_лин*1000/SQRT(3))/EM344,"")</f>
        <v/>
      </c>
      <c r="EO344" s="6" t="str">
        <f>IFERROR(IF(OR(B344="",NOT(ISNUMBER(DX344))),"",1.05*(Uн_лин*1000/SQRT(3))/(_xlfn.XLOOKUP(A344,Щиты[Щит],Щиты[Zmax на шинах, Ом])+EL344)/1000),"")</f>
        <v/>
      </c>
      <c r="EP344" s="6" t="str">
        <f>IF(B344="","",IF(ISNUMBER(Y344),"Сил",IF(IFERROR(_xlfn.XLOOKUP(AX344,Коды_код,Коды_группа)&amp;"","")="","Быт",_xlfn.XLOOKUP(AX344,Коды_код,Коды_группа)&amp;"")))</f>
        <v>Быт</v>
      </c>
      <c r="EQ344" s="6" t="str">
        <f t="shared" si="670"/>
        <v>Пост</v>
      </c>
      <c r="ER344" s="6">
        <f>IF(EQ344="Щит","щит",IF(EQ344="","",IF(EQ344="Быт",IFERROR(_xlfn.XLOOKUP(A344,Щиты[Щит],Щиты[Кс быт]),1),IF(EQ344="Сил",IF(ISNUMBER(Y344),Y344,IF(Методика="нормы 2026",IFERROR(_xlfn.XLOOKUP(A344,Щиты[Щит],Щиты[Кс силовых (табл. 7.5)]),1),1)),IF(OR(EQ344="Пост",EQ344="Отоп"),1,IF(EQ344="ВНГ",0.7,0))))))</f>
        <v>1</v>
      </c>
      <c r="ES344">
        <f t="shared" si="671"/>
        <v>1</v>
      </c>
      <c r="ET344">
        <f t="shared" si="672"/>
        <v>2.37</v>
      </c>
      <c r="EU344">
        <f t="shared" si="673"/>
        <v>0</v>
      </c>
      <c r="EV344">
        <f t="shared" si="674"/>
        <v>0</v>
      </c>
      <c r="EW344">
        <f t="shared" si="675"/>
        <v>2.37</v>
      </c>
      <c r="EX344">
        <f t="shared" si="676"/>
        <v>0</v>
      </c>
      <c r="EY344">
        <f t="shared" si="677"/>
        <v>0</v>
      </c>
      <c r="EZ344">
        <f t="shared" si="678"/>
        <v>2.37</v>
      </c>
      <c r="FA344">
        <f t="shared" si="679"/>
        <v>2.2515000000000001</v>
      </c>
      <c r="FB344">
        <f t="shared" si="680"/>
        <v>2.37</v>
      </c>
      <c r="FC344" t="str">
        <f t="shared" si="681"/>
        <v>L1</v>
      </c>
      <c r="FD344" t="str">
        <f>IF(B344="","",IF(CA344=0,IF(AW344=1,"",FF343),IF(OR(N(CV344)&gt;=3,N(BR344)&gt;=3),"L1,L2,L3",IFERROR(_xlfn.TEXTBEFORE(_xlfn.TEXTAFTER(_xlfn.XLOOKUP(A344,Щиты[Щит],Щиты[_фазы авто]),";"&amp;AW344&amp;":"),";"),"L1"))))</f>
        <v>L1</v>
      </c>
      <c r="FE344" t="str">
        <f t="shared" si="682"/>
        <v>L1</v>
      </c>
      <c r="FF344" t="str">
        <f t="shared" si="683"/>
        <v>L1</v>
      </c>
      <c r="FG344" cm="1">
        <f t="array" ref="FG344">IFERROR(IF(BX344=2,_xlfn.IFS(BR344=3,VLOOKUP(BN344,Справочная_двигатели,3,FALSE),BR344=1,VLOOKUP(BN344,Справочная_двигатели,5,TRUE)),0),0)</f>
        <v>0</v>
      </c>
      <c r="FH344">
        <f>IFERROR(IF(BX344=3,VLOOKUP(BN344,Справочная_ЛЭД,2,TRUE),0),0)</f>
        <v>0</v>
      </c>
      <c r="FI344" s="6">
        <f t="shared" si="684"/>
        <v>0</v>
      </c>
      <c r="FJ344" t="str" cm="1">
        <f t="array" ref="FJ344">IF(B344="","",IFERROR(INDEX({"I особая","I","II","III"},MATCH(TRIM(AC344&amp;""),{"I особая","I","II","III"},0)),"III"))</f>
        <v>II</v>
      </c>
      <c r="FK344" t="str">
        <f>IF(B344="","",IF(TRIM(AD344&amp;"")&lt;&gt;"",IF(LOWER(TRIM(AD344&amp;""))="да","да","нет"),IF(IFERROR(_xlfn.XLOOKUP(AX344,Коды_код,Коды_пожарная),"")="да","да","нет")))</f>
        <v>нет</v>
      </c>
      <c r="FL344" t="str">
        <f t="shared" si="685"/>
        <v/>
      </c>
      <c r="FM344" t="str">
        <f t="shared" si="686"/>
        <v>основная</v>
      </c>
      <c r="FN344">
        <f t="shared" si="687"/>
        <v>1</v>
      </c>
      <c r="FO344" t="str" cm="1">
        <f t="array" ref="FO344">IF(B344="","",_xlfn.LET(_xlpm.t,IFERROR(_xlfn.XLOOKUP(1,(Шины[Шина]=FM344)*(((Шины[Щит]=A344)+(Шины[Щит]=""))&gt;0),Шины[Тип]),"")&amp;"",IF(_xlpm.t&lt;&gt;"",_xlpm.t,IF(ISNUMBER(SEARCH("ИБП",FM344)),"ИБП",IF(ISNUMBER(SEARCH("ДГУ",FM344)),"ДГУ","Ввод "&amp;FN344)))))</f>
        <v>Ввод 1</v>
      </c>
      <c r="FP344" t="str">
        <f t="shared" si="688"/>
        <v>Ввод 1</v>
      </c>
      <c r="FQ344" t="str">
        <f>IF(B344="","",IF(OR(FO344="ИБП",FO344="ДГУ"),"I особая",IF(FO344="Одиночная","III",_xlfn.XLOOKUP(A344,Щиты[Щит],Щиты[Категория шины «Ввод»],"III"))))</f>
        <v>II</v>
      </c>
      <c r="FR344">
        <f>IF(B344="",0,IFERROR(MATCH(FJ344,{"III","II","I","I особая"},0),1))</f>
        <v>2</v>
      </c>
      <c r="FS344">
        <f t="shared" si="689"/>
        <v>2</v>
      </c>
      <c r="FT344" t="str">
        <f>IF(B344="","",IF(FR344&gt;IFERROR(MATCH(FQ344,{"III","II","I","I особая"},0),1),"НЕ ОБЕСПЕЧЕНА","ОК"))</f>
        <v>ОК</v>
      </c>
      <c r="FU344" t="str">
        <f>IF(A344="","",_xlfn.XLOOKUP(A344,Щиты[Щит],Щиты[Путь],""))</f>
        <v>|ГРЩ-ЖД|ЩУОВ|</v>
      </c>
      <c r="FV344" t="str">
        <f>IF(B344="","",IF(AE344&lt;&gt;"",AE344,IF(IFERROR(_xlfn.XLOOKUP(AX344,Коды_код,Коды_вид)&amp;"","")="","Прочее",_xlfn.XLOOKUP(AX344,Коды_код,Коды_вид)&amp;"")))</f>
        <v>Обогрев водостоков и кровли</v>
      </c>
      <c r="FW344">
        <f>IF(BH344="","",INT((BH344-1)/Столбцов_на_лист)+1)</f>
        <v>2</v>
      </c>
      <c r="FX344" t="str">
        <f t="shared" si="690"/>
        <v>ВВГнг(А)-LS (3х4) L=95-4,78%</v>
      </c>
      <c r="FY344">
        <f t="shared" si="691"/>
        <v>2.37</v>
      </c>
      <c r="FZ344">
        <f t="shared" si="692"/>
        <v>10.81</v>
      </c>
      <c r="GA344">
        <f t="shared" si="693"/>
        <v>1</v>
      </c>
      <c r="GB344">
        <f t="shared" si="694"/>
        <v>0</v>
      </c>
      <c r="GC344">
        <f t="shared" si="695"/>
        <v>1</v>
      </c>
      <c r="GD344">
        <f>IF(BH344="","",IF(AND(CA344=1,GC344=1),COUNTIFS(A$3:A344,A344,CA$3:CA344,1,GC$3:GC344,1),IF(OR(OR(AW344=1,A344&lt;&gt;A343),AF344="вручную",GC344=0),"",IF(AW344=1,"",GE343))))</f>
        <v>3</v>
      </c>
      <c r="GE344">
        <f t="shared" si="696"/>
        <v>3</v>
      </c>
      <c r="GF344">
        <f>IF(B344="","",IFERROR(LOOKUP(INDEX(CHOOSE(DL344,Iдоп_1ж,Iдоп_2ж,Iдоп_3ж),MATCH(DX344,Iдоп_S,0))*DJ344*DK344,{6,10,16,20,25,32,40,50,63,80,100,125,160,200,250,315,400,500,630}),""))</f>
        <v>32</v>
      </c>
      <c r="GG344" t="str">
        <f t="shared" si="697"/>
        <v>QF3</v>
      </c>
      <c r="GH344" t="str">
        <f t="shared" si="698"/>
        <v>QF3</v>
      </c>
      <c r="GI344" t="str">
        <f t="shared" si="699"/>
        <v/>
      </c>
      <c r="GJ344">
        <f t="shared" si="700"/>
        <v>0</v>
      </c>
      <c r="GK344" t="str">
        <f>IF(OR(AG344="",AG344="-"),"",IFERROR(VLOOKUP(AG344,Модули_спр,2,FALSE),"R"))</f>
        <v/>
      </c>
      <c r="GL344" t="str">
        <f>IF(GK344="","",GK344&amp;"."&amp;COUNTIFS(A$3:A344,A344,GK$3:GK344,GK344))</f>
        <v/>
      </c>
      <c r="GM344" t="str">
        <f t="shared" si="701"/>
        <v/>
      </c>
      <c r="GN344" t="str">
        <f t="shared" si="702"/>
        <v/>
      </c>
      <c r="GO344" t="str">
        <f t="shared" si="703"/>
        <v/>
      </c>
      <c r="GP344" t="str">
        <f t="shared" si="704"/>
        <v/>
      </c>
      <c r="GQ344">
        <f t="shared" si="705"/>
        <v>1</v>
      </c>
      <c r="GR344" t="str">
        <f>IF(GQ344=1,"XT"&amp;COUNTIFS(A$3:A344,A344,GQ$3:GQ344,1),"")</f>
        <v>XT3</v>
      </c>
      <c r="GS344" t="str">
        <f t="shared" si="706"/>
        <v/>
      </c>
      <c r="GT344" t="str">
        <f t="shared" si="707"/>
        <v>QF3</v>
      </c>
      <c r="GU344" t="str">
        <f t="shared" si="708"/>
        <v/>
      </c>
      <c r="GV344" t="str">
        <f t="shared" si="709"/>
        <v>ok</v>
      </c>
      <c r="GW344" t="str">
        <f>IF(OR(GO344="",GM344=""),"",IF(GO344&gt;IFERROR(VLOOKUP(GN344,Модули_спр,3,FALSE),99),"ЛИШНИЙ КАНАЛ",IF(AND(AH344&lt;&gt;"=",COUNTIFS(Линии[_модуль гр.],GM344,Линии[Канал (итог)],GO344,Линии[Канал],"&lt;&gt;=",Линии[Щит],A344)&gt;1),"ДУБЛЬ КАНАЛА","")))</f>
        <v/>
      </c>
      <c r="GX344" s="6" t="str">
        <f t="shared" si="710"/>
        <v/>
      </c>
      <c r="GY344">
        <f t="shared" si="711"/>
        <v>10</v>
      </c>
      <c r="GZ344" t="str">
        <f t="shared" si="712"/>
        <v/>
      </c>
      <c r="HA344" t="str">
        <f>IF(AND(B344="",GT344=""),"",_xlfn.TEXTJOIN("; ",TRUE,IF(AND(B344&lt;&gt;"",FE344=""),"нет фазы",""),IF(AND(B344&lt;&gt;"",N(FY344)=0,EQ344&lt;&gt;"Нет"),"нет мощности",""),IF(AND(GS344&lt;&gt;"",COUNTIFS(Линии[Щит],A344,Линии[Клемма (итог)],GS344)&gt;1),"дубль клеммы "&amp;GS344,""),IF(AND(GV344&lt;&gt;"",GV344&lt;&gt;"ok"),GV344,""),IF(GW344&lt;&gt;"",GW344,""),IF(AND(N(BV344)&gt;=4,N(BR344)=1),BV344&amp;" жил на 1 фазе",""),IF(AND(AX344="R",CA344=1,OR(N(CK344)=0,N(CK344)&gt;30)),"розетка без дифзащиты до 30 мА",""),IFERROR(IF(AND(ISNUMBER(R344),R344&gt;DV344),"потери "&amp;FIXED(R344,1)&amp;" % &gt; "&amp;DV344&amp;" %",""),""),IFERROR(IF(LEFT(GZ344,4)="мало","Iкз мало — отключение &gt; 0,4 с",""),""),IF(AND(B344&lt;&gt;"",BH344=""),"не на схеме",""),IF(AND(CA344=0,B344&lt;&gt;"",FE344&lt;&gt;"",IF(AW344=1,"",FF343)&lt;&gt;"",FE344&lt;&gt;IF(AW344=1,"",FF343)),"фаза не как у автомата группы ("&amp;IF(AW344=1,"",FF343)&amp;")","")))</f>
        <v>потери 7,3 % &gt; 4 %</v>
      </c>
      <c r="HB344" s="6">
        <f>IF(OR(CA344=0,DA344=""),"",_xlfn.LET(_xlpm.t,IFERROR(_xlfn.XLOOKUP(DA344,Каталог!$U$4:$U$500,Каталог!$G$4:$G$500),""),_xlpm.k,SEARCH("кА",_xlpm.t),IFERROR(--TRIM(RIGHT(SUBSTITUTE(MID(_xlpm.t,MAX(1,_xlpm.k-4),_xlpm.k-MAX(1,_xlpm.k-4))," ",REPT(" ",9)),5)),"")))</f>
        <v>6</v>
      </c>
      <c r="HC344" t="str">
        <f>IF(OR(HB344="",CA344=0),"",IF(_xlfn.XLOOKUP(A344,Щиты[Щит],Щиты[Iкз max на шинах, кА],"")="","",IF(HB344&lt;_xlfn.XLOOKUP(A344,Щиты[Щит],Щиты[Iкз max на шинах, кА]),"Icu "&amp;HB344&amp;" кА &lt; Iкз max","ok")))</f>
        <v/>
      </c>
      <c r="HD344" t="str">
        <f t="shared" si="713"/>
        <v/>
      </c>
      <c r="HE344" t="str">
        <f t="shared" si="714"/>
        <v>QF3</v>
      </c>
      <c r="HF344" t="str">
        <f t="shared" si="715"/>
        <v xml:space="preserve">QF3|кабель ВВГнг(А)-LS (3х4) → </v>
      </c>
      <c r="HG344" t="str" cm="1">
        <f t="array" ref="HG344">IF(HF344="","",_xlfn.LET(_xlpm.nd,_xlfn.TEXTSPLIT(HF344,"|"),IF(COLUMNS(_xlpm.nd)&gt;1,A344&amp;"¦"&amp;INDEX(_xlpm.nd,1)&amp;"¦"&amp;INDEX(_xlpm.nd,2),"")))</f>
        <v xml:space="preserve">ЩУОВ¦QF3¦кабель ВВГнг(А)-LS (3х4) → </v>
      </c>
      <c r="HH344" t="str">
        <f t="shared" si="716"/>
        <v>OV.2.002Г.1¦</v>
      </c>
      <c r="HI344" t="str" cm="1">
        <f t="array" ref="HI344">IF(HF344="","",_xlfn.LET(_xlpm.nd,_xlfn.TEXTSPLIT(HF344,"|"),IF(COLUMNS(_xlpm.nd)&gt;2,A344&amp;"¦"&amp;INDEX(_xlpm.nd,2)&amp;"¦"&amp;INDEX(_xlpm.nd,3),"")))</f>
        <v/>
      </c>
      <c r="HJ344" t="str">
        <f t="shared" si="717"/>
        <v/>
      </c>
      <c r="HK344" t="str" cm="1">
        <f t="array" ref="HK344">IF(HF344="","",_xlfn.LET(_xlpm.nd,_xlfn.TEXTSPLIT(HF344,"|"),IF(COLUMNS(_xlpm.nd)&gt;3,A344&amp;"¦"&amp;INDEX(_xlpm.nd,3)&amp;"¦"&amp;INDEX(_xlpm.nd,4),"")))</f>
        <v/>
      </c>
      <c r="HL344" t="str">
        <f t="shared" si="718"/>
        <v/>
      </c>
      <c r="HM344" t="str" cm="1">
        <f t="array" ref="HM344">IF(HF344="","",_xlfn.LET(_xlpm.nd,_xlfn.TEXTSPLIT(HF344,"|"),IF(COLUMNS(_xlpm.nd)&gt;4,A344&amp;"¦"&amp;INDEX(_xlpm.nd,4)&amp;"¦"&amp;INDEX(_xlpm.nd,5),"")))</f>
        <v/>
      </c>
      <c r="HN344" t="str">
        <f t="shared" si="719"/>
        <v/>
      </c>
      <c r="HO344" t="str" cm="1">
        <f t="array" ref="HO344">IF(HF344="","",_xlfn.LET(_xlpm.nd,_xlfn.TEXTSPLIT(HF344,"|"),IF(COLUMNS(_xlpm.nd)&gt;5,A344&amp;"¦"&amp;INDEX(_xlpm.nd,5)&amp;"¦"&amp;INDEX(_xlpm.nd,6),"")))</f>
        <v/>
      </c>
      <c r="HP344" t="str">
        <f t="shared" si="720"/>
        <v/>
      </c>
      <c r="HQ344" t="str" cm="1">
        <f t="array" ref="HQ344">IF(HF344="","",_xlfn.LET(_xlpm.nd,_xlfn.TEXTSPLIT(HF344,"|"),IF(COLUMNS(_xlpm.nd)&gt;6,A344&amp;"¦"&amp;INDEX(_xlpm.nd,6)&amp;"¦"&amp;INDEX(_xlpm.nd,7),"")))</f>
        <v/>
      </c>
      <c r="HR344" t="str">
        <f t="shared" si="721"/>
        <v/>
      </c>
      <c r="HS344" t="str">
        <f t="shared" si="722"/>
        <v/>
      </c>
      <c r="HT344" t="str">
        <f t="shared" si="723"/>
        <v>QF3</v>
      </c>
      <c r="HU344">
        <f t="shared" si="724"/>
        <v>0</v>
      </c>
      <c r="HV344">
        <f t="shared" si="725"/>
        <v>0</v>
      </c>
      <c r="HW344" t="str">
        <f t="shared" si="726"/>
        <v/>
      </c>
      <c r="HX344" t="str">
        <f t="shared" si="727"/>
        <v/>
      </c>
      <c r="HY344" t="str">
        <f t="shared" si="728"/>
        <v/>
      </c>
      <c r="HZ344" t="str">
        <f t="shared" si="729"/>
        <v/>
      </c>
      <c r="IA344" t="str">
        <f>IF(B344="","",IFERROR(VLOOKUP(B344,УГО_спр,2,FALSE),IFERROR(VLOOKUP(AX344,УГО_спр,2,FALSE),IFERROR(VLOOKUP(LEFT(AX344,2),УГО_спр,2,FALSE),""))))</f>
        <v/>
      </c>
      <c r="IB344" t="str">
        <f>IF(B344="","",IF(OR(IA344="",IA344=0),"BOX",IFERROR(IF(VLOOKUP(IA344,УГО_блоки,3,FALSE)&amp;""&lt;&gt;"",VLOOKUP(IA344,УГО_блоки,3,FALSE),VLOOKUP(IA344,УГО_блоки,2,FALSE)),IA344)))</f>
        <v>BOX</v>
      </c>
      <c r="IC344">
        <f t="shared" si="730"/>
        <v>1</v>
      </c>
      <c r="ID344" t="str">
        <f>IF(DA344="","",IF(COUNTIF(DA$3:DA344,DA344)=1,MAX(ID$2:ID343)+1,""))</f>
        <v/>
      </c>
      <c r="IE344" t="str">
        <f>IF(CO344="","",IF(COUNTIF(CO$3:CO344,CO344)+COUNTIF(CP$2:CP343,CO344)+COUNTIF(CQ$2:CQ343,CO344)=1,MAX(IE$2:IG343)+1,""))</f>
        <v/>
      </c>
      <c r="IF344" t="str">
        <f>IF(CP344="","",IF(COUNTIF(CO$3:CO344,CP344)+COUNTIF(CP$3:CP344,CP344)+COUNTIF(CQ$2:CQ343,CP344)=1,MAX(IE$2:IG343,IE344)+1,""))</f>
        <v/>
      </c>
      <c r="IG344" t="str">
        <f>IF(CQ344="","",IF(COUNTIF(CO$3:CO344,CQ344)+COUNTIF(CP$3:CP344,CQ344)+COUNTIF(CQ$3:CQ344,CQ344)=1,MAX(IE$2:IG343,IE344,IF344)+1,""))</f>
        <v/>
      </c>
      <c r="IH344" t="str">
        <f t="shared" si="731"/>
        <v>3х4</v>
      </c>
      <c r="II344" t="str">
        <f>IF(IH344="","",IF(COUNTIF(IH$3:IH344,IH344)=1,MAX(II$2:II343)+1,""))</f>
        <v/>
      </c>
      <c r="IJ344" t="str">
        <f>IF(GL344="","",COUNTIF(GL$3:GL344,"?*"))</f>
        <v/>
      </c>
      <c r="IK344" t="str">
        <f>IF(OR(GL344="",GN344=""),"",IF(COUNTIFS(GL$3:GL344,"?*",GN$3:GN344,GN344)=1,MAX(IK$2:IK343)+1,""))</f>
        <v/>
      </c>
      <c r="IL344">
        <f t="shared" si="732"/>
        <v>1</v>
      </c>
      <c r="IM344">
        <f>IF(B344="","",COUNTIF(B$3:B344,"?*"))</f>
        <v>342</v>
      </c>
      <c r="IN344">
        <f>IF(GQ344&lt;&gt;1,0,_xlfn.LET(_xlpm.k,MAX(IFERROR(--VLOOKUP(B344,УГО_спр,5,FALSE),0),IFERROR(--VLOOKUP(AX344,УГО_спр,5,FALSE),0),IFERROR(--VLOOKUP(LEFT(AX344,2),УГО_спр,5,FALSE),0)),IF(_xlpm.k&gt;0,_xlpm.k,IF(IFERROR(--LEFT(SUBSTITUTE(IH344,"x","х"),FIND("х",SUBSTITUTE(IH344,"x","х"))-1),3)&gt;3,Каталог!$S$9,1))))</f>
        <v>1</v>
      </c>
      <c r="IO344">
        <f t="shared" si="733"/>
        <v>0</v>
      </c>
      <c r="IP344" t="str">
        <f t="shared" si="734"/>
        <v>авто</v>
      </c>
      <c r="IQ344" t="str">
        <f t="shared" si="735"/>
        <v/>
      </c>
      <c r="IR344">
        <f t="shared" si="736"/>
        <v>0</v>
      </c>
      <c r="IS344">
        <f t="shared" si="737"/>
        <v>1</v>
      </c>
    </row>
    <row r="345" spans="1:253" x14ac:dyDescent="0.3">
      <c r="A345" t="s">
        <v>771</v>
      </c>
      <c r="B345" t="s">
        <v>1602</v>
      </c>
      <c r="C345" t="str">
        <f>Линии[[#This Row],[_авто наименование]]</f>
        <v/>
      </c>
      <c r="D345">
        <v>2</v>
      </c>
      <c r="E345">
        <v>0.96</v>
      </c>
      <c r="G345">
        <v>16</v>
      </c>
      <c r="H345" t="str">
        <f>Линии[[#This Row],[_авто утечка]]</f>
        <v/>
      </c>
      <c r="I345" t="str">
        <f>Линии[[#This Row],[_авто управление]]</f>
        <v/>
      </c>
      <c r="J345" t="str">
        <f>Линии[[#This Row],[_авто аппараты]]</f>
        <v/>
      </c>
      <c r="K345">
        <v>2.5</v>
      </c>
      <c r="L345">
        <v>44</v>
      </c>
      <c r="M345">
        <v>2</v>
      </c>
      <c r="N345" t="str">
        <f>Линии[[#This Row],[_авто клемма]]</f>
        <v>XT4</v>
      </c>
      <c r="O345" t="str">
        <f t="shared" si="615"/>
        <v/>
      </c>
      <c r="P345" s="6" cm="1">
        <f t="array" ref="P345">IF(B345="","",IF(BC345&lt;&gt;"",IFERROR(_xlfn.XLOOKUP(BC345,Щиты[Щит],Щиты[Iр, А]),""),IF(BK345=1,IFERROR(_xlfn.XLOOKUP(A345,Щиты[Щит],Щиты[Iр, А]),""),IFERROR(_xlfn.IFS(BR345=1,BN345/((Uн_лин/SQRT(3))*BY345),BR345=3,BN345/(SQRT(3)*Uн_лин*BY345)),""))))</f>
        <v>4.3757073033319003</v>
      </c>
      <c r="Q345" s="7">
        <f>IF(B345="","",IFERROR(IF(VLOOKUP(AX345,Потребители_обозначение,4,FALSE)=1,VLOOKUP(AX345,Потребители_обозначение,3,FALSE)*(D345*2-1)+DS345+VLOOKUP(AZ345,Этаж_обозначение,3,FALSE)+VLOOKUP(AZ345,Этаж_обозначение,4,FALSE),VLOOKUP(AX345,Потребители_обозначение,3,FALSE)*(D345*2-1)+DS345),DS345))</f>
        <v>44</v>
      </c>
      <c r="R345" s="6">
        <f t="shared" si="616"/>
        <v>3.9299999999999997</v>
      </c>
      <c r="S345" t="str">
        <f t="shared" si="617"/>
        <v>ВВГнг(А)-LS (3х2,5)</v>
      </c>
      <c r="T345" t="str">
        <f>IF(BH345="","",IF(BI345="вводной узел","узел ","")&amp;"л."&amp;(INT((BH345-1)/Столбцов_на_лист)+1)&amp;" / "&amp;(MOD(BH345-1,Столбцов_на_лист)+1))</f>
        <v>л.2 / 10</v>
      </c>
      <c r="V345">
        <v>1</v>
      </c>
      <c r="W345">
        <v>230</v>
      </c>
      <c r="X345" t="s">
        <v>575</v>
      </c>
      <c r="AC345" t="s">
        <v>815</v>
      </c>
      <c r="AE345" t="s">
        <v>611</v>
      </c>
      <c r="AI345">
        <v>27</v>
      </c>
      <c r="AJ345" t="s">
        <v>11</v>
      </c>
      <c r="AK345">
        <v>3</v>
      </c>
      <c r="AM345">
        <v>7</v>
      </c>
      <c r="AN345">
        <v>17</v>
      </c>
      <c r="AO345">
        <v>20</v>
      </c>
      <c r="AP345">
        <v>1</v>
      </c>
      <c r="AW345" cm="1">
        <f t="array" ref="AW345">ROW()-ROW(Линии[#Headers])</f>
        <v>343</v>
      </c>
      <c r="AX345" s="6" t="str">
        <f t="shared" si="618"/>
        <v>OV</v>
      </c>
      <c r="AY345" t="str">
        <f t="shared" si="619"/>
        <v>2.003Г.1</v>
      </c>
      <c r="AZ345" t="str">
        <f t="shared" si="620"/>
        <v>2</v>
      </c>
      <c r="BA345" t="str">
        <f t="shared" si="621"/>
        <v>003Г.1</v>
      </c>
      <c r="BB345" t="str">
        <f t="shared" si="622"/>
        <v>003Г</v>
      </c>
      <c r="BC345" t="str">
        <f>IF(U345&lt;&gt;"",U345,IF(AND(B345&lt;&gt;"",B345&lt;&gt;A345,ISNUMBER(_xlfn.XMATCH(B345,Щиты[Щит]))),B345,""))</f>
        <v/>
      </c>
      <c r="BD345" t="str" cm="1">
        <f t="array" ref="BD345">IF(B345="","",IF(BC345&lt;&gt;"","Щит "&amp;BC345,_xlfn.LET(_xlpm.nm,IFERROR(_xlfn.XLOOKUP(AX345,Коды_код,Коды_имя)&amp;"",""),_xlpm.md,IFERROR(N(_xlfn.XLOOKUP(AX345,Коды_код,Коды_режим)),1),_xlpm.ex,IF(Имя_режим="по экспликации",IFERROR(_xlfn.XLOOKUP(AZ345&amp;"|"&amp;BB345,Экспликация[Этаж]&amp;"|"&amp;Экспликация[Помещение],Экспликация[Название])&amp;"",""),""),_xlpm.rm,IF(BB345="","",IF(_xlpm.ex&lt;&gt;"",". "&amp;_xlpm.ex&amp;IF(Имя_пом="нет"," ("&amp;BB345&amp;")"," (пом. "&amp;BB345&amp;")"),IF(Имя_пом="нет"," ",", пом. ")&amp;BB345)),IF(_xlpm.nm="","",IF(_xlpm.md=2,_xlpm.nm&amp;" шлейф "&amp;AZ345,_xlpm.nm&amp;_xlpm.rm)))))</f>
        <v/>
      </c>
      <c r="BE345" t="str">
        <f t="shared" si="623"/>
        <v/>
      </c>
      <c r="BF345">
        <f>IFERROR(_xlfn.XMATCH(A345,Щиты[Щит]),0)</f>
        <v>17</v>
      </c>
      <c r="BG345">
        <f>_xlfn.LET(_xlpm.k,IFERROR(_xlfn.XLOOKUP(A345,Щиты[Щит],Щиты[Листов под вводной узел]),""),IF(_xlpm.k="",1,N(_xlpm.k))*Столбцов_на_лист)</f>
        <v>17</v>
      </c>
      <c r="BH345">
        <f t="shared" si="624"/>
        <v>27</v>
      </c>
      <c r="BI345" t="str">
        <f t="shared" si="625"/>
        <v>линии</v>
      </c>
      <c r="BJ345" s="6">
        <f>IFERROR(N(_xlfn.XLOOKUP(AX345,Коды_код,Коды_квт)),0)</f>
        <v>0</v>
      </c>
      <c r="BK345">
        <f t="shared" si="626"/>
        <v>0</v>
      </c>
      <c r="BL345" t="str">
        <f>IF(B345="","",IF(BC345&lt;&gt;"",IFERROR(_xlfn.XLOOKUP(BC345,Щиты[Щит],Щиты[Руст, кВт]),0),IF(BK345=1,IFERROR(_xlfn.XLOOKUP(A345,Щиты[Щит],Щиты[Руст, кВт]),0),IF(BJ345&gt;0,ROUND(BJ345*MAX(1,N(D345)),3),""))))</f>
        <v/>
      </c>
      <c r="BM345">
        <f t="shared" si="627"/>
        <v>0.96</v>
      </c>
      <c r="BN345" s="6">
        <f>IF(B345="","",IF(BC345&lt;&gt;"",IFERROR(_xlfn.XLOOKUP(BC345,Щиты[Щит],Щиты[Руст, кВт]),0),N(BM345)))</f>
        <v>0.96</v>
      </c>
      <c r="BO345" t="str">
        <f>IF(B345="","",IFERROR(IF(VLOOKUP(AX345,Потребители_обозначение,8,FALSE)=0,"",VLOOKUP(AX345,Потребители_обозначение,8,FALSE)),""))</f>
        <v/>
      </c>
      <c r="BP345">
        <f t="shared" si="628"/>
        <v>230</v>
      </c>
      <c r="BQ345">
        <f>IF(B345="","",IF(BC345&lt;&gt;"",3,IFERROR(IF(N(VLOOKUP(AX345,Потребители_обозначение,9,FALSE))=0,1,VLOOKUP(AX345,Потребители_обозначение,9,FALSE)),1)))</f>
        <v>1</v>
      </c>
      <c r="BR345">
        <f t="shared" si="629"/>
        <v>1</v>
      </c>
      <c r="BS345" t="str">
        <f>IF(B345="","",_xlfn.LET(_xlpm.bc,IFERROR(IF(VLOOKUP(AX345,Потребители_обозначение,6,FALSE)=0,"",VLOOKUP(AX345,Потребители_обозначение,6,FALSE)&amp;""),""),IF(AND(FK345="да",OR(_xlpm.bc="",_xlpm.bc="мс")),Марка_пож,IF(AND(_xlpm.bc="",BC345&lt;&gt;""),"мс",_xlpm.bc))))</f>
        <v/>
      </c>
      <c r="BT345" t="str">
        <f t="shared" si="630"/>
        <v>мс</v>
      </c>
      <c r="BU345">
        <f>IF(B345="","",_xlfn.LET(_xlpm.cc,IFERROR(N(VLOOKUP(AX345,Потребители_обозначение,7,FALSE)),0),IF(_xlpm.cc&gt;0,_xlpm.cc,IF(BT345="","",IF(N(BR345)=3,5,3)))))</f>
        <v>3</v>
      </c>
      <c r="BV345">
        <f t="shared" si="631"/>
        <v>3</v>
      </c>
      <c r="BW345">
        <f>IFERROR(N(VLOOKUP(AX345,Потребители_обозначение,10,FALSE)),0)</f>
        <v>0</v>
      </c>
      <c r="BX345">
        <f>IFERROR(VLOOKUP(AX345,Потребители_обозначение,5,FALSE),0)</f>
        <v>0</v>
      </c>
      <c r="BY345" s="6" cm="1">
        <f t="array" ref="BY345">IF(B345="","",IF(BC345&lt;&gt;"",IFERROR(_xlfn.XLOOKUP(BC345,Щиты[Щит],Щиты[cos φ]),0.95),IF(BK345=1,IFERROR(_xlfn.XLOOKUP(A345,Щиты[Щит],Щиты[cos φ]),0.95),IF(ISNUMBER(Z345),Z345,IFERROR(IF(BX345=2,_xlfn.IFS(BR345=3,VLOOKUP(BN345,Справочная_двигатели,8,FALSE),BR345=1,VLOOKUP(BN345,Справочная_двигатели,10,TRUE)),IF(AND(Методика="нормы 2026",EQ345="Сил"),0.8,0.95)),0.95)))))</f>
        <v>0.95</v>
      </c>
      <c r="BZ345">
        <f t="shared" si="632"/>
        <v>0</v>
      </c>
      <c r="CA345">
        <f t="shared" si="633"/>
        <v>1</v>
      </c>
      <c r="CB345">
        <f t="shared" si="634"/>
        <v>0</v>
      </c>
      <c r="CC345">
        <f t="shared" si="635"/>
        <v>0</v>
      </c>
      <c r="CD345">
        <f t="shared" si="636"/>
        <v>0</v>
      </c>
      <c r="CE345">
        <f t="shared" si="637"/>
        <v>0</v>
      </c>
      <c r="CF345">
        <f t="shared" si="638"/>
        <v>0</v>
      </c>
      <c r="CG345">
        <f>IF(AX345="",0,_xlfn.LET(_xlpm.v,IFERROR(VLOOKUP(B345,УГО_спр,3,FALSE),IFERROR(VLOOKUP(AX345,УГО_спр,3,FALSE),IFERROR(VLOOKUP(LEFT(AX345,2),УГО_спр,3,FALSE),""))),IF(_xlpm.v="да",30,IF(ISNUMBER(_xlpm.v),_xlpm.v,0))))</f>
        <v>0</v>
      </c>
      <c r="CH345" t="str">
        <f t="shared" si="639"/>
        <v/>
      </c>
      <c r="CI345" t="str">
        <f>_xlfn.LET(_xlpm.k,IFERROR(_xlfn.XLOOKUP(AX345,Коды_код,Коды_утечка)&amp;"",""),IF(_xlpm.k="","дифавтомат",_xlpm.k))</f>
        <v>дифавтомат</v>
      </c>
      <c r="CJ345">
        <f t="shared" si="640"/>
        <v>0</v>
      </c>
      <c r="CK345">
        <f t="shared" si="641"/>
        <v>0</v>
      </c>
      <c r="CL345">
        <f>IF(B345="",0,IFERROR(--VLOOKUP(B345,УГО_спр,4,FALSE),IFERROR(--VLOOKUP(AX345,УГО_спр,4,FALSE),IFERROR(--VLOOKUP(LEFT(AX345,2),УГО_спр,4,FALSE),0))))</f>
        <v>0</v>
      </c>
      <c r="CM345" t="str">
        <f>IF(B345="","",IFERROR(_xlfn.XLOOKUP(AX345,Коды_код,Коды_апп)&amp;"",""))</f>
        <v/>
      </c>
      <c r="CN345" t="str">
        <f t="shared" si="642"/>
        <v/>
      </c>
      <c r="CO345" t="str" cm="1">
        <f t="array" ref="CO345">IF(TRIM(CN345&amp;"")="","",IFERROR(TRIM(INDEX(_xlfn.TEXTSPLIT(CN345&amp;";;;",";"),1)),""))</f>
        <v/>
      </c>
      <c r="CP345" t="str" cm="1">
        <f t="array" ref="CP345">IF(TRIM(CN345&amp;"")="","",IFERROR(TRIM(INDEX(_xlfn.TEXTSPLIT(CN345&amp;";;;",";"),2)),""))</f>
        <v/>
      </c>
      <c r="CQ345" t="str" cm="1">
        <f t="array" ref="CQ345">IF(TRIM(CN345&amp;"")="","",IFERROR(TRIM(INDEX(_xlfn.TEXTSPLIT(CN345&amp;";;;",";"),3)),""))</f>
        <v/>
      </c>
      <c r="CR345">
        <f t="shared" si="643"/>
        <v>0</v>
      </c>
      <c r="CS345" t="str">
        <f>IF(B345="","",_xlfn.LET(_xlpm.t,LOWER(AV345&amp;""),IF(ISNUMBER(SEARCH("dim",_xlpm.t)),"DIM",IF(ISNUMBER(SEARCH("dali",_xlpm.t)),"DALI",IF(OR(ISNUMBER(SEARCH("relay",_xlpm.t)),ISNUMBER(SEARCH("реле",_xlpm.t))),"Relay",IF(ISNUMBER(SEARCH("кнопк",_xlpm.t)),"",IFERROR(_xlfn.XLOOKUP(AX345,Коды_код,Коды_упр)&amp;"","")))))))</f>
        <v/>
      </c>
      <c r="CT345" t="str">
        <f t="shared" si="644"/>
        <v/>
      </c>
      <c r="CU345">
        <f>IF(B345="","",_xlfn.LET(_xlpm.ig,N(P345)+IF(AF345="вручную",0,N(CB345)),_xlpm.n0,IFERROR(VLOOKUP(_xlpm.ig,Автомат_номиналы,2,TRUE),0),_xlpm.mn,MAX(CL345,IF(AF345="вручную",0,N(CE345))),MAX(_xlpm.n0,_xlpm.mn,IF(CR345=1,Мин_автомат_БП,0))))</f>
        <v>6</v>
      </c>
      <c r="CV345">
        <f t="shared" si="645"/>
        <v>1</v>
      </c>
      <c r="CW345" t="str">
        <f t="shared" si="646"/>
        <v>1P</v>
      </c>
      <c r="CX345" t="str">
        <f>_xlfn.LET(_xlpm.cc,UPPER(TRIM(IFERROR(_xlfn.XLOOKUP(AX345,Коды_код,Коды_хар)&amp;"",""))),IF(OR(_xlpm.cc="B",_xlpm.cc="В"),"B",IF(_xlpm.cc="D","D","С")))</f>
        <v>С</v>
      </c>
      <c r="CY345" t="str">
        <f t="shared" si="647"/>
        <v>1P С6А</v>
      </c>
      <c r="CZ345">
        <f t="shared" si="648"/>
        <v>16</v>
      </c>
      <c r="DA345" t="str">
        <f t="shared" si="649"/>
        <v>1P С16А</v>
      </c>
      <c r="DB345" cm="1">
        <f t="array" ref="DB345">IF(DA345="","",_xlfn.LET(_xlpm.t,SUBSTITUTE(SUBSTITUTE(SUBSTITUTE(UPPER(DA345),"С","C"),"А","A"),"В","B"),_xlpm.tk,_xlfn.TEXTSPLIT(_xlpm.t,"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5" t="str">
        <f t="shared" si="650"/>
        <v>ok</v>
      </c>
      <c r="DD345">
        <f t="shared" si="651"/>
        <v>16</v>
      </c>
      <c r="DE345" t="str">
        <f t="shared" si="652"/>
        <v>1P С16А</v>
      </c>
      <c r="DF345">
        <f t="shared" si="653"/>
        <v>0</v>
      </c>
      <c r="DG345">
        <f t="shared" si="654"/>
        <v>0</v>
      </c>
      <c r="DH345">
        <f t="shared" si="655"/>
        <v>0</v>
      </c>
      <c r="DI345">
        <f t="shared" si="656"/>
        <v>4.3757073033319003</v>
      </c>
      <c r="DJ345">
        <f t="shared" si="657"/>
        <v>1</v>
      </c>
      <c r="DK345">
        <f>IF(ISNUMBER(AL345),AL345,К_прокл)</f>
        <v>1</v>
      </c>
      <c r="DL345">
        <f t="shared" si="658"/>
        <v>2</v>
      </c>
      <c r="DM345">
        <f>IFERROR(N(VLOOKUP(BT345,Кабель_обозначение,3,FALSE)),1)</f>
        <v>1</v>
      </c>
      <c r="DN345">
        <f>IFERROR(N(_xlfn.XLOOKUP(A345,Щиты[Щит],Щиты[ΔU до шин, %])),0)</f>
        <v>2.4899999999999998</v>
      </c>
      <c r="DO345" t="str">
        <f>IFERROR(_xlfn.XLOOKUP(A345,Щиты[Щит],Щиты[Zпетли на шинах, Ом]),"")</f>
        <v/>
      </c>
      <c r="DP345">
        <f>IFERROR(N(_xlfn.XLOOKUP(A345,Щиты[Щит],Щиты[ΔU до шин (подбор), %])),0)</f>
        <v>3.73</v>
      </c>
      <c r="DQ345" t="str">
        <f>IFERROR(_xlfn.XLOOKUP(A345,Щиты[Щит],Щиты[Zпетли на шинах (подбор), Ом]),"")</f>
        <v/>
      </c>
      <c r="DR345" t="str">
        <f t="shared" si="659"/>
        <v/>
      </c>
      <c r="DS345">
        <f t="shared" si="660"/>
        <v>44</v>
      </c>
      <c r="DT345">
        <f t="shared" si="661"/>
        <v>2</v>
      </c>
      <c r="DU345">
        <f t="shared" si="662"/>
        <v>0.31</v>
      </c>
      <c r="DV345" s="6">
        <f>IF(B345="","",IF(IFERROR(VLOOKUP(AX345,УГО_спр,2,FALSE),"")="Светильник",3,4)+IF(Методика="нормы 2026",MIN(0.5,MAX(0,N(Q345)-100)*0.005),0))</f>
        <v>4</v>
      </c>
      <c r="DW345" cm="1">
        <f t="array" ref="DW345">IF(OR(B345="",BT345="",DM345&lt;&gt;1),"",_xlfn.LET(_xlpm.sz,Iдоп_S,_xlpm.t_,CHOOSE(DL345,Iдоп_1ж,Iдоп_2ж,Iдоп_3ж)*DJ345*DK345,_xlpm.inn,N(DD345),_xlpm.smin,MAX(1.5,BW345),_xlpm.L_,N(Q345)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345)*(_xlpm.rho*_xlpm.L_/_xlpm.sz*N(BY345)+_xlpm.xx*_xlpm.L_*N(DU345)/1000)*N(P345)/((Uн_лин/SQRT(3))*1000)*100,999),_xlpm.kz,IF(OR(DG345=1,NOT(ISNUMBER(DQ345)),_xlpm.L_=0,_xlpm.inn=0),1,IFERROR(--(c_min*(Uн_лин*1000/SQRT(3))/(DQ345+2*ρкз_Cu*_xlpm.L_/_xlpm.sz)&gt;=GY345*_xlpm.inn),0)),_xlpm.ok,IFERROR((_xlpm.sz&gt;=_xlpm.smin)*(_xlpm.t_&gt;=_xlpm.inn)*IF(_xlpm.L_&gt;0,(_xlpm.du_+DP345&lt;=DV345+0.00001),1)*_xlpm.kz,0),_xlpm.r_,_xlfn._xlws.FILTER(_xlpm.sz,_xlpm.ok,"не подобрано"),INDEX(_xlpm.r_,1)))</f>
        <v>16</v>
      </c>
      <c r="DX345">
        <f t="shared" si="663"/>
        <v>2.5</v>
      </c>
      <c r="DY345" cm="1">
        <f t="array" ref="DY345">IF(OR(B345="",BT345="",DM345&lt;&gt;1),"",_xlfn.LET(_xlpm.sz,Iдоп_S,_xlpm.t_,CHOOSE(DL345,Iдоп_1ж,Iдоп_2ж,Iдоп_3ж)*DJ345*DK345,_xlpm.ok,IFERROR((_xlpm.sz&gt;=MAX(1.5,BW345))*(_xlpm.t_&gt;=N(DD345)),0),_xlpm.r_,_xlfn._xlws.FILTER(_xlpm.sz,_xlpm.ok,""),INDEX(_xlpm.r_,1)))</f>
        <v>1.5</v>
      </c>
      <c r="DZ345" s="6" cm="1">
        <f t="array" ref="DZ345">IFERROR(ROUNDUP(N(DT345)*(_xlfn.XLOOKUP(DY345,INDEX(Кабель_сопротивление,0,1),INDEX(Кабель_сопротивление,0,3))*N(Q345)/DY345*N(BY345)+_xlfn.XLOOKUP(DY345,INDEX(Кабель_сопротивление,0,1),INDEX(Кабель_сопротивление,0,2))*N(Q345)*N(DU345)/1000)*N(P345)/((Uн_лин/SQRT(3))*1000)*100,2),"")</f>
        <v>2.3899999999999997</v>
      </c>
      <c r="EA345">
        <f>IFERROR(2*ρкз_Cu*N(Q345)/DY345,"")</f>
        <v>1.5429333333333333</v>
      </c>
      <c r="EB345">
        <f>IFERROR(VLOOKUP(DX345,Кабель_сопротивление,3,FALSE),"")</f>
        <v>2.2499999999999999E-2</v>
      </c>
      <c r="EC345">
        <f>IFERROR(VLOOKUP(DX345,Кабель_сопротивление,2,FALSE),"")</f>
        <v>0.1</v>
      </c>
      <c r="ED345">
        <f t="shared" si="664"/>
        <v>17</v>
      </c>
      <c r="EE345">
        <f t="shared" si="665"/>
        <v>20</v>
      </c>
      <c r="EF345">
        <f t="shared" si="666"/>
        <v>3.3042191045504108</v>
      </c>
      <c r="EG345" s="6">
        <f>IFERROR(ROUNDUP(EF345/((Uн_лин/SQRT(3))*1000)*100,2),"")</f>
        <v>1.44</v>
      </c>
      <c r="EH345" t="str">
        <f>IFERROR(VLOOKUP(BT345,Кабель_обозначение,2,FALSE),"")</f>
        <v>ВВГнг(А)-LS</v>
      </c>
      <c r="EI345" t="str">
        <f t="shared" si="667"/>
        <v>ВВГнг(А)-LS (3х2,5)</v>
      </c>
      <c r="EJ345" t="str">
        <f t="shared" si="668"/>
        <v>ВВГнг(А)-LS (3х2,5)
L=44-1,44%</v>
      </c>
      <c r="EK345">
        <f>IFERROR(2*ρкз_Cu*Q345/DX345,"")</f>
        <v>0.92576000000000003</v>
      </c>
      <c r="EL345">
        <f t="shared" si="669"/>
        <v>0.308</v>
      </c>
      <c r="EM345" s="6" t="str">
        <f>IFERROR(IF(OR(B345="",NOT(ISNUMBER(DX345)),N(Q345)=0),"",_xlfn.XLOOKUP(A345,Щиты[Щит],Щиты[Zпетли на шинах, Ом])+EK345),"")</f>
        <v/>
      </c>
      <c r="EN345" s="6" t="str">
        <f>IF(ISNUMBER(EM345),c_min*(Uн_лин*1000/SQRT(3))/EM345,"")</f>
        <v/>
      </c>
      <c r="EO345" s="6" t="str">
        <f>IFERROR(IF(OR(B345="",NOT(ISNUMBER(DX345))),"",1.05*(Uн_лин*1000/SQRT(3))/(_xlfn.XLOOKUP(A345,Щиты[Щит],Щиты[Zmax на шинах, Ом])+EL345)/1000),"")</f>
        <v/>
      </c>
      <c r="EP345" s="6" t="str">
        <f>IF(B345="","",IF(ISNUMBER(Y345),"Сил",IF(IFERROR(_xlfn.XLOOKUP(AX345,Коды_код,Коды_группа)&amp;"","")="","Быт",_xlfn.XLOOKUP(AX345,Коды_код,Коды_группа)&amp;"")))</f>
        <v>Быт</v>
      </c>
      <c r="EQ345" s="6" t="str">
        <f t="shared" si="670"/>
        <v>Пост</v>
      </c>
      <c r="ER345" s="6">
        <f>IF(EQ345="Щит","щит",IF(EQ345="","",IF(EQ345="Быт",IFERROR(_xlfn.XLOOKUP(A345,Щиты[Щит],Щиты[Кс быт]),1),IF(EQ345="Сил",IF(ISNUMBER(Y345),Y345,IF(Методика="нормы 2026",IFERROR(_xlfn.XLOOKUP(A345,Щиты[Щит],Щиты[Кс силовых (табл. 7.5)]),1),1)),IF(OR(EQ345="Пост",EQ345="Отоп"),1,IF(EQ345="ВНГ",0.7,0))))))</f>
        <v>1</v>
      </c>
      <c r="ES345">
        <f t="shared" si="671"/>
        <v>1</v>
      </c>
      <c r="ET345">
        <f t="shared" si="672"/>
        <v>0.96</v>
      </c>
      <c r="EU345">
        <f t="shared" si="673"/>
        <v>0</v>
      </c>
      <c r="EV345">
        <f t="shared" si="674"/>
        <v>0</v>
      </c>
      <c r="EW345">
        <f t="shared" si="675"/>
        <v>0.96</v>
      </c>
      <c r="EX345">
        <f t="shared" si="676"/>
        <v>0</v>
      </c>
      <c r="EY345">
        <f t="shared" si="677"/>
        <v>0</v>
      </c>
      <c r="EZ345">
        <f t="shared" si="678"/>
        <v>0.96</v>
      </c>
      <c r="FA345">
        <f t="shared" si="679"/>
        <v>0.91199999999999992</v>
      </c>
      <c r="FB345">
        <f t="shared" si="680"/>
        <v>0.96</v>
      </c>
      <c r="FC345" t="str">
        <f t="shared" si="681"/>
        <v>L2</v>
      </c>
      <c r="FD345" t="str">
        <f>IF(B345="","",IF(CA345=0,IF(AW345=1,"",FF344),IF(OR(N(CV345)&gt;=3,N(BR345)&gt;=3),"L1,L2,L3",IFERROR(_xlfn.TEXTBEFORE(_xlfn.TEXTAFTER(_xlfn.XLOOKUP(A345,Щиты[Щит],Щиты[_фазы авто]),";"&amp;AW345&amp;":"),";"),"L1"))))</f>
        <v>L1</v>
      </c>
      <c r="FE345" t="str">
        <f t="shared" si="682"/>
        <v>L2</v>
      </c>
      <c r="FF345" t="str">
        <f t="shared" si="683"/>
        <v>L2</v>
      </c>
      <c r="FG345" cm="1">
        <f t="array" ref="FG345">IFERROR(IF(BX345=2,_xlfn.IFS(BR345=3,VLOOKUP(BN345,Справочная_двигатели,3,FALSE),BR345=1,VLOOKUP(BN345,Справочная_двигатели,5,TRUE)),0),0)</f>
        <v>0</v>
      </c>
      <c r="FH345">
        <f>IFERROR(IF(BX345=3,VLOOKUP(BN345,Справочная_ЛЭД,2,TRUE),0),0)</f>
        <v>0</v>
      </c>
      <c r="FI345" s="6">
        <f t="shared" si="684"/>
        <v>0</v>
      </c>
      <c r="FJ345" t="str" cm="1">
        <f t="array" ref="FJ345">IF(B345="","",IFERROR(INDEX({"I особая","I","II","III"},MATCH(TRIM(AC345&amp;""),{"I особая","I","II","III"},0)),"III"))</f>
        <v>II</v>
      </c>
      <c r="FK345" t="str">
        <f>IF(B345="","",IF(TRIM(AD345&amp;"")&lt;&gt;"",IF(LOWER(TRIM(AD345&amp;""))="да","да","нет"),IF(IFERROR(_xlfn.XLOOKUP(AX345,Коды_код,Коды_пожарная),"")="да","да","нет")))</f>
        <v>нет</v>
      </c>
      <c r="FL345" t="str">
        <f t="shared" si="685"/>
        <v/>
      </c>
      <c r="FM345" t="str">
        <f t="shared" si="686"/>
        <v>основная</v>
      </c>
      <c r="FN345">
        <f t="shared" si="687"/>
        <v>1</v>
      </c>
      <c r="FO345" t="str" cm="1">
        <f t="array" ref="FO345">IF(B345="","",_xlfn.LET(_xlpm.t,IFERROR(_xlfn.XLOOKUP(1,(Шины[Шина]=FM345)*(((Шины[Щит]=A345)+(Шины[Щит]=""))&gt;0),Шины[Тип]),"")&amp;"",IF(_xlpm.t&lt;&gt;"",_xlpm.t,IF(ISNUMBER(SEARCH("ИБП",FM345)),"ИБП",IF(ISNUMBER(SEARCH("ДГУ",FM345)),"ДГУ","Ввод "&amp;FN345)))))</f>
        <v>Ввод 1</v>
      </c>
      <c r="FP345" t="str">
        <f t="shared" si="688"/>
        <v>Ввод 1</v>
      </c>
      <c r="FQ345" t="str">
        <f>IF(B345="","",IF(OR(FO345="ИБП",FO345="ДГУ"),"I особая",IF(FO345="Одиночная","III",_xlfn.XLOOKUP(A345,Щиты[Щит],Щиты[Категория шины «Ввод»],"III"))))</f>
        <v>II</v>
      </c>
      <c r="FR345">
        <f>IF(B345="",0,IFERROR(MATCH(FJ345,{"III","II","I","I особая"},0),1))</f>
        <v>2</v>
      </c>
      <c r="FS345">
        <f t="shared" si="689"/>
        <v>2</v>
      </c>
      <c r="FT345" t="str">
        <f>IF(B345="","",IF(FR345&gt;IFERROR(MATCH(FQ345,{"III","II","I","I особая"},0),1),"НЕ ОБЕСПЕЧЕНА","ОК"))</f>
        <v>ОК</v>
      </c>
      <c r="FU345" t="str">
        <f>IF(A345="","",_xlfn.XLOOKUP(A345,Щиты[Щит],Щиты[Путь],""))</f>
        <v>|ГРЩ-ЖД|ЩУОВ|</v>
      </c>
      <c r="FV345" t="str">
        <f>IF(B345="","",IF(AE345&lt;&gt;"",AE345,IF(IFERROR(_xlfn.XLOOKUP(AX345,Коды_код,Коды_вид)&amp;"","")="","Прочее",_xlfn.XLOOKUP(AX345,Коды_код,Коды_вид)&amp;"")))</f>
        <v>Обогрев водостоков и кровли</v>
      </c>
      <c r="FW345">
        <f>IF(BH345="","",INT((BH345-1)/Столбцов_на_лист)+1)</f>
        <v>2</v>
      </c>
      <c r="FX345" t="str">
        <f t="shared" si="690"/>
        <v>ВВГнг(А)-LS (3х2,5) L=44-1,44%</v>
      </c>
      <c r="FY345">
        <f t="shared" si="691"/>
        <v>0.96</v>
      </c>
      <c r="FZ345">
        <f t="shared" si="692"/>
        <v>4.38</v>
      </c>
      <c r="GA345">
        <f t="shared" si="693"/>
        <v>1</v>
      </c>
      <c r="GB345">
        <f t="shared" si="694"/>
        <v>0</v>
      </c>
      <c r="GC345">
        <f t="shared" si="695"/>
        <v>1</v>
      </c>
      <c r="GD345">
        <f>IF(BH345="","",IF(AND(CA345=1,GC345=1),COUNTIFS(A$3:A345,A345,CA$3:CA345,1,GC$3:GC345,1),IF(OR(OR(AW345=1,A345&lt;&gt;A344),AF345="вручную",GC345=0),"",IF(AW345=1,"",GE344))))</f>
        <v>4</v>
      </c>
      <c r="GE345">
        <f t="shared" si="696"/>
        <v>4</v>
      </c>
      <c r="GF345">
        <f>IF(B345="","",IFERROR(LOOKUP(INDEX(CHOOSE(DL345,Iдоп_1ж,Iдоп_2ж,Iдоп_3ж),MATCH(DX345,Iдоп_S,0))*DJ345*DK345,{6,10,16,20,25,32,40,50,63,80,100,125,160,200,250,315,400,500,630}),""))</f>
        <v>25</v>
      </c>
      <c r="GG345" t="str">
        <f t="shared" si="697"/>
        <v>QF4</v>
      </c>
      <c r="GH345" t="str">
        <f t="shared" si="698"/>
        <v>QF4</v>
      </c>
      <c r="GI345" t="str">
        <f t="shared" si="699"/>
        <v/>
      </c>
      <c r="GJ345">
        <f t="shared" si="700"/>
        <v>0</v>
      </c>
      <c r="GK345" t="str">
        <f>IF(OR(AG345="",AG345="-"),"",IFERROR(VLOOKUP(AG345,Модули_спр,2,FALSE),"R"))</f>
        <v/>
      </c>
      <c r="GL345" t="str">
        <f>IF(GK345="","",GK345&amp;"."&amp;COUNTIFS(A$3:A345,A345,GK$3:GK345,GK345))</f>
        <v/>
      </c>
      <c r="GM345" t="str">
        <f t="shared" si="701"/>
        <v/>
      </c>
      <c r="GN345" t="str">
        <f t="shared" si="702"/>
        <v/>
      </c>
      <c r="GO345" t="str">
        <f t="shared" si="703"/>
        <v/>
      </c>
      <c r="GP345" t="str">
        <f t="shared" si="704"/>
        <v/>
      </c>
      <c r="GQ345">
        <f t="shared" si="705"/>
        <v>1</v>
      </c>
      <c r="GR345" t="str">
        <f>IF(GQ345=1,"XT"&amp;COUNTIFS(A$3:A345,A345,GQ$3:GQ345,1),"")</f>
        <v>XT4</v>
      </c>
      <c r="GS345" t="str">
        <f t="shared" si="706"/>
        <v>XT4</v>
      </c>
      <c r="GT345" t="str">
        <f t="shared" si="707"/>
        <v>QF4</v>
      </c>
      <c r="GU345" t="str">
        <f t="shared" si="708"/>
        <v/>
      </c>
      <c r="GV345" t="str">
        <f t="shared" si="709"/>
        <v>ok</v>
      </c>
      <c r="GW345" t="str">
        <f>IF(OR(GO345="",GM345=""),"",IF(GO345&gt;IFERROR(VLOOKUP(GN345,Модули_спр,3,FALSE),99),"ЛИШНИЙ КАНАЛ",IF(AND(AH345&lt;&gt;"=",COUNTIFS(Линии[_модуль гр.],GM345,Линии[Канал (итог)],GO345,Линии[Канал],"&lt;&gt;=",Линии[Щит],A345)&gt;1),"ДУБЛЬ КАНАЛА","")))</f>
        <v/>
      </c>
      <c r="GX345" s="6" t="str">
        <f t="shared" si="710"/>
        <v/>
      </c>
      <c r="GY345">
        <f t="shared" si="711"/>
        <v>10</v>
      </c>
      <c r="GZ345" t="str">
        <f t="shared" si="712"/>
        <v/>
      </c>
      <c r="HA345" t="str">
        <f>IF(AND(B345="",GT345=""),"",_xlfn.TEXTJOIN("; ",TRUE,IF(AND(B345&lt;&gt;"",FE345=""),"нет фазы",""),IF(AND(B345&lt;&gt;"",N(FY345)=0,EQ345&lt;&gt;"Нет"),"нет мощности",""),IF(AND(GS345&lt;&gt;"",COUNTIFS(Линии[Щит],A345,Линии[Клемма (итог)],GS345)&gt;1),"дубль клеммы "&amp;GS345,""),IF(AND(GV345&lt;&gt;"",GV345&lt;&gt;"ok"),GV345,""),IF(GW345&lt;&gt;"",GW345,""),IF(AND(N(BV345)&gt;=4,N(BR345)=1),BV345&amp;" жил на 1 фазе",""),IF(AND(AX345="R",CA345=1,OR(N(CK345)=0,N(CK345)&gt;30)),"розетка без дифзащиты до 30 мА",""),IFERROR(IF(AND(ISNUMBER(R345),R345&gt;DV345),"потери "&amp;FIXED(R345,1)&amp;" % &gt; "&amp;DV345&amp;" %",""),""),IFERROR(IF(LEFT(GZ345,4)="мало","Iкз мало — отключение &gt; 0,4 с",""),""),IF(AND(B345&lt;&gt;"",BH345=""),"не на схеме",""),IF(AND(CA345=0,B345&lt;&gt;"",FE345&lt;&gt;"",IF(AW345=1,"",FF344)&lt;&gt;"",FE345&lt;&gt;IF(AW345=1,"",FF344)),"фаза не как у автомата группы ("&amp;IF(AW345=1,"",FF344)&amp;")","")))</f>
        <v/>
      </c>
      <c r="HB345" s="6">
        <f>IF(OR(CA345=0,DA345=""),"",_xlfn.LET(_xlpm.t,IFERROR(_xlfn.XLOOKUP(DA345,Каталог!$U$4:$U$500,Каталог!$G$4:$G$500),""),_xlpm.k,SEARCH("кА",_xlpm.t),IFERROR(--TRIM(RIGHT(SUBSTITUTE(MID(_xlpm.t,MAX(1,_xlpm.k-4),_xlpm.k-MAX(1,_xlpm.k-4))," ",REPT(" ",9)),5)),"")))</f>
        <v>6</v>
      </c>
      <c r="HC345" t="str">
        <f>IF(OR(HB345="",CA345=0),"",IF(_xlfn.XLOOKUP(A345,Щиты[Щит],Щиты[Iкз max на шинах, кА],"")="","",IF(HB345&lt;_xlfn.XLOOKUP(A345,Щиты[Щит],Щиты[Iкз max на шинах, кА]),"Icu "&amp;HB345&amp;" кА &lt; Iкз max","ok")))</f>
        <v/>
      </c>
      <c r="HD345" t="str">
        <f t="shared" si="713"/>
        <v/>
      </c>
      <c r="HE345" t="str">
        <f t="shared" si="714"/>
        <v>QF4|XT4</v>
      </c>
      <c r="HF345" t="str">
        <f t="shared" si="715"/>
        <v xml:space="preserve">QF4|XT4|кабель ВВГнг(А)-LS (3х2,5) → </v>
      </c>
      <c r="HG345" t="str" cm="1">
        <f t="array" ref="HG345">IF(HF345="","",_xlfn.LET(_xlpm.nd,_xlfn.TEXTSPLIT(HF345,"|"),IF(COLUMNS(_xlpm.nd)&gt;1,A345&amp;"¦"&amp;INDEX(_xlpm.nd,1)&amp;"¦"&amp;INDEX(_xlpm.nd,2),"")))</f>
        <v>ЩУОВ¦QF4¦XT4</v>
      </c>
      <c r="HH345" t="str">
        <f t="shared" si="716"/>
        <v>OV.2.003Г.1¦</v>
      </c>
      <c r="HI345" t="str" cm="1">
        <f t="array" ref="HI345">IF(HF345="","",_xlfn.LET(_xlpm.nd,_xlfn.TEXTSPLIT(HF345,"|"),IF(COLUMNS(_xlpm.nd)&gt;2,A345&amp;"¦"&amp;INDEX(_xlpm.nd,2)&amp;"¦"&amp;INDEX(_xlpm.nd,3),"")))</f>
        <v xml:space="preserve">ЩУОВ¦XT4¦кабель ВВГнг(А)-LS (3х2,5) → </v>
      </c>
      <c r="HJ345" t="str">
        <f t="shared" si="717"/>
        <v>OV.2.003Г.1¦</v>
      </c>
      <c r="HK345" t="str" cm="1">
        <f t="array" ref="HK345">IF(HF345="","",_xlfn.LET(_xlpm.nd,_xlfn.TEXTSPLIT(HF345,"|"),IF(COLUMNS(_xlpm.nd)&gt;3,A345&amp;"¦"&amp;INDEX(_xlpm.nd,3)&amp;"¦"&amp;INDEX(_xlpm.nd,4),"")))</f>
        <v/>
      </c>
      <c r="HL345" t="str">
        <f t="shared" si="718"/>
        <v/>
      </c>
      <c r="HM345" t="str" cm="1">
        <f t="array" ref="HM345">IF(HF345="","",_xlfn.LET(_xlpm.nd,_xlfn.TEXTSPLIT(HF345,"|"),IF(COLUMNS(_xlpm.nd)&gt;4,A345&amp;"¦"&amp;INDEX(_xlpm.nd,4)&amp;"¦"&amp;INDEX(_xlpm.nd,5),"")))</f>
        <v/>
      </c>
      <c r="HN345" t="str">
        <f t="shared" si="719"/>
        <v/>
      </c>
      <c r="HO345" t="str" cm="1">
        <f t="array" ref="HO345">IF(HF345="","",_xlfn.LET(_xlpm.nd,_xlfn.TEXTSPLIT(HF345,"|"),IF(COLUMNS(_xlpm.nd)&gt;5,A345&amp;"¦"&amp;INDEX(_xlpm.nd,5)&amp;"¦"&amp;INDEX(_xlpm.nd,6),"")))</f>
        <v/>
      </c>
      <c r="HP345" t="str">
        <f t="shared" si="720"/>
        <v/>
      </c>
      <c r="HQ345" t="str" cm="1">
        <f t="array" ref="HQ345">IF(HF345="","",_xlfn.LET(_xlpm.nd,_xlfn.TEXTSPLIT(HF345,"|"),IF(COLUMNS(_xlpm.nd)&gt;6,A345&amp;"¦"&amp;INDEX(_xlpm.nd,6)&amp;"¦"&amp;INDEX(_xlpm.nd,7),"")))</f>
        <v/>
      </c>
      <c r="HR345" t="str">
        <f t="shared" si="721"/>
        <v/>
      </c>
      <c r="HS345" t="str">
        <f t="shared" si="722"/>
        <v/>
      </c>
      <c r="HT345" t="str">
        <f t="shared" si="723"/>
        <v>QF4 → XT4</v>
      </c>
      <c r="HU345">
        <f t="shared" si="724"/>
        <v>0</v>
      </c>
      <c r="HV345">
        <f t="shared" si="725"/>
        <v>0</v>
      </c>
      <c r="HW345" t="str">
        <f t="shared" si="726"/>
        <v/>
      </c>
      <c r="HX345" t="str">
        <f t="shared" si="727"/>
        <v/>
      </c>
      <c r="HY345" t="str">
        <f t="shared" si="728"/>
        <v/>
      </c>
      <c r="HZ345" t="str">
        <f t="shared" si="729"/>
        <v/>
      </c>
      <c r="IA345" t="str">
        <f>IF(B345="","",IFERROR(VLOOKUP(B345,УГО_спр,2,FALSE),IFERROR(VLOOKUP(AX345,УГО_спр,2,FALSE),IFERROR(VLOOKUP(LEFT(AX345,2),УГО_спр,2,FALSE),""))))</f>
        <v/>
      </c>
      <c r="IB345" t="str">
        <f>IF(B345="","",IF(OR(IA345="",IA345=0),"BOX",IFERROR(IF(VLOOKUP(IA345,УГО_блоки,3,FALSE)&amp;""&lt;&gt;"",VLOOKUP(IA345,УГО_блоки,3,FALSE),VLOOKUP(IA345,УГО_блоки,2,FALSE)),IA345)))</f>
        <v>BOX</v>
      </c>
      <c r="IC345">
        <f t="shared" si="730"/>
        <v>1</v>
      </c>
      <c r="ID345" t="str">
        <f>IF(DA345="","",IF(COUNTIF(DA$3:DA345,DA345)=1,MAX(ID$2:ID344)+1,""))</f>
        <v/>
      </c>
      <c r="IE345" t="str">
        <f>IF(CO345="","",IF(COUNTIF(CO$3:CO345,CO345)+COUNTIF(CP$2:CP344,CO345)+COUNTIF(CQ$2:CQ344,CO345)=1,MAX(IE$2:IG344)+1,""))</f>
        <v/>
      </c>
      <c r="IF345" t="str">
        <f>IF(CP345="","",IF(COUNTIF(CO$3:CO345,CP345)+COUNTIF(CP$3:CP345,CP345)+COUNTIF(CQ$2:CQ344,CP345)=1,MAX(IE$2:IG344,IE345)+1,""))</f>
        <v/>
      </c>
      <c r="IG345" t="str">
        <f>IF(CQ345="","",IF(COUNTIF(CO$3:CO345,CQ345)+COUNTIF(CP$3:CP345,CQ345)+COUNTIF(CQ$3:CQ345,CQ345)=1,MAX(IE$2:IG344,IE345,IF345)+1,""))</f>
        <v/>
      </c>
      <c r="IH345" t="str">
        <f t="shared" si="731"/>
        <v>3х2,5</v>
      </c>
      <c r="II345" t="str">
        <f>IF(IH345="","",IF(COUNTIF(IH$3:IH345,IH345)=1,MAX(II$2:II344)+1,""))</f>
        <v/>
      </c>
      <c r="IJ345" t="str">
        <f>IF(GL345="","",COUNTIF(GL$3:GL345,"?*"))</f>
        <v/>
      </c>
      <c r="IK345" t="str">
        <f>IF(OR(GL345="",GN345=""),"",IF(COUNTIFS(GL$3:GL345,"?*",GN$3:GN345,GN345)=1,MAX(IK$2:IK344)+1,""))</f>
        <v/>
      </c>
      <c r="IL345">
        <f t="shared" si="732"/>
        <v>0</v>
      </c>
      <c r="IM345">
        <f>IF(B345="","",COUNTIF(B$3:B345,"?*"))</f>
        <v>343</v>
      </c>
      <c r="IN345">
        <f>IF(GQ345&lt;&gt;1,0,_xlfn.LET(_xlpm.k,MAX(IFERROR(--VLOOKUP(B345,УГО_спр,5,FALSE),0),IFERROR(--VLOOKUP(AX345,УГО_спр,5,FALSE),0),IFERROR(--VLOOKUP(LEFT(AX345,2),УГО_спр,5,FALSE),0)),IF(_xlpm.k&gt;0,_xlpm.k,IF(IFERROR(--LEFT(SUBSTITUTE(IH345,"x","х"),FIND("х",SUBSTITUTE(IH345,"x","х"))-1),3)&gt;3,Каталог!$S$9,1))))</f>
        <v>1</v>
      </c>
      <c r="IO345">
        <f t="shared" si="733"/>
        <v>0</v>
      </c>
      <c r="IP345" t="str">
        <f t="shared" si="734"/>
        <v>авто</v>
      </c>
      <c r="IQ345" t="str">
        <f t="shared" si="735"/>
        <v/>
      </c>
      <c r="IR345">
        <f t="shared" si="736"/>
        <v>0</v>
      </c>
      <c r="IS345">
        <f t="shared" si="737"/>
        <v>1</v>
      </c>
    </row>
    <row r="346" spans="1:253" x14ac:dyDescent="0.3">
      <c r="A346" t="s">
        <v>771</v>
      </c>
      <c r="B346" t="s">
        <v>1603</v>
      </c>
      <c r="C346" t="s">
        <v>1696</v>
      </c>
      <c r="D346">
        <v>5</v>
      </c>
      <c r="E346">
        <v>2.5499999999999998</v>
      </c>
      <c r="G346">
        <v>16</v>
      </c>
      <c r="H346" t="str">
        <f>Линии[[#This Row],[_авто утечка]]</f>
        <v/>
      </c>
      <c r="I346" t="str">
        <f>Линии[[#This Row],[_авто управление]]</f>
        <v/>
      </c>
      <c r="J346" t="str">
        <f>Линии[[#This Row],[_авто аппараты]]</f>
        <v/>
      </c>
      <c r="K346">
        <v>6</v>
      </c>
      <c r="L346">
        <v>97</v>
      </c>
      <c r="M346">
        <v>1</v>
      </c>
      <c r="N346" t="s">
        <v>486</v>
      </c>
      <c r="O346" t="str">
        <f t="shared" si="615"/>
        <v>потери 6,0 % &gt; 4 %</v>
      </c>
      <c r="P346" s="6" cm="1">
        <f t="array" ref="P346">IF(B346="","",IF(BC346&lt;&gt;"",IFERROR(_xlfn.XLOOKUP(BC346,Щиты[Щит],Щиты[Iр, А]),""),IF(BK346=1,IFERROR(_xlfn.XLOOKUP(A346,Щиты[Щит],Щиты[Iр, А]),""),IFERROR(_xlfn.IFS(BR346=1,BN346/((Uн_лин/SQRT(3))*BY346),BR346=3,BN346/(SQRT(3)*Uн_лин*BY346)),""))))</f>
        <v>11.62297252447536</v>
      </c>
      <c r="Q346" s="7">
        <f>IF(B346="","",IFERROR(IF(VLOOKUP(AX346,Потребители_обозначение,4,FALSE)=1,VLOOKUP(AX346,Потребители_обозначение,3,FALSE)*(D346*2-1)+DS346+VLOOKUP(AZ346,Этаж_обозначение,3,FALSE)+VLOOKUP(AZ346,Этаж_обозначение,4,FALSE),VLOOKUP(AX346,Потребители_обозначение,3,FALSE)*(D346*2-1)+DS346),DS346))</f>
        <v>97</v>
      </c>
      <c r="R346" s="6">
        <f t="shared" si="616"/>
        <v>6</v>
      </c>
      <c r="S346" t="str">
        <f t="shared" si="617"/>
        <v>ВВГнг(А)-LS (3х6)</v>
      </c>
      <c r="T346" t="str">
        <f>IF(BH346="","",IF(BI346="вводной узел","узел ","")&amp;"л."&amp;(INT((BH346-1)/Столбцов_на_лист)+1)&amp;" / "&amp;(MOD(BH346-1,Столбцов_на_лист)+1))</f>
        <v>л.2 / 11</v>
      </c>
      <c r="V346">
        <v>1</v>
      </c>
      <c r="W346">
        <v>230</v>
      </c>
      <c r="X346" t="s">
        <v>575</v>
      </c>
      <c r="AC346" t="s">
        <v>815</v>
      </c>
      <c r="AE346" t="s">
        <v>611</v>
      </c>
      <c r="AI346">
        <v>28</v>
      </c>
      <c r="AJ346" t="s">
        <v>11</v>
      </c>
      <c r="AK346">
        <v>3</v>
      </c>
      <c r="AM346">
        <v>4</v>
      </c>
      <c r="AN346">
        <v>90</v>
      </c>
      <c r="AO346">
        <v>0</v>
      </c>
      <c r="AP346">
        <v>1</v>
      </c>
      <c r="AW346" cm="1">
        <f t="array" ref="AW346">ROW()-ROW(Линии[#Headers])</f>
        <v>344</v>
      </c>
      <c r="AX346" s="6" t="str">
        <f t="shared" si="618"/>
        <v>OV</v>
      </c>
      <c r="AY346" t="str">
        <f t="shared" si="619"/>
        <v>2.1.1</v>
      </c>
      <c r="AZ346" t="str">
        <f t="shared" si="620"/>
        <v>2</v>
      </c>
      <c r="BA346" t="str">
        <f t="shared" si="621"/>
        <v>1.1</v>
      </c>
      <c r="BB346" t="str">
        <f t="shared" si="622"/>
        <v>1</v>
      </c>
      <c r="BC346" t="str">
        <f>IF(U346&lt;&gt;"",U346,IF(AND(B346&lt;&gt;"",B346&lt;&gt;A346,ISNUMBER(_xlfn.XMATCH(B346,Щиты[Щит]))),B346,""))</f>
        <v/>
      </c>
      <c r="BD346" t="str" cm="1">
        <f t="array" ref="BD346">IF(B346="","",IF(BC346&lt;&gt;"","Щит "&amp;BC346,_xlfn.LET(_xlpm.nm,IFERROR(_xlfn.XLOOKUP(AX346,Коды_код,Коды_имя)&amp;"",""),_xlpm.md,IFERROR(N(_xlfn.XLOOKUP(AX346,Коды_код,Коды_режим)),1),_xlpm.ex,IF(Имя_режим="по экспликации",IFERROR(_xlfn.XLOOKUP(AZ346&amp;"|"&amp;BB346,Экспликация[Этаж]&amp;"|"&amp;Экспликация[Помещение],Экспликация[Название])&amp;"",""),""),_xlpm.rm,IF(BB346="","",IF(_xlpm.ex&lt;&gt;"",". "&amp;_xlpm.ex&amp;IF(Имя_пом="нет"," ("&amp;BB346&amp;")"," (пом. "&amp;BB346&amp;")"),IF(Имя_пом="нет"," ",", пом. ")&amp;BB346)),IF(_xlpm.nm="","",IF(_xlpm.md=2,_xlpm.nm&amp;" шлейф "&amp;AZ346,_xlpm.nm&amp;_xlpm.rm)))))</f>
        <v/>
      </c>
      <c r="BE346" t="str">
        <f t="shared" si="623"/>
        <v>Обогревл ливнестоков Кровля бассейна</v>
      </c>
      <c r="BF346">
        <f>IFERROR(_xlfn.XMATCH(A346,Щиты[Щит]),0)</f>
        <v>17</v>
      </c>
      <c r="BG346">
        <f>_xlfn.LET(_xlpm.k,IFERROR(_xlfn.XLOOKUP(A346,Щиты[Щит],Щиты[Листов под вводной узел]),""),IF(_xlpm.k="",1,N(_xlpm.k))*Столбцов_на_лист)</f>
        <v>17</v>
      </c>
      <c r="BH346">
        <f t="shared" si="624"/>
        <v>28</v>
      </c>
      <c r="BI346" t="str">
        <f t="shared" si="625"/>
        <v>линии</v>
      </c>
      <c r="BJ346" s="6">
        <f>IFERROR(N(_xlfn.XLOOKUP(AX346,Коды_код,Коды_квт)),0)</f>
        <v>0</v>
      </c>
      <c r="BK346">
        <f t="shared" si="626"/>
        <v>0</v>
      </c>
      <c r="BL346" t="str">
        <f>IF(B346="","",IF(BC346&lt;&gt;"",IFERROR(_xlfn.XLOOKUP(BC346,Щиты[Щит],Щиты[Руст, кВт]),0),IF(BK346=1,IFERROR(_xlfn.XLOOKUP(A346,Щиты[Щит],Щиты[Руст, кВт]),0),IF(BJ346&gt;0,ROUND(BJ346*MAX(1,N(D346)),3),""))))</f>
        <v/>
      </c>
      <c r="BM346">
        <f t="shared" si="627"/>
        <v>2.5499999999999998</v>
      </c>
      <c r="BN346" s="6">
        <f>IF(B346="","",IF(BC346&lt;&gt;"",IFERROR(_xlfn.XLOOKUP(BC346,Щиты[Щит],Щиты[Руст, кВт]),0),N(BM346)))</f>
        <v>2.5499999999999998</v>
      </c>
      <c r="BO346" t="str">
        <f>IF(B346="","",IFERROR(IF(VLOOKUP(AX346,Потребители_обозначение,8,FALSE)=0,"",VLOOKUP(AX346,Потребители_обозначение,8,FALSE)),""))</f>
        <v/>
      </c>
      <c r="BP346">
        <f t="shared" si="628"/>
        <v>230</v>
      </c>
      <c r="BQ346">
        <f>IF(B346="","",IF(BC346&lt;&gt;"",3,IFERROR(IF(N(VLOOKUP(AX346,Потребители_обозначение,9,FALSE))=0,1,VLOOKUP(AX346,Потребители_обозначение,9,FALSE)),1)))</f>
        <v>1</v>
      </c>
      <c r="BR346">
        <f t="shared" si="629"/>
        <v>1</v>
      </c>
      <c r="BS346" t="str">
        <f>IF(B346="","",_xlfn.LET(_xlpm.bc,IFERROR(IF(VLOOKUP(AX346,Потребители_обозначение,6,FALSE)=0,"",VLOOKUP(AX346,Потребители_обозначение,6,FALSE)&amp;""),""),IF(AND(FK346="да",OR(_xlpm.bc="",_xlpm.bc="мс")),Марка_пож,IF(AND(_xlpm.bc="",BC346&lt;&gt;""),"мс",_xlpm.bc))))</f>
        <v/>
      </c>
      <c r="BT346" t="str">
        <f t="shared" si="630"/>
        <v>мс</v>
      </c>
      <c r="BU346">
        <f>IF(B346="","",_xlfn.LET(_xlpm.cc,IFERROR(N(VLOOKUP(AX346,Потребители_обозначение,7,FALSE)),0),IF(_xlpm.cc&gt;0,_xlpm.cc,IF(BT346="","",IF(N(BR346)=3,5,3)))))</f>
        <v>3</v>
      </c>
      <c r="BV346">
        <f t="shared" si="631"/>
        <v>3</v>
      </c>
      <c r="BW346">
        <f>IFERROR(N(VLOOKUP(AX346,Потребители_обозначение,10,FALSE)),0)</f>
        <v>0</v>
      </c>
      <c r="BX346">
        <f>IFERROR(VLOOKUP(AX346,Потребители_обозначение,5,FALSE),0)</f>
        <v>0</v>
      </c>
      <c r="BY346" s="6" cm="1">
        <f t="array" ref="BY346">IF(B346="","",IF(BC346&lt;&gt;"",IFERROR(_xlfn.XLOOKUP(BC346,Щиты[Щит],Щиты[cos φ]),0.95),IF(BK346=1,IFERROR(_xlfn.XLOOKUP(A346,Щиты[Щит],Щиты[cos φ]),0.95),IF(ISNUMBER(Z346),Z346,IFERROR(IF(BX346=2,_xlfn.IFS(BR346=3,VLOOKUP(BN346,Справочная_двигатели,8,FALSE),BR346=1,VLOOKUP(BN346,Справочная_двигатели,10,TRUE)),IF(AND(Методика="нормы 2026",EQ346="Сил"),0.8,0.95)),0.95)))))</f>
        <v>0.95</v>
      </c>
      <c r="BZ346">
        <f t="shared" si="632"/>
        <v>0</v>
      </c>
      <c r="CA346">
        <f t="shared" si="633"/>
        <v>1</v>
      </c>
      <c r="CB346">
        <f t="shared" si="634"/>
        <v>0</v>
      </c>
      <c r="CC346">
        <f t="shared" si="635"/>
        <v>0</v>
      </c>
      <c r="CD346">
        <f t="shared" si="636"/>
        <v>0</v>
      </c>
      <c r="CE346">
        <f t="shared" si="637"/>
        <v>0</v>
      </c>
      <c r="CF346">
        <f t="shared" si="638"/>
        <v>0</v>
      </c>
      <c r="CG346">
        <f>IF(AX346="",0,_xlfn.LET(_xlpm.v,IFERROR(VLOOKUP(B346,УГО_спр,3,FALSE),IFERROR(VLOOKUP(AX346,УГО_спр,3,FALSE),IFERROR(VLOOKUP(LEFT(AX346,2),УГО_спр,3,FALSE),""))),IF(_xlpm.v="да",30,IF(ISNUMBER(_xlpm.v),_xlpm.v,0))))</f>
        <v>0</v>
      </c>
      <c r="CH346" t="str">
        <f t="shared" si="639"/>
        <v/>
      </c>
      <c r="CI346" t="str">
        <f>_xlfn.LET(_xlpm.k,IFERROR(_xlfn.XLOOKUP(AX346,Коды_код,Коды_утечка)&amp;"",""),IF(_xlpm.k="","дифавтомат",_xlpm.k))</f>
        <v>дифавтомат</v>
      </c>
      <c r="CJ346">
        <f t="shared" si="640"/>
        <v>0</v>
      </c>
      <c r="CK346">
        <f t="shared" si="641"/>
        <v>0</v>
      </c>
      <c r="CL346">
        <f>IF(B346="",0,IFERROR(--VLOOKUP(B346,УГО_спр,4,FALSE),IFERROR(--VLOOKUP(AX346,УГО_спр,4,FALSE),IFERROR(--VLOOKUP(LEFT(AX346,2),УГО_спр,4,FALSE),0))))</f>
        <v>0</v>
      </c>
      <c r="CM346" t="str">
        <f>IF(B346="","",IFERROR(_xlfn.XLOOKUP(AX346,Коды_код,Коды_апп)&amp;"",""))</f>
        <v/>
      </c>
      <c r="CN346" t="str">
        <f t="shared" si="642"/>
        <v/>
      </c>
      <c r="CO346" t="str" cm="1">
        <f t="array" ref="CO346">IF(TRIM(CN346&amp;"")="","",IFERROR(TRIM(INDEX(_xlfn.TEXTSPLIT(CN346&amp;";;;",";"),1)),""))</f>
        <v/>
      </c>
      <c r="CP346" t="str" cm="1">
        <f t="array" ref="CP346">IF(TRIM(CN346&amp;"")="","",IFERROR(TRIM(INDEX(_xlfn.TEXTSPLIT(CN346&amp;";;;",";"),2)),""))</f>
        <v/>
      </c>
      <c r="CQ346" t="str" cm="1">
        <f t="array" ref="CQ346">IF(TRIM(CN346&amp;"")="","",IFERROR(TRIM(INDEX(_xlfn.TEXTSPLIT(CN346&amp;";;;",";"),3)),""))</f>
        <v/>
      </c>
      <c r="CR346">
        <f t="shared" si="643"/>
        <v>0</v>
      </c>
      <c r="CS346" t="str">
        <f>IF(B346="","",_xlfn.LET(_xlpm.t,LOWER(AV346&amp;""),IF(ISNUMBER(SEARCH("dim",_xlpm.t)),"DIM",IF(ISNUMBER(SEARCH("dali",_xlpm.t)),"DALI",IF(OR(ISNUMBER(SEARCH("relay",_xlpm.t)),ISNUMBER(SEARCH("реле",_xlpm.t))),"Relay",IF(ISNUMBER(SEARCH("кнопк",_xlpm.t)),"",IFERROR(_xlfn.XLOOKUP(AX346,Коды_код,Коды_упр)&amp;"","")))))))</f>
        <v/>
      </c>
      <c r="CT346" t="str">
        <f t="shared" si="644"/>
        <v/>
      </c>
      <c r="CU346">
        <f>IF(B346="","",_xlfn.LET(_xlpm.ig,N(P346)+IF(AF346="вручную",0,N(CB346)),_xlpm.n0,IFERROR(VLOOKUP(_xlpm.ig,Автомат_номиналы,2,TRUE),0),_xlpm.mn,MAX(CL346,IF(AF346="вручную",0,N(CE346))),MAX(_xlpm.n0,_xlpm.mn,IF(CR346=1,Мин_автомат_БП,0))))</f>
        <v>16</v>
      </c>
      <c r="CV346">
        <f t="shared" si="645"/>
        <v>1</v>
      </c>
      <c r="CW346" t="str">
        <f t="shared" si="646"/>
        <v>1P</v>
      </c>
      <c r="CX346" t="str">
        <f>_xlfn.LET(_xlpm.cc,UPPER(TRIM(IFERROR(_xlfn.XLOOKUP(AX346,Коды_код,Коды_хар)&amp;"",""))),IF(OR(_xlpm.cc="B",_xlpm.cc="В"),"B",IF(_xlpm.cc="D","D","С")))</f>
        <v>С</v>
      </c>
      <c r="CY346" t="str">
        <f t="shared" si="647"/>
        <v>1P С16А</v>
      </c>
      <c r="CZ346">
        <f t="shared" si="648"/>
        <v>16</v>
      </c>
      <c r="DA346" t="str">
        <f t="shared" si="649"/>
        <v>1P С16А</v>
      </c>
      <c r="DB346" cm="1">
        <f t="array" ref="DB346">IF(DA346="","",_xlfn.LET(_xlpm.t,SUBSTITUTE(SUBSTITUTE(SUBSTITUTE(UPPER(DA346),"С","C"),"А","A"),"В","B"),_xlpm.tk,_xlfn.TEXTSPLIT(_xlpm.t,"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6" t="str">
        <f t="shared" si="650"/>
        <v>ok</v>
      </c>
      <c r="DD346">
        <f t="shared" si="651"/>
        <v>16</v>
      </c>
      <c r="DE346" t="str">
        <f t="shared" si="652"/>
        <v>1P С16А</v>
      </c>
      <c r="DF346">
        <f t="shared" si="653"/>
        <v>0</v>
      </c>
      <c r="DG346">
        <f t="shared" si="654"/>
        <v>0</v>
      </c>
      <c r="DH346">
        <f t="shared" si="655"/>
        <v>0</v>
      </c>
      <c r="DI346">
        <f t="shared" si="656"/>
        <v>11.62297252447536</v>
      </c>
      <c r="DJ346">
        <f t="shared" si="657"/>
        <v>1</v>
      </c>
      <c r="DK346">
        <f>IF(ISNUMBER(AL346),AL346,К_прокл)</f>
        <v>1</v>
      </c>
      <c r="DL346">
        <f t="shared" si="658"/>
        <v>2</v>
      </c>
      <c r="DM346">
        <f>IFERROR(N(VLOOKUP(BT346,Кабель_обозначение,3,FALSE)),1)</f>
        <v>1</v>
      </c>
      <c r="DN346">
        <f>IFERROR(N(_xlfn.XLOOKUP(A346,Щиты[Щит],Щиты[ΔU до шин, %])),0)</f>
        <v>2.4899999999999998</v>
      </c>
      <c r="DO346" t="str">
        <f>IFERROR(_xlfn.XLOOKUP(A346,Щиты[Щит],Щиты[Zпетли на шинах, Ом]),"")</f>
        <v/>
      </c>
      <c r="DP346">
        <f>IFERROR(N(_xlfn.XLOOKUP(A346,Щиты[Щит],Щиты[ΔU до шин (подбор), %])),0)</f>
        <v>3.73</v>
      </c>
      <c r="DQ346" t="str">
        <f>IFERROR(_xlfn.XLOOKUP(A346,Щиты[Щит],Щиты[Zпетли на шинах (подбор), Ом]),"")</f>
        <v/>
      </c>
      <c r="DR346" t="str">
        <f t="shared" si="659"/>
        <v/>
      </c>
      <c r="DS346">
        <f t="shared" si="660"/>
        <v>97</v>
      </c>
      <c r="DT346">
        <f t="shared" si="661"/>
        <v>2</v>
      </c>
      <c r="DU346">
        <f t="shared" si="662"/>
        <v>0.31</v>
      </c>
      <c r="DV346" s="6">
        <f>IF(B346="","",IF(IFERROR(VLOOKUP(AX346,УГО_спр,2,FALSE),"")="Светильник",3,4)+IF(Методика="нормы 2026",MIN(0.5,MAX(0,N(Q346)-100)*0.005),0))</f>
        <v>4</v>
      </c>
      <c r="DW346" cm="1">
        <f t="array" ref="DW346">IF(OR(B346="",BT346="",DM346&lt;&gt;1),"",_xlfn.LET(_xlpm.sz,Iдоп_S,_xlpm.t_,CHOOSE(DL346,Iдоп_1ж,Iдоп_2ж,Iдоп_3ж)*DJ346*DK346,_xlpm.inn,N(DD346),_xlpm.smin,MAX(1.5,BW346),_xlpm.L_,N(Q346)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346)*(_xlpm.rho*_xlpm.L_/_xlpm.sz*N(BY346)+_xlpm.xx*_xlpm.L_*N(DU346)/1000)*N(P346)/((Uн_лин/SQRT(3))*1000)*100,999),_xlpm.kz,IF(OR(DG346=1,NOT(ISNUMBER(DQ346)),_xlpm.L_=0,_xlpm.inn=0),1,IFERROR(--(c_min*(Uн_лин*1000/SQRT(3))/(DQ346+2*ρкз_Cu*_xlpm.L_/_xlpm.sz)&gt;=GY346*_xlpm.inn),0)),_xlpm.ok,IFERROR((_xlpm.sz&gt;=_xlpm.smin)*(_xlpm.t_&gt;=_xlpm.inn)*IF(_xlpm.L_&gt;0,(_xlpm.du_+DP346&lt;=DV346+0.00001),1)*_xlpm.kz,0),_xlpm.r_,_xlfn._xlws.FILTER(_xlpm.sz,_xlpm.ok,"не подобрано"),INDEX(_xlpm.r_,1)))</f>
        <v>95</v>
      </c>
      <c r="DX346">
        <f t="shared" si="663"/>
        <v>6</v>
      </c>
      <c r="DY346" cm="1">
        <f t="array" ref="DY346">IF(OR(B346="",BT346="",DM346&lt;&gt;1),"",_xlfn.LET(_xlpm.sz,Iдоп_S,_xlpm.t_,CHOOSE(DL346,Iдоп_1ж,Iдоп_2ж,Iдоп_3ж)*DJ346*DK346,_xlpm.ok,IFERROR((_xlpm.sz&gt;=MAX(1.5,BW346))*(_xlpm.t_&gt;=N(DD346)),0),_xlpm.r_,_xlfn._xlws.FILTER(_xlpm.sz,_xlpm.ok,""),INDEX(_xlpm.r_,1)))</f>
        <v>1.5</v>
      </c>
      <c r="DZ346" s="6" cm="1">
        <f t="array" ref="DZ346">IFERROR(ROUNDUP(N(DT346)*(_xlfn.XLOOKUP(DY346,INDEX(Кабель_сопротивление,0,1),INDEX(Кабель_сопротивление,0,3))*N(Q346)/DY346*N(BY346)+_xlfn.XLOOKUP(DY346,INDEX(Кабель_сопротивление,0,1),INDEX(Кабель_сопротивление,0,2))*N(Q346)*N(DU346)/1000)*N(P346)/((Uн_лин/SQRT(3))*1000)*100,2),"")</f>
        <v>13.95</v>
      </c>
      <c r="EA346">
        <f>IFERROR(2*ρкз_Cu*N(Q346)/DY346,"")</f>
        <v>3.4014666666666664</v>
      </c>
      <c r="EB346">
        <f>IFERROR(VLOOKUP(DX346,Кабель_сопротивление,3,FALSE),"")</f>
        <v>2.2499999999999999E-2</v>
      </c>
      <c r="EC346">
        <f>IFERROR(VLOOKUP(DX346,Кабель_сопротивление,2,FALSE),"")</f>
        <v>0.09</v>
      </c>
      <c r="ED346">
        <f t="shared" si="664"/>
        <v>90</v>
      </c>
      <c r="EE346">
        <f t="shared" si="665"/>
        <v>0</v>
      </c>
      <c r="EF346">
        <f t="shared" si="666"/>
        <v>8.0958373870640088</v>
      </c>
      <c r="EG346" s="6">
        <f>IFERROR(ROUNDUP(EF346/((Uн_лин/SQRT(3))*1000)*100,2),"")</f>
        <v>3.51</v>
      </c>
      <c r="EH346" t="str">
        <f>IFERROR(VLOOKUP(BT346,Кабель_обозначение,2,FALSE),"")</f>
        <v>ВВГнг(А)-LS</v>
      </c>
      <c r="EI346" t="str">
        <f t="shared" si="667"/>
        <v>ВВГнг(А)-LS (3х6)</v>
      </c>
      <c r="EJ346" t="str">
        <f t="shared" si="668"/>
        <v>ВВГнг(А)-LS (3х6)
L=97-3,51%</v>
      </c>
      <c r="EK346">
        <f>IFERROR(2*ρкз_Cu*Q346/DX346,"")</f>
        <v>0.8503666666666666</v>
      </c>
      <c r="EL346">
        <f t="shared" si="669"/>
        <v>0.28291666666666671</v>
      </c>
      <c r="EM346" s="6" t="str">
        <f>IFERROR(IF(OR(B346="",NOT(ISNUMBER(DX346)),N(Q346)=0),"",_xlfn.XLOOKUP(A346,Щиты[Щит],Щиты[Zпетли на шинах, Ом])+EK346),"")</f>
        <v/>
      </c>
      <c r="EN346" s="6" t="str">
        <f>IF(ISNUMBER(EM346),c_min*(Uн_лин*1000/SQRT(3))/EM346,"")</f>
        <v/>
      </c>
      <c r="EO346" s="6" t="str">
        <f>IFERROR(IF(OR(B346="",NOT(ISNUMBER(DX346))),"",1.05*(Uн_лин*1000/SQRT(3))/(_xlfn.XLOOKUP(A346,Щиты[Щит],Щиты[Zmax на шинах, Ом])+EL346)/1000),"")</f>
        <v/>
      </c>
      <c r="EP346" s="6" t="str">
        <f>IF(B346="","",IF(ISNUMBER(Y346),"Сил",IF(IFERROR(_xlfn.XLOOKUP(AX346,Коды_код,Коды_группа)&amp;"","")="","Быт",_xlfn.XLOOKUP(AX346,Коды_код,Коды_группа)&amp;"")))</f>
        <v>Быт</v>
      </c>
      <c r="EQ346" s="6" t="str">
        <f t="shared" si="670"/>
        <v>Пост</v>
      </c>
      <c r="ER346" s="6">
        <f>IF(EQ346="Щит","щит",IF(EQ346="","",IF(EQ346="Быт",IFERROR(_xlfn.XLOOKUP(A346,Щиты[Щит],Щиты[Кс быт]),1),IF(EQ346="Сил",IF(ISNUMBER(Y346),Y346,IF(Методика="нормы 2026",IFERROR(_xlfn.XLOOKUP(A346,Щиты[Щит],Щиты[Кс силовых (табл. 7.5)]),1),1)),IF(OR(EQ346="Пост",EQ346="Отоп"),1,IF(EQ346="ВНГ",0.7,0))))))</f>
        <v>1</v>
      </c>
      <c r="ES346">
        <f t="shared" si="671"/>
        <v>1</v>
      </c>
      <c r="ET346">
        <f t="shared" si="672"/>
        <v>2.5499999999999998</v>
      </c>
      <c r="EU346">
        <f t="shared" si="673"/>
        <v>0</v>
      </c>
      <c r="EV346">
        <f t="shared" si="674"/>
        <v>0</v>
      </c>
      <c r="EW346">
        <f t="shared" si="675"/>
        <v>2.5499999999999998</v>
      </c>
      <c r="EX346">
        <f t="shared" si="676"/>
        <v>0</v>
      </c>
      <c r="EY346">
        <f t="shared" si="677"/>
        <v>0</v>
      </c>
      <c r="EZ346">
        <f t="shared" si="678"/>
        <v>2.5499999999999998</v>
      </c>
      <c r="FA346">
        <f t="shared" si="679"/>
        <v>2.4224999999999999</v>
      </c>
      <c r="FB346">
        <f t="shared" si="680"/>
        <v>2.5499999999999998</v>
      </c>
      <c r="FC346" t="str">
        <f t="shared" si="681"/>
        <v>L1</v>
      </c>
      <c r="FD346" t="str">
        <f>IF(B346="","",IF(CA346=0,IF(AW346=1,"",FF345),IF(OR(N(CV346)&gt;=3,N(BR346)&gt;=3),"L1,L2,L3",IFERROR(_xlfn.TEXTBEFORE(_xlfn.TEXTAFTER(_xlfn.XLOOKUP(A346,Щиты[Щит],Щиты[_фазы авто]),";"&amp;AW346&amp;":"),";"),"L1"))))</f>
        <v>L1</v>
      </c>
      <c r="FE346" t="str">
        <f t="shared" si="682"/>
        <v>L1</v>
      </c>
      <c r="FF346" t="str">
        <f t="shared" si="683"/>
        <v>L1</v>
      </c>
      <c r="FG346" cm="1">
        <f t="array" ref="FG346">IFERROR(IF(BX346=2,_xlfn.IFS(BR346=3,VLOOKUP(BN346,Справочная_двигатели,3,FALSE),BR346=1,VLOOKUP(BN346,Справочная_двигатели,5,TRUE)),0),0)</f>
        <v>0</v>
      </c>
      <c r="FH346">
        <f>IFERROR(IF(BX346=3,VLOOKUP(BN346,Справочная_ЛЭД,2,TRUE),0),0)</f>
        <v>0</v>
      </c>
      <c r="FI346" s="6">
        <f t="shared" si="684"/>
        <v>0</v>
      </c>
      <c r="FJ346" t="str" cm="1">
        <f t="array" ref="FJ346">IF(B346="","",IFERROR(INDEX({"I особая","I","II","III"},MATCH(TRIM(AC346&amp;""),{"I особая","I","II","III"},0)),"III"))</f>
        <v>II</v>
      </c>
      <c r="FK346" t="str">
        <f>IF(B346="","",IF(TRIM(AD346&amp;"")&lt;&gt;"",IF(LOWER(TRIM(AD346&amp;""))="да","да","нет"),IF(IFERROR(_xlfn.XLOOKUP(AX346,Коды_код,Коды_пожарная),"")="да","да","нет")))</f>
        <v>нет</v>
      </c>
      <c r="FL346" t="str">
        <f t="shared" si="685"/>
        <v/>
      </c>
      <c r="FM346" t="str">
        <f t="shared" si="686"/>
        <v>основная</v>
      </c>
      <c r="FN346">
        <f t="shared" si="687"/>
        <v>1</v>
      </c>
      <c r="FO346" t="str" cm="1">
        <f t="array" ref="FO346">IF(B346="","",_xlfn.LET(_xlpm.t,IFERROR(_xlfn.XLOOKUP(1,(Шины[Шина]=FM346)*(((Шины[Щит]=A346)+(Шины[Щит]=""))&gt;0),Шины[Тип]),"")&amp;"",IF(_xlpm.t&lt;&gt;"",_xlpm.t,IF(ISNUMBER(SEARCH("ИБП",FM346)),"ИБП",IF(ISNUMBER(SEARCH("ДГУ",FM346)),"ДГУ","Ввод "&amp;FN346)))))</f>
        <v>Ввод 1</v>
      </c>
      <c r="FP346" t="str">
        <f t="shared" si="688"/>
        <v>Ввод 1</v>
      </c>
      <c r="FQ346" t="str">
        <f>IF(B346="","",IF(OR(FO346="ИБП",FO346="ДГУ"),"I особая",IF(FO346="Одиночная","III",_xlfn.XLOOKUP(A346,Щиты[Щит],Щиты[Категория шины «Ввод»],"III"))))</f>
        <v>II</v>
      </c>
      <c r="FR346">
        <f>IF(B346="",0,IFERROR(MATCH(FJ346,{"III","II","I","I особая"},0),1))</f>
        <v>2</v>
      </c>
      <c r="FS346">
        <f t="shared" si="689"/>
        <v>2</v>
      </c>
      <c r="FT346" t="str">
        <f>IF(B346="","",IF(FR346&gt;IFERROR(MATCH(FQ346,{"III","II","I","I особая"},0),1),"НЕ ОБЕСПЕЧЕНА","ОК"))</f>
        <v>ОК</v>
      </c>
      <c r="FU346" t="str">
        <f>IF(A346="","",_xlfn.XLOOKUP(A346,Щиты[Щит],Щиты[Путь],""))</f>
        <v>|ГРЩ-ЖД|ЩУОВ|</v>
      </c>
      <c r="FV346" t="str">
        <f>IF(B346="","",IF(AE346&lt;&gt;"",AE346,IF(IFERROR(_xlfn.XLOOKUP(AX346,Коды_код,Коды_вид)&amp;"","")="","Прочее",_xlfn.XLOOKUP(AX346,Коды_код,Коды_вид)&amp;"")))</f>
        <v>Обогрев водостоков и кровли</v>
      </c>
      <c r="FW346">
        <f>IF(BH346="","",INT((BH346-1)/Столбцов_на_лист)+1)</f>
        <v>2</v>
      </c>
      <c r="FX346" t="str">
        <f t="shared" si="690"/>
        <v>ВВГнг(А)-LS (3х6) L=97-3,51%</v>
      </c>
      <c r="FY346">
        <f t="shared" si="691"/>
        <v>2.5499999999999998</v>
      </c>
      <c r="FZ346">
        <f t="shared" si="692"/>
        <v>11.629999999999999</v>
      </c>
      <c r="GA346">
        <f t="shared" si="693"/>
        <v>1</v>
      </c>
      <c r="GB346">
        <f t="shared" si="694"/>
        <v>0</v>
      </c>
      <c r="GC346">
        <f t="shared" si="695"/>
        <v>1</v>
      </c>
      <c r="GD346">
        <f>IF(BH346="","",IF(AND(CA346=1,GC346=1),COUNTIFS(A$3:A346,A346,CA$3:CA346,1,GC$3:GC346,1),IF(OR(OR(AW346=1,A346&lt;&gt;A345),AF346="вручную",GC346=0),"",IF(AW346=1,"",GE345))))</f>
        <v>5</v>
      </c>
      <c r="GE346">
        <f t="shared" si="696"/>
        <v>5</v>
      </c>
      <c r="GF346">
        <f>IF(B346="","",IFERROR(LOOKUP(INDEX(CHOOSE(DL346,Iдоп_1ж,Iдоп_2ж,Iдоп_3ж),MATCH(DX346,Iдоп_S,0))*DJ346*DK346,{6,10,16,20,25,32,40,50,63,80,100,125,160,200,250,315,400,500,630}),""))</f>
        <v>50</v>
      </c>
      <c r="GG346" t="str">
        <f t="shared" si="697"/>
        <v>QF5</v>
      </c>
      <c r="GH346" t="str">
        <f t="shared" si="698"/>
        <v>QF5</v>
      </c>
      <c r="GI346" t="str">
        <f t="shared" si="699"/>
        <v/>
      </c>
      <c r="GJ346">
        <f t="shared" si="700"/>
        <v>0</v>
      </c>
      <c r="GK346" t="str">
        <f>IF(OR(AG346="",AG346="-"),"",IFERROR(VLOOKUP(AG346,Модули_спр,2,FALSE),"R"))</f>
        <v/>
      </c>
      <c r="GL346" t="str">
        <f>IF(GK346="","",GK346&amp;"."&amp;COUNTIFS(A$3:A346,A346,GK$3:GK346,GK346))</f>
        <v/>
      </c>
      <c r="GM346" t="str">
        <f t="shared" si="701"/>
        <v/>
      </c>
      <c r="GN346" t="str">
        <f t="shared" si="702"/>
        <v/>
      </c>
      <c r="GO346" t="str">
        <f t="shared" si="703"/>
        <v/>
      </c>
      <c r="GP346" t="str">
        <f t="shared" si="704"/>
        <v/>
      </c>
      <c r="GQ346">
        <f t="shared" si="705"/>
        <v>1</v>
      </c>
      <c r="GR346" t="str">
        <f>IF(GQ346=1,"XT"&amp;COUNTIFS(A$3:A346,A346,GQ$3:GQ346,1),"")</f>
        <v>XT5</v>
      </c>
      <c r="GS346" t="str">
        <f t="shared" si="706"/>
        <v/>
      </c>
      <c r="GT346" t="str">
        <f t="shared" si="707"/>
        <v>QF5</v>
      </c>
      <c r="GU346" t="str">
        <f t="shared" si="708"/>
        <v/>
      </c>
      <c r="GV346" t="str">
        <f t="shared" si="709"/>
        <v>ok</v>
      </c>
      <c r="GW346" t="str">
        <f>IF(OR(GO346="",GM346=""),"",IF(GO346&gt;IFERROR(VLOOKUP(GN346,Модули_спр,3,FALSE),99),"ЛИШНИЙ КАНАЛ",IF(AND(AH346&lt;&gt;"=",COUNTIFS(Линии[_модуль гр.],GM346,Линии[Канал (итог)],GO346,Линии[Канал],"&lt;&gt;=",Линии[Щит],A346)&gt;1),"ДУБЛЬ КАНАЛА","")))</f>
        <v/>
      </c>
      <c r="GX346" s="6" t="str">
        <f t="shared" si="710"/>
        <v/>
      </c>
      <c r="GY346">
        <f t="shared" si="711"/>
        <v>10</v>
      </c>
      <c r="GZ346" t="str">
        <f t="shared" si="712"/>
        <v/>
      </c>
      <c r="HA346" t="str">
        <f>IF(AND(B346="",GT346=""),"",_xlfn.TEXTJOIN("; ",TRUE,IF(AND(B346&lt;&gt;"",FE346=""),"нет фазы",""),IF(AND(B346&lt;&gt;"",N(FY346)=0,EQ346&lt;&gt;"Нет"),"нет мощности",""),IF(AND(GS346&lt;&gt;"",COUNTIFS(Линии[Щит],A346,Линии[Клемма (итог)],GS346)&gt;1),"дубль клеммы "&amp;GS346,""),IF(AND(GV346&lt;&gt;"",GV346&lt;&gt;"ok"),GV346,""),IF(GW346&lt;&gt;"",GW346,""),IF(AND(N(BV346)&gt;=4,N(BR346)=1),BV346&amp;" жил на 1 фазе",""),IF(AND(AX346="R",CA346=1,OR(N(CK346)=0,N(CK346)&gt;30)),"розетка без дифзащиты до 30 мА",""),IFERROR(IF(AND(ISNUMBER(R346),R346&gt;DV346),"потери "&amp;FIXED(R346,1)&amp;" % &gt; "&amp;DV346&amp;" %",""),""),IFERROR(IF(LEFT(GZ346,4)="мало","Iкз мало — отключение &gt; 0,4 с",""),""),IF(AND(B346&lt;&gt;"",BH346=""),"не на схеме",""),IF(AND(CA346=0,B346&lt;&gt;"",FE346&lt;&gt;"",IF(AW346=1,"",FF345)&lt;&gt;"",FE346&lt;&gt;IF(AW346=1,"",FF345)),"фаза не как у автомата группы ("&amp;IF(AW346=1,"",FF345)&amp;")","")))</f>
        <v>потери 6,0 % &gt; 4 %</v>
      </c>
      <c r="HB346" s="6">
        <f>IF(OR(CA346=0,DA346=""),"",_xlfn.LET(_xlpm.t,IFERROR(_xlfn.XLOOKUP(DA346,Каталог!$U$4:$U$500,Каталог!$G$4:$G$500),""),_xlpm.k,SEARCH("кА",_xlpm.t),IFERROR(--TRIM(RIGHT(SUBSTITUTE(MID(_xlpm.t,MAX(1,_xlpm.k-4),_xlpm.k-MAX(1,_xlpm.k-4))," ",REPT(" ",9)),5)),"")))</f>
        <v>6</v>
      </c>
      <c r="HC346" t="str">
        <f>IF(OR(HB346="",CA346=0),"",IF(_xlfn.XLOOKUP(A346,Щиты[Щит],Щиты[Iкз max на шинах, кА],"")="","",IF(HB346&lt;_xlfn.XLOOKUP(A346,Щиты[Щит],Щиты[Iкз max на шинах, кА]),"Icu "&amp;HB346&amp;" кА &lt; Iкз max","ok")))</f>
        <v/>
      </c>
      <c r="HD346" t="str">
        <f t="shared" si="713"/>
        <v/>
      </c>
      <c r="HE346" t="str">
        <f t="shared" si="714"/>
        <v>QF5</v>
      </c>
      <c r="HF346" t="str">
        <f t="shared" si="715"/>
        <v>QF5|кабель ВВГнг(А)-LS (3х6) → Обогревл ливнестоков Кровля бассейна</v>
      </c>
      <c r="HG346" t="str" cm="1">
        <f t="array" ref="HG346">IF(HF346="","",_xlfn.LET(_xlpm.nd,_xlfn.TEXTSPLIT(HF346,"|"),IF(COLUMNS(_xlpm.nd)&gt;1,A346&amp;"¦"&amp;INDEX(_xlpm.nd,1)&amp;"¦"&amp;INDEX(_xlpm.nd,2),"")))</f>
        <v>ЩУОВ¦QF5¦кабель ВВГнг(А)-LS (3х6) → Обогревл ливнестоков Кровля бассейна</v>
      </c>
      <c r="HH346" t="str">
        <f t="shared" si="716"/>
        <v>OV.2.1.1¦Обогревл ливнестоков Кровля бассейна</v>
      </c>
      <c r="HI346" t="str" cm="1">
        <f t="array" ref="HI346">IF(HF346="","",_xlfn.LET(_xlpm.nd,_xlfn.TEXTSPLIT(HF346,"|"),IF(COLUMNS(_xlpm.nd)&gt;2,A346&amp;"¦"&amp;INDEX(_xlpm.nd,2)&amp;"¦"&amp;INDEX(_xlpm.nd,3),"")))</f>
        <v/>
      </c>
      <c r="HJ346" t="str">
        <f t="shared" si="717"/>
        <v/>
      </c>
      <c r="HK346" t="str" cm="1">
        <f t="array" ref="HK346">IF(HF346="","",_xlfn.LET(_xlpm.nd,_xlfn.TEXTSPLIT(HF346,"|"),IF(COLUMNS(_xlpm.nd)&gt;3,A346&amp;"¦"&amp;INDEX(_xlpm.nd,3)&amp;"¦"&amp;INDEX(_xlpm.nd,4),"")))</f>
        <v/>
      </c>
      <c r="HL346" t="str">
        <f t="shared" si="718"/>
        <v/>
      </c>
      <c r="HM346" t="str" cm="1">
        <f t="array" ref="HM346">IF(HF346="","",_xlfn.LET(_xlpm.nd,_xlfn.TEXTSPLIT(HF346,"|"),IF(COLUMNS(_xlpm.nd)&gt;4,A346&amp;"¦"&amp;INDEX(_xlpm.nd,4)&amp;"¦"&amp;INDEX(_xlpm.nd,5),"")))</f>
        <v/>
      </c>
      <c r="HN346" t="str">
        <f t="shared" si="719"/>
        <v/>
      </c>
      <c r="HO346" t="str" cm="1">
        <f t="array" ref="HO346">IF(HF346="","",_xlfn.LET(_xlpm.nd,_xlfn.TEXTSPLIT(HF346,"|"),IF(COLUMNS(_xlpm.nd)&gt;5,A346&amp;"¦"&amp;INDEX(_xlpm.nd,5)&amp;"¦"&amp;INDEX(_xlpm.nd,6),"")))</f>
        <v/>
      </c>
      <c r="HP346" t="str">
        <f t="shared" si="720"/>
        <v/>
      </c>
      <c r="HQ346" t="str" cm="1">
        <f t="array" ref="HQ346">IF(HF346="","",_xlfn.LET(_xlpm.nd,_xlfn.TEXTSPLIT(HF346,"|"),IF(COLUMNS(_xlpm.nd)&gt;6,A346&amp;"¦"&amp;INDEX(_xlpm.nd,6)&amp;"¦"&amp;INDEX(_xlpm.nd,7),"")))</f>
        <v/>
      </c>
      <c r="HR346" t="str">
        <f t="shared" si="721"/>
        <v/>
      </c>
      <c r="HS346" t="str">
        <f t="shared" si="722"/>
        <v/>
      </c>
      <c r="HT346" t="str">
        <f t="shared" si="723"/>
        <v>QF5</v>
      </c>
      <c r="HU346">
        <f t="shared" si="724"/>
        <v>0</v>
      </c>
      <c r="HV346">
        <f t="shared" si="725"/>
        <v>0</v>
      </c>
      <c r="HW346" t="str">
        <f t="shared" si="726"/>
        <v/>
      </c>
      <c r="HX346" t="str">
        <f t="shared" si="727"/>
        <v/>
      </c>
      <c r="HY346" t="str">
        <f t="shared" si="728"/>
        <v/>
      </c>
      <c r="HZ346" t="str">
        <f t="shared" si="729"/>
        <v/>
      </c>
      <c r="IA346" t="str">
        <f>IF(B346="","",IFERROR(VLOOKUP(B346,УГО_спр,2,FALSE),IFERROR(VLOOKUP(AX346,УГО_спр,2,FALSE),IFERROR(VLOOKUP(LEFT(AX346,2),УГО_спр,2,FALSE),""))))</f>
        <v/>
      </c>
      <c r="IB346" t="str">
        <f>IF(B346="","",IF(OR(IA346="",IA346=0),"BOX",IFERROR(IF(VLOOKUP(IA346,УГО_блоки,3,FALSE)&amp;""&lt;&gt;"",VLOOKUP(IA346,УГО_блоки,3,FALSE),VLOOKUP(IA346,УГО_блоки,2,FALSE)),IA346)))</f>
        <v>BOX</v>
      </c>
      <c r="IC346">
        <f t="shared" si="730"/>
        <v>1</v>
      </c>
      <c r="ID346" t="str">
        <f>IF(DA346="","",IF(COUNTIF(DA$3:DA346,DA346)=1,MAX(ID$2:ID345)+1,""))</f>
        <v/>
      </c>
      <c r="IE346" t="str">
        <f>IF(CO346="","",IF(COUNTIF(CO$3:CO346,CO346)+COUNTIF(CP$2:CP345,CO346)+COUNTIF(CQ$2:CQ345,CO346)=1,MAX(IE$2:IG345)+1,""))</f>
        <v/>
      </c>
      <c r="IF346" t="str">
        <f>IF(CP346="","",IF(COUNTIF(CO$3:CO346,CP346)+COUNTIF(CP$3:CP346,CP346)+COUNTIF(CQ$2:CQ345,CP346)=1,MAX(IE$2:IG345,IE346)+1,""))</f>
        <v/>
      </c>
      <c r="IG346" t="str">
        <f>IF(CQ346="","",IF(COUNTIF(CO$3:CO346,CQ346)+COUNTIF(CP$3:CP346,CQ346)+COUNTIF(CQ$3:CQ346,CQ346)=1,MAX(IE$2:IG345,IE346,IF346)+1,""))</f>
        <v/>
      </c>
      <c r="IH346" t="str">
        <f t="shared" si="731"/>
        <v>3х6</v>
      </c>
      <c r="II346" t="str">
        <f>IF(IH346="","",IF(COUNTIF(IH$3:IH346,IH346)=1,MAX(II$2:II345)+1,""))</f>
        <v/>
      </c>
      <c r="IJ346" t="str">
        <f>IF(GL346="","",COUNTIF(GL$3:GL346,"?*"))</f>
        <v/>
      </c>
      <c r="IK346" t="str">
        <f>IF(OR(GL346="",GN346=""),"",IF(COUNTIFS(GL$3:GL346,"?*",GN$3:GN346,GN346)=1,MAX(IK$2:IK345)+1,""))</f>
        <v/>
      </c>
      <c r="IL346">
        <f t="shared" si="732"/>
        <v>1</v>
      </c>
      <c r="IM346">
        <f>IF(B346="","",COUNTIF(B$3:B346,"?*"))</f>
        <v>344</v>
      </c>
      <c r="IN346">
        <f>IF(GQ346&lt;&gt;1,0,_xlfn.LET(_xlpm.k,MAX(IFERROR(--VLOOKUP(B346,УГО_спр,5,FALSE),0),IFERROR(--VLOOKUP(AX346,УГО_спр,5,FALSE),0),IFERROR(--VLOOKUP(LEFT(AX346,2),УГО_спр,5,FALSE),0)),IF(_xlpm.k&gt;0,_xlpm.k,IF(IFERROR(--LEFT(SUBSTITUTE(IH346,"x","х"),FIND("х",SUBSTITUTE(IH346,"x","х"))-1),3)&gt;3,Каталог!$S$9,1))))</f>
        <v>1</v>
      </c>
      <c r="IO346">
        <f t="shared" si="733"/>
        <v>0</v>
      </c>
      <c r="IP346" t="str">
        <f t="shared" si="734"/>
        <v>авто</v>
      </c>
      <c r="IQ346" t="str">
        <f t="shared" si="735"/>
        <v/>
      </c>
      <c r="IR346">
        <f t="shared" si="736"/>
        <v>0</v>
      </c>
      <c r="IS346">
        <f t="shared" si="737"/>
        <v>1</v>
      </c>
    </row>
    <row r="347" spans="1:253" x14ac:dyDescent="0.3">
      <c r="A347" t="s">
        <v>771</v>
      </c>
      <c r="B347" t="s">
        <v>1604</v>
      </c>
      <c r="C347" t="s">
        <v>1697</v>
      </c>
      <c r="D347">
        <v>4</v>
      </c>
      <c r="E347">
        <v>2.04</v>
      </c>
      <c r="G347">
        <v>16</v>
      </c>
      <c r="H347" t="str">
        <f>Линии[[#This Row],[_авто утечка]]</f>
        <v/>
      </c>
      <c r="I347" t="str">
        <f>Линии[[#This Row],[_авто управление]]</f>
        <v/>
      </c>
      <c r="J347" t="str">
        <f>Линии[[#This Row],[_авто аппараты]]</f>
        <v/>
      </c>
      <c r="K347">
        <v>4</v>
      </c>
      <c r="L347">
        <v>84</v>
      </c>
      <c r="M347">
        <v>3</v>
      </c>
      <c r="N347" t="s">
        <v>486</v>
      </c>
      <c r="O347" t="str">
        <f t="shared" si="615"/>
        <v>потери 6,1 % &gt; 4 %</v>
      </c>
      <c r="P347" s="6" cm="1">
        <f t="array" ref="P347">IF(B347="","",IF(BC347&lt;&gt;"",IFERROR(_xlfn.XLOOKUP(BC347,Щиты[Щит],Щиты[Iр, А]),""),IF(BK347=1,IFERROR(_xlfn.XLOOKUP(A347,Щиты[Щит],Щиты[Iр, А]),""),IFERROR(_xlfn.IFS(BR347=1,BN347/((Uн_лин/SQRT(3))*BY347),BR347=3,BN347/(SQRT(3)*Uн_лин*BY347)),""))))</f>
        <v>9.298378019580289</v>
      </c>
      <c r="Q347" s="7">
        <f>IF(B347="","",IFERROR(IF(VLOOKUP(AX347,Потребители_обозначение,4,FALSE)=1,VLOOKUP(AX347,Потребители_обозначение,3,FALSE)*(D347*2-1)+DS347+VLOOKUP(AZ347,Этаж_обозначение,3,FALSE)+VLOOKUP(AZ347,Этаж_обозначение,4,FALSE),VLOOKUP(AX347,Потребители_обозначение,3,FALSE)*(D347*2-1)+DS347),DS347))</f>
        <v>84</v>
      </c>
      <c r="R347" s="6">
        <f t="shared" si="616"/>
        <v>6.129999999999999</v>
      </c>
      <c r="S347" t="str">
        <f t="shared" si="617"/>
        <v>ВВГнг(А)-LS (3х4)</v>
      </c>
      <c r="T347" t="str">
        <f>IF(BH347="","",IF(BI347="вводной узел","узел ","")&amp;"л."&amp;(INT((BH347-1)/Столбцов_на_лист)+1)&amp;" / "&amp;(MOD(BH347-1,Столбцов_на_лист)+1))</f>
        <v>л.2 / 12</v>
      </c>
      <c r="V347">
        <v>1</v>
      </c>
      <c r="W347">
        <v>230</v>
      </c>
      <c r="X347" t="s">
        <v>575</v>
      </c>
      <c r="AC347" t="s">
        <v>815</v>
      </c>
      <c r="AE347" t="s">
        <v>611</v>
      </c>
      <c r="AI347">
        <v>29</v>
      </c>
      <c r="AJ347" t="s">
        <v>11</v>
      </c>
      <c r="AK347">
        <v>3</v>
      </c>
      <c r="AM347">
        <v>7</v>
      </c>
      <c r="AN347">
        <v>42</v>
      </c>
      <c r="AO347">
        <v>35</v>
      </c>
      <c r="AP347">
        <v>1</v>
      </c>
      <c r="AW347" cm="1">
        <f t="array" ref="AW347">ROW()-ROW(Линии[#Headers])</f>
        <v>345</v>
      </c>
      <c r="AX347" s="6" t="str">
        <f t="shared" si="618"/>
        <v>OV</v>
      </c>
      <c r="AY347" t="str">
        <f t="shared" si="619"/>
        <v>2.1.2</v>
      </c>
      <c r="AZ347" t="str">
        <f t="shared" si="620"/>
        <v>2</v>
      </c>
      <c r="BA347" t="str">
        <f t="shared" si="621"/>
        <v>1.2</v>
      </c>
      <c r="BB347" t="str">
        <f t="shared" si="622"/>
        <v>1</v>
      </c>
      <c r="BC347" t="str">
        <f>IF(U347&lt;&gt;"",U347,IF(AND(B347&lt;&gt;"",B347&lt;&gt;A347,ISNUMBER(_xlfn.XMATCH(B347,Щиты[Щит]))),B347,""))</f>
        <v/>
      </c>
      <c r="BD347" t="str" cm="1">
        <f t="array" ref="BD347">IF(B347="","",IF(BC347&lt;&gt;"","Щит "&amp;BC347,_xlfn.LET(_xlpm.nm,IFERROR(_xlfn.XLOOKUP(AX347,Коды_код,Коды_имя)&amp;"",""),_xlpm.md,IFERROR(N(_xlfn.XLOOKUP(AX347,Коды_код,Коды_режим)),1),_xlpm.ex,IF(Имя_режим="по экспликации",IFERROR(_xlfn.XLOOKUP(AZ347&amp;"|"&amp;BB347,Экспликация[Этаж]&amp;"|"&amp;Экспликация[Помещение],Экспликация[Название])&amp;"",""),""),_xlpm.rm,IF(BB347="","",IF(_xlpm.ex&lt;&gt;"",". "&amp;_xlpm.ex&amp;IF(Имя_пом="нет"," ("&amp;BB347&amp;")"," (пом. "&amp;BB347&amp;")"),IF(Имя_пом="нет"," ",", пом. ")&amp;BB347)),IF(_xlpm.nm="","",IF(_xlpm.md=2,_xlpm.nm&amp;" шлейф "&amp;AZ347,_xlpm.nm&amp;_xlpm.rm)))))</f>
        <v/>
      </c>
      <c r="BE347" t="str">
        <f t="shared" si="623"/>
        <v>Обогревл ливнестоков Второй этаж</v>
      </c>
      <c r="BF347">
        <f>IFERROR(_xlfn.XMATCH(A347,Щиты[Щит]),0)</f>
        <v>17</v>
      </c>
      <c r="BG347">
        <f>_xlfn.LET(_xlpm.k,IFERROR(_xlfn.XLOOKUP(A347,Щиты[Щит],Щиты[Листов под вводной узел]),""),IF(_xlpm.k="",1,N(_xlpm.k))*Столбцов_на_лист)</f>
        <v>17</v>
      </c>
      <c r="BH347">
        <f t="shared" si="624"/>
        <v>29</v>
      </c>
      <c r="BI347" t="str">
        <f t="shared" si="625"/>
        <v>линии</v>
      </c>
      <c r="BJ347" s="6">
        <f>IFERROR(N(_xlfn.XLOOKUP(AX347,Коды_код,Коды_квт)),0)</f>
        <v>0</v>
      </c>
      <c r="BK347">
        <f t="shared" si="626"/>
        <v>0</v>
      </c>
      <c r="BL347" t="str">
        <f>IF(B347="","",IF(BC347&lt;&gt;"",IFERROR(_xlfn.XLOOKUP(BC347,Щиты[Щит],Щиты[Руст, кВт]),0),IF(BK347=1,IFERROR(_xlfn.XLOOKUP(A347,Щиты[Щит],Щиты[Руст, кВт]),0),IF(BJ347&gt;0,ROUND(BJ347*MAX(1,N(D347)),3),""))))</f>
        <v/>
      </c>
      <c r="BM347">
        <f t="shared" si="627"/>
        <v>2.04</v>
      </c>
      <c r="BN347" s="6">
        <f>IF(B347="","",IF(BC347&lt;&gt;"",IFERROR(_xlfn.XLOOKUP(BC347,Щиты[Щит],Щиты[Руст, кВт]),0),N(BM347)))</f>
        <v>2.04</v>
      </c>
      <c r="BO347" t="str">
        <f>IF(B347="","",IFERROR(IF(VLOOKUP(AX347,Потребители_обозначение,8,FALSE)=0,"",VLOOKUP(AX347,Потребители_обозначение,8,FALSE)),""))</f>
        <v/>
      </c>
      <c r="BP347">
        <f t="shared" si="628"/>
        <v>230</v>
      </c>
      <c r="BQ347">
        <f>IF(B347="","",IF(BC347&lt;&gt;"",3,IFERROR(IF(N(VLOOKUP(AX347,Потребители_обозначение,9,FALSE))=0,1,VLOOKUP(AX347,Потребители_обозначение,9,FALSE)),1)))</f>
        <v>1</v>
      </c>
      <c r="BR347">
        <f t="shared" si="629"/>
        <v>1</v>
      </c>
      <c r="BS347" t="str">
        <f>IF(B347="","",_xlfn.LET(_xlpm.bc,IFERROR(IF(VLOOKUP(AX347,Потребители_обозначение,6,FALSE)=0,"",VLOOKUP(AX347,Потребители_обозначение,6,FALSE)&amp;""),""),IF(AND(FK347="да",OR(_xlpm.bc="",_xlpm.bc="мс")),Марка_пож,IF(AND(_xlpm.bc="",BC347&lt;&gt;""),"мс",_xlpm.bc))))</f>
        <v/>
      </c>
      <c r="BT347" t="str">
        <f t="shared" si="630"/>
        <v>мс</v>
      </c>
      <c r="BU347">
        <f>IF(B347="","",_xlfn.LET(_xlpm.cc,IFERROR(N(VLOOKUP(AX347,Потребители_обозначение,7,FALSE)),0),IF(_xlpm.cc&gt;0,_xlpm.cc,IF(BT347="","",IF(N(BR347)=3,5,3)))))</f>
        <v>3</v>
      </c>
      <c r="BV347">
        <f t="shared" si="631"/>
        <v>3</v>
      </c>
      <c r="BW347">
        <f>IFERROR(N(VLOOKUP(AX347,Потребители_обозначение,10,FALSE)),0)</f>
        <v>0</v>
      </c>
      <c r="BX347">
        <f>IFERROR(VLOOKUP(AX347,Потребители_обозначение,5,FALSE),0)</f>
        <v>0</v>
      </c>
      <c r="BY347" s="6" cm="1">
        <f t="array" ref="BY347">IF(B347="","",IF(BC347&lt;&gt;"",IFERROR(_xlfn.XLOOKUP(BC347,Щиты[Щит],Щиты[cos φ]),0.95),IF(BK347=1,IFERROR(_xlfn.XLOOKUP(A347,Щиты[Щит],Щиты[cos φ]),0.95),IF(ISNUMBER(Z347),Z347,IFERROR(IF(BX347=2,_xlfn.IFS(BR347=3,VLOOKUP(BN347,Справочная_двигатели,8,FALSE),BR347=1,VLOOKUP(BN347,Справочная_двигатели,10,TRUE)),IF(AND(Методика="нормы 2026",EQ347="Сил"),0.8,0.95)),0.95)))))</f>
        <v>0.95</v>
      </c>
      <c r="BZ347">
        <f t="shared" si="632"/>
        <v>0</v>
      </c>
      <c r="CA347">
        <f t="shared" si="633"/>
        <v>1</v>
      </c>
      <c r="CB347">
        <f t="shared" si="634"/>
        <v>0</v>
      </c>
      <c r="CC347">
        <f t="shared" si="635"/>
        <v>0</v>
      </c>
      <c r="CD347">
        <f t="shared" si="636"/>
        <v>0</v>
      </c>
      <c r="CE347">
        <f t="shared" si="637"/>
        <v>0</v>
      </c>
      <c r="CF347">
        <f t="shared" si="638"/>
        <v>0</v>
      </c>
      <c r="CG347">
        <f>IF(AX347="",0,_xlfn.LET(_xlpm.v,IFERROR(VLOOKUP(B347,УГО_спр,3,FALSE),IFERROR(VLOOKUP(AX347,УГО_спр,3,FALSE),IFERROR(VLOOKUP(LEFT(AX347,2),УГО_спр,3,FALSE),""))),IF(_xlpm.v="да",30,IF(ISNUMBER(_xlpm.v),_xlpm.v,0))))</f>
        <v>0</v>
      </c>
      <c r="CH347" t="str">
        <f t="shared" si="639"/>
        <v/>
      </c>
      <c r="CI347" t="str">
        <f>_xlfn.LET(_xlpm.k,IFERROR(_xlfn.XLOOKUP(AX347,Коды_код,Коды_утечка)&amp;"",""),IF(_xlpm.k="","дифавтомат",_xlpm.k))</f>
        <v>дифавтомат</v>
      </c>
      <c r="CJ347">
        <f t="shared" si="640"/>
        <v>0</v>
      </c>
      <c r="CK347">
        <f t="shared" si="641"/>
        <v>0</v>
      </c>
      <c r="CL347">
        <f>IF(B347="",0,IFERROR(--VLOOKUP(B347,УГО_спр,4,FALSE),IFERROR(--VLOOKUP(AX347,УГО_спр,4,FALSE),IFERROR(--VLOOKUP(LEFT(AX347,2),УГО_спр,4,FALSE),0))))</f>
        <v>0</v>
      </c>
      <c r="CM347" t="str">
        <f>IF(B347="","",IFERROR(_xlfn.XLOOKUP(AX347,Коды_код,Коды_апп)&amp;"",""))</f>
        <v/>
      </c>
      <c r="CN347" t="str">
        <f t="shared" si="642"/>
        <v/>
      </c>
      <c r="CO347" t="str" cm="1">
        <f t="array" ref="CO347">IF(TRIM(CN347&amp;"")="","",IFERROR(TRIM(INDEX(_xlfn.TEXTSPLIT(CN347&amp;";;;",";"),1)),""))</f>
        <v/>
      </c>
      <c r="CP347" t="str" cm="1">
        <f t="array" ref="CP347">IF(TRIM(CN347&amp;"")="","",IFERROR(TRIM(INDEX(_xlfn.TEXTSPLIT(CN347&amp;";;;",";"),2)),""))</f>
        <v/>
      </c>
      <c r="CQ347" t="str" cm="1">
        <f t="array" ref="CQ347">IF(TRIM(CN347&amp;"")="","",IFERROR(TRIM(INDEX(_xlfn.TEXTSPLIT(CN347&amp;";;;",";"),3)),""))</f>
        <v/>
      </c>
      <c r="CR347">
        <f t="shared" si="643"/>
        <v>0</v>
      </c>
      <c r="CS347" t="str">
        <f>IF(B347="","",_xlfn.LET(_xlpm.t,LOWER(AV347&amp;""),IF(ISNUMBER(SEARCH("dim",_xlpm.t)),"DIM",IF(ISNUMBER(SEARCH("dali",_xlpm.t)),"DALI",IF(OR(ISNUMBER(SEARCH("relay",_xlpm.t)),ISNUMBER(SEARCH("реле",_xlpm.t))),"Relay",IF(ISNUMBER(SEARCH("кнопк",_xlpm.t)),"",IFERROR(_xlfn.XLOOKUP(AX347,Коды_код,Коды_упр)&amp;"","")))))))</f>
        <v/>
      </c>
      <c r="CT347" t="str">
        <f t="shared" si="644"/>
        <v/>
      </c>
      <c r="CU347">
        <f>IF(B347="","",_xlfn.LET(_xlpm.ig,N(P347)+IF(AF347="вручную",0,N(CB347)),_xlpm.n0,IFERROR(VLOOKUP(_xlpm.ig,Автомат_номиналы,2,TRUE),0),_xlpm.mn,MAX(CL347,IF(AF347="вручную",0,N(CE347))),MAX(_xlpm.n0,_xlpm.mn,IF(CR347=1,Мин_автомат_БП,0))))</f>
        <v>16</v>
      </c>
      <c r="CV347">
        <f t="shared" si="645"/>
        <v>1</v>
      </c>
      <c r="CW347" t="str">
        <f t="shared" si="646"/>
        <v>1P</v>
      </c>
      <c r="CX347" t="str">
        <f>_xlfn.LET(_xlpm.cc,UPPER(TRIM(IFERROR(_xlfn.XLOOKUP(AX347,Коды_код,Коды_хар)&amp;"",""))),IF(OR(_xlpm.cc="B",_xlpm.cc="В"),"B",IF(_xlpm.cc="D","D","С")))</f>
        <v>С</v>
      </c>
      <c r="CY347" t="str">
        <f t="shared" si="647"/>
        <v>1P С16А</v>
      </c>
      <c r="CZ347">
        <f t="shared" si="648"/>
        <v>16</v>
      </c>
      <c r="DA347" t="str">
        <f t="shared" si="649"/>
        <v>1P С16А</v>
      </c>
      <c r="DB347" cm="1">
        <f t="array" ref="DB347">IF(DA347="","",_xlfn.LET(_xlpm.t,SUBSTITUTE(SUBSTITUTE(SUBSTITUTE(UPPER(DA347),"С","C"),"А","A"),"В","B"),_xlpm.tk,_xlfn.TEXTSPLIT(_xlpm.t,"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7" t="str">
        <f t="shared" si="650"/>
        <v>ok</v>
      </c>
      <c r="DD347">
        <f t="shared" si="651"/>
        <v>16</v>
      </c>
      <c r="DE347" t="str">
        <f t="shared" si="652"/>
        <v>1P С16А</v>
      </c>
      <c r="DF347">
        <f t="shared" si="653"/>
        <v>0</v>
      </c>
      <c r="DG347">
        <f t="shared" si="654"/>
        <v>0</v>
      </c>
      <c r="DH347">
        <f t="shared" si="655"/>
        <v>0</v>
      </c>
      <c r="DI347">
        <f t="shared" si="656"/>
        <v>9.298378019580289</v>
      </c>
      <c r="DJ347">
        <f t="shared" si="657"/>
        <v>1</v>
      </c>
      <c r="DK347">
        <f>IF(ISNUMBER(AL347),AL347,К_прокл)</f>
        <v>1</v>
      </c>
      <c r="DL347">
        <f t="shared" si="658"/>
        <v>2</v>
      </c>
      <c r="DM347">
        <f>IFERROR(N(VLOOKUP(BT347,Кабель_обозначение,3,FALSE)),1)</f>
        <v>1</v>
      </c>
      <c r="DN347">
        <f>IFERROR(N(_xlfn.XLOOKUP(A347,Щиты[Щит],Щиты[ΔU до шин, %])),0)</f>
        <v>2.4899999999999998</v>
      </c>
      <c r="DO347" t="str">
        <f>IFERROR(_xlfn.XLOOKUP(A347,Щиты[Щит],Щиты[Zпетли на шинах, Ом]),"")</f>
        <v/>
      </c>
      <c r="DP347">
        <f>IFERROR(N(_xlfn.XLOOKUP(A347,Щиты[Щит],Щиты[ΔU до шин (подбор), %])),0)</f>
        <v>3.73</v>
      </c>
      <c r="DQ347" t="str">
        <f>IFERROR(_xlfn.XLOOKUP(A347,Щиты[Щит],Щиты[Zпетли на шинах (подбор), Ом]),"")</f>
        <v/>
      </c>
      <c r="DR347" t="str">
        <f t="shared" si="659"/>
        <v/>
      </c>
      <c r="DS347">
        <f t="shared" si="660"/>
        <v>84</v>
      </c>
      <c r="DT347">
        <f t="shared" si="661"/>
        <v>2</v>
      </c>
      <c r="DU347">
        <f t="shared" si="662"/>
        <v>0.31</v>
      </c>
      <c r="DV347" s="6">
        <f>IF(B347="","",IF(IFERROR(VLOOKUP(AX347,УГО_спр,2,FALSE),"")="Светильник",3,4)+IF(Методика="нормы 2026",MIN(0.5,MAX(0,N(Q347)-100)*0.005),0))</f>
        <v>4</v>
      </c>
      <c r="DW347" cm="1">
        <f t="array" ref="DW347">IF(OR(B347="",BT347="",DM347&lt;&gt;1),"",_xlfn.LET(_xlpm.sz,Iдоп_S,_xlpm.t_,CHOOSE(DL347,Iдоп_1ж,Iдоп_2ж,Iдоп_3ж)*DJ347*DK347,_xlpm.inn,N(DD347),_xlpm.smin,MAX(1.5,BW347),_xlpm.L_,N(Q347)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347)*(_xlpm.rho*_xlpm.L_/_xlpm.sz*N(BY347)+_xlpm.xx*_xlpm.L_*N(DU347)/1000)*N(P347)/((Uн_лин/SQRT(3))*1000)*100,999),_xlpm.kz,IF(OR(DG347=1,NOT(ISNUMBER(DQ347)),_xlpm.L_=0,_xlpm.inn=0),1,IFERROR(--(c_min*(Uн_лин*1000/SQRT(3))/(DQ347+2*ρкз_Cu*_xlpm.L_/_xlpm.sz)&gt;=GY347*_xlpm.inn),0)),_xlpm.ok,IFERROR((_xlpm.sz&gt;=_xlpm.smin)*(_xlpm.t_&gt;=_xlpm.inn)*IF(_xlpm.L_&gt;0,(_xlpm.du_+DP347&lt;=DV347+0.00001),1)*_xlpm.kz,0),_xlpm.r_,_xlfn._xlws.FILTER(_xlpm.sz,_xlpm.ok,"не подобрано"),INDEX(_xlpm.r_,1)))</f>
        <v>70</v>
      </c>
      <c r="DX347">
        <f t="shared" si="663"/>
        <v>4</v>
      </c>
      <c r="DY347" cm="1">
        <f t="array" ref="DY347">IF(OR(B347="",BT347="",DM347&lt;&gt;1),"",_xlfn.LET(_xlpm.sz,Iдоп_S,_xlpm.t_,CHOOSE(DL347,Iдоп_1ж,Iдоп_2ж,Iдоп_3ж)*DJ347*DK347,_xlpm.ok,IFERROR((_xlpm.sz&gt;=MAX(1.5,BW347))*(_xlpm.t_&gt;=N(DD347)),0),_xlpm.r_,_xlfn._xlws.FILTER(_xlpm.sz,_xlpm.ok,""),INDEX(_xlpm.r_,1)))</f>
        <v>1.5</v>
      </c>
      <c r="DZ347" s="6" cm="1">
        <f t="array" ref="DZ347">IFERROR(ROUNDUP(N(DT347)*(_xlfn.XLOOKUP(DY347,INDEX(Кабель_сопротивление,0,1),INDEX(Кабель_сопротивление,0,3))*N(Q347)/DY347*N(BY347)+_xlfn.XLOOKUP(DY347,INDEX(Кабель_сопротивление,0,1),INDEX(Кабель_сопротивление,0,2))*N(Q347)*N(DU347)/1000)*N(P347)/((Uн_лин/SQRT(3))*1000)*100,2),"")</f>
        <v>9.67</v>
      </c>
      <c r="EA347">
        <f>IFERROR(2*ρкз_Cu*N(Q347)/DY347,"")</f>
        <v>2.9456000000000002</v>
      </c>
      <c r="EB347">
        <f>IFERROR(VLOOKUP(DX347,Кабель_сопротивление,3,FALSE),"")</f>
        <v>2.2499999999999999E-2</v>
      </c>
      <c r="EC347">
        <f>IFERROR(VLOOKUP(DX347,Кабель_сопротивление,2,FALSE),"")</f>
        <v>9.5000000000000001E-2</v>
      </c>
      <c r="ED347">
        <f t="shared" si="664"/>
        <v>42</v>
      </c>
      <c r="EE347">
        <f t="shared" si="665"/>
        <v>35</v>
      </c>
      <c r="EF347">
        <f t="shared" si="666"/>
        <v>8.3936235221678803</v>
      </c>
      <c r="EG347" s="6">
        <f>IFERROR(ROUNDUP(EF347/((Uн_лин/SQRT(3))*1000)*100,2),"")</f>
        <v>3.6399999999999997</v>
      </c>
      <c r="EH347" t="str">
        <f>IFERROR(VLOOKUP(BT347,Кабель_обозначение,2,FALSE),"")</f>
        <v>ВВГнг(А)-LS</v>
      </c>
      <c r="EI347" t="str">
        <f t="shared" si="667"/>
        <v>ВВГнг(А)-LS (3х4)</v>
      </c>
      <c r="EJ347" t="str">
        <f t="shared" si="668"/>
        <v>ВВГнг(А)-LS (3х4)
L=84-3,64%</v>
      </c>
      <c r="EK347">
        <f>IFERROR(2*ρкз_Cu*Q347/DX347,"")</f>
        <v>1.1046</v>
      </c>
      <c r="EL347">
        <f t="shared" si="669"/>
        <v>0.36750000000000005</v>
      </c>
      <c r="EM347" s="6" t="str">
        <f>IFERROR(IF(OR(B347="",NOT(ISNUMBER(DX347)),N(Q347)=0),"",_xlfn.XLOOKUP(A347,Щиты[Щит],Щиты[Zпетли на шинах, Ом])+EK347),"")</f>
        <v/>
      </c>
      <c r="EN347" s="6" t="str">
        <f>IF(ISNUMBER(EM347),c_min*(Uн_лин*1000/SQRT(3))/EM347,"")</f>
        <v/>
      </c>
      <c r="EO347" s="6" t="str">
        <f>IFERROR(IF(OR(B347="",NOT(ISNUMBER(DX347))),"",1.05*(Uн_лин*1000/SQRT(3))/(_xlfn.XLOOKUP(A347,Щиты[Щит],Щиты[Zmax на шинах, Ом])+EL347)/1000),"")</f>
        <v/>
      </c>
      <c r="EP347" s="6" t="str">
        <f>IF(B347="","",IF(ISNUMBER(Y347),"Сил",IF(IFERROR(_xlfn.XLOOKUP(AX347,Коды_код,Коды_группа)&amp;"","")="","Быт",_xlfn.XLOOKUP(AX347,Коды_код,Коды_группа)&amp;"")))</f>
        <v>Быт</v>
      </c>
      <c r="EQ347" s="6" t="str">
        <f t="shared" si="670"/>
        <v>Пост</v>
      </c>
      <c r="ER347" s="6">
        <f>IF(EQ347="Щит","щит",IF(EQ347="","",IF(EQ347="Быт",IFERROR(_xlfn.XLOOKUP(A347,Щиты[Щит],Щиты[Кс быт]),1),IF(EQ347="Сил",IF(ISNUMBER(Y347),Y347,IF(Методика="нормы 2026",IFERROR(_xlfn.XLOOKUP(A347,Щиты[Щит],Щиты[Кс силовых (табл. 7.5)]),1),1)),IF(OR(EQ347="Пост",EQ347="Отоп"),1,IF(EQ347="ВНГ",0.7,0))))))</f>
        <v>1</v>
      </c>
      <c r="ES347">
        <f t="shared" si="671"/>
        <v>1</v>
      </c>
      <c r="ET347">
        <f t="shared" si="672"/>
        <v>2.04</v>
      </c>
      <c r="EU347">
        <f t="shared" si="673"/>
        <v>0</v>
      </c>
      <c r="EV347">
        <f t="shared" si="674"/>
        <v>0</v>
      </c>
      <c r="EW347">
        <f t="shared" si="675"/>
        <v>2.04</v>
      </c>
      <c r="EX347">
        <f t="shared" si="676"/>
        <v>0</v>
      </c>
      <c r="EY347">
        <f t="shared" si="677"/>
        <v>0</v>
      </c>
      <c r="EZ347">
        <f t="shared" si="678"/>
        <v>2.04</v>
      </c>
      <c r="FA347">
        <f t="shared" si="679"/>
        <v>1.9379999999999999</v>
      </c>
      <c r="FB347">
        <f t="shared" si="680"/>
        <v>2.04</v>
      </c>
      <c r="FC347" t="str">
        <f t="shared" si="681"/>
        <v>L3</v>
      </c>
      <c r="FD347" t="str">
        <f>IF(B347="","",IF(CA347=0,IF(AW347=1,"",FF346),IF(OR(N(CV347)&gt;=3,N(BR347)&gt;=3),"L1,L2,L3",IFERROR(_xlfn.TEXTBEFORE(_xlfn.TEXTAFTER(_xlfn.XLOOKUP(A347,Щиты[Щит],Щиты[_фазы авто]),";"&amp;AW347&amp;":"),";"),"L1"))))</f>
        <v>L1</v>
      </c>
      <c r="FE347" t="str">
        <f t="shared" si="682"/>
        <v>L3</v>
      </c>
      <c r="FF347" t="str">
        <f t="shared" si="683"/>
        <v>L3</v>
      </c>
      <c r="FG347" cm="1">
        <f t="array" ref="FG347">IFERROR(IF(BX347=2,_xlfn.IFS(BR347=3,VLOOKUP(BN347,Справочная_двигатели,3,FALSE),BR347=1,VLOOKUP(BN347,Справочная_двигатели,5,TRUE)),0),0)</f>
        <v>0</v>
      </c>
      <c r="FH347">
        <f>IFERROR(IF(BX347=3,VLOOKUP(BN347,Справочная_ЛЭД,2,TRUE),0),0)</f>
        <v>0</v>
      </c>
      <c r="FI347" s="6">
        <f t="shared" si="684"/>
        <v>0</v>
      </c>
      <c r="FJ347" t="str" cm="1">
        <f t="array" ref="FJ347">IF(B347="","",IFERROR(INDEX({"I особая","I","II","III"},MATCH(TRIM(AC347&amp;""),{"I особая","I","II","III"},0)),"III"))</f>
        <v>II</v>
      </c>
      <c r="FK347" t="str">
        <f>IF(B347="","",IF(TRIM(AD347&amp;"")&lt;&gt;"",IF(LOWER(TRIM(AD347&amp;""))="да","да","нет"),IF(IFERROR(_xlfn.XLOOKUP(AX347,Коды_код,Коды_пожарная),"")="да","да","нет")))</f>
        <v>нет</v>
      </c>
      <c r="FL347" t="str">
        <f t="shared" si="685"/>
        <v/>
      </c>
      <c r="FM347" t="str">
        <f t="shared" si="686"/>
        <v>основная</v>
      </c>
      <c r="FN347">
        <f t="shared" si="687"/>
        <v>1</v>
      </c>
      <c r="FO347" t="str" cm="1">
        <f t="array" ref="FO347">IF(B347="","",_xlfn.LET(_xlpm.t,IFERROR(_xlfn.XLOOKUP(1,(Шины[Шина]=FM347)*(((Шины[Щит]=A347)+(Шины[Щит]=""))&gt;0),Шины[Тип]),"")&amp;"",IF(_xlpm.t&lt;&gt;"",_xlpm.t,IF(ISNUMBER(SEARCH("ИБП",FM347)),"ИБП",IF(ISNUMBER(SEARCH("ДГУ",FM347)),"ДГУ","Ввод "&amp;FN347)))))</f>
        <v>Ввод 1</v>
      </c>
      <c r="FP347" t="str">
        <f t="shared" si="688"/>
        <v>Ввод 1</v>
      </c>
      <c r="FQ347" t="str">
        <f>IF(B347="","",IF(OR(FO347="ИБП",FO347="ДГУ"),"I особая",IF(FO347="Одиночная","III",_xlfn.XLOOKUP(A347,Щиты[Щит],Щиты[Категория шины «Ввод»],"III"))))</f>
        <v>II</v>
      </c>
      <c r="FR347">
        <f>IF(B347="",0,IFERROR(MATCH(FJ347,{"III","II","I","I особая"},0),1))</f>
        <v>2</v>
      </c>
      <c r="FS347">
        <f t="shared" si="689"/>
        <v>2</v>
      </c>
      <c r="FT347" t="str">
        <f>IF(B347="","",IF(FR347&gt;IFERROR(MATCH(FQ347,{"III","II","I","I особая"},0),1),"НЕ ОБЕСПЕЧЕНА","ОК"))</f>
        <v>ОК</v>
      </c>
      <c r="FU347" t="str">
        <f>IF(A347="","",_xlfn.XLOOKUP(A347,Щиты[Щит],Щиты[Путь],""))</f>
        <v>|ГРЩ-ЖД|ЩУОВ|</v>
      </c>
      <c r="FV347" t="str">
        <f>IF(B347="","",IF(AE347&lt;&gt;"",AE347,IF(IFERROR(_xlfn.XLOOKUP(AX347,Коды_код,Коды_вид)&amp;"","")="","Прочее",_xlfn.XLOOKUP(AX347,Коды_код,Коды_вид)&amp;"")))</f>
        <v>Обогрев водостоков и кровли</v>
      </c>
      <c r="FW347">
        <f>IF(BH347="","",INT((BH347-1)/Столбцов_на_лист)+1)</f>
        <v>2</v>
      </c>
      <c r="FX347" t="str">
        <f t="shared" si="690"/>
        <v>ВВГнг(А)-LS (3х4) L=84-3,64%</v>
      </c>
      <c r="FY347">
        <f t="shared" si="691"/>
        <v>2.04</v>
      </c>
      <c r="FZ347">
        <f t="shared" si="692"/>
        <v>9.2999999999999989</v>
      </c>
      <c r="GA347">
        <f t="shared" si="693"/>
        <v>1</v>
      </c>
      <c r="GB347">
        <f t="shared" si="694"/>
        <v>0</v>
      </c>
      <c r="GC347">
        <f t="shared" si="695"/>
        <v>1</v>
      </c>
      <c r="GD347">
        <f>IF(BH347="","",IF(AND(CA347=1,GC347=1),COUNTIFS(A$3:A347,A347,CA$3:CA347,1,GC$3:GC347,1),IF(OR(OR(AW347=1,A347&lt;&gt;A346),AF347="вручную",GC347=0),"",IF(AW347=1,"",GE346))))</f>
        <v>6</v>
      </c>
      <c r="GE347">
        <f t="shared" si="696"/>
        <v>6</v>
      </c>
      <c r="GF347">
        <f>IF(B347="","",IFERROR(LOOKUP(INDEX(CHOOSE(DL347,Iдоп_1ж,Iдоп_2ж,Iдоп_3ж),MATCH(DX347,Iдоп_S,0))*DJ347*DK347,{6,10,16,20,25,32,40,50,63,80,100,125,160,200,250,315,400,500,630}),""))</f>
        <v>32</v>
      </c>
      <c r="GG347" t="str">
        <f t="shared" si="697"/>
        <v>QF6</v>
      </c>
      <c r="GH347" t="str">
        <f t="shared" si="698"/>
        <v>QF6</v>
      </c>
      <c r="GI347" t="str">
        <f t="shared" si="699"/>
        <v/>
      </c>
      <c r="GJ347">
        <f t="shared" si="700"/>
        <v>0</v>
      </c>
      <c r="GK347" t="str">
        <f>IF(OR(AG347="",AG347="-"),"",IFERROR(VLOOKUP(AG347,Модули_спр,2,FALSE),"R"))</f>
        <v/>
      </c>
      <c r="GL347" t="str">
        <f>IF(GK347="","",GK347&amp;"."&amp;COUNTIFS(A$3:A347,A347,GK$3:GK347,GK347))</f>
        <v/>
      </c>
      <c r="GM347" t="str">
        <f t="shared" si="701"/>
        <v/>
      </c>
      <c r="GN347" t="str">
        <f t="shared" si="702"/>
        <v/>
      </c>
      <c r="GO347" t="str">
        <f t="shared" si="703"/>
        <v/>
      </c>
      <c r="GP347" t="str">
        <f t="shared" si="704"/>
        <v/>
      </c>
      <c r="GQ347">
        <f t="shared" si="705"/>
        <v>1</v>
      </c>
      <c r="GR347" t="str">
        <f>IF(GQ347=1,"XT"&amp;COUNTIFS(A$3:A347,A347,GQ$3:GQ347,1),"")</f>
        <v>XT6</v>
      </c>
      <c r="GS347" t="str">
        <f t="shared" si="706"/>
        <v/>
      </c>
      <c r="GT347" t="str">
        <f t="shared" si="707"/>
        <v>QF6</v>
      </c>
      <c r="GU347" t="str">
        <f t="shared" si="708"/>
        <v/>
      </c>
      <c r="GV347" t="str">
        <f t="shared" si="709"/>
        <v>ok</v>
      </c>
      <c r="GW347" t="str">
        <f>IF(OR(GO347="",GM347=""),"",IF(GO347&gt;IFERROR(VLOOKUP(GN347,Модули_спр,3,FALSE),99),"ЛИШНИЙ КАНАЛ",IF(AND(AH347&lt;&gt;"=",COUNTIFS(Линии[_модуль гр.],GM347,Линии[Канал (итог)],GO347,Линии[Канал],"&lt;&gt;=",Линии[Щит],A347)&gt;1),"ДУБЛЬ КАНАЛА","")))</f>
        <v/>
      </c>
      <c r="GX347" s="6" t="str">
        <f t="shared" si="710"/>
        <v/>
      </c>
      <c r="GY347">
        <f t="shared" si="711"/>
        <v>10</v>
      </c>
      <c r="GZ347" t="str">
        <f t="shared" si="712"/>
        <v/>
      </c>
      <c r="HA347" t="str">
        <f>IF(AND(B347="",GT347=""),"",_xlfn.TEXTJOIN("; ",TRUE,IF(AND(B347&lt;&gt;"",FE347=""),"нет фазы",""),IF(AND(B347&lt;&gt;"",N(FY347)=0,EQ347&lt;&gt;"Нет"),"нет мощности",""),IF(AND(GS347&lt;&gt;"",COUNTIFS(Линии[Щит],A347,Линии[Клемма (итог)],GS347)&gt;1),"дубль клеммы "&amp;GS347,""),IF(AND(GV347&lt;&gt;"",GV347&lt;&gt;"ok"),GV347,""),IF(GW347&lt;&gt;"",GW347,""),IF(AND(N(BV347)&gt;=4,N(BR347)=1),BV347&amp;" жил на 1 фазе",""),IF(AND(AX347="R",CA347=1,OR(N(CK347)=0,N(CK347)&gt;30)),"розетка без дифзащиты до 30 мА",""),IFERROR(IF(AND(ISNUMBER(R347),R347&gt;DV347),"потери "&amp;FIXED(R347,1)&amp;" % &gt; "&amp;DV347&amp;" %",""),""),IFERROR(IF(LEFT(GZ347,4)="мало","Iкз мало — отключение &gt; 0,4 с",""),""),IF(AND(B347&lt;&gt;"",BH347=""),"не на схеме",""),IF(AND(CA347=0,B347&lt;&gt;"",FE347&lt;&gt;"",IF(AW347=1,"",FF346)&lt;&gt;"",FE347&lt;&gt;IF(AW347=1,"",FF346)),"фаза не как у автомата группы ("&amp;IF(AW347=1,"",FF346)&amp;")","")))</f>
        <v>потери 6,1 % &gt; 4 %</v>
      </c>
      <c r="HB347" s="6">
        <f>IF(OR(CA347=0,DA347=""),"",_xlfn.LET(_xlpm.t,IFERROR(_xlfn.XLOOKUP(DA347,Каталог!$U$4:$U$500,Каталог!$G$4:$G$500),""),_xlpm.k,SEARCH("кА",_xlpm.t),IFERROR(--TRIM(RIGHT(SUBSTITUTE(MID(_xlpm.t,MAX(1,_xlpm.k-4),_xlpm.k-MAX(1,_xlpm.k-4))," ",REPT(" ",9)),5)),"")))</f>
        <v>6</v>
      </c>
      <c r="HC347" t="str">
        <f>IF(OR(HB347="",CA347=0),"",IF(_xlfn.XLOOKUP(A347,Щиты[Щит],Щиты[Iкз max на шинах, кА],"")="","",IF(HB347&lt;_xlfn.XLOOKUP(A347,Щиты[Щит],Щиты[Iкз max на шинах, кА]),"Icu "&amp;HB347&amp;" кА &lt; Iкз max","ok")))</f>
        <v/>
      </c>
      <c r="HD347" t="str">
        <f t="shared" si="713"/>
        <v/>
      </c>
      <c r="HE347" t="str">
        <f t="shared" si="714"/>
        <v>QF6</v>
      </c>
      <c r="HF347" t="str">
        <f t="shared" si="715"/>
        <v>QF6|кабель ВВГнг(А)-LS (3х4) → Обогревл ливнестоков Второй этаж</v>
      </c>
      <c r="HG347" t="str" cm="1">
        <f t="array" ref="HG347">IF(HF347="","",_xlfn.LET(_xlpm.nd,_xlfn.TEXTSPLIT(HF347,"|"),IF(COLUMNS(_xlpm.nd)&gt;1,A347&amp;"¦"&amp;INDEX(_xlpm.nd,1)&amp;"¦"&amp;INDEX(_xlpm.nd,2),"")))</f>
        <v>ЩУОВ¦QF6¦кабель ВВГнг(А)-LS (3х4) → Обогревл ливнестоков Второй этаж</v>
      </c>
      <c r="HH347" t="str">
        <f t="shared" si="716"/>
        <v>OV.2.1.2¦Обогревл ливнестоков Второй этаж</v>
      </c>
      <c r="HI347" t="str" cm="1">
        <f t="array" ref="HI347">IF(HF347="","",_xlfn.LET(_xlpm.nd,_xlfn.TEXTSPLIT(HF347,"|"),IF(COLUMNS(_xlpm.nd)&gt;2,A347&amp;"¦"&amp;INDEX(_xlpm.nd,2)&amp;"¦"&amp;INDEX(_xlpm.nd,3),"")))</f>
        <v/>
      </c>
      <c r="HJ347" t="str">
        <f t="shared" si="717"/>
        <v/>
      </c>
      <c r="HK347" t="str" cm="1">
        <f t="array" ref="HK347">IF(HF347="","",_xlfn.LET(_xlpm.nd,_xlfn.TEXTSPLIT(HF347,"|"),IF(COLUMNS(_xlpm.nd)&gt;3,A347&amp;"¦"&amp;INDEX(_xlpm.nd,3)&amp;"¦"&amp;INDEX(_xlpm.nd,4),"")))</f>
        <v/>
      </c>
      <c r="HL347" t="str">
        <f t="shared" si="718"/>
        <v/>
      </c>
      <c r="HM347" t="str" cm="1">
        <f t="array" ref="HM347">IF(HF347="","",_xlfn.LET(_xlpm.nd,_xlfn.TEXTSPLIT(HF347,"|"),IF(COLUMNS(_xlpm.nd)&gt;4,A347&amp;"¦"&amp;INDEX(_xlpm.nd,4)&amp;"¦"&amp;INDEX(_xlpm.nd,5),"")))</f>
        <v/>
      </c>
      <c r="HN347" t="str">
        <f t="shared" si="719"/>
        <v/>
      </c>
      <c r="HO347" t="str" cm="1">
        <f t="array" ref="HO347">IF(HF347="","",_xlfn.LET(_xlpm.nd,_xlfn.TEXTSPLIT(HF347,"|"),IF(COLUMNS(_xlpm.nd)&gt;5,A347&amp;"¦"&amp;INDEX(_xlpm.nd,5)&amp;"¦"&amp;INDEX(_xlpm.nd,6),"")))</f>
        <v/>
      </c>
      <c r="HP347" t="str">
        <f t="shared" si="720"/>
        <v/>
      </c>
      <c r="HQ347" t="str" cm="1">
        <f t="array" ref="HQ347">IF(HF347="","",_xlfn.LET(_xlpm.nd,_xlfn.TEXTSPLIT(HF347,"|"),IF(COLUMNS(_xlpm.nd)&gt;6,A347&amp;"¦"&amp;INDEX(_xlpm.nd,6)&amp;"¦"&amp;INDEX(_xlpm.nd,7),"")))</f>
        <v/>
      </c>
      <c r="HR347" t="str">
        <f t="shared" si="721"/>
        <v/>
      </c>
      <c r="HS347" t="str">
        <f t="shared" si="722"/>
        <v/>
      </c>
      <c r="HT347" t="str">
        <f t="shared" si="723"/>
        <v>QF6</v>
      </c>
      <c r="HU347">
        <f t="shared" si="724"/>
        <v>0</v>
      </c>
      <c r="HV347">
        <f t="shared" si="725"/>
        <v>0</v>
      </c>
      <c r="HW347" t="str">
        <f t="shared" si="726"/>
        <v/>
      </c>
      <c r="HX347" t="str">
        <f t="shared" si="727"/>
        <v/>
      </c>
      <c r="HY347" t="str">
        <f t="shared" si="728"/>
        <v/>
      </c>
      <c r="HZ347" t="str">
        <f t="shared" si="729"/>
        <v/>
      </c>
      <c r="IA347" t="str">
        <f>IF(B347="","",IFERROR(VLOOKUP(B347,УГО_спр,2,FALSE),IFERROR(VLOOKUP(AX347,УГО_спр,2,FALSE),IFERROR(VLOOKUP(LEFT(AX347,2),УГО_спр,2,FALSE),""))))</f>
        <v/>
      </c>
      <c r="IB347" t="str">
        <f>IF(B347="","",IF(OR(IA347="",IA347=0),"BOX",IFERROR(IF(VLOOKUP(IA347,УГО_блоки,3,FALSE)&amp;""&lt;&gt;"",VLOOKUP(IA347,УГО_блоки,3,FALSE),VLOOKUP(IA347,УГО_блоки,2,FALSE)),IA347)))</f>
        <v>BOX</v>
      </c>
      <c r="IC347">
        <f t="shared" si="730"/>
        <v>1</v>
      </c>
      <c r="ID347" t="str">
        <f>IF(DA347="","",IF(COUNTIF(DA$3:DA347,DA347)=1,MAX(ID$2:ID346)+1,""))</f>
        <v/>
      </c>
      <c r="IE347" t="str">
        <f>IF(CO347="","",IF(COUNTIF(CO$3:CO347,CO347)+COUNTIF(CP$2:CP346,CO347)+COUNTIF(CQ$2:CQ346,CO347)=1,MAX(IE$2:IG346)+1,""))</f>
        <v/>
      </c>
      <c r="IF347" t="str">
        <f>IF(CP347="","",IF(COUNTIF(CO$3:CO347,CP347)+COUNTIF(CP$3:CP347,CP347)+COUNTIF(CQ$2:CQ346,CP347)=1,MAX(IE$2:IG346,IE347)+1,""))</f>
        <v/>
      </c>
      <c r="IG347" t="str">
        <f>IF(CQ347="","",IF(COUNTIF(CO$3:CO347,CQ347)+COUNTIF(CP$3:CP347,CQ347)+COUNTIF(CQ$3:CQ347,CQ347)=1,MAX(IE$2:IG346,IE347,IF347)+1,""))</f>
        <v/>
      </c>
      <c r="IH347" t="str">
        <f t="shared" si="731"/>
        <v>3х4</v>
      </c>
      <c r="II347" t="str">
        <f>IF(IH347="","",IF(COUNTIF(IH$3:IH347,IH347)=1,MAX(II$2:II346)+1,""))</f>
        <v/>
      </c>
      <c r="IJ347" t="str">
        <f>IF(GL347="","",COUNTIF(GL$3:GL347,"?*"))</f>
        <v/>
      </c>
      <c r="IK347" t="str">
        <f>IF(OR(GL347="",GN347=""),"",IF(COUNTIFS(GL$3:GL347,"?*",GN$3:GN347,GN347)=1,MAX(IK$2:IK346)+1,""))</f>
        <v/>
      </c>
      <c r="IL347">
        <f t="shared" si="732"/>
        <v>1</v>
      </c>
      <c r="IM347">
        <f>IF(B347="","",COUNTIF(B$3:B347,"?*"))</f>
        <v>345</v>
      </c>
      <c r="IN347">
        <f>IF(GQ347&lt;&gt;1,0,_xlfn.LET(_xlpm.k,MAX(IFERROR(--VLOOKUP(B347,УГО_спр,5,FALSE),0),IFERROR(--VLOOKUP(AX347,УГО_спр,5,FALSE),0),IFERROR(--VLOOKUP(LEFT(AX347,2),УГО_спр,5,FALSE),0)),IF(_xlpm.k&gt;0,_xlpm.k,IF(IFERROR(--LEFT(SUBSTITUTE(IH347,"x","х"),FIND("х",SUBSTITUTE(IH347,"x","х"))-1),3)&gt;3,Каталог!$S$9,1))))</f>
        <v>1</v>
      </c>
      <c r="IO347">
        <f t="shared" si="733"/>
        <v>0</v>
      </c>
      <c r="IP347" t="str">
        <f t="shared" si="734"/>
        <v>авто</v>
      </c>
      <c r="IQ347" t="str">
        <f t="shared" si="735"/>
        <v/>
      </c>
      <c r="IR347">
        <f t="shared" si="736"/>
        <v>0</v>
      </c>
      <c r="IS347">
        <f t="shared" si="737"/>
        <v>1</v>
      </c>
    </row>
    <row r="348" spans="1:253" x14ac:dyDescent="0.3">
      <c r="A348" t="s">
        <v>771</v>
      </c>
      <c r="B348" t="s">
        <v>1605</v>
      </c>
      <c r="C348" t="s">
        <v>1697</v>
      </c>
      <c r="D348">
        <v>2</v>
      </c>
      <c r="E348">
        <v>0.66</v>
      </c>
      <c r="G348">
        <v>16</v>
      </c>
      <c r="H348" t="str">
        <f>Линии[[#This Row],[_авто утечка]]</f>
        <v/>
      </c>
      <c r="I348" t="str">
        <f>Линии[[#This Row],[_авто управление]]</f>
        <v/>
      </c>
      <c r="J348" t="str">
        <f>Линии[[#This Row],[_авто аппараты]]</f>
        <v/>
      </c>
      <c r="K348">
        <v>2.5</v>
      </c>
      <c r="L348">
        <v>44</v>
      </c>
      <c r="M348">
        <v>3</v>
      </c>
      <c r="N348" t="s">
        <v>486</v>
      </c>
      <c r="O348" t="str">
        <f t="shared" si="615"/>
        <v/>
      </c>
      <c r="P348" s="6" cm="1">
        <f t="array" ref="P348">IF(B348="","",IF(BC348&lt;&gt;"",IFERROR(_xlfn.XLOOKUP(BC348,Щиты[Щит],Щиты[Iр, А]),""),IF(BK348=1,IFERROR(_xlfn.XLOOKUP(A348,Щиты[Щит],Щиты[Iр, А]),""),IFERROR(_xlfn.IFS(BR348=1,BN348/((Uн_лин/SQRT(3))*BY348),BR348=3,BN348/(SQRT(3)*Uн_лин*BY348)),""))))</f>
        <v>3.0082987710406814</v>
      </c>
      <c r="Q348" s="7">
        <f>IF(B348="","",IFERROR(IF(VLOOKUP(AX348,Потребители_обозначение,4,FALSE)=1,VLOOKUP(AX348,Потребители_обозначение,3,FALSE)*(D348*2-1)+DS348+VLOOKUP(AZ348,Этаж_обозначение,3,FALSE)+VLOOKUP(AZ348,Этаж_обозначение,4,FALSE),VLOOKUP(AX348,Потребители_обозначение,3,FALSE)*(D348*2-1)+DS348),DS348))</f>
        <v>44</v>
      </c>
      <c r="R348" s="6">
        <f t="shared" si="616"/>
        <v>3.4799999999999995</v>
      </c>
      <c r="S348" t="str">
        <f t="shared" si="617"/>
        <v>ВВГнг(А)-LS (3х2,5)</v>
      </c>
      <c r="T348" t="str">
        <f>IF(BH348="","",IF(BI348="вводной узел","узел ","")&amp;"л."&amp;(INT((BH348-1)/Столбцов_на_лист)+1)&amp;" / "&amp;(MOD(BH348-1,Столбцов_на_лист)+1))</f>
        <v>л.2 / 13</v>
      </c>
      <c r="V348">
        <v>1</v>
      </c>
      <c r="W348">
        <v>230</v>
      </c>
      <c r="X348" t="s">
        <v>575</v>
      </c>
      <c r="AC348" t="s">
        <v>815</v>
      </c>
      <c r="AE348" t="s">
        <v>611</v>
      </c>
      <c r="AI348">
        <v>30</v>
      </c>
      <c r="AJ348" t="s">
        <v>11</v>
      </c>
      <c r="AK348">
        <v>3</v>
      </c>
      <c r="AM348">
        <v>7</v>
      </c>
      <c r="AN348">
        <v>24</v>
      </c>
      <c r="AO348">
        <v>13</v>
      </c>
      <c r="AP348">
        <v>1</v>
      </c>
      <c r="AW348" cm="1">
        <f t="array" ref="AW348">ROW()-ROW(Линии[#Headers])</f>
        <v>346</v>
      </c>
      <c r="AX348" s="6" t="str">
        <f t="shared" si="618"/>
        <v>OV</v>
      </c>
      <c r="AY348" t="str">
        <f t="shared" si="619"/>
        <v>2.1.3</v>
      </c>
      <c r="AZ348" t="str">
        <f t="shared" si="620"/>
        <v>2</v>
      </c>
      <c r="BA348" t="str">
        <f t="shared" si="621"/>
        <v>1.3</v>
      </c>
      <c r="BB348" t="str">
        <f t="shared" si="622"/>
        <v>1</v>
      </c>
      <c r="BC348" t="str">
        <f>IF(U348&lt;&gt;"",U348,IF(AND(B348&lt;&gt;"",B348&lt;&gt;A348,ISNUMBER(_xlfn.XMATCH(B348,Щиты[Щит]))),B348,""))</f>
        <v/>
      </c>
      <c r="BD348" t="str" cm="1">
        <f t="array" ref="BD348">IF(B348="","",IF(BC348&lt;&gt;"","Щит "&amp;BC348,_xlfn.LET(_xlpm.nm,IFERROR(_xlfn.XLOOKUP(AX348,Коды_код,Коды_имя)&amp;"",""),_xlpm.md,IFERROR(N(_xlfn.XLOOKUP(AX348,Коды_код,Коды_режим)),1),_xlpm.ex,IF(Имя_режим="по экспликации",IFERROR(_xlfn.XLOOKUP(AZ348&amp;"|"&amp;BB348,Экспликация[Этаж]&amp;"|"&amp;Экспликация[Помещение],Экспликация[Название])&amp;"",""),""),_xlpm.rm,IF(BB348="","",IF(_xlpm.ex&lt;&gt;"",". "&amp;_xlpm.ex&amp;IF(Имя_пом="нет"," ("&amp;BB348&amp;")"," (пом. "&amp;BB348&amp;")"),IF(Имя_пом="нет"," ",", пом. ")&amp;BB348)),IF(_xlpm.nm="","",IF(_xlpm.md=2,_xlpm.nm&amp;" шлейф "&amp;AZ348,_xlpm.nm&amp;_xlpm.rm)))))</f>
        <v/>
      </c>
      <c r="BE348" t="str">
        <f t="shared" si="623"/>
        <v>Обогревл ливнестоков Второй этаж</v>
      </c>
      <c r="BF348">
        <f>IFERROR(_xlfn.XMATCH(A348,Щиты[Щит]),0)</f>
        <v>17</v>
      </c>
      <c r="BG348">
        <f>_xlfn.LET(_xlpm.k,IFERROR(_xlfn.XLOOKUP(A348,Щиты[Щит],Щиты[Листов под вводной узел]),""),IF(_xlpm.k="",1,N(_xlpm.k))*Столбцов_на_лист)</f>
        <v>17</v>
      </c>
      <c r="BH348">
        <f t="shared" si="624"/>
        <v>30</v>
      </c>
      <c r="BI348" t="str">
        <f t="shared" si="625"/>
        <v>линии</v>
      </c>
      <c r="BJ348" s="6">
        <f>IFERROR(N(_xlfn.XLOOKUP(AX348,Коды_код,Коды_квт)),0)</f>
        <v>0</v>
      </c>
      <c r="BK348">
        <f t="shared" si="626"/>
        <v>0</v>
      </c>
      <c r="BL348" t="str">
        <f>IF(B348="","",IF(BC348&lt;&gt;"",IFERROR(_xlfn.XLOOKUP(BC348,Щиты[Щит],Щиты[Руст, кВт]),0),IF(BK348=1,IFERROR(_xlfn.XLOOKUP(A348,Щиты[Щит],Щиты[Руст, кВт]),0),IF(BJ348&gt;0,ROUND(BJ348*MAX(1,N(D348)),3),""))))</f>
        <v/>
      </c>
      <c r="BM348">
        <f t="shared" si="627"/>
        <v>0.66</v>
      </c>
      <c r="BN348" s="6">
        <f>IF(B348="","",IF(BC348&lt;&gt;"",IFERROR(_xlfn.XLOOKUP(BC348,Щиты[Щит],Щиты[Руст, кВт]),0),N(BM348)))</f>
        <v>0.66</v>
      </c>
      <c r="BO348" t="str">
        <f>IF(B348="","",IFERROR(IF(VLOOKUP(AX348,Потребители_обозначение,8,FALSE)=0,"",VLOOKUP(AX348,Потребители_обозначение,8,FALSE)),""))</f>
        <v/>
      </c>
      <c r="BP348">
        <f t="shared" si="628"/>
        <v>230</v>
      </c>
      <c r="BQ348">
        <f>IF(B348="","",IF(BC348&lt;&gt;"",3,IFERROR(IF(N(VLOOKUP(AX348,Потребители_обозначение,9,FALSE))=0,1,VLOOKUP(AX348,Потребители_обозначение,9,FALSE)),1)))</f>
        <v>1</v>
      </c>
      <c r="BR348">
        <f t="shared" si="629"/>
        <v>1</v>
      </c>
      <c r="BS348" t="str">
        <f>IF(B348="","",_xlfn.LET(_xlpm.bc,IFERROR(IF(VLOOKUP(AX348,Потребители_обозначение,6,FALSE)=0,"",VLOOKUP(AX348,Потребители_обозначение,6,FALSE)&amp;""),""),IF(AND(FK348="да",OR(_xlpm.bc="",_xlpm.bc="мс")),Марка_пож,IF(AND(_xlpm.bc="",BC348&lt;&gt;""),"мс",_xlpm.bc))))</f>
        <v/>
      </c>
      <c r="BT348" t="str">
        <f t="shared" si="630"/>
        <v>мс</v>
      </c>
      <c r="BU348">
        <f>IF(B348="","",_xlfn.LET(_xlpm.cc,IFERROR(N(VLOOKUP(AX348,Потребители_обозначение,7,FALSE)),0),IF(_xlpm.cc&gt;0,_xlpm.cc,IF(BT348="","",IF(N(BR348)=3,5,3)))))</f>
        <v>3</v>
      </c>
      <c r="BV348">
        <f t="shared" si="631"/>
        <v>3</v>
      </c>
      <c r="BW348">
        <f>IFERROR(N(VLOOKUP(AX348,Потребители_обозначение,10,FALSE)),0)</f>
        <v>0</v>
      </c>
      <c r="BX348">
        <f>IFERROR(VLOOKUP(AX348,Потребители_обозначение,5,FALSE),0)</f>
        <v>0</v>
      </c>
      <c r="BY348" s="6" cm="1">
        <f t="array" ref="BY348">IF(B348="","",IF(BC348&lt;&gt;"",IFERROR(_xlfn.XLOOKUP(BC348,Щиты[Щит],Щиты[cos φ]),0.95),IF(BK348=1,IFERROR(_xlfn.XLOOKUP(A348,Щиты[Щит],Щиты[cos φ]),0.95),IF(ISNUMBER(Z348),Z348,IFERROR(IF(BX348=2,_xlfn.IFS(BR348=3,VLOOKUP(BN348,Справочная_двигатели,8,FALSE),BR348=1,VLOOKUP(BN348,Справочная_двигатели,10,TRUE)),IF(AND(Методика="нормы 2026",EQ348="Сил"),0.8,0.95)),0.95)))))</f>
        <v>0.95</v>
      </c>
      <c r="BZ348">
        <f t="shared" si="632"/>
        <v>0</v>
      </c>
      <c r="CA348">
        <f t="shared" si="633"/>
        <v>1</v>
      </c>
      <c r="CB348">
        <f t="shared" si="634"/>
        <v>0</v>
      </c>
      <c r="CC348">
        <f t="shared" si="635"/>
        <v>0</v>
      </c>
      <c r="CD348">
        <f t="shared" si="636"/>
        <v>0</v>
      </c>
      <c r="CE348">
        <f t="shared" si="637"/>
        <v>0</v>
      </c>
      <c r="CF348">
        <f t="shared" si="638"/>
        <v>0</v>
      </c>
      <c r="CG348">
        <f>IF(AX348="",0,_xlfn.LET(_xlpm.v,IFERROR(VLOOKUP(B348,УГО_спр,3,FALSE),IFERROR(VLOOKUP(AX348,УГО_спр,3,FALSE),IFERROR(VLOOKUP(LEFT(AX348,2),УГО_спр,3,FALSE),""))),IF(_xlpm.v="да",30,IF(ISNUMBER(_xlpm.v),_xlpm.v,0))))</f>
        <v>0</v>
      </c>
      <c r="CH348" t="str">
        <f t="shared" si="639"/>
        <v/>
      </c>
      <c r="CI348" t="str">
        <f>_xlfn.LET(_xlpm.k,IFERROR(_xlfn.XLOOKUP(AX348,Коды_код,Коды_утечка)&amp;"",""),IF(_xlpm.k="","дифавтомат",_xlpm.k))</f>
        <v>дифавтомат</v>
      </c>
      <c r="CJ348">
        <f t="shared" si="640"/>
        <v>0</v>
      </c>
      <c r="CK348">
        <f t="shared" si="641"/>
        <v>0</v>
      </c>
      <c r="CL348">
        <f>IF(B348="",0,IFERROR(--VLOOKUP(B348,УГО_спр,4,FALSE),IFERROR(--VLOOKUP(AX348,УГО_спр,4,FALSE),IFERROR(--VLOOKUP(LEFT(AX348,2),УГО_спр,4,FALSE),0))))</f>
        <v>0</v>
      </c>
      <c r="CM348" t="str">
        <f>IF(B348="","",IFERROR(_xlfn.XLOOKUP(AX348,Коды_код,Коды_апп)&amp;"",""))</f>
        <v/>
      </c>
      <c r="CN348" t="str">
        <f t="shared" si="642"/>
        <v/>
      </c>
      <c r="CO348" t="str" cm="1">
        <f t="array" ref="CO348">IF(TRIM(CN348&amp;"")="","",IFERROR(TRIM(INDEX(_xlfn.TEXTSPLIT(CN348&amp;";;;",";"),1)),""))</f>
        <v/>
      </c>
      <c r="CP348" t="str" cm="1">
        <f t="array" ref="CP348">IF(TRIM(CN348&amp;"")="","",IFERROR(TRIM(INDEX(_xlfn.TEXTSPLIT(CN348&amp;";;;",";"),2)),""))</f>
        <v/>
      </c>
      <c r="CQ348" t="str" cm="1">
        <f t="array" ref="CQ348">IF(TRIM(CN348&amp;"")="","",IFERROR(TRIM(INDEX(_xlfn.TEXTSPLIT(CN348&amp;";;;",";"),3)),""))</f>
        <v/>
      </c>
      <c r="CR348">
        <f t="shared" si="643"/>
        <v>0</v>
      </c>
      <c r="CS348" t="str">
        <f>IF(B348="","",_xlfn.LET(_xlpm.t,LOWER(AV348&amp;""),IF(ISNUMBER(SEARCH("dim",_xlpm.t)),"DIM",IF(ISNUMBER(SEARCH("dali",_xlpm.t)),"DALI",IF(OR(ISNUMBER(SEARCH("relay",_xlpm.t)),ISNUMBER(SEARCH("реле",_xlpm.t))),"Relay",IF(ISNUMBER(SEARCH("кнопк",_xlpm.t)),"",IFERROR(_xlfn.XLOOKUP(AX348,Коды_код,Коды_упр)&amp;"","")))))))</f>
        <v/>
      </c>
      <c r="CT348" t="str">
        <f t="shared" si="644"/>
        <v/>
      </c>
      <c r="CU348">
        <f>IF(B348="","",_xlfn.LET(_xlpm.ig,N(P348)+IF(AF348="вручную",0,N(CB348)),_xlpm.n0,IFERROR(VLOOKUP(_xlpm.ig,Автомат_номиналы,2,TRUE),0),_xlpm.mn,MAX(CL348,IF(AF348="вручную",0,N(CE348))),MAX(_xlpm.n0,_xlpm.mn,IF(CR348=1,Мин_автомат_БП,0))))</f>
        <v>6</v>
      </c>
      <c r="CV348">
        <f t="shared" si="645"/>
        <v>1</v>
      </c>
      <c r="CW348" t="str">
        <f t="shared" si="646"/>
        <v>1P</v>
      </c>
      <c r="CX348" t="str">
        <f>_xlfn.LET(_xlpm.cc,UPPER(TRIM(IFERROR(_xlfn.XLOOKUP(AX348,Коды_код,Коды_хар)&amp;"",""))),IF(OR(_xlpm.cc="B",_xlpm.cc="В"),"B",IF(_xlpm.cc="D","D","С")))</f>
        <v>С</v>
      </c>
      <c r="CY348" t="str">
        <f t="shared" si="647"/>
        <v>1P С6А</v>
      </c>
      <c r="CZ348">
        <f t="shared" si="648"/>
        <v>16</v>
      </c>
      <c r="DA348" t="str">
        <f t="shared" si="649"/>
        <v>1P С16А</v>
      </c>
      <c r="DB348" cm="1">
        <f t="array" ref="DB348">IF(DA348="","",_xlfn.LET(_xlpm.t,SUBSTITUTE(SUBSTITUTE(SUBSTITUTE(UPPER(DA348),"С","C"),"А","A"),"В","B"),_xlpm.tk,_xlfn.TEXTSPLIT(_xlpm.t,"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8" t="str">
        <f t="shared" si="650"/>
        <v>ok</v>
      </c>
      <c r="DD348">
        <f t="shared" si="651"/>
        <v>16</v>
      </c>
      <c r="DE348" t="str">
        <f t="shared" si="652"/>
        <v>1P С16А</v>
      </c>
      <c r="DF348">
        <f t="shared" si="653"/>
        <v>0</v>
      </c>
      <c r="DG348">
        <f t="shared" si="654"/>
        <v>0</v>
      </c>
      <c r="DH348">
        <f t="shared" si="655"/>
        <v>0</v>
      </c>
      <c r="DI348">
        <f t="shared" si="656"/>
        <v>3.0082987710406814</v>
      </c>
      <c r="DJ348">
        <f t="shared" si="657"/>
        <v>1</v>
      </c>
      <c r="DK348">
        <f>IF(ISNUMBER(AL348),AL348,К_прокл)</f>
        <v>1</v>
      </c>
      <c r="DL348">
        <f t="shared" si="658"/>
        <v>2</v>
      </c>
      <c r="DM348">
        <f>IFERROR(N(VLOOKUP(BT348,Кабель_обозначение,3,FALSE)),1)</f>
        <v>1</v>
      </c>
      <c r="DN348">
        <f>IFERROR(N(_xlfn.XLOOKUP(A348,Щиты[Щит],Щиты[ΔU до шин, %])),0)</f>
        <v>2.4899999999999998</v>
      </c>
      <c r="DO348" t="str">
        <f>IFERROR(_xlfn.XLOOKUP(A348,Щиты[Щит],Щиты[Zпетли на шинах, Ом]),"")</f>
        <v/>
      </c>
      <c r="DP348">
        <f>IFERROR(N(_xlfn.XLOOKUP(A348,Щиты[Щит],Щиты[ΔU до шин (подбор), %])),0)</f>
        <v>3.73</v>
      </c>
      <c r="DQ348" t="str">
        <f>IFERROR(_xlfn.XLOOKUP(A348,Щиты[Щит],Щиты[Zпетли на шинах (подбор), Ом]),"")</f>
        <v/>
      </c>
      <c r="DR348" t="str">
        <f t="shared" si="659"/>
        <v/>
      </c>
      <c r="DS348">
        <f t="shared" si="660"/>
        <v>44</v>
      </c>
      <c r="DT348">
        <f t="shared" si="661"/>
        <v>2</v>
      </c>
      <c r="DU348">
        <f t="shared" si="662"/>
        <v>0.31</v>
      </c>
      <c r="DV348" s="6">
        <f>IF(B348="","",IF(IFERROR(VLOOKUP(AX348,УГО_спр,2,FALSE),"")="Светильник",3,4)+IF(Методика="нормы 2026",MIN(0.5,MAX(0,N(Q348)-100)*0.005),0))</f>
        <v>4</v>
      </c>
      <c r="DW348" cm="1">
        <f t="array" ref="DW348">IF(OR(B348="",BT348="",DM348&lt;&gt;1),"",_xlfn.LET(_xlpm.sz,Iдоп_S,_xlpm.t_,CHOOSE(DL348,Iдоп_1ж,Iдоп_2ж,Iдоп_3ж)*DJ348*DK348,_xlpm.inn,N(DD348),_xlpm.smin,MAX(1.5,BW348),_xlpm.L_,N(Q348)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348)*(_xlpm.rho*_xlpm.L_/_xlpm.sz*N(BY348)+_xlpm.xx*_xlpm.L_*N(DU348)/1000)*N(P348)/((Uн_лин/SQRT(3))*1000)*100,999),_xlpm.kz,IF(OR(DG348=1,NOT(ISNUMBER(DQ348)),_xlpm.L_=0,_xlpm.inn=0),1,IFERROR(--(c_min*(Uн_лин*1000/SQRT(3))/(DQ348+2*ρкз_Cu*_xlpm.L_/_xlpm.sz)&gt;=GY348*_xlpm.inn),0)),_xlpm.ok,IFERROR((_xlpm.sz&gt;=_xlpm.smin)*(_xlpm.t_&gt;=_xlpm.inn)*IF(_xlpm.L_&gt;0,(_xlpm.du_+DP348&lt;=DV348+0.00001),1)*_xlpm.kz,0),_xlpm.r_,_xlfn._xlws.FILTER(_xlpm.sz,_xlpm.ok,"не подобрано"),INDEX(_xlpm.r_,1)))</f>
        <v>10</v>
      </c>
      <c r="DX348">
        <f t="shared" si="663"/>
        <v>2.5</v>
      </c>
      <c r="DY348" cm="1">
        <f t="array" ref="DY348">IF(OR(B348="",BT348="",DM348&lt;&gt;1),"",_xlfn.LET(_xlpm.sz,Iдоп_S,_xlpm.t_,CHOOSE(DL348,Iдоп_1ж,Iдоп_2ж,Iдоп_3ж)*DJ348*DK348,_xlpm.ok,IFERROR((_xlpm.sz&gt;=MAX(1.5,BW348))*(_xlpm.t_&gt;=N(DD348)),0),_xlpm.r_,_xlfn._xlws.FILTER(_xlpm.sz,_xlpm.ok,""),INDEX(_xlpm.r_,1)))</f>
        <v>1.5</v>
      </c>
      <c r="DZ348" s="6" cm="1">
        <f t="array" ref="DZ348">IFERROR(ROUNDUP(N(DT348)*(_xlfn.XLOOKUP(DY348,INDEX(Кабель_сопротивление,0,1),INDEX(Кабель_сопротивление,0,3))*N(Q348)/DY348*N(BY348)+_xlfn.XLOOKUP(DY348,INDEX(Кабель_сопротивление,0,1),INDEX(Кабель_сопротивление,0,2))*N(Q348)*N(DU348)/1000)*N(P348)/((Uн_лин/SQRT(3))*1000)*100,2),"")</f>
        <v>1.64</v>
      </c>
      <c r="EA348">
        <f>IFERROR(2*ρкз_Cu*N(Q348)/DY348,"")</f>
        <v>1.5429333333333333</v>
      </c>
      <c r="EB348">
        <f>IFERROR(VLOOKUP(DX348,Кабель_сопротивление,3,FALSE),"")</f>
        <v>2.2499999999999999E-2</v>
      </c>
      <c r="EC348">
        <f>IFERROR(VLOOKUP(DX348,Кабель_сопротивление,2,FALSE),"")</f>
        <v>0.1</v>
      </c>
      <c r="ED348">
        <f t="shared" si="664"/>
        <v>24</v>
      </c>
      <c r="EE348">
        <f t="shared" si="665"/>
        <v>13</v>
      </c>
      <c r="EF348">
        <f t="shared" si="666"/>
        <v>2.2716506343784073</v>
      </c>
      <c r="EG348" s="6">
        <f>IFERROR(ROUNDUP(EF348/((Uн_лин/SQRT(3))*1000)*100,2),"")</f>
        <v>0.99</v>
      </c>
      <c r="EH348" t="str">
        <f>IFERROR(VLOOKUP(BT348,Кабель_обозначение,2,FALSE),"")</f>
        <v>ВВГнг(А)-LS</v>
      </c>
      <c r="EI348" t="str">
        <f t="shared" si="667"/>
        <v>ВВГнг(А)-LS (3х2,5)</v>
      </c>
      <c r="EJ348" t="str">
        <f t="shared" si="668"/>
        <v>ВВГнг(А)-LS (3х2,5)
L=44-0,99%</v>
      </c>
      <c r="EK348">
        <f>IFERROR(2*ρкз_Cu*Q348/DX348,"")</f>
        <v>0.92576000000000003</v>
      </c>
      <c r="EL348">
        <f t="shared" si="669"/>
        <v>0.308</v>
      </c>
      <c r="EM348" s="6" t="str">
        <f>IFERROR(IF(OR(B348="",NOT(ISNUMBER(DX348)),N(Q348)=0),"",_xlfn.XLOOKUP(A348,Щиты[Щит],Щиты[Zпетли на шинах, Ом])+EK348),"")</f>
        <v/>
      </c>
      <c r="EN348" s="6" t="str">
        <f>IF(ISNUMBER(EM348),c_min*(Uн_лин*1000/SQRT(3))/EM348,"")</f>
        <v/>
      </c>
      <c r="EO348" s="6" t="str">
        <f>IFERROR(IF(OR(B348="",NOT(ISNUMBER(DX348))),"",1.05*(Uн_лин*1000/SQRT(3))/(_xlfn.XLOOKUP(A348,Щиты[Щит],Щиты[Zmax на шинах, Ом])+EL348)/1000),"")</f>
        <v/>
      </c>
      <c r="EP348" s="6" t="str">
        <f>IF(B348="","",IF(ISNUMBER(Y348),"Сил",IF(IFERROR(_xlfn.XLOOKUP(AX348,Коды_код,Коды_группа)&amp;"","")="","Быт",_xlfn.XLOOKUP(AX348,Коды_код,Коды_группа)&amp;"")))</f>
        <v>Быт</v>
      </c>
      <c r="EQ348" s="6" t="str">
        <f t="shared" si="670"/>
        <v>Пост</v>
      </c>
      <c r="ER348" s="6">
        <f>IF(EQ348="Щит","щит",IF(EQ348="","",IF(EQ348="Быт",IFERROR(_xlfn.XLOOKUP(A348,Щиты[Щит],Щиты[Кс быт]),1),IF(EQ348="Сил",IF(ISNUMBER(Y348),Y348,IF(Методика="нормы 2026",IFERROR(_xlfn.XLOOKUP(A348,Щиты[Щит],Щиты[Кс силовых (табл. 7.5)]),1),1)),IF(OR(EQ348="Пост",EQ348="Отоп"),1,IF(EQ348="ВНГ",0.7,0))))))</f>
        <v>1</v>
      </c>
      <c r="ES348">
        <f t="shared" si="671"/>
        <v>1</v>
      </c>
      <c r="ET348">
        <f t="shared" si="672"/>
        <v>0.66</v>
      </c>
      <c r="EU348">
        <f t="shared" si="673"/>
        <v>0</v>
      </c>
      <c r="EV348">
        <f t="shared" si="674"/>
        <v>0</v>
      </c>
      <c r="EW348">
        <f t="shared" si="675"/>
        <v>0.66</v>
      </c>
      <c r="EX348">
        <f t="shared" si="676"/>
        <v>0</v>
      </c>
      <c r="EY348">
        <f t="shared" si="677"/>
        <v>0</v>
      </c>
      <c r="EZ348">
        <f t="shared" si="678"/>
        <v>0.66</v>
      </c>
      <c r="FA348">
        <f t="shared" si="679"/>
        <v>0.627</v>
      </c>
      <c r="FB348">
        <f t="shared" si="680"/>
        <v>0.66</v>
      </c>
      <c r="FC348" t="str">
        <f t="shared" si="681"/>
        <v>L3</v>
      </c>
      <c r="FD348" t="str">
        <f>IF(B348="","",IF(CA348=0,IF(AW348=1,"",FF347),IF(OR(N(CV348)&gt;=3,N(BR348)&gt;=3),"L1,L2,L3",IFERROR(_xlfn.TEXTBEFORE(_xlfn.TEXTAFTER(_xlfn.XLOOKUP(A348,Щиты[Щит],Щиты[_фазы авто]),";"&amp;AW348&amp;":"),";"),"L1"))))</f>
        <v>L1</v>
      </c>
      <c r="FE348" t="str">
        <f t="shared" si="682"/>
        <v>L3</v>
      </c>
      <c r="FF348" t="str">
        <f t="shared" si="683"/>
        <v>L3</v>
      </c>
      <c r="FG348" cm="1">
        <f t="array" ref="FG348">IFERROR(IF(BX348=2,_xlfn.IFS(BR348=3,VLOOKUP(BN348,Справочная_двигатели,3,FALSE),BR348=1,VLOOKUP(BN348,Справочная_двигатели,5,TRUE)),0),0)</f>
        <v>0</v>
      </c>
      <c r="FH348">
        <f>IFERROR(IF(BX348=3,VLOOKUP(BN348,Справочная_ЛЭД,2,TRUE),0),0)</f>
        <v>0</v>
      </c>
      <c r="FI348" s="6">
        <f t="shared" si="684"/>
        <v>0</v>
      </c>
      <c r="FJ348" t="str" cm="1">
        <f t="array" ref="FJ348">IF(B348="","",IFERROR(INDEX({"I особая","I","II","III"},MATCH(TRIM(AC348&amp;""),{"I особая","I","II","III"},0)),"III"))</f>
        <v>II</v>
      </c>
      <c r="FK348" t="str">
        <f>IF(B348="","",IF(TRIM(AD348&amp;"")&lt;&gt;"",IF(LOWER(TRIM(AD348&amp;""))="да","да","нет"),IF(IFERROR(_xlfn.XLOOKUP(AX348,Коды_код,Коды_пожарная),"")="да","да","нет")))</f>
        <v>нет</v>
      </c>
      <c r="FL348" t="str">
        <f t="shared" si="685"/>
        <v/>
      </c>
      <c r="FM348" t="str">
        <f t="shared" si="686"/>
        <v>основная</v>
      </c>
      <c r="FN348">
        <f t="shared" si="687"/>
        <v>1</v>
      </c>
      <c r="FO348" t="str" cm="1">
        <f t="array" ref="FO348">IF(B348="","",_xlfn.LET(_xlpm.t,IFERROR(_xlfn.XLOOKUP(1,(Шины[Шина]=FM348)*(((Шины[Щит]=A348)+(Шины[Щит]=""))&gt;0),Шины[Тип]),"")&amp;"",IF(_xlpm.t&lt;&gt;"",_xlpm.t,IF(ISNUMBER(SEARCH("ИБП",FM348)),"ИБП",IF(ISNUMBER(SEARCH("ДГУ",FM348)),"ДГУ","Ввод "&amp;FN348)))))</f>
        <v>Ввод 1</v>
      </c>
      <c r="FP348" t="str">
        <f t="shared" si="688"/>
        <v>Ввод 1</v>
      </c>
      <c r="FQ348" t="str">
        <f>IF(B348="","",IF(OR(FO348="ИБП",FO348="ДГУ"),"I особая",IF(FO348="Одиночная","III",_xlfn.XLOOKUP(A348,Щиты[Щит],Щиты[Категория шины «Ввод»],"III"))))</f>
        <v>II</v>
      </c>
      <c r="FR348">
        <f>IF(B348="",0,IFERROR(MATCH(FJ348,{"III","II","I","I особая"},0),1))</f>
        <v>2</v>
      </c>
      <c r="FS348">
        <f t="shared" si="689"/>
        <v>2</v>
      </c>
      <c r="FT348" t="str">
        <f>IF(B348="","",IF(FR348&gt;IFERROR(MATCH(FQ348,{"III","II","I","I особая"},0),1),"НЕ ОБЕСПЕЧЕНА","ОК"))</f>
        <v>ОК</v>
      </c>
      <c r="FU348" t="str">
        <f>IF(A348="","",_xlfn.XLOOKUP(A348,Щиты[Щит],Щиты[Путь],""))</f>
        <v>|ГРЩ-ЖД|ЩУОВ|</v>
      </c>
      <c r="FV348" t="str">
        <f>IF(B348="","",IF(AE348&lt;&gt;"",AE348,IF(IFERROR(_xlfn.XLOOKUP(AX348,Коды_код,Коды_вид)&amp;"","")="","Прочее",_xlfn.XLOOKUP(AX348,Коды_код,Коды_вид)&amp;"")))</f>
        <v>Обогрев водостоков и кровли</v>
      </c>
      <c r="FW348">
        <f>IF(BH348="","",INT((BH348-1)/Столбцов_на_лист)+1)</f>
        <v>2</v>
      </c>
      <c r="FX348" t="str">
        <f t="shared" si="690"/>
        <v>ВВГнг(А)-LS (3х2,5) L=44-0,99%</v>
      </c>
      <c r="FY348">
        <f t="shared" si="691"/>
        <v>0.66</v>
      </c>
      <c r="FZ348">
        <f t="shared" si="692"/>
        <v>3.01</v>
      </c>
      <c r="GA348">
        <f t="shared" si="693"/>
        <v>1</v>
      </c>
      <c r="GB348">
        <f t="shared" si="694"/>
        <v>0</v>
      </c>
      <c r="GC348">
        <f t="shared" si="695"/>
        <v>1</v>
      </c>
      <c r="GD348">
        <f>IF(BH348="","",IF(AND(CA348=1,GC348=1),COUNTIFS(A$3:A348,A348,CA$3:CA348,1,GC$3:GC348,1),IF(OR(OR(AW348=1,A348&lt;&gt;A347),AF348="вручную",GC348=0),"",IF(AW348=1,"",GE347))))</f>
        <v>7</v>
      </c>
      <c r="GE348">
        <f t="shared" si="696"/>
        <v>7</v>
      </c>
      <c r="GF348">
        <f>IF(B348="","",IFERROR(LOOKUP(INDEX(CHOOSE(DL348,Iдоп_1ж,Iдоп_2ж,Iдоп_3ж),MATCH(DX348,Iдоп_S,0))*DJ348*DK348,{6,10,16,20,25,32,40,50,63,80,100,125,160,200,250,315,400,500,630}),""))</f>
        <v>25</v>
      </c>
      <c r="GG348" t="str">
        <f t="shared" si="697"/>
        <v>QF7</v>
      </c>
      <c r="GH348" t="str">
        <f t="shared" si="698"/>
        <v>QF7</v>
      </c>
      <c r="GI348" t="str">
        <f t="shared" si="699"/>
        <v/>
      </c>
      <c r="GJ348">
        <f t="shared" si="700"/>
        <v>0</v>
      </c>
      <c r="GK348" t="str">
        <f>IF(OR(AG348="",AG348="-"),"",IFERROR(VLOOKUP(AG348,Модули_спр,2,FALSE),"R"))</f>
        <v/>
      </c>
      <c r="GL348" t="str">
        <f>IF(GK348="","",GK348&amp;"."&amp;COUNTIFS(A$3:A348,A348,GK$3:GK348,GK348))</f>
        <v/>
      </c>
      <c r="GM348" t="str">
        <f t="shared" si="701"/>
        <v/>
      </c>
      <c r="GN348" t="str">
        <f t="shared" si="702"/>
        <v/>
      </c>
      <c r="GO348" t="str">
        <f t="shared" si="703"/>
        <v/>
      </c>
      <c r="GP348" t="str">
        <f t="shared" si="704"/>
        <v/>
      </c>
      <c r="GQ348">
        <f t="shared" si="705"/>
        <v>1</v>
      </c>
      <c r="GR348" t="str">
        <f>IF(GQ348=1,"XT"&amp;COUNTIFS(A$3:A348,A348,GQ$3:GQ348,1),"")</f>
        <v>XT7</v>
      </c>
      <c r="GS348" t="str">
        <f t="shared" si="706"/>
        <v/>
      </c>
      <c r="GT348" t="str">
        <f t="shared" si="707"/>
        <v>QF7</v>
      </c>
      <c r="GU348" t="str">
        <f t="shared" si="708"/>
        <v/>
      </c>
      <c r="GV348" t="str">
        <f t="shared" si="709"/>
        <v>ok</v>
      </c>
      <c r="GW348" t="str">
        <f>IF(OR(GO348="",GM348=""),"",IF(GO348&gt;IFERROR(VLOOKUP(GN348,Модули_спр,3,FALSE),99),"ЛИШНИЙ КАНАЛ",IF(AND(AH348&lt;&gt;"=",COUNTIFS(Линии[_модуль гр.],GM348,Линии[Канал (итог)],GO348,Линии[Канал],"&lt;&gt;=",Линии[Щит],A348)&gt;1),"ДУБЛЬ КАНАЛА","")))</f>
        <v/>
      </c>
      <c r="GX348" s="6" t="str">
        <f t="shared" si="710"/>
        <v/>
      </c>
      <c r="GY348">
        <f t="shared" si="711"/>
        <v>10</v>
      </c>
      <c r="GZ348" t="str">
        <f t="shared" si="712"/>
        <v/>
      </c>
      <c r="HA348" t="str">
        <f>IF(AND(B348="",GT348=""),"",_xlfn.TEXTJOIN("; ",TRUE,IF(AND(B348&lt;&gt;"",FE348=""),"нет фазы",""),IF(AND(B348&lt;&gt;"",N(FY348)=0,EQ348&lt;&gt;"Нет"),"нет мощности",""),IF(AND(GS348&lt;&gt;"",COUNTIFS(Линии[Щит],A348,Линии[Клемма (итог)],GS348)&gt;1),"дубль клеммы "&amp;GS348,""),IF(AND(GV348&lt;&gt;"",GV348&lt;&gt;"ok"),GV348,""),IF(GW348&lt;&gt;"",GW348,""),IF(AND(N(BV348)&gt;=4,N(BR348)=1),BV348&amp;" жил на 1 фазе",""),IF(AND(AX348="R",CA348=1,OR(N(CK348)=0,N(CK348)&gt;30)),"розетка без дифзащиты до 30 мА",""),IFERROR(IF(AND(ISNUMBER(R348),R348&gt;DV348),"потери "&amp;FIXED(R348,1)&amp;" % &gt; "&amp;DV348&amp;" %",""),""),IFERROR(IF(LEFT(GZ348,4)="мало","Iкз мало — отключение &gt; 0,4 с",""),""),IF(AND(B348&lt;&gt;"",BH348=""),"не на схеме",""),IF(AND(CA348=0,B348&lt;&gt;"",FE348&lt;&gt;"",IF(AW348=1,"",FF347)&lt;&gt;"",FE348&lt;&gt;IF(AW348=1,"",FF347)),"фаза не как у автомата группы ("&amp;IF(AW348=1,"",FF347)&amp;")","")))</f>
        <v/>
      </c>
      <c r="HB348" s="6">
        <f>IF(OR(CA348=0,DA348=""),"",_xlfn.LET(_xlpm.t,IFERROR(_xlfn.XLOOKUP(DA348,Каталог!$U$4:$U$500,Каталог!$G$4:$G$500),""),_xlpm.k,SEARCH("кА",_xlpm.t),IFERROR(--TRIM(RIGHT(SUBSTITUTE(MID(_xlpm.t,MAX(1,_xlpm.k-4),_xlpm.k-MAX(1,_xlpm.k-4))," ",REPT(" ",9)),5)),"")))</f>
        <v>6</v>
      </c>
      <c r="HC348" t="str">
        <f>IF(OR(HB348="",CA348=0),"",IF(_xlfn.XLOOKUP(A348,Щиты[Щит],Щиты[Iкз max на шинах, кА],"")="","",IF(HB348&lt;_xlfn.XLOOKUP(A348,Щиты[Щит],Щиты[Iкз max на шинах, кА]),"Icu "&amp;HB348&amp;" кА &lt; Iкз max","ok")))</f>
        <v/>
      </c>
      <c r="HD348" t="str">
        <f t="shared" si="713"/>
        <v/>
      </c>
      <c r="HE348" t="str">
        <f t="shared" si="714"/>
        <v>QF7</v>
      </c>
      <c r="HF348" t="str">
        <f t="shared" si="715"/>
        <v>QF7|кабель ВВГнг(А)-LS (3х2,5) → Обогревл ливнестоков Второй этаж</v>
      </c>
      <c r="HG348" t="str" cm="1">
        <f t="array" ref="HG348">IF(HF348="","",_xlfn.LET(_xlpm.nd,_xlfn.TEXTSPLIT(HF348,"|"),IF(COLUMNS(_xlpm.nd)&gt;1,A348&amp;"¦"&amp;INDEX(_xlpm.nd,1)&amp;"¦"&amp;INDEX(_xlpm.nd,2),"")))</f>
        <v>ЩУОВ¦QF7¦кабель ВВГнг(А)-LS (3х2,5) → Обогревл ливнестоков Второй этаж</v>
      </c>
      <c r="HH348" t="str">
        <f t="shared" si="716"/>
        <v>OV.2.1.3¦Обогревл ливнестоков Второй этаж</v>
      </c>
      <c r="HI348" t="str" cm="1">
        <f t="array" ref="HI348">IF(HF348="","",_xlfn.LET(_xlpm.nd,_xlfn.TEXTSPLIT(HF348,"|"),IF(COLUMNS(_xlpm.nd)&gt;2,A348&amp;"¦"&amp;INDEX(_xlpm.nd,2)&amp;"¦"&amp;INDEX(_xlpm.nd,3),"")))</f>
        <v/>
      </c>
      <c r="HJ348" t="str">
        <f t="shared" si="717"/>
        <v/>
      </c>
      <c r="HK348" t="str" cm="1">
        <f t="array" ref="HK348">IF(HF348="","",_xlfn.LET(_xlpm.nd,_xlfn.TEXTSPLIT(HF348,"|"),IF(COLUMNS(_xlpm.nd)&gt;3,A348&amp;"¦"&amp;INDEX(_xlpm.nd,3)&amp;"¦"&amp;INDEX(_xlpm.nd,4),"")))</f>
        <v/>
      </c>
      <c r="HL348" t="str">
        <f t="shared" si="718"/>
        <v/>
      </c>
      <c r="HM348" t="str" cm="1">
        <f t="array" ref="HM348">IF(HF348="","",_xlfn.LET(_xlpm.nd,_xlfn.TEXTSPLIT(HF348,"|"),IF(COLUMNS(_xlpm.nd)&gt;4,A348&amp;"¦"&amp;INDEX(_xlpm.nd,4)&amp;"¦"&amp;INDEX(_xlpm.nd,5),"")))</f>
        <v/>
      </c>
      <c r="HN348" t="str">
        <f t="shared" si="719"/>
        <v/>
      </c>
      <c r="HO348" t="str" cm="1">
        <f t="array" ref="HO348">IF(HF348="","",_xlfn.LET(_xlpm.nd,_xlfn.TEXTSPLIT(HF348,"|"),IF(COLUMNS(_xlpm.nd)&gt;5,A348&amp;"¦"&amp;INDEX(_xlpm.nd,5)&amp;"¦"&amp;INDEX(_xlpm.nd,6),"")))</f>
        <v/>
      </c>
      <c r="HP348" t="str">
        <f t="shared" si="720"/>
        <v/>
      </c>
      <c r="HQ348" t="str" cm="1">
        <f t="array" ref="HQ348">IF(HF348="","",_xlfn.LET(_xlpm.nd,_xlfn.TEXTSPLIT(HF348,"|"),IF(COLUMNS(_xlpm.nd)&gt;6,A348&amp;"¦"&amp;INDEX(_xlpm.nd,6)&amp;"¦"&amp;INDEX(_xlpm.nd,7),"")))</f>
        <v/>
      </c>
      <c r="HR348" t="str">
        <f t="shared" si="721"/>
        <v/>
      </c>
      <c r="HS348" t="str">
        <f t="shared" si="722"/>
        <v/>
      </c>
      <c r="HT348" t="str">
        <f t="shared" si="723"/>
        <v>QF7</v>
      </c>
      <c r="HU348">
        <f t="shared" si="724"/>
        <v>0</v>
      </c>
      <c r="HV348">
        <f t="shared" si="725"/>
        <v>0</v>
      </c>
      <c r="HW348" t="str">
        <f t="shared" si="726"/>
        <v/>
      </c>
      <c r="HX348" t="str">
        <f t="shared" si="727"/>
        <v/>
      </c>
      <c r="HY348" t="str">
        <f t="shared" si="728"/>
        <v/>
      </c>
      <c r="HZ348" t="str">
        <f t="shared" si="729"/>
        <v/>
      </c>
      <c r="IA348" t="str">
        <f>IF(B348="","",IFERROR(VLOOKUP(B348,УГО_спр,2,FALSE),IFERROR(VLOOKUP(AX348,УГО_спр,2,FALSE),IFERROR(VLOOKUP(LEFT(AX348,2),УГО_спр,2,FALSE),""))))</f>
        <v/>
      </c>
      <c r="IB348" t="str">
        <f>IF(B348="","",IF(OR(IA348="",IA348=0),"BOX",IFERROR(IF(VLOOKUP(IA348,УГО_блоки,3,FALSE)&amp;""&lt;&gt;"",VLOOKUP(IA348,УГО_блоки,3,FALSE),VLOOKUP(IA348,УГО_блоки,2,FALSE)),IA348)))</f>
        <v>BOX</v>
      </c>
      <c r="IC348">
        <f t="shared" si="730"/>
        <v>1</v>
      </c>
      <c r="ID348" t="str">
        <f>IF(DA348="","",IF(COUNTIF(DA$3:DA348,DA348)=1,MAX(ID$2:ID347)+1,""))</f>
        <v/>
      </c>
      <c r="IE348" t="str">
        <f>IF(CO348="","",IF(COUNTIF(CO$3:CO348,CO348)+COUNTIF(CP$2:CP347,CO348)+COUNTIF(CQ$2:CQ347,CO348)=1,MAX(IE$2:IG347)+1,""))</f>
        <v/>
      </c>
      <c r="IF348" t="str">
        <f>IF(CP348="","",IF(COUNTIF(CO$3:CO348,CP348)+COUNTIF(CP$3:CP348,CP348)+COUNTIF(CQ$2:CQ347,CP348)=1,MAX(IE$2:IG347,IE348)+1,""))</f>
        <v/>
      </c>
      <c r="IG348" t="str">
        <f>IF(CQ348="","",IF(COUNTIF(CO$3:CO348,CQ348)+COUNTIF(CP$3:CP348,CQ348)+COUNTIF(CQ$3:CQ348,CQ348)=1,MAX(IE$2:IG347,IE348,IF348)+1,""))</f>
        <v/>
      </c>
      <c r="IH348" t="str">
        <f t="shared" si="731"/>
        <v>3х2,5</v>
      </c>
      <c r="II348" t="str">
        <f>IF(IH348="","",IF(COUNTIF(IH$3:IH348,IH348)=1,MAX(II$2:II347)+1,""))</f>
        <v/>
      </c>
      <c r="IJ348" t="str">
        <f>IF(GL348="","",COUNTIF(GL$3:GL348,"?*"))</f>
        <v/>
      </c>
      <c r="IK348" t="str">
        <f>IF(OR(GL348="",GN348=""),"",IF(COUNTIFS(GL$3:GL348,"?*",GN$3:GN348,GN348)=1,MAX(IK$2:IK347)+1,""))</f>
        <v/>
      </c>
      <c r="IL348">
        <f t="shared" si="732"/>
        <v>0</v>
      </c>
      <c r="IM348">
        <f>IF(B348="","",COUNTIF(B$3:B348,"?*"))</f>
        <v>346</v>
      </c>
      <c r="IN348">
        <f>IF(GQ348&lt;&gt;1,0,_xlfn.LET(_xlpm.k,MAX(IFERROR(--VLOOKUP(B348,УГО_спр,5,FALSE),0),IFERROR(--VLOOKUP(AX348,УГО_спр,5,FALSE),0),IFERROR(--VLOOKUP(LEFT(AX348,2),УГО_спр,5,FALSE),0)),IF(_xlpm.k&gt;0,_xlpm.k,IF(IFERROR(--LEFT(SUBSTITUTE(IH348,"x","х"),FIND("х",SUBSTITUTE(IH348,"x","х"))-1),3)&gt;3,Каталог!$S$9,1))))</f>
        <v>1</v>
      </c>
      <c r="IO348">
        <f t="shared" si="733"/>
        <v>0</v>
      </c>
      <c r="IP348" t="str">
        <f t="shared" si="734"/>
        <v>авто</v>
      </c>
      <c r="IQ348" t="str">
        <f t="shared" si="735"/>
        <v/>
      </c>
      <c r="IR348">
        <f t="shared" si="736"/>
        <v>0</v>
      </c>
      <c r="IS348">
        <f t="shared" si="737"/>
        <v>1</v>
      </c>
    </row>
    <row r="349" spans="1:253" x14ac:dyDescent="0.3">
      <c r="A349" t="s">
        <v>771</v>
      </c>
      <c r="B349" t="s">
        <v>1606</v>
      </c>
      <c r="C349" t="s">
        <v>1698</v>
      </c>
      <c r="D349">
        <v>3</v>
      </c>
      <c r="E349">
        <v>1.92</v>
      </c>
      <c r="G349">
        <v>16</v>
      </c>
      <c r="H349" t="str">
        <f>Линии[[#This Row],[_авто утечка]]</f>
        <v/>
      </c>
      <c r="I349" t="str">
        <f>Линии[[#This Row],[_авто управление]]</f>
        <v/>
      </c>
      <c r="J349" t="str">
        <f>Линии[[#This Row],[_авто аппараты]]</f>
        <v/>
      </c>
      <c r="K349">
        <v>2.5</v>
      </c>
      <c r="L349">
        <v>40</v>
      </c>
      <c r="M349">
        <v>3</v>
      </c>
      <c r="N349" t="s">
        <v>486</v>
      </c>
      <c r="O349" t="str">
        <f t="shared" si="615"/>
        <v>потери 5,1 % &gt; 4 %</v>
      </c>
      <c r="P349" s="6" cm="1">
        <f t="array" ref="P349">IF(B349="","",IF(BC349&lt;&gt;"",IFERROR(_xlfn.XLOOKUP(BC349,Щиты[Щит],Щиты[Iр, А]),""),IF(BK349=1,IFERROR(_xlfn.XLOOKUP(A349,Щиты[Щит],Щиты[Iр, А]),""),IFERROR(_xlfn.IFS(BR349=1,BN349/((Uн_лин/SQRT(3))*BY349),BR349=3,BN349/(SQRT(3)*Uн_лин*BY349)),""))))</f>
        <v>8.7514146066638006</v>
      </c>
      <c r="Q349" s="7">
        <f>IF(B349="","",IFERROR(IF(VLOOKUP(AX349,Потребители_обозначение,4,FALSE)=1,VLOOKUP(AX349,Потребители_обозначение,3,FALSE)*(D349*2-1)+DS349+VLOOKUP(AZ349,Этаж_обозначение,3,FALSE)+VLOOKUP(AZ349,Этаж_обозначение,4,FALSE),VLOOKUP(AX349,Потребители_обозначение,3,FALSE)*(D349*2-1)+DS349),DS349))</f>
        <v>40</v>
      </c>
      <c r="R349" s="6">
        <f t="shared" si="616"/>
        <v>5.0999999999999996</v>
      </c>
      <c r="S349" t="str">
        <f t="shared" si="617"/>
        <v>ВВГнг(А)-LS (3х2,5)</v>
      </c>
      <c r="T349" t="str">
        <f>IF(BH349="","",IF(BI349="вводной узел","узел ","")&amp;"л."&amp;(INT((BH349-1)/Столбцов_на_лист)+1)&amp;" / "&amp;(MOD(BH349-1,Столбцов_на_лист)+1))</f>
        <v>л.2 / 14</v>
      </c>
      <c r="V349">
        <v>1</v>
      </c>
      <c r="W349">
        <v>230</v>
      </c>
      <c r="X349" t="s">
        <v>575</v>
      </c>
      <c r="AC349" t="s">
        <v>815</v>
      </c>
      <c r="AE349" t="s">
        <v>611</v>
      </c>
      <c r="AI349">
        <v>31</v>
      </c>
      <c r="AJ349" t="s">
        <v>11</v>
      </c>
      <c r="AK349">
        <v>3</v>
      </c>
      <c r="AM349">
        <v>12</v>
      </c>
      <c r="AN349">
        <v>12</v>
      </c>
      <c r="AO349">
        <v>22</v>
      </c>
      <c r="AP349">
        <v>1</v>
      </c>
      <c r="AW349" cm="1">
        <f t="array" ref="AW349">ROW()-ROW(Линии[#Headers])</f>
        <v>347</v>
      </c>
      <c r="AX349" s="6" t="str">
        <f t="shared" si="618"/>
        <v>OV</v>
      </c>
      <c r="AY349" t="str">
        <f t="shared" si="619"/>
        <v>4.1.1</v>
      </c>
      <c r="AZ349" t="str">
        <f t="shared" si="620"/>
        <v>4</v>
      </c>
      <c r="BA349" t="str">
        <f t="shared" si="621"/>
        <v>1.1</v>
      </c>
      <c r="BB349" t="str">
        <f t="shared" si="622"/>
        <v>1</v>
      </c>
      <c r="BC349" t="str">
        <f>IF(U349&lt;&gt;"",U349,IF(AND(B349&lt;&gt;"",B349&lt;&gt;A349,ISNUMBER(_xlfn.XMATCH(B349,Щиты[Щит]))),B349,""))</f>
        <v/>
      </c>
      <c r="BD349" t="str" cm="1">
        <f t="array" ref="BD349">IF(B349="","",IF(BC349&lt;&gt;"","Щит "&amp;BC349,_xlfn.LET(_xlpm.nm,IFERROR(_xlfn.XLOOKUP(AX349,Коды_код,Коды_имя)&amp;"",""),_xlpm.md,IFERROR(N(_xlfn.XLOOKUP(AX349,Коды_код,Коды_режим)),1),_xlpm.ex,IF(Имя_режим="по экспликации",IFERROR(_xlfn.XLOOKUP(AZ349&amp;"|"&amp;BB349,Экспликация[Этаж]&amp;"|"&amp;Экспликация[Помещение],Экспликация[Название])&amp;"",""),""),_xlpm.rm,IF(BB349="","",IF(_xlpm.ex&lt;&gt;"",". "&amp;_xlpm.ex&amp;IF(Имя_пом="нет"," ("&amp;BB349&amp;")"," (пом. "&amp;BB349&amp;")"),IF(Имя_пом="нет"," ",", пом. ")&amp;BB349)),IF(_xlpm.nm="","",IF(_xlpm.md=2,_xlpm.nm&amp;" шлейф "&amp;AZ349,_xlpm.nm&amp;_xlpm.rm)))))</f>
        <v/>
      </c>
      <c r="BE349" t="str">
        <f t="shared" si="623"/>
        <v>Обогревл ливнестоков Кровля</v>
      </c>
      <c r="BF349">
        <f>IFERROR(_xlfn.XMATCH(A349,Щиты[Щит]),0)</f>
        <v>17</v>
      </c>
      <c r="BG349">
        <f>_xlfn.LET(_xlpm.k,IFERROR(_xlfn.XLOOKUP(A349,Щиты[Щит],Щиты[Листов под вводной узел]),""),IF(_xlpm.k="",1,N(_xlpm.k))*Столбцов_на_лист)</f>
        <v>17</v>
      </c>
      <c r="BH349">
        <f t="shared" si="624"/>
        <v>31</v>
      </c>
      <c r="BI349" t="str">
        <f t="shared" si="625"/>
        <v>линии</v>
      </c>
      <c r="BJ349" s="6">
        <f>IFERROR(N(_xlfn.XLOOKUP(AX349,Коды_код,Коды_квт)),0)</f>
        <v>0</v>
      </c>
      <c r="BK349">
        <f t="shared" si="626"/>
        <v>0</v>
      </c>
      <c r="BL349" t="str">
        <f>IF(B349="","",IF(BC349&lt;&gt;"",IFERROR(_xlfn.XLOOKUP(BC349,Щиты[Щит],Щиты[Руст, кВт]),0),IF(BK349=1,IFERROR(_xlfn.XLOOKUP(A349,Щиты[Щит],Щиты[Руст, кВт]),0),IF(BJ349&gt;0,ROUND(BJ349*MAX(1,N(D349)),3),""))))</f>
        <v/>
      </c>
      <c r="BM349">
        <f t="shared" si="627"/>
        <v>1.92</v>
      </c>
      <c r="BN349" s="6">
        <f>IF(B349="","",IF(BC349&lt;&gt;"",IFERROR(_xlfn.XLOOKUP(BC349,Щиты[Щит],Щиты[Руст, кВт]),0),N(BM349)))</f>
        <v>1.92</v>
      </c>
      <c r="BO349" t="str">
        <f>IF(B349="","",IFERROR(IF(VLOOKUP(AX349,Потребители_обозначение,8,FALSE)=0,"",VLOOKUP(AX349,Потребители_обозначение,8,FALSE)),""))</f>
        <v/>
      </c>
      <c r="BP349">
        <f t="shared" si="628"/>
        <v>230</v>
      </c>
      <c r="BQ349">
        <f>IF(B349="","",IF(BC349&lt;&gt;"",3,IFERROR(IF(N(VLOOKUP(AX349,Потребители_обозначение,9,FALSE))=0,1,VLOOKUP(AX349,Потребители_обозначение,9,FALSE)),1)))</f>
        <v>1</v>
      </c>
      <c r="BR349">
        <f t="shared" si="629"/>
        <v>1</v>
      </c>
      <c r="BS349" t="str">
        <f>IF(B349="","",_xlfn.LET(_xlpm.bc,IFERROR(IF(VLOOKUP(AX349,Потребители_обозначение,6,FALSE)=0,"",VLOOKUP(AX349,Потребители_обозначение,6,FALSE)&amp;""),""),IF(AND(FK349="да",OR(_xlpm.bc="",_xlpm.bc="мс")),Марка_пож,IF(AND(_xlpm.bc="",BC349&lt;&gt;""),"мс",_xlpm.bc))))</f>
        <v/>
      </c>
      <c r="BT349" t="str">
        <f t="shared" si="630"/>
        <v>мс</v>
      </c>
      <c r="BU349">
        <f>IF(B349="","",_xlfn.LET(_xlpm.cc,IFERROR(N(VLOOKUP(AX349,Потребители_обозначение,7,FALSE)),0),IF(_xlpm.cc&gt;0,_xlpm.cc,IF(BT349="","",IF(N(BR349)=3,5,3)))))</f>
        <v>3</v>
      </c>
      <c r="BV349">
        <f t="shared" si="631"/>
        <v>3</v>
      </c>
      <c r="BW349">
        <f>IFERROR(N(VLOOKUP(AX349,Потребители_обозначение,10,FALSE)),0)</f>
        <v>0</v>
      </c>
      <c r="BX349">
        <f>IFERROR(VLOOKUP(AX349,Потребители_обозначение,5,FALSE),0)</f>
        <v>0</v>
      </c>
      <c r="BY349" s="6" cm="1">
        <f t="array" ref="BY349">IF(B349="","",IF(BC349&lt;&gt;"",IFERROR(_xlfn.XLOOKUP(BC349,Щиты[Щит],Щиты[cos φ]),0.95),IF(BK349=1,IFERROR(_xlfn.XLOOKUP(A349,Щиты[Щит],Щиты[cos φ]),0.95),IF(ISNUMBER(Z349),Z349,IFERROR(IF(BX349=2,_xlfn.IFS(BR349=3,VLOOKUP(BN349,Справочная_двигатели,8,FALSE),BR349=1,VLOOKUP(BN349,Справочная_двигатели,10,TRUE)),IF(AND(Методика="нормы 2026",EQ349="Сил"),0.8,0.95)),0.95)))))</f>
        <v>0.95</v>
      </c>
      <c r="BZ349">
        <f t="shared" si="632"/>
        <v>0</v>
      </c>
      <c r="CA349">
        <f t="shared" si="633"/>
        <v>1</v>
      </c>
      <c r="CB349">
        <f t="shared" si="634"/>
        <v>0</v>
      </c>
      <c r="CC349">
        <f t="shared" si="635"/>
        <v>0</v>
      </c>
      <c r="CD349">
        <f t="shared" si="636"/>
        <v>0</v>
      </c>
      <c r="CE349">
        <f t="shared" si="637"/>
        <v>0</v>
      </c>
      <c r="CF349">
        <f t="shared" si="638"/>
        <v>0</v>
      </c>
      <c r="CG349">
        <f>IF(AX349="",0,_xlfn.LET(_xlpm.v,IFERROR(VLOOKUP(B349,УГО_спр,3,FALSE),IFERROR(VLOOKUP(AX349,УГО_спр,3,FALSE),IFERROR(VLOOKUP(LEFT(AX349,2),УГО_спр,3,FALSE),""))),IF(_xlpm.v="да",30,IF(ISNUMBER(_xlpm.v),_xlpm.v,0))))</f>
        <v>0</v>
      </c>
      <c r="CH349" t="str">
        <f t="shared" si="639"/>
        <v/>
      </c>
      <c r="CI349" t="str">
        <f>_xlfn.LET(_xlpm.k,IFERROR(_xlfn.XLOOKUP(AX349,Коды_код,Коды_утечка)&amp;"",""),IF(_xlpm.k="","дифавтомат",_xlpm.k))</f>
        <v>дифавтомат</v>
      </c>
      <c r="CJ349">
        <f t="shared" si="640"/>
        <v>0</v>
      </c>
      <c r="CK349">
        <f t="shared" si="641"/>
        <v>0</v>
      </c>
      <c r="CL349">
        <f>IF(B349="",0,IFERROR(--VLOOKUP(B349,УГО_спр,4,FALSE),IFERROR(--VLOOKUP(AX349,УГО_спр,4,FALSE),IFERROR(--VLOOKUP(LEFT(AX349,2),УГО_спр,4,FALSE),0))))</f>
        <v>0</v>
      </c>
      <c r="CM349" t="str">
        <f>IF(B349="","",IFERROR(_xlfn.XLOOKUP(AX349,Коды_код,Коды_апп)&amp;"",""))</f>
        <v/>
      </c>
      <c r="CN349" t="str">
        <f t="shared" si="642"/>
        <v/>
      </c>
      <c r="CO349" t="str" cm="1">
        <f t="array" ref="CO349">IF(TRIM(CN349&amp;"")="","",IFERROR(TRIM(INDEX(_xlfn.TEXTSPLIT(CN349&amp;";;;",";"),1)),""))</f>
        <v/>
      </c>
      <c r="CP349" t="str" cm="1">
        <f t="array" ref="CP349">IF(TRIM(CN349&amp;"")="","",IFERROR(TRIM(INDEX(_xlfn.TEXTSPLIT(CN349&amp;";;;",";"),2)),""))</f>
        <v/>
      </c>
      <c r="CQ349" t="str" cm="1">
        <f t="array" ref="CQ349">IF(TRIM(CN349&amp;"")="","",IFERROR(TRIM(INDEX(_xlfn.TEXTSPLIT(CN349&amp;";;;",";"),3)),""))</f>
        <v/>
      </c>
      <c r="CR349">
        <f t="shared" si="643"/>
        <v>0</v>
      </c>
      <c r="CS349" t="str">
        <f>IF(B349="","",_xlfn.LET(_xlpm.t,LOWER(AV349&amp;""),IF(ISNUMBER(SEARCH("dim",_xlpm.t)),"DIM",IF(ISNUMBER(SEARCH("dali",_xlpm.t)),"DALI",IF(OR(ISNUMBER(SEARCH("relay",_xlpm.t)),ISNUMBER(SEARCH("реле",_xlpm.t))),"Relay",IF(ISNUMBER(SEARCH("кнопк",_xlpm.t)),"",IFERROR(_xlfn.XLOOKUP(AX349,Коды_код,Коды_упр)&amp;"","")))))))</f>
        <v/>
      </c>
      <c r="CT349" t="str">
        <f t="shared" si="644"/>
        <v/>
      </c>
      <c r="CU349">
        <f>IF(B349="","",_xlfn.LET(_xlpm.ig,N(P349)+IF(AF349="вручную",0,N(CB349)),_xlpm.n0,IFERROR(VLOOKUP(_xlpm.ig,Автомат_номиналы,2,TRUE),0),_xlpm.mn,MAX(CL349,IF(AF349="вручную",0,N(CE349))),MAX(_xlpm.n0,_xlpm.mn,IF(CR349=1,Мин_автомат_БП,0))))</f>
        <v>10</v>
      </c>
      <c r="CV349">
        <f t="shared" si="645"/>
        <v>1</v>
      </c>
      <c r="CW349" t="str">
        <f t="shared" si="646"/>
        <v>1P</v>
      </c>
      <c r="CX349" t="str">
        <f>_xlfn.LET(_xlpm.cc,UPPER(TRIM(IFERROR(_xlfn.XLOOKUP(AX349,Коды_код,Коды_хар)&amp;"",""))),IF(OR(_xlpm.cc="B",_xlpm.cc="В"),"B",IF(_xlpm.cc="D","D","С")))</f>
        <v>С</v>
      </c>
      <c r="CY349" t="str">
        <f t="shared" si="647"/>
        <v>1P С10А</v>
      </c>
      <c r="CZ349">
        <f t="shared" si="648"/>
        <v>16</v>
      </c>
      <c r="DA349" t="str">
        <f t="shared" si="649"/>
        <v>1P С16А</v>
      </c>
      <c r="DB349" cm="1">
        <f t="array" ref="DB349">IF(DA349="","",_xlfn.LET(_xlpm.t,SUBSTITUTE(SUBSTITUTE(SUBSTITUTE(UPPER(DA349),"С","C"),"А","A"),"В","B"),_xlpm.tk,_xlfn.TEXTSPLIT(_xlpm.t,"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9" t="str">
        <f t="shared" si="650"/>
        <v>ok</v>
      </c>
      <c r="DD349">
        <f t="shared" si="651"/>
        <v>16</v>
      </c>
      <c r="DE349" t="str">
        <f t="shared" si="652"/>
        <v>1P С16А</v>
      </c>
      <c r="DF349">
        <f t="shared" si="653"/>
        <v>0</v>
      </c>
      <c r="DG349">
        <f t="shared" si="654"/>
        <v>0</v>
      </c>
      <c r="DH349">
        <f t="shared" si="655"/>
        <v>0</v>
      </c>
      <c r="DI349">
        <f t="shared" si="656"/>
        <v>8.7514146066638006</v>
      </c>
      <c r="DJ349">
        <f t="shared" si="657"/>
        <v>1</v>
      </c>
      <c r="DK349">
        <f>IF(ISNUMBER(AL349),AL349,К_прокл)</f>
        <v>1</v>
      </c>
      <c r="DL349">
        <f t="shared" si="658"/>
        <v>2</v>
      </c>
      <c r="DM349">
        <f>IFERROR(N(VLOOKUP(BT349,Кабель_обозначение,3,FALSE)),1)</f>
        <v>1</v>
      </c>
      <c r="DN349">
        <f>IFERROR(N(_xlfn.XLOOKUP(A349,Щиты[Щит],Щиты[ΔU до шин, %])),0)</f>
        <v>2.4899999999999998</v>
      </c>
      <c r="DO349" t="str">
        <f>IFERROR(_xlfn.XLOOKUP(A349,Щиты[Щит],Щиты[Zпетли на шинах, Ом]),"")</f>
        <v/>
      </c>
      <c r="DP349">
        <f>IFERROR(N(_xlfn.XLOOKUP(A349,Щиты[Щит],Щиты[ΔU до шин (подбор), %])),0)</f>
        <v>3.73</v>
      </c>
      <c r="DQ349" t="str">
        <f>IFERROR(_xlfn.XLOOKUP(A349,Щиты[Щит],Щиты[Zпетли на шинах (подбор), Ом]),"")</f>
        <v/>
      </c>
      <c r="DR349" t="str">
        <f t="shared" si="659"/>
        <v/>
      </c>
      <c r="DS349">
        <f t="shared" si="660"/>
        <v>40</v>
      </c>
      <c r="DT349">
        <f t="shared" si="661"/>
        <v>2</v>
      </c>
      <c r="DU349">
        <f t="shared" si="662"/>
        <v>0.31</v>
      </c>
      <c r="DV349" s="6">
        <f>IF(B349="","",IF(IFERROR(VLOOKUP(AX349,УГО_спр,2,FALSE),"")="Светильник",3,4)+IF(Методика="нормы 2026",MIN(0.5,MAX(0,N(Q349)-100)*0.005),0))</f>
        <v>4</v>
      </c>
      <c r="DW349" cm="1">
        <f t="array" ref="DW349">IF(OR(B349="",BT349="",DM349&lt;&gt;1),"",_xlfn.LET(_xlpm.sz,Iдоп_S,_xlpm.t_,CHOOSE(DL349,Iдоп_1ж,Iдоп_2ж,Iдоп_3ж)*DJ349*DK349,_xlpm.inn,N(DD349),_xlpm.smin,MAX(1.5,BW349),_xlpm.L_,N(Q349)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349)*(_xlpm.rho*_xlpm.L_/_xlpm.sz*N(BY349)+_xlpm.xx*_xlpm.L_*N(DU349)/1000)*N(P349)/((Uн_лин/SQRT(3))*1000)*100,999),_xlpm.kz,IF(OR(DG349=1,NOT(ISNUMBER(DQ349)),_xlpm.L_=0,_xlpm.inn=0),1,IFERROR(--(c_min*(Uн_лин*1000/SQRT(3))/(DQ349+2*ρкз_Cu*_xlpm.L_/_xlpm.sz)&gt;=GY349*_xlpm.inn),0)),_xlpm.ok,IFERROR((_xlpm.sz&gt;=_xlpm.smin)*(_xlpm.t_&gt;=_xlpm.inn)*IF(_xlpm.L_&gt;0,(_xlpm.du_+DP349&lt;=DV349+0.00001),1)*_xlpm.kz,0),_xlpm.r_,_xlfn._xlws.FILTER(_xlpm.sz,_xlpm.ok,"не подобрано"),INDEX(_xlpm.r_,1)))</f>
        <v>25</v>
      </c>
      <c r="DX349">
        <f t="shared" si="663"/>
        <v>2.5</v>
      </c>
      <c r="DY349" cm="1">
        <f t="array" ref="DY349">IF(OR(B349="",BT349="",DM349&lt;&gt;1),"",_xlfn.LET(_xlpm.sz,Iдоп_S,_xlpm.t_,CHOOSE(DL349,Iдоп_1ж,Iдоп_2ж,Iдоп_3ж)*DJ349*DK349,_xlpm.ok,IFERROR((_xlpm.sz&gt;=MAX(1.5,BW349))*(_xlpm.t_&gt;=N(DD349)),0),_xlpm.r_,_xlfn._xlws.FILTER(_xlpm.sz,_xlpm.ok,""),INDEX(_xlpm.r_,1)))</f>
        <v>1.5</v>
      </c>
      <c r="DZ349" s="6" cm="1">
        <f t="array" ref="DZ349">IFERROR(ROUNDUP(N(DT349)*(_xlfn.XLOOKUP(DY349,INDEX(Кабель_сопротивление,0,1),INDEX(Кабель_сопротивление,0,3))*N(Q349)/DY349*N(BY349)+_xlfn.XLOOKUP(DY349,INDEX(Кабель_сопротивление,0,1),INDEX(Кабель_сопротивление,0,2))*N(Q349)*N(DU349)/1000)*N(P349)/((Uн_лин/SQRT(3))*1000)*100,2),"")</f>
        <v>4.34</v>
      </c>
      <c r="EA349">
        <f>IFERROR(2*ρкз_Cu*N(Q349)/DY349,"")</f>
        <v>1.4026666666666667</v>
      </c>
      <c r="EB349">
        <f>IFERROR(VLOOKUP(DX349,Кабель_сопротивление,3,FALSE),"")</f>
        <v>2.2499999999999999E-2</v>
      </c>
      <c r="EC349">
        <f>IFERROR(VLOOKUP(DX349,Кабель_сопротивление,2,FALSE),"")</f>
        <v>0.1</v>
      </c>
      <c r="ED349">
        <f t="shared" si="664"/>
        <v>12</v>
      </c>
      <c r="EE349">
        <f t="shared" si="665"/>
        <v>22</v>
      </c>
      <c r="EF349">
        <f t="shared" si="666"/>
        <v>6.0076710991825655</v>
      </c>
      <c r="EG349" s="6">
        <f>IFERROR(ROUNDUP(EF349/((Uн_лин/SQRT(3))*1000)*100,2),"")</f>
        <v>2.61</v>
      </c>
      <c r="EH349" t="str">
        <f>IFERROR(VLOOKUP(BT349,Кабель_обозначение,2,FALSE),"")</f>
        <v>ВВГнг(А)-LS</v>
      </c>
      <c r="EI349" t="str">
        <f t="shared" si="667"/>
        <v>ВВГнг(А)-LS (3х2,5)</v>
      </c>
      <c r="EJ349" t="str">
        <f t="shared" si="668"/>
        <v>ВВГнг(А)-LS (3х2,5)
L=40-2,61%</v>
      </c>
      <c r="EK349">
        <f>IFERROR(2*ρкз_Cu*Q349/DX349,"")</f>
        <v>0.84160000000000001</v>
      </c>
      <c r="EL349">
        <f t="shared" si="669"/>
        <v>0.28000000000000003</v>
      </c>
      <c r="EM349" s="6" t="str">
        <f>IFERROR(IF(OR(B349="",NOT(ISNUMBER(DX349)),N(Q349)=0),"",_xlfn.XLOOKUP(A349,Щиты[Щит],Щиты[Zпетли на шинах, Ом])+EK349),"")</f>
        <v/>
      </c>
      <c r="EN349" s="6" t="str">
        <f>IF(ISNUMBER(EM349),c_min*(Uн_лин*1000/SQRT(3))/EM349,"")</f>
        <v/>
      </c>
      <c r="EO349" s="6" t="str">
        <f>IFERROR(IF(OR(B349="",NOT(ISNUMBER(DX349))),"",1.05*(Uн_лин*1000/SQRT(3))/(_xlfn.XLOOKUP(A349,Щиты[Щит],Щиты[Zmax на шинах, Ом])+EL349)/1000),"")</f>
        <v/>
      </c>
      <c r="EP349" s="6" t="str">
        <f>IF(B349="","",IF(ISNUMBER(Y349),"Сил",IF(IFERROR(_xlfn.XLOOKUP(AX349,Коды_код,Коды_группа)&amp;"","")="","Быт",_xlfn.XLOOKUP(AX349,Коды_код,Коды_группа)&amp;"")))</f>
        <v>Быт</v>
      </c>
      <c r="EQ349" s="6" t="str">
        <f t="shared" si="670"/>
        <v>Пост</v>
      </c>
      <c r="ER349" s="6">
        <f>IF(EQ349="Щит","щит",IF(EQ349="","",IF(EQ349="Быт",IFERROR(_xlfn.XLOOKUP(A349,Щиты[Щит],Щиты[Кс быт]),1),IF(EQ349="Сил",IF(ISNUMBER(Y349),Y349,IF(Методика="нормы 2026",IFERROR(_xlfn.XLOOKUP(A349,Щиты[Щит],Щиты[Кс силовых (табл. 7.5)]),1),1)),IF(OR(EQ349="Пост",EQ349="Отоп"),1,IF(EQ349="ВНГ",0.7,0))))))</f>
        <v>1</v>
      </c>
      <c r="ES349">
        <f t="shared" si="671"/>
        <v>1</v>
      </c>
      <c r="ET349">
        <f t="shared" si="672"/>
        <v>1.92</v>
      </c>
      <c r="EU349">
        <f t="shared" si="673"/>
        <v>0</v>
      </c>
      <c r="EV349">
        <f t="shared" si="674"/>
        <v>0</v>
      </c>
      <c r="EW349">
        <f t="shared" si="675"/>
        <v>1.92</v>
      </c>
      <c r="EX349">
        <f t="shared" si="676"/>
        <v>0</v>
      </c>
      <c r="EY349">
        <f t="shared" si="677"/>
        <v>0</v>
      </c>
      <c r="EZ349">
        <f t="shared" si="678"/>
        <v>1.92</v>
      </c>
      <c r="FA349">
        <f t="shared" si="679"/>
        <v>1.8239999999999998</v>
      </c>
      <c r="FB349">
        <f t="shared" si="680"/>
        <v>1.92</v>
      </c>
      <c r="FC349" t="str">
        <f t="shared" si="681"/>
        <v>L3</v>
      </c>
      <c r="FD349" t="str">
        <f>IF(B349="","",IF(CA349=0,IF(AW349=1,"",FF348),IF(OR(N(CV349)&gt;=3,N(BR349)&gt;=3),"L1,L2,L3",IFERROR(_xlfn.TEXTBEFORE(_xlfn.TEXTAFTER(_xlfn.XLOOKUP(A349,Щиты[Щит],Щиты[_фазы авто]),";"&amp;AW349&amp;":"),";"),"L1"))))</f>
        <v>L1</v>
      </c>
      <c r="FE349" t="str">
        <f t="shared" si="682"/>
        <v>L3</v>
      </c>
      <c r="FF349" t="str">
        <f t="shared" si="683"/>
        <v>L3</v>
      </c>
      <c r="FG349" cm="1">
        <f t="array" ref="FG349">IFERROR(IF(BX349=2,_xlfn.IFS(BR349=3,VLOOKUP(BN349,Справочная_двигатели,3,FALSE),BR349=1,VLOOKUP(BN349,Справочная_двигатели,5,TRUE)),0),0)</f>
        <v>0</v>
      </c>
      <c r="FH349">
        <f>IFERROR(IF(BX349=3,VLOOKUP(BN349,Справочная_ЛЭД,2,TRUE),0),0)</f>
        <v>0</v>
      </c>
      <c r="FI349" s="6">
        <f t="shared" si="684"/>
        <v>0</v>
      </c>
      <c r="FJ349" t="str" cm="1">
        <f t="array" ref="FJ349">IF(B349="","",IFERROR(INDEX({"I особая","I","II","III"},MATCH(TRIM(AC349&amp;""),{"I особая","I","II","III"},0)),"III"))</f>
        <v>II</v>
      </c>
      <c r="FK349" t="str">
        <f>IF(B349="","",IF(TRIM(AD349&amp;"")&lt;&gt;"",IF(LOWER(TRIM(AD349&amp;""))="да","да","нет"),IF(IFERROR(_xlfn.XLOOKUP(AX349,Коды_код,Коды_пожарная),"")="да","да","нет")))</f>
        <v>нет</v>
      </c>
      <c r="FL349" t="str">
        <f t="shared" si="685"/>
        <v/>
      </c>
      <c r="FM349" t="str">
        <f t="shared" si="686"/>
        <v>основная</v>
      </c>
      <c r="FN349">
        <f t="shared" si="687"/>
        <v>1</v>
      </c>
      <c r="FO349" t="str" cm="1">
        <f t="array" ref="FO349">IF(B349="","",_xlfn.LET(_xlpm.t,IFERROR(_xlfn.XLOOKUP(1,(Шины[Шина]=FM349)*(((Шины[Щит]=A349)+(Шины[Щит]=""))&gt;0),Шины[Тип]),"")&amp;"",IF(_xlpm.t&lt;&gt;"",_xlpm.t,IF(ISNUMBER(SEARCH("ИБП",FM349)),"ИБП",IF(ISNUMBER(SEARCH("ДГУ",FM349)),"ДГУ","Ввод "&amp;FN349)))))</f>
        <v>Ввод 1</v>
      </c>
      <c r="FP349" t="str">
        <f t="shared" si="688"/>
        <v>Ввод 1</v>
      </c>
      <c r="FQ349" t="str">
        <f>IF(B349="","",IF(OR(FO349="ИБП",FO349="ДГУ"),"I особая",IF(FO349="Одиночная","III",_xlfn.XLOOKUP(A349,Щиты[Щит],Щиты[Категория шины «Ввод»],"III"))))</f>
        <v>II</v>
      </c>
      <c r="FR349">
        <f>IF(B349="",0,IFERROR(MATCH(FJ349,{"III","II","I","I особая"},0),1))</f>
        <v>2</v>
      </c>
      <c r="FS349">
        <f t="shared" si="689"/>
        <v>2</v>
      </c>
      <c r="FT349" t="str">
        <f>IF(B349="","",IF(FR349&gt;IFERROR(MATCH(FQ349,{"III","II","I","I особая"},0),1),"НЕ ОБЕСПЕЧЕНА","ОК"))</f>
        <v>ОК</v>
      </c>
      <c r="FU349" t="str">
        <f>IF(A349="","",_xlfn.XLOOKUP(A349,Щиты[Щит],Щиты[Путь],""))</f>
        <v>|ГРЩ-ЖД|ЩУОВ|</v>
      </c>
      <c r="FV349" t="str">
        <f>IF(B349="","",IF(AE349&lt;&gt;"",AE349,IF(IFERROR(_xlfn.XLOOKUP(AX349,Коды_код,Коды_вид)&amp;"","")="","Прочее",_xlfn.XLOOKUP(AX349,Коды_код,Коды_вид)&amp;"")))</f>
        <v>Обогрев водостоков и кровли</v>
      </c>
      <c r="FW349">
        <f>IF(BH349="","",INT((BH349-1)/Столбцов_на_лист)+1)</f>
        <v>2</v>
      </c>
      <c r="FX349" t="str">
        <f t="shared" si="690"/>
        <v>ВВГнг(А)-LS (3х2,5) L=40-2,61%</v>
      </c>
      <c r="FY349">
        <f t="shared" si="691"/>
        <v>1.92</v>
      </c>
      <c r="FZ349">
        <f t="shared" si="692"/>
        <v>8.76</v>
      </c>
      <c r="GA349">
        <f t="shared" si="693"/>
        <v>1</v>
      </c>
      <c r="GB349">
        <f t="shared" si="694"/>
        <v>0</v>
      </c>
      <c r="GC349">
        <f t="shared" si="695"/>
        <v>1</v>
      </c>
      <c r="GD349">
        <f>IF(BH349="","",IF(AND(CA349=1,GC349=1),COUNTIFS(A$3:A349,A349,CA$3:CA349,1,GC$3:GC349,1),IF(OR(OR(AW349=1,A349&lt;&gt;A348),AF349="вручную",GC349=0),"",IF(AW349=1,"",GE348))))</f>
        <v>8</v>
      </c>
      <c r="GE349">
        <f t="shared" si="696"/>
        <v>8</v>
      </c>
      <c r="GF349">
        <f>IF(B349="","",IFERROR(LOOKUP(INDEX(CHOOSE(DL349,Iдоп_1ж,Iдоп_2ж,Iдоп_3ж),MATCH(DX349,Iдоп_S,0))*DJ349*DK349,{6,10,16,20,25,32,40,50,63,80,100,125,160,200,250,315,400,500,630}),""))</f>
        <v>25</v>
      </c>
      <c r="GG349" t="str">
        <f t="shared" si="697"/>
        <v>QF8</v>
      </c>
      <c r="GH349" t="str">
        <f t="shared" si="698"/>
        <v>QF8</v>
      </c>
      <c r="GI349" t="str">
        <f t="shared" si="699"/>
        <v/>
      </c>
      <c r="GJ349">
        <f t="shared" si="700"/>
        <v>0</v>
      </c>
      <c r="GK349" t="str">
        <f>IF(OR(AG349="",AG349="-"),"",IFERROR(VLOOKUP(AG349,Модули_спр,2,FALSE),"R"))</f>
        <v/>
      </c>
      <c r="GL349" t="str">
        <f>IF(GK349="","",GK349&amp;"."&amp;COUNTIFS(A$3:A349,A349,GK$3:GK349,GK349))</f>
        <v/>
      </c>
      <c r="GM349" t="str">
        <f t="shared" si="701"/>
        <v/>
      </c>
      <c r="GN349" t="str">
        <f t="shared" si="702"/>
        <v/>
      </c>
      <c r="GO349" t="str">
        <f t="shared" si="703"/>
        <v/>
      </c>
      <c r="GP349" t="str">
        <f t="shared" si="704"/>
        <v/>
      </c>
      <c r="GQ349">
        <f t="shared" si="705"/>
        <v>1</v>
      </c>
      <c r="GR349" t="str">
        <f>IF(GQ349=1,"XT"&amp;COUNTIFS(A$3:A349,A349,GQ$3:GQ349,1),"")</f>
        <v>XT8</v>
      </c>
      <c r="GS349" t="str">
        <f t="shared" si="706"/>
        <v/>
      </c>
      <c r="GT349" t="str">
        <f t="shared" si="707"/>
        <v>QF8</v>
      </c>
      <c r="GU349" t="str">
        <f t="shared" si="708"/>
        <v/>
      </c>
      <c r="GV349" t="str">
        <f t="shared" si="709"/>
        <v>ok</v>
      </c>
      <c r="GW349" t="str">
        <f>IF(OR(GO349="",GM349=""),"",IF(GO349&gt;IFERROR(VLOOKUP(GN349,Модули_спр,3,FALSE),99),"ЛИШНИЙ КАНАЛ",IF(AND(AH349&lt;&gt;"=",COUNTIFS(Линии[_модуль гр.],GM349,Линии[Канал (итог)],GO349,Линии[Канал],"&lt;&gt;=",Линии[Щит],A349)&gt;1),"ДУБЛЬ КАНАЛА","")))</f>
        <v/>
      </c>
      <c r="GX349" s="6" t="str">
        <f t="shared" si="710"/>
        <v/>
      </c>
      <c r="GY349">
        <f t="shared" si="711"/>
        <v>10</v>
      </c>
      <c r="GZ349" t="str">
        <f t="shared" si="712"/>
        <v/>
      </c>
      <c r="HA349" t="str">
        <f>IF(AND(B349="",GT349=""),"",_xlfn.TEXTJOIN("; ",TRUE,IF(AND(B349&lt;&gt;"",FE349=""),"нет фазы",""),IF(AND(B349&lt;&gt;"",N(FY349)=0,EQ349&lt;&gt;"Нет"),"нет мощности",""),IF(AND(GS349&lt;&gt;"",COUNTIFS(Линии[Щит],A349,Линии[Клемма (итог)],GS349)&gt;1),"дубль клеммы "&amp;GS349,""),IF(AND(GV349&lt;&gt;"",GV349&lt;&gt;"ok"),GV349,""),IF(GW349&lt;&gt;"",GW349,""),IF(AND(N(BV349)&gt;=4,N(BR349)=1),BV349&amp;" жил на 1 фазе",""),IF(AND(AX349="R",CA349=1,OR(N(CK349)=0,N(CK349)&gt;30)),"розетка без дифзащиты до 30 мА",""),IFERROR(IF(AND(ISNUMBER(R349),R349&gt;DV349),"потери "&amp;FIXED(R349,1)&amp;" % &gt; "&amp;DV349&amp;" %",""),""),IFERROR(IF(LEFT(GZ349,4)="мало","Iкз мало — отключение &gt; 0,4 с",""),""),IF(AND(B349&lt;&gt;"",BH349=""),"не на схеме",""),IF(AND(CA349=0,B349&lt;&gt;"",FE349&lt;&gt;"",IF(AW349=1,"",FF348)&lt;&gt;"",FE349&lt;&gt;IF(AW349=1,"",FF348)),"фаза не как у автомата группы ("&amp;IF(AW349=1,"",FF348)&amp;")","")))</f>
        <v>потери 5,1 % &gt; 4 %</v>
      </c>
      <c r="HB349" s="6">
        <f>IF(OR(CA349=0,DA349=""),"",_xlfn.LET(_xlpm.t,IFERROR(_xlfn.XLOOKUP(DA349,Каталог!$U$4:$U$500,Каталог!$G$4:$G$500),""),_xlpm.k,SEARCH("кА",_xlpm.t),IFERROR(--TRIM(RIGHT(SUBSTITUTE(MID(_xlpm.t,MAX(1,_xlpm.k-4),_xlpm.k-MAX(1,_xlpm.k-4))," ",REPT(" ",9)),5)),"")))</f>
        <v>6</v>
      </c>
      <c r="HC349" t="str">
        <f>IF(OR(HB349="",CA349=0),"",IF(_xlfn.XLOOKUP(A349,Щиты[Щит],Щиты[Iкз max на шинах, кА],"")="","",IF(HB349&lt;_xlfn.XLOOKUP(A349,Щиты[Щит],Щиты[Iкз max на шинах, кА]),"Icu "&amp;HB349&amp;" кА &lt; Iкз max","ok")))</f>
        <v/>
      </c>
      <c r="HD349" t="str">
        <f t="shared" si="713"/>
        <v/>
      </c>
      <c r="HE349" t="str">
        <f t="shared" si="714"/>
        <v>QF8</v>
      </c>
      <c r="HF349" t="str">
        <f t="shared" si="715"/>
        <v>QF8|кабель ВВГнг(А)-LS (3х2,5) → Обогревл ливнестоков Кровля</v>
      </c>
      <c r="HG349" t="str" cm="1">
        <f t="array" ref="HG349">IF(HF349="","",_xlfn.LET(_xlpm.nd,_xlfn.TEXTSPLIT(HF349,"|"),IF(COLUMNS(_xlpm.nd)&gt;1,A349&amp;"¦"&amp;INDEX(_xlpm.nd,1)&amp;"¦"&amp;INDEX(_xlpm.nd,2),"")))</f>
        <v>ЩУОВ¦QF8¦кабель ВВГнг(А)-LS (3х2,5) → Обогревл ливнестоков Кровля</v>
      </c>
      <c r="HH349" t="str">
        <f t="shared" si="716"/>
        <v>OV.4.1.1¦Обогревл ливнестоков Кровля</v>
      </c>
      <c r="HI349" t="str" cm="1">
        <f t="array" ref="HI349">IF(HF349="","",_xlfn.LET(_xlpm.nd,_xlfn.TEXTSPLIT(HF349,"|"),IF(COLUMNS(_xlpm.nd)&gt;2,A349&amp;"¦"&amp;INDEX(_xlpm.nd,2)&amp;"¦"&amp;INDEX(_xlpm.nd,3),"")))</f>
        <v/>
      </c>
      <c r="HJ349" t="str">
        <f t="shared" si="717"/>
        <v/>
      </c>
      <c r="HK349" t="str" cm="1">
        <f t="array" ref="HK349">IF(HF349="","",_xlfn.LET(_xlpm.nd,_xlfn.TEXTSPLIT(HF349,"|"),IF(COLUMNS(_xlpm.nd)&gt;3,A349&amp;"¦"&amp;INDEX(_xlpm.nd,3)&amp;"¦"&amp;INDEX(_xlpm.nd,4),"")))</f>
        <v/>
      </c>
      <c r="HL349" t="str">
        <f t="shared" si="718"/>
        <v/>
      </c>
      <c r="HM349" t="str" cm="1">
        <f t="array" ref="HM349">IF(HF349="","",_xlfn.LET(_xlpm.nd,_xlfn.TEXTSPLIT(HF349,"|"),IF(COLUMNS(_xlpm.nd)&gt;4,A349&amp;"¦"&amp;INDEX(_xlpm.nd,4)&amp;"¦"&amp;INDEX(_xlpm.nd,5),"")))</f>
        <v/>
      </c>
      <c r="HN349" t="str">
        <f t="shared" si="719"/>
        <v/>
      </c>
      <c r="HO349" t="str" cm="1">
        <f t="array" ref="HO349">IF(HF349="","",_xlfn.LET(_xlpm.nd,_xlfn.TEXTSPLIT(HF349,"|"),IF(COLUMNS(_xlpm.nd)&gt;5,A349&amp;"¦"&amp;INDEX(_xlpm.nd,5)&amp;"¦"&amp;INDEX(_xlpm.nd,6),"")))</f>
        <v/>
      </c>
      <c r="HP349" t="str">
        <f t="shared" si="720"/>
        <v/>
      </c>
      <c r="HQ349" t="str" cm="1">
        <f t="array" ref="HQ349">IF(HF349="","",_xlfn.LET(_xlpm.nd,_xlfn.TEXTSPLIT(HF349,"|"),IF(COLUMNS(_xlpm.nd)&gt;6,A349&amp;"¦"&amp;INDEX(_xlpm.nd,6)&amp;"¦"&amp;INDEX(_xlpm.nd,7),"")))</f>
        <v/>
      </c>
      <c r="HR349" t="str">
        <f t="shared" si="721"/>
        <v/>
      </c>
      <c r="HS349" t="str">
        <f t="shared" si="722"/>
        <v/>
      </c>
      <c r="HT349" t="str">
        <f t="shared" si="723"/>
        <v>QF8</v>
      </c>
      <c r="HU349">
        <f t="shared" si="724"/>
        <v>0</v>
      </c>
      <c r="HV349">
        <f t="shared" si="725"/>
        <v>0</v>
      </c>
      <c r="HW349" t="str">
        <f t="shared" si="726"/>
        <v/>
      </c>
      <c r="HX349" t="str">
        <f t="shared" si="727"/>
        <v/>
      </c>
      <c r="HY349" t="str">
        <f t="shared" si="728"/>
        <v/>
      </c>
      <c r="HZ349" t="str">
        <f t="shared" si="729"/>
        <v/>
      </c>
      <c r="IA349" t="str">
        <f>IF(B349="","",IFERROR(VLOOKUP(B349,УГО_спр,2,FALSE),IFERROR(VLOOKUP(AX349,УГО_спр,2,FALSE),IFERROR(VLOOKUP(LEFT(AX349,2),УГО_спр,2,FALSE),""))))</f>
        <v/>
      </c>
      <c r="IB349" t="str">
        <f>IF(B349="","",IF(OR(IA349="",IA349=0),"BOX",IFERROR(IF(VLOOKUP(IA349,УГО_блоки,3,FALSE)&amp;""&lt;&gt;"",VLOOKUP(IA349,УГО_блоки,3,FALSE),VLOOKUP(IA349,УГО_блоки,2,FALSE)),IA349)))</f>
        <v>BOX</v>
      </c>
      <c r="IC349">
        <f t="shared" si="730"/>
        <v>1</v>
      </c>
      <c r="ID349" t="str">
        <f>IF(DA349="","",IF(COUNTIF(DA$3:DA349,DA349)=1,MAX(ID$2:ID348)+1,""))</f>
        <v/>
      </c>
      <c r="IE349" t="str">
        <f>IF(CO349="","",IF(COUNTIF(CO$3:CO349,CO349)+COUNTIF(CP$2:CP348,CO349)+COUNTIF(CQ$2:CQ348,CO349)=1,MAX(IE$2:IG348)+1,""))</f>
        <v/>
      </c>
      <c r="IF349" t="str">
        <f>IF(CP349="","",IF(COUNTIF(CO$3:CO349,CP349)+COUNTIF(CP$3:CP349,CP349)+COUNTIF(CQ$2:CQ348,CP349)=1,MAX(IE$2:IG348,IE349)+1,""))</f>
        <v/>
      </c>
      <c r="IG349" t="str">
        <f>IF(CQ349="","",IF(COUNTIF(CO$3:CO349,CQ349)+COUNTIF(CP$3:CP349,CQ349)+COUNTIF(CQ$3:CQ349,CQ349)=1,MAX(IE$2:IG348,IE349,IF349)+1,""))</f>
        <v/>
      </c>
      <c r="IH349" t="str">
        <f t="shared" si="731"/>
        <v>3х2,5</v>
      </c>
      <c r="II349" t="str">
        <f>IF(IH349="","",IF(COUNTIF(IH$3:IH349,IH349)=1,MAX(II$2:II348)+1,""))</f>
        <v/>
      </c>
      <c r="IJ349" t="str">
        <f>IF(GL349="","",COUNTIF(GL$3:GL349,"?*"))</f>
        <v/>
      </c>
      <c r="IK349" t="str">
        <f>IF(OR(GL349="",GN349=""),"",IF(COUNTIFS(GL$3:GL349,"?*",GN$3:GN349,GN349)=1,MAX(IK$2:IK348)+1,""))</f>
        <v/>
      </c>
      <c r="IL349">
        <f t="shared" si="732"/>
        <v>1</v>
      </c>
      <c r="IM349">
        <f>IF(B349="","",COUNTIF(B$3:B349,"?*"))</f>
        <v>347</v>
      </c>
      <c r="IN349">
        <f>IF(GQ349&lt;&gt;1,0,_xlfn.LET(_xlpm.k,MAX(IFERROR(--VLOOKUP(B349,УГО_спр,5,FALSE),0),IFERROR(--VLOOKUP(AX349,УГО_спр,5,FALSE),0),IFERROR(--VLOOKUP(LEFT(AX349,2),УГО_спр,5,FALSE),0)),IF(_xlpm.k&gt;0,_xlpm.k,IF(IFERROR(--LEFT(SUBSTITUTE(IH349,"x","х"),FIND("х",SUBSTITUTE(IH349,"x","х"))-1),3)&gt;3,Каталог!$S$9,1))))</f>
        <v>1</v>
      </c>
      <c r="IO349">
        <f t="shared" si="733"/>
        <v>0</v>
      </c>
      <c r="IP349" t="str">
        <f t="shared" si="734"/>
        <v>авто</v>
      </c>
      <c r="IQ349" t="str">
        <f t="shared" si="735"/>
        <v/>
      </c>
      <c r="IR349">
        <f t="shared" si="736"/>
        <v>0</v>
      </c>
      <c r="IS349">
        <f t="shared" si="737"/>
        <v>1</v>
      </c>
    </row>
    <row r="350" spans="1:253" x14ac:dyDescent="0.3">
      <c r="A350" t="s">
        <v>771</v>
      </c>
      <c r="B350" t="s">
        <v>1607</v>
      </c>
      <c r="C350" t="s">
        <v>1698</v>
      </c>
      <c r="D350">
        <v>3</v>
      </c>
      <c r="E350">
        <v>1.83</v>
      </c>
      <c r="G350">
        <v>16</v>
      </c>
      <c r="H350" t="str">
        <f>Линии[[#This Row],[_авто утечка]]</f>
        <v/>
      </c>
      <c r="I350" t="str">
        <f>Линии[[#This Row],[_авто управление]]</f>
        <v/>
      </c>
      <c r="J350" t="str">
        <f>Линии[[#This Row],[_авто аппараты]]</f>
        <v/>
      </c>
      <c r="K350">
        <v>2.5</v>
      </c>
      <c r="L350">
        <v>50</v>
      </c>
      <c r="M350">
        <v>1</v>
      </c>
      <c r="N350" t="s">
        <v>486</v>
      </c>
      <c r="O350" t="str">
        <f t="shared" si="615"/>
        <v>потери 5,6 % &gt; 4 %</v>
      </c>
      <c r="P350" s="6" cm="1">
        <f t="array" ref="P350">IF(B350="","",IF(BC350&lt;&gt;"",IFERROR(_xlfn.XLOOKUP(BC350,Щиты[Щит],Щиты[Iр, А]),""),IF(BK350=1,IFERROR(_xlfn.XLOOKUP(A350,Щиты[Щит],Щиты[Iр, А]),""),IFERROR(_xlfn.IFS(BR350=1,BN350/((Uн_лин/SQRT(3))*BY350),BR350=3,BN350/(SQRT(3)*Uн_лин*BY350)),""))))</f>
        <v>8.3411920469764347</v>
      </c>
      <c r="Q350" s="7">
        <f>IF(B350="","",IFERROR(IF(VLOOKUP(AX350,Потребители_обозначение,4,FALSE)=1,VLOOKUP(AX350,Потребители_обозначение,3,FALSE)*(D350*2-1)+DS350+VLOOKUP(AZ350,Этаж_обозначение,3,FALSE)+VLOOKUP(AZ350,Этаж_обозначение,4,FALSE),VLOOKUP(AX350,Потребители_обозначение,3,FALSE)*(D350*2-1)+DS350),DS350))</f>
        <v>50</v>
      </c>
      <c r="R350" s="6">
        <f t="shared" si="616"/>
        <v>5.59</v>
      </c>
      <c r="S350" t="str">
        <f t="shared" si="617"/>
        <v>ВВГнг(А)-LS (3х2,5)</v>
      </c>
      <c r="T350" t="str">
        <f>IF(BH350="","",IF(BI350="вводной узел","узел ","")&amp;"л."&amp;(INT((BH350-1)/Столбцов_на_лист)+1)&amp;" / "&amp;(MOD(BH350-1,Столбцов_на_лист)+1))</f>
        <v>л.2 / 15</v>
      </c>
      <c r="V350">
        <v>1</v>
      </c>
      <c r="W350">
        <v>230</v>
      </c>
      <c r="X350" t="s">
        <v>575</v>
      </c>
      <c r="AC350" t="s">
        <v>815</v>
      </c>
      <c r="AE350" t="s">
        <v>611</v>
      </c>
      <c r="AI350">
        <v>32</v>
      </c>
      <c r="AJ350" t="s">
        <v>11</v>
      </c>
      <c r="AK350">
        <v>3</v>
      </c>
      <c r="AM350">
        <v>12</v>
      </c>
      <c r="AN350">
        <v>12</v>
      </c>
      <c r="AO350">
        <v>39</v>
      </c>
      <c r="AP350">
        <v>1</v>
      </c>
      <c r="AW350" cm="1">
        <f t="array" ref="AW350">ROW()-ROW(Линии[#Headers])</f>
        <v>348</v>
      </c>
      <c r="AX350" s="6" t="str">
        <f t="shared" si="618"/>
        <v>OV</v>
      </c>
      <c r="AY350" t="str">
        <f t="shared" si="619"/>
        <v>4.1.2</v>
      </c>
      <c r="AZ350" t="str">
        <f t="shared" si="620"/>
        <v>4</v>
      </c>
      <c r="BA350" t="str">
        <f t="shared" si="621"/>
        <v>1.2</v>
      </c>
      <c r="BB350" t="str">
        <f t="shared" si="622"/>
        <v>1</v>
      </c>
      <c r="BC350" t="str">
        <f>IF(U350&lt;&gt;"",U350,IF(AND(B350&lt;&gt;"",B350&lt;&gt;A350,ISNUMBER(_xlfn.XMATCH(B350,Щиты[Щит]))),B350,""))</f>
        <v/>
      </c>
      <c r="BD350" t="str" cm="1">
        <f t="array" ref="BD350">IF(B350="","",IF(BC350&lt;&gt;"","Щит "&amp;BC350,_xlfn.LET(_xlpm.nm,IFERROR(_xlfn.XLOOKUP(AX350,Коды_код,Коды_имя)&amp;"",""),_xlpm.md,IFERROR(N(_xlfn.XLOOKUP(AX350,Коды_код,Коды_режим)),1),_xlpm.ex,IF(Имя_режим="по экспликации",IFERROR(_xlfn.XLOOKUP(AZ350&amp;"|"&amp;BB350,Экспликация[Этаж]&amp;"|"&amp;Экспликация[Помещение],Экспликация[Название])&amp;"",""),""),_xlpm.rm,IF(BB350="","",IF(_xlpm.ex&lt;&gt;"",". "&amp;_xlpm.ex&amp;IF(Имя_пом="нет"," ("&amp;BB350&amp;")"," (пом. "&amp;BB350&amp;")"),IF(Имя_пом="нет"," ",", пом. ")&amp;BB350)),IF(_xlpm.nm="","",IF(_xlpm.md=2,_xlpm.nm&amp;" шлейф "&amp;AZ350,_xlpm.nm&amp;_xlpm.rm)))))</f>
        <v/>
      </c>
      <c r="BE350" t="str">
        <f t="shared" si="623"/>
        <v>Обогревл ливнестоков Кровля</v>
      </c>
      <c r="BF350">
        <f>IFERROR(_xlfn.XMATCH(A350,Щиты[Щит]),0)</f>
        <v>17</v>
      </c>
      <c r="BG350">
        <f>_xlfn.LET(_xlpm.k,IFERROR(_xlfn.XLOOKUP(A350,Щиты[Щит],Щиты[Листов под вводной узел]),""),IF(_xlpm.k="",1,N(_xlpm.k))*Столбцов_на_лист)</f>
        <v>17</v>
      </c>
      <c r="BH350">
        <f t="shared" si="624"/>
        <v>32</v>
      </c>
      <c r="BI350" t="str">
        <f t="shared" si="625"/>
        <v>линии</v>
      </c>
      <c r="BJ350" s="6">
        <f>IFERROR(N(_xlfn.XLOOKUP(AX350,Коды_код,Коды_квт)),0)</f>
        <v>0</v>
      </c>
      <c r="BK350">
        <f t="shared" si="626"/>
        <v>0</v>
      </c>
      <c r="BL350" t="str">
        <f>IF(B350="","",IF(BC350&lt;&gt;"",IFERROR(_xlfn.XLOOKUP(BC350,Щиты[Щит],Щиты[Руст, кВт]),0),IF(BK350=1,IFERROR(_xlfn.XLOOKUP(A350,Щиты[Щит],Щиты[Руст, кВт]),0),IF(BJ350&gt;0,ROUND(BJ350*MAX(1,N(D350)),3),""))))</f>
        <v/>
      </c>
      <c r="BM350">
        <f t="shared" si="627"/>
        <v>1.83</v>
      </c>
      <c r="BN350" s="6">
        <f>IF(B350="","",IF(BC350&lt;&gt;"",IFERROR(_xlfn.XLOOKUP(BC350,Щиты[Щит],Щиты[Руст, кВт]),0),N(BM350)))</f>
        <v>1.83</v>
      </c>
      <c r="BO350" t="str">
        <f>IF(B350="","",IFERROR(IF(VLOOKUP(AX350,Потребители_обозначение,8,FALSE)=0,"",VLOOKUP(AX350,Потребители_обозначение,8,FALSE)),""))</f>
        <v/>
      </c>
      <c r="BP350">
        <f t="shared" si="628"/>
        <v>230</v>
      </c>
      <c r="BQ350">
        <f>IF(B350="","",IF(BC350&lt;&gt;"",3,IFERROR(IF(N(VLOOKUP(AX350,Потребители_обозначение,9,FALSE))=0,1,VLOOKUP(AX350,Потребители_обозначение,9,FALSE)),1)))</f>
        <v>1</v>
      </c>
      <c r="BR350">
        <f t="shared" si="629"/>
        <v>1</v>
      </c>
      <c r="BS350" t="str">
        <f>IF(B350="","",_xlfn.LET(_xlpm.bc,IFERROR(IF(VLOOKUP(AX350,Потребители_обозначение,6,FALSE)=0,"",VLOOKUP(AX350,Потребители_обозначение,6,FALSE)&amp;""),""),IF(AND(FK350="да",OR(_xlpm.bc="",_xlpm.bc="мс")),Марка_пож,IF(AND(_xlpm.bc="",BC350&lt;&gt;""),"мс",_xlpm.bc))))</f>
        <v/>
      </c>
      <c r="BT350" t="str">
        <f t="shared" si="630"/>
        <v>мс</v>
      </c>
      <c r="BU350">
        <f>IF(B350="","",_xlfn.LET(_xlpm.cc,IFERROR(N(VLOOKUP(AX350,Потребители_обозначение,7,FALSE)),0),IF(_xlpm.cc&gt;0,_xlpm.cc,IF(BT350="","",IF(N(BR350)=3,5,3)))))</f>
        <v>3</v>
      </c>
      <c r="BV350">
        <f t="shared" si="631"/>
        <v>3</v>
      </c>
      <c r="BW350">
        <f>IFERROR(N(VLOOKUP(AX350,Потребители_обозначение,10,FALSE)),0)</f>
        <v>0</v>
      </c>
      <c r="BX350">
        <f>IFERROR(VLOOKUP(AX350,Потребители_обозначение,5,FALSE),0)</f>
        <v>0</v>
      </c>
      <c r="BY350" s="6" cm="1">
        <f t="array" ref="BY350">IF(B350="","",IF(BC350&lt;&gt;"",IFERROR(_xlfn.XLOOKUP(BC350,Щиты[Щит],Щиты[cos φ]),0.95),IF(BK350=1,IFERROR(_xlfn.XLOOKUP(A350,Щиты[Щит],Щиты[cos φ]),0.95),IF(ISNUMBER(Z350),Z350,IFERROR(IF(BX350=2,_xlfn.IFS(BR350=3,VLOOKUP(BN350,Справочная_двигатели,8,FALSE),BR350=1,VLOOKUP(BN350,Справочная_двигатели,10,TRUE)),IF(AND(Методика="нормы 2026",EQ350="Сил"),0.8,0.95)),0.95)))))</f>
        <v>0.95</v>
      </c>
      <c r="BZ350">
        <f t="shared" si="632"/>
        <v>0</v>
      </c>
      <c r="CA350">
        <f t="shared" si="633"/>
        <v>1</v>
      </c>
      <c r="CB350">
        <f t="shared" si="634"/>
        <v>0</v>
      </c>
      <c r="CC350">
        <f t="shared" si="635"/>
        <v>0</v>
      </c>
      <c r="CD350">
        <f t="shared" si="636"/>
        <v>0</v>
      </c>
      <c r="CE350">
        <f t="shared" si="637"/>
        <v>0</v>
      </c>
      <c r="CF350">
        <f t="shared" si="638"/>
        <v>0</v>
      </c>
      <c r="CG350">
        <f>IF(AX350="",0,_xlfn.LET(_xlpm.v,IFERROR(VLOOKUP(B350,УГО_спр,3,FALSE),IFERROR(VLOOKUP(AX350,УГО_спр,3,FALSE),IFERROR(VLOOKUP(LEFT(AX350,2),УГО_спр,3,FALSE),""))),IF(_xlpm.v="да",30,IF(ISNUMBER(_xlpm.v),_xlpm.v,0))))</f>
        <v>0</v>
      </c>
      <c r="CH350" t="str">
        <f t="shared" si="639"/>
        <v/>
      </c>
      <c r="CI350" t="str">
        <f>_xlfn.LET(_xlpm.k,IFERROR(_xlfn.XLOOKUP(AX350,Коды_код,Коды_утечка)&amp;"",""),IF(_xlpm.k="","дифавтомат",_xlpm.k))</f>
        <v>дифавтомат</v>
      </c>
      <c r="CJ350">
        <f t="shared" si="640"/>
        <v>0</v>
      </c>
      <c r="CK350">
        <f t="shared" si="641"/>
        <v>0</v>
      </c>
      <c r="CL350">
        <f>IF(B350="",0,IFERROR(--VLOOKUP(B350,УГО_спр,4,FALSE),IFERROR(--VLOOKUP(AX350,УГО_спр,4,FALSE),IFERROR(--VLOOKUP(LEFT(AX350,2),УГО_спр,4,FALSE),0))))</f>
        <v>0</v>
      </c>
      <c r="CM350" t="str">
        <f>IF(B350="","",IFERROR(_xlfn.XLOOKUP(AX350,Коды_код,Коды_апп)&amp;"",""))</f>
        <v/>
      </c>
      <c r="CN350" t="str">
        <f t="shared" si="642"/>
        <v/>
      </c>
      <c r="CO350" t="str" cm="1">
        <f t="array" ref="CO350">IF(TRIM(CN350&amp;"")="","",IFERROR(TRIM(INDEX(_xlfn.TEXTSPLIT(CN350&amp;";;;",";"),1)),""))</f>
        <v/>
      </c>
      <c r="CP350" t="str" cm="1">
        <f t="array" ref="CP350">IF(TRIM(CN350&amp;"")="","",IFERROR(TRIM(INDEX(_xlfn.TEXTSPLIT(CN350&amp;";;;",";"),2)),""))</f>
        <v/>
      </c>
      <c r="CQ350" t="str" cm="1">
        <f t="array" ref="CQ350">IF(TRIM(CN350&amp;"")="","",IFERROR(TRIM(INDEX(_xlfn.TEXTSPLIT(CN350&amp;";;;",";"),3)),""))</f>
        <v/>
      </c>
      <c r="CR350">
        <f t="shared" si="643"/>
        <v>0</v>
      </c>
      <c r="CS350" t="str">
        <f>IF(B350="","",_xlfn.LET(_xlpm.t,LOWER(AV350&amp;""),IF(ISNUMBER(SEARCH("dim",_xlpm.t)),"DIM",IF(ISNUMBER(SEARCH("dali",_xlpm.t)),"DALI",IF(OR(ISNUMBER(SEARCH("relay",_xlpm.t)),ISNUMBER(SEARCH("реле",_xlpm.t))),"Relay",IF(ISNUMBER(SEARCH("кнопк",_xlpm.t)),"",IFERROR(_xlfn.XLOOKUP(AX350,Коды_код,Коды_упр)&amp;"","")))))))</f>
        <v/>
      </c>
      <c r="CT350" t="str">
        <f t="shared" si="644"/>
        <v/>
      </c>
      <c r="CU350">
        <f>IF(B350="","",_xlfn.LET(_xlpm.ig,N(P350)+IF(AF350="вручную",0,N(CB350)),_xlpm.n0,IFERROR(VLOOKUP(_xlpm.ig,Автомат_номиналы,2,TRUE),0),_xlpm.mn,MAX(CL350,IF(AF350="вручную",0,N(CE350))),MAX(_xlpm.n0,_xlpm.mn,IF(CR350=1,Мин_автомат_БП,0))))</f>
        <v>10</v>
      </c>
      <c r="CV350">
        <f t="shared" si="645"/>
        <v>1</v>
      </c>
      <c r="CW350" t="str">
        <f t="shared" si="646"/>
        <v>1P</v>
      </c>
      <c r="CX350" t="str">
        <f>_xlfn.LET(_xlpm.cc,UPPER(TRIM(IFERROR(_xlfn.XLOOKUP(AX350,Коды_код,Коды_хар)&amp;"",""))),IF(OR(_xlpm.cc="B",_xlpm.cc="В"),"B",IF(_xlpm.cc="D","D","С")))</f>
        <v>С</v>
      </c>
      <c r="CY350" t="str">
        <f t="shared" si="647"/>
        <v>1P С10А</v>
      </c>
      <c r="CZ350">
        <f t="shared" si="648"/>
        <v>16</v>
      </c>
      <c r="DA350" t="str">
        <f t="shared" si="649"/>
        <v>1P С16А</v>
      </c>
      <c r="DB350" cm="1">
        <f t="array" ref="DB350">IF(DA350="","",_xlfn.LET(_xlpm.t,SUBSTITUTE(SUBSTITUTE(SUBSTITUTE(UPPER(DA350),"С","C"),"А","A"),"В","B"),_xlpm.tk,_xlfn.TEXTSPLIT(_xlpm.t,"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50" t="str">
        <f t="shared" si="650"/>
        <v>ok</v>
      </c>
      <c r="DD350">
        <f t="shared" si="651"/>
        <v>16</v>
      </c>
      <c r="DE350" t="str">
        <f t="shared" si="652"/>
        <v>1P С16А</v>
      </c>
      <c r="DF350">
        <f t="shared" si="653"/>
        <v>0</v>
      </c>
      <c r="DG350">
        <f t="shared" si="654"/>
        <v>0</v>
      </c>
      <c r="DH350">
        <f t="shared" si="655"/>
        <v>0</v>
      </c>
      <c r="DI350">
        <f t="shared" si="656"/>
        <v>8.3411920469764347</v>
      </c>
      <c r="DJ350">
        <f t="shared" si="657"/>
        <v>1</v>
      </c>
      <c r="DK350">
        <f>IF(ISNUMBER(AL350),AL350,К_прокл)</f>
        <v>1</v>
      </c>
      <c r="DL350">
        <f t="shared" si="658"/>
        <v>2</v>
      </c>
      <c r="DM350">
        <f>IFERROR(N(VLOOKUP(BT350,Кабель_обозначение,3,FALSE)),1)</f>
        <v>1</v>
      </c>
      <c r="DN350">
        <f>IFERROR(N(_xlfn.XLOOKUP(A350,Щиты[Щит],Щиты[ΔU до шин, %])),0)</f>
        <v>2.4899999999999998</v>
      </c>
      <c r="DO350" t="str">
        <f>IFERROR(_xlfn.XLOOKUP(A350,Щиты[Щит],Щиты[Zпетли на шинах, Ом]),"")</f>
        <v/>
      </c>
      <c r="DP350">
        <f>IFERROR(N(_xlfn.XLOOKUP(A350,Щиты[Щит],Щиты[ΔU до шин (подбор), %])),0)</f>
        <v>3.73</v>
      </c>
      <c r="DQ350" t="str">
        <f>IFERROR(_xlfn.XLOOKUP(A350,Щиты[Щит],Щиты[Zпетли на шинах (подбор), Ом]),"")</f>
        <v/>
      </c>
      <c r="DR350" t="str">
        <f t="shared" si="659"/>
        <v/>
      </c>
      <c r="DS350">
        <f t="shared" si="660"/>
        <v>50</v>
      </c>
      <c r="DT350">
        <f t="shared" si="661"/>
        <v>2</v>
      </c>
      <c r="DU350">
        <f t="shared" si="662"/>
        <v>0.31</v>
      </c>
      <c r="DV350" s="6">
        <f>IF(B350="","",IF(IFERROR(VLOOKUP(AX350,УГО_спр,2,FALSE),"")="Светильник",3,4)+IF(Методика="нормы 2026",MIN(0.5,MAX(0,N(Q350)-100)*0.005),0))</f>
        <v>4</v>
      </c>
      <c r="DW350" cm="1">
        <f t="array" ref="DW350">IF(OR(B350="",BT350="",DM350&lt;&gt;1),"",_xlfn.LET(_xlpm.sz,Iдоп_S,_xlpm.t_,CHOOSE(DL350,Iдоп_1ж,Iдоп_2ж,Iдоп_3ж)*DJ350*DK350,_xlpm.inn,N(DD350),_xlpm.smin,MAX(1.5,BW350),_xlpm.L_,N(Q350)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350)*(_xlpm.rho*_xlpm.L_/_xlpm.sz*N(BY350)+_xlpm.xx*_xlpm.L_*N(DU350)/1000)*N(P350)/((Uн_лин/SQRT(3))*1000)*100,999),_xlpm.kz,IF(OR(DG350=1,NOT(ISNUMBER(DQ350)),_xlpm.L_=0,_xlpm.inn=0),1,IFERROR(--(c_min*(Uн_лин*1000/SQRT(3))/(DQ350+2*ρкз_Cu*_xlpm.L_/_xlpm.sz)&gt;=GY350*_xlpm.inn),0)),_xlpm.ok,IFERROR((_xlpm.sz&gt;=_xlpm.smin)*(_xlpm.t_&gt;=_xlpm.inn)*IF(_xlpm.L_&gt;0,(_xlpm.du_+DP350&lt;=DV350+0.00001),1)*_xlpm.kz,0),_xlpm.r_,_xlfn._xlws.FILTER(_xlpm.sz,_xlpm.ok,"не подобрано"),INDEX(_xlpm.r_,1)))</f>
        <v>35</v>
      </c>
      <c r="DX350">
        <f t="shared" si="663"/>
        <v>2.5</v>
      </c>
      <c r="DY350" cm="1">
        <f t="array" ref="DY350">IF(OR(B350="",BT350="",DM350&lt;&gt;1),"",_xlfn.LET(_xlpm.sz,Iдоп_S,_xlpm.t_,CHOOSE(DL350,Iдоп_1ж,Iдоп_2ж,Iдоп_3ж)*DJ350*DK350,_xlpm.ok,IFERROR((_xlpm.sz&gt;=MAX(1.5,BW350))*(_xlpm.t_&gt;=N(DD350)),0),_xlpm.r_,_xlfn._xlws.FILTER(_xlpm.sz,_xlpm.ok,""),INDEX(_xlpm.r_,1)))</f>
        <v>1.5</v>
      </c>
      <c r="DZ350" s="6" cm="1">
        <f t="array" ref="DZ350">IFERROR(ROUNDUP(N(DT350)*(_xlfn.XLOOKUP(DY350,INDEX(Кабель_сопротивление,0,1),INDEX(Кабель_сопротивление,0,3))*N(Q350)/DY350*N(BY350)+_xlfn.XLOOKUP(DY350,INDEX(Кабель_сопротивление,0,1),INDEX(Кабель_сопротивление,0,2))*N(Q350)*N(DU350)/1000)*N(P350)/((Uн_лин/SQRT(3))*1000)*100,2),"")</f>
        <v>5.16</v>
      </c>
      <c r="EA350">
        <f>IFERROR(2*ρкз_Cu*N(Q350)/DY350,"")</f>
        <v>1.7533333333333332</v>
      </c>
      <c r="EB350">
        <f>IFERROR(VLOOKUP(DX350,Кабель_сопротивление,3,FALSE),"")</f>
        <v>2.2499999999999999E-2</v>
      </c>
      <c r="EC350">
        <f>IFERROR(VLOOKUP(DX350,Кабель_сопротивление,2,FALSE),"")</f>
        <v>0.1</v>
      </c>
      <c r="ED350">
        <f t="shared" si="664"/>
        <v>12</v>
      </c>
      <c r="EE350">
        <f t="shared" si="665"/>
        <v>39</v>
      </c>
      <c r="EF350">
        <f t="shared" si="666"/>
        <v>7.1575768955104788</v>
      </c>
      <c r="EG350" s="6">
        <f>IFERROR(ROUNDUP(EF350/((Uн_лин/SQRT(3))*1000)*100,2),"")</f>
        <v>3.0999999999999996</v>
      </c>
      <c r="EH350" t="str">
        <f>IFERROR(VLOOKUP(BT350,Кабель_обозначение,2,FALSE),"")</f>
        <v>ВВГнг(А)-LS</v>
      </c>
      <c r="EI350" t="str">
        <f t="shared" si="667"/>
        <v>ВВГнг(А)-LS (3х2,5)</v>
      </c>
      <c r="EJ350" t="str">
        <f t="shared" si="668"/>
        <v>ВВГнг(А)-LS (3х2,5)
L=50-3,1%</v>
      </c>
      <c r="EK350">
        <f>IFERROR(2*ρкз_Cu*Q350/DX350,"")</f>
        <v>1.052</v>
      </c>
      <c r="EL350">
        <f t="shared" si="669"/>
        <v>0.35000000000000003</v>
      </c>
      <c r="EM350" s="6" t="str">
        <f>IFERROR(IF(OR(B350="",NOT(ISNUMBER(DX350)),N(Q350)=0),"",_xlfn.XLOOKUP(A350,Щиты[Щит],Щиты[Zпетли на шинах, Ом])+EK350),"")</f>
        <v/>
      </c>
      <c r="EN350" s="6" t="str">
        <f>IF(ISNUMBER(EM350),c_min*(Uн_лин*1000/SQRT(3))/EM350,"")</f>
        <v/>
      </c>
      <c r="EO350" s="6" t="str">
        <f>IFERROR(IF(OR(B350="",NOT(ISNUMBER(DX350))),"",1.05*(Uн_лин*1000/SQRT(3))/(_xlfn.XLOOKUP(A350,Щиты[Щит],Щиты[Zmax на шинах, Ом])+EL350)/1000),"")</f>
        <v/>
      </c>
      <c r="EP350" s="6" t="str">
        <f>IF(B350="","",IF(ISNUMBER(Y350),"Сил",IF(IFERROR(_xlfn.XLOOKUP(AX350,Коды_код,Коды_группа)&amp;"","")="","Быт",_xlfn.XLOOKUP(AX350,Коды_код,Коды_группа)&amp;"")))</f>
        <v>Быт</v>
      </c>
      <c r="EQ350" s="6" t="str">
        <f t="shared" si="670"/>
        <v>Пост</v>
      </c>
      <c r="ER350" s="6">
        <f>IF(EQ350="Щит","щит",IF(EQ350="","",IF(EQ350="Быт",IFERROR(_xlfn.XLOOKUP(A350,Щиты[Щит],Щиты[Кс быт]),1),IF(EQ350="Сил",IF(ISNUMBER(Y350),Y350,IF(Методика="нормы 2026",IFERROR(_xlfn.XLOOKUP(A350,Щиты[Щит],Щиты[Кс силовых (табл. 7.5)]),1),1)),IF(OR(EQ350="Пост",EQ350="Отоп"),1,IF(EQ350="ВНГ",0.7,0))))))</f>
        <v>1</v>
      </c>
      <c r="ES350">
        <f t="shared" si="671"/>
        <v>1</v>
      </c>
      <c r="ET350">
        <f t="shared" si="672"/>
        <v>1.83</v>
      </c>
      <c r="EU350">
        <f t="shared" si="673"/>
        <v>0</v>
      </c>
      <c r="EV350">
        <f t="shared" si="674"/>
        <v>0</v>
      </c>
      <c r="EW350">
        <f t="shared" si="675"/>
        <v>1.83</v>
      </c>
      <c r="EX350">
        <f t="shared" si="676"/>
        <v>0</v>
      </c>
      <c r="EY350">
        <f t="shared" si="677"/>
        <v>0</v>
      </c>
      <c r="EZ350">
        <f t="shared" si="678"/>
        <v>1.83</v>
      </c>
      <c r="FA350">
        <f t="shared" si="679"/>
        <v>1.7384999999999999</v>
      </c>
      <c r="FB350">
        <f t="shared" si="680"/>
        <v>1.83</v>
      </c>
      <c r="FC350" t="str">
        <f t="shared" si="681"/>
        <v>L1</v>
      </c>
      <c r="FD350" t="str">
        <f>IF(B350="","",IF(CA350=0,IF(AW350=1,"",FF349),IF(OR(N(CV350)&gt;=3,N(BR350)&gt;=3),"L1,L2,L3",IFERROR(_xlfn.TEXTBEFORE(_xlfn.TEXTAFTER(_xlfn.XLOOKUP(A350,Щиты[Щит],Щиты[_фазы авто]),";"&amp;AW350&amp;":"),";"),"L1"))))</f>
        <v>L1</v>
      </c>
      <c r="FE350" t="str">
        <f t="shared" si="682"/>
        <v>L1</v>
      </c>
      <c r="FF350" t="str">
        <f t="shared" si="683"/>
        <v>L1</v>
      </c>
      <c r="FG350" cm="1">
        <f t="array" ref="FG350">IFERROR(IF(BX350=2,_xlfn.IFS(BR350=3,VLOOKUP(BN350,Справочная_двигатели,3,FALSE),BR350=1,VLOOKUP(BN350,Справочная_двигатели,5,TRUE)),0),0)</f>
        <v>0</v>
      </c>
      <c r="FH350">
        <f>IFERROR(IF(BX350=3,VLOOKUP(BN350,Справочная_ЛЭД,2,TRUE),0),0)</f>
        <v>0</v>
      </c>
      <c r="FI350" s="6">
        <f t="shared" si="684"/>
        <v>0</v>
      </c>
      <c r="FJ350" t="str" cm="1">
        <f t="array" ref="FJ350">IF(B350="","",IFERROR(INDEX({"I особая","I","II","III"},MATCH(TRIM(AC350&amp;""),{"I особая","I","II","III"},0)),"III"))</f>
        <v>II</v>
      </c>
      <c r="FK350" t="str">
        <f>IF(B350="","",IF(TRIM(AD350&amp;"")&lt;&gt;"",IF(LOWER(TRIM(AD350&amp;""))="да","да","нет"),IF(IFERROR(_xlfn.XLOOKUP(AX350,Коды_код,Коды_пожарная),"")="да","да","нет")))</f>
        <v>нет</v>
      </c>
      <c r="FL350" t="str">
        <f t="shared" si="685"/>
        <v/>
      </c>
      <c r="FM350" t="str">
        <f t="shared" si="686"/>
        <v>основная</v>
      </c>
      <c r="FN350">
        <f t="shared" si="687"/>
        <v>1</v>
      </c>
      <c r="FO350" t="str" cm="1">
        <f t="array" ref="FO350">IF(B350="","",_xlfn.LET(_xlpm.t,IFERROR(_xlfn.XLOOKUP(1,(Шины[Шина]=FM350)*(((Шины[Щит]=A350)+(Шины[Щит]=""))&gt;0),Шины[Тип]),"")&amp;"",IF(_xlpm.t&lt;&gt;"",_xlpm.t,IF(ISNUMBER(SEARCH("ИБП",FM350)),"ИБП",IF(ISNUMBER(SEARCH("ДГУ",FM350)),"ДГУ","Ввод "&amp;FN350)))))</f>
        <v>Ввод 1</v>
      </c>
      <c r="FP350" t="str">
        <f t="shared" si="688"/>
        <v>Ввод 1</v>
      </c>
      <c r="FQ350" t="str">
        <f>IF(B350="","",IF(OR(FO350="ИБП",FO350="ДГУ"),"I особая",IF(FO350="Одиночная","III",_xlfn.XLOOKUP(A350,Щиты[Щит],Щиты[Категория шины «Ввод»],"III"))))</f>
        <v>II</v>
      </c>
      <c r="FR350">
        <f>IF(B350="",0,IFERROR(MATCH(FJ350,{"III","II","I","I особая"},0),1))</f>
        <v>2</v>
      </c>
      <c r="FS350">
        <f t="shared" si="689"/>
        <v>2</v>
      </c>
      <c r="FT350" t="str">
        <f>IF(B350="","",IF(FR350&gt;IFERROR(MATCH(FQ350,{"III","II","I","I особая"},0),1),"НЕ ОБЕСПЕЧЕНА","ОК"))</f>
        <v>ОК</v>
      </c>
      <c r="FU350" t="str">
        <f>IF(A350="","",_xlfn.XLOOKUP(A350,Щиты[Щит],Щиты[Путь],""))</f>
        <v>|ГРЩ-ЖД|ЩУОВ|</v>
      </c>
      <c r="FV350" t="str">
        <f>IF(B350="","",IF(AE350&lt;&gt;"",AE350,IF(IFERROR(_xlfn.XLOOKUP(AX350,Коды_код,Коды_вид)&amp;"","")="","Прочее",_xlfn.XLOOKUP(AX350,Коды_код,Коды_вид)&amp;"")))</f>
        <v>Обогрев водостоков и кровли</v>
      </c>
      <c r="FW350">
        <f>IF(BH350="","",INT((BH350-1)/Столбцов_на_лист)+1)</f>
        <v>2</v>
      </c>
      <c r="FX350" t="str">
        <f t="shared" si="690"/>
        <v>ВВГнг(А)-LS (3х2,5) L=50-3,1%</v>
      </c>
      <c r="FY350">
        <f t="shared" si="691"/>
        <v>1.83</v>
      </c>
      <c r="FZ350">
        <f t="shared" si="692"/>
        <v>8.35</v>
      </c>
      <c r="GA350">
        <f t="shared" si="693"/>
        <v>1</v>
      </c>
      <c r="GB350">
        <f t="shared" si="694"/>
        <v>0</v>
      </c>
      <c r="GC350">
        <f t="shared" si="695"/>
        <v>1</v>
      </c>
      <c r="GD350">
        <f>IF(BH350="","",IF(AND(CA350=1,GC350=1),COUNTIFS(A$3:A350,A350,CA$3:CA350,1,GC$3:GC350,1),IF(OR(OR(AW350=1,A350&lt;&gt;A349),AF350="вручную",GC350=0),"",IF(AW350=1,"",GE349))))</f>
        <v>9</v>
      </c>
      <c r="GE350">
        <f t="shared" si="696"/>
        <v>9</v>
      </c>
      <c r="GF350">
        <f>IF(B350="","",IFERROR(LOOKUP(INDEX(CHOOSE(DL350,Iдоп_1ж,Iдоп_2ж,Iдоп_3ж),MATCH(DX350,Iдоп_S,0))*DJ350*DK350,{6,10,16,20,25,32,40,50,63,80,100,125,160,200,250,315,400,500,630}),""))</f>
        <v>25</v>
      </c>
      <c r="GG350" t="str">
        <f t="shared" si="697"/>
        <v>QF9</v>
      </c>
      <c r="GH350" t="str">
        <f t="shared" si="698"/>
        <v>QF9</v>
      </c>
      <c r="GI350" t="str">
        <f t="shared" si="699"/>
        <v/>
      </c>
      <c r="GJ350">
        <f t="shared" si="700"/>
        <v>0</v>
      </c>
      <c r="GK350" t="str">
        <f>IF(OR(AG350="",AG350="-"),"",IFERROR(VLOOKUP(AG350,Модули_спр,2,FALSE),"R"))</f>
        <v/>
      </c>
      <c r="GL350" t="str">
        <f>IF(GK350="","",GK350&amp;"."&amp;COUNTIFS(A$3:A350,A350,GK$3:GK350,GK350))</f>
        <v/>
      </c>
      <c r="GM350" t="str">
        <f t="shared" si="701"/>
        <v/>
      </c>
      <c r="GN350" t="str">
        <f t="shared" si="702"/>
        <v/>
      </c>
      <c r="GO350" t="str">
        <f t="shared" si="703"/>
        <v/>
      </c>
      <c r="GP350" t="str">
        <f t="shared" si="704"/>
        <v/>
      </c>
      <c r="GQ350">
        <f t="shared" si="705"/>
        <v>1</v>
      </c>
      <c r="GR350" t="str">
        <f>IF(GQ350=1,"XT"&amp;COUNTIFS(A$3:A350,A350,GQ$3:GQ350,1),"")</f>
        <v>XT9</v>
      </c>
      <c r="GS350" t="str">
        <f t="shared" si="706"/>
        <v/>
      </c>
      <c r="GT350" t="str">
        <f t="shared" si="707"/>
        <v>QF9</v>
      </c>
      <c r="GU350" t="str">
        <f t="shared" si="708"/>
        <v/>
      </c>
      <c r="GV350" t="str">
        <f t="shared" si="709"/>
        <v>ok</v>
      </c>
      <c r="GW350" t="str">
        <f>IF(OR(GO350="",GM350=""),"",IF(GO350&gt;IFERROR(VLOOKUP(GN350,Модули_спр,3,FALSE),99),"ЛИШНИЙ КАНАЛ",IF(AND(AH350&lt;&gt;"=",COUNTIFS(Линии[_модуль гр.],GM350,Линии[Канал (итог)],GO350,Линии[Канал],"&lt;&gt;=",Линии[Щит],A350)&gt;1),"ДУБЛЬ КАНАЛА","")))</f>
        <v/>
      </c>
      <c r="GX350" s="6" t="str">
        <f t="shared" si="710"/>
        <v/>
      </c>
      <c r="GY350">
        <f t="shared" si="711"/>
        <v>10</v>
      </c>
      <c r="GZ350" t="str">
        <f t="shared" si="712"/>
        <v/>
      </c>
      <c r="HA350" t="str">
        <f>IF(AND(B350="",GT350=""),"",_xlfn.TEXTJOIN("; ",TRUE,IF(AND(B350&lt;&gt;"",FE350=""),"нет фазы",""),IF(AND(B350&lt;&gt;"",N(FY350)=0,EQ350&lt;&gt;"Нет"),"нет мощности",""),IF(AND(GS350&lt;&gt;"",COUNTIFS(Линии[Щит],A350,Линии[Клемма (итог)],GS350)&gt;1),"дубль клеммы "&amp;GS350,""),IF(AND(GV350&lt;&gt;"",GV350&lt;&gt;"ok"),GV350,""),IF(GW350&lt;&gt;"",GW350,""),IF(AND(N(BV350)&gt;=4,N(BR350)=1),BV350&amp;" жил на 1 фазе",""),IF(AND(AX350="R",CA350=1,OR(N(CK350)=0,N(CK350)&gt;30)),"розетка без дифзащиты до 30 мА",""),IFERROR(IF(AND(ISNUMBER(R350),R350&gt;DV350),"потери "&amp;FIXED(R350,1)&amp;" % &gt; "&amp;DV350&amp;" %",""),""),IFERROR(IF(LEFT(GZ350,4)="мало","Iкз мало — отключение &gt; 0,4 с",""),""),IF(AND(B350&lt;&gt;"",BH350=""),"не на схеме",""),IF(AND(CA350=0,B350&lt;&gt;"",FE350&lt;&gt;"",IF(AW350=1,"",FF349)&lt;&gt;"",FE350&lt;&gt;IF(AW350=1,"",FF349)),"фаза не как у автомата группы ("&amp;IF(AW350=1,"",FF349)&amp;")","")))</f>
        <v>потери 5,6 % &gt; 4 %</v>
      </c>
      <c r="HB350" s="6">
        <f>IF(OR(CA350=0,DA350=""),"",_xlfn.LET(_xlpm.t,IFERROR(_xlfn.XLOOKUP(DA350,Каталог!$U$4:$U$500,Каталог!$G$4:$G$500),""),_xlpm.k,SEARCH("кА",_xlpm.t),IFERROR(--TRIM(RIGHT(SUBSTITUTE(MID(_xlpm.t,MAX(1,_xlpm.k-4),_xlpm.k-MAX(1,_xlpm.k-4))," ",REPT(" ",9)),5)),"")))</f>
        <v>6</v>
      </c>
      <c r="HC350" t="str">
        <f>IF(OR(HB350="",CA350=0),"",IF(_xlfn.XLOOKUP(A350,Щиты[Щит],Щиты[Iкз max на шинах, кА],"")="","",IF(HB350&lt;_xlfn.XLOOKUP(A350,Щиты[Щит],Щиты[Iкз max на шинах, кА]),"Icu "&amp;HB350&amp;" кА &lt; Iкз max","ok")))</f>
        <v/>
      </c>
      <c r="HD350" t="str">
        <f t="shared" si="713"/>
        <v/>
      </c>
      <c r="HE350" t="str">
        <f t="shared" si="714"/>
        <v>QF9</v>
      </c>
      <c r="HF350" t="str">
        <f t="shared" si="715"/>
        <v>QF9|кабель ВВГнг(А)-LS (3х2,5) → Обогревл ливнестоков Кровля</v>
      </c>
      <c r="HG350" t="str" cm="1">
        <f t="array" ref="HG350">IF(HF350="","",_xlfn.LET(_xlpm.nd,_xlfn.TEXTSPLIT(HF350,"|"),IF(COLUMNS(_xlpm.nd)&gt;1,A350&amp;"¦"&amp;INDEX(_xlpm.nd,1)&amp;"¦"&amp;INDEX(_xlpm.nd,2),"")))</f>
        <v>ЩУОВ¦QF9¦кабель ВВГнг(А)-LS (3х2,5) → Обогревл ливнестоков Кровля</v>
      </c>
      <c r="HH350" t="str">
        <f t="shared" si="716"/>
        <v>OV.4.1.2¦Обогревл ливнестоков Кровля</v>
      </c>
      <c r="HI350" t="str" cm="1">
        <f t="array" ref="HI350">IF(HF350="","",_xlfn.LET(_xlpm.nd,_xlfn.TEXTSPLIT(HF350,"|"),IF(COLUMNS(_xlpm.nd)&gt;2,A350&amp;"¦"&amp;INDEX(_xlpm.nd,2)&amp;"¦"&amp;INDEX(_xlpm.nd,3),"")))</f>
        <v/>
      </c>
      <c r="HJ350" t="str">
        <f t="shared" si="717"/>
        <v/>
      </c>
      <c r="HK350" t="str" cm="1">
        <f t="array" ref="HK350">IF(HF350="","",_xlfn.LET(_xlpm.nd,_xlfn.TEXTSPLIT(HF350,"|"),IF(COLUMNS(_xlpm.nd)&gt;3,A350&amp;"¦"&amp;INDEX(_xlpm.nd,3)&amp;"¦"&amp;INDEX(_xlpm.nd,4),"")))</f>
        <v/>
      </c>
      <c r="HL350" t="str">
        <f t="shared" si="718"/>
        <v/>
      </c>
      <c r="HM350" t="str" cm="1">
        <f t="array" ref="HM350">IF(HF350="","",_xlfn.LET(_xlpm.nd,_xlfn.TEXTSPLIT(HF350,"|"),IF(COLUMNS(_xlpm.nd)&gt;4,A350&amp;"¦"&amp;INDEX(_xlpm.nd,4)&amp;"¦"&amp;INDEX(_xlpm.nd,5),"")))</f>
        <v/>
      </c>
      <c r="HN350" t="str">
        <f t="shared" si="719"/>
        <v/>
      </c>
      <c r="HO350" t="str" cm="1">
        <f t="array" ref="HO350">IF(HF350="","",_xlfn.LET(_xlpm.nd,_xlfn.TEXTSPLIT(HF350,"|"),IF(COLUMNS(_xlpm.nd)&gt;5,A350&amp;"¦"&amp;INDEX(_xlpm.nd,5)&amp;"¦"&amp;INDEX(_xlpm.nd,6),"")))</f>
        <v/>
      </c>
      <c r="HP350" t="str">
        <f t="shared" si="720"/>
        <v/>
      </c>
      <c r="HQ350" t="str" cm="1">
        <f t="array" ref="HQ350">IF(HF350="","",_xlfn.LET(_xlpm.nd,_xlfn.TEXTSPLIT(HF350,"|"),IF(COLUMNS(_xlpm.nd)&gt;6,A350&amp;"¦"&amp;INDEX(_xlpm.nd,6)&amp;"¦"&amp;INDEX(_xlpm.nd,7),"")))</f>
        <v/>
      </c>
      <c r="HR350" t="str">
        <f t="shared" si="721"/>
        <v/>
      </c>
      <c r="HS350" t="str">
        <f t="shared" si="722"/>
        <v/>
      </c>
      <c r="HT350" t="str">
        <f t="shared" si="723"/>
        <v>QF9</v>
      </c>
      <c r="HU350">
        <f t="shared" si="724"/>
        <v>0</v>
      </c>
      <c r="HV350">
        <f t="shared" si="725"/>
        <v>0</v>
      </c>
      <c r="HW350" t="str">
        <f t="shared" si="726"/>
        <v/>
      </c>
      <c r="HX350" t="str">
        <f t="shared" si="727"/>
        <v/>
      </c>
      <c r="HY350" t="str">
        <f t="shared" si="728"/>
        <v/>
      </c>
      <c r="HZ350" t="str">
        <f t="shared" si="729"/>
        <v/>
      </c>
      <c r="IA350" t="str">
        <f>IF(B350="","",IFERROR(VLOOKUP(B350,УГО_спр,2,FALSE),IFERROR(VLOOKUP(AX350,УГО_спр,2,FALSE),IFERROR(VLOOKUP(LEFT(AX350,2),УГО_спр,2,FALSE),""))))</f>
        <v/>
      </c>
      <c r="IB350" t="str">
        <f>IF(B350="","",IF(OR(IA350="",IA350=0),"BOX",IFERROR(IF(VLOOKUP(IA350,УГО_блоки,3,FALSE)&amp;""&lt;&gt;"",VLOOKUP(IA350,УГО_блоки,3,FALSE),VLOOKUP(IA350,УГО_блоки,2,FALSE)),IA350)))</f>
        <v>BOX</v>
      </c>
      <c r="IC350">
        <f t="shared" si="730"/>
        <v>1</v>
      </c>
      <c r="ID350" t="str">
        <f>IF(DA350="","",IF(COUNTIF(DA$3:DA350,DA350)=1,MAX(ID$2:ID349)+1,""))</f>
        <v/>
      </c>
      <c r="IE350" t="str">
        <f>IF(CO350="","",IF(COUNTIF(CO$3:CO350,CO350)+COUNTIF(CP$2:CP349,CO350)+COUNTIF(CQ$2:CQ349,CO350)=1,MAX(IE$2:IG349)+1,""))</f>
        <v/>
      </c>
      <c r="IF350" t="str">
        <f>IF(CP350="","",IF(COUNTIF(CO$3:CO350,CP350)+COUNTIF(CP$3:CP350,CP350)+COUNTIF(CQ$2:CQ349,CP350)=1,MAX(IE$2:IG349,IE350)+1,""))</f>
        <v/>
      </c>
      <c r="IG350" t="str">
        <f>IF(CQ350="","",IF(COUNTIF(CO$3:CO350,CQ350)+COUNTIF(CP$3:CP350,CQ350)+COUNTIF(CQ$3:CQ350,CQ350)=1,MAX(IE$2:IG349,IE350,IF350)+1,""))</f>
        <v/>
      </c>
      <c r="IH350" t="str">
        <f t="shared" si="731"/>
        <v>3х2,5</v>
      </c>
      <c r="II350" t="str">
        <f>IF(IH350="","",IF(COUNTIF(IH$3:IH350,IH350)=1,MAX(II$2:II349)+1,""))</f>
        <v/>
      </c>
      <c r="IJ350" t="str">
        <f>IF(GL350="","",COUNTIF(GL$3:GL350,"?*"))</f>
        <v/>
      </c>
      <c r="IK350" t="str">
        <f>IF(OR(GL350="",GN350=""),"",IF(COUNTIFS(GL$3:GL350,"?*",GN$3:GN350,GN350)=1,MAX(IK$2:IK349)+1,""))</f>
        <v/>
      </c>
      <c r="IL350">
        <f t="shared" si="732"/>
        <v>1</v>
      </c>
      <c r="IM350">
        <f>IF(B350="","",COUNTIF(B$3:B350,"?*"))</f>
        <v>348</v>
      </c>
      <c r="IN350">
        <f>IF(GQ350&lt;&gt;1,0,_xlfn.LET(_xlpm.k,MAX(IFERROR(--VLOOKUP(B350,УГО_спр,5,FALSE),0),IFERROR(--VLOOKUP(AX350,УГО_спр,5,FALSE),0),IFERROR(--VLOOKUP(LEFT(AX350,2),УГО_спр,5,FALSE),0)),IF(_xlpm.k&gt;0,_xlpm.k,IF(IFERROR(--LEFT(SUBSTITUTE(IH350,"x","х"),FIND("х",SUBSTITUTE(IH350,"x","х"))-1),3)&gt;3,Каталог!$S$9,1))))</f>
        <v>1</v>
      </c>
      <c r="IO350">
        <f t="shared" si="733"/>
        <v>0</v>
      </c>
      <c r="IP350" t="str">
        <f t="shared" si="734"/>
        <v>авто</v>
      </c>
      <c r="IQ350" t="str">
        <f t="shared" si="735"/>
        <v/>
      </c>
      <c r="IR350">
        <f t="shared" si="736"/>
        <v>0</v>
      </c>
      <c r="IS350">
        <f t="shared" si="737"/>
        <v>1</v>
      </c>
    </row>
    <row r="351" spans="1:253" x14ac:dyDescent="0.3">
      <c r="A351" t="s">
        <v>771</v>
      </c>
      <c r="B351" t="s">
        <v>1608</v>
      </c>
      <c r="C351" t="s">
        <v>1698</v>
      </c>
      <c r="D351">
        <v>3</v>
      </c>
      <c r="E351">
        <v>1.95</v>
      </c>
      <c r="G351">
        <v>16</v>
      </c>
      <c r="H351" t="str">
        <f>Линии[[#This Row],[_авто утечка]]</f>
        <v/>
      </c>
      <c r="I351" t="str">
        <f>Линии[[#This Row],[_авто управление]]</f>
        <v/>
      </c>
      <c r="J351" t="str">
        <f>Линии[[#This Row],[_авто аппараты]]</f>
        <v/>
      </c>
      <c r="K351">
        <v>4</v>
      </c>
      <c r="L351">
        <v>83</v>
      </c>
      <c r="M351" t="str">
        <f>Линии[[#This Row],[_авто фаза]]</f>
        <v>L2</v>
      </c>
      <c r="N351" t="s">
        <v>486</v>
      </c>
      <c r="O351" t="str">
        <f t="shared" si="615"/>
        <v>потери 5,9 % &gt; 4 %</v>
      </c>
      <c r="P351" s="6" cm="1">
        <f t="array" ref="P351">IF(B351="","",IF(BC351&lt;&gt;"",IFERROR(_xlfn.XLOOKUP(BC351,Щиты[Щит],Щиты[Iр, А]),""),IF(BK351=1,IFERROR(_xlfn.XLOOKUP(A351,Щиты[Щит],Щиты[Iр, А]),""),IFERROR(_xlfn.IFS(BR351=1,BN351/((Uн_лин/SQRT(3))*BY351),BR351=3,BN351/(SQRT(3)*Uн_лин*BY351)),""))))</f>
        <v>8.8881554598929231</v>
      </c>
      <c r="Q351" s="7">
        <f>IF(B351="","",IFERROR(IF(VLOOKUP(AX351,Потребители_обозначение,4,FALSE)=1,VLOOKUP(AX351,Потребители_обозначение,3,FALSE)*(D351*2-1)+DS351+VLOOKUP(AZ351,Этаж_обозначение,3,FALSE)+VLOOKUP(AZ351,Этаж_обозначение,4,FALSE),VLOOKUP(AX351,Потребители_обозначение,3,FALSE)*(D351*2-1)+DS351),DS351))</f>
        <v>83</v>
      </c>
      <c r="R351" s="6">
        <f t="shared" si="616"/>
        <v>5.93</v>
      </c>
      <c r="S351" t="str">
        <f t="shared" si="617"/>
        <v>ВВГнг(А)-LS (3х4)</v>
      </c>
      <c r="T351" t="str">
        <f>IF(BH351="","",IF(BI351="вводной узел","узел ","")&amp;"л."&amp;(INT((BH351-1)/Столбцов_на_лист)+1)&amp;" / "&amp;(MOD(BH351-1,Столбцов_на_лист)+1))</f>
        <v>л.2 / 16</v>
      </c>
      <c r="V351">
        <v>1</v>
      </c>
      <c r="W351">
        <v>230</v>
      </c>
      <c r="X351" t="s">
        <v>575</v>
      </c>
      <c r="AC351" t="s">
        <v>815</v>
      </c>
      <c r="AE351" t="s">
        <v>611</v>
      </c>
      <c r="AI351">
        <v>33</v>
      </c>
      <c r="AJ351" t="s">
        <v>11</v>
      </c>
      <c r="AK351">
        <v>3</v>
      </c>
      <c r="AM351">
        <v>12</v>
      </c>
      <c r="AN351">
        <v>12</v>
      </c>
      <c r="AO351">
        <v>72</v>
      </c>
      <c r="AP351">
        <v>1</v>
      </c>
      <c r="AW351" cm="1">
        <f t="array" ref="AW351">ROW()-ROW(Линии[#Headers])</f>
        <v>349</v>
      </c>
      <c r="AX351" s="6" t="str">
        <f t="shared" si="618"/>
        <v>OV</v>
      </c>
      <c r="AY351" t="str">
        <f t="shared" si="619"/>
        <v>4.1.3</v>
      </c>
      <c r="AZ351" t="str">
        <f t="shared" si="620"/>
        <v>4</v>
      </c>
      <c r="BA351" t="str">
        <f t="shared" si="621"/>
        <v>1.3</v>
      </c>
      <c r="BB351" t="str">
        <f t="shared" si="622"/>
        <v>1</v>
      </c>
      <c r="BC351" t="str">
        <f>IF(U351&lt;&gt;"",U351,IF(AND(B351&lt;&gt;"",B351&lt;&gt;A351,ISNUMBER(_xlfn.XMATCH(B351,Щиты[Щит]))),B351,""))</f>
        <v/>
      </c>
      <c r="BD351" t="str" cm="1">
        <f t="array" ref="BD351">IF(B351="","",IF(BC351&lt;&gt;"","Щит "&amp;BC351,_xlfn.LET(_xlpm.nm,IFERROR(_xlfn.XLOOKUP(AX351,Коды_код,Коды_имя)&amp;"",""),_xlpm.md,IFERROR(N(_xlfn.XLOOKUP(AX351,Коды_код,Коды_режим)),1),_xlpm.ex,IF(Имя_режим="по экспликации",IFERROR(_xlfn.XLOOKUP(AZ351&amp;"|"&amp;BB351,Экспликация[Этаж]&amp;"|"&amp;Экспликация[Помещение],Экспликация[Название])&amp;"",""),""),_xlpm.rm,IF(BB351="","",IF(_xlpm.ex&lt;&gt;"",". "&amp;_xlpm.ex&amp;IF(Имя_пом="нет"," ("&amp;BB351&amp;")"," (пом. "&amp;BB351&amp;")"),IF(Имя_пом="нет"," ",", пом. ")&amp;BB351)),IF(_xlpm.nm="","",IF(_xlpm.md=2,_xlpm.nm&amp;" шлейф "&amp;AZ351,_xlpm.nm&amp;_xlpm.rm)))))</f>
        <v/>
      </c>
      <c r="BE351" t="str">
        <f t="shared" si="623"/>
        <v>Обогревл ливнестоков Кровля</v>
      </c>
      <c r="BF351">
        <f>IFERROR(_xlfn.XMATCH(A351,Щиты[Щит]),0)</f>
        <v>17</v>
      </c>
      <c r="BG351">
        <f>_xlfn.LET(_xlpm.k,IFERROR(_xlfn.XLOOKUP(A351,Щиты[Щит],Щиты[Листов под вводной узел]),""),IF(_xlpm.k="",1,N(_xlpm.k))*Столбцов_на_лист)</f>
        <v>17</v>
      </c>
      <c r="BH351">
        <f t="shared" si="624"/>
        <v>33</v>
      </c>
      <c r="BI351" t="str">
        <f t="shared" si="625"/>
        <v>линии</v>
      </c>
      <c r="BJ351" s="6">
        <f>IFERROR(N(_xlfn.XLOOKUP(AX351,Коды_код,Коды_квт)),0)</f>
        <v>0</v>
      </c>
      <c r="BK351">
        <f t="shared" si="626"/>
        <v>0</v>
      </c>
      <c r="BL351" t="str">
        <f>IF(B351="","",IF(BC351&lt;&gt;"",IFERROR(_xlfn.XLOOKUP(BC351,Щиты[Щит],Щиты[Руст, кВт]),0),IF(BK351=1,IFERROR(_xlfn.XLOOKUP(A351,Щиты[Щит],Щиты[Руст, кВт]),0),IF(BJ351&gt;0,ROUND(BJ351*MAX(1,N(D351)),3),""))))</f>
        <v/>
      </c>
      <c r="BM351">
        <f t="shared" si="627"/>
        <v>1.95</v>
      </c>
      <c r="BN351" s="6">
        <f>IF(B351="","",IF(BC351&lt;&gt;"",IFERROR(_xlfn.XLOOKUP(BC351,Щиты[Щит],Щиты[Руст, кВт]),0),N(BM351)))</f>
        <v>1.95</v>
      </c>
      <c r="BO351" t="str">
        <f>IF(B351="","",IFERROR(IF(VLOOKUP(AX351,Потребители_обозначение,8,FALSE)=0,"",VLOOKUP(AX351,Потребители_обозначение,8,FALSE)),""))</f>
        <v/>
      </c>
      <c r="BP351">
        <f t="shared" si="628"/>
        <v>230</v>
      </c>
      <c r="BQ351">
        <f>IF(B351="","",IF(BC351&lt;&gt;"",3,IFERROR(IF(N(VLOOKUP(AX351,Потребители_обозначение,9,FALSE))=0,1,VLOOKUP(AX351,Потребители_обозначение,9,FALSE)),1)))</f>
        <v>1</v>
      </c>
      <c r="BR351">
        <f t="shared" si="629"/>
        <v>1</v>
      </c>
      <c r="BS351" t="str">
        <f>IF(B351="","",_xlfn.LET(_xlpm.bc,IFERROR(IF(VLOOKUP(AX351,Потребители_обозначение,6,FALSE)=0,"",VLOOKUP(AX351,Потребители_обозначение,6,FALSE)&amp;""),""),IF(AND(FK351="да",OR(_xlpm.bc="",_xlpm.bc="мс")),Марка_пож,IF(AND(_xlpm.bc="",BC351&lt;&gt;""),"мс",_xlpm.bc))))</f>
        <v/>
      </c>
      <c r="BT351" t="str">
        <f t="shared" si="630"/>
        <v>мс</v>
      </c>
      <c r="BU351">
        <f>IF(B351="","",_xlfn.LET(_xlpm.cc,IFERROR(N(VLOOKUP(AX351,Потребители_обозначение,7,FALSE)),0),IF(_xlpm.cc&gt;0,_xlpm.cc,IF(BT351="","",IF(N(BR351)=3,5,3)))))</f>
        <v>3</v>
      </c>
      <c r="BV351">
        <f t="shared" si="631"/>
        <v>3</v>
      </c>
      <c r="BW351">
        <f>IFERROR(N(VLOOKUP(AX351,Потребители_обозначение,10,FALSE)),0)</f>
        <v>0</v>
      </c>
      <c r="BX351">
        <f>IFERROR(VLOOKUP(AX351,Потребители_обозначение,5,FALSE),0)</f>
        <v>0</v>
      </c>
      <c r="BY351" s="6" cm="1">
        <f t="array" ref="BY351">IF(B351="","",IF(BC351&lt;&gt;"",IFERROR(_xlfn.XLOOKUP(BC351,Щиты[Щит],Щиты[cos φ]),0.95),IF(BK351=1,IFERROR(_xlfn.XLOOKUP(A351,Щиты[Щит],Щиты[cos φ]),0.95),IF(ISNUMBER(Z351),Z351,IFERROR(IF(BX351=2,_xlfn.IFS(BR351=3,VLOOKUP(BN351,Справочная_двигатели,8,FALSE),BR351=1,VLOOKUP(BN351,Справочная_двигатели,10,TRUE)),IF(AND(Методика="нормы 2026",EQ351="Сил"),0.8,0.95)),0.95)))))</f>
        <v>0.95</v>
      </c>
      <c r="BZ351">
        <f t="shared" si="632"/>
        <v>0</v>
      </c>
      <c r="CA351">
        <f t="shared" si="633"/>
        <v>1</v>
      </c>
      <c r="CB351">
        <f t="shared" si="634"/>
        <v>0</v>
      </c>
      <c r="CC351">
        <f t="shared" si="635"/>
        <v>0</v>
      </c>
      <c r="CD351">
        <f t="shared" si="636"/>
        <v>0</v>
      </c>
      <c r="CE351">
        <f t="shared" si="637"/>
        <v>0</v>
      </c>
      <c r="CF351">
        <f t="shared" si="638"/>
        <v>0</v>
      </c>
      <c r="CG351">
        <f>IF(AX351="",0,_xlfn.LET(_xlpm.v,IFERROR(VLOOKUP(B351,УГО_спр,3,FALSE),IFERROR(VLOOKUP(AX351,УГО_спр,3,FALSE),IFERROR(VLOOKUP(LEFT(AX351,2),УГО_спр,3,FALSE),""))),IF(_xlpm.v="да",30,IF(ISNUMBER(_xlpm.v),_xlpm.v,0))))</f>
        <v>0</v>
      </c>
      <c r="CH351" t="str">
        <f t="shared" si="639"/>
        <v/>
      </c>
      <c r="CI351" t="str">
        <f>_xlfn.LET(_xlpm.k,IFERROR(_xlfn.XLOOKUP(AX351,Коды_код,Коды_утечка)&amp;"",""),IF(_xlpm.k="","дифавтомат",_xlpm.k))</f>
        <v>дифавтомат</v>
      </c>
      <c r="CJ351">
        <f t="shared" si="640"/>
        <v>0</v>
      </c>
      <c r="CK351">
        <f t="shared" si="641"/>
        <v>0</v>
      </c>
      <c r="CL351">
        <f>IF(B351="",0,IFERROR(--VLOOKUP(B351,УГО_спр,4,FALSE),IFERROR(--VLOOKUP(AX351,УГО_спр,4,FALSE),IFERROR(--VLOOKUP(LEFT(AX351,2),УГО_спр,4,FALSE),0))))</f>
        <v>0</v>
      </c>
      <c r="CM351" t="str">
        <f>IF(B351="","",IFERROR(_xlfn.XLOOKUP(AX351,Коды_код,Коды_апп)&amp;"",""))</f>
        <v/>
      </c>
      <c r="CN351" t="str">
        <f t="shared" si="642"/>
        <v/>
      </c>
      <c r="CO351" t="str" cm="1">
        <f t="array" ref="CO351">IF(TRIM(CN351&amp;"")="","",IFERROR(TRIM(INDEX(_xlfn.TEXTSPLIT(CN351&amp;";;;",";"),1)),""))</f>
        <v/>
      </c>
      <c r="CP351" t="str" cm="1">
        <f t="array" ref="CP351">IF(TRIM(CN351&amp;"")="","",IFERROR(TRIM(INDEX(_xlfn.TEXTSPLIT(CN351&amp;";;;",";"),2)),""))</f>
        <v/>
      </c>
      <c r="CQ351" t="str" cm="1">
        <f t="array" ref="CQ351">IF(TRIM(CN351&amp;"")="","",IFERROR(TRIM(INDEX(_xlfn.TEXTSPLIT(CN351&amp;";;;",";"),3)),""))</f>
        <v/>
      </c>
      <c r="CR351">
        <f t="shared" si="643"/>
        <v>0</v>
      </c>
      <c r="CS351" t="str">
        <f>IF(B351="","",_xlfn.LET(_xlpm.t,LOWER(AV351&amp;""),IF(ISNUMBER(SEARCH("dim",_xlpm.t)),"DIM",IF(ISNUMBER(SEARCH("dali",_xlpm.t)),"DALI",IF(OR(ISNUMBER(SEARCH("relay",_xlpm.t)),ISNUMBER(SEARCH("реле",_xlpm.t))),"Relay",IF(ISNUMBER(SEARCH("кнопк",_xlpm.t)),"",IFERROR(_xlfn.XLOOKUP(AX351,Коды_код,Коды_упр)&amp;"","")))))))</f>
        <v/>
      </c>
      <c r="CT351" t="str">
        <f t="shared" si="644"/>
        <v/>
      </c>
      <c r="CU351">
        <f>IF(B351="","",_xlfn.LET(_xlpm.ig,N(P351)+IF(AF351="вручную",0,N(CB351)),_xlpm.n0,IFERROR(VLOOKUP(_xlpm.ig,Автомат_номиналы,2,TRUE),0),_xlpm.mn,MAX(CL351,IF(AF351="вручную",0,N(CE351))),MAX(_xlpm.n0,_xlpm.mn,IF(CR351=1,Мин_автомат_БП,0))))</f>
        <v>10</v>
      </c>
      <c r="CV351">
        <f t="shared" si="645"/>
        <v>1</v>
      </c>
      <c r="CW351" t="str">
        <f t="shared" si="646"/>
        <v>1P</v>
      </c>
      <c r="CX351" t="str">
        <f>_xlfn.LET(_xlpm.cc,UPPER(TRIM(IFERROR(_xlfn.XLOOKUP(AX351,Коды_код,Коды_хар)&amp;"",""))),IF(OR(_xlpm.cc="B",_xlpm.cc="В"),"B",IF(_xlpm.cc="D","D","С")))</f>
        <v>С</v>
      </c>
      <c r="CY351" t="str">
        <f t="shared" si="647"/>
        <v>1P С10А</v>
      </c>
      <c r="CZ351">
        <f t="shared" si="648"/>
        <v>16</v>
      </c>
      <c r="DA351" t="str">
        <f t="shared" si="649"/>
        <v>1P С16А</v>
      </c>
      <c r="DB351" cm="1">
        <f t="array" ref="DB351">IF(DA351="","",_xlfn.LET(_xlpm.t,SUBSTITUTE(SUBSTITUTE(SUBSTITUTE(UPPER(DA351),"С","C"),"А","A"),"В","B"),_xlpm.tk,_xlfn.TEXTSPLIT(_xlpm.t,"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51" t="str">
        <f t="shared" si="650"/>
        <v>ok</v>
      </c>
      <c r="DD351">
        <f t="shared" si="651"/>
        <v>16</v>
      </c>
      <c r="DE351" t="str">
        <f t="shared" si="652"/>
        <v>1P С16А</v>
      </c>
      <c r="DF351">
        <f t="shared" si="653"/>
        <v>0</v>
      </c>
      <c r="DG351">
        <f t="shared" si="654"/>
        <v>0</v>
      </c>
      <c r="DH351">
        <f t="shared" si="655"/>
        <v>0</v>
      </c>
      <c r="DI351">
        <f t="shared" si="656"/>
        <v>8.8881554598929231</v>
      </c>
      <c r="DJ351">
        <f t="shared" si="657"/>
        <v>1</v>
      </c>
      <c r="DK351">
        <f>IF(ISNUMBER(AL351),AL351,К_прокл)</f>
        <v>1</v>
      </c>
      <c r="DL351">
        <f t="shared" si="658"/>
        <v>2</v>
      </c>
      <c r="DM351">
        <f>IFERROR(N(VLOOKUP(BT351,Кабель_обозначение,3,FALSE)),1)</f>
        <v>1</v>
      </c>
      <c r="DN351">
        <f>IFERROR(N(_xlfn.XLOOKUP(A351,Щиты[Щит],Щиты[ΔU до шин, %])),0)</f>
        <v>2.4899999999999998</v>
      </c>
      <c r="DO351" t="str">
        <f>IFERROR(_xlfn.XLOOKUP(A351,Щиты[Щит],Щиты[Zпетли на шинах, Ом]),"")</f>
        <v/>
      </c>
      <c r="DP351">
        <f>IFERROR(N(_xlfn.XLOOKUP(A351,Щиты[Щит],Щиты[ΔU до шин (подбор), %])),0)</f>
        <v>3.73</v>
      </c>
      <c r="DQ351" t="str">
        <f>IFERROR(_xlfn.XLOOKUP(A351,Щиты[Щит],Щиты[Zпетли на шинах (подбор), Ом]),"")</f>
        <v/>
      </c>
      <c r="DR351" t="str">
        <f t="shared" si="659"/>
        <v/>
      </c>
      <c r="DS351">
        <f t="shared" si="660"/>
        <v>83</v>
      </c>
      <c r="DT351">
        <f t="shared" si="661"/>
        <v>2</v>
      </c>
      <c r="DU351">
        <f t="shared" si="662"/>
        <v>0.31</v>
      </c>
      <c r="DV351" s="6">
        <f>IF(B351="","",IF(IFERROR(VLOOKUP(AX351,УГО_спр,2,FALSE),"")="Светильник",3,4)+IF(Методика="нормы 2026",MIN(0.5,MAX(0,N(Q351)-100)*0.005),0))</f>
        <v>4</v>
      </c>
      <c r="DW351" cm="1">
        <f t="array" ref="DW351">IF(OR(B351="",BT351="",DM351&lt;&gt;1),"",_xlfn.LET(_xlpm.sz,Iдоп_S,_xlpm.t_,CHOOSE(DL351,Iдоп_1ж,Iдоп_2ж,Iдоп_3ж)*DJ351*DK351,_xlpm.inn,N(DD351),_xlpm.smin,MAX(1.5,BW351),_xlpm.L_,N(Q351)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351)*(_xlpm.rho*_xlpm.L_/_xlpm.sz*N(BY351)+_xlpm.xx*_xlpm.L_*N(DU351)/1000)*N(P351)/((Uн_лин/SQRT(3))*1000)*100,999),_xlpm.kz,IF(OR(DG351=1,NOT(ISNUMBER(DQ351)),_xlpm.L_=0,_xlpm.inn=0),1,IFERROR(--(c_min*(Uн_лин*1000/SQRT(3))/(DQ351+2*ρкз_Cu*_xlpm.L_/_xlpm.sz)&gt;=GY351*_xlpm.inn),0)),_xlpm.ok,IFERROR((_xlpm.sz&gt;=_xlpm.smin)*(_xlpm.t_&gt;=_xlpm.inn)*IF(_xlpm.L_&gt;0,(_xlpm.du_+DP351&lt;=DV351+0.00001),1)*_xlpm.kz,0),_xlpm.r_,_xlfn._xlws.FILTER(_xlpm.sz,_xlpm.ok,"не подобрано"),INDEX(_xlpm.r_,1)))</f>
        <v>70</v>
      </c>
      <c r="DX351">
        <f t="shared" si="663"/>
        <v>4</v>
      </c>
      <c r="DY351" cm="1">
        <f t="array" ref="DY351">IF(OR(B351="",BT351="",DM351&lt;&gt;1),"",_xlfn.LET(_xlpm.sz,Iдоп_S,_xlpm.t_,CHOOSE(DL351,Iдоп_1ж,Iдоп_2ж,Iдоп_3ж)*DJ351*DK351,_xlpm.ok,IFERROR((_xlpm.sz&gt;=MAX(1.5,BW351))*(_xlpm.t_&gt;=N(DD351)),0),_xlpm.r_,_xlfn._xlws.FILTER(_xlpm.sz,_xlpm.ok,""),INDEX(_xlpm.r_,1)))</f>
        <v>1.5</v>
      </c>
      <c r="DZ351" s="6" cm="1">
        <f t="array" ref="DZ351">IFERROR(ROUNDUP(N(DT351)*(_xlfn.XLOOKUP(DY351,INDEX(Кабель_сопротивление,0,1),INDEX(Кабель_сопротивление,0,3))*N(Q351)/DY351*N(BY351)+_xlfn.XLOOKUP(DY351,INDEX(Кабель_сопротивление,0,1),INDEX(Кабель_сопротивление,0,2))*N(Q351)*N(DU351)/1000)*N(P351)/((Uн_лин/SQRT(3))*1000)*100,2),"")</f>
        <v>9.129999999999999</v>
      </c>
      <c r="EA351">
        <f>IFERROR(2*ρкз_Cu*N(Q351)/DY351,"")</f>
        <v>2.9105333333333334</v>
      </c>
      <c r="EB351">
        <f>IFERROR(VLOOKUP(DX351,Кабель_сопротивление,3,FALSE),"")</f>
        <v>2.2499999999999999E-2</v>
      </c>
      <c r="EC351">
        <f>IFERROR(VLOOKUP(DX351,Кабель_сопротивление,2,FALSE),"")</f>
        <v>9.5000000000000001E-2</v>
      </c>
      <c r="ED351">
        <f t="shared" si="664"/>
        <v>12</v>
      </c>
      <c r="EE351">
        <f t="shared" si="665"/>
        <v>72</v>
      </c>
      <c r="EF351">
        <f t="shared" si="666"/>
        <v>7.9278009282380442</v>
      </c>
      <c r="EG351" s="6">
        <f>IFERROR(ROUNDUP(EF351/((Uн_лин/SQRT(3))*1000)*100,2),"")</f>
        <v>3.44</v>
      </c>
      <c r="EH351" t="str">
        <f>IFERROR(VLOOKUP(BT351,Кабель_обозначение,2,FALSE),"")</f>
        <v>ВВГнг(А)-LS</v>
      </c>
      <c r="EI351" t="str">
        <f t="shared" si="667"/>
        <v>ВВГнг(А)-LS (3х4)</v>
      </c>
      <c r="EJ351" t="str">
        <f t="shared" si="668"/>
        <v>ВВГнг(А)-LS (3х4)
L=83-3,44%</v>
      </c>
      <c r="EK351">
        <f>IFERROR(2*ρкз_Cu*Q351/DX351,"")</f>
        <v>1.09145</v>
      </c>
      <c r="EL351">
        <f t="shared" si="669"/>
        <v>0.36312500000000003</v>
      </c>
      <c r="EM351" s="6" t="str">
        <f>IFERROR(IF(OR(B351="",NOT(ISNUMBER(DX351)),N(Q351)=0),"",_xlfn.XLOOKUP(A351,Щиты[Щит],Щиты[Zпетли на шинах, Ом])+EK351),"")</f>
        <v/>
      </c>
      <c r="EN351" s="6" t="str">
        <f>IF(ISNUMBER(EM351),c_min*(Uн_лин*1000/SQRT(3))/EM351,"")</f>
        <v/>
      </c>
      <c r="EO351" s="6" t="str">
        <f>IFERROR(IF(OR(B351="",NOT(ISNUMBER(DX351))),"",1.05*(Uн_лин*1000/SQRT(3))/(_xlfn.XLOOKUP(A351,Щиты[Щит],Щиты[Zmax на шинах, Ом])+EL351)/1000),"")</f>
        <v/>
      </c>
      <c r="EP351" s="6" t="str">
        <f>IF(B351="","",IF(ISNUMBER(Y351),"Сил",IF(IFERROR(_xlfn.XLOOKUP(AX351,Коды_код,Коды_группа)&amp;"","")="","Быт",_xlfn.XLOOKUP(AX351,Коды_код,Коды_группа)&amp;"")))</f>
        <v>Быт</v>
      </c>
      <c r="EQ351" s="6" t="str">
        <f t="shared" si="670"/>
        <v>Пост</v>
      </c>
      <c r="ER351" s="6">
        <f>IF(EQ351="Щит","щит",IF(EQ351="","",IF(EQ351="Быт",IFERROR(_xlfn.XLOOKUP(A351,Щиты[Щит],Щиты[Кс быт]),1),IF(EQ351="Сил",IF(ISNUMBER(Y351),Y351,IF(Методика="нормы 2026",IFERROR(_xlfn.XLOOKUP(A351,Щиты[Щит],Щиты[Кс силовых (табл. 7.5)]),1),1)),IF(OR(EQ351="Пост",EQ351="Отоп"),1,IF(EQ351="ВНГ",0.7,0))))))</f>
        <v>1</v>
      </c>
      <c r="ES351">
        <f t="shared" si="671"/>
        <v>1</v>
      </c>
      <c r="ET351">
        <f t="shared" si="672"/>
        <v>1.95</v>
      </c>
      <c r="EU351">
        <f t="shared" si="673"/>
        <v>0</v>
      </c>
      <c r="EV351">
        <f t="shared" si="674"/>
        <v>0</v>
      </c>
      <c r="EW351">
        <f t="shared" si="675"/>
        <v>1.95</v>
      </c>
      <c r="EX351">
        <f t="shared" si="676"/>
        <v>0</v>
      </c>
      <c r="EY351">
        <f t="shared" si="677"/>
        <v>0</v>
      </c>
      <c r="EZ351">
        <f t="shared" si="678"/>
        <v>1.95</v>
      </c>
      <c r="FA351">
        <f t="shared" si="679"/>
        <v>1.8524999999999998</v>
      </c>
      <c r="FB351">
        <f t="shared" si="680"/>
        <v>1.95</v>
      </c>
      <c r="FC351" t="str">
        <f t="shared" si="681"/>
        <v/>
      </c>
      <c r="FD351" t="str">
        <f>IF(B351="","",IF(CA351=0,IF(AW351=1,"",FF350),IF(OR(N(CV351)&gt;=3,N(BR351)&gt;=3),"L1,L2,L3",IFERROR(_xlfn.TEXTBEFORE(_xlfn.TEXTAFTER(_xlfn.XLOOKUP(A351,Щиты[Щит],Щиты[_фазы авто]),";"&amp;AW351&amp;":"),";"),"L1"))))</f>
        <v>L2</v>
      </c>
      <c r="FE351" t="str">
        <f t="shared" si="682"/>
        <v>L2</v>
      </c>
      <c r="FF351" t="str">
        <f t="shared" si="683"/>
        <v>L2</v>
      </c>
      <c r="FG351" cm="1">
        <f t="array" ref="FG351">IFERROR(IF(BX351=2,_xlfn.IFS(BR351=3,VLOOKUP(BN351,Справочная_двигатели,3,FALSE),BR351=1,VLOOKUP(BN351,Справочная_двигатели,5,TRUE)),0),0)</f>
        <v>0</v>
      </c>
      <c r="FH351">
        <f>IFERROR(IF(BX351=3,VLOOKUP(BN351,Справочная_ЛЭД,2,TRUE),0),0)</f>
        <v>0</v>
      </c>
      <c r="FI351" s="6">
        <f t="shared" si="684"/>
        <v>0</v>
      </c>
      <c r="FJ351" t="str" cm="1">
        <f t="array" ref="FJ351">IF(B351="","",IFERROR(INDEX({"I особая","I","II","III"},MATCH(TRIM(AC351&amp;""),{"I особая","I","II","III"},0)),"III"))</f>
        <v>II</v>
      </c>
      <c r="FK351" t="str">
        <f>IF(B351="","",IF(TRIM(AD351&amp;"")&lt;&gt;"",IF(LOWER(TRIM(AD351&amp;""))="да","да","нет"),IF(IFERROR(_xlfn.XLOOKUP(AX351,Коды_код,Коды_пожарная),"")="да","да","нет")))</f>
        <v>нет</v>
      </c>
      <c r="FL351" t="str">
        <f t="shared" si="685"/>
        <v/>
      </c>
      <c r="FM351" t="str">
        <f t="shared" si="686"/>
        <v>основная</v>
      </c>
      <c r="FN351">
        <f t="shared" si="687"/>
        <v>1</v>
      </c>
      <c r="FO351" t="str" cm="1">
        <f t="array" ref="FO351">IF(B351="","",_xlfn.LET(_xlpm.t,IFERROR(_xlfn.XLOOKUP(1,(Шины[Шина]=FM351)*(((Шины[Щит]=A351)+(Шины[Щит]=""))&gt;0),Шины[Тип]),"")&amp;"",IF(_xlpm.t&lt;&gt;"",_xlpm.t,IF(ISNUMBER(SEARCH("ИБП",FM351)),"ИБП",IF(ISNUMBER(SEARCH("ДГУ",FM351)),"ДГУ","Ввод "&amp;FN351)))))</f>
        <v>Ввод 1</v>
      </c>
      <c r="FP351" t="str">
        <f t="shared" si="688"/>
        <v>Ввод 1</v>
      </c>
      <c r="FQ351" t="str">
        <f>IF(B351="","",IF(OR(FO351="ИБП",FO351="ДГУ"),"I особая",IF(FO351="Одиночная","III",_xlfn.XLOOKUP(A351,Щиты[Щит],Щиты[Категория шины «Ввод»],"III"))))</f>
        <v>II</v>
      </c>
      <c r="FR351">
        <f>IF(B351="",0,IFERROR(MATCH(FJ351,{"III","II","I","I особая"},0),1))</f>
        <v>2</v>
      </c>
      <c r="FS351">
        <f t="shared" si="689"/>
        <v>2</v>
      </c>
      <c r="FT351" t="str">
        <f>IF(B351="","",IF(FR351&gt;IFERROR(MATCH(FQ351,{"III","II","I","I особая"},0),1),"НЕ ОБЕСПЕЧЕНА","ОК"))</f>
        <v>ОК</v>
      </c>
      <c r="FU351" t="str">
        <f>IF(A351="","",_xlfn.XLOOKUP(A351,Щиты[Щит],Щиты[Путь],""))</f>
        <v>|ГРЩ-ЖД|ЩУОВ|</v>
      </c>
      <c r="FV351" t="str">
        <f>IF(B351="","",IF(AE351&lt;&gt;"",AE351,IF(IFERROR(_xlfn.XLOOKUP(AX351,Коды_код,Коды_вид)&amp;"","")="","Прочее",_xlfn.XLOOKUP(AX351,Коды_код,Коды_вид)&amp;"")))</f>
        <v>Обогрев водостоков и кровли</v>
      </c>
      <c r="FW351">
        <f>IF(BH351="","",INT((BH351-1)/Столбцов_на_лист)+1)</f>
        <v>2</v>
      </c>
      <c r="FX351" t="str">
        <f t="shared" si="690"/>
        <v>ВВГнг(А)-LS (3х4) L=83-3,44%</v>
      </c>
      <c r="FY351">
        <f t="shared" si="691"/>
        <v>1.95</v>
      </c>
      <c r="FZ351">
        <f t="shared" si="692"/>
        <v>8.89</v>
      </c>
      <c r="GA351">
        <f t="shared" si="693"/>
        <v>1</v>
      </c>
      <c r="GB351">
        <f t="shared" si="694"/>
        <v>0</v>
      </c>
      <c r="GC351">
        <f t="shared" si="695"/>
        <v>1</v>
      </c>
      <c r="GD351">
        <f>IF(BH351="","",IF(AND(CA351=1,GC351=1),COUNTIFS(A$3:A351,A351,CA$3:CA351,1,GC$3:GC351,1),IF(OR(OR(AW351=1,A351&lt;&gt;A350),AF351="вручную",GC351=0),"",IF(AW351=1,"",GE350))))</f>
        <v>10</v>
      </c>
      <c r="GE351">
        <f t="shared" si="696"/>
        <v>10</v>
      </c>
      <c r="GF351">
        <f>IF(B351="","",IFERROR(LOOKUP(INDEX(CHOOSE(DL351,Iдоп_1ж,Iдоп_2ж,Iдоп_3ж),MATCH(DX351,Iдоп_S,0))*DJ351*DK351,{6,10,16,20,25,32,40,50,63,80,100,125,160,200,250,315,400,500,630}),""))</f>
        <v>32</v>
      </c>
      <c r="GG351" t="str">
        <f t="shared" si="697"/>
        <v>QF10</v>
      </c>
      <c r="GH351" t="str">
        <f t="shared" si="698"/>
        <v>QF10</v>
      </c>
      <c r="GI351" t="str">
        <f t="shared" si="699"/>
        <v/>
      </c>
      <c r="GJ351">
        <f t="shared" si="700"/>
        <v>0</v>
      </c>
      <c r="GK351" t="str">
        <f>IF(OR(AG351="",AG351="-"),"",IFERROR(VLOOKUP(AG351,Модули_спр,2,FALSE),"R"))</f>
        <v/>
      </c>
      <c r="GL351" t="str">
        <f>IF(GK351="","",GK351&amp;"."&amp;COUNTIFS(A$3:A351,A351,GK$3:GK351,GK351))</f>
        <v/>
      </c>
      <c r="GM351" t="str">
        <f t="shared" si="701"/>
        <v/>
      </c>
      <c r="GN351" t="str">
        <f t="shared" si="702"/>
        <v/>
      </c>
      <c r="GO351" t="str">
        <f t="shared" si="703"/>
        <v/>
      </c>
      <c r="GP351" t="str">
        <f t="shared" si="704"/>
        <v/>
      </c>
      <c r="GQ351">
        <f t="shared" si="705"/>
        <v>1</v>
      </c>
      <c r="GR351" t="str">
        <f>IF(GQ351=1,"XT"&amp;COUNTIFS(A$3:A351,A351,GQ$3:GQ351,1),"")</f>
        <v>XT10</v>
      </c>
      <c r="GS351" t="str">
        <f t="shared" si="706"/>
        <v/>
      </c>
      <c r="GT351" t="str">
        <f t="shared" si="707"/>
        <v>QF10</v>
      </c>
      <c r="GU351" t="str">
        <f t="shared" si="708"/>
        <v/>
      </c>
      <c r="GV351" t="str">
        <f t="shared" si="709"/>
        <v>ok</v>
      </c>
      <c r="GW351" t="str">
        <f>IF(OR(GO351="",GM351=""),"",IF(GO351&gt;IFERROR(VLOOKUP(GN351,Модули_спр,3,FALSE),99),"ЛИШНИЙ КАНАЛ",IF(AND(AH351&lt;&gt;"=",COUNTIFS(Линии[_модуль гр.],GM351,Линии[Канал (итог)],GO351,Линии[Канал],"&lt;&gt;=",Линии[Щит],A351)&gt;1),"ДУБЛЬ КАНАЛА","")))</f>
        <v/>
      </c>
      <c r="GX351" s="6" t="str">
        <f t="shared" si="710"/>
        <v/>
      </c>
      <c r="GY351">
        <f t="shared" si="711"/>
        <v>10</v>
      </c>
      <c r="GZ351" t="str">
        <f t="shared" si="712"/>
        <v/>
      </c>
      <c r="HA351" t="str">
        <f>IF(AND(B351="",GT351=""),"",_xlfn.TEXTJOIN("; ",TRUE,IF(AND(B351&lt;&gt;"",FE351=""),"нет фазы",""),IF(AND(B351&lt;&gt;"",N(FY351)=0,EQ351&lt;&gt;"Нет"),"нет мощности",""),IF(AND(GS351&lt;&gt;"",COUNTIFS(Линии[Щит],A351,Линии[Клемма (итог)],GS351)&gt;1),"дубль клеммы "&amp;GS351,""),IF(AND(GV351&lt;&gt;"",GV351&lt;&gt;"ok"),GV351,""),IF(GW351&lt;&gt;"",GW351,""),IF(AND(N(BV351)&gt;=4,N(BR351)=1),BV351&amp;" жил на 1 фазе",""),IF(AND(AX351="R",CA351=1,OR(N(CK351)=0,N(CK351)&gt;30)),"розетка без дифзащиты до 30 мА",""),IFERROR(IF(AND(ISNUMBER(R351),R351&gt;DV351),"потери "&amp;FIXED(R351,1)&amp;" % &gt; "&amp;DV351&amp;" %",""),""),IFERROR(IF(LEFT(GZ351,4)="мало","Iкз мало — отключение &gt; 0,4 с",""),""),IF(AND(B351&lt;&gt;"",BH351=""),"не на схеме",""),IF(AND(CA351=0,B351&lt;&gt;"",FE351&lt;&gt;"",IF(AW351=1,"",FF350)&lt;&gt;"",FE351&lt;&gt;IF(AW351=1,"",FF350)),"фаза не как у автомата группы ("&amp;IF(AW351=1,"",FF350)&amp;")","")))</f>
        <v>потери 5,9 % &gt; 4 %</v>
      </c>
      <c r="HB351" s="6">
        <f>IF(OR(CA351=0,DA351=""),"",_xlfn.LET(_xlpm.t,IFERROR(_xlfn.XLOOKUP(DA351,Каталог!$U$4:$U$500,Каталог!$G$4:$G$500),""),_xlpm.k,SEARCH("кА",_xlpm.t),IFERROR(--TRIM(RIGHT(SUBSTITUTE(MID(_xlpm.t,MAX(1,_xlpm.k-4),_xlpm.k-MAX(1,_xlpm.k-4))," ",REPT(" ",9)),5)),"")))</f>
        <v>6</v>
      </c>
      <c r="HC351" t="str">
        <f>IF(OR(HB351="",CA351=0),"",IF(_xlfn.XLOOKUP(A351,Щиты[Щит],Щиты[Iкз max на шинах, кА],"")="","",IF(HB351&lt;_xlfn.XLOOKUP(A351,Щиты[Щит],Щиты[Iкз max на шинах, кА]),"Icu "&amp;HB351&amp;" кА &lt; Iкз max","ok")))</f>
        <v/>
      </c>
      <c r="HD351" t="str">
        <f t="shared" si="713"/>
        <v/>
      </c>
      <c r="HE351" t="str">
        <f t="shared" si="714"/>
        <v>QF10</v>
      </c>
      <c r="HF351" t="str">
        <f t="shared" si="715"/>
        <v>QF10|кабель ВВГнг(А)-LS (3х4) → Обогревл ливнестоков Кровля</v>
      </c>
      <c r="HG351" t="str" cm="1">
        <f t="array" ref="HG351">IF(HF351="","",_xlfn.LET(_xlpm.nd,_xlfn.TEXTSPLIT(HF351,"|"),IF(COLUMNS(_xlpm.nd)&gt;1,A351&amp;"¦"&amp;INDEX(_xlpm.nd,1)&amp;"¦"&amp;INDEX(_xlpm.nd,2),"")))</f>
        <v>ЩУОВ¦QF10¦кабель ВВГнг(А)-LS (3х4) → Обогревл ливнестоков Кровля</v>
      </c>
      <c r="HH351" t="str">
        <f t="shared" si="716"/>
        <v>OV.4.1.3¦Обогревл ливнестоков Кровля</v>
      </c>
      <c r="HI351" t="str" cm="1">
        <f t="array" ref="HI351">IF(HF351="","",_xlfn.LET(_xlpm.nd,_xlfn.TEXTSPLIT(HF351,"|"),IF(COLUMNS(_xlpm.nd)&gt;2,A351&amp;"¦"&amp;INDEX(_xlpm.nd,2)&amp;"¦"&amp;INDEX(_xlpm.nd,3),"")))</f>
        <v/>
      </c>
      <c r="HJ351" t="str">
        <f t="shared" si="717"/>
        <v/>
      </c>
      <c r="HK351" t="str" cm="1">
        <f t="array" ref="HK351">IF(HF351="","",_xlfn.LET(_xlpm.nd,_xlfn.TEXTSPLIT(HF351,"|"),IF(COLUMNS(_xlpm.nd)&gt;3,A351&amp;"¦"&amp;INDEX(_xlpm.nd,3)&amp;"¦"&amp;INDEX(_xlpm.nd,4),"")))</f>
        <v/>
      </c>
      <c r="HL351" t="str">
        <f t="shared" si="718"/>
        <v/>
      </c>
      <c r="HM351" t="str" cm="1">
        <f t="array" ref="HM351">IF(HF351="","",_xlfn.LET(_xlpm.nd,_xlfn.TEXTSPLIT(HF351,"|"),IF(COLUMNS(_xlpm.nd)&gt;4,A351&amp;"¦"&amp;INDEX(_xlpm.nd,4)&amp;"¦"&amp;INDEX(_xlpm.nd,5),"")))</f>
        <v/>
      </c>
      <c r="HN351" t="str">
        <f t="shared" si="719"/>
        <v/>
      </c>
      <c r="HO351" t="str" cm="1">
        <f t="array" ref="HO351">IF(HF351="","",_xlfn.LET(_xlpm.nd,_xlfn.TEXTSPLIT(HF351,"|"),IF(COLUMNS(_xlpm.nd)&gt;5,A351&amp;"¦"&amp;INDEX(_xlpm.nd,5)&amp;"¦"&amp;INDEX(_xlpm.nd,6),"")))</f>
        <v/>
      </c>
      <c r="HP351" t="str">
        <f t="shared" si="720"/>
        <v/>
      </c>
      <c r="HQ351" t="str" cm="1">
        <f t="array" ref="HQ351">IF(HF351="","",_xlfn.LET(_xlpm.nd,_xlfn.TEXTSPLIT(HF351,"|"),IF(COLUMNS(_xlpm.nd)&gt;6,A351&amp;"¦"&amp;INDEX(_xlpm.nd,6)&amp;"¦"&amp;INDEX(_xlpm.nd,7),"")))</f>
        <v/>
      </c>
      <c r="HR351" t="str">
        <f t="shared" si="721"/>
        <v/>
      </c>
      <c r="HS351" t="str">
        <f t="shared" si="722"/>
        <v/>
      </c>
      <c r="HT351" t="str">
        <f t="shared" si="723"/>
        <v>QF10</v>
      </c>
      <c r="HU351">
        <f t="shared" si="724"/>
        <v>0</v>
      </c>
      <c r="HV351">
        <f t="shared" si="725"/>
        <v>0</v>
      </c>
      <c r="HW351" t="str">
        <f t="shared" si="726"/>
        <v/>
      </c>
      <c r="HX351" t="str">
        <f t="shared" si="727"/>
        <v/>
      </c>
      <c r="HY351" t="str">
        <f t="shared" si="728"/>
        <v/>
      </c>
      <c r="HZ351" t="str">
        <f t="shared" si="729"/>
        <v/>
      </c>
      <c r="IA351" t="str">
        <f>IF(B351="","",IFERROR(VLOOKUP(B351,УГО_спр,2,FALSE),IFERROR(VLOOKUP(AX351,УГО_спр,2,FALSE),IFERROR(VLOOKUP(LEFT(AX351,2),УГО_спр,2,FALSE),""))))</f>
        <v/>
      </c>
      <c r="IB351" t="str">
        <f>IF(B351="","",IF(OR(IA351="",IA351=0),"BOX",IFERROR(IF(VLOOKUP(IA351,УГО_блоки,3,FALSE)&amp;""&lt;&gt;"",VLOOKUP(IA351,УГО_блоки,3,FALSE),VLOOKUP(IA351,УГО_блоки,2,FALSE)),IA351)))</f>
        <v>BOX</v>
      </c>
      <c r="IC351">
        <f t="shared" si="730"/>
        <v>1</v>
      </c>
      <c r="ID351" t="str">
        <f>IF(DA351="","",IF(COUNTIF(DA$3:DA351,DA351)=1,MAX(ID$2:ID350)+1,""))</f>
        <v/>
      </c>
      <c r="IE351" t="str">
        <f>IF(CO351="","",IF(COUNTIF(CO$3:CO351,CO351)+COUNTIF(CP$2:CP350,CO351)+COUNTIF(CQ$2:CQ350,CO351)=1,MAX(IE$2:IG350)+1,""))</f>
        <v/>
      </c>
      <c r="IF351" t="str">
        <f>IF(CP351="","",IF(COUNTIF(CO$3:CO351,CP351)+COUNTIF(CP$3:CP351,CP351)+COUNTIF(CQ$2:CQ350,CP351)=1,MAX(IE$2:IG350,IE351)+1,""))</f>
        <v/>
      </c>
      <c r="IG351" t="str">
        <f>IF(CQ351="","",IF(COUNTIF(CO$3:CO351,CQ351)+COUNTIF(CP$3:CP351,CQ351)+COUNTIF(CQ$3:CQ351,CQ351)=1,MAX(IE$2:IG350,IE351,IF351)+1,""))</f>
        <v/>
      </c>
      <c r="IH351" t="str">
        <f t="shared" si="731"/>
        <v>3х4</v>
      </c>
      <c r="II351" t="str">
        <f>IF(IH351="","",IF(COUNTIF(IH$3:IH351,IH351)=1,MAX(II$2:II350)+1,""))</f>
        <v/>
      </c>
      <c r="IJ351" t="str">
        <f>IF(GL351="","",COUNTIF(GL$3:GL351,"?*"))</f>
        <v/>
      </c>
      <c r="IK351" t="str">
        <f>IF(OR(GL351="",GN351=""),"",IF(COUNTIFS(GL$3:GL351,"?*",GN$3:GN351,GN351)=1,MAX(IK$2:IK350)+1,""))</f>
        <v/>
      </c>
      <c r="IL351">
        <f t="shared" si="732"/>
        <v>1</v>
      </c>
      <c r="IM351">
        <f>IF(B351="","",COUNTIF(B$3:B351,"?*"))</f>
        <v>349</v>
      </c>
      <c r="IN351">
        <f>IF(GQ351&lt;&gt;1,0,_xlfn.LET(_xlpm.k,MAX(IFERROR(--VLOOKUP(B351,УГО_спр,5,FALSE),0),IFERROR(--VLOOKUP(AX351,УГО_спр,5,FALSE),0),IFERROR(--VLOOKUP(LEFT(AX351,2),УГО_спр,5,FALSE),0)),IF(_xlpm.k&gt;0,_xlpm.k,IF(IFERROR(--LEFT(SUBSTITUTE(IH351,"x","х"),FIND("х",SUBSTITUTE(IH351,"x","х"))-1),3)&gt;3,Каталог!$S$9,1))))</f>
        <v>1</v>
      </c>
      <c r="IO351">
        <f t="shared" si="733"/>
        <v>0</v>
      </c>
      <c r="IP351" t="str">
        <f t="shared" si="734"/>
        <v>авто</v>
      </c>
      <c r="IQ351" t="str">
        <f t="shared" si="735"/>
        <v/>
      </c>
      <c r="IR351">
        <f t="shared" si="736"/>
        <v>0</v>
      </c>
      <c r="IS351">
        <f t="shared" si="737"/>
        <v>1</v>
      </c>
    </row>
    <row r="352" spans="1:253" x14ac:dyDescent="0.3">
      <c r="A352" t="s">
        <v>771</v>
      </c>
      <c r="B352" t="s">
        <v>1609</v>
      </c>
      <c r="C352" t="s">
        <v>1698</v>
      </c>
      <c r="D352">
        <v>3</v>
      </c>
      <c r="E352">
        <v>2.16</v>
      </c>
      <c r="G352">
        <v>16</v>
      </c>
      <c r="H352" t="str">
        <f>Линии[[#This Row],[_авто утечка]]</f>
        <v/>
      </c>
      <c r="I352" t="str">
        <f>Линии[[#This Row],[_авто управление]]</f>
        <v/>
      </c>
      <c r="J352" t="str">
        <f>Линии[[#This Row],[_авто аппараты]]</f>
        <v/>
      </c>
      <c r="K352">
        <v>2.5</v>
      </c>
      <c r="L352">
        <v>66</v>
      </c>
      <c r="M352" t="str">
        <f>Линии[[#This Row],[_авто фаза]]</f>
        <v>L2</v>
      </c>
      <c r="N352" t="s">
        <v>486</v>
      </c>
      <c r="O352" t="str">
        <f t="shared" si="615"/>
        <v>потери 7,3 % &gt; 4 %</v>
      </c>
      <c r="P352" s="6" cm="1">
        <f t="array" ref="P352">IF(B352="","",IF(BC352&lt;&gt;"",IFERROR(_xlfn.XLOOKUP(BC352,Щиты[Щит],Щиты[Iр, А]),""),IF(BK352=1,IFERROR(_xlfn.XLOOKUP(A352,Щиты[Щит],Щиты[Iр, А]),""),IFERROR(_xlfn.IFS(BR352=1,BN352/((Uн_лин/SQRT(3))*BY352),BR352=3,BN352/(SQRT(3)*Uн_лин*BY352)),""))))</f>
        <v>9.8453414324967756</v>
      </c>
      <c r="Q352" s="7">
        <f>IF(B352="","",IFERROR(IF(VLOOKUP(AX352,Потребители_обозначение,4,FALSE)=1,VLOOKUP(AX352,Потребители_обозначение,3,FALSE)*(D352*2-1)+DS352+VLOOKUP(AZ352,Этаж_обозначение,3,FALSE)+VLOOKUP(AZ352,Этаж_обозначение,4,FALSE),VLOOKUP(AX352,Потребители_обозначение,3,FALSE)*(D352*2-1)+DS352),DS352))</f>
        <v>66</v>
      </c>
      <c r="R352" s="6">
        <f t="shared" si="616"/>
        <v>7.32</v>
      </c>
      <c r="S352" t="str">
        <f t="shared" si="617"/>
        <v>ВВГнг(А)-LS (3х2,5)</v>
      </c>
      <c r="T352" t="str">
        <f>IF(BH352="","",IF(BI352="вводной узел","узел ","")&amp;"л."&amp;(INT((BH352-1)/Столбцов_на_лист)+1)&amp;" / "&amp;(MOD(BH352-1,Столбцов_на_лист)+1))</f>
        <v>л.2 / 17</v>
      </c>
      <c r="V352">
        <v>1</v>
      </c>
      <c r="W352">
        <v>230</v>
      </c>
      <c r="X352" t="s">
        <v>575</v>
      </c>
      <c r="AC352" t="s">
        <v>815</v>
      </c>
      <c r="AE352" t="s">
        <v>611</v>
      </c>
      <c r="AI352">
        <v>34</v>
      </c>
      <c r="AJ352" t="s">
        <v>11</v>
      </c>
      <c r="AK352">
        <v>3</v>
      </c>
      <c r="AM352">
        <v>12</v>
      </c>
      <c r="AN352">
        <v>12</v>
      </c>
      <c r="AO352">
        <v>55</v>
      </c>
      <c r="AP352">
        <v>1</v>
      </c>
      <c r="AW352" cm="1">
        <f t="array" ref="AW352">ROW()-ROW(Линии[#Headers])</f>
        <v>350</v>
      </c>
      <c r="AX352" s="6" t="str">
        <f t="shared" si="618"/>
        <v>OV</v>
      </c>
      <c r="AY352" t="str">
        <f t="shared" si="619"/>
        <v>4.1.4</v>
      </c>
      <c r="AZ352" t="str">
        <f t="shared" si="620"/>
        <v>4</v>
      </c>
      <c r="BA352" t="str">
        <f t="shared" si="621"/>
        <v>1.4</v>
      </c>
      <c r="BB352" t="str">
        <f t="shared" si="622"/>
        <v>1</v>
      </c>
      <c r="BC352" t="str">
        <f>IF(U352&lt;&gt;"",U352,IF(AND(B352&lt;&gt;"",B352&lt;&gt;A352,ISNUMBER(_xlfn.XMATCH(B352,Щиты[Щит]))),B352,""))</f>
        <v/>
      </c>
      <c r="BD352" t="str" cm="1">
        <f t="array" ref="BD352">IF(B352="","",IF(BC352&lt;&gt;"","Щит "&amp;BC352,_xlfn.LET(_xlpm.nm,IFERROR(_xlfn.XLOOKUP(AX352,Коды_код,Коды_имя)&amp;"",""),_xlpm.md,IFERROR(N(_xlfn.XLOOKUP(AX352,Коды_код,Коды_режим)),1),_xlpm.ex,IF(Имя_режим="по экспликации",IFERROR(_xlfn.XLOOKUP(AZ352&amp;"|"&amp;BB352,Экспликация[Этаж]&amp;"|"&amp;Экспликация[Помещение],Экспликация[Название])&amp;"",""),""),_xlpm.rm,IF(BB352="","",IF(_xlpm.ex&lt;&gt;"",". "&amp;_xlpm.ex&amp;IF(Имя_пом="нет"," ("&amp;BB352&amp;")"," (пом. "&amp;BB352&amp;")"),IF(Имя_пом="нет"," ",", пом. ")&amp;BB352)),IF(_xlpm.nm="","",IF(_xlpm.md=2,_xlpm.nm&amp;" шлейф "&amp;AZ352,_xlpm.nm&amp;_xlpm.rm)))))</f>
        <v/>
      </c>
      <c r="BE352" t="str">
        <f t="shared" si="623"/>
        <v>Обогревл ливнестоков Кровля</v>
      </c>
      <c r="BF352">
        <f>IFERROR(_xlfn.XMATCH(A352,Щиты[Щит]),0)</f>
        <v>17</v>
      </c>
      <c r="BG352">
        <f>_xlfn.LET(_xlpm.k,IFERROR(_xlfn.XLOOKUP(A352,Щиты[Щит],Щиты[Листов под вводной узел]),""),IF(_xlpm.k="",1,N(_xlpm.k))*Столбцов_на_лист)</f>
        <v>17</v>
      </c>
      <c r="BH352">
        <f t="shared" si="624"/>
        <v>34</v>
      </c>
      <c r="BI352" t="str">
        <f t="shared" si="625"/>
        <v>линии</v>
      </c>
      <c r="BJ352" s="6">
        <f>IFERROR(N(_xlfn.XLOOKUP(AX352,Коды_код,Коды_квт)),0)</f>
        <v>0</v>
      </c>
      <c r="BK352">
        <f t="shared" si="626"/>
        <v>0</v>
      </c>
      <c r="BL352" t="str">
        <f>IF(B352="","",IF(BC352&lt;&gt;"",IFERROR(_xlfn.XLOOKUP(BC352,Щиты[Щит],Щиты[Руст, кВт]),0),IF(BK352=1,IFERROR(_xlfn.XLOOKUP(A352,Щиты[Щит],Щиты[Руст, кВт]),0),IF(BJ352&gt;0,ROUND(BJ352*MAX(1,N(D352)),3),""))))</f>
        <v/>
      </c>
      <c r="BM352">
        <f t="shared" si="627"/>
        <v>2.16</v>
      </c>
      <c r="BN352" s="6">
        <f>IF(B352="","",IF(BC352&lt;&gt;"",IFERROR(_xlfn.XLOOKUP(BC352,Щиты[Щит],Щиты[Руст, кВт]),0),N(BM352)))</f>
        <v>2.16</v>
      </c>
      <c r="BO352" t="str">
        <f>IF(B352="","",IFERROR(IF(VLOOKUP(AX352,Потребители_обозначение,8,FALSE)=0,"",VLOOKUP(AX352,Потребители_обозначение,8,FALSE)),""))</f>
        <v/>
      </c>
      <c r="BP352">
        <f t="shared" si="628"/>
        <v>230</v>
      </c>
      <c r="BQ352">
        <f>IF(B352="","",IF(BC352&lt;&gt;"",3,IFERROR(IF(N(VLOOKUP(AX352,Потребители_обозначение,9,FALSE))=0,1,VLOOKUP(AX352,Потребители_обозначение,9,FALSE)),1)))</f>
        <v>1</v>
      </c>
      <c r="BR352">
        <f t="shared" si="629"/>
        <v>1</v>
      </c>
      <c r="BS352" t="str">
        <f>IF(B352="","",_xlfn.LET(_xlpm.bc,IFERROR(IF(VLOOKUP(AX352,Потребители_обозначение,6,FALSE)=0,"",VLOOKUP(AX352,Потребители_обозначение,6,FALSE)&amp;""),""),IF(AND(FK352="да",OR(_xlpm.bc="",_xlpm.bc="мс")),Марка_пож,IF(AND(_xlpm.bc="",BC352&lt;&gt;""),"мс",_xlpm.bc))))</f>
        <v/>
      </c>
      <c r="BT352" t="str">
        <f t="shared" si="630"/>
        <v>мс</v>
      </c>
      <c r="BU352">
        <f>IF(B352="","",_xlfn.LET(_xlpm.cc,IFERROR(N(VLOOKUP(AX352,Потребители_обозначение,7,FALSE)),0),IF(_xlpm.cc&gt;0,_xlpm.cc,IF(BT352="","",IF(N(BR352)=3,5,3)))))</f>
        <v>3</v>
      </c>
      <c r="BV352">
        <f t="shared" si="631"/>
        <v>3</v>
      </c>
      <c r="BW352">
        <f>IFERROR(N(VLOOKUP(AX352,Потребители_обозначение,10,FALSE)),0)</f>
        <v>0</v>
      </c>
      <c r="BX352">
        <f>IFERROR(VLOOKUP(AX352,Потребители_обозначение,5,FALSE),0)</f>
        <v>0</v>
      </c>
      <c r="BY352" s="6" cm="1">
        <f t="array" ref="BY352">IF(B352="","",IF(BC352&lt;&gt;"",IFERROR(_xlfn.XLOOKUP(BC352,Щиты[Щит],Щиты[cos φ]),0.95),IF(BK352=1,IFERROR(_xlfn.XLOOKUP(A352,Щиты[Щит],Щиты[cos φ]),0.95),IF(ISNUMBER(Z352),Z352,IFERROR(IF(BX352=2,_xlfn.IFS(BR352=3,VLOOKUP(BN352,Справочная_двигатели,8,FALSE),BR352=1,VLOOKUP(BN352,Справочная_двигатели,10,TRUE)),IF(AND(Методика="нормы 2026",EQ352="Сил"),0.8,0.95)),0.95)))))</f>
        <v>0.95</v>
      </c>
      <c r="BZ352">
        <f t="shared" si="632"/>
        <v>0</v>
      </c>
      <c r="CA352">
        <f t="shared" si="633"/>
        <v>1</v>
      </c>
      <c r="CB352">
        <f t="shared" si="634"/>
        <v>0</v>
      </c>
      <c r="CC352">
        <f t="shared" si="635"/>
        <v>0</v>
      </c>
      <c r="CD352">
        <f t="shared" si="636"/>
        <v>0</v>
      </c>
      <c r="CE352">
        <f t="shared" si="637"/>
        <v>0</v>
      </c>
      <c r="CF352">
        <f t="shared" si="638"/>
        <v>0</v>
      </c>
      <c r="CG352">
        <f>IF(AX352="",0,_xlfn.LET(_xlpm.v,IFERROR(VLOOKUP(B352,УГО_спр,3,FALSE),IFERROR(VLOOKUP(AX352,УГО_спр,3,FALSE),IFERROR(VLOOKUP(LEFT(AX352,2),УГО_спр,3,FALSE),""))),IF(_xlpm.v="да",30,IF(ISNUMBER(_xlpm.v),_xlpm.v,0))))</f>
        <v>0</v>
      </c>
      <c r="CH352" t="str">
        <f t="shared" si="639"/>
        <v/>
      </c>
      <c r="CI352" t="str">
        <f>_xlfn.LET(_xlpm.k,IFERROR(_xlfn.XLOOKUP(AX352,Коды_код,Коды_утечка)&amp;"",""),IF(_xlpm.k="","дифавтомат",_xlpm.k))</f>
        <v>дифавтомат</v>
      </c>
      <c r="CJ352">
        <f t="shared" si="640"/>
        <v>0</v>
      </c>
      <c r="CK352">
        <f t="shared" si="641"/>
        <v>0</v>
      </c>
      <c r="CL352">
        <f>IF(B352="",0,IFERROR(--VLOOKUP(B352,УГО_спр,4,FALSE),IFERROR(--VLOOKUP(AX352,УГО_спр,4,FALSE),IFERROR(--VLOOKUP(LEFT(AX352,2),УГО_спр,4,FALSE),0))))</f>
        <v>0</v>
      </c>
      <c r="CM352" t="str">
        <f>IF(B352="","",IFERROR(_xlfn.XLOOKUP(AX352,Коды_код,Коды_апп)&amp;"",""))</f>
        <v/>
      </c>
      <c r="CN352" t="str">
        <f t="shared" si="642"/>
        <v/>
      </c>
      <c r="CO352" t="str" cm="1">
        <f t="array" ref="CO352">IF(TRIM(CN352&amp;"")="","",IFERROR(TRIM(INDEX(_xlfn.TEXTSPLIT(CN352&amp;";;;",";"),1)),""))</f>
        <v/>
      </c>
      <c r="CP352" t="str" cm="1">
        <f t="array" ref="CP352">IF(TRIM(CN352&amp;"")="","",IFERROR(TRIM(INDEX(_xlfn.TEXTSPLIT(CN352&amp;";;;",";"),2)),""))</f>
        <v/>
      </c>
      <c r="CQ352" t="str" cm="1">
        <f t="array" ref="CQ352">IF(TRIM(CN352&amp;"")="","",IFERROR(TRIM(INDEX(_xlfn.TEXTSPLIT(CN352&amp;";;;",";"),3)),""))</f>
        <v/>
      </c>
      <c r="CR352">
        <f t="shared" si="643"/>
        <v>0</v>
      </c>
      <c r="CS352" t="str">
        <f>IF(B352="","",_xlfn.LET(_xlpm.t,LOWER(AV352&amp;""),IF(ISNUMBER(SEARCH("dim",_xlpm.t)),"DIM",IF(ISNUMBER(SEARCH("dali",_xlpm.t)),"DALI",IF(OR(ISNUMBER(SEARCH("relay",_xlpm.t)),ISNUMBER(SEARCH("реле",_xlpm.t))),"Relay",IF(ISNUMBER(SEARCH("кнопк",_xlpm.t)),"",IFERROR(_xlfn.XLOOKUP(AX352,Коды_код,Коды_упр)&amp;"","")))))))</f>
        <v/>
      </c>
      <c r="CT352" t="str">
        <f t="shared" si="644"/>
        <v/>
      </c>
      <c r="CU352">
        <f>IF(B352="","",_xlfn.LET(_xlpm.ig,N(P352)+IF(AF352="вручную",0,N(CB352)),_xlpm.n0,IFERROR(VLOOKUP(_xlpm.ig,Автомат_номиналы,2,TRUE),0),_xlpm.mn,MAX(CL352,IF(AF352="вручную",0,N(CE352))),MAX(_xlpm.n0,_xlpm.mn,IF(CR352=1,Мин_автомат_БП,0))))</f>
        <v>16</v>
      </c>
      <c r="CV352">
        <f t="shared" si="645"/>
        <v>1</v>
      </c>
      <c r="CW352" t="str">
        <f t="shared" si="646"/>
        <v>1P</v>
      </c>
      <c r="CX352" t="str">
        <f>_xlfn.LET(_xlpm.cc,UPPER(TRIM(IFERROR(_xlfn.XLOOKUP(AX352,Коды_код,Коды_хар)&amp;"",""))),IF(OR(_xlpm.cc="B",_xlpm.cc="В"),"B",IF(_xlpm.cc="D","D","С")))</f>
        <v>С</v>
      </c>
      <c r="CY352" t="str">
        <f t="shared" si="647"/>
        <v>1P С16А</v>
      </c>
      <c r="CZ352">
        <f t="shared" si="648"/>
        <v>16</v>
      </c>
      <c r="DA352" t="str">
        <f t="shared" si="649"/>
        <v>1P С16А</v>
      </c>
      <c r="DB352" cm="1">
        <f t="array" ref="DB352">IF(DA352="","",_xlfn.LET(_xlpm.t,SUBSTITUTE(SUBSTITUTE(SUBSTITUTE(UPPER(DA352),"С","C"),"А","A"),"В","B"),_xlpm.tk,_xlfn.TEXTSPLIT(_xlpm.t,"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52" t="str">
        <f t="shared" si="650"/>
        <v>ok</v>
      </c>
      <c r="DD352">
        <f t="shared" si="651"/>
        <v>16</v>
      </c>
      <c r="DE352" t="str">
        <f t="shared" si="652"/>
        <v>1P С16А</v>
      </c>
      <c r="DF352">
        <f t="shared" si="653"/>
        <v>0</v>
      </c>
      <c r="DG352">
        <f t="shared" si="654"/>
        <v>0</v>
      </c>
      <c r="DH352">
        <f t="shared" si="655"/>
        <v>0</v>
      </c>
      <c r="DI352">
        <f t="shared" si="656"/>
        <v>9.8453414324967756</v>
      </c>
      <c r="DJ352">
        <f t="shared" si="657"/>
        <v>1</v>
      </c>
      <c r="DK352">
        <f>IF(ISNUMBER(AL352),AL352,К_прокл)</f>
        <v>1</v>
      </c>
      <c r="DL352">
        <f t="shared" si="658"/>
        <v>2</v>
      </c>
      <c r="DM352">
        <f>IFERROR(N(VLOOKUP(BT352,Кабель_обозначение,3,FALSE)),1)</f>
        <v>1</v>
      </c>
      <c r="DN352">
        <f>IFERROR(N(_xlfn.XLOOKUP(A352,Щиты[Щит],Щиты[ΔU до шин, %])),0)</f>
        <v>2.4899999999999998</v>
      </c>
      <c r="DO352" t="str">
        <f>IFERROR(_xlfn.XLOOKUP(A352,Щиты[Щит],Щиты[Zпетли на шинах, Ом]),"")</f>
        <v/>
      </c>
      <c r="DP352">
        <f>IFERROR(N(_xlfn.XLOOKUP(A352,Щиты[Щит],Щиты[ΔU до шин (подбор), %])),0)</f>
        <v>3.73</v>
      </c>
      <c r="DQ352" t="str">
        <f>IFERROR(_xlfn.XLOOKUP(A352,Щиты[Щит],Щиты[Zпетли на шинах (подбор), Ом]),"")</f>
        <v/>
      </c>
      <c r="DR352" t="str">
        <f t="shared" si="659"/>
        <v/>
      </c>
      <c r="DS352">
        <f t="shared" si="660"/>
        <v>66</v>
      </c>
      <c r="DT352">
        <f t="shared" si="661"/>
        <v>2</v>
      </c>
      <c r="DU352">
        <f t="shared" si="662"/>
        <v>0.31</v>
      </c>
      <c r="DV352" s="6">
        <f>IF(B352="","",IF(IFERROR(VLOOKUP(AX352,УГО_спр,2,FALSE),"")="Светильник",3,4)+IF(Методика="нормы 2026",MIN(0.5,MAX(0,N(Q352)-100)*0.005),0))</f>
        <v>4</v>
      </c>
      <c r="DW352" cm="1">
        <f t="array" ref="DW352">IF(OR(B352="",BT352="",DM352&lt;&gt;1),"",_xlfn.LET(_xlpm.sz,Iдоп_S,_xlpm.t_,CHOOSE(DL352,Iдоп_1ж,Iдоп_2ж,Iдоп_3ж)*DJ352*DK352,_xlpm.inn,N(DD352),_xlpm.smin,MAX(1.5,BW352),_xlpm.L_,N(Q352)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352)*(_xlpm.rho*_xlpm.L_/_xlpm.sz*N(BY352)+_xlpm.xx*_xlpm.L_*N(DU352)/1000)*N(P352)/((Uн_лин/SQRT(3))*1000)*100,999),_xlpm.kz,IF(OR(DG352=1,NOT(ISNUMBER(DQ352)),_xlpm.L_=0,_xlpm.inn=0),1,IFERROR(--(c_min*(Uн_лин*1000/SQRT(3))/(DQ352+2*ρкз_Cu*_xlpm.L_/_xlpm.sz)&gt;=GY352*_xlpm.inn),0)),_xlpm.ok,IFERROR((_xlpm.sz&gt;=_xlpm.smin)*(_xlpm.t_&gt;=_xlpm.inn)*IF(_xlpm.L_&gt;0,(_xlpm.du_+DP352&lt;=DV352+0.00001),1)*_xlpm.kz,0),_xlpm.r_,_xlfn._xlws.FILTER(_xlpm.sz,_xlpm.ok,"не подобрано"),INDEX(_xlpm.r_,1)))</f>
        <v>50</v>
      </c>
      <c r="DX352">
        <f t="shared" si="663"/>
        <v>2.5</v>
      </c>
      <c r="DY352" cm="1">
        <f t="array" ref="DY352">IF(OR(B352="",BT352="",DM352&lt;&gt;1),"",_xlfn.LET(_xlpm.sz,Iдоп_S,_xlpm.t_,CHOOSE(DL352,Iдоп_1ж,Iдоп_2ж,Iдоп_3ж)*DJ352*DK352,_xlpm.ok,IFERROR((_xlpm.sz&gt;=MAX(1.5,BW352))*(_xlpm.t_&gt;=N(DD352)),0),_xlpm.r_,_xlfn._xlws.FILTER(_xlpm.sz,_xlpm.ok,""),INDEX(_xlpm.r_,1)))</f>
        <v>1.5</v>
      </c>
      <c r="DZ352" s="6" cm="1">
        <f t="array" ref="DZ352">IFERROR(ROUNDUP(N(DT352)*(_xlfn.XLOOKUP(DY352,INDEX(Кабель_сопротивление,0,1),INDEX(Кабель_сопротивление,0,3))*N(Q352)/DY352*N(BY352)+_xlfn.XLOOKUP(DY352,INDEX(Кабель_сопротивление,0,1),INDEX(Кабель_сопротивление,0,2))*N(Q352)*N(DU352)/1000)*N(P352)/((Uн_лин/SQRT(3))*1000)*100,2),"")</f>
        <v>8.0399999999999991</v>
      </c>
      <c r="EA352">
        <f>IFERROR(2*ρкз_Cu*N(Q352)/DY352,"")</f>
        <v>2.3144</v>
      </c>
      <c r="EB352">
        <f>IFERROR(VLOOKUP(DX352,Кабель_сопротивление,3,FALSE),"")</f>
        <v>2.2499999999999999E-2</v>
      </c>
      <c r="EC352">
        <f>IFERROR(VLOOKUP(DX352,Кабель_сопротивление,2,FALSE),"")</f>
        <v>0.1</v>
      </c>
      <c r="ED352">
        <f t="shared" si="664"/>
        <v>12</v>
      </c>
      <c r="EE352">
        <f t="shared" si="665"/>
        <v>55</v>
      </c>
      <c r="EF352">
        <f t="shared" si="666"/>
        <v>11.151739477857635</v>
      </c>
      <c r="EG352" s="6">
        <f>IFERROR(ROUNDUP(EF352/((Uн_лин/SQRT(3))*1000)*100,2),"")</f>
        <v>4.83</v>
      </c>
      <c r="EH352" t="str">
        <f>IFERROR(VLOOKUP(BT352,Кабель_обозначение,2,FALSE),"")</f>
        <v>ВВГнг(А)-LS</v>
      </c>
      <c r="EI352" t="str">
        <f t="shared" si="667"/>
        <v>ВВГнг(А)-LS (3х2,5)</v>
      </c>
      <c r="EJ352" t="str">
        <f t="shared" si="668"/>
        <v>ВВГнг(А)-LS (3х2,5)
L=66-4,83%</v>
      </c>
      <c r="EK352">
        <f>IFERROR(2*ρкз_Cu*Q352/DX352,"")</f>
        <v>1.3886400000000001</v>
      </c>
      <c r="EL352">
        <f t="shared" si="669"/>
        <v>0.46200000000000002</v>
      </c>
      <c r="EM352" s="6" t="str">
        <f>IFERROR(IF(OR(B352="",NOT(ISNUMBER(DX352)),N(Q352)=0),"",_xlfn.XLOOKUP(A352,Щиты[Щит],Щиты[Zпетли на шинах, Ом])+EK352),"")</f>
        <v/>
      </c>
      <c r="EN352" s="6" t="str">
        <f>IF(ISNUMBER(EM352),c_min*(Uн_лин*1000/SQRT(3))/EM352,"")</f>
        <v/>
      </c>
      <c r="EO352" s="6" t="str">
        <f>IFERROR(IF(OR(B352="",NOT(ISNUMBER(DX352))),"",1.05*(Uн_лин*1000/SQRT(3))/(_xlfn.XLOOKUP(A352,Щиты[Щит],Щиты[Zmax на шинах, Ом])+EL352)/1000),"")</f>
        <v/>
      </c>
      <c r="EP352" s="6" t="str">
        <f>IF(B352="","",IF(ISNUMBER(Y352),"Сил",IF(IFERROR(_xlfn.XLOOKUP(AX352,Коды_код,Коды_группа)&amp;"","")="","Быт",_xlfn.XLOOKUP(AX352,Коды_код,Коды_группа)&amp;"")))</f>
        <v>Быт</v>
      </c>
      <c r="EQ352" s="6" t="str">
        <f t="shared" si="670"/>
        <v>Пост</v>
      </c>
      <c r="ER352" s="6">
        <f>IF(EQ352="Щит","щит",IF(EQ352="","",IF(EQ352="Быт",IFERROR(_xlfn.XLOOKUP(A352,Щиты[Щит],Щиты[Кс быт]),1),IF(EQ352="Сил",IF(ISNUMBER(Y352),Y352,IF(Методика="нормы 2026",IFERROR(_xlfn.XLOOKUP(A352,Щиты[Щит],Щиты[Кс силовых (табл. 7.5)]),1),1)),IF(OR(EQ352="Пост",EQ352="Отоп"),1,IF(EQ352="ВНГ",0.7,0))))))</f>
        <v>1</v>
      </c>
      <c r="ES352">
        <f t="shared" si="671"/>
        <v>1</v>
      </c>
      <c r="ET352">
        <f t="shared" si="672"/>
        <v>2.16</v>
      </c>
      <c r="EU352">
        <f t="shared" si="673"/>
        <v>0</v>
      </c>
      <c r="EV352">
        <f t="shared" si="674"/>
        <v>0</v>
      </c>
      <c r="EW352">
        <f t="shared" si="675"/>
        <v>2.16</v>
      </c>
      <c r="EX352">
        <f t="shared" si="676"/>
        <v>0</v>
      </c>
      <c r="EY352">
        <f t="shared" si="677"/>
        <v>0</v>
      </c>
      <c r="EZ352">
        <f t="shared" si="678"/>
        <v>2.16</v>
      </c>
      <c r="FA352">
        <f t="shared" si="679"/>
        <v>2.052</v>
      </c>
      <c r="FB352">
        <f t="shared" si="680"/>
        <v>2.16</v>
      </c>
      <c r="FC352" t="str">
        <f t="shared" si="681"/>
        <v/>
      </c>
      <c r="FD352" t="str">
        <f>IF(B352="","",IF(CA352=0,IF(AW352=1,"",FF351),IF(OR(N(CV352)&gt;=3,N(BR352)&gt;=3),"L1,L2,L3",IFERROR(_xlfn.TEXTBEFORE(_xlfn.TEXTAFTER(_xlfn.XLOOKUP(A352,Щиты[Щит],Щиты[_фазы авто]),";"&amp;AW352&amp;":"),";"),"L1"))))</f>
        <v>L2</v>
      </c>
      <c r="FE352" t="str">
        <f t="shared" si="682"/>
        <v>L2</v>
      </c>
      <c r="FF352" t="str">
        <f t="shared" si="683"/>
        <v>L2</v>
      </c>
      <c r="FG352" cm="1">
        <f t="array" ref="FG352">IFERROR(IF(BX352=2,_xlfn.IFS(BR352=3,VLOOKUP(BN352,Справочная_двигатели,3,FALSE),BR352=1,VLOOKUP(BN352,Справочная_двигатели,5,TRUE)),0),0)</f>
        <v>0</v>
      </c>
      <c r="FH352">
        <f>IFERROR(IF(BX352=3,VLOOKUP(BN352,Справочная_ЛЭД,2,TRUE),0),0)</f>
        <v>0</v>
      </c>
      <c r="FI352" s="6">
        <f t="shared" si="684"/>
        <v>0</v>
      </c>
      <c r="FJ352" t="str" cm="1">
        <f t="array" ref="FJ352">IF(B352="","",IFERROR(INDEX({"I особая","I","II","III"},MATCH(TRIM(AC352&amp;""),{"I особая","I","II","III"},0)),"III"))</f>
        <v>II</v>
      </c>
      <c r="FK352" t="str">
        <f>IF(B352="","",IF(TRIM(AD352&amp;"")&lt;&gt;"",IF(LOWER(TRIM(AD352&amp;""))="да","да","нет"),IF(IFERROR(_xlfn.XLOOKUP(AX352,Коды_код,Коды_пожарная),"")="да","да","нет")))</f>
        <v>нет</v>
      </c>
      <c r="FL352" t="str">
        <f t="shared" si="685"/>
        <v/>
      </c>
      <c r="FM352" t="str">
        <f t="shared" si="686"/>
        <v>основная</v>
      </c>
      <c r="FN352">
        <f t="shared" si="687"/>
        <v>1</v>
      </c>
      <c r="FO352" t="str" cm="1">
        <f t="array" ref="FO352">IF(B352="","",_xlfn.LET(_xlpm.t,IFERROR(_xlfn.XLOOKUP(1,(Шины[Шина]=FM352)*(((Шины[Щит]=A352)+(Шины[Щит]=""))&gt;0),Шины[Тип]),"")&amp;"",IF(_xlpm.t&lt;&gt;"",_xlpm.t,IF(ISNUMBER(SEARCH("ИБП",FM352)),"ИБП",IF(ISNUMBER(SEARCH("ДГУ",FM352)),"ДГУ","Ввод "&amp;FN352)))))</f>
        <v>Ввод 1</v>
      </c>
      <c r="FP352" t="str">
        <f t="shared" si="688"/>
        <v>Ввод 1</v>
      </c>
      <c r="FQ352" t="str">
        <f>IF(B352="","",IF(OR(FO352="ИБП",FO352="ДГУ"),"I особая",IF(FO352="Одиночная","III",_xlfn.XLOOKUP(A352,Щиты[Щит],Щиты[Категория шины «Ввод»],"III"))))</f>
        <v>II</v>
      </c>
      <c r="FR352">
        <f>IF(B352="",0,IFERROR(MATCH(FJ352,{"III","II","I","I особая"},0),1))</f>
        <v>2</v>
      </c>
      <c r="FS352">
        <f t="shared" si="689"/>
        <v>2</v>
      </c>
      <c r="FT352" t="str">
        <f>IF(B352="","",IF(FR352&gt;IFERROR(MATCH(FQ352,{"III","II","I","I особая"},0),1),"НЕ ОБЕСПЕЧЕНА","ОК"))</f>
        <v>ОК</v>
      </c>
      <c r="FU352" t="str">
        <f>IF(A352="","",_xlfn.XLOOKUP(A352,Щиты[Щит],Щиты[Путь],""))</f>
        <v>|ГРЩ-ЖД|ЩУОВ|</v>
      </c>
      <c r="FV352" t="str">
        <f>IF(B352="","",IF(AE352&lt;&gt;"",AE352,IF(IFERROR(_xlfn.XLOOKUP(AX352,Коды_код,Коды_вид)&amp;"","")="","Прочее",_xlfn.XLOOKUP(AX352,Коды_код,Коды_вид)&amp;"")))</f>
        <v>Обогрев водостоков и кровли</v>
      </c>
      <c r="FW352">
        <f>IF(BH352="","",INT((BH352-1)/Столбцов_на_лист)+1)</f>
        <v>2</v>
      </c>
      <c r="FX352" t="str">
        <f t="shared" si="690"/>
        <v>ВВГнг(А)-LS (3х2,5) L=66-4,83%</v>
      </c>
      <c r="FY352">
        <f t="shared" si="691"/>
        <v>2.16</v>
      </c>
      <c r="FZ352">
        <f t="shared" si="692"/>
        <v>9.85</v>
      </c>
      <c r="GA352">
        <f t="shared" si="693"/>
        <v>1</v>
      </c>
      <c r="GB352">
        <f t="shared" si="694"/>
        <v>0</v>
      </c>
      <c r="GC352">
        <f t="shared" si="695"/>
        <v>1</v>
      </c>
      <c r="GD352">
        <f>IF(BH352="","",IF(AND(CA352=1,GC352=1),COUNTIFS(A$3:A352,A352,CA$3:CA352,1,GC$3:GC352,1),IF(OR(OR(AW352=1,A352&lt;&gt;A351),AF352="вручную",GC352=0),"",IF(AW352=1,"",GE351))))</f>
        <v>11</v>
      </c>
      <c r="GE352">
        <f t="shared" si="696"/>
        <v>11</v>
      </c>
      <c r="GF352">
        <f>IF(B352="","",IFERROR(LOOKUP(INDEX(CHOOSE(DL352,Iдоп_1ж,Iдоп_2ж,Iдоп_3ж),MATCH(DX352,Iдоп_S,0))*DJ352*DK352,{6,10,16,20,25,32,40,50,63,80,100,125,160,200,250,315,400,500,630}),""))</f>
        <v>25</v>
      </c>
      <c r="GG352" t="str">
        <f t="shared" si="697"/>
        <v>QF11</v>
      </c>
      <c r="GH352" t="str">
        <f t="shared" si="698"/>
        <v>QF11</v>
      </c>
      <c r="GI352" t="str">
        <f t="shared" si="699"/>
        <v/>
      </c>
      <c r="GJ352">
        <f t="shared" si="700"/>
        <v>0</v>
      </c>
      <c r="GK352" t="str">
        <f>IF(OR(AG352="",AG352="-"),"",IFERROR(VLOOKUP(AG352,Модули_спр,2,FALSE),"R"))</f>
        <v/>
      </c>
      <c r="GL352" t="str">
        <f>IF(GK352="","",GK352&amp;"."&amp;COUNTIFS(A$3:A352,A352,GK$3:GK352,GK352))</f>
        <v/>
      </c>
      <c r="GM352" t="str">
        <f t="shared" si="701"/>
        <v/>
      </c>
      <c r="GN352" t="str">
        <f t="shared" si="702"/>
        <v/>
      </c>
      <c r="GO352" t="str">
        <f t="shared" si="703"/>
        <v/>
      </c>
      <c r="GP352" t="str">
        <f t="shared" si="704"/>
        <v/>
      </c>
      <c r="GQ352">
        <f t="shared" si="705"/>
        <v>1</v>
      </c>
      <c r="GR352" t="str">
        <f>IF(GQ352=1,"XT"&amp;COUNTIFS(A$3:A352,A352,GQ$3:GQ352,1),"")</f>
        <v>XT11</v>
      </c>
      <c r="GS352" t="str">
        <f t="shared" si="706"/>
        <v/>
      </c>
      <c r="GT352" t="str">
        <f t="shared" si="707"/>
        <v>QF11</v>
      </c>
      <c r="GU352" t="str">
        <f t="shared" si="708"/>
        <v/>
      </c>
      <c r="GV352" t="str">
        <f t="shared" si="709"/>
        <v>ok</v>
      </c>
      <c r="GW352" t="str">
        <f>IF(OR(GO352="",GM352=""),"",IF(GO352&gt;IFERROR(VLOOKUP(GN352,Модули_спр,3,FALSE),99),"ЛИШНИЙ КАНАЛ",IF(AND(AH352&lt;&gt;"=",COUNTIFS(Линии[_модуль гр.],GM352,Линии[Канал (итог)],GO352,Линии[Канал],"&lt;&gt;=",Линии[Щит],A352)&gt;1),"ДУБЛЬ КАНАЛА","")))</f>
        <v/>
      </c>
      <c r="GX352" s="6" t="str">
        <f t="shared" si="710"/>
        <v/>
      </c>
      <c r="GY352">
        <f t="shared" si="711"/>
        <v>10</v>
      </c>
      <c r="GZ352" t="str">
        <f t="shared" si="712"/>
        <v/>
      </c>
      <c r="HA352" t="str">
        <f>IF(AND(B352="",GT352=""),"",_xlfn.TEXTJOIN("; ",TRUE,IF(AND(B352&lt;&gt;"",FE352=""),"нет фазы",""),IF(AND(B352&lt;&gt;"",N(FY352)=0,EQ352&lt;&gt;"Нет"),"нет мощности",""),IF(AND(GS352&lt;&gt;"",COUNTIFS(Линии[Щит],A352,Линии[Клемма (итог)],GS352)&gt;1),"дубль клеммы "&amp;GS352,""),IF(AND(GV352&lt;&gt;"",GV352&lt;&gt;"ok"),GV352,""),IF(GW352&lt;&gt;"",GW352,""),IF(AND(N(BV352)&gt;=4,N(BR352)=1),BV352&amp;" жил на 1 фазе",""),IF(AND(AX352="R",CA352=1,OR(N(CK352)=0,N(CK352)&gt;30)),"розетка без дифзащиты до 30 мА",""),IFERROR(IF(AND(ISNUMBER(R352),R352&gt;DV352),"потери "&amp;FIXED(R352,1)&amp;" % &gt; "&amp;DV352&amp;" %",""),""),IFERROR(IF(LEFT(GZ352,4)="мало","Iкз мало — отключение &gt; 0,4 с",""),""),IF(AND(B352&lt;&gt;"",BH352=""),"не на схеме",""),IF(AND(CA352=0,B352&lt;&gt;"",FE352&lt;&gt;"",IF(AW352=1,"",FF351)&lt;&gt;"",FE352&lt;&gt;IF(AW352=1,"",FF351)),"фаза не как у автомата группы ("&amp;IF(AW352=1,"",FF351)&amp;")","")))</f>
        <v>потери 7,3 % &gt; 4 %</v>
      </c>
      <c r="HB352" s="6">
        <f>IF(OR(CA352=0,DA352=""),"",_xlfn.LET(_xlpm.t,IFERROR(_xlfn.XLOOKUP(DA352,Каталог!$U$4:$U$500,Каталог!$G$4:$G$500),""),_xlpm.k,SEARCH("кА",_xlpm.t),IFERROR(--TRIM(RIGHT(SUBSTITUTE(MID(_xlpm.t,MAX(1,_xlpm.k-4),_xlpm.k-MAX(1,_xlpm.k-4))," ",REPT(" ",9)),5)),"")))</f>
        <v>6</v>
      </c>
      <c r="HC352" t="str">
        <f>IF(OR(HB352="",CA352=0),"",IF(_xlfn.XLOOKUP(A352,Щиты[Щит],Щиты[Iкз max на шинах, кА],"")="","",IF(HB352&lt;_xlfn.XLOOKUP(A352,Щиты[Щит],Щиты[Iкз max на шинах, кА]),"Icu "&amp;HB352&amp;" кА &lt; Iкз max","ok")))</f>
        <v/>
      </c>
      <c r="HD352" t="str">
        <f t="shared" si="713"/>
        <v/>
      </c>
      <c r="HE352" t="str">
        <f t="shared" si="714"/>
        <v>QF11</v>
      </c>
      <c r="HF352" t="str">
        <f t="shared" si="715"/>
        <v>QF11|кабель ВВГнг(А)-LS (3х2,5) → Обогревл ливнестоков Кровля</v>
      </c>
      <c r="HG352" t="str" cm="1">
        <f t="array" ref="HG352">IF(HF352="","",_xlfn.LET(_xlpm.nd,_xlfn.TEXTSPLIT(HF352,"|"),IF(COLUMNS(_xlpm.nd)&gt;1,A352&amp;"¦"&amp;INDEX(_xlpm.nd,1)&amp;"¦"&amp;INDEX(_xlpm.nd,2),"")))</f>
        <v>ЩУОВ¦QF11¦кабель ВВГнг(А)-LS (3х2,5) → Обогревл ливнестоков Кровля</v>
      </c>
      <c r="HH352" t="str">
        <f t="shared" si="716"/>
        <v>OV.4.1.4¦Обогревл ливнестоков Кровля</v>
      </c>
      <c r="HI352" t="str" cm="1">
        <f t="array" ref="HI352">IF(HF352="","",_xlfn.LET(_xlpm.nd,_xlfn.TEXTSPLIT(HF352,"|"),IF(COLUMNS(_xlpm.nd)&gt;2,A352&amp;"¦"&amp;INDEX(_xlpm.nd,2)&amp;"¦"&amp;INDEX(_xlpm.nd,3),"")))</f>
        <v/>
      </c>
      <c r="HJ352" t="str">
        <f t="shared" si="717"/>
        <v/>
      </c>
      <c r="HK352" t="str" cm="1">
        <f t="array" ref="HK352">IF(HF352="","",_xlfn.LET(_xlpm.nd,_xlfn.TEXTSPLIT(HF352,"|"),IF(COLUMNS(_xlpm.nd)&gt;3,A352&amp;"¦"&amp;INDEX(_xlpm.nd,3)&amp;"¦"&amp;INDEX(_xlpm.nd,4),"")))</f>
        <v/>
      </c>
      <c r="HL352" t="str">
        <f t="shared" si="718"/>
        <v/>
      </c>
      <c r="HM352" t="str" cm="1">
        <f t="array" ref="HM352">IF(HF352="","",_xlfn.LET(_xlpm.nd,_xlfn.TEXTSPLIT(HF352,"|"),IF(COLUMNS(_xlpm.nd)&gt;4,A352&amp;"¦"&amp;INDEX(_xlpm.nd,4)&amp;"¦"&amp;INDEX(_xlpm.nd,5),"")))</f>
        <v/>
      </c>
      <c r="HN352" t="str">
        <f t="shared" si="719"/>
        <v/>
      </c>
      <c r="HO352" t="str" cm="1">
        <f t="array" ref="HO352">IF(HF352="","",_xlfn.LET(_xlpm.nd,_xlfn.TEXTSPLIT(HF352,"|"),IF(COLUMNS(_xlpm.nd)&gt;5,A352&amp;"¦"&amp;INDEX(_xlpm.nd,5)&amp;"¦"&amp;INDEX(_xlpm.nd,6),"")))</f>
        <v/>
      </c>
      <c r="HP352" t="str">
        <f t="shared" si="720"/>
        <v/>
      </c>
      <c r="HQ352" t="str" cm="1">
        <f t="array" ref="HQ352">IF(HF352="","",_xlfn.LET(_xlpm.nd,_xlfn.TEXTSPLIT(HF352,"|"),IF(COLUMNS(_xlpm.nd)&gt;6,A352&amp;"¦"&amp;INDEX(_xlpm.nd,6)&amp;"¦"&amp;INDEX(_xlpm.nd,7),"")))</f>
        <v/>
      </c>
      <c r="HR352" t="str">
        <f t="shared" si="721"/>
        <v/>
      </c>
      <c r="HS352" t="str">
        <f t="shared" si="722"/>
        <v/>
      </c>
      <c r="HT352" t="str">
        <f t="shared" si="723"/>
        <v>QF11</v>
      </c>
      <c r="HU352">
        <f t="shared" si="724"/>
        <v>0</v>
      </c>
      <c r="HV352">
        <f t="shared" si="725"/>
        <v>0</v>
      </c>
      <c r="HW352" t="str">
        <f t="shared" si="726"/>
        <v/>
      </c>
      <c r="HX352" t="str">
        <f t="shared" si="727"/>
        <v/>
      </c>
      <c r="HY352" t="str">
        <f t="shared" si="728"/>
        <v/>
      </c>
      <c r="HZ352" t="str">
        <f t="shared" si="729"/>
        <v/>
      </c>
      <c r="IA352" t="str">
        <f>IF(B352="","",IFERROR(VLOOKUP(B352,УГО_спр,2,FALSE),IFERROR(VLOOKUP(AX352,УГО_спр,2,FALSE),IFERROR(VLOOKUP(LEFT(AX352,2),УГО_спр,2,FALSE),""))))</f>
        <v/>
      </c>
      <c r="IB352" t="str">
        <f>IF(B352="","",IF(OR(IA352="",IA352=0),"BOX",IFERROR(IF(VLOOKUP(IA352,УГО_блоки,3,FALSE)&amp;""&lt;&gt;"",VLOOKUP(IA352,УГО_блоки,3,FALSE),VLOOKUP(IA352,УГО_блоки,2,FALSE)),IA352)))</f>
        <v>BOX</v>
      </c>
      <c r="IC352">
        <f t="shared" si="730"/>
        <v>1</v>
      </c>
      <c r="ID352" t="str">
        <f>IF(DA352="","",IF(COUNTIF(DA$3:DA352,DA352)=1,MAX(ID$2:ID351)+1,""))</f>
        <v/>
      </c>
      <c r="IE352" t="str">
        <f>IF(CO352="","",IF(COUNTIF(CO$3:CO352,CO352)+COUNTIF(CP$2:CP351,CO352)+COUNTIF(CQ$2:CQ351,CO352)=1,MAX(IE$2:IG351)+1,""))</f>
        <v/>
      </c>
      <c r="IF352" t="str">
        <f>IF(CP352="","",IF(COUNTIF(CO$3:CO352,CP352)+COUNTIF(CP$3:CP352,CP352)+COUNTIF(CQ$2:CQ351,CP352)=1,MAX(IE$2:IG351,IE352)+1,""))</f>
        <v/>
      </c>
      <c r="IG352" t="str">
        <f>IF(CQ352="","",IF(COUNTIF(CO$3:CO352,CQ352)+COUNTIF(CP$3:CP352,CQ352)+COUNTIF(CQ$3:CQ352,CQ352)=1,MAX(IE$2:IG351,IE352,IF352)+1,""))</f>
        <v/>
      </c>
      <c r="IH352" t="str">
        <f t="shared" si="731"/>
        <v>3х2,5</v>
      </c>
      <c r="II352" t="str">
        <f>IF(IH352="","",IF(COUNTIF(IH$3:IH352,IH352)=1,MAX(II$2:II351)+1,""))</f>
        <v/>
      </c>
      <c r="IJ352" t="str">
        <f>IF(GL352="","",COUNTIF(GL$3:GL352,"?*"))</f>
        <v/>
      </c>
      <c r="IK352" t="str">
        <f>IF(OR(GL352="",GN352=""),"",IF(COUNTIFS(GL$3:GL352,"?*",GN$3:GN352,GN352)=1,MAX(IK$2:IK351)+1,""))</f>
        <v/>
      </c>
      <c r="IL352">
        <f t="shared" si="732"/>
        <v>1</v>
      </c>
      <c r="IM352">
        <f>IF(B352="","",COUNTIF(B$3:B352,"?*"))</f>
        <v>350</v>
      </c>
      <c r="IN352">
        <f>IF(GQ352&lt;&gt;1,0,_xlfn.LET(_xlpm.k,MAX(IFERROR(--VLOOKUP(B352,УГО_спр,5,FALSE),0),IFERROR(--VLOOKUP(AX352,УГО_спр,5,FALSE),0),IFERROR(--VLOOKUP(LEFT(AX352,2),УГО_спр,5,FALSE),0)),IF(_xlpm.k&gt;0,_xlpm.k,IF(IFERROR(--LEFT(SUBSTITUTE(IH352,"x","х"),FIND("х",SUBSTITUTE(IH352,"x","х"))-1),3)&gt;3,Каталог!$S$9,1))))</f>
        <v>1</v>
      </c>
      <c r="IO352">
        <f t="shared" si="733"/>
        <v>0</v>
      </c>
      <c r="IP352" t="str">
        <f t="shared" si="734"/>
        <v>авто</v>
      </c>
      <c r="IQ352" t="str">
        <f t="shared" si="735"/>
        <v/>
      </c>
      <c r="IR352">
        <f t="shared" si="736"/>
        <v>0</v>
      </c>
      <c r="IS352">
        <f t="shared" si="737"/>
        <v>1</v>
      </c>
    </row>
  </sheetData>
  <mergeCells count="1">
    <mergeCell ref="A1:C1"/>
  </mergeCells>
  <conditionalFormatting sqref="A3:IS653">
    <cfRule type="expression" dxfId="78" priority="1" stopIfTrue="1">
      <formula>$BI3="вводной узел"</formula>
    </cfRule>
    <cfRule type="expression" dxfId="77" priority="2" stopIfTrue="1">
      <formula>ODD($BF3)</formula>
    </cfRule>
    <cfRule type="expression" dxfId="76" priority="3" stopIfTrue="1">
      <formula>AND($AW3&gt;1,$A3&lt;&gt;$A2)</formula>
    </cfRule>
    <cfRule type="expression" dxfId="75" priority="4" stopIfTrue="1">
      <formula>AND($A3=$A2,$FW3&lt;&gt;$FW2,$FW3&lt;&gt;"")</formula>
    </cfRule>
  </conditionalFormatting>
  <conditionalFormatting sqref="C3:C653">
    <cfRule type="expression" dxfId="74" priority="5" stopIfTrue="1">
      <formula>_xlfn.ISFORMULA(C3)</formula>
    </cfRule>
    <cfRule type="expression" dxfId="73" priority="6" stopIfTrue="1">
      <formula>AND(NOT(_xlfn.ISFORMULA(C3)),C3&lt;&gt;"")</formula>
    </cfRule>
  </conditionalFormatting>
  <conditionalFormatting sqref="E3:E653">
    <cfRule type="expression" dxfId="72" priority="7" stopIfTrue="1">
      <formula>_xlfn.ISFORMULA(E3)</formula>
    </cfRule>
    <cfRule type="expression" dxfId="71" priority="8" stopIfTrue="1">
      <formula>AND(NOT(_xlfn.ISFORMULA(E3)),E3&lt;&gt;"")</formula>
    </cfRule>
  </conditionalFormatting>
  <conditionalFormatting sqref="F3:F653">
    <cfRule type="expression" dxfId="70" priority="9" stopIfTrue="1">
      <formula>F3&lt;&gt;""</formula>
    </cfRule>
  </conditionalFormatting>
  <conditionalFormatting sqref="G3:G653">
    <cfRule type="expression" dxfId="69" priority="10" stopIfTrue="1">
      <formula>_xlfn.ISFORMULA(G3)</formula>
    </cfRule>
    <cfRule type="expression" dxfId="68" priority="11" stopIfTrue="1">
      <formula>AND(NOT(_xlfn.ISFORMULA(G3)),G3&lt;&gt;"")</formula>
    </cfRule>
  </conditionalFormatting>
  <conditionalFormatting sqref="H3:H653">
    <cfRule type="expression" dxfId="67" priority="12" stopIfTrue="1">
      <formula>_xlfn.ISFORMULA(H3)</formula>
    </cfRule>
    <cfRule type="expression" dxfId="66" priority="13" stopIfTrue="1">
      <formula>AND(NOT(_xlfn.ISFORMULA(H3)),H3&lt;&gt;"")</formula>
    </cfRule>
  </conditionalFormatting>
  <conditionalFormatting sqref="I3:I653">
    <cfRule type="expression" dxfId="65" priority="14" stopIfTrue="1">
      <formula>_xlfn.ISFORMULA(I3)</formula>
    </cfRule>
    <cfRule type="expression" dxfId="64" priority="15" stopIfTrue="1">
      <formula>AND(NOT(_xlfn.ISFORMULA(I3)),I3&lt;&gt;"")</formula>
    </cfRule>
  </conditionalFormatting>
  <conditionalFormatting sqref="J3:J653">
    <cfRule type="expression" dxfId="63" priority="16" stopIfTrue="1">
      <formula>_xlfn.ISFORMULA(J3)</formula>
    </cfRule>
    <cfRule type="expression" dxfId="62" priority="17" stopIfTrue="1">
      <formula>AND(NOT(_xlfn.ISFORMULA(J3)),J3&lt;&gt;"")</formula>
    </cfRule>
  </conditionalFormatting>
  <conditionalFormatting sqref="K3:K653">
    <cfRule type="expression" dxfId="61" priority="18" stopIfTrue="1">
      <formula>_xlfn.ISFORMULA(K3)</formula>
    </cfRule>
    <cfRule type="expression" dxfId="60" priority="19" stopIfTrue="1">
      <formula>AND(NOT(_xlfn.ISFORMULA(K3)),K3&lt;&gt;"")</formula>
    </cfRule>
  </conditionalFormatting>
  <conditionalFormatting sqref="L3:L653">
    <cfRule type="expression" dxfId="59" priority="20" stopIfTrue="1">
      <formula>_xlfn.ISFORMULA(L3)</formula>
    </cfRule>
    <cfRule type="expression" dxfId="58" priority="21" stopIfTrue="1">
      <formula>AND(NOT(_xlfn.ISFORMULA(L3)),L3&lt;&gt;"")</formula>
    </cfRule>
  </conditionalFormatting>
  <conditionalFormatting sqref="M3:M653">
    <cfRule type="expression" dxfId="57" priority="22" stopIfTrue="1">
      <formula>_xlfn.ISFORMULA(M3)</formula>
    </cfRule>
    <cfRule type="expression" dxfId="56" priority="23" stopIfTrue="1">
      <formula>AND(NOT(_xlfn.ISFORMULA(M3)),M3&lt;&gt;"")</formula>
    </cfRule>
  </conditionalFormatting>
  <conditionalFormatting sqref="N3:N653">
    <cfRule type="expression" dxfId="55" priority="24" stopIfTrue="1">
      <formula>_xlfn.ISFORMULA(N3)</formula>
    </cfRule>
    <cfRule type="expression" dxfId="54" priority="25" stopIfTrue="1">
      <formula>AND(NOT(_xlfn.ISFORMULA(N3)),N3&lt;&gt;"")</formula>
    </cfRule>
  </conditionalFormatting>
  <conditionalFormatting sqref="O3:O653">
    <cfRule type="expression" dxfId="53" priority="26" stopIfTrue="1">
      <formula>O3&lt;&gt;""</formula>
    </cfRule>
  </conditionalFormatting>
  <conditionalFormatting sqref="V3:V653">
    <cfRule type="expression" dxfId="52" priority="27" stopIfTrue="1">
      <formula>_xlfn.ISFORMULA(V3)</formula>
    </cfRule>
  </conditionalFormatting>
  <conditionalFormatting sqref="V3:V653">
    <cfRule type="expression" dxfId="51" priority="28" stopIfTrue="1">
      <formula>AND(NOT(_xlfn.ISFORMULA(V3)),V3&lt;&gt;"")</formula>
    </cfRule>
  </conditionalFormatting>
  <conditionalFormatting sqref="W3:W653">
    <cfRule type="expression" dxfId="50" priority="29" stopIfTrue="1">
      <formula>_xlfn.ISFORMULA(W3)</formula>
    </cfRule>
  </conditionalFormatting>
  <conditionalFormatting sqref="W3:W653">
    <cfRule type="expression" dxfId="49" priority="30" stopIfTrue="1">
      <formula>AND(NOT(_xlfn.ISFORMULA(W3)),W3&lt;&gt;"")</formula>
    </cfRule>
  </conditionalFormatting>
  <conditionalFormatting sqref="X3:X653">
    <cfRule type="expression" dxfId="48" priority="31" stopIfTrue="1">
      <formula>_xlfn.ISFORMULA(X3)</formula>
    </cfRule>
  </conditionalFormatting>
  <conditionalFormatting sqref="X3:X653">
    <cfRule type="expression" dxfId="47" priority="32" stopIfTrue="1">
      <formula>AND(NOT(_xlfn.ISFORMULA(X3)),X3&lt;&gt;"")</formula>
    </cfRule>
  </conditionalFormatting>
  <conditionalFormatting sqref="AJ3:AJ653">
    <cfRule type="expression" dxfId="46" priority="33" stopIfTrue="1">
      <formula>_xlfn.ISFORMULA(AJ3)</formula>
    </cfRule>
  </conditionalFormatting>
  <conditionalFormatting sqref="AJ3:AJ653">
    <cfRule type="expression" dxfId="45" priority="34" stopIfTrue="1">
      <formula>AND(NOT(_xlfn.ISFORMULA(AJ3)),AJ3&lt;&gt;"")</formula>
    </cfRule>
  </conditionalFormatting>
  <conditionalFormatting sqref="AK3:AK653">
    <cfRule type="expression" dxfId="44" priority="35" stopIfTrue="1">
      <formula>_xlfn.ISFORMULA(AK3)</formula>
    </cfRule>
  </conditionalFormatting>
  <conditionalFormatting sqref="AK3:AK653">
    <cfRule type="expression" dxfId="43" priority="36" stopIfTrue="1">
      <formula>AND(NOT(_xlfn.ISFORMULA(AK3)),AK3&lt;&gt;"")</formula>
    </cfRule>
  </conditionalFormatting>
  <dataValidations count="6">
    <dataValidation type="list" allowBlank="1" showInputMessage="1" sqref="A3:A352" xr:uid="{76554A41-B3AD-41E3-8F14-F40686CA60B7}">
      <formula1>Список_щитов</formula1>
    </dataValidation>
    <dataValidation type="list" allowBlank="1" showInputMessage="1" sqref="F3:F352" xr:uid="{33779F93-E1C4-4EAE-9B3E-DDDDC872C5F9}">
      <formula1>"гр"</formula1>
    </dataValidation>
    <dataValidation type="list" allowBlank="1" showInputMessage="1" sqref="H3:H352" xr:uid="{5F1E8D08-9CB6-4A5B-8D3B-78182530BE05}">
      <formula1>"10,30,100,300,нет"</formula1>
    </dataValidation>
    <dataValidation type="list" allowBlank="1" showInputMessage="1" sqref="I3:I352" xr:uid="{C8392FF0-4109-4C77-89A0-8517F6326747}">
      <formula1>"Relay,DIM,DALI,шторы,клапан"</formula1>
    </dataValidation>
    <dataValidation type="list" allowBlank="1" showInputMessage="1" sqref="AF3:AF352" xr:uid="{CF240B14-770B-40CA-BD79-6041B4BFB0B1}">
      <formula1>"вручную,рисовать"</formula1>
    </dataValidation>
    <dataValidation type="list" allowBlank="1" showInputMessage="1" sqref="AJ3:AJ352" xr:uid="{2FB50EC2-C9D6-45A0-ADF9-2A2C43CAE55D}">
      <formula1>Список_марок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9" r:id="rId3" name="Button 41">
              <controlPr defaultSize="0" print="0" autoFill="0" autoPict="0" macro="SX_RepairFormulas">
                <anchor>
                  <from>
                    <xdr:col>19</xdr:col>
                    <xdr:colOff>106680</xdr:colOff>
                    <xdr:row>0</xdr:row>
                    <xdr:rowOff>45720</xdr:rowOff>
                  </from>
                  <to>
                    <xdr:col>254</xdr:col>
                    <xdr:colOff>152400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F680D-7CEB-4389-8E7C-17E56D900ADD}">
  <sheetPr codeName="Лист6">
    <tabColor rgb="FF00B0F0"/>
  </sheetPr>
  <dimension ref="A1:AH95"/>
  <sheetViews>
    <sheetView workbookViewId="0"/>
  </sheetViews>
  <sheetFormatPr defaultColWidth="11.77734375" defaultRowHeight="14.4" x14ac:dyDescent="0.3"/>
  <cols>
    <col min="2" max="2" width="28.77734375" customWidth="1"/>
  </cols>
  <sheetData>
    <row r="1" spans="1:34" x14ac:dyDescent="0.3">
      <c r="A1" s="36" t="s">
        <v>898</v>
      </c>
    </row>
    <row r="3" spans="1:34" ht="45" customHeight="1" x14ac:dyDescent="0.3">
      <c r="A3" s="4" t="s">
        <v>899</v>
      </c>
      <c r="B3" s="4" t="s">
        <v>6</v>
      </c>
      <c r="C3" s="4" t="s">
        <v>900</v>
      </c>
      <c r="D3" s="4" t="s">
        <v>40</v>
      </c>
      <c r="E3" s="4" t="s">
        <v>901</v>
      </c>
      <c r="F3" s="4" t="s">
        <v>518</v>
      </c>
      <c r="G3" s="4" t="s">
        <v>902</v>
      </c>
      <c r="H3" s="4" t="s">
        <v>188</v>
      </c>
      <c r="I3" s="4" t="s">
        <v>903</v>
      </c>
      <c r="J3" s="4" t="s">
        <v>3</v>
      </c>
      <c r="K3" s="4" t="s">
        <v>904</v>
      </c>
      <c r="L3" s="4" t="s">
        <v>537</v>
      </c>
      <c r="M3" s="4" t="s">
        <v>849</v>
      </c>
      <c r="N3" s="4" t="s">
        <v>905</v>
      </c>
      <c r="O3" s="4" t="s">
        <v>906</v>
      </c>
      <c r="P3" s="4" t="s">
        <v>907</v>
      </c>
      <c r="Q3" s="4" t="s">
        <v>908</v>
      </c>
      <c r="R3" s="4" t="s">
        <v>909</v>
      </c>
      <c r="U3" s="4" t="s">
        <v>1021</v>
      </c>
      <c r="V3" s="4" t="s">
        <v>484</v>
      </c>
      <c r="W3" s="4" t="s">
        <v>1022</v>
      </c>
      <c r="X3" s="4" t="s">
        <v>521</v>
      </c>
      <c r="Y3" s="4" t="s">
        <v>1023</v>
      </c>
      <c r="AA3" s="4" t="s">
        <v>33</v>
      </c>
      <c r="AB3" s="4" t="s">
        <v>1024</v>
      </c>
      <c r="AC3" s="4" t="s">
        <v>1025</v>
      </c>
      <c r="AD3" s="4" t="s">
        <v>1026</v>
      </c>
      <c r="AF3" s="4" t="s">
        <v>1032</v>
      </c>
      <c r="AG3" s="4" t="s">
        <v>9</v>
      </c>
      <c r="AH3" s="4" t="s">
        <v>1033</v>
      </c>
    </row>
    <row r="4" spans="1:34" x14ac:dyDescent="0.3">
      <c r="A4" t="s">
        <v>55</v>
      </c>
      <c r="B4" t="s">
        <v>910</v>
      </c>
      <c r="C4">
        <v>0</v>
      </c>
      <c r="D4">
        <v>2</v>
      </c>
      <c r="E4">
        <v>1</v>
      </c>
      <c r="M4" t="s">
        <v>486</v>
      </c>
      <c r="U4" t="s">
        <v>55</v>
      </c>
      <c r="AA4" s="114" t="s">
        <v>36</v>
      </c>
      <c r="AB4" t="s">
        <v>35</v>
      </c>
      <c r="AF4" t="s">
        <v>11</v>
      </c>
      <c r="AG4" t="s">
        <v>12</v>
      </c>
      <c r="AH4">
        <v>1</v>
      </c>
    </row>
    <row r="5" spans="1:34" x14ac:dyDescent="0.3">
      <c r="A5" t="s">
        <v>209</v>
      </c>
      <c r="B5" t="s">
        <v>211</v>
      </c>
      <c r="C5">
        <v>5</v>
      </c>
      <c r="D5">
        <v>1</v>
      </c>
      <c r="E5">
        <v>1</v>
      </c>
      <c r="L5" t="s">
        <v>549</v>
      </c>
      <c r="M5" t="s">
        <v>486</v>
      </c>
      <c r="U5" t="s">
        <v>209</v>
      </c>
      <c r="AA5" s="114" t="s">
        <v>37</v>
      </c>
      <c r="AB5" t="s">
        <v>1027</v>
      </c>
      <c r="AF5" t="s">
        <v>13</v>
      </c>
      <c r="AG5" t="s">
        <v>147</v>
      </c>
      <c r="AH5">
        <v>1</v>
      </c>
    </row>
    <row r="6" spans="1:34" x14ac:dyDescent="0.3">
      <c r="A6" t="s">
        <v>210</v>
      </c>
      <c r="B6" t="s">
        <v>212</v>
      </c>
      <c r="C6">
        <v>5</v>
      </c>
      <c r="D6">
        <v>1</v>
      </c>
      <c r="E6">
        <v>1</v>
      </c>
      <c r="L6" t="s">
        <v>549</v>
      </c>
      <c r="M6" t="s">
        <v>486</v>
      </c>
      <c r="U6" t="s">
        <v>210</v>
      </c>
      <c r="AA6" s="114" t="s">
        <v>38</v>
      </c>
      <c r="AB6" t="s">
        <v>1028</v>
      </c>
      <c r="AF6" t="s">
        <v>42</v>
      </c>
      <c r="AG6" t="s">
        <v>224</v>
      </c>
      <c r="AH6">
        <v>2</v>
      </c>
    </row>
    <row r="7" spans="1:34" x14ac:dyDescent="0.3">
      <c r="A7" t="s">
        <v>30</v>
      </c>
      <c r="B7" t="s">
        <v>31</v>
      </c>
      <c r="C7">
        <v>3</v>
      </c>
      <c r="D7">
        <v>1</v>
      </c>
      <c r="E7">
        <v>1</v>
      </c>
      <c r="K7" t="s">
        <v>563</v>
      </c>
      <c r="M7" t="s">
        <v>486</v>
      </c>
      <c r="U7" t="s">
        <v>30</v>
      </c>
      <c r="V7" t="s">
        <v>550</v>
      </c>
      <c r="W7" t="s">
        <v>490</v>
      </c>
      <c r="X7">
        <v>16</v>
      </c>
      <c r="AA7" s="114" t="s">
        <v>39</v>
      </c>
      <c r="AB7" t="s">
        <v>34</v>
      </c>
      <c r="AF7" t="s">
        <v>57</v>
      </c>
      <c r="AG7" t="s">
        <v>172</v>
      </c>
      <c r="AH7">
        <v>1</v>
      </c>
    </row>
    <row r="8" spans="1:34" x14ac:dyDescent="0.3">
      <c r="A8" t="s">
        <v>32</v>
      </c>
      <c r="B8" t="s">
        <v>911</v>
      </c>
      <c r="C8">
        <v>1</v>
      </c>
      <c r="D8">
        <v>1</v>
      </c>
      <c r="E8">
        <v>3</v>
      </c>
      <c r="K8" t="s">
        <v>557</v>
      </c>
      <c r="M8" t="s">
        <v>486</v>
      </c>
      <c r="U8" t="s">
        <v>32</v>
      </c>
      <c r="V8" t="s">
        <v>558</v>
      </c>
      <c r="W8" t="s">
        <v>486</v>
      </c>
      <c r="X8">
        <v>10</v>
      </c>
      <c r="AA8" s="114" t="s">
        <v>1029</v>
      </c>
      <c r="AB8" t="s">
        <v>1030</v>
      </c>
      <c r="AF8" t="s">
        <v>135</v>
      </c>
      <c r="AG8" t="s">
        <v>136</v>
      </c>
      <c r="AH8">
        <v>1</v>
      </c>
    </row>
    <row r="9" spans="1:34" x14ac:dyDescent="0.3">
      <c r="A9" t="s">
        <v>213</v>
      </c>
      <c r="B9" t="s">
        <v>214</v>
      </c>
      <c r="C9">
        <v>1</v>
      </c>
      <c r="D9">
        <v>1</v>
      </c>
      <c r="E9">
        <v>1</v>
      </c>
      <c r="K9" t="s">
        <v>557</v>
      </c>
      <c r="L9" t="s">
        <v>564</v>
      </c>
      <c r="M9" t="s">
        <v>486</v>
      </c>
      <c r="U9" t="s">
        <v>213</v>
      </c>
      <c r="V9" t="s">
        <v>558</v>
      </c>
      <c r="W9" t="s">
        <v>486</v>
      </c>
      <c r="X9">
        <v>10</v>
      </c>
      <c r="AA9" s="114" t="s">
        <v>868</v>
      </c>
      <c r="AB9" t="s">
        <v>1031</v>
      </c>
      <c r="AF9" t="s">
        <v>140</v>
      </c>
      <c r="AG9" t="s">
        <v>138</v>
      </c>
      <c r="AH9">
        <v>1</v>
      </c>
    </row>
    <row r="10" spans="1:34" x14ac:dyDescent="0.3">
      <c r="A10" t="s">
        <v>215</v>
      </c>
      <c r="B10" t="s">
        <v>216</v>
      </c>
      <c r="C10">
        <v>2</v>
      </c>
      <c r="D10">
        <v>1</v>
      </c>
      <c r="E10">
        <v>1</v>
      </c>
      <c r="K10" t="s">
        <v>574</v>
      </c>
      <c r="L10" t="s">
        <v>575</v>
      </c>
      <c r="M10" t="s">
        <v>486</v>
      </c>
      <c r="U10" t="s">
        <v>215</v>
      </c>
      <c r="V10" t="s">
        <v>550</v>
      </c>
      <c r="W10" t="s">
        <v>486</v>
      </c>
      <c r="X10">
        <v>16</v>
      </c>
      <c r="AF10" t="s">
        <v>139</v>
      </c>
      <c r="AG10" t="s">
        <v>141</v>
      </c>
      <c r="AH10">
        <v>2</v>
      </c>
    </row>
    <row r="11" spans="1:34" x14ac:dyDescent="0.3">
      <c r="A11" t="s">
        <v>217</v>
      </c>
      <c r="B11" t="s">
        <v>218</v>
      </c>
      <c r="C11">
        <v>2</v>
      </c>
      <c r="D11">
        <v>1</v>
      </c>
      <c r="E11">
        <v>1</v>
      </c>
      <c r="K11" t="s">
        <v>579</v>
      </c>
      <c r="L11" t="s">
        <v>575</v>
      </c>
      <c r="M11" t="s">
        <v>486</v>
      </c>
      <c r="U11" t="s">
        <v>217</v>
      </c>
      <c r="V11" t="s">
        <v>550</v>
      </c>
      <c r="W11" t="s">
        <v>486</v>
      </c>
      <c r="X11">
        <v>16</v>
      </c>
      <c r="AF11" t="s">
        <v>143</v>
      </c>
      <c r="AG11" t="s">
        <v>144</v>
      </c>
      <c r="AH11">
        <v>1</v>
      </c>
    </row>
    <row r="12" spans="1:34" x14ac:dyDescent="0.3">
      <c r="A12" t="s">
        <v>202</v>
      </c>
      <c r="B12" t="s">
        <v>219</v>
      </c>
      <c r="C12">
        <v>1</v>
      </c>
      <c r="D12">
        <v>1</v>
      </c>
      <c r="E12">
        <v>1</v>
      </c>
      <c r="K12" t="s">
        <v>574</v>
      </c>
      <c r="L12" t="s">
        <v>575</v>
      </c>
      <c r="M12" t="s">
        <v>486</v>
      </c>
      <c r="U12" t="s">
        <v>202</v>
      </c>
      <c r="V12" t="s">
        <v>576</v>
      </c>
      <c r="W12" t="s">
        <v>486</v>
      </c>
      <c r="AF12" t="s">
        <v>203</v>
      </c>
      <c r="AG12" t="s">
        <v>205</v>
      </c>
      <c r="AH12">
        <v>2</v>
      </c>
    </row>
    <row r="13" spans="1:34" x14ac:dyDescent="0.3">
      <c r="A13" t="s">
        <v>220</v>
      </c>
      <c r="B13" t="s">
        <v>221</v>
      </c>
      <c r="C13">
        <v>1</v>
      </c>
      <c r="D13">
        <v>1</v>
      </c>
      <c r="E13">
        <v>1</v>
      </c>
      <c r="K13" t="s">
        <v>574</v>
      </c>
      <c r="L13" t="s">
        <v>575</v>
      </c>
      <c r="M13" t="s">
        <v>486</v>
      </c>
      <c r="U13" t="s">
        <v>220</v>
      </c>
      <c r="AF13" t="s">
        <v>206</v>
      </c>
      <c r="AG13" t="s">
        <v>207</v>
      </c>
      <c r="AH13">
        <v>2</v>
      </c>
    </row>
    <row r="14" spans="1:34" x14ac:dyDescent="0.3">
      <c r="A14" t="s">
        <v>153</v>
      </c>
      <c r="B14" t="s">
        <v>912</v>
      </c>
      <c r="C14">
        <v>4</v>
      </c>
      <c r="D14">
        <v>2</v>
      </c>
      <c r="E14">
        <v>1</v>
      </c>
      <c r="K14" t="s">
        <v>582</v>
      </c>
      <c r="M14" t="s">
        <v>486</v>
      </c>
      <c r="U14" t="s">
        <v>153</v>
      </c>
      <c r="V14" t="s">
        <v>568</v>
      </c>
      <c r="W14" t="s">
        <v>486</v>
      </c>
      <c r="AF14" t="s">
        <v>208</v>
      </c>
      <c r="AG14" t="s">
        <v>193</v>
      </c>
      <c r="AH14">
        <v>2</v>
      </c>
    </row>
    <row r="15" spans="1:34" x14ac:dyDescent="0.3">
      <c r="A15" t="s">
        <v>150</v>
      </c>
      <c r="B15" t="s">
        <v>244</v>
      </c>
      <c r="C15">
        <v>2</v>
      </c>
      <c r="D15">
        <v>1</v>
      </c>
      <c r="E15">
        <v>1</v>
      </c>
      <c r="K15" t="s">
        <v>570</v>
      </c>
      <c r="L15" t="s">
        <v>564</v>
      </c>
      <c r="M15" t="s">
        <v>486</v>
      </c>
      <c r="U15" t="s">
        <v>150</v>
      </c>
      <c r="V15" t="s">
        <v>571</v>
      </c>
      <c r="W15" t="s">
        <v>490</v>
      </c>
      <c r="AF15" t="s">
        <v>226</v>
      </c>
      <c r="AG15" t="s">
        <v>225</v>
      </c>
    </row>
    <row r="16" spans="1:34" x14ac:dyDescent="0.3">
      <c r="A16" t="s">
        <v>248</v>
      </c>
      <c r="B16" t="s">
        <v>222</v>
      </c>
      <c r="C16">
        <v>1</v>
      </c>
      <c r="D16">
        <v>1</v>
      </c>
      <c r="E16">
        <v>1</v>
      </c>
      <c r="K16" t="s">
        <v>586</v>
      </c>
      <c r="L16" t="s">
        <v>575</v>
      </c>
      <c r="M16" t="s">
        <v>486</v>
      </c>
      <c r="U16" t="s">
        <v>248</v>
      </c>
      <c r="V16" t="s">
        <v>565</v>
      </c>
      <c r="W16" t="s">
        <v>486</v>
      </c>
      <c r="AF16" t="s">
        <v>594</v>
      </c>
      <c r="AG16" t="s">
        <v>172</v>
      </c>
      <c r="AH16">
        <v>1</v>
      </c>
    </row>
    <row r="17" spans="1:34" x14ac:dyDescent="0.3">
      <c r="A17" t="s">
        <v>247</v>
      </c>
      <c r="B17" t="s">
        <v>223</v>
      </c>
      <c r="C17">
        <v>1</v>
      </c>
      <c r="D17">
        <v>1</v>
      </c>
      <c r="E17">
        <v>1</v>
      </c>
      <c r="K17" t="s">
        <v>574</v>
      </c>
      <c r="L17" t="s">
        <v>575</v>
      </c>
      <c r="M17" t="s">
        <v>486</v>
      </c>
      <c r="U17" t="s">
        <v>247</v>
      </c>
      <c r="AF17" t="s">
        <v>597</v>
      </c>
      <c r="AG17" t="s">
        <v>598</v>
      </c>
      <c r="AH17">
        <v>2</v>
      </c>
    </row>
    <row r="18" spans="1:34" x14ac:dyDescent="0.3">
      <c r="A18" t="s">
        <v>204</v>
      </c>
      <c r="B18" t="s">
        <v>913</v>
      </c>
      <c r="C18">
        <v>2</v>
      </c>
      <c r="D18">
        <v>1</v>
      </c>
      <c r="E18">
        <v>1</v>
      </c>
      <c r="M18" t="s">
        <v>486</v>
      </c>
      <c r="U18" t="s">
        <v>204</v>
      </c>
      <c r="V18" t="s">
        <v>568</v>
      </c>
      <c r="W18" t="s">
        <v>486</v>
      </c>
      <c r="Y18">
        <v>2</v>
      </c>
      <c r="AF18" t="s">
        <v>603</v>
      </c>
      <c r="AG18" t="s">
        <v>604</v>
      </c>
      <c r="AH18">
        <v>1</v>
      </c>
    </row>
    <row r="19" spans="1:34" x14ac:dyDescent="0.3">
      <c r="A19" t="s">
        <v>227</v>
      </c>
      <c r="B19" t="s">
        <v>228</v>
      </c>
      <c r="C19">
        <v>1</v>
      </c>
      <c r="D19">
        <v>2</v>
      </c>
      <c r="E19">
        <v>1</v>
      </c>
      <c r="K19" t="s">
        <v>557</v>
      </c>
      <c r="L19" t="s">
        <v>564</v>
      </c>
      <c r="M19" t="s">
        <v>486</v>
      </c>
      <c r="U19" t="s">
        <v>227</v>
      </c>
      <c r="V19" t="s">
        <v>558</v>
      </c>
      <c r="W19" t="s">
        <v>486</v>
      </c>
      <c r="X19">
        <v>10</v>
      </c>
      <c r="AF19" t="s">
        <v>607</v>
      </c>
      <c r="AG19" t="s">
        <v>608</v>
      </c>
      <c r="AH19">
        <v>1</v>
      </c>
    </row>
    <row r="20" spans="1:34" x14ac:dyDescent="0.3">
      <c r="A20" t="s">
        <v>229</v>
      </c>
      <c r="B20" t="s">
        <v>230</v>
      </c>
      <c r="C20">
        <v>1</v>
      </c>
      <c r="D20">
        <v>1</v>
      </c>
      <c r="E20">
        <v>1</v>
      </c>
      <c r="K20" t="s">
        <v>579</v>
      </c>
      <c r="L20" t="s">
        <v>575</v>
      </c>
      <c r="M20" t="s">
        <v>486</v>
      </c>
      <c r="U20" t="s">
        <v>229</v>
      </c>
      <c r="AF20" t="s">
        <v>613</v>
      </c>
      <c r="AG20" t="s">
        <v>1034</v>
      </c>
      <c r="AH20">
        <v>1</v>
      </c>
    </row>
    <row r="21" spans="1:34" x14ac:dyDescent="0.3">
      <c r="A21" t="s">
        <v>249</v>
      </c>
      <c r="B21" t="s">
        <v>914</v>
      </c>
      <c r="C21">
        <v>2</v>
      </c>
      <c r="D21">
        <v>1</v>
      </c>
      <c r="E21">
        <v>1</v>
      </c>
      <c r="K21" t="s">
        <v>578</v>
      </c>
      <c r="M21" t="s">
        <v>486</v>
      </c>
      <c r="U21" t="s">
        <v>249</v>
      </c>
      <c r="AF21" t="s">
        <v>616</v>
      </c>
      <c r="AG21" t="s">
        <v>614</v>
      </c>
      <c r="AH21">
        <v>1</v>
      </c>
    </row>
    <row r="22" spans="1:34" x14ac:dyDescent="0.3">
      <c r="A22" t="s">
        <v>231</v>
      </c>
      <c r="B22" t="s">
        <v>232</v>
      </c>
      <c r="C22">
        <v>4</v>
      </c>
      <c r="D22">
        <v>2</v>
      </c>
      <c r="E22">
        <v>1</v>
      </c>
      <c r="K22" t="s">
        <v>582</v>
      </c>
      <c r="M22" t="s">
        <v>486</v>
      </c>
      <c r="U22" t="s">
        <v>231</v>
      </c>
      <c r="V22" t="s">
        <v>568</v>
      </c>
      <c r="W22" t="s">
        <v>486</v>
      </c>
    </row>
    <row r="23" spans="1:34" x14ac:dyDescent="0.3">
      <c r="A23" t="s">
        <v>233</v>
      </c>
      <c r="B23" t="s">
        <v>234</v>
      </c>
      <c r="C23">
        <v>1</v>
      </c>
      <c r="D23">
        <v>1</v>
      </c>
      <c r="E23">
        <v>1</v>
      </c>
      <c r="K23" t="s">
        <v>578</v>
      </c>
      <c r="L23" t="s">
        <v>564</v>
      </c>
      <c r="M23" t="s">
        <v>486</v>
      </c>
      <c r="U23" t="s">
        <v>233</v>
      </c>
      <c r="V23" t="s">
        <v>568</v>
      </c>
      <c r="W23" t="s">
        <v>486</v>
      </c>
    </row>
    <row r="24" spans="1:34" x14ac:dyDescent="0.3">
      <c r="A24" t="s">
        <v>235</v>
      </c>
      <c r="B24" t="s">
        <v>236</v>
      </c>
      <c r="C24">
        <v>1</v>
      </c>
      <c r="D24">
        <v>1</v>
      </c>
      <c r="E24">
        <v>1</v>
      </c>
      <c r="K24" t="s">
        <v>584</v>
      </c>
      <c r="L24" t="s">
        <v>564</v>
      </c>
      <c r="M24" t="s">
        <v>486</v>
      </c>
      <c r="U24" t="s">
        <v>235</v>
      </c>
      <c r="V24" t="s">
        <v>571</v>
      </c>
      <c r="W24" t="s">
        <v>490</v>
      </c>
    </row>
    <row r="25" spans="1:34" x14ac:dyDescent="0.3">
      <c r="A25" t="s">
        <v>237</v>
      </c>
      <c r="B25" t="s">
        <v>238</v>
      </c>
      <c r="C25">
        <v>1</v>
      </c>
      <c r="D25">
        <v>1</v>
      </c>
      <c r="E25">
        <v>1</v>
      </c>
      <c r="M25" t="s">
        <v>486</v>
      </c>
      <c r="U25" t="s">
        <v>237</v>
      </c>
    </row>
    <row r="26" spans="1:34" x14ac:dyDescent="0.3">
      <c r="A26" t="s">
        <v>239</v>
      </c>
      <c r="B26" t="s">
        <v>915</v>
      </c>
      <c r="C26">
        <v>2</v>
      </c>
      <c r="D26">
        <v>1</v>
      </c>
      <c r="E26">
        <v>1</v>
      </c>
      <c r="M26" t="s">
        <v>486</v>
      </c>
      <c r="U26" t="s">
        <v>239</v>
      </c>
    </row>
    <row r="27" spans="1:34" x14ac:dyDescent="0.3">
      <c r="A27" t="s">
        <v>240</v>
      </c>
      <c r="B27" t="s">
        <v>241</v>
      </c>
      <c r="C27">
        <v>5</v>
      </c>
      <c r="D27">
        <v>1</v>
      </c>
      <c r="E27">
        <v>1</v>
      </c>
      <c r="M27" t="s">
        <v>486</v>
      </c>
      <c r="U27" t="s">
        <v>240</v>
      </c>
    </row>
    <row r="28" spans="1:34" x14ac:dyDescent="0.3">
      <c r="A28" t="s">
        <v>252</v>
      </c>
      <c r="B28" t="s">
        <v>916</v>
      </c>
      <c r="C28">
        <v>4</v>
      </c>
      <c r="D28">
        <v>1</v>
      </c>
      <c r="E28">
        <v>1</v>
      </c>
      <c r="M28" t="s">
        <v>486</v>
      </c>
      <c r="U28" t="s">
        <v>252</v>
      </c>
    </row>
    <row r="29" spans="1:34" x14ac:dyDescent="0.3">
      <c r="A29" t="s">
        <v>242</v>
      </c>
      <c r="B29" t="s">
        <v>243</v>
      </c>
      <c r="C29">
        <v>1</v>
      </c>
      <c r="D29">
        <v>1</v>
      </c>
      <c r="E29">
        <v>1</v>
      </c>
      <c r="K29" t="s">
        <v>579</v>
      </c>
      <c r="L29" t="s">
        <v>575</v>
      </c>
      <c r="M29" t="s">
        <v>486</v>
      </c>
      <c r="U29" t="s">
        <v>242</v>
      </c>
      <c r="V29" t="s">
        <v>550</v>
      </c>
      <c r="W29" t="s">
        <v>486</v>
      </c>
      <c r="X29">
        <v>16</v>
      </c>
    </row>
    <row r="30" spans="1:34" x14ac:dyDescent="0.3">
      <c r="A30" t="s">
        <v>246</v>
      </c>
      <c r="B30" t="s">
        <v>245</v>
      </c>
      <c r="C30">
        <v>1</v>
      </c>
      <c r="D30">
        <v>1</v>
      </c>
      <c r="E30">
        <v>1</v>
      </c>
      <c r="K30" t="s">
        <v>574</v>
      </c>
      <c r="L30" t="s">
        <v>575</v>
      </c>
      <c r="M30" t="s">
        <v>486</v>
      </c>
      <c r="U30" t="s">
        <v>246</v>
      </c>
    </row>
    <row r="31" spans="1:34" x14ac:dyDescent="0.3">
      <c r="A31" t="s">
        <v>250</v>
      </c>
      <c r="B31" t="s">
        <v>251</v>
      </c>
      <c r="C31">
        <v>1</v>
      </c>
      <c r="D31">
        <v>1</v>
      </c>
      <c r="E31">
        <v>1</v>
      </c>
      <c r="K31" t="s">
        <v>582</v>
      </c>
      <c r="L31" t="s">
        <v>600</v>
      </c>
      <c r="M31" t="s">
        <v>486</v>
      </c>
      <c r="U31" t="s">
        <v>250</v>
      </c>
      <c r="V31" t="s">
        <v>568</v>
      </c>
      <c r="W31" t="s">
        <v>486</v>
      </c>
    </row>
    <row r="32" spans="1:34" x14ac:dyDescent="0.3">
      <c r="A32" t="s">
        <v>366</v>
      </c>
      <c r="B32" t="s">
        <v>917</v>
      </c>
      <c r="C32">
        <v>3</v>
      </c>
      <c r="D32">
        <v>1</v>
      </c>
      <c r="E32">
        <v>3</v>
      </c>
      <c r="K32" t="s">
        <v>557</v>
      </c>
      <c r="M32" t="s">
        <v>486</v>
      </c>
      <c r="U32" t="s">
        <v>366</v>
      </c>
      <c r="V32" t="s">
        <v>558</v>
      </c>
      <c r="W32" t="s">
        <v>486</v>
      </c>
      <c r="X32">
        <v>10</v>
      </c>
    </row>
    <row r="33" spans="1:24" x14ac:dyDescent="0.3">
      <c r="A33" t="s">
        <v>411</v>
      </c>
      <c r="B33" t="s">
        <v>412</v>
      </c>
      <c r="C33">
        <v>1</v>
      </c>
      <c r="D33">
        <v>1</v>
      </c>
      <c r="E33">
        <v>1</v>
      </c>
      <c r="K33" t="s">
        <v>573</v>
      </c>
      <c r="L33" t="s">
        <v>564</v>
      </c>
      <c r="M33" t="s">
        <v>486</v>
      </c>
      <c r="U33" t="s">
        <v>411</v>
      </c>
      <c r="V33" t="s">
        <v>571</v>
      </c>
      <c r="W33" t="s">
        <v>486</v>
      </c>
    </row>
    <row r="34" spans="1:24" x14ac:dyDescent="0.3">
      <c r="A34" t="s">
        <v>918</v>
      </c>
      <c r="B34" t="s">
        <v>919</v>
      </c>
      <c r="C34">
        <v>7</v>
      </c>
      <c r="D34">
        <v>2</v>
      </c>
      <c r="E34">
        <v>1</v>
      </c>
      <c r="K34" t="s">
        <v>563</v>
      </c>
      <c r="M34" t="s">
        <v>486</v>
      </c>
      <c r="U34" t="s">
        <v>637</v>
      </c>
    </row>
    <row r="35" spans="1:24" x14ac:dyDescent="0.3">
      <c r="A35" t="s">
        <v>920</v>
      </c>
      <c r="B35" t="s">
        <v>921</v>
      </c>
      <c r="C35">
        <v>4</v>
      </c>
      <c r="D35">
        <v>2</v>
      </c>
      <c r="E35">
        <v>3</v>
      </c>
      <c r="K35" t="s">
        <v>562</v>
      </c>
      <c r="M35" t="s">
        <v>486</v>
      </c>
      <c r="U35" t="s">
        <v>502</v>
      </c>
      <c r="V35" t="s">
        <v>568</v>
      </c>
      <c r="W35" t="s">
        <v>486</v>
      </c>
    </row>
    <row r="36" spans="1:24" x14ac:dyDescent="0.3">
      <c r="A36" t="s">
        <v>922</v>
      </c>
      <c r="B36" t="s">
        <v>923</v>
      </c>
      <c r="C36">
        <v>2</v>
      </c>
      <c r="D36">
        <v>1</v>
      </c>
      <c r="E36">
        <v>3</v>
      </c>
      <c r="K36" t="s">
        <v>557</v>
      </c>
      <c r="M36" t="s">
        <v>486</v>
      </c>
      <c r="U36" t="s">
        <v>506</v>
      </c>
      <c r="V36" t="s">
        <v>565</v>
      </c>
      <c r="W36" t="s">
        <v>486</v>
      </c>
    </row>
    <row r="37" spans="1:24" x14ac:dyDescent="0.3">
      <c r="A37" t="s">
        <v>498</v>
      </c>
      <c r="B37" t="s">
        <v>924</v>
      </c>
      <c r="C37">
        <v>2</v>
      </c>
      <c r="D37">
        <v>2</v>
      </c>
      <c r="E37">
        <v>1</v>
      </c>
      <c r="K37" t="s">
        <v>557</v>
      </c>
      <c r="M37" t="s">
        <v>486</v>
      </c>
      <c r="U37" t="s">
        <v>507</v>
      </c>
      <c r="V37" t="s">
        <v>560</v>
      </c>
      <c r="W37" t="s">
        <v>486</v>
      </c>
    </row>
    <row r="38" spans="1:24" x14ac:dyDescent="0.3">
      <c r="A38" t="s">
        <v>925</v>
      </c>
      <c r="B38" t="s">
        <v>926</v>
      </c>
      <c r="C38">
        <v>2</v>
      </c>
      <c r="D38">
        <v>2</v>
      </c>
      <c r="E38">
        <v>1</v>
      </c>
      <c r="K38" t="s">
        <v>611</v>
      </c>
      <c r="M38" t="s">
        <v>486</v>
      </c>
      <c r="U38" t="s">
        <v>509</v>
      </c>
      <c r="V38" t="s">
        <v>560</v>
      </c>
      <c r="W38" t="s">
        <v>486</v>
      </c>
    </row>
    <row r="39" spans="1:24" x14ac:dyDescent="0.3">
      <c r="A39" t="s">
        <v>927</v>
      </c>
      <c r="B39" t="s">
        <v>56</v>
      </c>
      <c r="C39">
        <v>2</v>
      </c>
      <c r="D39">
        <v>1</v>
      </c>
      <c r="E39">
        <v>1</v>
      </c>
      <c r="K39" t="s">
        <v>582</v>
      </c>
      <c r="M39" t="s">
        <v>486</v>
      </c>
      <c r="U39" t="s">
        <v>918</v>
      </c>
      <c r="V39" t="s">
        <v>550</v>
      </c>
      <c r="W39" t="s">
        <v>490</v>
      </c>
      <c r="X39">
        <v>16</v>
      </c>
    </row>
    <row r="40" spans="1:24" x14ac:dyDescent="0.3">
      <c r="A40" t="s">
        <v>928</v>
      </c>
      <c r="B40" t="s">
        <v>251</v>
      </c>
      <c r="C40">
        <v>4</v>
      </c>
      <c r="D40">
        <v>2</v>
      </c>
      <c r="E40">
        <v>1</v>
      </c>
      <c r="K40" t="s">
        <v>582</v>
      </c>
      <c r="M40" t="s">
        <v>486</v>
      </c>
      <c r="U40" t="s">
        <v>920</v>
      </c>
      <c r="V40" t="s">
        <v>558</v>
      </c>
      <c r="W40" t="s">
        <v>486</v>
      </c>
      <c r="X40">
        <v>10</v>
      </c>
    </row>
    <row r="41" spans="1:24" x14ac:dyDescent="0.3">
      <c r="A41" t="s">
        <v>929</v>
      </c>
      <c r="B41" t="s">
        <v>930</v>
      </c>
      <c r="C41">
        <v>4</v>
      </c>
      <c r="D41">
        <v>2</v>
      </c>
      <c r="E41">
        <v>1</v>
      </c>
      <c r="K41" t="s">
        <v>578</v>
      </c>
      <c r="M41" t="s">
        <v>486</v>
      </c>
      <c r="U41" t="s">
        <v>922</v>
      </c>
      <c r="V41" t="s">
        <v>558</v>
      </c>
      <c r="W41" t="s">
        <v>486</v>
      </c>
      <c r="X41">
        <v>10</v>
      </c>
    </row>
    <row r="42" spans="1:24" x14ac:dyDescent="0.3">
      <c r="A42" t="s">
        <v>931</v>
      </c>
      <c r="B42" t="s">
        <v>234</v>
      </c>
      <c r="C42">
        <v>3</v>
      </c>
      <c r="D42">
        <v>2</v>
      </c>
      <c r="E42">
        <v>1</v>
      </c>
      <c r="K42" t="s">
        <v>578</v>
      </c>
      <c r="M42" t="s">
        <v>486</v>
      </c>
      <c r="U42" t="s">
        <v>498</v>
      </c>
      <c r="V42" t="s">
        <v>558</v>
      </c>
      <c r="W42" t="s">
        <v>486</v>
      </c>
      <c r="X42">
        <v>10</v>
      </c>
    </row>
    <row r="43" spans="1:24" x14ac:dyDescent="0.3">
      <c r="A43" t="s">
        <v>932</v>
      </c>
      <c r="B43" t="s">
        <v>933</v>
      </c>
      <c r="C43">
        <v>3</v>
      </c>
      <c r="D43">
        <v>2</v>
      </c>
      <c r="E43">
        <v>1</v>
      </c>
      <c r="M43" t="s">
        <v>486</v>
      </c>
      <c r="U43" t="s">
        <v>925</v>
      </c>
      <c r="V43" t="s">
        <v>571</v>
      </c>
      <c r="W43" t="s">
        <v>486</v>
      </c>
    </row>
    <row r="44" spans="1:24" x14ac:dyDescent="0.3">
      <c r="A44" t="s">
        <v>934</v>
      </c>
      <c r="B44" t="s">
        <v>935</v>
      </c>
      <c r="C44">
        <v>4</v>
      </c>
      <c r="D44">
        <v>2</v>
      </c>
      <c r="E44">
        <v>3</v>
      </c>
      <c r="K44" t="s">
        <v>562</v>
      </c>
      <c r="M44" t="s">
        <v>486</v>
      </c>
      <c r="U44" t="s">
        <v>927</v>
      </c>
      <c r="V44" t="s">
        <v>568</v>
      </c>
      <c r="W44" t="s">
        <v>486</v>
      </c>
    </row>
    <row r="45" spans="1:24" x14ac:dyDescent="0.3">
      <c r="A45" t="s">
        <v>151</v>
      </c>
      <c r="B45" t="s">
        <v>936</v>
      </c>
      <c r="C45">
        <v>0</v>
      </c>
      <c r="D45">
        <v>2</v>
      </c>
      <c r="E45">
        <v>1</v>
      </c>
      <c r="M45" t="s">
        <v>486</v>
      </c>
      <c r="U45" t="s">
        <v>928</v>
      </c>
      <c r="V45" t="s">
        <v>568</v>
      </c>
      <c r="W45" t="s">
        <v>486</v>
      </c>
    </row>
    <row r="46" spans="1:24" x14ac:dyDescent="0.3">
      <c r="A46" t="s">
        <v>937</v>
      </c>
      <c r="B46" t="s">
        <v>938</v>
      </c>
      <c r="C46">
        <v>2</v>
      </c>
      <c r="D46">
        <v>1</v>
      </c>
      <c r="E46">
        <v>1</v>
      </c>
      <c r="M46" t="s">
        <v>486</v>
      </c>
      <c r="U46" t="s">
        <v>929</v>
      </c>
      <c r="V46" t="s">
        <v>568</v>
      </c>
      <c r="W46" t="s">
        <v>486</v>
      </c>
    </row>
    <row r="47" spans="1:24" x14ac:dyDescent="0.3">
      <c r="A47" t="s">
        <v>939</v>
      </c>
      <c r="B47" t="s">
        <v>940</v>
      </c>
      <c r="C47">
        <v>2</v>
      </c>
      <c r="D47">
        <v>1</v>
      </c>
      <c r="E47">
        <v>1</v>
      </c>
      <c r="M47" t="s">
        <v>486</v>
      </c>
      <c r="U47" t="s">
        <v>931</v>
      </c>
      <c r="V47" t="s">
        <v>568</v>
      </c>
      <c r="W47" t="s">
        <v>486</v>
      </c>
    </row>
    <row r="48" spans="1:24" x14ac:dyDescent="0.3">
      <c r="A48" t="s">
        <v>506</v>
      </c>
      <c r="B48" t="s">
        <v>941</v>
      </c>
      <c r="C48">
        <v>2</v>
      </c>
      <c r="D48">
        <v>1</v>
      </c>
      <c r="E48">
        <v>1</v>
      </c>
      <c r="M48" t="s">
        <v>486</v>
      </c>
      <c r="U48" t="s">
        <v>932</v>
      </c>
      <c r="V48" t="s">
        <v>565</v>
      </c>
      <c r="W48" t="s">
        <v>486</v>
      </c>
    </row>
    <row r="49" spans="1:24" x14ac:dyDescent="0.3">
      <c r="A49" t="s">
        <v>942</v>
      </c>
      <c r="B49" t="s">
        <v>943</v>
      </c>
      <c r="C49">
        <v>2</v>
      </c>
      <c r="D49">
        <v>2</v>
      </c>
      <c r="E49">
        <v>1</v>
      </c>
      <c r="K49" t="s">
        <v>602</v>
      </c>
      <c r="M49" t="s">
        <v>486</v>
      </c>
      <c r="U49" t="s">
        <v>934</v>
      </c>
      <c r="V49" t="s">
        <v>558</v>
      </c>
      <c r="W49" t="s">
        <v>486</v>
      </c>
      <c r="X49">
        <v>10</v>
      </c>
    </row>
    <row r="50" spans="1:24" x14ac:dyDescent="0.3">
      <c r="A50" t="s">
        <v>944</v>
      </c>
      <c r="B50" t="s">
        <v>945</v>
      </c>
      <c r="C50">
        <v>2</v>
      </c>
      <c r="D50">
        <v>2</v>
      </c>
      <c r="E50">
        <v>1</v>
      </c>
      <c r="K50" t="s">
        <v>602</v>
      </c>
      <c r="M50" t="s">
        <v>486</v>
      </c>
      <c r="U50" t="s">
        <v>151</v>
      </c>
    </row>
    <row r="51" spans="1:24" x14ac:dyDescent="0.3">
      <c r="A51" t="s">
        <v>946</v>
      </c>
      <c r="B51" t="s">
        <v>947</v>
      </c>
      <c r="C51">
        <v>2</v>
      </c>
      <c r="D51">
        <v>2</v>
      </c>
      <c r="E51">
        <v>1</v>
      </c>
      <c r="K51" t="s">
        <v>602</v>
      </c>
      <c r="M51" t="s">
        <v>486</v>
      </c>
      <c r="U51" t="s">
        <v>937</v>
      </c>
    </row>
    <row r="52" spans="1:24" x14ac:dyDescent="0.3">
      <c r="A52" t="s">
        <v>948</v>
      </c>
      <c r="B52" t="s">
        <v>949</v>
      </c>
      <c r="C52">
        <v>2</v>
      </c>
      <c r="D52">
        <v>2</v>
      </c>
      <c r="E52">
        <v>1</v>
      </c>
      <c r="K52" t="s">
        <v>602</v>
      </c>
      <c r="M52" t="s">
        <v>486</v>
      </c>
      <c r="U52" t="s">
        <v>939</v>
      </c>
    </row>
    <row r="53" spans="1:24" x14ac:dyDescent="0.3">
      <c r="A53" t="s">
        <v>950</v>
      </c>
      <c r="B53" t="s">
        <v>951</v>
      </c>
      <c r="C53">
        <v>2</v>
      </c>
      <c r="D53">
        <v>2</v>
      </c>
      <c r="E53">
        <v>1</v>
      </c>
      <c r="K53" t="s">
        <v>602</v>
      </c>
      <c r="M53" t="s">
        <v>486</v>
      </c>
      <c r="U53" t="s">
        <v>942</v>
      </c>
    </row>
    <row r="54" spans="1:24" x14ac:dyDescent="0.3">
      <c r="A54" t="s">
        <v>952</v>
      </c>
      <c r="B54" t="s">
        <v>953</v>
      </c>
      <c r="C54">
        <v>2</v>
      </c>
      <c r="D54">
        <v>2</v>
      </c>
      <c r="E54">
        <v>1</v>
      </c>
      <c r="K54" t="s">
        <v>602</v>
      </c>
      <c r="M54" t="s">
        <v>486</v>
      </c>
      <c r="U54" t="s">
        <v>944</v>
      </c>
    </row>
    <row r="55" spans="1:24" x14ac:dyDescent="0.3">
      <c r="A55" t="s">
        <v>954</v>
      </c>
      <c r="B55" t="s">
        <v>955</v>
      </c>
      <c r="C55">
        <v>2</v>
      </c>
      <c r="D55">
        <v>2</v>
      </c>
      <c r="E55">
        <v>1</v>
      </c>
      <c r="K55" t="s">
        <v>602</v>
      </c>
      <c r="M55" t="s">
        <v>486</v>
      </c>
      <c r="U55" t="s">
        <v>946</v>
      </c>
    </row>
    <row r="56" spans="1:24" x14ac:dyDescent="0.3">
      <c r="A56" t="s">
        <v>956</v>
      </c>
      <c r="B56" t="s">
        <v>957</v>
      </c>
      <c r="C56">
        <v>0</v>
      </c>
      <c r="D56">
        <v>2</v>
      </c>
      <c r="E56">
        <v>1</v>
      </c>
      <c r="M56" t="s">
        <v>486</v>
      </c>
      <c r="U56" t="s">
        <v>948</v>
      </c>
    </row>
    <row r="57" spans="1:24" x14ac:dyDescent="0.3">
      <c r="A57" t="s">
        <v>958</v>
      </c>
      <c r="B57" t="s">
        <v>959</v>
      </c>
      <c r="C57">
        <v>2</v>
      </c>
      <c r="D57">
        <v>1</v>
      </c>
      <c r="E57">
        <v>1</v>
      </c>
      <c r="K57" t="s">
        <v>574</v>
      </c>
      <c r="M57" t="s">
        <v>486</v>
      </c>
      <c r="U57" t="s">
        <v>950</v>
      </c>
    </row>
    <row r="58" spans="1:24" x14ac:dyDescent="0.3">
      <c r="A58" t="s">
        <v>960</v>
      </c>
      <c r="B58" t="s">
        <v>961</v>
      </c>
      <c r="C58">
        <v>3</v>
      </c>
      <c r="D58">
        <v>1</v>
      </c>
      <c r="E58">
        <v>1</v>
      </c>
      <c r="M58" t="s">
        <v>486</v>
      </c>
      <c r="U58" t="s">
        <v>952</v>
      </c>
    </row>
    <row r="59" spans="1:24" x14ac:dyDescent="0.3">
      <c r="A59" t="s">
        <v>962</v>
      </c>
      <c r="B59" t="s">
        <v>963</v>
      </c>
      <c r="C59">
        <v>3</v>
      </c>
      <c r="D59">
        <v>2</v>
      </c>
      <c r="E59">
        <v>1</v>
      </c>
      <c r="K59" t="s">
        <v>606</v>
      </c>
      <c r="M59" t="s">
        <v>486</v>
      </c>
      <c r="U59" t="s">
        <v>954</v>
      </c>
    </row>
    <row r="60" spans="1:24" x14ac:dyDescent="0.3">
      <c r="A60" t="s">
        <v>964</v>
      </c>
      <c r="B60" t="s">
        <v>965</v>
      </c>
      <c r="C60">
        <v>3</v>
      </c>
      <c r="D60">
        <v>2</v>
      </c>
      <c r="E60">
        <v>1</v>
      </c>
      <c r="K60" t="s">
        <v>606</v>
      </c>
      <c r="M60" t="s">
        <v>486</v>
      </c>
      <c r="U60" t="s">
        <v>956</v>
      </c>
    </row>
    <row r="61" spans="1:24" x14ac:dyDescent="0.3">
      <c r="A61" t="s">
        <v>966</v>
      </c>
      <c r="B61" t="s">
        <v>967</v>
      </c>
      <c r="C61">
        <v>3</v>
      </c>
      <c r="D61">
        <v>1</v>
      </c>
      <c r="E61">
        <v>1</v>
      </c>
      <c r="K61" t="s">
        <v>563</v>
      </c>
      <c r="M61" t="s">
        <v>486</v>
      </c>
      <c r="U61" t="s">
        <v>958</v>
      </c>
    </row>
    <row r="62" spans="1:24" x14ac:dyDescent="0.3">
      <c r="A62" t="s">
        <v>968</v>
      </c>
      <c r="B62" t="s">
        <v>969</v>
      </c>
      <c r="C62">
        <v>3</v>
      </c>
      <c r="D62">
        <v>2</v>
      </c>
      <c r="E62">
        <v>1</v>
      </c>
      <c r="K62" t="s">
        <v>574</v>
      </c>
      <c r="M62" t="s">
        <v>486</v>
      </c>
      <c r="U62" t="s">
        <v>960</v>
      </c>
    </row>
    <row r="63" spans="1:24" x14ac:dyDescent="0.3">
      <c r="A63" t="s">
        <v>970</v>
      </c>
      <c r="B63" t="s">
        <v>971</v>
      </c>
      <c r="C63">
        <v>3</v>
      </c>
      <c r="D63">
        <v>2</v>
      </c>
      <c r="E63">
        <v>1</v>
      </c>
      <c r="K63" t="s">
        <v>574</v>
      </c>
      <c r="M63" t="s">
        <v>486</v>
      </c>
      <c r="U63" t="s">
        <v>962</v>
      </c>
      <c r="V63" t="s">
        <v>568</v>
      </c>
      <c r="W63" t="s">
        <v>486</v>
      </c>
    </row>
    <row r="64" spans="1:24" x14ac:dyDescent="0.3">
      <c r="A64" t="s">
        <v>972</v>
      </c>
      <c r="B64" t="s">
        <v>973</v>
      </c>
      <c r="C64">
        <v>3</v>
      </c>
      <c r="D64">
        <v>2</v>
      </c>
      <c r="E64">
        <v>1</v>
      </c>
      <c r="K64" t="s">
        <v>574</v>
      </c>
      <c r="M64" t="s">
        <v>486</v>
      </c>
      <c r="U64" t="s">
        <v>964</v>
      </c>
      <c r="V64" t="s">
        <v>568</v>
      </c>
      <c r="W64" t="s">
        <v>486</v>
      </c>
    </row>
    <row r="65" spans="1:24" x14ac:dyDescent="0.3">
      <c r="A65" t="s">
        <v>974</v>
      </c>
      <c r="B65" t="s">
        <v>975</v>
      </c>
      <c r="C65">
        <v>3</v>
      </c>
      <c r="D65">
        <v>2</v>
      </c>
      <c r="E65">
        <v>1</v>
      </c>
      <c r="K65" t="s">
        <v>579</v>
      </c>
      <c r="M65" t="s">
        <v>486</v>
      </c>
      <c r="U65" t="s">
        <v>966</v>
      </c>
      <c r="V65" t="s">
        <v>550</v>
      </c>
      <c r="W65" t="s">
        <v>490</v>
      </c>
      <c r="X65">
        <v>16</v>
      </c>
    </row>
    <row r="66" spans="1:24" x14ac:dyDescent="0.3">
      <c r="A66" t="s">
        <v>976</v>
      </c>
      <c r="B66" t="s">
        <v>977</v>
      </c>
      <c r="C66">
        <v>3</v>
      </c>
      <c r="D66">
        <v>2</v>
      </c>
      <c r="E66">
        <v>1</v>
      </c>
      <c r="K66" t="s">
        <v>602</v>
      </c>
      <c r="M66" t="s">
        <v>486</v>
      </c>
      <c r="U66" t="s">
        <v>968</v>
      </c>
    </row>
    <row r="67" spans="1:24" x14ac:dyDescent="0.3">
      <c r="A67" t="s">
        <v>978</v>
      </c>
      <c r="B67" t="s">
        <v>979</v>
      </c>
      <c r="C67">
        <v>3</v>
      </c>
      <c r="D67">
        <v>1</v>
      </c>
      <c r="E67">
        <v>1</v>
      </c>
      <c r="K67" t="s">
        <v>579</v>
      </c>
      <c r="M67" t="s">
        <v>486</v>
      </c>
      <c r="U67" t="s">
        <v>970</v>
      </c>
    </row>
    <row r="68" spans="1:24" x14ac:dyDescent="0.3">
      <c r="A68" t="s">
        <v>980</v>
      </c>
      <c r="B68" t="s">
        <v>981</v>
      </c>
      <c r="C68">
        <v>3</v>
      </c>
      <c r="D68">
        <v>1</v>
      </c>
      <c r="E68">
        <v>1</v>
      </c>
      <c r="K68" t="s">
        <v>606</v>
      </c>
      <c r="M68" t="s">
        <v>486</v>
      </c>
      <c r="U68" t="s">
        <v>972</v>
      </c>
    </row>
    <row r="69" spans="1:24" x14ac:dyDescent="0.3">
      <c r="A69" t="s">
        <v>982</v>
      </c>
      <c r="B69" t="s">
        <v>983</v>
      </c>
      <c r="C69">
        <v>3</v>
      </c>
      <c r="D69">
        <v>1</v>
      </c>
      <c r="E69">
        <v>1</v>
      </c>
      <c r="K69" t="s">
        <v>602</v>
      </c>
      <c r="M69" t="s">
        <v>486</v>
      </c>
      <c r="U69" t="s">
        <v>974</v>
      </c>
    </row>
    <row r="70" spans="1:24" x14ac:dyDescent="0.3">
      <c r="A70" t="s">
        <v>984</v>
      </c>
      <c r="B70" t="s">
        <v>916</v>
      </c>
      <c r="C70">
        <v>4</v>
      </c>
      <c r="D70">
        <v>1</v>
      </c>
      <c r="E70">
        <v>1</v>
      </c>
      <c r="M70" t="s">
        <v>486</v>
      </c>
      <c r="U70" t="s">
        <v>976</v>
      </c>
    </row>
    <row r="71" spans="1:24" x14ac:dyDescent="0.3">
      <c r="A71" t="s">
        <v>502</v>
      </c>
      <c r="B71" t="s">
        <v>914</v>
      </c>
      <c r="C71">
        <v>2</v>
      </c>
      <c r="D71">
        <v>1</v>
      </c>
      <c r="E71">
        <v>1</v>
      </c>
      <c r="K71" t="s">
        <v>578</v>
      </c>
      <c r="M71" t="s">
        <v>486</v>
      </c>
      <c r="U71" t="s">
        <v>978</v>
      </c>
    </row>
    <row r="72" spans="1:24" x14ac:dyDescent="0.3">
      <c r="A72" t="s">
        <v>985</v>
      </c>
      <c r="B72" t="s">
        <v>986</v>
      </c>
      <c r="C72">
        <v>2</v>
      </c>
      <c r="D72">
        <v>2</v>
      </c>
      <c r="E72">
        <v>1</v>
      </c>
      <c r="K72" t="s">
        <v>602</v>
      </c>
      <c r="M72" t="s">
        <v>486</v>
      </c>
      <c r="U72" t="s">
        <v>980</v>
      </c>
    </row>
    <row r="73" spans="1:24" x14ac:dyDescent="0.3">
      <c r="A73" t="s">
        <v>987</v>
      </c>
      <c r="B73" t="s">
        <v>988</v>
      </c>
      <c r="C73">
        <v>2</v>
      </c>
      <c r="D73">
        <v>2</v>
      </c>
      <c r="E73">
        <v>1</v>
      </c>
      <c r="K73" t="s">
        <v>602</v>
      </c>
      <c r="M73" t="s">
        <v>486</v>
      </c>
      <c r="U73" t="s">
        <v>982</v>
      </c>
    </row>
    <row r="74" spans="1:24" x14ac:dyDescent="0.3">
      <c r="A74" t="s">
        <v>989</v>
      </c>
      <c r="B74" t="s">
        <v>990</v>
      </c>
      <c r="C74">
        <v>2</v>
      </c>
      <c r="D74">
        <v>2</v>
      </c>
      <c r="E74">
        <v>1</v>
      </c>
      <c r="K74" t="s">
        <v>602</v>
      </c>
      <c r="M74" t="s">
        <v>486</v>
      </c>
      <c r="U74" t="s">
        <v>984</v>
      </c>
    </row>
    <row r="75" spans="1:24" x14ac:dyDescent="0.3">
      <c r="A75" t="s">
        <v>763</v>
      </c>
      <c r="B75" t="s">
        <v>991</v>
      </c>
      <c r="C75">
        <v>2</v>
      </c>
      <c r="D75">
        <v>2</v>
      </c>
      <c r="E75">
        <v>1</v>
      </c>
      <c r="K75" t="s">
        <v>602</v>
      </c>
      <c r="M75" t="s">
        <v>486</v>
      </c>
      <c r="U75" t="s">
        <v>985</v>
      </c>
    </row>
    <row r="76" spans="1:24" x14ac:dyDescent="0.3">
      <c r="A76" t="s">
        <v>992</v>
      </c>
      <c r="B76" t="s">
        <v>975</v>
      </c>
      <c r="C76">
        <v>3</v>
      </c>
      <c r="D76">
        <v>2</v>
      </c>
      <c r="E76">
        <v>1</v>
      </c>
      <c r="K76" t="s">
        <v>579</v>
      </c>
      <c r="M76" t="s">
        <v>486</v>
      </c>
      <c r="U76" t="s">
        <v>987</v>
      </c>
    </row>
    <row r="77" spans="1:24" x14ac:dyDescent="0.3">
      <c r="A77" t="s">
        <v>993</v>
      </c>
      <c r="B77" t="s">
        <v>994</v>
      </c>
      <c r="M77" t="s">
        <v>486</v>
      </c>
      <c r="U77" t="s">
        <v>989</v>
      </c>
    </row>
    <row r="78" spans="1:24" x14ac:dyDescent="0.3">
      <c r="A78" t="s">
        <v>995</v>
      </c>
      <c r="B78" t="s">
        <v>996</v>
      </c>
      <c r="C78">
        <v>2</v>
      </c>
      <c r="D78">
        <v>2</v>
      </c>
      <c r="E78">
        <v>1</v>
      </c>
      <c r="M78" t="s">
        <v>486</v>
      </c>
      <c r="U78" t="s">
        <v>763</v>
      </c>
    </row>
    <row r="79" spans="1:24" x14ac:dyDescent="0.3">
      <c r="A79" t="s">
        <v>997</v>
      </c>
      <c r="B79" t="s">
        <v>998</v>
      </c>
      <c r="C79">
        <v>3</v>
      </c>
      <c r="D79">
        <v>1</v>
      </c>
      <c r="E79">
        <v>1</v>
      </c>
      <c r="K79" t="s">
        <v>606</v>
      </c>
      <c r="M79" t="s">
        <v>486</v>
      </c>
      <c r="U79" t="s">
        <v>992</v>
      </c>
    </row>
    <row r="80" spans="1:24" x14ac:dyDescent="0.3">
      <c r="A80" t="s">
        <v>999</v>
      </c>
      <c r="B80" t="s">
        <v>1000</v>
      </c>
      <c r="C80">
        <v>0</v>
      </c>
      <c r="D80">
        <v>2</v>
      </c>
      <c r="E80">
        <v>1</v>
      </c>
      <c r="M80" t="s">
        <v>486</v>
      </c>
      <c r="U80" t="s">
        <v>993</v>
      </c>
    </row>
    <row r="81" spans="1:21" x14ac:dyDescent="0.3">
      <c r="A81" t="s">
        <v>1001</v>
      </c>
      <c r="B81" t="s">
        <v>1002</v>
      </c>
      <c r="C81">
        <v>0</v>
      </c>
      <c r="D81">
        <v>2</v>
      </c>
      <c r="E81">
        <v>1</v>
      </c>
      <c r="M81" t="s">
        <v>486</v>
      </c>
      <c r="U81" t="s">
        <v>995</v>
      </c>
    </row>
    <row r="82" spans="1:21" x14ac:dyDescent="0.3">
      <c r="A82" t="s">
        <v>1003</v>
      </c>
      <c r="B82" t="s">
        <v>1004</v>
      </c>
      <c r="C82">
        <v>0</v>
      </c>
      <c r="D82">
        <v>2</v>
      </c>
      <c r="E82">
        <v>1</v>
      </c>
      <c r="K82" t="s">
        <v>574</v>
      </c>
      <c r="M82" t="s">
        <v>486</v>
      </c>
      <c r="U82" t="s">
        <v>997</v>
      </c>
    </row>
    <row r="83" spans="1:21" x14ac:dyDescent="0.3">
      <c r="A83" t="s">
        <v>1005</v>
      </c>
      <c r="B83" t="s">
        <v>1006</v>
      </c>
      <c r="C83">
        <v>0</v>
      </c>
      <c r="D83">
        <v>2</v>
      </c>
      <c r="E83">
        <v>1</v>
      </c>
      <c r="M83" t="s">
        <v>486</v>
      </c>
      <c r="U83" t="s">
        <v>999</v>
      </c>
    </row>
    <row r="84" spans="1:21" x14ac:dyDescent="0.3">
      <c r="A84" t="s">
        <v>1007</v>
      </c>
      <c r="B84" t="s">
        <v>1008</v>
      </c>
      <c r="C84">
        <v>0</v>
      </c>
      <c r="D84">
        <v>2</v>
      </c>
      <c r="E84">
        <v>1</v>
      </c>
      <c r="M84" t="s">
        <v>486</v>
      </c>
      <c r="U84" t="s">
        <v>1001</v>
      </c>
    </row>
    <row r="85" spans="1:21" x14ac:dyDescent="0.3">
      <c r="A85" t="s">
        <v>1009</v>
      </c>
      <c r="B85" t="s">
        <v>1010</v>
      </c>
      <c r="C85">
        <v>2</v>
      </c>
      <c r="D85">
        <v>1</v>
      </c>
      <c r="E85">
        <v>1</v>
      </c>
      <c r="K85" t="s">
        <v>582</v>
      </c>
      <c r="M85" t="s">
        <v>486</v>
      </c>
      <c r="U85" t="s">
        <v>1003</v>
      </c>
    </row>
    <row r="86" spans="1:21" x14ac:dyDescent="0.3">
      <c r="A86" t="s">
        <v>1011</v>
      </c>
      <c r="B86" t="s">
        <v>1012</v>
      </c>
      <c r="C86">
        <v>3</v>
      </c>
      <c r="D86">
        <v>1</v>
      </c>
      <c r="E86">
        <v>1</v>
      </c>
      <c r="K86" t="s">
        <v>582</v>
      </c>
      <c r="M86" t="s">
        <v>486</v>
      </c>
      <c r="U86" t="s">
        <v>1005</v>
      </c>
    </row>
    <row r="87" spans="1:21" x14ac:dyDescent="0.3">
      <c r="A87" t="s">
        <v>1013</v>
      </c>
      <c r="B87" t="s">
        <v>1012</v>
      </c>
      <c r="C87">
        <v>3</v>
      </c>
      <c r="D87">
        <v>1</v>
      </c>
      <c r="E87">
        <v>1</v>
      </c>
      <c r="K87" t="s">
        <v>582</v>
      </c>
      <c r="M87" t="s">
        <v>486</v>
      </c>
      <c r="U87" t="s">
        <v>1007</v>
      </c>
    </row>
    <row r="88" spans="1:21" x14ac:dyDescent="0.3">
      <c r="A88" t="s">
        <v>1014</v>
      </c>
      <c r="B88" t="s">
        <v>1012</v>
      </c>
      <c r="C88">
        <v>3</v>
      </c>
      <c r="D88">
        <v>1</v>
      </c>
      <c r="E88">
        <v>1</v>
      </c>
      <c r="K88" t="s">
        <v>582</v>
      </c>
      <c r="M88" t="s">
        <v>486</v>
      </c>
      <c r="U88" t="s">
        <v>1009</v>
      </c>
    </row>
    <row r="89" spans="1:21" x14ac:dyDescent="0.3">
      <c r="A89" t="s">
        <v>1015</v>
      </c>
      <c r="B89" t="s">
        <v>1016</v>
      </c>
      <c r="K89" t="s">
        <v>593</v>
      </c>
      <c r="M89" t="s">
        <v>490</v>
      </c>
      <c r="U89" t="s">
        <v>1011</v>
      </c>
    </row>
    <row r="90" spans="1:21" x14ac:dyDescent="0.3">
      <c r="A90" t="s">
        <v>1017</v>
      </c>
      <c r="B90" t="s">
        <v>1018</v>
      </c>
      <c r="K90" t="s">
        <v>593</v>
      </c>
      <c r="M90" t="s">
        <v>490</v>
      </c>
      <c r="U90" t="s">
        <v>1013</v>
      </c>
    </row>
    <row r="91" spans="1:21" x14ac:dyDescent="0.3">
      <c r="A91" t="s">
        <v>745</v>
      </c>
      <c r="B91" t="s">
        <v>1019</v>
      </c>
      <c r="C91">
        <v>0</v>
      </c>
      <c r="D91">
        <v>1</v>
      </c>
      <c r="E91">
        <v>1</v>
      </c>
      <c r="M91" t="s">
        <v>486</v>
      </c>
      <c r="U91" t="s">
        <v>1014</v>
      </c>
    </row>
    <row r="92" spans="1:21" x14ac:dyDescent="0.3">
      <c r="A92" t="s">
        <v>743</v>
      </c>
      <c r="B92" t="s">
        <v>1020</v>
      </c>
      <c r="C92">
        <v>0</v>
      </c>
      <c r="D92">
        <v>1</v>
      </c>
      <c r="E92">
        <v>1</v>
      </c>
      <c r="M92" t="s">
        <v>486</v>
      </c>
      <c r="U92" t="s">
        <v>1015</v>
      </c>
    </row>
    <row r="93" spans="1:21" x14ac:dyDescent="0.3">
      <c r="U93" t="s">
        <v>1017</v>
      </c>
    </row>
    <row r="94" spans="1:21" x14ac:dyDescent="0.3">
      <c r="U94" t="s">
        <v>745</v>
      </c>
    </row>
    <row r="95" spans="1:21" x14ac:dyDescent="0.3">
      <c r="U95" t="s">
        <v>743</v>
      </c>
    </row>
  </sheetData>
  <dataValidations count="3">
    <dataValidation type="list" allowBlank="1" showInputMessage="1" sqref="O4:O92" xr:uid="{EC7CC4BD-B516-49A6-BD84-C7B25AFBFFBF}">
      <formula1>"B,C,D"</formula1>
    </dataValidation>
    <dataValidation type="list" allowBlank="1" showInputMessage="1" sqref="P4:P92" xr:uid="{906B8129-694B-40E3-8065-7DA09007F133}">
      <formula1>"дифавтомат,УЗО на группу,нет"</formula1>
    </dataValidation>
    <dataValidation type="list" allowBlank="1" showInputMessage="1" sqref="Q4:Q92" xr:uid="{C8C729FD-C6E2-454C-BF83-6763A9F075AB}">
      <formula1>"Relay,DIM,DALI,шторы,клапан"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78E14-40E4-4ACD-9D9C-D6A80CFED3AC}">
  <sheetPr codeName="Лист7">
    <tabColor rgb="FFFFF2CC"/>
  </sheetPr>
  <dimension ref="A1:C2"/>
  <sheetViews>
    <sheetView workbookViewId="0"/>
  </sheetViews>
  <sheetFormatPr defaultRowHeight="14.4" x14ac:dyDescent="0.3"/>
  <cols>
    <col min="1" max="2" width="12.77734375" customWidth="1"/>
    <col min="3" max="3" width="40.77734375" customWidth="1"/>
  </cols>
  <sheetData>
    <row r="1" spans="1:3" x14ac:dyDescent="0.3">
      <c r="A1" s="36" t="s">
        <v>1035</v>
      </c>
    </row>
    <row r="2" spans="1:3" x14ac:dyDescent="0.3">
      <c r="A2" t="s">
        <v>33</v>
      </c>
      <c r="B2" t="s">
        <v>53</v>
      </c>
      <c r="C2" t="s">
        <v>1036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FBEA-75C4-40A7-8A8E-CD0F71F9FB99}">
  <sheetPr codeName="Лист8">
    <tabColor rgb="FFFFF2CC"/>
  </sheetPr>
  <dimension ref="A1:M8"/>
  <sheetViews>
    <sheetView workbookViewId="0"/>
  </sheetViews>
  <sheetFormatPr defaultRowHeight="14.4" x14ac:dyDescent="0.3"/>
  <cols>
    <col min="1" max="3" width="18.77734375" customWidth="1"/>
  </cols>
  <sheetData>
    <row r="1" spans="1:13" s="81" customFormat="1" ht="15.6" x14ac:dyDescent="0.3">
      <c r="B1" s="139" t="s">
        <v>2509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</row>
    <row r="2" spans="1:13" s="81" customFormat="1" ht="15" customHeight="1" x14ac:dyDescent="0.3">
      <c r="B2" s="141" t="s">
        <v>2510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</row>
    <row r="3" spans="1:13" s="81" customFormat="1" ht="30" customHeight="1" x14ac:dyDescent="0.3">
      <c r="B3" s="141" t="s">
        <v>2511</v>
      </c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1:13" s="81" customFormat="1" ht="30" customHeight="1" x14ac:dyDescent="0.3">
      <c r="B4" s="141" t="s">
        <v>2512</v>
      </c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</row>
    <row r="5" spans="1:13" s="81" customFormat="1" ht="30" customHeight="1" x14ac:dyDescent="0.3">
      <c r="B5" s="141" t="s">
        <v>2513</v>
      </c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</row>
    <row r="6" spans="1:13" s="81" customFormat="1" x14ac:dyDescent="0.3"/>
    <row r="7" spans="1:13" x14ac:dyDescent="0.3">
      <c r="A7" s="36" t="s">
        <v>1106</v>
      </c>
    </row>
    <row r="8" spans="1:13" x14ac:dyDescent="0.3">
      <c r="A8" t="s">
        <v>863</v>
      </c>
      <c r="B8" t="s">
        <v>4</v>
      </c>
      <c r="C8" t="s">
        <v>1107</v>
      </c>
    </row>
  </sheetData>
  <mergeCells count="4">
    <mergeCell ref="B2:M2"/>
    <mergeCell ref="B3:M3"/>
    <mergeCell ref="B4:M4"/>
    <mergeCell ref="B5:M5"/>
  </mergeCells>
  <dataValidations count="1">
    <dataValidation type="list" allowBlank="1" showInputMessage="1" sqref="C9" xr:uid="{0EEB3AE6-2D00-44B9-9DF7-978B420AABBF}">
      <formula1>"Ввод 1,Ввод 2,Ввод 3,ИБП,ДГУ,Одиночная"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21D82-E515-4AFD-89BF-CE0720A577EA}">
  <sheetPr codeName="Лист9">
    <tabColor rgb="FF4F81BD"/>
  </sheetPr>
  <dimension ref="B1:S300"/>
  <sheetViews>
    <sheetView workbookViewId="0"/>
  </sheetViews>
  <sheetFormatPr defaultRowHeight="14.4" x14ac:dyDescent="0.3"/>
  <cols>
    <col min="2" max="2" width="34.77734375" customWidth="1"/>
    <col min="3" max="3" width="22.77734375" customWidth="1"/>
    <col min="4" max="4" width="6.77734375" customWidth="1"/>
    <col min="6" max="19" width="11.77734375" customWidth="1"/>
  </cols>
  <sheetData>
    <row r="1" spans="2:19" ht="18" x14ac:dyDescent="0.35">
      <c r="B1" s="112" t="s">
        <v>1755</v>
      </c>
    </row>
    <row r="3" spans="2:19" ht="28.8" x14ac:dyDescent="0.3">
      <c r="B3" t="s">
        <v>1709</v>
      </c>
      <c r="C3" s="113" t="s">
        <v>785</v>
      </c>
      <c r="F3" s="122" t="s">
        <v>4</v>
      </c>
      <c r="G3" s="122" t="s">
        <v>1037</v>
      </c>
      <c r="H3" s="122" t="s">
        <v>808</v>
      </c>
      <c r="I3" s="122" t="s">
        <v>1077</v>
      </c>
      <c r="J3" s="122" t="s">
        <v>851</v>
      </c>
      <c r="K3" s="122" t="s">
        <v>804</v>
      </c>
      <c r="L3" s="122" t="s">
        <v>810</v>
      </c>
      <c r="M3" s="122" t="s">
        <v>1078</v>
      </c>
      <c r="N3" s="122" t="s">
        <v>1079</v>
      </c>
      <c r="O3" s="122" t="s">
        <v>1080</v>
      </c>
      <c r="P3" s="122" t="s">
        <v>1056</v>
      </c>
      <c r="Q3" s="122" t="s">
        <v>1772</v>
      </c>
      <c r="R3" s="122" t="s">
        <v>1773</v>
      </c>
      <c r="S3" s="122" t="s">
        <v>818</v>
      </c>
    </row>
    <row r="4" spans="2:19" x14ac:dyDescent="0.3">
      <c r="B4" s="131" t="s">
        <v>1037</v>
      </c>
      <c r="C4" s="132" t="str">
        <f>_xlfn.XLOOKUP($C$3,Щиты[Щит],Щиты[Питается от (итог)],"")</f>
        <v/>
      </c>
      <c r="D4" s="131"/>
      <c r="F4" t="str" cm="1">
        <f t="array" ref="F4:S20">_xlfn.HSTACK(Щиты[Щит],Щиты[Питается от (итог)],Щиты[Руст, кВт],Щиты[Кс итог],Щиты[Рр, кВт],Щиты[cos φ],Щиты[Iр, А],Щиты[P L1, кВт],Щиты[P L2, кВт],Щиты[P L3, кВт],Щиты[ΔU до шин, %],Щиты[Iкз min на шинах, А],Щиты[Iкз max на шинах, кА],Щиты[Категория шины «Ввод»])</f>
        <v>ГРЩ-ЖД</v>
      </c>
      <c r="G4" t="str">
        <v/>
      </c>
      <c r="H4" s="6">
        <v>526.28100000000018</v>
      </c>
      <c r="I4" s="6">
        <v>0.52529323916310866</v>
      </c>
      <c r="J4" s="6">
        <v>276.45185120000008</v>
      </c>
      <c r="K4" s="6">
        <v>0.82887953393719294</v>
      </c>
      <c r="L4" s="6">
        <v>482.46261025528872</v>
      </c>
      <c r="M4" s="6">
        <v>174.91366666666667</v>
      </c>
      <c r="N4" s="6">
        <v>175.55366666666666</v>
      </c>
      <c r="O4" s="6">
        <v>175.81366666666665</v>
      </c>
      <c r="P4" s="6">
        <v>0</v>
      </c>
      <c r="Q4" s="6" t="str">
        <v/>
      </c>
      <c r="R4" s="6" t="str">
        <v/>
      </c>
      <c r="S4" t="str">
        <v>I</v>
      </c>
    </row>
    <row r="5" spans="2:19" x14ac:dyDescent="0.3">
      <c r="B5" s="131" t="s">
        <v>819</v>
      </c>
      <c r="C5" s="132">
        <f>_xlfn.XLOOKUP($C$3,Щиты[Щит],Щиты[Руст, кВт],"")</f>
        <v>526.28100000000018</v>
      </c>
      <c r="D5" s="131" t="s">
        <v>16</v>
      </c>
      <c r="F5" t="str">
        <v>ЩГП</v>
      </c>
      <c r="G5" t="str">
        <v>ГРЩ-ЖД</v>
      </c>
      <c r="H5" s="6">
        <v>1.9000000000000006</v>
      </c>
      <c r="I5" s="6">
        <v>0.8</v>
      </c>
      <c r="J5" s="6">
        <v>1.5200000000000005</v>
      </c>
      <c r="K5" s="6">
        <v>0.94999999999999951</v>
      </c>
      <c r="L5" s="6">
        <v>2.3094010767585051</v>
      </c>
      <c r="M5" s="6">
        <v>0.63333333333333353</v>
      </c>
      <c r="N5" s="6">
        <v>0.63333333333333353</v>
      </c>
      <c r="O5" s="6">
        <v>0.63333333333333353</v>
      </c>
      <c r="P5" s="6">
        <v>0</v>
      </c>
      <c r="Q5" s="6" t="str">
        <v/>
      </c>
      <c r="R5" s="6" t="str">
        <v/>
      </c>
      <c r="S5" t="str">
        <v>II</v>
      </c>
    </row>
    <row r="6" spans="2:19" x14ac:dyDescent="0.3">
      <c r="B6" s="131" t="s">
        <v>1756</v>
      </c>
      <c r="C6" s="132">
        <f>_xlfn.XLOOKUP($C$3,Щиты[Щит],Щиты[Руст быт, кВт],"")</f>
        <v>61.360000000000014</v>
      </c>
      <c r="D6" s="131" t="s">
        <v>16</v>
      </c>
      <c r="F6" t="str">
        <v>ЩО-001</v>
      </c>
      <c r="G6" t="str">
        <v>ЩГП</v>
      </c>
      <c r="H6" s="6">
        <v>1.9000000000000006</v>
      </c>
      <c r="I6" s="6">
        <v>0.8</v>
      </c>
      <c r="J6" s="6">
        <v>1.5200000000000005</v>
      </c>
      <c r="K6" s="6">
        <v>0.94999999999999951</v>
      </c>
      <c r="L6" s="6">
        <v>2.5524959269436094</v>
      </c>
      <c r="M6" s="6">
        <v>0.7</v>
      </c>
      <c r="N6" s="6">
        <v>0.6</v>
      </c>
      <c r="O6" s="6">
        <v>0.6</v>
      </c>
      <c r="P6" s="6">
        <v>0.17</v>
      </c>
      <c r="Q6" s="6" t="str">
        <v/>
      </c>
      <c r="R6" s="6" t="str">
        <v/>
      </c>
      <c r="S6" t="str">
        <v>II</v>
      </c>
    </row>
    <row r="7" spans="2:19" x14ac:dyDescent="0.3">
      <c r="B7" s="131" t="s">
        <v>1757</v>
      </c>
      <c r="C7" s="132">
        <f>_xlfn.XLOOKUP($C$3,Щиты[Щит],Щиты[Кс быт],"")</f>
        <v>0.47591999999999995</v>
      </c>
      <c r="D7" s="131"/>
      <c r="F7" t="str">
        <v>ЩОВ-001</v>
      </c>
      <c r="G7" t="str">
        <v>ГРЩ-ЖД</v>
      </c>
      <c r="H7" s="6">
        <v>211.22</v>
      </c>
      <c r="I7" s="6">
        <v>0.5</v>
      </c>
      <c r="J7" s="6">
        <v>105.61</v>
      </c>
      <c r="K7" s="6">
        <v>0.8</v>
      </c>
      <c r="L7" s="6">
        <v>190.59775761622515</v>
      </c>
      <c r="M7" s="6">
        <v>70.416666666666657</v>
      </c>
      <c r="N7" s="6">
        <v>70.376666666666665</v>
      </c>
      <c r="O7" s="6">
        <v>70.426666666666662</v>
      </c>
      <c r="P7" s="6">
        <v>0.64</v>
      </c>
      <c r="Q7" s="6" t="str">
        <v/>
      </c>
      <c r="R7" s="6" t="str">
        <v/>
      </c>
      <c r="S7" t="str">
        <v>II</v>
      </c>
    </row>
    <row r="8" spans="2:19" x14ac:dyDescent="0.3">
      <c r="B8" s="131" t="s">
        <v>1758</v>
      </c>
      <c r="C8" s="132">
        <f>_xlfn.XLOOKUP($C$3,Щиты[Щит],Щиты[Рр сил, кВт],"")</f>
        <v>230.31600000000003</v>
      </c>
      <c r="D8" s="131" t="s">
        <v>16</v>
      </c>
      <c r="F8" t="str">
        <v>ЩОВ-002</v>
      </c>
      <c r="G8" t="str">
        <v>ГРЩ-ЖД</v>
      </c>
      <c r="H8" s="6">
        <v>6.99</v>
      </c>
      <c r="I8" s="6">
        <v>0.5</v>
      </c>
      <c r="J8" s="6">
        <v>3.4950000000000001</v>
      </c>
      <c r="K8" s="6">
        <v>0.79999999999999982</v>
      </c>
      <c r="L8" s="6">
        <v>8.1189881604791125</v>
      </c>
      <c r="M8" s="6">
        <v>1.8900000000000006</v>
      </c>
      <c r="N8" s="6">
        <v>2.1</v>
      </c>
      <c r="O8" s="6">
        <v>3</v>
      </c>
      <c r="P8" s="6">
        <v>0.74</v>
      </c>
      <c r="Q8" s="6" t="str">
        <v/>
      </c>
      <c r="R8" s="6" t="str">
        <v/>
      </c>
      <c r="S8" t="str">
        <v>II</v>
      </c>
    </row>
    <row r="9" spans="2:19" x14ac:dyDescent="0.3">
      <c r="B9" s="131" t="s">
        <v>1759</v>
      </c>
      <c r="C9" s="132">
        <f>_xlfn.XLOOKUP($C$3,Щиты[Щит],Щиты[Руст пост, кВт],"")</f>
        <v>39.965000000000003</v>
      </c>
      <c r="D9" s="131" t="s">
        <v>16</v>
      </c>
      <c r="F9" t="str">
        <v>ЩОВ-01</v>
      </c>
      <c r="G9" t="str">
        <v>ГРЩ-ЖД</v>
      </c>
      <c r="H9" s="6">
        <v>13.172999999999996</v>
      </c>
      <c r="I9" s="6">
        <v>0.5</v>
      </c>
      <c r="J9" s="6">
        <v>6.5864999999999982</v>
      </c>
      <c r="K9" s="6">
        <v>0.80000000000000071</v>
      </c>
      <c r="L9" s="6">
        <v>11.927695717539414</v>
      </c>
      <c r="M9" s="6">
        <v>4.4073333333333338</v>
      </c>
      <c r="N9" s="6">
        <v>4.3883333333333336</v>
      </c>
      <c r="O9" s="6">
        <v>4.3773333333333335</v>
      </c>
      <c r="P9" s="6">
        <v>0.24000000000000002</v>
      </c>
      <c r="Q9" s="6" t="str">
        <v/>
      </c>
      <c r="R9" s="6" t="str">
        <v/>
      </c>
      <c r="S9" t="str">
        <v>II</v>
      </c>
    </row>
    <row r="10" spans="2:19" x14ac:dyDescent="0.3">
      <c r="B10" s="131" t="s">
        <v>1760</v>
      </c>
      <c r="C10" s="132">
        <f>_xlfn.XLOOKUP($C$3,Щиты[Щит],Щиты[Р отопления, кВт],"")</f>
        <v>0</v>
      </c>
      <c r="D10" s="131" t="s">
        <v>16</v>
      </c>
      <c r="F10" t="str">
        <v>ЩОВ-2</v>
      </c>
      <c r="G10" t="str">
        <v>ГРЩ-ЖД</v>
      </c>
      <c r="H10" s="6">
        <v>11.093000000000002</v>
      </c>
      <c r="I10" s="6">
        <v>0.5</v>
      </c>
      <c r="J10" s="6">
        <v>5.5465000000000009</v>
      </c>
      <c r="K10" s="6">
        <v>0.8</v>
      </c>
      <c r="L10" s="6">
        <v>10.284051669940206</v>
      </c>
      <c r="M10" s="6">
        <v>3.6630000000000003</v>
      </c>
      <c r="N10" s="6">
        <v>3.63</v>
      </c>
      <c r="O10" s="6">
        <v>3.8</v>
      </c>
      <c r="P10" s="6">
        <v>1.1399999999999999</v>
      </c>
      <c r="Q10" s="6" t="str">
        <v/>
      </c>
      <c r="R10" s="6" t="str">
        <v/>
      </c>
      <c r="S10" t="str">
        <v>II</v>
      </c>
    </row>
    <row r="11" spans="2:19" x14ac:dyDescent="0.3">
      <c r="B11" s="131" t="s">
        <v>1761</v>
      </c>
      <c r="C11" s="132">
        <f>_xlfn.XLOOKUP($C$3,Щиты[Щит],Щиты[Рр ВНГ, кВт],"")</f>
        <v>0</v>
      </c>
      <c r="D11" s="131" t="s">
        <v>16</v>
      </c>
      <c r="F11" t="str">
        <v>ЩР-001</v>
      </c>
      <c r="G11" t="str">
        <v>ГРЩ-ЖД</v>
      </c>
      <c r="H11" s="6">
        <v>11.860000000000001</v>
      </c>
      <c r="I11" s="6">
        <v>0.90286677908937618</v>
      </c>
      <c r="J11" s="6">
        <v>10.708000000000002</v>
      </c>
      <c r="K11" s="6">
        <v>0.94999999999999984</v>
      </c>
      <c r="L11" s="6">
        <v>16.378863980838116</v>
      </c>
      <c r="M11" s="6">
        <v>3.9600000000000004</v>
      </c>
      <c r="N11" s="6">
        <v>3.92</v>
      </c>
      <c r="O11" s="6">
        <v>3.98</v>
      </c>
      <c r="P11" s="6">
        <v>1.57</v>
      </c>
      <c r="Q11" s="6" t="str">
        <v/>
      </c>
      <c r="R11" s="6" t="str">
        <v/>
      </c>
      <c r="S11" t="str">
        <v>II</v>
      </c>
    </row>
    <row r="12" spans="2:19" x14ac:dyDescent="0.3">
      <c r="B12" s="131" t="s">
        <v>1076</v>
      </c>
      <c r="C12" s="132">
        <f>_xlfn.XLOOKUP($C$3,Щиты[Щит],Щиты[Ко],"")</f>
        <v>0.9</v>
      </c>
      <c r="D12" s="131"/>
      <c r="F12" t="str">
        <v>ЩР-01</v>
      </c>
      <c r="G12" t="str">
        <v>ГРЩ-ЖД</v>
      </c>
      <c r="H12" s="6">
        <v>24.405000000000005</v>
      </c>
      <c r="I12" s="6">
        <v>0.88345994673222694</v>
      </c>
      <c r="J12" s="6">
        <v>21.560840000000002</v>
      </c>
      <c r="K12" s="6">
        <v>0.95000000000000018</v>
      </c>
      <c r="L12" s="6">
        <v>32.798575666043085</v>
      </c>
      <c r="M12" s="6">
        <v>8.1450000000000014</v>
      </c>
      <c r="N12" s="6">
        <v>8.120000000000001</v>
      </c>
      <c r="O12" s="6">
        <v>8.14</v>
      </c>
      <c r="P12" s="6">
        <v>0.43</v>
      </c>
      <c r="Q12" s="6" t="str">
        <v/>
      </c>
      <c r="R12" s="6" t="str">
        <v/>
      </c>
      <c r="S12" t="str">
        <v>II</v>
      </c>
    </row>
    <row r="13" spans="2:19" x14ac:dyDescent="0.3">
      <c r="B13" s="131" t="s">
        <v>820</v>
      </c>
      <c r="C13" s="132">
        <f>_xlfn.XLOOKUP($C$3,Щиты[Щит],Щиты[Рр, кВт],"")</f>
        <v>276.45185120000008</v>
      </c>
      <c r="D13" s="131" t="s">
        <v>16</v>
      </c>
      <c r="F13" t="str">
        <v>ЩР-1</v>
      </c>
      <c r="G13" t="str">
        <v>ГРЩ-ЖД</v>
      </c>
      <c r="H13" s="6">
        <v>34.840000000000003</v>
      </c>
      <c r="I13" s="6">
        <v>0.58435195177956378</v>
      </c>
      <c r="J13" s="6">
        <v>20.358822000000004</v>
      </c>
      <c r="K13" s="6">
        <v>0.94999999999999984</v>
      </c>
      <c r="L13" s="6">
        <v>30.958664828377682</v>
      </c>
      <c r="M13" s="6">
        <v>11.613333333333332</v>
      </c>
      <c r="N13" s="6">
        <v>11.623333333333333</v>
      </c>
      <c r="O13" s="6">
        <v>11.603333333333332</v>
      </c>
      <c r="P13" s="6">
        <v>1.19</v>
      </c>
      <c r="Q13" s="6" t="str">
        <v/>
      </c>
      <c r="R13" s="6" t="str">
        <v/>
      </c>
      <c r="S13" t="str">
        <v>II</v>
      </c>
    </row>
    <row r="14" spans="2:19" x14ac:dyDescent="0.3">
      <c r="B14" s="131" t="s">
        <v>1762</v>
      </c>
      <c r="C14" s="132">
        <f>_xlfn.XLOOKUP($C$3,Щиты[Щит],Щиты[Кс итог],"")</f>
        <v>0.52529323916310866</v>
      </c>
      <c r="D14" s="131"/>
      <c r="F14" t="str">
        <v>ЩР-2</v>
      </c>
      <c r="G14" t="str">
        <v>ГРЩ-ЖД</v>
      </c>
      <c r="H14" s="6">
        <v>9.98</v>
      </c>
      <c r="I14" s="6">
        <v>0.89418837675350693</v>
      </c>
      <c r="J14" s="6">
        <v>8.9239999999999995</v>
      </c>
      <c r="K14" s="6">
        <v>0.95</v>
      </c>
      <c r="L14" s="6">
        <v>13.694473137501861</v>
      </c>
      <c r="M14" s="6">
        <v>3.3600000000000003</v>
      </c>
      <c r="N14" s="6">
        <v>3.3</v>
      </c>
      <c r="O14" s="6">
        <v>3.3200000000000003</v>
      </c>
      <c r="P14" s="6">
        <v>1.79</v>
      </c>
      <c r="Q14" s="6" t="str">
        <v/>
      </c>
      <c r="R14" s="6" t="str">
        <v/>
      </c>
      <c r="S14" t="str">
        <v>II</v>
      </c>
    </row>
    <row r="15" spans="2:19" x14ac:dyDescent="0.3">
      <c r="B15" s="131" t="s">
        <v>804</v>
      </c>
      <c r="C15" s="132">
        <f>_xlfn.XLOOKUP($C$3,Щиты[Щит],Щиты[cos φ],"")</f>
        <v>0.82887953393719294</v>
      </c>
      <c r="D15" s="131"/>
      <c r="F15" t="str">
        <v>ЩС-Б</v>
      </c>
      <c r="G15" t="str">
        <v>ГРЩ-ЖД</v>
      </c>
      <c r="H15" s="6">
        <v>24.990000000000002</v>
      </c>
      <c r="I15" s="6">
        <v>0.5</v>
      </c>
      <c r="J15" s="6">
        <v>12.495000000000001</v>
      </c>
      <c r="K15" s="6">
        <v>0.79999999999999993</v>
      </c>
      <c r="L15" s="6">
        <v>22.54372379226367</v>
      </c>
      <c r="M15" s="6">
        <v>8.33</v>
      </c>
      <c r="N15" s="6">
        <v>8.33</v>
      </c>
      <c r="O15" s="6">
        <v>8.33</v>
      </c>
      <c r="P15" s="6">
        <v>0.96</v>
      </c>
      <c r="Q15" s="6" t="str">
        <v/>
      </c>
      <c r="R15" s="6" t="str">
        <v/>
      </c>
      <c r="S15" t="str">
        <v>II</v>
      </c>
    </row>
    <row r="16" spans="2:19" x14ac:dyDescent="0.3">
      <c r="B16" s="131" t="s">
        <v>1763</v>
      </c>
      <c r="C16" s="132">
        <f>IFERROR(C13*TAN(ACOS(C15)),"")</f>
        <v>186.58280300691362</v>
      </c>
      <c r="D16" s="131" t="s">
        <v>1764</v>
      </c>
      <c r="F16" t="str">
        <v>ЩС-ВК.001</v>
      </c>
      <c r="G16" t="str">
        <v>ГРЩ-ЖД</v>
      </c>
      <c r="H16" s="6">
        <v>3.8000000000000003</v>
      </c>
      <c r="I16" s="6">
        <v>0.5</v>
      </c>
      <c r="J16" s="6">
        <v>1.9000000000000001</v>
      </c>
      <c r="K16" s="6">
        <v>0.79999999999999993</v>
      </c>
      <c r="L16" s="6">
        <v>10.28405166994021</v>
      </c>
      <c r="M16" s="6">
        <v>3.8000000000000003</v>
      </c>
      <c r="N16" s="6">
        <v>0</v>
      </c>
      <c r="O16" s="6">
        <v>0</v>
      </c>
      <c r="P16" s="6">
        <v>2.1199999999999997</v>
      </c>
      <c r="Q16" s="6" t="str">
        <v/>
      </c>
      <c r="R16" s="6" t="str">
        <v/>
      </c>
      <c r="S16" t="str">
        <v>II</v>
      </c>
    </row>
    <row r="17" spans="2:19" x14ac:dyDescent="0.3">
      <c r="B17" s="131" t="s">
        <v>1765</v>
      </c>
      <c r="C17" s="132">
        <f>IFERROR(SQRT(C13^2+C16^2),"")</f>
        <v>333.52476431267246</v>
      </c>
      <c r="D17" s="131" t="s">
        <v>801</v>
      </c>
      <c r="F17" t="str">
        <v>ЩС-ВК.002</v>
      </c>
      <c r="G17" t="str">
        <v>ГРЩ-ЖД</v>
      </c>
      <c r="H17" s="6">
        <v>2.4</v>
      </c>
      <c r="I17" s="6">
        <v>0.7</v>
      </c>
      <c r="J17" s="6">
        <v>1.68</v>
      </c>
      <c r="K17" s="6">
        <v>0.8</v>
      </c>
      <c r="L17" s="6">
        <v>9.0932667397366043</v>
      </c>
      <c r="M17" s="6">
        <v>2.4</v>
      </c>
      <c r="N17" s="6">
        <v>0</v>
      </c>
      <c r="O17" s="6">
        <v>0</v>
      </c>
      <c r="P17" s="6">
        <v>1.84</v>
      </c>
      <c r="Q17" s="6" t="str">
        <v/>
      </c>
      <c r="R17" s="6" t="str">
        <v/>
      </c>
      <c r="S17" t="str">
        <v>II</v>
      </c>
    </row>
    <row r="18" spans="2:19" x14ac:dyDescent="0.3">
      <c r="B18" s="131" t="s">
        <v>1766</v>
      </c>
      <c r="C18" s="132">
        <f>_xlfn.XLOOKUP($C$3,Щиты[Щит],Щиты[Iр, А],"")</f>
        <v>482.46261025528872</v>
      </c>
      <c r="D18" s="131" t="s">
        <v>18</v>
      </c>
      <c r="F18" t="str">
        <v>ЩС-ВК.003</v>
      </c>
      <c r="G18" t="str">
        <v>ГРЩ-ЖД</v>
      </c>
      <c r="H18" s="6">
        <v>4.34</v>
      </c>
      <c r="I18" s="6">
        <v>0.7</v>
      </c>
      <c r="J18" s="6">
        <v>3.0379999999999998</v>
      </c>
      <c r="K18" s="6">
        <v>0.8</v>
      </c>
      <c r="L18" s="6">
        <v>16.443657354357025</v>
      </c>
      <c r="M18" s="6">
        <v>0</v>
      </c>
      <c r="N18" s="6">
        <v>0</v>
      </c>
      <c r="O18" s="6">
        <v>4.34</v>
      </c>
      <c r="P18" s="6">
        <v>3.44</v>
      </c>
      <c r="Q18" s="6" t="str">
        <v/>
      </c>
      <c r="R18" s="6" t="str">
        <v/>
      </c>
      <c r="S18" t="str">
        <v>II</v>
      </c>
    </row>
    <row r="19" spans="2:19" x14ac:dyDescent="0.3">
      <c r="B19" s="131" t="s">
        <v>1767</v>
      </c>
      <c r="C19" s="132" t="str">
        <f>IFERROR(FIXED(_xlfn.XLOOKUP($C$3,Щиты[Щит],Щиты[P L1, кВт],""),2)&amp;" / "&amp;FIXED(_xlfn.XLOOKUP($C$3,Щиты[Щит],Щиты[P L2, кВт],""),2)&amp;" / "&amp;FIXED(_xlfn.XLOOKUP($C$3,Щиты[Щит],Щиты[P L3, кВт],""),2),"")</f>
        <v>174,91 / 175,55 / 175,81</v>
      </c>
      <c r="D19" s="131" t="s">
        <v>16</v>
      </c>
      <c r="F19" t="str">
        <v>ЩСПЗ-ЖД</v>
      </c>
      <c r="G19" t="str">
        <v>ГРЩ-ЖД</v>
      </c>
      <c r="H19" s="6">
        <v>1.6</v>
      </c>
      <c r="I19" s="6">
        <v>1</v>
      </c>
      <c r="J19" s="6">
        <v>1.6</v>
      </c>
      <c r="K19" s="6">
        <v>0.95</v>
      </c>
      <c r="L19" s="6">
        <v>3.646422752776584</v>
      </c>
      <c r="M19" s="6">
        <v>0.8</v>
      </c>
      <c r="N19" s="6">
        <v>0.4</v>
      </c>
      <c r="O19" s="6">
        <v>0.4</v>
      </c>
      <c r="P19" s="6">
        <v>0.41000000000000003</v>
      </c>
      <c r="Q19" s="6" t="str">
        <v/>
      </c>
      <c r="R19" s="6" t="str">
        <v/>
      </c>
      <c r="S19" t="str">
        <v>I</v>
      </c>
    </row>
    <row r="20" spans="2:19" x14ac:dyDescent="0.3">
      <c r="B20" s="131" t="s">
        <v>1768</v>
      </c>
      <c r="C20" s="132" t="str">
        <f>IFERROR(FIXED(_xlfn.XLOOKUP($C$3,Щиты[Щит],Щиты[P L1, кВт],"")*C14,2)&amp;" / "&amp;FIXED(_xlfn.XLOOKUP($C$3,Щиты[Щит],Щиты[P L2, кВт],"")*C14,2)&amp;" / "&amp;FIXED(_xlfn.XLOOKUP($C$3,Щиты[Щит],Щиты[P L3, кВт],"")*C14,2),"")</f>
        <v>91,88 / 92,22 / 92,35</v>
      </c>
      <c r="D20" s="131" t="s">
        <v>16</v>
      </c>
      <c r="F20" t="str">
        <v>ЩУОВ</v>
      </c>
      <c r="G20" t="str">
        <v>ГРЩ-ЖД</v>
      </c>
      <c r="H20" s="6">
        <v>16.439999999999998</v>
      </c>
      <c r="I20" s="6">
        <v>1</v>
      </c>
      <c r="J20" s="6">
        <v>16.439999999999998</v>
      </c>
      <c r="K20" s="6">
        <v>0.95000000000000007</v>
      </c>
      <c r="L20" s="6">
        <v>30.766691976552419</v>
      </c>
      <c r="M20" s="6">
        <v>6.75</v>
      </c>
      <c r="N20" s="6">
        <v>5.07</v>
      </c>
      <c r="O20" s="6">
        <v>4.62</v>
      </c>
      <c r="P20" s="6">
        <v>2.4899999999999998</v>
      </c>
      <c r="Q20" s="6" t="str">
        <v/>
      </c>
      <c r="R20" s="6" t="str">
        <v/>
      </c>
      <c r="S20" t="str">
        <v>II</v>
      </c>
    </row>
    <row r="21" spans="2:19" x14ac:dyDescent="0.3">
      <c r="B21" s="131" t="s">
        <v>1769</v>
      </c>
      <c r="C21" s="132">
        <f>IFERROR(_xlfn.LET(_xlpm.a,_xlfn.XLOOKUP($C$3,Щиты[Щит],Щиты[P L1, кВт],""),_xlpm.b,_xlfn.XLOOKUP($C$3,Щиты[Щит],Щиты[P L2, кВт],""),_xlpm.cc,_xlfn.XLOOKUP($C$3,Щиты[Щит],Щиты[P L3, кВт],""),(MAX(_xlpm.a,_xlpm.b,_xlpm.cc)-MIN(_xlpm.a,_xlpm.b,_xlpm.cc))/MAX(_xlpm.a,_xlpm.b,_xlpm.cc)*100),"")</f>
        <v>0.5119055970241092</v>
      </c>
      <c r="D21" s="131" t="s">
        <v>17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</row>
    <row r="22" spans="2:19" x14ac:dyDescent="0.3">
      <c r="B22" s="131" t="s">
        <v>1770</v>
      </c>
      <c r="C22" s="132">
        <f>_xlfn.XLOOKUP($C$3,Щиты[Щит],Щиты[Iпуск max, А],"")</f>
        <v>0</v>
      </c>
      <c r="D22" s="131" t="s">
        <v>18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2:19" x14ac:dyDescent="0.3">
      <c r="B23" s="131" t="s">
        <v>828</v>
      </c>
      <c r="C23" s="132" t="str">
        <f>IFERROR(IF((TAN(ACOS(C15))-0.35)*C13&lt;50,"не требуется (&lt; 50 квар, СП 256 п. 7.3)",FIXED((TAN(ACOS(C15))-0.35)*C13,1)&amp;" квар"),"")</f>
        <v>89,8 квар</v>
      </c>
      <c r="D23" s="13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</row>
    <row r="24" spans="2:19" x14ac:dyDescent="0.3">
      <c r="B24" s="131" t="s">
        <v>1771</v>
      </c>
      <c r="C24" s="132">
        <f>_xlfn.XLOOKUP($C$3,Щиты[Щит],Щиты[ΔU до шин, %],"")</f>
        <v>0</v>
      </c>
      <c r="D24" s="131" t="s">
        <v>17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2:19" x14ac:dyDescent="0.3">
      <c r="B25" s="131" t="s">
        <v>806</v>
      </c>
      <c r="C25" s="132" t="str">
        <f>_xlfn.XLOOKUP($C$3,Щиты[Щит],Щиты[Iкз min на шинах, А],"")</f>
        <v/>
      </c>
      <c r="D25" s="131" t="s">
        <v>18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2:19" x14ac:dyDescent="0.3">
      <c r="B26" s="131" t="s">
        <v>807</v>
      </c>
      <c r="C26" s="132" t="str">
        <f>_xlfn.XLOOKUP($C$3,Щиты[Щит],Щиты[Iкз max на шинах, кА],"")</f>
        <v/>
      </c>
      <c r="D26" s="131" t="s">
        <v>800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2:19" x14ac:dyDescent="0.3">
      <c r="B27" s="131" t="s">
        <v>1059</v>
      </c>
      <c r="C27" s="132" t="str">
        <f>_xlfn.XLOOKUP($C$3,Щиты[Щит],Щиты[Категория шины «Ввод»],"")</f>
        <v>I</v>
      </c>
      <c r="D27" s="131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2:19" x14ac:dyDescent="0.3">
      <c r="C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2:19" x14ac:dyDescent="0.3">
      <c r="B29" s="119" t="s">
        <v>1774</v>
      </c>
      <c r="C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2:19" x14ac:dyDescent="0.3">
      <c r="C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2:19" x14ac:dyDescent="0.3"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2:19" x14ac:dyDescent="0.3"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8:18" x14ac:dyDescent="0.3"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8:18" x14ac:dyDescent="0.3"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8:18" x14ac:dyDescent="0.3"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8:18" x14ac:dyDescent="0.3"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8:18" x14ac:dyDescent="0.3"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8:18" x14ac:dyDescent="0.3"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8:18" x14ac:dyDescent="0.3"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8:18" x14ac:dyDescent="0.3"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8:18" x14ac:dyDescent="0.3"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8:18" x14ac:dyDescent="0.3"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8:18" x14ac:dyDescent="0.3"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8:18" x14ac:dyDescent="0.3"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8:18" x14ac:dyDescent="0.3"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8:18" x14ac:dyDescent="0.3"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</row>
    <row r="47" spans="8:18" x14ac:dyDescent="0.3"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</row>
    <row r="48" spans="8:18" x14ac:dyDescent="0.3"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8:18" x14ac:dyDescent="0.3"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8:18" x14ac:dyDescent="0.3"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</row>
    <row r="51" spans="8:18" x14ac:dyDescent="0.3"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</row>
    <row r="52" spans="8:18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</row>
    <row r="53" spans="8:18" x14ac:dyDescent="0.3"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8:18" x14ac:dyDescent="0.3"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8:18" x14ac:dyDescent="0.3"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8:18" x14ac:dyDescent="0.3"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8:18" x14ac:dyDescent="0.3"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8:18" x14ac:dyDescent="0.3"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8:18" x14ac:dyDescent="0.3"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spans="8:18" x14ac:dyDescent="0.3"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spans="8:18" x14ac:dyDescent="0.3"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spans="8:18" x14ac:dyDescent="0.3"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spans="8:18" x14ac:dyDescent="0.3"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spans="8:18" x14ac:dyDescent="0.3"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spans="8:18" x14ac:dyDescent="0.3"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8:18" x14ac:dyDescent="0.3"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8:18" x14ac:dyDescent="0.3"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8:18" x14ac:dyDescent="0.3"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8:18" x14ac:dyDescent="0.3"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8:18" x14ac:dyDescent="0.3"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8:18" x14ac:dyDescent="0.3"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8:18" x14ac:dyDescent="0.3"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8:18" x14ac:dyDescent="0.3"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8:18" x14ac:dyDescent="0.3"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8:18" x14ac:dyDescent="0.3"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8:18" x14ac:dyDescent="0.3"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  <row r="77" spans="8:18" x14ac:dyDescent="0.3"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8:18" x14ac:dyDescent="0.3"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8:18" x14ac:dyDescent="0.3"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8:18" x14ac:dyDescent="0.3"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8:18" x14ac:dyDescent="0.3"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8:18" x14ac:dyDescent="0.3"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8:18" x14ac:dyDescent="0.3"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8:18" x14ac:dyDescent="0.3"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8:18" x14ac:dyDescent="0.3"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8:18" x14ac:dyDescent="0.3"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8:18" x14ac:dyDescent="0.3"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8:18" x14ac:dyDescent="0.3"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8:18" x14ac:dyDescent="0.3"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8:18" x14ac:dyDescent="0.3"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8:18" x14ac:dyDescent="0.3"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8:18" x14ac:dyDescent="0.3"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8:18" x14ac:dyDescent="0.3"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8:18" x14ac:dyDescent="0.3"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8:18" x14ac:dyDescent="0.3"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8:18" x14ac:dyDescent="0.3"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8:18" x14ac:dyDescent="0.3"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8:18" x14ac:dyDescent="0.3"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8:18" x14ac:dyDescent="0.3"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8:18" x14ac:dyDescent="0.3"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8:18" x14ac:dyDescent="0.3"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8:18" x14ac:dyDescent="0.3"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8:18" x14ac:dyDescent="0.3"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8:18" x14ac:dyDescent="0.3"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8:18" x14ac:dyDescent="0.3"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8:18" x14ac:dyDescent="0.3"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8:18" x14ac:dyDescent="0.3"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8:18" x14ac:dyDescent="0.3"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8:18" x14ac:dyDescent="0.3"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8:18" x14ac:dyDescent="0.3"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8:18" x14ac:dyDescent="0.3"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8:18" x14ac:dyDescent="0.3"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8:18" x14ac:dyDescent="0.3"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8:18" x14ac:dyDescent="0.3"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  <row r="115" spans="8:18" x14ac:dyDescent="0.3"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</row>
    <row r="116" spans="8:18" x14ac:dyDescent="0.3"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</row>
    <row r="117" spans="8:18" x14ac:dyDescent="0.3"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</row>
    <row r="118" spans="8:18" x14ac:dyDescent="0.3"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</row>
    <row r="119" spans="8:18" x14ac:dyDescent="0.3"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</row>
    <row r="120" spans="8:18" x14ac:dyDescent="0.3"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</row>
    <row r="121" spans="8:18" x14ac:dyDescent="0.3"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</row>
    <row r="122" spans="8:18" x14ac:dyDescent="0.3"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</row>
    <row r="123" spans="8:18" x14ac:dyDescent="0.3"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</row>
    <row r="124" spans="8:18" x14ac:dyDescent="0.3"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</row>
    <row r="125" spans="8:18" x14ac:dyDescent="0.3"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</row>
    <row r="126" spans="8:18" x14ac:dyDescent="0.3"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</row>
    <row r="127" spans="8:18" x14ac:dyDescent="0.3"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</row>
    <row r="128" spans="8:18" x14ac:dyDescent="0.3"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</row>
    <row r="129" spans="8:18" x14ac:dyDescent="0.3"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</row>
    <row r="130" spans="8:18" x14ac:dyDescent="0.3"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</row>
    <row r="131" spans="8:18" x14ac:dyDescent="0.3"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</row>
    <row r="132" spans="8:18" x14ac:dyDescent="0.3"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</row>
    <row r="133" spans="8:18" x14ac:dyDescent="0.3"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</row>
    <row r="134" spans="8:18" x14ac:dyDescent="0.3"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</row>
    <row r="135" spans="8:18" x14ac:dyDescent="0.3"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</row>
    <row r="136" spans="8:18" x14ac:dyDescent="0.3"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</row>
    <row r="137" spans="8:18" x14ac:dyDescent="0.3"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</row>
    <row r="138" spans="8:18" x14ac:dyDescent="0.3"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</row>
    <row r="139" spans="8:18" x14ac:dyDescent="0.3"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</row>
    <row r="140" spans="8:18" x14ac:dyDescent="0.3"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</row>
    <row r="141" spans="8:18" x14ac:dyDescent="0.3"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</row>
    <row r="142" spans="8:18" x14ac:dyDescent="0.3"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</row>
    <row r="143" spans="8:18" x14ac:dyDescent="0.3"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</row>
    <row r="144" spans="8:18" x14ac:dyDescent="0.3"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</row>
    <row r="145" spans="8:18" x14ac:dyDescent="0.3"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</row>
    <row r="146" spans="8:18" x14ac:dyDescent="0.3"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</row>
    <row r="147" spans="8:18" x14ac:dyDescent="0.3"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</row>
    <row r="148" spans="8:18" x14ac:dyDescent="0.3"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</row>
    <row r="149" spans="8:18" x14ac:dyDescent="0.3"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</row>
    <row r="150" spans="8:18" x14ac:dyDescent="0.3"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</row>
    <row r="151" spans="8:18" x14ac:dyDescent="0.3"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</row>
    <row r="152" spans="8:18" x14ac:dyDescent="0.3"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</row>
    <row r="153" spans="8:18" x14ac:dyDescent="0.3"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</row>
    <row r="154" spans="8:18" x14ac:dyDescent="0.3"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</row>
    <row r="155" spans="8:18" x14ac:dyDescent="0.3"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</row>
    <row r="156" spans="8:18" x14ac:dyDescent="0.3"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</row>
    <row r="157" spans="8:18" x14ac:dyDescent="0.3"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</row>
    <row r="158" spans="8:18" x14ac:dyDescent="0.3"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</row>
    <row r="159" spans="8:18" x14ac:dyDescent="0.3"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</row>
    <row r="160" spans="8:18" x14ac:dyDescent="0.3"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</row>
    <row r="161" spans="8:18" x14ac:dyDescent="0.3"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</row>
    <row r="162" spans="8:18" x14ac:dyDescent="0.3"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</row>
    <row r="163" spans="8:18" x14ac:dyDescent="0.3"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</row>
    <row r="164" spans="8:18" x14ac:dyDescent="0.3"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</row>
    <row r="165" spans="8:18" x14ac:dyDescent="0.3"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</row>
    <row r="166" spans="8:18" x14ac:dyDescent="0.3"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</row>
    <row r="167" spans="8:18" x14ac:dyDescent="0.3"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</row>
    <row r="168" spans="8:18" x14ac:dyDescent="0.3"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</row>
    <row r="169" spans="8:18" x14ac:dyDescent="0.3"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</row>
    <row r="170" spans="8:18" x14ac:dyDescent="0.3"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</row>
    <row r="171" spans="8:18" x14ac:dyDescent="0.3"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</row>
    <row r="172" spans="8:18" x14ac:dyDescent="0.3"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</row>
    <row r="173" spans="8:18" x14ac:dyDescent="0.3"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</row>
    <row r="174" spans="8:18" x14ac:dyDescent="0.3"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</row>
    <row r="175" spans="8:18" x14ac:dyDescent="0.3"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</row>
    <row r="176" spans="8:18" x14ac:dyDescent="0.3"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</row>
    <row r="177" spans="8:18" x14ac:dyDescent="0.3"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</row>
    <row r="178" spans="8:18" x14ac:dyDescent="0.3"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</row>
    <row r="179" spans="8:18" x14ac:dyDescent="0.3"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</row>
    <row r="180" spans="8:18" x14ac:dyDescent="0.3"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</row>
    <row r="181" spans="8:18" x14ac:dyDescent="0.3"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</row>
    <row r="182" spans="8:18" x14ac:dyDescent="0.3"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</row>
    <row r="183" spans="8:18" x14ac:dyDescent="0.3"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</row>
    <row r="184" spans="8:18" x14ac:dyDescent="0.3"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</row>
    <row r="185" spans="8:18" x14ac:dyDescent="0.3"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</row>
    <row r="186" spans="8:18" x14ac:dyDescent="0.3"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</row>
    <row r="187" spans="8:18" x14ac:dyDescent="0.3"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</row>
    <row r="188" spans="8:18" x14ac:dyDescent="0.3"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</row>
    <row r="189" spans="8:18" x14ac:dyDescent="0.3"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</row>
    <row r="190" spans="8:18" x14ac:dyDescent="0.3"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</row>
    <row r="191" spans="8:18" x14ac:dyDescent="0.3"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</row>
    <row r="192" spans="8:18" x14ac:dyDescent="0.3"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</row>
    <row r="193" spans="8:18" x14ac:dyDescent="0.3"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</row>
    <row r="194" spans="8:18" x14ac:dyDescent="0.3"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</row>
    <row r="195" spans="8:18" x14ac:dyDescent="0.3"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</row>
    <row r="196" spans="8:18" x14ac:dyDescent="0.3"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</row>
    <row r="197" spans="8:18" x14ac:dyDescent="0.3"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</row>
    <row r="198" spans="8:18" x14ac:dyDescent="0.3"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</row>
    <row r="199" spans="8:18" x14ac:dyDescent="0.3"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</row>
    <row r="200" spans="8:18" x14ac:dyDescent="0.3"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</row>
    <row r="201" spans="8:18" x14ac:dyDescent="0.3"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</row>
    <row r="202" spans="8:18" x14ac:dyDescent="0.3"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</row>
    <row r="203" spans="8:18" x14ac:dyDescent="0.3"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</row>
    <row r="204" spans="8:18" x14ac:dyDescent="0.3"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</row>
    <row r="205" spans="8:18" x14ac:dyDescent="0.3"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</row>
    <row r="206" spans="8:18" x14ac:dyDescent="0.3"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</row>
    <row r="207" spans="8:18" x14ac:dyDescent="0.3"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</row>
    <row r="208" spans="8:18" x14ac:dyDescent="0.3"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</row>
    <row r="209" spans="8:18" x14ac:dyDescent="0.3"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</row>
    <row r="210" spans="8:18" x14ac:dyDescent="0.3"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</row>
    <row r="211" spans="8:18" x14ac:dyDescent="0.3"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</row>
    <row r="212" spans="8:18" x14ac:dyDescent="0.3"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</row>
    <row r="213" spans="8:18" x14ac:dyDescent="0.3"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</row>
    <row r="214" spans="8:18" x14ac:dyDescent="0.3"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</row>
    <row r="215" spans="8:18" x14ac:dyDescent="0.3"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</row>
    <row r="216" spans="8:18" x14ac:dyDescent="0.3"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</row>
    <row r="217" spans="8:18" x14ac:dyDescent="0.3"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</row>
    <row r="218" spans="8:18" x14ac:dyDescent="0.3"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</row>
    <row r="219" spans="8:18" x14ac:dyDescent="0.3"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</row>
    <row r="220" spans="8:18" x14ac:dyDescent="0.3"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</row>
    <row r="221" spans="8:18" x14ac:dyDescent="0.3"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</row>
    <row r="222" spans="8:18" x14ac:dyDescent="0.3"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</row>
    <row r="223" spans="8:18" x14ac:dyDescent="0.3"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</row>
    <row r="224" spans="8:18" x14ac:dyDescent="0.3"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</row>
    <row r="225" spans="8:18" x14ac:dyDescent="0.3"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</row>
    <row r="226" spans="8:18" x14ac:dyDescent="0.3"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</row>
    <row r="227" spans="8:18" x14ac:dyDescent="0.3"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</row>
    <row r="228" spans="8:18" x14ac:dyDescent="0.3"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</row>
    <row r="229" spans="8:18" x14ac:dyDescent="0.3"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</row>
    <row r="230" spans="8:18" x14ac:dyDescent="0.3"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</row>
    <row r="231" spans="8:18" x14ac:dyDescent="0.3"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</row>
    <row r="232" spans="8:18" x14ac:dyDescent="0.3"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</row>
    <row r="233" spans="8:18" x14ac:dyDescent="0.3"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</row>
    <row r="234" spans="8:18" x14ac:dyDescent="0.3"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</row>
    <row r="235" spans="8:18" x14ac:dyDescent="0.3"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</row>
    <row r="236" spans="8:18" x14ac:dyDescent="0.3"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</row>
    <row r="237" spans="8:18" x14ac:dyDescent="0.3"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</row>
    <row r="238" spans="8:18" x14ac:dyDescent="0.3"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</row>
    <row r="239" spans="8:18" x14ac:dyDescent="0.3"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</row>
    <row r="240" spans="8:18" x14ac:dyDescent="0.3"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</row>
    <row r="241" spans="8:18" x14ac:dyDescent="0.3"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</row>
    <row r="242" spans="8:18" x14ac:dyDescent="0.3"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</row>
    <row r="243" spans="8:18" x14ac:dyDescent="0.3"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</row>
    <row r="244" spans="8:18" x14ac:dyDescent="0.3"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</row>
    <row r="245" spans="8:18" x14ac:dyDescent="0.3"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</row>
    <row r="246" spans="8:18" x14ac:dyDescent="0.3"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</row>
    <row r="247" spans="8:18" x14ac:dyDescent="0.3"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</row>
    <row r="248" spans="8:18" x14ac:dyDescent="0.3"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</row>
    <row r="249" spans="8:18" x14ac:dyDescent="0.3"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</row>
    <row r="250" spans="8:18" x14ac:dyDescent="0.3"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</row>
    <row r="251" spans="8:18" x14ac:dyDescent="0.3"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</row>
    <row r="252" spans="8:18" x14ac:dyDescent="0.3"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</row>
    <row r="253" spans="8:18" x14ac:dyDescent="0.3"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</row>
    <row r="254" spans="8:18" x14ac:dyDescent="0.3"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</row>
    <row r="255" spans="8:18" x14ac:dyDescent="0.3"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</row>
    <row r="256" spans="8:18" x14ac:dyDescent="0.3"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</row>
    <row r="257" spans="8:18" x14ac:dyDescent="0.3"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</row>
    <row r="258" spans="8:18" x14ac:dyDescent="0.3"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</row>
    <row r="259" spans="8:18" x14ac:dyDescent="0.3"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</row>
    <row r="260" spans="8:18" x14ac:dyDescent="0.3"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</row>
    <row r="261" spans="8:18" x14ac:dyDescent="0.3"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</row>
    <row r="262" spans="8:18" x14ac:dyDescent="0.3"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</row>
    <row r="263" spans="8:18" x14ac:dyDescent="0.3"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</row>
    <row r="264" spans="8:18" x14ac:dyDescent="0.3"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</row>
    <row r="265" spans="8:18" x14ac:dyDescent="0.3"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</row>
    <row r="266" spans="8:18" x14ac:dyDescent="0.3"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</row>
    <row r="267" spans="8:18" x14ac:dyDescent="0.3"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</row>
    <row r="268" spans="8:18" x14ac:dyDescent="0.3"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</row>
    <row r="269" spans="8:18" x14ac:dyDescent="0.3"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</row>
    <row r="270" spans="8:18" x14ac:dyDescent="0.3"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</row>
    <row r="271" spans="8:18" x14ac:dyDescent="0.3"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</row>
    <row r="272" spans="8:18" x14ac:dyDescent="0.3"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</row>
    <row r="273" spans="8:18" x14ac:dyDescent="0.3"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</row>
    <row r="274" spans="8:18" x14ac:dyDescent="0.3"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</row>
    <row r="275" spans="8:18" x14ac:dyDescent="0.3"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</row>
    <row r="276" spans="8:18" x14ac:dyDescent="0.3"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</row>
    <row r="277" spans="8:18" x14ac:dyDescent="0.3"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</row>
    <row r="278" spans="8:18" x14ac:dyDescent="0.3"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</row>
    <row r="279" spans="8:18" x14ac:dyDescent="0.3"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</row>
    <row r="280" spans="8:18" x14ac:dyDescent="0.3"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</row>
    <row r="281" spans="8:18" x14ac:dyDescent="0.3"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</row>
    <row r="282" spans="8:18" x14ac:dyDescent="0.3"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</row>
    <row r="283" spans="8:18" x14ac:dyDescent="0.3"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</row>
    <row r="284" spans="8:18" x14ac:dyDescent="0.3"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</row>
    <row r="285" spans="8:18" x14ac:dyDescent="0.3"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</row>
    <row r="286" spans="8:18" x14ac:dyDescent="0.3"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</row>
    <row r="287" spans="8:18" x14ac:dyDescent="0.3"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</row>
    <row r="288" spans="8:18" x14ac:dyDescent="0.3"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</row>
    <row r="289" spans="8:18" x14ac:dyDescent="0.3"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</row>
    <row r="290" spans="8:18" x14ac:dyDescent="0.3"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</row>
    <row r="291" spans="8:18" x14ac:dyDescent="0.3"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</row>
    <row r="292" spans="8:18" x14ac:dyDescent="0.3"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</row>
    <row r="293" spans="8:18" x14ac:dyDescent="0.3"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</row>
    <row r="294" spans="8:18" x14ac:dyDescent="0.3"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</row>
    <row r="295" spans="8:18" x14ac:dyDescent="0.3"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</row>
    <row r="296" spans="8:18" x14ac:dyDescent="0.3"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</row>
    <row r="297" spans="8:18" x14ac:dyDescent="0.3"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</row>
    <row r="298" spans="8:18" x14ac:dyDescent="0.3"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</row>
    <row r="299" spans="8:18" x14ac:dyDescent="0.3"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</row>
    <row r="300" spans="8:18" x14ac:dyDescent="0.3"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</row>
  </sheetData>
  <dataValidations count="1">
    <dataValidation type="list" allowBlank="1" showInputMessage="1" showErrorMessage="1" sqref="C3" xr:uid="{05F79F2B-9389-4AC5-A7F9-858F797E1D69}">
      <formula1>Список_щитов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47AC5-F0BE-4AFE-9970-3CC09141F3BF}">
  <sheetPr codeName="Лист10">
    <tabColor rgb="FF4F81BD"/>
  </sheetPr>
  <dimension ref="B1:AE352"/>
  <sheetViews>
    <sheetView workbookViewId="0"/>
  </sheetViews>
  <sheetFormatPr defaultRowHeight="14.4" x14ac:dyDescent="0.3"/>
  <cols>
    <col min="2" max="2" width="34.77734375" customWidth="1"/>
    <col min="3" max="9" width="13.77734375" customWidth="1"/>
    <col min="27" max="31" width="0" hidden="1" customWidth="1"/>
  </cols>
  <sheetData>
    <row r="1" spans="2:31" ht="18" x14ac:dyDescent="0.35">
      <c r="B1" s="112" t="s">
        <v>1707</v>
      </c>
    </row>
    <row r="2" spans="2:31" x14ac:dyDescent="0.3">
      <c r="AA2" t="s">
        <v>1710</v>
      </c>
      <c r="AB2" t="s">
        <v>1711</v>
      </c>
      <c r="AC2" t="s">
        <v>1712</v>
      </c>
      <c r="AD2" t="s">
        <v>1713</v>
      </c>
      <c r="AE2" t="s">
        <v>1714</v>
      </c>
    </row>
    <row r="3" spans="2:31" x14ac:dyDescent="0.3">
      <c r="B3" t="s">
        <v>1709</v>
      </c>
      <c r="C3" s="113" t="s">
        <v>785</v>
      </c>
      <c r="D3" t="str">
        <f>"Вводов: "&amp;_xlfn.XLOOKUP($C$3,Щиты[Щит],Щиты[Вводов],"")&amp;", АВР: "&amp;_xlfn.XLOOKUP($C$3,Щиты[Щит],Щиты[АВР],"")&amp;", ИБП питается от: "&amp;_xlfn.XLOOKUP($C$3,Щиты[Щит],Щиты[ИБП от],"Ввод 1")</f>
        <v>Вводов: 2, АВР: да, ИБП питается от: Ввод 1</v>
      </c>
      <c r="E3" t="s">
        <v>1708</v>
      </c>
      <c r="AA3" cm="1">
        <f t="array" ref="AA3:AA352">--(ISNUMBER(SEARCH("|"&amp;$C$3&amp;"|",Линии[_путь щита]))*(Линии[Номер линии]&lt;&gt;""))</f>
        <v>1</v>
      </c>
      <c r="AB3" t="str" cm="1">
        <f t="array" ref="AB3:AB352">IFERROR(_xlfn.TEXTBEFORE(_xlfn.TEXTAFTER(Линии[_путь щита],"|"&amp;$C$3&amp;"|"),"|"),"")</f>
        <v/>
      </c>
      <c r="AC3" t="str" cm="1">
        <f t="array" ref="AC3:AC352">IF(_xlfn.ANCHORARRAY(AB3)="",Линии[Источник для режимов],_xlfn.XLOOKUP(_xlfn.ANCHORARRAY(AB3),Щиты[Щит],Щиты[Источник фидера],"Ввод 1"))</f>
        <v>Ввод 1</v>
      </c>
      <c r="AD3" t="str" cm="1">
        <f t="array" ref="AD3:AD352">IF(_xlfn.ANCHORARRAY(AB3)="",Линии[Пожарная (итог)],IF(_xlfn.XLOOKUP(_xlfn.ANCHORARRAY(AB3),Щиты[Щит],Щиты[Пожарный фидер],"нет")="да","да",Линии[Пожарная (итог)]))</f>
        <v>нет</v>
      </c>
      <c r="AE3" t="str" cm="1">
        <f t="array" ref="AE3:AE352">Линии[Категория (итог)]</f>
        <v>III</v>
      </c>
    </row>
    <row r="4" spans="2:31" x14ac:dyDescent="0.3">
      <c r="AA4">
        <v>1</v>
      </c>
      <c r="AB4" t="str">
        <v/>
      </c>
      <c r="AC4" t="str">
        <v>Ввод 1</v>
      </c>
      <c r="AD4" t="str">
        <v>нет</v>
      </c>
      <c r="AE4" t="str">
        <v>III</v>
      </c>
    </row>
    <row r="5" spans="2:31" x14ac:dyDescent="0.3">
      <c r="B5" t="s">
        <v>1715</v>
      </c>
      <c r="C5" cm="1">
        <f t="array" ref="C5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r,_xlpm.РАСЧЁТ(_xlfn.ANCHORARRAY(AA3)*(_xlfn.ANCHORARRAY(AC3)="ИБП")*(_xlfn.ANCHORARRAY(AD3)="нет"),0,0),INDEX(_xlpm.r,5)/ИБП_КПД*(1+ИБП_заряд)))</f>
        <v>0</v>
      </c>
      <c r="D5">
        <f>C5*TAN(ACOS(ИБП_cos_вх))</f>
        <v>0</v>
      </c>
      <c r="E5" s="119" t="str">
        <f>_xlfn.XLOOKUP($C$3,Щиты[Щит],Щиты[ИБП от],"Ввод 1")&amp;""</f>
        <v>Ввод 1</v>
      </c>
      <c r="AA5">
        <v>1</v>
      </c>
      <c r="AB5" t="str">
        <v/>
      </c>
      <c r="AC5" t="str">
        <v>Ввод 1</v>
      </c>
      <c r="AD5" t="str">
        <v>да</v>
      </c>
      <c r="AE5" t="str">
        <v>I</v>
      </c>
    </row>
    <row r="6" spans="2:31" x14ac:dyDescent="0.3">
      <c r="AA6">
        <v>1</v>
      </c>
      <c r="AB6" t="str">
        <v/>
      </c>
      <c r="AC6" t="str">
        <v>Ввод 2</v>
      </c>
      <c r="AD6" t="str">
        <v>да</v>
      </c>
      <c r="AE6" t="str">
        <v>I</v>
      </c>
    </row>
    <row r="7" spans="2:31" x14ac:dyDescent="0.3">
      <c r="B7" s="36" t="s">
        <v>1716</v>
      </c>
      <c r="AA7">
        <v>1</v>
      </c>
      <c r="AB7" t="str">
        <v/>
      </c>
      <c r="AC7" t="str">
        <v>Ввод 1</v>
      </c>
      <c r="AD7" t="str">
        <v>нет</v>
      </c>
      <c r="AE7" t="str">
        <v>II</v>
      </c>
    </row>
    <row r="8" spans="2:31" x14ac:dyDescent="0.3">
      <c r="B8" s="120" t="s">
        <v>803</v>
      </c>
      <c r="C8" s="121" t="s">
        <v>842</v>
      </c>
      <c r="D8" s="121" t="s">
        <v>854</v>
      </c>
      <c r="E8" s="121" t="s">
        <v>855</v>
      </c>
      <c r="F8" s="121" t="s">
        <v>856</v>
      </c>
      <c r="G8" s="121" t="s">
        <v>857</v>
      </c>
      <c r="H8" s="121" t="s">
        <v>1717</v>
      </c>
      <c r="AA8">
        <v>1</v>
      </c>
      <c r="AB8" t="str">
        <v/>
      </c>
      <c r="AC8" t="str">
        <v>Ввод 2</v>
      </c>
      <c r="AD8" t="str">
        <v>нет</v>
      </c>
      <c r="AE8" t="str">
        <v>II</v>
      </c>
    </row>
    <row r="9" spans="2:31" x14ac:dyDescent="0.3">
      <c r="B9" t="s">
        <v>808</v>
      </c>
      <c r="C9" s="6" cm="1">
        <f t="array" ref="C9:C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1")*(_xlfn.ANCHORARRAY(AD3)="нет"),IF(OR($E$5="Ввод 1"),$C$5,0),IF(OR($E$5="Ввод 1"),$D$5,0)))</f>
        <v>262.78100000000052</v>
      </c>
      <c r="D9" s="6" cm="1">
        <f t="array" ref="D9:D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2")*(_xlfn.ANCHORARRAY(AD3)="нет"),IF(OR($E$5="Ввод 2"),$C$5,0),IF(OR($E$5="Ввод 2"),$D$5,0)))</f>
        <v>261.90000000000026</v>
      </c>
      <c r="E9" s="6" cm="1">
        <f t="array" ref="E9:E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3")*(_xlfn.ANCHORARRAY(AD3)="нет"),IF(OR($E$5="Ввод 3"),$C$5,0),IF(OR($E$5="Ввод 3"),$D$5,0)))</f>
        <v>0</v>
      </c>
      <c r="F9" s="6" cm="1">
        <f t="array" ref="F9:F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ИБП")*(_xlfn.ANCHORARRAY(AD3)="нет"),0,0))</f>
        <v>0</v>
      </c>
      <c r="G9" s="6" cm="1">
        <f t="array" ref="G9:G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ДГУ")*(_xlfn.ANCHORARRAY(AD3)="нет"),0,0))</f>
        <v>0</v>
      </c>
      <c r="H9" s="6" cm="1">
        <f t="array" ref="H9:H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2")+(_xlfn.ANCHORARRAY(AC3)="Ввод 3"))*(_xlfn.ANCHORARRAY(AD3)="нет"),IF(OR($E$5="Ввод 1",$E$5="Ввод 2",$E$5="Ввод 3"),$C$5,0),IF(OR($E$5="Ввод 1",$E$5="Ввод 2",$E$5="Ввод 3"),$D$5,0)))</f>
        <v>524.68100000000049</v>
      </c>
      <c r="AA9">
        <v>1</v>
      </c>
      <c r="AB9" t="str">
        <v/>
      </c>
      <c r="AC9" t="str">
        <v>Ввод 1</v>
      </c>
      <c r="AD9" t="str">
        <v>нет</v>
      </c>
      <c r="AE9" t="str">
        <v>II</v>
      </c>
    </row>
    <row r="10" spans="2:31" x14ac:dyDescent="0.3">
      <c r="B10" t="s">
        <v>1718</v>
      </c>
      <c r="C10" s="6">
        <v>0.6037681491432022</v>
      </c>
      <c r="D10" s="6">
        <v>0.47141665521191239</v>
      </c>
      <c r="E10" s="6">
        <v>0</v>
      </c>
      <c r="F10" s="6">
        <v>0</v>
      </c>
      <c r="G10" s="6">
        <v>0</v>
      </c>
      <c r="H10" s="6">
        <v>0.52384563420440133</v>
      </c>
      <c r="AA10">
        <v>1</v>
      </c>
      <c r="AB10" t="str">
        <v/>
      </c>
      <c r="AC10" t="str">
        <v>Ввод 1</v>
      </c>
      <c r="AD10" t="str">
        <v>нет</v>
      </c>
      <c r="AE10" t="str">
        <v>II</v>
      </c>
    </row>
    <row r="11" spans="2:31" x14ac:dyDescent="0.3">
      <c r="B11" t="s">
        <v>804</v>
      </c>
      <c r="C11" s="6">
        <v>0.83686624984302405</v>
      </c>
      <c r="D11" s="6">
        <v>0.82012600229094945</v>
      </c>
      <c r="E11" s="6">
        <v>0</v>
      </c>
      <c r="F11" s="6">
        <v>0</v>
      </c>
      <c r="G11" s="6">
        <v>0</v>
      </c>
      <c r="H11" s="6">
        <v>0.82851018047156155</v>
      </c>
      <c r="AA11">
        <v>1</v>
      </c>
      <c r="AB11" t="str">
        <v/>
      </c>
      <c r="AC11" t="str">
        <v>Ввод 2</v>
      </c>
      <c r="AD11" t="str">
        <v>нет</v>
      </c>
      <c r="AE11" t="str">
        <v>II</v>
      </c>
    </row>
    <row r="12" spans="2:31" x14ac:dyDescent="0.3">
      <c r="B12" t="s">
        <v>817</v>
      </c>
      <c r="C12" s="6">
        <v>0.6541157763463914</v>
      </c>
      <c r="D12" s="6">
        <v>0.69767689229620955</v>
      </c>
      <c r="E12" s="6">
        <v>0</v>
      </c>
      <c r="F12" s="6">
        <v>0</v>
      </c>
      <c r="G12" s="6">
        <v>0</v>
      </c>
      <c r="H12" s="6">
        <v>0.67588065102723538</v>
      </c>
      <c r="AA12">
        <v>1</v>
      </c>
      <c r="AB12" t="str">
        <v/>
      </c>
      <c r="AC12" t="str">
        <v>Ввод 1</v>
      </c>
      <c r="AD12" t="str">
        <v>нет</v>
      </c>
      <c r="AE12" t="str">
        <v>II</v>
      </c>
    </row>
    <row r="13" spans="2:31" x14ac:dyDescent="0.3">
      <c r="B13" t="s">
        <v>851</v>
      </c>
      <c r="C13" s="6">
        <v>158.65879800000013</v>
      </c>
      <c r="D13" s="6">
        <v>123.46402199999999</v>
      </c>
      <c r="E13" s="6">
        <v>0</v>
      </c>
      <c r="F13" s="6">
        <v>0</v>
      </c>
      <c r="G13" s="6">
        <v>0</v>
      </c>
      <c r="H13" s="6">
        <v>274.85185119999977</v>
      </c>
      <c r="AA13">
        <v>1</v>
      </c>
      <c r="AB13" t="str">
        <v/>
      </c>
      <c r="AC13" t="str">
        <v>Ввод 1</v>
      </c>
      <c r="AD13" t="str">
        <v>нет</v>
      </c>
      <c r="AE13" t="str">
        <v>II</v>
      </c>
    </row>
    <row r="14" spans="2:31" x14ac:dyDescent="0.3">
      <c r="B14" t="s">
        <v>852</v>
      </c>
      <c r="C14" s="6">
        <v>103.78122282795538</v>
      </c>
      <c r="D14" s="6">
        <v>86.137995179350838</v>
      </c>
      <c r="E14" s="6">
        <v>0</v>
      </c>
      <c r="F14" s="6">
        <v>0</v>
      </c>
      <c r="G14" s="6">
        <v>0</v>
      </c>
      <c r="H14" s="6">
        <v>185.76704812509666</v>
      </c>
      <c r="AA14">
        <v>1</v>
      </c>
      <c r="AB14" t="str">
        <v/>
      </c>
      <c r="AC14" t="str">
        <v>Ввод 2</v>
      </c>
      <c r="AD14" t="str">
        <v>нет</v>
      </c>
      <c r="AE14" t="str">
        <v>II</v>
      </c>
    </row>
    <row r="15" spans="2:31" x14ac:dyDescent="0.3">
      <c r="B15" t="s">
        <v>853</v>
      </c>
      <c r="C15" s="6">
        <v>189.58680437854997</v>
      </c>
      <c r="D15" s="6">
        <v>150.54274788887824</v>
      </c>
      <c r="E15" s="6">
        <v>0</v>
      </c>
      <c r="F15" s="6">
        <v>0</v>
      </c>
      <c r="G15" s="6">
        <v>0</v>
      </c>
      <c r="H15" s="6">
        <v>331.74227387714518</v>
      </c>
      <c r="AA15">
        <v>1</v>
      </c>
      <c r="AB15" t="str">
        <v/>
      </c>
      <c r="AC15" t="str">
        <v>Ввод 1</v>
      </c>
      <c r="AD15" t="str">
        <v>нет</v>
      </c>
      <c r="AE15" t="str">
        <v>II</v>
      </c>
    </row>
    <row r="16" spans="2:31" x14ac:dyDescent="0.3">
      <c r="B16" t="s">
        <v>810</v>
      </c>
      <c r="C16" s="6">
        <v>273.64498135689189</v>
      </c>
      <c r="D16" s="6">
        <v>217.28974004547453</v>
      </c>
      <c r="E16" s="6">
        <v>0</v>
      </c>
      <c r="F16" s="6">
        <v>0</v>
      </c>
      <c r="G16" s="6">
        <v>0</v>
      </c>
      <c r="H16" s="6">
        <v>478.82872781137081</v>
      </c>
      <c r="AA16">
        <v>1</v>
      </c>
      <c r="AB16" t="str">
        <v/>
      </c>
      <c r="AC16" t="str">
        <v>Ввод 1</v>
      </c>
      <c r="AD16" t="str">
        <v>нет</v>
      </c>
      <c r="AE16" t="str">
        <v>III</v>
      </c>
    </row>
    <row r="17" spans="2:31" x14ac:dyDescent="0.3">
      <c r="AA17">
        <v>1</v>
      </c>
      <c r="AB17" t="str">
        <v/>
      </c>
      <c r="AC17" t="str">
        <v>Ввод 2</v>
      </c>
      <c r="AD17" t="str">
        <v>нет</v>
      </c>
      <c r="AE17" t="str">
        <v>I</v>
      </c>
    </row>
    <row r="18" spans="2:31" x14ac:dyDescent="0.3">
      <c r="B18" s="36" t="s">
        <v>1719</v>
      </c>
      <c r="AA18">
        <v>1</v>
      </c>
      <c r="AB18" t="str">
        <v/>
      </c>
      <c r="AC18" t="str">
        <v>Ввод 2</v>
      </c>
      <c r="AD18" t="str">
        <v>нет</v>
      </c>
      <c r="AE18" t="str">
        <v>II</v>
      </c>
    </row>
    <row r="19" spans="2:31" x14ac:dyDescent="0.3">
      <c r="B19" s="120" t="s">
        <v>803</v>
      </c>
      <c r="C19" s="121" t="s">
        <v>854</v>
      </c>
      <c r="D19" s="121" t="s">
        <v>855</v>
      </c>
      <c r="AA19">
        <v>1</v>
      </c>
      <c r="AB19" t="str">
        <v/>
      </c>
      <c r="AC19" t="str">
        <v>Ввод 2</v>
      </c>
      <c r="AD19" t="str">
        <v>нет</v>
      </c>
      <c r="AE19" t="str">
        <v>II</v>
      </c>
    </row>
    <row r="20" spans="2:31" x14ac:dyDescent="0.3">
      <c r="B20" t="s">
        <v>808</v>
      </c>
      <c r="C20" s="6" cm="1">
        <f t="array" ref="C20:C27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2"))*(_xlfn.ANCHORARRAY(AD3)="нет"),IF(OR($E$5="Ввод 1",$E$5="Ввод 2"),$C$5,0),IF(OR($E$5="Ввод 1",$E$5="Ввод 2"),$D$5,0)))</f>
        <v>524.68100000000049</v>
      </c>
      <c r="D20" s="6" cm="1">
        <f t="array" ref="D20:D27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3")*(_xlfn.ANCHORARRAY(AD3)="нет"),IF(OR($E$5="Ввод 3"),$C$5,0),IF(OR($E$5="Ввод 3"),$D$5,0)))</f>
        <v>0</v>
      </c>
      <c r="AA20">
        <v>1</v>
      </c>
      <c r="AB20" t="str">
        <v/>
      </c>
      <c r="AC20" t="str">
        <v>Ввод 1</v>
      </c>
      <c r="AD20" t="str">
        <v>нет</v>
      </c>
      <c r="AE20" t="str">
        <v>II</v>
      </c>
    </row>
    <row r="21" spans="2:31" x14ac:dyDescent="0.3">
      <c r="B21" t="s">
        <v>1718</v>
      </c>
      <c r="C21" s="6">
        <v>0.52384563420440133</v>
      </c>
      <c r="D21" s="6">
        <v>0</v>
      </c>
      <c r="AA21">
        <v>1</v>
      </c>
      <c r="AB21" t="str">
        <v/>
      </c>
      <c r="AC21" t="str">
        <v>Ввод 1</v>
      </c>
      <c r="AD21" t="str">
        <v>нет</v>
      </c>
      <c r="AE21" t="str">
        <v>III</v>
      </c>
    </row>
    <row r="22" spans="2:31" x14ac:dyDescent="0.3">
      <c r="B22" t="s">
        <v>804</v>
      </c>
      <c r="C22" s="6">
        <v>0.82851018047156155</v>
      </c>
      <c r="D22" s="6">
        <v>0</v>
      </c>
      <c r="AA22">
        <v>1</v>
      </c>
      <c r="AB22" t="str">
        <v/>
      </c>
      <c r="AC22" t="str">
        <v>Ввод 1</v>
      </c>
      <c r="AD22" t="str">
        <v>нет</v>
      </c>
      <c r="AE22" t="str">
        <v>III</v>
      </c>
    </row>
    <row r="23" spans="2:31" x14ac:dyDescent="0.3">
      <c r="B23" t="s">
        <v>817</v>
      </c>
      <c r="C23" s="6">
        <v>0.67588065102723538</v>
      </c>
      <c r="D23" s="6">
        <v>0</v>
      </c>
      <c r="AA23">
        <v>1</v>
      </c>
      <c r="AB23" t="str">
        <v/>
      </c>
      <c r="AC23" t="str">
        <v>Ввод 2</v>
      </c>
      <c r="AD23" t="str">
        <v>нет</v>
      </c>
      <c r="AE23" t="str">
        <v>III</v>
      </c>
    </row>
    <row r="24" spans="2:31" x14ac:dyDescent="0.3">
      <c r="B24" t="s">
        <v>851</v>
      </c>
      <c r="C24" s="6">
        <v>274.85185119999977</v>
      </c>
      <c r="D24" s="6">
        <v>0</v>
      </c>
      <c r="AA24">
        <v>1</v>
      </c>
      <c r="AB24" t="str">
        <v/>
      </c>
      <c r="AC24" t="str">
        <v>Ввод 2</v>
      </c>
      <c r="AD24" t="str">
        <v>нет</v>
      </c>
      <c r="AE24" t="str">
        <v>I</v>
      </c>
    </row>
    <row r="25" spans="2:31" x14ac:dyDescent="0.3">
      <c r="B25" t="s">
        <v>852</v>
      </c>
      <c r="C25" s="6">
        <v>185.76704812509666</v>
      </c>
      <c r="D25" s="6">
        <v>0</v>
      </c>
      <c r="AA25">
        <v>1</v>
      </c>
      <c r="AB25" t="str">
        <v/>
      </c>
      <c r="AC25" t="str">
        <v>Ввод 1</v>
      </c>
      <c r="AD25" t="str">
        <v>нет</v>
      </c>
      <c r="AE25" t="str">
        <v>III</v>
      </c>
    </row>
    <row r="26" spans="2:31" x14ac:dyDescent="0.3">
      <c r="B26" t="s">
        <v>853</v>
      </c>
      <c r="C26" s="6">
        <v>331.74227387714518</v>
      </c>
      <c r="D26" s="6">
        <v>0</v>
      </c>
      <c r="AA26">
        <v>1</v>
      </c>
      <c r="AB26" t="str">
        <v>ЩГП</v>
      </c>
      <c r="AC26" t="str">
        <v>Ввод 1</v>
      </c>
      <c r="AD26" t="str">
        <v>нет</v>
      </c>
      <c r="AE26" t="str">
        <v>III</v>
      </c>
    </row>
    <row r="27" spans="2:31" x14ac:dyDescent="0.3">
      <c r="B27" t="s">
        <v>810</v>
      </c>
      <c r="C27" s="6">
        <v>478.82872781137081</v>
      </c>
      <c r="D27" s="6">
        <v>0</v>
      </c>
      <c r="AA27">
        <v>1</v>
      </c>
      <c r="AB27" t="str">
        <v>ЩГП</v>
      </c>
      <c r="AC27" t="str">
        <v>Ввод 1</v>
      </c>
      <c r="AD27" t="str">
        <v>нет</v>
      </c>
      <c r="AE27" t="str">
        <v>III</v>
      </c>
    </row>
    <row r="28" spans="2:31" x14ac:dyDescent="0.3">
      <c r="AA28">
        <v>1</v>
      </c>
      <c r="AB28" t="str">
        <v>ЩГП</v>
      </c>
      <c r="AC28" t="str">
        <v>Ввод 1</v>
      </c>
      <c r="AD28" t="str">
        <v>нет</v>
      </c>
      <c r="AE28" t="str">
        <v>III</v>
      </c>
    </row>
    <row r="29" spans="2:31" x14ac:dyDescent="0.3">
      <c r="B29" s="36" t="s">
        <v>1720</v>
      </c>
      <c r="AA29">
        <v>1</v>
      </c>
      <c r="AB29" t="str">
        <v>ЩГП</v>
      </c>
      <c r="AC29" t="str">
        <v>Ввод 1</v>
      </c>
      <c r="AD29" t="str">
        <v>нет</v>
      </c>
      <c r="AE29" t="str">
        <v>I</v>
      </c>
    </row>
    <row r="30" spans="2:31" x14ac:dyDescent="0.3">
      <c r="B30" s="120" t="s">
        <v>803</v>
      </c>
      <c r="C30" s="121" t="s">
        <v>842</v>
      </c>
      <c r="D30" s="121" t="s">
        <v>855</v>
      </c>
      <c r="AA30">
        <v>1</v>
      </c>
      <c r="AB30" t="str">
        <v>ЩГП</v>
      </c>
      <c r="AC30" t="str">
        <v>Ввод 1</v>
      </c>
      <c r="AD30" t="str">
        <v>нет</v>
      </c>
      <c r="AE30" t="str">
        <v>I</v>
      </c>
    </row>
    <row r="31" spans="2:31" x14ac:dyDescent="0.3">
      <c r="B31" t="s">
        <v>808</v>
      </c>
      <c r="C31" s="6" cm="1">
        <f t="array" ref="C31:C38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2"))*(_xlfn.ANCHORARRAY(AD3)="нет"),IF(OR($E$5="Ввод 1",$E$5="Ввод 2"),$C$5,0),IF(OR($E$5="Ввод 1",$E$5="Ввод 2"),$D$5,0)))</f>
        <v>524.68100000000049</v>
      </c>
      <c r="D31" s="6" cm="1">
        <f t="array" ref="D31:D38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3")*(_xlfn.ANCHORARRAY(AD3)="нет"),IF(OR($E$5="Ввод 3"),$C$5,0),IF(OR($E$5="Ввод 3"),$D$5,0)))</f>
        <v>0</v>
      </c>
      <c r="AA31">
        <v>1</v>
      </c>
      <c r="AB31" t="str">
        <v>ЩГП</v>
      </c>
      <c r="AC31" t="str">
        <v>Ввод 1</v>
      </c>
      <c r="AD31" t="str">
        <v>нет</v>
      </c>
      <c r="AE31" t="str">
        <v>III</v>
      </c>
    </row>
    <row r="32" spans="2:31" x14ac:dyDescent="0.3">
      <c r="B32" t="s">
        <v>1718</v>
      </c>
      <c r="C32" s="6">
        <v>0.52384563420440133</v>
      </c>
      <c r="D32" s="6">
        <v>0</v>
      </c>
      <c r="AA32">
        <v>1</v>
      </c>
      <c r="AB32" t="str">
        <v>ЩГП</v>
      </c>
      <c r="AC32" t="str">
        <v>Ввод 1</v>
      </c>
      <c r="AD32" t="str">
        <v>нет</v>
      </c>
      <c r="AE32" t="str">
        <v>III</v>
      </c>
    </row>
    <row r="33" spans="2:31" x14ac:dyDescent="0.3">
      <c r="B33" t="s">
        <v>804</v>
      </c>
      <c r="C33" s="6">
        <v>0.82851018047156155</v>
      </c>
      <c r="D33" s="6">
        <v>0</v>
      </c>
      <c r="AA33">
        <v>1</v>
      </c>
      <c r="AB33" t="str">
        <v>ЩГП</v>
      </c>
      <c r="AC33" t="str">
        <v>Ввод 1</v>
      </c>
      <c r="AD33" t="str">
        <v>нет</v>
      </c>
      <c r="AE33" t="str">
        <v>III</v>
      </c>
    </row>
    <row r="34" spans="2:31" x14ac:dyDescent="0.3">
      <c r="B34" t="s">
        <v>817</v>
      </c>
      <c r="C34" s="6">
        <v>0.67588065102723538</v>
      </c>
      <c r="D34" s="6">
        <v>0</v>
      </c>
      <c r="AA34">
        <v>1</v>
      </c>
      <c r="AB34" t="str">
        <v>ЩГП</v>
      </c>
      <c r="AC34" t="str">
        <v>Ввод 1</v>
      </c>
      <c r="AD34" t="str">
        <v>нет</v>
      </c>
      <c r="AE34" t="str">
        <v>III</v>
      </c>
    </row>
    <row r="35" spans="2:31" x14ac:dyDescent="0.3">
      <c r="B35" t="s">
        <v>851</v>
      </c>
      <c r="C35" s="6">
        <v>274.85185119999977</v>
      </c>
      <c r="D35" s="6">
        <v>0</v>
      </c>
      <c r="AA35">
        <v>1</v>
      </c>
      <c r="AB35" t="str">
        <v>ЩГП</v>
      </c>
      <c r="AC35" t="str">
        <v>Ввод 1</v>
      </c>
      <c r="AD35" t="str">
        <v>нет</v>
      </c>
      <c r="AE35" t="str">
        <v>III</v>
      </c>
    </row>
    <row r="36" spans="2:31" x14ac:dyDescent="0.3">
      <c r="B36" t="s">
        <v>852</v>
      </c>
      <c r="C36" s="6">
        <v>185.76704812509666</v>
      </c>
      <c r="D36" s="6">
        <v>0</v>
      </c>
      <c r="AA36">
        <v>1</v>
      </c>
      <c r="AB36" t="str">
        <v>ЩГП</v>
      </c>
      <c r="AC36" t="str">
        <v>Ввод 1</v>
      </c>
      <c r="AD36" t="str">
        <v>нет</v>
      </c>
      <c r="AE36" t="str">
        <v>III</v>
      </c>
    </row>
    <row r="37" spans="2:31" x14ac:dyDescent="0.3">
      <c r="B37" t="s">
        <v>853</v>
      </c>
      <c r="C37" s="6">
        <v>331.74227387714518</v>
      </c>
      <c r="D37" s="6">
        <v>0</v>
      </c>
      <c r="AA37">
        <v>1</v>
      </c>
      <c r="AB37" t="str">
        <v>ЩГП</v>
      </c>
      <c r="AC37" t="str">
        <v>Ввод 1</v>
      </c>
      <c r="AD37" t="str">
        <v>нет</v>
      </c>
      <c r="AE37" t="str">
        <v>III</v>
      </c>
    </row>
    <row r="38" spans="2:31" x14ac:dyDescent="0.3">
      <c r="B38" t="s">
        <v>810</v>
      </c>
      <c r="C38" s="6">
        <v>478.82872781137081</v>
      </c>
      <c r="D38" s="6">
        <v>0</v>
      </c>
      <c r="AA38">
        <v>1</v>
      </c>
      <c r="AB38" t="str">
        <v>ЩГП</v>
      </c>
      <c r="AC38" t="str">
        <v>Ввод 1</v>
      </c>
      <c r="AD38" t="str">
        <v>нет</v>
      </c>
      <c r="AE38" t="str">
        <v>III</v>
      </c>
    </row>
    <row r="39" spans="2:31" x14ac:dyDescent="0.3">
      <c r="AA39">
        <v>1</v>
      </c>
      <c r="AB39" t="str">
        <v>ЩГП</v>
      </c>
      <c r="AC39" t="str">
        <v>Ввод 1</v>
      </c>
      <c r="AD39" t="str">
        <v>нет</v>
      </c>
      <c r="AE39" t="str">
        <v>III</v>
      </c>
    </row>
    <row r="40" spans="2:31" x14ac:dyDescent="0.3">
      <c r="B40" s="36" t="s">
        <v>1721</v>
      </c>
      <c r="AA40">
        <v>1</v>
      </c>
      <c r="AB40" t="str">
        <v>ЩГП</v>
      </c>
      <c r="AC40" t="str">
        <v>Ввод 1</v>
      </c>
      <c r="AD40" t="str">
        <v>нет</v>
      </c>
      <c r="AE40" t="str">
        <v>III</v>
      </c>
    </row>
    <row r="41" spans="2:31" x14ac:dyDescent="0.3">
      <c r="B41" s="120" t="s">
        <v>803</v>
      </c>
      <c r="C41" s="121" t="s">
        <v>856</v>
      </c>
      <c r="D41" s="121" t="s">
        <v>857</v>
      </c>
      <c r="AA41">
        <v>1</v>
      </c>
      <c r="AB41" t="str">
        <v>ЩГП</v>
      </c>
      <c r="AC41" t="str">
        <v>Ввод 1</v>
      </c>
      <c r="AD41" t="str">
        <v>нет</v>
      </c>
      <c r="AE41" t="str">
        <v>III</v>
      </c>
    </row>
    <row r="42" spans="2:31" x14ac:dyDescent="0.3">
      <c r="B42" t="s">
        <v>808</v>
      </c>
      <c r="C42" s="6" cm="1">
        <f t="array" ref="C42:C49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ИБП")*(_xlfn.ANCHORARRAY(AD3)="нет"),0,0))</f>
        <v>0</v>
      </c>
      <c r="D42" s="6" cm="1">
        <f t="array" ref="D42:D49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ДГУ")*(_xlfn.ANCHORARRAY(AD3)="нет"),0,0))</f>
        <v>0</v>
      </c>
      <c r="AA42">
        <v>1</v>
      </c>
      <c r="AB42" t="str">
        <v>ЩГП</v>
      </c>
      <c r="AC42" t="str">
        <v>Ввод 1</v>
      </c>
      <c r="AD42" t="str">
        <v>нет</v>
      </c>
      <c r="AE42" t="str">
        <v>III</v>
      </c>
    </row>
    <row r="43" spans="2:31" x14ac:dyDescent="0.3">
      <c r="B43" t="s">
        <v>1718</v>
      </c>
      <c r="C43" s="6">
        <v>0</v>
      </c>
      <c r="D43" s="6">
        <v>0</v>
      </c>
      <c r="AA43">
        <v>1</v>
      </c>
      <c r="AB43" t="str">
        <v>ЩГП</v>
      </c>
      <c r="AC43" t="str">
        <v>Ввод 1</v>
      </c>
      <c r="AD43" t="str">
        <v>нет</v>
      </c>
      <c r="AE43" t="str">
        <v>III</v>
      </c>
    </row>
    <row r="44" spans="2:31" x14ac:dyDescent="0.3">
      <c r="B44" t="s">
        <v>804</v>
      </c>
      <c r="C44" s="6">
        <v>0</v>
      </c>
      <c r="D44" s="6">
        <v>0</v>
      </c>
      <c r="AA44">
        <v>1</v>
      </c>
      <c r="AB44" t="str">
        <v>ЩГП</v>
      </c>
      <c r="AC44" t="str">
        <v>Ввод 1</v>
      </c>
      <c r="AD44" t="str">
        <v>нет</v>
      </c>
      <c r="AE44" t="str">
        <v>III</v>
      </c>
    </row>
    <row r="45" spans="2:31" x14ac:dyDescent="0.3">
      <c r="B45" t="s">
        <v>817</v>
      </c>
      <c r="C45" s="6">
        <v>0</v>
      </c>
      <c r="D45" s="6">
        <v>0</v>
      </c>
      <c r="AA45">
        <v>1</v>
      </c>
      <c r="AB45" t="str">
        <v>ЩГП</v>
      </c>
      <c r="AC45" t="str">
        <v>Ввод 1</v>
      </c>
      <c r="AD45" t="str">
        <v>нет</v>
      </c>
      <c r="AE45" t="str">
        <v>III</v>
      </c>
    </row>
    <row r="46" spans="2:31" x14ac:dyDescent="0.3">
      <c r="B46" t="s">
        <v>851</v>
      </c>
      <c r="C46" s="6">
        <v>0</v>
      </c>
      <c r="D46" s="6">
        <v>0</v>
      </c>
      <c r="AA46">
        <v>1</v>
      </c>
      <c r="AB46" t="str">
        <v>ЩГП</v>
      </c>
      <c r="AC46" t="str">
        <v>Ввод 1</v>
      </c>
      <c r="AD46" t="str">
        <v>нет</v>
      </c>
      <c r="AE46" t="str">
        <v>III</v>
      </c>
    </row>
    <row r="47" spans="2:31" x14ac:dyDescent="0.3">
      <c r="B47" t="s">
        <v>852</v>
      </c>
      <c r="C47" s="6">
        <v>0</v>
      </c>
      <c r="D47" s="6">
        <v>0</v>
      </c>
      <c r="AA47">
        <v>1</v>
      </c>
      <c r="AB47" t="str">
        <v>ЩГП</v>
      </c>
      <c r="AC47" t="str">
        <v>Ввод 1</v>
      </c>
      <c r="AD47" t="str">
        <v>нет</v>
      </c>
      <c r="AE47" t="str">
        <v>III</v>
      </c>
    </row>
    <row r="48" spans="2:31" x14ac:dyDescent="0.3">
      <c r="B48" t="s">
        <v>853</v>
      </c>
      <c r="C48" s="6">
        <v>0</v>
      </c>
      <c r="D48" s="6">
        <v>0</v>
      </c>
      <c r="AA48">
        <v>1</v>
      </c>
      <c r="AB48" t="str">
        <v>ЩГП</v>
      </c>
      <c r="AC48" t="str">
        <v>Ввод 1</v>
      </c>
      <c r="AD48" t="str">
        <v>нет</v>
      </c>
      <c r="AE48" t="str">
        <v>III</v>
      </c>
    </row>
    <row r="49" spans="2:31" x14ac:dyDescent="0.3">
      <c r="B49" t="s">
        <v>810</v>
      </c>
      <c r="C49" s="6">
        <v>0</v>
      </c>
      <c r="D49" s="6">
        <v>0</v>
      </c>
      <c r="AA49">
        <v>1</v>
      </c>
      <c r="AB49" t="str">
        <v>ЩГП</v>
      </c>
      <c r="AC49" t="str">
        <v>Ввод 1</v>
      </c>
      <c r="AD49" t="str">
        <v>нет</v>
      </c>
      <c r="AE49" t="str">
        <v>III</v>
      </c>
    </row>
    <row r="50" spans="2:31" x14ac:dyDescent="0.3">
      <c r="AA50">
        <v>1</v>
      </c>
      <c r="AB50" t="str">
        <v>ЩГП</v>
      </c>
      <c r="AC50" t="str">
        <v>Ввод 1</v>
      </c>
      <c r="AD50" t="str">
        <v>нет</v>
      </c>
      <c r="AE50" t="str">
        <v>III</v>
      </c>
    </row>
    <row r="51" spans="2:31" x14ac:dyDescent="0.3">
      <c r="B51" s="36" t="s">
        <v>1722</v>
      </c>
      <c r="AA51">
        <v>1</v>
      </c>
      <c r="AB51" t="str">
        <v>ЩГП</v>
      </c>
      <c r="AC51" t="str">
        <v>Ввод 1</v>
      </c>
      <c r="AD51" t="str">
        <v>нет</v>
      </c>
      <c r="AE51" t="str">
        <v>III</v>
      </c>
    </row>
    <row r="52" spans="2:31" x14ac:dyDescent="0.3">
      <c r="B52" s="120" t="s">
        <v>803</v>
      </c>
      <c r="C52" s="121" t="s">
        <v>842</v>
      </c>
      <c r="D52" s="121" t="s">
        <v>854</v>
      </c>
      <c r="E52" s="121" t="s">
        <v>855</v>
      </c>
      <c r="F52" s="121" t="s">
        <v>856</v>
      </c>
      <c r="G52" s="121" t="s">
        <v>857</v>
      </c>
      <c r="H52" s="121" t="s">
        <v>858</v>
      </c>
      <c r="AA52">
        <v>1</v>
      </c>
      <c r="AB52" t="str">
        <v>ЩГП</v>
      </c>
      <c r="AC52" t="str">
        <v>Ввод 1</v>
      </c>
      <c r="AD52" t="str">
        <v>нет</v>
      </c>
      <c r="AE52" t="str">
        <v>III</v>
      </c>
    </row>
    <row r="53" spans="2:31" x14ac:dyDescent="0.3">
      <c r="B53" t="s">
        <v>808</v>
      </c>
      <c r="C53" s="6" cm="1">
        <f t="array" ref="C53:C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1")*(_xlfn.ANCHORARRAY(AD3)="да"),0,0))</f>
        <v>1.6</v>
      </c>
      <c r="D53" s="6" cm="1">
        <f t="array" ref="D53:D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2")*(_xlfn.ANCHORARRAY(AD3)="да"),0,0))</f>
        <v>0</v>
      </c>
      <c r="E53" s="6" cm="1">
        <f t="array" ref="E53:E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3")*(_xlfn.ANCHORARRAY(AD3)="да"),0,0))</f>
        <v>0</v>
      </c>
      <c r="F53" s="6" cm="1">
        <f t="array" ref="F53:F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ИБП")*(_xlfn.ANCHORARRAY(AD3)="да"),0,0))</f>
        <v>0</v>
      </c>
      <c r="G53" s="6" cm="1">
        <f t="array" ref="G53:G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ДГУ")*(_xlfn.ANCHORARRAY(AD3)="да"),0,0))</f>
        <v>0</v>
      </c>
      <c r="H53" s="6" cm="1">
        <f t="array" ref="H53:H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D3)="да"),0,0))</f>
        <v>1.6</v>
      </c>
      <c r="AA53">
        <v>1</v>
      </c>
      <c r="AB53" t="str">
        <v>ЩОВ-001</v>
      </c>
      <c r="AC53" t="str">
        <v>Ввод 2</v>
      </c>
      <c r="AD53" t="str">
        <v>нет</v>
      </c>
      <c r="AE53" t="str">
        <v>III</v>
      </c>
    </row>
    <row r="54" spans="2:31" x14ac:dyDescent="0.3">
      <c r="B54" t="s">
        <v>1718</v>
      </c>
      <c r="C54" s="6">
        <v>1</v>
      </c>
      <c r="D54" s="6">
        <v>0</v>
      </c>
      <c r="E54" s="6">
        <v>0</v>
      </c>
      <c r="F54" s="6">
        <v>0</v>
      </c>
      <c r="G54" s="6">
        <v>0</v>
      </c>
      <c r="H54" s="6">
        <v>1</v>
      </c>
      <c r="AA54">
        <v>1</v>
      </c>
      <c r="AB54" t="str">
        <v>ЩОВ-001</v>
      </c>
      <c r="AC54" t="str">
        <v>Ввод 2</v>
      </c>
      <c r="AD54" t="str">
        <v>нет</v>
      </c>
      <c r="AE54" t="str">
        <v>II</v>
      </c>
    </row>
    <row r="55" spans="2:31" x14ac:dyDescent="0.3">
      <c r="B55" t="s">
        <v>804</v>
      </c>
      <c r="C55" s="6">
        <v>0.94999999999999984</v>
      </c>
      <c r="D55" s="6">
        <v>0</v>
      </c>
      <c r="E55" s="6">
        <v>0</v>
      </c>
      <c r="F55" s="6">
        <v>0</v>
      </c>
      <c r="G55" s="6">
        <v>0</v>
      </c>
      <c r="H55" s="6">
        <v>0.94999999999999984</v>
      </c>
      <c r="AA55">
        <v>1</v>
      </c>
      <c r="AB55" t="str">
        <v>ЩОВ-001</v>
      </c>
      <c r="AC55" t="str">
        <v>Ввод 2</v>
      </c>
      <c r="AD55" t="str">
        <v>нет</v>
      </c>
      <c r="AE55" t="str">
        <v>II</v>
      </c>
    </row>
    <row r="56" spans="2:31" x14ac:dyDescent="0.3">
      <c r="B56" t="s">
        <v>817</v>
      </c>
      <c r="C56" s="6">
        <v>0.32868410517886321</v>
      </c>
      <c r="D56" s="6">
        <v>0</v>
      </c>
      <c r="E56" s="6">
        <v>0</v>
      </c>
      <c r="F56" s="6">
        <v>0</v>
      </c>
      <c r="G56" s="6">
        <v>0</v>
      </c>
      <c r="H56" s="6">
        <v>0.32868410517886321</v>
      </c>
      <c r="AA56">
        <v>1</v>
      </c>
      <c r="AB56" t="str">
        <v>ЩОВ-001</v>
      </c>
      <c r="AC56" t="str">
        <v>Ввод 2</v>
      </c>
      <c r="AD56" t="str">
        <v>нет</v>
      </c>
      <c r="AE56" t="str">
        <v>II</v>
      </c>
    </row>
    <row r="57" spans="2:31" x14ac:dyDescent="0.3">
      <c r="B57" t="s">
        <v>851</v>
      </c>
      <c r="C57" s="6">
        <v>1.6</v>
      </c>
      <c r="D57" s="6">
        <v>0</v>
      </c>
      <c r="E57" s="6">
        <v>0</v>
      </c>
      <c r="F57" s="6">
        <v>0</v>
      </c>
      <c r="G57" s="6">
        <v>0</v>
      </c>
      <c r="H57" s="6">
        <v>1.6</v>
      </c>
      <c r="AA57">
        <v>1</v>
      </c>
      <c r="AB57" t="str">
        <v>ЩОВ-001</v>
      </c>
      <c r="AC57" t="str">
        <v>Ввод 2</v>
      </c>
      <c r="AD57" t="str">
        <v>нет</v>
      </c>
      <c r="AE57" t="str">
        <v>II</v>
      </c>
    </row>
    <row r="58" spans="2:31" x14ac:dyDescent="0.3">
      <c r="B58" t="s">
        <v>852</v>
      </c>
      <c r="C58" s="6">
        <v>0.5258945682861812</v>
      </c>
      <c r="D58" s="6">
        <v>0</v>
      </c>
      <c r="E58" s="6">
        <v>0</v>
      </c>
      <c r="F58" s="6">
        <v>0</v>
      </c>
      <c r="G58" s="6">
        <v>0</v>
      </c>
      <c r="H58" s="6">
        <v>0.5258945682861812</v>
      </c>
      <c r="AA58">
        <v>1</v>
      </c>
      <c r="AB58" t="str">
        <v>ЩОВ-001</v>
      </c>
      <c r="AC58" t="str">
        <v>Ввод 2</v>
      </c>
      <c r="AD58" t="str">
        <v>нет</v>
      </c>
      <c r="AE58" t="str">
        <v>II</v>
      </c>
    </row>
    <row r="59" spans="2:31" x14ac:dyDescent="0.3">
      <c r="B59" t="s">
        <v>853</v>
      </c>
      <c r="C59" s="6">
        <v>1.6842105263157898</v>
      </c>
      <c r="D59" s="6">
        <v>0</v>
      </c>
      <c r="E59" s="6">
        <v>0</v>
      </c>
      <c r="F59" s="6">
        <v>0</v>
      </c>
      <c r="G59" s="6">
        <v>0</v>
      </c>
      <c r="H59" s="6">
        <v>1.6842105263157898</v>
      </c>
      <c r="AA59">
        <v>1</v>
      </c>
      <c r="AB59" t="str">
        <v>ЩОВ-001</v>
      </c>
      <c r="AC59" t="str">
        <v>Ввод 2</v>
      </c>
      <c r="AD59" t="str">
        <v>нет</v>
      </c>
      <c r="AE59" t="str">
        <v>II</v>
      </c>
    </row>
    <row r="60" spans="2:31" x14ac:dyDescent="0.3">
      <c r="B60" t="s">
        <v>810</v>
      </c>
      <c r="C60" s="6">
        <v>2.4309485018510562</v>
      </c>
      <c r="D60" s="6">
        <v>0</v>
      </c>
      <c r="E60" s="6">
        <v>0</v>
      </c>
      <c r="F60" s="6">
        <v>0</v>
      </c>
      <c r="G60" s="6">
        <v>0</v>
      </c>
      <c r="H60" s="6">
        <v>2.4309485018510562</v>
      </c>
      <c r="AA60">
        <v>1</v>
      </c>
      <c r="AB60" t="str">
        <v>ЩОВ-001</v>
      </c>
      <c r="AC60" t="str">
        <v>Ввод 2</v>
      </c>
      <c r="AD60" t="str">
        <v>нет</v>
      </c>
      <c r="AE60" t="str">
        <v>II</v>
      </c>
    </row>
    <row r="61" spans="2:31" x14ac:dyDescent="0.3">
      <c r="AA61">
        <v>1</v>
      </c>
      <c r="AB61" t="str">
        <v>ЩОВ-001</v>
      </c>
      <c r="AC61" t="str">
        <v>Ввод 2</v>
      </c>
      <c r="AD61" t="str">
        <v>нет</v>
      </c>
      <c r="AE61" t="str">
        <v>II</v>
      </c>
    </row>
    <row r="62" spans="2:31" x14ac:dyDescent="0.3">
      <c r="B62" s="36" t="s">
        <v>1723</v>
      </c>
      <c r="AA62">
        <v>1</v>
      </c>
      <c r="AB62" t="str">
        <v>ЩОВ-001</v>
      </c>
      <c r="AC62" t="str">
        <v>Ввод 2</v>
      </c>
      <c r="AD62" t="str">
        <v>нет</v>
      </c>
      <c r="AE62" t="str">
        <v>II</v>
      </c>
    </row>
    <row r="63" spans="2:31" x14ac:dyDescent="0.3">
      <c r="B63" s="120" t="s">
        <v>803</v>
      </c>
      <c r="C63" s="121" t="s">
        <v>1717</v>
      </c>
      <c r="AA63">
        <v>1</v>
      </c>
      <c r="AB63" t="str">
        <v>ЩОВ-001</v>
      </c>
      <c r="AC63" t="str">
        <v>Ввод 2</v>
      </c>
      <c r="AD63" t="str">
        <v>нет</v>
      </c>
      <c r="AE63" t="str">
        <v>II</v>
      </c>
    </row>
    <row r="64" spans="2:31" x14ac:dyDescent="0.3">
      <c r="B64" t="s">
        <v>808</v>
      </c>
      <c r="C64" s="6" cm="1">
        <f t="array" ref="C64:C71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2")+(_xlfn.ANCHORARRAY(AC3)="Ввод 3")),IF(OR($E$5="Ввод 1",$E$5="Ввод 2",$E$5="Ввод 3"),$C$5,0),IF(OR($E$5="Ввод 1",$E$5="Ввод 2",$E$5="Ввод 3"),$D$5,0)))</f>
        <v>526.2810000000004</v>
      </c>
      <c r="AA64">
        <v>1</v>
      </c>
      <c r="AB64" t="str">
        <v>ЩОВ-001</v>
      </c>
      <c r="AC64" t="str">
        <v>Ввод 2</v>
      </c>
      <c r="AD64" t="str">
        <v>нет</v>
      </c>
      <c r="AE64" t="str">
        <v>II</v>
      </c>
    </row>
    <row r="65" spans="2:31" x14ac:dyDescent="0.3">
      <c r="B65" t="s">
        <v>1718</v>
      </c>
      <c r="C65" s="6">
        <v>0.52529323916310777</v>
      </c>
      <c r="AA65">
        <v>1</v>
      </c>
      <c r="AB65" t="str">
        <v>ЩОВ-001</v>
      </c>
      <c r="AC65" t="str">
        <v>Ввод 2</v>
      </c>
      <c r="AD65" t="str">
        <v>нет</v>
      </c>
      <c r="AE65" t="str">
        <v>II</v>
      </c>
    </row>
    <row r="66" spans="2:31" x14ac:dyDescent="0.3">
      <c r="B66" t="s">
        <v>804</v>
      </c>
      <c r="C66" s="6">
        <v>0.82887953393719227</v>
      </c>
      <c r="AA66">
        <v>1</v>
      </c>
      <c r="AB66" t="str">
        <v>ЩОВ-001</v>
      </c>
      <c r="AC66" t="str">
        <v>Ввод 2</v>
      </c>
      <c r="AD66" t="str">
        <v>нет</v>
      </c>
      <c r="AE66" t="str">
        <v>II</v>
      </c>
    </row>
    <row r="67" spans="2:31" x14ac:dyDescent="0.3">
      <c r="B67" t="s">
        <v>817</v>
      </c>
      <c r="C67" s="6">
        <v>0.67491970915372934</v>
      </c>
      <c r="AA67">
        <v>1</v>
      </c>
      <c r="AB67" t="str">
        <v>ЩОВ-001</v>
      </c>
      <c r="AC67" t="str">
        <v>Ввод 2</v>
      </c>
      <c r="AD67" t="str">
        <v>нет</v>
      </c>
      <c r="AE67" t="str">
        <v>II</v>
      </c>
    </row>
    <row r="68" spans="2:31" x14ac:dyDescent="0.3">
      <c r="B68" t="s">
        <v>851</v>
      </c>
      <c r="C68" s="6">
        <v>276.45185119999974</v>
      </c>
      <c r="AA68">
        <v>1</v>
      </c>
      <c r="AB68" t="str">
        <v>ЩОВ-001</v>
      </c>
      <c r="AC68" t="str">
        <v>Ввод 2</v>
      </c>
      <c r="AD68" t="str">
        <v>нет</v>
      </c>
      <c r="AE68" t="str">
        <v>II</v>
      </c>
    </row>
    <row r="69" spans="2:31" x14ac:dyDescent="0.3">
      <c r="B69" t="s">
        <v>852</v>
      </c>
      <c r="C69" s="6">
        <v>186.58280300691388</v>
      </c>
      <c r="AA69">
        <v>1</v>
      </c>
      <c r="AB69" t="str">
        <v>ЩОВ-001</v>
      </c>
      <c r="AC69" t="str">
        <v>Ввод 2</v>
      </c>
      <c r="AD69" t="str">
        <v>нет</v>
      </c>
      <c r="AE69" t="str">
        <v>II</v>
      </c>
    </row>
    <row r="70" spans="2:31" x14ac:dyDescent="0.3">
      <c r="B70" t="s">
        <v>853</v>
      </c>
      <c r="C70" s="6">
        <v>333.52476431267235</v>
      </c>
      <c r="AA70">
        <v>1</v>
      </c>
      <c r="AB70" t="str">
        <v>ЩОВ-001</v>
      </c>
      <c r="AC70" t="str">
        <v>Ввод 2</v>
      </c>
      <c r="AD70" t="str">
        <v>нет</v>
      </c>
      <c r="AE70" t="str">
        <v>II</v>
      </c>
    </row>
    <row r="71" spans="2:31" x14ac:dyDescent="0.3">
      <c r="B71" t="s">
        <v>810</v>
      </c>
      <c r="C71" s="6">
        <v>481.40153114331969</v>
      </c>
      <c r="AA71">
        <v>1</v>
      </c>
      <c r="AB71" t="str">
        <v>ЩОВ-001</v>
      </c>
      <c r="AC71" t="str">
        <v>Ввод 2</v>
      </c>
      <c r="AD71" t="str">
        <v>нет</v>
      </c>
      <c r="AE71" t="str">
        <v>II</v>
      </c>
    </row>
    <row r="72" spans="2:31" x14ac:dyDescent="0.3">
      <c r="AA72">
        <v>1</v>
      </c>
      <c r="AB72" t="str">
        <v>ЩОВ-001</v>
      </c>
      <c r="AC72" t="str">
        <v>Ввод 2</v>
      </c>
      <c r="AD72" t="str">
        <v>нет</v>
      </c>
      <c r="AE72" t="str">
        <v>II</v>
      </c>
    </row>
    <row r="73" spans="2:31" x14ac:dyDescent="0.3">
      <c r="B73" s="36" t="s">
        <v>1724</v>
      </c>
      <c r="AA73">
        <v>1</v>
      </c>
      <c r="AB73" t="str">
        <v>ЩОВ-001</v>
      </c>
      <c r="AC73" t="str">
        <v>Ввод 2</v>
      </c>
      <c r="AD73" t="str">
        <v>нет</v>
      </c>
      <c r="AE73" t="str">
        <v>II</v>
      </c>
    </row>
    <row r="74" spans="2:31" x14ac:dyDescent="0.3">
      <c r="B74" s="120" t="s">
        <v>818</v>
      </c>
      <c r="C74" s="120" t="s">
        <v>1725</v>
      </c>
      <c r="D74" s="120" t="s">
        <v>808</v>
      </c>
      <c r="E74" s="120" t="s">
        <v>851</v>
      </c>
      <c r="F74" s="120" t="s">
        <v>852</v>
      </c>
      <c r="G74" s="120" t="s">
        <v>853</v>
      </c>
      <c r="H74" s="120" t="s">
        <v>1726</v>
      </c>
      <c r="I74" s="120" t="s">
        <v>1727</v>
      </c>
      <c r="AA74">
        <v>1</v>
      </c>
      <c r="AB74" t="str">
        <v>ЩОВ-001</v>
      </c>
      <c r="AC74" t="str">
        <v>Ввод 2</v>
      </c>
      <c r="AD74" t="str">
        <v>нет</v>
      </c>
      <c r="AE74" t="str">
        <v>II</v>
      </c>
    </row>
    <row r="75" spans="2:31" x14ac:dyDescent="0.3">
      <c r="B75" t="s">
        <v>860</v>
      </c>
      <c r="C75" cm="1">
        <f t="array" ref="C75">SUM(_xlfn.ANCHORARRAY(AA3)*(_xlfn.ANCHORARRAY(AE3)="I особая"))</f>
        <v>0</v>
      </c>
      <c r="D75" s="6" cm="1">
        <f t="array" ref="D75:G75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 особая")*(_xlfn.ANCHORARRAY(AD3)="нет"),0,0),_xlfn.HSTACK(INDEX(_xlpm.x,1),INDEX(_xlpm.x,5),INDEX(_xlpm.x,6),INDEX(_xlpm.x,7))))</f>
        <v>0</v>
      </c>
      <c r="E75" s="6">
        <v>0</v>
      </c>
      <c r="F75" s="6">
        <v>0</v>
      </c>
      <c r="G75" s="6">
        <v>0</v>
      </c>
      <c r="H75" s="6" cm="1">
        <f t="array" ref="H75:I75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 особая")*(_xlfn.ANCHORARRAY(AD3)="да"),0,0),_xlfn.HSTACK(INDEX(_xlpm.x,1),INDEX(_xlpm.x,5))))</f>
        <v>0</v>
      </c>
      <c r="I75" s="6">
        <v>0</v>
      </c>
      <c r="AA75">
        <v>1</v>
      </c>
      <c r="AB75" t="str">
        <v>ЩОВ-001</v>
      </c>
      <c r="AC75" t="str">
        <v>Ввод 2</v>
      </c>
      <c r="AD75" t="str">
        <v>нет</v>
      </c>
      <c r="AE75" t="str">
        <v>II</v>
      </c>
    </row>
    <row r="76" spans="2:31" x14ac:dyDescent="0.3">
      <c r="B76" t="s">
        <v>861</v>
      </c>
      <c r="C76" cm="1">
        <f t="array" ref="C76">SUM(_xlfn.ANCHORARRAY(AA3)*(_xlfn.ANCHORARRAY(AE3)="I"))</f>
        <v>17</v>
      </c>
      <c r="D76" s="6" cm="1">
        <f t="array" ref="D76:G7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")*(_xlfn.ANCHORARRAY(AD3)="нет"),0,0),_xlfn.HSTACK(INDEX(_xlpm.x,1),INDEX(_xlpm.x,5),INDEX(_xlpm.x,6),INDEX(_xlpm.x,7))))</f>
        <v>4.1000000000000005</v>
      </c>
      <c r="E76" s="6">
        <v>2.2000000000000002</v>
      </c>
      <c r="F76" s="6">
        <v>1.5871943594789257</v>
      </c>
      <c r="G76" s="6">
        <v>2.7127819548872183</v>
      </c>
      <c r="H76" s="6" cm="1">
        <f t="array" ref="H76:I7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")*(_xlfn.ANCHORARRAY(AD3)="да"),0,0),_xlfn.HSTACK(INDEX(_xlpm.x,1),INDEX(_xlpm.x,5))))</f>
        <v>1.6</v>
      </c>
      <c r="I76" s="6">
        <v>1.6</v>
      </c>
      <c r="AA76">
        <v>1</v>
      </c>
      <c r="AB76" t="str">
        <v>ЩОВ-001</v>
      </c>
      <c r="AC76" t="str">
        <v>Ввод 2</v>
      </c>
      <c r="AD76" t="str">
        <v>нет</v>
      </c>
      <c r="AE76" t="str">
        <v>II</v>
      </c>
    </row>
    <row r="77" spans="2:31" x14ac:dyDescent="0.3">
      <c r="B77" t="s">
        <v>815</v>
      </c>
      <c r="C77" cm="1">
        <f t="array" ref="C77">SUM(_xlfn.ANCHORARRAY(AA3)*(_xlfn.ANCHORARRAY(AE3)="II"))</f>
        <v>282</v>
      </c>
      <c r="D77" s="6" cm="1">
        <f t="array" ref="D77:G77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I")*(_xlfn.ANCHORARRAY(AD3)="нет"),0,0),_xlfn.HSTACK(INDEX(_xlpm.x,1),INDEX(_xlpm.x,5),INDEX(_xlpm.x,6),INDEX(_xlpm.x,7))))</f>
        <v>346.63000000000125</v>
      </c>
      <c r="E77" s="6">
        <v>179.98046680000016</v>
      </c>
      <c r="F77" s="6">
        <v>115.21979332939685</v>
      </c>
      <c r="G77" s="6">
        <v>213.70205708980643</v>
      </c>
      <c r="H77" s="6" cm="1">
        <f t="array" ref="H77:I77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I")*(_xlfn.ANCHORARRAY(AD3)="да"),0,0),_xlfn.HSTACK(INDEX(_xlpm.x,1),INDEX(_xlpm.x,5))))</f>
        <v>0</v>
      </c>
      <c r="I77" s="6">
        <v>0</v>
      </c>
      <c r="AA77">
        <v>1</v>
      </c>
      <c r="AB77" t="str">
        <v>ЩОВ-001</v>
      </c>
      <c r="AC77" t="str">
        <v>Ввод 2</v>
      </c>
      <c r="AD77" t="str">
        <v>нет</v>
      </c>
      <c r="AE77" t="str">
        <v>II</v>
      </c>
    </row>
    <row r="78" spans="2:31" x14ac:dyDescent="0.3">
      <c r="B78" t="s">
        <v>862</v>
      </c>
      <c r="C78" cm="1">
        <f t="array" ref="C78">SUM(_xlfn.ANCHORARRAY(AA3)*(_xlfn.ANCHORARRAY(AE3)="III"))</f>
        <v>51</v>
      </c>
      <c r="D78" s="6" cm="1">
        <f t="array" ref="D78:G78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II")*(_xlfn.ANCHORARRAY(AD3)="нет"),0,0),_xlfn.HSTACK(INDEX(_xlpm.x,1),INDEX(_xlpm.x,5),INDEX(_xlpm.x,6),INDEX(_xlpm.x,7))))</f>
        <v>173.95099999999985</v>
      </c>
      <c r="E78" s="6">
        <v>93.78394999999999</v>
      </c>
      <c r="F78" s="6">
        <v>69.937907705764161</v>
      </c>
      <c r="G78" s="6">
        <v>116.99034238714957</v>
      </c>
      <c r="H78" s="6" cm="1">
        <f t="array" ref="H78:I78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E3)="III")*(_xlfn.ANCHORARRAY(AD3)="да"),0,0),_xlfn.HSTACK(INDEX(_xlpm.x,1),INDEX(_xlpm.x,5))))</f>
        <v>0</v>
      </c>
      <c r="I78" s="6">
        <v>0</v>
      </c>
      <c r="AA78">
        <v>1</v>
      </c>
      <c r="AB78" t="str">
        <v>ЩОВ-001</v>
      </c>
      <c r="AC78" t="str">
        <v>Ввод 2</v>
      </c>
      <c r="AD78" t="str">
        <v>нет</v>
      </c>
      <c r="AE78" t="str">
        <v>II</v>
      </c>
    </row>
    <row r="79" spans="2:31" x14ac:dyDescent="0.3">
      <c r="B79" t="s">
        <v>858</v>
      </c>
      <c r="C79">
        <f>SUM(_xlfn.ANCHORARRAY(AA3))</f>
        <v>350</v>
      </c>
      <c r="D79" s="6" cm="1">
        <f t="array" ref="D79:G79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D3)="нет"),0,0),_xlfn.HSTACK(INDEX(_xlpm.x,1),INDEX(_xlpm.x,5),INDEX(_xlpm.x,6),INDEX(_xlpm.x,7))))</f>
        <v>524.68100000000049</v>
      </c>
      <c r="E79" s="6">
        <v>274.85185119999977</v>
      </c>
      <c r="F79" s="6">
        <v>185.76704812509666</v>
      </c>
      <c r="G79" s="6">
        <v>331.74227387714518</v>
      </c>
      <c r="H79" s="6" cm="1">
        <f t="array" ref="H79:I79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x,_xlpm.РАСЧЁТ(_xlfn.ANCHORARRAY(AA3)*(_xlfn.ANCHORARRAY(AD3)="да"),0,0),_xlfn.HSTACK(INDEX(_xlpm.x,1),INDEX(_xlpm.x,5))))</f>
        <v>1.6</v>
      </c>
      <c r="I79" s="6">
        <v>1.6</v>
      </c>
      <c r="AA79">
        <v>1</v>
      </c>
      <c r="AB79" t="str">
        <v>ЩОВ-001</v>
      </c>
      <c r="AC79" t="str">
        <v>Ввод 2</v>
      </c>
      <c r="AD79" t="str">
        <v>нет</v>
      </c>
      <c r="AE79" t="str">
        <v>II</v>
      </c>
    </row>
    <row r="80" spans="2:31" x14ac:dyDescent="0.3">
      <c r="B80" s="119" t="s">
        <v>1728</v>
      </c>
      <c r="AA80">
        <v>1</v>
      </c>
      <c r="AB80" t="str">
        <v>ЩОВ-001</v>
      </c>
      <c r="AC80" t="str">
        <v>Ввод 2</v>
      </c>
      <c r="AD80" t="str">
        <v>нет</v>
      </c>
      <c r="AE80" t="str">
        <v>II</v>
      </c>
    </row>
    <row r="81" spans="2:31" x14ac:dyDescent="0.3">
      <c r="AA81">
        <v>1</v>
      </c>
      <c r="AB81" t="str">
        <v>ЩОВ-001</v>
      </c>
      <c r="AC81" t="str">
        <v>Ввод 2</v>
      </c>
      <c r="AD81" t="str">
        <v>нет</v>
      </c>
      <c r="AE81" t="str">
        <v>II</v>
      </c>
    </row>
    <row r="82" spans="2:31" x14ac:dyDescent="0.3">
      <c r="B82" s="36" t="s">
        <v>1729</v>
      </c>
      <c r="AA82">
        <v>1</v>
      </c>
      <c r="AB82" t="str">
        <v>ЩОВ-001</v>
      </c>
      <c r="AC82" t="str">
        <v>Ввод 2</v>
      </c>
      <c r="AD82" t="str">
        <v>нет</v>
      </c>
      <c r="AE82" t="str">
        <v>II</v>
      </c>
    </row>
    <row r="83" spans="2:31" x14ac:dyDescent="0.3">
      <c r="B83" t="s">
        <v>1730</v>
      </c>
      <c r="C83" s="6" cm="1">
        <f t="array" ref="C83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INDEX(_xlpm.РАСЧЁТ(_xlfn.ANCHORARRAY(AA3)*(_xlfn.ANCHORARRAY(AC3)="ИБП")*(_xlfn.ANCHORARRAY(AD3)="нет"),0,0),5))</f>
        <v>0</v>
      </c>
      <c r="AA83">
        <v>1</v>
      </c>
      <c r="AB83" t="str">
        <v>ЩОВ-001</v>
      </c>
      <c r="AC83" t="str">
        <v>Ввод 2</v>
      </c>
      <c r="AD83" t="str">
        <v>нет</v>
      </c>
      <c r="AE83" t="str">
        <v>II</v>
      </c>
    </row>
    <row r="84" spans="2:31" x14ac:dyDescent="0.3">
      <c r="B84" t="s">
        <v>1731</v>
      </c>
      <c r="C84" s="6">
        <f>C83/ИБП_cos_вых/ИБП_загрузка</f>
        <v>0</v>
      </c>
      <c r="AA84">
        <v>1</v>
      </c>
      <c r="AB84" t="str">
        <v>ЩОВ-001</v>
      </c>
      <c r="AC84" t="str">
        <v>Ввод 2</v>
      </c>
      <c r="AD84" t="str">
        <v>нет</v>
      </c>
      <c r="AE84" t="str">
        <v>II</v>
      </c>
    </row>
    <row r="85" spans="2:31" x14ac:dyDescent="0.3">
      <c r="B85" t="s">
        <v>1732</v>
      </c>
      <c r="C85" s="6" cm="1">
        <f t="array" ref="C85">IFERROR(MIN(_xlfn._xlws.FILTER(ИБП_ряд,ИБП_ряд&gt;=C84)),"больше ряда")</f>
        <v>6</v>
      </c>
      <c r="AA85">
        <v>1</v>
      </c>
      <c r="AB85" t="str">
        <v>ЩОВ-001</v>
      </c>
      <c r="AC85" t="str">
        <v>Ввод 2</v>
      </c>
      <c r="AD85" t="str">
        <v>нет</v>
      </c>
      <c r="AE85" t="str">
        <v>II</v>
      </c>
    </row>
    <row r="86" spans="2:31" x14ac:dyDescent="0.3">
      <c r="B86" t="s">
        <v>1733</v>
      </c>
      <c r="C86" s="6">
        <f>IFERROR(C83/ИБП_cos_вых/C85,"")</f>
        <v>0</v>
      </c>
      <c r="AA86">
        <v>1</v>
      </c>
      <c r="AB86" t="str">
        <v>ЩОВ-001</v>
      </c>
      <c r="AC86" t="str">
        <v>Ввод 2</v>
      </c>
      <c r="AD86" t="str">
        <v>нет</v>
      </c>
      <c r="AE86" t="str">
        <v>II</v>
      </c>
    </row>
    <row r="87" spans="2:31" x14ac:dyDescent="0.3">
      <c r="B87" t="s">
        <v>1734</v>
      </c>
      <c r="C87" s="6">
        <f>C83*1000*ИБП_t/60/(ИБП_U*ИБП_КПД*ИБП_k)</f>
        <v>0</v>
      </c>
      <c r="AA87">
        <v>1</v>
      </c>
      <c r="AB87" t="str">
        <v>ЩОВ-001</v>
      </c>
      <c r="AC87" t="str">
        <v>Ввод 2</v>
      </c>
      <c r="AD87" t="str">
        <v>нет</v>
      </c>
      <c r="AE87" t="str">
        <v>II</v>
      </c>
    </row>
    <row r="88" spans="2:31" x14ac:dyDescent="0.3">
      <c r="B88" t="s">
        <v>1735</v>
      </c>
      <c r="C88" s="6">
        <f>C5</f>
        <v>0</v>
      </c>
      <c r="AA88">
        <v>1</v>
      </c>
      <c r="AB88" t="str">
        <v>ЩОВ-002</v>
      </c>
      <c r="AC88" t="str">
        <v>Ввод 1</v>
      </c>
      <c r="AD88" t="str">
        <v>нет</v>
      </c>
      <c r="AE88" t="str">
        <v>III</v>
      </c>
    </row>
    <row r="89" spans="2:31" x14ac:dyDescent="0.3">
      <c r="AA89">
        <v>1</v>
      </c>
      <c r="AB89" t="str">
        <v>ЩОВ-002</v>
      </c>
      <c r="AC89" t="str">
        <v>Ввод 1</v>
      </c>
      <c r="AD89" t="str">
        <v>нет</v>
      </c>
      <c r="AE89" t="str">
        <v>II</v>
      </c>
    </row>
    <row r="90" spans="2:31" x14ac:dyDescent="0.3">
      <c r="AA90">
        <v>1</v>
      </c>
      <c r="AB90" t="str">
        <v>ЩОВ-002</v>
      </c>
      <c r="AC90" t="str">
        <v>Ввод 1</v>
      </c>
      <c r="AD90" t="str">
        <v>нет</v>
      </c>
      <c r="AE90" t="str">
        <v>II</v>
      </c>
    </row>
    <row r="91" spans="2:31" x14ac:dyDescent="0.3">
      <c r="AA91">
        <v>1</v>
      </c>
      <c r="AB91" t="str">
        <v>ЩОВ-002</v>
      </c>
      <c r="AC91" t="str">
        <v>Ввод 1</v>
      </c>
      <c r="AD91" t="str">
        <v>нет</v>
      </c>
      <c r="AE91" t="str">
        <v>II</v>
      </c>
    </row>
    <row r="92" spans="2:31" x14ac:dyDescent="0.3">
      <c r="AA92">
        <v>1</v>
      </c>
      <c r="AB92" t="str">
        <v>ЩОВ-002</v>
      </c>
      <c r="AC92" t="str">
        <v>Ввод 1</v>
      </c>
      <c r="AD92" t="str">
        <v>нет</v>
      </c>
      <c r="AE92" t="str">
        <v>II</v>
      </c>
    </row>
    <row r="93" spans="2:31" x14ac:dyDescent="0.3">
      <c r="AA93">
        <v>1</v>
      </c>
      <c r="AB93" t="str">
        <v>ЩОВ-002</v>
      </c>
      <c r="AC93" t="str">
        <v>Ввод 1</v>
      </c>
      <c r="AD93" t="str">
        <v>нет</v>
      </c>
      <c r="AE93" t="str">
        <v>II</v>
      </c>
    </row>
    <row r="94" spans="2:31" x14ac:dyDescent="0.3">
      <c r="AA94">
        <v>1</v>
      </c>
      <c r="AB94" t="str">
        <v>ЩОВ-002</v>
      </c>
      <c r="AC94" t="str">
        <v>Ввод 1</v>
      </c>
      <c r="AD94" t="str">
        <v>нет</v>
      </c>
      <c r="AE94" t="str">
        <v>II</v>
      </c>
    </row>
    <row r="95" spans="2:31" x14ac:dyDescent="0.3">
      <c r="AA95">
        <v>1</v>
      </c>
      <c r="AB95" t="str">
        <v>ЩОВ-002</v>
      </c>
      <c r="AC95" t="str">
        <v>Ввод 1</v>
      </c>
      <c r="AD95" t="str">
        <v>нет</v>
      </c>
      <c r="AE95" t="str">
        <v>II</v>
      </c>
    </row>
    <row r="96" spans="2:31" x14ac:dyDescent="0.3">
      <c r="AA96">
        <v>1</v>
      </c>
      <c r="AB96" t="str">
        <v>ЩОВ-002</v>
      </c>
      <c r="AC96" t="str">
        <v>Ввод 1</v>
      </c>
      <c r="AD96" t="str">
        <v>нет</v>
      </c>
      <c r="AE96" t="str">
        <v>II</v>
      </c>
    </row>
    <row r="97" spans="27:31" x14ac:dyDescent="0.3">
      <c r="AA97">
        <v>1</v>
      </c>
      <c r="AB97" t="str">
        <v>ЩОВ-002</v>
      </c>
      <c r="AC97" t="str">
        <v>Ввод 1</v>
      </c>
      <c r="AD97" t="str">
        <v>нет</v>
      </c>
      <c r="AE97" t="str">
        <v>II</v>
      </c>
    </row>
    <row r="98" spans="27:31" x14ac:dyDescent="0.3">
      <c r="AA98">
        <v>1</v>
      </c>
      <c r="AB98" t="str">
        <v>ЩОВ-002</v>
      </c>
      <c r="AC98" t="str">
        <v>Ввод 1</v>
      </c>
      <c r="AD98" t="str">
        <v>нет</v>
      </c>
      <c r="AE98" t="str">
        <v>II</v>
      </c>
    </row>
    <row r="99" spans="27:31" x14ac:dyDescent="0.3">
      <c r="AA99">
        <v>1</v>
      </c>
      <c r="AB99" t="str">
        <v>ЩОВ-002</v>
      </c>
      <c r="AC99" t="str">
        <v>Ввод 1</v>
      </c>
      <c r="AD99" t="str">
        <v>нет</v>
      </c>
      <c r="AE99" t="str">
        <v>II</v>
      </c>
    </row>
    <row r="100" spans="27:31" x14ac:dyDescent="0.3">
      <c r="AA100">
        <v>1</v>
      </c>
      <c r="AB100" t="str">
        <v>ЩОВ-002</v>
      </c>
      <c r="AC100" t="str">
        <v>Ввод 1</v>
      </c>
      <c r="AD100" t="str">
        <v>нет</v>
      </c>
      <c r="AE100" t="str">
        <v>II</v>
      </c>
    </row>
    <row r="101" spans="27:31" x14ac:dyDescent="0.3">
      <c r="AA101">
        <v>1</v>
      </c>
      <c r="AB101" t="str">
        <v>ЩОВ-002</v>
      </c>
      <c r="AC101" t="str">
        <v>Ввод 1</v>
      </c>
      <c r="AD101" t="str">
        <v>нет</v>
      </c>
      <c r="AE101" t="str">
        <v>II</v>
      </c>
    </row>
    <row r="102" spans="27:31" x14ac:dyDescent="0.3">
      <c r="AA102">
        <v>1</v>
      </c>
      <c r="AB102" t="str">
        <v>ЩОВ-01</v>
      </c>
      <c r="AC102" t="str">
        <v>Ввод 1</v>
      </c>
      <c r="AD102" t="str">
        <v>нет</v>
      </c>
      <c r="AE102" t="str">
        <v>III</v>
      </c>
    </row>
    <row r="103" spans="27:31" x14ac:dyDescent="0.3">
      <c r="AA103">
        <v>1</v>
      </c>
      <c r="AB103" t="str">
        <v>ЩОВ-01</v>
      </c>
      <c r="AC103" t="str">
        <v>Ввод 1</v>
      </c>
      <c r="AD103" t="str">
        <v>нет</v>
      </c>
      <c r="AE103" t="str">
        <v>II</v>
      </c>
    </row>
    <row r="104" spans="27:31" x14ac:dyDescent="0.3">
      <c r="AA104">
        <v>1</v>
      </c>
      <c r="AB104" t="str">
        <v>ЩОВ-01</v>
      </c>
      <c r="AC104" t="str">
        <v>Ввод 1</v>
      </c>
      <c r="AD104" t="str">
        <v>нет</v>
      </c>
      <c r="AE104" t="str">
        <v>II</v>
      </c>
    </row>
    <row r="105" spans="27:31" x14ac:dyDescent="0.3">
      <c r="AA105">
        <v>1</v>
      </c>
      <c r="AB105" t="str">
        <v>ЩОВ-01</v>
      </c>
      <c r="AC105" t="str">
        <v>Ввод 1</v>
      </c>
      <c r="AD105" t="str">
        <v>нет</v>
      </c>
      <c r="AE105" t="str">
        <v>II</v>
      </c>
    </row>
    <row r="106" spans="27:31" x14ac:dyDescent="0.3">
      <c r="AA106">
        <v>1</v>
      </c>
      <c r="AB106" t="str">
        <v>ЩОВ-01</v>
      </c>
      <c r="AC106" t="str">
        <v>Ввод 1</v>
      </c>
      <c r="AD106" t="str">
        <v>нет</v>
      </c>
      <c r="AE106" t="str">
        <v>II</v>
      </c>
    </row>
    <row r="107" spans="27:31" x14ac:dyDescent="0.3">
      <c r="AA107">
        <v>1</v>
      </c>
      <c r="AB107" t="str">
        <v>ЩОВ-01</v>
      </c>
      <c r="AC107" t="str">
        <v>Ввод 1</v>
      </c>
      <c r="AD107" t="str">
        <v>нет</v>
      </c>
      <c r="AE107" t="str">
        <v>II</v>
      </c>
    </row>
    <row r="108" spans="27:31" x14ac:dyDescent="0.3">
      <c r="AA108">
        <v>1</v>
      </c>
      <c r="AB108" t="str">
        <v>ЩОВ-01</v>
      </c>
      <c r="AC108" t="str">
        <v>Ввод 1</v>
      </c>
      <c r="AD108" t="str">
        <v>нет</v>
      </c>
      <c r="AE108" t="str">
        <v>II</v>
      </c>
    </row>
    <row r="109" spans="27:31" x14ac:dyDescent="0.3">
      <c r="AA109">
        <v>1</v>
      </c>
      <c r="AB109" t="str">
        <v>ЩОВ-01</v>
      </c>
      <c r="AC109" t="str">
        <v>Ввод 1</v>
      </c>
      <c r="AD109" t="str">
        <v>нет</v>
      </c>
      <c r="AE109" t="str">
        <v>II</v>
      </c>
    </row>
    <row r="110" spans="27:31" x14ac:dyDescent="0.3">
      <c r="AA110">
        <v>1</v>
      </c>
      <c r="AB110" t="str">
        <v>ЩОВ-01</v>
      </c>
      <c r="AC110" t="str">
        <v>Ввод 1</v>
      </c>
      <c r="AD110" t="str">
        <v>нет</v>
      </c>
      <c r="AE110" t="str">
        <v>II</v>
      </c>
    </row>
    <row r="111" spans="27:31" x14ac:dyDescent="0.3">
      <c r="AA111">
        <v>1</v>
      </c>
      <c r="AB111" t="str">
        <v>ЩОВ-01</v>
      </c>
      <c r="AC111" t="str">
        <v>Ввод 1</v>
      </c>
      <c r="AD111" t="str">
        <v>нет</v>
      </c>
      <c r="AE111" t="str">
        <v>II</v>
      </c>
    </row>
    <row r="112" spans="27:31" x14ac:dyDescent="0.3">
      <c r="AA112">
        <v>1</v>
      </c>
      <c r="AB112" t="str">
        <v>ЩОВ-01</v>
      </c>
      <c r="AC112" t="str">
        <v>Ввод 1</v>
      </c>
      <c r="AD112" t="str">
        <v>нет</v>
      </c>
      <c r="AE112" t="str">
        <v>II</v>
      </c>
    </row>
    <row r="113" spans="27:31" x14ac:dyDescent="0.3">
      <c r="AA113">
        <v>1</v>
      </c>
      <c r="AB113" t="str">
        <v>ЩОВ-01</v>
      </c>
      <c r="AC113" t="str">
        <v>Ввод 1</v>
      </c>
      <c r="AD113" t="str">
        <v>нет</v>
      </c>
      <c r="AE113" t="str">
        <v>II</v>
      </c>
    </row>
    <row r="114" spans="27:31" x14ac:dyDescent="0.3">
      <c r="AA114">
        <v>1</v>
      </c>
      <c r="AB114" t="str">
        <v>ЩОВ-01</v>
      </c>
      <c r="AC114" t="str">
        <v>Ввод 1</v>
      </c>
      <c r="AD114" t="str">
        <v>нет</v>
      </c>
      <c r="AE114" t="str">
        <v>II</v>
      </c>
    </row>
    <row r="115" spans="27:31" x14ac:dyDescent="0.3">
      <c r="AA115">
        <v>1</v>
      </c>
      <c r="AB115" t="str">
        <v>ЩОВ-01</v>
      </c>
      <c r="AC115" t="str">
        <v>Ввод 1</v>
      </c>
      <c r="AD115" t="str">
        <v>нет</v>
      </c>
      <c r="AE115" t="str">
        <v>II</v>
      </c>
    </row>
    <row r="116" spans="27:31" x14ac:dyDescent="0.3">
      <c r="AA116">
        <v>1</v>
      </c>
      <c r="AB116" t="str">
        <v>ЩОВ-01</v>
      </c>
      <c r="AC116" t="str">
        <v>Ввод 1</v>
      </c>
      <c r="AD116" t="str">
        <v>нет</v>
      </c>
      <c r="AE116" t="str">
        <v>II</v>
      </c>
    </row>
    <row r="117" spans="27:31" x14ac:dyDescent="0.3">
      <c r="AA117">
        <v>1</v>
      </c>
      <c r="AB117" t="str">
        <v>ЩОВ-01</v>
      </c>
      <c r="AC117" t="str">
        <v>Ввод 1</v>
      </c>
      <c r="AD117" t="str">
        <v>нет</v>
      </c>
      <c r="AE117" t="str">
        <v>II</v>
      </c>
    </row>
    <row r="118" spans="27:31" x14ac:dyDescent="0.3">
      <c r="AA118">
        <v>1</v>
      </c>
      <c r="AB118" t="str">
        <v>ЩОВ-01</v>
      </c>
      <c r="AC118" t="str">
        <v>Ввод 1</v>
      </c>
      <c r="AD118" t="str">
        <v>нет</v>
      </c>
      <c r="AE118" t="str">
        <v>II</v>
      </c>
    </row>
    <row r="119" spans="27:31" x14ac:dyDescent="0.3">
      <c r="AA119">
        <v>1</v>
      </c>
      <c r="AB119" t="str">
        <v>ЩОВ-01</v>
      </c>
      <c r="AC119" t="str">
        <v>Ввод 1</v>
      </c>
      <c r="AD119" t="str">
        <v>нет</v>
      </c>
      <c r="AE119" t="str">
        <v>II</v>
      </c>
    </row>
    <row r="120" spans="27:31" x14ac:dyDescent="0.3">
      <c r="AA120">
        <v>1</v>
      </c>
      <c r="AB120" t="str">
        <v>ЩОВ-01</v>
      </c>
      <c r="AC120" t="str">
        <v>Ввод 1</v>
      </c>
      <c r="AD120" t="str">
        <v>нет</v>
      </c>
      <c r="AE120" t="str">
        <v>II</v>
      </c>
    </row>
    <row r="121" spans="27:31" x14ac:dyDescent="0.3">
      <c r="AA121">
        <v>1</v>
      </c>
      <c r="AB121" t="str">
        <v>ЩОВ-01</v>
      </c>
      <c r="AC121" t="str">
        <v>Ввод 1</v>
      </c>
      <c r="AD121" t="str">
        <v>нет</v>
      </c>
      <c r="AE121" t="str">
        <v>II</v>
      </c>
    </row>
    <row r="122" spans="27:31" x14ac:dyDescent="0.3">
      <c r="AA122">
        <v>1</v>
      </c>
      <c r="AB122" t="str">
        <v>ЩОВ-01</v>
      </c>
      <c r="AC122" t="str">
        <v>Ввод 1</v>
      </c>
      <c r="AD122" t="str">
        <v>нет</v>
      </c>
      <c r="AE122" t="str">
        <v>II</v>
      </c>
    </row>
    <row r="123" spans="27:31" x14ac:dyDescent="0.3">
      <c r="AA123">
        <v>1</v>
      </c>
      <c r="AB123" t="str">
        <v>ЩОВ-01</v>
      </c>
      <c r="AC123" t="str">
        <v>Ввод 1</v>
      </c>
      <c r="AD123" t="str">
        <v>нет</v>
      </c>
      <c r="AE123" t="str">
        <v>II</v>
      </c>
    </row>
    <row r="124" spans="27:31" x14ac:dyDescent="0.3">
      <c r="AA124">
        <v>1</v>
      </c>
      <c r="AB124" t="str">
        <v>ЩОВ-01</v>
      </c>
      <c r="AC124" t="str">
        <v>Ввод 1</v>
      </c>
      <c r="AD124" t="str">
        <v>нет</v>
      </c>
      <c r="AE124" t="str">
        <v>II</v>
      </c>
    </row>
    <row r="125" spans="27:31" x14ac:dyDescent="0.3">
      <c r="AA125">
        <v>1</v>
      </c>
      <c r="AB125" t="str">
        <v>ЩОВ-01</v>
      </c>
      <c r="AC125" t="str">
        <v>Ввод 1</v>
      </c>
      <c r="AD125" t="str">
        <v>нет</v>
      </c>
      <c r="AE125" t="str">
        <v>II</v>
      </c>
    </row>
    <row r="126" spans="27:31" x14ac:dyDescent="0.3">
      <c r="AA126">
        <v>1</v>
      </c>
      <c r="AB126" t="str">
        <v>ЩОВ-01</v>
      </c>
      <c r="AC126" t="str">
        <v>Ввод 1</v>
      </c>
      <c r="AD126" t="str">
        <v>нет</v>
      </c>
      <c r="AE126" t="str">
        <v>II</v>
      </c>
    </row>
    <row r="127" spans="27:31" x14ac:dyDescent="0.3">
      <c r="AA127">
        <v>1</v>
      </c>
      <c r="AB127" t="str">
        <v>ЩОВ-01</v>
      </c>
      <c r="AC127" t="str">
        <v>Ввод 1</v>
      </c>
      <c r="AD127" t="str">
        <v>нет</v>
      </c>
      <c r="AE127" t="str">
        <v>II</v>
      </c>
    </row>
    <row r="128" spans="27:31" x14ac:dyDescent="0.3">
      <c r="AA128">
        <v>1</v>
      </c>
      <c r="AB128" t="str">
        <v>ЩОВ-01</v>
      </c>
      <c r="AC128" t="str">
        <v>Ввод 1</v>
      </c>
      <c r="AD128" t="str">
        <v>нет</v>
      </c>
      <c r="AE128" t="str">
        <v>II</v>
      </c>
    </row>
    <row r="129" spans="27:31" x14ac:dyDescent="0.3">
      <c r="AA129">
        <v>1</v>
      </c>
      <c r="AB129" t="str">
        <v>ЩОВ-01</v>
      </c>
      <c r="AC129" t="str">
        <v>Ввод 1</v>
      </c>
      <c r="AD129" t="str">
        <v>нет</v>
      </c>
      <c r="AE129" t="str">
        <v>III</v>
      </c>
    </row>
    <row r="130" spans="27:31" x14ac:dyDescent="0.3">
      <c r="AA130">
        <v>1</v>
      </c>
      <c r="AB130" t="str">
        <v>ЩОВ-2</v>
      </c>
      <c r="AC130" t="str">
        <v>Ввод 1</v>
      </c>
      <c r="AD130" t="str">
        <v>нет</v>
      </c>
      <c r="AE130" t="str">
        <v>III</v>
      </c>
    </row>
    <row r="131" spans="27:31" x14ac:dyDescent="0.3">
      <c r="AA131">
        <v>1</v>
      </c>
      <c r="AB131" t="str">
        <v>ЩОВ-2</v>
      </c>
      <c r="AC131" t="str">
        <v>Ввод 1</v>
      </c>
      <c r="AD131" t="str">
        <v>нет</v>
      </c>
      <c r="AE131" t="str">
        <v>II</v>
      </c>
    </row>
    <row r="132" spans="27:31" x14ac:dyDescent="0.3">
      <c r="AA132">
        <v>1</v>
      </c>
      <c r="AB132" t="str">
        <v>ЩОВ-2</v>
      </c>
      <c r="AC132" t="str">
        <v>Ввод 1</v>
      </c>
      <c r="AD132" t="str">
        <v>нет</v>
      </c>
      <c r="AE132" t="str">
        <v>II</v>
      </c>
    </row>
    <row r="133" spans="27:31" x14ac:dyDescent="0.3">
      <c r="AA133">
        <v>1</v>
      </c>
      <c r="AB133" t="str">
        <v>ЩОВ-2</v>
      </c>
      <c r="AC133" t="str">
        <v>Ввод 1</v>
      </c>
      <c r="AD133" t="str">
        <v>нет</v>
      </c>
      <c r="AE133" t="str">
        <v>II</v>
      </c>
    </row>
    <row r="134" spans="27:31" x14ac:dyDescent="0.3">
      <c r="AA134">
        <v>1</v>
      </c>
      <c r="AB134" t="str">
        <v>ЩОВ-2</v>
      </c>
      <c r="AC134" t="str">
        <v>Ввод 1</v>
      </c>
      <c r="AD134" t="str">
        <v>нет</v>
      </c>
      <c r="AE134" t="str">
        <v>II</v>
      </c>
    </row>
    <row r="135" spans="27:31" x14ac:dyDescent="0.3">
      <c r="AA135">
        <v>1</v>
      </c>
      <c r="AB135" t="str">
        <v>ЩОВ-2</v>
      </c>
      <c r="AC135" t="str">
        <v>Ввод 1</v>
      </c>
      <c r="AD135" t="str">
        <v>нет</v>
      </c>
      <c r="AE135" t="str">
        <v>II</v>
      </c>
    </row>
    <row r="136" spans="27:31" x14ac:dyDescent="0.3">
      <c r="AA136">
        <v>1</v>
      </c>
      <c r="AB136" t="str">
        <v>ЩОВ-2</v>
      </c>
      <c r="AC136" t="str">
        <v>Ввод 1</v>
      </c>
      <c r="AD136" t="str">
        <v>нет</v>
      </c>
      <c r="AE136" t="str">
        <v>II</v>
      </c>
    </row>
    <row r="137" spans="27:31" x14ac:dyDescent="0.3">
      <c r="AA137">
        <v>1</v>
      </c>
      <c r="AB137" t="str">
        <v>ЩОВ-2</v>
      </c>
      <c r="AC137" t="str">
        <v>Ввод 1</v>
      </c>
      <c r="AD137" t="str">
        <v>нет</v>
      </c>
      <c r="AE137" t="str">
        <v>II</v>
      </c>
    </row>
    <row r="138" spans="27:31" x14ac:dyDescent="0.3">
      <c r="AA138">
        <v>1</v>
      </c>
      <c r="AB138" t="str">
        <v>ЩОВ-2</v>
      </c>
      <c r="AC138" t="str">
        <v>Ввод 1</v>
      </c>
      <c r="AD138" t="str">
        <v>нет</v>
      </c>
      <c r="AE138" t="str">
        <v>II</v>
      </c>
    </row>
    <row r="139" spans="27:31" x14ac:dyDescent="0.3">
      <c r="AA139">
        <v>1</v>
      </c>
      <c r="AB139" t="str">
        <v>ЩОВ-2</v>
      </c>
      <c r="AC139" t="str">
        <v>Ввод 1</v>
      </c>
      <c r="AD139" t="str">
        <v>нет</v>
      </c>
      <c r="AE139" t="str">
        <v>II</v>
      </c>
    </row>
    <row r="140" spans="27:31" x14ac:dyDescent="0.3">
      <c r="AA140">
        <v>1</v>
      </c>
      <c r="AB140" t="str">
        <v>ЩОВ-2</v>
      </c>
      <c r="AC140" t="str">
        <v>Ввод 1</v>
      </c>
      <c r="AD140" t="str">
        <v>нет</v>
      </c>
      <c r="AE140" t="str">
        <v>II</v>
      </c>
    </row>
    <row r="141" spans="27:31" x14ac:dyDescent="0.3">
      <c r="AA141">
        <v>1</v>
      </c>
      <c r="AB141" t="str">
        <v>ЩОВ-2</v>
      </c>
      <c r="AC141" t="str">
        <v>Ввод 1</v>
      </c>
      <c r="AD141" t="str">
        <v>нет</v>
      </c>
      <c r="AE141" t="str">
        <v>II</v>
      </c>
    </row>
    <row r="142" spans="27:31" x14ac:dyDescent="0.3">
      <c r="AA142">
        <v>1</v>
      </c>
      <c r="AB142" t="str">
        <v>ЩОВ-2</v>
      </c>
      <c r="AC142" t="str">
        <v>Ввод 1</v>
      </c>
      <c r="AD142" t="str">
        <v>нет</v>
      </c>
      <c r="AE142" t="str">
        <v>II</v>
      </c>
    </row>
    <row r="143" spans="27:31" x14ac:dyDescent="0.3">
      <c r="AA143">
        <v>1</v>
      </c>
      <c r="AB143" t="str">
        <v>ЩОВ-2</v>
      </c>
      <c r="AC143" t="str">
        <v>Ввод 1</v>
      </c>
      <c r="AD143" t="str">
        <v>нет</v>
      </c>
      <c r="AE143" t="str">
        <v>II</v>
      </c>
    </row>
    <row r="144" spans="27:31" x14ac:dyDescent="0.3">
      <c r="AA144">
        <v>1</v>
      </c>
      <c r="AB144" t="str">
        <v>ЩОВ-2</v>
      </c>
      <c r="AC144" t="str">
        <v>Ввод 1</v>
      </c>
      <c r="AD144" t="str">
        <v>нет</v>
      </c>
      <c r="AE144" t="str">
        <v>II</v>
      </c>
    </row>
    <row r="145" spans="27:31" x14ac:dyDescent="0.3">
      <c r="AA145">
        <v>1</v>
      </c>
      <c r="AB145" t="str">
        <v>ЩОВ-2</v>
      </c>
      <c r="AC145" t="str">
        <v>Ввод 1</v>
      </c>
      <c r="AD145" t="str">
        <v>нет</v>
      </c>
      <c r="AE145" t="str">
        <v>II</v>
      </c>
    </row>
    <row r="146" spans="27:31" x14ac:dyDescent="0.3">
      <c r="AA146">
        <v>1</v>
      </c>
      <c r="AB146" t="str">
        <v>ЩОВ-2</v>
      </c>
      <c r="AC146" t="str">
        <v>Ввод 1</v>
      </c>
      <c r="AD146" t="str">
        <v>нет</v>
      </c>
      <c r="AE146" t="str">
        <v>II</v>
      </c>
    </row>
    <row r="147" spans="27:31" x14ac:dyDescent="0.3">
      <c r="AA147">
        <v>1</v>
      </c>
      <c r="AB147" t="str">
        <v>ЩОВ-2</v>
      </c>
      <c r="AC147" t="str">
        <v>Ввод 1</v>
      </c>
      <c r="AD147" t="str">
        <v>нет</v>
      </c>
      <c r="AE147" t="str">
        <v>II</v>
      </c>
    </row>
    <row r="148" spans="27:31" x14ac:dyDescent="0.3">
      <c r="AA148">
        <v>1</v>
      </c>
      <c r="AB148" t="str">
        <v>ЩОВ-2</v>
      </c>
      <c r="AC148" t="str">
        <v>Ввод 1</v>
      </c>
      <c r="AD148" t="str">
        <v>нет</v>
      </c>
      <c r="AE148" t="str">
        <v>II</v>
      </c>
    </row>
    <row r="149" spans="27:31" x14ac:dyDescent="0.3">
      <c r="AA149">
        <v>1</v>
      </c>
      <c r="AB149" t="str">
        <v>ЩОВ-2</v>
      </c>
      <c r="AC149" t="str">
        <v>Ввод 1</v>
      </c>
      <c r="AD149" t="str">
        <v>нет</v>
      </c>
      <c r="AE149" t="str">
        <v>II</v>
      </c>
    </row>
    <row r="150" spans="27:31" x14ac:dyDescent="0.3">
      <c r="AA150">
        <v>1</v>
      </c>
      <c r="AB150" t="str">
        <v>ЩОВ-2</v>
      </c>
      <c r="AC150" t="str">
        <v>Ввод 1</v>
      </c>
      <c r="AD150" t="str">
        <v>нет</v>
      </c>
      <c r="AE150" t="str">
        <v>II</v>
      </c>
    </row>
    <row r="151" spans="27:31" x14ac:dyDescent="0.3">
      <c r="AA151">
        <v>1</v>
      </c>
      <c r="AB151" t="str">
        <v>ЩОВ-2</v>
      </c>
      <c r="AC151" t="str">
        <v>Ввод 1</v>
      </c>
      <c r="AD151" t="str">
        <v>нет</v>
      </c>
      <c r="AE151" t="str">
        <v>II</v>
      </c>
    </row>
    <row r="152" spans="27:31" x14ac:dyDescent="0.3">
      <c r="AA152">
        <v>1</v>
      </c>
      <c r="AB152" t="str">
        <v>ЩОВ-2</v>
      </c>
      <c r="AC152" t="str">
        <v>Ввод 1</v>
      </c>
      <c r="AD152" t="str">
        <v>нет</v>
      </c>
      <c r="AE152" t="str">
        <v>II</v>
      </c>
    </row>
    <row r="153" spans="27:31" x14ac:dyDescent="0.3">
      <c r="AA153">
        <v>1</v>
      </c>
      <c r="AB153" t="str">
        <v>ЩОВ-2</v>
      </c>
      <c r="AC153" t="str">
        <v>Ввод 1</v>
      </c>
      <c r="AD153" t="str">
        <v>нет</v>
      </c>
      <c r="AE153" t="str">
        <v>II</v>
      </c>
    </row>
    <row r="154" spans="27:31" x14ac:dyDescent="0.3">
      <c r="AA154">
        <v>1</v>
      </c>
      <c r="AB154" t="str">
        <v>ЩР-001</v>
      </c>
      <c r="AC154" t="str">
        <v>Ввод 1</v>
      </c>
      <c r="AD154" t="str">
        <v>нет</v>
      </c>
      <c r="AE154" t="str">
        <v>III</v>
      </c>
    </row>
    <row r="155" spans="27:31" x14ac:dyDescent="0.3">
      <c r="AA155">
        <v>1</v>
      </c>
      <c r="AB155" t="str">
        <v>ЩР-001</v>
      </c>
      <c r="AC155" t="str">
        <v>Ввод 1</v>
      </c>
      <c r="AD155" t="str">
        <v>нет</v>
      </c>
      <c r="AE155" t="str">
        <v>II</v>
      </c>
    </row>
    <row r="156" spans="27:31" x14ac:dyDescent="0.3">
      <c r="AA156">
        <v>1</v>
      </c>
      <c r="AB156" t="str">
        <v>ЩР-001</v>
      </c>
      <c r="AC156" t="str">
        <v>Ввод 1</v>
      </c>
      <c r="AD156" t="str">
        <v>нет</v>
      </c>
      <c r="AE156" t="str">
        <v>II</v>
      </c>
    </row>
    <row r="157" spans="27:31" x14ac:dyDescent="0.3">
      <c r="AA157">
        <v>1</v>
      </c>
      <c r="AB157" t="str">
        <v>ЩР-001</v>
      </c>
      <c r="AC157" t="str">
        <v>Ввод 1</v>
      </c>
      <c r="AD157" t="str">
        <v>нет</v>
      </c>
      <c r="AE157" t="str">
        <v>II</v>
      </c>
    </row>
    <row r="158" spans="27:31" x14ac:dyDescent="0.3">
      <c r="AA158">
        <v>1</v>
      </c>
      <c r="AB158" t="str">
        <v>ЩР-001</v>
      </c>
      <c r="AC158" t="str">
        <v>Ввод 1</v>
      </c>
      <c r="AD158" t="str">
        <v>нет</v>
      </c>
      <c r="AE158" t="str">
        <v>II</v>
      </c>
    </row>
    <row r="159" spans="27:31" x14ac:dyDescent="0.3">
      <c r="AA159">
        <v>1</v>
      </c>
      <c r="AB159" t="str">
        <v>ЩР-001</v>
      </c>
      <c r="AC159" t="str">
        <v>Ввод 1</v>
      </c>
      <c r="AD159" t="str">
        <v>нет</v>
      </c>
      <c r="AE159" t="str">
        <v>II</v>
      </c>
    </row>
    <row r="160" spans="27:31" x14ac:dyDescent="0.3">
      <c r="AA160">
        <v>1</v>
      </c>
      <c r="AB160" t="str">
        <v>ЩР-001</v>
      </c>
      <c r="AC160" t="str">
        <v>Ввод 1</v>
      </c>
      <c r="AD160" t="str">
        <v>нет</v>
      </c>
      <c r="AE160" t="str">
        <v>II</v>
      </c>
    </row>
    <row r="161" spans="27:31" x14ac:dyDescent="0.3">
      <c r="AA161">
        <v>1</v>
      </c>
      <c r="AB161" t="str">
        <v>ЩР-001</v>
      </c>
      <c r="AC161" t="str">
        <v>Ввод 1</v>
      </c>
      <c r="AD161" t="str">
        <v>нет</v>
      </c>
      <c r="AE161" t="str">
        <v>II</v>
      </c>
    </row>
    <row r="162" spans="27:31" x14ac:dyDescent="0.3">
      <c r="AA162">
        <v>1</v>
      </c>
      <c r="AB162" t="str">
        <v>ЩР-001</v>
      </c>
      <c r="AC162" t="str">
        <v>Ввод 1</v>
      </c>
      <c r="AD162" t="str">
        <v>нет</v>
      </c>
      <c r="AE162" t="str">
        <v>II</v>
      </c>
    </row>
    <row r="163" spans="27:31" x14ac:dyDescent="0.3">
      <c r="AA163">
        <v>1</v>
      </c>
      <c r="AB163" t="str">
        <v>ЩР-001</v>
      </c>
      <c r="AC163" t="str">
        <v>Ввод 1</v>
      </c>
      <c r="AD163" t="str">
        <v>нет</v>
      </c>
      <c r="AE163" t="str">
        <v>II</v>
      </c>
    </row>
    <row r="164" spans="27:31" x14ac:dyDescent="0.3">
      <c r="AA164">
        <v>1</v>
      </c>
      <c r="AB164" t="str">
        <v>ЩР-001</v>
      </c>
      <c r="AC164" t="str">
        <v>Ввод 1</v>
      </c>
      <c r="AD164" t="str">
        <v>нет</v>
      </c>
      <c r="AE164" t="str">
        <v>II</v>
      </c>
    </row>
    <row r="165" spans="27:31" x14ac:dyDescent="0.3">
      <c r="AA165">
        <v>1</v>
      </c>
      <c r="AB165" t="str">
        <v>ЩР-001</v>
      </c>
      <c r="AC165" t="str">
        <v>Ввод 1</v>
      </c>
      <c r="AD165" t="str">
        <v>нет</v>
      </c>
      <c r="AE165" t="str">
        <v>II</v>
      </c>
    </row>
    <row r="166" spans="27:31" x14ac:dyDescent="0.3">
      <c r="AA166">
        <v>1</v>
      </c>
      <c r="AB166" t="str">
        <v>ЩР-001</v>
      </c>
      <c r="AC166" t="str">
        <v>Ввод 1</v>
      </c>
      <c r="AD166" t="str">
        <v>нет</v>
      </c>
      <c r="AE166" t="str">
        <v>II</v>
      </c>
    </row>
    <row r="167" spans="27:31" x14ac:dyDescent="0.3">
      <c r="AA167">
        <v>1</v>
      </c>
      <c r="AB167" t="str">
        <v>ЩР-001</v>
      </c>
      <c r="AC167" t="str">
        <v>Ввод 1</v>
      </c>
      <c r="AD167" t="str">
        <v>нет</v>
      </c>
      <c r="AE167" t="str">
        <v>II</v>
      </c>
    </row>
    <row r="168" spans="27:31" x14ac:dyDescent="0.3">
      <c r="AA168">
        <v>1</v>
      </c>
      <c r="AB168" t="str">
        <v>ЩР-001</v>
      </c>
      <c r="AC168" t="str">
        <v>Ввод 1</v>
      </c>
      <c r="AD168" t="str">
        <v>нет</v>
      </c>
      <c r="AE168" t="str">
        <v>II</v>
      </c>
    </row>
    <row r="169" spans="27:31" x14ac:dyDescent="0.3">
      <c r="AA169">
        <v>1</v>
      </c>
      <c r="AB169" t="str">
        <v>ЩР-001</v>
      </c>
      <c r="AC169" t="str">
        <v>Ввод 1</v>
      </c>
      <c r="AD169" t="str">
        <v>нет</v>
      </c>
      <c r="AE169" t="str">
        <v>II</v>
      </c>
    </row>
    <row r="170" spans="27:31" x14ac:dyDescent="0.3">
      <c r="AA170">
        <v>1</v>
      </c>
      <c r="AB170" t="str">
        <v>ЩР-001</v>
      </c>
      <c r="AC170" t="str">
        <v>Ввод 1</v>
      </c>
      <c r="AD170" t="str">
        <v>нет</v>
      </c>
      <c r="AE170" t="str">
        <v>II</v>
      </c>
    </row>
    <row r="171" spans="27:31" x14ac:dyDescent="0.3">
      <c r="AA171">
        <v>1</v>
      </c>
      <c r="AB171" t="str">
        <v>ЩР-001</v>
      </c>
      <c r="AC171" t="str">
        <v>Ввод 1</v>
      </c>
      <c r="AD171" t="str">
        <v>нет</v>
      </c>
      <c r="AE171" t="str">
        <v>II</v>
      </c>
    </row>
    <row r="172" spans="27:31" x14ac:dyDescent="0.3">
      <c r="AA172">
        <v>1</v>
      </c>
      <c r="AB172" t="str">
        <v>ЩР-001</v>
      </c>
      <c r="AC172" t="str">
        <v>Ввод 1</v>
      </c>
      <c r="AD172" t="str">
        <v>нет</v>
      </c>
      <c r="AE172" t="str">
        <v>II</v>
      </c>
    </row>
    <row r="173" spans="27:31" x14ac:dyDescent="0.3">
      <c r="AA173">
        <v>1</v>
      </c>
      <c r="AB173" t="str">
        <v>ЩР-001</v>
      </c>
      <c r="AC173" t="str">
        <v>Ввод 1</v>
      </c>
      <c r="AD173" t="str">
        <v>нет</v>
      </c>
      <c r="AE173" t="str">
        <v>II</v>
      </c>
    </row>
    <row r="174" spans="27:31" x14ac:dyDescent="0.3">
      <c r="AA174">
        <v>1</v>
      </c>
      <c r="AB174" t="str">
        <v>ЩР-001</v>
      </c>
      <c r="AC174" t="str">
        <v>Ввод 1</v>
      </c>
      <c r="AD174" t="str">
        <v>нет</v>
      </c>
      <c r="AE174" t="str">
        <v>II</v>
      </c>
    </row>
    <row r="175" spans="27:31" x14ac:dyDescent="0.3">
      <c r="AA175">
        <v>1</v>
      </c>
      <c r="AB175" t="str">
        <v>ЩР-001</v>
      </c>
      <c r="AC175" t="str">
        <v>Ввод 1</v>
      </c>
      <c r="AD175" t="str">
        <v>нет</v>
      </c>
      <c r="AE175" t="str">
        <v>II</v>
      </c>
    </row>
    <row r="176" spans="27:31" x14ac:dyDescent="0.3">
      <c r="AA176">
        <v>1</v>
      </c>
      <c r="AB176" t="str">
        <v>ЩР-001</v>
      </c>
      <c r="AC176" t="str">
        <v>Ввод 1</v>
      </c>
      <c r="AD176" t="str">
        <v>нет</v>
      </c>
      <c r="AE176" t="str">
        <v>II</v>
      </c>
    </row>
    <row r="177" spans="27:31" x14ac:dyDescent="0.3">
      <c r="AA177">
        <v>1</v>
      </c>
      <c r="AB177" t="str">
        <v>ЩР-001</v>
      </c>
      <c r="AC177" t="str">
        <v>Ввод 1</v>
      </c>
      <c r="AD177" t="str">
        <v>нет</v>
      </c>
      <c r="AE177" t="str">
        <v>II</v>
      </c>
    </row>
    <row r="178" spans="27:31" x14ac:dyDescent="0.3">
      <c r="AA178">
        <v>1</v>
      </c>
      <c r="AB178" t="str">
        <v>ЩР-001</v>
      </c>
      <c r="AC178" t="str">
        <v>Ввод 1</v>
      </c>
      <c r="AD178" t="str">
        <v>нет</v>
      </c>
      <c r="AE178" t="str">
        <v>II</v>
      </c>
    </row>
    <row r="179" spans="27:31" x14ac:dyDescent="0.3">
      <c r="AA179">
        <v>1</v>
      </c>
      <c r="AB179" t="str">
        <v>ЩР-001</v>
      </c>
      <c r="AC179" t="str">
        <v>Ввод 1</v>
      </c>
      <c r="AD179" t="str">
        <v>нет</v>
      </c>
      <c r="AE179" t="str">
        <v>II</v>
      </c>
    </row>
    <row r="180" spans="27:31" x14ac:dyDescent="0.3">
      <c r="AA180">
        <v>1</v>
      </c>
      <c r="AB180" t="str">
        <v>ЩР-001</v>
      </c>
      <c r="AC180" t="str">
        <v>Ввод 1</v>
      </c>
      <c r="AD180" t="str">
        <v>нет</v>
      </c>
      <c r="AE180" t="str">
        <v>II</v>
      </c>
    </row>
    <row r="181" spans="27:31" x14ac:dyDescent="0.3">
      <c r="AA181">
        <v>1</v>
      </c>
      <c r="AB181" t="str">
        <v>ЩР-001</v>
      </c>
      <c r="AC181" t="str">
        <v>Ввод 1</v>
      </c>
      <c r="AD181" t="str">
        <v>нет</v>
      </c>
      <c r="AE181" t="str">
        <v>II</v>
      </c>
    </row>
    <row r="182" spans="27:31" x14ac:dyDescent="0.3">
      <c r="AA182">
        <v>1</v>
      </c>
      <c r="AB182" t="str">
        <v>ЩР-001</v>
      </c>
      <c r="AC182" t="str">
        <v>Ввод 1</v>
      </c>
      <c r="AD182" t="str">
        <v>нет</v>
      </c>
      <c r="AE182" t="str">
        <v>II</v>
      </c>
    </row>
    <row r="183" spans="27:31" x14ac:dyDescent="0.3">
      <c r="AA183">
        <v>1</v>
      </c>
      <c r="AB183" t="str">
        <v>ЩР-001</v>
      </c>
      <c r="AC183" t="str">
        <v>Ввод 1</v>
      </c>
      <c r="AD183" t="str">
        <v>нет</v>
      </c>
      <c r="AE183" t="str">
        <v>II</v>
      </c>
    </row>
    <row r="184" spans="27:31" x14ac:dyDescent="0.3">
      <c r="AA184">
        <v>1</v>
      </c>
      <c r="AB184" t="str">
        <v>ЩР-01</v>
      </c>
      <c r="AC184" t="str">
        <v>Ввод 1</v>
      </c>
      <c r="AD184" t="str">
        <v>нет</v>
      </c>
      <c r="AE184" t="str">
        <v>III</v>
      </c>
    </row>
    <row r="185" spans="27:31" x14ac:dyDescent="0.3">
      <c r="AA185">
        <v>1</v>
      </c>
      <c r="AB185" t="str">
        <v>ЩР-01</v>
      </c>
      <c r="AC185" t="str">
        <v>Ввод 1</v>
      </c>
      <c r="AD185" t="str">
        <v>нет</v>
      </c>
      <c r="AE185" t="str">
        <v>II</v>
      </c>
    </row>
    <row r="186" spans="27:31" x14ac:dyDescent="0.3">
      <c r="AA186">
        <v>1</v>
      </c>
      <c r="AB186" t="str">
        <v>ЩР-01</v>
      </c>
      <c r="AC186" t="str">
        <v>Ввод 1</v>
      </c>
      <c r="AD186" t="str">
        <v>нет</v>
      </c>
      <c r="AE186" t="str">
        <v>II</v>
      </c>
    </row>
    <row r="187" spans="27:31" x14ac:dyDescent="0.3">
      <c r="AA187">
        <v>1</v>
      </c>
      <c r="AB187" t="str">
        <v>ЩР-01</v>
      </c>
      <c r="AC187" t="str">
        <v>Ввод 1</v>
      </c>
      <c r="AD187" t="str">
        <v>нет</v>
      </c>
      <c r="AE187" t="str">
        <v>II</v>
      </c>
    </row>
    <row r="188" spans="27:31" x14ac:dyDescent="0.3">
      <c r="AA188">
        <v>1</v>
      </c>
      <c r="AB188" t="str">
        <v>ЩР-01</v>
      </c>
      <c r="AC188" t="str">
        <v>Ввод 1</v>
      </c>
      <c r="AD188" t="str">
        <v>нет</v>
      </c>
      <c r="AE188" t="str">
        <v>II</v>
      </c>
    </row>
    <row r="189" spans="27:31" x14ac:dyDescent="0.3">
      <c r="AA189">
        <v>1</v>
      </c>
      <c r="AB189" t="str">
        <v>ЩР-01</v>
      </c>
      <c r="AC189" t="str">
        <v>Ввод 1</v>
      </c>
      <c r="AD189" t="str">
        <v>нет</v>
      </c>
      <c r="AE189" t="str">
        <v>II</v>
      </c>
    </row>
    <row r="190" spans="27:31" x14ac:dyDescent="0.3">
      <c r="AA190">
        <v>1</v>
      </c>
      <c r="AB190" t="str">
        <v>ЩР-01</v>
      </c>
      <c r="AC190" t="str">
        <v>Ввод 1</v>
      </c>
      <c r="AD190" t="str">
        <v>нет</v>
      </c>
      <c r="AE190" t="str">
        <v>II</v>
      </c>
    </row>
    <row r="191" spans="27:31" x14ac:dyDescent="0.3">
      <c r="AA191">
        <v>1</v>
      </c>
      <c r="AB191" t="str">
        <v>ЩР-01</v>
      </c>
      <c r="AC191" t="str">
        <v>Ввод 1</v>
      </c>
      <c r="AD191" t="str">
        <v>нет</v>
      </c>
      <c r="AE191" t="str">
        <v>II</v>
      </c>
    </row>
    <row r="192" spans="27:31" x14ac:dyDescent="0.3">
      <c r="AA192">
        <v>1</v>
      </c>
      <c r="AB192" t="str">
        <v>ЩР-01</v>
      </c>
      <c r="AC192" t="str">
        <v>Ввод 1</v>
      </c>
      <c r="AD192" t="str">
        <v>нет</v>
      </c>
      <c r="AE192" t="str">
        <v>II</v>
      </c>
    </row>
    <row r="193" spans="27:31" x14ac:dyDescent="0.3">
      <c r="AA193">
        <v>1</v>
      </c>
      <c r="AB193" t="str">
        <v>ЩР-01</v>
      </c>
      <c r="AC193" t="str">
        <v>Ввод 1</v>
      </c>
      <c r="AD193" t="str">
        <v>нет</v>
      </c>
      <c r="AE193" t="str">
        <v>II</v>
      </c>
    </row>
    <row r="194" spans="27:31" x14ac:dyDescent="0.3">
      <c r="AA194">
        <v>1</v>
      </c>
      <c r="AB194" t="str">
        <v>ЩР-01</v>
      </c>
      <c r="AC194" t="str">
        <v>Ввод 1</v>
      </c>
      <c r="AD194" t="str">
        <v>нет</v>
      </c>
      <c r="AE194" t="str">
        <v>II</v>
      </c>
    </row>
    <row r="195" spans="27:31" x14ac:dyDescent="0.3">
      <c r="AA195">
        <v>1</v>
      </c>
      <c r="AB195" t="str">
        <v>ЩР-01</v>
      </c>
      <c r="AC195" t="str">
        <v>Ввод 1</v>
      </c>
      <c r="AD195" t="str">
        <v>нет</v>
      </c>
      <c r="AE195" t="str">
        <v>II</v>
      </c>
    </row>
    <row r="196" spans="27:31" x14ac:dyDescent="0.3">
      <c r="AA196">
        <v>1</v>
      </c>
      <c r="AB196" t="str">
        <v>ЩР-01</v>
      </c>
      <c r="AC196" t="str">
        <v>Ввод 1</v>
      </c>
      <c r="AD196" t="str">
        <v>нет</v>
      </c>
      <c r="AE196" t="str">
        <v>II</v>
      </c>
    </row>
    <row r="197" spans="27:31" x14ac:dyDescent="0.3">
      <c r="AA197">
        <v>1</v>
      </c>
      <c r="AB197" t="str">
        <v>ЩР-01</v>
      </c>
      <c r="AC197" t="str">
        <v>Ввод 1</v>
      </c>
      <c r="AD197" t="str">
        <v>нет</v>
      </c>
      <c r="AE197" t="str">
        <v>II</v>
      </c>
    </row>
    <row r="198" spans="27:31" x14ac:dyDescent="0.3">
      <c r="AA198">
        <v>1</v>
      </c>
      <c r="AB198" t="str">
        <v>ЩР-01</v>
      </c>
      <c r="AC198" t="str">
        <v>Ввод 1</v>
      </c>
      <c r="AD198" t="str">
        <v>нет</v>
      </c>
      <c r="AE198" t="str">
        <v>II</v>
      </c>
    </row>
    <row r="199" spans="27:31" x14ac:dyDescent="0.3">
      <c r="AA199">
        <v>1</v>
      </c>
      <c r="AB199" t="str">
        <v>ЩР-01</v>
      </c>
      <c r="AC199" t="str">
        <v>Ввод 1</v>
      </c>
      <c r="AD199" t="str">
        <v>нет</v>
      </c>
      <c r="AE199" t="str">
        <v>II</v>
      </c>
    </row>
    <row r="200" spans="27:31" x14ac:dyDescent="0.3">
      <c r="AA200">
        <v>1</v>
      </c>
      <c r="AB200" t="str">
        <v>ЩР-01</v>
      </c>
      <c r="AC200" t="str">
        <v>Ввод 1</v>
      </c>
      <c r="AD200" t="str">
        <v>нет</v>
      </c>
      <c r="AE200" t="str">
        <v>II</v>
      </c>
    </row>
    <row r="201" spans="27:31" x14ac:dyDescent="0.3">
      <c r="AA201">
        <v>1</v>
      </c>
      <c r="AB201" t="str">
        <v>ЩР-01</v>
      </c>
      <c r="AC201" t="str">
        <v>Ввод 1</v>
      </c>
      <c r="AD201" t="str">
        <v>нет</v>
      </c>
      <c r="AE201" t="str">
        <v>II</v>
      </c>
    </row>
    <row r="202" spans="27:31" x14ac:dyDescent="0.3">
      <c r="AA202">
        <v>1</v>
      </c>
      <c r="AB202" t="str">
        <v>ЩР-01</v>
      </c>
      <c r="AC202" t="str">
        <v>Ввод 1</v>
      </c>
      <c r="AD202" t="str">
        <v>нет</v>
      </c>
      <c r="AE202" t="str">
        <v>II</v>
      </c>
    </row>
    <row r="203" spans="27:31" x14ac:dyDescent="0.3">
      <c r="AA203">
        <v>1</v>
      </c>
      <c r="AB203" t="str">
        <v>ЩР-01</v>
      </c>
      <c r="AC203" t="str">
        <v>Ввод 1</v>
      </c>
      <c r="AD203" t="str">
        <v>нет</v>
      </c>
      <c r="AE203" t="str">
        <v>II</v>
      </c>
    </row>
    <row r="204" spans="27:31" x14ac:dyDescent="0.3">
      <c r="AA204">
        <v>1</v>
      </c>
      <c r="AB204" t="str">
        <v>ЩР-01</v>
      </c>
      <c r="AC204" t="str">
        <v>Ввод 1</v>
      </c>
      <c r="AD204" t="str">
        <v>нет</v>
      </c>
      <c r="AE204" t="str">
        <v>II</v>
      </c>
    </row>
    <row r="205" spans="27:31" x14ac:dyDescent="0.3">
      <c r="AA205">
        <v>1</v>
      </c>
      <c r="AB205" t="str">
        <v>ЩР-01</v>
      </c>
      <c r="AC205" t="str">
        <v>Ввод 1</v>
      </c>
      <c r="AD205" t="str">
        <v>нет</v>
      </c>
      <c r="AE205" t="str">
        <v>II</v>
      </c>
    </row>
    <row r="206" spans="27:31" x14ac:dyDescent="0.3">
      <c r="AA206">
        <v>1</v>
      </c>
      <c r="AB206" t="str">
        <v>ЩР-01</v>
      </c>
      <c r="AC206" t="str">
        <v>Ввод 1</v>
      </c>
      <c r="AD206" t="str">
        <v>нет</v>
      </c>
      <c r="AE206" t="str">
        <v>II</v>
      </c>
    </row>
    <row r="207" spans="27:31" x14ac:dyDescent="0.3">
      <c r="AA207">
        <v>1</v>
      </c>
      <c r="AB207" t="str">
        <v>ЩР-01</v>
      </c>
      <c r="AC207" t="str">
        <v>Ввод 1</v>
      </c>
      <c r="AD207" t="str">
        <v>нет</v>
      </c>
      <c r="AE207" t="str">
        <v>II</v>
      </c>
    </row>
    <row r="208" spans="27:31" x14ac:dyDescent="0.3">
      <c r="AA208">
        <v>1</v>
      </c>
      <c r="AB208" t="str">
        <v>ЩР-01</v>
      </c>
      <c r="AC208" t="str">
        <v>Ввод 1</v>
      </c>
      <c r="AD208" t="str">
        <v>нет</v>
      </c>
      <c r="AE208" t="str">
        <v>II</v>
      </c>
    </row>
    <row r="209" spans="27:31" x14ac:dyDescent="0.3">
      <c r="AA209">
        <v>1</v>
      </c>
      <c r="AB209" t="str">
        <v>ЩР-01</v>
      </c>
      <c r="AC209" t="str">
        <v>Ввод 1</v>
      </c>
      <c r="AD209" t="str">
        <v>нет</v>
      </c>
      <c r="AE209" t="str">
        <v>II</v>
      </c>
    </row>
    <row r="210" spans="27:31" x14ac:dyDescent="0.3">
      <c r="AA210">
        <v>1</v>
      </c>
      <c r="AB210" t="str">
        <v>ЩР-01</v>
      </c>
      <c r="AC210" t="str">
        <v>Ввод 1</v>
      </c>
      <c r="AD210" t="str">
        <v>нет</v>
      </c>
      <c r="AE210" t="str">
        <v>II</v>
      </c>
    </row>
    <row r="211" spans="27:31" x14ac:dyDescent="0.3">
      <c r="AA211">
        <v>1</v>
      </c>
      <c r="AB211" t="str">
        <v>ЩР-01</v>
      </c>
      <c r="AC211" t="str">
        <v>Ввод 1</v>
      </c>
      <c r="AD211" t="str">
        <v>нет</v>
      </c>
      <c r="AE211" t="str">
        <v>II</v>
      </c>
    </row>
    <row r="212" spans="27:31" x14ac:dyDescent="0.3">
      <c r="AA212">
        <v>1</v>
      </c>
      <c r="AB212" t="str">
        <v>ЩР-01</v>
      </c>
      <c r="AC212" t="str">
        <v>Ввод 1</v>
      </c>
      <c r="AD212" t="str">
        <v>нет</v>
      </c>
      <c r="AE212" t="str">
        <v>II</v>
      </c>
    </row>
    <row r="213" spans="27:31" x14ac:dyDescent="0.3">
      <c r="AA213">
        <v>1</v>
      </c>
      <c r="AB213" t="str">
        <v>ЩР-01</v>
      </c>
      <c r="AC213" t="str">
        <v>Ввод 1</v>
      </c>
      <c r="AD213" t="str">
        <v>нет</v>
      </c>
      <c r="AE213" t="str">
        <v>II</v>
      </c>
    </row>
    <row r="214" spans="27:31" x14ac:dyDescent="0.3">
      <c r="AA214">
        <v>1</v>
      </c>
      <c r="AB214" t="str">
        <v>ЩР-01</v>
      </c>
      <c r="AC214" t="str">
        <v>Ввод 1</v>
      </c>
      <c r="AD214" t="str">
        <v>нет</v>
      </c>
      <c r="AE214" t="str">
        <v>II</v>
      </c>
    </row>
    <row r="215" spans="27:31" x14ac:dyDescent="0.3">
      <c r="AA215">
        <v>1</v>
      </c>
      <c r="AB215" t="str">
        <v>ЩР-01</v>
      </c>
      <c r="AC215" t="str">
        <v>Ввод 1</v>
      </c>
      <c r="AD215" t="str">
        <v>нет</v>
      </c>
      <c r="AE215" t="str">
        <v>II</v>
      </c>
    </row>
    <row r="216" spans="27:31" x14ac:dyDescent="0.3">
      <c r="AA216">
        <v>1</v>
      </c>
      <c r="AB216" t="str">
        <v>ЩР-01</v>
      </c>
      <c r="AC216" t="str">
        <v>Ввод 1</v>
      </c>
      <c r="AD216" t="str">
        <v>нет</v>
      </c>
      <c r="AE216" t="str">
        <v>II</v>
      </c>
    </row>
    <row r="217" spans="27:31" x14ac:dyDescent="0.3">
      <c r="AA217">
        <v>1</v>
      </c>
      <c r="AB217" t="str">
        <v>ЩР-01</v>
      </c>
      <c r="AC217" t="str">
        <v>Ввод 1</v>
      </c>
      <c r="AD217" t="str">
        <v>нет</v>
      </c>
      <c r="AE217" t="str">
        <v>II</v>
      </c>
    </row>
    <row r="218" spans="27:31" x14ac:dyDescent="0.3">
      <c r="AA218">
        <v>1</v>
      </c>
      <c r="AB218" t="str">
        <v>ЩР-01</v>
      </c>
      <c r="AC218" t="str">
        <v>Ввод 1</v>
      </c>
      <c r="AD218" t="str">
        <v>нет</v>
      </c>
      <c r="AE218" t="str">
        <v>II</v>
      </c>
    </row>
    <row r="219" spans="27:31" x14ac:dyDescent="0.3">
      <c r="AA219">
        <v>1</v>
      </c>
      <c r="AB219" t="str">
        <v>ЩР-01</v>
      </c>
      <c r="AC219" t="str">
        <v>Ввод 1</v>
      </c>
      <c r="AD219" t="str">
        <v>нет</v>
      </c>
      <c r="AE219" t="str">
        <v>II</v>
      </c>
    </row>
    <row r="220" spans="27:31" x14ac:dyDescent="0.3">
      <c r="AA220">
        <v>1</v>
      </c>
      <c r="AB220" t="str">
        <v>ЩР-01</v>
      </c>
      <c r="AC220" t="str">
        <v>Ввод 1</v>
      </c>
      <c r="AD220" t="str">
        <v>нет</v>
      </c>
      <c r="AE220" t="str">
        <v>II</v>
      </c>
    </row>
    <row r="221" spans="27:31" x14ac:dyDescent="0.3">
      <c r="AA221">
        <v>1</v>
      </c>
      <c r="AB221" t="str">
        <v>ЩР-01</v>
      </c>
      <c r="AC221" t="str">
        <v>Ввод 1</v>
      </c>
      <c r="AD221" t="str">
        <v>нет</v>
      </c>
      <c r="AE221" t="str">
        <v>II</v>
      </c>
    </row>
    <row r="222" spans="27:31" x14ac:dyDescent="0.3">
      <c r="AA222">
        <v>1</v>
      </c>
      <c r="AB222" t="str">
        <v>ЩР-01</v>
      </c>
      <c r="AC222" t="str">
        <v>Ввод 1</v>
      </c>
      <c r="AD222" t="str">
        <v>нет</v>
      </c>
      <c r="AE222" t="str">
        <v>II</v>
      </c>
    </row>
    <row r="223" spans="27:31" x14ac:dyDescent="0.3">
      <c r="AA223">
        <v>1</v>
      </c>
      <c r="AB223" t="str">
        <v>ЩР-01</v>
      </c>
      <c r="AC223" t="str">
        <v>Ввод 1</v>
      </c>
      <c r="AD223" t="str">
        <v>нет</v>
      </c>
      <c r="AE223" t="str">
        <v>II</v>
      </c>
    </row>
    <row r="224" spans="27:31" x14ac:dyDescent="0.3">
      <c r="AA224">
        <v>1</v>
      </c>
      <c r="AB224" t="str">
        <v>ЩР-1</v>
      </c>
      <c r="AC224" t="str">
        <v>Ввод 2</v>
      </c>
      <c r="AD224" t="str">
        <v>нет</v>
      </c>
      <c r="AE224" t="str">
        <v>III</v>
      </c>
    </row>
    <row r="225" spans="27:31" x14ac:dyDescent="0.3">
      <c r="AA225">
        <v>1</v>
      </c>
      <c r="AB225" t="str">
        <v>ЩР-1</v>
      </c>
      <c r="AC225" t="str">
        <v>Ввод 2</v>
      </c>
      <c r="AD225" t="str">
        <v>нет</v>
      </c>
      <c r="AE225" t="str">
        <v>II</v>
      </c>
    </row>
    <row r="226" spans="27:31" x14ac:dyDescent="0.3">
      <c r="AA226">
        <v>1</v>
      </c>
      <c r="AB226" t="str">
        <v>ЩР-1</v>
      </c>
      <c r="AC226" t="str">
        <v>Ввод 2</v>
      </c>
      <c r="AD226" t="str">
        <v>нет</v>
      </c>
      <c r="AE226" t="str">
        <v>II</v>
      </c>
    </row>
    <row r="227" spans="27:31" x14ac:dyDescent="0.3">
      <c r="AA227">
        <v>1</v>
      </c>
      <c r="AB227" t="str">
        <v>ЩР-1</v>
      </c>
      <c r="AC227" t="str">
        <v>Ввод 2</v>
      </c>
      <c r="AD227" t="str">
        <v>нет</v>
      </c>
      <c r="AE227" t="str">
        <v>II</v>
      </c>
    </row>
    <row r="228" spans="27:31" x14ac:dyDescent="0.3">
      <c r="AA228">
        <v>1</v>
      </c>
      <c r="AB228" t="str">
        <v>ЩР-1</v>
      </c>
      <c r="AC228" t="str">
        <v>Ввод 2</v>
      </c>
      <c r="AD228" t="str">
        <v>нет</v>
      </c>
      <c r="AE228" t="str">
        <v>II</v>
      </c>
    </row>
    <row r="229" spans="27:31" x14ac:dyDescent="0.3">
      <c r="AA229">
        <v>1</v>
      </c>
      <c r="AB229" t="str">
        <v>ЩР-1</v>
      </c>
      <c r="AC229" t="str">
        <v>Ввод 2</v>
      </c>
      <c r="AD229" t="str">
        <v>нет</v>
      </c>
      <c r="AE229" t="str">
        <v>II</v>
      </c>
    </row>
    <row r="230" spans="27:31" x14ac:dyDescent="0.3">
      <c r="AA230">
        <v>1</v>
      </c>
      <c r="AB230" t="str">
        <v>ЩР-1</v>
      </c>
      <c r="AC230" t="str">
        <v>Ввод 2</v>
      </c>
      <c r="AD230" t="str">
        <v>нет</v>
      </c>
      <c r="AE230" t="str">
        <v>II</v>
      </c>
    </row>
    <row r="231" spans="27:31" x14ac:dyDescent="0.3">
      <c r="AA231">
        <v>1</v>
      </c>
      <c r="AB231" t="str">
        <v>ЩР-1</v>
      </c>
      <c r="AC231" t="str">
        <v>Ввод 2</v>
      </c>
      <c r="AD231" t="str">
        <v>нет</v>
      </c>
      <c r="AE231" t="str">
        <v>II</v>
      </c>
    </row>
    <row r="232" spans="27:31" x14ac:dyDescent="0.3">
      <c r="AA232">
        <v>1</v>
      </c>
      <c r="AB232" t="str">
        <v>ЩР-1</v>
      </c>
      <c r="AC232" t="str">
        <v>Ввод 2</v>
      </c>
      <c r="AD232" t="str">
        <v>нет</v>
      </c>
      <c r="AE232" t="str">
        <v>II</v>
      </c>
    </row>
    <row r="233" spans="27:31" x14ac:dyDescent="0.3">
      <c r="AA233">
        <v>1</v>
      </c>
      <c r="AB233" t="str">
        <v>ЩР-1</v>
      </c>
      <c r="AC233" t="str">
        <v>Ввод 2</v>
      </c>
      <c r="AD233" t="str">
        <v>нет</v>
      </c>
      <c r="AE233" t="str">
        <v>II</v>
      </c>
    </row>
    <row r="234" spans="27:31" x14ac:dyDescent="0.3">
      <c r="AA234">
        <v>1</v>
      </c>
      <c r="AB234" t="str">
        <v>ЩР-1</v>
      </c>
      <c r="AC234" t="str">
        <v>Ввод 2</v>
      </c>
      <c r="AD234" t="str">
        <v>нет</v>
      </c>
      <c r="AE234" t="str">
        <v>II</v>
      </c>
    </row>
    <row r="235" spans="27:31" x14ac:dyDescent="0.3">
      <c r="AA235">
        <v>1</v>
      </c>
      <c r="AB235" t="str">
        <v>ЩР-1</v>
      </c>
      <c r="AC235" t="str">
        <v>Ввод 2</v>
      </c>
      <c r="AD235" t="str">
        <v>нет</v>
      </c>
      <c r="AE235" t="str">
        <v>II</v>
      </c>
    </row>
    <row r="236" spans="27:31" x14ac:dyDescent="0.3">
      <c r="AA236">
        <v>1</v>
      </c>
      <c r="AB236" t="str">
        <v>ЩР-1</v>
      </c>
      <c r="AC236" t="str">
        <v>Ввод 2</v>
      </c>
      <c r="AD236" t="str">
        <v>нет</v>
      </c>
      <c r="AE236" t="str">
        <v>II</v>
      </c>
    </row>
    <row r="237" spans="27:31" x14ac:dyDescent="0.3">
      <c r="AA237">
        <v>1</v>
      </c>
      <c r="AB237" t="str">
        <v>ЩР-1</v>
      </c>
      <c r="AC237" t="str">
        <v>Ввод 2</v>
      </c>
      <c r="AD237" t="str">
        <v>нет</v>
      </c>
      <c r="AE237" t="str">
        <v>II</v>
      </c>
    </row>
    <row r="238" spans="27:31" x14ac:dyDescent="0.3">
      <c r="AA238">
        <v>1</v>
      </c>
      <c r="AB238" t="str">
        <v>ЩР-1</v>
      </c>
      <c r="AC238" t="str">
        <v>Ввод 2</v>
      </c>
      <c r="AD238" t="str">
        <v>нет</v>
      </c>
      <c r="AE238" t="str">
        <v>II</v>
      </c>
    </row>
    <row r="239" spans="27:31" x14ac:dyDescent="0.3">
      <c r="AA239">
        <v>1</v>
      </c>
      <c r="AB239" t="str">
        <v>ЩР-1</v>
      </c>
      <c r="AC239" t="str">
        <v>Ввод 2</v>
      </c>
      <c r="AD239" t="str">
        <v>нет</v>
      </c>
      <c r="AE239" t="str">
        <v>II</v>
      </c>
    </row>
    <row r="240" spans="27:31" x14ac:dyDescent="0.3">
      <c r="AA240">
        <v>1</v>
      </c>
      <c r="AB240" t="str">
        <v>ЩР-1</v>
      </c>
      <c r="AC240" t="str">
        <v>Ввод 2</v>
      </c>
      <c r="AD240" t="str">
        <v>нет</v>
      </c>
      <c r="AE240" t="str">
        <v>II</v>
      </c>
    </row>
    <row r="241" spans="27:31" x14ac:dyDescent="0.3">
      <c r="AA241">
        <v>1</v>
      </c>
      <c r="AB241" t="str">
        <v>ЩР-1</v>
      </c>
      <c r="AC241" t="str">
        <v>Ввод 2</v>
      </c>
      <c r="AD241" t="str">
        <v>нет</v>
      </c>
      <c r="AE241" t="str">
        <v>II</v>
      </c>
    </row>
    <row r="242" spans="27:31" x14ac:dyDescent="0.3">
      <c r="AA242">
        <v>1</v>
      </c>
      <c r="AB242" t="str">
        <v>ЩР-1</v>
      </c>
      <c r="AC242" t="str">
        <v>Ввод 2</v>
      </c>
      <c r="AD242" t="str">
        <v>нет</v>
      </c>
      <c r="AE242" t="str">
        <v>II</v>
      </c>
    </row>
    <row r="243" spans="27:31" x14ac:dyDescent="0.3">
      <c r="AA243">
        <v>1</v>
      </c>
      <c r="AB243" t="str">
        <v>ЩР-1</v>
      </c>
      <c r="AC243" t="str">
        <v>Ввод 2</v>
      </c>
      <c r="AD243" t="str">
        <v>нет</v>
      </c>
      <c r="AE243" t="str">
        <v>II</v>
      </c>
    </row>
    <row r="244" spans="27:31" x14ac:dyDescent="0.3">
      <c r="AA244">
        <v>1</v>
      </c>
      <c r="AB244" t="str">
        <v>ЩР-1</v>
      </c>
      <c r="AC244" t="str">
        <v>Ввод 2</v>
      </c>
      <c r="AD244" t="str">
        <v>нет</v>
      </c>
      <c r="AE244" t="str">
        <v>II</v>
      </c>
    </row>
    <row r="245" spans="27:31" x14ac:dyDescent="0.3">
      <c r="AA245">
        <v>1</v>
      </c>
      <c r="AB245" t="str">
        <v>ЩР-1</v>
      </c>
      <c r="AC245" t="str">
        <v>Ввод 2</v>
      </c>
      <c r="AD245" t="str">
        <v>нет</v>
      </c>
      <c r="AE245" t="str">
        <v>II</v>
      </c>
    </row>
    <row r="246" spans="27:31" x14ac:dyDescent="0.3">
      <c r="AA246">
        <v>1</v>
      </c>
      <c r="AB246" t="str">
        <v>ЩР-1</v>
      </c>
      <c r="AC246" t="str">
        <v>Ввод 2</v>
      </c>
      <c r="AD246" t="str">
        <v>нет</v>
      </c>
      <c r="AE246" t="str">
        <v>II</v>
      </c>
    </row>
    <row r="247" spans="27:31" x14ac:dyDescent="0.3">
      <c r="AA247">
        <v>1</v>
      </c>
      <c r="AB247" t="str">
        <v>ЩР-1</v>
      </c>
      <c r="AC247" t="str">
        <v>Ввод 2</v>
      </c>
      <c r="AD247" t="str">
        <v>нет</v>
      </c>
      <c r="AE247" t="str">
        <v>II</v>
      </c>
    </row>
    <row r="248" spans="27:31" x14ac:dyDescent="0.3">
      <c r="AA248">
        <v>1</v>
      </c>
      <c r="AB248" t="str">
        <v>ЩР-1</v>
      </c>
      <c r="AC248" t="str">
        <v>Ввод 2</v>
      </c>
      <c r="AD248" t="str">
        <v>нет</v>
      </c>
      <c r="AE248" t="str">
        <v>II</v>
      </c>
    </row>
    <row r="249" spans="27:31" x14ac:dyDescent="0.3">
      <c r="AA249">
        <v>1</v>
      </c>
      <c r="AB249" t="str">
        <v>ЩР-1</v>
      </c>
      <c r="AC249" t="str">
        <v>Ввод 2</v>
      </c>
      <c r="AD249" t="str">
        <v>нет</v>
      </c>
      <c r="AE249" t="str">
        <v>II</v>
      </c>
    </row>
    <row r="250" spans="27:31" x14ac:dyDescent="0.3">
      <c r="AA250">
        <v>1</v>
      </c>
      <c r="AB250" t="str">
        <v>ЩР-1</v>
      </c>
      <c r="AC250" t="str">
        <v>Ввод 2</v>
      </c>
      <c r="AD250" t="str">
        <v>нет</v>
      </c>
      <c r="AE250" t="str">
        <v>II</v>
      </c>
    </row>
    <row r="251" spans="27:31" x14ac:dyDescent="0.3">
      <c r="AA251">
        <v>1</v>
      </c>
      <c r="AB251" t="str">
        <v>ЩР-1</v>
      </c>
      <c r="AC251" t="str">
        <v>Ввод 2</v>
      </c>
      <c r="AD251" t="str">
        <v>нет</v>
      </c>
      <c r="AE251" t="str">
        <v>II</v>
      </c>
    </row>
    <row r="252" spans="27:31" x14ac:dyDescent="0.3">
      <c r="AA252">
        <v>1</v>
      </c>
      <c r="AB252" t="str">
        <v>ЩР-1</v>
      </c>
      <c r="AC252" t="str">
        <v>Ввод 2</v>
      </c>
      <c r="AD252" t="str">
        <v>нет</v>
      </c>
      <c r="AE252" t="str">
        <v>II</v>
      </c>
    </row>
    <row r="253" spans="27:31" x14ac:dyDescent="0.3">
      <c r="AA253">
        <v>1</v>
      </c>
      <c r="AB253" t="str">
        <v>ЩР-1</v>
      </c>
      <c r="AC253" t="str">
        <v>Ввод 2</v>
      </c>
      <c r="AD253" t="str">
        <v>нет</v>
      </c>
      <c r="AE253" t="str">
        <v>II</v>
      </c>
    </row>
    <row r="254" spans="27:31" x14ac:dyDescent="0.3">
      <c r="AA254">
        <v>1</v>
      </c>
      <c r="AB254" t="str">
        <v>ЩР-1</v>
      </c>
      <c r="AC254" t="str">
        <v>Ввод 2</v>
      </c>
      <c r="AD254" t="str">
        <v>нет</v>
      </c>
      <c r="AE254" t="str">
        <v>II</v>
      </c>
    </row>
    <row r="255" spans="27:31" x14ac:dyDescent="0.3">
      <c r="AA255">
        <v>1</v>
      </c>
      <c r="AB255" t="str">
        <v>ЩР-1</v>
      </c>
      <c r="AC255" t="str">
        <v>Ввод 2</v>
      </c>
      <c r="AD255" t="str">
        <v>нет</v>
      </c>
      <c r="AE255" t="str">
        <v>II</v>
      </c>
    </row>
    <row r="256" spans="27:31" x14ac:dyDescent="0.3">
      <c r="AA256">
        <v>1</v>
      </c>
      <c r="AB256" t="str">
        <v>ЩР-1</v>
      </c>
      <c r="AC256" t="str">
        <v>Ввод 2</v>
      </c>
      <c r="AD256" t="str">
        <v>нет</v>
      </c>
      <c r="AE256" t="str">
        <v>II</v>
      </c>
    </row>
    <row r="257" spans="27:31" x14ac:dyDescent="0.3">
      <c r="AA257">
        <v>1</v>
      </c>
      <c r="AB257" t="str">
        <v>ЩР-1</v>
      </c>
      <c r="AC257" t="str">
        <v>Ввод 2</v>
      </c>
      <c r="AD257" t="str">
        <v>нет</v>
      </c>
      <c r="AE257" t="str">
        <v>II</v>
      </c>
    </row>
    <row r="258" spans="27:31" x14ac:dyDescent="0.3">
      <c r="AA258">
        <v>1</v>
      </c>
      <c r="AB258" t="str">
        <v>ЩР-1</v>
      </c>
      <c r="AC258" t="str">
        <v>Ввод 2</v>
      </c>
      <c r="AD258" t="str">
        <v>нет</v>
      </c>
      <c r="AE258" t="str">
        <v>II</v>
      </c>
    </row>
    <row r="259" spans="27:31" x14ac:dyDescent="0.3">
      <c r="AA259">
        <v>1</v>
      </c>
      <c r="AB259" t="str">
        <v>ЩР-1</v>
      </c>
      <c r="AC259" t="str">
        <v>Ввод 2</v>
      </c>
      <c r="AD259" t="str">
        <v>нет</v>
      </c>
      <c r="AE259" t="str">
        <v>II</v>
      </c>
    </row>
    <row r="260" spans="27:31" x14ac:dyDescent="0.3">
      <c r="AA260">
        <v>1</v>
      </c>
      <c r="AB260" t="str">
        <v>ЩР-1</v>
      </c>
      <c r="AC260" t="str">
        <v>Ввод 2</v>
      </c>
      <c r="AD260" t="str">
        <v>нет</v>
      </c>
      <c r="AE260" t="str">
        <v>II</v>
      </c>
    </row>
    <row r="261" spans="27:31" x14ac:dyDescent="0.3">
      <c r="AA261">
        <v>1</v>
      </c>
      <c r="AB261" t="str">
        <v>ЩР-1</v>
      </c>
      <c r="AC261" t="str">
        <v>Ввод 2</v>
      </c>
      <c r="AD261" t="str">
        <v>нет</v>
      </c>
      <c r="AE261" t="str">
        <v>II</v>
      </c>
    </row>
    <row r="262" spans="27:31" x14ac:dyDescent="0.3">
      <c r="AA262">
        <v>1</v>
      </c>
      <c r="AB262" t="str">
        <v>ЩР-1</v>
      </c>
      <c r="AC262" t="str">
        <v>Ввод 2</v>
      </c>
      <c r="AD262" t="str">
        <v>нет</v>
      </c>
      <c r="AE262" t="str">
        <v>II</v>
      </c>
    </row>
    <row r="263" spans="27:31" x14ac:dyDescent="0.3">
      <c r="AA263">
        <v>1</v>
      </c>
      <c r="AB263" t="str">
        <v>ЩР-1</v>
      </c>
      <c r="AC263" t="str">
        <v>Ввод 2</v>
      </c>
      <c r="AD263" t="str">
        <v>нет</v>
      </c>
      <c r="AE263" t="str">
        <v>II</v>
      </c>
    </row>
    <row r="264" spans="27:31" x14ac:dyDescent="0.3">
      <c r="AA264">
        <v>1</v>
      </c>
      <c r="AB264" t="str">
        <v>ЩР-1</v>
      </c>
      <c r="AC264" t="str">
        <v>Ввод 2</v>
      </c>
      <c r="AD264" t="str">
        <v>нет</v>
      </c>
      <c r="AE264" t="str">
        <v>II</v>
      </c>
    </row>
    <row r="265" spans="27:31" x14ac:dyDescent="0.3">
      <c r="AA265">
        <v>1</v>
      </c>
      <c r="AB265" t="str">
        <v>ЩР-1</v>
      </c>
      <c r="AC265" t="str">
        <v>Ввод 2</v>
      </c>
      <c r="AD265" t="str">
        <v>нет</v>
      </c>
      <c r="AE265" t="str">
        <v>II</v>
      </c>
    </row>
    <row r="266" spans="27:31" x14ac:dyDescent="0.3">
      <c r="AA266">
        <v>1</v>
      </c>
      <c r="AB266" t="str">
        <v>ЩР-1</v>
      </c>
      <c r="AC266" t="str">
        <v>Ввод 2</v>
      </c>
      <c r="AD266" t="str">
        <v>нет</v>
      </c>
      <c r="AE266" t="str">
        <v>II</v>
      </c>
    </row>
    <row r="267" spans="27:31" x14ac:dyDescent="0.3">
      <c r="AA267">
        <v>1</v>
      </c>
      <c r="AB267" t="str">
        <v>ЩР-1</v>
      </c>
      <c r="AC267" t="str">
        <v>Ввод 2</v>
      </c>
      <c r="AD267" t="str">
        <v>нет</v>
      </c>
      <c r="AE267" t="str">
        <v>II</v>
      </c>
    </row>
    <row r="268" spans="27:31" x14ac:dyDescent="0.3">
      <c r="AA268">
        <v>1</v>
      </c>
      <c r="AB268" t="str">
        <v>ЩР-1</v>
      </c>
      <c r="AC268" t="str">
        <v>Ввод 2</v>
      </c>
      <c r="AD268" t="str">
        <v>нет</v>
      </c>
      <c r="AE268" t="str">
        <v>II</v>
      </c>
    </row>
    <row r="269" spans="27:31" x14ac:dyDescent="0.3">
      <c r="AA269">
        <v>1</v>
      </c>
      <c r="AB269" t="str">
        <v>ЩР-1</v>
      </c>
      <c r="AC269" t="str">
        <v>Ввод 2</v>
      </c>
      <c r="AD269" t="str">
        <v>нет</v>
      </c>
      <c r="AE269" t="str">
        <v>II</v>
      </c>
    </row>
    <row r="270" spans="27:31" x14ac:dyDescent="0.3">
      <c r="AA270">
        <v>1</v>
      </c>
      <c r="AB270" t="str">
        <v>ЩР-1</v>
      </c>
      <c r="AC270" t="str">
        <v>Ввод 2</v>
      </c>
      <c r="AD270" t="str">
        <v>нет</v>
      </c>
      <c r="AE270" t="str">
        <v>II</v>
      </c>
    </row>
    <row r="271" spans="27:31" x14ac:dyDescent="0.3">
      <c r="AA271">
        <v>1</v>
      </c>
      <c r="AB271" t="str">
        <v>ЩР-1</v>
      </c>
      <c r="AC271" t="str">
        <v>Ввод 2</v>
      </c>
      <c r="AD271" t="str">
        <v>нет</v>
      </c>
      <c r="AE271" t="str">
        <v>II</v>
      </c>
    </row>
    <row r="272" spans="27:31" x14ac:dyDescent="0.3">
      <c r="AA272">
        <v>1</v>
      </c>
      <c r="AB272" t="str">
        <v>ЩР-1</v>
      </c>
      <c r="AC272" t="str">
        <v>Ввод 2</v>
      </c>
      <c r="AD272" t="str">
        <v>нет</v>
      </c>
      <c r="AE272" t="str">
        <v>II</v>
      </c>
    </row>
    <row r="273" spans="27:31" x14ac:dyDescent="0.3">
      <c r="AA273">
        <v>1</v>
      </c>
      <c r="AB273" t="str">
        <v>ЩР-1</v>
      </c>
      <c r="AC273" t="str">
        <v>Ввод 2</v>
      </c>
      <c r="AD273" t="str">
        <v>нет</v>
      </c>
      <c r="AE273" t="str">
        <v>II</v>
      </c>
    </row>
    <row r="274" spans="27:31" x14ac:dyDescent="0.3">
      <c r="AA274">
        <v>1</v>
      </c>
      <c r="AB274" t="str">
        <v>ЩР-1</v>
      </c>
      <c r="AC274" t="str">
        <v>Ввод 2</v>
      </c>
      <c r="AD274" t="str">
        <v>нет</v>
      </c>
      <c r="AE274" t="str">
        <v>II</v>
      </c>
    </row>
    <row r="275" spans="27:31" x14ac:dyDescent="0.3">
      <c r="AA275">
        <v>1</v>
      </c>
      <c r="AB275" t="str">
        <v>ЩР-1</v>
      </c>
      <c r="AC275" t="str">
        <v>Ввод 2</v>
      </c>
      <c r="AD275" t="str">
        <v>нет</v>
      </c>
      <c r="AE275" t="str">
        <v>II</v>
      </c>
    </row>
    <row r="276" spans="27:31" x14ac:dyDescent="0.3">
      <c r="AA276">
        <v>1</v>
      </c>
      <c r="AB276" t="str">
        <v>ЩР-1</v>
      </c>
      <c r="AC276" t="str">
        <v>Ввод 2</v>
      </c>
      <c r="AD276" t="str">
        <v>нет</v>
      </c>
      <c r="AE276" t="str">
        <v>II</v>
      </c>
    </row>
    <row r="277" spans="27:31" x14ac:dyDescent="0.3">
      <c r="AA277">
        <v>1</v>
      </c>
      <c r="AB277" t="str">
        <v>ЩР-1</v>
      </c>
      <c r="AC277" t="str">
        <v>Ввод 2</v>
      </c>
      <c r="AD277" t="str">
        <v>нет</v>
      </c>
      <c r="AE277" t="str">
        <v>II</v>
      </c>
    </row>
    <row r="278" spans="27:31" x14ac:dyDescent="0.3">
      <c r="AA278">
        <v>1</v>
      </c>
      <c r="AB278" t="str">
        <v>ЩР-1</v>
      </c>
      <c r="AC278" t="str">
        <v>Ввод 2</v>
      </c>
      <c r="AD278" t="str">
        <v>нет</v>
      </c>
      <c r="AE278" t="str">
        <v>II</v>
      </c>
    </row>
    <row r="279" spans="27:31" x14ac:dyDescent="0.3">
      <c r="AA279">
        <v>1</v>
      </c>
      <c r="AB279" t="str">
        <v>ЩР-1</v>
      </c>
      <c r="AC279" t="str">
        <v>Ввод 2</v>
      </c>
      <c r="AD279" t="str">
        <v>нет</v>
      </c>
      <c r="AE279" t="str">
        <v>II</v>
      </c>
    </row>
    <row r="280" spans="27:31" x14ac:dyDescent="0.3">
      <c r="AA280">
        <v>1</v>
      </c>
      <c r="AB280" t="str">
        <v>ЩР-1</v>
      </c>
      <c r="AC280" t="str">
        <v>Ввод 2</v>
      </c>
      <c r="AD280" t="str">
        <v>нет</v>
      </c>
      <c r="AE280" t="str">
        <v>II</v>
      </c>
    </row>
    <row r="281" spans="27:31" x14ac:dyDescent="0.3">
      <c r="AA281">
        <v>1</v>
      </c>
      <c r="AB281" t="str">
        <v>ЩР-1</v>
      </c>
      <c r="AC281" t="str">
        <v>Ввод 2</v>
      </c>
      <c r="AD281" t="str">
        <v>нет</v>
      </c>
      <c r="AE281" t="str">
        <v>II</v>
      </c>
    </row>
    <row r="282" spans="27:31" x14ac:dyDescent="0.3">
      <c r="AA282">
        <v>1</v>
      </c>
      <c r="AB282" t="str">
        <v>ЩР-1</v>
      </c>
      <c r="AC282" t="str">
        <v>Ввод 2</v>
      </c>
      <c r="AD282" t="str">
        <v>нет</v>
      </c>
      <c r="AE282" t="str">
        <v>II</v>
      </c>
    </row>
    <row r="283" spans="27:31" x14ac:dyDescent="0.3">
      <c r="AA283">
        <v>1</v>
      </c>
      <c r="AB283" t="str">
        <v>ЩР-2</v>
      </c>
      <c r="AC283" t="str">
        <v>Ввод 1</v>
      </c>
      <c r="AD283" t="str">
        <v>нет</v>
      </c>
      <c r="AE283" t="str">
        <v>III</v>
      </c>
    </row>
    <row r="284" spans="27:31" x14ac:dyDescent="0.3">
      <c r="AA284">
        <v>1</v>
      </c>
      <c r="AB284" t="str">
        <v>ЩР-2</v>
      </c>
      <c r="AC284" t="str">
        <v>Ввод 1</v>
      </c>
      <c r="AD284" t="str">
        <v>нет</v>
      </c>
      <c r="AE284" t="str">
        <v>II</v>
      </c>
    </row>
    <row r="285" spans="27:31" x14ac:dyDescent="0.3">
      <c r="AA285">
        <v>1</v>
      </c>
      <c r="AB285" t="str">
        <v>ЩР-2</v>
      </c>
      <c r="AC285" t="str">
        <v>Ввод 1</v>
      </c>
      <c r="AD285" t="str">
        <v>нет</v>
      </c>
      <c r="AE285" t="str">
        <v>II</v>
      </c>
    </row>
    <row r="286" spans="27:31" x14ac:dyDescent="0.3">
      <c r="AA286">
        <v>1</v>
      </c>
      <c r="AB286" t="str">
        <v>ЩР-2</v>
      </c>
      <c r="AC286" t="str">
        <v>Ввод 1</v>
      </c>
      <c r="AD286" t="str">
        <v>нет</v>
      </c>
      <c r="AE286" t="str">
        <v>II</v>
      </c>
    </row>
    <row r="287" spans="27:31" x14ac:dyDescent="0.3">
      <c r="AA287">
        <v>1</v>
      </c>
      <c r="AB287" t="str">
        <v>ЩР-2</v>
      </c>
      <c r="AC287" t="str">
        <v>Ввод 1</v>
      </c>
      <c r="AD287" t="str">
        <v>нет</v>
      </c>
      <c r="AE287" t="str">
        <v>II</v>
      </c>
    </row>
    <row r="288" spans="27:31" x14ac:dyDescent="0.3">
      <c r="AA288">
        <v>1</v>
      </c>
      <c r="AB288" t="str">
        <v>ЩР-2</v>
      </c>
      <c r="AC288" t="str">
        <v>Ввод 1</v>
      </c>
      <c r="AD288" t="str">
        <v>нет</v>
      </c>
      <c r="AE288" t="str">
        <v>II</v>
      </c>
    </row>
    <row r="289" spans="27:31" x14ac:dyDescent="0.3">
      <c r="AA289">
        <v>1</v>
      </c>
      <c r="AB289" t="str">
        <v>ЩР-2</v>
      </c>
      <c r="AC289" t="str">
        <v>Ввод 1</v>
      </c>
      <c r="AD289" t="str">
        <v>нет</v>
      </c>
      <c r="AE289" t="str">
        <v>II</v>
      </c>
    </row>
    <row r="290" spans="27:31" x14ac:dyDescent="0.3">
      <c r="AA290">
        <v>1</v>
      </c>
      <c r="AB290" t="str">
        <v>ЩР-2</v>
      </c>
      <c r="AC290" t="str">
        <v>Ввод 1</v>
      </c>
      <c r="AD290" t="str">
        <v>нет</v>
      </c>
      <c r="AE290" t="str">
        <v>II</v>
      </c>
    </row>
    <row r="291" spans="27:31" x14ac:dyDescent="0.3">
      <c r="AA291">
        <v>1</v>
      </c>
      <c r="AB291" t="str">
        <v>ЩР-2</v>
      </c>
      <c r="AC291" t="str">
        <v>Ввод 1</v>
      </c>
      <c r="AD291" t="str">
        <v>нет</v>
      </c>
      <c r="AE291" t="str">
        <v>II</v>
      </c>
    </row>
    <row r="292" spans="27:31" x14ac:dyDescent="0.3">
      <c r="AA292">
        <v>1</v>
      </c>
      <c r="AB292" t="str">
        <v>ЩР-2</v>
      </c>
      <c r="AC292" t="str">
        <v>Ввод 1</v>
      </c>
      <c r="AD292" t="str">
        <v>нет</v>
      </c>
      <c r="AE292" t="str">
        <v>II</v>
      </c>
    </row>
    <row r="293" spans="27:31" x14ac:dyDescent="0.3">
      <c r="AA293">
        <v>1</v>
      </c>
      <c r="AB293" t="str">
        <v>ЩР-2</v>
      </c>
      <c r="AC293" t="str">
        <v>Ввод 1</v>
      </c>
      <c r="AD293" t="str">
        <v>нет</v>
      </c>
      <c r="AE293" t="str">
        <v>II</v>
      </c>
    </row>
    <row r="294" spans="27:31" x14ac:dyDescent="0.3">
      <c r="AA294">
        <v>1</v>
      </c>
      <c r="AB294" t="str">
        <v>ЩР-2</v>
      </c>
      <c r="AC294" t="str">
        <v>Ввод 1</v>
      </c>
      <c r="AD294" t="str">
        <v>нет</v>
      </c>
      <c r="AE294" t="str">
        <v>II</v>
      </c>
    </row>
    <row r="295" spans="27:31" x14ac:dyDescent="0.3">
      <c r="AA295">
        <v>1</v>
      </c>
      <c r="AB295" t="str">
        <v>ЩР-2</v>
      </c>
      <c r="AC295" t="str">
        <v>Ввод 1</v>
      </c>
      <c r="AD295" t="str">
        <v>нет</v>
      </c>
      <c r="AE295" t="str">
        <v>II</v>
      </c>
    </row>
    <row r="296" spans="27:31" x14ac:dyDescent="0.3">
      <c r="AA296">
        <v>1</v>
      </c>
      <c r="AB296" t="str">
        <v>ЩР-2</v>
      </c>
      <c r="AC296" t="str">
        <v>Ввод 1</v>
      </c>
      <c r="AD296" t="str">
        <v>нет</v>
      </c>
      <c r="AE296" t="str">
        <v>II</v>
      </c>
    </row>
    <row r="297" spans="27:31" x14ac:dyDescent="0.3">
      <c r="AA297">
        <v>1</v>
      </c>
      <c r="AB297" t="str">
        <v>ЩР-2</v>
      </c>
      <c r="AC297" t="str">
        <v>Ввод 1</v>
      </c>
      <c r="AD297" t="str">
        <v>нет</v>
      </c>
      <c r="AE297" t="str">
        <v>II</v>
      </c>
    </row>
    <row r="298" spans="27:31" x14ac:dyDescent="0.3">
      <c r="AA298">
        <v>1</v>
      </c>
      <c r="AB298" t="str">
        <v>ЩР-2</v>
      </c>
      <c r="AC298" t="str">
        <v>Ввод 1</v>
      </c>
      <c r="AD298" t="str">
        <v>нет</v>
      </c>
      <c r="AE298" t="str">
        <v>II</v>
      </c>
    </row>
    <row r="299" spans="27:31" x14ac:dyDescent="0.3">
      <c r="AA299">
        <v>1</v>
      </c>
      <c r="AB299" t="str">
        <v>ЩР-2</v>
      </c>
      <c r="AC299" t="str">
        <v>Ввод 1</v>
      </c>
      <c r="AD299" t="str">
        <v>нет</v>
      </c>
      <c r="AE299" t="str">
        <v>II</v>
      </c>
    </row>
    <row r="300" spans="27:31" x14ac:dyDescent="0.3">
      <c r="AA300">
        <v>1</v>
      </c>
      <c r="AB300" t="str">
        <v>ЩР-2</v>
      </c>
      <c r="AC300" t="str">
        <v>Ввод 1</v>
      </c>
      <c r="AD300" t="str">
        <v>нет</v>
      </c>
      <c r="AE300" t="str">
        <v>II</v>
      </c>
    </row>
    <row r="301" spans="27:31" x14ac:dyDescent="0.3">
      <c r="AA301">
        <v>1</v>
      </c>
      <c r="AB301" t="str">
        <v>ЩР-2</v>
      </c>
      <c r="AC301" t="str">
        <v>Ввод 1</v>
      </c>
      <c r="AD301" t="str">
        <v>нет</v>
      </c>
      <c r="AE301" t="str">
        <v>II</v>
      </c>
    </row>
    <row r="302" spans="27:31" x14ac:dyDescent="0.3">
      <c r="AA302">
        <v>1</v>
      </c>
      <c r="AB302" t="str">
        <v>ЩР-2</v>
      </c>
      <c r="AC302" t="str">
        <v>Ввод 1</v>
      </c>
      <c r="AD302" t="str">
        <v>нет</v>
      </c>
      <c r="AE302" t="str">
        <v>II</v>
      </c>
    </row>
    <row r="303" spans="27:31" x14ac:dyDescent="0.3">
      <c r="AA303">
        <v>1</v>
      </c>
      <c r="AB303" t="str">
        <v>ЩР-2</v>
      </c>
      <c r="AC303" t="str">
        <v>Ввод 1</v>
      </c>
      <c r="AD303" t="str">
        <v>нет</v>
      </c>
      <c r="AE303" t="str">
        <v>II</v>
      </c>
    </row>
    <row r="304" spans="27:31" x14ac:dyDescent="0.3">
      <c r="AA304">
        <v>1</v>
      </c>
      <c r="AB304" t="str">
        <v>ЩР-2</v>
      </c>
      <c r="AC304" t="str">
        <v>Ввод 1</v>
      </c>
      <c r="AD304" t="str">
        <v>нет</v>
      </c>
      <c r="AE304" t="str">
        <v>II</v>
      </c>
    </row>
    <row r="305" spans="27:31" x14ac:dyDescent="0.3">
      <c r="AA305">
        <v>1</v>
      </c>
      <c r="AB305" t="str">
        <v>ЩР-2</v>
      </c>
      <c r="AC305" t="str">
        <v>Ввод 1</v>
      </c>
      <c r="AD305" t="str">
        <v>нет</v>
      </c>
      <c r="AE305" t="str">
        <v>II</v>
      </c>
    </row>
    <row r="306" spans="27:31" x14ac:dyDescent="0.3">
      <c r="AA306">
        <v>1</v>
      </c>
      <c r="AB306" t="str">
        <v>ЩР-2</v>
      </c>
      <c r="AC306" t="str">
        <v>Ввод 1</v>
      </c>
      <c r="AD306" t="str">
        <v>нет</v>
      </c>
      <c r="AE306" t="str">
        <v>II</v>
      </c>
    </row>
    <row r="307" spans="27:31" x14ac:dyDescent="0.3">
      <c r="AA307">
        <v>1</v>
      </c>
      <c r="AB307" t="str">
        <v>ЩР-2</v>
      </c>
      <c r="AC307" t="str">
        <v>Ввод 1</v>
      </c>
      <c r="AD307" t="str">
        <v>нет</v>
      </c>
      <c r="AE307" t="str">
        <v>II</v>
      </c>
    </row>
    <row r="308" spans="27:31" x14ac:dyDescent="0.3">
      <c r="AA308">
        <v>1</v>
      </c>
      <c r="AB308" t="str">
        <v>ЩР-2</v>
      </c>
      <c r="AC308" t="str">
        <v>Ввод 1</v>
      </c>
      <c r="AD308" t="str">
        <v>нет</v>
      </c>
      <c r="AE308" t="str">
        <v>II</v>
      </c>
    </row>
    <row r="309" spans="27:31" x14ac:dyDescent="0.3">
      <c r="AA309">
        <v>1</v>
      </c>
      <c r="AB309" t="str">
        <v>ЩР-2</v>
      </c>
      <c r="AC309" t="str">
        <v>Ввод 1</v>
      </c>
      <c r="AD309" t="str">
        <v>нет</v>
      </c>
      <c r="AE309" t="str">
        <v>II</v>
      </c>
    </row>
    <row r="310" spans="27:31" x14ac:dyDescent="0.3">
      <c r="AA310">
        <v>1</v>
      </c>
      <c r="AB310" t="str">
        <v>ЩР-2</v>
      </c>
      <c r="AC310" t="str">
        <v>Ввод 1</v>
      </c>
      <c r="AD310" t="str">
        <v>нет</v>
      </c>
      <c r="AE310" t="str">
        <v>II</v>
      </c>
    </row>
    <row r="311" spans="27:31" x14ac:dyDescent="0.3">
      <c r="AA311">
        <v>1</v>
      </c>
      <c r="AB311" t="str">
        <v>ЩР-2</v>
      </c>
      <c r="AC311" t="str">
        <v>Ввод 1</v>
      </c>
      <c r="AD311" t="str">
        <v>нет</v>
      </c>
      <c r="AE311" t="str">
        <v>II</v>
      </c>
    </row>
    <row r="312" spans="27:31" x14ac:dyDescent="0.3">
      <c r="AA312">
        <v>1</v>
      </c>
      <c r="AB312" t="str">
        <v>ЩР-2</v>
      </c>
      <c r="AC312" t="str">
        <v>Ввод 1</v>
      </c>
      <c r="AD312" t="str">
        <v>нет</v>
      </c>
      <c r="AE312" t="str">
        <v>II</v>
      </c>
    </row>
    <row r="313" spans="27:31" x14ac:dyDescent="0.3">
      <c r="AA313">
        <v>1</v>
      </c>
      <c r="AB313" t="str">
        <v>ЩС-Б</v>
      </c>
      <c r="AC313" t="str">
        <v>Ввод 1</v>
      </c>
      <c r="AD313" t="str">
        <v>нет</v>
      </c>
      <c r="AE313" t="str">
        <v>III</v>
      </c>
    </row>
    <row r="314" spans="27:31" x14ac:dyDescent="0.3">
      <c r="AA314">
        <v>1</v>
      </c>
      <c r="AB314" t="str">
        <v>ЩС-Б</v>
      </c>
      <c r="AC314" t="str">
        <v>Ввод 1</v>
      </c>
      <c r="AD314" t="str">
        <v>нет</v>
      </c>
      <c r="AE314" t="str">
        <v>III</v>
      </c>
    </row>
    <row r="315" spans="27:31" x14ac:dyDescent="0.3">
      <c r="AA315">
        <v>1</v>
      </c>
      <c r="AB315" t="str">
        <v>ЩС-Б</v>
      </c>
      <c r="AC315" t="str">
        <v>Ввод 1</v>
      </c>
      <c r="AD315" t="str">
        <v>нет</v>
      </c>
      <c r="AE315" t="str">
        <v>III</v>
      </c>
    </row>
    <row r="316" spans="27:31" x14ac:dyDescent="0.3">
      <c r="AA316">
        <v>1</v>
      </c>
      <c r="AB316" t="str">
        <v>ЩС-Б</v>
      </c>
      <c r="AC316" t="str">
        <v>Ввод 1</v>
      </c>
      <c r="AD316" t="str">
        <v>нет</v>
      </c>
      <c r="AE316" t="str">
        <v>III</v>
      </c>
    </row>
    <row r="317" spans="27:31" x14ac:dyDescent="0.3">
      <c r="AA317">
        <v>1</v>
      </c>
      <c r="AB317" t="str">
        <v>ЩС-ВК.001</v>
      </c>
      <c r="AC317" t="str">
        <v>Ввод 2</v>
      </c>
      <c r="AD317" t="str">
        <v>нет</v>
      </c>
      <c r="AE317" t="str">
        <v>III</v>
      </c>
    </row>
    <row r="318" spans="27:31" x14ac:dyDescent="0.3">
      <c r="AA318">
        <v>1</v>
      </c>
      <c r="AB318" t="str">
        <v>ЩС-ВК.001</v>
      </c>
      <c r="AC318" t="str">
        <v>Ввод 2</v>
      </c>
      <c r="AD318" t="str">
        <v>нет</v>
      </c>
      <c r="AE318" t="str">
        <v>I</v>
      </c>
    </row>
    <row r="319" spans="27:31" x14ac:dyDescent="0.3">
      <c r="AA319">
        <v>1</v>
      </c>
      <c r="AB319" t="str">
        <v>ЩС-ВК.001</v>
      </c>
      <c r="AC319" t="str">
        <v>Ввод 2</v>
      </c>
      <c r="AD319" t="str">
        <v>нет</v>
      </c>
      <c r="AE319" t="str">
        <v>I</v>
      </c>
    </row>
    <row r="320" spans="27:31" x14ac:dyDescent="0.3">
      <c r="AA320">
        <v>1</v>
      </c>
      <c r="AB320" t="str">
        <v>ЩС-ВК.001</v>
      </c>
      <c r="AC320" t="str">
        <v>Ввод 2</v>
      </c>
      <c r="AD320" t="str">
        <v>нет</v>
      </c>
      <c r="AE320" t="str">
        <v>I</v>
      </c>
    </row>
    <row r="321" spans="27:31" x14ac:dyDescent="0.3">
      <c r="AA321">
        <v>1</v>
      </c>
      <c r="AB321" t="str">
        <v>ЩС-ВК.001</v>
      </c>
      <c r="AC321" t="str">
        <v>Ввод 2</v>
      </c>
      <c r="AD321" t="str">
        <v>нет</v>
      </c>
      <c r="AE321" t="str">
        <v>I</v>
      </c>
    </row>
    <row r="322" spans="27:31" x14ac:dyDescent="0.3">
      <c r="AA322">
        <v>1</v>
      </c>
      <c r="AB322" t="str">
        <v>ЩС-ВК.001</v>
      </c>
      <c r="AC322" t="str">
        <v>Ввод 2</v>
      </c>
      <c r="AD322" t="str">
        <v>нет</v>
      </c>
      <c r="AE322" t="str">
        <v>I</v>
      </c>
    </row>
    <row r="323" spans="27:31" x14ac:dyDescent="0.3">
      <c r="AA323">
        <v>1</v>
      </c>
      <c r="AB323" t="str">
        <v>ЩС-ВК.001</v>
      </c>
      <c r="AC323" t="str">
        <v>Ввод 2</v>
      </c>
      <c r="AD323" t="str">
        <v>нет</v>
      </c>
      <c r="AE323" t="str">
        <v>I</v>
      </c>
    </row>
    <row r="324" spans="27:31" x14ac:dyDescent="0.3">
      <c r="AA324">
        <v>1</v>
      </c>
      <c r="AB324" t="str">
        <v>ЩС-ВК.001</v>
      </c>
      <c r="AC324" t="str">
        <v>Ввод 2</v>
      </c>
      <c r="AD324" t="str">
        <v>нет</v>
      </c>
      <c r="AE324" t="str">
        <v>I</v>
      </c>
    </row>
    <row r="325" spans="27:31" x14ac:dyDescent="0.3">
      <c r="AA325">
        <v>1</v>
      </c>
      <c r="AB325" t="str">
        <v>ЩС-ВК.002</v>
      </c>
      <c r="AC325" t="str">
        <v>Ввод 2</v>
      </c>
      <c r="AD325" t="str">
        <v>нет</v>
      </c>
      <c r="AE325" t="str">
        <v>III</v>
      </c>
    </row>
    <row r="326" spans="27:31" x14ac:dyDescent="0.3">
      <c r="AA326">
        <v>1</v>
      </c>
      <c r="AB326" t="str">
        <v>ЩС-ВК.002</v>
      </c>
      <c r="AC326" t="str">
        <v>Ввод 2</v>
      </c>
      <c r="AD326" t="str">
        <v>нет</v>
      </c>
      <c r="AE326" t="str">
        <v>II</v>
      </c>
    </row>
    <row r="327" spans="27:31" x14ac:dyDescent="0.3">
      <c r="AA327">
        <v>1</v>
      </c>
      <c r="AB327" t="str">
        <v>ЩС-ВК.002</v>
      </c>
      <c r="AC327" t="str">
        <v>Ввод 2</v>
      </c>
      <c r="AD327" t="str">
        <v>нет</v>
      </c>
      <c r="AE327" t="str">
        <v>II</v>
      </c>
    </row>
    <row r="328" spans="27:31" x14ac:dyDescent="0.3">
      <c r="AA328">
        <v>1</v>
      </c>
      <c r="AB328" t="str">
        <v>ЩС-ВК.002</v>
      </c>
      <c r="AC328" t="str">
        <v>Ввод 2</v>
      </c>
      <c r="AD328" t="str">
        <v>нет</v>
      </c>
      <c r="AE328" t="str">
        <v>II</v>
      </c>
    </row>
    <row r="329" spans="27:31" x14ac:dyDescent="0.3">
      <c r="AA329">
        <v>1</v>
      </c>
      <c r="AB329" t="str">
        <v>ЩС-ВК.002</v>
      </c>
      <c r="AC329" t="str">
        <v>Ввод 2</v>
      </c>
      <c r="AD329" t="str">
        <v>нет</v>
      </c>
      <c r="AE329" t="str">
        <v>II</v>
      </c>
    </row>
    <row r="330" spans="27:31" x14ac:dyDescent="0.3">
      <c r="AA330">
        <v>1</v>
      </c>
      <c r="AB330" t="str">
        <v>ЩС-ВК.003</v>
      </c>
      <c r="AC330" t="str">
        <v>Ввод 2</v>
      </c>
      <c r="AD330" t="str">
        <v>нет</v>
      </c>
      <c r="AE330" t="str">
        <v>III</v>
      </c>
    </row>
    <row r="331" spans="27:31" x14ac:dyDescent="0.3">
      <c r="AA331">
        <v>1</v>
      </c>
      <c r="AB331" t="str">
        <v>ЩС-ВК.003</v>
      </c>
      <c r="AC331" t="str">
        <v>Ввод 2</v>
      </c>
      <c r="AD331" t="str">
        <v>нет</v>
      </c>
      <c r="AE331" t="str">
        <v>II</v>
      </c>
    </row>
    <row r="332" spans="27:31" x14ac:dyDescent="0.3">
      <c r="AA332">
        <v>1</v>
      </c>
      <c r="AB332" t="str">
        <v>ЩС-ВК.003</v>
      </c>
      <c r="AC332" t="str">
        <v>Ввод 2</v>
      </c>
      <c r="AD332" t="str">
        <v>нет</v>
      </c>
      <c r="AE332" t="str">
        <v>II</v>
      </c>
    </row>
    <row r="333" spans="27:31" x14ac:dyDescent="0.3">
      <c r="AA333">
        <v>1</v>
      </c>
      <c r="AB333" t="str">
        <v>ЩС-ВК.003</v>
      </c>
      <c r="AC333" t="str">
        <v>Ввод 2</v>
      </c>
      <c r="AD333" t="str">
        <v>нет</v>
      </c>
      <c r="AE333" t="str">
        <v>II</v>
      </c>
    </row>
    <row r="334" spans="27:31" x14ac:dyDescent="0.3">
      <c r="AA334">
        <v>1</v>
      </c>
      <c r="AB334" t="str">
        <v>ЩС-ВК.003</v>
      </c>
      <c r="AC334" t="str">
        <v>Ввод 2</v>
      </c>
      <c r="AD334" t="str">
        <v>нет</v>
      </c>
      <c r="AE334" t="str">
        <v>II</v>
      </c>
    </row>
    <row r="335" spans="27:31" x14ac:dyDescent="0.3">
      <c r="AA335">
        <v>1</v>
      </c>
      <c r="AB335" t="str">
        <v>ЩСПЗ-ЖД</v>
      </c>
      <c r="AC335" t="str">
        <v>Ввод 1</v>
      </c>
      <c r="AD335" t="str">
        <v>да</v>
      </c>
      <c r="AE335" t="str">
        <v>III</v>
      </c>
    </row>
    <row r="336" spans="27:31" x14ac:dyDescent="0.3">
      <c r="AA336">
        <v>1</v>
      </c>
      <c r="AB336" t="str">
        <v>ЩСПЗ-ЖД</v>
      </c>
      <c r="AC336" t="str">
        <v>Ввод 1</v>
      </c>
      <c r="AD336" t="str">
        <v>да</v>
      </c>
      <c r="AE336" t="str">
        <v>III</v>
      </c>
    </row>
    <row r="337" spans="27:31" x14ac:dyDescent="0.3">
      <c r="AA337">
        <v>1</v>
      </c>
      <c r="AB337" t="str">
        <v>ЩСПЗ-ЖД</v>
      </c>
      <c r="AC337" t="str">
        <v>Ввод 1</v>
      </c>
      <c r="AD337" t="str">
        <v>да</v>
      </c>
      <c r="AE337" t="str">
        <v>I</v>
      </c>
    </row>
    <row r="338" spans="27:31" x14ac:dyDescent="0.3">
      <c r="AA338">
        <v>1</v>
      </c>
      <c r="AB338" t="str">
        <v>ЩСПЗ-ЖД</v>
      </c>
      <c r="AC338" t="str">
        <v>Ввод 1</v>
      </c>
      <c r="AD338" t="str">
        <v>да</v>
      </c>
      <c r="AE338" t="str">
        <v>I</v>
      </c>
    </row>
    <row r="339" spans="27:31" x14ac:dyDescent="0.3">
      <c r="AA339">
        <v>1</v>
      </c>
      <c r="AB339" t="str">
        <v>ЩСПЗ-ЖД</v>
      </c>
      <c r="AC339" t="str">
        <v>Ввод 1</v>
      </c>
      <c r="AD339" t="str">
        <v>да</v>
      </c>
      <c r="AE339" t="str">
        <v>I</v>
      </c>
    </row>
    <row r="340" spans="27:31" x14ac:dyDescent="0.3">
      <c r="AA340">
        <v>1</v>
      </c>
      <c r="AB340" t="str">
        <v>ЩСПЗ-ЖД</v>
      </c>
      <c r="AC340" t="str">
        <v>Ввод 1</v>
      </c>
      <c r="AD340" t="str">
        <v>да</v>
      </c>
      <c r="AE340" t="str">
        <v>I</v>
      </c>
    </row>
    <row r="341" spans="27:31" x14ac:dyDescent="0.3">
      <c r="AA341">
        <v>1</v>
      </c>
      <c r="AB341" t="str">
        <v>ЩУОВ</v>
      </c>
      <c r="AC341" t="str">
        <v>Ввод 1</v>
      </c>
      <c r="AD341" t="str">
        <v>нет</v>
      </c>
      <c r="AE341" t="str">
        <v>III</v>
      </c>
    </row>
    <row r="342" spans="27:31" x14ac:dyDescent="0.3">
      <c r="AA342">
        <v>1</v>
      </c>
      <c r="AB342" t="str">
        <v>ЩУОВ</v>
      </c>
      <c r="AC342" t="str">
        <v>Ввод 1</v>
      </c>
      <c r="AD342" t="str">
        <v>нет</v>
      </c>
      <c r="AE342" t="str">
        <v>II</v>
      </c>
    </row>
    <row r="343" spans="27:31" x14ac:dyDescent="0.3">
      <c r="AA343">
        <v>1</v>
      </c>
      <c r="AB343" t="str">
        <v>ЩУОВ</v>
      </c>
      <c r="AC343" t="str">
        <v>Ввод 1</v>
      </c>
      <c r="AD343" t="str">
        <v>нет</v>
      </c>
      <c r="AE343" t="str">
        <v>II</v>
      </c>
    </row>
    <row r="344" spans="27:31" x14ac:dyDescent="0.3">
      <c r="AA344">
        <v>1</v>
      </c>
      <c r="AB344" t="str">
        <v>ЩУОВ</v>
      </c>
      <c r="AC344" t="str">
        <v>Ввод 1</v>
      </c>
      <c r="AD344" t="str">
        <v>нет</v>
      </c>
      <c r="AE344" t="str">
        <v>II</v>
      </c>
    </row>
    <row r="345" spans="27:31" x14ac:dyDescent="0.3">
      <c r="AA345">
        <v>1</v>
      </c>
      <c r="AB345" t="str">
        <v>ЩУОВ</v>
      </c>
      <c r="AC345" t="str">
        <v>Ввод 1</v>
      </c>
      <c r="AD345" t="str">
        <v>нет</v>
      </c>
      <c r="AE345" t="str">
        <v>II</v>
      </c>
    </row>
    <row r="346" spans="27:31" x14ac:dyDescent="0.3">
      <c r="AA346">
        <v>1</v>
      </c>
      <c r="AB346" t="str">
        <v>ЩУОВ</v>
      </c>
      <c r="AC346" t="str">
        <v>Ввод 1</v>
      </c>
      <c r="AD346" t="str">
        <v>нет</v>
      </c>
      <c r="AE346" t="str">
        <v>II</v>
      </c>
    </row>
    <row r="347" spans="27:31" x14ac:dyDescent="0.3">
      <c r="AA347">
        <v>1</v>
      </c>
      <c r="AB347" t="str">
        <v>ЩУОВ</v>
      </c>
      <c r="AC347" t="str">
        <v>Ввод 1</v>
      </c>
      <c r="AD347" t="str">
        <v>нет</v>
      </c>
      <c r="AE347" t="str">
        <v>II</v>
      </c>
    </row>
    <row r="348" spans="27:31" x14ac:dyDescent="0.3">
      <c r="AA348">
        <v>1</v>
      </c>
      <c r="AB348" t="str">
        <v>ЩУОВ</v>
      </c>
      <c r="AC348" t="str">
        <v>Ввод 1</v>
      </c>
      <c r="AD348" t="str">
        <v>нет</v>
      </c>
      <c r="AE348" t="str">
        <v>II</v>
      </c>
    </row>
    <row r="349" spans="27:31" x14ac:dyDescent="0.3">
      <c r="AA349">
        <v>1</v>
      </c>
      <c r="AB349" t="str">
        <v>ЩУОВ</v>
      </c>
      <c r="AC349" t="str">
        <v>Ввод 1</v>
      </c>
      <c r="AD349" t="str">
        <v>нет</v>
      </c>
      <c r="AE349" t="str">
        <v>II</v>
      </c>
    </row>
    <row r="350" spans="27:31" x14ac:dyDescent="0.3">
      <c r="AA350">
        <v>1</v>
      </c>
      <c r="AB350" t="str">
        <v>ЩУОВ</v>
      </c>
      <c r="AC350" t="str">
        <v>Ввод 1</v>
      </c>
      <c r="AD350" t="str">
        <v>нет</v>
      </c>
      <c r="AE350" t="str">
        <v>II</v>
      </c>
    </row>
    <row r="351" spans="27:31" x14ac:dyDescent="0.3">
      <c r="AA351">
        <v>1</v>
      </c>
      <c r="AB351" t="str">
        <v>ЩУОВ</v>
      </c>
      <c r="AC351" t="str">
        <v>Ввод 1</v>
      </c>
      <c r="AD351" t="str">
        <v>нет</v>
      </c>
      <c r="AE351" t="str">
        <v>II</v>
      </c>
    </row>
    <row r="352" spans="27:31" x14ac:dyDescent="0.3">
      <c r="AA352">
        <v>1</v>
      </c>
      <c r="AB352" t="str">
        <v>ЩУОВ</v>
      </c>
      <c r="AC352" t="str">
        <v>Ввод 1</v>
      </c>
      <c r="AD352" t="str">
        <v>нет</v>
      </c>
      <c r="AE352" t="str">
        <v>II</v>
      </c>
    </row>
  </sheetData>
  <dataValidations count="1">
    <dataValidation type="list" allowBlank="1" showInputMessage="1" showErrorMessage="1" sqref="C3" xr:uid="{10290EAE-1A79-45E0-A917-FDBD817E7D48}">
      <formula1>Список_щитов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C8CB-1DFE-44C1-A78F-F5C76DFCC81E}">
  <sheetPr codeName="Лист11">
    <tabColor rgb="FF4F81BD"/>
  </sheetPr>
  <dimension ref="A1:L200"/>
  <sheetViews>
    <sheetView workbookViewId="0"/>
  </sheetViews>
  <sheetFormatPr defaultRowHeight="14.4" x14ac:dyDescent="0.3"/>
  <cols>
    <col min="1" max="1" width="5.77734375" customWidth="1"/>
    <col min="2" max="2" width="48.77734375" customWidth="1"/>
    <col min="3" max="3" width="11.77734375" customWidth="1"/>
    <col min="4" max="6" width="8.77734375" customWidth="1"/>
    <col min="7" max="10" width="11.77734375" customWidth="1"/>
    <col min="12" max="12" width="60.77734375" customWidth="1"/>
  </cols>
  <sheetData>
    <row r="1" spans="1:12" ht="18" x14ac:dyDescent="0.35">
      <c r="A1" s="112" t="s">
        <v>1736</v>
      </c>
    </row>
    <row r="3" spans="1:12" ht="409.6" x14ac:dyDescent="0.3">
      <c r="B3" t="s">
        <v>814</v>
      </c>
      <c r="C3" s="113" t="s">
        <v>1737</v>
      </c>
      <c r="E3" s="36" t="s">
        <v>1740</v>
      </c>
      <c r="L3" s="4" t="s">
        <v>1746</v>
      </c>
    </row>
    <row r="4" spans="1:12" x14ac:dyDescent="0.3">
      <c r="B4" t="s">
        <v>1738</v>
      </c>
      <c r="C4" s="113" t="s">
        <v>785</v>
      </c>
      <c r="E4" t="s">
        <v>821</v>
      </c>
      <c r="G4" t="str">
        <f>"~"&amp;FIXED(Uн_лин*1000,0)&amp;"/"&amp;FIXED(Uн_лин*1000/SQRT(3),0)&amp;" В, 50 Гц"</f>
        <v>~400/231 В, 50 Гц</v>
      </c>
    </row>
    <row r="5" spans="1:12" x14ac:dyDescent="0.3">
      <c r="B5" t="s">
        <v>816</v>
      </c>
      <c r="C5" s="113" t="s">
        <v>1739</v>
      </c>
      <c r="E5" t="s">
        <v>822</v>
      </c>
      <c r="G5" t="s">
        <v>823</v>
      </c>
    </row>
    <row r="6" spans="1:12" x14ac:dyDescent="0.3">
      <c r="E6" t="s">
        <v>824</v>
      </c>
      <c r="G6" t="str">
        <f>_xlfn.XLOOKUP($C$4,Щиты[Щит],Щиты[Категория шины «Ввод»],"")</f>
        <v>I</v>
      </c>
    </row>
    <row r="7" spans="1:12" x14ac:dyDescent="0.3">
      <c r="E7" t="s">
        <v>825</v>
      </c>
      <c r="G7" t="str">
        <f>FIXED(C16,2)</f>
        <v>524,68</v>
      </c>
    </row>
    <row r="8" spans="1:12" x14ac:dyDescent="0.3">
      <c r="E8" t="s">
        <v>826</v>
      </c>
      <c r="G8" t="str">
        <f>FIXED(G16,2)&amp;" / "&amp;FIXED(I16,2)&amp;" / "&amp;FIXED(IF(I16=0,0,G16/I16),2)</f>
        <v>274,85 / 331,74 / 0,83</v>
      </c>
    </row>
    <row r="9" spans="1:12" x14ac:dyDescent="0.3">
      <c r="E9" t="s">
        <v>827</v>
      </c>
      <c r="G9" t="str">
        <f>FIXED(J16,1)</f>
        <v>478,8</v>
      </c>
    </row>
    <row r="10" spans="1:12" x14ac:dyDescent="0.3">
      <c r="E10" t="s">
        <v>1741</v>
      </c>
      <c r="G10" t="str">
        <f>IFERROR(FIXED(_xlfn.XLOOKUP($C$4,Щиты[Щит],Щиты[ΔU до шин, %]),2),"—")</f>
        <v>0,00</v>
      </c>
    </row>
    <row r="11" spans="1:12" x14ac:dyDescent="0.3">
      <c r="E11" t="s">
        <v>1742</v>
      </c>
      <c r="G11" t="str">
        <f>IFERROR(FIXED(_xlfn.XLOOKUP($C$4,Щиты[Щит],Щиты[Iкз min на шинах, А]),0)&amp;" А / "&amp;FIXED(_xlfn.XLOOKUP($C$4,Щиты[Щит],Щиты[Iкз max на шинах, кА]),1)&amp;" кА","нет данных сети")</f>
        <v>нет данных сети</v>
      </c>
    </row>
    <row r="12" spans="1:12" x14ac:dyDescent="0.3">
      <c r="E12" t="s">
        <v>828</v>
      </c>
      <c r="G12" t="str">
        <f>IF(N(G16)=0,"",IF(G16*(IF(G16=0,0,H16/G16)-0.35)&lt;50,"не требуется (&lt; 50 квар на ввод, СП 256 п. 7.3)",ROUND(G16*(H16/G16-0.35),1)&amp;" квар"))</f>
        <v>89,6 квар</v>
      </c>
    </row>
    <row r="14" spans="1:12" ht="100.8" x14ac:dyDescent="0.3">
      <c r="A14" s="122" t="s">
        <v>666</v>
      </c>
      <c r="B14" s="122" t="s">
        <v>1743</v>
      </c>
      <c r="C14" s="122" t="s">
        <v>808</v>
      </c>
      <c r="D14" s="122" t="s">
        <v>531</v>
      </c>
      <c r="E14" s="122" t="s">
        <v>804</v>
      </c>
      <c r="F14" s="122" t="s">
        <v>817</v>
      </c>
      <c r="G14" s="122" t="s">
        <v>851</v>
      </c>
      <c r="H14" s="122" t="s">
        <v>852</v>
      </c>
      <c r="I14" s="122" t="s">
        <v>853</v>
      </c>
      <c r="J14" s="122" t="s">
        <v>810</v>
      </c>
    </row>
    <row r="15" spans="1:12" x14ac:dyDescent="0.3">
      <c r="A15" s="125"/>
      <c r="B15" s="36" t="s">
        <v>1744</v>
      </c>
      <c r="C15" s="124">
        <f>IFERROR(SUM(INDEX(_xlfn.ANCHORARRAY(A17),0,3)),0)</f>
        <v>524.68100000000015</v>
      </c>
      <c r="D15" s="124"/>
      <c r="E15" s="124"/>
      <c r="F15" s="124"/>
      <c r="G15" s="124">
        <f>IFERROR(SUM(INDEX(_xlfn.ANCHORARRAY(A17),0,7)),0)</f>
        <v>297.88345120000002</v>
      </c>
      <c r="H15" s="124">
        <f>IFERROR(SUM(INDEX(_xlfn.ANCHORARRAY(A17),0,8)),0)</f>
        <v>194.91856141907996</v>
      </c>
      <c r="I15" s="124">
        <f>SQRT(G15^2+H15^2)</f>
        <v>355.98847746030549</v>
      </c>
      <c r="J15" s="124">
        <f>I15/(SQRT(3)*Uн_лин)</f>
        <v>513.82510822528104</v>
      </c>
    </row>
    <row r="16" spans="1:12" ht="201.6" x14ac:dyDescent="0.3">
      <c r="A16" s="125"/>
      <c r="B16" s="123" t="s">
        <v>1745</v>
      </c>
      <c r="C16" s="124" cm="1">
        <f t="array" ref="C16:J16">_xlfn.LET(_xlpm.щит_,$C$4,_xlpm.pth,Линии[_путь щита],_xlpm.m0,--ISNUMBER(SEARCH("|"&amp;_xlpm.щит_&amp;"|",_xlpm.pth))*(Линии[Номер линии]&lt;&gt;""),_xlpm.ch,IFERROR(_xlfn.TEXTBEFORE(_xlfn.TEXTAFTER(_xlpm.pth,"|"&amp;_xlpm.щит_&amp;"|"),"|"),""),_xlpm.src,IF(_xlpm.ch="",Линии[Источник для режимов],_xlfn.XLOOKUP(_xlpm.ch,Щиты[Щит],Щиты[Источник фидера],"Ввод 1")),_xlpm.fire,IF(_xlpm.ch="",Линии[Пожарная (итог)],IF(_xlfn.XLOOKUP(_xlpm.ch,Щиты[Щит],Щиты[Пожарный фидер],"нет")="да","да",Линии[Пожарная (итог)])),_xlpm.m,_xlpm.m0*(_xlpm.fire="нет")*IF($C$5="Весь щит",1,_xlpm.src=("Ввод "&amp;RIGHT($C$5,1))),_xlpm.byt,SUM(_xlpm.m*Линии[_Руст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cs_,IF(_xlpm.pw=0,0.95,_xlpm.pc/_xlpm.pw),_xlpm.pr,k_пк*_xlpm.byt*_xlpm.kc+_xlpm.ko*_xlpm.sil+_xlpm.post+_xlpm.otop+_xlpm.vng,_xlpm.qv_,_xlpm.pr*TAN(ACOS(_xlpm.cs_)),_xlfn.HSTACK(_xlpm.pall,IF(_xlpm.pall=0,0,_xlpm.pr/_xlpm.pall),_xlpm.cs_,TAN(ACOS(_xlpm.cs_)),_xlpm.pr,_xlpm.qv_,SQRT(_xlpm.pr^2+_xlpm.qv_^2),SQRT(_xlpm.pr^2+_xlpm.qv_^2)/(SQRT(3)*Uн_лин)))</f>
        <v>524.68100000000049</v>
      </c>
      <c r="D16" s="124">
        <v>0.52384563420440133</v>
      </c>
      <c r="E16" s="124">
        <v>0.82851018047156155</v>
      </c>
      <c r="F16" s="124">
        <v>0.67588065102723538</v>
      </c>
      <c r="G16" s="124">
        <v>274.85185119999977</v>
      </c>
      <c r="H16" s="124">
        <v>185.76704812509666</v>
      </c>
      <c r="I16" s="124">
        <v>331.74227387714518</v>
      </c>
      <c r="J16" s="124">
        <v>478.82872781137081</v>
      </c>
    </row>
    <row r="17" spans="1:10" x14ac:dyDescent="0.3">
      <c r="A17" s="7" cm="1">
        <f t="array" ref="A17:J26">_xlfn.LET(_xlpm.щит_,$C$4,_xlpm.pth,Линии[_путь щита],_xlpm.m0,--ISNUMBER(SEARCH("|"&amp;_xlpm.щит_&amp;"|",_xlpm.pth))*(Линии[Номер линии]&lt;&gt;""),_xlpm.ch,IFERROR(_xlfn.TEXTBEFORE(_xlfn.TEXTAFTER(_xlpm.pth,"|"&amp;_xlpm.щит_&amp;"|"),"|"),""),_xlpm.src,IF(_xlpm.ch="",Линии[Источник для режимов],_xlfn.XLOOKUP(_xlpm.ch,Щиты[Щит],Щиты[Источник фидера],"Ввод 1")),_xlpm.fire,IF(_xlpm.ch="",Линии[Пожарная (итог)],IF(_xlfn.XLOOKUP(_xlpm.ch,Щиты[Щит],Щиты[Пожарный фидер],"нет")="да","да",Линии[Пожарная (итог)])),_xlpm.m,_xlpm.m0*(_xlpm.fire="нет")*IF($C$5="Весь щит",1,_xlpm.src=("Ввод "&amp;RIGHT($C$5,1))),_xlpm.byt,SUM(_xlpm.m*Линии[_Руст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2026",IF(AND(_xlpm.byt&gt;0,_xlpm.sil&gt;0),Ко_сил,1),Ко_сил),_xlpm.cs_,IF(_xlpm.pw=0,0.95,_xlpm.pc/_xlpm.pw),_xlpm.kinds,_xlfn.UNIQUE(_xlfn._xlws.FILTER(Линии[Вид нагрузки (итог)],_xlpm.m,"")),_xlpm.rows,_xlfn.REDUCE("",_xlpm.kinds,_xlfn.LAMBDA(_xlpm.acc,_xlpm.k,_xlfn.LET(_xlpm.mk,_xlpm.m*(Линии[Вид нагрузки (итог)]=_xlpm.k),_xlpm.bb_,SUM(_xlpm.mk*Линии[_Руст быт]),_xlpm.ss_,SUM(_xlpm.mk*Линии[_Рр сил]),_xlpm.pp_,SUM(_xlpm.mk*Линии[_Руст пост]),_xlpm.oo_,SUM(_xlpm.mk*Линии[_Р отопления]),_xlpm.vv_,SUM(_xlpm.mk*Линии[_Рр ВНГ]),_xlpm.aa_,SUM(_xlpm.mk*Линии[_Руст (без Нет)]),_xlpm.ww_,SUM(_xlpm.mk*Линии[_P для cos]),_xlpm.cc_,SUM(_xlpm.mk*Линии[_P·cos]),_xlpm.cs,IF(_xlpm.ww_=0,0.95,_xlpm.cc_/_xlpm.ww_),_xlpm.prr_,k_пк*_xlpm.bb_*_xlpm.kc+_xlpm.ss_+_xlpm.pp_+_xlpm.oo_+_xlpm.vv_,_xlpm.qq_,_xlpm.prr_*TAN(ACOS(_xlpm.cs)),_xlfn.VSTACK(_xlpm.acc,_xlfn.HSTACK(_xlpm.k,_xlpm.aa_,IF(_xlpm.aa_=0,0,_xlpm.prr_/_xlpm.aa_),_xlpm.cs,TAN(ACOS(_xlpm.cs)),_xlpm.prr_,_xlpm.qq_,SQRT(_xlpm.prr_^2+_xlpm.qq_^2),SQRT(_xlpm.prr_^2+_xlpm.qq_^2)/(SQRT(3)*Uн_лин)))))),_xlpm.b0,_xlfn.DROP(_xlpm.rows,1),_xlpm.body,_xlfn._xlws.FILTER(_xlpm.b0,(_xlfn.CHOOSECOLS(_xlpm.b0,2)&lt;&gt;0)+(_xlfn.CHOOSECOLS(_xlpm.b0,6)&lt;&gt;0),_xlpm.b0),_xlfn.HSTACK(_xlfn.SEQUENCE(ROWS(_xlpm.body)),_xlpm.body))</f>
        <v>1</v>
      </c>
      <c r="B17" t="str">
        <v>Вентиляция</v>
      </c>
      <c r="C17" s="6">
        <v>29.240000000000002</v>
      </c>
      <c r="D17" s="6">
        <v>0.5</v>
      </c>
      <c r="E17" s="6">
        <v>0.80000000000000027</v>
      </c>
      <c r="F17" s="6">
        <v>0.74999999999999933</v>
      </c>
      <c r="G17" s="6">
        <v>14.620000000000001</v>
      </c>
      <c r="H17" s="6">
        <v>10.964999999999991</v>
      </c>
      <c r="I17" s="6">
        <v>18.274999999999995</v>
      </c>
      <c r="J17" s="6">
        <v>26.37769042360102</v>
      </c>
    </row>
    <row r="18" spans="1:10" x14ac:dyDescent="0.3">
      <c r="A18" s="7">
        <v>2</v>
      </c>
      <c r="B18" t="str">
        <v>Бассейн, SPA, хаммам</v>
      </c>
      <c r="C18" s="6">
        <v>67.989999999999995</v>
      </c>
      <c r="D18" s="6">
        <v>0.43675540520664813</v>
      </c>
      <c r="E18" s="6">
        <v>0.80000000000000016</v>
      </c>
      <c r="F18" s="6">
        <v>0.74999999999999944</v>
      </c>
      <c r="G18" s="6">
        <v>29.695000000000004</v>
      </c>
      <c r="H18" s="6">
        <v>22.271249999999988</v>
      </c>
      <c r="I18" s="6">
        <v>37.118749999999999</v>
      </c>
      <c r="J18" s="6">
        <v>53.576300761206049</v>
      </c>
    </row>
    <row r="19" spans="1:10" x14ac:dyDescent="0.3">
      <c r="A19" s="7">
        <v>3</v>
      </c>
      <c r="B19" t="str">
        <v>Насосы (водоснабжение, дренаж)</v>
      </c>
      <c r="C19" s="6">
        <v>9.8999999999999986</v>
      </c>
      <c r="D19" s="6">
        <v>0.62323232323232336</v>
      </c>
      <c r="E19" s="6">
        <v>0.80000000000000027</v>
      </c>
      <c r="F19" s="6">
        <v>0.74999999999999933</v>
      </c>
      <c r="G19" s="6">
        <v>6.17</v>
      </c>
      <c r="H19" s="6">
        <v>4.6274999999999959</v>
      </c>
      <c r="I19" s="6">
        <v>7.7124999999999977</v>
      </c>
      <c r="J19" s="6">
        <v>11.132034877812469</v>
      </c>
    </row>
    <row r="20" spans="1:10" x14ac:dyDescent="0.3">
      <c r="A20" s="7">
        <v>4</v>
      </c>
      <c r="B20" t="str">
        <v>Обогрев водостоков и кровли</v>
      </c>
      <c r="C20" s="6">
        <v>16.439999999999998</v>
      </c>
      <c r="D20" s="6">
        <v>1</v>
      </c>
      <c r="E20" s="6">
        <v>0.95000000000000007</v>
      </c>
      <c r="F20" s="6">
        <v>0.32868410517886271</v>
      </c>
      <c r="G20" s="6">
        <v>16.439999999999998</v>
      </c>
      <c r="H20" s="6">
        <v>5.4035666891405025</v>
      </c>
      <c r="I20" s="6">
        <v>17.305263157894732</v>
      </c>
      <c r="J20" s="6">
        <v>24.977995856519591</v>
      </c>
    </row>
    <row r="21" spans="1:10" x14ac:dyDescent="0.3">
      <c r="A21" s="7">
        <v>5</v>
      </c>
      <c r="B21" t="str">
        <v>Технология пищеприготовления</v>
      </c>
      <c r="C21" s="6">
        <v>103.95</v>
      </c>
      <c r="D21" s="6">
        <v>0.7</v>
      </c>
      <c r="E21" s="6">
        <v>0.8</v>
      </c>
      <c r="F21" s="6">
        <v>0.74999999999999978</v>
      </c>
      <c r="G21" s="6">
        <v>72.765000000000001</v>
      </c>
      <c r="H21" s="6">
        <v>54.573749999999983</v>
      </c>
      <c r="I21" s="6">
        <v>90.956249999999983</v>
      </c>
      <c r="J21" s="6">
        <v>131.28403855494722</v>
      </c>
    </row>
    <row r="22" spans="1:10" x14ac:dyDescent="0.3">
      <c r="A22" s="7">
        <v>6</v>
      </c>
      <c r="B22" t="str">
        <v>Системы безопасности и связи</v>
      </c>
      <c r="C22" s="6">
        <v>2.4000000000000004</v>
      </c>
      <c r="D22" s="6">
        <v>1</v>
      </c>
      <c r="E22" s="6">
        <v>0.94999999999999973</v>
      </c>
      <c r="F22" s="6">
        <v>0.32868410517886398</v>
      </c>
      <c r="G22" s="6">
        <v>2.4000000000000004</v>
      </c>
      <c r="H22" s="6">
        <v>0.78884185242927363</v>
      </c>
      <c r="I22" s="6">
        <v>2.526315789473685</v>
      </c>
      <c r="J22" s="6">
        <v>3.6464227527765849</v>
      </c>
    </row>
    <row r="23" spans="1:10" x14ac:dyDescent="0.3">
      <c r="A23" s="7">
        <v>7</v>
      </c>
      <c r="B23" t="str">
        <v>Рабочее освещение</v>
      </c>
      <c r="C23" s="6">
        <v>1.9000000000000006</v>
      </c>
      <c r="D23" s="6">
        <v>0.47592000000000001</v>
      </c>
      <c r="E23" s="6">
        <v>0.94999999999999951</v>
      </c>
      <c r="F23" s="6">
        <v>0.32868410517886471</v>
      </c>
      <c r="G23" s="6">
        <v>0.90424800000000027</v>
      </c>
      <c r="H23" s="6">
        <v>0.29721194473977813</v>
      </c>
      <c r="I23" s="6">
        <v>0.9518400000000008</v>
      </c>
      <c r="J23" s="6">
        <v>1.3738627005636346</v>
      </c>
    </row>
    <row r="24" spans="1:10" x14ac:dyDescent="0.3">
      <c r="A24" s="7">
        <v>8</v>
      </c>
      <c r="B24" t="str">
        <v>Кондиционирование и увлажнение</v>
      </c>
      <c r="C24" s="6">
        <v>213.23600000000019</v>
      </c>
      <c r="D24" s="6">
        <v>0.5</v>
      </c>
      <c r="E24" s="6">
        <v>0.80000000000000027</v>
      </c>
      <c r="F24" s="6">
        <v>0.74999999999999933</v>
      </c>
      <c r="G24" s="6">
        <v>106.61800000000009</v>
      </c>
      <c r="H24" s="6">
        <v>79.963499999999996</v>
      </c>
      <c r="I24" s="6">
        <v>133.27250000000006</v>
      </c>
      <c r="J24" s="6">
        <v>192.36228437643609</v>
      </c>
    </row>
    <row r="25" spans="1:10" x14ac:dyDescent="0.3">
      <c r="A25" s="7">
        <v>9</v>
      </c>
      <c r="B25" t="str">
        <v>Розеточная сеть и бытовые приборы</v>
      </c>
      <c r="C25" s="6">
        <v>60.099999999999987</v>
      </c>
      <c r="D25" s="6">
        <v>0.47830620965058235</v>
      </c>
      <c r="E25" s="6">
        <v>0.94840266222961744</v>
      </c>
      <c r="F25" s="6">
        <v>0.33431836936132092</v>
      </c>
      <c r="G25" s="6">
        <v>28.746203199999993</v>
      </c>
      <c r="H25" s="6">
        <v>9.6103837791531834</v>
      </c>
      <c r="I25" s="6">
        <v>30.31012495517464</v>
      </c>
      <c r="J25" s="6">
        <v>43.748897005103181</v>
      </c>
    </row>
    <row r="26" spans="1:10" x14ac:dyDescent="0.3">
      <c r="A26" s="7">
        <v>10</v>
      </c>
      <c r="B26" t="str">
        <v>Слаботочные системы, автоматизация, KNX</v>
      </c>
      <c r="C26" s="6">
        <v>19.524999999999999</v>
      </c>
      <c r="D26" s="6">
        <v>1</v>
      </c>
      <c r="E26" s="6">
        <v>0.95000000000000018</v>
      </c>
      <c r="F26" s="6">
        <v>0.32868410517886248</v>
      </c>
      <c r="G26" s="6">
        <v>19.524999999999999</v>
      </c>
      <c r="H26" s="6">
        <v>6.41755715361729</v>
      </c>
      <c r="I26" s="6">
        <v>20.552631578947363</v>
      </c>
      <c r="J26" s="6">
        <v>29.665168436651157</v>
      </c>
    </row>
    <row r="27" spans="1:10" x14ac:dyDescent="0.3">
      <c r="A27" s="7"/>
      <c r="C27" s="6"/>
      <c r="D27" s="6"/>
      <c r="E27" s="6"/>
      <c r="F27" s="6"/>
      <c r="G27" s="6"/>
      <c r="H27" s="6"/>
      <c r="I27" s="6"/>
      <c r="J27" s="6"/>
    </row>
    <row r="28" spans="1:10" x14ac:dyDescent="0.3">
      <c r="A28" s="7"/>
      <c r="C28" s="6"/>
      <c r="D28" s="6"/>
      <c r="E28" s="6"/>
      <c r="F28" s="6"/>
      <c r="G28" s="6"/>
      <c r="H28" s="6"/>
      <c r="I28" s="6"/>
      <c r="J28" s="6"/>
    </row>
    <row r="29" spans="1:10" x14ac:dyDescent="0.3">
      <c r="A29" s="7"/>
      <c r="C29" s="6"/>
      <c r="D29" s="6"/>
      <c r="E29" s="6"/>
      <c r="F29" s="6"/>
      <c r="G29" s="6"/>
      <c r="H29" s="6"/>
      <c r="I29" s="6"/>
      <c r="J29" s="6"/>
    </row>
    <row r="30" spans="1:10" x14ac:dyDescent="0.3">
      <c r="A30" s="7"/>
      <c r="C30" s="6"/>
      <c r="D30" s="6"/>
      <c r="E30" s="6"/>
      <c r="F30" s="6"/>
      <c r="G30" s="6"/>
      <c r="H30" s="6"/>
      <c r="I30" s="6"/>
      <c r="J30" s="6"/>
    </row>
    <row r="31" spans="1:10" x14ac:dyDescent="0.3">
      <c r="A31" s="7"/>
      <c r="C31" s="6"/>
      <c r="D31" s="6"/>
      <c r="E31" s="6"/>
      <c r="F31" s="6"/>
      <c r="G31" s="6"/>
      <c r="H31" s="6"/>
      <c r="I31" s="6"/>
      <c r="J31" s="6"/>
    </row>
    <row r="32" spans="1:10" x14ac:dyDescent="0.3">
      <c r="A32" s="7"/>
      <c r="C32" s="6"/>
      <c r="D32" s="6"/>
      <c r="E32" s="6"/>
      <c r="F32" s="6"/>
      <c r="G32" s="6"/>
      <c r="H32" s="6"/>
      <c r="I32" s="6"/>
      <c r="J32" s="6"/>
    </row>
    <row r="33" spans="1:10" x14ac:dyDescent="0.3">
      <c r="A33" s="7"/>
      <c r="C33" s="6"/>
      <c r="D33" s="6"/>
      <c r="E33" s="6"/>
      <c r="F33" s="6"/>
      <c r="G33" s="6"/>
      <c r="H33" s="6"/>
      <c r="I33" s="6"/>
      <c r="J33" s="6"/>
    </row>
    <row r="34" spans="1:10" x14ac:dyDescent="0.3">
      <c r="A34" s="7"/>
      <c r="C34" s="6"/>
      <c r="D34" s="6"/>
      <c r="E34" s="6"/>
      <c r="F34" s="6"/>
      <c r="G34" s="6"/>
      <c r="H34" s="6"/>
      <c r="I34" s="6"/>
      <c r="J34" s="6"/>
    </row>
    <row r="35" spans="1:10" x14ac:dyDescent="0.3">
      <c r="A35" s="7"/>
      <c r="C35" s="6"/>
      <c r="D35" s="6"/>
      <c r="E35" s="6"/>
      <c r="F35" s="6"/>
      <c r="G35" s="6"/>
      <c r="H35" s="6"/>
      <c r="I35" s="6"/>
      <c r="J35" s="6"/>
    </row>
    <row r="36" spans="1:10" x14ac:dyDescent="0.3">
      <c r="A36" s="7"/>
      <c r="C36" s="6"/>
      <c r="D36" s="6"/>
      <c r="E36" s="6"/>
      <c r="F36" s="6"/>
      <c r="G36" s="6"/>
      <c r="H36" s="6"/>
      <c r="I36" s="6"/>
      <c r="J36" s="6"/>
    </row>
    <row r="37" spans="1:10" x14ac:dyDescent="0.3">
      <c r="A37" s="7"/>
      <c r="C37" s="6"/>
      <c r="D37" s="6"/>
      <c r="E37" s="6"/>
      <c r="F37" s="6"/>
      <c r="G37" s="6"/>
      <c r="H37" s="6"/>
      <c r="I37" s="6"/>
      <c r="J37" s="6"/>
    </row>
    <row r="38" spans="1:10" x14ac:dyDescent="0.3">
      <c r="A38" s="7"/>
      <c r="C38" s="6"/>
      <c r="D38" s="6"/>
      <c r="E38" s="6"/>
      <c r="F38" s="6"/>
      <c r="G38" s="6"/>
      <c r="H38" s="6"/>
      <c r="I38" s="6"/>
      <c r="J38" s="6"/>
    </row>
    <row r="39" spans="1:10" x14ac:dyDescent="0.3">
      <c r="A39" s="7"/>
      <c r="C39" s="6"/>
      <c r="D39" s="6"/>
      <c r="E39" s="6"/>
      <c r="F39" s="6"/>
      <c r="G39" s="6"/>
      <c r="H39" s="6"/>
      <c r="I39" s="6"/>
      <c r="J39" s="6"/>
    </row>
    <row r="40" spans="1:10" x14ac:dyDescent="0.3">
      <c r="A40" s="7"/>
      <c r="C40" s="6"/>
      <c r="D40" s="6"/>
      <c r="E40" s="6"/>
      <c r="F40" s="6"/>
      <c r="G40" s="6"/>
      <c r="H40" s="6"/>
      <c r="I40" s="6"/>
      <c r="J40" s="6"/>
    </row>
    <row r="41" spans="1:10" x14ac:dyDescent="0.3">
      <c r="A41" s="7"/>
      <c r="C41" s="6"/>
      <c r="D41" s="6"/>
      <c r="E41" s="6"/>
      <c r="F41" s="6"/>
      <c r="G41" s="6"/>
      <c r="H41" s="6"/>
      <c r="I41" s="6"/>
      <c r="J41" s="6"/>
    </row>
    <row r="42" spans="1:10" x14ac:dyDescent="0.3">
      <c r="A42" s="7"/>
      <c r="C42" s="6"/>
      <c r="D42" s="6"/>
      <c r="E42" s="6"/>
      <c r="F42" s="6"/>
      <c r="G42" s="6"/>
      <c r="H42" s="6"/>
      <c r="I42" s="6"/>
      <c r="J42" s="6"/>
    </row>
    <row r="43" spans="1:10" x14ac:dyDescent="0.3">
      <c r="A43" s="7"/>
      <c r="C43" s="6"/>
      <c r="D43" s="6"/>
      <c r="E43" s="6"/>
      <c r="F43" s="6"/>
      <c r="G43" s="6"/>
      <c r="H43" s="6"/>
      <c r="I43" s="6"/>
      <c r="J43" s="6"/>
    </row>
    <row r="44" spans="1:10" x14ac:dyDescent="0.3">
      <c r="A44" s="7"/>
      <c r="C44" s="6"/>
      <c r="D44" s="6"/>
      <c r="E44" s="6"/>
      <c r="F44" s="6"/>
      <c r="G44" s="6"/>
      <c r="H44" s="6"/>
      <c r="I44" s="6"/>
      <c r="J44" s="6"/>
    </row>
    <row r="45" spans="1:10" x14ac:dyDescent="0.3">
      <c r="A45" s="7"/>
      <c r="C45" s="6"/>
      <c r="D45" s="6"/>
      <c r="E45" s="6"/>
      <c r="F45" s="6"/>
      <c r="G45" s="6"/>
      <c r="H45" s="6"/>
      <c r="I45" s="6"/>
      <c r="J45" s="6"/>
    </row>
    <row r="46" spans="1:10" x14ac:dyDescent="0.3">
      <c r="A46" s="7"/>
      <c r="C46" s="6"/>
      <c r="D46" s="6"/>
      <c r="E46" s="6"/>
      <c r="F46" s="6"/>
      <c r="G46" s="6"/>
      <c r="H46" s="6"/>
      <c r="I46" s="6"/>
      <c r="J46" s="6"/>
    </row>
    <row r="47" spans="1:10" x14ac:dyDescent="0.3">
      <c r="A47" s="7"/>
      <c r="C47" s="6"/>
      <c r="D47" s="6"/>
      <c r="E47" s="6"/>
      <c r="F47" s="6"/>
      <c r="G47" s="6"/>
      <c r="H47" s="6"/>
      <c r="I47" s="6"/>
      <c r="J47" s="6"/>
    </row>
    <row r="48" spans="1:10" x14ac:dyDescent="0.3">
      <c r="A48" s="7"/>
      <c r="C48" s="6"/>
      <c r="D48" s="6"/>
      <c r="E48" s="6"/>
      <c r="F48" s="6"/>
      <c r="G48" s="6"/>
      <c r="H48" s="6"/>
      <c r="I48" s="6"/>
      <c r="J48" s="6"/>
    </row>
    <row r="49" spans="1:10" x14ac:dyDescent="0.3">
      <c r="A49" s="7"/>
      <c r="C49" s="6"/>
      <c r="D49" s="6"/>
      <c r="E49" s="6"/>
      <c r="F49" s="6"/>
      <c r="G49" s="6"/>
      <c r="H49" s="6"/>
      <c r="I49" s="6"/>
      <c r="J49" s="6"/>
    </row>
    <row r="50" spans="1:10" x14ac:dyDescent="0.3">
      <c r="A50" s="7"/>
      <c r="C50" s="6"/>
      <c r="D50" s="6"/>
      <c r="E50" s="6"/>
      <c r="F50" s="6"/>
      <c r="G50" s="6"/>
      <c r="H50" s="6"/>
      <c r="I50" s="6"/>
      <c r="J50" s="6"/>
    </row>
    <row r="51" spans="1:10" x14ac:dyDescent="0.3">
      <c r="A51" s="7"/>
      <c r="C51" s="6"/>
      <c r="D51" s="6"/>
      <c r="E51" s="6"/>
      <c r="F51" s="6"/>
      <c r="G51" s="6"/>
      <c r="H51" s="6"/>
      <c r="I51" s="6"/>
      <c r="J51" s="6"/>
    </row>
    <row r="52" spans="1:10" x14ac:dyDescent="0.3">
      <c r="A52" s="7"/>
      <c r="C52" s="6"/>
      <c r="D52" s="6"/>
      <c r="E52" s="6"/>
      <c r="F52" s="6"/>
      <c r="G52" s="6"/>
      <c r="H52" s="6"/>
      <c r="I52" s="6"/>
      <c r="J52" s="6"/>
    </row>
    <row r="53" spans="1:10" x14ac:dyDescent="0.3">
      <c r="A53" s="7"/>
      <c r="C53" s="6"/>
      <c r="D53" s="6"/>
      <c r="E53" s="6"/>
      <c r="F53" s="6"/>
      <c r="G53" s="6"/>
      <c r="H53" s="6"/>
      <c r="I53" s="6"/>
      <c r="J53" s="6"/>
    </row>
    <row r="54" spans="1:10" x14ac:dyDescent="0.3">
      <c r="A54" s="7"/>
      <c r="C54" s="6"/>
      <c r="D54" s="6"/>
      <c r="E54" s="6"/>
      <c r="F54" s="6"/>
      <c r="G54" s="6"/>
      <c r="H54" s="6"/>
      <c r="I54" s="6"/>
      <c r="J54" s="6"/>
    </row>
    <row r="55" spans="1:10" x14ac:dyDescent="0.3">
      <c r="A55" s="7"/>
      <c r="C55" s="6"/>
      <c r="D55" s="6"/>
      <c r="E55" s="6"/>
      <c r="F55" s="6"/>
      <c r="G55" s="6"/>
      <c r="H55" s="6"/>
      <c r="I55" s="6"/>
      <c r="J55" s="6"/>
    </row>
    <row r="56" spans="1:10" x14ac:dyDescent="0.3">
      <c r="A56" s="7"/>
      <c r="C56" s="6"/>
      <c r="D56" s="6"/>
      <c r="E56" s="6"/>
      <c r="F56" s="6"/>
      <c r="G56" s="6"/>
      <c r="H56" s="6"/>
      <c r="I56" s="6"/>
      <c r="J56" s="6"/>
    </row>
    <row r="57" spans="1:10" x14ac:dyDescent="0.3">
      <c r="A57" s="7"/>
      <c r="C57" s="6"/>
      <c r="D57" s="6"/>
      <c r="E57" s="6"/>
      <c r="F57" s="6"/>
      <c r="G57" s="6"/>
      <c r="H57" s="6"/>
      <c r="I57" s="6"/>
      <c r="J57" s="6"/>
    </row>
    <row r="58" spans="1:10" x14ac:dyDescent="0.3">
      <c r="A58" s="7"/>
      <c r="C58" s="6"/>
      <c r="D58" s="6"/>
      <c r="E58" s="6"/>
      <c r="F58" s="6"/>
      <c r="G58" s="6"/>
      <c r="H58" s="6"/>
      <c r="I58" s="6"/>
      <c r="J58" s="6"/>
    </row>
    <row r="59" spans="1:10" x14ac:dyDescent="0.3">
      <c r="A59" s="7"/>
      <c r="C59" s="6"/>
      <c r="D59" s="6"/>
      <c r="E59" s="6"/>
      <c r="F59" s="6"/>
      <c r="G59" s="6"/>
      <c r="H59" s="6"/>
      <c r="I59" s="6"/>
      <c r="J59" s="6"/>
    </row>
    <row r="60" spans="1:10" x14ac:dyDescent="0.3">
      <c r="A60" s="7"/>
      <c r="C60" s="6"/>
      <c r="D60" s="6"/>
      <c r="E60" s="6"/>
      <c r="F60" s="6"/>
      <c r="G60" s="6"/>
      <c r="H60" s="6"/>
      <c r="I60" s="6"/>
      <c r="J60" s="6"/>
    </row>
    <row r="61" spans="1:10" x14ac:dyDescent="0.3">
      <c r="A61" s="7"/>
      <c r="C61" s="6"/>
      <c r="D61" s="6"/>
      <c r="E61" s="6"/>
      <c r="F61" s="6"/>
      <c r="G61" s="6"/>
      <c r="H61" s="6"/>
      <c r="I61" s="6"/>
      <c r="J61" s="6"/>
    </row>
    <row r="62" spans="1:10" x14ac:dyDescent="0.3">
      <c r="A62" s="7"/>
      <c r="C62" s="6"/>
      <c r="D62" s="6"/>
      <c r="E62" s="6"/>
      <c r="F62" s="6"/>
      <c r="G62" s="6"/>
      <c r="H62" s="6"/>
      <c r="I62" s="6"/>
      <c r="J62" s="6"/>
    </row>
    <row r="63" spans="1:10" x14ac:dyDescent="0.3">
      <c r="A63" s="7"/>
      <c r="C63" s="6"/>
      <c r="D63" s="6"/>
      <c r="E63" s="6"/>
      <c r="F63" s="6"/>
      <c r="G63" s="6"/>
      <c r="H63" s="6"/>
      <c r="I63" s="6"/>
      <c r="J63" s="6"/>
    </row>
    <row r="64" spans="1:10" x14ac:dyDescent="0.3">
      <c r="A64" s="7"/>
      <c r="C64" s="6"/>
      <c r="D64" s="6"/>
      <c r="E64" s="6"/>
      <c r="F64" s="6"/>
      <c r="G64" s="6"/>
      <c r="H64" s="6"/>
      <c r="I64" s="6"/>
      <c r="J64" s="6"/>
    </row>
    <row r="65" spans="1:10" x14ac:dyDescent="0.3">
      <c r="A65" s="7"/>
      <c r="C65" s="6"/>
      <c r="D65" s="6"/>
      <c r="E65" s="6"/>
      <c r="F65" s="6"/>
      <c r="G65" s="6"/>
      <c r="H65" s="6"/>
      <c r="I65" s="6"/>
      <c r="J65" s="6"/>
    </row>
    <row r="66" spans="1:10" x14ac:dyDescent="0.3">
      <c r="A66" s="7"/>
      <c r="C66" s="6"/>
      <c r="D66" s="6"/>
      <c r="E66" s="6"/>
      <c r="F66" s="6"/>
      <c r="G66" s="6"/>
      <c r="H66" s="6"/>
      <c r="I66" s="6"/>
      <c r="J66" s="6"/>
    </row>
    <row r="67" spans="1:10" x14ac:dyDescent="0.3">
      <c r="A67" s="7"/>
      <c r="C67" s="6"/>
      <c r="D67" s="6"/>
      <c r="E67" s="6"/>
      <c r="F67" s="6"/>
      <c r="G67" s="6"/>
      <c r="H67" s="6"/>
      <c r="I67" s="6"/>
      <c r="J67" s="6"/>
    </row>
    <row r="68" spans="1:10" x14ac:dyDescent="0.3">
      <c r="A68" s="7"/>
      <c r="C68" s="6"/>
      <c r="D68" s="6"/>
      <c r="E68" s="6"/>
      <c r="F68" s="6"/>
      <c r="G68" s="6"/>
      <c r="H68" s="6"/>
      <c r="I68" s="6"/>
      <c r="J68" s="6"/>
    </row>
    <row r="69" spans="1:10" x14ac:dyDescent="0.3">
      <c r="A69" s="7"/>
      <c r="C69" s="6"/>
      <c r="D69" s="6"/>
      <c r="E69" s="6"/>
      <c r="F69" s="6"/>
      <c r="G69" s="6"/>
      <c r="H69" s="6"/>
      <c r="I69" s="6"/>
      <c r="J69" s="6"/>
    </row>
    <row r="70" spans="1:10" x14ac:dyDescent="0.3">
      <c r="A70" s="7"/>
      <c r="C70" s="6"/>
      <c r="D70" s="6"/>
      <c r="E70" s="6"/>
      <c r="F70" s="6"/>
      <c r="G70" s="6"/>
      <c r="H70" s="6"/>
      <c r="I70" s="6"/>
      <c r="J70" s="6"/>
    </row>
    <row r="71" spans="1:10" x14ac:dyDescent="0.3">
      <c r="A71" s="7"/>
      <c r="C71" s="6"/>
      <c r="D71" s="6"/>
      <c r="E71" s="6"/>
      <c r="F71" s="6"/>
      <c r="G71" s="6"/>
      <c r="H71" s="6"/>
      <c r="I71" s="6"/>
      <c r="J71" s="6"/>
    </row>
    <row r="72" spans="1:10" x14ac:dyDescent="0.3">
      <c r="A72" s="7"/>
      <c r="C72" s="6"/>
      <c r="D72" s="6"/>
      <c r="E72" s="6"/>
      <c r="F72" s="6"/>
      <c r="G72" s="6"/>
      <c r="H72" s="6"/>
      <c r="I72" s="6"/>
      <c r="J72" s="6"/>
    </row>
    <row r="73" spans="1:10" x14ac:dyDescent="0.3">
      <c r="A73" s="7"/>
      <c r="C73" s="6"/>
      <c r="D73" s="6"/>
      <c r="E73" s="6"/>
      <c r="F73" s="6"/>
      <c r="G73" s="6"/>
      <c r="H73" s="6"/>
      <c r="I73" s="6"/>
      <c r="J73" s="6"/>
    </row>
    <row r="74" spans="1:10" x14ac:dyDescent="0.3">
      <c r="A74" s="7"/>
      <c r="C74" s="6"/>
      <c r="D74" s="6"/>
      <c r="E74" s="6"/>
      <c r="F74" s="6"/>
      <c r="G74" s="6"/>
      <c r="H74" s="6"/>
      <c r="I74" s="6"/>
      <c r="J74" s="6"/>
    </row>
    <row r="75" spans="1:10" x14ac:dyDescent="0.3">
      <c r="A75" s="7"/>
      <c r="C75" s="6"/>
      <c r="D75" s="6"/>
      <c r="E75" s="6"/>
      <c r="F75" s="6"/>
      <c r="G75" s="6"/>
      <c r="H75" s="6"/>
      <c r="I75" s="6"/>
      <c r="J75" s="6"/>
    </row>
    <row r="76" spans="1:10" x14ac:dyDescent="0.3">
      <c r="A76" s="7"/>
      <c r="C76" s="6"/>
      <c r="D76" s="6"/>
      <c r="E76" s="6"/>
      <c r="F76" s="6"/>
      <c r="G76" s="6"/>
      <c r="H76" s="6"/>
      <c r="I76" s="6"/>
      <c r="J76" s="6"/>
    </row>
    <row r="77" spans="1:10" x14ac:dyDescent="0.3">
      <c r="A77" s="7"/>
      <c r="C77" s="6"/>
      <c r="D77" s="6"/>
      <c r="E77" s="6"/>
      <c r="F77" s="6"/>
      <c r="G77" s="6"/>
      <c r="H77" s="6"/>
      <c r="I77" s="6"/>
      <c r="J77" s="6"/>
    </row>
    <row r="78" spans="1:10" x14ac:dyDescent="0.3">
      <c r="A78" s="7"/>
      <c r="C78" s="6"/>
      <c r="D78" s="6"/>
      <c r="E78" s="6"/>
      <c r="F78" s="6"/>
      <c r="G78" s="6"/>
      <c r="H78" s="6"/>
      <c r="I78" s="6"/>
      <c r="J78" s="6"/>
    </row>
    <row r="79" spans="1:10" x14ac:dyDescent="0.3">
      <c r="A79" s="7"/>
      <c r="C79" s="6"/>
      <c r="D79" s="6"/>
      <c r="E79" s="6"/>
      <c r="F79" s="6"/>
      <c r="G79" s="6"/>
      <c r="H79" s="6"/>
      <c r="I79" s="6"/>
      <c r="J79" s="6"/>
    </row>
    <row r="80" spans="1:10" x14ac:dyDescent="0.3">
      <c r="A80" s="7"/>
      <c r="C80" s="6"/>
      <c r="D80" s="6"/>
      <c r="E80" s="6"/>
      <c r="F80" s="6"/>
      <c r="G80" s="6"/>
      <c r="H80" s="6"/>
      <c r="I80" s="6"/>
      <c r="J80" s="6"/>
    </row>
    <row r="81" spans="1:10" x14ac:dyDescent="0.3">
      <c r="A81" s="7"/>
      <c r="C81" s="6"/>
      <c r="D81" s="6"/>
      <c r="E81" s="6"/>
      <c r="F81" s="6"/>
      <c r="G81" s="6"/>
      <c r="H81" s="6"/>
      <c r="I81" s="6"/>
      <c r="J81" s="6"/>
    </row>
    <row r="82" spans="1:10" x14ac:dyDescent="0.3">
      <c r="A82" s="7"/>
      <c r="C82" s="6"/>
      <c r="D82" s="6"/>
      <c r="E82" s="6"/>
      <c r="F82" s="6"/>
      <c r="G82" s="6"/>
      <c r="H82" s="6"/>
      <c r="I82" s="6"/>
      <c r="J82" s="6"/>
    </row>
    <row r="83" spans="1:10" x14ac:dyDescent="0.3">
      <c r="A83" s="7"/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7"/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7"/>
      <c r="C85" s="6"/>
      <c r="D85" s="6"/>
      <c r="E85" s="6"/>
      <c r="F85" s="6"/>
      <c r="G85" s="6"/>
      <c r="H85" s="6"/>
      <c r="I85" s="6"/>
      <c r="J85" s="6"/>
    </row>
    <row r="86" spans="1:10" x14ac:dyDescent="0.3">
      <c r="A86" s="7"/>
      <c r="C86" s="6"/>
      <c r="D86" s="6"/>
      <c r="E86" s="6"/>
      <c r="F86" s="6"/>
      <c r="G86" s="6"/>
      <c r="H86" s="6"/>
      <c r="I86" s="6"/>
      <c r="J86" s="6"/>
    </row>
    <row r="87" spans="1:10" x14ac:dyDescent="0.3">
      <c r="A87" s="7"/>
      <c r="C87" s="6"/>
      <c r="D87" s="6"/>
      <c r="E87" s="6"/>
      <c r="F87" s="6"/>
      <c r="G87" s="6"/>
      <c r="H87" s="6"/>
      <c r="I87" s="6"/>
      <c r="J87" s="6"/>
    </row>
    <row r="88" spans="1:10" x14ac:dyDescent="0.3">
      <c r="A88" s="7"/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7"/>
      <c r="C89" s="6"/>
      <c r="D89" s="6"/>
      <c r="E89" s="6"/>
      <c r="F89" s="6"/>
      <c r="G89" s="6"/>
      <c r="H89" s="6"/>
      <c r="I89" s="6"/>
      <c r="J89" s="6"/>
    </row>
    <row r="90" spans="1:10" x14ac:dyDescent="0.3">
      <c r="A90" s="7"/>
      <c r="C90" s="6"/>
      <c r="D90" s="6"/>
      <c r="E90" s="6"/>
      <c r="F90" s="6"/>
      <c r="G90" s="6"/>
      <c r="H90" s="6"/>
      <c r="I90" s="6"/>
      <c r="J90" s="6"/>
    </row>
    <row r="91" spans="1:10" x14ac:dyDescent="0.3">
      <c r="A91" s="7"/>
      <c r="C91" s="6"/>
      <c r="D91" s="6"/>
      <c r="E91" s="6"/>
      <c r="F91" s="6"/>
      <c r="G91" s="6"/>
      <c r="H91" s="6"/>
      <c r="I91" s="6"/>
      <c r="J91" s="6"/>
    </row>
    <row r="92" spans="1:10" x14ac:dyDescent="0.3">
      <c r="A92" s="7"/>
      <c r="C92" s="6"/>
      <c r="D92" s="6"/>
      <c r="E92" s="6"/>
      <c r="F92" s="6"/>
      <c r="G92" s="6"/>
      <c r="H92" s="6"/>
      <c r="I92" s="6"/>
      <c r="J92" s="6"/>
    </row>
    <row r="93" spans="1:10" x14ac:dyDescent="0.3">
      <c r="A93" s="7"/>
      <c r="C93" s="6"/>
      <c r="D93" s="6"/>
      <c r="E93" s="6"/>
      <c r="F93" s="6"/>
      <c r="G93" s="6"/>
      <c r="H93" s="6"/>
      <c r="I93" s="6"/>
      <c r="J93" s="6"/>
    </row>
    <row r="94" spans="1:10" x14ac:dyDescent="0.3">
      <c r="A94" s="7"/>
      <c r="C94" s="6"/>
      <c r="D94" s="6"/>
      <c r="E94" s="6"/>
      <c r="F94" s="6"/>
      <c r="G94" s="6"/>
      <c r="H94" s="6"/>
      <c r="I94" s="6"/>
      <c r="J94" s="6"/>
    </row>
    <row r="95" spans="1:10" x14ac:dyDescent="0.3">
      <c r="A95" s="7"/>
      <c r="C95" s="6"/>
      <c r="D95" s="6"/>
      <c r="E95" s="6"/>
      <c r="F95" s="6"/>
      <c r="G95" s="6"/>
      <c r="H95" s="6"/>
      <c r="I95" s="6"/>
      <c r="J95" s="6"/>
    </row>
    <row r="96" spans="1:10" x14ac:dyDescent="0.3">
      <c r="A96" s="7"/>
      <c r="C96" s="6"/>
      <c r="D96" s="6"/>
      <c r="E96" s="6"/>
      <c r="F96" s="6"/>
      <c r="G96" s="6"/>
      <c r="H96" s="6"/>
      <c r="I96" s="6"/>
      <c r="J96" s="6"/>
    </row>
    <row r="97" spans="1:10" x14ac:dyDescent="0.3">
      <c r="A97" s="7"/>
      <c r="C97" s="6"/>
      <c r="D97" s="6"/>
      <c r="E97" s="6"/>
      <c r="F97" s="6"/>
      <c r="G97" s="6"/>
      <c r="H97" s="6"/>
      <c r="I97" s="6"/>
      <c r="J97" s="6"/>
    </row>
    <row r="98" spans="1:10" x14ac:dyDescent="0.3">
      <c r="A98" s="7"/>
      <c r="C98" s="6"/>
      <c r="D98" s="6"/>
      <c r="E98" s="6"/>
      <c r="F98" s="6"/>
      <c r="G98" s="6"/>
      <c r="H98" s="6"/>
      <c r="I98" s="6"/>
      <c r="J98" s="6"/>
    </row>
    <row r="99" spans="1:10" x14ac:dyDescent="0.3">
      <c r="A99" s="7"/>
      <c r="C99" s="6"/>
      <c r="D99" s="6"/>
      <c r="E99" s="6"/>
      <c r="F99" s="6"/>
      <c r="G99" s="6"/>
      <c r="H99" s="6"/>
      <c r="I99" s="6"/>
      <c r="J99" s="6"/>
    </row>
    <row r="100" spans="1:10" x14ac:dyDescent="0.3">
      <c r="A100" s="7"/>
      <c r="C100" s="6"/>
      <c r="D100" s="6"/>
      <c r="E100" s="6"/>
      <c r="F100" s="6"/>
      <c r="G100" s="6"/>
      <c r="H100" s="6"/>
      <c r="I100" s="6"/>
      <c r="J100" s="6"/>
    </row>
    <row r="101" spans="1:10" x14ac:dyDescent="0.3">
      <c r="A101" s="7"/>
      <c r="C101" s="6"/>
      <c r="D101" s="6"/>
      <c r="E101" s="6"/>
      <c r="F101" s="6"/>
      <c r="G101" s="6"/>
      <c r="H101" s="6"/>
      <c r="I101" s="6"/>
      <c r="J101" s="6"/>
    </row>
    <row r="102" spans="1:10" x14ac:dyDescent="0.3">
      <c r="A102" s="7"/>
      <c r="C102" s="6"/>
      <c r="D102" s="6"/>
      <c r="E102" s="6"/>
      <c r="F102" s="6"/>
      <c r="G102" s="6"/>
      <c r="H102" s="6"/>
      <c r="I102" s="6"/>
      <c r="J102" s="6"/>
    </row>
    <row r="103" spans="1:10" x14ac:dyDescent="0.3">
      <c r="A103" s="7"/>
      <c r="C103" s="6"/>
      <c r="D103" s="6"/>
      <c r="E103" s="6"/>
      <c r="F103" s="6"/>
      <c r="G103" s="6"/>
      <c r="H103" s="6"/>
      <c r="I103" s="6"/>
      <c r="J103" s="6"/>
    </row>
    <row r="104" spans="1:10" x14ac:dyDescent="0.3">
      <c r="A104" s="7"/>
      <c r="C104" s="6"/>
      <c r="D104" s="6"/>
      <c r="E104" s="6"/>
      <c r="F104" s="6"/>
      <c r="G104" s="6"/>
      <c r="H104" s="6"/>
      <c r="I104" s="6"/>
      <c r="J104" s="6"/>
    </row>
    <row r="105" spans="1:10" x14ac:dyDescent="0.3">
      <c r="A105" s="7"/>
      <c r="C105" s="6"/>
      <c r="D105" s="6"/>
      <c r="E105" s="6"/>
      <c r="F105" s="6"/>
      <c r="G105" s="6"/>
      <c r="H105" s="6"/>
      <c r="I105" s="6"/>
      <c r="J105" s="6"/>
    </row>
    <row r="106" spans="1:10" x14ac:dyDescent="0.3">
      <c r="A106" s="7"/>
      <c r="C106" s="6"/>
      <c r="D106" s="6"/>
      <c r="E106" s="6"/>
      <c r="F106" s="6"/>
      <c r="G106" s="6"/>
      <c r="H106" s="6"/>
      <c r="I106" s="6"/>
      <c r="J106" s="6"/>
    </row>
    <row r="107" spans="1:10" x14ac:dyDescent="0.3">
      <c r="A107" s="7"/>
      <c r="C107" s="6"/>
      <c r="D107" s="6"/>
      <c r="E107" s="6"/>
      <c r="F107" s="6"/>
      <c r="G107" s="6"/>
      <c r="H107" s="6"/>
      <c r="I107" s="6"/>
      <c r="J107" s="6"/>
    </row>
    <row r="108" spans="1:10" x14ac:dyDescent="0.3">
      <c r="A108" s="7"/>
      <c r="C108" s="6"/>
      <c r="D108" s="6"/>
      <c r="E108" s="6"/>
      <c r="F108" s="6"/>
      <c r="G108" s="6"/>
      <c r="H108" s="6"/>
      <c r="I108" s="6"/>
      <c r="J108" s="6"/>
    </row>
    <row r="109" spans="1:10" x14ac:dyDescent="0.3">
      <c r="A109" s="7"/>
      <c r="C109" s="6"/>
      <c r="D109" s="6"/>
      <c r="E109" s="6"/>
      <c r="F109" s="6"/>
      <c r="G109" s="6"/>
      <c r="H109" s="6"/>
      <c r="I109" s="6"/>
      <c r="J109" s="6"/>
    </row>
    <row r="110" spans="1:10" x14ac:dyDescent="0.3">
      <c r="A110" s="7"/>
      <c r="C110" s="6"/>
      <c r="D110" s="6"/>
      <c r="E110" s="6"/>
      <c r="F110" s="6"/>
      <c r="G110" s="6"/>
      <c r="H110" s="6"/>
      <c r="I110" s="6"/>
      <c r="J110" s="6"/>
    </row>
    <row r="111" spans="1:10" x14ac:dyDescent="0.3">
      <c r="A111" s="7"/>
      <c r="C111" s="6"/>
      <c r="D111" s="6"/>
      <c r="E111" s="6"/>
      <c r="F111" s="6"/>
      <c r="G111" s="6"/>
      <c r="H111" s="6"/>
      <c r="I111" s="6"/>
      <c r="J111" s="6"/>
    </row>
    <row r="112" spans="1:10" x14ac:dyDescent="0.3">
      <c r="A112" s="7"/>
      <c r="C112" s="6"/>
      <c r="D112" s="6"/>
      <c r="E112" s="6"/>
      <c r="F112" s="6"/>
      <c r="G112" s="6"/>
      <c r="H112" s="6"/>
      <c r="I112" s="6"/>
      <c r="J112" s="6"/>
    </row>
    <row r="113" spans="1:10" x14ac:dyDescent="0.3">
      <c r="A113" s="7"/>
      <c r="C113" s="6"/>
      <c r="D113" s="6"/>
      <c r="E113" s="6"/>
      <c r="F113" s="6"/>
      <c r="G113" s="6"/>
      <c r="H113" s="6"/>
      <c r="I113" s="6"/>
      <c r="J113" s="6"/>
    </row>
    <row r="114" spans="1:10" x14ac:dyDescent="0.3">
      <c r="A114" s="7"/>
      <c r="C114" s="6"/>
      <c r="D114" s="6"/>
      <c r="E114" s="6"/>
      <c r="F114" s="6"/>
      <c r="G114" s="6"/>
      <c r="H114" s="6"/>
      <c r="I114" s="6"/>
      <c r="J114" s="6"/>
    </row>
    <row r="115" spans="1:10" x14ac:dyDescent="0.3">
      <c r="A115" s="7"/>
      <c r="C115" s="6"/>
      <c r="D115" s="6"/>
      <c r="E115" s="6"/>
      <c r="F115" s="6"/>
      <c r="G115" s="6"/>
      <c r="H115" s="6"/>
      <c r="I115" s="6"/>
      <c r="J115" s="6"/>
    </row>
    <row r="116" spans="1:10" x14ac:dyDescent="0.3">
      <c r="A116" s="7"/>
      <c r="C116" s="6"/>
      <c r="D116" s="6"/>
      <c r="E116" s="6"/>
      <c r="F116" s="6"/>
      <c r="G116" s="6"/>
      <c r="H116" s="6"/>
      <c r="I116" s="6"/>
      <c r="J116" s="6"/>
    </row>
    <row r="117" spans="1:10" x14ac:dyDescent="0.3">
      <c r="A117" s="7"/>
      <c r="C117" s="6"/>
      <c r="D117" s="6"/>
      <c r="E117" s="6"/>
      <c r="F117" s="6"/>
      <c r="G117" s="6"/>
      <c r="H117" s="6"/>
      <c r="I117" s="6"/>
      <c r="J117" s="6"/>
    </row>
    <row r="118" spans="1:10" x14ac:dyDescent="0.3">
      <c r="A118" s="7"/>
      <c r="C118" s="6"/>
      <c r="D118" s="6"/>
      <c r="E118" s="6"/>
      <c r="F118" s="6"/>
      <c r="G118" s="6"/>
      <c r="H118" s="6"/>
      <c r="I118" s="6"/>
      <c r="J118" s="6"/>
    </row>
    <row r="119" spans="1:10" x14ac:dyDescent="0.3">
      <c r="A119" s="7"/>
      <c r="C119" s="6"/>
      <c r="D119" s="6"/>
      <c r="E119" s="6"/>
      <c r="F119" s="6"/>
      <c r="G119" s="6"/>
      <c r="H119" s="6"/>
      <c r="I119" s="6"/>
      <c r="J119" s="6"/>
    </row>
    <row r="120" spans="1:10" x14ac:dyDescent="0.3">
      <c r="A120" s="7"/>
      <c r="C120" s="6"/>
      <c r="D120" s="6"/>
      <c r="E120" s="6"/>
      <c r="F120" s="6"/>
      <c r="G120" s="6"/>
      <c r="H120" s="6"/>
      <c r="I120" s="6"/>
      <c r="J120" s="6"/>
    </row>
    <row r="121" spans="1:10" x14ac:dyDescent="0.3">
      <c r="A121" s="7"/>
      <c r="C121" s="6"/>
      <c r="D121" s="6"/>
      <c r="E121" s="6"/>
      <c r="F121" s="6"/>
      <c r="G121" s="6"/>
      <c r="H121" s="6"/>
      <c r="I121" s="6"/>
      <c r="J121" s="6"/>
    </row>
    <row r="122" spans="1:10" x14ac:dyDescent="0.3">
      <c r="A122" s="7"/>
      <c r="C122" s="6"/>
      <c r="D122" s="6"/>
      <c r="E122" s="6"/>
      <c r="F122" s="6"/>
      <c r="G122" s="6"/>
      <c r="H122" s="6"/>
      <c r="I122" s="6"/>
      <c r="J122" s="6"/>
    </row>
    <row r="123" spans="1:10" x14ac:dyDescent="0.3">
      <c r="A123" s="7"/>
      <c r="C123" s="6"/>
      <c r="D123" s="6"/>
      <c r="E123" s="6"/>
      <c r="F123" s="6"/>
      <c r="G123" s="6"/>
      <c r="H123" s="6"/>
      <c r="I123" s="6"/>
      <c r="J123" s="6"/>
    </row>
    <row r="124" spans="1:10" x14ac:dyDescent="0.3">
      <c r="A124" s="7"/>
      <c r="C124" s="6"/>
      <c r="D124" s="6"/>
      <c r="E124" s="6"/>
      <c r="F124" s="6"/>
      <c r="G124" s="6"/>
      <c r="H124" s="6"/>
      <c r="I124" s="6"/>
      <c r="J124" s="6"/>
    </row>
    <row r="125" spans="1:10" x14ac:dyDescent="0.3">
      <c r="A125" s="7"/>
      <c r="C125" s="6"/>
      <c r="D125" s="6"/>
      <c r="E125" s="6"/>
      <c r="F125" s="6"/>
      <c r="G125" s="6"/>
      <c r="H125" s="6"/>
      <c r="I125" s="6"/>
      <c r="J125" s="6"/>
    </row>
    <row r="126" spans="1:10" x14ac:dyDescent="0.3">
      <c r="A126" s="7"/>
      <c r="C126" s="6"/>
      <c r="D126" s="6"/>
      <c r="E126" s="6"/>
      <c r="F126" s="6"/>
      <c r="G126" s="6"/>
      <c r="H126" s="6"/>
      <c r="I126" s="6"/>
      <c r="J126" s="6"/>
    </row>
    <row r="127" spans="1:10" x14ac:dyDescent="0.3">
      <c r="A127" s="7"/>
      <c r="C127" s="6"/>
      <c r="D127" s="6"/>
      <c r="E127" s="6"/>
      <c r="F127" s="6"/>
      <c r="G127" s="6"/>
      <c r="H127" s="6"/>
      <c r="I127" s="6"/>
      <c r="J127" s="6"/>
    </row>
    <row r="128" spans="1:10" x14ac:dyDescent="0.3">
      <c r="A128" s="7"/>
      <c r="C128" s="6"/>
      <c r="D128" s="6"/>
      <c r="E128" s="6"/>
      <c r="F128" s="6"/>
      <c r="G128" s="6"/>
      <c r="H128" s="6"/>
      <c r="I128" s="6"/>
      <c r="J128" s="6"/>
    </row>
    <row r="129" spans="1:10" x14ac:dyDescent="0.3">
      <c r="A129" s="7"/>
      <c r="C129" s="6"/>
      <c r="D129" s="6"/>
      <c r="E129" s="6"/>
      <c r="F129" s="6"/>
      <c r="G129" s="6"/>
      <c r="H129" s="6"/>
      <c r="I129" s="6"/>
      <c r="J129" s="6"/>
    </row>
    <row r="130" spans="1:10" x14ac:dyDescent="0.3">
      <c r="A130" s="7"/>
      <c r="C130" s="6"/>
      <c r="D130" s="6"/>
      <c r="E130" s="6"/>
      <c r="F130" s="6"/>
      <c r="G130" s="6"/>
      <c r="H130" s="6"/>
      <c r="I130" s="6"/>
      <c r="J130" s="6"/>
    </row>
    <row r="131" spans="1:10" x14ac:dyDescent="0.3">
      <c r="A131" s="7"/>
      <c r="C131" s="6"/>
      <c r="D131" s="6"/>
      <c r="E131" s="6"/>
      <c r="F131" s="6"/>
      <c r="G131" s="6"/>
      <c r="H131" s="6"/>
      <c r="I131" s="6"/>
      <c r="J131" s="6"/>
    </row>
    <row r="132" spans="1:10" x14ac:dyDescent="0.3">
      <c r="A132" s="7"/>
      <c r="C132" s="6"/>
      <c r="D132" s="6"/>
      <c r="E132" s="6"/>
      <c r="F132" s="6"/>
      <c r="G132" s="6"/>
      <c r="H132" s="6"/>
      <c r="I132" s="6"/>
      <c r="J132" s="6"/>
    </row>
    <row r="133" spans="1:10" x14ac:dyDescent="0.3">
      <c r="A133" s="7"/>
      <c r="C133" s="6"/>
      <c r="D133" s="6"/>
      <c r="E133" s="6"/>
      <c r="F133" s="6"/>
      <c r="G133" s="6"/>
      <c r="H133" s="6"/>
      <c r="I133" s="6"/>
      <c r="J133" s="6"/>
    </row>
    <row r="134" spans="1:10" x14ac:dyDescent="0.3">
      <c r="A134" s="7"/>
      <c r="C134" s="6"/>
      <c r="D134" s="6"/>
      <c r="E134" s="6"/>
      <c r="F134" s="6"/>
      <c r="G134" s="6"/>
      <c r="H134" s="6"/>
      <c r="I134" s="6"/>
      <c r="J134" s="6"/>
    </row>
    <row r="135" spans="1:10" x14ac:dyDescent="0.3">
      <c r="A135" s="7"/>
      <c r="C135" s="6"/>
      <c r="D135" s="6"/>
      <c r="E135" s="6"/>
      <c r="F135" s="6"/>
      <c r="G135" s="6"/>
      <c r="H135" s="6"/>
      <c r="I135" s="6"/>
      <c r="J135" s="6"/>
    </row>
    <row r="136" spans="1:10" x14ac:dyDescent="0.3">
      <c r="A136" s="7"/>
      <c r="C136" s="6"/>
      <c r="D136" s="6"/>
      <c r="E136" s="6"/>
      <c r="F136" s="6"/>
      <c r="G136" s="6"/>
      <c r="H136" s="6"/>
      <c r="I136" s="6"/>
      <c r="J136" s="6"/>
    </row>
    <row r="137" spans="1:10" x14ac:dyDescent="0.3">
      <c r="A137" s="7"/>
      <c r="C137" s="6"/>
      <c r="D137" s="6"/>
      <c r="E137" s="6"/>
      <c r="F137" s="6"/>
      <c r="G137" s="6"/>
      <c r="H137" s="6"/>
      <c r="I137" s="6"/>
      <c r="J137" s="6"/>
    </row>
    <row r="138" spans="1:10" x14ac:dyDescent="0.3">
      <c r="A138" s="7"/>
      <c r="C138" s="6"/>
      <c r="D138" s="6"/>
      <c r="E138" s="6"/>
      <c r="F138" s="6"/>
      <c r="G138" s="6"/>
      <c r="H138" s="6"/>
      <c r="I138" s="6"/>
      <c r="J138" s="6"/>
    </row>
    <row r="139" spans="1:10" x14ac:dyDescent="0.3">
      <c r="A139" s="7"/>
      <c r="C139" s="6"/>
      <c r="D139" s="6"/>
      <c r="E139" s="6"/>
      <c r="F139" s="6"/>
      <c r="G139" s="6"/>
      <c r="H139" s="6"/>
      <c r="I139" s="6"/>
      <c r="J139" s="6"/>
    </row>
    <row r="140" spans="1:10" x14ac:dyDescent="0.3">
      <c r="A140" s="7"/>
      <c r="C140" s="6"/>
      <c r="D140" s="6"/>
      <c r="E140" s="6"/>
      <c r="F140" s="6"/>
      <c r="G140" s="6"/>
      <c r="H140" s="6"/>
      <c r="I140" s="6"/>
      <c r="J140" s="6"/>
    </row>
    <row r="141" spans="1:10" x14ac:dyDescent="0.3">
      <c r="A141" s="7"/>
      <c r="C141" s="6"/>
      <c r="D141" s="6"/>
      <c r="E141" s="6"/>
      <c r="F141" s="6"/>
      <c r="G141" s="6"/>
      <c r="H141" s="6"/>
      <c r="I141" s="6"/>
      <c r="J141" s="6"/>
    </row>
    <row r="142" spans="1:10" x14ac:dyDescent="0.3">
      <c r="A142" s="7"/>
      <c r="C142" s="6"/>
      <c r="D142" s="6"/>
      <c r="E142" s="6"/>
      <c r="F142" s="6"/>
      <c r="G142" s="6"/>
      <c r="H142" s="6"/>
      <c r="I142" s="6"/>
      <c r="J142" s="6"/>
    </row>
    <row r="143" spans="1:10" x14ac:dyDescent="0.3">
      <c r="A143" s="7"/>
      <c r="C143" s="6"/>
      <c r="D143" s="6"/>
      <c r="E143" s="6"/>
      <c r="F143" s="6"/>
      <c r="G143" s="6"/>
      <c r="H143" s="6"/>
      <c r="I143" s="6"/>
      <c r="J143" s="6"/>
    </row>
    <row r="144" spans="1:10" x14ac:dyDescent="0.3">
      <c r="A144" s="7"/>
      <c r="C144" s="6"/>
      <c r="D144" s="6"/>
      <c r="E144" s="6"/>
      <c r="F144" s="6"/>
      <c r="G144" s="6"/>
      <c r="H144" s="6"/>
      <c r="I144" s="6"/>
      <c r="J144" s="6"/>
    </row>
    <row r="145" spans="1:10" x14ac:dyDescent="0.3">
      <c r="A145" s="7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7"/>
      <c r="C146" s="6"/>
      <c r="D146" s="6"/>
      <c r="E146" s="6"/>
      <c r="F146" s="6"/>
      <c r="G146" s="6"/>
      <c r="H146" s="6"/>
      <c r="I146" s="6"/>
      <c r="J146" s="6"/>
    </row>
    <row r="147" spans="1:10" x14ac:dyDescent="0.3">
      <c r="A147" s="7"/>
      <c r="C147" s="6"/>
      <c r="D147" s="6"/>
      <c r="E147" s="6"/>
      <c r="F147" s="6"/>
      <c r="G147" s="6"/>
      <c r="H147" s="6"/>
      <c r="I147" s="6"/>
      <c r="J147" s="6"/>
    </row>
    <row r="148" spans="1:10" x14ac:dyDescent="0.3">
      <c r="A148" s="7"/>
      <c r="C148" s="6"/>
      <c r="D148" s="6"/>
      <c r="E148" s="6"/>
      <c r="F148" s="6"/>
      <c r="G148" s="6"/>
      <c r="H148" s="6"/>
      <c r="I148" s="6"/>
      <c r="J148" s="6"/>
    </row>
    <row r="149" spans="1:10" x14ac:dyDescent="0.3">
      <c r="A149" s="7"/>
      <c r="C149" s="6"/>
      <c r="D149" s="6"/>
      <c r="E149" s="6"/>
      <c r="F149" s="6"/>
      <c r="G149" s="6"/>
      <c r="H149" s="6"/>
      <c r="I149" s="6"/>
      <c r="J149" s="6"/>
    </row>
    <row r="150" spans="1:10" x14ac:dyDescent="0.3">
      <c r="A150" s="7"/>
      <c r="C150" s="6"/>
      <c r="D150" s="6"/>
      <c r="E150" s="6"/>
      <c r="F150" s="6"/>
      <c r="G150" s="6"/>
      <c r="H150" s="6"/>
      <c r="I150" s="6"/>
      <c r="J150" s="6"/>
    </row>
    <row r="151" spans="1:10" x14ac:dyDescent="0.3">
      <c r="A151" s="7"/>
      <c r="C151" s="6"/>
      <c r="D151" s="6"/>
      <c r="E151" s="6"/>
      <c r="F151" s="6"/>
      <c r="G151" s="6"/>
      <c r="H151" s="6"/>
      <c r="I151" s="6"/>
      <c r="J151" s="6"/>
    </row>
    <row r="152" spans="1:10" x14ac:dyDescent="0.3">
      <c r="A152" s="7"/>
      <c r="C152" s="6"/>
      <c r="D152" s="6"/>
      <c r="E152" s="6"/>
      <c r="F152" s="6"/>
      <c r="G152" s="6"/>
      <c r="H152" s="6"/>
      <c r="I152" s="6"/>
      <c r="J152" s="6"/>
    </row>
    <row r="153" spans="1:10" x14ac:dyDescent="0.3">
      <c r="A153" s="7"/>
      <c r="C153" s="6"/>
      <c r="D153" s="6"/>
      <c r="E153" s="6"/>
      <c r="F153" s="6"/>
      <c r="G153" s="6"/>
      <c r="H153" s="6"/>
      <c r="I153" s="6"/>
      <c r="J153" s="6"/>
    </row>
    <row r="154" spans="1:10" x14ac:dyDescent="0.3">
      <c r="A154" s="7"/>
      <c r="C154" s="6"/>
      <c r="D154" s="6"/>
      <c r="E154" s="6"/>
      <c r="F154" s="6"/>
      <c r="G154" s="6"/>
      <c r="H154" s="6"/>
      <c r="I154" s="6"/>
      <c r="J154" s="6"/>
    </row>
    <row r="155" spans="1:10" x14ac:dyDescent="0.3">
      <c r="A155" s="7"/>
      <c r="C155" s="6"/>
      <c r="D155" s="6"/>
      <c r="E155" s="6"/>
      <c r="F155" s="6"/>
      <c r="G155" s="6"/>
      <c r="H155" s="6"/>
      <c r="I155" s="6"/>
      <c r="J155" s="6"/>
    </row>
    <row r="156" spans="1:10" x14ac:dyDescent="0.3">
      <c r="A156" s="7"/>
      <c r="C156" s="6"/>
      <c r="D156" s="6"/>
      <c r="E156" s="6"/>
      <c r="F156" s="6"/>
      <c r="G156" s="6"/>
      <c r="H156" s="6"/>
      <c r="I156" s="6"/>
      <c r="J156" s="6"/>
    </row>
    <row r="157" spans="1:10" x14ac:dyDescent="0.3">
      <c r="A157" s="7"/>
      <c r="C157" s="6"/>
      <c r="D157" s="6"/>
      <c r="E157" s="6"/>
      <c r="F157" s="6"/>
      <c r="G157" s="6"/>
      <c r="H157" s="6"/>
      <c r="I157" s="6"/>
      <c r="J157" s="6"/>
    </row>
    <row r="158" spans="1:10" x14ac:dyDescent="0.3">
      <c r="A158" s="7"/>
      <c r="C158" s="6"/>
      <c r="D158" s="6"/>
      <c r="E158" s="6"/>
      <c r="F158" s="6"/>
      <c r="G158" s="6"/>
      <c r="H158" s="6"/>
      <c r="I158" s="6"/>
      <c r="J158" s="6"/>
    </row>
    <row r="159" spans="1:10" x14ac:dyDescent="0.3">
      <c r="A159" s="7"/>
      <c r="C159" s="6"/>
      <c r="D159" s="6"/>
      <c r="E159" s="6"/>
      <c r="F159" s="6"/>
      <c r="G159" s="6"/>
      <c r="H159" s="6"/>
      <c r="I159" s="6"/>
      <c r="J159" s="6"/>
    </row>
    <row r="160" spans="1:10" x14ac:dyDescent="0.3">
      <c r="A160" s="7"/>
      <c r="C160" s="6"/>
      <c r="D160" s="6"/>
      <c r="E160" s="6"/>
      <c r="F160" s="6"/>
      <c r="G160" s="6"/>
      <c r="H160" s="6"/>
      <c r="I160" s="6"/>
      <c r="J160" s="6"/>
    </row>
    <row r="161" spans="1:10" x14ac:dyDescent="0.3">
      <c r="A161" s="7"/>
      <c r="C161" s="6"/>
      <c r="D161" s="6"/>
      <c r="E161" s="6"/>
      <c r="F161" s="6"/>
      <c r="G161" s="6"/>
      <c r="H161" s="6"/>
      <c r="I161" s="6"/>
      <c r="J161" s="6"/>
    </row>
    <row r="162" spans="1:10" x14ac:dyDescent="0.3">
      <c r="A162" s="7"/>
      <c r="C162" s="6"/>
      <c r="D162" s="6"/>
      <c r="E162" s="6"/>
      <c r="F162" s="6"/>
      <c r="G162" s="6"/>
      <c r="H162" s="6"/>
      <c r="I162" s="6"/>
      <c r="J162" s="6"/>
    </row>
    <row r="163" spans="1:10" x14ac:dyDescent="0.3">
      <c r="A163" s="7"/>
      <c r="C163" s="6"/>
      <c r="D163" s="6"/>
      <c r="E163" s="6"/>
      <c r="F163" s="6"/>
      <c r="G163" s="6"/>
      <c r="H163" s="6"/>
      <c r="I163" s="6"/>
      <c r="J163" s="6"/>
    </row>
    <row r="164" spans="1:10" x14ac:dyDescent="0.3">
      <c r="A164" s="7"/>
      <c r="C164" s="6"/>
      <c r="D164" s="6"/>
      <c r="E164" s="6"/>
      <c r="F164" s="6"/>
      <c r="G164" s="6"/>
      <c r="H164" s="6"/>
      <c r="I164" s="6"/>
      <c r="J164" s="6"/>
    </row>
    <row r="165" spans="1:10" x14ac:dyDescent="0.3">
      <c r="A165" s="7"/>
      <c r="C165" s="6"/>
      <c r="D165" s="6"/>
      <c r="E165" s="6"/>
      <c r="F165" s="6"/>
      <c r="G165" s="6"/>
      <c r="H165" s="6"/>
      <c r="I165" s="6"/>
      <c r="J165" s="6"/>
    </row>
    <row r="166" spans="1:10" x14ac:dyDescent="0.3">
      <c r="A166" s="7"/>
      <c r="C166" s="6"/>
      <c r="D166" s="6"/>
      <c r="E166" s="6"/>
      <c r="F166" s="6"/>
      <c r="G166" s="6"/>
      <c r="H166" s="6"/>
      <c r="I166" s="6"/>
      <c r="J166" s="6"/>
    </row>
    <row r="167" spans="1:10" x14ac:dyDescent="0.3">
      <c r="A167" s="7"/>
      <c r="C167" s="6"/>
      <c r="D167" s="6"/>
      <c r="E167" s="6"/>
      <c r="F167" s="6"/>
      <c r="G167" s="6"/>
      <c r="H167" s="6"/>
      <c r="I167" s="6"/>
      <c r="J167" s="6"/>
    </row>
    <row r="168" spans="1:10" x14ac:dyDescent="0.3">
      <c r="A168" s="7"/>
      <c r="C168" s="6"/>
      <c r="D168" s="6"/>
      <c r="E168" s="6"/>
      <c r="F168" s="6"/>
      <c r="G168" s="6"/>
      <c r="H168" s="6"/>
      <c r="I168" s="6"/>
      <c r="J168" s="6"/>
    </row>
    <row r="169" spans="1:10" x14ac:dyDescent="0.3">
      <c r="A169" s="7"/>
      <c r="C169" s="6"/>
      <c r="D169" s="6"/>
      <c r="E169" s="6"/>
      <c r="F169" s="6"/>
      <c r="G169" s="6"/>
      <c r="H169" s="6"/>
      <c r="I169" s="6"/>
      <c r="J169" s="6"/>
    </row>
    <row r="170" spans="1:10" x14ac:dyDescent="0.3">
      <c r="A170" s="7"/>
      <c r="C170" s="6"/>
      <c r="D170" s="6"/>
      <c r="E170" s="6"/>
      <c r="F170" s="6"/>
      <c r="G170" s="6"/>
      <c r="H170" s="6"/>
      <c r="I170" s="6"/>
      <c r="J170" s="6"/>
    </row>
    <row r="171" spans="1:10" x14ac:dyDescent="0.3">
      <c r="A171" s="7"/>
      <c r="C171" s="6"/>
      <c r="D171" s="6"/>
      <c r="E171" s="6"/>
      <c r="F171" s="6"/>
      <c r="G171" s="6"/>
      <c r="H171" s="6"/>
      <c r="I171" s="6"/>
      <c r="J171" s="6"/>
    </row>
    <row r="172" spans="1:10" x14ac:dyDescent="0.3">
      <c r="A172" s="7"/>
      <c r="C172" s="6"/>
      <c r="D172" s="6"/>
      <c r="E172" s="6"/>
      <c r="F172" s="6"/>
      <c r="G172" s="6"/>
      <c r="H172" s="6"/>
      <c r="I172" s="6"/>
      <c r="J172" s="6"/>
    </row>
    <row r="173" spans="1:10" x14ac:dyDescent="0.3">
      <c r="A173" s="7"/>
      <c r="C173" s="6"/>
      <c r="D173" s="6"/>
      <c r="E173" s="6"/>
      <c r="F173" s="6"/>
      <c r="G173" s="6"/>
      <c r="H173" s="6"/>
      <c r="I173" s="6"/>
      <c r="J173" s="6"/>
    </row>
    <row r="174" spans="1:10" x14ac:dyDescent="0.3">
      <c r="A174" s="7"/>
      <c r="C174" s="6"/>
      <c r="D174" s="6"/>
      <c r="E174" s="6"/>
      <c r="F174" s="6"/>
      <c r="G174" s="6"/>
      <c r="H174" s="6"/>
      <c r="I174" s="6"/>
      <c r="J174" s="6"/>
    </row>
    <row r="175" spans="1:10" x14ac:dyDescent="0.3">
      <c r="A175" s="7"/>
      <c r="C175" s="6"/>
      <c r="D175" s="6"/>
      <c r="E175" s="6"/>
      <c r="F175" s="6"/>
      <c r="G175" s="6"/>
      <c r="H175" s="6"/>
      <c r="I175" s="6"/>
      <c r="J175" s="6"/>
    </row>
    <row r="176" spans="1:10" x14ac:dyDescent="0.3">
      <c r="A176" s="7"/>
      <c r="C176" s="6"/>
      <c r="D176" s="6"/>
      <c r="E176" s="6"/>
      <c r="F176" s="6"/>
      <c r="G176" s="6"/>
      <c r="H176" s="6"/>
      <c r="I176" s="6"/>
      <c r="J176" s="6"/>
    </row>
    <row r="177" spans="1:10" x14ac:dyDescent="0.3">
      <c r="A177" s="7"/>
      <c r="C177" s="6"/>
      <c r="D177" s="6"/>
      <c r="E177" s="6"/>
      <c r="F177" s="6"/>
      <c r="G177" s="6"/>
      <c r="H177" s="6"/>
      <c r="I177" s="6"/>
      <c r="J177" s="6"/>
    </row>
    <row r="178" spans="1:10" x14ac:dyDescent="0.3">
      <c r="A178" s="7"/>
      <c r="C178" s="6"/>
      <c r="D178" s="6"/>
      <c r="E178" s="6"/>
      <c r="F178" s="6"/>
      <c r="G178" s="6"/>
      <c r="H178" s="6"/>
      <c r="I178" s="6"/>
      <c r="J178" s="6"/>
    </row>
    <row r="179" spans="1:10" x14ac:dyDescent="0.3">
      <c r="A179" s="7"/>
      <c r="C179" s="6"/>
      <c r="D179" s="6"/>
      <c r="E179" s="6"/>
      <c r="F179" s="6"/>
      <c r="G179" s="6"/>
      <c r="H179" s="6"/>
      <c r="I179" s="6"/>
      <c r="J179" s="6"/>
    </row>
    <row r="180" spans="1:10" x14ac:dyDescent="0.3">
      <c r="A180" s="7"/>
      <c r="C180" s="6"/>
      <c r="D180" s="6"/>
      <c r="E180" s="6"/>
      <c r="F180" s="6"/>
      <c r="G180" s="6"/>
      <c r="H180" s="6"/>
      <c r="I180" s="6"/>
      <c r="J180" s="6"/>
    </row>
    <row r="181" spans="1:10" x14ac:dyDescent="0.3">
      <c r="A181" s="7"/>
      <c r="C181" s="6"/>
      <c r="D181" s="6"/>
      <c r="E181" s="6"/>
      <c r="F181" s="6"/>
      <c r="G181" s="6"/>
      <c r="H181" s="6"/>
      <c r="I181" s="6"/>
      <c r="J181" s="6"/>
    </row>
    <row r="182" spans="1:10" x14ac:dyDescent="0.3">
      <c r="A182" s="7"/>
      <c r="C182" s="6"/>
      <c r="D182" s="6"/>
      <c r="E182" s="6"/>
      <c r="F182" s="6"/>
      <c r="G182" s="6"/>
      <c r="H182" s="6"/>
      <c r="I182" s="6"/>
      <c r="J182" s="6"/>
    </row>
    <row r="183" spans="1:10" x14ac:dyDescent="0.3">
      <c r="A183" s="7"/>
      <c r="C183" s="6"/>
      <c r="D183" s="6"/>
      <c r="E183" s="6"/>
      <c r="F183" s="6"/>
      <c r="G183" s="6"/>
      <c r="H183" s="6"/>
      <c r="I183" s="6"/>
      <c r="J183" s="6"/>
    </row>
    <row r="184" spans="1:10" x14ac:dyDescent="0.3">
      <c r="A184" s="7"/>
      <c r="C184" s="6"/>
      <c r="D184" s="6"/>
      <c r="E184" s="6"/>
      <c r="F184" s="6"/>
      <c r="G184" s="6"/>
      <c r="H184" s="6"/>
      <c r="I184" s="6"/>
      <c r="J184" s="6"/>
    </row>
    <row r="185" spans="1:10" x14ac:dyDescent="0.3">
      <c r="A185" s="7"/>
      <c r="C185" s="6"/>
      <c r="D185" s="6"/>
      <c r="E185" s="6"/>
      <c r="F185" s="6"/>
      <c r="G185" s="6"/>
      <c r="H185" s="6"/>
      <c r="I185" s="6"/>
      <c r="J185" s="6"/>
    </row>
    <row r="186" spans="1:10" x14ac:dyDescent="0.3">
      <c r="A186" s="7"/>
      <c r="C186" s="6"/>
      <c r="D186" s="6"/>
      <c r="E186" s="6"/>
      <c r="F186" s="6"/>
      <c r="G186" s="6"/>
      <c r="H186" s="6"/>
      <c r="I186" s="6"/>
      <c r="J186" s="6"/>
    </row>
    <row r="187" spans="1:10" x14ac:dyDescent="0.3">
      <c r="A187" s="7"/>
      <c r="C187" s="6"/>
      <c r="D187" s="6"/>
      <c r="E187" s="6"/>
      <c r="F187" s="6"/>
      <c r="G187" s="6"/>
      <c r="H187" s="6"/>
      <c r="I187" s="6"/>
      <c r="J187" s="6"/>
    </row>
    <row r="188" spans="1:10" x14ac:dyDescent="0.3">
      <c r="A188" s="7"/>
      <c r="C188" s="6"/>
      <c r="D188" s="6"/>
      <c r="E188" s="6"/>
      <c r="F188" s="6"/>
      <c r="G188" s="6"/>
      <c r="H188" s="6"/>
      <c r="I188" s="6"/>
      <c r="J188" s="6"/>
    </row>
    <row r="189" spans="1:10" x14ac:dyDescent="0.3">
      <c r="A189" s="7"/>
      <c r="C189" s="6"/>
      <c r="D189" s="6"/>
      <c r="E189" s="6"/>
      <c r="F189" s="6"/>
      <c r="G189" s="6"/>
      <c r="H189" s="6"/>
      <c r="I189" s="6"/>
      <c r="J189" s="6"/>
    </row>
    <row r="190" spans="1:10" x14ac:dyDescent="0.3">
      <c r="A190" s="7"/>
      <c r="C190" s="6"/>
      <c r="D190" s="6"/>
      <c r="E190" s="6"/>
      <c r="F190" s="6"/>
      <c r="G190" s="6"/>
      <c r="H190" s="6"/>
      <c r="I190" s="6"/>
      <c r="J190" s="6"/>
    </row>
    <row r="191" spans="1:10" x14ac:dyDescent="0.3">
      <c r="A191" s="7"/>
      <c r="C191" s="6"/>
      <c r="D191" s="6"/>
      <c r="E191" s="6"/>
      <c r="F191" s="6"/>
      <c r="G191" s="6"/>
      <c r="H191" s="6"/>
      <c r="I191" s="6"/>
      <c r="J191" s="6"/>
    </row>
    <row r="192" spans="1:10" x14ac:dyDescent="0.3">
      <c r="A192" s="7"/>
      <c r="C192" s="6"/>
      <c r="D192" s="6"/>
      <c r="E192" s="6"/>
      <c r="F192" s="6"/>
      <c r="G192" s="6"/>
      <c r="H192" s="6"/>
      <c r="I192" s="6"/>
      <c r="J192" s="6"/>
    </row>
    <row r="193" spans="1:10" x14ac:dyDescent="0.3">
      <c r="A193" s="7"/>
      <c r="C193" s="6"/>
      <c r="D193" s="6"/>
      <c r="E193" s="6"/>
      <c r="F193" s="6"/>
      <c r="G193" s="6"/>
      <c r="H193" s="6"/>
      <c r="I193" s="6"/>
      <c r="J193" s="6"/>
    </row>
    <row r="194" spans="1:10" x14ac:dyDescent="0.3">
      <c r="A194" s="7"/>
      <c r="C194" s="6"/>
      <c r="D194" s="6"/>
      <c r="E194" s="6"/>
      <c r="F194" s="6"/>
      <c r="G194" s="6"/>
      <c r="H194" s="6"/>
      <c r="I194" s="6"/>
      <c r="J194" s="6"/>
    </row>
    <row r="195" spans="1:10" x14ac:dyDescent="0.3">
      <c r="A195" s="7"/>
      <c r="C195" s="6"/>
      <c r="D195" s="6"/>
      <c r="E195" s="6"/>
      <c r="F195" s="6"/>
      <c r="G195" s="6"/>
      <c r="H195" s="6"/>
      <c r="I195" s="6"/>
      <c r="J195" s="6"/>
    </row>
    <row r="196" spans="1:10" x14ac:dyDescent="0.3">
      <c r="A196" s="7"/>
      <c r="C196" s="6"/>
      <c r="D196" s="6"/>
      <c r="E196" s="6"/>
      <c r="F196" s="6"/>
      <c r="G196" s="6"/>
      <c r="H196" s="6"/>
      <c r="I196" s="6"/>
      <c r="J196" s="6"/>
    </row>
    <row r="197" spans="1:10" x14ac:dyDescent="0.3">
      <c r="A197" s="7"/>
      <c r="C197" s="6"/>
      <c r="D197" s="6"/>
      <c r="E197" s="6"/>
      <c r="F197" s="6"/>
      <c r="G197" s="6"/>
      <c r="H197" s="6"/>
      <c r="I197" s="6"/>
      <c r="J197" s="6"/>
    </row>
    <row r="198" spans="1:10" x14ac:dyDescent="0.3">
      <c r="A198" s="7"/>
      <c r="C198" s="6"/>
      <c r="D198" s="6"/>
      <c r="E198" s="6"/>
      <c r="F198" s="6"/>
      <c r="G198" s="6"/>
      <c r="H198" s="6"/>
      <c r="I198" s="6"/>
      <c r="J198" s="6"/>
    </row>
    <row r="199" spans="1:10" x14ac:dyDescent="0.3">
      <c r="A199" s="7"/>
      <c r="C199" s="6"/>
      <c r="D199" s="6"/>
      <c r="E199" s="6"/>
      <c r="F199" s="6"/>
      <c r="G199" s="6"/>
      <c r="H199" s="6"/>
      <c r="I199" s="6"/>
      <c r="J199" s="6"/>
    </row>
    <row r="200" spans="1:10" x14ac:dyDescent="0.3">
      <c r="A200" s="7"/>
      <c r="C200" s="6"/>
      <c r="D200" s="6"/>
      <c r="E200" s="6"/>
      <c r="F200" s="6"/>
      <c r="G200" s="6"/>
      <c r="H200" s="6"/>
      <c r="I200" s="6"/>
      <c r="J200" s="6"/>
    </row>
  </sheetData>
  <dataValidations count="2">
    <dataValidation type="list" allowBlank="1" showInputMessage="1" showErrorMessage="1" sqref="C4" xr:uid="{05890354-0F7C-4DFE-AF28-31F8ECD2EF83}">
      <formula1>Список_щитов</formula1>
    </dataValidation>
    <dataValidation type="list" allowBlank="1" showInputMessage="1" showErrorMessage="1" sqref="C5" xr:uid="{B5A7CB84-BE2D-462B-B922-A813273A782E}">
      <formula1>"Весь щит,Секция 1,Секция 2,Секция 3"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BDFAF-736A-433D-9AB4-F2A56CE66A92}">
  <sheetPr codeName="Лист12">
    <tabColor rgb="FF4F81BD"/>
  </sheetPr>
  <dimension ref="A1:Q348"/>
  <sheetViews>
    <sheetView workbookViewId="0"/>
  </sheetViews>
  <sheetFormatPr defaultRowHeight="14.4" x14ac:dyDescent="0.3"/>
  <cols>
    <col min="1" max="1" width="16.77734375" customWidth="1"/>
    <col min="2" max="2" width="12.77734375" customWidth="1"/>
    <col min="3" max="3" width="40.77734375" customWidth="1"/>
    <col min="4" max="4" width="26.77734375" customWidth="1"/>
    <col min="5" max="5" width="9.77734375" customWidth="1"/>
    <col min="6" max="7" width="14.77734375" customWidth="1"/>
    <col min="8" max="8" width="9.77734375" customWidth="1"/>
    <col min="9" max="9" width="12.77734375" customWidth="1"/>
    <col min="10" max="10" width="14.77734375" customWidth="1"/>
    <col min="11" max="11" width="9.77734375" customWidth="1"/>
    <col min="12" max="13" width="11.77734375" customWidth="1"/>
    <col min="15" max="15" width="28.77734375" customWidth="1"/>
    <col min="16" max="17" width="12.77734375" customWidth="1"/>
  </cols>
  <sheetData>
    <row r="1" spans="1:17" x14ac:dyDescent="0.3">
      <c r="A1" s="36" t="s">
        <v>1747</v>
      </c>
    </row>
    <row r="2" spans="1:17" x14ac:dyDescent="0.3">
      <c r="A2" s="126" t="s">
        <v>19</v>
      </c>
      <c r="B2" s="126" t="s">
        <v>20</v>
      </c>
      <c r="C2" s="126"/>
      <c r="D2" s="126" t="s">
        <v>9</v>
      </c>
      <c r="E2" s="126"/>
      <c r="F2" s="126"/>
      <c r="G2" s="126"/>
      <c r="H2" s="126"/>
      <c r="I2" s="126" t="s">
        <v>9</v>
      </c>
      <c r="J2" s="126"/>
      <c r="K2" s="126"/>
      <c r="L2" s="126" t="s">
        <v>21</v>
      </c>
      <c r="M2" s="126" t="s">
        <v>29</v>
      </c>
      <c r="O2" t="s">
        <v>1749</v>
      </c>
      <c r="P2" s="113">
        <v>0.2</v>
      </c>
    </row>
    <row r="3" spans="1:17" x14ac:dyDescent="0.3">
      <c r="A3" s="126"/>
      <c r="B3" s="126" t="s">
        <v>22</v>
      </c>
      <c r="C3" s="126" t="s">
        <v>23</v>
      </c>
      <c r="D3" s="126" t="s">
        <v>24</v>
      </c>
      <c r="E3" s="126"/>
      <c r="F3" s="126"/>
      <c r="G3" s="126"/>
      <c r="H3" s="126"/>
      <c r="I3" s="126" t="s">
        <v>25</v>
      </c>
      <c r="J3" s="126"/>
      <c r="K3" s="126"/>
      <c r="L3" s="126"/>
      <c r="M3" s="126"/>
    </row>
    <row r="4" spans="1:17" ht="72" x14ac:dyDescent="0.3">
      <c r="A4" s="126"/>
      <c r="B4" s="126"/>
      <c r="C4" s="126"/>
      <c r="D4" s="127" t="s">
        <v>1748</v>
      </c>
      <c r="E4" s="127" t="s">
        <v>190</v>
      </c>
      <c r="F4" s="127" t="s">
        <v>185</v>
      </c>
      <c r="G4" s="127" t="s">
        <v>187</v>
      </c>
      <c r="H4" s="127" t="s">
        <v>26</v>
      </c>
      <c r="I4" s="127" t="s">
        <v>27</v>
      </c>
      <c r="J4" s="127" t="s">
        <v>1748</v>
      </c>
      <c r="K4" s="127" t="s">
        <v>28</v>
      </c>
      <c r="L4" s="126"/>
      <c r="M4" s="126"/>
      <c r="O4" s="120" t="s">
        <v>1750</v>
      </c>
      <c r="P4" s="120" t="s">
        <v>26</v>
      </c>
      <c r="Q4" s="120" t="s">
        <v>1751</v>
      </c>
    </row>
    <row r="5" spans="1:17" x14ac:dyDescent="0.3">
      <c r="A5" t="str" cm="1">
        <f t="array" ref="A5:H348">_xlfn.LET(_xlpm.m,(Линии[Номер линии]&lt;&gt;"")*(Линии[_кабель]&lt;&gt;""),_xlpm.n,SUM(_xlpm.m),_xlpm.cs,_xlfn._xlws.FILTER(Линии[_кабель с сечением],_xlpm.m),_xlpm.tr,_xlfn._xlws.FILTER(IFERROR(--Линии[Лоток],0),_xlpm.m),_xlpm.pv,_xlfn._xlws.FILTER(IFERROR(--Линии[_гофра ПВХ],0),_xlpm.m),_xlpm.pn,_xlfn._xlws.FILTER(IFERROR(--Линии[_гофра ПНД],0),_xlpm.m),_xlpm.dpv,IFERROR(VLOOKUP(_xlpm.cs,Кабель_диаметр,4,FALSE),""),_xlpm.dpn,IFERROR(VLOOKUP(_xlpm.cs,Кабель_диаметр,5,FALSE),""),IF(_xlpm.n=0,"нет линий",_xlfn.HSTACK(_xlfn._xlws.FILTER(Линии[Номер линии],_xlpm.m),_xlfn._xlws.FILTER(Линии[Щит],_xlpm.m),_xlfn._xlws.FILTER(Линии[Наименование (итог)],_xlpm.m),_xlpm.cs,IF(_xlpm.tr=0,"","L="&amp;_xlpm.tr),IF(_xlpm.pv=0,"",_xlpm.dpv&amp;" L="&amp;_xlpm.pv),IF(_xlpm.pn=0,"",_xlpm.dpn&amp;" L="&amp;_xlpm.pn),_xlfn._xlws.FILTER(Линии[Длина, м],_xlpm.m))))</f>
        <v>ЩСПЗ-ЖД.1</v>
      </c>
      <c r="B5" t="str">
        <v>ГРЩ-ЖД</v>
      </c>
      <c r="C5" t="str">
        <v>Щит системы противопожарной защиты Цокольный этаж этаж Пом. №001Т Ввод.1</v>
      </c>
      <c r="D5" t="str">
        <v>ВВГнг(А)-FRLS (3х2,5)</v>
      </c>
      <c r="E5" t="str">
        <v/>
      </c>
      <c r="F5" t="str">
        <v>Ø25 L=15</v>
      </c>
      <c r="G5" t="str">
        <v/>
      </c>
      <c r="H5">
        <v>15</v>
      </c>
      <c r="O5" t="str" cm="1">
        <f t="array" ref="O5:Q21">_xlfn.LET(_xlpm.k,Линии[_кабель с сечением],_xlpm.m,(Линии[Номер линии]&lt;&gt;"")*(Линии[_кабель]&lt;&gt;""),_xlpm.u,_xlfn.UNIQUE(_xlfn._xlws.FILTER(_xlpm.k,_xlpm.m,"")),_xlpm.l,_xlfn.MAP(_xlpm.u,_xlfn.LAMBDA(_xlpm.x,SUM(_xlpm.m*(_xlpm.k=_xlpm.x)*IFERROR(--Линии[Длина, м],0)))),_xlfn.HSTACK(_xlpm.u,_xlpm.l,ROUNDUP(_xlpm.l*(1+Запас_кабеля),0)))</f>
        <v>ВВГнг(А)-FRLS (3х2,5)</v>
      </c>
      <c r="P5">
        <v>218</v>
      </c>
      <c r="Q5">
        <v>262</v>
      </c>
    </row>
    <row r="6" spans="1:17" x14ac:dyDescent="0.3">
      <c r="A6" t="str">
        <v>ЩСПЗ-ЖД.2</v>
      </c>
      <c r="B6" t="str">
        <v>ГРЩ-ЖД</v>
      </c>
      <c r="C6" t="str">
        <v>Щит системы противопожарной защиты Цокольный этаж этаж Пом. №001Т Ввод.2</v>
      </c>
      <c r="D6" t="str">
        <v>ВВГнг(А)-FRLS (3х2,5)</v>
      </c>
      <c r="E6" t="str">
        <v/>
      </c>
      <c r="F6" t="str">
        <v>Ø25 L=15</v>
      </c>
      <c r="G6" t="str">
        <v/>
      </c>
      <c r="H6">
        <v>15</v>
      </c>
      <c r="O6" t="str">
        <v>ВВГнг(А)-LS (5х6)</v>
      </c>
      <c r="P6">
        <v>234</v>
      </c>
      <c r="Q6">
        <v>281</v>
      </c>
    </row>
    <row r="7" spans="1:17" x14ac:dyDescent="0.3">
      <c r="A7" t="str">
        <v>ЩОВ-01</v>
      </c>
      <c r="B7" t="str">
        <v>ГРЩ-ЖД</v>
      </c>
      <c r="C7" t="str">
        <v>Щит вентиляции ЩОВ-01 Цокольный этаж этаж Пом. №0.001Тб</v>
      </c>
      <c r="D7" t="str">
        <v>ВВГнг(А)-LS (5х6)</v>
      </c>
      <c r="E7" t="str">
        <v/>
      </c>
      <c r="F7" t="str">
        <v>Ø25 L=15</v>
      </c>
      <c r="G7" t="str">
        <v/>
      </c>
      <c r="H7">
        <v>15</v>
      </c>
      <c r="O7" t="str">
        <v>5хВВГнг(А)-LS  (1х185)</v>
      </c>
      <c r="P7">
        <v>58</v>
      </c>
      <c r="Q7">
        <v>70</v>
      </c>
    </row>
    <row r="8" spans="1:17" x14ac:dyDescent="0.3">
      <c r="A8" t="str">
        <v>ЩОВ-001</v>
      </c>
      <c r="B8" t="str">
        <v>ГРЩ-ЖД</v>
      </c>
      <c r="C8" t="str">
        <v>Щит вентиляции ЩОВ-001 Подвальный этаж этаж Пом. №00.006Т</v>
      </c>
      <c r="D8" t="str">
        <v>5хВВГнг(А)-LS  (1х185)</v>
      </c>
      <c r="E8" t="str">
        <v>L=39</v>
      </c>
      <c r="F8" t="str">
        <v xml:space="preserve"> L=11</v>
      </c>
      <c r="G8" t="str">
        <v/>
      </c>
      <c r="H8">
        <v>58</v>
      </c>
      <c r="O8" t="str">
        <v>ВВГнг(А)-LS (5х4)</v>
      </c>
      <c r="P8">
        <v>393</v>
      </c>
      <c r="Q8">
        <v>472</v>
      </c>
    </row>
    <row r="9" spans="1:17" x14ac:dyDescent="0.3">
      <c r="A9" t="str">
        <v>ЩОВ-002</v>
      </c>
      <c r="B9" t="str">
        <v>ГРЩ-ЖД</v>
      </c>
      <c r="C9" t="str">
        <v>Щит вентиляции ЩОВ-002 Подвальный этаж этаж Пом. №00.003Т</v>
      </c>
      <c r="D9" t="str">
        <v>ВВГнг(А)-LS (5х4)</v>
      </c>
      <c r="E9" t="str">
        <v>L=29</v>
      </c>
      <c r="F9" t="str">
        <v>Ø25 L=12</v>
      </c>
      <c r="G9" t="str">
        <v/>
      </c>
      <c r="H9">
        <v>46</v>
      </c>
      <c r="O9" t="str">
        <v>ВВГнг(А)-LS (5х10)</v>
      </c>
      <c r="P9">
        <v>169</v>
      </c>
      <c r="Q9">
        <v>203</v>
      </c>
    </row>
    <row r="10" spans="1:17" x14ac:dyDescent="0.3">
      <c r="A10" t="str">
        <v>ЩОВ-2</v>
      </c>
      <c r="B10" t="str">
        <v>ГРЩ-ЖД</v>
      </c>
      <c r="C10" t="str">
        <v>Щит вентиляции ЩОВ-2 Техэтаж этаж Пом. №3.001Т</v>
      </c>
      <c r="D10" t="str">
        <v>ВВГнг(А)-LS (5х4)</v>
      </c>
      <c r="E10" t="str">
        <v>L=40</v>
      </c>
      <c r="F10" t="str">
        <v>Ø25 L=11</v>
      </c>
      <c r="G10" t="str">
        <v/>
      </c>
      <c r="H10">
        <v>56</v>
      </c>
      <c r="O10" t="str">
        <v>ВВГнг(А)-LS (5х16)</v>
      </c>
      <c r="P10">
        <v>124</v>
      </c>
      <c r="Q10">
        <v>149</v>
      </c>
    </row>
    <row r="11" spans="1:17" x14ac:dyDescent="0.3">
      <c r="A11" t="str">
        <v>ЩР-001</v>
      </c>
      <c r="B11" t="str">
        <v>ГРЩ-ЖД</v>
      </c>
      <c r="C11" t="str">
        <v>Щит распределительный ЩР-001 Подвальный этаж этаж Пом. №00.004Т</v>
      </c>
      <c r="D11" t="str">
        <v>ВВГнг(А)-LS (5х4)</v>
      </c>
      <c r="E11" t="str">
        <v>L=25</v>
      </c>
      <c r="F11" t="str">
        <v>Ø25 L=11</v>
      </c>
      <c r="G11" t="str">
        <v/>
      </c>
      <c r="H11">
        <v>41</v>
      </c>
      <c r="O11" t="str">
        <v>ВВГнг(А)-LS (3х4)</v>
      </c>
      <c r="P11">
        <v>722</v>
      </c>
      <c r="Q11">
        <v>867</v>
      </c>
    </row>
    <row r="12" spans="1:17" x14ac:dyDescent="0.3">
      <c r="A12" t="str">
        <v>ЩР-01</v>
      </c>
      <c r="B12" t="str">
        <v>ГРЩ-ЖД</v>
      </c>
      <c r="C12" t="str">
        <v>Щит распределительный ЩР-01 Цокольный этаж этаж Пом. №0.001Т</v>
      </c>
      <c r="D12" t="str">
        <v>ВВГнг(А)-LS (5х10)</v>
      </c>
      <c r="E12" t="str">
        <v/>
      </c>
      <c r="F12" t="str">
        <v xml:space="preserve"> L=14</v>
      </c>
      <c r="G12" t="str">
        <v/>
      </c>
      <c r="H12">
        <v>14</v>
      </c>
      <c r="O12" t="str">
        <v>5хВВГнг(А)-LS  (1х95)</v>
      </c>
      <c r="P12">
        <v>53</v>
      </c>
      <c r="Q12">
        <v>64</v>
      </c>
    </row>
    <row r="13" spans="1:17" x14ac:dyDescent="0.3">
      <c r="A13" t="str">
        <v>ЩР-1</v>
      </c>
      <c r="B13" t="str">
        <v>ГРЩ-ЖД</v>
      </c>
      <c r="C13" t="str">
        <v>Щит распределительный ЩР-1 Первый этаж этаж Пом. №1.003Б</v>
      </c>
      <c r="D13" t="str">
        <v>ВВГнг(А)-LS (5х16)</v>
      </c>
      <c r="E13" t="str">
        <v>L=51</v>
      </c>
      <c r="F13" t="str">
        <v xml:space="preserve"> L=9</v>
      </c>
      <c r="G13" t="str">
        <v/>
      </c>
      <c r="H13">
        <v>65</v>
      </c>
      <c r="O13" t="str">
        <v>ВВГнг(А)-LS (3х6)</v>
      </c>
      <c r="P13">
        <v>182</v>
      </c>
      <c r="Q13">
        <v>219</v>
      </c>
    </row>
    <row r="14" spans="1:17" x14ac:dyDescent="0.3">
      <c r="A14" t="str">
        <v>ЩР-2</v>
      </c>
      <c r="B14" t="str">
        <v>ГРЩ-ЖД</v>
      </c>
      <c r="C14" t="str">
        <v>Щит распределительный ЩР-2 Техэтаж этаж Пом. №3.001Т</v>
      </c>
      <c r="D14" t="str">
        <v>ВВГнг(А)-LS (5х4)</v>
      </c>
      <c r="E14" t="str">
        <v>L=40</v>
      </c>
      <c r="F14" t="str">
        <v>Ø25 L=11</v>
      </c>
      <c r="G14" t="str">
        <v/>
      </c>
      <c r="H14">
        <v>56</v>
      </c>
      <c r="O14" t="str">
        <v>ВВГнг(А)-LS (3х2,5)</v>
      </c>
      <c r="P14">
        <v>8649</v>
      </c>
      <c r="Q14">
        <v>10379</v>
      </c>
    </row>
    <row r="15" spans="1:17" x14ac:dyDescent="0.3">
      <c r="A15" t="str">
        <v>ЩС-Б</v>
      </c>
      <c r="B15" t="str">
        <v>ГРЩ-ЖД</v>
      </c>
      <c r="C15" t="str">
        <v>Щит бассейна ЩС-Б Подвальный этаж этаж Пом. №00.002Тб</v>
      </c>
      <c r="D15" t="str">
        <v>ВВГнг(А)-LS (5х10)</v>
      </c>
      <c r="E15" t="str">
        <v>L=35</v>
      </c>
      <c r="F15" t="str">
        <v xml:space="preserve"> L=11</v>
      </c>
      <c r="G15" t="str">
        <v/>
      </c>
      <c r="H15">
        <v>53</v>
      </c>
      <c r="O15" t="str">
        <v>ВВГнг(А)-LS (5х1,5)</v>
      </c>
      <c r="P15">
        <v>0</v>
      </c>
      <c r="Q15">
        <v>0</v>
      </c>
    </row>
    <row r="16" spans="1:17" x14ac:dyDescent="0.3">
      <c r="A16" t="str">
        <v>ЩС-ВК.001</v>
      </c>
      <c r="B16" t="str">
        <v>ГРЩ-ЖД</v>
      </c>
      <c r="C16" t="str">
        <v>Щит дренажных насосов ЩС-ВК.001 Подвальный этаж этаж Пом. 00.002Т</v>
      </c>
      <c r="D16" t="str">
        <v>ВВГнг(А)-LS (3х4)</v>
      </c>
      <c r="E16" t="str">
        <v>L=35</v>
      </c>
      <c r="F16" t="str">
        <v>Ø20 L=12</v>
      </c>
      <c r="G16" t="str">
        <v/>
      </c>
      <c r="H16">
        <v>52</v>
      </c>
      <c r="O16" t="str">
        <v>ВВГнг(А)-LS (3х1,5)</v>
      </c>
      <c r="P16">
        <v>3581</v>
      </c>
      <c r="Q16">
        <v>4298</v>
      </c>
    </row>
    <row r="17" spans="1:17" x14ac:dyDescent="0.3">
      <c r="A17" t="str">
        <v>ЩС-ВК.002</v>
      </c>
      <c r="B17" t="str">
        <v>ГРЩ-ЖД</v>
      </c>
      <c r="C17" t="str">
        <v>Щит насосов ЩС-ВК.002 Подвальный этаж этаж Пом. №00.002Тб</v>
      </c>
      <c r="D17" t="str">
        <v>ВВГнг(А)-LS (3х4)</v>
      </c>
      <c r="E17" t="str">
        <v>L=34</v>
      </c>
      <c r="F17" t="str">
        <v>Ø20 L=12</v>
      </c>
      <c r="G17" t="str">
        <v/>
      </c>
      <c r="H17">
        <v>51</v>
      </c>
      <c r="O17" t="str">
        <v>ВВГнг(А)-LS (5х185)</v>
      </c>
      <c r="P17">
        <v>51</v>
      </c>
      <c r="Q17">
        <v>62</v>
      </c>
    </row>
    <row r="18" spans="1:17" x14ac:dyDescent="0.3">
      <c r="A18" t="str">
        <v>ЩС-ВК.003</v>
      </c>
      <c r="B18" t="str">
        <v>ГРЩ-ЖД</v>
      </c>
      <c r="C18" t="str">
        <v>Щит насосов ЩС-ВК.003 Подвальный этаж этаж Пом. №00.006Т</v>
      </c>
      <c r="D18" t="str">
        <v>ВВГнг(А)-LS (3х4)</v>
      </c>
      <c r="E18" t="str">
        <v>L=48</v>
      </c>
      <c r="F18" t="str">
        <v>Ø20 L=5</v>
      </c>
      <c r="G18" t="str">
        <v/>
      </c>
      <c r="H18">
        <v>53</v>
      </c>
      <c r="O18" t="str">
        <v>ВВГнг(А)-LS (5х25)</v>
      </c>
      <c r="P18">
        <v>242</v>
      </c>
      <c r="Q18">
        <v>291</v>
      </c>
    </row>
    <row r="19" spans="1:17" x14ac:dyDescent="0.3">
      <c r="A19" t="str">
        <v>ЩУОВ</v>
      </c>
      <c r="B19" t="str">
        <v>ГРЩ-ЖД</v>
      </c>
      <c r="C19" t="str">
        <v>Щит управления обогрева воронок ЩУОВ Тех. этаж этаж Пом. №3.001</v>
      </c>
      <c r="D19" t="str">
        <v>ВВГнг(А)-LS (5х6)</v>
      </c>
      <c r="E19" t="str">
        <v>L=39</v>
      </c>
      <c r="F19" t="str">
        <v>Ø25 L=8</v>
      </c>
      <c r="G19" t="str">
        <v/>
      </c>
      <c r="H19">
        <v>52</v>
      </c>
      <c r="O19" t="str">
        <v>ВВГнг(А)-LS (5х2,5)</v>
      </c>
      <c r="P19">
        <v>112</v>
      </c>
      <c r="Q19">
        <v>135</v>
      </c>
    </row>
    <row r="20" spans="1:17" x14ac:dyDescent="0.3">
      <c r="A20" t="str">
        <v>ЩР-ПК</v>
      </c>
      <c r="B20" t="str">
        <v>ГРЩ-ЖД</v>
      </c>
      <c r="C20" t="str">
        <v>Щит профкухни ЩС-ПК Цокольный этаж этаж Пом. №0.0014Б</v>
      </c>
      <c r="D20" t="str">
        <v>5хВВГнг(А)-LS  (1х95)</v>
      </c>
      <c r="E20" t="str">
        <v>L=38</v>
      </c>
      <c r="F20" t="str">
        <v xml:space="preserve"> L=10</v>
      </c>
      <c r="G20" t="str">
        <v/>
      </c>
      <c r="H20">
        <v>53</v>
      </c>
      <c r="O20" t="str">
        <v>ВВГнг(А)-FRLS (5х2,5)</v>
      </c>
      <c r="P20">
        <v>32</v>
      </c>
      <c r="Q20">
        <v>39</v>
      </c>
    </row>
    <row r="21" spans="1:17" x14ac:dyDescent="0.3">
      <c r="A21" t="str">
        <v>РЩ-1</v>
      </c>
      <c r="B21" t="str">
        <v>ГРЩ-ЖД</v>
      </c>
      <c r="C21" t="str">
        <v>Щит Хаммам РЩ-1  Подвальный этаж этаж Пом. №00.001Тб</v>
      </c>
      <c r="D21" t="str">
        <v>ВВГнг(А)-LS (5х16)</v>
      </c>
      <c r="E21" t="str">
        <v>L=33</v>
      </c>
      <c r="F21" t="str">
        <v xml:space="preserve"> L=21</v>
      </c>
      <c r="G21" t="str">
        <v/>
      </c>
      <c r="H21">
        <v>59</v>
      </c>
      <c r="O21" t="str">
        <v>МКЭШнг(A)-LS (2х0,75)</v>
      </c>
      <c r="P21">
        <v>43</v>
      </c>
      <c r="Q21">
        <v>52</v>
      </c>
    </row>
    <row r="22" spans="1:17" x14ac:dyDescent="0.3">
      <c r="A22" t="str">
        <v>Э.4</v>
      </c>
      <c r="B22" t="str">
        <v>ГРЩ-ЖД</v>
      </c>
      <c r="C22" t="str">
        <v>Флоатинг. Цокольный этаж этаж Пом. №023A</v>
      </c>
      <c r="D22" t="str">
        <v>ВВГнг(А)-LS (3х6)</v>
      </c>
      <c r="E22" t="str">
        <v>L=43</v>
      </c>
      <c r="F22" t="str">
        <v>Ø25 L=9</v>
      </c>
      <c r="G22" t="str">
        <v/>
      </c>
      <c r="H22">
        <v>63</v>
      </c>
    </row>
    <row r="23" spans="1:17" x14ac:dyDescent="0.3">
      <c r="A23" t="str">
        <v>SEC1-21</v>
      </c>
      <c r="B23" t="str">
        <v>ГРЩ-ЖД</v>
      </c>
      <c r="C23" t="str">
        <v>Щит охранной сигнализации Подвальный этаж этаж Пом. №007Т</v>
      </c>
      <c r="D23" t="str">
        <v>ВВГнг(А)-LS (3х2,5)</v>
      </c>
      <c r="E23" t="str">
        <v>L=21</v>
      </c>
      <c r="F23" t="str">
        <v>Ø20 L=15</v>
      </c>
      <c r="G23" t="str">
        <v/>
      </c>
      <c r="H23">
        <v>44</v>
      </c>
    </row>
    <row r="24" spans="1:17" x14ac:dyDescent="0.3">
      <c r="A24" t="str">
        <v>ЩГП</v>
      </c>
      <c r="B24" t="str">
        <v>ГРЩ-ЖД</v>
      </c>
      <c r="C24" t="str">
        <v>Щит ЩГП</v>
      </c>
      <c r="D24" t="str">
        <v>ВВГнг(А)-LS (5х1,5)</v>
      </c>
      <c r="E24" t="str">
        <v/>
      </c>
      <c r="F24" t="str">
        <v/>
      </c>
      <c r="G24" t="str">
        <v/>
      </c>
      <c r="H24" t="str">
        <v/>
      </c>
    </row>
    <row r="25" spans="1:17" x14ac:dyDescent="0.3">
      <c r="A25" t="str">
        <v>Ввод.1</v>
      </c>
      <c r="B25" t="str">
        <v>ЩГП</v>
      </c>
      <c r="C25" t="str">
        <v>Вводной кабель шлейф 1</v>
      </c>
      <c r="D25" t="str">
        <v>ВВГнг(А)-LS (5х10)</v>
      </c>
      <c r="E25" t="str">
        <v>L=34</v>
      </c>
      <c r="F25" t="str">
        <v xml:space="preserve"> L=12</v>
      </c>
      <c r="G25" t="str">
        <v/>
      </c>
      <c r="H25">
        <v>51</v>
      </c>
    </row>
    <row r="26" spans="1:17" x14ac:dyDescent="0.3">
      <c r="A26" t="str">
        <v>ЩО-001</v>
      </c>
      <c r="B26" t="str">
        <v>ЩГП</v>
      </c>
      <c r="C26" t="str">
        <v>Щит освещения ЩО-2 Подвальный этаж этаж Пом. №3.001</v>
      </c>
      <c r="D26" t="str">
        <v>ВВГнг(А)-LS (5х6)</v>
      </c>
      <c r="E26" t="str">
        <v>L=25</v>
      </c>
      <c r="F26" t="str">
        <v>Ø25 L=11</v>
      </c>
      <c r="G26" t="str">
        <v/>
      </c>
      <c r="H26">
        <v>41</v>
      </c>
    </row>
    <row r="27" spans="1:17" x14ac:dyDescent="0.3">
      <c r="A27" t="str">
        <v>ЩО-01</v>
      </c>
      <c r="B27" t="str">
        <v>ЩГП</v>
      </c>
      <c r="C27" t="str">
        <v>Щит освещения ЩО-2 Цокольный этаж этаж Пом. №001Т</v>
      </c>
      <c r="D27" t="str">
        <v>ВВГнг(А)-LS (5х6)</v>
      </c>
      <c r="E27" t="str">
        <v/>
      </c>
      <c r="F27" t="str">
        <v>Ø25 L=15</v>
      </c>
      <c r="G27" t="str">
        <v/>
      </c>
      <c r="H27">
        <v>15</v>
      </c>
    </row>
    <row r="28" spans="1:17" x14ac:dyDescent="0.3">
      <c r="A28" t="str">
        <v>Ввод.1</v>
      </c>
      <c r="B28" t="str">
        <v>ЩО-001</v>
      </c>
      <c r="C28" t="str">
        <v>Ввод</v>
      </c>
      <c r="D28" t="str">
        <v>ВВГнг(А)-LS (5х10)</v>
      </c>
      <c r="E28" t="str">
        <v/>
      </c>
      <c r="F28" t="str">
        <v/>
      </c>
      <c r="G28" t="str">
        <v/>
      </c>
      <c r="H28" t="str">
        <v/>
      </c>
    </row>
    <row r="29" spans="1:17" x14ac:dyDescent="0.3">
      <c r="A29" t="str">
        <v>L.00.001T.1</v>
      </c>
      <c r="B29" t="str">
        <v>ЩО-001</v>
      </c>
      <c r="C29" t="str">
        <v>Осветительная группа, пом. 001T</v>
      </c>
      <c r="D29" t="str">
        <v>ВВГнг(А)-LS (3х1,5)</v>
      </c>
      <c r="E29" t="str">
        <v>L=9</v>
      </c>
      <c r="F29" t="str">
        <v/>
      </c>
      <c r="G29" t="str">
        <v>Ø20 L=34</v>
      </c>
      <c r="H29">
        <v>27</v>
      </c>
    </row>
    <row r="30" spans="1:17" x14ac:dyDescent="0.3">
      <c r="A30" t="str">
        <v>L.00.001Б.2</v>
      </c>
      <c r="B30" t="str">
        <v>ЩО-001</v>
      </c>
      <c r="C30" t="str">
        <v>Осветительная группа, пом. 001Б</v>
      </c>
      <c r="D30" t="str">
        <v>ВВГнг(А)-LS (3х1,5)</v>
      </c>
      <c r="E30" t="str">
        <v>L=51</v>
      </c>
      <c r="F30" t="str">
        <v/>
      </c>
      <c r="G30" t="str">
        <v>Ø20 L=143</v>
      </c>
      <c r="H30">
        <v>163</v>
      </c>
    </row>
    <row r="31" spans="1:17" x14ac:dyDescent="0.3">
      <c r="A31" t="str">
        <v>L.00.001Б.3</v>
      </c>
      <c r="B31" t="str">
        <v>ЩО-001</v>
      </c>
      <c r="C31" t="str">
        <v>Осветительная группа, пом. 001Б</v>
      </c>
      <c r="D31" t="str">
        <v>ВВГнг(А)-LS (3х1,5)</v>
      </c>
      <c r="E31" t="str">
        <v>L=33</v>
      </c>
      <c r="F31" t="str">
        <v/>
      </c>
      <c r="G31" t="str">
        <v>Ø20 L=118</v>
      </c>
      <c r="H31">
        <v>126</v>
      </c>
    </row>
    <row r="32" spans="1:17" x14ac:dyDescent="0.3">
      <c r="A32" t="str">
        <v>L.00.001Т.1</v>
      </c>
      <c r="B32" t="str">
        <v>ЩО-001</v>
      </c>
      <c r="C32" t="str">
        <v>Осветительная группа, пом. 001Т</v>
      </c>
      <c r="D32" t="str">
        <v>ВВГнг(А)-LS (3х1,5)</v>
      </c>
      <c r="E32" t="str">
        <v>L=3</v>
      </c>
      <c r="F32" t="str">
        <v/>
      </c>
      <c r="G32" t="str">
        <v>Ø20 L=27</v>
      </c>
      <c r="H32">
        <v>26</v>
      </c>
    </row>
    <row r="33" spans="1:8" x14ac:dyDescent="0.3">
      <c r="A33" t="str">
        <v>L.00.002Б.1</v>
      </c>
      <c r="B33" t="str">
        <v>ЩО-001</v>
      </c>
      <c r="C33" t="str">
        <v>Осветительная группа, пом. 002Б</v>
      </c>
      <c r="D33" t="str">
        <v>ВВГнг(А)-LS (3х1,5)</v>
      </c>
      <c r="E33" t="str">
        <v>L=3</v>
      </c>
      <c r="F33" t="str">
        <v/>
      </c>
      <c r="G33" t="str">
        <v>Ø20 L=39</v>
      </c>
      <c r="H33">
        <v>41</v>
      </c>
    </row>
    <row r="34" spans="1:8" x14ac:dyDescent="0.3">
      <c r="A34" t="str">
        <v>L.00.002Т.1</v>
      </c>
      <c r="B34" t="str">
        <v>ЩО-001</v>
      </c>
      <c r="C34" t="str">
        <v>Осветительная группа, пом. 002Т</v>
      </c>
      <c r="D34" t="str">
        <v>ВВГнг(А)-LS (3х1,5)</v>
      </c>
      <c r="E34" t="str">
        <v>L=15</v>
      </c>
      <c r="F34" t="str">
        <v>Ø20 L=40</v>
      </c>
      <c r="G34" t="str">
        <v/>
      </c>
      <c r="H34">
        <v>63</v>
      </c>
    </row>
    <row r="35" spans="1:8" x14ac:dyDescent="0.3">
      <c r="A35" t="str">
        <v>L.00.003Б.1</v>
      </c>
      <c r="B35" t="str">
        <v>ЩО-001</v>
      </c>
      <c r="C35" t="str">
        <v>Осветительная группа, пом. 003Б</v>
      </c>
      <c r="D35" t="str">
        <v>ВВГнг(А)-LS (3х1,5)</v>
      </c>
      <c r="E35" t="str">
        <v>L=38</v>
      </c>
      <c r="F35" t="str">
        <v/>
      </c>
      <c r="G35" t="str">
        <v>Ø20 L=85</v>
      </c>
      <c r="H35">
        <v>91</v>
      </c>
    </row>
    <row r="36" spans="1:8" x14ac:dyDescent="0.3">
      <c r="A36" t="str">
        <v>L.00.003Tб.1</v>
      </c>
      <c r="B36" t="str">
        <v>ЩО-001</v>
      </c>
      <c r="C36" t="str">
        <v>Осветительная группа, пом. 003Tб</v>
      </c>
      <c r="D36" t="str">
        <v>ВВГнг(А)-LS (3х1,5)</v>
      </c>
      <c r="E36" t="str">
        <v>L=13</v>
      </c>
      <c r="F36" t="str">
        <v/>
      </c>
      <c r="G36" t="str">
        <v>Ø20 L=42</v>
      </c>
      <c r="H36">
        <v>37</v>
      </c>
    </row>
    <row r="37" spans="1:8" x14ac:dyDescent="0.3">
      <c r="A37" t="str">
        <v>L.00.004Б.1</v>
      </c>
      <c r="B37" t="str">
        <v>ЩО-001</v>
      </c>
      <c r="C37" t="str">
        <v>Осветительная группа, пом. 004Б</v>
      </c>
      <c r="D37" t="str">
        <v>ВВГнг(А)-LS (3х1,5)</v>
      </c>
      <c r="E37" t="str">
        <v>L=17</v>
      </c>
      <c r="F37" t="str">
        <v/>
      </c>
      <c r="G37" t="str">
        <v>Ø20 L=60</v>
      </c>
      <c r="H37">
        <v>66</v>
      </c>
    </row>
    <row r="38" spans="1:8" x14ac:dyDescent="0.3">
      <c r="A38" t="str">
        <v>L.00.004Т.1</v>
      </c>
      <c r="B38" t="str">
        <v>ЩО-001</v>
      </c>
      <c r="C38" t="str">
        <v>Осветительная группа, пом. 004Т</v>
      </c>
      <c r="D38" t="str">
        <v>ВВГнг(А)-LS (3х1,5)</v>
      </c>
      <c r="E38" t="str">
        <v>L=10</v>
      </c>
      <c r="F38" t="str">
        <v/>
      </c>
      <c r="G38" t="str">
        <v>Ø20 L=15</v>
      </c>
      <c r="H38">
        <v>19</v>
      </c>
    </row>
    <row r="39" spans="1:8" x14ac:dyDescent="0.3">
      <c r="A39" t="str">
        <v>L.00.005Б.1</v>
      </c>
      <c r="B39" t="str">
        <v>ЩО-001</v>
      </c>
      <c r="C39" t="str">
        <v>Осветительная группа, пом. 005Б</v>
      </c>
      <c r="D39" t="str">
        <v>ВВГнг(А)-LS (3х1,5)</v>
      </c>
      <c r="E39" t="str">
        <v>L=17</v>
      </c>
      <c r="F39" t="str">
        <v/>
      </c>
      <c r="G39" t="str">
        <v>Ø20 L=56</v>
      </c>
      <c r="H39">
        <v>62</v>
      </c>
    </row>
    <row r="40" spans="1:8" x14ac:dyDescent="0.3">
      <c r="A40" t="str">
        <v>L.00.005Т.1</v>
      </c>
      <c r="B40" t="str">
        <v>ЩО-001</v>
      </c>
      <c r="C40" t="str">
        <v>Осветительная группа, пом. 005Т</v>
      </c>
      <c r="D40" t="str">
        <v>ВВГнг(А)-LS (3х1,5)</v>
      </c>
      <c r="E40" t="str">
        <v>L=19</v>
      </c>
      <c r="F40" t="str">
        <v>Ø20 L=53</v>
      </c>
      <c r="G40" t="str">
        <v/>
      </c>
      <c r="H40">
        <v>80</v>
      </c>
    </row>
    <row r="41" spans="1:8" x14ac:dyDescent="0.3">
      <c r="A41" t="str">
        <v>L.00.006Б.1</v>
      </c>
      <c r="B41" t="str">
        <v>ЩО-001</v>
      </c>
      <c r="C41" t="str">
        <v>Осветительная группа, пом. 006Б</v>
      </c>
      <c r="D41" t="str">
        <v>ВВГнг(А)-LS (3х1,5)</v>
      </c>
      <c r="E41" t="str">
        <v>L=7</v>
      </c>
      <c r="F41" t="str">
        <v/>
      </c>
      <c r="G41" t="str">
        <v>Ø20 L=28</v>
      </c>
      <c r="H41">
        <v>32</v>
      </c>
    </row>
    <row r="42" spans="1:8" x14ac:dyDescent="0.3">
      <c r="A42" t="str">
        <v>L.00.006Т.1</v>
      </c>
      <c r="B42" t="str">
        <v>ЩО-001</v>
      </c>
      <c r="C42" t="str">
        <v>Осветительная группа, пом. 006Т</v>
      </c>
      <c r="D42" t="str">
        <v>ВВГнг(А)-LS (3х1,5)</v>
      </c>
      <c r="E42" t="str">
        <v>L=33</v>
      </c>
      <c r="F42" t="str">
        <v>Ø20 L=89</v>
      </c>
      <c r="G42" t="str">
        <v/>
      </c>
      <c r="H42">
        <v>127</v>
      </c>
    </row>
    <row r="43" spans="1:8" x14ac:dyDescent="0.3">
      <c r="A43" t="str">
        <v>L.00.007Б.1</v>
      </c>
      <c r="B43" t="str">
        <v>ЩО-001</v>
      </c>
      <c r="C43" t="str">
        <v>Осветительная группа, пом. 007Б</v>
      </c>
      <c r="D43" t="str">
        <v>ВВГнг(А)-LS (3х1,5)</v>
      </c>
      <c r="E43" t="str">
        <v>L=33</v>
      </c>
      <c r="F43" t="str">
        <v>Ø20 L=57</v>
      </c>
      <c r="G43" t="str">
        <v/>
      </c>
      <c r="H43">
        <v>95</v>
      </c>
    </row>
    <row r="44" spans="1:8" x14ac:dyDescent="0.3">
      <c r="A44" t="str">
        <v>L.00.007Т.1</v>
      </c>
      <c r="B44" t="str">
        <v>ЩО-001</v>
      </c>
      <c r="C44" t="str">
        <v>Осветительная группа, пом. 007Т</v>
      </c>
      <c r="D44" t="str">
        <v>ВВГнг(А)-LS (3х1,5)</v>
      </c>
      <c r="E44" t="str">
        <v>L=7</v>
      </c>
      <c r="F44" t="str">
        <v/>
      </c>
      <c r="G44" t="str">
        <v>Ø20 L=42</v>
      </c>
      <c r="H44">
        <v>46</v>
      </c>
    </row>
    <row r="45" spans="1:8" x14ac:dyDescent="0.3">
      <c r="A45" t="str">
        <v>L.00.008T.1</v>
      </c>
      <c r="B45" t="str">
        <v>ЩО-001</v>
      </c>
      <c r="C45" t="str">
        <v>Осветительная группа, пом. 008T</v>
      </c>
      <c r="D45" t="str">
        <v>ВВГнг(А)-LS (3х1,5)</v>
      </c>
      <c r="E45" t="str">
        <v>L=14</v>
      </c>
      <c r="F45" t="str">
        <v/>
      </c>
      <c r="G45" t="str">
        <v>Ø20 L=69</v>
      </c>
      <c r="H45">
        <v>63</v>
      </c>
    </row>
    <row r="46" spans="1:8" x14ac:dyDescent="0.3">
      <c r="A46" t="str">
        <v>L.00.009Б.1</v>
      </c>
      <c r="B46" t="str">
        <v>ЩО-001</v>
      </c>
      <c r="C46" t="str">
        <v>Осветительная группа, пом. 009Б</v>
      </c>
      <c r="D46" t="str">
        <v>ВВГнг(А)-LS (3х1,5)</v>
      </c>
      <c r="E46" t="str">
        <v>L=6</v>
      </c>
      <c r="F46" t="str">
        <v/>
      </c>
      <c r="G46" t="str">
        <v>Ø20 L=31</v>
      </c>
      <c r="H46">
        <v>33</v>
      </c>
    </row>
    <row r="47" spans="1:8" x14ac:dyDescent="0.3">
      <c r="A47" t="str">
        <v>L.00.010Б.1</v>
      </c>
      <c r="B47" t="str">
        <v>ЩО-001</v>
      </c>
      <c r="C47" t="str">
        <v>Осветительная группа, пом. 010Б</v>
      </c>
      <c r="D47" t="str">
        <v>ВВГнг(А)-LS (3х1,5)</v>
      </c>
      <c r="E47" t="str">
        <v/>
      </c>
      <c r="F47" t="str">
        <v>Ø20 L=70</v>
      </c>
      <c r="G47" t="str">
        <v/>
      </c>
      <c r="H47">
        <v>78</v>
      </c>
    </row>
    <row r="48" spans="1:8" x14ac:dyDescent="0.3">
      <c r="A48" t="str">
        <v>L.00.003T.1</v>
      </c>
      <c r="B48" t="str">
        <v>ЩО-001</v>
      </c>
      <c r="C48" t="str">
        <v>Осветительная группа, пом. 003T</v>
      </c>
      <c r="D48" t="str">
        <v>ВВГнг(А)-LS (3х1,5)</v>
      </c>
      <c r="E48" t="str">
        <v>L=8</v>
      </c>
      <c r="F48" t="str">
        <v>Ø20 L=71</v>
      </c>
      <c r="G48" t="str">
        <v/>
      </c>
      <c r="H48">
        <v>87</v>
      </c>
    </row>
    <row r="49" spans="1:8" x14ac:dyDescent="0.3">
      <c r="A49" t="str">
        <v>Ввод.1</v>
      </c>
      <c r="B49" t="str">
        <v>ЩОВ-001</v>
      </c>
      <c r="C49" t="str">
        <v>Ввод</v>
      </c>
      <c r="D49" t="str">
        <v>ВВГнг(А)-LS (5х185)</v>
      </c>
      <c r="E49" t="str">
        <v>L=37</v>
      </c>
      <c r="F49" t="str">
        <v xml:space="preserve"> L=14</v>
      </c>
      <c r="G49" t="str">
        <v/>
      </c>
      <c r="H49">
        <v>51</v>
      </c>
    </row>
    <row r="50" spans="1:8" x14ac:dyDescent="0.3">
      <c r="A50" t="str">
        <v>В.3</v>
      </c>
      <c r="B50" t="str">
        <v>ЩОВ-001</v>
      </c>
      <c r="C50" t="str">
        <v>Вытяжная установка Пом №006T</v>
      </c>
      <c r="D50" t="str">
        <v>ВВГнг(А)-LS (3х1,5)</v>
      </c>
      <c r="E50" t="str">
        <v/>
      </c>
      <c r="F50" t="str">
        <v>Ø20 L=21</v>
      </c>
      <c r="G50" t="str">
        <v/>
      </c>
      <c r="H50">
        <v>21</v>
      </c>
    </row>
    <row r="51" spans="1:8" x14ac:dyDescent="0.3">
      <c r="A51" t="str">
        <v>В.9</v>
      </c>
      <c r="B51" t="str">
        <v>ЩОВ-001</v>
      </c>
      <c r="C51" t="str">
        <v>Вытяжная установка Пом №006T</v>
      </c>
      <c r="D51" t="str">
        <v>ВВГнг(А)-LS (3х1,5)</v>
      </c>
      <c r="E51" t="str">
        <v/>
      </c>
      <c r="F51" t="str">
        <v>Ø20 L=17</v>
      </c>
      <c r="G51" t="str">
        <v/>
      </c>
      <c r="H51">
        <v>17</v>
      </c>
    </row>
    <row r="52" spans="1:8" x14ac:dyDescent="0.3">
      <c r="A52" t="str">
        <v>В.11</v>
      </c>
      <c r="B52" t="str">
        <v>ЩОВ-001</v>
      </c>
      <c r="C52" t="str">
        <v>Вытяжная установка Подвальный этаж Пом №006T</v>
      </c>
      <c r="D52" t="str">
        <v>ВВГнг(А)-LS (3х1,5)</v>
      </c>
      <c r="E52" t="str">
        <v/>
      </c>
      <c r="F52" t="str">
        <v>Ø20 L=18</v>
      </c>
      <c r="G52" t="str">
        <v/>
      </c>
      <c r="H52">
        <v>18</v>
      </c>
    </row>
    <row r="53" spans="1:8" x14ac:dyDescent="0.3">
      <c r="A53" t="str">
        <v>В.12</v>
      </c>
      <c r="B53" t="str">
        <v>ЩОВ-001</v>
      </c>
      <c r="C53" t="str">
        <v>Вытяжная установка Подвальный этаж Пом №006T</v>
      </c>
      <c r="D53" t="str">
        <v>ВВГнг(А)-LS (3х1,5)</v>
      </c>
      <c r="E53" t="str">
        <v/>
      </c>
      <c r="F53" t="str">
        <v>Ø20 L=15</v>
      </c>
      <c r="G53" t="str">
        <v/>
      </c>
      <c r="H53">
        <v>15</v>
      </c>
    </row>
    <row r="54" spans="1:8" x14ac:dyDescent="0.3">
      <c r="A54" t="str">
        <v>В.13</v>
      </c>
      <c r="B54" t="str">
        <v>ЩОВ-001</v>
      </c>
      <c r="C54" t="str">
        <v>Вытяжная установка Подвальный этаж Пом №006T</v>
      </c>
      <c r="D54" t="str">
        <v>ВВГнг(А)-LS (3х1,5)</v>
      </c>
      <c r="E54" t="str">
        <v/>
      </c>
      <c r="F54" t="str">
        <v>Ø20 L=16</v>
      </c>
      <c r="G54" t="str">
        <v/>
      </c>
      <c r="H54">
        <v>16</v>
      </c>
    </row>
    <row r="55" spans="1:8" x14ac:dyDescent="0.3">
      <c r="A55" t="str">
        <v>В.17</v>
      </c>
      <c r="B55" t="str">
        <v>ЩОВ-001</v>
      </c>
      <c r="C55" t="str">
        <v>Вытяжная установка Подвальный этаж Пом №006T</v>
      </c>
      <c r="D55" t="str">
        <v>ВВГнг(А)-LS (3х1,5)</v>
      </c>
      <c r="E55" t="str">
        <v/>
      </c>
      <c r="F55" t="str">
        <v>Ø20 L=20</v>
      </c>
      <c r="G55" t="str">
        <v/>
      </c>
      <c r="H55">
        <v>20</v>
      </c>
    </row>
    <row r="56" spans="1:8" x14ac:dyDescent="0.3">
      <c r="A56" t="str">
        <v>В.18</v>
      </c>
      <c r="B56" t="str">
        <v>ЩОВ-001</v>
      </c>
      <c r="C56" t="str">
        <v>Вытяжная установка Подвальный этаж Пом №006T</v>
      </c>
      <c r="D56" t="str">
        <v>ВВГнг(А)-LS (3х1,5)</v>
      </c>
      <c r="E56" t="str">
        <v/>
      </c>
      <c r="F56" t="str">
        <v>Ø20 L=23</v>
      </c>
      <c r="G56" t="str">
        <v/>
      </c>
      <c r="H56">
        <v>23</v>
      </c>
    </row>
    <row r="57" spans="1:8" x14ac:dyDescent="0.3">
      <c r="A57" t="str">
        <v>П.1</v>
      </c>
      <c r="B57" t="str">
        <v>ЩОВ-001</v>
      </c>
      <c r="C57" t="str">
        <v>Приточная установка Пом №006Т</v>
      </c>
      <c r="D57" t="str">
        <v>ВВГнг(А)-LS (3х1,5)</v>
      </c>
      <c r="E57" t="str">
        <v/>
      </c>
      <c r="F57" t="str">
        <v>Ø20 L=15</v>
      </c>
      <c r="G57" t="str">
        <v/>
      </c>
      <c r="H57">
        <v>15</v>
      </c>
    </row>
    <row r="58" spans="1:8" x14ac:dyDescent="0.3">
      <c r="A58" t="str">
        <v>П.2</v>
      </c>
      <c r="B58" t="str">
        <v>ЩОВ-001</v>
      </c>
      <c r="C58" t="str">
        <v>Приточная установка Пом №006Т</v>
      </c>
      <c r="D58" t="str">
        <v>ВВГнг(А)-LS (3х1,5)</v>
      </c>
      <c r="E58" t="str">
        <v/>
      </c>
      <c r="F58" t="str">
        <v>Ø20 L=26</v>
      </c>
      <c r="G58" t="str">
        <v/>
      </c>
      <c r="H58">
        <v>26</v>
      </c>
    </row>
    <row r="59" spans="1:8" x14ac:dyDescent="0.3">
      <c r="A59" t="str">
        <v>П.4</v>
      </c>
      <c r="B59" t="str">
        <v>ЩОВ-001</v>
      </c>
      <c r="C59" t="str">
        <v>Приточная установка Пом №006Т</v>
      </c>
      <c r="D59" t="str">
        <v>ВВГнг(А)-LS (3х1,5)</v>
      </c>
      <c r="E59" t="str">
        <v/>
      </c>
      <c r="F59" t="str">
        <v>Ø20 L=23</v>
      </c>
      <c r="G59" t="str">
        <v/>
      </c>
      <c r="H59">
        <v>23</v>
      </c>
    </row>
    <row r="60" spans="1:8" x14ac:dyDescent="0.3">
      <c r="A60" t="str">
        <v>ПВ.2</v>
      </c>
      <c r="B60" t="str">
        <v>ЩОВ-001</v>
      </c>
      <c r="C60" t="str">
        <v>Приточно-вытяжная установка Подвальный этаж Пом. №006Т</v>
      </c>
      <c r="D60" t="str">
        <v>ВВГнг(А)-LS (3х2,5)</v>
      </c>
      <c r="E60" t="str">
        <v/>
      </c>
      <c r="F60" t="str">
        <v>Ø20 L=27</v>
      </c>
      <c r="G60" t="str">
        <v/>
      </c>
      <c r="H60">
        <v>27</v>
      </c>
    </row>
    <row r="61" spans="1:8" x14ac:dyDescent="0.3">
      <c r="A61" t="str">
        <v>ПВ.3</v>
      </c>
      <c r="B61" t="str">
        <v>ЩОВ-001</v>
      </c>
      <c r="C61" t="str">
        <v>Приточно-вытяжная установка Подвальный этаж Пом. №006Т</v>
      </c>
      <c r="D61" t="str">
        <v>ВВГнг(А)-LS (3х1,5)</v>
      </c>
      <c r="E61" t="str">
        <v/>
      </c>
      <c r="F61" t="str">
        <v>Ø20 L=28</v>
      </c>
      <c r="G61" t="str">
        <v/>
      </c>
      <c r="H61">
        <v>28</v>
      </c>
    </row>
    <row r="62" spans="1:8" x14ac:dyDescent="0.3">
      <c r="A62" t="str">
        <v>ПВ.4</v>
      </c>
      <c r="B62" t="str">
        <v>ЩОВ-001</v>
      </c>
      <c r="C62" t="str">
        <v>Приточно-вытяжная установка Подвальный этаж Пом. №006Т</v>
      </c>
      <c r="D62" t="str">
        <v>ВВГнг(А)-LS (3х1,5)</v>
      </c>
      <c r="E62" t="str">
        <v/>
      </c>
      <c r="F62" t="str">
        <v>Ø20 L=27</v>
      </c>
      <c r="G62" t="str">
        <v/>
      </c>
      <c r="H62">
        <v>27</v>
      </c>
    </row>
    <row r="63" spans="1:8" x14ac:dyDescent="0.3">
      <c r="A63" t="str">
        <v>К.1.017А.1</v>
      </c>
      <c r="B63" t="str">
        <v>ЩОВ-001</v>
      </c>
      <c r="C63" t="str">
        <v>Внутренний блок кондиционера Подвальный этаж Пом. №006Т</v>
      </c>
      <c r="D63" t="str">
        <v>ВВГнг(А)-LS (3х1,5)</v>
      </c>
      <c r="E63" t="str">
        <v/>
      </c>
      <c r="F63" t="str">
        <v>Ø20 L=16</v>
      </c>
      <c r="G63" t="str">
        <v/>
      </c>
      <c r="H63">
        <v>16</v>
      </c>
    </row>
    <row r="64" spans="1:8" x14ac:dyDescent="0.3">
      <c r="A64" t="str">
        <v>К.1.021А.1</v>
      </c>
      <c r="B64" t="str">
        <v>ЩОВ-001</v>
      </c>
      <c r="C64" t="str">
        <v>Внутренний блок кондиционера Подвальный этаж Пом. №006Т</v>
      </c>
      <c r="D64" t="str">
        <v>ВВГнг(А)-LS (3х1,5)</v>
      </c>
      <c r="E64" t="str">
        <v/>
      </c>
      <c r="F64" t="str">
        <v>Ø20 L=16</v>
      </c>
      <c r="G64" t="str">
        <v/>
      </c>
      <c r="H64">
        <v>16</v>
      </c>
    </row>
    <row r="65" spans="1:8" x14ac:dyDescent="0.3">
      <c r="A65" t="str">
        <v>K.1</v>
      </c>
      <c r="B65" t="str">
        <v>ЩОВ-001</v>
      </c>
      <c r="C65" t="str">
        <v>Внешний блок кондиционирования Пом. Венткиосок</v>
      </c>
      <c r="D65" t="str">
        <v>ВВГнг(А)-LS (3х2,5)</v>
      </c>
      <c r="E65" t="str">
        <v/>
      </c>
      <c r="F65" t="str">
        <v>Ø20 L=35</v>
      </c>
      <c r="G65" t="str">
        <v/>
      </c>
      <c r="H65">
        <v>38</v>
      </c>
    </row>
    <row r="66" spans="1:8" x14ac:dyDescent="0.3">
      <c r="A66" t="str">
        <v>K.2</v>
      </c>
      <c r="B66" t="str">
        <v>ЩОВ-001</v>
      </c>
      <c r="C66" t="str">
        <v>Внешний блок кондиционирования Пом. Венткиосок</v>
      </c>
      <c r="D66" t="str">
        <v>ВВГнг(А)-LS (3х2,5)</v>
      </c>
      <c r="E66" t="str">
        <v/>
      </c>
      <c r="F66" t="str">
        <v>Ø20 L=35</v>
      </c>
      <c r="G66" t="str">
        <v/>
      </c>
      <c r="H66">
        <v>38</v>
      </c>
    </row>
    <row r="67" spans="1:8" x14ac:dyDescent="0.3">
      <c r="A67" t="str">
        <v>K.3</v>
      </c>
      <c r="B67" t="str">
        <v>ЩОВ-001</v>
      </c>
      <c r="C67" t="str">
        <v>Внешний блок кондиционирования Пом. Венткиосок</v>
      </c>
      <c r="D67" t="str">
        <v>ВВГнг(А)-LS (3х2,5)</v>
      </c>
      <c r="E67" t="str">
        <v/>
      </c>
      <c r="F67" t="str">
        <v>Ø20 L=35</v>
      </c>
      <c r="G67" t="str">
        <v/>
      </c>
      <c r="H67">
        <v>38</v>
      </c>
    </row>
    <row r="68" spans="1:8" x14ac:dyDescent="0.3">
      <c r="A68" t="str">
        <v>K.4</v>
      </c>
      <c r="B68" t="str">
        <v>ЩОВ-001</v>
      </c>
      <c r="C68" t="str">
        <v>Внешний блок кондиционирования Пом. Венткиосок</v>
      </c>
      <c r="D68" t="str">
        <v>ВВГнг(А)-LS (3х2,5)</v>
      </c>
      <c r="E68" t="str">
        <v/>
      </c>
      <c r="F68" t="str">
        <v>Ø20 L=35</v>
      </c>
      <c r="G68" t="str">
        <v/>
      </c>
      <c r="H68">
        <v>38</v>
      </c>
    </row>
    <row r="69" spans="1:8" x14ac:dyDescent="0.3">
      <c r="A69" t="str">
        <v>K.5</v>
      </c>
      <c r="B69" t="str">
        <v>ЩОВ-001</v>
      </c>
      <c r="C69" t="str">
        <v>Внешний блок кондиционирования Пом. Венткиосок</v>
      </c>
      <c r="D69" t="str">
        <v>ВВГнг(А)-LS (3х2,5)</v>
      </c>
      <c r="E69" t="str">
        <v/>
      </c>
      <c r="F69" t="str">
        <v>Ø20 L=31</v>
      </c>
      <c r="G69" t="str">
        <v/>
      </c>
      <c r="H69">
        <v>35</v>
      </c>
    </row>
    <row r="70" spans="1:8" x14ac:dyDescent="0.3">
      <c r="A70" t="str">
        <v>K.6</v>
      </c>
      <c r="B70" t="str">
        <v>ЩОВ-001</v>
      </c>
      <c r="C70" t="str">
        <v>Внешний блок кондиционирования Пом. Венткиосок</v>
      </c>
      <c r="D70" t="str">
        <v>ВВГнг(А)-LS (3х2,5)</v>
      </c>
      <c r="E70" t="str">
        <v/>
      </c>
      <c r="F70" t="str">
        <v>Ø20 L=31</v>
      </c>
      <c r="G70" t="str">
        <v/>
      </c>
      <c r="H70">
        <v>35</v>
      </c>
    </row>
    <row r="71" spans="1:8" x14ac:dyDescent="0.3">
      <c r="A71" t="str">
        <v>K.7</v>
      </c>
      <c r="B71" t="str">
        <v>ЩОВ-001</v>
      </c>
      <c r="C71" t="str">
        <v>Внешний блок кондиционирования Пом. Венткиосок</v>
      </c>
      <c r="D71" t="str">
        <v>ВВГнг(А)-LS (3х2,5)</v>
      </c>
      <c r="E71" t="str">
        <v/>
      </c>
      <c r="F71" t="str">
        <v>Ø20 L=31</v>
      </c>
      <c r="G71" t="str">
        <v/>
      </c>
      <c r="H71">
        <v>35</v>
      </c>
    </row>
    <row r="72" spans="1:8" x14ac:dyDescent="0.3">
      <c r="A72" t="str">
        <v>K.8</v>
      </c>
      <c r="B72" t="str">
        <v>ЩОВ-001</v>
      </c>
      <c r="C72" t="str">
        <v>Внешний блок кондиционирования Пом. Венткиосок</v>
      </c>
      <c r="D72" t="str">
        <v>ВВГнг(А)-LS (3х2,5)</v>
      </c>
      <c r="E72" t="str">
        <v/>
      </c>
      <c r="F72" t="str">
        <v>Ø20 L=31</v>
      </c>
      <c r="G72" t="str">
        <v/>
      </c>
      <c r="H72">
        <v>35</v>
      </c>
    </row>
    <row r="73" spans="1:8" x14ac:dyDescent="0.3">
      <c r="A73" t="str">
        <v>K.9</v>
      </c>
      <c r="B73" t="str">
        <v>ЩОВ-001</v>
      </c>
      <c r="C73" t="str">
        <v>Внешний блок кондиционирования Пом. Венткиосок</v>
      </c>
      <c r="D73" t="str">
        <v>ВВГнг(А)-LS (3х2,5)</v>
      </c>
      <c r="E73" t="str">
        <v/>
      </c>
      <c r="F73" t="str">
        <v>Ø20 L=28</v>
      </c>
      <c r="G73" t="str">
        <v/>
      </c>
      <c r="H73">
        <v>32</v>
      </c>
    </row>
    <row r="74" spans="1:8" x14ac:dyDescent="0.3">
      <c r="A74" t="str">
        <v>K.10</v>
      </c>
      <c r="B74" t="str">
        <v>ЩОВ-001</v>
      </c>
      <c r="C74" t="str">
        <v>Внешний блок кондиционирования Пом. Венткиосок</v>
      </c>
      <c r="D74" t="str">
        <v>ВВГнг(А)-LS (3х2,5)</v>
      </c>
      <c r="E74" t="str">
        <v/>
      </c>
      <c r="F74" t="str">
        <v>Ø20 L=28</v>
      </c>
      <c r="G74" t="str">
        <v/>
      </c>
      <c r="H74">
        <v>32</v>
      </c>
    </row>
    <row r="75" spans="1:8" x14ac:dyDescent="0.3">
      <c r="A75" t="str">
        <v>K.11</v>
      </c>
      <c r="B75" t="str">
        <v>ЩОВ-001</v>
      </c>
      <c r="C75" t="str">
        <v>Внешний блок кондиционирования Пом. Венткиосок</v>
      </c>
      <c r="D75" t="str">
        <v>ВВГнг(А)-LS (3х2,5)</v>
      </c>
      <c r="E75" t="str">
        <v/>
      </c>
      <c r="F75" t="str">
        <v>Ø20 L=28</v>
      </c>
      <c r="G75" t="str">
        <v/>
      </c>
      <c r="H75">
        <v>32</v>
      </c>
    </row>
    <row r="76" spans="1:8" x14ac:dyDescent="0.3">
      <c r="A76" t="str">
        <v>ККБ-1</v>
      </c>
      <c r="B76" t="str">
        <v>ЩОВ-001</v>
      </c>
      <c r="C76" t="str">
        <v>Внешний блок кондиционирования Пом. Венткиосок</v>
      </c>
      <c r="D76" t="str">
        <v>ВВГнг(А)-LS (5х25)</v>
      </c>
      <c r="E76" t="str">
        <v/>
      </c>
      <c r="F76" t="str">
        <v xml:space="preserve"> L=30</v>
      </c>
      <c r="G76" t="str">
        <v/>
      </c>
      <c r="H76">
        <v>34</v>
      </c>
    </row>
    <row r="77" spans="1:8" x14ac:dyDescent="0.3">
      <c r="A77" t="str">
        <v>ККБ-2</v>
      </c>
      <c r="B77" t="str">
        <v>ЩОВ-001</v>
      </c>
      <c r="C77" t="str">
        <v>Внешний блок кондиционирования Пом. Венткиосок</v>
      </c>
      <c r="D77" t="str">
        <v>ВВГнг(А)-LS (5х25)</v>
      </c>
      <c r="E77" t="str">
        <v/>
      </c>
      <c r="F77" t="str">
        <v xml:space="preserve"> L=33</v>
      </c>
      <c r="G77" t="str">
        <v/>
      </c>
      <c r="H77">
        <v>37</v>
      </c>
    </row>
    <row r="78" spans="1:8" x14ac:dyDescent="0.3">
      <c r="A78" t="str">
        <v>НБ-1</v>
      </c>
      <c r="B78" t="str">
        <v>ЩОВ-001</v>
      </c>
      <c r="C78" t="str">
        <v>Внешний блок кондиционирования Пом. Венткиосок</v>
      </c>
      <c r="D78" t="str">
        <v>ВВГнг(А)-LS (5х25)</v>
      </c>
      <c r="E78" t="str">
        <v/>
      </c>
      <c r="F78" t="str">
        <v xml:space="preserve"> L=47</v>
      </c>
      <c r="G78" t="str">
        <v/>
      </c>
      <c r="H78">
        <v>51</v>
      </c>
    </row>
    <row r="79" spans="1:8" x14ac:dyDescent="0.3">
      <c r="A79" t="str">
        <v>ККБ-3</v>
      </c>
      <c r="B79" t="str">
        <v>ЩОВ-001</v>
      </c>
      <c r="C79" t="str">
        <v>Внешний блок кондиционирования Пом. Венткиосок</v>
      </c>
      <c r="D79" t="str">
        <v>ВВГнг(А)-LS (5х25)</v>
      </c>
      <c r="E79" t="str">
        <v/>
      </c>
      <c r="F79" t="str">
        <v xml:space="preserve"> L=32</v>
      </c>
      <c r="G79" t="str">
        <v/>
      </c>
      <c r="H79">
        <v>36</v>
      </c>
    </row>
    <row r="80" spans="1:8" x14ac:dyDescent="0.3">
      <c r="A80" t="str">
        <v>ККБ-4</v>
      </c>
      <c r="B80" t="str">
        <v>ЩОВ-001</v>
      </c>
      <c r="C80" t="str">
        <v>Внешний блок кондиционирования Пом. Венткиосок</v>
      </c>
      <c r="D80" t="str">
        <v>ВВГнг(А)-LS (5х25)</v>
      </c>
      <c r="E80" t="str">
        <v/>
      </c>
      <c r="F80" t="str">
        <v xml:space="preserve"> L=36</v>
      </c>
      <c r="G80" t="str">
        <v/>
      </c>
      <c r="H80">
        <v>40</v>
      </c>
    </row>
    <row r="81" spans="1:8" x14ac:dyDescent="0.3">
      <c r="A81" t="str">
        <v>НБ-2</v>
      </c>
      <c r="B81" t="str">
        <v>ЩОВ-001</v>
      </c>
      <c r="C81" t="str">
        <v>Внешний блок кондиционирования Пом. Венткиосок</v>
      </c>
      <c r="D81" t="str">
        <v>ВВГнг(А)-LS (5х25)</v>
      </c>
      <c r="E81" t="str">
        <v/>
      </c>
      <c r="F81" t="str">
        <v xml:space="preserve"> L=40</v>
      </c>
      <c r="G81" t="str">
        <v/>
      </c>
      <c r="H81">
        <v>44</v>
      </c>
    </row>
    <row r="82" spans="1:8" x14ac:dyDescent="0.3">
      <c r="A82" t="str">
        <v>НБ-3</v>
      </c>
      <c r="B82" t="str">
        <v>ЩОВ-001</v>
      </c>
      <c r="C82" t="str">
        <v>Внешний блок кондиционирования Пом. Венткиосок</v>
      </c>
      <c r="D82" t="str">
        <v>ВВГнг(А)-LS (5х6)</v>
      </c>
      <c r="E82" t="str">
        <v/>
      </c>
      <c r="F82" t="str">
        <v>Ø25 L=43</v>
      </c>
      <c r="G82" t="str">
        <v/>
      </c>
      <c r="H82">
        <v>47</v>
      </c>
    </row>
    <row r="83" spans="1:8" x14ac:dyDescent="0.3">
      <c r="A83" t="str">
        <v>НБ-4</v>
      </c>
      <c r="B83" t="str">
        <v>ЩОВ-001</v>
      </c>
      <c r="C83" t="str">
        <v>Внешний блок кондиционирования Пом. Венткиосок</v>
      </c>
      <c r="D83" t="str">
        <v>ВВГнг(А)-LS (5х4)</v>
      </c>
      <c r="E83" t="str">
        <v/>
      </c>
      <c r="F83" t="str">
        <v>Ø25 L=41</v>
      </c>
      <c r="G83" t="str">
        <v/>
      </c>
      <c r="H83">
        <v>45</v>
      </c>
    </row>
    <row r="84" spans="1:8" x14ac:dyDescent="0.3">
      <c r="A84" t="str">
        <v>Ввод.1</v>
      </c>
      <c r="B84" t="str">
        <v>ЩОВ-002</v>
      </c>
      <c r="C84" t="str">
        <v>Ввод</v>
      </c>
      <c r="D84" t="str">
        <v>ВВГнг(А)-LS (5х4)</v>
      </c>
      <c r="E84" t="str">
        <v>L=16</v>
      </c>
      <c r="F84" t="str">
        <v>Ø25 L=18</v>
      </c>
      <c r="G84" t="str">
        <v/>
      </c>
      <c r="H84">
        <v>34</v>
      </c>
    </row>
    <row r="85" spans="1:8" x14ac:dyDescent="0.3">
      <c r="A85" t="str">
        <v>В.7</v>
      </c>
      <c r="B85" t="str">
        <v>ЩОВ-002</v>
      </c>
      <c r="C85" t="str">
        <v>Вытяжная установка Шлейф Подвальный этаж Пом. №003Т</v>
      </c>
      <c r="D85" t="str">
        <v>ВВГнг(А)-LS (3х1,5)</v>
      </c>
      <c r="E85" t="str">
        <v/>
      </c>
      <c r="F85" t="str">
        <v>Ø20 L=23</v>
      </c>
      <c r="G85" t="str">
        <v/>
      </c>
      <c r="H85">
        <v>23</v>
      </c>
    </row>
    <row r="86" spans="1:8" x14ac:dyDescent="0.3">
      <c r="A86" t="str">
        <v>ПВ.1</v>
      </c>
      <c r="B86" t="str">
        <v>ЩОВ-002</v>
      </c>
      <c r="C86" t="str">
        <v>Приточно-вытяжная установка Подвальный этаж Пом. №003Т</v>
      </c>
      <c r="D86" t="str">
        <v>ВВГнг(А)-LS (3х2,5)</v>
      </c>
      <c r="E86" t="str">
        <v/>
      </c>
      <c r="F86" t="str">
        <v>Ø20 L=19</v>
      </c>
      <c r="G86" t="str">
        <v/>
      </c>
      <c r="H86">
        <v>19</v>
      </c>
    </row>
    <row r="87" spans="1:8" x14ac:dyDescent="0.3">
      <c r="A87" t="str">
        <v>ПВ.К</v>
      </c>
      <c r="B87" t="str">
        <v>ЩОВ-002</v>
      </c>
      <c r="C87" t="str">
        <v>Приточно-вытяжная установка Подвальный этаж Пом. №003Т</v>
      </c>
      <c r="D87" t="str">
        <v>ВВГнг(А)-LS (3х1,5)</v>
      </c>
      <c r="E87" t="str">
        <v/>
      </c>
      <c r="F87" t="str">
        <v>Ø20 L=16</v>
      </c>
      <c r="G87" t="str">
        <v/>
      </c>
      <c r="H87">
        <v>16</v>
      </c>
    </row>
    <row r="88" spans="1:8" x14ac:dyDescent="0.3">
      <c r="A88" t="str">
        <v>ПВ.10</v>
      </c>
      <c r="B88" t="str">
        <v>ЩОВ-002</v>
      </c>
      <c r="C88" t="str">
        <v>Приточно-вытяжная установка Подвальный этаж Пом. №005Т</v>
      </c>
      <c r="D88" t="str">
        <v>ВВГнг(А)-LS (3х4)</v>
      </c>
      <c r="E88" t="str">
        <v>L=11</v>
      </c>
      <c r="F88" t="str">
        <v>Ø20 L=22</v>
      </c>
      <c r="G88" t="str">
        <v/>
      </c>
      <c r="H88">
        <v>33</v>
      </c>
    </row>
    <row r="89" spans="1:8" x14ac:dyDescent="0.3">
      <c r="A89" t="str">
        <v>K.0.002A</v>
      </c>
      <c r="B89" t="str">
        <v>ЩОВ-002</v>
      </c>
      <c r="C89" t="str">
        <v>Внутренний блок кондиционирования Подвальный этаж Пом. №005Т</v>
      </c>
      <c r="D89" t="str">
        <v>ВВГнг(А)-LS (3х1,5)</v>
      </c>
      <c r="E89" t="str">
        <v>L=11</v>
      </c>
      <c r="F89" t="str">
        <v>Ø20 L=11</v>
      </c>
      <c r="G89" t="str">
        <v/>
      </c>
      <c r="H89">
        <v>22</v>
      </c>
    </row>
    <row r="90" spans="1:8" x14ac:dyDescent="0.3">
      <c r="A90" t="str">
        <v>K.0.006A</v>
      </c>
      <c r="B90" t="str">
        <v>ЩОВ-002</v>
      </c>
      <c r="C90" t="str">
        <v>Внутренний блок кондиционирования Подвальный этаж Пом. №005Т</v>
      </c>
      <c r="D90" t="str">
        <v>ВВГнг(А)-LS (3х1,5)</v>
      </c>
      <c r="E90" t="str">
        <v>L=11</v>
      </c>
      <c r="F90" t="str">
        <v>Ø20 L=15</v>
      </c>
      <c r="G90" t="str">
        <v/>
      </c>
      <c r="H90">
        <v>26</v>
      </c>
    </row>
    <row r="91" spans="1:8" x14ac:dyDescent="0.3">
      <c r="A91" t="str">
        <v>K.00.001A</v>
      </c>
      <c r="B91" t="str">
        <v>ЩОВ-002</v>
      </c>
      <c r="C91" t="str">
        <v>Внутренний блок кондиционирования Подвальный этаж Пом. №005Т</v>
      </c>
      <c r="D91" t="str">
        <v>ВВГнг(А)-LS (3х1,5)</v>
      </c>
      <c r="E91" t="str">
        <v>L=11</v>
      </c>
      <c r="F91" t="str">
        <v>Ø20 L=16</v>
      </c>
      <c r="G91" t="str">
        <v/>
      </c>
      <c r="H91">
        <v>27</v>
      </c>
    </row>
    <row r="92" spans="1:8" x14ac:dyDescent="0.3">
      <c r="A92" t="str">
        <v>K.00.004A</v>
      </c>
      <c r="B92" t="str">
        <v>ЩОВ-002</v>
      </c>
      <c r="C92" t="str">
        <v>Внутренний блок кондиционирования Подвальный этаж Пом. №002Б</v>
      </c>
      <c r="D92" t="str">
        <v>ВВГнг(А)-LS (3х1,5)</v>
      </c>
      <c r="E92" t="str">
        <v>L=14</v>
      </c>
      <c r="F92" t="str">
        <v>Ø20 L=18</v>
      </c>
      <c r="G92" t="str">
        <v/>
      </c>
      <c r="H92">
        <v>32</v>
      </c>
    </row>
    <row r="93" spans="1:8" x14ac:dyDescent="0.3">
      <c r="A93" t="str">
        <v>K.00.004T.1</v>
      </c>
      <c r="B93" t="str">
        <v>ЩОВ-002</v>
      </c>
      <c r="C93" t="str">
        <v>Внутренний блок кондиционирования Подвальный этаж Пом. №004Т</v>
      </c>
      <c r="D93" t="str">
        <v>ВВГнг(А)-LS (3х1,5)</v>
      </c>
      <c r="E93" t="str">
        <v>L=4</v>
      </c>
      <c r="F93" t="str">
        <v>Ø20 L=12</v>
      </c>
      <c r="G93" t="str">
        <v/>
      </c>
      <c r="H93">
        <v>16</v>
      </c>
    </row>
    <row r="94" spans="1:8" x14ac:dyDescent="0.3">
      <c r="A94" t="str">
        <v>K.00.004T.2</v>
      </c>
      <c r="B94" t="str">
        <v>ЩОВ-002</v>
      </c>
      <c r="C94" t="str">
        <v>Внутренний блок кондиционирования Подвальный этаж Пом. №004Т</v>
      </c>
      <c r="D94" t="str">
        <v>ВВГнг(А)-LS (3х1,5)</v>
      </c>
      <c r="E94" t="str">
        <v>L=6</v>
      </c>
      <c r="F94" t="str">
        <v>Ø20 L=12</v>
      </c>
      <c r="G94" t="str">
        <v/>
      </c>
      <c r="H94">
        <v>18</v>
      </c>
    </row>
    <row r="95" spans="1:8" x14ac:dyDescent="0.3">
      <c r="A95" t="str">
        <v>K.00.007A</v>
      </c>
      <c r="B95" t="str">
        <v>ЩОВ-002</v>
      </c>
      <c r="C95" t="str">
        <v>Внутренний блок кондиционирования Подвальный этаж Пом. №002Б</v>
      </c>
      <c r="D95" t="str">
        <v>ВВГнг(А)-LS (3х1,5)</v>
      </c>
      <c r="E95" t="str">
        <v>L=14</v>
      </c>
      <c r="F95" t="str">
        <v>Ø20 L=19</v>
      </c>
      <c r="G95" t="str">
        <v/>
      </c>
      <c r="H95">
        <v>33</v>
      </c>
    </row>
    <row r="96" spans="1:8" x14ac:dyDescent="0.3">
      <c r="A96" t="str">
        <v>K.00.007T.1</v>
      </c>
      <c r="B96" t="str">
        <v>ЩОВ-002</v>
      </c>
      <c r="C96" t="str">
        <v>Внутренний блок кондиционирования Подвальный этаж Пом. №007Т</v>
      </c>
      <c r="D96" t="str">
        <v>ВВГнг(А)-LS (3х1,5)</v>
      </c>
      <c r="E96" t="str">
        <v>L=6</v>
      </c>
      <c r="F96" t="str">
        <v>Ø20 L=22</v>
      </c>
      <c r="G96" t="str">
        <v/>
      </c>
      <c r="H96">
        <v>28</v>
      </c>
    </row>
    <row r="97" spans="1:8" x14ac:dyDescent="0.3">
      <c r="A97" t="str">
        <v>K.00.007T.2</v>
      </c>
      <c r="B97" t="str">
        <v>ЩОВ-002</v>
      </c>
      <c r="C97" t="str">
        <v>Внутренний блок кондиционирования Подвальный этаж Пом. №007Т</v>
      </c>
      <c r="D97" t="str">
        <v>ВВГнг(А)-LS (3х1,5)</v>
      </c>
      <c r="E97" t="str">
        <v>L=6</v>
      </c>
      <c r="F97" t="str">
        <v>Ø20 L=21</v>
      </c>
      <c r="G97" t="str">
        <v/>
      </c>
      <c r="H97">
        <v>27</v>
      </c>
    </row>
    <row r="98" spans="1:8" x14ac:dyDescent="0.3">
      <c r="A98" t="str">
        <v>Ввод.1</v>
      </c>
      <c r="B98" t="str">
        <v>ЩОВ-01</v>
      </c>
      <c r="C98" t="str">
        <v>Ввод</v>
      </c>
      <c r="D98" t="str">
        <v>ВВГнг(А)-LS (5х6)</v>
      </c>
      <c r="E98" t="str">
        <v/>
      </c>
      <c r="F98" t="str">
        <v>Ø25 L=14</v>
      </c>
      <c r="G98" t="str">
        <v/>
      </c>
      <c r="H98">
        <v>14</v>
      </c>
    </row>
    <row r="99" spans="1:8" x14ac:dyDescent="0.3">
      <c r="A99" t="str">
        <v>П.6</v>
      </c>
      <c r="B99" t="str">
        <v>ЩОВ-01</v>
      </c>
      <c r="C99" t="str">
        <v>Приточная установка Цокольный этаж Пом №001Тб</v>
      </c>
      <c r="D99" t="str">
        <v>ВВГнг(А)-LS (3х1,5)</v>
      </c>
      <c r="E99" t="str">
        <v>L=20</v>
      </c>
      <c r="F99" t="str">
        <v>Ø20 L=16</v>
      </c>
      <c r="G99" t="str">
        <v/>
      </c>
      <c r="H99">
        <v>36</v>
      </c>
    </row>
    <row r="100" spans="1:8" x14ac:dyDescent="0.3">
      <c r="A100" t="str">
        <v>ПВ.6</v>
      </c>
      <c r="B100" t="str">
        <v>ЩОВ-01</v>
      </c>
      <c r="C100" t="str">
        <v>Приточно-вытяжная установка цокольный этаж Пом №001Тб</v>
      </c>
      <c r="D100" t="str">
        <v>ВВГнг(А)-LS (5х2,5)</v>
      </c>
      <c r="E100" t="str">
        <v>L=20</v>
      </c>
      <c r="F100" t="str">
        <v>Ø20 L=22</v>
      </c>
      <c r="G100" t="str">
        <v/>
      </c>
      <c r="H100">
        <v>42</v>
      </c>
    </row>
    <row r="101" spans="1:8" x14ac:dyDescent="0.3">
      <c r="A101" t="str">
        <v>ПВ.9</v>
      </c>
      <c r="B101" t="str">
        <v>ЩОВ-01</v>
      </c>
      <c r="C101" t="str">
        <v>Приточно-вытяжная установка цокольный этаж Пом №001Тб</v>
      </c>
      <c r="D101" t="str">
        <v>ВВГнг(А)-LS (3х1,5)</v>
      </c>
      <c r="E101" t="str">
        <v>L=20</v>
      </c>
      <c r="F101" t="str">
        <v>Ø20 L=24</v>
      </c>
      <c r="G101" t="str">
        <v/>
      </c>
      <c r="H101">
        <v>44</v>
      </c>
    </row>
    <row r="102" spans="1:8" x14ac:dyDescent="0.3">
      <c r="A102" t="str">
        <v>В.2</v>
      </c>
      <c r="B102" t="str">
        <v>ЩОВ-01</v>
      </c>
      <c r="C102" t="str">
        <v>Вытяжная установка Пом. №003Б</v>
      </c>
      <c r="D102" t="str">
        <v>ВВГнг(А)-LS (3х1,5)</v>
      </c>
      <c r="E102" t="str">
        <v>L=32</v>
      </c>
      <c r="F102" t="str">
        <v>Ø20 L=10</v>
      </c>
      <c r="G102" t="str">
        <v/>
      </c>
      <c r="H102">
        <v>42</v>
      </c>
    </row>
    <row r="103" spans="1:8" x14ac:dyDescent="0.3">
      <c r="A103" t="str">
        <v>В.10</v>
      </c>
      <c r="B103" t="str">
        <v>ЩОВ-01</v>
      </c>
      <c r="C103" t="str">
        <v>Вытяжная установка Пом. №019Б</v>
      </c>
      <c r="D103" t="str">
        <v>ВВГнг(А)-LS (3х1,5)</v>
      </c>
      <c r="E103" t="str">
        <v>L=29</v>
      </c>
      <c r="F103" t="str">
        <v>Ø20 L=9</v>
      </c>
      <c r="G103" t="str">
        <v/>
      </c>
      <c r="H103">
        <v>38</v>
      </c>
    </row>
    <row r="104" spans="1:8" x14ac:dyDescent="0.3">
      <c r="A104" t="str">
        <v>В.24</v>
      </c>
      <c r="B104" t="str">
        <v>ЩОВ-01</v>
      </c>
      <c r="C104" t="str">
        <v>Внутренний блок кондиционирования подвальный этаж Пом. №0001Тб</v>
      </c>
      <c r="D104" t="str">
        <v>ВВГнг(А)-LS (3х1,5)</v>
      </c>
      <c r="E104" t="str">
        <v>L=20</v>
      </c>
      <c r="F104" t="str">
        <v>Ø20 L=14</v>
      </c>
      <c r="G104" t="str">
        <v/>
      </c>
      <c r="H104">
        <v>34</v>
      </c>
    </row>
    <row r="105" spans="1:8" x14ac:dyDescent="0.3">
      <c r="A105" t="str">
        <v>В.25</v>
      </c>
      <c r="B105" t="str">
        <v>ЩОВ-01</v>
      </c>
      <c r="C105" t="str">
        <v>Внутренний блок кондиционирования подвальный этаж Пом. №01Тб</v>
      </c>
      <c r="D105" t="str">
        <v>ВВГнг(А)-LS (3х1,5)</v>
      </c>
      <c r="E105" t="str">
        <v>L=20</v>
      </c>
      <c r="F105" t="str">
        <v>Ø20 L=14</v>
      </c>
      <c r="G105" t="str">
        <v/>
      </c>
      <c r="H105">
        <v>34</v>
      </c>
    </row>
    <row r="106" spans="1:8" x14ac:dyDescent="0.3">
      <c r="A106" t="str">
        <v>K.0.001T.1</v>
      </c>
      <c r="B106" t="str">
        <v>ЩОВ-01</v>
      </c>
      <c r="C106" t="str">
        <v>Внутренний блок кондиционирования цокольный этаж Пом. №001Т</v>
      </c>
      <c r="D106" t="str">
        <v>ВВГнг(А)-LS (3х1,5)</v>
      </c>
      <c r="E106" t="str">
        <v>L=2</v>
      </c>
      <c r="F106" t="str">
        <v>Ø20 L=9</v>
      </c>
      <c r="G106" t="str">
        <v/>
      </c>
      <c r="H106">
        <v>11</v>
      </c>
    </row>
    <row r="107" spans="1:8" x14ac:dyDescent="0.3">
      <c r="A107" t="str">
        <v>K.0.001T.2</v>
      </c>
      <c r="B107" t="str">
        <v>ЩОВ-01</v>
      </c>
      <c r="C107" t="str">
        <v>Внутренний блок кондиционирования цокольный этаж Пом. №001Т</v>
      </c>
      <c r="D107" t="str">
        <v>ВВГнг(А)-LS (3х1,5)</v>
      </c>
      <c r="E107" t="str">
        <v>L=3</v>
      </c>
      <c r="F107" t="str">
        <v>Ø20 L=9</v>
      </c>
      <c r="G107" t="str">
        <v/>
      </c>
      <c r="H107">
        <v>12</v>
      </c>
    </row>
    <row r="108" spans="1:8" x14ac:dyDescent="0.3">
      <c r="A108" t="str">
        <v>K.0.002T.1</v>
      </c>
      <c r="B108" t="str">
        <v>ЩОВ-01</v>
      </c>
      <c r="C108" t="str">
        <v>Внутренний блок кондиционирования цокольный этаж Пом. №002Т</v>
      </c>
      <c r="D108" t="str">
        <v>ВВГнг(А)-LS (3х1,5)</v>
      </c>
      <c r="E108" t="str">
        <v>L=17</v>
      </c>
      <c r="F108" t="str">
        <v>Ø20 L=10</v>
      </c>
      <c r="G108" t="str">
        <v/>
      </c>
      <c r="H108">
        <v>27</v>
      </c>
    </row>
    <row r="109" spans="1:8" x14ac:dyDescent="0.3">
      <c r="A109" t="str">
        <v>K.0.002T.2</v>
      </c>
      <c r="B109" t="str">
        <v>ЩОВ-01</v>
      </c>
      <c r="C109" t="str">
        <v>Внутренний блок кондиционирования цокольный этаж Пом. №002Т</v>
      </c>
      <c r="D109" t="str">
        <v>ВВГнг(А)-LS (3х1,5)</v>
      </c>
      <c r="E109" t="str">
        <v>L=15</v>
      </c>
      <c r="F109" t="str">
        <v>Ø20 L=10</v>
      </c>
      <c r="G109" t="str">
        <v/>
      </c>
      <c r="H109">
        <v>25</v>
      </c>
    </row>
    <row r="110" spans="1:8" x14ac:dyDescent="0.3">
      <c r="A110" t="str">
        <v>K.0.004A-K.0.005A</v>
      </c>
      <c r="B110" t="str">
        <v>ЩОВ-01</v>
      </c>
      <c r="C110" t="str">
        <v>Внутренний блок кондиционирования цокольный этаж Пом. №013.1Б</v>
      </c>
      <c r="D110" t="str">
        <v>ВВГнг(А)-LS (3х1,5)</v>
      </c>
      <c r="E110" t="str">
        <v>L=36</v>
      </c>
      <c r="F110" t="str">
        <v>Ø20 L=18</v>
      </c>
      <c r="G110" t="str">
        <v/>
      </c>
      <c r="H110">
        <v>54</v>
      </c>
    </row>
    <row r="111" spans="1:8" x14ac:dyDescent="0.3">
      <c r="A111" t="str">
        <v>K.0.005Б.1</v>
      </c>
      <c r="B111" t="str">
        <v>ЩОВ-01</v>
      </c>
      <c r="C111" t="str">
        <v>Внутренний блок кондиционирования цокольный этаж Пом. №005Б</v>
      </c>
      <c r="D111" t="str">
        <v>ВВГнг(А)-LS (3х1,5)</v>
      </c>
      <c r="E111" t="str">
        <v>L=21</v>
      </c>
      <c r="F111" t="str">
        <v>Ø20 L=21</v>
      </c>
      <c r="G111" t="str">
        <v/>
      </c>
      <c r="H111">
        <v>42</v>
      </c>
    </row>
    <row r="112" spans="1:8" x14ac:dyDescent="0.3">
      <c r="A112" t="str">
        <v>K.0.005Б.2</v>
      </c>
      <c r="B112" t="str">
        <v>ЩОВ-01</v>
      </c>
      <c r="C112" t="str">
        <v>Внутренний блок кондиционирования цокольный этаж Пом. №005Б</v>
      </c>
      <c r="D112" t="str">
        <v>ВВГнг(А)-LS (3х1,5)</v>
      </c>
      <c r="E112" t="str">
        <v>L=21</v>
      </c>
      <c r="F112" t="str">
        <v>Ø20 L=29</v>
      </c>
      <c r="G112" t="str">
        <v/>
      </c>
      <c r="H112">
        <v>50</v>
      </c>
    </row>
    <row r="113" spans="1:8" x14ac:dyDescent="0.3">
      <c r="A113" t="str">
        <v>K.0.006A</v>
      </c>
      <c r="B113" t="str">
        <v>ЩОВ-01</v>
      </c>
      <c r="C113" t="str">
        <v>Внутренний блок кондиционирования цокольный этаж Пом. №014Б</v>
      </c>
      <c r="D113" t="str">
        <v>ВВГнг(А)-LS (3х1,5)</v>
      </c>
      <c r="E113" t="str">
        <v>L=36</v>
      </c>
      <c r="F113" t="str">
        <v>Ø20 L=16</v>
      </c>
      <c r="G113" t="str">
        <v/>
      </c>
      <c r="H113">
        <v>52</v>
      </c>
    </row>
    <row r="114" spans="1:8" x14ac:dyDescent="0.3">
      <c r="A114" t="str">
        <v>K.0.008A</v>
      </c>
      <c r="B114" t="str">
        <v>ЩОВ-01</v>
      </c>
      <c r="C114" t="str">
        <v>Внутренний блок кондиционирования цокольный этаж Пом. №014Б</v>
      </c>
      <c r="D114" t="str">
        <v>ВВГнг(А)-LS (3х1,5)</v>
      </c>
      <c r="E114" t="str">
        <v>L=36</v>
      </c>
      <c r="F114" t="str">
        <v>Ø20 L=19</v>
      </c>
      <c r="G114" t="str">
        <v/>
      </c>
      <c r="H114">
        <v>55</v>
      </c>
    </row>
    <row r="115" spans="1:8" x14ac:dyDescent="0.3">
      <c r="A115" t="str">
        <v>K.0.012Б</v>
      </c>
      <c r="B115" t="str">
        <v>ЩОВ-01</v>
      </c>
      <c r="C115" t="str">
        <v>Внутренний блок кондиционирования цокольный этаж Пом. №012Б</v>
      </c>
      <c r="D115" t="str">
        <v>ВВГнг(А)-LS (3х1,5)</v>
      </c>
      <c r="E115" t="str">
        <v>L=26</v>
      </c>
      <c r="F115" t="str">
        <v>Ø20 L=12</v>
      </c>
      <c r="G115" t="str">
        <v/>
      </c>
      <c r="H115">
        <v>38</v>
      </c>
    </row>
    <row r="116" spans="1:8" x14ac:dyDescent="0.3">
      <c r="A116" t="str">
        <v>K.1.002AБ.1</v>
      </c>
      <c r="B116" t="str">
        <v>ЩОВ-01</v>
      </c>
      <c r="C116" t="str">
        <v>Внутренний блок кондиционирования подвальный этаж Пом. №001Т</v>
      </c>
      <c r="D116" t="str">
        <v>ВВГнг(А)-LS (3х1,5)</v>
      </c>
      <c r="E116" t="str">
        <v>L=19</v>
      </c>
      <c r="F116" t="str">
        <v>Ø20 L=23</v>
      </c>
      <c r="G116" t="str">
        <v/>
      </c>
      <c r="H116">
        <v>42</v>
      </c>
    </row>
    <row r="117" spans="1:8" x14ac:dyDescent="0.3">
      <c r="A117" t="str">
        <v>K.1.002AБ.2</v>
      </c>
      <c r="B117" t="str">
        <v>ЩОВ-01</v>
      </c>
      <c r="C117" t="str">
        <v>Внутренний блок кондиционирования подвальный этаж Пом. №001Т</v>
      </c>
      <c r="D117" t="str">
        <v>ВВГнг(А)-LS (3х1,5)</v>
      </c>
      <c r="E117" t="str">
        <v>L=19</v>
      </c>
      <c r="F117" t="str">
        <v>Ø20 L=23</v>
      </c>
      <c r="G117" t="str">
        <v/>
      </c>
      <c r="H117">
        <v>42</v>
      </c>
    </row>
    <row r="118" spans="1:8" x14ac:dyDescent="0.3">
      <c r="A118" t="str">
        <v>K.1.006A</v>
      </c>
      <c r="B118" t="str">
        <v>ЩОВ-01</v>
      </c>
      <c r="C118" t="str">
        <v>Внутренний блок кондиционирования подвальный этаж Пом. №001Т</v>
      </c>
      <c r="D118" t="str">
        <v>ВВГнг(А)-LS (3х1,5)</v>
      </c>
      <c r="E118" t="str">
        <v>L=19</v>
      </c>
      <c r="F118" t="str">
        <v>Ø20 L=22</v>
      </c>
      <c r="G118" t="str">
        <v/>
      </c>
      <c r="H118">
        <v>41</v>
      </c>
    </row>
    <row r="119" spans="1:8" x14ac:dyDescent="0.3">
      <c r="A119" t="str">
        <v>K.1.002Б</v>
      </c>
      <c r="B119" t="str">
        <v>ЩОВ-01</v>
      </c>
      <c r="C119" t="str">
        <v>Внутренний блок кондиционирования первый этаж Пом. №002Б</v>
      </c>
      <c r="D119" t="str">
        <v>ВВГнг(А)-LS (3х1,5)</v>
      </c>
      <c r="E119" t="str">
        <v>L=60</v>
      </c>
      <c r="F119" t="str">
        <v>Ø20 L=14</v>
      </c>
      <c r="G119" t="str">
        <v/>
      </c>
      <c r="H119">
        <v>74</v>
      </c>
    </row>
    <row r="120" spans="1:8" x14ac:dyDescent="0.3">
      <c r="A120" t="str">
        <v>K.1.007A</v>
      </c>
      <c r="B120" t="str">
        <v>ЩОВ-01</v>
      </c>
      <c r="C120" t="str">
        <v>Внутренний блок кондиционирования первый этаж Пом. №003Б</v>
      </c>
      <c r="D120" t="str">
        <v>ВВГнг(А)-LS (3х1,5)</v>
      </c>
      <c r="E120" t="str">
        <v>L=60</v>
      </c>
      <c r="F120" t="str">
        <v>Ø20 L=14</v>
      </c>
      <c r="G120" t="str">
        <v/>
      </c>
      <c r="H120">
        <v>74</v>
      </c>
    </row>
    <row r="121" spans="1:8" x14ac:dyDescent="0.3">
      <c r="A121" t="str">
        <v>K.1.010A</v>
      </c>
      <c r="B121" t="str">
        <v>ЩОВ-01</v>
      </c>
      <c r="C121" t="str">
        <v>Внутренний блок кондиционирования первый этаж Пом. №003Б</v>
      </c>
      <c r="D121" t="str">
        <v>ВВГнг(А)-LS (3х1,5)</v>
      </c>
      <c r="E121" t="str">
        <v>L=60</v>
      </c>
      <c r="F121" t="str">
        <v>Ø20 L=16</v>
      </c>
      <c r="G121" t="str">
        <v/>
      </c>
      <c r="H121">
        <v>76</v>
      </c>
    </row>
    <row r="122" spans="1:8" x14ac:dyDescent="0.3">
      <c r="A122" t="str">
        <v>K.1.011A</v>
      </c>
      <c r="B122" t="str">
        <v>ЩОВ-01</v>
      </c>
      <c r="C122" t="str">
        <v>Внутренний блок кондиционирования первый этаж Пом. №002Б</v>
      </c>
      <c r="D122" t="str">
        <v>ВВГнг(А)-LS (3х1,5)</v>
      </c>
      <c r="E122" t="str">
        <v>L=58</v>
      </c>
      <c r="F122" t="str">
        <v>Ø20 L=14</v>
      </c>
      <c r="G122" t="str">
        <v/>
      </c>
      <c r="H122">
        <v>72</v>
      </c>
    </row>
    <row r="123" spans="1:8" x14ac:dyDescent="0.3">
      <c r="A123" t="str">
        <v>K.1.014A</v>
      </c>
      <c r="B123" t="str">
        <v>ЩОВ-01</v>
      </c>
      <c r="C123" t="str">
        <v>Внутренний блок кондиционирования первый этаж Пом. №002Б</v>
      </c>
      <c r="D123" t="str">
        <v>ВВГнг(А)-LS (3х1,5)</v>
      </c>
      <c r="E123" t="str">
        <v>L=58</v>
      </c>
      <c r="F123" t="str">
        <v>Ø20 L=12</v>
      </c>
      <c r="G123" t="str">
        <v/>
      </c>
      <c r="H123">
        <v>70</v>
      </c>
    </row>
    <row r="124" spans="1:8" x14ac:dyDescent="0.3">
      <c r="A124" t="str">
        <v>K.1.015A</v>
      </c>
      <c r="B124" t="str">
        <v>ЩОВ-01</v>
      </c>
      <c r="C124" t="str">
        <v>Внутренний блок кондиционирования первый этаж Пом. №002Б</v>
      </c>
      <c r="D124" t="str">
        <v>ВВГнг(А)-LS (3х1,5)</v>
      </c>
      <c r="E124" t="str">
        <v>L=58</v>
      </c>
      <c r="F124" t="str">
        <v>Ø20 L=17</v>
      </c>
      <c r="G124" t="str">
        <v/>
      </c>
      <c r="H124">
        <v>75</v>
      </c>
    </row>
    <row r="125" spans="1:8" x14ac:dyDescent="0.3">
      <c r="A125" t="str">
        <v>K.0.009А.1</v>
      </c>
      <c r="B125" t="str">
        <v>ЩОВ-01</v>
      </c>
      <c r="C125" t="str">
        <v>Внутренний блок кондиционирования цокольный этаж Пом. №0.002Т</v>
      </c>
      <c r="D125" t="str">
        <v>ВВГнг(А)-LS (3х1,5)</v>
      </c>
      <c r="E125" t="str">
        <v>L=15</v>
      </c>
      <c r="F125" t="str">
        <v>Ø20 L=10</v>
      </c>
      <c r="G125" t="str">
        <v/>
      </c>
      <c r="H125">
        <v>25</v>
      </c>
    </row>
    <row r="126" spans="1:8" x14ac:dyDescent="0.3">
      <c r="A126" t="str">
        <v>Ввод</v>
      </c>
      <c r="B126" t="str">
        <v>ЩОВ-2</v>
      </c>
      <c r="C126" t="str">
        <v xml:space="preserve">Вводной кабель шлейф </v>
      </c>
      <c r="D126" t="str">
        <v>ВВГнг(А)-LS (5х4)</v>
      </c>
      <c r="E126" t="str">
        <v>L=37</v>
      </c>
      <c r="F126" t="str">
        <v>Ø25 L=15</v>
      </c>
      <c r="G126" t="str">
        <v/>
      </c>
      <c r="H126">
        <v>52</v>
      </c>
    </row>
    <row r="127" spans="1:8" x14ac:dyDescent="0.3">
      <c r="A127" t="str">
        <v>K.1.001A.1</v>
      </c>
      <c r="B127" t="str">
        <v>ЩОВ-2</v>
      </c>
      <c r="C127" t="str">
        <v>Внутренний блок кондиционирования Технический этаж Пом. №001Т</v>
      </c>
      <c r="D127" t="str">
        <v>ВВГнг(А)-LS (3х1,5)</v>
      </c>
      <c r="E127" t="str">
        <v>L=6</v>
      </c>
      <c r="F127" t="str">
        <v>Ø20 L=24</v>
      </c>
      <c r="G127" t="str">
        <v/>
      </c>
      <c r="H127">
        <v>30</v>
      </c>
    </row>
    <row r="128" spans="1:8" x14ac:dyDescent="0.3">
      <c r="A128" t="str">
        <v>K.1.001A.2</v>
      </c>
      <c r="B128" t="str">
        <v>ЩОВ-2</v>
      </c>
      <c r="C128" t="str">
        <v>Внутренний блок кондиционирования Технический этаж Пом. №001Т</v>
      </c>
      <c r="D128" t="str">
        <v>ВВГнг(А)-LS (3х1,5)</v>
      </c>
      <c r="E128" t="str">
        <v>L=4</v>
      </c>
      <c r="F128" t="str">
        <v>Ø20 L=18</v>
      </c>
      <c r="G128" t="str">
        <v/>
      </c>
      <c r="H128">
        <v>22</v>
      </c>
    </row>
    <row r="129" spans="1:8" x14ac:dyDescent="0.3">
      <c r="A129" t="str">
        <v>K.1.003A</v>
      </c>
      <c r="B129" t="str">
        <v>ЩОВ-2</v>
      </c>
      <c r="C129" t="str">
        <v>Внутренний блок кондиционирования Технический этаж Пом. №002Т</v>
      </c>
      <c r="D129" t="str">
        <v>ВВГнг(А)-LS (3х1,5)</v>
      </c>
      <c r="E129" t="str">
        <v>L=12</v>
      </c>
      <c r="F129" t="str">
        <v>Ø20 L=14</v>
      </c>
      <c r="G129" t="str">
        <v/>
      </c>
      <c r="H129">
        <v>26</v>
      </c>
    </row>
    <row r="130" spans="1:8" x14ac:dyDescent="0.3">
      <c r="A130" t="str">
        <v>K.1.005A</v>
      </c>
      <c r="B130" t="str">
        <v>ЩОВ-2</v>
      </c>
      <c r="C130" t="str">
        <v>Внутренний блок кондиционирования Технический этаж Пом. №001Т</v>
      </c>
      <c r="D130" t="str">
        <v>ВВГнг(А)-LS (3х1,5)</v>
      </c>
      <c r="E130" t="str">
        <v>L=12</v>
      </c>
      <c r="F130" t="str">
        <v>Ø20 L=14</v>
      </c>
      <c r="G130" t="str">
        <v/>
      </c>
      <c r="H130">
        <v>26</v>
      </c>
    </row>
    <row r="131" spans="1:8" x14ac:dyDescent="0.3">
      <c r="A131" t="str">
        <v>K.2.004A</v>
      </c>
      <c r="B131" t="str">
        <v>ЩОВ-2</v>
      </c>
      <c r="C131" t="str">
        <v>Внутренний блок кондиционирования Технический этаж Пом. №002Т</v>
      </c>
      <c r="D131" t="str">
        <v>ВВГнг(А)-LS (3х1,5)</v>
      </c>
      <c r="E131" t="str">
        <v>L=12</v>
      </c>
      <c r="F131" t="str">
        <v>Ø20 L=22</v>
      </c>
      <c r="G131" t="str">
        <v/>
      </c>
      <c r="H131">
        <v>34</v>
      </c>
    </row>
    <row r="132" spans="1:8" x14ac:dyDescent="0.3">
      <c r="A132" t="str">
        <v>K.2.005A</v>
      </c>
      <c r="B132" t="str">
        <v>ЩОВ-2</v>
      </c>
      <c r="C132" t="str">
        <v>Внутренний блок кондиционирования Технический этаж Пом. №002Т</v>
      </c>
      <c r="D132" t="str">
        <v>ВВГнг(А)-LS (3х1,5)</v>
      </c>
      <c r="E132" t="str">
        <v>L=12</v>
      </c>
      <c r="F132" t="str">
        <v>Ø20 L=22</v>
      </c>
      <c r="G132" t="str">
        <v/>
      </c>
      <c r="H132">
        <v>34</v>
      </c>
    </row>
    <row r="133" spans="1:8" x14ac:dyDescent="0.3">
      <c r="A133" t="str">
        <v>K.2.008A</v>
      </c>
      <c r="B133" t="str">
        <v>ЩОВ-2</v>
      </c>
      <c r="C133" t="str">
        <v>Внутренний блок кондиционирования Технический этаж Пом. №002Т</v>
      </c>
      <c r="D133" t="str">
        <v>ВВГнг(А)-LS (3х1,5)</v>
      </c>
      <c r="E133" t="str">
        <v>L=10</v>
      </c>
      <c r="F133" t="str">
        <v>Ø20 L=13</v>
      </c>
      <c r="G133" t="str">
        <v/>
      </c>
      <c r="H133">
        <v>23</v>
      </c>
    </row>
    <row r="134" spans="1:8" x14ac:dyDescent="0.3">
      <c r="A134" t="str">
        <v>K.2.009A</v>
      </c>
      <c r="B134" t="str">
        <v>ЩОВ-2</v>
      </c>
      <c r="C134" t="str">
        <v>Внутренний блок кондиционирования Технический этаж Пом. №002Т</v>
      </c>
      <c r="D134" t="str">
        <v>ВВГнг(А)-LS (3х1,5)</v>
      </c>
      <c r="E134" t="str">
        <v>L=10</v>
      </c>
      <c r="F134" t="str">
        <v>Ø20 L=12</v>
      </c>
      <c r="G134" t="str">
        <v/>
      </c>
      <c r="H134">
        <v>22</v>
      </c>
    </row>
    <row r="135" spans="1:8" x14ac:dyDescent="0.3">
      <c r="A135" t="str">
        <v>K.2.014A</v>
      </c>
      <c r="B135" t="str">
        <v>ЩОВ-2</v>
      </c>
      <c r="C135" t="str">
        <v>Внутренний блок кондиционирования Технический этаж Пом. №002Т</v>
      </c>
      <c r="D135" t="str">
        <v>ВВГнг(А)-LS (3х1,5)</v>
      </c>
      <c r="E135" t="str">
        <v>L=10</v>
      </c>
      <c r="F135" t="str">
        <v>Ø20 L=9</v>
      </c>
      <c r="G135" t="str">
        <v/>
      </c>
      <c r="H135">
        <v>19</v>
      </c>
    </row>
    <row r="136" spans="1:8" x14ac:dyDescent="0.3">
      <c r="A136" t="str">
        <v>K.2.016A</v>
      </c>
      <c r="B136" t="str">
        <v>ЩОВ-2</v>
      </c>
      <c r="C136" t="str">
        <v>Внутренний блок кондиционирования Технический этаж Пом. №001Б</v>
      </c>
      <c r="D136" t="str">
        <v>ВВГнг(А)-LS (3х1,5)</v>
      </c>
      <c r="E136" t="str">
        <v>L=4</v>
      </c>
      <c r="F136" t="str">
        <v>Ø20 L=31</v>
      </c>
      <c r="G136" t="str">
        <v/>
      </c>
      <c r="H136">
        <v>35</v>
      </c>
    </row>
    <row r="137" spans="1:8" x14ac:dyDescent="0.3">
      <c r="A137" t="str">
        <v>K.2.019A</v>
      </c>
      <c r="B137" t="str">
        <v>ЩОВ-2</v>
      </c>
      <c r="C137" t="str">
        <v>Внутренний блок кондиционирования Технический этаж Пом. №003Т</v>
      </c>
      <c r="D137" t="str">
        <v>ВВГнг(А)-LS (3х1,5)</v>
      </c>
      <c r="E137" t="str">
        <v>L=4</v>
      </c>
      <c r="F137" t="str">
        <v>Ø20 L=28</v>
      </c>
      <c r="G137" t="str">
        <v/>
      </c>
      <c r="H137">
        <v>32</v>
      </c>
    </row>
    <row r="138" spans="1:8" x14ac:dyDescent="0.3">
      <c r="A138" t="str">
        <v>K.3.002Б</v>
      </c>
      <c r="B138" t="str">
        <v>ЩОВ-2</v>
      </c>
      <c r="C138" t="str">
        <v>Внутренний блок кондиционирования Технический этаж Пом. №003Т</v>
      </c>
      <c r="D138" t="str">
        <v>ВВГнг(А)-LS (3х1,5)</v>
      </c>
      <c r="E138" t="str">
        <v>L=4</v>
      </c>
      <c r="F138" t="str">
        <v>Ø20 L=31</v>
      </c>
      <c r="G138" t="str">
        <v/>
      </c>
      <c r="H138">
        <v>35</v>
      </c>
    </row>
    <row r="139" spans="1:8" x14ac:dyDescent="0.3">
      <c r="A139" t="str">
        <v>K.3.004T.1</v>
      </c>
      <c r="B139" t="str">
        <v>ЩОВ-2</v>
      </c>
      <c r="C139" t="str">
        <v>Внутренний блок кондиционирования Технический этаж Пом. №004Т</v>
      </c>
      <c r="D139" t="str">
        <v>ВВГнг(А)-LS (3х1,5)</v>
      </c>
      <c r="E139" t="str">
        <v>L=4</v>
      </c>
      <c r="F139" t="str">
        <v>Ø20 L=26</v>
      </c>
      <c r="G139" t="str">
        <v/>
      </c>
      <c r="H139">
        <v>30</v>
      </c>
    </row>
    <row r="140" spans="1:8" x14ac:dyDescent="0.3">
      <c r="A140" t="str">
        <v>K.3.004T.2</v>
      </c>
      <c r="B140" t="str">
        <v>ЩОВ-2</v>
      </c>
      <c r="C140" t="str">
        <v>Внутренний блок кондиционирования Технический этаж Пом. №004Т</v>
      </c>
      <c r="D140" t="str">
        <v>ВВГнг(А)-LS (3х1,5)</v>
      </c>
      <c r="E140" t="str">
        <v>L=4</v>
      </c>
      <c r="F140" t="str">
        <v>Ø20 L=25</v>
      </c>
      <c r="G140" t="str">
        <v/>
      </c>
      <c r="H140">
        <v>29</v>
      </c>
    </row>
    <row r="141" spans="1:8" x14ac:dyDescent="0.3">
      <c r="A141" t="str">
        <v>В.1</v>
      </c>
      <c r="B141" t="str">
        <v>ЩОВ-2</v>
      </c>
      <c r="C141" t="str">
        <v>Вытяжная установка Технический этаж Пом. №001Т</v>
      </c>
      <c r="D141" t="str">
        <v>ВВГнг(А)-LS (3х1,5)</v>
      </c>
      <c r="E141" t="str">
        <v>L=4</v>
      </c>
      <c r="F141" t="str">
        <v>Ø20 L=13</v>
      </c>
      <c r="G141" t="str">
        <v/>
      </c>
      <c r="H141">
        <v>17</v>
      </c>
    </row>
    <row r="142" spans="1:8" x14ac:dyDescent="0.3">
      <c r="A142" t="str">
        <v>В.22</v>
      </c>
      <c r="B142" t="str">
        <v>ЩОВ-2</v>
      </c>
      <c r="C142" t="str">
        <v>Вытяжная установка Технический этаж Пом. №001Т</v>
      </c>
      <c r="D142" t="str">
        <v>ВВГнг(А)-LS (3х1,5)</v>
      </c>
      <c r="E142" t="str">
        <v>L=4</v>
      </c>
      <c r="F142" t="str">
        <v>Ø20 L=16</v>
      </c>
      <c r="G142" t="str">
        <v/>
      </c>
      <c r="H142">
        <v>20</v>
      </c>
    </row>
    <row r="143" spans="1:8" x14ac:dyDescent="0.3">
      <c r="A143" t="str">
        <v>В.23</v>
      </c>
      <c r="B143" t="str">
        <v>ЩОВ-2</v>
      </c>
      <c r="C143" t="str">
        <v>Вытяжная установка Технический этаж Пом. №001Т</v>
      </c>
      <c r="D143" t="str">
        <v>ВВГнг(А)-LS (3х1,5)</v>
      </c>
      <c r="E143" t="str">
        <v>L=4</v>
      </c>
      <c r="F143" t="str">
        <v>Ø20 L=30</v>
      </c>
      <c r="G143" t="str">
        <v/>
      </c>
      <c r="H143">
        <v>34</v>
      </c>
    </row>
    <row r="144" spans="1:8" x14ac:dyDescent="0.3">
      <c r="A144" t="str">
        <v>В.8</v>
      </c>
      <c r="B144" t="str">
        <v>ЩОВ-2</v>
      </c>
      <c r="C144" t="str">
        <v>Вытяжная установка Технический этаж Пом. №001Т</v>
      </c>
      <c r="D144" t="str">
        <v>ВВГнг(А)-LS (3х1,5)</v>
      </c>
      <c r="E144" t="str">
        <v>L=4</v>
      </c>
      <c r="F144" t="str">
        <v>Ø20 L=13</v>
      </c>
      <c r="G144" t="str">
        <v/>
      </c>
      <c r="H144">
        <v>17</v>
      </c>
    </row>
    <row r="145" spans="1:8" x14ac:dyDescent="0.3">
      <c r="A145" t="str">
        <v>П.3</v>
      </c>
      <c r="B145" t="str">
        <v>ЩОВ-2</v>
      </c>
      <c r="C145" t="str">
        <v>Приточная установка Технический этаж Пом. №001Т</v>
      </c>
      <c r="D145" t="str">
        <v>ВВГнг(А)-LS (3х2,5)</v>
      </c>
      <c r="E145" t="str">
        <v>L=6</v>
      </c>
      <c r="F145" t="str">
        <v>Ø20 L=17</v>
      </c>
      <c r="G145" t="str">
        <v/>
      </c>
      <c r="H145">
        <v>23</v>
      </c>
    </row>
    <row r="146" spans="1:8" x14ac:dyDescent="0.3">
      <c r="A146" t="str">
        <v>П.5</v>
      </c>
      <c r="B146" t="str">
        <v>ЩОВ-2</v>
      </c>
      <c r="C146" t="str">
        <v>Приточная установка Технический этаж Пом. №001Т</v>
      </c>
      <c r="D146" t="str">
        <v>ВВГнг(А)-LS (3х2,5)</v>
      </c>
      <c r="E146" t="str">
        <v>L=4</v>
      </c>
      <c r="F146" t="str">
        <v>Ø20 L=31</v>
      </c>
      <c r="G146" t="str">
        <v/>
      </c>
      <c r="H146">
        <v>35</v>
      </c>
    </row>
    <row r="147" spans="1:8" x14ac:dyDescent="0.3">
      <c r="A147" t="str">
        <v>ПВ.5</v>
      </c>
      <c r="B147" t="str">
        <v>ЩОВ-2</v>
      </c>
      <c r="C147" t="str">
        <v>Приточно-вытяжная установка Технический этаж Пом. №001Т</v>
      </c>
      <c r="D147" t="str">
        <v>ВВГнг(А)-LS (3х4)</v>
      </c>
      <c r="E147" t="str">
        <v>L=4</v>
      </c>
      <c r="F147" t="str">
        <v>Ø20 L=30</v>
      </c>
      <c r="G147" t="str">
        <v/>
      </c>
      <c r="H147">
        <v>34</v>
      </c>
    </row>
    <row r="148" spans="1:8" x14ac:dyDescent="0.3">
      <c r="A148" t="str">
        <v>ПВ.7</v>
      </c>
      <c r="B148" t="str">
        <v>ЩОВ-2</v>
      </c>
      <c r="C148" t="str">
        <v>Приточно-вытяжная установка Технический этаж Пом. №001Т</v>
      </c>
      <c r="D148" t="str">
        <v>ВВГнг(А)-LS (3х2,5)</v>
      </c>
      <c r="E148" t="str">
        <v>L=6</v>
      </c>
      <c r="F148" t="str">
        <v>Ø20 L=24</v>
      </c>
      <c r="G148" t="str">
        <v/>
      </c>
      <c r="H148">
        <v>30</v>
      </c>
    </row>
    <row r="149" spans="1:8" x14ac:dyDescent="0.3">
      <c r="A149" t="str">
        <v>ПВ.8</v>
      </c>
      <c r="B149" t="str">
        <v>ЩОВ-2</v>
      </c>
      <c r="C149" t="str">
        <v>Приточно-вытяжная установка Технический этаж Пом. №001Т</v>
      </c>
      <c r="D149" t="str">
        <v>ВВГнг(А)-LS (3х2,5)</v>
      </c>
      <c r="E149" t="str">
        <v>L=5</v>
      </c>
      <c r="F149" t="str">
        <v>Ø20 L=10</v>
      </c>
      <c r="G149" t="str">
        <v/>
      </c>
      <c r="H149">
        <v>15</v>
      </c>
    </row>
    <row r="150" spans="1:8" x14ac:dyDescent="0.3">
      <c r="A150" t="str">
        <v>Ввод.1</v>
      </c>
      <c r="B150" t="str">
        <v>ЩР-001</v>
      </c>
      <c r="C150" t="str">
        <v>Ввод</v>
      </c>
      <c r="D150" t="str">
        <v>ВВГнг(А)-LS (5х4)</v>
      </c>
      <c r="E150" t="str">
        <v/>
      </c>
      <c r="F150" t="str">
        <v/>
      </c>
      <c r="G150" t="str">
        <v/>
      </c>
      <c r="H150" t="str">
        <v/>
      </c>
    </row>
    <row r="151" spans="1:8" x14ac:dyDescent="0.3">
      <c r="A151" t="str">
        <v>R.00.001Б.1</v>
      </c>
      <c r="B151" t="str">
        <v>ЩР-001</v>
      </c>
      <c r="C151" t="str">
        <v>Розеточная группа, пом. 001Б</v>
      </c>
      <c r="D151" t="str">
        <v>ВВГнг(А)-LS (3х2,5)</v>
      </c>
      <c r="E151" t="str">
        <v/>
      </c>
      <c r="F151" t="str">
        <v/>
      </c>
      <c r="G151" t="str">
        <v>Ø20 L=126</v>
      </c>
      <c r="H151">
        <v>126</v>
      </c>
    </row>
    <row r="152" spans="1:8" x14ac:dyDescent="0.3">
      <c r="A152" t="str">
        <v>R.00.003Т.1</v>
      </c>
      <c r="B152" t="str">
        <v>ЩР-001</v>
      </c>
      <c r="C152" t="str">
        <v>Розеточная группа, пом. 003Т</v>
      </c>
      <c r="D152" t="str">
        <v>ВВГнг(А)-LS (3х2,5)</v>
      </c>
      <c r="E152" t="str">
        <v>L=7</v>
      </c>
      <c r="F152" t="str">
        <v>Ø20 L=14</v>
      </c>
      <c r="G152" t="str">
        <v/>
      </c>
      <c r="H152">
        <v>39</v>
      </c>
    </row>
    <row r="153" spans="1:8" x14ac:dyDescent="0.3">
      <c r="A153" t="str">
        <v>R.00.004Т.1</v>
      </c>
      <c r="B153" t="str">
        <v>ЩР-001</v>
      </c>
      <c r="C153" t="str">
        <v>Розеточная группа, пом. 004Т</v>
      </c>
      <c r="D153" t="str">
        <v>ВВГнг(А)-LS (3х2,5)</v>
      </c>
      <c r="E153" t="str">
        <v/>
      </c>
      <c r="F153" t="str">
        <v/>
      </c>
      <c r="G153" t="str">
        <v>Ø20 L=5</v>
      </c>
      <c r="H153">
        <v>8</v>
      </c>
    </row>
    <row r="154" spans="1:8" x14ac:dyDescent="0.3">
      <c r="A154" t="str">
        <v>R.00.001Тб.1</v>
      </c>
      <c r="B154" t="str">
        <v>ЩР-001</v>
      </c>
      <c r="C154" t="str">
        <v>Розеточная группа, пом. 001Тб</v>
      </c>
      <c r="D154" t="str">
        <v>ВВГнг(А)-LS (3х2,5)</v>
      </c>
      <c r="E154" t="str">
        <v/>
      </c>
      <c r="F154" t="str">
        <v/>
      </c>
      <c r="G154" t="str">
        <v>Ø20 L=27</v>
      </c>
      <c r="H154">
        <v>27</v>
      </c>
    </row>
    <row r="155" spans="1:8" x14ac:dyDescent="0.3">
      <c r="A155" t="str">
        <v>R.00.001Б.2</v>
      </c>
      <c r="B155" t="str">
        <v>ЩР-001</v>
      </c>
      <c r="C155" t="str">
        <v>Розеточная группа, пом. 001Б</v>
      </c>
      <c r="D155" t="str">
        <v>ВВГнг(А)-LS (3х2,5)</v>
      </c>
      <c r="E155" t="str">
        <v/>
      </c>
      <c r="F155" t="str">
        <v/>
      </c>
      <c r="G155" t="str">
        <v>Ø20 L=48</v>
      </c>
      <c r="H155">
        <v>63</v>
      </c>
    </row>
    <row r="156" spans="1:8" x14ac:dyDescent="0.3">
      <c r="A156" t="str">
        <v>R.00.005Т.1</v>
      </c>
      <c r="B156" t="str">
        <v>ЩР-001</v>
      </c>
      <c r="C156" t="str">
        <v>Розеточная группа, пом. 005Т</v>
      </c>
      <c r="D156" t="str">
        <v>ВВГнг(А)-LS (3х2,5)</v>
      </c>
      <c r="E156" t="str">
        <v>L=16</v>
      </c>
      <c r="F156" t="str">
        <v>Ø20 L=31</v>
      </c>
      <c r="G156" t="str">
        <v>Ø20 L=15</v>
      </c>
      <c r="H156">
        <v>62</v>
      </c>
    </row>
    <row r="157" spans="1:8" x14ac:dyDescent="0.3">
      <c r="A157" t="str">
        <v>R.00.002Т.1</v>
      </c>
      <c r="B157" t="str">
        <v>ЩР-001</v>
      </c>
      <c r="C157" t="str">
        <v>Розеточная группа, пом. 002Т</v>
      </c>
      <c r="D157" t="str">
        <v>ВВГнг(А)-LS (3х2,5)</v>
      </c>
      <c r="E157" t="str">
        <v>L=14</v>
      </c>
      <c r="F157" t="str">
        <v>Ø20 L=17</v>
      </c>
      <c r="G157" t="str">
        <v/>
      </c>
      <c r="H157">
        <v>31</v>
      </c>
    </row>
    <row r="158" spans="1:8" x14ac:dyDescent="0.3">
      <c r="A158" t="str">
        <v>R.00.001А.1</v>
      </c>
      <c r="B158" t="str">
        <v>ЩР-001</v>
      </c>
      <c r="C158" t="str">
        <v>Розеточная группа, пом. 001А</v>
      </c>
      <c r="D158" t="str">
        <v>ВВГнг(А)-LS (3х2,5)</v>
      </c>
      <c r="E158" t="str">
        <v>L=46</v>
      </c>
      <c r="F158" t="str">
        <v>Ø20 L=49</v>
      </c>
      <c r="G158" t="str">
        <v/>
      </c>
      <c r="H158">
        <v>95</v>
      </c>
    </row>
    <row r="159" spans="1:8" x14ac:dyDescent="0.3">
      <c r="A159" t="str">
        <v>R.00.005А.1</v>
      </c>
      <c r="B159" t="str">
        <v>ЩР-001</v>
      </c>
      <c r="C159" t="str">
        <v>Розеточная группа, пом. 005А</v>
      </c>
      <c r="D159" t="str">
        <v>ВВГнг(А)-LS (3х2,5)</v>
      </c>
      <c r="E159" t="str">
        <v>L=35</v>
      </c>
      <c r="F159" t="str">
        <v>Ø20 L=13</v>
      </c>
      <c r="G159" t="str">
        <v/>
      </c>
      <c r="H159">
        <v>48</v>
      </c>
    </row>
    <row r="160" spans="1:8" x14ac:dyDescent="0.3">
      <c r="A160" t="str">
        <v>R.00.004А.1</v>
      </c>
      <c r="B160" t="str">
        <v>ЩР-001</v>
      </c>
      <c r="C160" t="str">
        <v>Розеточная группа, пом. 004А</v>
      </c>
      <c r="D160" t="str">
        <v>ВВГнг(А)-LS (3х2,5)</v>
      </c>
      <c r="E160" t="str">
        <v>L=35</v>
      </c>
      <c r="F160" t="str">
        <v>Ø20 L=48</v>
      </c>
      <c r="G160" t="str">
        <v/>
      </c>
      <c r="H160">
        <v>83</v>
      </c>
    </row>
    <row r="161" spans="1:8" x14ac:dyDescent="0.3">
      <c r="A161" t="str">
        <v>R.00.001А.2</v>
      </c>
      <c r="B161" t="str">
        <v>ЩР-001</v>
      </c>
      <c r="C161" t="str">
        <v>Розеточная группа, пом. 001А</v>
      </c>
      <c r="D161" t="str">
        <v>ВВГнг(А)-LS (3х2,5)</v>
      </c>
      <c r="E161" t="str">
        <v>L=29</v>
      </c>
      <c r="F161" t="str">
        <v>Ø20 L=9</v>
      </c>
      <c r="G161" t="str">
        <v/>
      </c>
      <c r="H161">
        <v>38</v>
      </c>
    </row>
    <row r="162" spans="1:8" x14ac:dyDescent="0.3">
      <c r="A162" t="str">
        <v>R.00.002.1А.1</v>
      </c>
      <c r="B162" t="str">
        <v>ЩР-001</v>
      </c>
      <c r="C162" t="str">
        <v>Розеточная группа, пом. 002</v>
      </c>
      <c r="D162" t="str">
        <v>ВВГнг(А)-LS (3х2,5)</v>
      </c>
      <c r="E162" t="str">
        <v>L=29</v>
      </c>
      <c r="F162" t="str">
        <v>Ø20 L=24</v>
      </c>
      <c r="G162" t="str">
        <v/>
      </c>
      <c r="H162">
        <v>53</v>
      </c>
    </row>
    <row r="163" spans="1:8" x14ac:dyDescent="0.3">
      <c r="A163" t="str">
        <v>R.00.006T.1</v>
      </c>
      <c r="B163" t="str">
        <v>ЩР-001</v>
      </c>
      <c r="C163" t="str">
        <v>Розеточная группа, пом. 006T</v>
      </c>
      <c r="D163" t="str">
        <v>ВВГнг(А)-LS (3х2,5)</v>
      </c>
      <c r="E163" t="str">
        <v>L=33</v>
      </c>
      <c r="F163" t="str">
        <v>Ø20 L=36</v>
      </c>
      <c r="G163" t="str">
        <v>Ø20 L=18</v>
      </c>
      <c r="H163">
        <v>69</v>
      </c>
    </row>
    <row r="164" spans="1:8" x14ac:dyDescent="0.3">
      <c r="A164" t="str">
        <v>R.00.007Т.1</v>
      </c>
      <c r="B164" t="str">
        <v>ЩР-001</v>
      </c>
      <c r="C164" t="str">
        <v>Розеточная группа, пом. 007Т</v>
      </c>
      <c r="D164" t="str">
        <v>ВВГнг(А)-LS (3х2,5)</v>
      </c>
      <c r="E164" t="str">
        <v>L=15</v>
      </c>
      <c r="F164" t="str">
        <v>Ø20 L=11</v>
      </c>
      <c r="G164" t="str">
        <v/>
      </c>
      <c r="H164">
        <v>26</v>
      </c>
    </row>
    <row r="165" spans="1:8" x14ac:dyDescent="0.3">
      <c r="A165" t="str">
        <v>R.00.008T.1</v>
      </c>
      <c r="B165" t="str">
        <v>ЩР-001</v>
      </c>
      <c r="C165" t="str">
        <v>Розеточная группа, пом. 008T</v>
      </c>
      <c r="D165" t="str">
        <v>ВВГнг(А)-LS (3х2,5)</v>
      </c>
      <c r="E165" t="str">
        <v/>
      </c>
      <c r="F165" t="str">
        <v/>
      </c>
      <c r="G165" t="str">
        <v>Ø20 L=35</v>
      </c>
      <c r="H165">
        <v>35</v>
      </c>
    </row>
    <row r="166" spans="1:8" x14ac:dyDescent="0.3">
      <c r="A166" t="str">
        <v>R.00.002Tб.1</v>
      </c>
      <c r="B166" t="str">
        <v>ЩР-001</v>
      </c>
      <c r="C166" t="str">
        <v>Розеточная группа, пом. 002Tб</v>
      </c>
      <c r="D166" t="str">
        <v>ВВГнг(А)-LS (3х2,5)</v>
      </c>
      <c r="E166" t="str">
        <v/>
      </c>
      <c r="F166" t="str">
        <v/>
      </c>
      <c r="G166" t="str">
        <v>Ø20 L=28</v>
      </c>
      <c r="H166">
        <v>31</v>
      </c>
    </row>
    <row r="167" spans="1:8" x14ac:dyDescent="0.3">
      <c r="A167" t="str">
        <v>R.00.007Б.1</v>
      </c>
      <c r="B167" t="str">
        <v>ЩР-001</v>
      </c>
      <c r="C167" t="str">
        <v>Розеточная группа, пом. 007Б</v>
      </c>
      <c r="D167" t="str">
        <v>ВВГнг(А)-LS (3х2,5)</v>
      </c>
      <c r="E167" t="str">
        <v>L=32</v>
      </c>
      <c r="F167" t="str">
        <v>Ø20 L=21</v>
      </c>
      <c r="G167" t="str">
        <v>Ø20 L=30</v>
      </c>
      <c r="H167">
        <v>83</v>
      </c>
    </row>
    <row r="168" spans="1:8" x14ac:dyDescent="0.3">
      <c r="A168" t="str">
        <v>R.00.004Б.1</v>
      </c>
      <c r="B168" t="str">
        <v>ЩР-001</v>
      </c>
      <c r="C168" t="str">
        <v>Розеточная группа, пом. 004Б</v>
      </c>
      <c r="D168" t="str">
        <v>ВВГнг(А)-LS (3х2,5)</v>
      </c>
      <c r="E168" t="str">
        <v>L=32</v>
      </c>
      <c r="F168" t="str">
        <v/>
      </c>
      <c r="G168" t="str">
        <v>Ø20 L=21</v>
      </c>
      <c r="H168">
        <v>76</v>
      </c>
    </row>
    <row r="169" spans="1:8" x14ac:dyDescent="0.3">
      <c r="A169" t="str">
        <v>R.00.005Б.1</v>
      </c>
      <c r="B169" t="str">
        <v>ЩР-001</v>
      </c>
      <c r="C169" t="str">
        <v>Розеточная группа, пом. 005Б</v>
      </c>
      <c r="D169" t="str">
        <v>ВВГнг(А)-LS (3х2,5)</v>
      </c>
      <c r="E169" t="str">
        <v>L=26</v>
      </c>
      <c r="F169" t="str">
        <v/>
      </c>
      <c r="G169" t="str">
        <v>Ø20 L=14</v>
      </c>
      <c r="H169">
        <v>71</v>
      </c>
    </row>
    <row r="170" spans="1:8" x14ac:dyDescent="0.3">
      <c r="A170" t="str">
        <v>R.00.009Б.1</v>
      </c>
      <c r="B170" t="str">
        <v>ЩР-001</v>
      </c>
      <c r="C170" t="str">
        <v>Розеточная группа, пом. 009Б</v>
      </c>
      <c r="D170" t="str">
        <v>ВВГнг(А)-LS (3х2,5)</v>
      </c>
      <c r="E170" t="str">
        <v>L=11</v>
      </c>
      <c r="F170" t="str">
        <v>Ø20 L=14</v>
      </c>
      <c r="G170" t="str">
        <v>Ø20 L=4</v>
      </c>
      <c r="H170">
        <v>29</v>
      </c>
    </row>
    <row r="171" spans="1:8" x14ac:dyDescent="0.3">
      <c r="A171" t="str">
        <v>R.00.006Б.1</v>
      </c>
      <c r="B171" t="str">
        <v>ЩР-001</v>
      </c>
      <c r="C171" t="str">
        <v>Розеточная группа, пом. 006Б</v>
      </c>
      <c r="D171" t="str">
        <v>ВВГнг(А)-LS (3х2,5)</v>
      </c>
      <c r="E171" t="str">
        <v>L=11</v>
      </c>
      <c r="F171" t="str">
        <v>Ø20 L=14</v>
      </c>
      <c r="G171" t="str">
        <v>Ø20 L=5</v>
      </c>
      <c r="H171">
        <v>30</v>
      </c>
    </row>
    <row r="172" spans="1:8" x14ac:dyDescent="0.3">
      <c r="A172" t="str">
        <v>R.00.007А.1</v>
      </c>
      <c r="B172" t="str">
        <v>ЩР-001</v>
      </c>
      <c r="C172" t="str">
        <v>Розеточная группа, пом. 007А</v>
      </c>
      <c r="D172" t="str">
        <v>ВВГнг(А)-LS (3х2,5)</v>
      </c>
      <c r="E172" t="str">
        <v>L=41</v>
      </c>
      <c r="F172" t="str">
        <v>Ø20 L=23</v>
      </c>
      <c r="G172" t="str">
        <v>Ø20 L=16</v>
      </c>
      <c r="H172">
        <v>80</v>
      </c>
    </row>
    <row r="173" spans="1:8" x14ac:dyDescent="0.3">
      <c r="A173" t="str">
        <v>R.00.008А.1</v>
      </c>
      <c r="B173" t="str">
        <v>ЩР-001</v>
      </c>
      <c r="C173" t="str">
        <v>Розеточная группа, пом. 008А</v>
      </c>
      <c r="D173" t="str">
        <v>ВВГнг(А)-LS (3х2,5)</v>
      </c>
      <c r="E173" t="str">
        <v>L=41</v>
      </c>
      <c r="F173" t="str">
        <v>Ø20 L=6</v>
      </c>
      <c r="G173" t="str">
        <v/>
      </c>
      <c r="H173">
        <v>47</v>
      </c>
    </row>
    <row r="174" spans="1:8" x14ac:dyDescent="0.3">
      <c r="A174" t="str">
        <v>R.00.002Б.1</v>
      </c>
      <c r="B174" t="str">
        <v>ЩР-001</v>
      </c>
      <c r="C174" t="str">
        <v>Розеточная группа, пом. 002Б</v>
      </c>
      <c r="D174" t="str">
        <v>ВВГнг(А)-LS (3х2,5)</v>
      </c>
      <c r="E174" t="str">
        <v>L=24</v>
      </c>
      <c r="F174" t="str">
        <v>Ø20 L=7</v>
      </c>
      <c r="G174" t="str">
        <v/>
      </c>
      <c r="H174">
        <v>31</v>
      </c>
    </row>
    <row r="175" spans="1:8" x14ac:dyDescent="0.3">
      <c r="A175" t="str">
        <v>ШТК-0</v>
      </c>
      <c r="B175" t="str">
        <v>ЩР-001</v>
      </c>
      <c r="C175" t="str">
        <v>Шкаф телекоммуникационный ШТК-0 Подвальный этаж Пом. №007Т</v>
      </c>
      <c r="D175" t="str">
        <v>ВВГнг(А)-LS (3х2,5)</v>
      </c>
      <c r="E175" t="str">
        <v>L=17</v>
      </c>
      <c r="F175" t="str">
        <v>Ø20 L=11</v>
      </c>
      <c r="G175" t="str">
        <v/>
      </c>
      <c r="H175">
        <v>36</v>
      </c>
    </row>
    <row r="176" spans="1:8" x14ac:dyDescent="0.3">
      <c r="A176" t="str">
        <v>ШТК-ЛВС.00</v>
      </c>
      <c r="B176" t="str">
        <v>ЩР-001</v>
      </c>
      <c r="C176" t="str">
        <v>Шкаф телекоммуникационный ШТК-ЛВС.00  Подвальный этаж Пом. №007Т</v>
      </c>
      <c r="D176" t="str">
        <v>ВВГнг(А)-LS (3х2,5)</v>
      </c>
      <c r="E176" t="str">
        <v>L=17</v>
      </c>
      <c r="F176" t="str">
        <v>Ø20 L=13</v>
      </c>
      <c r="G176" t="str">
        <v/>
      </c>
      <c r="H176">
        <v>38</v>
      </c>
    </row>
    <row r="177" spans="1:8" x14ac:dyDescent="0.3">
      <c r="A177" t="str">
        <v>ШТК-СОТ.00</v>
      </c>
      <c r="B177" t="str">
        <v>ЩР-001</v>
      </c>
      <c r="C177" t="str">
        <v>Шкаф телекоммуникационный ШТК-СОТ.00  Подвальный этаж Пом. №007Т</v>
      </c>
      <c r="D177" t="str">
        <v>ВВГнг(А)-LS (3х2,5)</v>
      </c>
      <c r="E177" t="str">
        <v>L=17</v>
      </c>
      <c r="F177" t="str">
        <v>Ø20 L=14</v>
      </c>
      <c r="G177" t="str">
        <v/>
      </c>
      <c r="H177">
        <v>39</v>
      </c>
    </row>
    <row r="178" spans="1:8" x14ac:dyDescent="0.3">
      <c r="A178" t="str">
        <v>ЩКД-6</v>
      </c>
      <c r="B178" t="str">
        <v>ЩР-001</v>
      </c>
      <c r="C178" t="str">
        <v>Щит контроля доступа ШДК-06. Пом. Венткиосок</v>
      </c>
      <c r="D178" t="str">
        <v>ВВГнг(А)-LS (3х2,5)</v>
      </c>
      <c r="E178" t="str">
        <v>L=32</v>
      </c>
      <c r="F178" t="str">
        <v>Ø20 L=56</v>
      </c>
      <c r="G178" t="str">
        <v/>
      </c>
      <c r="H178">
        <v>98</v>
      </c>
    </row>
    <row r="179" spans="1:8" x14ac:dyDescent="0.3">
      <c r="A179" t="str">
        <v>ЩКД-001</v>
      </c>
      <c r="B179" t="str">
        <v>ЩР-001</v>
      </c>
      <c r="C179" t="str">
        <v>Щит контроля доступа ШДК-001 Подвальный этаж Пом. №004Т</v>
      </c>
      <c r="D179" t="str">
        <v>ВВГнг(А)-LS (3х2,5)</v>
      </c>
      <c r="E179" t="str">
        <v/>
      </c>
      <c r="F179" t="str">
        <v>Ø20 L=12</v>
      </c>
      <c r="G179" t="str">
        <v/>
      </c>
      <c r="H179">
        <v>12</v>
      </c>
    </row>
    <row r="180" spans="1:8" x14ac:dyDescent="0.3">
      <c r="A180" t="str">
        <v>Ввод.1</v>
      </c>
      <c r="B180" t="str">
        <v>ЩР-01</v>
      </c>
      <c r="C180" t="str">
        <v>Ввод</v>
      </c>
      <c r="D180" t="str">
        <v>ВВГнг(А)-LS (5х10)</v>
      </c>
      <c r="E180" t="str">
        <v/>
      </c>
      <c r="F180" t="str">
        <v/>
      </c>
      <c r="G180" t="str">
        <v/>
      </c>
      <c r="H180" t="str">
        <v/>
      </c>
    </row>
    <row r="181" spans="1:8" x14ac:dyDescent="0.3">
      <c r="A181" t="str">
        <v>R.0.002A.1</v>
      </c>
      <c r="B181" t="str">
        <v>ЩР-01</v>
      </c>
      <c r="C181" t="str">
        <v>Розеточная группа, пом. 002A</v>
      </c>
      <c r="D181" t="str">
        <v>ВВГнг(А)-LS (3х2,5)</v>
      </c>
      <c r="E181" t="str">
        <v>L=8</v>
      </c>
      <c r="F181" t="str">
        <v>Ø20 L=30</v>
      </c>
      <c r="G181" t="str">
        <v/>
      </c>
      <c r="H181">
        <v>38</v>
      </c>
    </row>
    <row r="182" spans="1:8" x14ac:dyDescent="0.3">
      <c r="A182" t="str">
        <v>R.0.002A.2</v>
      </c>
      <c r="B182" t="str">
        <v>ЩР-01</v>
      </c>
      <c r="C182" t="str">
        <v>Розеточная группа, пом. 002A</v>
      </c>
      <c r="D182" t="str">
        <v>ВВГнг(А)-LS (3х2,5)</v>
      </c>
      <c r="E182" t="str">
        <v>L=19</v>
      </c>
      <c r="F182" t="str">
        <v>Ø20 L=60</v>
      </c>
      <c r="G182" t="str">
        <v/>
      </c>
      <c r="H182">
        <v>79</v>
      </c>
    </row>
    <row r="183" spans="1:8" x14ac:dyDescent="0.3">
      <c r="A183" t="str">
        <v>R.0.002A.3</v>
      </c>
      <c r="B183" t="str">
        <v>ЩР-01</v>
      </c>
      <c r="C183" t="str">
        <v>Розеточная группа, пом. 002A</v>
      </c>
      <c r="D183" t="str">
        <v>ВВГнг(А)-LS (3х2,5)</v>
      </c>
      <c r="E183" t="str">
        <v>L=17</v>
      </c>
      <c r="F183" t="str">
        <v>Ø20 L=30</v>
      </c>
      <c r="G183" t="str">
        <v/>
      </c>
      <c r="H183">
        <v>47</v>
      </c>
    </row>
    <row r="184" spans="1:8" x14ac:dyDescent="0.3">
      <c r="A184" t="str">
        <v>R.0.002T.1</v>
      </c>
      <c r="B184" t="str">
        <v>ЩР-01</v>
      </c>
      <c r="C184" t="str">
        <v>Розеточная группа, пом. 002T</v>
      </c>
      <c r="D184" t="str">
        <v>ВВГнг(А)-LS (3х2,5)</v>
      </c>
      <c r="E184" t="str">
        <v>L=8</v>
      </c>
      <c r="F184" t="str">
        <v/>
      </c>
      <c r="G184" t="str">
        <v>Ø20 L=19</v>
      </c>
      <c r="H184">
        <v>32</v>
      </c>
    </row>
    <row r="185" spans="1:8" x14ac:dyDescent="0.3">
      <c r="A185" t="str">
        <v>R.0.002Б.1</v>
      </c>
      <c r="B185" t="str">
        <v>ЩР-01</v>
      </c>
      <c r="C185" t="str">
        <v>Розеточная группа, пом. 002Б</v>
      </c>
      <c r="D185" t="str">
        <v>ВВГнг(А)-LS (3х2,5)</v>
      </c>
      <c r="E185" t="str">
        <v/>
      </c>
      <c r="F185" t="str">
        <v/>
      </c>
      <c r="G185" t="str">
        <v>Ø20 L=24</v>
      </c>
      <c r="H185">
        <v>45</v>
      </c>
    </row>
    <row r="186" spans="1:8" x14ac:dyDescent="0.3">
      <c r="A186" t="str">
        <v>R.0.002Б.2</v>
      </c>
      <c r="B186" t="str">
        <v>ЩР-01</v>
      </c>
      <c r="C186" t="str">
        <v>Розеточная группа, пом. 002Б</v>
      </c>
      <c r="D186" t="str">
        <v>ВВГнг(А)-LS (3х2,5)</v>
      </c>
      <c r="E186" t="str">
        <v/>
      </c>
      <c r="F186" t="str">
        <v/>
      </c>
      <c r="G186" t="str">
        <v>Ø20 L=70</v>
      </c>
      <c r="H186">
        <v>121</v>
      </c>
    </row>
    <row r="187" spans="1:8" x14ac:dyDescent="0.3">
      <c r="A187" t="str">
        <v>R.0.003A.1</v>
      </c>
      <c r="B187" t="str">
        <v>ЩР-01</v>
      </c>
      <c r="C187" t="str">
        <v>Розеточная группа, пом. 003A</v>
      </c>
      <c r="D187" t="str">
        <v>ВВГнг(А)-LS (3х2,5)</v>
      </c>
      <c r="E187" t="str">
        <v>L=55</v>
      </c>
      <c r="F187" t="str">
        <v>Ø20 L=22</v>
      </c>
      <c r="G187" t="str">
        <v>Ø20 L=50</v>
      </c>
      <c r="H187">
        <v>77</v>
      </c>
    </row>
    <row r="188" spans="1:8" x14ac:dyDescent="0.3">
      <c r="A188" t="str">
        <v>R.0.003A.3</v>
      </c>
      <c r="B188" t="str">
        <v>ЩР-01</v>
      </c>
      <c r="C188" t="str">
        <v>Розеточная группа, пом. 003A</v>
      </c>
      <c r="D188" t="str">
        <v>ВВГнг(А)-LS (3х2,5)</v>
      </c>
      <c r="E188" t="str">
        <v>L=10</v>
      </c>
      <c r="F188" t="str">
        <v>Ø20 L=59</v>
      </c>
      <c r="G188" t="str">
        <v/>
      </c>
      <c r="H188">
        <v>69</v>
      </c>
    </row>
    <row r="189" spans="1:8" x14ac:dyDescent="0.3">
      <c r="A189" t="str">
        <v>R.0.003Б.1</v>
      </c>
      <c r="B189" t="str">
        <v>ЩР-01</v>
      </c>
      <c r="C189" t="str">
        <v>Розеточная группа, пом. 003Б</v>
      </c>
      <c r="D189" t="str">
        <v>ВВГнг(А)-LS (3х2,5)</v>
      </c>
      <c r="E189" t="str">
        <v>L=8</v>
      </c>
      <c r="F189" t="str">
        <v>Ø20 L=39</v>
      </c>
      <c r="G189" t="str">
        <v/>
      </c>
      <c r="H189">
        <v>47</v>
      </c>
    </row>
    <row r="190" spans="1:8" x14ac:dyDescent="0.3">
      <c r="A190" t="str">
        <v>R.0.004Б.1</v>
      </c>
      <c r="B190" t="str">
        <v>ЩР-01</v>
      </c>
      <c r="C190" t="str">
        <v>Розеточная группа, пом. 004Б</v>
      </c>
      <c r="D190" t="str">
        <v>ВВГнг(А)-LS (3х2,5)</v>
      </c>
      <c r="E190" t="str">
        <v>L=12</v>
      </c>
      <c r="F190" t="str">
        <v>Ø20 L=23</v>
      </c>
      <c r="G190" t="str">
        <v/>
      </c>
      <c r="H190">
        <v>35</v>
      </c>
    </row>
    <row r="191" spans="1:8" x14ac:dyDescent="0.3">
      <c r="A191" t="str">
        <v>R.0.004Б.2</v>
      </c>
      <c r="B191" t="str">
        <v>ЩР-01</v>
      </c>
      <c r="C191" t="str">
        <v>Розеточная группа Цокольный этаж Пом. №004Б Сушильная машина</v>
      </c>
      <c r="D191" t="str">
        <v>ВВГнг(А)-LS (3х2,5)</v>
      </c>
      <c r="E191" t="str">
        <v>L=12</v>
      </c>
      <c r="F191" t="str">
        <v>Ø20 L=7</v>
      </c>
      <c r="G191" t="str">
        <v/>
      </c>
      <c r="H191">
        <v>19</v>
      </c>
    </row>
    <row r="192" spans="1:8" x14ac:dyDescent="0.3">
      <c r="A192" t="str">
        <v>R.0.004Б.3</v>
      </c>
      <c r="B192" t="str">
        <v>ЩР-01</v>
      </c>
      <c r="C192" t="str">
        <v>Розеточная группа Цокольный этаж Пом. №004Б Стиральная машина</v>
      </c>
      <c r="D192" t="str">
        <v>ВВГнг(А)-LS (3х2,5)</v>
      </c>
      <c r="E192" t="str">
        <v>L=12</v>
      </c>
      <c r="F192" t="str">
        <v>Ø20 L=17</v>
      </c>
      <c r="G192" t="str">
        <v/>
      </c>
      <c r="H192">
        <v>29</v>
      </c>
    </row>
    <row r="193" spans="1:8" x14ac:dyDescent="0.3">
      <c r="A193" t="str">
        <v>R.0.006A.1</v>
      </c>
      <c r="B193" t="str">
        <v>ЩР-01</v>
      </c>
      <c r="C193" t="str">
        <v>Розеточная группа, пом. 006A</v>
      </c>
      <c r="D193" t="str">
        <v>ВВГнг(А)-LS (3х2,5)</v>
      </c>
      <c r="E193" t="str">
        <v>L=15</v>
      </c>
      <c r="F193" t="str">
        <v>Ø20 L=39</v>
      </c>
      <c r="G193" t="str">
        <v>Ø20 L=7</v>
      </c>
      <c r="H193">
        <v>61</v>
      </c>
    </row>
    <row r="194" spans="1:8" x14ac:dyDescent="0.3">
      <c r="A194" t="str">
        <v>R.0.007A.1</v>
      </c>
      <c r="B194" t="str">
        <v>ЩР-01</v>
      </c>
      <c r="C194" t="str">
        <v>Розеточная группа, пом. 007A</v>
      </c>
      <c r="D194" t="str">
        <v>ВВГнг(А)-LS (3х2,5)</v>
      </c>
      <c r="E194" t="str">
        <v>L=7</v>
      </c>
      <c r="F194" t="str">
        <v>Ø20 L=22</v>
      </c>
      <c r="G194" t="str">
        <v/>
      </c>
      <c r="H194">
        <v>29</v>
      </c>
    </row>
    <row r="195" spans="1:8" x14ac:dyDescent="0.3">
      <c r="A195" t="str">
        <v>R.0.008A.1</v>
      </c>
      <c r="B195" t="str">
        <v>ЩР-01</v>
      </c>
      <c r="C195" t="str">
        <v>Розеточная группа, пом. 008A</v>
      </c>
      <c r="D195" t="str">
        <v>ВВГнг(А)-LS (3х2,5)</v>
      </c>
      <c r="E195" t="str">
        <v>L=47</v>
      </c>
      <c r="F195" t="str">
        <v>Ø20 L=10</v>
      </c>
      <c r="G195" t="str">
        <v>Ø20 L=5</v>
      </c>
      <c r="H195">
        <v>62</v>
      </c>
    </row>
    <row r="196" spans="1:8" x14ac:dyDescent="0.3">
      <c r="A196" t="str">
        <v>R.0.008A.2</v>
      </c>
      <c r="B196" t="str">
        <v>ЩР-01</v>
      </c>
      <c r="C196" t="str">
        <v>Розеточная группа Цокольный этаж Пом. №008A Душ виши</v>
      </c>
      <c r="D196" t="str">
        <v>ВВГнг(А)-LS (3х2,5)</v>
      </c>
      <c r="E196" t="str">
        <v>L=49</v>
      </c>
      <c r="F196" t="str">
        <v>Ø20 L=15</v>
      </c>
      <c r="G196" t="str">
        <v/>
      </c>
      <c r="H196">
        <v>64</v>
      </c>
    </row>
    <row r="197" spans="1:8" x14ac:dyDescent="0.3">
      <c r="A197" t="str">
        <v>R.0.009A.1</v>
      </c>
      <c r="B197" t="str">
        <v>ЩР-01</v>
      </c>
      <c r="C197" t="str">
        <v>Розеточная группа, пом. 009A</v>
      </c>
      <c r="D197" t="str">
        <v>ВВГнг(А)-LS (3х2,5)</v>
      </c>
      <c r="E197" t="str">
        <v>L=12</v>
      </c>
      <c r="F197" t="str">
        <v>Ø20 L=40</v>
      </c>
      <c r="G197" t="str">
        <v/>
      </c>
      <c r="H197">
        <v>52</v>
      </c>
    </row>
    <row r="198" spans="1:8" x14ac:dyDescent="0.3">
      <c r="A198" t="str">
        <v>R.0.009A.2</v>
      </c>
      <c r="B198" t="str">
        <v>ЩР-01</v>
      </c>
      <c r="C198" t="str">
        <v>Розеточная группа, пом. 009A</v>
      </c>
      <c r="D198" t="str">
        <v>ВВГнг(А)-LS (3х2,5)</v>
      </c>
      <c r="E198" t="str">
        <v>L=14</v>
      </c>
      <c r="F198" t="str">
        <v>Ø20 L=45</v>
      </c>
      <c r="G198" t="str">
        <v/>
      </c>
      <c r="H198">
        <v>59</v>
      </c>
    </row>
    <row r="199" spans="1:8" x14ac:dyDescent="0.3">
      <c r="A199" t="str">
        <v>R.0.010A.1</v>
      </c>
      <c r="B199" t="str">
        <v>ЩР-01</v>
      </c>
      <c r="C199" t="str">
        <v>Розеточная группа, пом. 010A</v>
      </c>
      <c r="D199" t="str">
        <v>ВВГнг(А)-LS (3х2,5)</v>
      </c>
      <c r="E199" t="str">
        <v>L=13</v>
      </c>
      <c r="F199" t="str">
        <v>Ø20 L=17</v>
      </c>
      <c r="G199" t="str">
        <v/>
      </c>
      <c r="H199">
        <v>30</v>
      </c>
    </row>
    <row r="200" spans="1:8" x14ac:dyDescent="0.3">
      <c r="A200" t="str">
        <v>R.0.011.1A</v>
      </c>
      <c r="B200" t="str">
        <v>ЩР-01</v>
      </c>
      <c r="C200" t="str">
        <v>Розеточная группа, пом. 011</v>
      </c>
      <c r="D200" t="str">
        <v>ВВГнг(А)-LS (3х2,5)</v>
      </c>
      <c r="E200" t="str">
        <v>L=8</v>
      </c>
      <c r="F200" t="str">
        <v>Ø20 L=17</v>
      </c>
      <c r="G200" t="str">
        <v/>
      </c>
      <c r="H200">
        <v>25</v>
      </c>
    </row>
    <row r="201" spans="1:8" x14ac:dyDescent="0.3">
      <c r="A201" t="str">
        <v>R.0.011Б.1</v>
      </c>
      <c r="B201" t="str">
        <v>ЩР-01</v>
      </c>
      <c r="C201" t="str">
        <v>Розеточная группа, пом. 011Б</v>
      </c>
      <c r="D201" t="str">
        <v>ВВГнг(А)-LS (3х2,5)</v>
      </c>
      <c r="E201" t="str">
        <v>L=17</v>
      </c>
      <c r="F201" t="str">
        <v>Ø20 L=14</v>
      </c>
      <c r="G201" t="str">
        <v/>
      </c>
      <c r="H201">
        <v>31</v>
      </c>
    </row>
    <row r="202" spans="1:8" x14ac:dyDescent="0.3">
      <c r="A202" t="str">
        <v>R.0.012A.1</v>
      </c>
      <c r="B202" t="str">
        <v>ЩР-01</v>
      </c>
      <c r="C202" t="str">
        <v>Розеточная группа, пом. 012A</v>
      </c>
      <c r="D202" t="str">
        <v>ВВГнг(А)-LS (3х2,5)</v>
      </c>
      <c r="E202" t="str">
        <v>L=48</v>
      </c>
      <c r="F202" t="str">
        <v>Ø20 L=31</v>
      </c>
      <c r="G202" t="str">
        <v/>
      </c>
      <c r="H202">
        <v>79</v>
      </c>
    </row>
    <row r="203" spans="1:8" x14ac:dyDescent="0.3">
      <c r="A203" t="str">
        <v>R.0.013A.1</v>
      </c>
      <c r="B203" t="str">
        <v>ЩР-01</v>
      </c>
      <c r="C203" t="str">
        <v>Розеточная группа, пом. 013A</v>
      </c>
      <c r="D203" t="str">
        <v>ВВГнг(А)-LS (3х2,5)</v>
      </c>
      <c r="E203" t="str">
        <v>L=40</v>
      </c>
      <c r="F203" t="str">
        <v>Ø20 L=23</v>
      </c>
      <c r="G203" t="str">
        <v>Ø20 L=8</v>
      </c>
      <c r="H203">
        <v>63</v>
      </c>
    </row>
    <row r="204" spans="1:8" x14ac:dyDescent="0.3">
      <c r="A204" t="str">
        <v>R.0.013Б.1</v>
      </c>
      <c r="B204" t="str">
        <v>ЩР-01</v>
      </c>
      <c r="C204" t="str">
        <v>Розеточная группа, пом. 013Б</v>
      </c>
      <c r="D204" t="str">
        <v>ВВГнг(А)-LS (3х2,5)</v>
      </c>
      <c r="E204" t="str">
        <v>L=40</v>
      </c>
      <c r="F204" t="str">
        <v>Ø20 L=13</v>
      </c>
      <c r="G204" t="str">
        <v>Ø20 L=4</v>
      </c>
      <c r="H204">
        <v>57</v>
      </c>
    </row>
    <row r="205" spans="1:8" x14ac:dyDescent="0.3">
      <c r="A205" t="str">
        <v>R.0.013Б.2</v>
      </c>
      <c r="B205" t="str">
        <v>ЩР-01</v>
      </c>
      <c r="C205" t="str">
        <v>Розеточная группа, пом. 013Б</v>
      </c>
      <c r="D205" t="str">
        <v>ВВГнг(А)-LS (3х2,5)</v>
      </c>
      <c r="E205" t="str">
        <v>L=33</v>
      </c>
      <c r="F205" t="str">
        <v>Ø20 L=18</v>
      </c>
      <c r="G205" t="str">
        <v/>
      </c>
      <c r="H205">
        <v>51</v>
      </c>
    </row>
    <row r="206" spans="1:8" x14ac:dyDescent="0.3">
      <c r="A206" t="str">
        <v>R.0.013Б.3</v>
      </c>
      <c r="B206" t="str">
        <v>ЩР-01</v>
      </c>
      <c r="C206" t="str">
        <v>Розеточная группа Цокольный этаж Пом. №013Б Полотенцесушитель</v>
      </c>
      <c r="D206" t="str">
        <v>ВВГнг(А)-LS (3х2,5)</v>
      </c>
      <c r="E206" t="str">
        <v>L=36</v>
      </c>
      <c r="F206" t="str">
        <v>Ø20 L=15</v>
      </c>
      <c r="G206" t="str">
        <v/>
      </c>
      <c r="H206">
        <v>51</v>
      </c>
    </row>
    <row r="207" spans="1:8" x14ac:dyDescent="0.3">
      <c r="A207" t="str">
        <v>R.0.013Б.4</v>
      </c>
      <c r="B207" t="str">
        <v>ЩР-01</v>
      </c>
      <c r="C207" t="str">
        <v>Розеточная группа Цокольный этаж Пом. №013Б Сушильная машина</v>
      </c>
      <c r="D207" t="str">
        <v>ВВГнг(А)-LS (3х2,5)</v>
      </c>
      <c r="E207" t="str">
        <v>L=44</v>
      </c>
      <c r="F207" t="str">
        <v>Ø20 L=14</v>
      </c>
      <c r="G207" t="str">
        <v/>
      </c>
      <c r="H207">
        <v>58</v>
      </c>
    </row>
    <row r="208" spans="1:8" x14ac:dyDescent="0.3">
      <c r="A208" t="str">
        <v>R.0.015A.1</v>
      </c>
      <c r="B208" t="str">
        <v>ЩР-01</v>
      </c>
      <c r="C208" t="str">
        <v>Розеточная группа, пом. 015A</v>
      </c>
      <c r="D208" t="str">
        <v>ВВГнг(А)-LS (3х2,5)</v>
      </c>
      <c r="E208" t="str">
        <v>L=50</v>
      </c>
      <c r="F208" t="str">
        <v>Ø20 L=17</v>
      </c>
      <c r="G208" t="str">
        <v>Ø20 L=5</v>
      </c>
      <c r="H208">
        <v>72</v>
      </c>
    </row>
    <row r="209" spans="1:8" x14ac:dyDescent="0.3">
      <c r="A209" t="str">
        <v>R.0.017A.1</v>
      </c>
      <c r="B209" t="str">
        <v>ЩР-01</v>
      </c>
      <c r="C209" t="str">
        <v>Розеточная группа, пом. 017A</v>
      </c>
      <c r="D209" t="str">
        <v>ВВГнг(А)-LS (3х2,5)</v>
      </c>
      <c r="E209" t="str">
        <v>L=45</v>
      </c>
      <c r="F209" t="str">
        <v>Ø20 L=30</v>
      </c>
      <c r="G209" t="str">
        <v>Ø20 L=9</v>
      </c>
      <c r="H209">
        <v>84</v>
      </c>
    </row>
    <row r="210" spans="1:8" x14ac:dyDescent="0.3">
      <c r="A210" t="str">
        <v>R.0.018A.1</v>
      </c>
      <c r="B210" t="str">
        <v>ЩР-01</v>
      </c>
      <c r="C210" t="str">
        <v>Розеточная группа, пом. 018A</v>
      </c>
      <c r="D210" t="str">
        <v>ВВГнг(А)-LS (3х2,5)</v>
      </c>
      <c r="E210" t="str">
        <v>L=43</v>
      </c>
      <c r="F210" t="str">
        <v>Ø20 L=13</v>
      </c>
      <c r="G210" t="str">
        <v/>
      </c>
      <c r="H210">
        <v>56</v>
      </c>
    </row>
    <row r="211" spans="1:8" x14ac:dyDescent="0.3">
      <c r="A211" t="str">
        <v>R.0.018Б.1</v>
      </c>
      <c r="B211" t="str">
        <v>ЩР-01</v>
      </c>
      <c r="C211" t="str">
        <v>Розеточная группа, пом. 018Б</v>
      </c>
      <c r="D211" t="str">
        <v>ВВГнг(А)-LS (3х2,5)</v>
      </c>
      <c r="E211" t="str">
        <v>L=24</v>
      </c>
      <c r="F211" t="str">
        <v>Ø20 L=9</v>
      </c>
      <c r="G211" t="str">
        <v/>
      </c>
      <c r="H211">
        <v>33</v>
      </c>
    </row>
    <row r="212" spans="1:8" x14ac:dyDescent="0.3">
      <c r="A212" t="str">
        <v>R.0.021A.1</v>
      </c>
      <c r="B212" t="str">
        <v>ЩР-01</v>
      </c>
      <c r="C212" t="str">
        <v>Розеточная группа, пом. 021A</v>
      </c>
      <c r="D212" t="str">
        <v>ВВГнг(А)-LS (3х2,5)</v>
      </c>
      <c r="E212" t="str">
        <v>L=49</v>
      </c>
      <c r="F212" t="str">
        <v>Ø20 L=14</v>
      </c>
      <c r="G212" t="str">
        <v>Ø20 L=9</v>
      </c>
      <c r="H212">
        <v>72</v>
      </c>
    </row>
    <row r="213" spans="1:8" x14ac:dyDescent="0.3">
      <c r="A213" t="str">
        <v>R.0.022.1</v>
      </c>
      <c r="B213" t="str">
        <v>ЩР-01</v>
      </c>
      <c r="C213" t="str">
        <v>Розеточная группа, пом. 022</v>
      </c>
      <c r="D213" t="str">
        <v>ВВГнг(А)-LS (3х2,5)</v>
      </c>
      <c r="E213" t="str">
        <v>L=44</v>
      </c>
      <c r="F213" t="str">
        <v>Ø20 L=7</v>
      </c>
      <c r="G213" t="str">
        <v/>
      </c>
      <c r="H213">
        <v>54</v>
      </c>
    </row>
    <row r="214" spans="1:8" x14ac:dyDescent="0.3">
      <c r="A214" t="str">
        <v>R.0.012A.2</v>
      </c>
      <c r="B214" t="str">
        <v>ЩР-01</v>
      </c>
      <c r="C214" t="str">
        <v>Розеточная группа, пом. 012A</v>
      </c>
      <c r="D214" t="str">
        <v>ВВГнг(А)-LS (3х2,5)</v>
      </c>
      <c r="E214" t="str">
        <v>L=9</v>
      </c>
      <c r="F214" t="str">
        <v>Ø20 L=54</v>
      </c>
      <c r="G214" t="str">
        <v/>
      </c>
      <c r="H214">
        <v>63</v>
      </c>
    </row>
    <row r="215" spans="1:8" x14ac:dyDescent="0.3">
      <c r="A215" t="str">
        <v>R.0.020A.1</v>
      </c>
      <c r="B215" t="str">
        <v>ЩР-01</v>
      </c>
      <c r="C215" t="str">
        <v>Розеточная группа, пом. 020A</v>
      </c>
      <c r="D215" t="str">
        <v>ВВГнг(А)-LS (3х2,5)</v>
      </c>
      <c r="E215" t="str">
        <v>L=44</v>
      </c>
      <c r="F215" t="str">
        <v>Ø20 L=7</v>
      </c>
      <c r="G215" t="str">
        <v/>
      </c>
      <c r="H215">
        <v>51</v>
      </c>
    </row>
    <row r="216" spans="1:8" x14ac:dyDescent="0.3">
      <c r="A216" t="str">
        <v>ШТК-1</v>
      </c>
      <c r="B216" t="str">
        <v>ЩР-01</v>
      </c>
      <c r="C216" t="str">
        <v>Шкаф телекоммуникационный ШТК-2 Цокольный этаж Пом. №002Т</v>
      </c>
      <c r="D216" t="str">
        <v>ВВГнг(А)-LS (3х6)</v>
      </c>
      <c r="E216" t="str">
        <v>L=6</v>
      </c>
      <c r="F216" t="str">
        <v>Ø25 L=8</v>
      </c>
      <c r="G216" t="str">
        <v/>
      </c>
      <c r="H216">
        <v>22</v>
      </c>
    </row>
    <row r="217" spans="1:8" x14ac:dyDescent="0.3">
      <c r="A217" t="str">
        <v>ШТК-СОТ.0</v>
      </c>
      <c r="B217" t="str">
        <v>ЩР-01</v>
      </c>
      <c r="C217" t="str">
        <v>Шкаф телекоммуникационный ШТК-СОТ.0 Цокольный этаж Пом. №002Т</v>
      </c>
      <c r="D217" t="str">
        <v>ВВГнг(А)-LS (3х2,5)</v>
      </c>
      <c r="E217" t="str">
        <v>L=6</v>
      </c>
      <c r="F217" t="str">
        <v>Ø20 L=8</v>
      </c>
      <c r="G217" t="str">
        <v/>
      </c>
      <c r="H217">
        <v>25</v>
      </c>
    </row>
    <row r="218" spans="1:8" x14ac:dyDescent="0.3">
      <c r="A218" t="str">
        <v>ШТК-ЛВС.0</v>
      </c>
      <c r="B218" t="str">
        <v>ЩР-01</v>
      </c>
      <c r="C218" t="str">
        <v>Шкаф телекоммуникационный ШТК-ЛВС.0 Цокольный этаж Пом. №002Т</v>
      </c>
      <c r="D218" t="str">
        <v>ВВГнг(А)-LS (3х2,5)</v>
      </c>
      <c r="E218" t="str">
        <v>L=8</v>
      </c>
      <c r="F218" t="str">
        <v>Ø20 L=11</v>
      </c>
      <c r="G218" t="str">
        <v/>
      </c>
      <c r="H218">
        <v>27</v>
      </c>
    </row>
    <row r="219" spans="1:8" x14ac:dyDescent="0.3">
      <c r="A219" t="str">
        <v>ЩДК-01</v>
      </c>
      <c r="B219" t="str">
        <v>ЩР-01</v>
      </c>
      <c r="C219" t="str">
        <v>Щит контроля доступа ШДК-01 Цокольный этаж Пом. №001Т</v>
      </c>
      <c r="D219" t="str">
        <v>ВВГнг(А)-LS (3х2,5)</v>
      </c>
      <c r="E219" t="str">
        <v/>
      </c>
      <c r="F219" t="str">
        <v>Ø20 L=12</v>
      </c>
      <c r="G219" t="str">
        <v/>
      </c>
      <c r="H219">
        <v>12</v>
      </c>
    </row>
    <row r="220" spans="1:8" x14ac:dyDescent="0.3">
      <c r="A220" t="str">
        <v>Ввод.1</v>
      </c>
      <c r="B220" t="str">
        <v>ЩР-1</v>
      </c>
      <c r="C220" t="str">
        <v>Ввод</v>
      </c>
      <c r="D220" t="str">
        <v>ВВГнг(А)-LS (5х16)</v>
      </c>
      <c r="E220" t="str">
        <v/>
      </c>
      <c r="F220" t="str">
        <v/>
      </c>
      <c r="G220" t="str">
        <v/>
      </c>
      <c r="H220" t="str">
        <v/>
      </c>
    </row>
    <row r="221" spans="1:8" x14ac:dyDescent="0.3">
      <c r="A221" t="str">
        <v>R.1.001A.1</v>
      </c>
      <c r="B221" t="str">
        <v>ЩР-1</v>
      </c>
      <c r="C221" t="str">
        <v>Розеточная группа, пом. 001A</v>
      </c>
      <c r="D221" t="str">
        <v>ВВГнг(А)-LS (3х2,5)</v>
      </c>
      <c r="E221" t="str">
        <v/>
      </c>
      <c r="F221" t="str">
        <v/>
      </c>
      <c r="G221" t="str">
        <v>Ø20 L=48</v>
      </c>
      <c r="H221">
        <v>81</v>
      </c>
    </row>
    <row r="222" spans="1:8" x14ac:dyDescent="0.3">
      <c r="A222" t="str">
        <v>R.1.001Aб.1</v>
      </c>
      <c r="B222" t="str">
        <v>ЩР-1</v>
      </c>
      <c r="C222" t="str">
        <v>Розеточная группа Первый этаж Пом. №001Aб, 002Аб</v>
      </c>
      <c r="D222" t="str">
        <v>ВВГнг(А)-LS (3х2,5)</v>
      </c>
      <c r="E222" t="str">
        <v>L=28</v>
      </c>
      <c r="F222" t="str">
        <v>Ø20 L=1</v>
      </c>
      <c r="G222" t="str">
        <v/>
      </c>
      <c r="H222">
        <v>73</v>
      </c>
    </row>
    <row r="223" spans="1:8" x14ac:dyDescent="0.3">
      <c r="A223" t="str">
        <v>R.1.001Г.1</v>
      </c>
      <c r="B223" t="str">
        <v>ЩР-1</v>
      </c>
      <c r="C223" t="str">
        <v>Розеточная группа, пом. 001Г</v>
      </c>
      <c r="D223" t="str">
        <v>ВВГнг(А)-LS (3х2,5)</v>
      </c>
      <c r="E223" t="str">
        <v>L=12</v>
      </c>
      <c r="F223" t="str">
        <v>Ø20 L=15</v>
      </c>
      <c r="G223" t="str">
        <v>Ø20 L=32</v>
      </c>
      <c r="H223">
        <v>59</v>
      </c>
    </row>
    <row r="224" spans="1:8" x14ac:dyDescent="0.3">
      <c r="A224" t="str">
        <v>R.1.002A.1</v>
      </c>
      <c r="B224" t="str">
        <v>ЩР-1</v>
      </c>
      <c r="C224" t="str">
        <v>Розеточная группа Первый этаж Пом. №002A, 023А</v>
      </c>
      <c r="D224" t="str">
        <v>ВВГнг(А)-LS (3х2,5)</v>
      </c>
      <c r="E224" t="str">
        <v>L=28</v>
      </c>
      <c r="F224" t="str">
        <v>Ø20 L=38</v>
      </c>
      <c r="G224" t="str">
        <v/>
      </c>
      <c r="H224">
        <v>66</v>
      </c>
    </row>
    <row r="225" spans="1:8" x14ac:dyDescent="0.3">
      <c r="A225" t="str">
        <v>R.1.002Aб.1</v>
      </c>
      <c r="B225" t="str">
        <v>ЩР-1</v>
      </c>
      <c r="C225" t="str">
        <v>Розеточная группа, пом. 002Aб</v>
      </c>
      <c r="D225" t="str">
        <v>ВВГнг(А)-LS (3х2,5)</v>
      </c>
      <c r="E225" t="str">
        <v>L=28</v>
      </c>
      <c r="F225" t="str">
        <v>Ø20 L=52</v>
      </c>
      <c r="G225" t="str">
        <v/>
      </c>
      <c r="H225">
        <v>80</v>
      </c>
    </row>
    <row r="226" spans="1:8" x14ac:dyDescent="0.3">
      <c r="A226" t="str">
        <v>R.1.002Б.1</v>
      </c>
      <c r="B226" t="str">
        <v>ЩР-1</v>
      </c>
      <c r="C226" t="str">
        <v>Розеточная группа Первый этаж Пом. №002Б Ледогенератор</v>
      </c>
      <c r="D226" t="str">
        <v>ВВГнг(А)-LS (3х2,5)</v>
      </c>
      <c r="E226" t="str">
        <v/>
      </c>
      <c r="F226" t="str">
        <v>Ø20 L=15</v>
      </c>
      <c r="G226" t="str">
        <v/>
      </c>
      <c r="H226">
        <v>30</v>
      </c>
    </row>
    <row r="227" spans="1:8" x14ac:dyDescent="0.3">
      <c r="A227" t="str">
        <v>R.1.002Б.2</v>
      </c>
      <c r="B227" t="str">
        <v>ЩР-1</v>
      </c>
      <c r="C227" t="str">
        <v>Розеточная группа, пом. 002Б</v>
      </c>
      <c r="D227" t="str">
        <v>ВВГнг(А)-LS (3х2,5)</v>
      </c>
      <c r="E227" t="str">
        <v/>
      </c>
      <c r="F227" t="str">
        <v>Ø20 L=14</v>
      </c>
      <c r="G227" t="str">
        <v/>
      </c>
      <c r="H227">
        <v>29</v>
      </c>
    </row>
    <row r="228" spans="1:8" x14ac:dyDescent="0.3">
      <c r="A228" t="str">
        <v>R.1.002Б.3</v>
      </c>
      <c r="B228" t="str">
        <v>ЩР-1</v>
      </c>
      <c r="C228" t="str">
        <v>Розеточная группа Первый этаж Пом. №002Б Ледогенератор</v>
      </c>
      <c r="D228" t="str">
        <v>ВВГнг(А)-LS (3х2,5)</v>
      </c>
      <c r="E228" t="str">
        <v/>
      </c>
      <c r="F228" t="str">
        <v>Ø20 L=14</v>
      </c>
      <c r="G228" t="str">
        <v/>
      </c>
      <c r="H228">
        <v>29</v>
      </c>
    </row>
    <row r="229" spans="1:8" x14ac:dyDescent="0.3">
      <c r="A229" t="str">
        <v>R.1.002Б.4</v>
      </c>
      <c r="B229" t="str">
        <v>ЩР-1</v>
      </c>
      <c r="C229" t="str">
        <v>Розеточная группа Первый этаж Пом. №002Б Фартук</v>
      </c>
      <c r="D229" t="str">
        <v>ВВГнг(А)-LS (3х2,5)</v>
      </c>
      <c r="E229" t="str">
        <v/>
      </c>
      <c r="F229" t="str">
        <v>Ø20 L=14</v>
      </c>
      <c r="G229" t="str">
        <v/>
      </c>
      <c r="H229">
        <v>17</v>
      </c>
    </row>
    <row r="230" spans="1:8" x14ac:dyDescent="0.3">
      <c r="A230" t="str">
        <v>R.1.002Б.5</v>
      </c>
      <c r="B230" t="str">
        <v>ЩР-1</v>
      </c>
      <c r="C230" t="str">
        <v>Розеточная группа Первый этаж Пом. №002Б ПММ</v>
      </c>
      <c r="D230" t="str">
        <v>ВВГнг(А)-LS (3х4)</v>
      </c>
      <c r="E230" t="str">
        <v/>
      </c>
      <c r="F230" t="str">
        <v>Ø20 L=22</v>
      </c>
      <c r="G230" t="str">
        <v/>
      </c>
      <c r="H230">
        <v>22</v>
      </c>
    </row>
    <row r="231" spans="1:8" x14ac:dyDescent="0.3">
      <c r="A231" t="str">
        <v>R.1.002Б.6</v>
      </c>
      <c r="B231" t="str">
        <v>ЩР-1</v>
      </c>
      <c r="C231" t="str">
        <v>Розеточная группа Первый этаж Пом. №002Б Стаканомоечная машина</v>
      </c>
      <c r="D231" t="str">
        <v>ВВГнг(А)-LS (3х4)</v>
      </c>
      <c r="E231" t="str">
        <v/>
      </c>
      <c r="F231" t="str">
        <v>Ø20 L=22</v>
      </c>
      <c r="G231" t="str">
        <v/>
      </c>
      <c r="H231">
        <v>22</v>
      </c>
    </row>
    <row r="232" spans="1:8" x14ac:dyDescent="0.3">
      <c r="A232" t="str">
        <v>R.1.002Б.7</v>
      </c>
      <c r="B232" t="str">
        <v>ЩР-1</v>
      </c>
      <c r="C232" t="str">
        <v>Розеточная группа, пом. 002Б</v>
      </c>
      <c r="D232" t="str">
        <v>ВВГнг(А)-LS (3х2,5)</v>
      </c>
      <c r="E232" t="str">
        <v/>
      </c>
      <c r="F232" t="str">
        <v>Ø20 L=22</v>
      </c>
      <c r="G232" t="str">
        <v/>
      </c>
      <c r="H232">
        <v>22</v>
      </c>
    </row>
    <row r="233" spans="1:8" x14ac:dyDescent="0.3">
      <c r="A233" t="str">
        <v>R.1.002Б.8</v>
      </c>
      <c r="B233" t="str">
        <v>ЩР-1</v>
      </c>
      <c r="C233" t="str">
        <v>Розеточная группа, пом. 002Б</v>
      </c>
      <c r="D233" t="str">
        <v>ВВГнг(А)-LS (3х2,5)</v>
      </c>
      <c r="E233" t="str">
        <v>L=2</v>
      </c>
      <c r="F233" t="str">
        <v>Ø20 L=6</v>
      </c>
      <c r="G233" t="str">
        <v>Ø20 L=19</v>
      </c>
      <c r="H233">
        <v>27</v>
      </c>
    </row>
    <row r="234" spans="1:8" x14ac:dyDescent="0.3">
      <c r="A234" t="str">
        <v>R.1.002Г.1</v>
      </c>
      <c r="B234" t="str">
        <v>ЩР-1</v>
      </c>
      <c r="C234" t="str">
        <v>Розеточная группа, пом. 002Г</v>
      </c>
      <c r="D234" t="str">
        <v>ВВГнг(А)-LS (3х2,5)</v>
      </c>
      <c r="E234" t="str">
        <v>L=28</v>
      </c>
      <c r="F234" t="str">
        <v>Ø20 L=49</v>
      </c>
      <c r="G234" t="str">
        <v>Ø20 L=36</v>
      </c>
      <c r="H234">
        <v>113</v>
      </c>
    </row>
    <row r="235" spans="1:8" x14ac:dyDescent="0.3">
      <c r="A235" t="str">
        <v>R.1.003A.1</v>
      </c>
      <c r="B235" t="str">
        <v>ЩР-1</v>
      </c>
      <c r="C235" t="str">
        <v>Розеточная группа, пом. 003A</v>
      </c>
      <c r="D235" t="str">
        <v>ВВГнг(А)-LS (3х2,5)</v>
      </c>
      <c r="E235" t="str">
        <v>L=28</v>
      </c>
      <c r="F235" t="str">
        <v>Ø20 L=25</v>
      </c>
      <c r="G235" t="str">
        <v>Ø20 L=7</v>
      </c>
      <c r="H235">
        <v>60</v>
      </c>
    </row>
    <row r="236" spans="1:8" x14ac:dyDescent="0.3">
      <c r="A236" t="str">
        <v>R.1.003A.2</v>
      </c>
      <c r="B236" t="str">
        <v>ЩР-1</v>
      </c>
      <c r="C236" t="str">
        <v>Розеточная группа, пом. 003A</v>
      </c>
      <c r="D236" t="str">
        <v>ВВГнг(А)-LS (3х2,5)</v>
      </c>
      <c r="E236" t="str">
        <v>L=28</v>
      </c>
      <c r="F236" t="str">
        <v>Ø20 L=42</v>
      </c>
      <c r="G236" t="str">
        <v>Ø20 L=5</v>
      </c>
      <c r="H236">
        <v>75</v>
      </c>
    </row>
    <row r="237" spans="1:8" x14ac:dyDescent="0.3">
      <c r="A237" t="str">
        <v>R.1.003A.3</v>
      </c>
      <c r="B237" t="str">
        <v>ЩР-1</v>
      </c>
      <c r="C237" t="str">
        <v>Розеточная группа, пом. 003A</v>
      </c>
      <c r="D237" t="str">
        <v>ВВГнг(А)-LS (3х2,5)</v>
      </c>
      <c r="E237" t="str">
        <v>L=28</v>
      </c>
      <c r="F237" t="str">
        <v>Ø20 L=72</v>
      </c>
      <c r="G237" t="str">
        <v>Ø20 L=7</v>
      </c>
      <c r="H237">
        <v>107</v>
      </c>
    </row>
    <row r="238" spans="1:8" x14ac:dyDescent="0.3">
      <c r="A238" t="str">
        <v>R.1.003A2</v>
      </c>
      <c r="B238" t="str">
        <v>ЩР-1</v>
      </c>
      <c r="C238" t="str">
        <v>Розеточная группа, пом. 003A2</v>
      </c>
      <c r="D238" t="str">
        <v>ВВГнг(А)-LS (3х2,5)</v>
      </c>
      <c r="E238" t="str">
        <v>L=28</v>
      </c>
      <c r="F238" t="str">
        <v>Ø20 L=35</v>
      </c>
      <c r="G238" t="str">
        <v>Ø20 L=6</v>
      </c>
      <c r="H238">
        <v>69</v>
      </c>
    </row>
    <row r="239" spans="1:8" x14ac:dyDescent="0.3">
      <c r="A239" t="str">
        <v>R.1.003Aб.1</v>
      </c>
      <c r="B239" t="str">
        <v>ЩР-1</v>
      </c>
      <c r="C239" t="str">
        <v>Розеточная группа, пом. 003Aб</v>
      </c>
      <c r="D239" t="str">
        <v>ВВГнг(А)-LS (3х2,5)</v>
      </c>
      <c r="E239" t="str">
        <v>L=28</v>
      </c>
      <c r="F239" t="str">
        <v>Ø20 L=53</v>
      </c>
      <c r="G239" t="str">
        <v/>
      </c>
      <c r="H239">
        <v>81</v>
      </c>
    </row>
    <row r="240" spans="1:8" x14ac:dyDescent="0.3">
      <c r="A240" t="str">
        <v>R.1.003Б.1</v>
      </c>
      <c r="B240" t="str">
        <v>ЩР-1</v>
      </c>
      <c r="C240" t="str">
        <v>Розеточная группа, пом. 003Б</v>
      </c>
      <c r="D240" t="str">
        <v>ВВГнг(А)-LS (3х2,5)</v>
      </c>
      <c r="E240" t="str">
        <v/>
      </c>
      <c r="F240" t="str">
        <v/>
      </c>
      <c r="G240" t="str">
        <v>Ø20 L=23</v>
      </c>
      <c r="H240">
        <v>28</v>
      </c>
    </row>
    <row r="241" spans="1:8" x14ac:dyDescent="0.3">
      <c r="A241" t="str">
        <v>R.1.003Б.2</v>
      </c>
      <c r="B241" t="str">
        <v>ЩР-1</v>
      </c>
      <c r="C241" t="str">
        <v>Розеточная группа, пом. 003Б</v>
      </c>
      <c r="D241" t="str">
        <v>ВВГнг(А)-LS (3х2,5)</v>
      </c>
      <c r="E241" t="str">
        <v/>
      </c>
      <c r="F241" t="str">
        <v/>
      </c>
      <c r="G241" t="str">
        <v>Ø20 L=8</v>
      </c>
      <c r="H241">
        <v>13</v>
      </c>
    </row>
    <row r="242" spans="1:8" x14ac:dyDescent="0.3">
      <c r="A242" t="str">
        <v>R.1.003Г.1</v>
      </c>
      <c r="B242" t="str">
        <v>ЩР-1</v>
      </c>
      <c r="C242" t="str">
        <v>Розеточная группа, пом. 003Г</v>
      </c>
      <c r="D242" t="str">
        <v>ВВГнг(А)-LS (3х2,5)</v>
      </c>
      <c r="E242" t="str">
        <v>L=6</v>
      </c>
      <c r="F242" t="str">
        <v>Ø20 L=26</v>
      </c>
      <c r="G242" t="str">
        <v/>
      </c>
      <c r="H242">
        <v>32</v>
      </c>
    </row>
    <row r="243" spans="1:8" x14ac:dyDescent="0.3">
      <c r="A243" t="str">
        <v>R.1.004Aб.1</v>
      </c>
      <c r="B243" t="str">
        <v>ЩР-1</v>
      </c>
      <c r="C243" t="str">
        <v>Розеточная группа, пом. 004Aб</v>
      </c>
      <c r="D243" t="str">
        <v>ВВГнг(А)-LS (3х2,5)</v>
      </c>
      <c r="E243" t="str">
        <v>L=28</v>
      </c>
      <c r="F243" t="str">
        <v>Ø20 L=47</v>
      </c>
      <c r="G243" t="str">
        <v/>
      </c>
      <c r="H243">
        <v>75</v>
      </c>
    </row>
    <row r="244" spans="1:8" x14ac:dyDescent="0.3">
      <c r="A244" t="str">
        <v>R.1.005A.1</v>
      </c>
      <c r="B244" t="str">
        <v>ЩР-1</v>
      </c>
      <c r="C244" t="str">
        <v>Розеточная группа, пом. 005A</v>
      </c>
      <c r="D244" t="str">
        <v>ВВГнг(А)-LS (3х2,5)</v>
      </c>
      <c r="E244" t="str">
        <v>L=12</v>
      </c>
      <c r="F244" t="str">
        <v>Ø20 L=19</v>
      </c>
      <c r="G244" t="str">
        <v/>
      </c>
      <c r="H244">
        <v>31</v>
      </c>
    </row>
    <row r="245" spans="1:8" x14ac:dyDescent="0.3">
      <c r="A245" t="str">
        <v>R.1.006A.1</v>
      </c>
      <c r="B245" t="str">
        <v>ЩР-1</v>
      </c>
      <c r="C245" t="str">
        <v>Розеточная группа, пом. 006A</v>
      </c>
      <c r="D245" t="str">
        <v>ВВГнг(А)-LS (3х2,5)</v>
      </c>
      <c r="E245" t="str">
        <v>L=28</v>
      </c>
      <c r="F245" t="str">
        <v>Ø20 L=20</v>
      </c>
      <c r="G245" t="str">
        <v>Ø20 L=6</v>
      </c>
      <c r="H245">
        <v>54</v>
      </c>
    </row>
    <row r="246" spans="1:8" x14ac:dyDescent="0.3">
      <c r="A246" t="str">
        <v>R.1.006Aб.1</v>
      </c>
      <c r="B246" t="str">
        <v>ЩР-1</v>
      </c>
      <c r="C246" t="str">
        <v>Розеточная группа, пом. 006Aб</v>
      </c>
      <c r="D246" t="str">
        <v>ВВГнг(А)-LS (3х2,5)</v>
      </c>
      <c r="E246" t="str">
        <v>L=28</v>
      </c>
      <c r="F246" t="str">
        <v>Ø20 L=78</v>
      </c>
      <c r="G246" t="str">
        <v/>
      </c>
      <c r="H246">
        <v>106</v>
      </c>
    </row>
    <row r="247" spans="1:8" x14ac:dyDescent="0.3">
      <c r="A247" t="str">
        <v>R.1.006Aб.2</v>
      </c>
      <c r="B247" t="str">
        <v>ЩР-1</v>
      </c>
      <c r="C247" t="str">
        <v>Розеточная группа, пом. 006Aб</v>
      </c>
      <c r="D247" t="str">
        <v>ВВГнг(А)-LS (3х2,5)</v>
      </c>
      <c r="E247" t="str">
        <v>L=28</v>
      </c>
      <c r="F247" t="str">
        <v>Ø20 L=96</v>
      </c>
      <c r="G247" t="str">
        <v/>
      </c>
      <c r="H247">
        <v>124</v>
      </c>
    </row>
    <row r="248" spans="1:8" x14ac:dyDescent="0.3">
      <c r="A248" t="str">
        <v>R.1.007A.1</v>
      </c>
      <c r="B248" t="str">
        <v>ЩР-1</v>
      </c>
      <c r="C248" t="str">
        <v>Розеточная группа, пом. 007A</v>
      </c>
      <c r="D248" t="str">
        <v>ВВГнг(А)-LS (3х2,5)</v>
      </c>
      <c r="E248" t="str">
        <v>L=7</v>
      </c>
      <c r="F248" t="str">
        <v>Ø20 L=38</v>
      </c>
      <c r="G248" t="str">
        <v/>
      </c>
      <c r="H248">
        <v>45</v>
      </c>
    </row>
    <row r="249" spans="1:8" x14ac:dyDescent="0.3">
      <c r="A249" t="str">
        <v>R.1.008A.1</v>
      </c>
      <c r="B249" t="str">
        <v>ЩР-1</v>
      </c>
      <c r="C249" t="str">
        <v>Розеточная группа, пом. 008A</v>
      </c>
      <c r="D249" t="str">
        <v>ВВГнг(А)-LS (3х2,5)</v>
      </c>
      <c r="E249" t="str">
        <v>L=20</v>
      </c>
      <c r="F249" t="str">
        <v>Ø20 L=26</v>
      </c>
      <c r="G249" t="str">
        <v>Ø20 L=5</v>
      </c>
      <c r="H249">
        <v>51</v>
      </c>
    </row>
    <row r="250" spans="1:8" x14ac:dyDescent="0.3">
      <c r="A250" t="str">
        <v>R.1.009A.1</v>
      </c>
      <c r="B250" t="str">
        <v>ЩР-1</v>
      </c>
      <c r="C250" t="str">
        <v>Розеточная группа, пом. 009A</v>
      </c>
      <c r="D250" t="str">
        <v>ВВГнг(А)-LS (3х2,5)</v>
      </c>
      <c r="E250" t="str">
        <v/>
      </c>
      <c r="F250" t="str">
        <v/>
      </c>
      <c r="G250" t="str">
        <v>Ø20 L=22</v>
      </c>
      <c r="H250">
        <v>27</v>
      </c>
    </row>
    <row r="251" spans="1:8" x14ac:dyDescent="0.3">
      <c r="A251" t="str">
        <v>R.1.010A.1</v>
      </c>
      <c r="B251" t="str">
        <v>ЩР-1</v>
      </c>
      <c r="C251" t="str">
        <v>Розеточная группа, пом. 010A</v>
      </c>
      <c r="D251" t="str">
        <v>ВВГнг(А)-LS (3х2,5)</v>
      </c>
      <c r="E251" t="str">
        <v/>
      </c>
      <c r="F251" t="str">
        <v/>
      </c>
      <c r="G251" t="str">
        <v>Ø20 L=40</v>
      </c>
      <c r="H251">
        <v>45</v>
      </c>
    </row>
    <row r="252" spans="1:8" x14ac:dyDescent="0.3">
      <c r="A252" t="str">
        <v>R.1.011A.1</v>
      </c>
      <c r="B252" t="str">
        <v>ЩР-1</v>
      </c>
      <c r="C252" t="str">
        <v>Розеточная группа, пом. 011A</v>
      </c>
      <c r="D252" t="str">
        <v>ВВГнг(А)-LS (3х2,5)</v>
      </c>
      <c r="E252" t="str">
        <v>L=11</v>
      </c>
      <c r="F252" t="str">
        <v>Ø20 L=31</v>
      </c>
      <c r="G252" t="str">
        <v>Ø20 L=36</v>
      </c>
      <c r="H252">
        <v>73</v>
      </c>
    </row>
    <row r="253" spans="1:8" x14ac:dyDescent="0.3">
      <c r="A253" t="str">
        <v>R.1.012.1A.1</v>
      </c>
      <c r="B253" t="str">
        <v>ЩР-1</v>
      </c>
      <c r="C253" t="str">
        <v>Розеточная группа, пом. 012</v>
      </c>
      <c r="D253" t="str">
        <v>ВВГнг(А)-LS (3х2,5)</v>
      </c>
      <c r="E253" t="str">
        <v>L=18</v>
      </c>
      <c r="F253" t="str">
        <v>Ø20 L=14</v>
      </c>
      <c r="G253" t="str">
        <v/>
      </c>
      <c r="H253">
        <v>32</v>
      </c>
    </row>
    <row r="254" spans="1:8" x14ac:dyDescent="0.3">
      <c r="A254" t="str">
        <v>R.1.013A.1</v>
      </c>
      <c r="B254" t="str">
        <v>ЩР-1</v>
      </c>
      <c r="C254" t="str">
        <v>Розеточная группа, пом. 013A</v>
      </c>
      <c r="D254" t="str">
        <v>ВВГнг(А)-LS (3х2,5)</v>
      </c>
      <c r="E254" t="str">
        <v>L=20</v>
      </c>
      <c r="F254" t="str">
        <v>Ø20 L=18</v>
      </c>
      <c r="G254" t="str">
        <v/>
      </c>
      <c r="H254">
        <v>38</v>
      </c>
    </row>
    <row r="255" spans="1:8" x14ac:dyDescent="0.3">
      <c r="A255" t="str">
        <v>R.1.014A.1</v>
      </c>
      <c r="B255" t="str">
        <v>ЩР-1</v>
      </c>
      <c r="C255" t="str">
        <v>Розеточная группа, пом. 014A</v>
      </c>
      <c r="D255" t="str">
        <v>ВВГнг(А)-LS (3х2,5)</v>
      </c>
      <c r="E255" t="str">
        <v>L=3</v>
      </c>
      <c r="F255" t="str">
        <v>Ø20 L=19</v>
      </c>
      <c r="G255" t="str">
        <v/>
      </c>
      <c r="H255">
        <v>22</v>
      </c>
    </row>
    <row r="256" spans="1:8" x14ac:dyDescent="0.3">
      <c r="A256" t="str">
        <v>R.1.015A.1</v>
      </c>
      <c r="B256" t="str">
        <v>ЩР-1</v>
      </c>
      <c r="C256" t="str">
        <v>Розеточная группа, пом. 015A</v>
      </c>
      <c r="D256" t="str">
        <v>ВВГнг(А)-LS (3х2,5)</v>
      </c>
      <c r="E256" t="str">
        <v>L=6</v>
      </c>
      <c r="F256" t="str">
        <v>Ø20 L=36</v>
      </c>
      <c r="G256" t="str">
        <v/>
      </c>
      <c r="H256">
        <v>42</v>
      </c>
    </row>
    <row r="257" spans="1:8" x14ac:dyDescent="0.3">
      <c r="A257" t="str">
        <v>R.1.016A.1</v>
      </c>
      <c r="B257" t="str">
        <v>ЩР-1</v>
      </c>
      <c r="C257" t="str">
        <v>Розеточная группа, пом. 016A</v>
      </c>
      <c r="D257" t="str">
        <v>ВВГнг(А)-LS (3х2,5)</v>
      </c>
      <c r="E257" t="str">
        <v>L=20</v>
      </c>
      <c r="F257" t="str">
        <v>Ø20 L=25</v>
      </c>
      <c r="G257" t="str">
        <v>Ø20 L=18</v>
      </c>
      <c r="H257">
        <v>63</v>
      </c>
    </row>
    <row r="258" spans="1:8" x14ac:dyDescent="0.3">
      <c r="A258" t="str">
        <v>R.1.017A.1</v>
      </c>
      <c r="B258" t="str">
        <v>ЩР-1</v>
      </c>
      <c r="C258" t="str">
        <v>Розеточная группа, пом. 017A</v>
      </c>
      <c r="D258" t="str">
        <v>ВВГнг(А)-LS (3х2,5)</v>
      </c>
      <c r="E258" t="str">
        <v>L=20</v>
      </c>
      <c r="F258" t="str">
        <v>Ø20 L=31</v>
      </c>
      <c r="G258" t="str">
        <v>Ø20 L=8</v>
      </c>
      <c r="H258">
        <v>59</v>
      </c>
    </row>
    <row r="259" spans="1:8" x14ac:dyDescent="0.3">
      <c r="A259" t="str">
        <v>R.1.017A.2</v>
      </c>
      <c r="B259" t="str">
        <v>ЩР-1</v>
      </c>
      <c r="C259" t="str">
        <v>Розеточная группа, пом. 017A</v>
      </c>
      <c r="D259" t="str">
        <v>ВВГнг(А)-LS (3х2,5)</v>
      </c>
      <c r="E259" t="str">
        <v>L=20</v>
      </c>
      <c r="F259" t="str">
        <v>Ø20 L=23</v>
      </c>
      <c r="G259" t="str">
        <v>Ø20 L=14</v>
      </c>
      <c r="H259">
        <v>57</v>
      </c>
    </row>
    <row r="260" spans="1:8" x14ac:dyDescent="0.3">
      <c r="A260" t="str">
        <v>R.1.018A.1</v>
      </c>
      <c r="B260" t="str">
        <v>ЩР-1</v>
      </c>
      <c r="C260" t="str">
        <v>Розеточная группа, пом. 018A</v>
      </c>
      <c r="D260" t="str">
        <v>ВВГнг(А)-LS (3х2,5)</v>
      </c>
      <c r="E260" t="str">
        <v>L=20</v>
      </c>
      <c r="F260" t="str">
        <v>Ø20 L=18</v>
      </c>
      <c r="G260" t="str">
        <v>Ø20 L=4</v>
      </c>
      <c r="H260">
        <v>42</v>
      </c>
    </row>
    <row r="261" spans="1:8" x14ac:dyDescent="0.3">
      <c r="A261" t="str">
        <v>R.1.019A.1</v>
      </c>
      <c r="B261" t="str">
        <v>ЩР-1</v>
      </c>
      <c r="C261" t="str">
        <v>Розеточная группа Первый этаж Пом. №019A Полотенцесушитель</v>
      </c>
      <c r="D261" t="str">
        <v>ВВГнг(А)-LS (3х2,5)</v>
      </c>
      <c r="E261" t="str">
        <v>L=20</v>
      </c>
      <c r="F261" t="str">
        <v/>
      </c>
      <c r="G261" t="str">
        <v/>
      </c>
      <c r="H261">
        <v>40</v>
      </c>
    </row>
    <row r="262" spans="1:8" x14ac:dyDescent="0.3">
      <c r="A262" t="str">
        <v>R.1.020A.2</v>
      </c>
      <c r="B262" t="str">
        <v>ЩР-1</v>
      </c>
      <c r="C262" t="str">
        <v>Розеточная группа, пом. 020A</v>
      </c>
      <c r="D262" t="str">
        <v>ВВГнг(А)-LS (3х2,5)</v>
      </c>
      <c r="E262" t="str">
        <v>L=20</v>
      </c>
      <c r="F262" t="str">
        <v>Ø20 L=34</v>
      </c>
      <c r="G262" t="str">
        <v/>
      </c>
      <c r="H262">
        <v>54</v>
      </c>
    </row>
    <row r="263" spans="1:8" x14ac:dyDescent="0.3">
      <c r="A263" t="str">
        <v>R.1.021A.1</v>
      </c>
      <c r="B263" t="str">
        <v>ЩР-1</v>
      </c>
      <c r="C263" t="str">
        <v>Розеточная группа Первый этаж Пом. №021A Кофемашина</v>
      </c>
      <c r="D263" t="str">
        <v>ВВГнг(А)-LS (3х2,5)</v>
      </c>
      <c r="E263" t="str">
        <v>L=20</v>
      </c>
      <c r="F263" t="str">
        <v>Ø20 L=19</v>
      </c>
      <c r="G263" t="str">
        <v/>
      </c>
      <c r="H263">
        <v>39</v>
      </c>
    </row>
    <row r="264" spans="1:8" x14ac:dyDescent="0.3">
      <c r="A264" t="str">
        <v>R.1.021A.10</v>
      </c>
      <c r="B264" t="str">
        <v>ЩР-1</v>
      </c>
      <c r="C264" t="str">
        <v>Розеточная группа Первый этаж Пом. №021A ПММ</v>
      </c>
      <c r="D264" t="str">
        <v>ВВГнг(А)-LS (3х2,5)</v>
      </c>
      <c r="E264" t="str">
        <v>L=20</v>
      </c>
      <c r="F264" t="str">
        <v>Ø20 L=22</v>
      </c>
      <c r="G264" t="str">
        <v/>
      </c>
      <c r="H264">
        <v>42</v>
      </c>
    </row>
    <row r="265" spans="1:8" x14ac:dyDescent="0.3">
      <c r="A265" t="str">
        <v>R.1.021A.11</v>
      </c>
      <c r="B265" t="str">
        <v>ЩР-1</v>
      </c>
      <c r="C265" t="str">
        <v>Розеточная группа, пом. 021A</v>
      </c>
      <c r="D265" t="str">
        <v>ВВГнг(А)-LS (3х2,5)</v>
      </c>
      <c r="E265" t="str">
        <v/>
      </c>
      <c r="F265" t="str">
        <v>Ø20 L=3</v>
      </c>
      <c r="G265" t="str">
        <v/>
      </c>
      <c r="H265">
        <v>6</v>
      </c>
    </row>
    <row r="266" spans="1:8" x14ac:dyDescent="0.3">
      <c r="A266" t="str">
        <v>R.1.021A.2</v>
      </c>
      <c r="B266" t="str">
        <v>ЩР-1</v>
      </c>
      <c r="C266" t="str">
        <v>Розеточная группа Первый этаж Пом. №021A Духовой шкаф</v>
      </c>
      <c r="D266" t="str">
        <v>ВВГнг(А)-LS (3х4)</v>
      </c>
      <c r="E266" t="str">
        <v>L=20</v>
      </c>
      <c r="F266" t="str">
        <v>Ø20 L=19</v>
      </c>
      <c r="G266" t="str">
        <v/>
      </c>
      <c r="H266">
        <v>39</v>
      </c>
    </row>
    <row r="267" spans="1:8" x14ac:dyDescent="0.3">
      <c r="A267" t="str">
        <v>R.1.021A.3</v>
      </c>
      <c r="B267" t="str">
        <v>ЩР-1</v>
      </c>
      <c r="C267" t="str">
        <v>Розеточная группа Первый этаж Пом. №021A Микроволновая печь</v>
      </c>
      <c r="D267" t="str">
        <v>ВВГнг(А)-LS (3х2,5)</v>
      </c>
      <c r="E267" t="str">
        <v>L=20</v>
      </c>
      <c r="F267" t="str">
        <v>Ø20 L=19</v>
      </c>
      <c r="G267" t="str">
        <v/>
      </c>
      <c r="H267">
        <v>39</v>
      </c>
    </row>
    <row r="268" spans="1:8" x14ac:dyDescent="0.3">
      <c r="A268" t="str">
        <v>R.1.021A.4</v>
      </c>
      <c r="B268" t="str">
        <v>ЩР-1</v>
      </c>
      <c r="C268" t="str">
        <v>Розеточная группа Первый этаж Пом. №021A Холодильник, морозильная камера</v>
      </c>
      <c r="D268" t="str">
        <v>ВВГнг(А)-LS (3х2,5)</v>
      </c>
      <c r="E268" t="str">
        <v>L=20</v>
      </c>
      <c r="F268" t="str">
        <v>Ø20 L=22</v>
      </c>
      <c r="G268" t="str">
        <v/>
      </c>
      <c r="H268">
        <v>42</v>
      </c>
    </row>
    <row r="269" spans="1:8" x14ac:dyDescent="0.3">
      <c r="A269" t="str">
        <v>R.1.021A.6</v>
      </c>
      <c r="B269" t="str">
        <v>ЩР-1</v>
      </c>
      <c r="C269" t="str">
        <v>Розеточная группа Первый этаж Пом. №021A Вывод для вытяжки</v>
      </c>
      <c r="D269" t="str">
        <v>ВВГнг(А)-LS (3х2,5)</v>
      </c>
      <c r="E269" t="str">
        <v>L=20</v>
      </c>
      <c r="F269" t="str">
        <v>Ø20 L=22</v>
      </c>
      <c r="G269" t="str">
        <v/>
      </c>
      <c r="H269">
        <v>42</v>
      </c>
    </row>
    <row r="270" spans="1:8" x14ac:dyDescent="0.3">
      <c r="A270" t="str">
        <v>R.1.021A.7</v>
      </c>
      <c r="B270" t="str">
        <v>ЩР-1</v>
      </c>
      <c r="C270" t="str">
        <v>Розеточная группа Первый этаж Пом. №021A Вывод на варочную панель</v>
      </c>
      <c r="D270" t="str">
        <v>ВВГнг(А)-LS (5х4)</v>
      </c>
      <c r="E270" t="str">
        <v>L=20</v>
      </c>
      <c r="F270" t="str">
        <v>Ø25 L=22</v>
      </c>
      <c r="G270" t="str">
        <v/>
      </c>
      <c r="H270">
        <v>42</v>
      </c>
    </row>
    <row r="271" spans="1:8" x14ac:dyDescent="0.3">
      <c r="A271" t="str">
        <v>R.1.021A.8</v>
      </c>
      <c r="B271" t="str">
        <v>ЩР-1</v>
      </c>
      <c r="C271" t="str">
        <v>Розеточная группа, пом. 021A</v>
      </c>
      <c r="D271" t="str">
        <v>ВВГнг(А)-LS (3х2,5)</v>
      </c>
      <c r="E271" t="str">
        <v>L=20</v>
      </c>
      <c r="F271" t="str">
        <v>Ø20 L=29</v>
      </c>
      <c r="G271" t="str">
        <v>Ø20 L=14</v>
      </c>
      <c r="H271">
        <v>63</v>
      </c>
    </row>
    <row r="272" spans="1:8" x14ac:dyDescent="0.3">
      <c r="A272" t="str">
        <v>R.1.021A.9</v>
      </c>
      <c r="B272" t="str">
        <v>ЩР-1</v>
      </c>
      <c r="C272" t="str">
        <v>Розеточная группа Первый этаж Пом. №021A Подогреватель пищи и посуды</v>
      </c>
      <c r="D272" t="str">
        <v>ВВГнг(А)-LS (3х2,5)</v>
      </c>
      <c r="E272" t="str">
        <v>L=20</v>
      </c>
      <c r="F272" t="str">
        <v>Ø20 L=20</v>
      </c>
      <c r="G272" t="str">
        <v/>
      </c>
      <c r="H272">
        <v>40</v>
      </c>
    </row>
    <row r="273" spans="1:8" x14ac:dyDescent="0.3">
      <c r="A273" t="str">
        <v>R.1.002Б.9</v>
      </c>
      <c r="B273" t="str">
        <v>ЩР-1</v>
      </c>
      <c r="C273" t="str">
        <v>Розеточная группа Первый этаж Пом. №002Б Холодильник</v>
      </c>
      <c r="D273" t="str">
        <v>ВВГнг(А)-LS (3х2,5)</v>
      </c>
      <c r="E273" t="str">
        <v/>
      </c>
      <c r="F273" t="str">
        <v/>
      </c>
      <c r="G273" t="str">
        <v>Ø20 L=6</v>
      </c>
      <c r="H273">
        <v>9</v>
      </c>
    </row>
    <row r="274" spans="1:8" x14ac:dyDescent="0.3">
      <c r="A274" t="str">
        <v>R.1.002Б.10</v>
      </c>
      <c r="B274" t="str">
        <v>ЩР-1</v>
      </c>
      <c r="C274" t="str">
        <v>Розеточная группа, пом. 002Б</v>
      </c>
      <c r="D274" t="str">
        <v>ВВГнг(А)-LS (3х2,5)</v>
      </c>
      <c r="E274" t="str">
        <v/>
      </c>
      <c r="F274" t="str">
        <v/>
      </c>
      <c r="G274" t="str">
        <v>Ø20 L=6</v>
      </c>
      <c r="H274">
        <v>9</v>
      </c>
    </row>
    <row r="275" spans="1:8" x14ac:dyDescent="0.3">
      <c r="A275" t="str">
        <v>R.1.021A.5</v>
      </c>
      <c r="B275" t="str">
        <v>ЩР-1</v>
      </c>
      <c r="C275" t="str">
        <v>Розеточная группа, пом. 021A</v>
      </c>
      <c r="D275" t="str">
        <v>ВВГнг(А)-LS (3х2,5)</v>
      </c>
      <c r="E275" t="str">
        <v>L=20</v>
      </c>
      <c r="F275" t="str">
        <v>Ø20 L=22</v>
      </c>
      <c r="G275" t="str">
        <v/>
      </c>
      <c r="H275">
        <v>42</v>
      </c>
    </row>
    <row r="276" spans="1:8" x14ac:dyDescent="0.3">
      <c r="A276" t="str">
        <v>R.1.020A.1</v>
      </c>
      <c r="B276" t="str">
        <v>ЩР-1</v>
      </c>
      <c r="C276" t="str">
        <v>Розеточная группа Первый этаж Пом. №020A Холодильник, морозильная камера</v>
      </c>
      <c r="D276" t="str">
        <v>ВВГнг(А)-LS (3х2,5)</v>
      </c>
      <c r="E276" t="str">
        <v>L=20</v>
      </c>
      <c r="F276" t="str">
        <v>Ø20 L=30</v>
      </c>
      <c r="G276" t="str">
        <v/>
      </c>
      <c r="H276">
        <v>50</v>
      </c>
    </row>
    <row r="277" spans="1:8" x14ac:dyDescent="0.3">
      <c r="A277" t="str">
        <v>R.1.022A.1</v>
      </c>
      <c r="B277" t="str">
        <v>ЩР-1</v>
      </c>
      <c r="C277" t="str">
        <v>Розеточная группа, пом. 022A</v>
      </c>
      <c r="D277" t="str">
        <v>ВВГнг(А)-LS (3х2,5)</v>
      </c>
      <c r="E277" t="str">
        <v>L=20</v>
      </c>
      <c r="F277" t="str">
        <v>Ø20 L=46</v>
      </c>
      <c r="G277" t="str">
        <v/>
      </c>
      <c r="H277">
        <v>66</v>
      </c>
    </row>
    <row r="278" spans="1:8" x14ac:dyDescent="0.3">
      <c r="A278" t="str">
        <v>ЩКД.1</v>
      </c>
      <c r="B278" t="str">
        <v>ЩР-1</v>
      </c>
      <c r="C278" t="str">
        <v>Щит контроля доступа ЩКД-1 Первый этаж Пом. №002Б</v>
      </c>
      <c r="D278" t="str">
        <v>ВВГнг(А)-LS (3х2,5)</v>
      </c>
      <c r="E278" t="str">
        <v/>
      </c>
      <c r="F278" t="str">
        <v>Ø20 L=8</v>
      </c>
      <c r="G278" t="str">
        <v/>
      </c>
      <c r="H278">
        <v>11</v>
      </c>
    </row>
    <row r="279" spans="1:8" x14ac:dyDescent="0.3">
      <c r="A279" t="str">
        <v>Ввод.1</v>
      </c>
      <c r="B279" t="str">
        <v>ЩР-2</v>
      </c>
      <c r="C279" t="str">
        <v>Ввод</v>
      </c>
      <c r="D279" t="str">
        <v>ВВГнг(А)-LS (5х4)</v>
      </c>
      <c r="E279" t="str">
        <v/>
      </c>
      <c r="F279" t="str">
        <v/>
      </c>
      <c r="G279" t="str">
        <v/>
      </c>
      <c r="H279" t="str">
        <v/>
      </c>
    </row>
    <row r="280" spans="1:8" x14ac:dyDescent="0.3">
      <c r="A280" t="str">
        <v>R.2.002А.1</v>
      </c>
      <c r="B280" t="str">
        <v>ЩР-2</v>
      </c>
      <c r="C280" t="str">
        <v>Розеточная группа, пом. 002А</v>
      </c>
      <c r="D280" t="str">
        <v>ВВГнг(А)-LS (3х2,5)</v>
      </c>
      <c r="E280" t="str">
        <v>L=12</v>
      </c>
      <c r="F280" t="str">
        <v>Ø20 L=26</v>
      </c>
      <c r="G280" t="str">
        <v>Ø20 L=10</v>
      </c>
      <c r="H280">
        <v>54</v>
      </c>
    </row>
    <row r="281" spans="1:8" x14ac:dyDescent="0.3">
      <c r="A281" t="str">
        <v>R.2.003А.1</v>
      </c>
      <c r="B281" t="str">
        <v>ЩР-2</v>
      </c>
      <c r="C281" t="str">
        <v>Розеточная группа, пом. 003А</v>
      </c>
      <c r="D281" t="str">
        <v>ВВГнг(А)-LS (3х2,5)</v>
      </c>
      <c r="E281" t="str">
        <v>L=12</v>
      </c>
      <c r="F281" t="str">
        <v>Ø20 L=44</v>
      </c>
      <c r="G281" t="str">
        <v>Ø20 L=58</v>
      </c>
      <c r="H281">
        <v>62</v>
      </c>
    </row>
    <row r="282" spans="1:8" x14ac:dyDescent="0.3">
      <c r="A282" t="str">
        <v>R.2.005А.1</v>
      </c>
      <c r="B282" t="str">
        <v>ЩР-2</v>
      </c>
      <c r="C282" t="str">
        <v>Розеточная группа, пом. 005А</v>
      </c>
      <c r="D282" t="str">
        <v>ВВГнг(А)-LS (3х2,5)</v>
      </c>
      <c r="E282" t="str">
        <v>L=12</v>
      </c>
      <c r="F282" t="str">
        <v>Ø20 L=39</v>
      </c>
      <c r="G282" t="str">
        <v>Ø20 L=53</v>
      </c>
      <c r="H282">
        <v>57</v>
      </c>
    </row>
    <row r="283" spans="1:8" x14ac:dyDescent="0.3">
      <c r="A283" t="str">
        <v>R.2.005А.2</v>
      </c>
      <c r="B283" t="str">
        <v>ЩР-2</v>
      </c>
      <c r="C283" t="str">
        <v>Розеточная группа, пом. 005А</v>
      </c>
      <c r="D283" t="str">
        <v>ВВГнг(А)-LS (3х2,5)</v>
      </c>
      <c r="E283" t="str">
        <v>L=12</v>
      </c>
      <c r="F283" t="str">
        <v>Ø20 L=25</v>
      </c>
      <c r="G283" t="str">
        <v>Ø20 L=39</v>
      </c>
      <c r="H283">
        <v>43</v>
      </c>
    </row>
    <row r="284" spans="1:8" x14ac:dyDescent="0.3">
      <c r="A284" t="str">
        <v>R.2.006А.1</v>
      </c>
      <c r="B284" t="str">
        <v>ЩР-2</v>
      </c>
      <c r="C284" t="str">
        <v>Розеточная группа, пом. 006А</v>
      </c>
      <c r="D284" t="str">
        <v>ВВГнг(А)-LS (3х2,5)</v>
      </c>
      <c r="E284" t="str">
        <v>L=12</v>
      </c>
      <c r="F284" t="str">
        <v>Ø20 L=31</v>
      </c>
      <c r="G284" t="str">
        <v>Ø20 L=30</v>
      </c>
      <c r="H284">
        <v>49</v>
      </c>
    </row>
    <row r="285" spans="1:8" x14ac:dyDescent="0.3">
      <c r="A285" t="str">
        <v>R.2.009А.1</v>
      </c>
      <c r="B285" t="str">
        <v>ЩР-2</v>
      </c>
      <c r="C285" t="str">
        <v>Розеточная группа, пом. 009А</v>
      </c>
      <c r="D285" t="str">
        <v>ВВГнг(А)-LS (3х2,5)</v>
      </c>
      <c r="E285" t="str">
        <v>L=12</v>
      </c>
      <c r="F285" t="str">
        <v>Ø20 L=40</v>
      </c>
      <c r="G285" t="str">
        <v>Ø20 L=10</v>
      </c>
      <c r="H285">
        <v>58</v>
      </c>
    </row>
    <row r="286" spans="1:8" x14ac:dyDescent="0.3">
      <c r="A286" t="str">
        <v>R.2.009А.2</v>
      </c>
      <c r="B286" t="str">
        <v>ЩР-2</v>
      </c>
      <c r="C286" t="str">
        <v>Розеточная группа, пом. 009А</v>
      </c>
      <c r="D286" t="str">
        <v>ВВГнг(А)-LS (3х2,5)</v>
      </c>
      <c r="E286" t="str">
        <v>L=12</v>
      </c>
      <c r="F286" t="str">
        <v>Ø20 L=20</v>
      </c>
      <c r="G286" t="str">
        <v>Ø20 L=34</v>
      </c>
      <c r="H286">
        <v>38</v>
      </c>
    </row>
    <row r="287" spans="1:8" x14ac:dyDescent="0.3">
      <c r="A287" t="str">
        <v>R.2.010А.1</v>
      </c>
      <c r="B287" t="str">
        <v>ЩР-2</v>
      </c>
      <c r="C287" t="str">
        <v>Розеточная группа, пом. 010А</v>
      </c>
      <c r="D287" t="str">
        <v>ВВГнг(А)-LS (3х2,5)</v>
      </c>
      <c r="E287" t="str">
        <v>L=12</v>
      </c>
      <c r="F287" t="str">
        <v>Ø20 L=17</v>
      </c>
      <c r="G287" t="str">
        <v/>
      </c>
      <c r="H287">
        <v>35</v>
      </c>
    </row>
    <row r="288" spans="1:8" x14ac:dyDescent="0.3">
      <c r="A288" t="str">
        <v>R.2.002Г.1</v>
      </c>
      <c r="B288" t="str">
        <v>ЩР-2</v>
      </c>
      <c r="C288" t="str">
        <v>Розеточная группа, пом. 002Г</v>
      </c>
      <c r="D288" t="str">
        <v>ВВГнг(А)-LS (3х2,5)</v>
      </c>
      <c r="E288" t="str">
        <v>L=12</v>
      </c>
      <c r="F288" t="str">
        <v>Ø20 L=21</v>
      </c>
      <c r="G288" t="str">
        <v/>
      </c>
      <c r="H288">
        <v>39</v>
      </c>
    </row>
    <row r="289" spans="1:8" x14ac:dyDescent="0.3">
      <c r="A289" t="str">
        <v>R.2.013А.1</v>
      </c>
      <c r="B289" t="str">
        <v>ЩР-2</v>
      </c>
      <c r="C289" t="str">
        <v>Розеточная группа, пом. 013А</v>
      </c>
      <c r="D289" t="str">
        <v>ВВГнг(А)-LS (3х2,5)</v>
      </c>
      <c r="E289" t="str">
        <v>L=12</v>
      </c>
      <c r="F289" t="str">
        <v>Ø20 L=20</v>
      </c>
      <c r="G289" t="str">
        <v>Ø20 L=34</v>
      </c>
      <c r="H289">
        <v>38</v>
      </c>
    </row>
    <row r="290" spans="1:8" x14ac:dyDescent="0.3">
      <c r="A290" t="str">
        <v>R.2.014А.1</v>
      </c>
      <c r="B290" t="str">
        <v>ЩР-2</v>
      </c>
      <c r="C290" t="str">
        <v>Розеточная группа Второй этаж Пом. №013А, 012А</v>
      </c>
      <c r="D290" t="str">
        <v>ВВГнг(А)-LS (3х2,5)</v>
      </c>
      <c r="E290" t="str">
        <v>L=12</v>
      </c>
      <c r="F290" t="str">
        <v>Ø20 L=17</v>
      </c>
      <c r="G290" t="str">
        <v>Ø20 L=30</v>
      </c>
      <c r="H290">
        <v>65</v>
      </c>
    </row>
    <row r="291" spans="1:8" x14ac:dyDescent="0.3">
      <c r="A291" t="str">
        <v>R.2.014А.2</v>
      </c>
      <c r="B291" t="str">
        <v>ЩР-2</v>
      </c>
      <c r="C291" t="str">
        <v>Розеточная группа, пом. 014А</v>
      </c>
      <c r="D291" t="str">
        <v>ВВГнг(А)-LS (3х2,5)</v>
      </c>
      <c r="E291" t="str">
        <v>L=12</v>
      </c>
      <c r="F291" t="str">
        <v>Ø20 L=24</v>
      </c>
      <c r="G291" t="str">
        <v>Ø20 L=8</v>
      </c>
      <c r="H291">
        <v>50</v>
      </c>
    </row>
    <row r="292" spans="1:8" x14ac:dyDescent="0.3">
      <c r="A292" t="str">
        <v>R.2.015А.1</v>
      </c>
      <c r="B292" t="str">
        <v>ЩР-2</v>
      </c>
      <c r="C292" t="str">
        <v>Розеточная группа, пом. 015А</v>
      </c>
      <c r="D292" t="str">
        <v>ВВГнг(А)-LS (3х2,5)</v>
      </c>
      <c r="E292" t="str">
        <v>L=12</v>
      </c>
      <c r="F292" t="str">
        <v>Ø20 L=16</v>
      </c>
      <c r="G292" t="str">
        <v>Ø20 L=5</v>
      </c>
      <c r="H292">
        <v>39</v>
      </c>
    </row>
    <row r="293" spans="1:8" x14ac:dyDescent="0.3">
      <c r="A293" t="str">
        <v>R.2.016А.1</v>
      </c>
      <c r="B293" t="str">
        <v>ЩР-2</v>
      </c>
      <c r="C293" t="str">
        <v>Розеточная группа, пом. 016А</v>
      </c>
      <c r="D293" t="str">
        <v>ВВГнг(А)-LS (3х2,5)</v>
      </c>
      <c r="E293" t="str">
        <v>L=12</v>
      </c>
      <c r="F293" t="str">
        <v>Ø20 L=16</v>
      </c>
      <c r="G293" t="str">
        <v/>
      </c>
      <c r="H293">
        <v>34</v>
      </c>
    </row>
    <row r="294" spans="1:8" x14ac:dyDescent="0.3">
      <c r="A294" t="str">
        <v>R.2.017А.1</v>
      </c>
      <c r="B294" t="str">
        <v>ЩР-2</v>
      </c>
      <c r="C294" t="str">
        <v>Розеточная группа, пом. 017А</v>
      </c>
      <c r="D294" t="str">
        <v>ВВГнг(А)-LS (3х2,5)</v>
      </c>
      <c r="E294" t="str">
        <v>L=12</v>
      </c>
      <c r="F294" t="str">
        <v>Ø20 L=28</v>
      </c>
      <c r="G294" t="str">
        <v>Ø20 L=8</v>
      </c>
      <c r="H294">
        <v>54</v>
      </c>
    </row>
    <row r="295" spans="1:8" x14ac:dyDescent="0.3">
      <c r="A295" t="str">
        <v>R.2.019А.1</v>
      </c>
      <c r="B295" t="str">
        <v>ЩР-2</v>
      </c>
      <c r="C295" t="str">
        <v>Розеточная группа, пом. 019А</v>
      </c>
      <c r="D295" t="str">
        <v>ВВГнг(А)-LS (3х2,5)</v>
      </c>
      <c r="E295" t="str">
        <v>L=12</v>
      </c>
      <c r="F295" t="str">
        <v>Ø20 L=11</v>
      </c>
      <c r="G295" t="str">
        <v>Ø20 L=26</v>
      </c>
      <c r="H295">
        <v>55</v>
      </c>
    </row>
    <row r="296" spans="1:8" x14ac:dyDescent="0.3">
      <c r="A296" t="str">
        <v>R.2.019А.2</v>
      </c>
      <c r="B296" t="str">
        <v>ЩР-2</v>
      </c>
      <c r="C296" t="str">
        <v>Розеточная группа, пом. 019А</v>
      </c>
      <c r="D296" t="str">
        <v>ВВГнг(А)-LS (3х2,5)</v>
      </c>
      <c r="E296" t="str">
        <v>L=12</v>
      </c>
      <c r="F296" t="str">
        <v>Ø20 L=70</v>
      </c>
      <c r="G296" t="str">
        <v>Ø20 L=84</v>
      </c>
      <c r="H296">
        <v>88</v>
      </c>
    </row>
    <row r="297" spans="1:8" x14ac:dyDescent="0.3">
      <c r="A297" t="str">
        <v>R.2.020А.1</v>
      </c>
      <c r="B297" t="str">
        <v>ЩР-2</v>
      </c>
      <c r="C297" t="str">
        <v>Розеточная группа, пом. 020А</v>
      </c>
      <c r="D297" t="str">
        <v>ВВГнг(А)-LS (3х2,5)</v>
      </c>
      <c r="E297" t="str">
        <v>L=12</v>
      </c>
      <c r="F297" t="str">
        <v>Ø20 L=45</v>
      </c>
      <c r="G297" t="str">
        <v>Ø20 L=59</v>
      </c>
      <c r="H297">
        <v>63</v>
      </c>
    </row>
    <row r="298" spans="1:8" x14ac:dyDescent="0.3">
      <c r="A298" t="str">
        <v>R.2.022Б.1</v>
      </c>
      <c r="B298" t="str">
        <v>ЩР-2</v>
      </c>
      <c r="C298" t="str">
        <v>Розеточная группа, пом. 022Б</v>
      </c>
      <c r="D298" t="str">
        <v>ВВГнг(А)-LS (3х2,5)</v>
      </c>
      <c r="E298" t="str">
        <v>L=12</v>
      </c>
      <c r="F298" t="str">
        <v>Ø20 L=26</v>
      </c>
      <c r="G298" t="str">
        <v>Ø20 L=40</v>
      </c>
      <c r="H298">
        <v>44</v>
      </c>
    </row>
    <row r="299" spans="1:8" x14ac:dyDescent="0.3">
      <c r="A299" t="str">
        <v>R.2.001.1</v>
      </c>
      <c r="B299" t="str">
        <v>ЩР-2</v>
      </c>
      <c r="C299" t="str">
        <v>Розеточная группа, пом. 001</v>
      </c>
      <c r="D299" t="str">
        <v>ВВГнг(А)-LS (3х2,5)</v>
      </c>
      <c r="E299" t="str">
        <v>L=12</v>
      </c>
      <c r="F299" t="str">
        <v>Ø20 L=36</v>
      </c>
      <c r="G299" t="str">
        <v>Ø20 L=33</v>
      </c>
      <c r="H299">
        <v>87</v>
      </c>
    </row>
    <row r="300" spans="1:8" x14ac:dyDescent="0.3">
      <c r="A300" t="str">
        <v>R.2.003Г.1</v>
      </c>
      <c r="B300" t="str">
        <v>ЩР-2</v>
      </c>
      <c r="C300" t="str">
        <v>Розеточная группа, пом. 003Г</v>
      </c>
      <c r="D300" t="str">
        <v>ВВГнг(А)-LS (3х2,5)</v>
      </c>
      <c r="E300" t="str">
        <v>L=12</v>
      </c>
      <c r="F300" t="str">
        <v>Ø20 L=27</v>
      </c>
      <c r="G300" t="str">
        <v>Ø20 L=8</v>
      </c>
      <c r="H300">
        <v>47</v>
      </c>
    </row>
    <row r="301" spans="1:8" x14ac:dyDescent="0.3">
      <c r="A301" t="str">
        <v>R.2.005А.3</v>
      </c>
      <c r="B301" t="str">
        <v>ЩР-2</v>
      </c>
      <c r="C301" t="str">
        <v>Розеточная группа, пом. 005А</v>
      </c>
      <c r="D301" t="str">
        <v>ВВГнг(А)-LS (3х2,5)</v>
      </c>
      <c r="E301" t="str">
        <v>L=12</v>
      </c>
      <c r="F301" t="str">
        <v>Ø20 L=28</v>
      </c>
      <c r="G301" t="str">
        <v>Ø20 L=36</v>
      </c>
      <c r="H301">
        <v>40</v>
      </c>
    </row>
    <row r="302" spans="1:8" x14ac:dyDescent="0.3">
      <c r="A302" t="str">
        <v>R.2.009А.3</v>
      </c>
      <c r="B302" t="str">
        <v>ЩР-2</v>
      </c>
      <c r="C302" t="str">
        <v>Розеточная группа, пом. 009А</v>
      </c>
      <c r="D302" t="str">
        <v>ВВГнг(А)-LS (3х2,5)</v>
      </c>
      <c r="E302" t="str">
        <v>L=12</v>
      </c>
      <c r="F302" t="str">
        <v>Ø20 L=17</v>
      </c>
      <c r="G302" t="str">
        <v>Ø20 L=31</v>
      </c>
      <c r="H302">
        <v>35</v>
      </c>
    </row>
    <row r="303" spans="1:8" x14ac:dyDescent="0.3">
      <c r="A303" t="str">
        <v>R.2.020А.2</v>
      </c>
      <c r="B303" t="str">
        <v>ЩР-2</v>
      </c>
      <c r="C303" t="str">
        <v>Розеточная группа, пом. 020А</v>
      </c>
      <c r="D303" t="str">
        <v>ВВГнг(А)-LS (3х2,5)</v>
      </c>
      <c r="E303" t="str">
        <v>L=12</v>
      </c>
      <c r="F303" t="str">
        <v>Ø20 L=41</v>
      </c>
      <c r="G303" t="str">
        <v>Ø20 L=55</v>
      </c>
      <c r="H303">
        <v>59</v>
      </c>
    </row>
    <row r="304" spans="1:8" x14ac:dyDescent="0.3">
      <c r="A304" t="str">
        <v>R.3.001T.1</v>
      </c>
      <c r="B304" t="str">
        <v>ЩР-2</v>
      </c>
      <c r="C304" t="str">
        <v>Розеточная группа, пом. 001T</v>
      </c>
      <c r="D304" t="str">
        <v>ВВГнг(А)-LS (3х2,5)</v>
      </c>
      <c r="E304" t="str">
        <v/>
      </c>
      <c r="F304" t="str">
        <v>Ø20 L=16</v>
      </c>
      <c r="G304" t="str">
        <v>Ø20 L=18</v>
      </c>
      <c r="H304">
        <v>22</v>
      </c>
    </row>
    <row r="305" spans="1:8" x14ac:dyDescent="0.3">
      <c r="A305" t="str">
        <v>R.3.001Б.1</v>
      </c>
      <c r="B305" t="str">
        <v>ЩР-2</v>
      </c>
      <c r="C305" t="str">
        <v>Розеточная группа, пом. 001Б</v>
      </c>
      <c r="D305" t="str">
        <v>ВВГнг(А)-LS (3х2,5)</v>
      </c>
      <c r="E305" t="str">
        <v/>
      </c>
      <c r="F305" t="str">
        <v>Ø20 L=35</v>
      </c>
      <c r="G305" t="str">
        <v>Ø20 L=37</v>
      </c>
      <c r="H305">
        <v>41</v>
      </c>
    </row>
    <row r="306" spans="1:8" x14ac:dyDescent="0.3">
      <c r="A306" t="str">
        <v>ШТК-2</v>
      </c>
      <c r="B306" t="str">
        <v>ЩР-2</v>
      </c>
      <c r="C306" t="str">
        <v>Шкаф телекоммуникационный ШТК-2  Тех. Этаж Пом №004T</v>
      </c>
      <c r="D306" t="str">
        <v>ВВГнг(А)-LS (3х2,5)</v>
      </c>
      <c r="E306" t="str">
        <v/>
      </c>
      <c r="F306" t="str">
        <v>Ø20 L=32</v>
      </c>
      <c r="G306" t="str">
        <v/>
      </c>
      <c r="H306">
        <v>38</v>
      </c>
    </row>
    <row r="307" spans="1:8" x14ac:dyDescent="0.3">
      <c r="A307" t="str">
        <v>ШТК-ЛВС.3</v>
      </c>
      <c r="B307" t="str">
        <v>ЩР-2</v>
      </c>
      <c r="C307" t="str">
        <v>Шкаф телекоммуникационный ШТК-2  Тех. Этаж Пом №004T</v>
      </c>
      <c r="D307" t="str">
        <v>ВВГнг(А)-LS (3х2,5)</v>
      </c>
      <c r="E307" t="str">
        <v/>
      </c>
      <c r="F307" t="str">
        <v>Ø20 L=33</v>
      </c>
      <c r="G307" t="str">
        <v/>
      </c>
      <c r="H307">
        <v>39</v>
      </c>
    </row>
    <row r="308" spans="1:8" x14ac:dyDescent="0.3">
      <c r="A308" t="str">
        <v>ШКД.3</v>
      </c>
      <c r="B308" t="str">
        <v>ЩР-2</v>
      </c>
      <c r="C308" t="str">
        <v>Щит контроля доступа ЩКД-2  Тех. Этаж Пом №001T</v>
      </c>
      <c r="D308" t="str">
        <v>ВВГнг(А)-LS (3х2,5)</v>
      </c>
      <c r="E308" t="str">
        <v/>
      </c>
      <c r="F308" t="str">
        <v>Ø20 L=8</v>
      </c>
      <c r="G308" t="str">
        <v/>
      </c>
      <c r="H308">
        <v>8</v>
      </c>
    </row>
    <row r="309" spans="1:8" x14ac:dyDescent="0.3">
      <c r="A309" t="str">
        <v>Ввод.1</v>
      </c>
      <c r="B309" t="str">
        <v>ЩС-Б</v>
      </c>
      <c r="C309" t="str">
        <v>Вводной кабель шлейф 1</v>
      </c>
      <c r="D309" t="str">
        <v>ВВГнг(А)-LS (5х10)</v>
      </c>
      <c r="E309" t="str">
        <v>L=34</v>
      </c>
      <c r="F309" t="str">
        <v xml:space="preserve"> L=12</v>
      </c>
      <c r="G309" t="str">
        <v/>
      </c>
      <c r="H309">
        <v>51</v>
      </c>
    </row>
    <row r="310" spans="1:8" x14ac:dyDescent="0.3">
      <c r="A310" t="str">
        <v>Э.1</v>
      </c>
      <c r="B310" t="str">
        <v>ЩС-Б</v>
      </c>
      <c r="C310" t="str">
        <v>Управляющий электрощит бассейна Подвальный этаж Пом. 002Тб</v>
      </c>
      <c r="D310" t="str">
        <v>ВВГнг(А)-LS (5х4)</v>
      </c>
      <c r="E310" t="str">
        <v>L=3</v>
      </c>
      <c r="F310" t="str">
        <v>Ø25 L=15</v>
      </c>
      <c r="G310" t="str">
        <v/>
      </c>
      <c r="H310">
        <v>21</v>
      </c>
    </row>
    <row r="311" spans="1:8" x14ac:dyDescent="0.3">
      <c r="A311" t="str">
        <v>Э.2</v>
      </c>
      <c r="B311" t="str">
        <v>ЩС-Б</v>
      </c>
      <c r="C311" t="str">
        <v>Горячая купель Подвальный этаж Пом. 002Тб</v>
      </c>
      <c r="D311" t="str">
        <v>ВВГнг(А)-LS (5х2,5)</v>
      </c>
      <c r="E311" t="str">
        <v>L=25</v>
      </c>
      <c r="F311" t="str">
        <v>Ø20 L=12</v>
      </c>
      <c r="G311" t="str">
        <v/>
      </c>
      <c r="H311">
        <v>40</v>
      </c>
    </row>
    <row r="312" spans="1:8" x14ac:dyDescent="0.3">
      <c r="A312" t="str">
        <v>Э.3</v>
      </c>
      <c r="B312" t="str">
        <v>ЩС-Б</v>
      </c>
      <c r="C312" t="str">
        <v>Холодная купель Подвальный этаж Пом. 002Тб</v>
      </c>
      <c r="D312" t="str">
        <v>ВВГнг(А)-LS (5х2,5)</v>
      </c>
      <c r="E312" t="str">
        <v>L=17</v>
      </c>
      <c r="F312" t="str">
        <v>Ø20 L=10</v>
      </c>
      <c r="G312" t="str">
        <v/>
      </c>
      <c r="H312">
        <v>30</v>
      </c>
    </row>
    <row r="313" spans="1:8" x14ac:dyDescent="0.3">
      <c r="A313" t="str">
        <v>Ввод.1</v>
      </c>
      <c r="B313" t="str">
        <v>ЩС-ВК.001</v>
      </c>
      <c r="C313" t="str">
        <v>Вводной кабель шлейф 1</v>
      </c>
      <c r="D313" t="str">
        <v>ВВГнг(А)-LS (3х4)</v>
      </c>
      <c r="E313" t="str">
        <v>L=34</v>
      </c>
      <c r="F313" t="str">
        <v>Ø20 L=11</v>
      </c>
      <c r="G313" t="str">
        <v/>
      </c>
      <c r="H313">
        <v>50</v>
      </c>
    </row>
    <row r="314" spans="1:8" x14ac:dyDescent="0.3">
      <c r="A314" t="str">
        <v>НВК.00.003Т.2</v>
      </c>
      <c r="B314" t="str">
        <v>ЩС-ВК.001</v>
      </c>
      <c r="C314" t="str">
        <v>Насос дренажный, пом. 003Т</v>
      </c>
      <c r="D314" t="str">
        <v>ВВГнг(А)-LS (3х2,5)</v>
      </c>
      <c r="E314" t="str">
        <v>L=9</v>
      </c>
      <c r="F314" t="str">
        <v>Ø20 L=9</v>
      </c>
      <c r="G314" t="str">
        <v/>
      </c>
      <c r="H314">
        <v>21</v>
      </c>
    </row>
    <row r="315" spans="1:8" x14ac:dyDescent="0.3">
      <c r="A315" t="str">
        <v>НВК.00.003Т.1</v>
      </c>
      <c r="B315" t="str">
        <v>ЩС-ВК.001</v>
      </c>
      <c r="C315" t="str">
        <v>Насос дренажный, пом. 003Т</v>
      </c>
      <c r="D315" t="str">
        <v>ВВГнг(А)-LS (3х2,5)</v>
      </c>
      <c r="E315" t="str">
        <v>L=9</v>
      </c>
      <c r="F315" t="str">
        <v>Ø20 L=9</v>
      </c>
      <c r="G315" t="str">
        <v/>
      </c>
      <c r="H315">
        <v>21</v>
      </c>
    </row>
    <row r="316" spans="1:8" x14ac:dyDescent="0.3">
      <c r="A316" t="str">
        <v>НВК.00.005Т.4</v>
      </c>
      <c r="B316" t="str">
        <v>ЩС-ВК.001</v>
      </c>
      <c r="C316" t="str">
        <v>Насос дренажный, пом. 005Т</v>
      </c>
      <c r="D316" t="str">
        <v>ВВГнг(А)-LS (3х2,5)</v>
      </c>
      <c r="E316" t="str">
        <v>L=1</v>
      </c>
      <c r="F316" t="str">
        <v>Ø20 L=18</v>
      </c>
      <c r="G316" t="str">
        <v/>
      </c>
      <c r="H316">
        <v>22</v>
      </c>
    </row>
    <row r="317" spans="1:8" x14ac:dyDescent="0.3">
      <c r="A317" t="str">
        <v>НВК.00.005Т.3</v>
      </c>
      <c r="B317" t="str">
        <v>ЩС-ВК.001</v>
      </c>
      <c r="C317" t="str">
        <v>Насос дренажный, пом. 005Т</v>
      </c>
      <c r="D317" t="str">
        <v>ВВГнг(А)-LS (3х2,5)</v>
      </c>
      <c r="E317" t="str">
        <v>L=1</v>
      </c>
      <c r="F317" t="str">
        <v>Ø20 L=18</v>
      </c>
      <c r="G317" t="str">
        <v/>
      </c>
      <c r="H317">
        <v>22</v>
      </c>
    </row>
    <row r="318" spans="1:8" x14ac:dyDescent="0.3">
      <c r="A318" t="str">
        <v>НВК.00.005Т.1</v>
      </c>
      <c r="B318" t="str">
        <v>ЩС-ВК.001</v>
      </c>
      <c r="C318" t="str">
        <v>Насос дренажный, пом. 005Т</v>
      </c>
      <c r="D318" t="str">
        <v>ВВГнг(А)-LS (3х2,5)</v>
      </c>
      <c r="E318" t="str">
        <v>L=1</v>
      </c>
      <c r="F318" t="str">
        <v>Ø20 L=10</v>
      </c>
      <c r="G318" t="str">
        <v/>
      </c>
      <c r="H318">
        <v>14</v>
      </c>
    </row>
    <row r="319" spans="1:8" x14ac:dyDescent="0.3">
      <c r="A319" t="str">
        <v>НВК.00.005Т.2</v>
      </c>
      <c r="B319" t="str">
        <v>ЩС-ВК.001</v>
      </c>
      <c r="C319" t="str">
        <v>Насос дренажный, пом. 005Т</v>
      </c>
      <c r="D319" t="str">
        <v>ВВГнг(А)-LS (3х2,5)</v>
      </c>
      <c r="E319" t="str">
        <v>L=1</v>
      </c>
      <c r="F319" t="str">
        <v>Ø20 L=10</v>
      </c>
      <c r="G319" t="str">
        <v/>
      </c>
      <c r="H319">
        <v>14</v>
      </c>
    </row>
    <row r="320" spans="1:8" x14ac:dyDescent="0.3">
      <c r="A320" t="str">
        <v>НВК.00.002Т.1</v>
      </c>
      <c r="B320" t="str">
        <v>ЩС-ВК.001</v>
      </c>
      <c r="C320" t="str">
        <v>циркуляционный насос Подвальный этаж Пом. №002Т</v>
      </c>
      <c r="D320" t="str">
        <v>ВВГнг(А)-LS (3х2,5)</v>
      </c>
      <c r="E320" t="str">
        <v>L=4</v>
      </c>
      <c r="F320" t="str">
        <v>Ø20 L=15</v>
      </c>
      <c r="G320" t="str">
        <v/>
      </c>
      <c r="H320">
        <v>22</v>
      </c>
    </row>
    <row r="321" spans="1:8" x14ac:dyDescent="0.3">
      <c r="A321" t="str">
        <v>Ввод.1</v>
      </c>
      <c r="B321" t="str">
        <v>ЩС-ВК.002</v>
      </c>
      <c r="C321" t="str">
        <v>Вводной кабель шлейф 1</v>
      </c>
      <c r="D321" t="str">
        <v>ВВГнг(А)-LS (3х4)</v>
      </c>
      <c r="E321" t="str">
        <v>L=34</v>
      </c>
      <c r="F321" t="str">
        <v>Ø20 L=12</v>
      </c>
      <c r="G321" t="str">
        <v/>
      </c>
      <c r="H321">
        <v>51</v>
      </c>
    </row>
    <row r="322" spans="1:8" x14ac:dyDescent="0.3">
      <c r="A322" t="str">
        <v>НВК.00.002Тб.3</v>
      </c>
      <c r="B322" t="str">
        <v>ЩС-ВК.002</v>
      </c>
      <c r="C322" t="str">
        <v>Насос дренажный, пом. 002Тб</v>
      </c>
      <c r="D322" t="str">
        <v>ВВГнг(А)-LS (3х2,5)</v>
      </c>
      <c r="E322" t="str">
        <v>L=23</v>
      </c>
      <c r="F322" t="str">
        <v>Ø20 L=5</v>
      </c>
      <c r="G322" t="str">
        <v/>
      </c>
      <c r="H322">
        <v>37</v>
      </c>
    </row>
    <row r="323" spans="1:8" x14ac:dyDescent="0.3">
      <c r="A323" t="str">
        <v>НВК.00.002Тб.4</v>
      </c>
      <c r="B323" t="str">
        <v>ЩС-ВК.002</v>
      </c>
      <c r="C323" t="str">
        <v>Насос дренажный, пом. 002Тб</v>
      </c>
      <c r="D323" t="str">
        <v>ВВГнг(А)-LS (3х2,5)</v>
      </c>
      <c r="E323" t="str">
        <v>L=23</v>
      </c>
      <c r="F323" t="str">
        <v>Ø20 L=4</v>
      </c>
      <c r="G323" t="str">
        <v/>
      </c>
      <c r="H323">
        <v>36</v>
      </c>
    </row>
    <row r="324" spans="1:8" x14ac:dyDescent="0.3">
      <c r="A324" t="str">
        <v>НВК.00.002Тб.2</v>
      </c>
      <c r="B324" t="str">
        <v>ЩС-ВК.002</v>
      </c>
      <c r="C324" t="str">
        <v>Насос дренажный, пом. 002Тб</v>
      </c>
      <c r="D324" t="str">
        <v>ВВГнг(А)-LS (3х2,5)</v>
      </c>
      <c r="E324" t="str">
        <v/>
      </c>
      <c r="F324" t="str">
        <v>Ø20 L=10</v>
      </c>
      <c r="G324" t="str">
        <v/>
      </c>
      <c r="H324">
        <v>13</v>
      </c>
    </row>
    <row r="325" spans="1:8" x14ac:dyDescent="0.3">
      <c r="A325" t="str">
        <v>НВК.00.002Тб.1</v>
      </c>
      <c r="B325" t="str">
        <v>ЩС-ВК.002</v>
      </c>
      <c r="C325" t="str">
        <v>Насос дренажный, пом. 002Тб</v>
      </c>
      <c r="D325" t="str">
        <v>ВВГнг(А)-LS (3х2,5)</v>
      </c>
      <c r="E325" t="str">
        <v/>
      </c>
      <c r="F325" t="str">
        <v>Ø20 L=10</v>
      </c>
      <c r="G325" t="str">
        <v/>
      </c>
      <c r="H325">
        <v>13</v>
      </c>
    </row>
    <row r="326" spans="1:8" x14ac:dyDescent="0.3">
      <c r="A326" t="str">
        <v>Ввод.1</v>
      </c>
      <c r="B326" t="str">
        <v>ЩС-ВК.003</v>
      </c>
      <c r="C326" t="str">
        <v>Вводной кабель шлейф 1</v>
      </c>
      <c r="D326" t="str">
        <v>ВВГнг(А)-LS (3х4)</v>
      </c>
      <c r="E326" t="str">
        <v>L=48</v>
      </c>
      <c r="F326" t="str">
        <v>Ø20 L=5</v>
      </c>
      <c r="G326" t="str">
        <v/>
      </c>
      <c r="H326">
        <v>53</v>
      </c>
    </row>
    <row r="327" spans="1:8" x14ac:dyDescent="0.3">
      <c r="A327" t="str">
        <v>НВК.00.006Т.2</v>
      </c>
      <c r="B327" t="str">
        <v>ЩС-ВК.003</v>
      </c>
      <c r="C327" t="str">
        <v>Насос дренажный, пом. 006Т</v>
      </c>
      <c r="D327" t="str">
        <v>ВВГнг(А)-LS (3х2,5)</v>
      </c>
      <c r="E327" t="str">
        <v/>
      </c>
      <c r="F327" t="str">
        <v>Ø20 L=12</v>
      </c>
      <c r="G327" t="str">
        <v/>
      </c>
      <c r="H327">
        <v>16</v>
      </c>
    </row>
    <row r="328" spans="1:8" x14ac:dyDescent="0.3">
      <c r="A328" t="str">
        <v>НВК.00.006Т.1</v>
      </c>
      <c r="B328" t="str">
        <v>ЩС-ВК.003</v>
      </c>
      <c r="C328" t="str">
        <v>Насос дренажный, пом. 006Т</v>
      </c>
      <c r="D328" t="str">
        <v>ВВГнг(А)-LS (3х2,5)</v>
      </c>
      <c r="E328" t="str">
        <v/>
      </c>
      <c r="F328" t="str">
        <v>Ø20 L=11</v>
      </c>
      <c r="G328" t="str">
        <v/>
      </c>
      <c r="H328">
        <v>15</v>
      </c>
    </row>
    <row r="329" spans="1:8" x14ac:dyDescent="0.3">
      <c r="A329" t="str">
        <v>ЖУ.1</v>
      </c>
      <c r="B329" t="str">
        <v>ЩС-ВК.003</v>
      </c>
      <c r="C329" t="str">
        <v>Жироулавливатель Подвальный этаж Пом. №006Т</v>
      </c>
      <c r="D329" t="str">
        <v>ВВГнг(А)-LS (3х2,5)</v>
      </c>
      <c r="E329" t="str">
        <v/>
      </c>
      <c r="F329" t="str">
        <v>Ø20 L=9</v>
      </c>
      <c r="G329" t="str">
        <v/>
      </c>
      <c r="H329">
        <v>12</v>
      </c>
    </row>
    <row r="330" spans="1:8" x14ac:dyDescent="0.3">
      <c r="A330" t="str">
        <v>R.00.002Б.3</v>
      </c>
      <c r="B330" t="str">
        <v>ЩС-ВК.003</v>
      </c>
      <c r="C330" t="str">
        <v>Сололифт Подвальный этаж Пом. №002Б</v>
      </c>
      <c r="D330" t="str">
        <v>ВВГнг(А)-LS (3х2,5)</v>
      </c>
      <c r="E330" t="str">
        <v>L=13</v>
      </c>
      <c r="F330" t="str">
        <v>Ø20 L=15</v>
      </c>
      <c r="G330" t="str">
        <v/>
      </c>
      <c r="H330">
        <v>31</v>
      </c>
    </row>
    <row r="331" spans="1:8" x14ac:dyDescent="0.3">
      <c r="A331" t="str">
        <v>Ввод.1</v>
      </c>
      <c r="B331" t="str">
        <v>ЩСПЗ-ЖД</v>
      </c>
      <c r="C331" t="str">
        <v>Вводной кабель №1</v>
      </c>
      <c r="D331" t="str">
        <v>ВВГнг(А)-FRLS (5х2,5)</v>
      </c>
      <c r="E331" t="str">
        <v>L=5</v>
      </c>
      <c r="F331" t="str">
        <v>Ø32 L=11</v>
      </c>
      <c r="G331" t="str">
        <v/>
      </c>
      <c r="H331">
        <v>16</v>
      </c>
    </row>
    <row r="332" spans="1:8" x14ac:dyDescent="0.3">
      <c r="A332" t="str">
        <v>Ввод.2</v>
      </c>
      <c r="B332" t="str">
        <v>ЩСПЗ-ЖД</v>
      </c>
      <c r="C332" t="str">
        <v>Вводной кабель №2</v>
      </c>
      <c r="D332" t="str">
        <v>ВВГнг(А)-FRLS (5х2,5)</v>
      </c>
      <c r="E332" t="str">
        <v>L=5</v>
      </c>
      <c r="F332" t="str">
        <v>Ø32 L=11</v>
      </c>
      <c r="G332" t="str">
        <v/>
      </c>
      <c r="H332">
        <v>16</v>
      </c>
    </row>
    <row r="333" spans="1:8" x14ac:dyDescent="0.3">
      <c r="A333" t="str">
        <v>FCP1-2</v>
      </c>
      <c r="B333" t="str">
        <v>ЩСПЗ-ЖД</v>
      </c>
      <c r="C333" t="str">
        <v>шкаф пожарной сигнализации  Подвальный этаж Пом. №007Т</v>
      </c>
      <c r="D333" t="str">
        <v>ВВГнг(А)-FRLS (3х2,5)</v>
      </c>
      <c r="E333" t="str">
        <v>L=21</v>
      </c>
      <c r="F333" t="str">
        <v>Ø25 L=17</v>
      </c>
      <c r="G333" t="str">
        <v/>
      </c>
      <c r="H333">
        <v>46</v>
      </c>
    </row>
    <row r="334" spans="1:8" x14ac:dyDescent="0.3">
      <c r="A334" t="str">
        <v>ENC1-11</v>
      </c>
      <c r="B334" t="str">
        <v>ЩСПЗ-ЖД</v>
      </c>
      <c r="C334" t="str">
        <v>шкаф системы оповещения и управления эвакуацией Цокольный этаж Пом. №002Т</v>
      </c>
      <c r="D334" t="str">
        <v>ВВГнг(А)-FRLS (3х2,5)</v>
      </c>
      <c r="E334" t="str">
        <v>L=11</v>
      </c>
      <c r="F334" t="str">
        <v>Ø25 L=12</v>
      </c>
      <c r="G334" t="str">
        <v/>
      </c>
      <c r="H334">
        <v>31</v>
      </c>
    </row>
    <row r="335" spans="1:8" x14ac:dyDescent="0.3">
      <c r="A335" t="str">
        <v>FCP1-1</v>
      </c>
      <c r="B335" t="str">
        <v>ЩСПЗ-ЖД</v>
      </c>
      <c r="C335" t="str">
        <v>шкаф пожарной сигнализации Цокольный этаж Пом. №002Т</v>
      </c>
      <c r="D335" t="str">
        <v>ВВГнг(А)-FRLS (3х2,5)</v>
      </c>
      <c r="E335" t="str">
        <v>L=11</v>
      </c>
      <c r="F335" t="str">
        <v>Ø25 L=12</v>
      </c>
      <c r="G335" t="str">
        <v/>
      </c>
      <c r="H335">
        <v>31</v>
      </c>
    </row>
    <row r="336" spans="1:8" x14ac:dyDescent="0.3">
      <c r="A336" t="str">
        <v>FCP13</v>
      </c>
      <c r="B336" t="str">
        <v>ЩСПЗ-ЖД</v>
      </c>
      <c r="C336" t="str">
        <v>шкаф пожарной сигнализации Тех. этаж Пом. №004Т</v>
      </c>
      <c r="D336" t="str">
        <v>ВВГнг(А)-FRLS (3х2,5)</v>
      </c>
      <c r="E336" t="str">
        <v>L=42</v>
      </c>
      <c r="F336" t="str">
        <v>Ø25 L=30</v>
      </c>
      <c r="G336" t="str">
        <v/>
      </c>
      <c r="H336">
        <v>80</v>
      </c>
    </row>
    <row r="337" spans="1:8" x14ac:dyDescent="0.3">
      <c r="A337" t="str">
        <v>Ввод.1</v>
      </c>
      <c r="B337" t="str">
        <v>ЩУОВ</v>
      </c>
      <c r="C337" t="str">
        <v>Вводной кабель шлейф 1</v>
      </c>
      <c r="D337" t="str">
        <v>ВВГнг(А)-LS (5х6)</v>
      </c>
      <c r="E337" t="str">
        <v>L=34</v>
      </c>
      <c r="F337" t="str">
        <v>Ø25 L=11</v>
      </c>
      <c r="G337" t="str">
        <v/>
      </c>
      <c r="H337">
        <v>50</v>
      </c>
    </row>
    <row r="338" spans="1:8" x14ac:dyDescent="0.3">
      <c r="A338" t="str">
        <v>DW.1</v>
      </c>
      <c r="B338" t="str">
        <v>ЩУОВ</v>
      </c>
      <c r="C338" t="str">
        <v/>
      </c>
      <c r="D338" t="str">
        <v>МКЭШнг(A)-LS (2х0,75)</v>
      </c>
      <c r="E338" t="str">
        <v/>
      </c>
      <c r="F338" t="str">
        <v xml:space="preserve"> L=19</v>
      </c>
      <c r="G338" t="str">
        <v xml:space="preserve"> L=5</v>
      </c>
      <c r="H338">
        <v>24</v>
      </c>
    </row>
    <row r="339" spans="1:8" x14ac:dyDescent="0.3">
      <c r="A339" t="str">
        <v>DT.1</v>
      </c>
      <c r="B339" t="str">
        <v>ЩУОВ</v>
      </c>
      <c r="C339" t="str">
        <v/>
      </c>
      <c r="D339" t="str">
        <v>МКЭШнг(A)-LS (2х0,75)</v>
      </c>
      <c r="E339" t="str">
        <v/>
      </c>
      <c r="F339" t="str">
        <v xml:space="preserve"> L=9</v>
      </c>
      <c r="G339" t="str">
        <v xml:space="preserve"> L=10</v>
      </c>
      <c r="H339">
        <v>19</v>
      </c>
    </row>
    <row r="340" spans="1:8" x14ac:dyDescent="0.3">
      <c r="A340" t="str">
        <v>OV.2.002Г.1</v>
      </c>
      <c r="B340" t="str">
        <v>ЩУОВ</v>
      </c>
      <c r="C340" t="str">
        <v/>
      </c>
      <c r="D340" t="str">
        <v>ВВГнг(А)-LS (3х4)</v>
      </c>
      <c r="E340" t="str">
        <v>L=7</v>
      </c>
      <c r="F340" t="str">
        <v>Ø20 L=38</v>
      </c>
      <c r="G340" t="str">
        <v>Ø25 L=50</v>
      </c>
      <c r="H340">
        <v>95</v>
      </c>
    </row>
    <row r="341" spans="1:8" x14ac:dyDescent="0.3">
      <c r="A341" t="str">
        <v>OV.2.003Г.1</v>
      </c>
      <c r="B341" t="str">
        <v>ЩУОВ</v>
      </c>
      <c r="C341" t="str">
        <v/>
      </c>
      <c r="D341" t="str">
        <v>ВВГнг(А)-LS (3х2,5)</v>
      </c>
      <c r="E341" t="str">
        <v>L=7</v>
      </c>
      <c r="F341" t="str">
        <v>Ø20 L=17</v>
      </c>
      <c r="G341" t="str">
        <v>Ø20 L=20</v>
      </c>
      <c r="H341">
        <v>44</v>
      </c>
    </row>
    <row r="342" spans="1:8" x14ac:dyDescent="0.3">
      <c r="A342" t="str">
        <v>OV.2.1.1</v>
      </c>
      <c r="B342" t="str">
        <v>ЩУОВ</v>
      </c>
      <c r="C342" t="str">
        <v>Обогревл ливнестоков Кровля бассейна</v>
      </c>
      <c r="D342" t="str">
        <v>ВВГнг(А)-LS (3х6)</v>
      </c>
      <c r="E342" t="str">
        <v>L=4</v>
      </c>
      <c r="F342" t="str">
        <v>Ø25 L=90</v>
      </c>
      <c r="G342" t="str">
        <v/>
      </c>
      <c r="H342">
        <v>97</v>
      </c>
    </row>
    <row r="343" spans="1:8" x14ac:dyDescent="0.3">
      <c r="A343" t="str">
        <v>OV.2.1.2</v>
      </c>
      <c r="B343" t="str">
        <v>ЩУОВ</v>
      </c>
      <c r="C343" t="str">
        <v>Обогревл ливнестоков Второй этаж</v>
      </c>
      <c r="D343" t="str">
        <v>ВВГнг(А)-LS (3х4)</v>
      </c>
      <c r="E343" t="str">
        <v>L=7</v>
      </c>
      <c r="F343" t="str">
        <v>Ø20 L=42</v>
      </c>
      <c r="G343" t="str">
        <v>Ø25 L=35</v>
      </c>
      <c r="H343">
        <v>84</v>
      </c>
    </row>
    <row r="344" spans="1:8" x14ac:dyDescent="0.3">
      <c r="A344" t="str">
        <v>OV.2.1.3</v>
      </c>
      <c r="B344" t="str">
        <v>ЩУОВ</v>
      </c>
      <c r="C344" t="str">
        <v>Обогревл ливнестоков Второй этаж</v>
      </c>
      <c r="D344" t="str">
        <v>ВВГнг(А)-LS (3х2,5)</v>
      </c>
      <c r="E344" t="str">
        <v>L=7</v>
      </c>
      <c r="F344" t="str">
        <v>Ø20 L=24</v>
      </c>
      <c r="G344" t="str">
        <v>Ø20 L=13</v>
      </c>
      <c r="H344">
        <v>44</v>
      </c>
    </row>
    <row r="345" spans="1:8" x14ac:dyDescent="0.3">
      <c r="A345" t="str">
        <v>OV.4.1.1</v>
      </c>
      <c r="B345" t="str">
        <v>ЩУОВ</v>
      </c>
      <c r="C345" t="str">
        <v>Обогревл ливнестоков Кровля</v>
      </c>
      <c r="D345" t="str">
        <v>ВВГнг(А)-LS (3х2,5)</v>
      </c>
      <c r="E345" t="str">
        <v>L=12</v>
      </c>
      <c r="F345" t="str">
        <v>Ø20 L=12</v>
      </c>
      <c r="G345" t="str">
        <v>Ø20 L=22</v>
      </c>
      <c r="H345">
        <v>40</v>
      </c>
    </row>
    <row r="346" spans="1:8" x14ac:dyDescent="0.3">
      <c r="A346" t="str">
        <v>OV.4.1.2</v>
      </c>
      <c r="B346" t="str">
        <v>ЩУОВ</v>
      </c>
      <c r="C346" t="str">
        <v>Обогревл ливнестоков Кровля</v>
      </c>
      <c r="D346" t="str">
        <v>ВВГнг(А)-LS (3х2,5)</v>
      </c>
      <c r="E346" t="str">
        <v>L=12</v>
      </c>
      <c r="F346" t="str">
        <v>Ø20 L=12</v>
      </c>
      <c r="G346" t="str">
        <v>Ø20 L=39</v>
      </c>
      <c r="H346">
        <v>50</v>
      </c>
    </row>
    <row r="347" spans="1:8" x14ac:dyDescent="0.3">
      <c r="A347" t="str">
        <v>OV.4.1.3</v>
      </c>
      <c r="B347" t="str">
        <v>ЩУОВ</v>
      </c>
      <c r="C347" t="str">
        <v>Обогревл ливнестоков Кровля</v>
      </c>
      <c r="D347" t="str">
        <v>ВВГнг(А)-LS (3х4)</v>
      </c>
      <c r="E347" t="str">
        <v>L=12</v>
      </c>
      <c r="F347" t="str">
        <v>Ø20 L=12</v>
      </c>
      <c r="G347" t="str">
        <v>Ø25 L=72</v>
      </c>
      <c r="H347">
        <v>83</v>
      </c>
    </row>
    <row r="348" spans="1:8" x14ac:dyDescent="0.3">
      <c r="A348" t="str">
        <v>OV.4.1.4</v>
      </c>
      <c r="B348" t="str">
        <v>ЩУОВ</v>
      </c>
      <c r="C348" t="str">
        <v>Обогревл ливнестоков Кровля</v>
      </c>
      <c r="D348" t="str">
        <v>ВВГнг(А)-LS (3х2,5)</v>
      </c>
      <c r="E348" t="str">
        <v>L=12</v>
      </c>
      <c r="F348" t="str">
        <v>Ø20 L=12</v>
      </c>
      <c r="G348" t="str">
        <v>Ø20 L=55</v>
      </c>
      <c r="H348">
        <v>66</v>
      </c>
    </row>
  </sheetData>
  <mergeCells count="10">
    <mergeCell ref="I3:K3"/>
    <mergeCell ref="I2:K2"/>
    <mergeCell ref="L2:L4"/>
    <mergeCell ref="M2:M4"/>
    <mergeCell ref="A2:A4"/>
    <mergeCell ref="B2:C2"/>
    <mergeCell ref="B3:B4"/>
    <mergeCell ref="C3:C4"/>
    <mergeCell ref="D2:H2"/>
    <mergeCell ref="D3:H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4F81BD"/>
  </sheetPr>
  <dimension ref="B1:L160"/>
  <sheetViews>
    <sheetView topLeftCell="A52" workbookViewId="0">
      <selection activeCell="C11" sqref="C11"/>
    </sheetView>
  </sheetViews>
  <sheetFormatPr defaultRowHeight="14.4" x14ac:dyDescent="0.3"/>
  <cols>
    <col min="2" max="2" width="9.6640625" customWidth="1"/>
    <col min="3" max="3" width="115.88671875" customWidth="1"/>
    <col min="4" max="6" width="20.6640625" customWidth="1"/>
    <col min="7" max="9" width="9.6640625" customWidth="1"/>
    <col min="10" max="10" width="20.6640625" customWidth="1"/>
  </cols>
  <sheetData>
    <row r="1" spans="2:12" ht="15" thickBot="1" x14ac:dyDescent="0.35">
      <c r="C1" s="128" t="s">
        <v>1752</v>
      </c>
      <c r="D1" s="129" t="s">
        <v>1753</v>
      </c>
      <c r="L1" s="130" t="str">
        <f>IF(D1="все","*",D1)</f>
        <v>*</v>
      </c>
    </row>
    <row r="2" spans="2:12" ht="43.8" thickBot="1" x14ac:dyDescent="0.35">
      <c r="B2" s="9" t="s">
        <v>43</v>
      </c>
      <c r="C2" s="1" t="s">
        <v>44</v>
      </c>
      <c r="D2" s="1" t="s">
        <v>45</v>
      </c>
      <c r="E2" s="1" t="s">
        <v>46</v>
      </c>
      <c r="F2" s="1" t="s">
        <v>47</v>
      </c>
      <c r="G2" s="1" t="s">
        <v>51</v>
      </c>
      <c r="H2" s="1" t="s">
        <v>48</v>
      </c>
      <c r="I2" s="1" t="s">
        <v>49</v>
      </c>
      <c r="J2" s="10" t="s">
        <v>50</v>
      </c>
    </row>
    <row r="3" spans="2:12" x14ac:dyDescent="0.3">
      <c r="B3" s="28" t="s">
        <v>37</v>
      </c>
      <c r="C3" s="27" t="s">
        <v>253</v>
      </c>
      <c r="D3" s="8"/>
      <c r="E3" s="8"/>
      <c r="F3" s="8"/>
      <c r="G3" s="8"/>
      <c r="H3" s="8"/>
      <c r="I3" s="8"/>
      <c r="J3" s="8"/>
    </row>
    <row r="4" spans="2:12" x14ac:dyDescent="0.3">
      <c r="B4" s="29"/>
      <c r="C4" s="30"/>
      <c r="D4" s="33"/>
      <c r="E4" s="31"/>
      <c r="F4" s="32"/>
      <c r="G4" s="32"/>
      <c r="H4" s="32"/>
      <c r="I4" s="5"/>
      <c r="J4" s="5"/>
    </row>
    <row r="5" spans="2:12" x14ac:dyDescent="0.3">
      <c r="B5" s="29"/>
      <c r="C5" s="30"/>
      <c r="D5" s="33"/>
      <c r="E5" s="31"/>
      <c r="F5" s="32"/>
      <c r="G5" s="32"/>
      <c r="H5" s="32"/>
      <c r="I5" s="5"/>
      <c r="J5" s="5"/>
    </row>
    <row r="6" spans="2:12" x14ac:dyDescent="0.3">
      <c r="B6" s="29"/>
      <c r="C6" s="30"/>
      <c r="D6" s="33"/>
      <c r="E6" s="31"/>
      <c r="F6" s="32"/>
      <c r="G6" s="32"/>
      <c r="H6" s="32"/>
      <c r="I6" s="5"/>
      <c r="J6" s="5"/>
    </row>
    <row r="7" spans="2:12" x14ac:dyDescent="0.3">
      <c r="B7" s="29"/>
      <c r="C7" s="30"/>
      <c r="D7" s="33"/>
      <c r="E7" s="31"/>
      <c r="F7" s="32"/>
      <c r="G7" s="32"/>
      <c r="H7" s="32"/>
      <c r="I7" s="5"/>
      <c r="J7" s="5"/>
    </row>
    <row r="8" spans="2:12" x14ac:dyDescent="0.3">
      <c r="B8" s="29"/>
      <c r="C8" s="30"/>
      <c r="D8" s="33"/>
      <c r="E8" s="31"/>
      <c r="F8" s="32"/>
      <c r="G8" s="32"/>
      <c r="H8" s="32"/>
      <c r="I8" s="5"/>
      <c r="J8" s="5"/>
    </row>
    <row r="9" spans="2:12" x14ac:dyDescent="0.3">
      <c r="B9" s="29"/>
      <c r="C9" s="30"/>
      <c r="D9" s="33"/>
      <c r="E9" s="31"/>
      <c r="F9" s="32"/>
      <c r="G9" s="32"/>
      <c r="H9" s="32"/>
      <c r="I9" s="5"/>
      <c r="J9" s="5"/>
    </row>
    <row r="10" spans="2:12" x14ac:dyDescent="0.3">
      <c r="B10" s="29"/>
      <c r="C10" s="30"/>
      <c r="D10" s="33"/>
      <c r="E10" s="31"/>
      <c r="F10" s="32"/>
      <c r="G10" s="32"/>
      <c r="H10" s="32"/>
      <c r="I10" s="5"/>
      <c r="J10" s="5"/>
    </row>
    <row r="11" spans="2:12" x14ac:dyDescent="0.3">
      <c r="B11" s="29"/>
      <c r="C11" s="30"/>
      <c r="D11" s="33"/>
      <c r="E11" s="31"/>
      <c r="F11" s="32"/>
      <c r="G11" s="32"/>
      <c r="H11" s="32"/>
      <c r="I11" s="5"/>
      <c r="J11" s="5"/>
    </row>
    <row r="12" spans="2:12" x14ac:dyDescent="0.3">
      <c r="B12" s="29"/>
      <c r="C12" s="30"/>
      <c r="D12" s="33"/>
      <c r="E12" s="31"/>
      <c r="F12" s="32"/>
      <c r="G12" s="32"/>
      <c r="H12" s="32"/>
      <c r="I12" s="5"/>
      <c r="J12" s="5"/>
    </row>
    <row r="13" spans="2:12" x14ac:dyDescent="0.3">
      <c r="B13" s="29"/>
      <c r="C13" s="30"/>
      <c r="D13" s="33"/>
      <c r="E13" s="31"/>
      <c r="F13" s="32"/>
      <c r="G13" s="32"/>
      <c r="H13" s="32"/>
      <c r="I13" s="5"/>
      <c r="J13" s="5"/>
    </row>
    <row r="14" spans="2:12" x14ac:dyDescent="0.3">
      <c r="B14" s="29"/>
      <c r="C14" s="30"/>
      <c r="D14" s="33"/>
      <c r="E14" s="31"/>
      <c r="F14" s="32"/>
      <c r="G14" s="32"/>
      <c r="H14" s="32"/>
      <c r="I14" s="5"/>
      <c r="J14" s="5"/>
    </row>
    <row r="15" spans="2:12" x14ac:dyDescent="0.3">
      <c r="B15" s="29"/>
      <c r="C15" s="30"/>
      <c r="D15" s="33"/>
      <c r="E15" s="31"/>
      <c r="F15" s="32"/>
      <c r="G15" s="32"/>
      <c r="H15" s="32"/>
      <c r="I15" s="5"/>
      <c r="J15" s="5"/>
    </row>
    <row r="16" spans="2:12" ht="18" customHeight="1" x14ac:dyDescent="0.3">
      <c r="B16" s="29"/>
      <c r="C16" s="30"/>
      <c r="D16" s="33"/>
      <c r="E16" s="31"/>
      <c r="F16" s="32"/>
      <c r="G16" s="32"/>
      <c r="H16" s="32"/>
      <c r="I16" s="5"/>
      <c r="J16" s="5"/>
    </row>
    <row r="17" spans="2:10" x14ac:dyDescent="0.3">
      <c r="B17" s="29"/>
      <c r="C17" s="30"/>
      <c r="D17" s="33"/>
      <c r="E17" s="31"/>
      <c r="F17" s="32"/>
      <c r="G17" s="32"/>
      <c r="H17" s="32"/>
      <c r="I17" s="5"/>
      <c r="J17" s="5"/>
    </row>
    <row r="18" spans="2:10" x14ac:dyDescent="0.3">
      <c r="B18" s="29"/>
      <c r="C18" s="30"/>
      <c r="D18" s="33"/>
      <c r="E18" s="31"/>
      <c r="F18" s="32"/>
      <c r="G18" s="32"/>
      <c r="H18" s="32"/>
      <c r="I18" s="5"/>
      <c r="J18" s="5"/>
    </row>
    <row r="19" spans="2:10" x14ac:dyDescent="0.3">
      <c r="B19" s="29"/>
      <c r="C19" s="30"/>
      <c r="D19" s="33"/>
      <c r="E19" s="31"/>
      <c r="F19" s="32"/>
      <c r="G19" s="32"/>
      <c r="H19" s="32"/>
      <c r="I19" s="5"/>
      <c r="J19" s="5"/>
    </row>
    <row r="20" spans="2:10" x14ac:dyDescent="0.3">
      <c r="B20" s="29"/>
      <c r="C20" s="30"/>
      <c r="D20" s="33"/>
      <c r="E20" s="31"/>
      <c r="F20" s="32"/>
      <c r="G20" s="32"/>
      <c r="H20" s="32"/>
      <c r="I20" s="5"/>
      <c r="J20" s="5"/>
    </row>
    <row r="21" spans="2:10" x14ac:dyDescent="0.3">
      <c r="B21" s="29"/>
      <c r="C21" s="30"/>
      <c r="D21" s="33"/>
      <c r="E21" s="31"/>
      <c r="F21" s="32"/>
      <c r="G21" s="32"/>
      <c r="H21" s="32"/>
      <c r="I21" s="5"/>
      <c r="J21" s="5"/>
    </row>
    <row r="22" spans="2:10" x14ac:dyDescent="0.3">
      <c r="B22" s="29"/>
      <c r="C22" s="30"/>
      <c r="D22" s="33"/>
      <c r="E22" s="31"/>
      <c r="F22" s="32"/>
      <c r="G22" s="32"/>
      <c r="H22" s="32"/>
      <c r="I22" s="5"/>
      <c r="J22" s="5"/>
    </row>
    <row r="23" spans="2:10" x14ac:dyDescent="0.3">
      <c r="B23" s="29"/>
      <c r="C23" s="30"/>
      <c r="D23" s="33"/>
      <c r="E23" s="31"/>
      <c r="F23" s="32"/>
      <c r="G23" s="32"/>
      <c r="H23" s="32"/>
      <c r="I23" s="5"/>
      <c r="J23" s="5"/>
    </row>
    <row r="24" spans="2:10" x14ac:dyDescent="0.3">
      <c r="B24" s="29"/>
      <c r="C24" s="30"/>
      <c r="D24" s="33"/>
      <c r="E24" s="31"/>
      <c r="F24" s="32"/>
      <c r="G24" s="32"/>
      <c r="H24" s="32"/>
      <c r="I24" s="5"/>
      <c r="J24" s="5"/>
    </row>
    <row r="25" spans="2:10" x14ac:dyDescent="0.3">
      <c r="B25" s="29"/>
      <c r="C25" s="30"/>
      <c r="D25" s="33"/>
      <c r="E25" s="31"/>
      <c r="F25" s="32"/>
      <c r="G25" s="32"/>
      <c r="H25" s="32"/>
      <c r="I25" s="5"/>
      <c r="J25" s="5"/>
    </row>
    <row r="26" spans="2:10" x14ac:dyDescent="0.3">
      <c r="B26" s="29"/>
      <c r="C26" s="30"/>
      <c r="D26" s="33"/>
      <c r="E26" s="31"/>
      <c r="F26" s="32"/>
      <c r="G26" s="32"/>
      <c r="H26" s="32"/>
      <c r="I26" s="5"/>
      <c r="J26" s="5"/>
    </row>
    <row r="27" spans="2:10" x14ac:dyDescent="0.3">
      <c r="B27" s="29"/>
      <c r="C27" s="30"/>
      <c r="D27" s="33"/>
      <c r="E27" s="31"/>
      <c r="F27" s="32"/>
      <c r="G27" s="32"/>
      <c r="H27" s="32"/>
      <c r="I27" s="5"/>
      <c r="J27" s="5"/>
    </row>
    <row r="28" spans="2:10" x14ac:dyDescent="0.3">
      <c r="B28" s="29"/>
      <c r="C28" s="30"/>
      <c r="D28" s="33"/>
      <c r="E28" s="31"/>
      <c r="F28" s="32"/>
      <c r="G28" s="32"/>
      <c r="H28" s="32"/>
      <c r="I28" s="5"/>
      <c r="J28" s="5"/>
    </row>
    <row r="29" spans="2:10" x14ac:dyDescent="0.3">
      <c r="B29" s="29"/>
      <c r="C29" s="30"/>
      <c r="D29" s="33"/>
      <c r="E29" s="31"/>
      <c r="F29" s="32"/>
      <c r="G29" s="32"/>
      <c r="H29" s="32"/>
      <c r="I29" s="5"/>
      <c r="J29" s="5"/>
    </row>
    <row r="30" spans="2:10" x14ac:dyDescent="0.3">
      <c r="B30" s="29"/>
      <c r="C30" s="30"/>
      <c r="D30" s="33"/>
      <c r="E30" s="31"/>
      <c r="F30" s="32"/>
      <c r="G30" s="32"/>
      <c r="H30" s="32"/>
      <c r="I30" s="5"/>
      <c r="J30" s="5"/>
    </row>
    <row r="31" spans="2:10" x14ac:dyDescent="0.3">
      <c r="B31" s="29"/>
      <c r="C31" s="30"/>
      <c r="D31" s="33"/>
      <c r="E31" s="31"/>
      <c r="F31" s="32"/>
      <c r="G31" s="32"/>
      <c r="H31" s="32"/>
      <c r="I31" s="5"/>
      <c r="J31" s="5"/>
    </row>
    <row r="32" spans="2:10" x14ac:dyDescent="0.3">
      <c r="B32" s="29"/>
      <c r="C32" s="30"/>
      <c r="D32" s="33"/>
      <c r="E32" s="31"/>
      <c r="F32" s="32"/>
      <c r="G32" s="32"/>
      <c r="H32" s="32"/>
      <c r="I32" s="5"/>
      <c r="J32" s="5"/>
    </row>
    <row r="33" spans="2:10" x14ac:dyDescent="0.3">
      <c r="B33" s="29"/>
      <c r="C33" s="30"/>
      <c r="D33" s="33"/>
      <c r="E33" s="31"/>
      <c r="F33" s="32"/>
      <c r="G33" s="32"/>
      <c r="H33" s="32"/>
      <c r="I33" s="5"/>
      <c r="J33" s="5"/>
    </row>
    <row r="34" spans="2:10" x14ac:dyDescent="0.3">
      <c r="B34" s="29"/>
      <c r="C34" s="30"/>
      <c r="D34" s="33"/>
      <c r="E34" s="31"/>
      <c r="F34" s="32"/>
      <c r="G34" s="32"/>
      <c r="H34" s="32"/>
      <c r="I34" s="5"/>
      <c r="J34" s="5"/>
    </row>
    <row r="35" spans="2:10" x14ac:dyDescent="0.3">
      <c r="B35" s="29"/>
      <c r="C35" s="30"/>
      <c r="D35" s="33"/>
      <c r="E35" s="31"/>
      <c r="F35" s="32"/>
      <c r="G35" s="32"/>
      <c r="H35" s="32"/>
      <c r="I35" s="5"/>
      <c r="J35" s="5"/>
    </row>
    <row r="36" spans="2:10" x14ac:dyDescent="0.3">
      <c r="B36" s="29"/>
      <c r="C36" s="30"/>
      <c r="D36" s="33"/>
      <c r="E36" s="31"/>
      <c r="F36" s="32"/>
      <c r="G36" s="32"/>
      <c r="H36" s="32"/>
      <c r="I36" s="5"/>
      <c r="J36" s="5"/>
    </row>
    <row r="37" spans="2:10" x14ac:dyDescent="0.3">
      <c r="B37" s="29"/>
      <c r="C37" s="30"/>
      <c r="D37" s="33"/>
      <c r="E37" s="31"/>
      <c r="F37" s="32"/>
      <c r="G37" s="32"/>
      <c r="H37" s="32"/>
      <c r="I37" s="5"/>
      <c r="J37" s="5"/>
    </row>
    <row r="38" spans="2:10" x14ac:dyDescent="0.3">
      <c r="B38" s="29"/>
      <c r="C38" s="30"/>
      <c r="D38" s="33"/>
      <c r="E38" s="31"/>
      <c r="F38" s="32"/>
      <c r="G38" s="32"/>
      <c r="H38" s="32"/>
      <c r="I38" s="5"/>
      <c r="J38" s="5"/>
    </row>
    <row r="39" spans="2:10" x14ac:dyDescent="0.3">
      <c r="B39" s="29"/>
      <c r="C39" s="30"/>
      <c r="D39" s="33"/>
      <c r="E39" s="31"/>
      <c r="F39" s="32"/>
      <c r="G39" s="32"/>
      <c r="H39" s="32"/>
      <c r="I39" s="5"/>
      <c r="J39" s="5"/>
    </row>
    <row r="40" spans="2:10" x14ac:dyDescent="0.3">
      <c r="B40" s="29"/>
      <c r="C40" s="30"/>
      <c r="D40" s="33"/>
      <c r="E40" s="31"/>
      <c r="F40" s="32"/>
      <c r="G40" s="32"/>
      <c r="H40" s="32"/>
      <c r="I40" s="5"/>
      <c r="J40" s="5"/>
    </row>
    <row r="41" spans="2:10" x14ac:dyDescent="0.3">
      <c r="B41" s="29"/>
      <c r="C41" s="30"/>
      <c r="D41" s="33"/>
      <c r="E41" s="31"/>
      <c r="F41" s="32"/>
      <c r="G41" s="32"/>
      <c r="H41" s="32"/>
      <c r="I41" s="5"/>
      <c r="J41" s="5"/>
    </row>
    <row r="42" spans="2:10" x14ac:dyDescent="0.3">
      <c r="B42" s="29"/>
      <c r="C42" s="30"/>
      <c r="D42" s="33"/>
      <c r="E42" s="31"/>
      <c r="F42" s="32"/>
      <c r="G42" s="32"/>
      <c r="H42" s="32"/>
      <c r="I42" s="5"/>
      <c r="J42" s="5"/>
    </row>
    <row r="43" spans="2:10" x14ac:dyDescent="0.3">
      <c r="B43" s="29"/>
      <c r="C43" s="30"/>
      <c r="D43" s="33"/>
      <c r="E43" s="31"/>
      <c r="F43" s="32"/>
      <c r="G43" s="32"/>
      <c r="H43" s="32"/>
      <c r="I43" s="5"/>
      <c r="J43" s="5"/>
    </row>
    <row r="44" spans="2:10" x14ac:dyDescent="0.3">
      <c r="B44" s="29"/>
      <c r="C44" s="30"/>
      <c r="D44" s="33"/>
      <c r="E44" s="31"/>
      <c r="F44" s="32"/>
      <c r="G44" s="32"/>
      <c r="H44" s="32"/>
      <c r="I44" s="5"/>
      <c r="J44" s="5"/>
    </row>
    <row r="45" spans="2:10" x14ac:dyDescent="0.3">
      <c r="B45" s="29"/>
      <c r="C45" s="30"/>
      <c r="D45" s="33"/>
      <c r="E45" s="31"/>
      <c r="F45" s="32"/>
      <c r="G45" s="32"/>
      <c r="H45" s="32"/>
      <c r="I45" s="5"/>
      <c r="J45" s="5"/>
    </row>
    <row r="46" spans="2:10" x14ac:dyDescent="0.3">
      <c r="B46" s="29"/>
      <c r="C46" s="30"/>
      <c r="D46" s="33"/>
      <c r="E46" s="31"/>
      <c r="F46" s="32"/>
      <c r="G46" s="32"/>
      <c r="H46" s="32"/>
      <c r="I46" s="5"/>
      <c r="J46" s="5"/>
    </row>
    <row r="47" spans="2:10" x14ac:dyDescent="0.3">
      <c r="B47" s="29"/>
      <c r="C47" s="30"/>
      <c r="D47" s="33"/>
      <c r="E47" s="31"/>
      <c r="F47" s="32"/>
      <c r="G47" s="32"/>
      <c r="H47" s="32"/>
      <c r="I47" s="5"/>
      <c r="J47" s="5"/>
    </row>
    <row r="48" spans="2:10" x14ac:dyDescent="0.3">
      <c r="B48" s="29"/>
      <c r="C48" s="30"/>
      <c r="D48" s="33"/>
      <c r="E48" s="31"/>
      <c r="F48" s="32"/>
      <c r="G48" s="32"/>
      <c r="H48" s="32"/>
      <c r="I48" s="5"/>
      <c r="J48" s="5"/>
    </row>
    <row r="49" spans="2:10" x14ac:dyDescent="0.3">
      <c r="B49" s="29"/>
      <c r="C49" s="30"/>
      <c r="D49" s="33"/>
      <c r="E49" s="31"/>
      <c r="F49" s="32"/>
      <c r="G49" s="32"/>
      <c r="H49" s="32"/>
      <c r="I49" s="5"/>
      <c r="J49" s="5"/>
    </row>
    <row r="50" spans="2:10" x14ac:dyDescent="0.3">
      <c r="B50" s="29"/>
      <c r="C50" s="30"/>
      <c r="D50" s="33"/>
      <c r="E50" s="31"/>
      <c r="F50" s="32"/>
      <c r="G50" s="32"/>
      <c r="H50" s="32"/>
      <c r="I50" s="5"/>
      <c r="J50" s="5"/>
    </row>
    <row r="51" spans="2:10" x14ac:dyDescent="0.3">
      <c r="B51" s="29"/>
      <c r="C51" s="30"/>
      <c r="D51" s="33"/>
      <c r="E51" s="31"/>
      <c r="F51" s="32"/>
      <c r="G51" s="32"/>
      <c r="H51" s="32"/>
      <c r="I51" s="5"/>
      <c r="J51" s="5"/>
    </row>
    <row r="52" spans="2:10" x14ac:dyDescent="0.3">
      <c r="B52" s="29"/>
      <c r="C52" s="30"/>
      <c r="D52" s="33"/>
      <c r="E52" s="31"/>
      <c r="F52" s="32"/>
      <c r="G52" s="32"/>
      <c r="H52" s="32"/>
      <c r="I52" s="5"/>
      <c r="J52" s="5"/>
    </row>
    <row r="53" spans="2:10" x14ac:dyDescent="0.3">
      <c r="B53" s="29"/>
      <c r="C53" s="30"/>
      <c r="D53" s="33"/>
      <c r="E53" s="31"/>
      <c r="F53" s="32"/>
      <c r="G53" s="32"/>
      <c r="H53" s="32"/>
      <c r="I53" s="5"/>
      <c r="J53" s="5"/>
    </row>
    <row r="54" spans="2:10" x14ac:dyDescent="0.3">
      <c r="B54" s="29"/>
      <c r="C54" s="30"/>
      <c r="D54" s="33"/>
      <c r="E54" s="31"/>
      <c r="F54" s="32"/>
      <c r="G54" s="32"/>
      <c r="H54" s="32"/>
      <c r="I54" s="5"/>
      <c r="J54" s="5"/>
    </row>
    <row r="55" spans="2:10" x14ac:dyDescent="0.3">
      <c r="B55" s="29"/>
      <c r="C55" s="30"/>
      <c r="D55" s="33"/>
      <c r="E55" s="31"/>
      <c r="F55" s="32"/>
      <c r="G55" s="32"/>
      <c r="H55" s="32"/>
      <c r="I55" s="5"/>
      <c r="J55" s="5"/>
    </row>
    <row r="56" spans="2:10" x14ac:dyDescent="0.3">
      <c r="B56" s="29"/>
      <c r="C56" s="30"/>
      <c r="D56" s="33"/>
      <c r="E56" s="31"/>
      <c r="F56" s="32"/>
      <c r="G56" s="32"/>
      <c r="H56" s="32"/>
      <c r="I56" s="5"/>
      <c r="J56" s="5"/>
    </row>
    <row r="57" spans="2:10" x14ac:dyDescent="0.3">
      <c r="B57" s="29"/>
      <c r="C57" s="30"/>
      <c r="D57" s="33"/>
      <c r="E57" s="31"/>
      <c r="F57" s="32"/>
      <c r="G57" s="32"/>
      <c r="H57" s="32"/>
      <c r="I57" s="5"/>
      <c r="J57" s="5"/>
    </row>
    <row r="58" spans="2:10" x14ac:dyDescent="0.3">
      <c r="B58" s="29"/>
      <c r="C58" s="30"/>
      <c r="D58" s="33"/>
      <c r="E58" s="31"/>
      <c r="F58" s="32"/>
      <c r="G58" s="32"/>
      <c r="H58" s="32"/>
      <c r="I58" s="5"/>
      <c r="J58" s="5"/>
    </row>
    <row r="59" spans="2:10" x14ac:dyDescent="0.3">
      <c r="B59" s="29"/>
      <c r="C59" s="30"/>
      <c r="D59" s="33"/>
      <c r="E59" s="31"/>
      <c r="F59" s="32"/>
      <c r="G59" s="32"/>
      <c r="H59" s="32"/>
      <c r="I59" s="5"/>
      <c r="J59" s="5"/>
    </row>
    <row r="60" spans="2:10" x14ac:dyDescent="0.3">
      <c r="B60" s="29"/>
      <c r="C60" s="30"/>
      <c r="D60" s="33"/>
      <c r="E60" s="31"/>
      <c r="F60" s="32"/>
      <c r="G60" s="32"/>
      <c r="H60" s="32"/>
      <c r="I60" s="5"/>
      <c r="J60" s="5"/>
    </row>
    <row r="61" spans="2:10" x14ac:dyDescent="0.3">
      <c r="B61" s="29"/>
      <c r="C61" s="30"/>
      <c r="D61" s="33"/>
      <c r="E61" s="31"/>
      <c r="F61" s="32"/>
      <c r="G61" s="32"/>
      <c r="H61" s="32"/>
      <c r="I61" s="5"/>
      <c r="J61" s="5"/>
    </row>
    <row r="62" spans="2:10" x14ac:dyDescent="0.3">
      <c r="B62" s="29"/>
      <c r="C62" s="30"/>
      <c r="D62" s="33"/>
      <c r="E62" s="31"/>
      <c r="F62" s="32"/>
      <c r="G62" s="32"/>
      <c r="H62" s="32"/>
      <c r="I62" s="5"/>
      <c r="J62" s="5"/>
    </row>
    <row r="63" spans="2:10" x14ac:dyDescent="0.3">
      <c r="B63" s="29"/>
      <c r="C63" s="30"/>
      <c r="D63" s="33"/>
      <c r="E63" s="31"/>
      <c r="F63" s="32"/>
      <c r="G63" s="32"/>
      <c r="H63" s="32"/>
      <c r="I63" s="5"/>
      <c r="J63" s="5"/>
    </row>
    <row r="64" spans="2:10" x14ac:dyDescent="0.3">
      <c r="B64" s="29"/>
      <c r="C64" s="30"/>
      <c r="D64" s="33"/>
      <c r="E64" s="31"/>
      <c r="F64" s="32"/>
      <c r="G64" s="32"/>
      <c r="H64" s="32"/>
      <c r="I64" s="5"/>
      <c r="J64" s="5"/>
    </row>
    <row r="65" spans="2:10" x14ac:dyDescent="0.3">
      <c r="B65" s="29"/>
      <c r="C65" s="30"/>
      <c r="D65" s="33"/>
      <c r="E65" s="31"/>
      <c r="F65" s="32"/>
      <c r="G65" s="32"/>
      <c r="H65" s="32"/>
      <c r="I65" s="5"/>
      <c r="J65" s="5"/>
    </row>
    <row r="66" spans="2:10" x14ac:dyDescent="0.3">
      <c r="B66" s="29"/>
      <c r="C66" s="30"/>
      <c r="D66" s="33"/>
      <c r="E66" s="31"/>
      <c r="F66" s="32"/>
      <c r="G66" s="32"/>
      <c r="H66" s="32"/>
      <c r="I66" s="5"/>
      <c r="J66" s="5"/>
    </row>
    <row r="67" spans="2:10" x14ac:dyDescent="0.3">
      <c r="B67" s="29"/>
      <c r="C67" s="30"/>
      <c r="D67" s="33"/>
      <c r="E67" s="31"/>
      <c r="F67" s="32"/>
      <c r="G67" s="32"/>
      <c r="H67" s="32"/>
      <c r="I67" s="5"/>
      <c r="J67" s="5"/>
    </row>
    <row r="68" spans="2:10" x14ac:dyDescent="0.3">
      <c r="B68" s="29"/>
      <c r="C68" s="30"/>
      <c r="D68" s="33"/>
      <c r="E68" s="31"/>
      <c r="F68" s="32"/>
      <c r="G68" s="32"/>
      <c r="H68" s="32"/>
      <c r="I68" s="5"/>
      <c r="J68" s="5"/>
    </row>
    <row r="69" spans="2:10" x14ac:dyDescent="0.3">
      <c r="B69" s="29"/>
      <c r="C69" s="30"/>
      <c r="D69" s="33"/>
      <c r="E69" s="31"/>
      <c r="F69" s="32"/>
      <c r="G69" s="32"/>
      <c r="H69" s="32"/>
      <c r="I69" s="5"/>
      <c r="J69" s="5"/>
    </row>
    <row r="70" spans="2:10" x14ac:dyDescent="0.3">
      <c r="B70" s="29"/>
      <c r="C70" s="30"/>
      <c r="D70" s="33"/>
      <c r="E70" s="31"/>
      <c r="F70" s="32"/>
      <c r="G70" s="32"/>
      <c r="H70" s="32"/>
      <c r="I70" s="5"/>
      <c r="J70" s="5"/>
    </row>
    <row r="71" spans="2:10" x14ac:dyDescent="0.3">
      <c r="B71" s="29"/>
      <c r="C71" s="30"/>
      <c r="D71" s="33"/>
      <c r="E71" s="31"/>
      <c r="F71" s="32"/>
      <c r="G71" s="32"/>
      <c r="H71" s="32"/>
      <c r="I71" s="5"/>
      <c r="J71" s="5"/>
    </row>
    <row r="72" spans="2:10" x14ac:dyDescent="0.3">
      <c r="B72" s="29"/>
      <c r="C72" s="30"/>
      <c r="D72" s="33"/>
      <c r="E72" s="31"/>
      <c r="F72" s="32"/>
      <c r="G72" s="32"/>
      <c r="H72" s="32"/>
      <c r="I72" s="5"/>
      <c r="J72" s="5"/>
    </row>
    <row r="73" spans="2:10" x14ac:dyDescent="0.3">
      <c r="B73" s="29"/>
      <c r="C73" s="30"/>
      <c r="D73" s="33"/>
      <c r="E73" s="31"/>
      <c r="F73" s="32"/>
      <c r="G73" s="32"/>
      <c r="H73" s="32"/>
      <c r="I73" s="5"/>
      <c r="J73" s="5"/>
    </row>
    <row r="74" spans="2:10" x14ac:dyDescent="0.3">
      <c r="B74" s="29"/>
      <c r="C74" s="30"/>
      <c r="D74" s="33"/>
      <c r="E74" s="31"/>
      <c r="F74" s="32"/>
      <c r="G74" s="32"/>
      <c r="H74" s="32"/>
      <c r="I74" s="5"/>
      <c r="J74" s="5"/>
    </row>
    <row r="75" spans="2:10" x14ac:dyDescent="0.3">
      <c r="B75" s="29"/>
      <c r="C75" s="30"/>
      <c r="D75" s="33"/>
      <c r="E75" s="31"/>
      <c r="F75" s="32"/>
      <c r="G75" s="32"/>
      <c r="H75" s="32"/>
      <c r="I75" s="5"/>
      <c r="J75" s="5"/>
    </row>
    <row r="76" spans="2:10" x14ac:dyDescent="0.3">
      <c r="B76" s="29"/>
      <c r="C76" s="30"/>
      <c r="D76" s="33"/>
      <c r="E76" s="31"/>
      <c r="F76" s="32"/>
      <c r="G76" s="32"/>
      <c r="H76" s="32"/>
      <c r="I76" s="5"/>
      <c r="J76" s="5"/>
    </row>
    <row r="77" spans="2:10" x14ac:dyDescent="0.3">
      <c r="B77" s="29"/>
      <c r="C77" s="30"/>
      <c r="D77" s="33"/>
      <c r="E77" s="31"/>
      <c r="F77" s="32"/>
      <c r="G77" s="32"/>
      <c r="H77" s="32"/>
      <c r="I77" s="5"/>
      <c r="J77" s="5"/>
    </row>
    <row r="78" spans="2:10" x14ac:dyDescent="0.3">
      <c r="B78" s="29"/>
      <c r="C78" s="30"/>
      <c r="D78" s="33"/>
      <c r="E78" s="31"/>
      <c r="F78" s="32"/>
      <c r="G78" s="32"/>
      <c r="H78" s="32"/>
      <c r="I78" s="5"/>
      <c r="J78" s="5"/>
    </row>
    <row r="79" spans="2:10" x14ac:dyDescent="0.3">
      <c r="B79" s="29"/>
      <c r="C79" s="30"/>
      <c r="D79" s="33"/>
      <c r="E79" s="31"/>
      <c r="F79" s="32"/>
      <c r="G79" s="32"/>
      <c r="H79" s="32"/>
      <c r="I79" s="5"/>
      <c r="J79" s="5"/>
    </row>
    <row r="80" spans="2:10" x14ac:dyDescent="0.3">
      <c r="B80" s="29"/>
      <c r="C80" s="30"/>
      <c r="D80" s="33"/>
      <c r="E80" s="31"/>
      <c r="F80" s="32"/>
      <c r="G80" s="32"/>
      <c r="H80" s="32"/>
      <c r="I80" s="5"/>
      <c r="J80" s="5"/>
    </row>
    <row r="81" spans="2:10" x14ac:dyDescent="0.3">
      <c r="B81" s="29"/>
      <c r="C81" s="30"/>
      <c r="D81" s="33"/>
      <c r="E81" s="31"/>
      <c r="F81" s="32"/>
      <c r="G81" s="32"/>
      <c r="H81" s="32"/>
      <c r="I81" s="5"/>
      <c r="J81" s="5"/>
    </row>
    <row r="82" spans="2:10" x14ac:dyDescent="0.3">
      <c r="B82" s="29"/>
      <c r="C82" s="30"/>
      <c r="D82" s="33"/>
      <c r="E82" s="31"/>
      <c r="F82" s="32"/>
      <c r="G82" s="32"/>
      <c r="H82" s="32"/>
      <c r="I82" s="5"/>
      <c r="J82" s="5"/>
    </row>
    <row r="83" spans="2:10" x14ac:dyDescent="0.3">
      <c r="B83" s="29"/>
      <c r="C83" s="30"/>
      <c r="D83" s="33"/>
      <c r="E83" s="31"/>
      <c r="F83" s="32"/>
      <c r="G83" s="32"/>
      <c r="H83" s="32"/>
      <c r="I83" s="5"/>
      <c r="J83" s="5"/>
    </row>
    <row r="84" spans="2:10" x14ac:dyDescent="0.3">
      <c r="B84" s="29"/>
      <c r="C84" s="30"/>
      <c r="D84" s="33"/>
      <c r="E84" s="31"/>
      <c r="F84" s="32"/>
      <c r="G84" s="32"/>
      <c r="H84" s="32"/>
      <c r="I84" s="5"/>
      <c r="J84" s="5"/>
    </row>
    <row r="85" spans="2:10" x14ac:dyDescent="0.3">
      <c r="B85" s="29"/>
      <c r="C85" s="30"/>
      <c r="D85" s="33"/>
      <c r="E85" s="31"/>
      <c r="F85" s="32"/>
      <c r="G85" s="32"/>
      <c r="H85" s="32"/>
      <c r="I85" s="5"/>
      <c r="J85" s="5"/>
    </row>
    <row r="86" spans="2:10" x14ac:dyDescent="0.3">
      <c r="B86" s="29"/>
      <c r="C86" s="30"/>
      <c r="D86" s="33"/>
      <c r="E86" s="31"/>
      <c r="F86" s="32"/>
      <c r="G86" s="32"/>
      <c r="H86" s="32"/>
      <c r="I86" s="5"/>
      <c r="J86" s="5"/>
    </row>
    <row r="87" spans="2:10" x14ac:dyDescent="0.3">
      <c r="B87" s="29"/>
      <c r="C87" s="30"/>
      <c r="D87" s="33"/>
      <c r="E87" s="31"/>
      <c r="F87" s="32"/>
      <c r="G87" s="32"/>
      <c r="H87" s="32"/>
      <c r="I87" s="5"/>
      <c r="J87" s="5"/>
    </row>
    <row r="88" spans="2:10" x14ac:dyDescent="0.3">
      <c r="B88" s="29"/>
      <c r="C88" s="30"/>
      <c r="D88" s="33"/>
      <c r="E88" s="31"/>
      <c r="F88" s="32"/>
      <c r="G88" s="32"/>
      <c r="H88" s="32"/>
      <c r="I88" s="5"/>
      <c r="J88" s="5"/>
    </row>
    <row r="89" spans="2:10" x14ac:dyDescent="0.3">
      <c r="B89" s="29"/>
      <c r="C89" s="30"/>
      <c r="D89" s="33"/>
      <c r="E89" s="31"/>
      <c r="F89" s="32"/>
      <c r="G89" s="32"/>
      <c r="H89" s="32"/>
      <c r="I89" s="5"/>
      <c r="J89" s="5"/>
    </row>
    <row r="90" spans="2:10" x14ac:dyDescent="0.3">
      <c r="B90" s="29"/>
      <c r="C90" s="30"/>
      <c r="D90" s="33"/>
      <c r="E90" s="31"/>
      <c r="F90" s="32"/>
      <c r="G90" s="32"/>
      <c r="H90" s="32"/>
      <c r="I90" s="5"/>
      <c r="J90" s="5"/>
    </row>
    <row r="91" spans="2:10" x14ac:dyDescent="0.3">
      <c r="B91" s="29"/>
      <c r="C91" s="30"/>
      <c r="D91" s="33"/>
      <c r="E91" s="31"/>
      <c r="F91" s="32"/>
      <c r="G91" s="32"/>
      <c r="H91" s="32"/>
      <c r="I91" s="5"/>
      <c r="J91" s="5"/>
    </row>
    <row r="92" spans="2:10" x14ac:dyDescent="0.3">
      <c r="B92" s="29"/>
      <c r="C92" s="30"/>
      <c r="D92" s="33"/>
      <c r="E92" s="31"/>
      <c r="F92" s="32"/>
      <c r="G92" s="32"/>
      <c r="H92" s="32"/>
      <c r="I92" s="5"/>
      <c r="J92" s="5"/>
    </row>
    <row r="93" spans="2:10" x14ac:dyDescent="0.3">
      <c r="B93" s="29"/>
      <c r="C93" s="30"/>
      <c r="D93" s="33"/>
      <c r="E93" s="31"/>
      <c r="F93" s="32"/>
      <c r="G93" s="32"/>
      <c r="H93" s="32"/>
      <c r="I93" s="5"/>
      <c r="J93" s="5"/>
    </row>
    <row r="94" spans="2:10" x14ac:dyDescent="0.3">
      <c r="B94" s="29"/>
      <c r="C94" s="30"/>
      <c r="D94" s="33"/>
      <c r="E94" s="31"/>
      <c r="F94" s="32"/>
      <c r="G94" s="32"/>
      <c r="H94" s="32"/>
      <c r="I94" s="5"/>
      <c r="J94" s="5"/>
    </row>
    <row r="95" spans="2:10" x14ac:dyDescent="0.3">
      <c r="B95" s="29"/>
      <c r="C95" s="30"/>
      <c r="D95" s="33"/>
      <c r="E95" s="31"/>
      <c r="F95" s="32"/>
      <c r="G95" s="32"/>
      <c r="H95" s="32"/>
      <c r="I95" s="5"/>
      <c r="J95" s="5"/>
    </row>
    <row r="96" spans="2:10" x14ac:dyDescent="0.3">
      <c r="B96" s="29"/>
      <c r="C96" s="30"/>
      <c r="D96" s="33"/>
      <c r="E96" s="31"/>
      <c r="F96" s="32"/>
      <c r="G96" s="32"/>
      <c r="H96" s="32"/>
      <c r="I96" s="5"/>
      <c r="J96" s="5"/>
    </row>
    <row r="97" spans="2:10" x14ac:dyDescent="0.3">
      <c r="B97" s="29"/>
      <c r="C97" s="30"/>
      <c r="D97" s="33"/>
      <c r="E97" s="31"/>
      <c r="F97" s="32"/>
      <c r="G97" s="32"/>
      <c r="H97" s="32"/>
      <c r="I97" s="5"/>
      <c r="J97" s="5"/>
    </row>
    <row r="98" spans="2:10" x14ac:dyDescent="0.3">
      <c r="B98" s="29"/>
      <c r="C98" s="30"/>
      <c r="D98" s="33"/>
      <c r="E98" s="31"/>
      <c r="F98" s="32"/>
      <c r="G98" s="32"/>
      <c r="H98" s="32"/>
      <c r="I98" s="5"/>
      <c r="J98" s="5"/>
    </row>
    <row r="99" spans="2:10" x14ac:dyDescent="0.3">
      <c r="B99" s="29"/>
      <c r="C99" s="30"/>
      <c r="D99" s="33"/>
      <c r="E99" s="31"/>
      <c r="F99" s="32"/>
      <c r="G99" s="32"/>
      <c r="H99" s="32"/>
      <c r="I99" s="5"/>
      <c r="J99" s="5"/>
    </row>
    <row r="100" spans="2:10" x14ac:dyDescent="0.3">
      <c r="B100" s="29"/>
      <c r="C100" s="30"/>
      <c r="D100" s="33"/>
      <c r="E100" s="31"/>
      <c r="F100" s="32"/>
      <c r="G100" s="32"/>
      <c r="H100" s="32"/>
      <c r="I100" s="5"/>
      <c r="J100" s="5"/>
    </row>
    <row r="101" spans="2:10" x14ac:dyDescent="0.3">
      <c r="B101" s="29"/>
      <c r="C101" s="30"/>
      <c r="D101" s="33"/>
      <c r="E101" s="31"/>
      <c r="F101" s="32"/>
      <c r="G101" s="32"/>
      <c r="H101" s="32"/>
      <c r="I101" s="5"/>
      <c r="J101" s="5"/>
    </row>
    <row r="102" spans="2:10" x14ac:dyDescent="0.3">
      <c r="B102" s="29"/>
      <c r="C102" s="30"/>
      <c r="D102" s="33"/>
      <c r="E102" s="31"/>
      <c r="F102" s="32"/>
      <c r="G102" s="32"/>
      <c r="H102" s="32"/>
      <c r="I102" s="5"/>
      <c r="J102" s="5"/>
    </row>
    <row r="103" spans="2:10" x14ac:dyDescent="0.3">
      <c r="B103" s="29"/>
      <c r="C103" s="30"/>
      <c r="D103" s="33"/>
      <c r="E103" s="31"/>
      <c r="F103" s="32"/>
      <c r="G103" s="32"/>
      <c r="H103" s="32"/>
      <c r="I103" s="5"/>
      <c r="J103" s="5"/>
    </row>
    <row r="104" spans="2:10" x14ac:dyDescent="0.3">
      <c r="B104" s="29"/>
      <c r="C104" s="30"/>
      <c r="D104" s="33"/>
      <c r="E104" s="31"/>
      <c r="F104" s="32"/>
      <c r="G104" s="32"/>
      <c r="H104" s="32"/>
      <c r="I104" s="5"/>
      <c r="J104" s="5"/>
    </row>
    <row r="105" spans="2:10" x14ac:dyDescent="0.3">
      <c r="B105" s="29"/>
      <c r="C105" s="30"/>
      <c r="D105" s="33"/>
      <c r="E105" s="31"/>
      <c r="F105" s="32"/>
      <c r="G105" s="32"/>
      <c r="H105" s="32"/>
      <c r="I105" s="5"/>
      <c r="J105" s="5"/>
    </row>
    <row r="106" spans="2:10" x14ac:dyDescent="0.3">
      <c r="B106" s="29"/>
      <c r="C106" s="30"/>
      <c r="D106" s="33"/>
      <c r="E106" s="31"/>
      <c r="F106" s="32"/>
      <c r="G106" s="32"/>
      <c r="H106" s="32"/>
      <c r="I106" s="5"/>
      <c r="J106" s="5"/>
    </row>
    <row r="107" spans="2:10" x14ac:dyDescent="0.3">
      <c r="B107" s="29"/>
      <c r="C107" s="30"/>
      <c r="D107" s="33"/>
      <c r="E107" s="31"/>
      <c r="F107" s="32"/>
      <c r="G107" s="32"/>
      <c r="H107" s="32"/>
      <c r="I107" s="5"/>
      <c r="J107" s="5"/>
    </row>
    <row r="108" spans="2:10" x14ac:dyDescent="0.3">
      <c r="B108" s="29"/>
      <c r="C108" s="30"/>
      <c r="D108" s="33"/>
      <c r="E108" s="31"/>
      <c r="F108" s="32"/>
      <c r="G108" s="32"/>
      <c r="H108" s="32"/>
      <c r="I108" s="5"/>
      <c r="J108" s="5"/>
    </row>
    <row r="109" spans="2:10" x14ac:dyDescent="0.3">
      <c r="B109" s="29"/>
      <c r="C109" s="30"/>
      <c r="D109" s="33"/>
      <c r="E109" s="31"/>
      <c r="F109" s="32"/>
      <c r="G109" s="32"/>
      <c r="H109" s="32"/>
      <c r="I109" s="5"/>
      <c r="J109" s="5"/>
    </row>
    <row r="110" spans="2:10" x14ac:dyDescent="0.3">
      <c r="B110" s="29"/>
      <c r="C110" s="30"/>
      <c r="D110" s="33"/>
      <c r="E110" s="31"/>
      <c r="F110" s="32"/>
      <c r="G110" s="32"/>
      <c r="H110" s="32"/>
      <c r="I110" s="5"/>
      <c r="J110" s="5"/>
    </row>
    <row r="111" spans="2:10" x14ac:dyDescent="0.3">
      <c r="B111" s="29"/>
      <c r="C111" s="30"/>
      <c r="D111" s="33"/>
      <c r="E111" s="31"/>
      <c r="F111" s="32"/>
      <c r="G111" s="32"/>
      <c r="H111" s="32"/>
      <c r="I111" s="5"/>
      <c r="J111" s="5"/>
    </row>
    <row r="112" spans="2:10" x14ac:dyDescent="0.3">
      <c r="B112" s="29"/>
      <c r="C112" s="30"/>
      <c r="D112" s="33"/>
      <c r="E112" s="31"/>
      <c r="F112" s="32"/>
      <c r="G112" s="32"/>
      <c r="H112" s="32"/>
      <c r="I112" s="5"/>
      <c r="J112" s="5"/>
    </row>
    <row r="113" spans="2:10" x14ac:dyDescent="0.3">
      <c r="B113" s="29"/>
      <c r="C113" s="30"/>
      <c r="D113" s="33"/>
      <c r="E113" s="31"/>
      <c r="F113" s="32"/>
      <c r="G113" s="32"/>
      <c r="H113" s="32"/>
      <c r="I113" s="5"/>
      <c r="J113" s="5"/>
    </row>
    <row r="114" spans="2:10" x14ac:dyDescent="0.3">
      <c r="B114" s="29"/>
      <c r="C114" s="30"/>
      <c r="D114" s="33"/>
      <c r="E114" s="31"/>
      <c r="F114" s="32"/>
      <c r="G114" s="32"/>
      <c r="H114" s="32"/>
      <c r="I114" s="5"/>
      <c r="J114" s="5"/>
    </row>
    <row r="115" spans="2:10" x14ac:dyDescent="0.3">
      <c r="B115" s="29"/>
      <c r="C115" s="30"/>
      <c r="D115" s="33"/>
      <c r="E115" s="31"/>
      <c r="F115" s="32"/>
      <c r="G115" s="32"/>
      <c r="H115" s="32"/>
      <c r="I115" s="5"/>
      <c r="J115" s="5"/>
    </row>
    <row r="116" spans="2:10" x14ac:dyDescent="0.3">
      <c r="B116" s="29"/>
      <c r="C116" s="30"/>
      <c r="D116" s="33"/>
      <c r="E116" s="31"/>
      <c r="F116" s="32"/>
      <c r="G116" s="32"/>
      <c r="H116" s="32"/>
      <c r="I116" s="5"/>
      <c r="J116" s="5"/>
    </row>
    <row r="117" spans="2:10" x14ac:dyDescent="0.3">
      <c r="B117" s="29"/>
      <c r="C117" s="30"/>
      <c r="D117" s="33"/>
      <c r="E117" s="31"/>
      <c r="F117" s="32"/>
      <c r="G117" s="32"/>
      <c r="H117" s="32"/>
      <c r="I117" s="5"/>
      <c r="J117" s="5"/>
    </row>
    <row r="118" spans="2:10" x14ac:dyDescent="0.3">
      <c r="B118" s="29"/>
      <c r="C118" s="30"/>
      <c r="D118" s="33"/>
      <c r="E118" s="31"/>
      <c r="F118" s="32"/>
      <c r="G118" s="32"/>
      <c r="H118" s="32"/>
      <c r="I118" s="5"/>
      <c r="J118" s="5"/>
    </row>
    <row r="119" spans="2:10" x14ac:dyDescent="0.3">
      <c r="B119" s="29"/>
      <c r="C119" s="30"/>
      <c r="D119" s="33"/>
      <c r="E119" s="31"/>
      <c r="F119" s="32"/>
      <c r="G119" s="32"/>
      <c r="H119" s="32"/>
      <c r="I119" s="5"/>
      <c r="J119" s="5"/>
    </row>
    <row r="120" spans="2:10" x14ac:dyDescent="0.3">
      <c r="B120" s="29"/>
      <c r="C120" s="30"/>
      <c r="D120" s="33"/>
      <c r="E120" s="31"/>
      <c r="F120" s="32"/>
      <c r="G120" s="32"/>
      <c r="H120" s="32"/>
      <c r="I120" s="5"/>
      <c r="J120" s="5"/>
    </row>
    <row r="121" spans="2:10" x14ac:dyDescent="0.3">
      <c r="B121" s="29"/>
      <c r="C121" s="30"/>
      <c r="D121" s="33"/>
      <c r="E121" s="31"/>
      <c r="F121" s="32"/>
      <c r="G121" s="32"/>
      <c r="H121" s="32"/>
      <c r="I121" s="5"/>
      <c r="J121" s="5"/>
    </row>
    <row r="122" spans="2:10" x14ac:dyDescent="0.3">
      <c r="B122" s="29"/>
      <c r="C122" s="30"/>
      <c r="D122" s="33"/>
      <c r="E122" s="31"/>
      <c r="F122" s="32"/>
      <c r="G122" s="32"/>
      <c r="H122" s="32"/>
      <c r="I122" s="5"/>
      <c r="J122" s="5"/>
    </row>
    <row r="123" spans="2:10" x14ac:dyDescent="0.3">
      <c r="B123" s="29"/>
      <c r="C123" s="30"/>
      <c r="D123" s="33"/>
      <c r="E123" s="31"/>
      <c r="F123" s="32"/>
      <c r="G123" s="32"/>
      <c r="H123" s="32"/>
      <c r="I123" s="5"/>
      <c r="J123" s="5"/>
    </row>
    <row r="124" spans="2:10" x14ac:dyDescent="0.3">
      <c r="B124" s="29"/>
      <c r="C124" s="30"/>
      <c r="D124" s="33"/>
      <c r="E124" s="31"/>
      <c r="F124" s="32"/>
      <c r="G124" s="32"/>
      <c r="H124" s="32"/>
      <c r="I124" s="5"/>
      <c r="J124" s="5"/>
    </row>
    <row r="125" spans="2:10" x14ac:dyDescent="0.3">
      <c r="B125" s="29"/>
      <c r="C125" s="30"/>
      <c r="D125" s="33"/>
      <c r="E125" s="31"/>
      <c r="F125" s="32"/>
      <c r="G125" s="32"/>
      <c r="H125" s="32"/>
      <c r="I125" s="5"/>
      <c r="J125" s="5"/>
    </row>
    <row r="126" spans="2:10" x14ac:dyDescent="0.3">
      <c r="B126" s="29"/>
      <c r="C126" s="30"/>
      <c r="D126" s="33"/>
      <c r="E126" s="31"/>
      <c r="F126" s="32"/>
      <c r="G126" s="32"/>
      <c r="H126" s="32"/>
      <c r="I126" s="5"/>
      <c r="J126" s="5"/>
    </row>
    <row r="127" spans="2:10" x14ac:dyDescent="0.3">
      <c r="B127" s="29"/>
      <c r="C127" s="30"/>
      <c r="D127" s="33"/>
      <c r="E127" s="31"/>
      <c r="F127" s="32"/>
      <c r="G127" s="32"/>
      <c r="H127" s="32"/>
      <c r="I127" s="5"/>
      <c r="J127" s="5"/>
    </row>
    <row r="128" spans="2:10" x14ac:dyDescent="0.3">
      <c r="B128" s="29"/>
      <c r="C128" s="30"/>
      <c r="D128" s="33"/>
      <c r="E128" s="31"/>
      <c r="F128" s="32"/>
      <c r="G128" s="32"/>
      <c r="H128" s="32"/>
      <c r="I128" s="5"/>
      <c r="J128" s="5"/>
    </row>
    <row r="129" spans="2:10" x14ac:dyDescent="0.3">
      <c r="B129" s="29"/>
      <c r="C129" s="30"/>
      <c r="D129" s="33"/>
      <c r="E129" s="31"/>
      <c r="F129" s="32"/>
      <c r="G129" s="32"/>
      <c r="H129" s="32"/>
      <c r="I129" s="5"/>
      <c r="J129" s="5"/>
    </row>
    <row r="130" spans="2:10" x14ac:dyDescent="0.3">
      <c r="B130" s="29"/>
      <c r="C130" s="30"/>
      <c r="D130" s="33"/>
      <c r="E130" s="31"/>
      <c r="F130" s="32"/>
      <c r="G130" s="32"/>
      <c r="H130" s="32"/>
      <c r="I130" s="5"/>
      <c r="J130" s="5"/>
    </row>
    <row r="131" spans="2:10" x14ac:dyDescent="0.3">
      <c r="B131" s="29"/>
      <c r="C131" s="30"/>
      <c r="D131" s="33"/>
      <c r="E131" s="31"/>
      <c r="F131" s="32"/>
      <c r="G131" s="32"/>
      <c r="H131" s="32"/>
      <c r="I131" s="5"/>
      <c r="J131" s="5"/>
    </row>
    <row r="132" spans="2:10" x14ac:dyDescent="0.3">
      <c r="B132" s="29"/>
      <c r="C132" s="30"/>
      <c r="D132" s="33"/>
      <c r="E132" s="31"/>
      <c r="F132" s="32"/>
      <c r="G132" s="32"/>
      <c r="H132" s="32"/>
      <c r="I132" s="5"/>
      <c r="J132" s="5"/>
    </row>
    <row r="133" spans="2:10" x14ac:dyDescent="0.3">
      <c r="B133" s="29"/>
      <c r="C133" s="30"/>
      <c r="D133" s="33"/>
      <c r="E133" s="31"/>
      <c r="F133" s="32"/>
      <c r="G133" s="32"/>
      <c r="H133" s="32"/>
      <c r="I133" s="5"/>
      <c r="J133" s="5"/>
    </row>
    <row r="134" spans="2:10" x14ac:dyDescent="0.3">
      <c r="B134" s="29"/>
      <c r="C134" s="30"/>
      <c r="D134" s="33"/>
      <c r="E134" s="31"/>
      <c r="F134" s="32"/>
      <c r="G134" s="32"/>
      <c r="H134" s="32"/>
      <c r="I134" s="5"/>
      <c r="J134" s="5"/>
    </row>
    <row r="135" spans="2:10" x14ac:dyDescent="0.3">
      <c r="B135" s="29"/>
      <c r="C135" s="30"/>
      <c r="D135" s="33"/>
      <c r="E135" s="31"/>
      <c r="F135" s="32"/>
      <c r="G135" s="32"/>
      <c r="H135" s="32"/>
      <c r="I135" s="5"/>
      <c r="J135" s="5"/>
    </row>
    <row r="136" spans="2:10" x14ac:dyDescent="0.3">
      <c r="B136" s="29"/>
      <c r="C136" s="30"/>
      <c r="D136" s="33"/>
      <c r="E136" s="31"/>
      <c r="F136" s="32"/>
      <c r="G136" s="32"/>
      <c r="H136" s="32"/>
      <c r="I136" s="5"/>
      <c r="J136" s="5"/>
    </row>
    <row r="137" spans="2:10" x14ac:dyDescent="0.3">
      <c r="B137" s="29"/>
      <c r="C137" s="30"/>
      <c r="D137" s="33"/>
      <c r="E137" s="31"/>
      <c r="F137" s="32"/>
      <c r="G137" s="32"/>
      <c r="H137" s="32"/>
      <c r="I137" s="5"/>
      <c r="J137" s="5"/>
    </row>
    <row r="138" spans="2:10" x14ac:dyDescent="0.3">
      <c r="B138" s="29"/>
      <c r="C138" s="30"/>
      <c r="D138" s="33"/>
      <c r="E138" s="31"/>
      <c r="F138" s="32"/>
      <c r="G138" s="32"/>
      <c r="H138" s="32"/>
      <c r="I138" s="5"/>
      <c r="J138" s="5"/>
    </row>
    <row r="139" spans="2:10" x14ac:dyDescent="0.3">
      <c r="B139" s="29"/>
      <c r="C139" s="30"/>
      <c r="D139" s="33"/>
      <c r="E139" s="31"/>
      <c r="F139" s="32"/>
      <c r="G139" s="32"/>
      <c r="H139" s="32"/>
      <c r="I139" s="5"/>
      <c r="J139" s="5"/>
    </row>
    <row r="140" spans="2:10" x14ac:dyDescent="0.3">
      <c r="B140" s="29"/>
      <c r="C140" s="30"/>
      <c r="D140" s="33"/>
      <c r="E140" s="31"/>
      <c r="F140" s="32"/>
      <c r="G140" s="32"/>
      <c r="H140" s="32"/>
      <c r="I140" s="5"/>
      <c r="J140" s="5"/>
    </row>
    <row r="141" spans="2:10" x14ac:dyDescent="0.3">
      <c r="B141" s="29"/>
      <c r="C141" s="30"/>
      <c r="D141" s="33"/>
      <c r="E141" s="31"/>
      <c r="F141" s="32"/>
      <c r="G141" s="32"/>
      <c r="H141" s="32"/>
      <c r="I141" s="5"/>
      <c r="J141" s="5"/>
    </row>
    <row r="142" spans="2:10" x14ac:dyDescent="0.3">
      <c r="B142" s="29"/>
      <c r="C142" s="30"/>
      <c r="D142" s="33"/>
      <c r="E142" s="31"/>
      <c r="F142" s="32"/>
      <c r="G142" s="32"/>
      <c r="H142" s="32"/>
      <c r="I142" s="5"/>
      <c r="J142" s="5"/>
    </row>
    <row r="143" spans="2:10" x14ac:dyDescent="0.3">
      <c r="B143" s="29"/>
      <c r="C143" s="30"/>
      <c r="D143" s="33"/>
      <c r="E143" s="31"/>
      <c r="F143" s="32"/>
      <c r="G143" s="32"/>
      <c r="H143" s="32"/>
      <c r="I143" s="5"/>
      <c r="J143" s="5"/>
    </row>
    <row r="144" spans="2:10" x14ac:dyDescent="0.3">
      <c r="B144" s="29"/>
      <c r="C144" s="30"/>
      <c r="D144" s="33"/>
      <c r="E144" s="31"/>
      <c r="F144" s="32"/>
      <c r="G144" s="32"/>
      <c r="H144" s="32"/>
      <c r="I144" s="5"/>
      <c r="J144" s="5"/>
    </row>
    <row r="145" spans="2:10" x14ac:dyDescent="0.3">
      <c r="B145" s="29"/>
      <c r="C145" s="30"/>
      <c r="D145" s="33"/>
      <c r="E145" s="31"/>
      <c r="F145" s="32"/>
      <c r="G145" s="32"/>
      <c r="H145" s="32"/>
      <c r="I145" s="5"/>
      <c r="J145" s="5"/>
    </row>
    <row r="146" spans="2:10" x14ac:dyDescent="0.3">
      <c r="B146" s="29"/>
      <c r="C146" s="30"/>
      <c r="D146" s="33"/>
      <c r="E146" s="31"/>
      <c r="F146" s="32"/>
      <c r="G146" s="32"/>
      <c r="H146" s="32"/>
      <c r="I146" s="5"/>
      <c r="J146" s="5"/>
    </row>
    <row r="147" spans="2:10" x14ac:dyDescent="0.3">
      <c r="B147" s="29"/>
      <c r="C147" s="30"/>
      <c r="D147" s="33"/>
      <c r="E147" s="31"/>
      <c r="F147" s="32"/>
      <c r="G147" s="32"/>
      <c r="H147" s="32"/>
      <c r="I147" s="5"/>
      <c r="J147" s="5"/>
    </row>
    <row r="148" spans="2:10" x14ac:dyDescent="0.3">
      <c r="B148" s="29"/>
      <c r="C148" s="30"/>
      <c r="D148" s="33"/>
      <c r="E148" s="31"/>
      <c r="F148" s="32"/>
      <c r="G148" s="32"/>
      <c r="H148" s="32"/>
      <c r="I148" s="5"/>
      <c r="J148" s="5"/>
    </row>
    <row r="149" spans="2:10" x14ac:dyDescent="0.3">
      <c r="B149" s="29"/>
      <c r="C149" s="30"/>
      <c r="D149" s="33"/>
      <c r="E149" s="31"/>
      <c r="F149" s="32"/>
      <c r="G149" s="32"/>
      <c r="H149" s="32"/>
      <c r="I149" s="5"/>
      <c r="J149" s="5"/>
    </row>
    <row r="150" spans="2:10" x14ac:dyDescent="0.3">
      <c r="B150" s="29"/>
      <c r="C150" s="30"/>
      <c r="D150" s="33"/>
      <c r="E150" s="31"/>
      <c r="F150" s="32"/>
      <c r="G150" s="32"/>
      <c r="H150" s="32"/>
      <c r="I150" s="5"/>
      <c r="J150" s="5"/>
    </row>
    <row r="151" spans="2:10" x14ac:dyDescent="0.3">
      <c r="B151" s="29"/>
      <c r="C151" s="30"/>
      <c r="D151" s="33"/>
      <c r="E151" s="31"/>
      <c r="F151" s="32"/>
      <c r="G151" s="32"/>
      <c r="H151" s="32"/>
      <c r="I151" s="5"/>
      <c r="J151" s="5"/>
    </row>
    <row r="152" spans="2:10" x14ac:dyDescent="0.3">
      <c r="B152" s="29"/>
      <c r="C152" s="30"/>
      <c r="D152" s="33"/>
      <c r="E152" s="31"/>
      <c r="F152" s="32"/>
      <c r="G152" s="32"/>
      <c r="H152" s="32"/>
      <c r="I152" s="5"/>
      <c r="J152" s="5"/>
    </row>
    <row r="153" spans="2:10" x14ac:dyDescent="0.3">
      <c r="B153" s="29"/>
      <c r="C153" s="30"/>
      <c r="D153" s="33"/>
      <c r="E153" s="31"/>
      <c r="F153" s="32"/>
      <c r="G153" s="32"/>
      <c r="H153" s="32"/>
      <c r="I153" s="5"/>
      <c r="J153" s="5"/>
    </row>
    <row r="154" spans="2:10" x14ac:dyDescent="0.3">
      <c r="B154" s="29"/>
      <c r="C154" s="30"/>
      <c r="D154" s="33"/>
      <c r="E154" s="31"/>
      <c r="F154" s="32"/>
      <c r="G154" s="32"/>
      <c r="H154" s="32"/>
      <c r="I154" s="5"/>
      <c r="J154" s="5"/>
    </row>
    <row r="155" spans="2:10" x14ac:dyDescent="0.3">
      <c r="B155" s="29"/>
      <c r="C155" s="30"/>
      <c r="D155" s="33"/>
      <c r="E155" s="31"/>
      <c r="F155" s="32"/>
      <c r="G155" s="32"/>
      <c r="H155" s="32"/>
      <c r="I155" s="5"/>
      <c r="J155" s="5"/>
    </row>
    <row r="156" spans="2:10" x14ac:dyDescent="0.3">
      <c r="B156" s="29"/>
      <c r="C156" s="30"/>
      <c r="D156" s="33"/>
      <c r="E156" s="31"/>
      <c r="F156" s="32"/>
      <c r="G156" s="32"/>
      <c r="H156" s="32"/>
      <c r="I156" s="5"/>
      <c r="J156" s="5"/>
    </row>
    <row r="157" spans="2:10" x14ac:dyDescent="0.3">
      <c r="B157" s="29"/>
      <c r="C157" s="30"/>
      <c r="D157" s="33"/>
      <c r="E157" s="31"/>
      <c r="F157" s="32"/>
      <c r="G157" s="32"/>
      <c r="H157" s="32"/>
      <c r="I157" s="5"/>
      <c r="J157" s="5"/>
    </row>
    <row r="158" spans="2:10" x14ac:dyDescent="0.3">
      <c r="B158" s="29"/>
      <c r="C158" s="30"/>
      <c r="D158" s="33"/>
      <c r="E158" s="31"/>
      <c r="F158" s="32"/>
      <c r="G158" s="32"/>
      <c r="H158" s="32"/>
      <c r="I158" s="5"/>
      <c r="J158" s="5"/>
    </row>
    <row r="159" spans="2:10" x14ac:dyDescent="0.3">
      <c r="B159" s="29"/>
      <c r="C159" s="30"/>
      <c r="D159" s="33"/>
      <c r="E159" s="31"/>
      <c r="F159" s="32"/>
      <c r="G159" s="32"/>
      <c r="H159" s="32"/>
      <c r="I159" s="5"/>
      <c r="J159" s="5"/>
    </row>
    <row r="160" spans="2:10" x14ac:dyDescent="0.3">
      <c r="B160" s="29"/>
      <c r="C160" s="30"/>
      <c r="D160" s="33"/>
      <c r="E160" s="31"/>
      <c r="F160" s="32"/>
      <c r="G160" s="32"/>
      <c r="H160" s="32"/>
      <c r="I160" s="5"/>
      <c r="J160" s="5"/>
    </row>
  </sheetData>
  <phoneticPr fontId="3" type="noConversion"/>
  <dataValidations count="1">
    <dataValidation type="list" allowBlank="1" showInputMessage="1" sqref="D1" xr:uid="{3E4F1DF5-5BE4-49E2-8CE0-3D02AA0533E9}">
      <formula1>Список_щитов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4">
    <tabColor rgb="FF4F81BD"/>
  </sheetPr>
  <dimension ref="A1:F446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5.77734375" customWidth="1"/>
    <col min="2" max="2" width="12.77734375" customWidth="1"/>
    <col min="3" max="3" width="16.77734375" customWidth="1"/>
    <col min="4" max="4" width="46.77734375" customWidth="1"/>
    <col min="5" max="5" width="16.77734375" customWidth="1"/>
    <col min="6" max="6" width="50.77734375" customWidth="1"/>
  </cols>
  <sheetData>
    <row r="1" spans="1:6" x14ac:dyDescent="0.3">
      <c r="A1" s="36" t="s">
        <v>1775</v>
      </c>
    </row>
    <row r="3" spans="1:6" x14ac:dyDescent="0.3">
      <c r="A3" s="120" t="s">
        <v>666</v>
      </c>
      <c r="B3" s="120" t="s">
        <v>4</v>
      </c>
      <c r="C3" s="120" t="s">
        <v>1776</v>
      </c>
      <c r="D3" s="120" t="s">
        <v>1777</v>
      </c>
      <c r="E3" s="120" t="s">
        <v>438</v>
      </c>
      <c r="F3" s="120" t="s">
        <v>6</v>
      </c>
    </row>
    <row r="4" spans="1:6" x14ac:dyDescent="0.3">
      <c r="A4" cm="1">
        <f t="array" ref="A4:F446">_xlfn.LET(_xlpm.kk,_xlfn.TOCOL(_xlfn.HSTACK(Линии[_бирка 1],Линии[_бирка 2],Линии[_бирка 3],Линии[_бирка 4],Линии[_бирка 5],Линии[_бирка 6]),1),_xlpm.ii,_xlfn.TOCOL(_xlfn.HSTACK(Линии[_бирка 1 линия],Линии[_бирка 2 линия],Линии[_бирка 3 линия],Линии[_бирка 4 линия],Линии[_бирка 5 линия],Линии[_бирка 6 линия]),1),IF(ROWS(_xlpm.kk)=0,"нет",_xlfn.LET(_xlpm.u,_xlfn.UNIQUE(_xlpm.kk),_xlpm.inf,_xlfn.XLOOKUP(_xlpm.u,_xlpm.kk,_xlpm.ii),_xlfn.HSTACK(_xlfn.SEQUENCE(ROWS(_xlpm.u)),_xlfn.TEXTBEFORE(_xlpm.u,"¦"),_xlfn.TEXTBEFORE(_xlfn.TEXTAFTER(_xlpm.u,"¦"),"¦"),_xlfn.TEXTAFTER(_xlpm.u,"¦",2),_xlfn.TEXTBEFORE(_xlpm.inf,"¦"),_xlfn.TEXTAFTER(_xlpm.inf,"¦")))))</f>
        <v>1</v>
      </c>
      <c r="B4" t="str">
        <v>ГРЩ-ЖД</v>
      </c>
      <c r="C4" t="str">
        <v>QF1</v>
      </c>
      <c r="D4" t="str">
        <v>кабель  → Основной ввод в дом №1</v>
      </c>
      <c r="E4" t="str">
        <v>Ввод.1</v>
      </c>
      <c r="F4" t="str">
        <v>Основной ввод в дом №1</v>
      </c>
    </row>
    <row r="5" spans="1:6" x14ac:dyDescent="0.3">
      <c r="A5">
        <v>2</v>
      </c>
      <c r="B5" t="e">
        <v>#N/A</v>
      </c>
      <c r="C5" t="e">
        <v>#N/A</v>
      </c>
      <c r="D5" t="e">
        <v>#VALUE!</v>
      </c>
      <c r="E5" t="e">
        <v>#N/A</v>
      </c>
      <c r="F5" t="e">
        <v>#N/A</v>
      </c>
    </row>
    <row r="6" spans="1:6" x14ac:dyDescent="0.3">
      <c r="A6">
        <v>3</v>
      </c>
      <c r="B6" t="str">
        <v>ГРЩ-ЖД</v>
      </c>
      <c r="C6" t="str">
        <v>QF2</v>
      </c>
      <c r="D6" t="str">
        <v>кабель  → Основной ввод в дом №2</v>
      </c>
      <c r="E6" t="str">
        <v>Ввод.2</v>
      </c>
      <c r="F6" t="str">
        <v>Основной ввод в дом №2</v>
      </c>
    </row>
    <row r="7" spans="1:6" x14ac:dyDescent="0.3">
      <c r="A7">
        <v>4</v>
      </c>
      <c r="B7" t="str">
        <v>ГРЩ-ЖД</v>
      </c>
      <c r="C7" t="str">
        <v>QF3</v>
      </c>
      <c r="D7" t="str">
        <v>XT1</v>
      </c>
      <c r="E7" t="str">
        <v>ЩСПЗ-ЖД.1</v>
      </c>
      <c r="F7" t="str">
        <v>Щит системы противопожарной защиты Цокольный этаж этаж Пом. №001Т Ввод.1</v>
      </c>
    </row>
    <row r="8" spans="1:6" x14ac:dyDescent="0.3">
      <c r="A8">
        <v>5</v>
      </c>
      <c r="B8" t="str">
        <v>ГРЩ-ЖД</v>
      </c>
      <c r="C8" t="str">
        <v>XT1</v>
      </c>
      <c r="D8" t="str">
        <v>кабель ВВГнг(А)-FRLS (3х2,5) → Щит системы противопожарной защиты Цокольный этаж этаж Пом. №001Т Ввод.1</v>
      </c>
      <c r="E8" t="str">
        <v>ЩСПЗ-ЖД.1</v>
      </c>
      <c r="F8" t="str">
        <v>Щит системы противопожарной защиты Цокольный этаж этаж Пом. №001Т Ввод.1</v>
      </c>
    </row>
    <row r="9" spans="1:6" x14ac:dyDescent="0.3">
      <c r="A9">
        <v>6</v>
      </c>
      <c r="B9" t="str">
        <v>ГРЩ-ЖД</v>
      </c>
      <c r="C9" t="str">
        <v>QF4</v>
      </c>
      <c r="D9" t="str">
        <v>XT2</v>
      </c>
      <c r="E9" t="str">
        <v>ЩСПЗ-ЖД.2</v>
      </c>
      <c r="F9" t="str">
        <v>Щит системы противопожарной защиты Цокольный этаж этаж Пом. №001Т Ввод.2</v>
      </c>
    </row>
    <row r="10" spans="1:6" x14ac:dyDescent="0.3">
      <c r="A10">
        <v>7</v>
      </c>
      <c r="B10" t="str">
        <v>ГРЩ-ЖД</v>
      </c>
      <c r="C10" t="str">
        <v>XT2</v>
      </c>
      <c r="D10" t="str">
        <v>кабель ВВГнг(А)-FRLS (3х2,5) → Щит системы противопожарной защиты Цокольный этаж этаж Пом. №001Т Ввод.2</v>
      </c>
      <c r="E10" t="str">
        <v>ЩСПЗ-ЖД.2</v>
      </c>
      <c r="F10" t="str">
        <v>Щит системы противопожарной защиты Цокольный этаж этаж Пом. №001Т Ввод.2</v>
      </c>
    </row>
    <row r="11" spans="1:6" x14ac:dyDescent="0.3">
      <c r="A11">
        <v>8</v>
      </c>
      <c r="B11" t="str">
        <v>ГРЩ-ЖД</v>
      </c>
      <c r="C11" t="str">
        <v>QF5</v>
      </c>
      <c r="D11" t="str">
        <v>кабель ВВГнг(А)-LS (5х6) → Щит вентиляции ЩОВ-01 Цокольный этаж этаж Пом. №0.001Тб</v>
      </c>
      <c r="E11" t="str">
        <v>ЩОВ-01</v>
      </c>
      <c r="F11" t="str">
        <v>Щит вентиляции ЩОВ-01 Цокольный этаж этаж Пом. №0.001Тб</v>
      </c>
    </row>
    <row r="12" spans="1:6" x14ac:dyDescent="0.3">
      <c r="A12">
        <v>9</v>
      </c>
      <c r="B12" t="str">
        <v>ГРЩ-ЖД</v>
      </c>
      <c r="C12" t="str">
        <v>QF6</v>
      </c>
      <c r="D12" t="str">
        <v>XT4</v>
      </c>
      <c r="E12" t="str">
        <v>ЩОВ-001</v>
      </c>
      <c r="F12" t="str">
        <v>Щит вентиляции ЩОВ-001 Подвальный этаж этаж Пом. №00.006Т</v>
      </c>
    </row>
    <row r="13" spans="1:6" x14ac:dyDescent="0.3">
      <c r="A13">
        <v>10</v>
      </c>
      <c r="B13" t="str">
        <v>ГРЩ-ЖД</v>
      </c>
      <c r="C13" t="str">
        <v>XT4</v>
      </c>
      <c r="D13" t="str">
        <v>кабель 5хВВГнг(А)-LS  (1х185) → Щит вентиляции ЩОВ-001 Подвальный этаж этаж Пом. №00.006Т</v>
      </c>
      <c r="E13" t="str">
        <v>ЩОВ-001</v>
      </c>
      <c r="F13" t="str">
        <v>Щит вентиляции ЩОВ-001 Подвальный этаж этаж Пом. №00.006Т</v>
      </c>
    </row>
    <row r="14" spans="1:6" x14ac:dyDescent="0.3">
      <c r="A14">
        <v>11</v>
      </c>
      <c r="B14" t="str">
        <v>ГРЩ-ЖД</v>
      </c>
      <c r="C14" t="str">
        <v>QF7</v>
      </c>
      <c r="D14" t="str">
        <v>кабель ВВГнг(А)-LS (5х4) → Щит вентиляции ЩОВ-002 Подвальный этаж этаж Пом. №00.003Т</v>
      </c>
      <c r="E14" t="str">
        <v>ЩОВ-002</v>
      </c>
      <c r="F14" t="str">
        <v>Щит вентиляции ЩОВ-002 Подвальный этаж этаж Пом. №00.003Т</v>
      </c>
    </row>
    <row r="15" spans="1:6" x14ac:dyDescent="0.3">
      <c r="A15">
        <v>12</v>
      </c>
      <c r="B15" t="str">
        <v>ГРЩ-ЖД</v>
      </c>
      <c r="C15" t="str">
        <v>QF8</v>
      </c>
      <c r="D15" t="str">
        <v>кабель ВВГнг(А)-LS (5х4) → Щит вентиляции ЩОВ-2 Техэтаж этаж Пом. №3.001Т</v>
      </c>
      <c r="E15" t="str">
        <v>ЩОВ-2</v>
      </c>
      <c r="F15" t="str">
        <v>Щит вентиляции ЩОВ-2 Техэтаж этаж Пом. №3.001Т</v>
      </c>
    </row>
    <row r="16" spans="1:6" x14ac:dyDescent="0.3">
      <c r="A16">
        <v>13</v>
      </c>
      <c r="B16" t="str">
        <v>ГРЩ-ЖД</v>
      </c>
      <c r="C16" t="str">
        <v>QF9</v>
      </c>
      <c r="D16" t="str">
        <v>кабель  → Щит освещения ЩО-2 Тех. этаж этаж Пом. №3.001</v>
      </c>
      <c r="E16" t="str">
        <v>ЩО-2</v>
      </c>
      <c r="F16" t="str">
        <v>Щит освещения ЩО-2 Тех. этаж этаж Пом. №3.001</v>
      </c>
    </row>
    <row r="17" spans="1:6" x14ac:dyDescent="0.3">
      <c r="A17">
        <v>14</v>
      </c>
      <c r="B17" t="str">
        <v>ГРЩ-ЖД</v>
      </c>
      <c r="C17" t="str">
        <v>QF10</v>
      </c>
      <c r="D17" t="str">
        <v>кабель ВВГнг(А)-LS (5х4) → Щит распределительный ЩР-001 Подвальный этаж этаж Пом. №00.004Т</v>
      </c>
      <c r="E17" t="str">
        <v>ЩР-001</v>
      </c>
      <c r="F17" t="str">
        <v>Щит распределительный ЩР-001 Подвальный этаж этаж Пом. №00.004Т</v>
      </c>
    </row>
    <row r="18" spans="1:6" x14ac:dyDescent="0.3">
      <c r="A18">
        <v>15</v>
      </c>
      <c r="B18" t="str">
        <v>ГРЩ-ЖД</v>
      </c>
      <c r="C18" t="str">
        <v>QF11</v>
      </c>
      <c r="D18" t="str">
        <v>кабель ВВГнг(А)-LS (5х10) → Щит распределительный ЩР-01 Цокольный этаж этаж Пом. №0.001Т</v>
      </c>
      <c r="E18" t="str">
        <v>ЩР-01</v>
      </c>
      <c r="F18" t="str">
        <v>Щит распределительный ЩР-01 Цокольный этаж этаж Пом. №0.001Т</v>
      </c>
    </row>
    <row r="19" spans="1:6" x14ac:dyDescent="0.3">
      <c r="A19">
        <v>16</v>
      </c>
      <c r="B19" t="str">
        <v>ГРЩ-ЖД</v>
      </c>
      <c r="C19" t="str">
        <v>QF12</v>
      </c>
      <c r="D19" t="str">
        <v>кабель ВВГнг(А)-LS (5х16) → Щит распределительный ЩР-1 Первый этаж этаж Пом. №1.003Б</v>
      </c>
      <c r="E19" t="str">
        <v>ЩР-1</v>
      </c>
      <c r="F19" t="str">
        <v>Щит распределительный ЩР-1 Первый этаж этаж Пом. №1.003Б</v>
      </c>
    </row>
    <row r="20" spans="1:6" x14ac:dyDescent="0.3">
      <c r="A20">
        <v>17</v>
      </c>
      <c r="B20" t="str">
        <v>ГРЩ-ЖД</v>
      </c>
      <c r="C20" t="str">
        <v>QF13</v>
      </c>
      <c r="D20" t="str">
        <v>кабель ВВГнг(А)-LS (5х4) → Щит распределительный ЩР-2 Техэтаж этаж Пом. №3.001Т</v>
      </c>
      <c r="E20" t="str">
        <v>ЩР-2</v>
      </c>
      <c r="F20" t="str">
        <v>Щит распределительный ЩР-2 Техэтаж этаж Пом. №3.001Т</v>
      </c>
    </row>
    <row r="21" spans="1:6" x14ac:dyDescent="0.3">
      <c r="A21">
        <v>18</v>
      </c>
      <c r="B21" t="str">
        <v>ГРЩ-ЖД</v>
      </c>
      <c r="C21" t="str">
        <v>QF14</v>
      </c>
      <c r="D21" t="str">
        <v>кабель ВВГнг(А)-LS (5х10) → Щит бассейна ЩС-Б Подвальный этаж этаж Пом. №00.002Тб</v>
      </c>
      <c r="E21" t="str">
        <v>ЩС-Б</v>
      </c>
      <c r="F21" t="str">
        <v>Щит бассейна ЩС-Б Подвальный этаж этаж Пом. №00.002Тб</v>
      </c>
    </row>
    <row r="22" spans="1:6" x14ac:dyDescent="0.3">
      <c r="A22">
        <v>19</v>
      </c>
      <c r="B22" t="str">
        <v>ГРЩ-ЖД</v>
      </c>
      <c r="C22" t="str">
        <v>QF15</v>
      </c>
      <c r="D22" t="str">
        <v>кабель ВВГнг(А)-LS (3х4) → Щит дренажных насосов ЩС-ВК.001 Подвальный этаж этаж Пом. 00.002Т</v>
      </c>
      <c r="E22" t="str">
        <v>ЩС-ВК.001</v>
      </c>
      <c r="F22" t="str">
        <v>Щит дренажных насосов ЩС-ВК.001 Подвальный этаж этаж Пом. 00.002Т</v>
      </c>
    </row>
    <row r="23" spans="1:6" x14ac:dyDescent="0.3">
      <c r="A23">
        <v>20</v>
      </c>
      <c r="B23" t="str">
        <v>ГРЩ-ЖД</v>
      </c>
      <c r="C23" t="str">
        <v>QF16</v>
      </c>
      <c r="D23" t="str">
        <v>кабель ВВГнг(А)-LS (3х4) → Щит насосов ЩС-ВК.002 Подвальный этаж этаж Пом. №00.002Тб</v>
      </c>
      <c r="E23" t="str">
        <v>ЩС-ВК.002</v>
      </c>
      <c r="F23" t="str">
        <v>Щит насосов ЩС-ВК.002 Подвальный этаж этаж Пом. №00.002Тб</v>
      </c>
    </row>
    <row r="24" spans="1:6" x14ac:dyDescent="0.3">
      <c r="A24">
        <v>21</v>
      </c>
      <c r="B24" t="str">
        <v>ГРЩ-ЖД</v>
      </c>
      <c r="C24" t="str">
        <v>QF17</v>
      </c>
      <c r="D24" t="str">
        <v>кабель ВВГнг(А)-LS (3х4) → Щит насосов ЩС-ВК.003 Подвальный этаж этаж Пом. №00.006Т</v>
      </c>
      <c r="E24" t="str">
        <v>ЩС-ВК.003</v>
      </c>
      <c r="F24" t="str">
        <v>Щит насосов ЩС-ВК.003 Подвальный этаж этаж Пом. №00.006Т</v>
      </c>
    </row>
    <row r="25" spans="1:6" x14ac:dyDescent="0.3">
      <c r="A25">
        <v>22</v>
      </c>
      <c r="B25" t="str">
        <v>ГРЩ-ЖД</v>
      </c>
      <c r="C25" t="str">
        <v>QF18</v>
      </c>
      <c r="D25" t="str">
        <v>кабель ВВГнг(А)-LS (5х6) → Щит управления обогрева воронок ЩУОВ Тех. этаж этаж Пом. №3.001</v>
      </c>
      <c r="E25" t="str">
        <v>ЩУОВ</v>
      </c>
      <c r="F25" t="str">
        <v>Щит управления обогрева воронок ЩУОВ Тех. этаж этаж Пом. №3.001</v>
      </c>
    </row>
    <row r="26" spans="1:6" x14ac:dyDescent="0.3">
      <c r="A26">
        <v>23</v>
      </c>
      <c r="B26" t="str">
        <v>ГРЩ-ЖД</v>
      </c>
      <c r="C26" t="str">
        <v>QF19</v>
      </c>
      <c r="D26" t="str">
        <v>кабель 5хВВГнг(А)-LS  (1х95) → Щит профкухни ЩС-ПК Цокольный этаж этаж Пом. №0.0014Б</v>
      </c>
      <c r="E26" t="str">
        <v>ЩР-ПК</v>
      </c>
      <c r="F26" t="str">
        <v>Щит профкухни ЩС-ПК Цокольный этаж этаж Пом. №0.0014Б</v>
      </c>
    </row>
    <row r="27" spans="1:6" x14ac:dyDescent="0.3">
      <c r="A27">
        <v>24</v>
      </c>
      <c r="B27" t="str">
        <v>ГРЩ-ЖД</v>
      </c>
      <c r="C27" t="str">
        <v>QF20</v>
      </c>
      <c r="D27" t="str">
        <v>XT17</v>
      </c>
      <c r="E27" t="str">
        <v>РЩ-1</v>
      </c>
      <c r="F27" t="str">
        <v>Щит Хаммам РЩ-1  Подвальный этаж этаж Пом. №00.001Тб</v>
      </c>
    </row>
    <row r="28" spans="1:6" x14ac:dyDescent="0.3">
      <c r="A28">
        <v>25</v>
      </c>
      <c r="B28" t="str">
        <v>ГРЩ-ЖД</v>
      </c>
      <c r="C28" t="str">
        <v>XT17</v>
      </c>
      <c r="D28" t="str">
        <v>кабель ВВГнг(А)-LS (5х16) → Щит Хаммам РЩ-1  Подвальный этаж этаж Пом. №00.001Тб</v>
      </c>
      <c r="E28" t="str">
        <v>РЩ-1</v>
      </c>
      <c r="F28" t="str">
        <v>Щит Хаммам РЩ-1  Подвальный этаж этаж Пом. №00.001Тб</v>
      </c>
    </row>
    <row r="29" spans="1:6" x14ac:dyDescent="0.3">
      <c r="A29">
        <v>26</v>
      </c>
      <c r="B29" t="str">
        <v>ГРЩ-ЖД</v>
      </c>
      <c r="C29" t="str">
        <v>QF21</v>
      </c>
      <c r="D29" t="str">
        <v>XT18</v>
      </c>
      <c r="E29" t="str">
        <v>Э.4</v>
      </c>
      <c r="F29" t="str">
        <v>Флоатинг. Цокольный этаж этаж Пом. №023A</v>
      </c>
    </row>
    <row r="30" spans="1:6" x14ac:dyDescent="0.3">
      <c r="A30">
        <v>27</v>
      </c>
      <c r="B30" t="str">
        <v>ГРЩ-ЖД</v>
      </c>
      <c r="C30" t="str">
        <v>XT18</v>
      </c>
      <c r="D30" t="str">
        <v>кабель ВВГнг(А)-LS (3х6) → Флоатинг. Цокольный этаж этаж Пом. №023A</v>
      </c>
      <c r="E30" t="str">
        <v>Э.4</v>
      </c>
      <c r="F30" t="str">
        <v>Флоатинг. Цокольный этаж этаж Пом. №023A</v>
      </c>
    </row>
    <row r="31" spans="1:6" x14ac:dyDescent="0.3">
      <c r="A31">
        <v>28</v>
      </c>
      <c r="B31" t="str">
        <v>ГРЩ-ЖД</v>
      </c>
      <c r="C31" t="str">
        <v>QF22</v>
      </c>
      <c r="D31" t="str">
        <v>кабель ВВГнг(А)-LS (3х2,5) → Щит охранной сигнализации Подвальный этаж этаж Пом. №007Т</v>
      </c>
      <c r="E31" t="str">
        <v>SEC1-21</v>
      </c>
      <c r="F31" t="str">
        <v>Щит охранной сигнализации Подвальный этаж этаж Пом. №007Т</v>
      </c>
    </row>
    <row r="32" spans="1:6" x14ac:dyDescent="0.3">
      <c r="A32">
        <v>29</v>
      </c>
      <c r="B32" t="str">
        <v>ЩГП</v>
      </c>
      <c r="C32" t="str">
        <v>QF1</v>
      </c>
      <c r="D32" t="str">
        <v>кабель  → Питание на ИБП</v>
      </c>
      <c r="E32" t="str">
        <v>На ИБП</v>
      </c>
      <c r="F32" t="str">
        <v>Питание на ИБП</v>
      </c>
    </row>
    <row r="33" spans="1:6" x14ac:dyDescent="0.3">
      <c r="A33">
        <v>30</v>
      </c>
      <c r="B33" t="str">
        <v>ЩГП</v>
      </c>
      <c r="C33" t="str">
        <v>QF2</v>
      </c>
      <c r="D33" t="str">
        <v>кабель  → Питание от ИБП</v>
      </c>
      <c r="E33" t="str">
        <v>От ИБП</v>
      </c>
      <c r="F33" t="str">
        <v>Питание от ИБП</v>
      </c>
    </row>
    <row r="34" spans="1:6" x14ac:dyDescent="0.3">
      <c r="A34">
        <v>31</v>
      </c>
      <c r="B34" t="str">
        <v>ЩГП</v>
      </c>
      <c r="C34" t="str">
        <v>QF3</v>
      </c>
      <c r="D34" t="str">
        <v>XT1</v>
      </c>
      <c r="E34" t="str">
        <v>ЩО-001</v>
      </c>
      <c r="F34" t="str">
        <v>Щит освещения ЩО-2 Подвальный этаж этаж Пом. №3.001</v>
      </c>
    </row>
    <row r="35" spans="1:6" x14ac:dyDescent="0.3">
      <c r="A35">
        <v>32</v>
      </c>
      <c r="B35" t="str">
        <v>ЩГП</v>
      </c>
      <c r="C35" t="str">
        <v>XT1</v>
      </c>
      <c r="D35" t="str">
        <v>кабель ВВГнг(А)-LS (5х6) → Щит освещения ЩО-2 Подвальный этаж этаж Пом. №3.001</v>
      </c>
      <c r="E35" t="str">
        <v>ЩО-001</v>
      </c>
      <c r="F35" t="str">
        <v>Щит освещения ЩО-2 Подвальный этаж этаж Пом. №3.001</v>
      </c>
    </row>
    <row r="36" spans="1:6" x14ac:dyDescent="0.3">
      <c r="A36">
        <v>33</v>
      </c>
      <c r="B36" t="str">
        <v>ЩГП</v>
      </c>
      <c r="C36" t="str">
        <v>QF4</v>
      </c>
      <c r="D36" t="str">
        <v>XT2</v>
      </c>
      <c r="E36" t="str">
        <v>ЩО-01</v>
      </c>
      <c r="F36" t="str">
        <v>Щит освещения ЩО-2 Цокольный этаж этаж Пом. №001Т</v>
      </c>
    </row>
    <row r="37" spans="1:6" x14ac:dyDescent="0.3">
      <c r="A37">
        <v>34</v>
      </c>
      <c r="B37" t="str">
        <v>ЩГП</v>
      </c>
      <c r="C37" t="str">
        <v>XT2</v>
      </c>
      <c r="D37" t="str">
        <v>кабель ВВГнг(А)-LS (5х6) → Щит освещения ЩО-2 Цокольный этаж этаж Пом. №001Т</v>
      </c>
      <c r="E37" t="str">
        <v>ЩО-01</v>
      </c>
      <c r="F37" t="str">
        <v>Щит освещения ЩО-2 Цокольный этаж этаж Пом. №001Т</v>
      </c>
    </row>
    <row r="38" spans="1:6" x14ac:dyDescent="0.3">
      <c r="A38">
        <v>35</v>
      </c>
      <c r="B38" t="str">
        <v>ЩОВ-001</v>
      </c>
      <c r="C38" t="str">
        <v>QF1</v>
      </c>
      <c r="D38" t="str">
        <v>XT1</v>
      </c>
      <c r="E38" t="str">
        <v>В.3</v>
      </c>
      <c r="F38" t="str">
        <v>Вытяжная установка Пом №006T</v>
      </c>
    </row>
    <row r="39" spans="1:6" x14ac:dyDescent="0.3">
      <c r="A39">
        <v>36</v>
      </c>
      <c r="B39" t="str">
        <v>ЩОВ-001</v>
      </c>
      <c r="C39" t="str">
        <v>XT1</v>
      </c>
      <c r="D39" t="str">
        <v>кабель ВВГнг(А)-LS (3х1,5) → Вытяжная установка Пом №006T</v>
      </c>
      <c r="E39" t="str">
        <v>В.3</v>
      </c>
      <c r="F39" t="str">
        <v>Вытяжная установка Пом №006T</v>
      </c>
    </row>
    <row r="40" spans="1:6" x14ac:dyDescent="0.3">
      <c r="A40">
        <v>37</v>
      </c>
      <c r="B40" t="str">
        <v>ЩОВ-001</v>
      </c>
      <c r="C40" t="str">
        <v>QF2</v>
      </c>
      <c r="D40" t="str">
        <v>XT2</v>
      </c>
      <c r="E40" t="str">
        <v>В.9</v>
      </c>
      <c r="F40" t="str">
        <v>Вытяжная установка Пом №006T</v>
      </c>
    </row>
    <row r="41" spans="1:6" x14ac:dyDescent="0.3">
      <c r="A41">
        <v>38</v>
      </c>
      <c r="B41" t="str">
        <v>ЩОВ-001</v>
      </c>
      <c r="C41" t="str">
        <v>XT2</v>
      </c>
      <c r="D41" t="str">
        <v>кабель ВВГнг(А)-LS (3х1,5) → Вытяжная установка Пом №006T</v>
      </c>
      <c r="E41" t="str">
        <v>В.9</v>
      </c>
      <c r="F41" t="str">
        <v>Вытяжная установка Пом №006T</v>
      </c>
    </row>
    <row r="42" spans="1:6" x14ac:dyDescent="0.3">
      <c r="A42">
        <v>39</v>
      </c>
      <c r="B42" t="str">
        <v>ЩОВ-001</v>
      </c>
      <c r="C42" t="str">
        <v>QF3</v>
      </c>
      <c r="D42" t="str">
        <v>XT3</v>
      </c>
      <c r="E42" t="str">
        <v>В.11</v>
      </c>
      <c r="F42" t="str">
        <v>Вытяжная установка Подвальный этаж Пом №006T</v>
      </c>
    </row>
    <row r="43" spans="1:6" x14ac:dyDescent="0.3">
      <c r="A43">
        <v>40</v>
      </c>
      <c r="B43" t="str">
        <v>ЩОВ-001</v>
      </c>
      <c r="C43" t="str">
        <v>XT3</v>
      </c>
      <c r="D43" t="str">
        <v>кабель ВВГнг(А)-LS (3х1,5) → Вытяжная установка Подвальный этаж Пом №006T</v>
      </c>
      <c r="E43" t="str">
        <v>В.11</v>
      </c>
      <c r="F43" t="str">
        <v>Вытяжная установка Подвальный этаж Пом №006T</v>
      </c>
    </row>
    <row r="44" spans="1:6" x14ac:dyDescent="0.3">
      <c r="A44">
        <v>41</v>
      </c>
      <c r="B44" t="str">
        <v>ЩОВ-001</v>
      </c>
      <c r="C44" t="str">
        <v>QF4</v>
      </c>
      <c r="D44" t="str">
        <v>кабель ВВГнг(А)-LS (3х1,5) → Вытяжная установка Подвальный этаж Пом №006T</v>
      </c>
      <c r="E44" t="str">
        <v>В.12</v>
      </c>
      <c r="F44" t="str">
        <v>Вытяжная установка Подвальный этаж Пом №006T</v>
      </c>
    </row>
    <row r="45" spans="1:6" x14ac:dyDescent="0.3">
      <c r="A45">
        <v>42</v>
      </c>
      <c r="B45" t="str">
        <v>ЩОВ-001</v>
      </c>
      <c r="C45" t="str">
        <v>QF5</v>
      </c>
      <c r="D45" t="str">
        <v>XT5</v>
      </c>
      <c r="E45" t="str">
        <v>В.13</v>
      </c>
      <c r="F45" t="str">
        <v>Вытяжная установка Подвальный этаж Пом №006T</v>
      </c>
    </row>
    <row r="46" spans="1:6" x14ac:dyDescent="0.3">
      <c r="A46">
        <v>43</v>
      </c>
      <c r="B46" t="str">
        <v>ЩОВ-001</v>
      </c>
      <c r="C46" t="str">
        <v>XT5</v>
      </c>
      <c r="D46" t="str">
        <v>кабель ВВГнг(А)-LS (3х1,5) → Вытяжная установка Подвальный этаж Пом №006T</v>
      </c>
      <c r="E46" t="str">
        <v>В.13</v>
      </c>
      <c r="F46" t="str">
        <v>Вытяжная установка Подвальный этаж Пом №006T</v>
      </c>
    </row>
    <row r="47" spans="1:6" x14ac:dyDescent="0.3">
      <c r="A47">
        <v>44</v>
      </c>
      <c r="B47" t="str">
        <v>ЩОВ-001</v>
      </c>
      <c r="C47" t="str">
        <v>QF6</v>
      </c>
      <c r="D47" t="str">
        <v>кабель ВВГнг(А)-LS (3х1,5) → Вытяжная установка Подвальный этаж Пом №006T</v>
      </c>
      <c r="E47" t="str">
        <v>В.17</v>
      </c>
      <c r="F47" t="str">
        <v>Вытяжная установка Подвальный этаж Пом №006T</v>
      </c>
    </row>
    <row r="48" spans="1:6" x14ac:dyDescent="0.3">
      <c r="A48">
        <v>45</v>
      </c>
      <c r="B48" t="str">
        <v>ЩОВ-001</v>
      </c>
      <c r="C48" t="str">
        <v>QF7</v>
      </c>
      <c r="D48" t="str">
        <v>кабель ВВГнг(А)-LS (3х1,5) → Вытяжная установка Подвальный этаж Пом №006T</v>
      </c>
      <c r="E48" t="str">
        <v>В.18</v>
      </c>
      <c r="F48" t="str">
        <v>Вытяжная установка Подвальный этаж Пом №006T</v>
      </c>
    </row>
    <row r="49" spans="1:6" x14ac:dyDescent="0.3">
      <c r="A49">
        <v>46</v>
      </c>
      <c r="B49" t="str">
        <v>ЩОВ-001</v>
      </c>
      <c r="C49" t="str">
        <v>QF8</v>
      </c>
      <c r="D49" t="str">
        <v>кабель ВВГнг(А)-LS (3х1,5) → Приточная установка Пом №006Т</v>
      </c>
      <c r="E49" t="str">
        <v>П.1</v>
      </c>
      <c r="F49" t="str">
        <v>Приточная установка Пом №006Т</v>
      </c>
    </row>
    <row r="50" spans="1:6" x14ac:dyDescent="0.3">
      <c r="A50">
        <v>47</v>
      </c>
      <c r="B50" t="str">
        <v>ЩОВ-001</v>
      </c>
      <c r="C50" t="str">
        <v>QF9</v>
      </c>
      <c r="D50" t="str">
        <v>кабель ВВГнг(А)-LS (3х1,5) → Приточная установка Пом №006Т</v>
      </c>
      <c r="E50" t="str">
        <v>П.2</v>
      </c>
      <c r="F50" t="str">
        <v>Приточная установка Пом №006Т</v>
      </c>
    </row>
    <row r="51" spans="1:6" x14ac:dyDescent="0.3">
      <c r="A51">
        <v>48</v>
      </c>
      <c r="B51" t="str">
        <v>ЩОВ-001</v>
      </c>
      <c r="C51" t="str">
        <v>QF10</v>
      </c>
      <c r="D51" t="str">
        <v>кабель ВВГнг(А)-LS (3х1,5) → Приточная установка Пом №006Т</v>
      </c>
      <c r="E51" t="str">
        <v>П.4</v>
      </c>
      <c r="F51" t="str">
        <v>Приточная установка Пом №006Т</v>
      </c>
    </row>
    <row r="52" spans="1:6" x14ac:dyDescent="0.3">
      <c r="A52">
        <v>49</v>
      </c>
      <c r="B52" t="str">
        <v>ЩОВ-001</v>
      </c>
      <c r="C52" t="str">
        <v>QF11</v>
      </c>
      <c r="D52" t="str">
        <v>кабель ВВГнг(А)-LS (3х2,5) → Приточно-вытяжная установка Подвальный этаж Пом. №006Т</v>
      </c>
      <c r="E52" t="str">
        <v>ПВ.2</v>
      </c>
      <c r="F52" t="str">
        <v>Приточно-вытяжная установка Подвальный этаж Пом. №006Т</v>
      </c>
    </row>
    <row r="53" spans="1:6" x14ac:dyDescent="0.3">
      <c r="A53">
        <v>50</v>
      </c>
      <c r="B53" t="str">
        <v>ЩОВ-001</v>
      </c>
      <c r="C53" t="str">
        <v>QF12</v>
      </c>
      <c r="D53" t="str">
        <v>кабель ВВГнг(А)-LS (3х1,5) → Приточно-вытяжная установка Подвальный этаж Пом. №006Т</v>
      </c>
      <c r="E53" t="str">
        <v>ПВ.3</v>
      </c>
      <c r="F53" t="str">
        <v>Приточно-вытяжная установка Подвальный этаж Пом. №006Т</v>
      </c>
    </row>
    <row r="54" spans="1:6" x14ac:dyDescent="0.3">
      <c r="A54">
        <v>51</v>
      </c>
      <c r="B54" t="str">
        <v>ЩОВ-001</v>
      </c>
      <c r="C54" t="str">
        <v>QF13</v>
      </c>
      <c r="D54" t="str">
        <v>кабель ВВГнг(А)-LS (3х1,5) → Приточно-вытяжная установка Подвальный этаж Пом. №006Т</v>
      </c>
      <c r="E54" t="str">
        <v>ПВ.4</v>
      </c>
      <c r="F54" t="str">
        <v>Приточно-вытяжная установка Подвальный этаж Пом. №006Т</v>
      </c>
    </row>
    <row r="55" spans="1:6" x14ac:dyDescent="0.3">
      <c r="A55">
        <v>52</v>
      </c>
      <c r="B55" t="str">
        <v>ЩОВ-001</v>
      </c>
      <c r="C55" t="str">
        <v>QF14</v>
      </c>
      <c r="D55" t="str">
        <v>кабель ВВГнг(А)-LS (3х1,5) → Внутренний блок кондиционера Подвальный этаж Пом. №006Т</v>
      </c>
      <c r="E55" t="str">
        <v>К.1.017А.1</v>
      </c>
      <c r="F55" t="str">
        <v>Внутренний блок кондиционера Подвальный этаж Пом. №006Т</v>
      </c>
    </row>
    <row r="56" spans="1:6" x14ac:dyDescent="0.3">
      <c r="A56">
        <v>53</v>
      </c>
      <c r="B56" t="str">
        <v>ЩОВ-001</v>
      </c>
      <c r="C56" t="str">
        <v>QF15</v>
      </c>
      <c r="D56" t="str">
        <v>кабель ВВГнг(А)-LS (3х1,5) → Внутренний блок кондиционера Подвальный этаж Пом. №006Т</v>
      </c>
      <c r="E56" t="str">
        <v>К.1.021А.1</v>
      </c>
      <c r="F56" t="str">
        <v>Внутренний блок кондиционера Подвальный этаж Пом. №006Т</v>
      </c>
    </row>
    <row r="57" spans="1:6" x14ac:dyDescent="0.3">
      <c r="A57">
        <v>54</v>
      </c>
      <c r="B57" t="str">
        <v>ЩОВ-001</v>
      </c>
      <c r="C57" t="str">
        <v>QF16</v>
      </c>
      <c r="D57" t="str">
        <v>кабель ВВГнг(А)-LS (3х2,5) → Внешний блок кондиционирования Пом. Венткиосок</v>
      </c>
      <c r="E57" t="str">
        <v>K.1</v>
      </c>
      <c r="F57" t="str">
        <v>Внешний блок кондиционирования Пом. Венткиосок</v>
      </c>
    </row>
    <row r="58" spans="1:6" x14ac:dyDescent="0.3">
      <c r="A58">
        <v>55</v>
      </c>
      <c r="B58" t="str">
        <v>ЩОВ-001</v>
      </c>
      <c r="C58" t="str">
        <v>QF17</v>
      </c>
      <c r="D58" t="str">
        <v>кабель ВВГнг(А)-LS (3х2,5) → Внешний блок кондиционирования Пом. Венткиосок</v>
      </c>
      <c r="E58" t="str">
        <v>K.2</v>
      </c>
      <c r="F58" t="str">
        <v>Внешний блок кондиционирования Пом. Венткиосок</v>
      </c>
    </row>
    <row r="59" spans="1:6" x14ac:dyDescent="0.3">
      <c r="A59">
        <v>56</v>
      </c>
      <c r="B59" t="str">
        <v>ЩОВ-001</v>
      </c>
      <c r="C59" t="str">
        <v>QF18</v>
      </c>
      <c r="D59" t="str">
        <v>кабель ВВГнг(А)-LS (3х2,5) → Внешний блок кондиционирования Пом. Венткиосок</v>
      </c>
      <c r="E59" t="str">
        <v>K.3</v>
      </c>
      <c r="F59" t="str">
        <v>Внешний блок кондиционирования Пом. Венткиосок</v>
      </c>
    </row>
    <row r="60" spans="1:6" x14ac:dyDescent="0.3">
      <c r="A60">
        <v>57</v>
      </c>
      <c r="B60" t="str">
        <v>ЩОВ-001</v>
      </c>
      <c r="C60" t="str">
        <v>QF19</v>
      </c>
      <c r="D60" t="str">
        <v>XT19</v>
      </c>
      <c r="E60" t="str">
        <v>K.4</v>
      </c>
      <c r="F60" t="str">
        <v>Внешний блок кондиционирования Пом. Венткиосок</v>
      </c>
    </row>
    <row r="61" spans="1:6" x14ac:dyDescent="0.3">
      <c r="A61">
        <v>58</v>
      </c>
      <c r="B61" t="str">
        <v>ЩОВ-001</v>
      </c>
      <c r="C61" t="str">
        <v>XT19</v>
      </c>
      <c r="D61" t="str">
        <v>кабель ВВГнг(А)-LS (3х2,5) → Внешний блок кондиционирования Пом. Венткиосок</v>
      </c>
      <c r="E61" t="str">
        <v>K.4</v>
      </c>
      <c r="F61" t="str">
        <v>Внешний блок кондиционирования Пом. Венткиосок</v>
      </c>
    </row>
    <row r="62" spans="1:6" x14ac:dyDescent="0.3">
      <c r="A62">
        <v>59</v>
      </c>
      <c r="B62" t="str">
        <v>ЩОВ-001</v>
      </c>
      <c r="C62" t="str">
        <v>QF20</v>
      </c>
      <c r="D62" t="str">
        <v>XT20</v>
      </c>
      <c r="E62" t="str">
        <v>K.5</v>
      </c>
      <c r="F62" t="str">
        <v>Внешний блок кондиционирования Пом. Венткиосок</v>
      </c>
    </row>
    <row r="63" spans="1:6" x14ac:dyDescent="0.3">
      <c r="A63">
        <v>60</v>
      </c>
      <c r="B63" t="str">
        <v>ЩОВ-001</v>
      </c>
      <c r="C63" t="str">
        <v>XT20</v>
      </c>
      <c r="D63" t="str">
        <v>кабель ВВГнг(А)-LS (3х2,5) → Внешний блок кондиционирования Пом. Венткиосок</v>
      </c>
      <c r="E63" t="str">
        <v>K.5</v>
      </c>
      <c r="F63" t="str">
        <v>Внешний блок кондиционирования Пом. Венткиосок</v>
      </c>
    </row>
    <row r="64" spans="1:6" x14ac:dyDescent="0.3">
      <c r="A64">
        <v>61</v>
      </c>
      <c r="B64" t="str">
        <v>ЩОВ-001</v>
      </c>
      <c r="C64" t="str">
        <v>QF21</v>
      </c>
      <c r="D64" t="str">
        <v>кабель ВВГнг(А)-LS (3х2,5) → Внешний блок кондиционирования Пом. Венткиосок</v>
      </c>
      <c r="E64" t="str">
        <v>K.6</v>
      </c>
      <c r="F64" t="str">
        <v>Внешний блок кондиционирования Пом. Венткиосок</v>
      </c>
    </row>
    <row r="65" spans="1:6" x14ac:dyDescent="0.3">
      <c r="A65">
        <v>62</v>
      </c>
      <c r="B65" t="str">
        <v>ЩОВ-001</v>
      </c>
      <c r="C65" t="str">
        <v>QF22</v>
      </c>
      <c r="D65" t="str">
        <v>кабель ВВГнг(А)-LS (3х2,5) → Внешний блок кондиционирования Пом. Венткиосок</v>
      </c>
      <c r="E65" t="str">
        <v>K.7</v>
      </c>
      <c r="F65" t="str">
        <v>Внешний блок кондиционирования Пом. Венткиосок</v>
      </c>
    </row>
    <row r="66" spans="1:6" x14ac:dyDescent="0.3">
      <c r="A66">
        <v>63</v>
      </c>
      <c r="B66" t="str">
        <v>ЩОВ-001</v>
      </c>
      <c r="C66" t="str">
        <v>QF23</v>
      </c>
      <c r="D66" t="str">
        <v>кабель ВВГнг(А)-LS (3х2,5) → Внешний блок кондиционирования Пом. Венткиосок</v>
      </c>
      <c r="E66" t="str">
        <v>K.8</v>
      </c>
      <c r="F66" t="str">
        <v>Внешний блок кондиционирования Пом. Венткиосок</v>
      </c>
    </row>
    <row r="67" spans="1:6" x14ac:dyDescent="0.3">
      <c r="A67">
        <v>64</v>
      </c>
      <c r="B67" t="str">
        <v>ЩОВ-001</v>
      </c>
      <c r="C67" t="str">
        <v>QF24</v>
      </c>
      <c r="D67" t="str">
        <v>кабель ВВГнг(А)-LS (3х2,5) → Внешний блок кондиционирования Пом. Венткиосок</v>
      </c>
      <c r="E67" t="str">
        <v>K.9</v>
      </c>
      <c r="F67" t="str">
        <v>Внешний блок кондиционирования Пом. Венткиосок</v>
      </c>
    </row>
    <row r="68" spans="1:6" x14ac:dyDescent="0.3">
      <c r="A68">
        <v>65</v>
      </c>
      <c r="B68" t="str">
        <v>ЩОВ-001</v>
      </c>
      <c r="C68" t="str">
        <v>QF25</v>
      </c>
      <c r="D68" t="str">
        <v>кабель ВВГнг(А)-LS (3х2,5) → Внешний блок кондиционирования Пом. Венткиосок</v>
      </c>
      <c r="E68" t="str">
        <v>K.10</v>
      </c>
      <c r="F68" t="str">
        <v>Внешний блок кондиционирования Пом. Венткиосок</v>
      </c>
    </row>
    <row r="69" spans="1:6" x14ac:dyDescent="0.3">
      <c r="A69">
        <v>66</v>
      </c>
      <c r="B69" t="str">
        <v>ЩОВ-001</v>
      </c>
      <c r="C69" t="str">
        <v>QF26</v>
      </c>
      <c r="D69" t="str">
        <v>кабель ВВГнг(А)-LS (3х2,5) → Внешний блок кондиционирования Пом. Венткиосок</v>
      </c>
      <c r="E69" t="str">
        <v>K.11</v>
      </c>
      <c r="F69" t="str">
        <v>Внешний блок кондиционирования Пом. Венткиосок</v>
      </c>
    </row>
    <row r="70" spans="1:6" x14ac:dyDescent="0.3">
      <c r="A70">
        <v>67</v>
      </c>
      <c r="B70" t="str">
        <v>ЩОВ-001</v>
      </c>
      <c r="C70" t="str">
        <v>QF27</v>
      </c>
      <c r="D70" t="str">
        <v>кабель ВВГнг(А)-LS (5х25) → Внешний блок кондиционирования Пом. Венткиосок</v>
      </c>
      <c r="E70" t="str">
        <v>ККБ-1</v>
      </c>
      <c r="F70" t="str">
        <v>Внешний блок кондиционирования Пом. Венткиосок</v>
      </c>
    </row>
    <row r="71" spans="1:6" x14ac:dyDescent="0.3">
      <c r="A71">
        <v>68</v>
      </c>
      <c r="B71" t="str">
        <v>ЩОВ-001</v>
      </c>
      <c r="C71" t="str">
        <v>QF28</v>
      </c>
      <c r="D71" t="str">
        <v>XT28</v>
      </c>
      <c r="E71" t="str">
        <v>ККБ-2</v>
      </c>
      <c r="F71" t="str">
        <v>Внешний блок кондиционирования Пом. Венткиосок</v>
      </c>
    </row>
    <row r="72" spans="1:6" x14ac:dyDescent="0.3">
      <c r="A72">
        <v>69</v>
      </c>
      <c r="B72" t="str">
        <v>ЩОВ-001</v>
      </c>
      <c r="C72" t="str">
        <v>XT28</v>
      </c>
      <c r="D72" t="str">
        <v>кабель ВВГнг(А)-LS (5х25) → Внешний блок кондиционирования Пом. Венткиосок</v>
      </c>
      <c r="E72" t="str">
        <v>ККБ-2</v>
      </c>
      <c r="F72" t="str">
        <v>Внешний блок кондиционирования Пом. Венткиосок</v>
      </c>
    </row>
    <row r="73" spans="1:6" x14ac:dyDescent="0.3">
      <c r="A73">
        <v>70</v>
      </c>
      <c r="B73" t="str">
        <v>ЩОВ-001</v>
      </c>
      <c r="C73" t="str">
        <v>QF29</v>
      </c>
      <c r="D73" t="str">
        <v>XT29</v>
      </c>
      <c r="E73" t="str">
        <v>НБ-1</v>
      </c>
      <c r="F73" t="str">
        <v>Внешний блок кондиционирования Пом. Венткиосок</v>
      </c>
    </row>
    <row r="74" spans="1:6" x14ac:dyDescent="0.3">
      <c r="A74">
        <v>71</v>
      </c>
      <c r="B74" t="str">
        <v>ЩОВ-001</v>
      </c>
      <c r="C74" t="str">
        <v>XT29</v>
      </c>
      <c r="D74" t="str">
        <v>кабель ВВГнг(А)-LS (5х25) → Внешний блок кондиционирования Пом. Венткиосок</v>
      </c>
      <c r="E74" t="str">
        <v>НБ-1</v>
      </c>
      <c r="F74" t="str">
        <v>Внешний блок кондиционирования Пом. Венткиосок</v>
      </c>
    </row>
    <row r="75" spans="1:6" x14ac:dyDescent="0.3">
      <c r="A75">
        <v>72</v>
      </c>
      <c r="B75" t="str">
        <v>ЩОВ-001</v>
      </c>
      <c r="C75" t="str">
        <v>QF30</v>
      </c>
      <c r="D75" t="str">
        <v>XT30</v>
      </c>
      <c r="E75" t="str">
        <v>ККБ-3</v>
      </c>
      <c r="F75" t="str">
        <v>Внешний блок кондиционирования Пом. Венткиосок</v>
      </c>
    </row>
    <row r="76" spans="1:6" x14ac:dyDescent="0.3">
      <c r="A76">
        <v>73</v>
      </c>
      <c r="B76" t="str">
        <v>ЩОВ-001</v>
      </c>
      <c r="C76" t="str">
        <v>XT30</v>
      </c>
      <c r="D76" t="str">
        <v>кабель ВВГнг(А)-LS (5х25) → Внешний блок кондиционирования Пом. Венткиосок</v>
      </c>
      <c r="E76" t="str">
        <v>ККБ-3</v>
      </c>
      <c r="F76" t="str">
        <v>Внешний блок кондиционирования Пом. Венткиосок</v>
      </c>
    </row>
    <row r="77" spans="1:6" x14ac:dyDescent="0.3">
      <c r="A77">
        <v>74</v>
      </c>
      <c r="B77" t="str">
        <v>ЩОВ-001</v>
      </c>
      <c r="C77" t="str">
        <v>QF31</v>
      </c>
      <c r="D77" t="str">
        <v>XT31</v>
      </c>
      <c r="E77" t="str">
        <v>ККБ-4</v>
      </c>
      <c r="F77" t="str">
        <v>Внешний блок кондиционирования Пом. Венткиосок</v>
      </c>
    </row>
    <row r="78" spans="1:6" x14ac:dyDescent="0.3">
      <c r="A78">
        <v>75</v>
      </c>
      <c r="B78" t="str">
        <v>ЩОВ-001</v>
      </c>
      <c r="C78" t="str">
        <v>XT31</v>
      </c>
      <c r="D78" t="str">
        <v>кабель ВВГнг(А)-LS (5х25) → Внешний блок кондиционирования Пом. Венткиосок</v>
      </c>
      <c r="E78" t="str">
        <v>ККБ-4</v>
      </c>
      <c r="F78" t="str">
        <v>Внешний блок кондиционирования Пом. Венткиосок</v>
      </c>
    </row>
    <row r="79" spans="1:6" x14ac:dyDescent="0.3">
      <c r="A79">
        <v>76</v>
      </c>
      <c r="B79" t="str">
        <v>ЩОВ-001</v>
      </c>
      <c r="C79" t="str">
        <v>QF32</v>
      </c>
      <c r="D79" t="str">
        <v>XT32</v>
      </c>
      <c r="E79" t="str">
        <v>НБ-2</v>
      </c>
      <c r="F79" t="str">
        <v>Внешний блок кондиционирования Пом. Венткиосок</v>
      </c>
    </row>
    <row r="80" spans="1:6" x14ac:dyDescent="0.3">
      <c r="A80">
        <v>77</v>
      </c>
      <c r="B80" t="str">
        <v>ЩОВ-001</v>
      </c>
      <c r="C80" t="str">
        <v>XT32</v>
      </c>
      <c r="D80" t="str">
        <v>кабель ВВГнг(А)-LS (5х25) → Внешний блок кондиционирования Пом. Венткиосок</v>
      </c>
      <c r="E80" t="str">
        <v>НБ-2</v>
      </c>
      <c r="F80" t="str">
        <v>Внешний блок кондиционирования Пом. Венткиосок</v>
      </c>
    </row>
    <row r="81" spans="1:6" x14ac:dyDescent="0.3">
      <c r="A81">
        <v>78</v>
      </c>
      <c r="B81" t="str">
        <v>ЩОВ-001</v>
      </c>
      <c r="C81" t="str">
        <v>QF33</v>
      </c>
      <c r="D81" t="str">
        <v>XT33</v>
      </c>
      <c r="E81" t="str">
        <v>НБ-3</v>
      </c>
      <c r="F81" t="str">
        <v>Внешний блок кондиционирования Пом. Венткиосок</v>
      </c>
    </row>
    <row r="82" spans="1:6" x14ac:dyDescent="0.3">
      <c r="A82">
        <v>79</v>
      </c>
      <c r="B82" t="str">
        <v>ЩОВ-001</v>
      </c>
      <c r="C82" t="str">
        <v>XT33</v>
      </c>
      <c r="D82" t="str">
        <v>кабель ВВГнг(А)-LS (5х6) → Внешний блок кондиционирования Пом. Венткиосок</v>
      </c>
      <c r="E82" t="str">
        <v>НБ-3</v>
      </c>
      <c r="F82" t="str">
        <v>Внешний блок кондиционирования Пом. Венткиосок</v>
      </c>
    </row>
    <row r="83" spans="1:6" x14ac:dyDescent="0.3">
      <c r="A83">
        <v>80</v>
      </c>
      <c r="B83" t="str">
        <v>ЩОВ-001</v>
      </c>
      <c r="C83" t="str">
        <v>QF34</v>
      </c>
      <c r="D83" t="str">
        <v>XT34</v>
      </c>
      <c r="E83" t="str">
        <v>НБ-4</v>
      </c>
      <c r="F83" t="str">
        <v>Внешний блок кондиционирования Пом. Венткиосок</v>
      </c>
    </row>
    <row r="84" spans="1:6" x14ac:dyDescent="0.3">
      <c r="A84">
        <v>81</v>
      </c>
      <c r="B84" t="str">
        <v>ЩОВ-001</v>
      </c>
      <c r="C84" t="str">
        <v>XT34</v>
      </c>
      <c r="D84" t="str">
        <v>кабель ВВГнг(А)-LS (5х4) → Внешний блок кондиционирования Пом. Венткиосок</v>
      </c>
      <c r="E84" t="str">
        <v>НБ-4</v>
      </c>
      <c r="F84" t="str">
        <v>Внешний блок кондиционирования Пом. Венткиосок</v>
      </c>
    </row>
    <row r="85" spans="1:6" x14ac:dyDescent="0.3">
      <c r="A85">
        <v>82</v>
      </c>
      <c r="B85" t="str">
        <v>ЩОВ-002</v>
      </c>
      <c r="C85" t="str">
        <v>QF1</v>
      </c>
      <c r="D85" t="str">
        <v>кабель ВВГнг(А)-LS (3х1,5) → Вытяжная установка Шлейф Подвальный этаж Пом. №003Т</v>
      </c>
      <c r="E85" t="str">
        <v>В.7</v>
      </c>
      <c r="F85" t="str">
        <v>Вытяжная установка Шлейф Подвальный этаж Пом. №003Т</v>
      </c>
    </row>
    <row r="86" spans="1:6" x14ac:dyDescent="0.3">
      <c r="A86">
        <v>83</v>
      </c>
      <c r="B86" t="str">
        <v>ЩОВ-002</v>
      </c>
      <c r="C86" t="str">
        <v>QF2</v>
      </c>
      <c r="D86" t="str">
        <v>XT2</v>
      </c>
      <c r="E86" t="str">
        <v>ПВ.1</v>
      </c>
      <c r="F86" t="str">
        <v>Приточно-вытяжная установка Подвальный этаж Пом. №003Т</v>
      </c>
    </row>
    <row r="87" spans="1:6" x14ac:dyDescent="0.3">
      <c r="A87">
        <v>84</v>
      </c>
      <c r="B87" t="str">
        <v>ЩОВ-002</v>
      </c>
      <c r="C87" t="str">
        <v>XT2</v>
      </c>
      <c r="D87" t="str">
        <v>кабель ВВГнг(А)-LS (3х2,5) → Приточно-вытяжная установка Подвальный этаж Пом. №003Т</v>
      </c>
      <c r="E87" t="str">
        <v>ПВ.1</v>
      </c>
      <c r="F87" t="str">
        <v>Приточно-вытяжная установка Подвальный этаж Пом. №003Т</v>
      </c>
    </row>
    <row r="88" spans="1:6" x14ac:dyDescent="0.3">
      <c r="A88">
        <v>85</v>
      </c>
      <c r="B88" t="str">
        <v>ЩОВ-002</v>
      </c>
      <c r="C88" t="str">
        <v>QF3</v>
      </c>
      <c r="D88" t="str">
        <v>кабель ВВГнг(А)-LS (3х1,5) → Приточно-вытяжная установка Подвальный этаж Пом. №003Т</v>
      </c>
      <c r="E88" t="str">
        <v>ПВ.К</v>
      </c>
      <c r="F88" t="str">
        <v>Приточно-вытяжная установка Подвальный этаж Пом. №003Т</v>
      </c>
    </row>
    <row r="89" spans="1:6" x14ac:dyDescent="0.3">
      <c r="A89">
        <v>86</v>
      </c>
      <c r="B89" t="str">
        <v>ЩОВ-002</v>
      </c>
      <c r="C89" t="str">
        <v>QF4</v>
      </c>
      <c r="D89" t="str">
        <v>кабель ВВГнг(А)-LS (3х4) → Приточно-вытяжная установка Подвальный этаж Пом. №005Т</v>
      </c>
      <c r="E89" t="str">
        <v>ПВ.10</v>
      </c>
      <c r="F89" t="str">
        <v>Приточно-вытяжная установка Подвальный этаж Пом. №005Т</v>
      </c>
    </row>
    <row r="90" spans="1:6" x14ac:dyDescent="0.3">
      <c r="A90">
        <v>87</v>
      </c>
      <c r="B90" t="str">
        <v>ЩОВ-002</v>
      </c>
      <c r="C90" t="str">
        <v>QF5</v>
      </c>
      <c r="D90" t="str">
        <v>кабель ВВГнг(А)-LS (3х1,5) → Внутренний блок кондиционирования Подвальный этаж Пом. №005Т</v>
      </c>
      <c r="E90" t="str">
        <v>K.0.002A</v>
      </c>
      <c r="F90" t="str">
        <v>Внутренний блок кондиционирования Подвальный этаж Пом. №005Т</v>
      </c>
    </row>
    <row r="91" spans="1:6" x14ac:dyDescent="0.3">
      <c r="A91">
        <v>88</v>
      </c>
      <c r="B91" t="str">
        <v>ЩОВ-002</v>
      </c>
      <c r="C91" t="str">
        <v>QF6</v>
      </c>
      <c r="D91" t="str">
        <v>кабель ВВГнг(А)-LS (3х1,5) → Внутренний блок кондиционирования Подвальный этаж Пом. №005Т</v>
      </c>
      <c r="E91" t="str">
        <v>K.0.006A</v>
      </c>
      <c r="F91" t="str">
        <v>Внутренний блок кондиционирования Подвальный этаж Пом. №005Т</v>
      </c>
    </row>
    <row r="92" spans="1:6" x14ac:dyDescent="0.3">
      <c r="A92">
        <v>89</v>
      </c>
      <c r="B92" t="str">
        <v>ЩОВ-002</v>
      </c>
      <c r="C92" t="str">
        <v>QF7</v>
      </c>
      <c r="D92" t="str">
        <v>кабель ВВГнг(А)-LS (3х1,5) → Внутренний блок кондиционирования Подвальный этаж Пом. №005Т</v>
      </c>
      <c r="E92" t="str">
        <v>K.00.001A</v>
      </c>
      <c r="F92" t="str">
        <v>Внутренний блок кондиционирования Подвальный этаж Пом. №005Т</v>
      </c>
    </row>
    <row r="93" spans="1:6" x14ac:dyDescent="0.3">
      <c r="A93">
        <v>90</v>
      </c>
      <c r="B93" t="str">
        <v>ЩОВ-002</v>
      </c>
      <c r="C93" t="str">
        <v>QF8</v>
      </c>
      <c r="D93" t="str">
        <v>кабель ВВГнг(А)-LS (3х1,5) → Внутренний блок кондиционирования Подвальный этаж Пом. №002Б</v>
      </c>
      <c r="E93" t="str">
        <v>K.00.004A</v>
      </c>
      <c r="F93" t="str">
        <v>Внутренний блок кондиционирования Подвальный этаж Пом. №002Б</v>
      </c>
    </row>
    <row r="94" spans="1:6" x14ac:dyDescent="0.3">
      <c r="A94">
        <v>91</v>
      </c>
      <c r="B94" t="str">
        <v>ЩОВ-002</v>
      </c>
      <c r="C94" t="str">
        <v>QF9</v>
      </c>
      <c r="D94" t="str">
        <v>кабель ВВГнг(А)-LS (3х1,5) → Внутренний блок кондиционирования Подвальный этаж Пом. №004Т</v>
      </c>
      <c r="E94" t="str">
        <v>K.00.004T.1</v>
      </c>
      <c r="F94" t="str">
        <v>Внутренний блок кондиционирования Подвальный этаж Пом. №004Т</v>
      </c>
    </row>
    <row r="95" spans="1:6" x14ac:dyDescent="0.3">
      <c r="A95">
        <v>92</v>
      </c>
      <c r="B95" t="str">
        <v>ЩОВ-002</v>
      </c>
      <c r="C95" t="str">
        <v>QF10</v>
      </c>
      <c r="D95" t="str">
        <v>кабель ВВГнг(А)-LS (3х1,5) → Внутренний блок кондиционирования Подвальный этаж Пом. №004Т</v>
      </c>
      <c r="E95" t="str">
        <v>K.00.004T.2</v>
      </c>
      <c r="F95" t="str">
        <v>Внутренний блок кондиционирования Подвальный этаж Пом. №004Т</v>
      </c>
    </row>
    <row r="96" spans="1:6" x14ac:dyDescent="0.3">
      <c r="A96">
        <v>93</v>
      </c>
      <c r="B96" t="str">
        <v>ЩОВ-002</v>
      </c>
      <c r="C96" t="str">
        <v>QF11</v>
      </c>
      <c r="D96" t="str">
        <v>кабель ВВГнг(А)-LS (3х1,5) → Внутренний блок кондиционирования Подвальный этаж Пом. №002Б</v>
      </c>
      <c r="E96" t="str">
        <v>K.00.007A</v>
      </c>
      <c r="F96" t="str">
        <v>Внутренний блок кондиционирования Подвальный этаж Пом. №002Б</v>
      </c>
    </row>
    <row r="97" spans="1:6" x14ac:dyDescent="0.3">
      <c r="A97">
        <v>94</v>
      </c>
      <c r="B97" t="str">
        <v>ЩОВ-002</v>
      </c>
      <c r="C97" t="str">
        <v>QF12</v>
      </c>
      <c r="D97" t="str">
        <v>кабель ВВГнг(А)-LS (3х1,5) → Внутренний блок кондиционирования Подвальный этаж Пом. №007Т</v>
      </c>
      <c r="E97" t="str">
        <v>K.00.007T.1</v>
      </c>
      <c r="F97" t="str">
        <v>Внутренний блок кондиционирования Подвальный этаж Пом. №007Т</v>
      </c>
    </row>
    <row r="98" spans="1:6" x14ac:dyDescent="0.3">
      <c r="A98">
        <v>95</v>
      </c>
      <c r="B98" t="str">
        <v>ЩОВ-002</v>
      </c>
      <c r="C98" t="str">
        <v>QF13</v>
      </c>
      <c r="D98" t="str">
        <v>кабель ВВГнг(А)-LS (3х1,5) → Внутренний блок кондиционирования Подвальный этаж Пом. №007Т</v>
      </c>
      <c r="E98" t="str">
        <v>K.00.007T.2</v>
      </c>
      <c r="F98" t="str">
        <v>Внутренний блок кондиционирования Подвальный этаж Пом. №007Т</v>
      </c>
    </row>
    <row r="99" spans="1:6" x14ac:dyDescent="0.3">
      <c r="A99">
        <v>96</v>
      </c>
      <c r="B99" t="str">
        <v>ЩОВ-01</v>
      </c>
      <c r="C99" t="str">
        <v>QF1</v>
      </c>
      <c r="D99" t="str">
        <v>XT1</v>
      </c>
      <c r="E99" t="str">
        <v>П.6</v>
      </c>
      <c r="F99" t="str">
        <v>Приточная установка Цокольный этаж Пом №001Тб</v>
      </c>
    </row>
    <row r="100" spans="1:6" x14ac:dyDescent="0.3">
      <c r="A100">
        <v>97</v>
      </c>
      <c r="B100" t="str">
        <v>ЩОВ-01</v>
      </c>
      <c r="C100" t="str">
        <v>XT1</v>
      </c>
      <c r="D100" t="str">
        <v>кабель ВВГнг(А)-LS (3х1,5) → Приточная установка Цокольный этаж Пом №001Тб</v>
      </c>
      <c r="E100" t="str">
        <v>П.6</v>
      </c>
      <c r="F100" t="str">
        <v>Приточная установка Цокольный этаж Пом №001Тб</v>
      </c>
    </row>
    <row r="101" spans="1:6" x14ac:dyDescent="0.3">
      <c r="A101">
        <v>98</v>
      </c>
      <c r="B101" t="str">
        <v>ЩОВ-01</v>
      </c>
      <c r="C101" t="str">
        <v>QF2</v>
      </c>
      <c r="D101" t="str">
        <v>XT2</v>
      </c>
      <c r="E101" t="str">
        <v>ПВ.6</v>
      </c>
      <c r="F101" t="str">
        <v>Приточно-вытяжная установка цокольный этаж Пом №001Тб</v>
      </c>
    </row>
    <row r="102" spans="1:6" x14ac:dyDescent="0.3">
      <c r="A102">
        <v>99</v>
      </c>
      <c r="B102" t="str">
        <v>ЩОВ-01</v>
      </c>
      <c r="C102" t="str">
        <v>XT2</v>
      </c>
      <c r="D102" t="str">
        <v>кабель ВВГнг(А)-LS (5х2,5) → Приточно-вытяжная установка цокольный этаж Пом №001Тб</v>
      </c>
      <c r="E102" t="str">
        <v>ПВ.6</v>
      </c>
      <c r="F102" t="str">
        <v>Приточно-вытяжная установка цокольный этаж Пом №001Тб</v>
      </c>
    </row>
    <row r="103" spans="1:6" x14ac:dyDescent="0.3">
      <c r="A103">
        <v>100</v>
      </c>
      <c r="B103" t="str">
        <v>ЩОВ-01</v>
      </c>
      <c r="C103" t="str">
        <v>QF3</v>
      </c>
      <c r="D103" t="str">
        <v>XT3</v>
      </c>
      <c r="E103" t="str">
        <v>ПВ.9</v>
      </c>
      <c r="F103" t="str">
        <v>Приточно-вытяжная установка цокольный этаж Пом №001Тб</v>
      </c>
    </row>
    <row r="104" spans="1:6" x14ac:dyDescent="0.3">
      <c r="A104">
        <v>101</v>
      </c>
      <c r="B104" t="str">
        <v>ЩОВ-01</v>
      </c>
      <c r="C104" t="str">
        <v>XT3</v>
      </c>
      <c r="D104" t="str">
        <v>кабель ВВГнг(А)-LS (3х1,5) → Приточно-вытяжная установка цокольный этаж Пом №001Тб</v>
      </c>
      <c r="E104" t="str">
        <v>ПВ.9</v>
      </c>
      <c r="F104" t="str">
        <v>Приточно-вытяжная установка цокольный этаж Пом №001Тб</v>
      </c>
    </row>
    <row r="105" spans="1:6" x14ac:dyDescent="0.3">
      <c r="A105">
        <v>102</v>
      </c>
      <c r="B105" t="str">
        <v>ЩОВ-01</v>
      </c>
      <c r="C105" t="str">
        <v>QF4</v>
      </c>
      <c r="D105" t="str">
        <v>XT4</v>
      </c>
      <c r="E105" t="str">
        <v>В.2</v>
      </c>
      <c r="F105" t="str">
        <v>Вытяжная установка Пом. №003Б</v>
      </c>
    </row>
    <row r="106" spans="1:6" x14ac:dyDescent="0.3">
      <c r="A106">
        <v>103</v>
      </c>
      <c r="B106" t="str">
        <v>ЩОВ-01</v>
      </c>
      <c r="C106" t="str">
        <v>XT4</v>
      </c>
      <c r="D106" t="str">
        <v>кабель ВВГнг(А)-LS (3х1,5) → Вытяжная установка Пом. №003Б</v>
      </c>
      <c r="E106" t="str">
        <v>В.2</v>
      </c>
      <c r="F106" t="str">
        <v>Вытяжная установка Пом. №003Б</v>
      </c>
    </row>
    <row r="107" spans="1:6" x14ac:dyDescent="0.3">
      <c r="A107">
        <v>104</v>
      </c>
      <c r="B107" t="str">
        <v>ЩОВ-01</v>
      </c>
      <c r="C107" t="str">
        <v>QF5</v>
      </c>
      <c r="D107" t="str">
        <v>кабель ВВГнг(А)-LS (3х1,5) → Вытяжная установка Пом. №019Б</v>
      </c>
      <c r="E107" t="str">
        <v>В.10</v>
      </c>
      <c r="F107" t="str">
        <v>Вытяжная установка Пом. №019Б</v>
      </c>
    </row>
    <row r="108" spans="1:6" x14ac:dyDescent="0.3">
      <c r="A108">
        <v>105</v>
      </c>
      <c r="B108" t="str">
        <v>ЩОВ-01</v>
      </c>
      <c r="C108" t="str">
        <v>QF6</v>
      </c>
      <c r="D108" t="str">
        <v>XT6</v>
      </c>
      <c r="E108" t="str">
        <v>В.24</v>
      </c>
      <c r="F108" t="str">
        <v>Внутренний блок кондиционирования подвальный этаж Пом. №0001Тб</v>
      </c>
    </row>
    <row r="109" spans="1:6" x14ac:dyDescent="0.3">
      <c r="A109">
        <v>106</v>
      </c>
      <c r="B109" t="str">
        <v>ЩОВ-01</v>
      </c>
      <c r="C109" t="str">
        <v>XT6</v>
      </c>
      <c r="D109" t="str">
        <v>кабель ВВГнг(А)-LS (3х1,5) → Внутренний блок кондиционирования подвальный этаж Пом. №0001Тб</v>
      </c>
      <c r="E109" t="str">
        <v>В.24</v>
      </c>
      <c r="F109" t="str">
        <v>Внутренний блок кондиционирования подвальный этаж Пом. №0001Тб</v>
      </c>
    </row>
    <row r="110" spans="1:6" x14ac:dyDescent="0.3">
      <c r="A110">
        <v>107</v>
      </c>
      <c r="B110" t="str">
        <v>ЩОВ-01</v>
      </c>
      <c r="C110" t="str">
        <v>QF7</v>
      </c>
      <c r="D110" t="str">
        <v>кабель ВВГнг(А)-LS (3х1,5) → Внутренний блок кондиционирования подвальный этаж Пом. №01Тб</v>
      </c>
      <c r="E110" t="str">
        <v>В.25</v>
      </c>
      <c r="F110" t="str">
        <v>Внутренний блок кондиционирования подвальный этаж Пом. №01Тб</v>
      </c>
    </row>
    <row r="111" spans="1:6" x14ac:dyDescent="0.3">
      <c r="A111">
        <v>108</v>
      </c>
      <c r="B111" t="str">
        <v>ЩОВ-01</v>
      </c>
      <c r="C111" t="str">
        <v>QF8</v>
      </c>
      <c r="D111" t="str">
        <v>кабель ВВГнг(А)-LS (3х1,5) → Внутренний блок кондиционирования цокольный этаж Пом. №001Т</v>
      </c>
      <c r="E111" t="str">
        <v>K.0.001T.1</v>
      </c>
      <c r="F111" t="str">
        <v>Внутренний блок кондиционирования цокольный этаж Пом. №001Т</v>
      </c>
    </row>
    <row r="112" spans="1:6" x14ac:dyDescent="0.3">
      <c r="A112">
        <v>109</v>
      </c>
      <c r="B112" t="str">
        <v>ЩОВ-01</v>
      </c>
      <c r="C112" t="str">
        <v>QF9</v>
      </c>
      <c r="D112" t="str">
        <v>кабель ВВГнг(А)-LS (3х1,5) → Внутренний блок кондиционирования цокольный этаж Пом. №001Т</v>
      </c>
      <c r="E112" t="str">
        <v>K.0.001T.2</v>
      </c>
      <c r="F112" t="str">
        <v>Внутренний блок кондиционирования цокольный этаж Пом. №001Т</v>
      </c>
    </row>
    <row r="113" spans="1:6" x14ac:dyDescent="0.3">
      <c r="A113">
        <v>110</v>
      </c>
      <c r="B113" t="str">
        <v>ЩОВ-01</v>
      </c>
      <c r="C113" t="str">
        <v>QF10</v>
      </c>
      <c r="D113" t="str">
        <v>кабель ВВГнг(А)-LS (3х1,5) → Внутренний блок кондиционирования цокольный этаж Пом. №002Т</v>
      </c>
      <c r="E113" t="str">
        <v>K.0.002T.1</v>
      </c>
      <c r="F113" t="str">
        <v>Внутренний блок кондиционирования цокольный этаж Пом. №002Т</v>
      </c>
    </row>
    <row r="114" spans="1:6" x14ac:dyDescent="0.3">
      <c r="A114">
        <v>111</v>
      </c>
      <c r="B114" t="str">
        <v>ЩОВ-01</v>
      </c>
      <c r="C114" t="str">
        <v>QF11</v>
      </c>
      <c r="D114" t="str">
        <v>кабель ВВГнг(А)-LS (3х1,5) → Внутренний блок кондиционирования цокольный этаж Пом. №002Т</v>
      </c>
      <c r="E114" t="str">
        <v>K.0.002T.2</v>
      </c>
      <c r="F114" t="str">
        <v>Внутренний блок кондиционирования цокольный этаж Пом. №002Т</v>
      </c>
    </row>
    <row r="115" spans="1:6" x14ac:dyDescent="0.3">
      <c r="A115">
        <v>112</v>
      </c>
      <c r="B115" t="str">
        <v>ЩОВ-01</v>
      </c>
      <c r="C115" t="str">
        <v>QF12</v>
      </c>
      <c r="D115" t="str">
        <v>кабель ВВГнг(А)-LS (3х1,5) → Внутренний блок кондиционирования цокольный этаж Пом. №013.1Б</v>
      </c>
      <c r="E115" t="str">
        <v>K.0.004A-K.0.005A</v>
      </c>
      <c r="F115" t="str">
        <v>Внутренний блок кондиционирования цокольный этаж Пом. №013.1Б</v>
      </c>
    </row>
    <row r="116" spans="1:6" x14ac:dyDescent="0.3">
      <c r="A116">
        <v>113</v>
      </c>
      <c r="B116" t="str">
        <v>ЩОВ-01</v>
      </c>
      <c r="C116" t="str">
        <v>QF13</v>
      </c>
      <c r="D116" t="str">
        <v>кабель ВВГнг(А)-LS (3х1,5) → Внутренний блок кондиционирования цокольный этаж Пом. №005Б</v>
      </c>
      <c r="E116" t="str">
        <v>K.0.005Б.1</v>
      </c>
      <c r="F116" t="str">
        <v>Внутренний блок кондиционирования цокольный этаж Пом. №005Б</v>
      </c>
    </row>
    <row r="117" spans="1:6" x14ac:dyDescent="0.3">
      <c r="A117">
        <v>114</v>
      </c>
      <c r="B117" t="str">
        <v>ЩОВ-01</v>
      </c>
      <c r="C117" t="str">
        <v>QF14</v>
      </c>
      <c r="D117" t="str">
        <v>кабель ВВГнг(А)-LS (3х1,5) → Внутренний блок кондиционирования цокольный этаж Пом. №005Б</v>
      </c>
      <c r="E117" t="str">
        <v>K.0.005Б.2</v>
      </c>
      <c r="F117" t="str">
        <v>Внутренний блок кондиционирования цокольный этаж Пом. №005Б</v>
      </c>
    </row>
    <row r="118" spans="1:6" x14ac:dyDescent="0.3">
      <c r="A118">
        <v>115</v>
      </c>
      <c r="B118" t="str">
        <v>ЩОВ-01</v>
      </c>
      <c r="C118" t="str">
        <v>QF15</v>
      </c>
      <c r="D118" t="str">
        <v>кабель ВВГнг(А)-LS (3х1,5) → Внутренний блок кондиционирования цокольный этаж Пом. №014Б</v>
      </c>
      <c r="E118" t="str">
        <v>K.0.006A</v>
      </c>
      <c r="F118" t="str">
        <v>Внутренний блок кондиционирования цокольный этаж Пом. №014Б</v>
      </c>
    </row>
    <row r="119" spans="1:6" x14ac:dyDescent="0.3">
      <c r="A119">
        <v>116</v>
      </c>
      <c r="B119" t="str">
        <v>ЩОВ-01</v>
      </c>
      <c r="C119" t="str">
        <v>QF16</v>
      </c>
      <c r="D119" t="str">
        <v>кабель ВВГнг(А)-LS (3х1,5) → Внутренний блок кондиционирования цокольный этаж Пом. №014Б</v>
      </c>
      <c r="E119" t="str">
        <v>K.0.008A</v>
      </c>
      <c r="F119" t="str">
        <v>Внутренний блок кондиционирования цокольный этаж Пом. №014Б</v>
      </c>
    </row>
    <row r="120" spans="1:6" x14ac:dyDescent="0.3">
      <c r="A120">
        <v>117</v>
      </c>
      <c r="B120" t="str">
        <v>ЩОВ-01</v>
      </c>
      <c r="C120" t="str">
        <v>QF17</v>
      </c>
      <c r="D120" t="str">
        <v>кабель ВВГнг(А)-LS (3х1,5) → Внутренний блок кондиционирования цокольный этаж Пом. №012Б</v>
      </c>
      <c r="E120" t="str">
        <v>K.0.012Б</v>
      </c>
      <c r="F120" t="str">
        <v>Внутренний блок кондиционирования цокольный этаж Пом. №012Б</v>
      </c>
    </row>
    <row r="121" spans="1:6" x14ac:dyDescent="0.3">
      <c r="A121">
        <v>118</v>
      </c>
      <c r="B121" t="str">
        <v>ЩОВ-01</v>
      </c>
      <c r="C121" t="str">
        <v>QF18</v>
      </c>
      <c r="D121" t="str">
        <v>кабель ВВГнг(А)-LS (3х1,5) → Внутренний блок кондиционирования подвальный этаж Пом. №001Т</v>
      </c>
      <c r="E121" t="str">
        <v>K.1.002AБ.1</v>
      </c>
      <c r="F121" t="str">
        <v>Внутренний блок кондиционирования подвальный этаж Пом. №001Т</v>
      </c>
    </row>
    <row r="122" spans="1:6" x14ac:dyDescent="0.3">
      <c r="A122">
        <v>119</v>
      </c>
      <c r="B122" t="str">
        <v>ЩОВ-01</v>
      </c>
      <c r="C122" t="str">
        <v>QF19</v>
      </c>
      <c r="D122" t="str">
        <v>кабель ВВГнг(А)-LS (3х1,5) → Внутренний блок кондиционирования подвальный этаж Пом. №001Т</v>
      </c>
      <c r="E122" t="str">
        <v>K.1.002AБ.2</v>
      </c>
      <c r="F122" t="str">
        <v>Внутренний блок кондиционирования подвальный этаж Пом. №001Т</v>
      </c>
    </row>
    <row r="123" spans="1:6" x14ac:dyDescent="0.3">
      <c r="A123">
        <v>120</v>
      </c>
      <c r="B123" t="str">
        <v>ЩОВ-01</v>
      </c>
      <c r="C123" t="str">
        <v>QF20</v>
      </c>
      <c r="D123" t="str">
        <v>XT20</v>
      </c>
      <c r="E123" t="str">
        <v>K.1.006A</v>
      </c>
      <c r="F123" t="str">
        <v>Внутренний блок кондиционирования подвальный этаж Пом. №001Т</v>
      </c>
    </row>
    <row r="124" spans="1:6" x14ac:dyDescent="0.3">
      <c r="A124">
        <v>121</v>
      </c>
      <c r="B124" t="str">
        <v>ЩОВ-01</v>
      </c>
      <c r="C124" t="str">
        <v>XT20</v>
      </c>
      <c r="D124" t="str">
        <v>кабель ВВГнг(А)-LS (3х1,5) → Внутренний блок кондиционирования подвальный этаж Пом. №001Т</v>
      </c>
      <c r="E124" t="str">
        <v>K.1.006A</v>
      </c>
      <c r="F124" t="str">
        <v>Внутренний блок кондиционирования подвальный этаж Пом. №001Т</v>
      </c>
    </row>
    <row r="125" spans="1:6" x14ac:dyDescent="0.3">
      <c r="A125">
        <v>122</v>
      </c>
      <c r="B125" t="str">
        <v>ЩОВ-01</v>
      </c>
      <c r="C125" t="str">
        <v>QF21</v>
      </c>
      <c r="D125" t="str">
        <v>XT21</v>
      </c>
      <c r="E125" t="str">
        <v>K.1.002Б</v>
      </c>
      <c r="F125" t="str">
        <v>Внутренний блок кондиционирования первый этаж Пом. №002Б</v>
      </c>
    </row>
    <row r="126" spans="1:6" x14ac:dyDescent="0.3">
      <c r="A126">
        <v>123</v>
      </c>
      <c r="B126" t="str">
        <v>ЩОВ-01</v>
      </c>
      <c r="C126" t="str">
        <v>XT21</v>
      </c>
      <c r="D126" t="str">
        <v>кабель ВВГнг(А)-LS (3х1,5) → Внутренний блок кондиционирования первый этаж Пом. №002Б</v>
      </c>
      <c r="E126" t="str">
        <v>K.1.002Б</v>
      </c>
      <c r="F126" t="str">
        <v>Внутренний блок кондиционирования первый этаж Пом. №002Б</v>
      </c>
    </row>
    <row r="127" spans="1:6" x14ac:dyDescent="0.3">
      <c r="A127">
        <v>124</v>
      </c>
      <c r="B127" t="str">
        <v>ЩОВ-01</v>
      </c>
      <c r="C127" t="str">
        <v>QF22</v>
      </c>
      <c r="D127" t="str">
        <v>кабель ВВГнг(А)-LS (3х1,5) → Внутренний блок кондиционирования первый этаж Пом. №003Б</v>
      </c>
      <c r="E127" t="str">
        <v>K.1.007A</v>
      </c>
      <c r="F127" t="str">
        <v>Внутренний блок кондиционирования первый этаж Пом. №003Б</v>
      </c>
    </row>
    <row r="128" spans="1:6" x14ac:dyDescent="0.3">
      <c r="A128">
        <v>125</v>
      </c>
      <c r="B128" t="str">
        <v>ЩОВ-01</v>
      </c>
      <c r="C128" t="str">
        <v>QF23</v>
      </c>
      <c r="D128" t="str">
        <v>кабель ВВГнг(А)-LS (3х1,5) → Внутренний блок кондиционирования первый этаж Пом. №003Б</v>
      </c>
      <c r="E128" t="str">
        <v>K.1.010A</v>
      </c>
      <c r="F128" t="str">
        <v>Внутренний блок кондиционирования первый этаж Пом. №003Б</v>
      </c>
    </row>
    <row r="129" spans="1:6" x14ac:dyDescent="0.3">
      <c r="A129">
        <v>126</v>
      </c>
      <c r="B129" t="str">
        <v>ЩОВ-01</v>
      </c>
      <c r="C129" t="str">
        <v>QF24</v>
      </c>
      <c r="D129" t="str">
        <v>кабель ВВГнг(А)-LS (3х1,5) → Внутренний блок кондиционирования первый этаж Пом. №002Б</v>
      </c>
      <c r="E129" t="str">
        <v>K.1.011A</v>
      </c>
      <c r="F129" t="str">
        <v>Внутренний блок кондиционирования первый этаж Пом. №002Б</v>
      </c>
    </row>
    <row r="130" spans="1:6" x14ac:dyDescent="0.3">
      <c r="A130">
        <v>127</v>
      </c>
      <c r="B130" t="str">
        <v>ЩОВ-01</v>
      </c>
      <c r="C130" t="str">
        <v>QF25</v>
      </c>
      <c r="D130" t="str">
        <v>кабель ВВГнг(А)-LS (3х1,5) → Внутренний блок кондиционирования первый этаж Пом. №002Б</v>
      </c>
      <c r="E130" t="str">
        <v>K.1.014A</v>
      </c>
      <c r="F130" t="str">
        <v>Внутренний блок кондиционирования первый этаж Пом. №002Б</v>
      </c>
    </row>
    <row r="131" spans="1:6" x14ac:dyDescent="0.3">
      <c r="A131">
        <v>128</v>
      </c>
      <c r="B131" t="str">
        <v>ЩОВ-01</v>
      </c>
      <c r="C131" t="str">
        <v>QF26</v>
      </c>
      <c r="D131" t="str">
        <v>кабель ВВГнг(А)-LS (3х1,5) → Внутренний блок кондиционирования первый этаж Пом. №002Б</v>
      </c>
      <c r="E131" t="str">
        <v>K.1.015A</v>
      </c>
      <c r="F131" t="str">
        <v>Внутренний блок кондиционирования первый этаж Пом. №002Б</v>
      </c>
    </row>
    <row r="132" spans="1:6" x14ac:dyDescent="0.3">
      <c r="A132">
        <v>129</v>
      </c>
      <c r="B132" t="str">
        <v>ЩОВ-2</v>
      </c>
      <c r="C132" t="str">
        <v>QF1</v>
      </c>
      <c r="D132" t="str">
        <v>XT1</v>
      </c>
      <c r="E132" t="str">
        <v>K.1.001A.1</v>
      </c>
      <c r="F132" t="str">
        <v>Внутренний блок кондиционирования Технический этаж Пом. №001Т</v>
      </c>
    </row>
    <row r="133" spans="1:6" x14ac:dyDescent="0.3">
      <c r="A133">
        <v>130</v>
      </c>
      <c r="B133" t="str">
        <v>ЩОВ-2</v>
      </c>
      <c r="C133" t="str">
        <v>XT1</v>
      </c>
      <c r="D133" t="str">
        <v>кабель ВВГнг(А)-LS (3х1,5) → Внутренний блок кондиционирования Технический этаж Пом. №001Т</v>
      </c>
      <c r="E133" t="str">
        <v>K.1.001A.1</v>
      </c>
      <c r="F133" t="str">
        <v>Внутренний блок кондиционирования Технический этаж Пом. №001Т</v>
      </c>
    </row>
    <row r="134" spans="1:6" x14ac:dyDescent="0.3">
      <c r="A134">
        <v>131</v>
      </c>
      <c r="B134" t="str">
        <v>ЩОВ-2</v>
      </c>
      <c r="C134" t="str">
        <v>QF2</v>
      </c>
      <c r="D134" t="str">
        <v>XT2</v>
      </c>
      <c r="E134" t="str">
        <v>K.1.001A.2</v>
      </c>
      <c r="F134" t="str">
        <v>Внутренний блок кондиционирования Технический этаж Пом. №001Т</v>
      </c>
    </row>
    <row r="135" spans="1:6" x14ac:dyDescent="0.3">
      <c r="A135">
        <v>132</v>
      </c>
      <c r="B135" t="str">
        <v>ЩОВ-2</v>
      </c>
      <c r="C135" t="str">
        <v>XT2</v>
      </c>
      <c r="D135" t="str">
        <v>кабель ВВГнг(А)-LS (3х1,5) → Внутренний блок кондиционирования Технический этаж Пом. №001Т</v>
      </c>
      <c r="E135" t="str">
        <v>K.1.001A.2</v>
      </c>
      <c r="F135" t="str">
        <v>Внутренний блок кондиционирования Технический этаж Пом. №001Т</v>
      </c>
    </row>
    <row r="136" spans="1:6" x14ac:dyDescent="0.3">
      <c r="A136">
        <v>133</v>
      </c>
      <c r="B136" t="str">
        <v>ЩОВ-2</v>
      </c>
      <c r="C136" t="str">
        <v>QF3</v>
      </c>
      <c r="D136" t="str">
        <v>XT3</v>
      </c>
      <c r="E136" t="str">
        <v>K.1.003A</v>
      </c>
      <c r="F136" t="str">
        <v>Внутренний блок кондиционирования Технический этаж Пом. №002Т</v>
      </c>
    </row>
    <row r="137" spans="1:6" x14ac:dyDescent="0.3">
      <c r="A137">
        <v>134</v>
      </c>
      <c r="B137" t="str">
        <v>ЩОВ-2</v>
      </c>
      <c r="C137" t="str">
        <v>XT3</v>
      </c>
      <c r="D137" t="str">
        <v>кабель ВВГнг(А)-LS (3х1,5) → Внутренний блок кондиционирования Технический этаж Пом. №002Т</v>
      </c>
      <c r="E137" t="str">
        <v>K.1.003A</v>
      </c>
      <c r="F137" t="str">
        <v>Внутренний блок кондиционирования Технический этаж Пом. №002Т</v>
      </c>
    </row>
    <row r="138" spans="1:6" x14ac:dyDescent="0.3">
      <c r="A138">
        <v>135</v>
      </c>
      <c r="B138" t="str">
        <v>ЩОВ-2</v>
      </c>
      <c r="C138" t="str">
        <v>QF4</v>
      </c>
      <c r="D138" t="str">
        <v>XT4</v>
      </c>
      <c r="E138" t="str">
        <v>K.1.005A</v>
      </c>
      <c r="F138" t="str">
        <v>Внутренний блок кондиционирования Технический этаж Пом. №001Т</v>
      </c>
    </row>
    <row r="139" spans="1:6" x14ac:dyDescent="0.3">
      <c r="A139">
        <v>136</v>
      </c>
      <c r="B139" t="str">
        <v>ЩОВ-2</v>
      </c>
      <c r="C139" t="str">
        <v>XT4</v>
      </c>
      <c r="D139" t="str">
        <v>кабель ВВГнг(А)-LS (3х1,5) → Внутренний блок кондиционирования Технический этаж Пом. №001Т</v>
      </c>
      <c r="E139" t="str">
        <v>K.1.005A</v>
      </c>
      <c r="F139" t="str">
        <v>Внутренний блок кондиционирования Технический этаж Пом. №001Т</v>
      </c>
    </row>
    <row r="140" spans="1:6" x14ac:dyDescent="0.3">
      <c r="A140">
        <v>137</v>
      </c>
      <c r="B140" t="str">
        <v>ЩОВ-2</v>
      </c>
      <c r="C140" t="str">
        <v>QF5</v>
      </c>
      <c r="D140" t="str">
        <v>кабель ВВГнг(А)-LS (3х1,5) → Внутренний блок кондиционирования Технический этаж Пом. №002Т</v>
      </c>
      <c r="E140" t="str">
        <v>K.2.004A</v>
      </c>
      <c r="F140" t="str">
        <v>Внутренний блок кондиционирования Технический этаж Пом. №002Т</v>
      </c>
    </row>
    <row r="141" spans="1:6" x14ac:dyDescent="0.3">
      <c r="A141">
        <v>138</v>
      </c>
      <c r="B141" t="str">
        <v>ЩОВ-2</v>
      </c>
      <c r="C141" t="str">
        <v>QF6</v>
      </c>
      <c r="D141" t="str">
        <v>XT6</v>
      </c>
      <c r="E141" t="str">
        <v>K.2.005A</v>
      </c>
      <c r="F141" t="str">
        <v>Внутренний блок кондиционирования Технический этаж Пом. №002Т</v>
      </c>
    </row>
    <row r="142" spans="1:6" x14ac:dyDescent="0.3">
      <c r="A142">
        <v>139</v>
      </c>
      <c r="B142" t="str">
        <v>ЩОВ-2</v>
      </c>
      <c r="C142" t="str">
        <v>XT6</v>
      </c>
      <c r="D142" t="str">
        <v>кабель ВВГнг(А)-LS (3х1,5) → Внутренний блок кондиционирования Технический этаж Пом. №002Т</v>
      </c>
      <c r="E142" t="str">
        <v>K.2.005A</v>
      </c>
      <c r="F142" t="str">
        <v>Внутренний блок кондиционирования Технический этаж Пом. №002Т</v>
      </c>
    </row>
    <row r="143" spans="1:6" x14ac:dyDescent="0.3">
      <c r="A143">
        <v>140</v>
      </c>
      <c r="B143" t="str">
        <v>ЩОВ-2</v>
      </c>
      <c r="C143" t="str">
        <v>QF7</v>
      </c>
      <c r="D143" t="str">
        <v>кабель ВВГнг(А)-LS (3х1,5) → Внутренний блок кондиционирования Технический этаж Пом. №002Т</v>
      </c>
      <c r="E143" t="str">
        <v>K.2.008A</v>
      </c>
      <c r="F143" t="str">
        <v>Внутренний блок кондиционирования Технический этаж Пом. №002Т</v>
      </c>
    </row>
    <row r="144" spans="1:6" x14ac:dyDescent="0.3">
      <c r="A144">
        <v>141</v>
      </c>
      <c r="B144" t="str">
        <v>ЩОВ-2</v>
      </c>
      <c r="C144" t="str">
        <v>QF8</v>
      </c>
      <c r="D144" t="str">
        <v>кабель ВВГнг(А)-LS (3х1,5) → Внутренний блок кондиционирования Технический этаж Пом. №002Т</v>
      </c>
      <c r="E144" t="str">
        <v>K.2.009A</v>
      </c>
      <c r="F144" t="str">
        <v>Внутренний блок кондиционирования Технический этаж Пом. №002Т</v>
      </c>
    </row>
    <row r="145" spans="1:6" x14ac:dyDescent="0.3">
      <c r="A145">
        <v>142</v>
      </c>
      <c r="B145" t="str">
        <v>ЩОВ-2</v>
      </c>
      <c r="C145" t="str">
        <v>QF9</v>
      </c>
      <c r="D145" t="str">
        <v>кабель ВВГнг(А)-LS (3х1,5) → Внутренний блок кондиционирования Технический этаж Пом. №002Т</v>
      </c>
      <c r="E145" t="str">
        <v>K.2.014A</v>
      </c>
      <c r="F145" t="str">
        <v>Внутренний блок кондиционирования Технический этаж Пом. №002Т</v>
      </c>
    </row>
    <row r="146" spans="1:6" x14ac:dyDescent="0.3">
      <c r="A146">
        <v>143</v>
      </c>
      <c r="B146" t="str">
        <v>ЩОВ-2</v>
      </c>
      <c r="C146" t="str">
        <v>QF10</v>
      </c>
      <c r="D146" t="str">
        <v>кабель ВВГнг(А)-LS (3х1,5) → Внутренний блок кондиционирования Технический этаж Пом. №001Б</v>
      </c>
      <c r="E146" t="str">
        <v>K.2.016A</v>
      </c>
      <c r="F146" t="str">
        <v>Внутренний блок кондиционирования Технический этаж Пом. №001Б</v>
      </c>
    </row>
    <row r="147" spans="1:6" x14ac:dyDescent="0.3">
      <c r="A147">
        <v>144</v>
      </c>
      <c r="B147" t="str">
        <v>ЩОВ-2</v>
      </c>
      <c r="C147" t="str">
        <v>QF11</v>
      </c>
      <c r="D147" t="str">
        <v>кабель ВВГнг(А)-LS (3х1,5) → Внутренний блок кондиционирования Технический этаж Пом. №003Т</v>
      </c>
      <c r="E147" t="str">
        <v>K.2.019A</v>
      </c>
      <c r="F147" t="str">
        <v>Внутренний блок кондиционирования Технический этаж Пом. №003Т</v>
      </c>
    </row>
    <row r="148" spans="1:6" x14ac:dyDescent="0.3">
      <c r="A148">
        <v>145</v>
      </c>
      <c r="B148" t="str">
        <v>ЩОВ-2</v>
      </c>
      <c r="C148" t="str">
        <v>QF12</v>
      </c>
      <c r="D148" t="str">
        <v>кабель ВВГнг(А)-LS (3х1,5) → Внутренний блок кондиционирования Технический этаж Пом. №003Т</v>
      </c>
      <c r="E148" t="str">
        <v>K.3.002Б</v>
      </c>
      <c r="F148" t="str">
        <v>Внутренний блок кондиционирования Технический этаж Пом. №003Т</v>
      </c>
    </row>
    <row r="149" spans="1:6" x14ac:dyDescent="0.3">
      <c r="A149">
        <v>146</v>
      </c>
      <c r="B149" t="str">
        <v>ЩОВ-2</v>
      </c>
      <c r="C149" t="str">
        <v>QF13</v>
      </c>
      <c r="D149" t="str">
        <v>кабель ВВГнг(А)-LS (3х1,5) → Внутренний блок кондиционирования Технический этаж Пом. №004Т</v>
      </c>
      <c r="E149" t="str">
        <v>K.3.004T.1</v>
      </c>
      <c r="F149" t="str">
        <v>Внутренний блок кондиционирования Технический этаж Пом. №004Т</v>
      </c>
    </row>
    <row r="150" spans="1:6" x14ac:dyDescent="0.3">
      <c r="A150">
        <v>147</v>
      </c>
      <c r="B150" t="str">
        <v>ЩОВ-2</v>
      </c>
      <c r="C150" t="str">
        <v>QF14</v>
      </c>
      <c r="D150" t="str">
        <v>кабель ВВГнг(А)-LS (3х1,5) → Внутренний блок кондиционирования Технический этаж Пом. №004Т</v>
      </c>
      <c r="E150" t="str">
        <v>K.3.004T.2</v>
      </c>
      <c r="F150" t="str">
        <v>Внутренний блок кондиционирования Технический этаж Пом. №004Т</v>
      </c>
    </row>
    <row r="151" spans="1:6" x14ac:dyDescent="0.3">
      <c r="A151">
        <v>148</v>
      </c>
      <c r="B151" t="str">
        <v>ЩОВ-2</v>
      </c>
      <c r="C151" t="str">
        <v>QF15</v>
      </c>
      <c r="D151" t="str">
        <v>кабель ВВГнг(А)-LS (3х1,5) → Вытяжная установка Технический этаж Пом. №001Т</v>
      </c>
      <c r="E151" t="str">
        <v>В.1</v>
      </c>
      <c r="F151" t="str">
        <v>Вытяжная установка Технический этаж Пом. №001Т</v>
      </c>
    </row>
    <row r="152" spans="1:6" x14ac:dyDescent="0.3">
      <c r="A152">
        <v>149</v>
      </c>
      <c r="B152" t="str">
        <v>ЩОВ-2</v>
      </c>
      <c r="C152" t="str">
        <v>QF16</v>
      </c>
      <c r="D152" t="str">
        <v>кабель ВВГнг(А)-LS (3х1,5) → Вытяжная установка Технический этаж Пом. №001Т</v>
      </c>
      <c r="E152" t="str">
        <v>В.22</v>
      </c>
      <c r="F152" t="str">
        <v>Вытяжная установка Технический этаж Пом. №001Т</v>
      </c>
    </row>
    <row r="153" spans="1:6" x14ac:dyDescent="0.3">
      <c r="A153">
        <v>150</v>
      </c>
      <c r="B153" t="str">
        <v>ЩОВ-2</v>
      </c>
      <c r="C153" t="str">
        <v>QF17</v>
      </c>
      <c r="D153" t="str">
        <v>кабель ВВГнг(А)-LS (3х1,5) → Вытяжная установка Технический этаж Пом. №001Т</v>
      </c>
      <c r="E153" t="str">
        <v>В.23</v>
      </c>
      <c r="F153" t="str">
        <v>Вытяжная установка Технический этаж Пом. №001Т</v>
      </c>
    </row>
    <row r="154" spans="1:6" x14ac:dyDescent="0.3">
      <c r="A154">
        <v>151</v>
      </c>
      <c r="B154" t="str">
        <v>ЩОВ-2</v>
      </c>
      <c r="C154" t="str">
        <v>QF18</v>
      </c>
      <c r="D154" t="str">
        <v>кабель ВВГнг(А)-LS (3х1,5) → Вытяжная установка Технический этаж Пом. №001Т</v>
      </c>
      <c r="E154" t="str">
        <v>В.8</v>
      </c>
      <c r="F154" t="str">
        <v>Вытяжная установка Технический этаж Пом. №001Т</v>
      </c>
    </row>
    <row r="155" spans="1:6" x14ac:dyDescent="0.3">
      <c r="A155">
        <v>152</v>
      </c>
      <c r="B155" t="str">
        <v>ЩОВ-2</v>
      </c>
      <c r="C155" t="str">
        <v>QF19</v>
      </c>
      <c r="D155" t="str">
        <v>кабель ВВГнг(А)-LS (3х2,5) → Приточная установка Технический этаж Пом. №001Т</v>
      </c>
      <c r="E155" t="str">
        <v>П.3</v>
      </c>
      <c r="F155" t="str">
        <v>Приточная установка Технический этаж Пом. №001Т</v>
      </c>
    </row>
    <row r="156" spans="1:6" x14ac:dyDescent="0.3">
      <c r="A156">
        <v>153</v>
      </c>
      <c r="B156" t="str">
        <v>ЩОВ-2</v>
      </c>
      <c r="C156" t="str">
        <v>QF20</v>
      </c>
      <c r="D156" t="str">
        <v>XT20</v>
      </c>
      <c r="E156" t="str">
        <v>П.5</v>
      </c>
      <c r="F156" t="str">
        <v>Приточная установка Технический этаж Пом. №001Т</v>
      </c>
    </row>
    <row r="157" spans="1:6" x14ac:dyDescent="0.3">
      <c r="A157">
        <v>154</v>
      </c>
      <c r="B157" t="str">
        <v>ЩОВ-2</v>
      </c>
      <c r="C157" t="str">
        <v>XT20</v>
      </c>
      <c r="D157" t="str">
        <v>кабель ВВГнг(А)-LS (3х2,5) → Приточная установка Технический этаж Пом. №001Т</v>
      </c>
      <c r="E157" t="str">
        <v>П.5</v>
      </c>
      <c r="F157" t="str">
        <v>Приточная установка Технический этаж Пом. №001Т</v>
      </c>
    </row>
    <row r="158" spans="1:6" x14ac:dyDescent="0.3">
      <c r="A158">
        <v>155</v>
      </c>
      <c r="B158" t="str">
        <v>ЩОВ-2</v>
      </c>
      <c r="C158" t="str">
        <v>QF21</v>
      </c>
      <c r="D158" t="str">
        <v>XT21</v>
      </c>
      <c r="E158" t="str">
        <v>ПВ.5</v>
      </c>
      <c r="F158" t="str">
        <v>Приточно-вытяжная установка Технический этаж Пом. №001Т</v>
      </c>
    </row>
    <row r="159" spans="1:6" x14ac:dyDescent="0.3">
      <c r="A159">
        <v>156</v>
      </c>
      <c r="B159" t="str">
        <v>ЩОВ-2</v>
      </c>
      <c r="C159" t="str">
        <v>XT21</v>
      </c>
      <c r="D159" t="str">
        <v>кабель ВВГнг(А)-LS (3х4) → Приточно-вытяжная установка Технический этаж Пом. №001Т</v>
      </c>
      <c r="E159" t="str">
        <v>ПВ.5</v>
      </c>
      <c r="F159" t="str">
        <v>Приточно-вытяжная установка Технический этаж Пом. №001Т</v>
      </c>
    </row>
    <row r="160" spans="1:6" x14ac:dyDescent="0.3">
      <c r="A160">
        <v>157</v>
      </c>
      <c r="B160" t="str">
        <v>ЩОВ-2</v>
      </c>
      <c r="C160" t="str">
        <v>QF22</v>
      </c>
      <c r="D160" t="str">
        <v>кабель ВВГнг(А)-LS (3х2,5) → Приточно-вытяжная установка Технический этаж Пом. №001Т</v>
      </c>
      <c r="E160" t="str">
        <v>ПВ.7</v>
      </c>
      <c r="F160" t="str">
        <v>Приточно-вытяжная установка Технический этаж Пом. №001Т</v>
      </c>
    </row>
    <row r="161" spans="1:6" x14ac:dyDescent="0.3">
      <c r="A161">
        <v>158</v>
      </c>
      <c r="B161" t="str">
        <v>ЩОВ-2</v>
      </c>
      <c r="C161" t="str">
        <v>QF23</v>
      </c>
      <c r="D161" t="str">
        <v>кабель ВВГнг(А)-LS (3х2,5) → Приточно-вытяжная установка Технический этаж Пом. №001Т</v>
      </c>
      <c r="E161" t="str">
        <v>ПВ.8</v>
      </c>
      <c r="F161" t="str">
        <v>Приточно-вытяжная установка Технический этаж Пом. №001Т</v>
      </c>
    </row>
    <row r="162" spans="1:6" x14ac:dyDescent="0.3">
      <c r="A162">
        <v>159</v>
      </c>
      <c r="B162" t="str">
        <v>ЩР-001</v>
      </c>
      <c r="C162" t="str">
        <v>QFD1</v>
      </c>
      <c r="D162" t="str">
        <v>XT1</v>
      </c>
      <c r="E162" t="str">
        <v>R.00.001Б.1</v>
      </c>
      <c r="F162" t="str">
        <v>Розеточная группа, пом. 001Б</v>
      </c>
    </row>
    <row r="163" spans="1:6" x14ac:dyDescent="0.3">
      <c r="A163">
        <v>160</v>
      </c>
      <c r="B163" t="str">
        <v>ЩР-001</v>
      </c>
      <c r="C163" t="str">
        <v>XT1</v>
      </c>
      <c r="D163" t="str">
        <v>кабель ВВГнг(А)-LS (3х2,5) → Розеточная группа, пом. 001Б</v>
      </c>
      <c r="E163" t="str">
        <v>R.00.001Б.1</v>
      </c>
      <c r="F163" t="str">
        <v>Розеточная группа, пом. 001Б</v>
      </c>
    </row>
    <row r="164" spans="1:6" x14ac:dyDescent="0.3">
      <c r="A164">
        <v>161</v>
      </c>
      <c r="B164" t="str">
        <v>ЩР-001</v>
      </c>
      <c r="C164" t="str">
        <v>QFD2</v>
      </c>
      <c r="D164" t="str">
        <v>XT2</v>
      </c>
      <c r="E164" t="str">
        <v>R.00.003Т.1</v>
      </c>
      <c r="F164" t="str">
        <v>Розеточная группа, пом. 003Т</v>
      </c>
    </row>
    <row r="165" spans="1:6" x14ac:dyDescent="0.3">
      <c r="A165">
        <v>162</v>
      </c>
      <c r="B165" t="str">
        <v>ЩР-001</v>
      </c>
      <c r="C165" t="str">
        <v>XT2</v>
      </c>
      <c r="D165" t="str">
        <v>кабель ВВГнг(А)-LS (3х2,5) → Розеточная группа, пом. 003Т</v>
      </c>
      <c r="E165" t="str">
        <v>R.00.003Т.1</v>
      </c>
      <c r="F165" t="str">
        <v>Розеточная группа, пом. 003Т</v>
      </c>
    </row>
    <row r="166" spans="1:6" x14ac:dyDescent="0.3">
      <c r="A166">
        <v>163</v>
      </c>
      <c r="B166" t="str">
        <v>ЩР-001</v>
      </c>
      <c r="C166" t="str">
        <v>QFD3</v>
      </c>
      <c r="D166" t="str">
        <v>XT3</v>
      </c>
      <c r="E166" t="str">
        <v>R.00.004Т.1</v>
      </c>
      <c r="F166" t="str">
        <v>Розеточная группа, пом. 004Т</v>
      </c>
    </row>
    <row r="167" spans="1:6" x14ac:dyDescent="0.3">
      <c r="A167">
        <v>164</v>
      </c>
      <c r="B167" t="str">
        <v>ЩР-001</v>
      </c>
      <c r="C167" t="str">
        <v>XT3</v>
      </c>
      <c r="D167" t="str">
        <v>кабель ВВГнг(А)-LS (3х2,5) → Розеточная группа, пом. 004Т</v>
      </c>
      <c r="E167" t="str">
        <v>R.00.004Т.1</v>
      </c>
      <c r="F167" t="str">
        <v>Розеточная группа, пом. 004Т</v>
      </c>
    </row>
    <row r="168" spans="1:6" x14ac:dyDescent="0.3">
      <c r="A168">
        <v>165</v>
      </c>
      <c r="B168" t="str">
        <v>ЩР-001</v>
      </c>
      <c r="C168" t="str">
        <v>QFD4</v>
      </c>
      <c r="D168" t="str">
        <v>XT4</v>
      </c>
      <c r="E168" t="str">
        <v>R.00.001Тб.1</v>
      </c>
      <c r="F168" t="str">
        <v>Розеточная группа, пом. 001Тб</v>
      </c>
    </row>
    <row r="169" spans="1:6" x14ac:dyDescent="0.3">
      <c r="A169">
        <v>166</v>
      </c>
      <c r="B169" t="str">
        <v>ЩР-001</v>
      </c>
      <c r="C169" t="str">
        <v>XT4</v>
      </c>
      <c r="D169" t="str">
        <v>кабель ВВГнг(А)-LS (3х2,5) → Розеточная группа, пом. 001Тб</v>
      </c>
      <c r="E169" t="str">
        <v>R.00.001Тб.1</v>
      </c>
      <c r="F169" t="str">
        <v>Розеточная группа, пом. 001Тб</v>
      </c>
    </row>
    <row r="170" spans="1:6" x14ac:dyDescent="0.3">
      <c r="A170">
        <v>167</v>
      </c>
      <c r="B170" t="str">
        <v>ЩР-001</v>
      </c>
      <c r="C170" t="str">
        <v>QFD5</v>
      </c>
      <c r="D170" t="str">
        <v>XT5</v>
      </c>
      <c r="E170" t="str">
        <v>R.00.001Б.2</v>
      </c>
      <c r="F170" t="str">
        <v>Розеточная группа, пом. 001Б</v>
      </c>
    </row>
    <row r="171" spans="1:6" x14ac:dyDescent="0.3">
      <c r="A171">
        <v>168</v>
      </c>
      <c r="B171" t="str">
        <v>ЩР-001</v>
      </c>
      <c r="C171" t="str">
        <v>XT5</v>
      </c>
      <c r="D171" t="str">
        <v>кабель ВВГнг(А)-LS (3х2,5) → Розеточная группа, пом. 001Б</v>
      </c>
      <c r="E171" t="str">
        <v>R.00.001Б.2</v>
      </c>
      <c r="F171" t="str">
        <v>Розеточная группа, пом. 001Б</v>
      </c>
    </row>
    <row r="172" spans="1:6" x14ac:dyDescent="0.3">
      <c r="A172">
        <v>169</v>
      </c>
      <c r="B172" t="str">
        <v>ЩР-001</v>
      </c>
      <c r="C172" t="str">
        <v>QFD6</v>
      </c>
      <c r="D172" t="str">
        <v>XT6</v>
      </c>
      <c r="E172" t="str">
        <v>R.00.005Т.1</v>
      </c>
      <c r="F172" t="str">
        <v>Розеточная группа, пом. 005Т</v>
      </c>
    </row>
    <row r="173" spans="1:6" x14ac:dyDescent="0.3">
      <c r="A173">
        <v>170</v>
      </c>
      <c r="B173" t="str">
        <v>ЩР-001</v>
      </c>
      <c r="C173" t="str">
        <v>XT6</v>
      </c>
      <c r="D173" t="str">
        <v>кабель ВВГнг(А)-LS (3х2,5) → Розеточная группа, пом. 005Т</v>
      </c>
      <c r="E173" t="str">
        <v>R.00.005Т.1</v>
      </c>
      <c r="F173" t="str">
        <v>Розеточная группа, пом. 005Т</v>
      </c>
    </row>
    <row r="174" spans="1:6" x14ac:dyDescent="0.3">
      <c r="A174">
        <v>171</v>
      </c>
      <c r="B174" t="str">
        <v>ЩР-001</v>
      </c>
      <c r="C174" t="str">
        <v>QFD7</v>
      </c>
      <c r="D174" t="str">
        <v>XT7</v>
      </c>
      <c r="E174" t="str">
        <v>R.00.002Т.1</v>
      </c>
      <c r="F174" t="str">
        <v>Розеточная группа, пом. 002Т</v>
      </c>
    </row>
    <row r="175" spans="1:6" x14ac:dyDescent="0.3">
      <c r="A175">
        <v>172</v>
      </c>
      <c r="B175" t="str">
        <v>ЩР-001</v>
      </c>
      <c r="C175" t="str">
        <v>XT7</v>
      </c>
      <c r="D175" t="str">
        <v>кабель ВВГнг(А)-LS (3х2,5) → Розеточная группа, пом. 002Т</v>
      </c>
      <c r="E175" t="str">
        <v>R.00.002Т.1</v>
      </c>
      <c r="F175" t="str">
        <v>Розеточная группа, пом. 002Т</v>
      </c>
    </row>
    <row r="176" spans="1:6" x14ac:dyDescent="0.3">
      <c r="A176">
        <v>173</v>
      </c>
      <c r="B176" t="str">
        <v>ЩР-001</v>
      </c>
      <c r="C176" t="str">
        <v>QFD8</v>
      </c>
      <c r="D176" t="str">
        <v>XT8</v>
      </c>
      <c r="E176" t="str">
        <v>R.00.001А.1</v>
      </c>
      <c r="F176" t="str">
        <v>Розеточная группа, пом. 001А</v>
      </c>
    </row>
    <row r="177" spans="1:6" x14ac:dyDescent="0.3">
      <c r="A177">
        <v>174</v>
      </c>
      <c r="B177" t="str">
        <v>ЩР-001</v>
      </c>
      <c r="C177" t="str">
        <v>XT8</v>
      </c>
      <c r="D177" t="str">
        <v>кабель ВВГнг(А)-LS (3х2,5) → Розеточная группа, пом. 001А</v>
      </c>
      <c r="E177" t="str">
        <v>R.00.001А.1</v>
      </c>
      <c r="F177" t="str">
        <v>Розеточная группа, пом. 001А</v>
      </c>
    </row>
    <row r="178" spans="1:6" x14ac:dyDescent="0.3">
      <c r="A178">
        <v>175</v>
      </c>
      <c r="B178" t="str">
        <v>ЩР-001</v>
      </c>
      <c r="C178" t="str">
        <v>QFD9</v>
      </c>
      <c r="D178" t="str">
        <v>XT9</v>
      </c>
      <c r="E178" t="str">
        <v>R.00.005А.1</v>
      </c>
      <c r="F178" t="str">
        <v>Розеточная группа, пом. 005А</v>
      </c>
    </row>
    <row r="179" spans="1:6" x14ac:dyDescent="0.3">
      <c r="A179">
        <v>176</v>
      </c>
      <c r="B179" t="str">
        <v>ЩР-001</v>
      </c>
      <c r="C179" t="str">
        <v>XT9</v>
      </c>
      <c r="D179" t="str">
        <v>кабель ВВГнг(А)-LS (3х2,5) → Розеточная группа, пом. 005А</v>
      </c>
      <c r="E179" t="str">
        <v>R.00.005А.1</v>
      </c>
      <c r="F179" t="str">
        <v>Розеточная группа, пом. 005А</v>
      </c>
    </row>
    <row r="180" spans="1:6" x14ac:dyDescent="0.3">
      <c r="A180">
        <v>177</v>
      </c>
      <c r="B180" t="str">
        <v>ЩР-001</v>
      </c>
      <c r="C180" t="str">
        <v>QFD10</v>
      </c>
      <c r="D180" t="str">
        <v>кабель ВВГнг(А)-LS (3х2,5) → Розеточная группа, пом. 004А</v>
      </c>
      <c r="E180" t="str">
        <v>R.00.004А.1</v>
      </c>
      <c r="F180" t="str">
        <v>Розеточная группа, пом. 004А</v>
      </c>
    </row>
    <row r="181" spans="1:6" x14ac:dyDescent="0.3">
      <c r="A181">
        <v>178</v>
      </c>
      <c r="B181" t="str">
        <v>ЩР-001</v>
      </c>
      <c r="C181" t="str">
        <v>QFD11</v>
      </c>
      <c r="D181" t="str">
        <v>XT11</v>
      </c>
      <c r="E181" t="str">
        <v>R.00.001А.2</v>
      </c>
      <c r="F181" t="str">
        <v>Розеточная группа, пом. 001А</v>
      </c>
    </row>
    <row r="182" spans="1:6" x14ac:dyDescent="0.3">
      <c r="A182">
        <v>179</v>
      </c>
      <c r="B182" t="str">
        <v>ЩР-001</v>
      </c>
      <c r="C182" t="str">
        <v>XT11</v>
      </c>
      <c r="D182" t="str">
        <v>кабель ВВГнг(А)-LS (3х2,5) → Розеточная группа, пом. 001А</v>
      </c>
      <c r="E182" t="str">
        <v>R.00.001А.2</v>
      </c>
      <c r="F182" t="str">
        <v>Розеточная группа, пом. 001А</v>
      </c>
    </row>
    <row r="183" spans="1:6" x14ac:dyDescent="0.3">
      <c r="A183">
        <v>180</v>
      </c>
      <c r="B183" t="str">
        <v>ЩР-001</v>
      </c>
      <c r="C183" t="str">
        <v>QFD12</v>
      </c>
      <c r="D183" t="str">
        <v>кабель ВВГнг(А)-LS (3х2,5) → Розеточная группа, пом. 002</v>
      </c>
      <c r="E183" t="str">
        <v>R.00.002.1А.1</v>
      </c>
      <c r="F183" t="str">
        <v>Розеточная группа, пом. 002</v>
      </c>
    </row>
    <row r="184" spans="1:6" x14ac:dyDescent="0.3">
      <c r="A184">
        <v>181</v>
      </c>
      <c r="B184" t="str">
        <v>ЩР-001</v>
      </c>
      <c r="C184" t="str">
        <v>QFD13</v>
      </c>
      <c r="D184" t="str">
        <v>кабель ВВГнг(А)-LS (3х2,5) → Розеточная группа, пом. 006T</v>
      </c>
      <c r="E184" t="str">
        <v>R.00.006T.1</v>
      </c>
      <c r="F184" t="str">
        <v>Розеточная группа, пом. 006T</v>
      </c>
    </row>
    <row r="185" spans="1:6" x14ac:dyDescent="0.3">
      <c r="A185">
        <v>182</v>
      </c>
      <c r="B185" t="str">
        <v>ЩР-001</v>
      </c>
      <c r="C185" t="str">
        <v>QFD14</v>
      </c>
      <c r="D185" t="str">
        <v>кабель ВВГнг(А)-LS (3х2,5) → Розеточная группа, пом. 007Т</v>
      </c>
      <c r="E185" t="str">
        <v>R.00.007Т.1</v>
      </c>
      <c r="F185" t="str">
        <v>Розеточная группа, пом. 007Т</v>
      </c>
    </row>
    <row r="186" spans="1:6" x14ac:dyDescent="0.3">
      <c r="A186">
        <v>183</v>
      </c>
      <c r="B186" t="str">
        <v>ЩР-001</v>
      </c>
      <c r="C186" t="str">
        <v>QFD15</v>
      </c>
      <c r="D186" t="str">
        <v>кабель ВВГнг(А)-LS (3х2,5) → Розеточная группа, пом. 008T</v>
      </c>
      <c r="E186" t="str">
        <v>R.00.008T.1</v>
      </c>
      <c r="F186" t="str">
        <v>Розеточная группа, пом. 008T</v>
      </c>
    </row>
    <row r="187" spans="1:6" x14ac:dyDescent="0.3">
      <c r="A187">
        <v>184</v>
      </c>
      <c r="B187" t="str">
        <v>ЩР-001</v>
      </c>
      <c r="C187" t="str">
        <v>QFD16</v>
      </c>
      <c r="D187" t="str">
        <v>кабель ВВГнг(А)-LS (3х2,5) → Розеточная группа, пом. 002Tб</v>
      </c>
      <c r="E187" t="str">
        <v>R.00.002Tб.1</v>
      </c>
      <c r="F187" t="str">
        <v>Розеточная группа, пом. 002Tб</v>
      </c>
    </row>
    <row r="188" spans="1:6" x14ac:dyDescent="0.3">
      <c r="A188">
        <v>185</v>
      </c>
      <c r="B188" t="str">
        <v>ЩР-001</v>
      </c>
      <c r="C188" t="str">
        <v>QFD17</v>
      </c>
      <c r="D188" t="str">
        <v>кабель ВВГнг(А)-LS (3х2,5) → Розеточная группа, пом. 007Б</v>
      </c>
      <c r="E188" t="str">
        <v>R.00.007Б.1</v>
      </c>
      <c r="F188" t="str">
        <v>Розеточная группа, пом. 007Б</v>
      </c>
    </row>
    <row r="189" spans="1:6" x14ac:dyDescent="0.3">
      <c r="A189">
        <v>186</v>
      </c>
      <c r="B189" t="str">
        <v>ЩР-001</v>
      </c>
      <c r="C189" t="str">
        <v>QFD18</v>
      </c>
      <c r="D189" t="str">
        <v>кабель ВВГнг(А)-LS (3х2,5) → Розеточная группа, пом. 004Б</v>
      </c>
      <c r="E189" t="str">
        <v>R.00.004Б.1</v>
      </c>
      <c r="F189" t="str">
        <v>Розеточная группа, пом. 004Б</v>
      </c>
    </row>
    <row r="190" spans="1:6" x14ac:dyDescent="0.3">
      <c r="A190">
        <v>187</v>
      </c>
      <c r="B190" t="str">
        <v>ЩР-001</v>
      </c>
      <c r="C190" t="str">
        <v>QFD19</v>
      </c>
      <c r="D190" t="str">
        <v>кабель ВВГнг(А)-LS (3х2,5) → Розеточная группа, пом. 005Б</v>
      </c>
      <c r="E190" t="str">
        <v>R.00.005Б.1</v>
      </c>
      <c r="F190" t="str">
        <v>Розеточная группа, пом. 005Б</v>
      </c>
    </row>
    <row r="191" spans="1:6" x14ac:dyDescent="0.3">
      <c r="A191">
        <v>188</v>
      </c>
      <c r="B191" t="str">
        <v>ЩР-001</v>
      </c>
      <c r="C191" t="str">
        <v>QFD20</v>
      </c>
      <c r="D191" t="str">
        <v>кабель ВВГнг(А)-LS (3х2,5) → Розеточная группа, пом. 009Б</v>
      </c>
      <c r="E191" t="str">
        <v>R.00.009Б.1</v>
      </c>
      <c r="F191" t="str">
        <v>Розеточная группа, пом. 009Б</v>
      </c>
    </row>
    <row r="192" spans="1:6" x14ac:dyDescent="0.3">
      <c r="A192">
        <v>189</v>
      </c>
      <c r="B192" t="str">
        <v>ЩР-001</v>
      </c>
      <c r="C192" t="str">
        <v>QFD21</v>
      </c>
      <c r="D192" t="str">
        <v>кабель ВВГнг(А)-LS (3х2,5) → Розеточная группа, пом. 006Б</v>
      </c>
      <c r="E192" t="str">
        <v>R.00.006Б.1</v>
      </c>
      <c r="F192" t="str">
        <v>Розеточная группа, пом. 006Б</v>
      </c>
    </row>
    <row r="193" spans="1:6" x14ac:dyDescent="0.3">
      <c r="A193">
        <v>190</v>
      </c>
      <c r="B193" t="str">
        <v>ЩР-001</v>
      </c>
      <c r="C193" t="str">
        <v>QFD22</v>
      </c>
      <c r="D193" t="str">
        <v>кабель ВВГнг(А)-LS (3х2,5) → Розеточная группа, пом. 007А</v>
      </c>
      <c r="E193" t="str">
        <v>R.00.007А.1</v>
      </c>
      <c r="F193" t="str">
        <v>Розеточная группа, пом. 007А</v>
      </c>
    </row>
    <row r="194" spans="1:6" x14ac:dyDescent="0.3">
      <c r="A194">
        <v>191</v>
      </c>
      <c r="B194" t="str">
        <v>ЩР-001</v>
      </c>
      <c r="C194" t="str">
        <v>QFD23</v>
      </c>
      <c r="D194" t="str">
        <v>кабель ВВГнг(А)-LS (3х2,5) → Розеточная группа, пом. 008А</v>
      </c>
      <c r="E194" t="str">
        <v>R.00.008А.1</v>
      </c>
      <c r="F194" t="str">
        <v>Розеточная группа, пом. 008А</v>
      </c>
    </row>
    <row r="195" spans="1:6" x14ac:dyDescent="0.3">
      <c r="A195">
        <v>192</v>
      </c>
      <c r="B195" t="str">
        <v>ЩР-001</v>
      </c>
      <c r="C195" t="str">
        <v>QFD24</v>
      </c>
      <c r="D195" t="str">
        <v>кабель ВВГнг(А)-LS (3х2,5) → Розеточная группа, пом. 002Б</v>
      </c>
      <c r="E195" t="str">
        <v>R.00.002Б.1</v>
      </c>
      <c r="F195" t="str">
        <v>Розеточная группа, пом. 002Б</v>
      </c>
    </row>
    <row r="196" spans="1:6" x14ac:dyDescent="0.3">
      <c r="A196">
        <v>193</v>
      </c>
      <c r="B196" t="str">
        <v>ЩР-001</v>
      </c>
      <c r="C196" t="str">
        <v>QF25</v>
      </c>
      <c r="D196" t="str">
        <v>XT25</v>
      </c>
      <c r="E196" t="str">
        <v>ШТК-0</v>
      </c>
      <c r="F196" t="str">
        <v>Шкаф телекоммуникационный ШТК-0 Подвальный этаж Пом. №007Т</v>
      </c>
    </row>
    <row r="197" spans="1:6" x14ac:dyDescent="0.3">
      <c r="A197">
        <v>194</v>
      </c>
      <c r="B197" t="str">
        <v>ЩР-001</v>
      </c>
      <c r="C197" t="str">
        <v>XT25</v>
      </c>
      <c r="D197" t="str">
        <v>кабель ВВГнг(А)-LS (3х2,5) → Шкаф телекоммуникационный ШТК-0 Подвальный этаж Пом. №007Т</v>
      </c>
      <c r="E197" t="str">
        <v>ШТК-0</v>
      </c>
      <c r="F197" t="str">
        <v>Шкаф телекоммуникационный ШТК-0 Подвальный этаж Пом. №007Т</v>
      </c>
    </row>
    <row r="198" spans="1:6" x14ac:dyDescent="0.3">
      <c r="A198">
        <v>195</v>
      </c>
      <c r="B198" t="str">
        <v>ЩР-001</v>
      </c>
      <c r="C198" t="str">
        <v>QF26</v>
      </c>
      <c r="D198" t="str">
        <v>XT26</v>
      </c>
      <c r="E198" t="str">
        <v>ШТК-ЛВС.00</v>
      </c>
      <c r="F198" t="str">
        <v>Шкаф телекоммуникационный ШТК-ЛВС.00  Подвальный этаж Пом. №007Т</v>
      </c>
    </row>
    <row r="199" spans="1:6" x14ac:dyDescent="0.3">
      <c r="A199">
        <v>196</v>
      </c>
      <c r="B199" t="str">
        <v>ЩР-001</v>
      </c>
      <c r="C199" t="str">
        <v>XT26</v>
      </c>
      <c r="D199" t="str">
        <v>кабель ВВГнг(А)-LS (3х2,5) → Шкаф телекоммуникационный ШТК-ЛВС.00  Подвальный этаж Пом. №007Т</v>
      </c>
      <c r="E199" t="str">
        <v>ШТК-ЛВС.00</v>
      </c>
      <c r="F199" t="str">
        <v>Шкаф телекоммуникационный ШТК-ЛВС.00  Подвальный этаж Пом. №007Т</v>
      </c>
    </row>
    <row r="200" spans="1:6" x14ac:dyDescent="0.3">
      <c r="A200">
        <v>197</v>
      </c>
      <c r="B200" t="str">
        <v>ЩР-001</v>
      </c>
      <c r="C200" t="str">
        <v>QF27</v>
      </c>
      <c r="D200" t="str">
        <v>кабель ВВГнг(А)-LS (3х2,5) → Шкаф телекоммуникационный ШТК-СОТ.00  Подвальный этаж Пом. №007Т</v>
      </c>
      <c r="E200" t="str">
        <v>ШТК-СОТ.00</v>
      </c>
      <c r="F200" t="str">
        <v>Шкаф телекоммуникационный ШТК-СОТ.00  Подвальный этаж Пом. №007Т</v>
      </c>
    </row>
    <row r="201" spans="1:6" x14ac:dyDescent="0.3">
      <c r="A201">
        <v>198</v>
      </c>
      <c r="B201" t="str">
        <v>ЩР-001</v>
      </c>
      <c r="C201" t="str">
        <v>QF28</v>
      </c>
      <c r="D201" t="str">
        <v>кабель ВВГнг(А)-LS (3х2,5) → Щит контроля доступа ШДК-06. Пом. Венткиосок</v>
      </c>
      <c r="E201" t="str">
        <v>ЩКД-6</v>
      </c>
      <c r="F201" t="str">
        <v>Щит контроля доступа ШДК-06. Пом. Венткиосок</v>
      </c>
    </row>
    <row r="202" spans="1:6" x14ac:dyDescent="0.3">
      <c r="A202">
        <v>199</v>
      </c>
      <c r="B202" t="str">
        <v>ЩР-001</v>
      </c>
      <c r="C202" t="str">
        <v>QF29</v>
      </c>
      <c r="D202" t="str">
        <v>кабель ВВГнг(А)-LS (3х2,5) → Щит контроля доступа ШДК-001 Подвальный этаж Пом. №004Т</v>
      </c>
      <c r="E202" t="str">
        <v>ЩКД-001</v>
      </c>
      <c r="F202" t="str">
        <v>Щит контроля доступа ШДК-001 Подвальный этаж Пом. №004Т</v>
      </c>
    </row>
    <row r="203" spans="1:6" x14ac:dyDescent="0.3">
      <c r="A203">
        <v>200</v>
      </c>
      <c r="B203" t="str">
        <v>ЩР-01</v>
      </c>
      <c r="C203" t="str">
        <v>QFD1</v>
      </c>
      <c r="D203" t="str">
        <v>XT1</v>
      </c>
      <c r="E203" t="str">
        <v>R.0.002A.1</v>
      </c>
      <c r="F203" t="str">
        <v>Розеточная группа, пом. 002A</v>
      </c>
    </row>
    <row r="204" spans="1:6" x14ac:dyDescent="0.3">
      <c r="A204">
        <v>201</v>
      </c>
      <c r="B204" t="str">
        <v>ЩР-01</v>
      </c>
      <c r="C204" t="str">
        <v>XT1</v>
      </c>
      <c r="D204" t="str">
        <v>кабель ВВГнг(А)-LS (3х2,5) → Розеточная группа, пом. 002A</v>
      </c>
      <c r="E204" t="str">
        <v>R.0.002A.1</v>
      </c>
      <c r="F204" t="str">
        <v>Розеточная группа, пом. 002A</v>
      </c>
    </row>
    <row r="205" spans="1:6" x14ac:dyDescent="0.3">
      <c r="A205">
        <v>202</v>
      </c>
      <c r="B205" t="str">
        <v>ЩР-01</v>
      </c>
      <c r="C205" t="str">
        <v>QFD2</v>
      </c>
      <c r="D205" t="str">
        <v>XT2</v>
      </c>
      <c r="E205" t="str">
        <v>R.0.002A.2</v>
      </c>
      <c r="F205" t="str">
        <v>Розеточная группа, пом. 002A</v>
      </c>
    </row>
    <row r="206" spans="1:6" x14ac:dyDescent="0.3">
      <c r="A206">
        <v>203</v>
      </c>
      <c r="B206" t="str">
        <v>ЩР-01</v>
      </c>
      <c r="C206" t="str">
        <v>XT2</v>
      </c>
      <c r="D206" t="str">
        <v>кабель ВВГнг(А)-LS (3х2,5) → Розеточная группа, пом. 002A</v>
      </c>
      <c r="E206" t="str">
        <v>R.0.002A.2</v>
      </c>
      <c r="F206" t="str">
        <v>Розеточная группа, пом. 002A</v>
      </c>
    </row>
    <row r="207" spans="1:6" x14ac:dyDescent="0.3">
      <c r="A207">
        <v>204</v>
      </c>
      <c r="B207" t="str">
        <v>ЩР-01</v>
      </c>
      <c r="C207" t="str">
        <v>QFD3</v>
      </c>
      <c r="D207" t="str">
        <v>XT3</v>
      </c>
      <c r="E207" t="str">
        <v>R.0.002A.3</v>
      </c>
      <c r="F207" t="str">
        <v>Розеточная группа, пом. 002A</v>
      </c>
    </row>
    <row r="208" spans="1:6" x14ac:dyDescent="0.3">
      <c r="A208">
        <v>205</v>
      </c>
      <c r="B208" t="str">
        <v>ЩР-01</v>
      </c>
      <c r="C208" t="str">
        <v>XT3</v>
      </c>
      <c r="D208" t="str">
        <v>кабель ВВГнг(А)-LS (3х2,5) → Розеточная группа, пом. 002A</v>
      </c>
      <c r="E208" t="str">
        <v>R.0.002A.3</v>
      </c>
      <c r="F208" t="str">
        <v>Розеточная группа, пом. 002A</v>
      </c>
    </row>
    <row r="209" spans="1:6" x14ac:dyDescent="0.3">
      <c r="A209">
        <v>206</v>
      </c>
      <c r="B209" t="str">
        <v>ЩР-01</v>
      </c>
      <c r="C209" t="str">
        <v>QFD4</v>
      </c>
      <c r="D209" t="str">
        <v>XT4</v>
      </c>
      <c r="E209" t="str">
        <v>R.0.002T.1</v>
      </c>
      <c r="F209" t="str">
        <v>Розеточная группа, пом. 002T</v>
      </c>
    </row>
    <row r="210" spans="1:6" x14ac:dyDescent="0.3">
      <c r="A210">
        <v>207</v>
      </c>
      <c r="B210" t="str">
        <v>ЩР-01</v>
      </c>
      <c r="C210" t="str">
        <v>XT4</v>
      </c>
      <c r="D210" t="str">
        <v>кабель ВВГнг(А)-LS (3х2,5) → Розеточная группа, пом. 002T</v>
      </c>
      <c r="E210" t="str">
        <v>R.0.002T.1</v>
      </c>
      <c r="F210" t="str">
        <v>Розеточная группа, пом. 002T</v>
      </c>
    </row>
    <row r="211" spans="1:6" x14ac:dyDescent="0.3">
      <c r="A211">
        <v>208</v>
      </c>
      <c r="B211" t="str">
        <v>ЩР-01</v>
      </c>
      <c r="C211" t="str">
        <v>QFD5</v>
      </c>
      <c r="D211" t="str">
        <v>XT5</v>
      </c>
      <c r="E211" t="str">
        <v>R.0.002Б.1</v>
      </c>
      <c r="F211" t="str">
        <v>Розеточная группа, пом. 002Б</v>
      </c>
    </row>
    <row r="212" spans="1:6" x14ac:dyDescent="0.3">
      <c r="A212">
        <v>209</v>
      </c>
      <c r="B212" t="str">
        <v>ЩР-01</v>
      </c>
      <c r="C212" t="str">
        <v>XT5</v>
      </c>
      <c r="D212" t="str">
        <v>кабель ВВГнг(А)-LS (3х2,5) → Розеточная группа, пом. 002Б</v>
      </c>
      <c r="E212" t="str">
        <v>R.0.002Б.1</v>
      </c>
      <c r="F212" t="str">
        <v>Розеточная группа, пом. 002Б</v>
      </c>
    </row>
    <row r="213" spans="1:6" x14ac:dyDescent="0.3">
      <c r="A213">
        <v>210</v>
      </c>
      <c r="B213" t="str">
        <v>ЩР-01</v>
      </c>
      <c r="C213" t="str">
        <v>QFD6</v>
      </c>
      <c r="D213" t="str">
        <v>XT6</v>
      </c>
      <c r="E213" t="str">
        <v>R.0.002Б.2</v>
      </c>
      <c r="F213" t="str">
        <v>Розеточная группа, пом. 002Б</v>
      </c>
    </row>
    <row r="214" spans="1:6" x14ac:dyDescent="0.3">
      <c r="A214">
        <v>211</v>
      </c>
      <c r="B214" t="str">
        <v>ЩР-01</v>
      </c>
      <c r="C214" t="str">
        <v>XT6</v>
      </c>
      <c r="D214" t="str">
        <v>кабель ВВГнг(А)-LS (3х2,5) → Розеточная группа, пом. 002Б</v>
      </c>
      <c r="E214" t="str">
        <v>R.0.002Б.2</v>
      </c>
      <c r="F214" t="str">
        <v>Розеточная группа, пом. 002Б</v>
      </c>
    </row>
    <row r="215" spans="1:6" x14ac:dyDescent="0.3">
      <c r="A215">
        <v>212</v>
      </c>
      <c r="B215" t="str">
        <v>ЩР-01</v>
      </c>
      <c r="C215" t="str">
        <v>QFD7</v>
      </c>
      <c r="D215" t="str">
        <v>XT7</v>
      </c>
      <c r="E215" t="str">
        <v>R.0.003A.1</v>
      </c>
      <c r="F215" t="str">
        <v>Розеточная группа, пом. 003A</v>
      </c>
    </row>
    <row r="216" spans="1:6" x14ac:dyDescent="0.3">
      <c r="A216">
        <v>213</v>
      </c>
      <c r="B216" t="str">
        <v>ЩР-01</v>
      </c>
      <c r="C216" t="str">
        <v>XT7</v>
      </c>
      <c r="D216" t="str">
        <v>кабель ВВГнг(А)-LS (3х2,5) → Розеточная группа, пом. 003A</v>
      </c>
      <c r="E216" t="str">
        <v>R.0.003A.1</v>
      </c>
      <c r="F216" t="str">
        <v>Розеточная группа, пом. 003A</v>
      </c>
    </row>
    <row r="217" spans="1:6" x14ac:dyDescent="0.3">
      <c r="A217">
        <v>214</v>
      </c>
      <c r="B217" t="str">
        <v>ЩР-01</v>
      </c>
      <c r="C217" t="str">
        <v>QFD8</v>
      </c>
      <c r="D217" t="str">
        <v>XT8</v>
      </c>
      <c r="E217" t="str">
        <v>R.0.003A.3</v>
      </c>
      <c r="F217" t="str">
        <v>Розеточная группа, пом. 003A</v>
      </c>
    </row>
    <row r="218" spans="1:6" x14ac:dyDescent="0.3">
      <c r="A218">
        <v>215</v>
      </c>
      <c r="B218" t="str">
        <v>ЩР-01</v>
      </c>
      <c r="C218" t="str">
        <v>XT8</v>
      </c>
      <c r="D218" t="str">
        <v>кабель ВВГнг(А)-LS (3х2,5) → Розеточная группа, пом. 003A</v>
      </c>
      <c r="E218" t="str">
        <v>R.0.003A.3</v>
      </c>
      <c r="F218" t="str">
        <v>Розеточная группа, пом. 003A</v>
      </c>
    </row>
    <row r="219" spans="1:6" x14ac:dyDescent="0.3">
      <c r="A219">
        <v>216</v>
      </c>
      <c r="B219" t="str">
        <v>ЩР-01</v>
      </c>
      <c r="C219" t="str">
        <v>QFD9</v>
      </c>
      <c r="D219" t="str">
        <v>кабель ВВГнг(А)-LS (3х2,5) → Розеточная группа, пом. 003Б</v>
      </c>
      <c r="E219" t="str">
        <v>R.0.003Б.1</v>
      </c>
      <c r="F219" t="str">
        <v>Розеточная группа, пом. 003Б</v>
      </c>
    </row>
    <row r="220" spans="1:6" x14ac:dyDescent="0.3">
      <c r="A220">
        <v>217</v>
      </c>
      <c r="B220" t="str">
        <v>ЩР-01</v>
      </c>
      <c r="C220" t="str">
        <v>QFD10</v>
      </c>
      <c r="D220" t="str">
        <v>XT10</v>
      </c>
      <c r="E220" t="str">
        <v>R.0.004Б.1</v>
      </c>
      <c r="F220" t="str">
        <v>Розеточная группа, пом. 004Б</v>
      </c>
    </row>
    <row r="221" spans="1:6" x14ac:dyDescent="0.3">
      <c r="A221">
        <v>218</v>
      </c>
      <c r="B221" t="str">
        <v>ЩР-01</v>
      </c>
      <c r="C221" t="str">
        <v>XT10</v>
      </c>
      <c r="D221" t="str">
        <v>кабель ВВГнг(А)-LS (3х2,5) → Розеточная группа, пом. 004Б</v>
      </c>
      <c r="E221" t="str">
        <v>R.0.004Б.1</v>
      </c>
      <c r="F221" t="str">
        <v>Розеточная группа, пом. 004Б</v>
      </c>
    </row>
    <row r="222" spans="1:6" x14ac:dyDescent="0.3">
      <c r="A222">
        <v>219</v>
      </c>
      <c r="B222" t="str">
        <v>ЩР-01</v>
      </c>
      <c r="C222" t="str">
        <v>QFD11</v>
      </c>
      <c r="D222" t="str">
        <v>кабель ВВГнг(А)-LS (3х2,5) → Розеточная группа Цокольный этаж Пом. №004Б Сушильная машина</v>
      </c>
      <c r="E222" t="str">
        <v>R.0.004Б.2</v>
      </c>
      <c r="F222" t="str">
        <v>Розеточная группа Цокольный этаж Пом. №004Б Сушильная машина</v>
      </c>
    </row>
    <row r="223" spans="1:6" x14ac:dyDescent="0.3">
      <c r="A223">
        <v>220</v>
      </c>
      <c r="B223" t="str">
        <v>ЩР-01</v>
      </c>
      <c r="C223" t="str">
        <v>QFD12</v>
      </c>
      <c r="D223" t="str">
        <v>кабель ВВГнг(А)-LS (3х2,5) → Розеточная группа Цокольный этаж Пом. №004Б Стиральная машина</v>
      </c>
      <c r="E223" t="str">
        <v>R.0.004Б.3</v>
      </c>
      <c r="F223" t="str">
        <v>Розеточная группа Цокольный этаж Пом. №004Б Стиральная машина</v>
      </c>
    </row>
    <row r="224" spans="1:6" x14ac:dyDescent="0.3">
      <c r="A224">
        <v>221</v>
      </c>
      <c r="B224" t="str">
        <v>ЩР-01</v>
      </c>
      <c r="C224" t="str">
        <v>QFD13</v>
      </c>
      <c r="D224" t="str">
        <v>кабель ВВГнг(А)-LS (3х2,5) → Розеточная группа, пом. 006A</v>
      </c>
      <c r="E224" t="str">
        <v>R.0.006A.1</v>
      </c>
      <c r="F224" t="str">
        <v>Розеточная группа, пом. 006A</v>
      </c>
    </row>
    <row r="225" spans="1:6" x14ac:dyDescent="0.3">
      <c r="A225">
        <v>222</v>
      </c>
      <c r="B225" t="str">
        <v>ЩР-01</v>
      </c>
      <c r="C225" t="str">
        <v>QFD14</v>
      </c>
      <c r="D225" t="str">
        <v>кабель ВВГнг(А)-LS (3х2,5) → Розеточная группа, пом. 007A</v>
      </c>
      <c r="E225" t="str">
        <v>R.0.007A.1</v>
      </c>
      <c r="F225" t="str">
        <v>Розеточная группа, пом. 007A</v>
      </c>
    </row>
    <row r="226" spans="1:6" x14ac:dyDescent="0.3">
      <c r="A226">
        <v>223</v>
      </c>
      <c r="B226" t="str">
        <v>ЩР-01</v>
      </c>
      <c r="C226" t="str">
        <v>QFD15</v>
      </c>
      <c r="D226" t="str">
        <v>кабель ВВГнг(А)-LS (3х2,5) → Розеточная группа, пом. 008A</v>
      </c>
      <c r="E226" t="str">
        <v>R.0.008A.1</v>
      </c>
      <c r="F226" t="str">
        <v>Розеточная группа, пом. 008A</v>
      </c>
    </row>
    <row r="227" spans="1:6" x14ac:dyDescent="0.3">
      <c r="A227">
        <v>224</v>
      </c>
      <c r="B227" t="str">
        <v>ЩР-01</v>
      </c>
      <c r="C227" t="str">
        <v>QFD16</v>
      </c>
      <c r="D227" t="str">
        <v>кабель ВВГнг(А)-LS (3х2,5) → Розеточная группа Цокольный этаж Пом. №008A Душ виши</v>
      </c>
      <c r="E227" t="str">
        <v>R.0.008A.2</v>
      </c>
      <c r="F227" t="str">
        <v>Розеточная группа Цокольный этаж Пом. №008A Душ виши</v>
      </c>
    </row>
    <row r="228" spans="1:6" x14ac:dyDescent="0.3">
      <c r="A228">
        <v>225</v>
      </c>
      <c r="B228" t="str">
        <v>ЩР-01</v>
      </c>
      <c r="C228" t="str">
        <v>QFD17</v>
      </c>
      <c r="D228" t="str">
        <v>кабель ВВГнг(А)-LS (3х2,5) → Розеточная группа, пом. 009A</v>
      </c>
      <c r="E228" t="str">
        <v>R.0.009A.1</v>
      </c>
      <c r="F228" t="str">
        <v>Розеточная группа, пом. 009A</v>
      </c>
    </row>
    <row r="229" spans="1:6" x14ac:dyDescent="0.3">
      <c r="A229">
        <v>226</v>
      </c>
      <c r="B229" t="str">
        <v>ЩР-01</v>
      </c>
      <c r="C229" t="str">
        <v>QFD18</v>
      </c>
      <c r="D229" t="str">
        <v>кабель ВВГнг(А)-LS (3х2,5) → Розеточная группа, пом. 009A</v>
      </c>
      <c r="E229" t="str">
        <v>R.0.009A.2</v>
      </c>
      <c r="F229" t="str">
        <v>Розеточная группа, пом. 009A</v>
      </c>
    </row>
    <row r="230" spans="1:6" x14ac:dyDescent="0.3">
      <c r="A230">
        <v>227</v>
      </c>
      <c r="B230" t="str">
        <v>ЩР-01</v>
      </c>
      <c r="C230" t="str">
        <v>QFD19</v>
      </c>
      <c r="D230" t="str">
        <v>кабель ВВГнг(А)-LS (3х2,5) → Розеточная группа, пом. 010A</v>
      </c>
      <c r="E230" t="str">
        <v>R.0.010A.1</v>
      </c>
      <c r="F230" t="str">
        <v>Розеточная группа, пом. 010A</v>
      </c>
    </row>
    <row r="231" spans="1:6" x14ac:dyDescent="0.3">
      <c r="A231">
        <v>228</v>
      </c>
      <c r="B231" t="str">
        <v>ЩР-01</v>
      </c>
      <c r="C231" t="str">
        <v>QFD20</v>
      </c>
      <c r="D231" t="str">
        <v>кабель ВВГнг(А)-LS (3х2,5) → Розеточная группа, пом. 011</v>
      </c>
      <c r="E231" t="str">
        <v>R.0.011.1A</v>
      </c>
      <c r="F231" t="str">
        <v>Розеточная группа, пом. 011</v>
      </c>
    </row>
    <row r="232" spans="1:6" x14ac:dyDescent="0.3">
      <c r="A232">
        <v>229</v>
      </c>
      <c r="B232" t="str">
        <v>ЩР-01</v>
      </c>
      <c r="C232" t="str">
        <v>QFD21</v>
      </c>
      <c r="D232" t="str">
        <v>кабель ВВГнг(А)-LS (3х2,5) → Розеточная группа, пом. 011Б</v>
      </c>
      <c r="E232" t="str">
        <v>R.0.011Б.1</v>
      </c>
      <c r="F232" t="str">
        <v>Розеточная группа, пом. 011Б</v>
      </c>
    </row>
    <row r="233" spans="1:6" x14ac:dyDescent="0.3">
      <c r="A233">
        <v>230</v>
      </c>
      <c r="B233" t="str">
        <v>ЩР-01</v>
      </c>
      <c r="C233" t="str">
        <v>QFD22</v>
      </c>
      <c r="D233" t="str">
        <v>кабель ВВГнг(А)-LS (3х2,5) → Розеточная группа, пом. 012A</v>
      </c>
      <c r="E233" t="str">
        <v>R.0.012A.1</v>
      </c>
      <c r="F233" t="str">
        <v>Розеточная группа, пом. 012A</v>
      </c>
    </row>
    <row r="234" spans="1:6" x14ac:dyDescent="0.3">
      <c r="A234">
        <v>231</v>
      </c>
      <c r="B234" t="str">
        <v>ЩР-01</v>
      </c>
      <c r="C234" t="str">
        <v>QFD23</v>
      </c>
      <c r="D234" t="str">
        <v>кабель ВВГнг(А)-LS (3х2,5) → Розеточная группа, пом. 013A</v>
      </c>
      <c r="E234" t="str">
        <v>R.0.013A.1</v>
      </c>
      <c r="F234" t="str">
        <v>Розеточная группа, пом. 013A</v>
      </c>
    </row>
    <row r="235" spans="1:6" x14ac:dyDescent="0.3">
      <c r="A235">
        <v>232</v>
      </c>
      <c r="B235" t="str">
        <v>ЩР-01</v>
      </c>
      <c r="C235" t="str">
        <v>QFD24</v>
      </c>
      <c r="D235" t="str">
        <v>XT24</v>
      </c>
      <c r="E235" t="str">
        <v>R.0.013Б.1</v>
      </c>
      <c r="F235" t="str">
        <v>Розеточная группа, пом. 013Б</v>
      </c>
    </row>
    <row r="236" spans="1:6" x14ac:dyDescent="0.3">
      <c r="A236">
        <v>233</v>
      </c>
      <c r="B236" t="str">
        <v>ЩР-01</v>
      </c>
      <c r="C236" t="str">
        <v>XT24</v>
      </c>
      <c r="D236" t="str">
        <v>кабель ВВГнг(А)-LS (3х2,5) → Розеточная группа, пом. 013Б</v>
      </c>
      <c r="E236" t="str">
        <v>R.0.013Б.1</v>
      </c>
      <c r="F236" t="str">
        <v>Розеточная группа, пом. 013Б</v>
      </c>
    </row>
    <row r="237" spans="1:6" x14ac:dyDescent="0.3">
      <c r="A237">
        <v>234</v>
      </c>
      <c r="B237" t="str">
        <v>ЩР-01</v>
      </c>
      <c r="C237" t="str">
        <v>QFD25</v>
      </c>
      <c r="D237" t="str">
        <v>XT25</v>
      </c>
      <c r="E237" t="str">
        <v>R.0.013Б.2</v>
      </c>
      <c r="F237" t="str">
        <v>Розеточная группа, пом. 013Б</v>
      </c>
    </row>
    <row r="238" spans="1:6" x14ac:dyDescent="0.3">
      <c r="A238">
        <v>235</v>
      </c>
      <c r="B238" t="str">
        <v>ЩР-01</v>
      </c>
      <c r="C238" t="str">
        <v>XT25</v>
      </c>
      <c r="D238" t="str">
        <v>кабель ВВГнг(А)-LS (3х2,5) → Розеточная группа, пом. 013Б</v>
      </c>
      <c r="E238" t="str">
        <v>R.0.013Б.2</v>
      </c>
      <c r="F238" t="str">
        <v>Розеточная группа, пом. 013Б</v>
      </c>
    </row>
    <row r="239" spans="1:6" x14ac:dyDescent="0.3">
      <c r="A239">
        <v>236</v>
      </c>
      <c r="B239" t="str">
        <v>ЩР-01</v>
      </c>
      <c r="C239" t="str">
        <v>QFD26</v>
      </c>
      <c r="D239" t="str">
        <v>кабель ВВГнг(А)-LS (3х2,5) → Розеточная группа Цокольный этаж Пом. №013Б Полотенцесушитель</v>
      </c>
      <c r="E239" t="str">
        <v>R.0.013Б.3</v>
      </c>
      <c r="F239" t="str">
        <v>Розеточная группа Цокольный этаж Пом. №013Б Полотенцесушитель</v>
      </c>
    </row>
    <row r="240" spans="1:6" x14ac:dyDescent="0.3">
      <c r="A240">
        <v>237</v>
      </c>
      <c r="B240" t="str">
        <v>ЩР-01</v>
      </c>
      <c r="C240" t="str">
        <v>QFD27</v>
      </c>
      <c r="D240" t="str">
        <v>кабель ВВГнг(А)-LS (3х2,5) → Розеточная группа Цокольный этаж Пом. №013Б Сушильная машина</v>
      </c>
      <c r="E240" t="str">
        <v>R.0.013Б.4</v>
      </c>
      <c r="F240" t="str">
        <v>Розеточная группа Цокольный этаж Пом. №013Б Сушильная машина</v>
      </c>
    </row>
    <row r="241" spans="1:6" x14ac:dyDescent="0.3">
      <c r="A241">
        <v>238</v>
      </c>
      <c r="B241" t="str">
        <v>ЩР-01</v>
      </c>
      <c r="C241" t="str">
        <v>QFD28</v>
      </c>
      <c r="D241" t="str">
        <v>кабель ВВГнг(А)-LS (3х2,5) → Розеточная группа, пом. 015A</v>
      </c>
      <c r="E241" t="str">
        <v>R.0.015A.1</v>
      </c>
      <c r="F241" t="str">
        <v>Розеточная группа, пом. 015A</v>
      </c>
    </row>
    <row r="242" spans="1:6" x14ac:dyDescent="0.3">
      <c r="A242">
        <v>239</v>
      </c>
      <c r="B242" t="str">
        <v>ЩР-01</v>
      </c>
      <c r="C242" t="str">
        <v>QFD29</v>
      </c>
      <c r="D242" t="str">
        <v>кабель ВВГнг(А)-LS (3х2,5) → Розеточная группа, пом. 017A</v>
      </c>
      <c r="E242" t="str">
        <v>R.0.017A.1</v>
      </c>
      <c r="F242" t="str">
        <v>Розеточная группа, пом. 017A</v>
      </c>
    </row>
    <row r="243" spans="1:6" x14ac:dyDescent="0.3">
      <c r="A243">
        <v>240</v>
      </c>
      <c r="B243" t="str">
        <v>ЩР-01</v>
      </c>
      <c r="C243" t="str">
        <v>QFD30</v>
      </c>
      <c r="D243" t="str">
        <v>кабель ВВГнг(А)-LS (3х2,5) → Розеточная группа, пом. 018A</v>
      </c>
      <c r="E243" t="str">
        <v>R.0.018A.1</v>
      </c>
      <c r="F243" t="str">
        <v>Розеточная группа, пом. 018A</v>
      </c>
    </row>
    <row r="244" spans="1:6" x14ac:dyDescent="0.3">
      <c r="A244">
        <v>241</v>
      </c>
      <c r="B244" t="str">
        <v>ЩР-01</v>
      </c>
      <c r="C244" t="str">
        <v>QFD31</v>
      </c>
      <c r="D244" t="str">
        <v>кабель ВВГнг(А)-LS (3х2,5) → Розеточная группа, пом. 018Б</v>
      </c>
      <c r="E244" t="str">
        <v>R.0.018Б.1</v>
      </c>
      <c r="F244" t="str">
        <v>Розеточная группа, пом. 018Б</v>
      </c>
    </row>
    <row r="245" spans="1:6" x14ac:dyDescent="0.3">
      <c r="A245">
        <v>242</v>
      </c>
      <c r="B245" t="str">
        <v>ЩР-01</v>
      </c>
      <c r="C245" t="str">
        <v>QFD32</v>
      </c>
      <c r="D245" t="str">
        <v>кабель ВВГнг(А)-LS (3х2,5) → Розеточная группа, пом. 021A</v>
      </c>
      <c r="E245" t="str">
        <v>R.0.021A.1</v>
      </c>
      <c r="F245" t="str">
        <v>Розеточная группа, пом. 021A</v>
      </c>
    </row>
    <row r="246" spans="1:6" x14ac:dyDescent="0.3">
      <c r="A246">
        <v>243</v>
      </c>
      <c r="B246" t="str">
        <v>ЩР-01</v>
      </c>
      <c r="C246" t="str">
        <v>QFD33</v>
      </c>
      <c r="D246" t="str">
        <v>кабель ВВГнг(А)-LS (3х2,5) → Розеточная группа, пом. 022</v>
      </c>
      <c r="E246" t="str">
        <v>R.0.022.1</v>
      </c>
      <c r="F246" t="str">
        <v>Розеточная группа, пом. 022</v>
      </c>
    </row>
    <row r="247" spans="1:6" x14ac:dyDescent="0.3">
      <c r="A247">
        <v>244</v>
      </c>
      <c r="B247" t="str">
        <v>ЩР-01</v>
      </c>
      <c r="C247" t="str">
        <v>QFD34</v>
      </c>
      <c r="D247" t="str">
        <v>кабель ВВГнг(А)-LS (3х2,5) → Розеточная группа, пом. 012A</v>
      </c>
      <c r="E247" t="str">
        <v>R.0.012A.2</v>
      </c>
      <c r="F247" t="str">
        <v>Розеточная группа, пом. 012A</v>
      </c>
    </row>
    <row r="248" spans="1:6" x14ac:dyDescent="0.3">
      <c r="A248">
        <v>245</v>
      </c>
      <c r="B248" t="str">
        <v>ЩР-01</v>
      </c>
      <c r="C248" t="str">
        <v>QFD35</v>
      </c>
      <c r="D248" t="str">
        <v>кабель ВВГнг(А)-LS (3х2,5) → Розеточная группа, пом. 020A</v>
      </c>
      <c r="E248" t="str">
        <v>R.0.020A.1</v>
      </c>
      <c r="F248" t="str">
        <v>Розеточная группа, пом. 020A</v>
      </c>
    </row>
    <row r="249" spans="1:6" x14ac:dyDescent="0.3">
      <c r="A249">
        <v>246</v>
      </c>
      <c r="B249" t="str">
        <v>ЩР-01</v>
      </c>
      <c r="C249" t="str">
        <v>QF36</v>
      </c>
      <c r="D249" t="str">
        <v>XT36</v>
      </c>
      <c r="E249" t="str">
        <v>ШТК-1</v>
      </c>
      <c r="F249" t="str">
        <v>Шкаф телекоммуникационный ШТК-2 Цокольный этаж Пом. №002Т</v>
      </c>
    </row>
    <row r="250" spans="1:6" x14ac:dyDescent="0.3">
      <c r="A250">
        <v>247</v>
      </c>
      <c r="B250" t="str">
        <v>ЩР-01</v>
      </c>
      <c r="C250" t="str">
        <v>XT36</v>
      </c>
      <c r="D250" t="str">
        <v>кабель ВВГнг(А)-LS (3х6) → Шкаф телекоммуникационный ШТК-2 Цокольный этаж Пом. №002Т</v>
      </c>
      <c r="E250" t="str">
        <v>ШТК-1</v>
      </c>
      <c r="F250" t="str">
        <v>Шкаф телекоммуникационный ШТК-2 Цокольный этаж Пом. №002Т</v>
      </c>
    </row>
    <row r="251" spans="1:6" x14ac:dyDescent="0.3">
      <c r="A251">
        <v>248</v>
      </c>
      <c r="B251" t="str">
        <v>ЩР-01</v>
      </c>
      <c r="C251" t="str">
        <v>QF37</v>
      </c>
      <c r="D251" t="str">
        <v>XT37</v>
      </c>
      <c r="E251" t="str">
        <v>ШТК-СОТ.0</v>
      </c>
      <c r="F251" t="str">
        <v>Шкаф телекоммуникационный ШТК-СОТ.0 Цокольный этаж Пом. №002Т</v>
      </c>
    </row>
    <row r="252" spans="1:6" x14ac:dyDescent="0.3">
      <c r="A252">
        <v>249</v>
      </c>
      <c r="B252" t="str">
        <v>ЩР-01</v>
      </c>
      <c r="C252" t="str">
        <v>XT37</v>
      </c>
      <c r="D252" t="str">
        <v>кабель ВВГнг(А)-LS (3х2,5) → Шкаф телекоммуникационный ШТК-СОТ.0 Цокольный этаж Пом. №002Т</v>
      </c>
      <c r="E252" t="str">
        <v>ШТК-СОТ.0</v>
      </c>
      <c r="F252" t="str">
        <v>Шкаф телекоммуникационный ШТК-СОТ.0 Цокольный этаж Пом. №002Т</v>
      </c>
    </row>
    <row r="253" spans="1:6" x14ac:dyDescent="0.3">
      <c r="A253">
        <v>250</v>
      </c>
      <c r="B253" t="str">
        <v>ЩР-01</v>
      </c>
      <c r="C253" t="str">
        <v>QF38</v>
      </c>
      <c r="D253" t="str">
        <v>XT38</v>
      </c>
      <c r="E253" t="str">
        <v>ШТК-ЛВС.0</v>
      </c>
      <c r="F253" t="str">
        <v>Шкаф телекоммуникационный ШТК-ЛВС.0 Цокольный этаж Пом. №002Т</v>
      </c>
    </row>
    <row r="254" spans="1:6" x14ac:dyDescent="0.3">
      <c r="A254">
        <v>251</v>
      </c>
      <c r="B254" t="str">
        <v>ЩР-01</v>
      </c>
      <c r="C254" t="str">
        <v>XT38</v>
      </c>
      <c r="D254" t="str">
        <v>кабель ВВГнг(А)-LS (3х2,5) → Шкаф телекоммуникационный ШТК-ЛВС.0 Цокольный этаж Пом. №002Т</v>
      </c>
      <c r="E254" t="str">
        <v>ШТК-ЛВС.0</v>
      </c>
      <c r="F254" t="str">
        <v>Шкаф телекоммуникационный ШТК-ЛВС.0 Цокольный этаж Пом. №002Т</v>
      </c>
    </row>
    <row r="255" spans="1:6" x14ac:dyDescent="0.3">
      <c r="A255">
        <v>252</v>
      </c>
      <c r="B255" t="str">
        <v>ЩР-01</v>
      </c>
      <c r="C255" t="str">
        <v>QF39</v>
      </c>
      <c r="D255" t="str">
        <v>XT39</v>
      </c>
      <c r="E255" t="str">
        <v>ЩДК-01</v>
      </c>
      <c r="F255" t="str">
        <v>Щит контроля доступа ШДК-01 Цокольный этаж Пом. №001Т</v>
      </c>
    </row>
    <row r="256" spans="1:6" x14ac:dyDescent="0.3">
      <c r="A256">
        <v>253</v>
      </c>
      <c r="B256" t="str">
        <v>ЩР-01</v>
      </c>
      <c r="C256" t="str">
        <v>XT39</v>
      </c>
      <c r="D256" t="str">
        <v>кабель ВВГнг(А)-LS (3х2,5) → Щит контроля доступа ШДК-01 Цокольный этаж Пом. №001Т</v>
      </c>
      <c r="E256" t="str">
        <v>ЩДК-01</v>
      </c>
      <c r="F256" t="str">
        <v>Щит контроля доступа ШДК-01 Цокольный этаж Пом. №001Т</v>
      </c>
    </row>
    <row r="257" spans="1:6" x14ac:dyDescent="0.3">
      <c r="A257">
        <v>254</v>
      </c>
      <c r="B257" t="str">
        <v>ЩР-1</v>
      </c>
      <c r="C257" t="str">
        <v>QFD1</v>
      </c>
      <c r="D257" t="str">
        <v>XT1</v>
      </c>
      <c r="E257" t="str">
        <v>R.1.001A.1</v>
      </c>
      <c r="F257" t="str">
        <v>Розеточная группа, пом. 001A</v>
      </c>
    </row>
    <row r="258" spans="1:6" x14ac:dyDescent="0.3">
      <c r="A258">
        <v>255</v>
      </c>
      <c r="B258" t="str">
        <v>ЩР-1</v>
      </c>
      <c r="C258" t="str">
        <v>XT1</v>
      </c>
      <c r="D258" t="str">
        <v>кабель ВВГнг(А)-LS (3х2,5) → Розеточная группа, пом. 001A</v>
      </c>
      <c r="E258" t="str">
        <v>R.1.001A.1</v>
      </c>
      <c r="F258" t="str">
        <v>Розеточная группа, пом. 001A</v>
      </c>
    </row>
    <row r="259" spans="1:6" x14ac:dyDescent="0.3">
      <c r="A259">
        <v>256</v>
      </c>
      <c r="B259" t="str">
        <v>ЩР-1</v>
      </c>
      <c r="C259" t="str">
        <v>QFD2</v>
      </c>
      <c r="D259" t="str">
        <v>XT2</v>
      </c>
      <c r="E259" t="str">
        <v>R.1.001Aб.1</v>
      </c>
      <c r="F259" t="str">
        <v>Розеточная группа Первый этаж Пом. №001Aб, 002Аб</v>
      </c>
    </row>
    <row r="260" spans="1:6" x14ac:dyDescent="0.3">
      <c r="A260">
        <v>257</v>
      </c>
      <c r="B260" t="str">
        <v>ЩР-1</v>
      </c>
      <c r="C260" t="str">
        <v>XT2</v>
      </c>
      <c r="D260" t="str">
        <v>кабель ВВГнг(А)-LS (3х2,5) → Розеточная группа Первый этаж Пом. №001Aб, 002Аб</v>
      </c>
      <c r="E260" t="str">
        <v>R.1.001Aб.1</v>
      </c>
      <c r="F260" t="str">
        <v>Розеточная группа Первый этаж Пом. №001Aб, 002Аб</v>
      </c>
    </row>
    <row r="261" spans="1:6" x14ac:dyDescent="0.3">
      <c r="A261">
        <v>258</v>
      </c>
      <c r="B261" t="str">
        <v>ЩР-1</v>
      </c>
      <c r="C261" t="str">
        <v>QFD3</v>
      </c>
      <c r="D261" t="str">
        <v>XT3</v>
      </c>
      <c r="E261" t="str">
        <v>R.1.001Г.1</v>
      </c>
      <c r="F261" t="str">
        <v>Розеточная группа, пом. 001Г</v>
      </c>
    </row>
    <row r="262" spans="1:6" x14ac:dyDescent="0.3">
      <c r="A262">
        <v>259</v>
      </c>
      <c r="B262" t="str">
        <v>ЩР-1</v>
      </c>
      <c r="C262" t="str">
        <v>XT3</v>
      </c>
      <c r="D262" t="str">
        <v>кабель ВВГнг(А)-LS (3х2,5) → Розеточная группа, пом. 001Г</v>
      </c>
      <c r="E262" t="str">
        <v>R.1.001Г.1</v>
      </c>
      <c r="F262" t="str">
        <v>Розеточная группа, пом. 001Г</v>
      </c>
    </row>
    <row r="263" spans="1:6" x14ac:dyDescent="0.3">
      <c r="A263">
        <v>260</v>
      </c>
      <c r="B263" t="str">
        <v>ЩР-1</v>
      </c>
      <c r="C263" t="str">
        <v>QFD4</v>
      </c>
      <c r="D263" t="str">
        <v>XT4</v>
      </c>
      <c r="E263" t="str">
        <v>R.1.002A.1</v>
      </c>
      <c r="F263" t="str">
        <v>Розеточная группа Первый этаж Пом. №002A, 023А</v>
      </c>
    </row>
    <row r="264" spans="1:6" x14ac:dyDescent="0.3">
      <c r="A264">
        <v>261</v>
      </c>
      <c r="B264" t="str">
        <v>ЩР-1</v>
      </c>
      <c r="C264" t="str">
        <v>XT4</v>
      </c>
      <c r="D264" t="str">
        <v>кабель ВВГнг(А)-LS (3х2,5) → Розеточная группа Первый этаж Пом. №002A, 023А</v>
      </c>
      <c r="E264" t="str">
        <v>R.1.002A.1</v>
      </c>
      <c r="F264" t="str">
        <v>Розеточная группа Первый этаж Пом. №002A, 023А</v>
      </c>
    </row>
    <row r="265" spans="1:6" x14ac:dyDescent="0.3">
      <c r="A265">
        <v>262</v>
      </c>
      <c r="B265" t="str">
        <v>ЩР-1</v>
      </c>
      <c r="C265" t="str">
        <v>QFD5</v>
      </c>
      <c r="D265" t="str">
        <v>XT5</v>
      </c>
      <c r="E265" t="str">
        <v>R.1.002Aб.1</v>
      </c>
      <c r="F265" t="str">
        <v>Розеточная группа, пом. 002Aб</v>
      </c>
    </row>
    <row r="266" spans="1:6" x14ac:dyDescent="0.3">
      <c r="A266">
        <v>263</v>
      </c>
      <c r="B266" t="str">
        <v>ЩР-1</v>
      </c>
      <c r="C266" t="str">
        <v>XT5</v>
      </c>
      <c r="D266" t="str">
        <v>кабель ВВГнг(А)-LS (3х2,5) → Розеточная группа, пом. 002Aб</v>
      </c>
      <c r="E266" t="str">
        <v>R.1.002Aб.1</v>
      </c>
      <c r="F266" t="str">
        <v>Розеточная группа, пом. 002Aб</v>
      </c>
    </row>
    <row r="267" spans="1:6" x14ac:dyDescent="0.3">
      <c r="A267">
        <v>264</v>
      </c>
      <c r="B267" t="str">
        <v>ЩР-1</v>
      </c>
      <c r="C267" t="str">
        <v>QFD6</v>
      </c>
      <c r="D267" t="str">
        <v>XT6</v>
      </c>
      <c r="E267" t="str">
        <v>R.1.002Б.1</v>
      </c>
      <c r="F267" t="str">
        <v>Розеточная группа Первый этаж Пом. №002Б Ледогенератор</v>
      </c>
    </row>
    <row r="268" spans="1:6" x14ac:dyDescent="0.3">
      <c r="A268">
        <v>265</v>
      </c>
      <c r="B268" t="str">
        <v>ЩР-1</v>
      </c>
      <c r="C268" t="str">
        <v>XT6</v>
      </c>
      <c r="D268" t="str">
        <v>кабель ВВГнг(А)-LS (3х2,5) → Розеточная группа Первый этаж Пом. №002Б Ледогенератор</v>
      </c>
      <c r="E268" t="str">
        <v>R.1.002Б.1</v>
      </c>
      <c r="F268" t="str">
        <v>Розеточная группа Первый этаж Пом. №002Б Ледогенератор</v>
      </c>
    </row>
    <row r="269" spans="1:6" x14ac:dyDescent="0.3">
      <c r="A269">
        <v>266</v>
      </c>
      <c r="B269" t="str">
        <v>ЩР-1</v>
      </c>
      <c r="C269" t="str">
        <v>QFD7</v>
      </c>
      <c r="D269" t="str">
        <v>XT7</v>
      </c>
      <c r="E269" t="str">
        <v>R.1.002Б.2</v>
      </c>
      <c r="F269" t="str">
        <v>Розеточная группа, пом. 002Б</v>
      </c>
    </row>
    <row r="270" spans="1:6" x14ac:dyDescent="0.3">
      <c r="A270">
        <v>267</v>
      </c>
      <c r="B270" t="str">
        <v>ЩР-1</v>
      </c>
      <c r="C270" t="str">
        <v>XT7</v>
      </c>
      <c r="D270" t="str">
        <v>кабель ВВГнг(А)-LS (3х2,5) → Розеточная группа, пом. 002Б</v>
      </c>
      <c r="E270" t="str">
        <v>R.1.002Б.2</v>
      </c>
      <c r="F270" t="str">
        <v>Розеточная группа, пом. 002Б</v>
      </c>
    </row>
    <row r="271" spans="1:6" x14ac:dyDescent="0.3">
      <c r="A271">
        <v>268</v>
      </c>
      <c r="B271" t="str">
        <v>ЩР-1</v>
      </c>
      <c r="C271" t="str">
        <v>QFD8</v>
      </c>
      <c r="D271" t="str">
        <v>XT8</v>
      </c>
      <c r="E271" t="str">
        <v>R.1.002Б.3</v>
      </c>
      <c r="F271" t="str">
        <v>Розеточная группа Первый этаж Пом. №002Б Ледогенератор</v>
      </c>
    </row>
    <row r="272" spans="1:6" x14ac:dyDescent="0.3">
      <c r="A272">
        <v>269</v>
      </c>
      <c r="B272" t="str">
        <v>ЩР-1</v>
      </c>
      <c r="C272" t="str">
        <v>XT8</v>
      </c>
      <c r="D272" t="str">
        <v>кабель ВВГнг(А)-LS (3х2,5) → Розеточная группа Первый этаж Пом. №002Б Ледогенератор</v>
      </c>
      <c r="E272" t="str">
        <v>R.1.002Б.3</v>
      </c>
      <c r="F272" t="str">
        <v>Розеточная группа Первый этаж Пом. №002Б Ледогенератор</v>
      </c>
    </row>
    <row r="273" spans="1:6" x14ac:dyDescent="0.3">
      <c r="A273">
        <v>270</v>
      </c>
      <c r="B273" t="str">
        <v>ЩР-1</v>
      </c>
      <c r="C273" t="str">
        <v>QFD9</v>
      </c>
      <c r="D273" t="str">
        <v>кабель ВВГнг(А)-LS (3х2,5) → Розеточная группа Первый этаж Пом. №002Б Фартук</v>
      </c>
      <c r="E273" t="str">
        <v>R.1.002Б.4</v>
      </c>
      <c r="F273" t="str">
        <v>Розеточная группа Первый этаж Пом. №002Б Фартук</v>
      </c>
    </row>
    <row r="274" spans="1:6" x14ac:dyDescent="0.3">
      <c r="A274">
        <v>271</v>
      </c>
      <c r="B274" t="str">
        <v>ЩР-1</v>
      </c>
      <c r="C274" t="str">
        <v>QFD10</v>
      </c>
      <c r="D274" t="str">
        <v>XT10</v>
      </c>
      <c r="E274" t="str">
        <v>R.1.002Б.5</v>
      </c>
      <c r="F274" t="str">
        <v>Розеточная группа Первый этаж Пом. №002Б ПММ</v>
      </c>
    </row>
    <row r="275" spans="1:6" x14ac:dyDescent="0.3">
      <c r="A275">
        <v>272</v>
      </c>
      <c r="B275" t="str">
        <v>ЩР-1</v>
      </c>
      <c r="C275" t="str">
        <v>XT10</v>
      </c>
      <c r="D275" t="str">
        <v>кабель ВВГнг(А)-LS (3х4) → Розеточная группа Первый этаж Пом. №002Б ПММ</v>
      </c>
      <c r="E275" t="str">
        <v>R.1.002Б.5</v>
      </c>
      <c r="F275" t="str">
        <v>Розеточная группа Первый этаж Пом. №002Б ПММ</v>
      </c>
    </row>
    <row r="276" spans="1:6" x14ac:dyDescent="0.3">
      <c r="A276">
        <v>273</v>
      </c>
      <c r="B276" t="str">
        <v>ЩР-1</v>
      </c>
      <c r="C276" t="str">
        <v>QFD11</v>
      </c>
      <c r="D276" t="str">
        <v>кабель ВВГнг(А)-LS (3х4) → Розеточная группа Первый этаж Пом. №002Б Стаканомоечная машина</v>
      </c>
      <c r="E276" t="str">
        <v>R.1.002Б.6</v>
      </c>
      <c r="F276" t="str">
        <v>Розеточная группа Первый этаж Пом. №002Б Стаканомоечная машина</v>
      </c>
    </row>
    <row r="277" spans="1:6" x14ac:dyDescent="0.3">
      <c r="A277">
        <v>274</v>
      </c>
      <c r="B277" t="str">
        <v>ЩР-1</v>
      </c>
      <c r="C277" t="str">
        <v>QFD12</v>
      </c>
      <c r="D277" t="str">
        <v>кабель ВВГнг(А)-LS (3х2,5) → Розеточная группа, пом. 002Б</v>
      </c>
      <c r="E277" t="str">
        <v>R.1.002Б.7</v>
      </c>
      <c r="F277" t="str">
        <v>Розеточная группа, пом. 002Б</v>
      </c>
    </row>
    <row r="278" spans="1:6" x14ac:dyDescent="0.3">
      <c r="A278">
        <v>275</v>
      </c>
      <c r="B278" t="str">
        <v>ЩР-1</v>
      </c>
      <c r="C278" t="str">
        <v>QFD13</v>
      </c>
      <c r="D278" t="str">
        <v>кабель ВВГнг(А)-LS (3х2,5) → Розеточная группа, пом. 002Б</v>
      </c>
      <c r="E278" t="str">
        <v>R.1.002Б.8</v>
      </c>
      <c r="F278" t="str">
        <v>Розеточная группа, пом. 002Б</v>
      </c>
    </row>
    <row r="279" spans="1:6" x14ac:dyDescent="0.3">
      <c r="A279">
        <v>276</v>
      </c>
      <c r="B279" t="str">
        <v>ЩР-1</v>
      </c>
      <c r="C279" t="str">
        <v>QFD14</v>
      </c>
      <c r="D279" t="str">
        <v>кабель ВВГнг(А)-LS (3х2,5) → Розеточная группа, пом. 002Г</v>
      </c>
      <c r="E279" t="str">
        <v>R.1.002Г.1</v>
      </c>
      <c r="F279" t="str">
        <v>Розеточная группа, пом. 002Г</v>
      </c>
    </row>
    <row r="280" spans="1:6" x14ac:dyDescent="0.3">
      <c r="A280">
        <v>277</v>
      </c>
      <c r="B280" t="str">
        <v>ЩР-1</v>
      </c>
      <c r="C280" t="str">
        <v>QFD15</v>
      </c>
      <c r="D280" t="str">
        <v>кабель ВВГнг(А)-LS (3х2,5) → Розеточная группа, пом. 003A</v>
      </c>
      <c r="E280" t="str">
        <v>R.1.003A.1</v>
      </c>
      <c r="F280" t="str">
        <v>Розеточная группа, пом. 003A</v>
      </c>
    </row>
    <row r="281" spans="1:6" x14ac:dyDescent="0.3">
      <c r="A281">
        <v>278</v>
      </c>
      <c r="B281" t="str">
        <v>ЩР-1</v>
      </c>
      <c r="C281" t="str">
        <v>QFD16</v>
      </c>
      <c r="D281" t="str">
        <v>кабель ВВГнг(А)-LS (3х2,5) → Розеточная группа, пом. 003A</v>
      </c>
      <c r="E281" t="str">
        <v>R.1.003A.2</v>
      </c>
      <c r="F281" t="str">
        <v>Розеточная группа, пом. 003A</v>
      </c>
    </row>
    <row r="282" spans="1:6" x14ac:dyDescent="0.3">
      <c r="A282">
        <v>279</v>
      </c>
      <c r="B282" t="str">
        <v>ЩР-1</v>
      </c>
      <c r="C282" t="str">
        <v>QFD17</v>
      </c>
      <c r="D282" t="str">
        <v>кабель ВВГнг(А)-LS (3х2,5) → Розеточная группа, пом. 003A</v>
      </c>
      <c r="E282" t="str">
        <v>R.1.003A.3</v>
      </c>
      <c r="F282" t="str">
        <v>Розеточная группа, пом. 003A</v>
      </c>
    </row>
    <row r="283" spans="1:6" x14ac:dyDescent="0.3">
      <c r="A283">
        <v>280</v>
      </c>
      <c r="B283" t="str">
        <v>ЩР-1</v>
      </c>
      <c r="C283" t="str">
        <v>QFD18</v>
      </c>
      <c r="D283" t="str">
        <v>кабель ВВГнг(А)-LS (3х2,5) → Розеточная группа, пом. 003A2</v>
      </c>
      <c r="E283" t="str">
        <v>R.1.003A2</v>
      </c>
      <c r="F283" t="str">
        <v>Розеточная группа, пом. 003A2</v>
      </c>
    </row>
    <row r="284" spans="1:6" x14ac:dyDescent="0.3">
      <c r="A284">
        <v>281</v>
      </c>
      <c r="B284" t="str">
        <v>ЩР-1</v>
      </c>
      <c r="C284" t="str">
        <v>QFD19</v>
      </c>
      <c r="D284" t="str">
        <v>кабель ВВГнг(А)-LS (3х2,5) → Розеточная группа, пом. 003Aб</v>
      </c>
      <c r="E284" t="str">
        <v>R.1.003Aб.1</v>
      </c>
      <c r="F284" t="str">
        <v>Розеточная группа, пом. 003Aб</v>
      </c>
    </row>
    <row r="285" spans="1:6" x14ac:dyDescent="0.3">
      <c r="A285">
        <v>282</v>
      </c>
      <c r="B285" t="str">
        <v>ЩР-1</v>
      </c>
      <c r="C285" t="str">
        <v>QFD20</v>
      </c>
      <c r="D285" t="str">
        <v>кабель ВВГнг(А)-LS (3х2,5) → Розеточная группа, пом. 003Б</v>
      </c>
      <c r="E285" t="str">
        <v>R.1.003Б.1</v>
      </c>
      <c r="F285" t="str">
        <v>Розеточная группа, пом. 003Б</v>
      </c>
    </row>
    <row r="286" spans="1:6" x14ac:dyDescent="0.3">
      <c r="A286">
        <v>283</v>
      </c>
      <c r="B286" t="str">
        <v>ЩР-1</v>
      </c>
      <c r="C286" t="str">
        <v>QFD21</v>
      </c>
      <c r="D286" t="str">
        <v>кабель ВВГнг(А)-LS (3х2,5) → Розеточная группа, пом. 003Б</v>
      </c>
      <c r="E286" t="str">
        <v>R.1.003Б.2</v>
      </c>
      <c r="F286" t="str">
        <v>Розеточная группа, пом. 003Б</v>
      </c>
    </row>
    <row r="287" spans="1:6" x14ac:dyDescent="0.3">
      <c r="A287">
        <v>284</v>
      </c>
      <c r="B287" t="str">
        <v>ЩР-1</v>
      </c>
      <c r="C287" t="str">
        <v>QFD22</v>
      </c>
      <c r="D287" t="str">
        <v>кабель ВВГнг(А)-LS (3х2,5) → Розеточная группа, пом. 003Г</v>
      </c>
      <c r="E287" t="str">
        <v>R.1.003Г.1</v>
      </c>
      <c r="F287" t="str">
        <v>Розеточная группа, пом. 003Г</v>
      </c>
    </row>
    <row r="288" spans="1:6" x14ac:dyDescent="0.3">
      <c r="A288">
        <v>285</v>
      </c>
      <c r="B288" t="str">
        <v>ЩР-1</v>
      </c>
      <c r="C288" t="str">
        <v>QFD23</v>
      </c>
      <c r="D288" t="str">
        <v>кабель ВВГнг(А)-LS (3х2,5) → Розеточная группа, пом. 004Aб</v>
      </c>
      <c r="E288" t="str">
        <v>R.1.004Aб.1</v>
      </c>
      <c r="F288" t="str">
        <v>Розеточная группа, пом. 004Aб</v>
      </c>
    </row>
    <row r="289" spans="1:6" x14ac:dyDescent="0.3">
      <c r="A289">
        <v>286</v>
      </c>
      <c r="B289" t="str">
        <v>ЩР-1</v>
      </c>
      <c r="C289" t="str">
        <v>QFD24</v>
      </c>
      <c r="D289" t="str">
        <v>XT24</v>
      </c>
      <c r="E289" t="str">
        <v>R.1.005A.1</v>
      </c>
      <c r="F289" t="str">
        <v>Розеточная группа, пом. 005A</v>
      </c>
    </row>
    <row r="290" spans="1:6" x14ac:dyDescent="0.3">
      <c r="A290">
        <v>287</v>
      </c>
      <c r="B290" t="str">
        <v>ЩР-1</v>
      </c>
      <c r="C290" t="str">
        <v>XT24</v>
      </c>
      <c r="D290" t="str">
        <v>кабель ВВГнг(А)-LS (3х2,5) → Розеточная группа, пом. 005A</v>
      </c>
      <c r="E290" t="str">
        <v>R.1.005A.1</v>
      </c>
      <c r="F290" t="str">
        <v>Розеточная группа, пом. 005A</v>
      </c>
    </row>
    <row r="291" spans="1:6" x14ac:dyDescent="0.3">
      <c r="A291">
        <v>288</v>
      </c>
      <c r="B291" t="str">
        <v>ЩР-1</v>
      </c>
      <c r="C291" t="str">
        <v>QFD25</v>
      </c>
      <c r="D291" t="str">
        <v>XT25</v>
      </c>
      <c r="E291" t="str">
        <v>R.1.006A.1</v>
      </c>
      <c r="F291" t="str">
        <v>Розеточная группа, пом. 006A</v>
      </c>
    </row>
    <row r="292" spans="1:6" x14ac:dyDescent="0.3">
      <c r="A292">
        <v>289</v>
      </c>
      <c r="B292" t="str">
        <v>ЩР-1</v>
      </c>
      <c r="C292" t="str">
        <v>XT25</v>
      </c>
      <c r="D292" t="str">
        <v>кабель ВВГнг(А)-LS (3х2,5) → Розеточная группа, пом. 006A</v>
      </c>
      <c r="E292" t="str">
        <v>R.1.006A.1</v>
      </c>
      <c r="F292" t="str">
        <v>Розеточная группа, пом. 006A</v>
      </c>
    </row>
    <row r="293" spans="1:6" x14ac:dyDescent="0.3">
      <c r="A293">
        <v>290</v>
      </c>
      <c r="B293" t="str">
        <v>ЩР-1</v>
      </c>
      <c r="C293" t="str">
        <v>QFD26</v>
      </c>
      <c r="D293" t="str">
        <v>кабель ВВГнг(А)-LS (3х2,5) → Розеточная группа, пом. 006Aб</v>
      </c>
      <c r="E293" t="str">
        <v>R.1.006Aб.1</v>
      </c>
      <c r="F293" t="str">
        <v>Розеточная группа, пом. 006Aб</v>
      </c>
    </row>
    <row r="294" spans="1:6" x14ac:dyDescent="0.3">
      <c r="A294">
        <v>291</v>
      </c>
      <c r="B294" t="str">
        <v>ЩР-1</v>
      </c>
      <c r="C294" t="str">
        <v>QFD27</v>
      </c>
      <c r="D294" t="str">
        <v>кабель ВВГнг(А)-LS (3х2,5) → Розеточная группа, пом. 006Aб</v>
      </c>
      <c r="E294" t="str">
        <v>R.1.006Aб.2</v>
      </c>
      <c r="F294" t="str">
        <v>Розеточная группа, пом. 006Aб</v>
      </c>
    </row>
    <row r="295" spans="1:6" x14ac:dyDescent="0.3">
      <c r="A295">
        <v>292</v>
      </c>
      <c r="B295" t="str">
        <v>ЩР-1</v>
      </c>
      <c r="C295" t="str">
        <v>QFD28</v>
      </c>
      <c r="D295" t="str">
        <v>кабель ВВГнг(А)-LS (3х2,5) → Розеточная группа, пом. 007A</v>
      </c>
      <c r="E295" t="str">
        <v>R.1.007A.1</v>
      </c>
      <c r="F295" t="str">
        <v>Розеточная группа, пом. 007A</v>
      </c>
    </row>
    <row r="296" spans="1:6" x14ac:dyDescent="0.3">
      <c r="A296">
        <v>293</v>
      </c>
      <c r="B296" t="str">
        <v>ЩР-1</v>
      </c>
      <c r="C296" t="str">
        <v>QFD29</v>
      </c>
      <c r="D296" t="str">
        <v>кабель ВВГнг(А)-LS (3х2,5) → Розеточная группа, пом. 008A</v>
      </c>
      <c r="E296" t="str">
        <v>R.1.008A.1</v>
      </c>
      <c r="F296" t="str">
        <v>Розеточная группа, пом. 008A</v>
      </c>
    </row>
    <row r="297" spans="1:6" x14ac:dyDescent="0.3">
      <c r="A297">
        <v>294</v>
      </c>
      <c r="B297" t="str">
        <v>ЩР-1</v>
      </c>
      <c r="C297" t="str">
        <v>QFD30</v>
      </c>
      <c r="D297" t="str">
        <v>кабель ВВГнг(А)-LS (3х2,5) → Розеточная группа, пом. 009A</v>
      </c>
      <c r="E297" t="str">
        <v>R.1.009A.1</v>
      </c>
      <c r="F297" t="str">
        <v>Розеточная группа, пом. 009A</v>
      </c>
    </row>
    <row r="298" spans="1:6" x14ac:dyDescent="0.3">
      <c r="A298">
        <v>295</v>
      </c>
      <c r="B298" t="str">
        <v>ЩР-1</v>
      </c>
      <c r="C298" t="str">
        <v>QFD31</v>
      </c>
      <c r="D298" t="str">
        <v>кабель ВВГнг(А)-LS (3х2,5) → Розеточная группа, пом. 010A</v>
      </c>
      <c r="E298" t="str">
        <v>R.1.010A.1</v>
      </c>
      <c r="F298" t="str">
        <v>Розеточная группа, пом. 010A</v>
      </c>
    </row>
    <row r="299" spans="1:6" x14ac:dyDescent="0.3">
      <c r="A299">
        <v>296</v>
      </c>
      <c r="B299" t="str">
        <v>ЩР-1</v>
      </c>
      <c r="C299" t="str">
        <v>QFD32</v>
      </c>
      <c r="D299" t="str">
        <v>кабель ВВГнг(А)-LS (3х2,5) → Розеточная группа, пом. 011A</v>
      </c>
      <c r="E299" t="str">
        <v>R.1.011A.1</v>
      </c>
      <c r="F299" t="str">
        <v>Розеточная группа, пом. 011A</v>
      </c>
    </row>
    <row r="300" spans="1:6" x14ac:dyDescent="0.3">
      <c r="A300">
        <v>297</v>
      </c>
      <c r="B300" t="str">
        <v>ЩР-1</v>
      </c>
      <c r="C300" t="str">
        <v>QFD33</v>
      </c>
      <c r="D300" t="str">
        <v>кабель ВВГнг(А)-LS (3х2,5) → Розеточная группа, пом. 012</v>
      </c>
      <c r="E300" t="str">
        <v>R.1.012.1A.1</v>
      </c>
      <c r="F300" t="str">
        <v>Розеточная группа, пом. 012</v>
      </c>
    </row>
    <row r="301" spans="1:6" x14ac:dyDescent="0.3">
      <c r="A301">
        <v>298</v>
      </c>
      <c r="B301" t="str">
        <v>ЩР-1</v>
      </c>
      <c r="C301" t="str">
        <v>QFD34</v>
      </c>
      <c r="D301" t="str">
        <v>кабель ВВГнг(А)-LS (3х2,5) → Розеточная группа, пом. 013A</v>
      </c>
      <c r="E301" t="str">
        <v>R.1.013A.1</v>
      </c>
      <c r="F301" t="str">
        <v>Розеточная группа, пом. 013A</v>
      </c>
    </row>
    <row r="302" spans="1:6" x14ac:dyDescent="0.3">
      <c r="A302">
        <v>299</v>
      </c>
      <c r="B302" t="str">
        <v>ЩР-1</v>
      </c>
      <c r="C302" t="str">
        <v>QFD35</v>
      </c>
      <c r="D302" t="str">
        <v>кабель ВВГнг(А)-LS (3х2,5) → Розеточная группа, пом. 014A</v>
      </c>
      <c r="E302" t="str">
        <v>R.1.014A.1</v>
      </c>
      <c r="F302" t="str">
        <v>Розеточная группа, пом. 014A</v>
      </c>
    </row>
    <row r="303" spans="1:6" x14ac:dyDescent="0.3">
      <c r="A303">
        <v>300</v>
      </c>
      <c r="B303" t="str">
        <v>ЩР-1</v>
      </c>
      <c r="C303" t="str">
        <v>QFD36</v>
      </c>
      <c r="D303" t="str">
        <v>XT36</v>
      </c>
      <c r="E303" t="str">
        <v>R.1.015A.1</v>
      </c>
      <c r="F303" t="str">
        <v>Розеточная группа, пом. 015A</v>
      </c>
    </row>
    <row r="304" spans="1:6" x14ac:dyDescent="0.3">
      <c r="A304">
        <v>301</v>
      </c>
      <c r="B304" t="str">
        <v>ЩР-1</v>
      </c>
      <c r="C304" t="str">
        <v>XT36</v>
      </c>
      <c r="D304" t="str">
        <v>кабель ВВГнг(А)-LS (3х2,5) → Розеточная группа, пом. 015A</v>
      </c>
      <c r="E304" t="str">
        <v>R.1.015A.1</v>
      </c>
      <c r="F304" t="str">
        <v>Розеточная группа, пом. 015A</v>
      </c>
    </row>
    <row r="305" spans="1:6" x14ac:dyDescent="0.3">
      <c r="A305">
        <v>302</v>
      </c>
      <c r="B305" t="str">
        <v>ЩР-1</v>
      </c>
      <c r="C305" t="str">
        <v>QFD37</v>
      </c>
      <c r="D305" t="str">
        <v>XT37</v>
      </c>
      <c r="E305" t="str">
        <v>R.1.016A.1</v>
      </c>
      <c r="F305" t="str">
        <v>Розеточная группа, пом. 016A</v>
      </c>
    </row>
    <row r="306" spans="1:6" x14ac:dyDescent="0.3">
      <c r="A306">
        <v>303</v>
      </c>
      <c r="B306" t="str">
        <v>ЩР-1</v>
      </c>
      <c r="C306" t="str">
        <v>XT37</v>
      </c>
      <c r="D306" t="str">
        <v>кабель ВВГнг(А)-LS (3х2,5) → Розеточная группа, пом. 016A</v>
      </c>
      <c r="E306" t="str">
        <v>R.1.016A.1</v>
      </c>
      <c r="F306" t="str">
        <v>Розеточная группа, пом. 016A</v>
      </c>
    </row>
    <row r="307" spans="1:6" x14ac:dyDescent="0.3">
      <c r="A307">
        <v>304</v>
      </c>
      <c r="B307" t="str">
        <v>ЩР-1</v>
      </c>
      <c r="C307" t="str">
        <v>QFD38</v>
      </c>
      <c r="D307" t="str">
        <v>XT38</v>
      </c>
      <c r="E307" t="str">
        <v>R.1.017A.1</v>
      </c>
      <c r="F307" t="str">
        <v>Розеточная группа, пом. 017A</v>
      </c>
    </row>
    <row r="308" spans="1:6" x14ac:dyDescent="0.3">
      <c r="A308">
        <v>305</v>
      </c>
      <c r="B308" t="str">
        <v>ЩР-1</v>
      </c>
      <c r="C308" t="str">
        <v>XT38</v>
      </c>
      <c r="D308" t="str">
        <v>кабель ВВГнг(А)-LS (3х2,5) → Розеточная группа, пом. 017A</v>
      </c>
      <c r="E308" t="str">
        <v>R.1.017A.1</v>
      </c>
      <c r="F308" t="str">
        <v>Розеточная группа, пом. 017A</v>
      </c>
    </row>
    <row r="309" spans="1:6" x14ac:dyDescent="0.3">
      <c r="A309">
        <v>306</v>
      </c>
      <c r="B309" t="str">
        <v>ЩР-1</v>
      </c>
      <c r="C309" t="str">
        <v>QFD39</v>
      </c>
      <c r="D309" t="str">
        <v>XT39</v>
      </c>
      <c r="E309" t="str">
        <v>R.1.017A.2</v>
      </c>
      <c r="F309" t="str">
        <v>Розеточная группа, пом. 017A</v>
      </c>
    </row>
    <row r="310" spans="1:6" x14ac:dyDescent="0.3">
      <c r="A310">
        <v>307</v>
      </c>
      <c r="B310" t="str">
        <v>ЩР-1</v>
      </c>
      <c r="C310" t="str">
        <v>XT39</v>
      </c>
      <c r="D310" t="str">
        <v>кабель ВВГнг(А)-LS (3х2,5) → Розеточная группа, пом. 017A</v>
      </c>
      <c r="E310" t="str">
        <v>R.1.017A.2</v>
      </c>
      <c r="F310" t="str">
        <v>Розеточная группа, пом. 017A</v>
      </c>
    </row>
    <row r="311" spans="1:6" x14ac:dyDescent="0.3">
      <c r="A311">
        <v>308</v>
      </c>
      <c r="B311" t="str">
        <v>ЩР-1</v>
      </c>
      <c r="C311" t="str">
        <v>QFD40</v>
      </c>
      <c r="D311" t="str">
        <v>XT40</v>
      </c>
      <c r="E311" t="str">
        <v>R.1.018A.1</v>
      </c>
      <c r="F311" t="str">
        <v>Розеточная группа, пом. 018A</v>
      </c>
    </row>
    <row r="312" spans="1:6" x14ac:dyDescent="0.3">
      <c r="A312">
        <v>309</v>
      </c>
      <c r="B312" t="str">
        <v>ЩР-1</v>
      </c>
      <c r="C312" t="str">
        <v>XT40</v>
      </c>
      <c r="D312" t="str">
        <v>кабель ВВГнг(А)-LS (3х2,5) → Розеточная группа, пом. 018A</v>
      </c>
      <c r="E312" t="str">
        <v>R.1.018A.1</v>
      </c>
      <c r="F312" t="str">
        <v>Розеточная группа, пом. 018A</v>
      </c>
    </row>
    <row r="313" spans="1:6" x14ac:dyDescent="0.3">
      <c r="A313">
        <v>310</v>
      </c>
      <c r="B313" t="str">
        <v>ЩР-1</v>
      </c>
      <c r="C313" t="str">
        <v>QFD41</v>
      </c>
      <c r="D313" t="str">
        <v>XT41</v>
      </c>
      <c r="E313" t="str">
        <v>R.1.019A.1</v>
      </c>
      <c r="F313" t="str">
        <v>Розеточная группа Первый этаж Пом. №019A Полотенцесушитель</v>
      </c>
    </row>
    <row r="314" spans="1:6" x14ac:dyDescent="0.3">
      <c r="A314">
        <v>311</v>
      </c>
      <c r="B314" t="str">
        <v>ЩР-1</v>
      </c>
      <c r="C314" t="str">
        <v>XT41</v>
      </c>
      <c r="D314" t="str">
        <v>кабель ВВГнг(А)-LS (3х2,5) → Розеточная группа Первый этаж Пом. №019A Полотенцесушитель</v>
      </c>
      <c r="E314" t="str">
        <v>R.1.019A.1</v>
      </c>
      <c r="F314" t="str">
        <v>Розеточная группа Первый этаж Пом. №019A Полотенцесушитель</v>
      </c>
    </row>
    <row r="315" spans="1:6" x14ac:dyDescent="0.3">
      <c r="A315">
        <v>312</v>
      </c>
      <c r="B315" t="str">
        <v>ЩР-1</v>
      </c>
      <c r="C315" t="str">
        <v>QFD42</v>
      </c>
      <c r="D315" t="str">
        <v>XT42</v>
      </c>
      <c r="E315" t="str">
        <v>R.1.020A.2</v>
      </c>
      <c r="F315" t="str">
        <v>Розеточная группа, пом. 020A</v>
      </c>
    </row>
    <row r="316" spans="1:6" x14ac:dyDescent="0.3">
      <c r="A316">
        <v>313</v>
      </c>
      <c r="B316" t="str">
        <v>ЩР-1</v>
      </c>
      <c r="C316" t="str">
        <v>XT42</v>
      </c>
      <c r="D316" t="str">
        <v>кабель ВВГнг(А)-LS (3х2,5) → Розеточная группа, пом. 020A</v>
      </c>
      <c r="E316" t="str">
        <v>R.1.020A.2</v>
      </c>
      <c r="F316" t="str">
        <v>Розеточная группа, пом. 020A</v>
      </c>
    </row>
    <row r="317" spans="1:6" x14ac:dyDescent="0.3">
      <c r="A317">
        <v>314</v>
      </c>
      <c r="B317" t="str">
        <v>ЩР-1</v>
      </c>
      <c r="C317" t="str">
        <v>QFD43</v>
      </c>
      <c r="D317" t="str">
        <v>XT43</v>
      </c>
      <c r="E317" t="str">
        <v>R.1.021A.1</v>
      </c>
      <c r="F317" t="str">
        <v>Розеточная группа Первый этаж Пом. №021A Кофемашина</v>
      </c>
    </row>
    <row r="318" spans="1:6" x14ac:dyDescent="0.3">
      <c r="A318">
        <v>315</v>
      </c>
      <c r="B318" t="str">
        <v>ЩР-1</v>
      </c>
      <c r="C318" t="str">
        <v>XT43</v>
      </c>
      <c r="D318" t="str">
        <v>кабель ВВГнг(А)-LS (3х2,5) → Розеточная группа Первый этаж Пом. №021A Кофемашина</v>
      </c>
      <c r="E318" t="str">
        <v>R.1.021A.1</v>
      </c>
      <c r="F318" t="str">
        <v>Розеточная группа Первый этаж Пом. №021A Кофемашина</v>
      </c>
    </row>
    <row r="319" spans="1:6" x14ac:dyDescent="0.3">
      <c r="A319">
        <v>316</v>
      </c>
      <c r="B319" t="str">
        <v>ЩР-1</v>
      </c>
      <c r="C319" t="str">
        <v>QFD44</v>
      </c>
      <c r="D319" t="str">
        <v>XT44</v>
      </c>
      <c r="E319" t="str">
        <v>R.1.021A.10</v>
      </c>
      <c r="F319" t="str">
        <v>Розеточная группа Первый этаж Пом. №021A ПММ</v>
      </c>
    </row>
    <row r="320" spans="1:6" x14ac:dyDescent="0.3">
      <c r="A320">
        <v>317</v>
      </c>
      <c r="B320" t="str">
        <v>ЩР-1</v>
      </c>
      <c r="C320" t="str">
        <v>XT44</v>
      </c>
      <c r="D320" t="str">
        <v>кабель ВВГнг(А)-LS (3х2,5) → Розеточная группа Первый этаж Пом. №021A ПММ</v>
      </c>
      <c r="E320" t="str">
        <v>R.1.021A.10</v>
      </c>
      <c r="F320" t="str">
        <v>Розеточная группа Первый этаж Пом. №021A ПММ</v>
      </c>
    </row>
    <row r="321" spans="1:6" x14ac:dyDescent="0.3">
      <c r="A321">
        <v>318</v>
      </c>
      <c r="B321" t="str">
        <v>ЩР-1</v>
      </c>
      <c r="C321" t="str">
        <v>QFD45</v>
      </c>
      <c r="D321" t="str">
        <v>XT45</v>
      </c>
      <c r="E321" t="str">
        <v>R.1.021A.11</v>
      </c>
      <c r="F321" t="str">
        <v>Розеточная группа, пом. 021A</v>
      </c>
    </row>
    <row r="322" spans="1:6" x14ac:dyDescent="0.3">
      <c r="A322">
        <v>319</v>
      </c>
      <c r="B322" t="str">
        <v>ЩР-1</v>
      </c>
      <c r="C322" t="str">
        <v>XT45</v>
      </c>
      <c r="D322" t="str">
        <v>кабель ВВГнг(А)-LS (3х2,5) → Розеточная группа, пом. 021A</v>
      </c>
      <c r="E322" t="str">
        <v>R.1.021A.11</v>
      </c>
      <c r="F322" t="str">
        <v>Розеточная группа, пом. 021A</v>
      </c>
    </row>
    <row r="323" spans="1:6" x14ac:dyDescent="0.3">
      <c r="A323">
        <v>320</v>
      </c>
      <c r="B323" t="str">
        <v>ЩР-1</v>
      </c>
      <c r="C323" t="str">
        <v>QFD46</v>
      </c>
      <c r="D323" t="str">
        <v>XT46</v>
      </c>
      <c r="E323" t="str">
        <v>R.1.021A.2</v>
      </c>
      <c r="F323" t="str">
        <v>Розеточная группа Первый этаж Пом. №021A Духовой шкаф</v>
      </c>
    </row>
    <row r="324" spans="1:6" x14ac:dyDescent="0.3">
      <c r="A324">
        <v>321</v>
      </c>
      <c r="B324" t="str">
        <v>ЩР-1</v>
      </c>
      <c r="C324" t="str">
        <v>XT46</v>
      </c>
      <c r="D324" t="str">
        <v>кабель ВВГнг(А)-LS (3х4) → Розеточная группа Первый этаж Пом. №021A Духовой шкаф</v>
      </c>
      <c r="E324" t="str">
        <v>R.1.021A.2</v>
      </c>
      <c r="F324" t="str">
        <v>Розеточная группа Первый этаж Пом. №021A Духовой шкаф</v>
      </c>
    </row>
    <row r="325" spans="1:6" x14ac:dyDescent="0.3">
      <c r="A325">
        <v>322</v>
      </c>
      <c r="B325" t="str">
        <v>ЩР-1</v>
      </c>
      <c r="C325" t="str">
        <v>QFD47</v>
      </c>
      <c r="D325" t="str">
        <v>XT47</v>
      </c>
      <c r="E325" t="str">
        <v>R.1.021A.3</v>
      </c>
      <c r="F325" t="str">
        <v>Розеточная группа Первый этаж Пом. №021A Микроволновая печь</v>
      </c>
    </row>
    <row r="326" spans="1:6" x14ac:dyDescent="0.3">
      <c r="A326">
        <v>323</v>
      </c>
      <c r="B326" t="str">
        <v>ЩР-1</v>
      </c>
      <c r="C326" t="str">
        <v>XT47</v>
      </c>
      <c r="D326" t="str">
        <v>кабель ВВГнг(А)-LS (3х2,5) → Розеточная группа Первый этаж Пом. №021A Микроволновая печь</v>
      </c>
      <c r="E326" t="str">
        <v>R.1.021A.3</v>
      </c>
      <c r="F326" t="str">
        <v>Розеточная группа Первый этаж Пом. №021A Микроволновая печь</v>
      </c>
    </row>
    <row r="327" spans="1:6" x14ac:dyDescent="0.3">
      <c r="A327">
        <v>324</v>
      </c>
      <c r="B327" t="str">
        <v>ЩР-1</v>
      </c>
      <c r="C327" t="str">
        <v>QFD48</v>
      </c>
      <c r="D327" t="str">
        <v>XT48</v>
      </c>
      <c r="E327" t="str">
        <v>R.1.021A.4</v>
      </c>
      <c r="F327" t="str">
        <v>Розеточная группа Первый этаж Пом. №021A Холодильник, морозильная камера</v>
      </c>
    </row>
    <row r="328" spans="1:6" x14ac:dyDescent="0.3">
      <c r="A328">
        <v>325</v>
      </c>
      <c r="B328" t="str">
        <v>ЩР-1</v>
      </c>
      <c r="C328" t="str">
        <v>XT48</v>
      </c>
      <c r="D328" t="str">
        <v>кабель ВВГнг(А)-LS (3х2,5) → Розеточная группа Первый этаж Пом. №021A Холодильник, морозильная камера</v>
      </c>
      <c r="E328" t="str">
        <v>R.1.021A.4</v>
      </c>
      <c r="F328" t="str">
        <v>Розеточная группа Первый этаж Пом. №021A Холодильник, морозильная камера</v>
      </c>
    </row>
    <row r="329" spans="1:6" x14ac:dyDescent="0.3">
      <c r="A329">
        <v>326</v>
      </c>
      <c r="B329" t="str">
        <v>ЩР-1</v>
      </c>
      <c r="C329" t="str">
        <v>QFD49</v>
      </c>
      <c r="D329" t="str">
        <v>XT49</v>
      </c>
      <c r="E329" t="str">
        <v>R.1.021A.6</v>
      </c>
      <c r="F329" t="str">
        <v>Розеточная группа Первый этаж Пом. №021A Вывод для вытяжки</v>
      </c>
    </row>
    <row r="330" spans="1:6" x14ac:dyDescent="0.3">
      <c r="A330">
        <v>327</v>
      </c>
      <c r="B330" t="str">
        <v>ЩР-1</v>
      </c>
      <c r="C330" t="str">
        <v>XT49</v>
      </c>
      <c r="D330" t="str">
        <v>кабель ВВГнг(А)-LS (3х2,5) → Розеточная группа Первый этаж Пом. №021A Вывод для вытяжки</v>
      </c>
      <c r="E330" t="str">
        <v>R.1.021A.6</v>
      </c>
      <c r="F330" t="str">
        <v>Розеточная группа Первый этаж Пом. №021A Вывод для вытяжки</v>
      </c>
    </row>
    <row r="331" spans="1:6" x14ac:dyDescent="0.3">
      <c r="A331">
        <v>328</v>
      </c>
      <c r="B331" t="str">
        <v>ЩР-1</v>
      </c>
      <c r="C331" t="str">
        <v>QFD50</v>
      </c>
      <c r="D331" t="str">
        <v>XT50</v>
      </c>
      <c r="E331" t="str">
        <v>R.1.021A.7</v>
      </c>
      <c r="F331" t="str">
        <v>Розеточная группа Первый этаж Пом. №021A Вывод на варочную панель</v>
      </c>
    </row>
    <row r="332" spans="1:6" x14ac:dyDescent="0.3">
      <c r="A332">
        <v>329</v>
      </c>
      <c r="B332" t="str">
        <v>ЩР-1</v>
      </c>
      <c r="C332" t="str">
        <v>XT50</v>
      </c>
      <c r="D332" t="str">
        <v>кабель ВВГнг(А)-LS (5х4) → Розеточная группа Первый этаж Пом. №021A Вывод на варочную панель</v>
      </c>
      <c r="E332" t="str">
        <v>R.1.021A.7</v>
      </c>
      <c r="F332" t="str">
        <v>Розеточная группа Первый этаж Пом. №021A Вывод на варочную панель</v>
      </c>
    </row>
    <row r="333" spans="1:6" x14ac:dyDescent="0.3">
      <c r="A333">
        <v>330</v>
      </c>
      <c r="B333" t="str">
        <v>ЩР-1</v>
      </c>
      <c r="C333" t="str">
        <v>QFD51</v>
      </c>
      <c r="D333" t="str">
        <v>XT51</v>
      </c>
      <c r="E333" t="str">
        <v>R.1.021A.8</v>
      </c>
      <c r="F333" t="str">
        <v>Розеточная группа, пом. 021A</v>
      </c>
    </row>
    <row r="334" spans="1:6" x14ac:dyDescent="0.3">
      <c r="A334">
        <v>331</v>
      </c>
      <c r="B334" t="str">
        <v>ЩР-1</v>
      </c>
      <c r="C334" t="str">
        <v>XT51</v>
      </c>
      <c r="D334" t="str">
        <v>кабель ВВГнг(А)-LS (3х2,5) → Розеточная группа, пом. 021A</v>
      </c>
      <c r="E334" t="str">
        <v>R.1.021A.8</v>
      </c>
      <c r="F334" t="str">
        <v>Розеточная группа, пом. 021A</v>
      </c>
    </row>
    <row r="335" spans="1:6" x14ac:dyDescent="0.3">
      <c r="A335">
        <v>332</v>
      </c>
      <c r="B335" t="str">
        <v>ЩР-1</v>
      </c>
      <c r="C335" t="str">
        <v>QFD52</v>
      </c>
      <c r="D335" t="str">
        <v>XT52</v>
      </c>
      <c r="E335" t="str">
        <v>R.1.021A.9</v>
      </c>
      <c r="F335" t="str">
        <v>Розеточная группа Первый этаж Пом. №021A Подогреватель пищи и посуды</v>
      </c>
    </row>
    <row r="336" spans="1:6" x14ac:dyDescent="0.3">
      <c r="A336">
        <v>333</v>
      </c>
      <c r="B336" t="str">
        <v>ЩР-1</v>
      </c>
      <c r="C336" t="str">
        <v>XT52</v>
      </c>
      <c r="D336" t="str">
        <v>кабель ВВГнг(А)-LS (3х2,5) → Розеточная группа Первый этаж Пом. №021A Подогреватель пищи и посуды</v>
      </c>
      <c r="E336" t="str">
        <v>R.1.021A.9</v>
      </c>
      <c r="F336" t="str">
        <v>Розеточная группа Первый этаж Пом. №021A Подогреватель пищи и посуды</v>
      </c>
    </row>
    <row r="337" spans="1:6" x14ac:dyDescent="0.3">
      <c r="A337">
        <v>334</v>
      </c>
      <c r="B337" t="str">
        <v>ЩР-1</v>
      </c>
      <c r="C337" t="str">
        <v>QFD53</v>
      </c>
      <c r="D337" t="str">
        <v>XT53</v>
      </c>
      <c r="E337" t="str">
        <v>R.1.002Б.9</v>
      </c>
      <c r="F337" t="str">
        <v>Розеточная группа Первый этаж Пом. №002Б Холодильник</v>
      </c>
    </row>
    <row r="338" spans="1:6" x14ac:dyDescent="0.3">
      <c r="A338">
        <v>335</v>
      </c>
      <c r="B338" t="str">
        <v>ЩР-1</v>
      </c>
      <c r="C338" t="str">
        <v>XT53</v>
      </c>
      <c r="D338" t="str">
        <v>кабель ВВГнг(А)-LS (3х2,5) → Розеточная группа Первый этаж Пом. №002Б Холодильник</v>
      </c>
      <c r="E338" t="str">
        <v>R.1.002Б.9</v>
      </c>
      <c r="F338" t="str">
        <v>Розеточная группа Первый этаж Пом. №002Б Холодильник</v>
      </c>
    </row>
    <row r="339" spans="1:6" x14ac:dyDescent="0.3">
      <c r="A339">
        <v>336</v>
      </c>
      <c r="B339" t="str">
        <v>ЩР-1</v>
      </c>
      <c r="C339" t="str">
        <v>QFD54</v>
      </c>
      <c r="D339" t="str">
        <v>XT54</v>
      </c>
      <c r="E339" t="str">
        <v>R.1.002Б.10</v>
      </c>
      <c r="F339" t="str">
        <v>Розеточная группа, пом. 002Б</v>
      </c>
    </row>
    <row r="340" spans="1:6" x14ac:dyDescent="0.3">
      <c r="A340">
        <v>337</v>
      </c>
      <c r="B340" t="str">
        <v>ЩР-1</v>
      </c>
      <c r="C340" t="str">
        <v>XT54</v>
      </c>
      <c r="D340" t="str">
        <v>кабель ВВГнг(А)-LS (3х2,5) → Розеточная группа, пом. 002Б</v>
      </c>
      <c r="E340" t="str">
        <v>R.1.002Б.10</v>
      </c>
      <c r="F340" t="str">
        <v>Розеточная группа, пом. 002Б</v>
      </c>
    </row>
    <row r="341" spans="1:6" x14ac:dyDescent="0.3">
      <c r="A341">
        <v>338</v>
      </c>
      <c r="B341" t="str">
        <v>ЩР-1</v>
      </c>
      <c r="C341" t="str">
        <v>QFD55</v>
      </c>
      <c r="D341" t="str">
        <v>XT55</v>
      </c>
      <c r="E341" t="str">
        <v>R.1.021A.5</v>
      </c>
      <c r="F341" t="str">
        <v>Розеточная группа, пом. 021A</v>
      </c>
    </row>
    <row r="342" spans="1:6" x14ac:dyDescent="0.3">
      <c r="A342">
        <v>339</v>
      </c>
      <c r="B342" t="str">
        <v>ЩР-1</v>
      </c>
      <c r="C342" t="str">
        <v>XT55</v>
      </c>
      <c r="D342" t="str">
        <v>кабель ВВГнг(А)-LS (3х2,5) → Розеточная группа, пом. 021A</v>
      </c>
      <c r="E342" t="str">
        <v>R.1.021A.5</v>
      </c>
      <c r="F342" t="str">
        <v>Розеточная группа, пом. 021A</v>
      </c>
    </row>
    <row r="343" spans="1:6" x14ac:dyDescent="0.3">
      <c r="A343">
        <v>340</v>
      </c>
      <c r="B343" t="str">
        <v>ЩР-1</v>
      </c>
      <c r="C343" t="str">
        <v>QFD56</v>
      </c>
      <c r="D343" t="str">
        <v>XT56</v>
      </c>
      <c r="E343" t="str">
        <v>R.1.020A.1</v>
      </c>
      <c r="F343" t="str">
        <v>Розеточная группа Первый этаж Пом. №020A Холодильник, морозильная камера</v>
      </c>
    </row>
    <row r="344" spans="1:6" x14ac:dyDescent="0.3">
      <c r="A344">
        <v>341</v>
      </c>
      <c r="B344" t="str">
        <v>ЩР-1</v>
      </c>
      <c r="C344" t="str">
        <v>XT56</v>
      </c>
      <c r="D344" t="str">
        <v>кабель ВВГнг(А)-LS (3х2,5) → Розеточная группа Первый этаж Пом. №020A Холодильник, морозильная камера</v>
      </c>
      <c r="E344" t="str">
        <v>R.1.020A.1</v>
      </c>
      <c r="F344" t="str">
        <v>Розеточная группа Первый этаж Пом. №020A Холодильник, морозильная камера</v>
      </c>
    </row>
    <row r="345" spans="1:6" x14ac:dyDescent="0.3">
      <c r="A345">
        <v>342</v>
      </c>
      <c r="B345" t="str">
        <v>ЩР-1</v>
      </c>
      <c r="C345" t="str">
        <v>QFD57</v>
      </c>
      <c r="D345" t="str">
        <v>XT57</v>
      </c>
      <c r="E345" t="str">
        <v>R.1.022A.1</v>
      </c>
      <c r="F345" t="str">
        <v>Розеточная группа, пом. 022A</v>
      </c>
    </row>
    <row r="346" spans="1:6" x14ac:dyDescent="0.3">
      <c r="A346">
        <v>343</v>
      </c>
      <c r="B346" t="str">
        <v>ЩР-1</v>
      </c>
      <c r="C346" t="str">
        <v>XT57</v>
      </c>
      <c r="D346" t="str">
        <v>кабель ВВГнг(А)-LS (3х2,5) → Розеточная группа, пом. 022A</v>
      </c>
      <c r="E346" t="str">
        <v>R.1.022A.1</v>
      </c>
      <c r="F346" t="str">
        <v>Розеточная группа, пом. 022A</v>
      </c>
    </row>
    <row r="347" spans="1:6" x14ac:dyDescent="0.3">
      <c r="A347">
        <v>344</v>
      </c>
      <c r="B347" t="str">
        <v>ЩР-1</v>
      </c>
      <c r="C347" t="str">
        <v>QF58</v>
      </c>
      <c r="D347" t="str">
        <v>XT58</v>
      </c>
      <c r="E347" t="str">
        <v>ЩКД.1</v>
      </c>
      <c r="F347" t="str">
        <v>Щит контроля доступа ЩКД-1 Первый этаж Пом. №002Б</v>
      </c>
    </row>
    <row r="348" spans="1:6" x14ac:dyDescent="0.3">
      <c r="A348">
        <v>345</v>
      </c>
      <c r="B348" t="str">
        <v>ЩР-1</v>
      </c>
      <c r="C348" t="str">
        <v>XT58</v>
      </c>
      <c r="D348" t="str">
        <v>кабель ВВГнг(А)-LS (3х2,5) → Щит контроля доступа ЩКД-1 Первый этаж Пом. №002Б</v>
      </c>
      <c r="E348" t="str">
        <v>ЩКД.1</v>
      </c>
      <c r="F348" t="str">
        <v>Щит контроля доступа ЩКД-1 Первый этаж Пом. №002Б</v>
      </c>
    </row>
    <row r="349" spans="1:6" x14ac:dyDescent="0.3">
      <c r="A349">
        <v>346</v>
      </c>
      <c r="B349" t="str">
        <v>ЩР-2</v>
      </c>
      <c r="C349" t="str">
        <v>QFD1</v>
      </c>
      <c r="D349" t="str">
        <v>XT1</v>
      </c>
      <c r="E349" t="str">
        <v>R.2.002А.1</v>
      </c>
      <c r="F349" t="str">
        <v>Розеточная группа, пом. 002А</v>
      </c>
    </row>
    <row r="350" spans="1:6" x14ac:dyDescent="0.3">
      <c r="A350">
        <v>347</v>
      </c>
      <c r="B350" t="str">
        <v>ЩР-2</v>
      </c>
      <c r="C350" t="str">
        <v>XT1</v>
      </c>
      <c r="D350" t="str">
        <v>кабель ВВГнг(А)-LS (3х2,5) → Розеточная группа, пом. 002А</v>
      </c>
      <c r="E350" t="str">
        <v>R.2.002А.1</v>
      </c>
      <c r="F350" t="str">
        <v>Розеточная группа, пом. 002А</v>
      </c>
    </row>
    <row r="351" spans="1:6" x14ac:dyDescent="0.3">
      <c r="A351">
        <v>348</v>
      </c>
      <c r="B351" t="str">
        <v>ЩР-2</v>
      </c>
      <c r="C351" t="str">
        <v>QFD2</v>
      </c>
      <c r="D351" t="str">
        <v>XT2</v>
      </c>
      <c r="E351" t="str">
        <v>R.2.003А.1</v>
      </c>
      <c r="F351" t="str">
        <v>Розеточная группа, пом. 003А</v>
      </c>
    </row>
    <row r="352" spans="1:6" x14ac:dyDescent="0.3">
      <c r="A352">
        <v>349</v>
      </c>
      <c r="B352" t="str">
        <v>ЩР-2</v>
      </c>
      <c r="C352" t="str">
        <v>XT2</v>
      </c>
      <c r="D352" t="str">
        <v>кабель ВВГнг(А)-LS (3х2,5) → Розеточная группа, пом. 003А</v>
      </c>
      <c r="E352" t="str">
        <v>R.2.003А.1</v>
      </c>
      <c r="F352" t="str">
        <v>Розеточная группа, пом. 003А</v>
      </c>
    </row>
    <row r="353" spans="1:6" x14ac:dyDescent="0.3">
      <c r="A353">
        <v>350</v>
      </c>
      <c r="B353" t="str">
        <v>ЩР-2</v>
      </c>
      <c r="C353" t="str">
        <v>QFD3</v>
      </c>
      <c r="D353" t="str">
        <v>XT3</v>
      </c>
      <c r="E353" t="str">
        <v>R.2.005А.1</v>
      </c>
      <c r="F353" t="str">
        <v>Розеточная группа, пом. 005А</v>
      </c>
    </row>
    <row r="354" spans="1:6" x14ac:dyDescent="0.3">
      <c r="A354">
        <v>351</v>
      </c>
      <c r="B354" t="str">
        <v>ЩР-2</v>
      </c>
      <c r="C354" t="str">
        <v>XT3</v>
      </c>
      <c r="D354" t="str">
        <v>кабель ВВГнг(А)-LS (3х2,5) → Розеточная группа, пом. 005А</v>
      </c>
      <c r="E354" t="str">
        <v>R.2.005А.1</v>
      </c>
      <c r="F354" t="str">
        <v>Розеточная группа, пом. 005А</v>
      </c>
    </row>
    <row r="355" spans="1:6" x14ac:dyDescent="0.3">
      <c r="A355">
        <v>352</v>
      </c>
      <c r="B355" t="str">
        <v>ЩР-2</v>
      </c>
      <c r="C355" t="str">
        <v>QFD4</v>
      </c>
      <c r="D355" t="str">
        <v>XT4</v>
      </c>
      <c r="E355" t="str">
        <v>R.2.005А.2</v>
      </c>
      <c r="F355" t="str">
        <v>Розеточная группа, пом. 005А</v>
      </c>
    </row>
    <row r="356" spans="1:6" x14ac:dyDescent="0.3">
      <c r="A356">
        <v>353</v>
      </c>
      <c r="B356" t="str">
        <v>ЩР-2</v>
      </c>
      <c r="C356" t="str">
        <v>XT4</v>
      </c>
      <c r="D356" t="str">
        <v>кабель ВВГнг(А)-LS (3х2,5) → Розеточная группа, пом. 005А</v>
      </c>
      <c r="E356" t="str">
        <v>R.2.005А.2</v>
      </c>
      <c r="F356" t="str">
        <v>Розеточная группа, пом. 005А</v>
      </c>
    </row>
    <row r="357" spans="1:6" x14ac:dyDescent="0.3">
      <c r="A357">
        <v>354</v>
      </c>
      <c r="B357" t="str">
        <v>ЩР-2</v>
      </c>
      <c r="C357" t="str">
        <v>QFD5</v>
      </c>
      <c r="D357" t="str">
        <v>XT5</v>
      </c>
      <c r="E357" t="str">
        <v>R.2.006А.1</v>
      </c>
      <c r="F357" t="str">
        <v>Розеточная группа, пом. 006А</v>
      </c>
    </row>
    <row r="358" spans="1:6" x14ac:dyDescent="0.3">
      <c r="A358">
        <v>355</v>
      </c>
      <c r="B358" t="str">
        <v>ЩР-2</v>
      </c>
      <c r="C358" t="str">
        <v>XT5</v>
      </c>
      <c r="D358" t="str">
        <v>кабель ВВГнг(А)-LS (3х2,5) → Розеточная группа, пом. 006А</v>
      </c>
      <c r="E358" t="str">
        <v>R.2.006А.1</v>
      </c>
      <c r="F358" t="str">
        <v>Розеточная группа, пом. 006А</v>
      </c>
    </row>
    <row r="359" spans="1:6" x14ac:dyDescent="0.3">
      <c r="A359">
        <v>356</v>
      </c>
      <c r="B359" t="str">
        <v>ЩР-2</v>
      </c>
      <c r="C359" t="str">
        <v>QFD6</v>
      </c>
      <c r="D359" t="str">
        <v>XT6</v>
      </c>
      <c r="E359" t="str">
        <v>R.2.009А.1</v>
      </c>
      <c r="F359" t="str">
        <v>Розеточная группа, пом. 009А</v>
      </c>
    </row>
    <row r="360" spans="1:6" x14ac:dyDescent="0.3">
      <c r="A360">
        <v>357</v>
      </c>
      <c r="B360" t="str">
        <v>ЩР-2</v>
      </c>
      <c r="C360" t="str">
        <v>XT6</v>
      </c>
      <c r="D360" t="str">
        <v>кабель ВВГнг(А)-LS (3х2,5) → Розеточная группа, пом. 009А</v>
      </c>
      <c r="E360" t="str">
        <v>R.2.009А.1</v>
      </c>
      <c r="F360" t="str">
        <v>Розеточная группа, пом. 009А</v>
      </c>
    </row>
    <row r="361" spans="1:6" x14ac:dyDescent="0.3">
      <c r="A361">
        <v>358</v>
      </c>
      <c r="B361" t="str">
        <v>ЩР-2</v>
      </c>
      <c r="C361" t="str">
        <v>QFD7</v>
      </c>
      <c r="D361" t="str">
        <v>XT7</v>
      </c>
      <c r="E361" t="str">
        <v>R.2.009А.2</v>
      </c>
      <c r="F361" t="str">
        <v>Розеточная группа, пом. 009А</v>
      </c>
    </row>
    <row r="362" spans="1:6" x14ac:dyDescent="0.3">
      <c r="A362">
        <v>359</v>
      </c>
      <c r="B362" t="str">
        <v>ЩР-2</v>
      </c>
      <c r="C362" t="str">
        <v>XT7</v>
      </c>
      <c r="D362" t="str">
        <v>кабель ВВГнг(А)-LS (3х2,5) → Розеточная группа, пом. 009А</v>
      </c>
      <c r="E362" t="str">
        <v>R.2.009А.2</v>
      </c>
      <c r="F362" t="str">
        <v>Розеточная группа, пом. 009А</v>
      </c>
    </row>
    <row r="363" spans="1:6" x14ac:dyDescent="0.3">
      <c r="A363">
        <v>360</v>
      </c>
      <c r="B363" t="str">
        <v>ЩР-2</v>
      </c>
      <c r="C363" t="str">
        <v>QFD8</v>
      </c>
      <c r="D363" t="str">
        <v>XT8</v>
      </c>
      <c r="E363" t="str">
        <v>R.2.010А.1</v>
      </c>
      <c r="F363" t="str">
        <v>Розеточная группа, пом. 010А</v>
      </c>
    </row>
    <row r="364" spans="1:6" x14ac:dyDescent="0.3">
      <c r="A364">
        <v>361</v>
      </c>
      <c r="B364" t="str">
        <v>ЩР-2</v>
      </c>
      <c r="C364" t="str">
        <v>XT8</v>
      </c>
      <c r="D364" t="str">
        <v>кабель ВВГнг(А)-LS (3х2,5) → Розеточная группа, пом. 010А</v>
      </c>
      <c r="E364" t="str">
        <v>R.2.010А.1</v>
      </c>
      <c r="F364" t="str">
        <v>Розеточная группа, пом. 010А</v>
      </c>
    </row>
    <row r="365" spans="1:6" x14ac:dyDescent="0.3">
      <c r="A365">
        <v>362</v>
      </c>
      <c r="B365" t="str">
        <v>ЩР-2</v>
      </c>
      <c r="C365" t="str">
        <v>QFD9</v>
      </c>
      <c r="D365" t="str">
        <v>кабель ВВГнг(А)-LS (3х2,5) → Розеточная группа, пом. 002Г</v>
      </c>
      <c r="E365" t="str">
        <v>R.2.002Г.1</v>
      </c>
      <c r="F365" t="str">
        <v>Розеточная группа, пом. 002Г</v>
      </c>
    </row>
    <row r="366" spans="1:6" x14ac:dyDescent="0.3">
      <c r="A366">
        <v>363</v>
      </c>
      <c r="B366" t="str">
        <v>ЩР-2</v>
      </c>
      <c r="C366" t="str">
        <v>QFD10</v>
      </c>
      <c r="D366" t="str">
        <v>XT10</v>
      </c>
      <c r="E366" t="str">
        <v>R.2.013А.1</v>
      </c>
      <c r="F366" t="str">
        <v>Розеточная группа, пом. 013А</v>
      </c>
    </row>
    <row r="367" spans="1:6" x14ac:dyDescent="0.3">
      <c r="A367">
        <v>364</v>
      </c>
      <c r="B367" t="str">
        <v>ЩР-2</v>
      </c>
      <c r="C367" t="str">
        <v>XT10</v>
      </c>
      <c r="D367" t="str">
        <v>кабель ВВГнг(А)-LS (3х2,5) → Розеточная группа, пом. 013А</v>
      </c>
      <c r="E367" t="str">
        <v>R.2.013А.1</v>
      </c>
      <c r="F367" t="str">
        <v>Розеточная группа, пом. 013А</v>
      </c>
    </row>
    <row r="368" spans="1:6" x14ac:dyDescent="0.3">
      <c r="A368">
        <v>365</v>
      </c>
      <c r="B368" t="str">
        <v>ЩР-2</v>
      </c>
      <c r="C368" t="str">
        <v>QFD11</v>
      </c>
      <c r="D368" t="str">
        <v>кабель ВВГнг(А)-LS (3х2,5) → Розеточная группа Второй этаж Пом. №013А, 012А</v>
      </c>
      <c r="E368" t="str">
        <v>R.2.014А.1</v>
      </c>
      <c r="F368" t="str">
        <v>Розеточная группа Второй этаж Пом. №013А, 012А</v>
      </c>
    </row>
    <row r="369" spans="1:6" x14ac:dyDescent="0.3">
      <c r="A369">
        <v>366</v>
      </c>
      <c r="B369" t="str">
        <v>ЩР-2</v>
      </c>
      <c r="C369" t="str">
        <v>QFD12</v>
      </c>
      <c r="D369" t="str">
        <v>кабель ВВГнг(А)-LS (3х2,5) → Розеточная группа, пом. 014А</v>
      </c>
      <c r="E369" t="str">
        <v>R.2.014А.2</v>
      </c>
      <c r="F369" t="str">
        <v>Розеточная группа, пом. 014А</v>
      </c>
    </row>
    <row r="370" spans="1:6" x14ac:dyDescent="0.3">
      <c r="A370">
        <v>367</v>
      </c>
      <c r="B370" t="str">
        <v>ЩР-2</v>
      </c>
      <c r="C370" t="str">
        <v>QFD13</v>
      </c>
      <c r="D370" t="str">
        <v>кабель ВВГнг(А)-LS (3х2,5) → Розеточная группа, пом. 015А</v>
      </c>
      <c r="E370" t="str">
        <v>R.2.015А.1</v>
      </c>
      <c r="F370" t="str">
        <v>Розеточная группа, пом. 015А</v>
      </c>
    </row>
    <row r="371" spans="1:6" x14ac:dyDescent="0.3">
      <c r="A371">
        <v>368</v>
      </c>
      <c r="B371" t="str">
        <v>ЩР-2</v>
      </c>
      <c r="C371" t="str">
        <v>QFD14</v>
      </c>
      <c r="D371" t="str">
        <v>кабель ВВГнг(А)-LS (3х2,5) → Розеточная группа, пом. 016А</v>
      </c>
      <c r="E371" t="str">
        <v>R.2.016А.1</v>
      </c>
      <c r="F371" t="str">
        <v>Розеточная группа, пом. 016А</v>
      </c>
    </row>
    <row r="372" spans="1:6" x14ac:dyDescent="0.3">
      <c r="A372">
        <v>369</v>
      </c>
      <c r="B372" t="str">
        <v>ЩР-2</v>
      </c>
      <c r="C372" t="str">
        <v>QFD15</v>
      </c>
      <c r="D372" t="str">
        <v>кабель ВВГнг(А)-LS (3х2,5) → Розеточная группа, пом. 017А</v>
      </c>
      <c r="E372" t="str">
        <v>R.2.017А.1</v>
      </c>
      <c r="F372" t="str">
        <v>Розеточная группа, пом. 017А</v>
      </c>
    </row>
    <row r="373" spans="1:6" x14ac:dyDescent="0.3">
      <c r="A373">
        <v>370</v>
      </c>
      <c r="B373" t="str">
        <v>ЩР-2</v>
      </c>
      <c r="C373" t="str">
        <v>QFD16</v>
      </c>
      <c r="D373" t="str">
        <v>кабель ВВГнг(А)-LS (3х2,5) → Розеточная группа, пом. 019А</v>
      </c>
      <c r="E373" t="str">
        <v>R.2.019А.1</v>
      </c>
      <c r="F373" t="str">
        <v>Розеточная группа, пом. 019А</v>
      </c>
    </row>
    <row r="374" spans="1:6" x14ac:dyDescent="0.3">
      <c r="A374">
        <v>371</v>
      </c>
      <c r="B374" t="str">
        <v>ЩР-2</v>
      </c>
      <c r="C374" t="str">
        <v>QFD17</v>
      </c>
      <c r="D374" t="str">
        <v>кабель ВВГнг(А)-LS (3х2,5) → Розеточная группа, пом. 019А</v>
      </c>
      <c r="E374" t="str">
        <v>R.2.019А.2</v>
      </c>
      <c r="F374" t="str">
        <v>Розеточная группа, пом. 019А</v>
      </c>
    </row>
    <row r="375" spans="1:6" x14ac:dyDescent="0.3">
      <c r="A375">
        <v>372</v>
      </c>
      <c r="B375" t="str">
        <v>ЩР-2</v>
      </c>
      <c r="C375" t="str">
        <v>QFD18</v>
      </c>
      <c r="D375" t="str">
        <v>кабель ВВГнг(А)-LS (3х2,5) → Розеточная группа, пом. 020А</v>
      </c>
      <c r="E375" t="str">
        <v>R.2.020А.1</v>
      </c>
      <c r="F375" t="str">
        <v>Розеточная группа, пом. 020А</v>
      </c>
    </row>
    <row r="376" spans="1:6" x14ac:dyDescent="0.3">
      <c r="A376">
        <v>373</v>
      </c>
      <c r="B376" t="str">
        <v>ЩР-2</v>
      </c>
      <c r="C376" t="str">
        <v>QFD19</v>
      </c>
      <c r="D376" t="str">
        <v>кабель ВВГнг(А)-LS (3х2,5) → Розеточная группа, пом. 022Б</v>
      </c>
      <c r="E376" t="str">
        <v>R.2.022Б.1</v>
      </c>
      <c r="F376" t="str">
        <v>Розеточная группа, пом. 022Б</v>
      </c>
    </row>
    <row r="377" spans="1:6" x14ac:dyDescent="0.3">
      <c r="A377">
        <v>374</v>
      </c>
      <c r="B377" t="str">
        <v>ЩР-2</v>
      </c>
      <c r="C377" t="str">
        <v>QFD20</v>
      </c>
      <c r="D377" t="str">
        <v>кабель ВВГнг(А)-LS (3х2,5) → Розеточная группа, пом. 001</v>
      </c>
      <c r="E377" t="str">
        <v>R.2.001.1</v>
      </c>
      <c r="F377" t="str">
        <v>Розеточная группа, пом. 001</v>
      </c>
    </row>
    <row r="378" spans="1:6" x14ac:dyDescent="0.3">
      <c r="A378">
        <v>375</v>
      </c>
      <c r="B378" t="str">
        <v>ЩР-2</v>
      </c>
      <c r="C378" t="str">
        <v>QFD21</v>
      </c>
      <c r="D378" t="str">
        <v>кабель ВВГнг(А)-LS (3х2,5) → Розеточная группа, пом. 003Г</v>
      </c>
      <c r="E378" t="str">
        <v>R.2.003Г.1</v>
      </c>
      <c r="F378" t="str">
        <v>Розеточная группа, пом. 003Г</v>
      </c>
    </row>
    <row r="379" spans="1:6" x14ac:dyDescent="0.3">
      <c r="A379">
        <v>376</v>
      </c>
      <c r="B379" t="str">
        <v>ЩР-2</v>
      </c>
      <c r="C379" t="str">
        <v>QFD22</v>
      </c>
      <c r="D379" t="str">
        <v>кабель ВВГнг(А)-LS (3х2,5) → Розеточная группа, пом. 005А</v>
      </c>
      <c r="E379" t="str">
        <v>R.2.005А.3</v>
      </c>
      <c r="F379" t="str">
        <v>Розеточная группа, пом. 005А</v>
      </c>
    </row>
    <row r="380" spans="1:6" x14ac:dyDescent="0.3">
      <c r="A380">
        <v>377</v>
      </c>
      <c r="B380" t="str">
        <v>ЩР-2</v>
      </c>
      <c r="C380" t="str">
        <v>QFD23</v>
      </c>
      <c r="D380" t="str">
        <v>кабель ВВГнг(А)-LS (3х2,5) → Розеточная группа, пом. 009А</v>
      </c>
      <c r="E380" t="str">
        <v>R.2.009А.3</v>
      </c>
      <c r="F380" t="str">
        <v>Розеточная группа, пом. 009А</v>
      </c>
    </row>
    <row r="381" spans="1:6" x14ac:dyDescent="0.3">
      <c r="A381">
        <v>378</v>
      </c>
      <c r="B381" t="str">
        <v>ЩР-2</v>
      </c>
      <c r="C381" t="str">
        <v>QFD24</v>
      </c>
      <c r="D381" t="str">
        <v>XT24</v>
      </c>
      <c r="E381" t="str">
        <v>R.2.020А.2</v>
      </c>
      <c r="F381" t="str">
        <v>Розеточная группа, пом. 020А</v>
      </c>
    </row>
    <row r="382" spans="1:6" x14ac:dyDescent="0.3">
      <c r="A382">
        <v>379</v>
      </c>
      <c r="B382" t="str">
        <v>ЩР-2</v>
      </c>
      <c r="C382" t="str">
        <v>XT24</v>
      </c>
      <c r="D382" t="str">
        <v>кабель ВВГнг(А)-LS (3х2,5) → Розеточная группа, пом. 020А</v>
      </c>
      <c r="E382" t="str">
        <v>R.2.020А.2</v>
      </c>
      <c r="F382" t="str">
        <v>Розеточная группа, пом. 020А</v>
      </c>
    </row>
    <row r="383" spans="1:6" x14ac:dyDescent="0.3">
      <c r="A383">
        <v>380</v>
      </c>
      <c r="B383" t="str">
        <v>ЩР-2</v>
      </c>
      <c r="C383" t="str">
        <v>QFD25</v>
      </c>
      <c r="D383" t="str">
        <v>XT25</v>
      </c>
      <c r="E383" t="str">
        <v>R.3.001T.1</v>
      </c>
      <c r="F383" t="str">
        <v>Розеточная группа, пом. 001T</v>
      </c>
    </row>
    <row r="384" spans="1:6" x14ac:dyDescent="0.3">
      <c r="A384">
        <v>381</v>
      </c>
      <c r="B384" t="str">
        <v>ЩР-2</v>
      </c>
      <c r="C384" t="str">
        <v>XT25</v>
      </c>
      <c r="D384" t="str">
        <v>кабель ВВГнг(А)-LS (3х2,5) → Розеточная группа, пом. 001T</v>
      </c>
      <c r="E384" t="str">
        <v>R.3.001T.1</v>
      </c>
      <c r="F384" t="str">
        <v>Розеточная группа, пом. 001T</v>
      </c>
    </row>
    <row r="385" spans="1:6" x14ac:dyDescent="0.3">
      <c r="A385">
        <v>382</v>
      </c>
      <c r="B385" t="str">
        <v>ЩР-2</v>
      </c>
      <c r="C385" t="str">
        <v>QFD26</v>
      </c>
      <c r="D385" t="str">
        <v>кабель ВВГнг(А)-LS (3х2,5) → Розеточная группа, пом. 001Б</v>
      </c>
      <c r="E385" t="str">
        <v>R.3.001Б.1</v>
      </c>
      <c r="F385" t="str">
        <v>Розеточная группа, пом. 001Б</v>
      </c>
    </row>
    <row r="386" spans="1:6" x14ac:dyDescent="0.3">
      <c r="A386">
        <v>383</v>
      </c>
      <c r="B386" t="str">
        <v>ЩР-2</v>
      </c>
      <c r="C386" t="str">
        <v>QF27</v>
      </c>
      <c r="D386" t="str">
        <v>кабель ВВГнг(А)-LS (3х2,5) → Шкаф телекоммуникационный ШТК-2  Тех. Этаж Пом №004T</v>
      </c>
      <c r="E386" t="str">
        <v>ШТК-2</v>
      </c>
      <c r="F386" t="str">
        <v>Шкаф телекоммуникационный ШТК-2  Тех. Этаж Пом №004T</v>
      </c>
    </row>
    <row r="387" spans="1:6" x14ac:dyDescent="0.3">
      <c r="A387">
        <v>384</v>
      </c>
      <c r="B387" t="str">
        <v>ЩР-2</v>
      </c>
      <c r="C387" t="str">
        <v>QF28</v>
      </c>
      <c r="D387" t="str">
        <v>кабель ВВГнг(А)-LS (3х2,5) → Шкаф телекоммуникационный ШТК-2  Тех. Этаж Пом №004T</v>
      </c>
      <c r="E387" t="str">
        <v>ШТК-ЛВС.3</v>
      </c>
      <c r="F387" t="str">
        <v>Шкаф телекоммуникационный ШТК-2  Тех. Этаж Пом №004T</v>
      </c>
    </row>
    <row r="388" spans="1:6" x14ac:dyDescent="0.3">
      <c r="A388">
        <v>385</v>
      </c>
      <c r="B388" t="str">
        <v>ЩР-2</v>
      </c>
      <c r="C388" t="str">
        <v>QF29</v>
      </c>
      <c r="D388" t="str">
        <v>кабель ВВГнг(А)-LS (3х2,5) → Щит контроля доступа ЩКД-2  Тех. Этаж Пом №001T</v>
      </c>
      <c r="E388" t="str">
        <v>ШКД.3</v>
      </c>
      <c r="F388" t="str">
        <v>Щит контроля доступа ЩКД-2  Тех. Этаж Пом №001T</v>
      </c>
    </row>
    <row r="389" spans="1:6" x14ac:dyDescent="0.3">
      <c r="A389">
        <v>386</v>
      </c>
      <c r="B389" t="str">
        <v>ЩС-Б</v>
      </c>
      <c r="C389" t="str">
        <v>QF1</v>
      </c>
      <c r="D389" t="str">
        <v>XT1</v>
      </c>
      <c r="E389" t="str">
        <v>Э.1</v>
      </c>
      <c r="F389" t="str">
        <v>Управляющий электрощит бассейна Подвальный этаж Пом. 002Тб</v>
      </c>
    </row>
    <row r="390" spans="1:6" x14ac:dyDescent="0.3">
      <c r="A390">
        <v>387</v>
      </c>
      <c r="B390" t="str">
        <v>ЩС-Б</v>
      </c>
      <c r="C390" t="str">
        <v>XT1</v>
      </c>
      <c r="D390" t="str">
        <v>кабель ВВГнг(А)-LS (5х4) → Управляющий электрощит бассейна Подвальный этаж Пом. 002Тб</v>
      </c>
      <c r="E390" t="str">
        <v>Э.1</v>
      </c>
      <c r="F390" t="str">
        <v>Управляющий электрощит бассейна Подвальный этаж Пом. 002Тб</v>
      </c>
    </row>
    <row r="391" spans="1:6" x14ac:dyDescent="0.3">
      <c r="A391">
        <v>388</v>
      </c>
      <c r="B391" t="str">
        <v>ЩС-Б</v>
      </c>
      <c r="C391" t="str">
        <v>QF2</v>
      </c>
      <c r="D391" t="str">
        <v>XT2</v>
      </c>
      <c r="E391" t="str">
        <v>Э.2</v>
      </c>
      <c r="F391" t="str">
        <v>Горячая купель Подвальный этаж Пом. 002Тб</v>
      </c>
    </row>
    <row r="392" spans="1:6" x14ac:dyDescent="0.3">
      <c r="A392">
        <v>389</v>
      </c>
      <c r="B392" t="str">
        <v>ЩС-Б</v>
      </c>
      <c r="C392" t="str">
        <v>XT2</v>
      </c>
      <c r="D392" t="str">
        <v>кабель ВВГнг(А)-LS (5х2,5) → Горячая купель Подвальный этаж Пом. 002Тб</v>
      </c>
      <c r="E392" t="str">
        <v>Э.2</v>
      </c>
      <c r="F392" t="str">
        <v>Горячая купель Подвальный этаж Пом. 002Тб</v>
      </c>
    </row>
    <row r="393" spans="1:6" x14ac:dyDescent="0.3">
      <c r="A393">
        <v>390</v>
      </c>
      <c r="B393" t="str">
        <v>ЩС-Б</v>
      </c>
      <c r="C393" t="str">
        <v>QF3</v>
      </c>
      <c r="D393" t="str">
        <v>XT3</v>
      </c>
      <c r="E393" t="str">
        <v>Э.3</v>
      </c>
      <c r="F393" t="str">
        <v>Холодная купель Подвальный этаж Пом. 002Тб</v>
      </c>
    </row>
    <row r="394" spans="1:6" x14ac:dyDescent="0.3">
      <c r="A394">
        <v>391</v>
      </c>
      <c r="B394" t="str">
        <v>ЩС-Б</v>
      </c>
      <c r="C394" t="str">
        <v>XT3</v>
      </c>
      <c r="D394" t="str">
        <v>кабель ВВГнг(А)-LS (5х2,5) → Холодная купель Подвальный этаж Пом. 002Тб</v>
      </c>
      <c r="E394" t="str">
        <v>Э.3</v>
      </c>
      <c r="F394" t="str">
        <v>Холодная купель Подвальный этаж Пом. 002Тб</v>
      </c>
    </row>
    <row r="395" spans="1:6" x14ac:dyDescent="0.3">
      <c r="A395">
        <v>392</v>
      </c>
      <c r="B395" t="str">
        <v>ЩС-ВК.001</v>
      </c>
      <c r="C395" t="str">
        <v>QF1</v>
      </c>
      <c r="D395" t="str">
        <v>XT1</v>
      </c>
      <c r="E395" t="str">
        <v>НВК.00.003Т.2</v>
      </c>
      <c r="F395" t="str">
        <v>Насос дренажный, пом. 003Т</v>
      </c>
    </row>
    <row r="396" spans="1:6" x14ac:dyDescent="0.3">
      <c r="A396">
        <v>393</v>
      </c>
      <c r="B396" t="str">
        <v>ЩС-ВК.001</v>
      </c>
      <c r="C396" t="str">
        <v>XT1</v>
      </c>
      <c r="D396" t="str">
        <v>кабель ВВГнг(А)-LS (3х2,5) → Насос дренажный, пом. 003Т</v>
      </c>
      <c r="E396" t="str">
        <v>НВК.00.003Т.2</v>
      </c>
      <c r="F396" t="str">
        <v>Насос дренажный, пом. 003Т</v>
      </c>
    </row>
    <row r="397" spans="1:6" x14ac:dyDescent="0.3">
      <c r="A397">
        <v>394</v>
      </c>
      <c r="B397" t="str">
        <v>ЩС-ВК.001</v>
      </c>
      <c r="C397" t="str">
        <v>QF2</v>
      </c>
      <c r="D397" t="str">
        <v>XT2</v>
      </c>
      <c r="E397" t="str">
        <v>НВК.00.003Т.1</v>
      </c>
      <c r="F397" t="str">
        <v>Насос дренажный, пом. 003Т</v>
      </c>
    </row>
    <row r="398" spans="1:6" x14ac:dyDescent="0.3">
      <c r="A398">
        <v>395</v>
      </c>
      <c r="B398" t="str">
        <v>ЩС-ВК.001</v>
      </c>
      <c r="C398" t="str">
        <v>XT2</v>
      </c>
      <c r="D398" t="str">
        <v>кабель ВВГнг(А)-LS (3х2,5) → Насос дренажный, пом. 003Т</v>
      </c>
      <c r="E398" t="str">
        <v>НВК.00.003Т.1</v>
      </c>
      <c r="F398" t="str">
        <v>Насос дренажный, пом. 003Т</v>
      </c>
    </row>
    <row r="399" spans="1:6" x14ac:dyDescent="0.3">
      <c r="A399">
        <v>396</v>
      </c>
      <c r="B399" t="str">
        <v>ЩС-ВК.001</v>
      </c>
      <c r="C399" t="str">
        <v>QF3</v>
      </c>
      <c r="D399" t="str">
        <v>XT3</v>
      </c>
      <c r="E399" t="str">
        <v>НВК.00.005Т.4</v>
      </c>
      <c r="F399" t="str">
        <v>Насос дренажный, пом. 005Т</v>
      </c>
    </row>
    <row r="400" spans="1:6" x14ac:dyDescent="0.3">
      <c r="A400">
        <v>397</v>
      </c>
      <c r="B400" t="str">
        <v>ЩС-ВК.001</v>
      </c>
      <c r="C400" t="str">
        <v>XT3</v>
      </c>
      <c r="D400" t="str">
        <v>кабель ВВГнг(А)-LS (3х2,5) → Насос дренажный, пом. 005Т</v>
      </c>
      <c r="E400" t="str">
        <v>НВК.00.005Т.4</v>
      </c>
      <c r="F400" t="str">
        <v>Насос дренажный, пом. 005Т</v>
      </c>
    </row>
    <row r="401" spans="1:6" x14ac:dyDescent="0.3">
      <c r="A401">
        <v>398</v>
      </c>
      <c r="B401" t="str">
        <v>ЩС-ВК.001</v>
      </c>
      <c r="C401" t="str">
        <v>QF4</v>
      </c>
      <c r="D401" t="str">
        <v>XT4</v>
      </c>
      <c r="E401" t="str">
        <v>НВК.00.005Т.3</v>
      </c>
      <c r="F401" t="str">
        <v>Насос дренажный, пом. 005Т</v>
      </c>
    </row>
    <row r="402" spans="1:6" x14ac:dyDescent="0.3">
      <c r="A402">
        <v>399</v>
      </c>
      <c r="B402" t="str">
        <v>ЩС-ВК.001</v>
      </c>
      <c r="C402" t="str">
        <v>XT4</v>
      </c>
      <c r="D402" t="str">
        <v>кабель ВВГнг(А)-LS (3х2,5) → Насос дренажный, пом. 005Т</v>
      </c>
      <c r="E402" t="str">
        <v>НВК.00.005Т.3</v>
      </c>
      <c r="F402" t="str">
        <v>Насос дренажный, пом. 005Т</v>
      </c>
    </row>
    <row r="403" spans="1:6" x14ac:dyDescent="0.3">
      <c r="A403">
        <v>400</v>
      </c>
      <c r="B403" t="str">
        <v>ЩС-ВК.001</v>
      </c>
      <c r="C403" t="str">
        <v>QF5</v>
      </c>
      <c r="D403" t="str">
        <v>XT5</v>
      </c>
      <c r="E403" t="str">
        <v>НВК.00.005Т.1</v>
      </c>
      <c r="F403" t="str">
        <v>Насос дренажный, пом. 005Т</v>
      </c>
    </row>
    <row r="404" spans="1:6" x14ac:dyDescent="0.3">
      <c r="A404">
        <v>401</v>
      </c>
      <c r="B404" t="str">
        <v>ЩС-ВК.001</v>
      </c>
      <c r="C404" t="str">
        <v>XT5</v>
      </c>
      <c r="D404" t="str">
        <v>кабель ВВГнг(А)-LS (3х2,5) → Насос дренажный, пом. 005Т</v>
      </c>
      <c r="E404" t="str">
        <v>НВК.00.005Т.1</v>
      </c>
      <c r="F404" t="str">
        <v>Насос дренажный, пом. 005Т</v>
      </c>
    </row>
    <row r="405" spans="1:6" x14ac:dyDescent="0.3">
      <c r="A405">
        <v>402</v>
      </c>
      <c r="B405" t="str">
        <v>ЩС-ВК.001</v>
      </c>
      <c r="C405" t="str">
        <v>QF6</v>
      </c>
      <c r="D405" t="str">
        <v>XT6</v>
      </c>
      <c r="E405" t="str">
        <v>НВК.00.005Т.2</v>
      </c>
      <c r="F405" t="str">
        <v>Насос дренажный, пом. 005Т</v>
      </c>
    </row>
    <row r="406" spans="1:6" x14ac:dyDescent="0.3">
      <c r="A406">
        <v>403</v>
      </c>
      <c r="B406" t="str">
        <v>ЩС-ВК.001</v>
      </c>
      <c r="C406" t="str">
        <v>XT6</v>
      </c>
      <c r="D406" t="str">
        <v>кабель ВВГнг(А)-LS (3х2,5) → Насос дренажный, пом. 005Т</v>
      </c>
      <c r="E406" t="str">
        <v>НВК.00.005Т.2</v>
      </c>
      <c r="F406" t="str">
        <v>Насос дренажный, пом. 005Т</v>
      </c>
    </row>
    <row r="407" spans="1:6" x14ac:dyDescent="0.3">
      <c r="A407">
        <v>404</v>
      </c>
      <c r="B407" t="str">
        <v>ЩС-ВК.001</v>
      </c>
      <c r="C407" t="str">
        <v>QF7</v>
      </c>
      <c r="D407" t="str">
        <v>XT7</v>
      </c>
      <c r="E407" t="str">
        <v>НВК.00.002Т.1</v>
      </c>
      <c r="F407" t="str">
        <v>циркуляционный насос Подвальный этаж Пом. №002Т</v>
      </c>
    </row>
    <row r="408" spans="1:6" x14ac:dyDescent="0.3">
      <c r="A408">
        <v>405</v>
      </c>
      <c r="B408" t="str">
        <v>ЩС-ВК.001</v>
      </c>
      <c r="C408" t="str">
        <v>XT7</v>
      </c>
      <c r="D408" t="str">
        <v>кабель ВВГнг(А)-LS (3х2,5) → циркуляционный насос Подвальный этаж Пом. №002Т</v>
      </c>
      <c r="E408" t="str">
        <v>НВК.00.002Т.1</v>
      </c>
      <c r="F408" t="str">
        <v>циркуляционный насос Подвальный этаж Пом. №002Т</v>
      </c>
    </row>
    <row r="409" spans="1:6" x14ac:dyDescent="0.3">
      <c r="A409">
        <v>406</v>
      </c>
      <c r="B409" t="str">
        <v>ЩС-ВК.002</v>
      </c>
      <c r="C409" t="str">
        <v>QF1</v>
      </c>
      <c r="D409" t="str">
        <v>XT1</v>
      </c>
      <c r="E409" t="str">
        <v>НВК.00.002Тб.3</v>
      </c>
      <c r="F409" t="str">
        <v>Насос дренажный, пом. 002Тб</v>
      </c>
    </row>
    <row r="410" spans="1:6" x14ac:dyDescent="0.3">
      <c r="A410">
        <v>407</v>
      </c>
      <c r="B410" t="str">
        <v>ЩС-ВК.002</v>
      </c>
      <c r="C410" t="str">
        <v>XT1</v>
      </c>
      <c r="D410" t="str">
        <v>кабель ВВГнг(А)-LS (3х2,5) → Насос дренажный, пом. 002Тб</v>
      </c>
      <c r="E410" t="str">
        <v>НВК.00.002Тб.3</v>
      </c>
      <c r="F410" t="str">
        <v>Насос дренажный, пом. 002Тб</v>
      </c>
    </row>
    <row r="411" spans="1:6" x14ac:dyDescent="0.3">
      <c r="A411">
        <v>408</v>
      </c>
      <c r="B411" t="str">
        <v>ЩС-ВК.002</v>
      </c>
      <c r="C411" t="str">
        <v>QF2</v>
      </c>
      <c r="D411" t="str">
        <v>XT2</v>
      </c>
      <c r="E411" t="str">
        <v>НВК.00.002Тб.4</v>
      </c>
      <c r="F411" t="str">
        <v>Насос дренажный, пом. 002Тб</v>
      </c>
    </row>
    <row r="412" spans="1:6" x14ac:dyDescent="0.3">
      <c r="A412">
        <v>409</v>
      </c>
      <c r="B412" t="str">
        <v>ЩС-ВК.002</v>
      </c>
      <c r="C412" t="str">
        <v>XT2</v>
      </c>
      <c r="D412" t="str">
        <v>кабель ВВГнг(А)-LS (3х2,5) → Насос дренажный, пом. 002Тб</v>
      </c>
      <c r="E412" t="str">
        <v>НВК.00.002Тб.4</v>
      </c>
      <c r="F412" t="str">
        <v>Насос дренажный, пом. 002Тб</v>
      </c>
    </row>
    <row r="413" spans="1:6" x14ac:dyDescent="0.3">
      <c r="A413">
        <v>410</v>
      </c>
      <c r="B413" t="str">
        <v>ЩС-ВК.002</v>
      </c>
      <c r="C413" t="str">
        <v>QF3</v>
      </c>
      <c r="D413" t="str">
        <v>XT3</v>
      </c>
      <c r="E413" t="str">
        <v>НВК.00.002Тб.2</v>
      </c>
      <c r="F413" t="str">
        <v>Насос дренажный, пом. 002Тб</v>
      </c>
    </row>
    <row r="414" spans="1:6" x14ac:dyDescent="0.3">
      <c r="A414">
        <v>411</v>
      </c>
      <c r="B414" t="str">
        <v>ЩС-ВК.002</v>
      </c>
      <c r="C414" t="str">
        <v>XT3</v>
      </c>
      <c r="D414" t="str">
        <v>кабель ВВГнг(А)-LS (3х2,5) → Насос дренажный, пом. 002Тб</v>
      </c>
      <c r="E414" t="str">
        <v>НВК.00.002Тб.2</v>
      </c>
      <c r="F414" t="str">
        <v>Насос дренажный, пом. 002Тб</v>
      </c>
    </row>
    <row r="415" spans="1:6" x14ac:dyDescent="0.3">
      <c r="A415">
        <v>412</v>
      </c>
      <c r="B415" t="str">
        <v>ЩС-ВК.002</v>
      </c>
      <c r="C415" t="str">
        <v>QF4</v>
      </c>
      <c r="D415" t="str">
        <v>XT4</v>
      </c>
      <c r="E415" t="str">
        <v>НВК.00.002Тб.1</v>
      </c>
      <c r="F415" t="str">
        <v>Насос дренажный, пом. 002Тб</v>
      </c>
    </row>
    <row r="416" spans="1:6" x14ac:dyDescent="0.3">
      <c r="A416">
        <v>413</v>
      </c>
      <c r="B416" t="str">
        <v>ЩС-ВК.002</v>
      </c>
      <c r="C416" t="str">
        <v>XT4</v>
      </c>
      <c r="D416" t="str">
        <v>кабель ВВГнг(А)-LS (3х2,5) → Насос дренажный, пом. 002Тб</v>
      </c>
      <c r="E416" t="str">
        <v>НВК.00.002Тб.1</v>
      </c>
      <c r="F416" t="str">
        <v>Насос дренажный, пом. 002Тб</v>
      </c>
    </row>
    <row r="417" spans="1:6" x14ac:dyDescent="0.3">
      <c r="A417">
        <v>414</v>
      </c>
      <c r="B417" t="str">
        <v>ЩС-ВК.003</v>
      </c>
      <c r="C417" t="str">
        <v>QF1</v>
      </c>
      <c r="D417" t="str">
        <v>XT1</v>
      </c>
      <c r="E417" t="str">
        <v>НВК.00.006Т.2</v>
      </c>
      <c r="F417" t="str">
        <v>Насос дренажный, пом. 006Т</v>
      </c>
    </row>
    <row r="418" spans="1:6" x14ac:dyDescent="0.3">
      <c r="A418">
        <v>415</v>
      </c>
      <c r="B418" t="str">
        <v>ЩС-ВК.003</v>
      </c>
      <c r="C418" t="str">
        <v>XT1</v>
      </c>
      <c r="D418" t="str">
        <v>кабель ВВГнг(А)-LS (3х2,5) → Насос дренажный, пом. 006Т</v>
      </c>
      <c r="E418" t="str">
        <v>НВК.00.006Т.2</v>
      </c>
      <c r="F418" t="str">
        <v>Насос дренажный, пом. 006Т</v>
      </c>
    </row>
    <row r="419" spans="1:6" x14ac:dyDescent="0.3">
      <c r="A419">
        <v>416</v>
      </c>
      <c r="B419" t="str">
        <v>ЩС-ВК.003</v>
      </c>
      <c r="C419" t="str">
        <v>QF2</v>
      </c>
      <c r="D419" t="str">
        <v>XT2</v>
      </c>
      <c r="E419" t="str">
        <v>НВК.00.006Т.1</v>
      </c>
      <c r="F419" t="str">
        <v>Насос дренажный, пом. 006Т</v>
      </c>
    </row>
    <row r="420" spans="1:6" x14ac:dyDescent="0.3">
      <c r="A420">
        <v>417</v>
      </c>
      <c r="B420" t="str">
        <v>ЩС-ВК.003</v>
      </c>
      <c r="C420" t="str">
        <v>XT2</v>
      </c>
      <c r="D420" t="str">
        <v>кабель ВВГнг(А)-LS (3х2,5) → Насос дренажный, пом. 006Т</v>
      </c>
      <c r="E420" t="str">
        <v>НВК.00.006Т.1</v>
      </c>
      <c r="F420" t="str">
        <v>Насос дренажный, пом. 006Т</v>
      </c>
    </row>
    <row r="421" spans="1:6" x14ac:dyDescent="0.3">
      <c r="A421">
        <v>418</v>
      </c>
      <c r="B421" t="str">
        <v>ЩС-ВК.003</v>
      </c>
      <c r="C421" t="str">
        <v>QF3</v>
      </c>
      <c r="D421" t="str">
        <v>XT3</v>
      </c>
      <c r="E421" t="str">
        <v>ЖУ.1</v>
      </c>
      <c r="F421" t="str">
        <v>Жироулавливатель Подвальный этаж Пом. №006Т</v>
      </c>
    </row>
    <row r="422" spans="1:6" x14ac:dyDescent="0.3">
      <c r="A422">
        <v>419</v>
      </c>
      <c r="B422" t="str">
        <v>ЩС-ВК.003</v>
      </c>
      <c r="C422" t="str">
        <v>XT3</v>
      </c>
      <c r="D422" t="str">
        <v>кабель ВВГнг(А)-LS (3х2,5) → Жироулавливатель Подвальный этаж Пом. №006Т</v>
      </c>
      <c r="E422" t="str">
        <v>ЖУ.1</v>
      </c>
      <c r="F422" t="str">
        <v>Жироулавливатель Подвальный этаж Пом. №006Т</v>
      </c>
    </row>
    <row r="423" spans="1:6" x14ac:dyDescent="0.3">
      <c r="A423">
        <v>420</v>
      </c>
      <c r="B423" t="str">
        <v>ЩС-ВК.003</v>
      </c>
      <c r="C423" t="str">
        <v>QFD4</v>
      </c>
      <c r="D423" t="str">
        <v>XT4</v>
      </c>
      <c r="E423" t="str">
        <v>R.00.002Б.3</v>
      </c>
      <c r="F423" t="str">
        <v>Сололифт Подвальный этаж Пом. №002Б</v>
      </c>
    </row>
    <row r="424" spans="1:6" x14ac:dyDescent="0.3">
      <c r="A424">
        <v>421</v>
      </c>
      <c r="B424" t="str">
        <v>ЩС-ВК.003</v>
      </c>
      <c r="C424" t="str">
        <v>XT4</v>
      </c>
      <c r="D424" t="str">
        <v>кабель ВВГнг(А)-LS (3х2,5) → Сололифт Подвальный этаж Пом. №002Б</v>
      </c>
      <c r="E424" t="str">
        <v>R.00.002Б.3</v>
      </c>
      <c r="F424" t="str">
        <v>Сололифт Подвальный этаж Пом. №002Б</v>
      </c>
    </row>
    <row r="425" spans="1:6" x14ac:dyDescent="0.3">
      <c r="A425">
        <v>422</v>
      </c>
      <c r="B425" t="str">
        <v>ЩСПЗ-ЖД</v>
      </c>
      <c r="C425" t="str">
        <v>QF1</v>
      </c>
      <c r="D425" t="str">
        <v>XT1</v>
      </c>
      <c r="E425" t="str">
        <v>FCP1-2</v>
      </c>
      <c r="F425" t="str">
        <v>шкаф пожарной сигнализации  Подвальный этаж Пом. №007Т</v>
      </c>
    </row>
    <row r="426" spans="1:6" x14ac:dyDescent="0.3">
      <c r="A426">
        <v>423</v>
      </c>
      <c r="B426" t="str">
        <v>ЩСПЗ-ЖД</v>
      </c>
      <c r="C426" t="str">
        <v>XT1</v>
      </c>
      <c r="D426" t="str">
        <v>кабель ВВГнг(А)-FRLS (3х2,5) → шкаф пожарной сигнализации  Подвальный этаж Пом. №007Т</v>
      </c>
      <c r="E426" t="str">
        <v>FCP1-2</v>
      </c>
      <c r="F426" t="str">
        <v>шкаф пожарной сигнализации  Подвальный этаж Пом. №007Т</v>
      </c>
    </row>
    <row r="427" spans="1:6" x14ac:dyDescent="0.3">
      <c r="A427">
        <v>424</v>
      </c>
      <c r="B427" t="str">
        <v>ЩСПЗ-ЖД</v>
      </c>
      <c r="C427" t="str">
        <v>QF2</v>
      </c>
      <c r="D427" t="str">
        <v>XT2</v>
      </c>
      <c r="E427" t="str">
        <v>ENC1-11</v>
      </c>
      <c r="F427" t="str">
        <v>шкаф системы оповещения и управления эвакуацией Цокольный этаж Пом. №002Т</v>
      </c>
    </row>
    <row r="428" spans="1:6" x14ac:dyDescent="0.3">
      <c r="A428">
        <v>425</v>
      </c>
      <c r="B428" t="str">
        <v>ЩСПЗ-ЖД</v>
      </c>
      <c r="C428" t="str">
        <v>XT2</v>
      </c>
      <c r="D428" t="str">
        <v>кабель ВВГнг(А)-FRLS (3х2,5) → шкаф системы оповещения и управления эвакуацией Цокольный этаж Пом. №002Т</v>
      </c>
      <c r="E428" t="str">
        <v>ENC1-11</v>
      </c>
      <c r="F428" t="str">
        <v>шкаф системы оповещения и управления эвакуацией Цокольный этаж Пом. №002Т</v>
      </c>
    </row>
    <row r="429" spans="1:6" x14ac:dyDescent="0.3">
      <c r="A429">
        <v>426</v>
      </c>
      <c r="B429" t="str">
        <v>ЩСПЗ-ЖД</v>
      </c>
      <c r="C429" t="str">
        <v>QF3</v>
      </c>
      <c r="D429" t="str">
        <v>XT3</v>
      </c>
      <c r="E429" t="str">
        <v>FCP1-1</v>
      </c>
      <c r="F429" t="str">
        <v>шкаф пожарной сигнализации Цокольный этаж Пом. №002Т</v>
      </c>
    </row>
    <row r="430" spans="1:6" x14ac:dyDescent="0.3">
      <c r="A430">
        <v>427</v>
      </c>
      <c r="B430" t="str">
        <v>ЩСПЗ-ЖД</v>
      </c>
      <c r="C430" t="str">
        <v>XT3</v>
      </c>
      <c r="D430" t="str">
        <v>кабель ВВГнг(А)-FRLS (3х2,5) → шкаф пожарной сигнализации Цокольный этаж Пом. №002Т</v>
      </c>
      <c r="E430" t="str">
        <v>FCP1-1</v>
      </c>
      <c r="F430" t="str">
        <v>шкаф пожарной сигнализации Цокольный этаж Пом. №002Т</v>
      </c>
    </row>
    <row r="431" spans="1:6" x14ac:dyDescent="0.3">
      <c r="A431">
        <v>428</v>
      </c>
      <c r="B431" t="str">
        <v>ЩСПЗ-ЖД</v>
      </c>
      <c r="C431" t="str">
        <v>QF4</v>
      </c>
      <c r="D431" t="str">
        <v>XT4</v>
      </c>
      <c r="E431" t="str">
        <v>FCP13</v>
      </c>
      <c r="F431" t="str">
        <v>шкаф пожарной сигнализации Тех. этаж Пом. №004Т</v>
      </c>
    </row>
    <row r="432" spans="1:6" x14ac:dyDescent="0.3">
      <c r="A432">
        <v>429</v>
      </c>
      <c r="B432" t="str">
        <v>ЩСПЗ-ЖД</v>
      </c>
      <c r="C432" t="str">
        <v>XT4</v>
      </c>
      <c r="D432" t="str">
        <v>кабель ВВГнг(А)-FRLS (3х2,5) → шкаф пожарной сигнализации Тех. этаж Пом. №004Т</v>
      </c>
      <c r="E432" t="str">
        <v>FCP13</v>
      </c>
      <c r="F432" t="str">
        <v>шкаф пожарной сигнализации Тех. этаж Пом. №004Т</v>
      </c>
    </row>
    <row r="433" spans="1:6" x14ac:dyDescent="0.3">
      <c r="A433">
        <v>430</v>
      </c>
      <c r="B433" t="str">
        <v>ЩУОВ</v>
      </c>
      <c r="C433" t="str">
        <v>QF1</v>
      </c>
      <c r="D433" t="str">
        <v>XT1</v>
      </c>
      <c r="E433" t="str">
        <v>DW.1</v>
      </c>
      <c r="F433" t="str">
        <v/>
      </c>
    </row>
    <row r="434" spans="1:6" x14ac:dyDescent="0.3">
      <c r="A434">
        <v>431</v>
      </c>
      <c r="B434" t="str">
        <v>ЩУОВ</v>
      </c>
      <c r="C434" t="str">
        <v>XT1</v>
      </c>
      <c r="D434" t="str">
        <v xml:space="preserve">кабель МКЭШнг(A)-LS (2х0,75) → </v>
      </c>
      <c r="E434" t="str">
        <v>DW.1</v>
      </c>
      <c r="F434" t="str">
        <v/>
      </c>
    </row>
    <row r="435" spans="1:6" x14ac:dyDescent="0.3">
      <c r="A435">
        <v>432</v>
      </c>
      <c r="B435" t="str">
        <v>ЩУОВ</v>
      </c>
      <c r="C435" t="str">
        <v>QF2</v>
      </c>
      <c r="D435" t="str">
        <v>XT2</v>
      </c>
      <c r="E435" t="str">
        <v>DT.1</v>
      </c>
      <c r="F435" t="str">
        <v/>
      </c>
    </row>
    <row r="436" spans="1:6" x14ac:dyDescent="0.3">
      <c r="A436">
        <v>433</v>
      </c>
      <c r="B436" t="str">
        <v>ЩУОВ</v>
      </c>
      <c r="C436" t="str">
        <v>XT2</v>
      </c>
      <c r="D436" t="str">
        <v xml:space="preserve">кабель МКЭШнг(A)-LS (2х0,75) → </v>
      </c>
      <c r="E436" t="str">
        <v>DT.1</v>
      </c>
      <c r="F436" t="str">
        <v/>
      </c>
    </row>
    <row r="437" spans="1:6" x14ac:dyDescent="0.3">
      <c r="A437">
        <v>434</v>
      </c>
      <c r="B437" t="str">
        <v>ЩУОВ</v>
      </c>
      <c r="C437" t="str">
        <v>QF3</v>
      </c>
      <c r="D437" t="str">
        <v xml:space="preserve">кабель ВВГнг(А)-LS (3х4) → </v>
      </c>
      <c r="E437" t="str">
        <v>OV.2.002Г.1</v>
      </c>
      <c r="F437" t="str">
        <v/>
      </c>
    </row>
    <row r="438" spans="1:6" x14ac:dyDescent="0.3">
      <c r="A438">
        <v>435</v>
      </c>
      <c r="B438" t="str">
        <v>ЩУОВ</v>
      </c>
      <c r="C438" t="str">
        <v>QF4</v>
      </c>
      <c r="D438" t="str">
        <v>XT4</v>
      </c>
      <c r="E438" t="str">
        <v>OV.2.003Г.1</v>
      </c>
      <c r="F438" t="str">
        <v/>
      </c>
    </row>
    <row r="439" spans="1:6" x14ac:dyDescent="0.3">
      <c r="A439">
        <v>436</v>
      </c>
      <c r="B439" t="str">
        <v>ЩУОВ</v>
      </c>
      <c r="C439" t="str">
        <v>XT4</v>
      </c>
      <c r="D439" t="str">
        <v xml:space="preserve">кабель ВВГнг(А)-LS (3х2,5) → </v>
      </c>
      <c r="E439" t="str">
        <v>OV.2.003Г.1</v>
      </c>
      <c r="F439" t="str">
        <v/>
      </c>
    </row>
    <row r="440" spans="1:6" x14ac:dyDescent="0.3">
      <c r="A440">
        <v>437</v>
      </c>
      <c r="B440" t="str">
        <v>ЩУОВ</v>
      </c>
      <c r="C440" t="str">
        <v>QF5</v>
      </c>
      <c r="D440" t="str">
        <v>кабель ВВГнг(А)-LS (3х6) → Обогревл ливнестоков Кровля бассейна</v>
      </c>
      <c r="E440" t="str">
        <v>OV.2.1.1</v>
      </c>
      <c r="F440" t="str">
        <v>Обогревл ливнестоков Кровля бассейна</v>
      </c>
    </row>
    <row r="441" spans="1:6" x14ac:dyDescent="0.3">
      <c r="A441">
        <v>438</v>
      </c>
      <c r="B441" t="str">
        <v>ЩУОВ</v>
      </c>
      <c r="C441" t="str">
        <v>QF6</v>
      </c>
      <c r="D441" t="str">
        <v>кабель ВВГнг(А)-LS (3х4) → Обогревл ливнестоков Второй этаж</v>
      </c>
      <c r="E441" t="str">
        <v>OV.2.1.2</v>
      </c>
      <c r="F441" t="str">
        <v>Обогревл ливнестоков Второй этаж</v>
      </c>
    </row>
    <row r="442" spans="1:6" x14ac:dyDescent="0.3">
      <c r="A442">
        <v>439</v>
      </c>
      <c r="B442" t="str">
        <v>ЩУОВ</v>
      </c>
      <c r="C442" t="str">
        <v>QF7</v>
      </c>
      <c r="D442" t="str">
        <v>кабель ВВГнг(А)-LS (3х2,5) → Обогревл ливнестоков Второй этаж</v>
      </c>
      <c r="E442" t="str">
        <v>OV.2.1.3</v>
      </c>
      <c r="F442" t="str">
        <v>Обогревл ливнестоков Второй этаж</v>
      </c>
    </row>
    <row r="443" spans="1:6" x14ac:dyDescent="0.3">
      <c r="A443">
        <v>440</v>
      </c>
      <c r="B443" t="str">
        <v>ЩУОВ</v>
      </c>
      <c r="C443" t="str">
        <v>QF8</v>
      </c>
      <c r="D443" t="str">
        <v>кабель ВВГнг(А)-LS (3х2,5) → Обогревл ливнестоков Кровля</v>
      </c>
      <c r="E443" t="str">
        <v>OV.4.1.1</v>
      </c>
      <c r="F443" t="str">
        <v>Обогревл ливнестоков Кровля</v>
      </c>
    </row>
    <row r="444" spans="1:6" x14ac:dyDescent="0.3">
      <c r="A444">
        <v>441</v>
      </c>
      <c r="B444" t="str">
        <v>ЩУОВ</v>
      </c>
      <c r="C444" t="str">
        <v>QF9</v>
      </c>
      <c r="D444" t="str">
        <v>кабель ВВГнг(А)-LS (3х2,5) → Обогревл ливнестоков Кровля</v>
      </c>
      <c r="E444" t="str">
        <v>OV.4.1.2</v>
      </c>
      <c r="F444" t="str">
        <v>Обогревл ливнестоков Кровля</v>
      </c>
    </row>
    <row r="445" spans="1:6" x14ac:dyDescent="0.3">
      <c r="A445">
        <v>442</v>
      </c>
      <c r="B445" t="str">
        <v>ЩУОВ</v>
      </c>
      <c r="C445" t="str">
        <v>QF10</v>
      </c>
      <c r="D445" t="str">
        <v>кабель ВВГнг(А)-LS (3х4) → Обогревл ливнестоков Кровля</v>
      </c>
      <c r="E445" t="str">
        <v>OV.4.1.3</v>
      </c>
      <c r="F445" t="str">
        <v>Обогревл ливнестоков Кровля</v>
      </c>
    </row>
    <row r="446" spans="1:6" x14ac:dyDescent="0.3">
      <c r="A446">
        <v>443</v>
      </c>
      <c r="B446" t="str">
        <v>ЩУОВ</v>
      </c>
      <c r="C446" t="str">
        <v>QF11</v>
      </c>
      <c r="D446" t="str">
        <v>кабель ВВГнг(А)-LS (3х2,5) → Обогревл ливнестоков Кровля</v>
      </c>
      <c r="E446" t="str">
        <v>OV.4.1.4</v>
      </c>
      <c r="F446" t="str">
        <v>Обогревл ливнестоков Кровля</v>
      </c>
    </row>
  </sheetData>
  <pageMargins left="0.4" right="0.4" top="0.5" bottom="0.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5">
    <tabColor rgb="FFA6A6A6"/>
  </sheetPr>
  <dimension ref="A1:AH500"/>
  <sheetViews>
    <sheetView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4.4" outlineLevelCol="1" x14ac:dyDescent="0.3"/>
  <cols>
    <col min="1" max="1" width="13" customWidth="1"/>
    <col min="2" max="2" width="12" customWidth="1"/>
    <col min="3" max="3" width="24" customWidth="1"/>
    <col min="4" max="5" width="8" customWidth="1"/>
    <col min="6" max="6" width="11" customWidth="1"/>
    <col min="7" max="7" width="56" customWidth="1"/>
    <col min="8" max="8" width="18" customWidth="1"/>
    <col min="9" max="9" width="7" customWidth="1"/>
    <col min="10" max="10" width="8" customWidth="1"/>
    <col min="11" max="11" width="6" customWidth="1"/>
    <col min="12" max="12" width="8" customWidth="1"/>
    <col min="13" max="13" width="7" customWidth="1"/>
    <col min="14" max="16" width="11" customWidth="1"/>
    <col min="17" max="17" width="2" customWidth="1"/>
    <col min="18" max="18" width="46" customWidth="1"/>
    <col min="19" max="19" width="22" customWidth="1"/>
    <col min="20" max="20" width="2" customWidth="1"/>
    <col min="21" max="34" width="10" hidden="1" customWidth="1" outlineLevel="1"/>
  </cols>
  <sheetData>
    <row r="1" spans="1:34" x14ac:dyDescent="0.3">
      <c r="A1" s="36" t="s">
        <v>638</v>
      </c>
    </row>
    <row r="2" spans="1:34" ht="27.6" x14ac:dyDescent="0.3">
      <c r="X2" s="35" t="s">
        <v>639</v>
      </c>
      <c r="Z2" s="35" t="s">
        <v>640</v>
      </c>
      <c r="AB2" s="35" t="s">
        <v>641</v>
      </c>
      <c r="AD2" s="35" t="s">
        <v>642</v>
      </c>
    </row>
    <row r="3" spans="1:34" ht="82.8" x14ac:dyDescent="0.3">
      <c r="A3" s="35" t="s">
        <v>643</v>
      </c>
      <c r="B3" s="35" t="s">
        <v>644</v>
      </c>
      <c r="C3" s="35" t="s">
        <v>645</v>
      </c>
      <c r="D3" s="35" t="s">
        <v>646</v>
      </c>
      <c r="E3" s="35" t="s">
        <v>483</v>
      </c>
      <c r="F3" s="35" t="s">
        <v>647</v>
      </c>
      <c r="G3" s="35" t="s">
        <v>648</v>
      </c>
      <c r="H3" s="35" t="s">
        <v>61</v>
      </c>
      <c r="I3" s="35" t="s">
        <v>649</v>
      </c>
      <c r="J3" s="35" t="s">
        <v>650</v>
      </c>
      <c r="K3" s="35" t="s">
        <v>1022</v>
      </c>
      <c r="L3" s="35" t="s">
        <v>651</v>
      </c>
      <c r="M3" s="35" t="s">
        <v>652</v>
      </c>
      <c r="N3" s="35" t="s">
        <v>1754</v>
      </c>
      <c r="O3" s="35" t="s">
        <v>653</v>
      </c>
      <c r="P3" s="35" t="s">
        <v>654</v>
      </c>
      <c r="R3" s="35" t="s">
        <v>585</v>
      </c>
      <c r="S3" s="35" t="s">
        <v>655</v>
      </c>
      <c r="U3" s="35" t="s">
        <v>656</v>
      </c>
      <c r="V3" s="35" t="s">
        <v>657</v>
      </c>
      <c r="W3" s="35" t="s">
        <v>658</v>
      </c>
      <c r="X3" s="38" t="s">
        <v>515</v>
      </c>
      <c r="Y3" s="35" t="s">
        <v>659</v>
      </c>
      <c r="Z3" s="35" t="s">
        <v>640</v>
      </c>
      <c r="AA3" s="35" t="s">
        <v>660</v>
      </c>
      <c r="AB3" s="38" t="s">
        <v>529</v>
      </c>
      <c r="AC3" s="35" t="s">
        <v>661</v>
      </c>
      <c r="AD3" s="38" t="s">
        <v>662</v>
      </c>
      <c r="AE3" s="35" t="s">
        <v>663</v>
      </c>
      <c r="AF3" s="35" t="s">
        <v>664</v>
      </c>
      <c r="AG3" s="35" t="s">
        <v>665</v>
      </c>
      <c r="AH3" s="35" t="s">
        <v>666</v>
      </c>
    </row>
    <row r="4" spans="1:34" x14ac:dyDescent="0.3">
      <c r="A4" s="74" t="s">
        <v>7</v>
      </c>
      <c r="B4" s="74" t="s">
        <v>286</v>
      </c>
      <c r="C4" s="74" t="s">
        <v>667</v>
      </c>
      <c r="D4" s="74"/>
      <c r="E4" s="74"/>
      <c r="F4" s="74"/>
      <c r="G4" s="74" t="s">
        <v>668</v>
      </c>
      <c r="H4" s="74" t="s">
        <v>291</v>
      </c>
      <c r="I4" s="74" t="s">
        <v>669</v>
      </c>
      <c r="J4" s="74">
        <v>10</v>
      </c>
      <c r="K4" s="74" t="s">
        <v>486</v>
      </c>
      <c r="L4" s="74">
        <v>1</v>
      </c>
      <c r="M4" s="74" t="s">
        <v>282</v>
      </c>
      <c r="N4" s="38">
        <f>IF(OR(A4="Автомат",A4="Дифавтомат"),IF(W4="","",COUNTIFS(Однолинейка!$H$3:$H$3000,U4,Однолинейка!$A$3:$A$3000,Щит_спец)),IF(A4="Аппарат",IF(C4="","",COUNTIFS(Однолинейка!$I$3:$I$3000,C4,Однолинейка!$A$3:$A$3000,Щит_спец)+COUNTIFS(Однолинейка!$J$3:$J$3000,C4,Однолинейка!$A$3:$A$3000,Щит_спец)+COUNTIFS(Однолинейка!$K$3:$K$3000,C4,Однолинейка!$A$3:$A$3000,Щит_спец)),IF(A4="Модуль",IF(C4="","",COUNTIFS(Однолинейка!$AW$3:$AW$3000,"?*",Однолинейка!$AI$3:$AI$3000,C4,Однолинейка!$A$3:$A$3000,Щит_спец)),IF(A4="Клемма",IF(C4="","",IF(C4=$S$7,SUMIFS(Однолинейка!$BW$3:$BW$3000,Однолинейка!$A$3:$A$3000,Щит_спец),IF(C4=$S$8,SUMIFS(Однолинейка!$BX$3:$BX$3000,Однолинейка!$A$3:$A$3000,Щит_спец),""))),""))))</f>
        <v>53</v>
      </c>
      <c r="O4" s="74"/>
      <c r="P4" s="38">
        <f t="shared" ref="P4:P67" si="0">IF(COUNT(N4,O4)=0,"",SUM(N4,O4))</f>
        <v>53</v>
      </c>
      <c r="R4" s="38" t="s">
        <v>670</v>
      </c>
      <c r="S4" s="74" t="s">
        <v>286</v>
      </c>
      <c r="U4" s="38" t="str">
        <f t="shared" ref="U4:U67" si="1">IF(OR(A4="Автомат",A4="Дифавтомат"),I4&amp;" С"&amp;J4&amp;"А"&amp;IF(K4="да"," 30мА",IF(ISNUMBER(K4)," "&amp;K4&amp;"мА","")),"")</f>
        <v>1P С10А</v>
      </c>
      <c r="V4" s="38" t="str">
        <f t="shared" ref="V4:V67" si="2">IF(U4="","",B4&amp;"|"&amp;U4)</f>
        <v>Chint|1P С10А</v>
      </c>
      <c r="W4" s="38">
        <f>IF(AND(U4&lt;&gt;"",OR($S$4="(все)",B4=$S$4),IF($S$4="(все)",COUNTIF($U$4:U4,U4),COUNTIFS($U$4:U4,U4,$B$4:B4,B4))=1),MAX($W$3:W3)+1,"")</f>
        <v>1</v>
      </c>
      <c r="X4" s="38" t="str">
        <f t="shared" ref="X4:X67" si="3">IFERROR(INDEX($U$4:$U$500,MATCH(ROW()-3,$W$4:$W$500,0)),"")</f>
        <v>1P С10А</v>
      </c>
      <c r="Y4" s="38" t="str">
        <f>IF(AND(A4="Аппарат",C4&lt;&gt;"",OR($S$5="(все)",B4=$S$5)),MAX($Y$3:Y3)+1,"")</f>
        <v/>
      </c>
      <c r="Z4" s="38" t="str">
        <f t="shared" ref="Z4:Z67" si="4">IFERROR(INDEX($C$4:$C$500,MATCH(ROW()-3,$Y$4:$Y$500,0)),"")</f>
        <v>МК-5-1</v>
      </c>
      <c r="AA4" s="38" t="str">
        <f>IF(AND(A4="Модуль",C4&lt;&gt;"",OR($S$6="(все)",B4=$S$6)),MAX($AA$3:AA3)+1,"")</f>
        <v/>
      </c>
      <c r="AB4" s="38" t="str">
        <f t="shared" ref="AB4:AB67" si="5">IFERROR(INDEX($C$4:$C$500,MATCH(ROW()-3,$AA$4:$AA$500,0)),"")</f>
        <v>ZIOMB24V2</v>
      </c>
      <c r="AC4" s="38">
        <f>IF(OR(B4="",COUNTIF($B$4:B4,B4)&gt;1),"",MAX($AC$3:AC3)+1)</f>
        <v>1</v>
      </c>
      <c r="AD4" s="38" t="str">
        <f t="shared" ref="AD4:AD67" si="6">IFERROR(INDEX($B$4:$B$500,MATCH(ROW()-3,$AC$4:$AC$500,0)),"")</f>
        <v>Chint</v>
      </c>
      <c r="AE4" s="38">
        <f t="shared" ref="AE4:AE67" si="7">IF(AND(A4&lt;&gt;"",N(P4)&gt;0),IFERROR(MATCH(A4,$R$12:$R$25,0),99)*1000+ROW(),"")</f>
        <v>2004</v>
      </c>
      <c r="AF4" s="38">
        <f t="shared" ref="AF4:AF67" si="8">IF(AE4="","",COUNTIF($AE$4:$AE$500,"&lt;="&amp;AE4))</f>
        <v>1</v>
      </c>
      <c r="AG4" s="38" t="str">
        <f>IF(Спецификация_авто!$L$4="","",IF(IF($S$4="(все)",COUNTIF($U$4:$U$500,Спецификация_авто!$L$4),COUNTIF($V$4:$V$500,$S$4&amp;"|"&amp;Спецификация_авто!$L$4))=0,Спецификация_авто!$L$4,""))</f>
        <v>3P С630А</v>
      </c>
      <c r="AH4" s="38">
        <f>IF(AG4="","",COUNTIF($AG$4:AG4,"?*"))</f>
        <v>1</v>
      </c>
    </row>
    <row r="5" spans="1:34" x14ac:dyDescent="0.3">
      <c r="A5" s="74" t="s">
        <v>7</v>
      </c>
      <c r="B5" s="74" t="s">
        <v>286</v>
      </c>
      <c r="C5" s="74" t="s">
        <v>671</v>
      </c>
      <c r="D5" s="74"/>
      <c r="E5" s="74"/>
      <c r="F5" s="74"/>
      <c r="G5" s="74" t="s">
        <v>672</v>
      </c>
      <c r="H5" s="74" t="s">
        <v>290</v>
      </c>
      <c r="I5" s="74" t="s">
        <v>669</v>
      </c>
      <c r="J5" s="74">
        <v>16</v>
      </c>
      <c r="K5" s="74" t="s">
        <v>486</v>
      </c>
      <c r="L5" s="74">
        <v>1</v>
      </c>
      <c r="M5" s="74" t="s">
        <v>282</v>
      </c>
      <c r="N5" s="38">
        <f>IF(OR(A5="Автомат",A5="Дифавтомат"),IF(W5="","",COUNTIFS(Однолинейка!$H$3:$H$3000,U5,Однолинейка!$A$3:$A$3000,Щит_спец)),IF(A5="Аппарат",IF(C5="","",COUNTIFS(Однолинейка!$I$3:$I$3000,C5,Однолинейка!$A$3:$A$3000,Щит_спец)+COUNTIFS(Однолинейка!$J$3:$J$3000,C5,Однолинейка!$A$3:$A$3000,Щит_спец)+COUNTIFS(Однолинейка!$K$3:$K$3000,C5,Однолинейка!$A$3:$A$3000,Щит_спец)),IF(A5="Модуль",IF(C5="","",COUNTIFS(Однолинейка!$AW$3:$AW$3000,"?*",Однолинейка!$AI$3:$AI$3000,C5,Однолинейка!$A$3:$A$3000,Щит_спец)),IF(A5="Клемма",IF(C5="","",IF(C5=$S$7,SUMIFS(Однолинейка!$BW$3:$BW$3000,Однолинейка!$A$3:$A$3000,Щит_спец),IF(C5=$S$8,SUMIFS(Однолинейка!$BX$3:$BX$3000,Однолинейка!$A$3:$A$3000,Щит_спец),""))),""))))</f>
        <v>54</v>
      </c>
      <c r="O5" s="74"/>
      <c r="P5" s="38">
        <f t="shared" si="0"/>
        <v>54</v>
      </c>
      <c r="R5" s="38" t="s">
        <v>673</v>
      </c>
      <c r="S5" s="74" t="s">
        <v>662</v>
      </c>
      <c r="U5" s="38" t="str">
        <f t="shared" si="1"/>
        <v>1P С16А</v>
      </c>
      <c r="V5" s="38" t="str">
        <f t="shared" si="2"/>
        <v>Chint|1P С16А</v>
      </c>
      <c r="W5" s="38">
        <f>IF(AND(U5&lt;&gt;"",OR($S$4="(все)",B5=$S$4),IF($S$4="(все)",COUNTIF($U$4:U5,U5),COUNTIFS($U$4:U5,U5,$B$4:B5,B5))=1),MAX($W$3:W4)+1,"")</f>
        <v>2</v>
      </c>
      <c r="X5" s="38" t="str">
        <f t="shared" si="3"/>
        <v>1P С16А</v>
      </c>
      <c r="Y5" s="38" t="str">
        <f>IF(AND(A5="Аппарат",C5&lt;&gt;"",OR($S$5="(все)",B5=$S$5)),MAX($Y$3:Y4)+1,"")</f>
        <v/>
      </c>
      <c r="Z5" s="38" t="str">
        <f t="shared" si="4"/>
        <v>КМ NCH8-63/40</v>
      </c>
      <c r="AA5" s="38" t="str">
        <f>IF(AND(A5="Модуль",C5&lt;&gt;"",OR($S$6="(все)",B5=$S$6)),MAX($AA$3:AA4)+1,"")</f>
        <v/>
      </c>
      <c r="AB5" s="38" t="str">
        <f t="shared" si="5"/>
        <v>ZIO-MB24</v>
      </c>
      <c r="AC5" s="38" t="str">
        <f>IF(OR(B5="",COUNTIF($B$4:B5,B5)&gt;1),"",MAX($AC$3:AC4)+1)</f>
        <v/>
      </c>
      <c r="AD5" s="38" t="str">
        <f t="shared" si="6"/>
        <v>Россия</v>
      </c>
      <c r="AE5" s="38">
        <f t="shared" si="7"/>
        <v>2005</v>
      </c>
      <c r="AF5" s="38">
        <f t="shared" si="8"/>
        <v>2</v>
      </c>
      <c r="AG5" s="38" t="str">
        <f>IF(Спецификация_авто!$L$5="","",IF(IF($S$4="(все)",COUNTIF($U$4:$U$500,Спецификация_авто!$L$5),COUNTIF($V$4:$V$500,$S$4&amp;"|"&amp;Спецификация_авто!$L$5))=0,Спецификация_авто!$L$5,""))</f>
        <v/>
      </c>
      <c r="AH5" s="38" t="str">
        <f>IF(AG5="","",COUNTIF($AG$4:AG5,"?*"))</f>
        <v/>
      </c>
    </row>
    <row r="6" spans="1:34" x14ac:dyDescent="0.3">
      <c r="A6" s="74" t="s">
        <v>7</v>
      </c>
      <c r="B6" s="74" t="s">
        <v>286</v>
      </c>
      <c r="C6" s="74" t="s">
        <v>674</v>
      </c>
      <c r="D6" s="74"/>
      <c r="E6" s="74"/>
      <c r="F6" s="74"/>
      <c r="G6" s="74" t="s">
        <v>675</v>
      </c>
      <c r="H6" s="74" t="s">
        <v>676</v>
      </c>
      <c r="I6" s="74" t="s">
        <v>677</v>
      </c>
      <c r="J6" s="74">
        <v>20</v>
      </c>
      <c r="K6" s="74" t="s">
        <v>486</v>
      </c>
      <c r="L6" s="74">
        <v>3</v>
      </c>
      <c r="M6" s="74" t="s">
        <v>282</v>
      </c>
      <c r="N6" s="38">
        <f>IF(OR(A6="Автомат",A6="Дифавтомат"),IF(W6="","",COUNTIFS(Однолинейка!$H$3:$H$3000,U6,Однолинейка!$A$3:$A$3000,Щит_спец)),IF(A6="Аппарат",IF(C6="","",COUNTIFS(Однолинейка!$I$3:$I$3000,C6,Однолинейка!$A$3:$A$3000,Щит_спец)+COUNTIFS(Однолинейка!$J$3:$J$3000,C6,Однолинейка!$A$3:$A$3000,Щит_спец)+COUNTIFS(Однолинейка!$K$3:$K$3000,C6,Однолинейка!$A$3:$A$3000,Щит_спец)),IF(A6="Модуль",IF(C6="","",COUNTIFS(Однолинейка!$AW$3:$AW$3000,"?*",Однолинейка!$AI$3:$AI$3000,C6,Однолинейка!$A$3:$A$3000,Щит_спец)),IF(A6="Клемма",IF(C6="","",IF(C6=$S$7,SUMIFS(Однолинейка!$BW$3:$BW$3000,Однолинейка!$A$3:$A$3000,Щит_спец),IF(C6=$S$8,SUMIFS(Однолинейка!$BX$3:$BX$3000,Однолинейка!$A$3:$A$3000,Щит_спец),""))),""))))</f>
        <v>6</v>
      </c>
      <c r="O6" s="74"/>
      <c r="P6" s="38">
        <f t="shared" si="0"/>
        <v>6</v>
      </c>
      <c r="R6" s="38" t="s">
        <v>678</v>
      </c>
      <c r="S6" s="74" t="s">
        <v>662</v>
      </c>
      <c r="U6" s="38" t="str">
        <f t="shared" si="1"/>
        <v>3P С20А</v>
      </c>
      <c r="V6" s="38" t="str">
        <f t="shared" si="2"/>
        <v>Chint|3P С20А</v>
      </c>
      <c r="W6" s="38">
        <f>IF(AND(U6&lt;&gt;"",OR($S$4="(все)",B6=$S$4),IF($S$4="(все)",COUNTIF($U$4:U6,U6),COUNTIFS($U$4:U6,U6,$B$4:B6,B6))=1),MAX($W$3:W5)+1,"")</f>
        <v>3</v>
      </c>
      <c r="X6" s="38" t="str">
        <f t="shared" si="3"/>
        <v>3P С20А</v>
      </c>
      <c r="Y6" s="38" t="str">
        <f>IF(AND(A6="Аппарат",C6&lt;&gt;"",OR($S$5="(все)",B6=$S$5)),MAX($Y$3:Y5)+1,"")</f>
        <v/>
      </c>
      <c r="Z6" s="38" t="str">
        <f t="shared" si="4"/>
        <v>КМ NCH8-40/40</v>
      </c>
      <c r="AA6" s="38" t="str">
        <f>IF(AND(A6="Модуль",C6&lt;&gt;"",OR($S$6="(все)",B6=$S$6)),MAX($AA$3:AA5)+1,"")</f>
        <v/>
      </c>
      <c r="AB6" s="38" t="str">
        <f t="shared" si="5"/>
        <v>ZIOMB16V3</v>
      </c>
      <c r="AC6" s="38" t="str">
        <f>IF(OR(B6="",COUNTIF($B$4:B6,B6)&gt;1),"",MAX($AC$3:AC5)+1)</f>
        <v/>
      </c>
      <c r="AD6" s="38" t="str">
        <f t="shared" si="6"/>
        <v>Arlight</v>
      </c>
      <c r="AE6" s="38">
        <f t="shared" si="7"/>
        <v>2006</v>
      </c>
      <c r="AF6" s="38">
        <f t="shared" si="8"/>
        <v>3</v>
      </c>
      <c r="AG6" s="38" t="str">
        <f>IF(Спецификация_авто!$L$6="","",IF(IF($S$4="(все)",COUNTIF($U$4:$U$500,Спецификация_авто!$L$6),COUNTIF($V$4:$V$500,$S$4&amp;"|"&amp;Спецификация_авто!$L$6))=0,Спецификация_авто!$L$6,""))</f>
        <v>3P С25А</v>
      </c>
      <c r="AH6" s="38">
        <f>IF(AG6="","",COUNTIF($AG$4:AG6,"?*"))</f>
        <v>2</v>
      </c>
    </row>
    <row r="7" spans="1:34" x14ac:dyDescent="0.3">
      <c r="A7" s="74" t="s">
        <v>7</v>
      </c>
      <c r="B7" s="74" t="s">
        <v>286</v>
      </c>
      <c r="C7" s="74" t="s">
        <v>679</v>
      </c>
      <c r="D7" s="74"/>
      <c r="E7" s="74"/>
      <c r="F7" s="74"/>
      <c r="G7" s="74" t="s">
        <v>680</v>
      </c>
      <c r="H7" s="74" t="s">
        <v>681</v>
      </c>
      <c r="I7" s="74" t="s">
        <v>682</v>
      </c>
      <c r="J7" s="74">
        <v>50</v>
      </c>
      <c r="K7" s="74" t="s">
        <v>486</v>
      </c>
      <c r="L7" s="74">
        <v>4</v>
      </c>
      <c r="M7" s="74" t="s">
        <v>282</v>
      </c>
      <c r="N7" s="38">
        <f>IF(OR(A7="Автомат",A7="Дифавтомат"),IF(W7="","",COUNTIFS(Однолинейка!$H$3:$H$3000,U7,Однолинейка!$A$3:$A$3000,Щит_спец)),IF(A7="Аппарат",IF(C7="","",COUNTIFS(Однолинейка!$I$3:$I$3000,C7,Однолинейка!$A$3:$A$3000,Щит_спец)+COUNTIFS(Однолинейка!$J$3:$J$3000,C7,Однолинейка!$A$3:$A$3000,Щит_спец)+COUNTIFS(Однолинейка!$K$3:$K$3000,C7,Однолинейка!$A$3:$A$3000,Щит_спец)),IF(A7="Модуль",IF(C7="","",COUNTIFS(Однолинейка!$AW$3:$AW$3000,"?*",Однолинейка!$AI$3:$AI$3000,C7,Однолинейка!$A$3:$A$3000,Щит_спец)),IF(A7="Клемма",IF(C7="","",IF(C7=$S$7,SUMIFS(Однолинейка!$BW$3:$BW$3000,Однолинейка!$A$3:$A$3000,Щит_спец),IF(C7=$S$8,SUMIFS(Однолинейка!$BX$3:$BX$3000,Однолинейка!$A$3:$A$3000,Щит_спец),""))),""))))</f>
        <v>0</v>
      </c>
      <c r="O7" s="74"/>
      <c r="P7" s="38">
        <f t="shared" si="0"/>
        <v>0</v>
      </c>
      <c r="R7" s="38" t="s">
        <v>683</v>
      </c>
      <c r="S7" s="74" t="s">
        <v>317</v>
      </c>
      <c r="U7" s="38" t="str">
        <f t="shared" si="1"/>
        <v>4P С50А</v>
      </c>
      <c r="V7" s="38" t="str">
        <f t="shared" si="2"/>
        <v>Chint|4P С50А</v>
      </c>
      <c r="W7" s="38">
        <f>IF(AND(U7&lt;&gt;"",OR($S$4="(все)",B7=$S$4),IF($S$4="(все)",COUNTIF($U$4:U7,U7),COUNTIFS($U$4:U7,U7,$B$4:B7,B7))=1),MAX($W$3:W6)+1,"")</f>
        <v>4</v>
      </c>
      <c r="X7" s="38" t="str">
        <f t="shared" si="3"/>
        <v>4P С50А</v>
      </c>
      <c r="Y7" s="38" t="str">
        <f>IF(AND(A7="Аппарат",C7&lt;&gt;"",OR($S$5="(все)",B7=$S$5)),MAX($Y$3:Y6)+1,"")</f>
        <v/>
      </c>
      <c r="Z7" s="38" t="str">
        <f t="shared" si="4"/>
        <v>NJVA1-100</v>
      </c>
      <c r="AA7" s="38" t="str">
        <f>IF(AND(A7="Модуль",C7&lt;&gt;"",OR($S$6="(все)",B7=$S$6)),MAX($AA$3:AA6)+1,"")</f>
        <v/>
      </c>
      <c r="AB7" s="38" t="str">
        <f t="shared" si="5"/>
        <v>ZIOMB8V3</v>
      </c>
      <c r="AC7" s="38" t="str">
        <f>IF(OR(B7="",COUNTIF($B$4:B7,B7)&gt;1),"",MAX($AC$3:AC6)+1)</f>
        <v/>
      </c>
      <c r="AD7" s="38" t="str">
        <f t="shared" si="6"/>
        <v>Zennio</v>
      </c>
      <c r="AE7" s="38" t="str">
        <f t="shared" si="7"/>
        <v/>
      </c>
      <c r="AF7" s="38" t="str">
        <f t="shared" si="8"/>
        <v/>
      </c>
      <c r="AG7" s="38" t="str">
        <f>IF(Спецификация_авто!$L$7="","",IF(IF($S$4="(все)",COUNTIF($U$4:$U$500,Спецификация_авто!$L$7),COUNTIF($V$4:$V$500,$S$4&amp;"|"&amp;Спецификация_авто!$L$7))=0,Спецификация_авто!$L$7,""))</f>
        <v>3P С400А</v>
      </c>
      <c r="AH7" s="38">
        <f>IF(AG7="","",COUNTIF($AG$4:AG7,"?*"))</f>
        <v>3</v>
      </c>
    </row>
    <row r="8" spans="1:34" x14ac:dyDescent="0.3">
      <c r="A8" s="74" t="s">
        <v>7</v>
      </c>
      <c r="B8" s="74" t="s">
        <v>286</v>
      </c>
      <c r="C8" s="74" t="s">
        <v>684</v>
      </c>
      <c r="D8" s="74"/>
      <c r="E8" s="74"/>
      <c r="F8" s="74"/>
      <c r="G8" s="74" t="s">
        <v>685</v>
      </c>
      <c r="H8" s="74" t="s">
        <v>367</v>
      </c>
      <c r="I8" s="74" t="s">
        <v>677</v>
      </c>
      <c r="J8" s="74">
        <v>80</v>
      </c>
      <c r="K8" s="74" t="s">
        <v>486</v>
      </c>
      <c r="L8" s="74">
        <v>4.5</v>
      </c>
      <c r="M8" s="74" t="s">
        <v>282</v>
      </c>
      <c r="N8" s="38">
        <f>IF(OR(A8="Автомат",A8="Дифавтомат"),IF(W8="","",COUNTIFS(Однолинейка!$H$3:$H$3000,U8,Однолинейка!$A$3:$A$3000,Щит_спец)),IF(A8="Аппарат",IF(C8="","",COUNTIFS(Однолинейка!$I$3:$I$3000,C8,Однолинейка!$A$3:$A$3000,Щит_спец)+COUNTIFS(Однолинейка!$J$3:$J$3000,C8,Однолинейка!$A$3:$A$3000,Щит_спец)+COUNTIFS(Однолинейка!$K$3:$K$3000,C8,Однолинейка!$A$3:$A$3000,Щит_спец)),IF(A8="Модуль",IF(C8="","",COUNTIFS(Однолинейка!$AW$3:$AW$3000,"?*",Однолинейка!$AI$3:$AI$3000,C8,Однолинейка!$A$3:$A$3000,Щит_спец)),IF(A8="Клемма",IF(C8="","",IF(C8=$S$7,SUMIFS(Однолинейка!$BW$3:$BW$3000,Однолинейка!$A$3:$A$3000,Щит_спец),IF(C8=$S$8,SUMIFS(Однолинейка!$BX$3:$BX$3000,Однолинейка!$A$3:$A$3000,Щит_спец),""))),""))))</f>
        <v>0</v>
      </c>
      <c r="O8" s="74"/>
      <c r="P8" s="38">
        <f t="shared" si="0"/>
        <v>0</v>
      </c>
      <c r="R8" s="38" t="s">
        <v>686</v>
      </c>
      <c r="S8" s="74" t="s">
        <v>398</v>
      </c>
      <c r="U8" s="38" t="str">
        <f t="shared" si="1"/>
        <v>3P С80А</v>
      </c>
      <c r="V8" s="38" t="str">
        <f t="shared" si="2"/>
        <v>Chint|3P С80А</v>
      </c>
      <c r="W8" s="38">
        <f>IF(AND(U8&lt;&gt;"",OR($S$4="(все)",B8=$S$4),IF($S$4="(все)",COUNTIF($U$4:U8,U8),COUNTIFS($U$4:U8,U8,$B$4:B8,B8))=1),MAX($W$3:W7)+1,"")</f>
        <v>5</v>
      </c>
      <c r="X8" s="38" t="str">
        <f t="shared" si="3"/>
        <v>3P С80А</v>
      </c>
      <c r="Y8" s="38" t="str">
        <f>IF(AND(A8="Аппарат",C8&lt;&gt;"",OR($S$5="(все)",B8=$S$5)),MAX($Y$3:Y7)+1,"")</f>
        <v/>
      </c>
      <c r="Z8" s="38" t="str">
        <f t="shared" si="4"/>
        <v>NZK1-32 2P</v>
      </c>
      <c r="AA8" s="38" t="str">
        <f>IF(AND(A8="Модуль",C8&lt;&gt;"",OR($S$6="(все)",B8=$S$6)),MAX($AA$3:AA7)+1,"")</f>
        <v/>
      </c>
      <c r="AB8" s="38" t="str">
        <f t="shared" si="5"/>
        <v>ZCL-8HT230</v>
      </c>
      <c r="AC8" s="38" t="str">
        <f>IF(OR(B8="",COUNTIF($B$4:B8,B8)&gt;1),"",MAX($AC$3:AC7)+1)</f>
        <v/>
      </c>
      <c r="AD8" s="38" t="str">
        <f t="shared" si="6"/>
        <v>—</v>
      </c>
      <c r="AE8" s="38" t="str">
        <f t="shared" si="7"/>
        <v/>
      </c>
      <c r="AF8" s="38" t="str">
        <f t="shared" si="8"/>
        <v/>
      </c>
      <c r="AG8" s="38" t="str">
        <f>IF(Спецификация_авто!$L$8="","",IF(IF($S$4="(все)",COUNTIF($U$4:$U$500,Спецификация_авто!$L$8),COUNTIF($V$4:$V$500,$S$4&amp;"|"&amp;Спецификация_авто!$L$8))=0,Спецификация_авто!$L$8,""))</f>
        <v>3P С16А</v>
      </c>
      <c r="AH8" s="38">
        <f>IF(AG8="","",COUNTIF($AG$4:AG8,"?*"))</f>
        <v>4</v>
      </c>
    </row>
    <row r="9" spans="1:34" x14ac:dyDescent="0.3">
      <c r="A9" s="74" t="s">
        <v>687</v>
      </c>
      <c r="B9" s="74" t="s">
        <v>286</v>
      </c>
      <c r="C9" s="74" t="s">
        <v>688</v>
      </c>
      <c r="D9" s="74"/>
      <c r="E9" s="74"/>
      <c r="F9" s="74"/>
      <c r="G9" s="74" t="s">
        <v>689</v>
      </c>
      <c r="H9" s="74" t="s">
        <v>293</v>
      </c>
      <c r="I9" s="74" t="s">
        <v>690</v>
      </c>
      <c r="J9" s="74">
        <v>16</v>
      </c>
      <c r="K9" s="74" t="s">
        <v>490</v>
      </c>
      <c r="L9" s="74">
        <v>2</v>
      </c>
      <c r="M9" s="74" t="s">
        <v>282</v>
      </c>
      <c r="N9" s="38">
        <f>IF(OR(A9="Автомат",A9="Дифавтомат"),IF(W9="","",COUNTIFS(Однолинейка!$H$3:$H$3000,U9,Однолинейка!$A$3:$A$3000,Щит_спец)),IF(A9="Аппарат",IF(C9="","",COUNTIFS(Однолинейка!$I$3:$I$3000,C9,Однолинейка!$A$3:$A$3000,Щит_спец)+COUNTIFS(Однолинейка!$J$3:$J$3000,C9,Однолинейка!$A$3:$A$3000,Щит_спец)+COUNTIFS(Однолинейка!$K$3:$K$3000,C9,Однолинейка!$A$3:$A$3000,Щит_спец)),IF(A9="Модуль",IF(C9="","",COUNTIFS(Однолинейка!$AW$3:$AW$3000,"?*",Однолинейка!$AI$3:$AI$3000,C9,Однолинейка!$A$3:$A$3000,Щит_спец)),IF(A9="Клемма",IF(C9="","",IF(C9=$S$7,SUMIFS(Однолинейка!$BW$3:$BW$3000,Однолинейка!$A$3:$A$3000,Щит_спец),IF(C9=$S$8,SUMIFS(Однолинейка!$BX$3:$BX$3000,Однолинейка!$A$3:$A$3000,Щит_спец),""))),""))))</f>
        <v>139</v>
      </c>
      <c r="O9" s="74"/>
      <c r="P9" s="38">
        <f t="shared" si="0"/>
        <v>139</v>
      </c>
      <c r="R9" s="38" t="s">
        <v>691</v>
      </c>
      <c r="S9" s="74">
        <v>1</v>
      </c>
      <c r="U9" s="38" t="str">
        <f t="shared" si="1"/>
        <v>2P С16А 30мА</v>
      </c>
      <c r="V9" s="38" t="str">
        <f t="shared" si="2"/>
        <v>Chint|2P С16А 30мА</v>
      </c>
      <c r="W9" s="38">
        <f>IF(AND(U9&lt;&gt;"",OR($S$4="(все)",B9=$S$4),IF($S$4="(все)",COUNTIF($U$4:U9,U9),COUNTIFS($U$4:U9,U9,$B$4:B9,B9))=1),MAX($W$3:W8)+1,"")</f>
        <v>6</v>
      </c>
      <c r="X9" s="38" t="str">
        <f t="shared" si="3"/>
        <v>2P С16А 30мА</v>
      </c>
      <c r="Y9" s="38" t="str">
        <f>IF(AND(A9="Аппарат",C9&lt;&gt;"",OR($S$5="(все)",B9=$S$5)),MAX($Y$3:Y8)+1,"")</f>
        <v/>
      </c>
      <c r="Z9" s="38" t="str">
        <f t="shared" si="4"/>
        <v>БП 24V 480W</v>
      </c>
      <c r="AA9" s="38" t="str">
        <f>IF(AND(A9="Модуль",C9&lt;&gt;"",OR($S$6="(все)",B9=$S$6)),MAX($AA$3:AA8)+1,"")</f>
        <v/>
      </c>
      <c r="AB9" s="38" t="str">
        <f t="shared" si="5"/>
        <v>ZDINDX4</v>
      </c>
      <c r="AC9" s="38" t="str">
        <f>IF(OR(B9="",COUNTIF($B$4:B9,B9)&gt;1),"",MAX($AC$3:AC8)+1)</f>
        <v/>
      </c>
      <c r="AD9" s="38" t="str">
        <f t="shared" si="6"/>
        <v>DKC</v>
      </c>
      <c r="AE9" s="38">
        <f t="shared" si="7"/>
        <v>3009</v>
      </c>
      <c r="AF9" s="38">
        <f t="shared" si="8"/>
        <v>4</v>
      </c>
      <c r="AG9" s="38" t="str">
        <f>IF(Спецификация_авто!$L$9="","",IF(IF($S$4="(все)",COUNTIF($U$4:$U$500,Спецификация_авто!$L$9),COUNTIF($V$4:$V$500,$S$4&amp;"|"&amp;Спецификация_авто!$L$9))=0,Спецификация_авто!$L$9,""))</f>
        <v/>
      </c>
      <c r="AH9" s="38" t="str">
        <f>IF(AG9="","",COUNTIF($AG$4:AG9,"?*"))</f>
        <v/>
      </c>
    </row>
    <row r="10" spans="1:34" x14ac:dyDescent="0.3">
      <c r="A10" s="74" t="s">
        <v>687</v>
      </c>
      <c r="B10" s="74" t="s">
        <v>286</v>
      </c>
      <c r="C10" s="74" t="s">
        <v>692</v>
      </c>
      <c r="D10" s="74"/>
      <c r="E10" s="74"/>
      <c r="F10" s="74"/>
      <c r="G10" s="74" t="s">
        <v>693</v>
      </c>
      <c r="H10" s="74" t="s">
        <v>383</v>
      </c>
      <c r="I10" s="74" t="s">
        <v>690</v>
      </c>
      <c r="J10" s="74">
        <v>20</v>
      </c>
      <c r="K10" s="74" t="s">
        <v>490</v>
      </c>
      <c r="L10" s="74">
        <v>2</v>
      </c>
      <c r="M10" s="74" t="s">
        <v>282</v>
      </c>
      <c r="N10" s="38">
        <f>IF(OR(A10="Автомат",A10="Дифавтомат"),IF(W10="","",COUNTIFS(Однолинейка!$H$3:$H$3000,U10,Однолинейка!$A$3:$A$3000,Щит_спец)),IF(A10="Аппарат",IF(C10="","",COUNTIFS(Однолинейка!$I$3:$I$3000,C10,Однолинейка!$A$3:$A$3000,Щит_спец)+COUNTIFS(Однолинейка!$J$3:$J$3000,C10,Однолинейка!$A$3:$A$3000,Щит_спец)+COUNTIFS(Однолинейка!$K$3:$K$3000,C10,Однолинейка!$A$3:$A$3000,Щит_спец)),IF(A10="Модуль",IF(C10="","",COUNTIFS(Однолинейка!$AW$3:$AW$3000,"?*",Однолинейка!$AI$3:$AI$3000,C10,Однолинейка!$A$3:$A$3000,Щит_спец)),IF(A10="Клемма",IF(C10="","",IF(C10=$S$7,SUMIFS(Однолинейка!$BW$3:$BW$3000,Однолинейка!$A$3:$A$3000,Щит_спец),IF(C10=$S$8,SUMIFS(Однолинейка!$BX$3:$BX$3000,Однолинейка!$A$3:$A$3000,Щит_спец),""))),""))))</f>
        <v>3</v>
      </c>
      <c r="O10" s="74"/>
      <c r="P10" s="38">
        <f t="shared" si="0"/>
        <v>3</v>
      </c>
      <c r="U10" s="38" t="str">
        <f t="shared" si="1"/>
        <v>2P С20А 30мА</v>
      </c>
      <c r="V10" s="38" t="str">
        <f t="shared" si="2"/>
        <v>Chint|2P С20А 30мА</v>
      </c>
      <c r="W10" s="38">
        <f>IF(AND(U10&lt;&gt;"",OR($S$4="(все)",B10=$S$4),IF($S$4="(все)",COUNTIF($U$4:U10,U10),COUNTIFS($U$4:U10,U10,$B$4:B10,B10))=1),MAX($W$3:W9)+1,"")</f>
        <v>7</v>
      </c>
      <c r="X10" s="38" t="str">
        <f t="shared" si="3"/>
        <v>2P С20А 30мА</v>
      </c>
      <c r="Y10" s="38" t="str">
        <f>IF(AND(A10="Аппарат",C10&lt;&gt;"",OR($S$5="(все)",B10=$S$5)),MAX($Y$3:Y9)+1,"")</f>
        <v/>
      </c>
      <c r="Z10" s="38" t="str">
        <f t="shared" si="4"/>
        <v>БП 24V 75W</v>
      </c>
      <c r="AA10" s="38" t="str">
        <f>IF(AND(A10="Модуль",C10&lt;&gt;"",OR($S$6="(все)",B10=$S$6)),MAX($AA$3:AA9)+1,"")</f>
        <v/>
      </c>
      <c r="AB10" s="38" t="str">
        <f t="shared" si="5"/>
        <v>ZDID64X2</v>
      </c>
      <c r="AC10" s="38" t="str">
        <f>IF(OR(B10="",COUNTIF($B$4:B10,B10)&gt;1),"",MAX($AC$3:AC9)+1)</f>
        <v/>
      </c>
      <c r="AD10" s="38" t="str">
        <f t="shared" si="6"/>
        <v>EKF</v>
      </c>
      <c r="AE10" s="38">
        <f t="shared" si="7"/>
        <v>3010</v>
      </c>
      <c r="AF10" s="38">
        <f t="shared" si="8"/>
        <v>5</v>
      </c>
      <c r="AG10" s="38" t="str">
        <f>IF(Спецификация_авто!$L$10="","",IF(IF($S$4="(все)",COUNTIF($U$4:$U$500,Спецификация_авто!$L$10),COUNTIF($V$4:$V$500,$S$4&amp;"|"&amp;Спецификация_авто!$L$10))=0,Спецификация_авто!$L$10,""))</f>
        <v>3P С6А</v>
      </c>
      <c r="AH10" s="38">
        <f>IF(AG10="","",COUNTIF($AG$4:AG10,"?*"))</f>
        <v>5</v>
      </c>
    </row>
    <row r="11" spans="1:34" ht="27.6" x14ac:dyDescent="0.3">
      <c r="A11" s="74" t="s">
        <v>687</v>
      </c>
      <c r="B11" s="74" t="s">
        <v>286</v>
      </c>
      <c r="C11" s="74" t="s">
        <v>694</v>
      </c>
      <c r="D11" s="74"/>
      <c r="E11" s="74"/>
      <c r="F11" s="74"/>
      <c r="G11" s="74" t="s">
        <v>695</v>
      </c>
      <c r="H11" s="74" t="s">
        <v>292</v>
      </c>
      <c r="I11" s="74" t="s">
        <v>690</v>
      </c>
      <c r="J11" s="74">
        <v>32</v>
      </c>
      <c r="K11" s="74" t="s">
        <v>490</v>
      </c>
      <c r="L11" s="74">
        <v>2</v>
      </c>
      <c r="M11" s="74" t="s">
        <v>282</v>
      </c>
      <c r="N11" s="38">
        <f>IF(OR(A11="Автомат",A11="Дифавтомат"),IF(W11="","",COUNTIFS(Однолинейка!$H$3:$H$3000,U11,Однолинейка!$A$3:$A$3000,Щит_спец)),IF(A11="Аппарат",IF(C11="","",COUNTIFS(Однолинейка!$I$3:$I$3000,C11,Однолинейка!$A$3:$A$3000,Щит_спец)+COUNTIFS(Однолинейка!$J$3:$J$3000,C11,Однолинейка!$A$3:$A$3000,Щит_спец)+COUNTIFS(Однолинейка!$K$3:$K$3000,C11,Однолинейка!$A$3:$A$3000,Щит_спец)),IF(A11="Модуль",IF(C11="","",COUNTIFS(Однолинейка!$AW$3:$AW$3000,"?*",Однолинейка!$AI$3:$AI$3000,C11,Однолинейка!$A$3:$A$3000,Щит_спец)),IF(A11="Клемма",IF(C11="","",IF(C11=$S$7,SUMIFS(Однолинейка!$BW$3:$BW$3000,Однолинейка!$A$3:$A$3000,Щит_спец),IF(C11=$S$8,SUMIFS(Однолинейка!$BX$3:$BX$3000,Однолинейка!$A$3:$A$3000,Щит_спец),""))),""))))</f>
        <v>0</v>
      </c>
      <c r="O11" s="74"/>
      <c r="P11" s="38">
        <f t="shared" si="0"/>
        <v>0</v>
      </c>
      <c r="R11" s="35" t="s">
        <v>696</v>
      </c>
      <c r="S11" s="35"/>
      <c r="U11" s="38" t="str">
        <f t="shared" si="1"/>
        <v>2P С32А 30мА</v>
      </c>
      <c r="V11" s="38" t="str">
        <f t="shared" si="2"/>
        <v>Chint|2P С32А 30мА</v>
      </c>
      <c r="W11" s="38">
        <f>IF(AND(U11&lt;&gt;"",OR($S$4="(все)",B11=$S$4),IF($S$4="(все)",COUNTIF($U$4:U11,U11),COUNTIFS($U$4:U11,U11,$B$4:B11,B11))=1),MAX($W$3:W10)+1,"")</f>
        <v>8</v>
      </c>
      <c r="X11" s="38" t="str">
        <f t="shared" si="3"/>
        <v>2P С32А 30мА</v>
      </c>
      <c r="Y11" s="38" t="str">
        <f>IF(AND(A11="Аппарат",C11&lt;&gt;"",OR($S$5="(все)",B11=$S$5)),MAX($Y$3:Y10)+1,"")</f>
        <v/>
      </c>
      <c r="Z11" s="38" t="str">
        <f t="shared" si="4"/>
        <v>БП 12V 135W</v>
      </c>
      <c r="AA11" s="38" t="str">
        <f>IF(AND(A11="Модуль",C11&lt;&gt;"",OR($S$6="(все)",B11=$S$6)),MAX($AA$3:AA10)+1,"")</f>
        <v/>
      </c>
      <c r="AB11" s="38" t="str">
        <f t="shared" si="5"/>
        <v>ZIO-RQUAD8</v>
      </c>
      <c r="AC11" s="38" t="str">
        <f>IF(OR(B11="",COUNTIF($B$4:B11,B11)&gt;1),"",MAX($AC$3:AC10)+1)</f>
        <v/>
      </c>
      <c r="AD11" s="38" t="str">
        <f t="shared" si="6"/>
        <v>РЭК</v>
      </c>
      <c r="AE11" s="38" t="str">
        <f t="shared" si="7"/>
        <v/>
      </c>
      <c r="AF11" s="38" t="str">
        <f t="shared" si="8"/>
        <v/>
      </c>
      <c r="AG11" s="38" t="str">
        <f>IF(Спецификация_авто!$L$11="","",IF(IF($S$4="(все)",COUNTIF($U$4:$U$500,Спецификация_авто!$L$11),COUNTIF($V$4:$V$500,$S$4&amp;"|"&amp;Спецификация_авто!$L$11))=0,Спецификация_авто!$L$11,""))</f>
        <v>3P С40А</v>
      </c>
      <c r="AH11" s="38">
        <f>IF(AG11="","",COUNTIF($AG$4:AG11,"?*"))</f>
        <v>6</v>
      </c>
    </row>
    <row r="12" spans="1:34" x14ac:dyDescent="0.3">
      <c r="A12" s="74" t="s">
        <v>697</v>
      </c>
      <c r="B12" s="74" t="s">
        <v>299</v>
      </c>
      <c r="C12" s="74" t="s">
        <v>530</v>
      </c>
      <c r="D12" s="74"/>
      <c r="E12" s="74"/>
      <c r="F12" s="74"/>
      <c r="G12" s="74" t="s">
        <v>297</v>
      </c>
      <c r="H12" s="74" t="s">
        <v>298</v>
      </c>
      <c r="I12" s="74"/>
      <c r="J12" s="74"/>
      <c r="K12" s="74"/>
      <c r="L12" s="74">
        <v>1</v>
      </c>
      <c r="M12" s="74" t="s">
        <v>282</v>
      </c>
      <c r="N12" s="38">
        <f>IF(OR(A12="Автомат",A12="Дифавтомат"),IF(W12="","",COUNTIFS(Однолинейка!$H$3:$H$3000,U12,Однолинейка!$A$3:$A$3000,Щит_спец)),IF(A12="Аппарат",IF(C12="","",COUNTIFS(Однолинейка!$I$3:$I$3000,C12,Однолинейка!$A$3:$A$3000,Щит_спец)+COUNTIFS(Однолинейка!$J$3:$J$3000,C12,Однолинейка!$A$3:$A$3000,Щит_спец)+COUNTIFS(Однолинейка!$K$3:$K$3000,C12,Однолинейка!$A$3:$A$3000,Щит_спец)),IF(A12="Модуль",IF(C12="","",COUNTIFS(Однолинейка!$AW$3:$AW$3000,"?*",Однолинейка!$AI$3:$AI$3000,C12,Однолинейка!$A$3:$A$3000,Щит_спец)),IF(A12="Клемма",IF(C12="","",IF(C12=$S$7,SUMIFS(Однолинейка!$BW$3:$BW$3000,Однолинейка!$A$3:$A$3000,Щит_спец),IF(C12=$S$8,SUMIFS(Однолинейка!$BX$3:$BX$3000,Однолинейка!$A$3:$A$3000,Щит_спец),""))),""))))</f>
        <v>0</v>
      </c>
      <c r="O12" s="74"/>
      <c r="P12" s="38">
        <f t="shared" si="0"/>
        <v>0</v>
      </c>
      <c r="R12" s="74" t="s">
        <v>698</v>
      </c>
      <c r="U12" s="38" t="str">
        <f t="shared" si="1"/>
        <v/>
      </c>
      <c r="V12" s="38" t="str">
        <f t="shared" si="2"/>
        <v/>
      </c>
      <c r="W12" s="38" t="str">
        <f>IF(AND(U12&lt;&gt;"",OR($S$4="(все)",B12=$S$4),IF($S$4="(все)",COUNTIF($U$4:U12,U12),COUNTIFS($U$4:U12,U12,$B$4:B12,B12))=1),MAX($W$3:W11)+1,"")</f>
        <v/>
      </c>
      <c r="X12" s="38" t="str">
        <f t="shared" si="3"/>
        <v/>
      </c>
      <c r="Y12" s="38">
        <f>IF(AND(A12="Аппарат",C12&lt;&gt;"",OR($S$5="(все)",B12=$S$5)),MAX($Y$3:Y11)+1,"")</f>
        <v>1</v>
      </c>
      <c r="Z12" s="38" t="str">
        <f t="shared" si="4"/>
        <v>БП 12V 15W</v>
      </c>
      <c r="AA12" s="38" t="str">
        <f>IF(AND(A12="Модуль",C12&lt;&gt;"",OR($S$6="(все)",B12=$S$6)),MAX($AA$3:AA11)+1,"")</f>
        <v/>
      </c>
      <c r="AB12" s="38" t="str">
        <f t="shared" si="5"/>
        <v>SMART-DALI-104</v>
      </c>
      <c r="AC12" s="38">
        <f>IF(OR(B12="",COUNTIF($B$4:B12,B12)&gt;1),"",MAX($AC$3:AC11)+1)</f>
        <v>2</v>
      </c>
      <c r="AD12" s="38" t="str">
        <f t="shared" si="6"/>
        <v>КВТ</v>
      </c>
      <c r="AE12" s="38" t="str">
        <f t="shared" si="7"/>
        <v/>
      </c>
      <c r="AF12" s="38" t="str">
        <f t="shared" si="8"/>
        <v/>
      </c>
      <c r="AG12" s="38" t="str">
        <f>IF(Спецификация_авто!$L$12="","",IF(IF($S$4="(все)",COUNTIF($U$4:$U$500,Спецификация_авто!$L$12),COUNTIF($V$4:$V$500,$S$4&amp;"|"&amp;Спецификация_авто!$L$12))=0,Спецификация_авто!$L$12,""))</f>
        <v>3P С63А</v>
      </c>
      <c r="AH12" s="38">
        <f>IF(AG12="","",COUNTIF($AG$4:AG12,"?*"))</f>
        <v>7</v>
      </c>
    </row>
    <row r="13" spans="1:34" x14ac:dyDescent="0.3">
      <c r="A13" s="74" t="s">
        <v>697</v>
      </c>
      <c r="B13" s="74" t="s">
        <v>286</v>
      </c>
      <c r="C13" s="74" t="s">
        <v>699</v>
      </c>
      <c r="D13" s="74"/>
      <c r="E13" s="74"/>
      <c r="F13" s="74"/>
      <c r="G13" s="74" t="s">
        <v>700</v>
      </c>
      <c r="H13" s="74" t="s">
        <v>288</v>
      </c>
      <c r="I13" s="74"/>
      <c r="J13" s="74"/>
      <c r="K13" s="74"/>
      <c r="L13" s="74">
        <v>3</v>
      </c>
      <c r="M13" s="74" t="s">
        <v>282</v>
      </c>
      <c r="N13" s="38">
        <f>IF(OR(A13="Автомат",A13="Дифавтомат"),IF(W13="","",COUNTIFS(Однолинейка!$H$3:$H$3000,U13,Однолинейка!$A$3:$A$3000,Щит_спец)),IF(A13="Аппарат",IF(C13="","",COUNTIFS(Однолинейка!$I$3:$I$3000,C13,Однолинейка!$A$3:$A$3000,Щит_спец)+COUNTIFS(Однолинейка!$J$3:$J$3000,C13,Однолинейка!$A$3:$A$3000,Щит_спец)+COUNTIFS(Однолинейка!$K$3:$K$3000,C13,Однолинейка!$A$3:$A$3000,Щит_спец)),IF(A13="Модуль",IF(C13="","",COUNTIFS(Однолинейка!$AW$3:$AW$3000,"?*",Однолинейка!$AI$3:$AI$3000,C13,Однолинейка!$A$3:$A$3000,Щит_спец)),IF(A13="Клемма",IF(C13="","",IF(C13=$S$7,SUMIFS(Однолинейка!$BW$3:$BW$3000,Однолинейка!$A$3:$A$3000,Щит_спец),IF(C13=$S$8,SUMIFS(Однолинейка!$BX$3:$BX$3000,Однолинейка!$A$3:$A$3000,Щит_спец),""))),""))))</f>
        <v>0</v>
      </c>
      <c r="O13" s="74"/>
      <c r="P13" s="38">
        <f t="shared" si="0"/>
        <v>0</v>
      </c>
      <c r="R13" s="74" t="s">
        <v>7</v>
      </c>
      <c r="U13" s="38" t="str">
        <f t="shared" si="1"/>
        <v/>
      </c>
      <c r="V13" s="38" t="str">
        <f t="shared" si="2"/>
        <v/>
      </c>
      <c r="W13" s="38" t="str">
        <f>IF(AND(U13&lt;&gt;"",OR($S$4="(все)",B13=$S$4),IF($S$4="(все)",COUNTIF($U$4:U13,U13),COUNTIFS($U$4:U13,U13,$B$4:B13,B13))=1),MAX($W$3:W12)+1,"")</f>
        <v/>
      </c>
      <c r="X13" s="38" t="str">
        <f t="shared" si="3"/>
        <v/>
      </c>
      <c r="Y13" s="38">
        <f>IF(AND(A13="Аппарат",C13&lt;&gt;"",OR($S$5="(все)",B13=$S$5)),MAX($Y$3:Y12)+1,"")</f>
        <v>2</v>
      </c>
      <c r="Z13" s="38" t="str">
        <f t="shared" si="4"/>
        <v>ZPSU640</v>
      </c>
      <c r="AA13" s="38" t="str">
        <f>IF(AND(A13="Модуль",C13&lt;&gt;"",OR($S$6="(все)",B13=$S$6)),MAX($AA$3:AA12)+1,"")</f>
        <v/>
      </c>
      <c r="AB13" s="38" t="str">
        <f t="shared" si="5"/>
        <v>уточнить-R</v>
      </c>
      <c r="AC13" s="38" t="str">
        <f>IF(OR(B13="",COUNTIF($B$4:B13,B13)&gt;1),"",MAX($AC$3:AC12)+1)</f>
        <v/>
      </c>
      <c r="AD13" s="38" t="str">
        <f t="shared" si="6"/>
        <v/>
      </c>
      <c r="AE13" s="38" t="str">
        <f t="shared" si="7"/>
        <v/>
      </c>
      <c r="AF13" s="38" t="str">
        <f t="shared" si="8"/>
        <v/>
      </c>
      <c r="AG13" s="38" t="str">
        <f>IF(Спецификация_авто!$L$13="","",IF(IF($S$4="(все)",COUNTIF($U$4:$U$500,Спецификация_авто!$L$13),COUNTIF($V$4:$V$500,$S$4&amp;"|"&amp;Спецификация_авто!$L$13))=0,Спецификация_авто!$L$13,""))</f>
        <v>1P С20А</v>
      </c>
      <c r="AH13" s="38">
        <f>IF(AG13="","",COUNTIF($AG$4:AG13,"?*"))</f>
        <v>8</v>
      </c>
    </row>
    <row r="14" spans="1:34" x14ac:dyDescent="0.3">
      <c r="A14" s="74" t="s">
        <v>697</v>
      </c>
      <c r="B14" s="74" t="s">
        <v>286</v>
      </c>
      <c r="C14" s="74" t="s">
        <v>701</v>
      </c>
      <c r="D14" s="74"/>
      <c r="E14" s="74"/>
      <c r="F14" s="74"/>
      <c r="G14" s="74" t="s">
        <v>702</v>
      </c>
      <c r="H14" s="74" t="s">
        <v>294</v>
      </c>
      <c r="I14" s="74"/>
      <c r="J14" s="74"/>
      <c r="K14" s="74"/>
      <c r="L14" s="74">
        <v>3</v>
      </c>
      <c r="M14" s="74" t="s">
        <v>282</v>
      </c>
      <c r="N14" s="38">
        <f>IF(OR(A14="Автомат",A14="Дифавтомат"),IF(W14="","",COUNTIFS(Однолинейка!$H$3:$H$3000,U14,Однолинейка!$A$3:$A$3000,Щит_спец)),IF(A14="Аппарат",IF(C14="","",COUNTIFS(Однолинейка!$I$3:$I$3000,C14,Однолинейка!$A$3:$A$3000,Щит_спец)+COUNTIFS(Однолинейка!$J$3:$J$3000,C14,Однолинейка!$A$3:$A$3000,Щит_спец)+COUNTIFS(Однолинейка!$K$3:$K$3000,C14,Однолинейка!$A$3:$A$3000,Щит_спец)),IF(A14="Модуль",IF(C14="","",COUNTIFS(Однолинейка!$AW$3:$AW$3000,"?*",Однолинейка!$AI$3:$AI$3000,C14,Однолинейка!$A$3:$A$3000,Щит_спец)),IF(A14="Клемма",IF(C14="","",IF(C14=$S$7,SUMIFS(Однолинейка!$BW$3:$BW$3000,Однолинейка!$A$3:$A$3000,Щит_спец),IF(C14=$S$8,SUMIFS(Однолинейка!$BX$3:$BX$3000,Однолинейка!$A$3:$A$3000,Щит_спец),""))),""))))</f>
        <v>0</v>
      </c>
      <c r="O14" s="74"/>
      <c r="P14" s="38">
        <f t="shared" si="0"/>
        <v>0</v>
      </c>
      <c r="R14" s="74" t="s">
        <v>687</v>
      </c>
      <c r="U14" s="38" t="str">
        <f t="shared" si="1"/>
        <v/>
      </c>
      <c r="V14" s="38" t="str">
        <f t="shared" si="2"/>
        <v/>
      </c>
      <c r="W14" s="38" t="str">
        <f>IF(AND(U14&lt;&gt;"",OR($S$4="(все)",B14=$S$4),IF($S$4="(все)",COUNTIF($U$4:U14,U14),COUNTIFS($U$4:U14,U14,$B$4:B14,B14))=1),MAX($W$3:W13)+1,"")</f>
        <v/>
      </c>
      <c r="X14" s="38" t="str">
        <f t="shared" si="3"/>
        <v/>
      </c>
      <c r="Y14" s="38">
        <f>IF(AND(A14="Аппарат",C14&lt;&gt;"",OR($S$5="(все)",B14=$S$5)),MAX($Y$3:Y13)+1,"")</f>
        <v>3</v>
      </c>
      <c r="Z14" s="38" t="str">
        <f t="shared" si="4"/>
        <v/>
      </c>
      <c r="AA14" s="38" t="str">
        <f>IF(AND(A14="Модуль",C14&lt;&gt;"",OR($S$6="(все)",B14=$S$6)),MAX($AA$3:AA13)+1,"")</f>
        <v/>
      </c>
      <c r="AB14" s="38" t="str">
        <f t="shared" si="5"/>
        <v>уточнить-Z</v>
      </c>
      <c r="AC14" s="38" t="str">
        <f>IF(OR(B14="",COUNTIF($B$4:B14,B14)&gt;1),"",MAX($AC$3:AC13)+1)</f>
        <v/>
      </c>
      <c r="AD14" s="38" t="str">
        <f t="shared" si="6"/>
        <v/>
      </c>
      <c r="AE14" s="38" t="str">
        <f t="shared" si="7"/>
        <v/>
      </c>
      <c r="AF14" s="38" t="str">
        <f t="shared" si="8"/>
        <v/>
      </c>
      <c r="AG14" s="38" t="str">
        <f>IF(Спецификация_авто!$L$14="","",IF(IF($S$4="(все)",COUNTIF($U$4:$U$500,Спецификация_авто!$L$14),COUNTIF($V$4:$V$500,$S$4&amp;"|"&amp;Спецификация_авто!$L$14))=0,Спецификация_авто!$L$14,""))</f>
        <v/>
      </c>
      <c r="AH14" s="38" t="str">
        <f>IF(AG14="","",COUNTIF($AG$4:AG14,"?*"))</f>
        <v/>
      </c>
    </row>
    <row r="15" spans="1:34" x14ac:dyDescent="0.3">
      <c r="A15" s="74" t="s">
        <v>697</v>
      </c>
      <c r="B15" s="74" t="s">
        <v>286</v>
      </c>
      <c r="C15" s="74" t="s">
        <v>703</v>
      </c>
      <c r="D15" s="74"/>
      <c r="E15" s="74"/>
      <c r="F15" s="74"/>
      <c r="G15" s="74" t="s">
        <v>364</v>
      </c>
      <c r="H15" s="74" t="s">
        <v>365</v>
      </c>
      <c r="I15" s="74"/>
      <c r="J15" s="74"/>
      <c r="K15" s="74"/>
      <c r="L15" s="74"/>
      <c r="M15" s="74" t="s">
        <v>282</v>
      </c>
      <c r="N15" s="38">
        <f>IF(OR(A15="Автомат",A15="Дифавтомат"),IF(W15="","",COUNTIFS(Однолинейка!$H$3:$H$3000,U15,Однолинейка!$A$3:$A$3000,Щит_спец)),IF(A15="Аппарат",IF(C15="","",COUNTIFS(Однолинейка!$I$3:$I$3000,C15,Однолинейка!$A$3:$A$3000,Щит_спец)+COUNTIFS(Однолинейка!$J$3:$J$3000,C15,Однолинейка!$A$3:$A$3000,Щит_спец)+COUNTIFS(Однолинейка!$K$3:$K$3000,C15,Однолинейка!$A$3:$A$3000,Щит_спец)),IF(A15="Модуль",IF(C15="","",COUNTIFS(Однолинейка!$AW$3:$AW$3000,"?*",Однолинейка!$AI$3:$AI$3000,C15,Однолинейка!$A$3:$A$3000,Щит_спец)),IF(A15="Клемма",IF(C15="","",IF(C15=$S$7,SUMIFS(Однолинейка!$BW$3:$BW$3000,Однолинейка!$A$3:$A$3000,Щит_спец),IF(C15=$S$8,SUMIFS(Однолинейка!$BX$3:$BX$3000,Однолинейка!$A$3:$A$3000,Щит_спец),""))),""))))</f>
        <v>0</v>
      </c>
      <c r="O15" s="74"/>
      <c r="P15" s="38">
        <f t="shared" si="0"/>
        <v>0</v>
      </c>
      <c r="R15" s="74" t="s">
        <v>697</v>
      </c>
      <c r="U15" s="38" t="str">
        <f t="shared" si="1"/>
        <v/>
      </c>
      <c r="V15" s="38" t="str">
        <f t="shared" si="2"/>
        <v/>
      </c>
      <c r="W15" s="38" t="str">
        <f>IF(AND(U15&lt;&gt;"",OR($S$4="(все)",B15=$S$4),IF($S$4="(все)",COUNTIF($U$4:U15,U15),COUNTIFS($U$4:U15,U15,$B$4:B15,B15))=1),MAX($W$3:W14)+1,"")</f>
        <v/>
      </c>
      <c r="X15" s="38" t="str">
        <f t="shared" si="3"/>
        <v/>
      </c>
      <c r="Y15" s="38">
        <f>IF(AND(A15="Аппарат",C15&lt;&gt;"",OR($S$5="(все)",B15=$S$5)),MAX($Y$3:Y14)+1,"")</f>
        <v>4</v>
      </c>
      <c r="Z15" s="38" t="str">
        <f t="shared" si="4"/>
        <v/>
      </c>
      <c r="AA15" s="38" t="str">
        <f>IF(AND(A15="Модуль",C15&lt;&gt;"",OR($S$6="(все)",B15=$S$6)),MAX($AA$3:AA14)+1,"")</f>
        <v/>
      </c>
      <c r="AB15" s="38" t="str">
        <f t="shared" si="5"/>
        <v/>
      </c>
      <c r="AC15" s="38" t="str">
        <f>IF(OR(B15="",COUNTIF($B$4:B15,B15)&gt;1),"",MAX($AC$3:AC14)+1)</f>
        <v/>
      </c>
      <c r="AD15" s="38" t="str">
        <f t="shared" si="6"/>
        <v/>
      </c>
      <c r="AE15" s="38" t="str">
        <f t="shared" si="7"/>
        <v/>
      </c>
      <c r="AF15" s="38" t="str">
        <f t="shared" si="8"/>
        <v/>
      </c>
      <c r="AG15" s="38" t="str">
        <f>IF(Спецификация_авто!$L$15="","",IF(IF($S$4="(все)",COUNTIF($U$4:$U$500,Спецификация_авто!$L$15),COUNTIF($V$4:$V$500,$S$4&amp;"|"&amp;Спецификация_авто!$L$15))=0,Спецификация_авто!$L$15,""))</f>
        <v>3P С32А</v>
      </c>
      <c r="AH15" s="38">
        <f>IF(AG15="","",COUNTIF($AG$4:AG15,"?*"))</f>
        <v>9</v>
      </c>
    </row>
    <row r="16" spans="1:34" x14ac:dyDescent="0.3">
      <c r="A16" s="74" t="s">
        <v>697</v>
      </c>
      <c r="B16" s="74" t="s">
        <v>286</v>
      </c>
      <c r="C16" s="74" t="s">
        <v>704</v>
      </c>
      <c r="D16" s="74"/>
      <c r="E16" s="74"/>
      <c r="F16" s="74"/>
      <c r="G16" s="74" t="s">
        <v>705</v>
      </c>
      <c r="H16" s="74" t="s">
        <v>289</v>
      </c>
      <c r="I16" s="74"/>
      <c r="J16" s="74"/>
      <c r="K16" s="74"/>
      <c r="L16" s="74"/>
      <c r="M16" s="74" t="s">
        <v>282</v>
      </c>
      <c r="N16" s="38">
        <f>IF(OR(A16="Автомат",A16="Дифавтомат"),IF(W16="","",COUNTIFS(Однолинейка!$H$3:$H$3000,U16,Однолинейка!$A$3:$A$3000,Щит_спец)),IF(A16="Аппарат",IF(C16="","",COUNTIFS(Однолинейка!$I$3:$I$3000,C16,Однолинейка!$A$3:$A$3000,Щит_спец)+COUNTIFS(Однолинейка!$J$3:$J$3000,C16,Однолинейка!$A$3:$A$3000,Щит_спец)+COUNTIFS(Однолинейка!$K$3:$K$3000,C16,Однолинейка!$A$3:$A$3000,Щит_спец)),IF(A16="Модуль",IF(C16="","",COUNTIFS(Однолинейка!$AW$3:$AW$3000,"?*",Однолинейка!$AI$3:$AI$3000,C16,Однолинейка!$A$3:$A$3000,Щит_спец)),IF(A16="Клемма",IF(C16="","",IF(C16=$S$7,SUMIFS(Однолинейка!$BW$3:$BW$3000,Однолинейка!$A$3:$A$3000,Щит_спец),IF(C16=$S$8,SUMIFS(Однолинейка!$BX$3:$BX$3000,Однолинейка!$A$3:$A$3000,Щит_спец),""))),""))))</f>
        <v>0</v>
      </c>
      <c r="O16" s="74"/>
      <c r="P16" s="38">
        <f t="shared" si="0"/>
        <v>0</v>
      </c>
      <c r="R16" s="74" t="s">
        <v>434</v>
      </c>
      <c r="U16" s="38" t="str">
        <f t="shared" si="1"/>
        <v/>
      </c>
      <c r="V16" s="38" t="str">
        <f t="shared" si="2"/>
        <v/>
      </c>
      <c r="W16" s="38" t="str">
        <f>IF(AND(U16&lt;&gt;"",OR($S$4="(все)",B16=$S$4),IF($S$4="(все)",COUNTIF($U$4:U16,U16),COUNTIFS($U$4:U16,U16,$B$4:B16,B16))=1),MAX($W$3:W15)+1,"")</f>
        <v/>
      </c>
      <c r="X16" s="38" t="str">
        <f t="shared" si="3"/>
        <v/>
      </c>
      <c r="Y16" s="38">
        <f>IF(AND(A16="Аппарат",C16&lt;&gt;"",OR($S$5="(все)",B16=$S$5)),MAX($Y$3:Y15)+1,"")</f>
        <v>5</v>
      </c>
      <c r="Z16" s="38" t="str">
        <f t="shared" si="4"/>
        <v/>
      </c>
      <c r="AA16" s="38" t="str">
        <f>IF(AND(A16="Модуль",C16&lt;&gt;"",OR($S$6="(все)",B16=$S$6)),MAX($AA$3:AA15)+1,"")</f>
        <v/>
      </c>
      <c r="AB16" s="38" t="str">
        <f t="shared" si="5"/>
        <v/>
      </c>
      <c r="AC16" s="38" t="str">
        <f>IF(OR(B16="",COUNTIF($B$4:B16,B16)&gt;1),"",MAX($AC$3:AC15)+1)</f>
        <v/>
      </c>
      <c r="AD16" s="38" t="str">
        <f t="shared" si="6"/>
        <v/>
      </c>
      <c r="AE16" s="38" t="str">
        <f t="shared" si="7"/>
        <v/>
      </c>
      <c r="AF16" s="38" t="str">
        <f t="shared" si="8"/>
        <v/>
      </c>
      <c r="AG16" s="38" t="str">
        <f>IF(Спецификация_авто!$L$16="","",IF(IF($S$4="(все)",COUNTIF($U$4:$U$500,Спецификация_авто!$L$16),COUNTIF($V$4:$V$500,$S$4&amp;"|"&amp;Спецификация_авто!$L$16))=0,Спецификация_авто!$L$16,""))</f>
        <v>3P С200А</v>
      </c>
      <c r="AH16" s="38">
        <f>IF(AG16="","",COUNTIF($AG$4:AG16,"?*"))</f>
        <v>10</v>
      </c>
    </row>
    <row r="17" spans="1:34" x14ac:dyDescent="0.3">
      <c r="A17" s="74" t="s">
        <v>697</v>
      </c>
      <c r="B17" s="74" t="s">
        <v>295</v>
      </c>
      <c r="C17" s="74" t="s">
        <v>706</v>
      </c>
      <c r="D17" s="74"/>
      <c r="E17" s="74"/>
      <c r="F17" s="74"/>
      <c r="G17" s="74" t="s">
        <v>707</v>
      </c>
      <c r="H17" s="74" t="s">
        <v>363</v>
      </c>
      <c r="I17" s="74"/>
      <c r="J17" s="74"/>
      <c r="K17" s="74"/>
      <c r="L17" s="74"/>
      <c r="M17" s="74" t="s">
        <v>282</v>
      </c>
      <c r="N17" s="38">
        <f>IF(OR(A17="Автомат",A17="Дифавтомат"),IF(W17="","",COUNTIFS(Однолинейка!$H$3:$H$3000,U17,Однолинейка!$A$3:$A$3000,Щит_спец)),IF(A17="Аппарат",IF(C17="","",COUNTIFS(Однолинейка!$I$3:$I$3000,C17,Однолинейка!$A$3:$A$3000,Щит_спец)+COUNTIFS(Однолинейка!$J$3:$J$3000,C17,Однолинейка!$A$3:$A$3000,Щит_спец)+COUNTIFS(Однолинейка!$K$3:$K$3000,C17,Однолинейка!$A$3:$A$3000,Щит_спец)),IF(A17="Модуль",IF(C17="","",COUNTIFS(Однолинейка!$AW$3:$AW$3000,"?*",Однолинейка!$AI$3:$AI$3000,C17,Однолинейка!$A$3:$A$3000,Щит_спец)),IF(A17="Клемма",IF(C17="","",IF(C17=$S$7,SUMIFS(Однолинейка!$BW$3:$BW$3000,Однолинейка!$A$3:$A$3000,Щит_спец),IF(C17=$S$8,SUMIFS(Однолинейка!$BX$3:$BX$3000,Однолинейка!$A$3:$A$3000,Щит_спец),""))),""))))</f>
        <v>0</v>
      </c>
      <c r="O17" s="74"/>
      <c r="P17" s="38">
        <f t="shared" si="0"/>
        <v>0</v>
      </c>
      <c r="R17" s="74" t="s">
        <v>708</v>
      </c>
      <c r="U17" s="38" t="str">
        <f t="shared" si="1"/>
        <v/>
      </c>
      <c r="V17" s="38" t="str">
        <f t="shared" si="2"/>
        <v/>
      </c>
      <c r="W17" s="38" t="str">
        <f>IF(AND(U17&lt;&gt;"",OR($S$4="(все)",B17=$S$4),IF($S$4="(все)",COUNTIF($U$4:U17,U17),COUNTIFS($U$4:U17,U17,$B$4:B17,B17))=1),MAX($W$3:W16)+1,"")</f>
        <v/>
      </c>
      <c r="X17" s="38" t="str">
        <f t="shared" si="3"/>
        <v/>
      </c>
      <c r="Y17" s="38">
        <f>IF(AND(A17="Аппарат",C17&lt;&gt;"",OR($S$5="(все)",B17=$S$5)),MAX($Y$3:Y16)+1,"")</f>
        <v>6</v>
      </c>
      <c r="Z17" s="38" t="str">
        <f t="shared" si="4"/>
        <v/>
      </c>
      <c r="AA17" s="38" t="str">
        <f>IF(AND(A17="Модуль",C17&lt;&gt;"",OR($S$6="(все)",B17=$S$6)),MAX($AA$3:AA16)+1,"")</f>
        <v/>
      </c>
      <c r="AB17" s="38" t="str">
        <f t="shared" si="5"/>
        <v/>
      </c>
      <c r="AC17" s="38">
        <f>IF(OR(B17="",COUNTIF($B$4:B17,B17)&gt;1),"",MAX($AC$3:AC16)+1)</f>
        <v>3</v>
      </c>
      <c r="AD17" s="38" t="str">
        <f t="shared" si="6"/>
        <v/>
      </c>
      <c r="AE17" s="38" t="str">
        <f t="shared" si="7"/>
        <v/>
      </c>
      <c r="AF17" s="38" t="str">
        <f t="shared" si="8"/>
        <v/>
      </c>
      <c r="AG17" s="38" t="str">
        <f>IF(Спецификация_авто!$L$17="","",IF(IF($S$4="(все)",COUNTIF($U$4:$U$500,Спецификация_авто!$L$17),COUNTIF($V$4:$V$500,$S$4&amp;"|"&amp;Спецификация_авто!$L$17))=0,Спецификация_авто!$L$17,""))</f>
        <v>1P С25А</v>
      </c>
      <c r="AH17" s="38">
        <f>IF(AG17="","",COUNTIF($AG$4:AG17,"?*"))</f>
        <v>11</v>
      </c>
    </row>
    <row r="18" spans="1:34" x14ac:dyDescent="0.3">
      <c r="A18" s="74" t="s">
        <v>697</v>
      </c>
      <c r="B18" s="74" t="s">
        <v>295</v>
      </c>
      <c r="C18" s="74" t="s">
        <v>709</v>
      </c>
      <c r="D18" s="74"/>
      <c r="E18" s="74"/>
      <c r="F18" s="74"/>
      <c r="G18" s="74" t="s">
        <v>405</v>
      </c>
      <c r="H18" s="74" t="s">
        <v>406</v>
      </c>
      <c r="I18" s="74"/>
      <c r="J18" s="74"/>
      <c r="K18" s="74"/>
      <c r="L18" s="74"/>
      <c r="M18" s="74" t="s">
        <v>282</v>
      </c>
      <c r="N18" s="38">
        <f>IF(OR(A18="Автомат",A18="Дифавтомат"),IF(W18="","",COUNTIFS(Однолинейка!$H$3:$H$3000,U18,Однолинейка!$A$3:$A$3000,Щит_спец)),IF(A18="Аппарат",IF(C18="","",COUNTIFS(Однолинейка!$I$3:$I$3000,C18,Однолинейка!$A$3:$A$3000,Щит_спец)+COUNTIFS(Однолинейка!$J$3:$J$3000,C18,Однолинейка!$A$3:$A$3000,Щит_спец)+COUNTIFS(Однолинейка!$K$3:$K$3000,C18,Однолинейка!$A$3:$A$3000,Щит_спец)),IF(A18="Модуль",IF(C18="","",COUNTIFS(Однолинейка!$AW$3:$AW$3000,"?*",Однолинейка!$AI$3:$AI$3000,C18,Однолинейка!$A$3:$A$3000,Щит_спец)),IF(A18="Клемма",IF(C18="","",IF(C18=$S$7,SUMIFS(Однолинейка!$BW$3:$BW$3000,Однолинейка!$A$3:$A$3000,Щит_спец),IF(C18=$S$8,SUMIFS(Однолинейка!$BX$3:$BX$3000,Однолинейка!$A$3:$A$3000,Щит_спец),""))),""))))</f>
        <v>0</v>
      </c>
      <c r="O18" s="74"/>
      <c r="P18" s="38">
        <f t="shared" si="0"/>
        <v>0</v>
      </c>
      <c r="R18" s="74" t="s">
        <v>437</v>
      </c>
      <c r="U18" s="38" t="str">
        <f t="shared" si="1"/>
        <v/>
      </c>
      <c r="V18" s="38" t="str">
        <f t="shared" si="2"/>
        <v/>
      </c>
      <c r="W18" s="38" t="str">
        <f>IF(AND(U18&lt;&gt;"",OR($S$4="(все)",B18=$S$4),IF($S$4="(все)",COUNTIF($U$4:U18,U18),COUNTIFS($U$4:U18,U18,$B$4:B18,B18))=1),MAX($W$3:W17)+1,"")</f>
        <v/>
      </c>
      <c r="X18" s="38" t="str">
        <f t="shared" si="3"/>
        <v/>
      </c>
      <c r="Y18" s="38">
        <f>IF(AND(A18="Аппарат",C18&lt;&gt;"",OR($S$5="(все)",B18=$S$5)),MAX($Y$3:Y17)+1,"")</f>
        <v>7</v>
      </c>
      <c r="Z18" s="38" t="str">
        <f t="shared" si="4"/>
        <v/>
      </c>
      <c r="AA18" s="38" t="str">
        <f>IF(AND(A18="Модуль",C18&lt;&gt;"",OR($S$6="(все)",B18=$S$6)),MAX($AA$3:AA17)+1,"")</f>
        <v/>
      </c>
      <c r="AB18" s="38" t="str">
        <f t="shared" si="5"/>
        <v/>
      </c>
      <c r="AC18" s="38" t="str">
        <f>IF(OR(B18="",COUNTIF($B$4:B18,B18)&gt;1),"",MAX($AC$3:AC17)+1)</f>
        <v/>
      </c>
      <c r="AD18" s="38" t="str">
        <f t="shared" si="6"/>
        <v/>
      </c>
      <c r="AE18" s="38" t="str">
        <f t="shared" si="7"/>
        <v/>
      </c>
      <c r="AF18" s="38" t="str">
        <f t="shared" si="8"/>
        <v/>
      </c>
      <c r="AG18" s="38" t="str">
        <f>IF(Спецификация_авто!$L$18="","",IF(IF($S$4="(все)",COUNTIF($U$4:$U$500,Спецификация_авто!$L$18),COUNTIF($V$4:$V$500,$S$4&amp;"|"&amp;Спецификация_авто!$L$18))=0,Спецификация_авто!$L$18,""))</f>
        <v>1P С6А</v>
      </c>
      <c r="AH18" s="38">
        <f>IF(AG18="","",COUNTIF($AG$4:AG18,"?*"))</f>
        <v>12</v>
      </c>
    </row>
    <row r="19" spans="1:34" x14ac:dyDescent="0.3">
      <c r="A19" s="74" t="s">
        <v>697</v>
      </c>
      <c r="B19" s="74" t="s">
        <v>295</v>
      </c>
      <c r="C19" s="74" t="s">
        <v>710</v>
      </c>
      <c r="D19" s="74"/>
      <c r="E19" s="74"/>
      <c r="F19" s="74"/>
      <c r="G19" s="74" t="s">
        <v>407</v>
      </c>
      <c r="H19" s="74" t="s">
        <v>408</v>
      </c>
      <c r="I19" s="74"/>
      <c r="J19" s="74"/>
      <c r="K19" s="74"/>
      <c r="L19" s="74"/>
      <c r="M19" s="74" t="s">
        <v>282</v>
      </c>
      <c r="N19" s="38">
        <f>IF(OR(A19="Автомат",A19="Дифавтомат"),IF(W19="","",COUNTIFS(Однолинейка!$H$3:$H$3000,U19,Однолинейка!$A$3:$A$3000,Щит_спец)),IF(A19="Аппарат",IF(C19="","",COUNTIFS(Однолинейка!$I$3:$I$3000,C19,Однолинейка!$A$3:$A$3000,Щит_спец)+COUNTIFS(Однолинейка!$J$3:$J$3000,C19,Однолинейка!$A$3:$A$3000,Щит_спец)+COUNTIFS(Однолинейка!$K$3:$K$3000,C19,Однолинейка!$A$3:$A$3000,Щит_спец)),IF(A19="Модуль",IF(C19="","",COUNTIFS(Однолинейка!$AW$3:$AW$3000,"?*",Однолинейка!$AI$3:$AI$3000,C19,Однолинейка!$A$3:$A$3000,Щит_спец)),IF(A19="Клемма",IF(C19="","",IF(C19=$S$7,SUMIFS(Однолинейка!$BW$3:$BW$3000,Однолинейка!$A$3:$A$3000,Щит_спец),IF(C19=$S$8,SUMIFS(Однолинейка!$BX$3:$BX$3000,Однолинейка!$A$3:$A$3000,Щит_спец),""))),""))))</f>
        <v>0</v>
      </c>
      <c r="O19" s="74"/>
      <c r="P19" s="38">
        <f t="shared" si="0"/>
        <v>0</v>
      </c>
      <c r="R19" s="74" t="s">
        <v>711</v>
      </c>
      <c r="U19" s="38" t="str">
        <f t="shared" si="1"/>
        <v/>
      </c>
      <c r="V19" s="38" t="str">
        <f t="shared" si="2"/>
        <v/>
      </c>
      <c r="W19" s="38" t="str">
        <f>IF(AND(U19&lt;&gt;"",OR($S$4="(все)",B19=$S$4),IF($S$4="(все)",COUNTIF($U$4:U19,U19),COUNTIFS($U$4:U19,U19,$B$4:B19,B19))=1),MAX($W$3:W18)+1,"")</f>
        <v/>
      </c>
      <c r="X19" s="38" t="str">
        <f t="shared" si="3"/>
        <v/>
      </c>
      <c r="Y19" s="38">
        <f>IF(AND(A19="Аппарат",C19&lt;&gt;"",OR($S$5="(все)",B19=$S$5)),MAX($Y$3:Y18)+1,"")</f>
        <v>8</v>
      </c>
      <c r="Z19" s="38" t="str">
        <f t="shared" si="4"/>
        <v/>
      </c>
      <c r="AA19" s="38" t="str">
        <f>IF(AND(A19="Модуль",C19&lt;&gt;"",OR($S$6="(все)",B19=$S$6)),MAX($AA$3:AA18)+1,"")</f>
        <v/>
      </c>
      <c r="AB19" s="38" t="str">
        <f t="shared" si="5"/>
        <v/>
      </c>
      <c r="AC19" s="38" t="str">
        <f>IF(OR(B19="",COUNTIF($B$4:B19,B19)&gt;1),"",MAX($AC$3:AC18)+1)</f>
        <v/>
      </c>
      <c r="AD19" s="38" t="str">
        <f t="shared" si="6"/>
        <v/>
      </c>
      <c r="AE19" s="38" t="str">
        <f t="shared" si="7"/>
        <v/>
      </c>
      <c r="AF19" s="38" t="str">
        <f t="shared" si="8"/>
        <v/>
      </c>
      <c r="AG19" s="38" t="str">
        <f>IF(Спецификация_авто!$L$19="","",IF(IF($S$4="(все)",COUNTIF($U$4:$U$500,Спецификация_авто!$L$19),COUNTIF($V$4:$V$500,$S$4&amp;"|"&amp;Спецификация_авто!$L$19))=0,Спецификация_авто!$L$19,""))</f>
        <v>3P С320А</v>
      </c>
      <c r="AH19" s="38">
        <f>IF(AG19="","",COUNTIF($AG$4:AG19,"?*"))</f>
        <v>13</v>
      </c>
    </row>
    <row r="20" spans="1:34" x14ac:dyDescent="0.3">
      <c r="A20" s="74" t="s">
        <v>697</v>
      </c>
      <c r="B20" s="74" t="s">
        <v>295</v>
      </c>
      <c r="C20" s="74" t="s">
        <v>712</v>
      </c>
      <c r="D20" s="74"/>
      <c r="E20" s="74"/>
      <c r="F20" s="74"/>
      <c r="G20" s="74" t="s">
        <v>409</v>
      </c>
      <c r="H20" s="74" t="s">
        <v>410</v>
      </c>
      <c r="I20" s="74"/>
      <c r="J20" s="74"/>
      <c r="K20" s="74"/>
      <c r="L20" s="74"/>
      <c r="M20" s="74" t="s">
        <v>282</v>
      </c>
      <c r="N20" s="38">
        <f>IF(OR(A20="Автомат",A20="Дифавтомат"),IF(W20="","",COUNTIFS(Однолинейка!$H$3:$H$3000,U20,Однолинейка!$A$3:$A$3000,Щит_спец)),IF(A20="Аппарат",IF(C20="","",COUNTIFS(Однолинейка!$I$3:$I$3000,C20,Однолинейка!$A$3:$A$3000,Щит_спец)+COUNTIFS(Однолинейка!$J$3:$J$3000,C20,Однолинейка!$A$3:$A$3000,Щит_спец)+COUNTIFS(Однолинейка!$K$3:$K$3000,C20,Однолинейка!$A$3:$A$3000,Щит_спец)),IF(A20="Модуль",IF(C20="","",COUNTIFS(Однолинейка!$AW$3:$AW$3000,"?*",Однолинейка!$AI$3:$AI$3000,C20,Однолинейка!$A$3:$A$3000,Щит_спец)),IF(A20="Клемма",IF(C20="","",IF(C20=$S$7,SUMIFS(Однолинейка!$BW$3:$BW$3000,Однолинейка!$A$3:$A$3000,Щит_спец),IF(C20=$S$8,SUMIFS(Однолинейка!$BX$3:$BX$3000,Однолинейка!$A$3:$A$3000,Щит_спец),""))),""))))</f>
        <v>0</v>
      </c>
      <c r="O20" s="74"/>
      <c r="P20" s="38">
        <f t="shared" si="0"/>
        <v>0</v>
      </c>
      <c r="R20" s="74" t="s">
        <v>622</v>
      </c>
      <c r="U20" s="38" t="str">
        <f t="shared" si="1"/>
        <v/>
      </c>
      <c r="V20" s="38" t="str">
        <f t="shared" si="2"/>
        <v/>
      </c>
      <c r="W20" s="38" t="str">
        <f>IF(AND(U20&lt;&gt;"",OR($S$4="(все)",B20=$S$4),IF($S$4="(все)",COUNTIF($U$4:U20,U20),COUNTIFS($U$4:U20,U20,$B$4:B20,B20))=1),MAX($W$3:W19)+1,"")</f>
        <v/>
      </c>
      <c r="X20" s="38" t="str">
        <f t="shared" si="3"/>
        <v/>
      </c>
      <c r="Y20" s="38">
        <f>IF(AND(A20="Аппарат",C20&lt;&gt;"",OR($S$5="(все)",B20=$S$5)),MAX($Y$3:Y19)+1,"")</f>
        <v>9</v>
      </c>
      <c r="Z20" s="38" t="str">
        <f t="shared" si="4"/>
        <v/>
      </c>
      <c r="AA20" s="38" t="str">
        <f>IF(AND(A20="Модуль",C20&lt;&gt;"",OR($S$6="(все)",B20=$S$6)),MAX($AA$3:AA19)+1,"")</f>
        <v/>
      </c>
      <c r="AB20" s="38" t="str">
        <f t="shared" si="5"/>
        <v/>
      </c>
      <c r="AC20" s="38" t="str">
        <f>IF(OR(B20="",COUNTIF($B$4:B20,B20)&gt;1),"",MAX($AC$3:AC19)+1)</f>
        <v/>
      </c>
      <c r="AD20" s="38" t="str">
        <f t="shared" si="6"/>
        <v/>
      </c>
      <c r="AE20" s="38" t="str">
        <f t="shared" si="7"/>
        <v/>
      </c>
      <c r="AF20" s="38" t="str">
        <f t="shared" si="8"/>
        <v/>
      </c>
      <c r="AG20" s="38" t="str">
        <f>IF(Спецификация_авто!$L$20="","",IF(IF($S$4="(все)",COUNTIF($U$4:$U$500,Спецификация_авто!$L$20),COUNTIF($V$4:$V$500,$S$4&amp;"|"&amp;Спецификация_авто!$L$20))=0,Спецификация_авто!$L$20,""))</f>
        <v/>
      </c>
      <c r="AH20" s="38" t="str">
        <f>IF(AG20="","",COUNTIF($AG$4:AG20,"?*"))</f>
        <v/>
      </c>
    </row>
    <row r="21" spans="1:34" x14ac:dyDescent="0.3">
      <c r="A21" s="74" t="s">
        <v>697</v>
      </c>
      <c r="B21" s="74" t="s">
        <v>302</v>
      </c>
      <c r="C21" s="74" t="s">
        <v>301</v>
      </c>
      <c r="D21" s="74"/>
      <c r="E21" s="74"/>
      <c r="F21" s="74"/>
      <c r="G21" s="74" t="s">
        <v>713</v>
      </c>
      <c r="H21" s="74" t="s">
        <v>301</v>
      </c>
      <c r="I21" s="74"/>
      <c r="J21" s="74"/>
      <c r="K21" s="74"/>
      <c r="L21" s="74"/>
      <c r="M21" s="74" t="s">
        <v>282</v>
      </c>
      <c r="N21" s="38">
        <f>IF(OR(A21="Автомат",A21="Дифавтомат"),IF(W21="","",COUNTIFS(Однолинейка!$H$3:$H$3000,U21,Однолинейка!$A$3:$A$3000,Щит_спец)),IF(A21="Аппарат",IF(C21="","",COUNTIFS(Однолинейка!$I$3:$I$3000,C21,Однолинейка!$A$3:$A$3000,Щит_спец)+COUNTIFS(Однолинейка!$J$3:$J$3000,C21,Однолинейка!$A$3:$A$3000,Щит_спец)+COUNTIFS(Однолинейка!$K$3:$K$3000,C21,Однолинейка!$A$3:$A$3000,Щит_спец)),IF(A21="Модуль",IF(C21="","",COUNTIFS(Однолинейка!$AW$3:$AW$3000,"?*",Однолинейка!$AI$3:$AI$3000,C21,Однолинейка!$A$3:$A$3000,Щит_спец)),IF(A21="Клемма",IF(C21="","",IF(C21=$S$7,SUMIFS(Однолинейка!$BW$3:$BW$3000,Однолинейка!$A$3:$A$3000,Щит_спец),IF(C21=$S$8,SUMIFS(Однолинейка!$BX$3:$BX$3000,Однолинейка!$A$3:$A$3000,Щит_спец),""))),""))))</f>
        <v>0</v>
      </c>
      <c r="O21" s="74"/>
      <c r="P21" s="38">
        <f t="shared" si="0"/>
        <v>0</v>
      </c>
      <c r="R21" s="74"/>
      <c r="U21" s="38" t="str">
        <f t="shared" si="1"/>
        <v/>
      </c>
      <c r="V21" s="38" t="str">
        <f t="shared" si="2"/>
        <v/>
      </c>
      <c r="W21" s="38" t="str">
        <f>IF(AND(U21&lt;&gt;"",OR($S$4="(все)",B21=$S$4),IF($S$4="(все)",COUNTIF($U$4:U21,U21),COUNTIFS($U$4:U21,U21,$B$4:B21,B21))=1),MAX($W$3:W20)+1,"")</f>
        <v/>
      </c>
      <c r="X21" s="38" t="str">
        <f t="shared" si="3"/>
        <v/>
      </c>
      <c r="Y21" s="38">
        <f>IF(AND(A21="Аппарат",C21&lt;&gt;"",OR($S$5="(все)",B21=$S$5)),MAX($Y$3:Y20)+1,"")</f>
        <v>10</v>
      </c>
      <c r="Z21" s="38" t="str">
        <f t="shared" si="4"/>
        <v/>
      </c>
      <c r="AA21" s="38" t="str">
        <f>IF(AND(A21="Модуль",C21&lt;&gt;"",OR($S$6="(все)",B21=$S$6)),MAX($AA$3:AA20)+1,"")</f>
        <v/>
      </c>
      <c r="AB21" s="38" t="str">
        <f t="shared" si="5"/>
        <v/>
      </c>
      <c r="AC21" s="38">
        <f>IF(OR(B21="",COUNTIF($B$4:B21,B21)&gt;1),"",MAX($AC$3:AC20)+1)</f>
        <v>4</v>
      </c>
      <c r="AD21" s="38" t="str">
        <f t="shared" si="6"/>
        <v/>
      </c>
      <c r="AE21" s="38" t="str">
        <f t="shared" si="7"/>
        <v/>
      </c>
      <c r="AF21" s="38" t="str">
        <f t="shared" si="8"/>
        <v/>
      </c>
      <c r="AG21" s="38" t="str">
        <f>IF(Спецификация_авто!$L$21="","",IF(IF($S$4="(все)",COUNTIF($U$4:$U$500,Спецификация_авто!$L$21),COUNTIF($V$4:$V$500,$S$4&amp;"|"&amp;Спецификация_авто!$L$21))=0,Спецификация_авто!$L$21,""))</f>
        <v/>
      </c>
      <c r="AH21" s="38" t="str">
        <f>IF(AG21="","",COUNTIF($AG$4:AG21,"?*"))</f>
        <v/>
      </c>
    </row>
    <row r="22" spans="1:34" x14ac:dyDescent="0.3">
      <c r="A22" s="74" t="s">
        <v>434</v>
      </c>
      <c r="B22" s="74" t="s">
        <v>302</v>
      </c>
      <c r="C22" s="74" t="s">
        <v>304</v>
      </c>
      <c r="D22" s="74" t="s">
        <v>30</v>
      </c>
      <c r="E22" s="74">
        <v>24</v>
      </c>
      <c r="F22" s="74" t="s">
        <v>489</v>
      </c>
      <c r="G22" s="74" t="s">
        <v>303</v>
      </c>
      <c r="H22" s="74" t="s">
        <v>304</v>
      </c>
      <c r="I22" s="74"/>
      <c r="J22" s="74"/>
      <c r="K22" s="74"/>
      <c r="L22" s="74"/>
      <c r="M22" s="74" t="s">
        <v>282</v>
      </c>
      <c r="N22" s="38">
        <f>IF(OR(A22="Автомат",A22="Дифавтомат"),IF(W22="","",COUNTIFS(Однолинейка!$H$3:$H$3000,U22,Однолинейка!$A$3:$A$3000,Щит_спец)),IF(A22="Аппарат",IF(C22="","",COUNTIFS(Однолинейка!$I$3:$I$3000,C22,Однолинейка!$A$3:$A$3000,Щит_спец)+COUNTIFS(Однолинейка!$J$3:$J$3000,C22,Однолинейка!$A$3:$A$3000,Щит_спец)+COUNTIFS(Однолинейка!$K$3:$K$3000,C22,Однолинейка!$A$3:$A$3000,Щит_спец)),IF(A22="Модуль",IF(C22="","",COUNTIFS(Однолинейка!$AW$3:$AW$3000,"?*",Однолинейка!$AI$3:$AI$3000,C22,Однолинейка!$A$3:$A$3000,Щит_спец)),IF(A22="Клемма",IF(C22="","",IF(C22=$S$7,SUMIFS(Однолинейка!$BW$3:$BW$3000,Однолинейка!$A$3:$A$3000,Щит_спец),IF(C22=$S$8,SUMIFS(Однолинейка!$BX$3:$BX$3000,Однолинейка!$A$3:$A$3000,Щит_спец),""))),""))))</f>
        <v>0</v>
      </c>
      <c r="O22" s="74"/>
      <c r="P22" s="38">
        <f t="shared" si="0"/>
        <v>0</v>
      </c>
      <c r="R22" s="74"/>
      <c r="U22" s="38" t="str">
        <f t="shared" si="1"/>
        <v/>
      </c>
      <c r="V22" s="38" t="str">
        <f t="shared" si="2"/>
        <v/>
      </c>
      <c r="W22" s="38" t="str">
        <f>IF(AND(U22&lt;&gt;"",OR($S$4="(все)",B22=$S$4),IF($S$4="(все)",COUNTIF($U$4:U22,U22),COUNTIFS($U$4:U22,U22,$B$4:B22,B22))=1),MAX($W$3:W21)+1,"")</f>
        <v/>
      </c>
      <c r="X22" s="38" t="str">
        <f t="shared" si="3"/>
        <v/>
      </c>
      <c r="Y22" s="38" t="str">
        <f>IF(AND(A22="Аппарат",C22&lt;&gt;"",OR($S$5="(все)",B22=$S$5)),MAX($Y$3:Y21)+1,"")</f>
        <v/>
      </c>
      <c r="Z22" s="38" t="str">
        <f t="shared" si="4"/>
        <v/>
      </c>
      <c r="AA22" s="38">
        <f>IF(AND(A22="Модуль",C22&lt;&gt;"",OR($S$6="(все)",B22=$S$6)),MAX($AA$3:AA21)+1,"")</f>
        <v>1</v>
      </c>
      <c r="AB22" s="38" t="str">
        <f t="shared" si="5"/>
        <v/>
      </c>
      <c r="AC22" s="38" t="str">
        <f>IF(OR(B22="",COUNTIF($B$4:B22,B22)&gt;1),"",MAX($AC$3:AC21)+1)</f>
        <v/>
      </c>
      <c r="AD22" s="38" t="str">
        <f t="shared" si="6"/>
        <v/>
      </c>
      <c r="AE22" s="38" t="str">
        <f t="shared" si="7"/>
        <v/>
      </c>
      <c r="AF22" s="38" t="str">
        <f t="shared" si="8"/>
        <v/>
      </c>
      <c r="AG22" s="38" t="str">
        <f>IF(Спецификация_авто!$L$22="","",IF(IF($S$4="(все)",COUNTIF($U$4:$U$500,Спецификация_авто!$L$22),COUNTIF($V$4:$V$500,$S$4&amp;"|"&amp;Спецификация_авто!$L$22))=0,Спецификация_авто!$L$22,""))</f>
        <v>4P С16А 30мА</v>
      </c>
      <c r="AH22" s="38">
        <f>IF(AG22="","",COUNTIF($AG$4:AG22,"?*"))</f>
        <v>14</v>
      </c>
    </row>
    <row r="23" spans="1:34" x14ac:dyDescent="0.3">
      <c r="A23" s="74" t="s">
        <v>434</v>
      </c>
      <c r="B23" s="74" t="s">
        <v>302</v>
      </c>
      <c r="C23" s="74" t="s">
        <v>478</v>
      </c>
      <c r="D23" s="74" t="s">
        <v>30</v>
      </c>
      <c r="E23" s="74">
        <v>24</v>
      </c>
      <c r="F23" s="74" t="s">
        <v>489</v>
      </c>
      <c r="G23" s="74" t="s">
        <v>303</v>
      </c>
      <c r="H23" s="74" t="s">
        <v>478</v>
      </c>
      <c r="I23" s="74"/>
      <c r="J23" s="74"/>
      <c r="K23" s="74"/>
      <c r="L23" s="74"/>
      <c r="M23" s="74" t="s">
        <v>282</v>
      </c>
      <c r="N23" s="38">
        <f>IF(OR(A23="Автомат",A23="Дифавтомат"),IF(W23="","",COUNTIFS(Однолинейка!$H$3:$H$3000,U23,Однолинейка!$A$3:$A$3000,Щит_спец)),IF(A23="Аппарат",IF(C23="","",COUNTIFS(Однолинейка!$I$3:$I$3000,C23,Однолинейка!$A$3:$A$3000,Щит_спец)+COUNTIFS(Однолинейка!$J$3:$J$3000,C23,Однолинейка!$A$3:$A$3000,Щит_спец)+COUNTIFS(Однолинейка!$K$3:$K$3000,C23,Однолинейка!$A$3:$A$3000,Щит_спец)),IF(A23="Модуль",IF(C23="","",COUNTIFS(Однолинейка!$AW$3:$AW$3000,"?*",Однолинейка!$AI$3:$AI$3000,C23,Однолинейка!$A$3:$A$3000,Щит_спец)),IF(A23="Клемма",IF(C23="","",IF(C23=$S$7,SUMIFS(Однолинейка!$BW$3:$BW$3000,Однолинейка!$A$3:$A$3000,Щит_спец),IF(C23=$S$8,SUMIFS(Однолинейка!$BX$3:$BX$3000,Однолинейка!$A$3:$A$3000,Щит_спец),""))),""))))</f>
        <v>0</v>
      </c>
      <c r="O23" s="74"/>
      <c r="P23" s="38">
        <f t="shared" si="0"/>
        <v>0</v>
      </c>
      <c r="R23" s="74"/>
      <c r="U23" s="38" t="str">
        <f t="shared" si="1"/>
        <v/>
      </c>
      <c r="V23" s="38" t="str">
        <f t="shared" si="2"/>
        <v/>
      </c>
      <c r="W23" s="38" t="str">
        <f>IF(AND(U23&lt;&gt;"",OR($S$4="(все)",B23=$S$4),IF($S$4="(все)",COUNTIF($U$4:U23,U23),COUNTIFS($U$4:U23,U23,$B$4:B23,B23))=1),MAX($W$3:W22)+1,"")</f>
        <v/>
      </c>
      <c r="X23" s="38" t="str">
        <f t="shared" si="3"/>
        <v/>
      </c>
      <c r="Y23" s="38" t="str">
        <f>IF(AND(A23="Аппарат",C23&lt;&gt;"",OR($S$5="(все)",B23=$S$5)),MAX($Y$3:Y22)+1,"")</f>
        <v/>
      </c>
      <c r="Z23" s="38" t="str">
        <f t="shared" si="4"/>
        <v/>
      </c>
      <c r="AA23" s="38">
        <f>IF(AND(A23="Модуль",C23&lt;&gt;"",OR($S$6="(все)",B23=$S$6)),MAX($AA$3:AA22)+1,"")</f>
        <v>2</v>
      </c>
      <c r="AB23" s="38" t="str">
        <f t="shared" si="5"/>
        <v/>
      </c>
      <c r="AC23" s="38" t="str">
        <f>IF(OR(B23="",COUNTIF($B$4:B23,B23)&gt;1),"",MAX($AC$3:AC22)+1)</f>
        <v/>
      </c>
      <c r="AD23" s="38" t="str">
        <f t="shared" si="6"/>
        <v/>
      </c>
      <c r="AE23" s="38" t="str">
        <f t="shared" si="7"/>
        <v/>
      </c>
      <c r="AF23" s="38" t="str">
        <f t="shared" si="8"/>
        <v/>
      </c>
      <c r="AG23" s="38" t="str">
        <f>IF(Спецификация_авто!$L$23="","",IF(IF($S$4="(все)",COUNTIF($U$4:$U$500,Спецификация_авто!$L$23),COUNTIF($V$4:$V$500,$S$4&amp;"|"&amp;Спецификация_авто!$L$23))=0,Спецификация_авто!$L$23,""))</f>
        <v/>
      </c>
      <c r="AH23" s="38" t="str">
        <f>IF(AG23="","",COUNTIF($AG$4:AG23,"?*"))</f>
        <v/>
      </c>
    </row>
    <row r="24" spans="1:34" x14ac:dyDescent="0.3">
      <c r="A24" s="74" t="s">
        <v>434</v>
      </c>
      <c r="B24" s="74" t="s">
        <v>302</v>
      </c>
      <c r="C24" s="74" t="s">
        <v>488</v>
      </c>
      <c r="D24" s="74" t="s">
        <v>30</v>
      </c>
      <c r="E24" s="74">
        <v>16</v>
      </c>
      <c r="F24" s="74" t="s">
        <v>489</v>
      </c>
      <c r="G24" s="74" t="s">
        <v>303</v>
      </c>
      <c r="H24" s="74" t="s">
        <v>488</v>
      </c>
      <c r="I24" s="74"/>
      <c r="J24" s="74"/>
      <c r="K24" s="74"/>
      <c r="L24" s="74"/>
      <c r="M24" s="74" t="s">
        <v>282</v>
      </c>
      <c r="N24" s="38">
        <f>IF(OR(A24="Автомат",A24="Дифавтомат"),IF(W24="","",COUNTIFS(Однолинейка!$H$3:$H$3000,U24,Однолинейка!$A$3:$A$3000,Щит_спец)),IF(A24="Аппарат",IF(C24="","",COUNTIFS(Однолинейка!$I$3:$I$3000,C24,Однолинейка!$A$3:$A$3000,Щит_спец)+COUNTIFS(Однолинейка!$J$3:$J$3000,C24,Однолинейка!$A$3:$A$3000,Щит_спец)+COUNTIFS(Однолинейка!$K$3:$K$3000,C24,Однолинейка!$A$3:$A$3000,Щит_спец)),IF(A24="Модуль",IF(C24="","",COUNTIFS(Однолинейка!$AW$3:$AW$3000,"?*",Однолинейка!$AI$3:$AI$3000,C24,Однолинейка!$A$3:$A$3000,Щит_спец)),IF(A24="Клемма",IF(C24="","",IF(C24=$S$7,SUMIFS(Однолинейка!$BW$3:$BW$3000,Однолинейка!$A$3:$A$3000,Щит_спец),IF(C24=$S$8,SUMIFS(Однолинейка!$BX$3:$BX$3000,Однолинейка!$A$3:$A$3000,Щит_спец),""))),""))))</f>
        <v>0</v>
      </c>
      <c r="O24" s="74"/>
      <c r="P24" s="38">
        <f t="shared" si="0"/>
        <v>0</v>
      </c>
      <c r="R24" s="74"/>
      <c r="U24" s="38" t="str">
        <f t="shared" si="1"/>
        <v/>
      </c>
      <c r="V24" s="38" t="str">
        <f t="shared" si="2"/>
        <v/>
      </c>
      <c r="W24" s="38" t="str">
        <f>IF(AND(U24&lt;&gt;"",OR($S$4="(все)",B24=$S$4),IF($S$4="(все)",COUNTIF($U$4:U24,U24),COUNTIFS($U$4:U24,U24,$B$4:B24,B24))=1),MAX($W$3:W23)+1,"")</f>
        <v/>
      </c>
      <c r="X24" s="38" t="str">
        <f t="shared" si="3"/>
        <v/>
      </c>
      <c r="Y24" s="38" t="str">
        <f>IF(AND(A24="Аппарат",C24&lt;&gt;"",OR($S$5="(все)",B24=$S$5)),MAX($Y$3:Y23)+1,"")</f>
        <v/>
      </c>
      <c r="Z24" s="38" t="str">
        <f t="shared" si="4"/>
        <v/>
      </c>
      <c r="AA24" s="38">
        <f>IF(AND(A24="Модуль",C24&lt;&gt;"",OR($S$6="(все)",B24=$S$6)),MAX($AA$3:AA23)+1,"")</f>
        <v>3</v>
      </c>
      <c r="AB24" s="38" t="str">
        <f t="shared" si="5"/>
        <v/>
      </c>
      <c r="AC24" s="38" t="str">
        <f>IF(OR(B24="",COUNTIF($B$4:B24,B24)&gt;1),"",MAX($AC$3:AC23)+1)</f>
        <v/>
      </c>
      <c r="AD24" s="38" t="str">
        <f t="shared" si="6"/>
        <v/>
      </c>
      <c r="AE24" s="38" t="str">
        <f t="shared" si="7"/>
        <v/>
      </c>
      <c r="AF24" s="38" t="str">
        <f t="shared" si="8"/>
        <v/>
      </c>
      <c r="AG24" s="38" t="str">
        <f>IF(Спецификация_авто!$L$27="","",IF(COUNTIF($C$4:$C$500,Спецификация_авто!$L$27)=0,Спецификация_авто!$L$27,""))</f>
        <v/>
      </c>
      <c r="AH24" s="38" t="str">
        <f>IF(AG24="","",COUNTIF($AG$4:AG24,"?*"))</f>
        <v/>
      </c>
    </row>
    <row r="25" spans="1:34" x14ac:dyDescent="0.3">
      <c r="A25" s="74" t="s">
        <v>434</v>
      </c>
      <c r="B25" s="74" t="s">
        <v>302</v>
      </c>
      <c r="C25" s="74" t="s">
        <v>479</v>
      </c>
      <c r="D25" s="74" t="s">
        <v>30</v>
      </c>
      <c r="E25" s="74">
        <v>8</v>
      </c>
      <c r="F25" s="74" t="s">
        <v>489</v>
      </c>
      <c r="G25" s="74" t="s">
        <v>303</v>
      </c>
      <c r="H25" s="74" t="s">
        <v>479</v>
      </c>
      <c r="I25" s="74"/>
      <c r="J25" s="74"/>
      <c r="K25" s="74"/>
      <c r="L25" s="74"/>
      <c r="M25" s="74" t="s">
        <v>282</v>
      </c>
      <c r="N25" s="38">
        <f>IF(OR(A25="Автомат",A25="Дифавтомат"),IF(W25="","",COUNTIFS(Однолинейка!$H$3:$H$3000,U25,Однолинейка!$A$3:$A$3000,Щит_спец)),IF(A25="Аппарат",IF(C25="","",COUNTIFS(Однолинейка!$I$3:$I$3000,C25,Однолинейка!$A$3:$A$3000,Щит_спец)+COUNTIFS(Однолинейка!$J$3:$J$3000,C25,Однолинейка!$A$3:$A$3000,Щит_спец)+COUNTIFS(Однолинейка!$K$3:$K$3000,C25,Однолинейка!$A$3:$A$3000,Щит_спец)),IF(A25="Модуль",IF(C25="","",COUNTIFS(Однолинейка!$AW$3:$AW$3000,"?*",Однолинейка!$AI$3:$AI$3000,C25,Однолинейка!$A$3:$A$3000,Щит_спец)),IF(A25="Клемма",IF(C25="","",IF(C25=$S$7,SUMIFS(Однолинейка!$BW$3:$BW$3000,Однолинейка!$A$3:$A$3000,Щит_спец),IF(C25=$S$8,SUMIFS(Однолинейка!$BX$3:$BX$3000,Однолинейка!$A$3:$A$3000,Щит_спец),""))),""))))</f>
        <v>0</v>
      </c>
      <c r="O25" s="74"/>
      <c r="P25" s="38">
        <f t="shared" si="0"/>
        <v>0</v>
      </c>
      <c r="R25" s="74"/>
      <c r="U25" s="38" t="str">
        <f t="shared" si="1"/>
        <v/>
      </c>
      <c r="V25" s="38" t="str">
        <f t="shared" si="2"/>
        <v/>
      </c>
      <c r="W25" s="38" t="str">
        <f>IF(AND(U25&lt;&gt;"",OR($S$4="(все)",B25=$S$4),IF($S$4="(все)",COUNTIF($U$4:U25,U25),COUNTIFS($U$4:U25,U25,$B$4:B25,B25))=1),MAX($W$3:W24)+1,"")</f>
        <v/>
      </c>
      <c r="X25" s="38" t="str">
        <f t="shared" si="3"/>
        <v/>
      </c>
      <c r="Y25" s="38" t="str">
        <f>IF(AND(A25="Аппарат",C25&lt;&gt;"",OR($S$5="(все)",B25=$S$5)),MAX($Y$3:Y24)+1,"")</f>
        <v/>
      </c>
      <c r="Z25" s="38" t="str">
        <f t="shared" si="4"/>
        <v/>
      </c>
      <c r="AA25" s="38">
        <f>IF(AND(A25="Модуль",C25&lt;&gt;"",OR($S$6="(все)",B25=$S$6)),MAX($AA$3:AA24)+1,"")</f>
        <v>4</v>
      </c>
      <c r="AB25" s="38" t="str">
        <f t="shared" si="5"/>
        <v/>
      </c>
      <c r="AC25" s="38" t="str">
        <f>IF(OR(B25="",COUNTIF($B$4:B25,B25)&gt;1),"",MAX($AC$3:AC24)+1)</f>
        <v/>
      </c>
      <c r="AD25" s="38" t="str">
        <f t="shared" si="6"/>
        <v/>
      </c>
      <c r="AE25" s="38" t="str">
        <f t="shared" si="7"/>
        <v/>
      </c>
      <c r="AF25" s="38" t="str">
        <f t="shared" si="8"/>
        <v/>
      </c>
      <c r="AG25" s="38" t="str">
        <f>IF(Спецификация_авто!$L$28="","",IF(COUNTIF($C$4:$C$500,Спецификация_авто!$L$28)=0,Спецификация_авто!$L$28,""))</f>
        <v/>
      </c>
      <c r="AH25" s="38" t="str">
        <f>IF(AG25="","",COUNTIF($AG$4:AG25,"?*"))</f>
        <v/>
      </c>
    </row>
    <row r="26" spans="1:34" x14ac:dyDescent="0.3">
      <c r="A26" s="74" t="s">
        <v>434</v>
      </c>
      <c r="B26" s="74" t="s">
        <v>302</v>
      </c>
      <c r="C26" s="74" t="s">
        <v>492</v>
      </c>
      <c r="D26" s="74" t="s">
        <v>30</v>
      </c>
      <c r="E26" s="74">
        <v>8</v>
      </c>
      <c r="F26" s="74" t="s">
        <v>493</v>
      </c>
      <c r="G26" s="74" t="s">
        <v>714</v>
      </c>
      <c r="H26" s="74" t="s">
        <v>492</v>
      </c>
      <c r="I26" s="74"/>
      <c r="J26" s="74"/>
      <c r="K26" s="74"/>
      <c r="L26" s="74"/>
      <c r="M26" s="74" t="s">
        <v>282</v>
      </c>
      <c r="N26" s="38">
        <f>IF(OR(A26="Автомат",A26="Дифавтомат"),IF(W26="","",COUNTIFS(Однолинейка!$H$3:$H$3000,U26,Однолинейка!$A$3:$A$3000,Щит_спец)),IF(A26="Аппарат",IF(C26="","",COUNTIFS(Однолинейка!$I$3:$I$3000,C26,Однолинейка!$A$3:$A$3000,Щит_спец)+COUNTIFS(Однолинейка!$J$3:$J$3000,C26,Однолинейка!$A$3:$A$3000,Щит_спец)+COUNTIFS(Однолинейка!$K$3:$K$3000,C26,Однолинейка!$A$3:$A$3000,Щит_спец)),IF(A26="Модуль",IF(C26="","",COUNTIFS(Однолинейка!$AW$3:$AW$3000,"?*",Однолинейка!$AI$3:$AI$3000,C26,Однолинейка!$A$3:$A$3000,Щит_спец)),IF(A26="Клемма",IF(C26="","",IF(C26=$S$7,SUMIFS(Однолинейка!$BW$3:$BW$3000,Однолинейка!$A$3:$A$3000,Щит_спец),IF(C26=$S$8,SUMIFS(Однолинейка!$BX$3:$BX$3000,Однолинейка!$A$3:$A$3000,Щит_спец),""))),""))))</f>
        <v>0</v>
      </c>
      <c r="O26" s="74"/>
      <c r="P26" s="38">
        <f t="shared" si="0"/>
        <v>0</v>
      </c>
      <c r="U26" s="38" t="str">
        <f t="shared" si="1"/>
        <v/>
      </c>
      <c r="V26" s="38" t="str">
        <f t="shared" si="2"/>
        <v/>
      </c>
      <c r="W26" s="38" t="str">
        <f>IF(AND(U26&lt;&gt;"",OR($S$4="(все)",B26=$S$4),IF($S$4="(все)",COUNTIF($U$4:U26,U26),COUNTIFS($U$4:U26,U26,$B$4:B26,B26))=1),MAX($W$3:W25)+1,"")</f>
        <v/>
      </c>
      <c r="X26" s="38" t="str">
        <f t="shared" si="3"/>
        <v/>
      </c>
      <c r="Y26" s="38" t="str">
        <f>IF(AND(A26="Аппарат",C26&lt;&gt;"",OR($S$5="(все)",B26=$S$5)),MAX($Y$3:Y25)+1,"")</f>
        <v/>
      </c>
      <c r="Z26" s="38" t="str">
        <f t="shared" si="4"/>
        <v/>
      </c>
      <c r="AA26" s="38">
        <f>IF(AND(A26="Модуль",C26&lt;&gt;"",OR($S$6="(все)",B26=$S$6)),MAX($AA$3:AA25)+1,"")</f>
        <v>5</v>
      </c>
      <c r="AB26" s="38" t="str">
        <f t="shared" si="5"/>
        <v/>
      </c>
      <c r="AC26" s="38" t="str">
        <f>IF(OR(B26="",COUNTIF($B$4:B26,B26)&gt;1),"",MAX($AC$3:AC25)+1)</f>
        <v/>
      </c>
      <c r="AD26" s="38" t="str">
        <f t="shared" si="6"/>
        <v/>
      </c>
      <c r="AE26" s="38" t="str">
        <f t="shared" si="7"/>
        <v/>
      </c>
      <c r="AF26" s="38" t="str">
        <f t="shared" si="8"/>
        <v/>
      </c>
      <c r="AG26" s="38" t="str">
        <f>IF(Спецификация_авто!$L$29="","",IF(COUNTIF($C$4:$C$500,Спецификация_авто!$L$29)=0,Спецификация_авто!$L$29,""))</f>
        <v/>
      </c>
      <c r="AH26" s="38" t="str">
        <f>IF(AG26="","",COUNTIF($AG$4:AG26,"?*"))</f>
        <v/>
      </c>
    </row>
    <row r="27" spans="1:34" ht="27.6" x14ac:dyDescent="0.3">
      <c r="A27" s="74" t="s">
        <v>434</v>
      </c>
      <c r="B27" s="74" t="s">
        <v>302</v>
      </c>
      <c r="C27" s="74" t="s">
        <v>305</v>
      </c>
      <c r="D27" s="74" t="s">
        <v>496</v>
      </c>
      <c r="E27" s="74">
        <v>4</v>
      </c>
      <c r="F27" s="74" t="s">
        <v>497</v>
      </c>
      <c r="G27" s="74" t="s">
        <v>715</v>
      </c>
      <c r="H27" s="74" t="s">
        <v>305</v>
      </c>
      <c r="I27" s="74"/>
      <c r="J27" s="74"/>
      <c r="K27" s="74"/>
      <c r="L27" s="74"/>
      <c r="M27" s="74" t="s">
        <v>282</v>
      </c>
      <c r="N27" s="38">
        <f>IF(OR(A27="Автомат",A27="Дифавтомат"),IF(W27="","",COUNTIFS(Однолинейка!$H$3:$H$3000,U27,Однолинейка!$A$3:$A$3000,Щит_спец)),IF(A27="Аппарат",IF(C27="","",COUNTIFS(Однолинейка!$I$3:$I$3000,C27,Однолинейка!$A$3:$A$3000,Щит_спец)+COUNTIFS(Однолинейка!$J$3:$J$3000,C27,Однолинейка!$A$3:$A$3000,Щит_спец)+COUNTIFS(Однолинейка!$K$3:$K$3000,C27,Однолинейка!$A$3:$A$3000,Щит_спец)),IF(A27="Модуль",IF(C27="","",COUNTIFS(Однолинейка!$AW$3:$AW$3000,"?*",Однолинейка!$AI$3:$AI$3000,C27,Однолинейка!$A$3:$A$3000,Щит_спец)),IF(A27="Клемма",IF(C27="","",IF(C27=$S$7,SUMIFS(Однолинейка!$BW$3:$BW$3000,Однолинейка!$A$3:$A$3000,Щит_спец),IF(C27=$S$8,SUMIFS(Однолинейка!$BX$3:$BX$3000,Однолинейка!$A$3:$A$3000,Щит_спец),""))),""))))</f>
        <v>0</v>
      </c>
      <c r="O27" s="74"/>
      <c r="P27" s="38">
        <f t="shared" si="0"/>
        <v>0</v>
      </c>
      <c r="R27" s="35" t="s">
        <v>716</v>
      </c>
      <c r="S27" s="35"/>
      <c r="U27" s="38" t="str">
        <f t="shared" si="1"/>
        <v/>
      </c>
      <c r="V27" s="38" t="str">
        <f t="shared" si="2"/>
        <v/>
      </c>
      <c r="W27" s="38" t="str">
        <f>IF(AND(U27&lt;&gt;"",OR($S$4="(все)",B27=$S$4),IF($S$4="(все)",COUNTIF($U$4:U27,U27),COUNTIFS($U$4:U27,U27,$B$4:B27,B27))=1),MAX($W$3:W26)+1,"")</f>
        <v/>
      </c>
      <c r="X27" s="38" t="str">
        <f t="shared" si="3"/>
        <v/>
      </c>
      <c r="Y27" s="38" t="str">
        <f>IF(AND(A27="Аппарат",C27&lt;&gt;"",OR($S$5="(все)",B27=$S$5)),MAX($Y$3:Y26)+1,"")</f>
        <v/>
      </c>
      <c r="Z27" s="38" t="str">
        <f t="shared" si="4"/>
        <v/>
      </c>
      <c r="AA27" s="38">
        <f>IF(AND(A27="Модуль",C27&lt;&gt;"",OR($S$6="(все)",B27=$S$6)),MAX($AA$3:AA26)+1,"")</f>
        <v>6</v>
      </c>
      <c r="AB27" s="38" t="str">
        <f t="shared" si="5"/>
        <v/>
      </c>
      <c r="AC27" s="38" t="str">
        <f>IF(OR(B27="",COUNTIF($B$4:B27,B27)&gt;1),"",MAX($AC$3:AC26)+1)</f>
        <v/>
      </c>
      <c r="AD27" s="38" t="str">
        <f t="shared" si="6"/>
        <v/>
      </c>
      <c r="AE27" s="38" t="str">
        <f t="shared" si="7"/>
        <v/>
      </c>
      <c r="AF27" s="38" t="str">
        <f t="shared" si="8"/>
        <v/>
      </c>
      <c r="AG27" s="38" t="str">
        <f>IF(Спецификация_авто!$L$30="","",IF(COUNTIF($C$4:$C$500,Спецификация_авто!$L$30)=0,Спецификация_авто!$L$30,""))</f>
        <v/>
      </c>
      <c r="AH27" s="38" t="str">
        <f>IF(AG27="","",COUNTIF($AG$4:AG27,"?*"))</f>
        <v/>
      </c>
    </row>
    <row r="28" spans="1:34" x14ac:dyDescent="0.3">
      <c r="A28" s="74" t="s">
        <v>434</v>
      </c>
      <c r="B28" s="74" t="s">
        <v>302</v>
      </c>
      <c r="C28" s="74" t="s">
        <v>307</v>
      </c>
      <c r="D28" s="74" t="s">
        <v>498</v>
      </c>
      <c r="E28" s="74">
        <v>2</v>
      </c>
      <c r="F28" s="74" t="s">
        <v>227</v>
      </c>
      <c r="G28" s="74" t="s">
        <v>306</v>
      </c>
      <c r="H28" s="74" t="s">
        <v>307</v>
      </c>
      <c r="I28" s="74"/>
      <c r="J28" s="74"/>
      <c r="K28" s="74"/>
      <c r="L28" s="74"/>
      <c r="M28" s="74" t="s">
        <v>282</v>
      </c>
      <c r="N28" s="38">
        <f>IF(OR(A28="Автомат",A28="Дифавтомат"),IF(W28="","",COUNTIFS(Однолинейка!$H$3:$H$3000,U28,Однолинейка!$A$3:$A$3000,Щит_спец)),IF(A28="Аппарат",IF(C28="","",COUNTIFS(Однолинейка!$I$3:$I$3000,C28,Однолинейка!$A$3:$A$3000,Щит_спец)+COUNTIFS(Однолинейка!$J$3:$J$3000,C28,Однолинейка!$A$3:$A$3000,Щит_спец)+COUNTIFS(Однолинейка!$K$3:$K$3000,C28,Однолинейка!$A$3:$A$3000,Щит_спец)),IF(A28="Модуль",IF(C28="","",COUNTIFS(Однолинейка!$AW$3:$AW$3000,"?*",Однолинейка!$AI$3:$AI$3000,C28,Однолинейка!$A$3:$A$3000,Щит_спец)),IF(A28="Клемма",IF(C28="","",IF(C28=$S$7,SUMIFS(Однолинейка!$BW$3:$BW$3000,Однолинейка!$A$3:$A$3000,Щит_спец),IF(C28=$S$8,SUMIFS(Однолинейка!$BX$3:$BX$3000,Однолинейка!$A$3:$A$3000,Щит_спец),""))),""))))</f>
        <v>0</v>
      </c>
      <c r="O28" s="74"/>
      <c r="P28" s="38">
        <f t="shared" si="0"/>
        <v>0</v>
      </c>
      <c r="R28" s="38" t="str">
        <f>IFERROR(INDEX($AG$4:$AG$43,MATCH(1,$AH$4:$AH$43,0)),"")</f>
        <v>3P С630А</v>
      </c>
      <c r="U28" s="38" t="str">
        <f t="shared" si="1"/>
        <v/>
      </c>
      <c r="V28" s="38" t="str">
        <f t="shared" si="2"/>
        <v/>
      </c>
      <c r="W28" s="38" t="str">
        <f>IF(AND(U28&lt;&gt;"",OR($S$4="(все)",B28=$S$4),IF($S$4="(все)",COUNTIF($U$4:U28,U28),COUNTIFS($U$4:U28,U28,$B$4:B28,B28))=1),MAX($W$3:W27)+1,"")</f>
        <v/>
      </c>
      <c r="X28" s="38" t="str">
        <f t="shared" si="3"/>
        <v/>
      </c>
      <c r="Y28" s="38" t="str">
        <f>IF(AND(A28="Аппарат",C28&lt;&gt;"",OR($S$5="(все)",B28=$S$5)),MAX($Y$3:Y27)+1,"")</f>
        <v/>
      </c>
      <c r="Z28" s="38" t="str">
        <f t="shared" si="4"/>
        <v/>
      </c>
      <c r="AA28" s="38">
        <f>IF(AND(A28="Модуль",C28&lt;&gt;"",OR($S$6="(все)",B28=$S$6)),MAX($AA$3:AA27)+1,"")</f>
        <v>7</v>
      </c>
      <c r="AB28" s="38" t="str">
        <f t="shared" si="5"/>
        <v/>
      </c>
      <c r="AC28" s="38" t="str">
        <f>IF(OR(B28="",COUNTIF($B$4:B28,B28)&gt;1),"",MAX($AC$3:AC27)+1)</f>
        <v/>
      </c>
      <c r="AD28" s="38" t="str">
        <f t="shared" si="6"/>
        <v/>
      </c>
      <c r="AE28" s="38" t="str">
        <f t="shared" si="7"/>
        <v/>
      </c>
      <c r="AF28" s="38" t="str">
        <f t="shared" si="8"/>
        <v/>
      </c>
      <c r="AG28" s="38" t="str">
        <f>IF(Спецификация_авто!$L$31="","",IF(COUNTIF($C$4:$C$500,Спецификация_авто!$L$31)=0,Спецификация_авто!$L$31,""))</f>
        <v/>
      </c>
      <c r="AH28" s="38" t="str">
        <f>IF(AG28="","",COUNTIF($AG$4:AG28,"?*"))</f>
        <v/>
      </c>
    </row>
    <row r="29" spans="1:34" x14ac:dyDescent="0.3">
      <c r="A29" s="74" t="s">
        <v>434</v>
      </c>
      <c r="B29" s="74" t="s">
        <v>302</v>
      </c>
      <c r="C29" s="74" t="s">
        <v>309</v>
      </c>
      <c r="D29" s="74" t="s">
        <v>717</v>
      </c>
      <c r="E29" s="74">
        <v>8</v>
      </c>
      <c r="F29" s="74" t="s">
        <v>718</v>
      </c>
      <c r="G29" s="74" t="s">
        <v>308</v>
      </c>
      <c r="H29" s="74" t="s">
        <v>309</v>
      </c>
      <c r="I29" s="74"/>
      <c r="J29" s="74"/>
      <c r="K29" s="74"/>
      <c r="L29" s="74"/>
      <c r="M29" s="74" t="s">
        <v>282</v>
      </c>
      <c r="N29" s="38">
        <f>IF(OR(A29="Автомат",A29="Дифавтомат"),IF(W29="","",COUNTIFS(Однолинейка!$H$3:$H$3000,U29,Однолинейка!$A$3:$A$3000,Щит_спец)),IF(A29="Аппарат",IF(C29="","",COUNTIFS(Однолинейка!$I$3:$I$3000,C29,Однолинейка!$A$3:$A$3000,Щит_спец)+COUNTIFS(Однолинейка!$J$3:$J$3000,C29,Однолинейка!$A$3:$A$3000,Щит_спец)+COUNTIFS(Однолинейка!$K$3:$K$3000,C29,Однолинейка!$A$3:$A$3000,Щит_спец)),IF(A29="Модуль",IF(C29="","",COUNTIFS(Однолинейка!$AW$3:$AW$3000,"?*",Однолинейка!$AI$3:$AI$3000,C29,Однолинейка!$A$3:$A$3000,Щит_спец)),IF(A29="Клемма",IF(C29="","",IF(C29=$S$7,SUMIFS(Однолинейка!$BW$3:$BW$3000,Однолинейка!$A$3:$A$3000,Щит_спец),IF(C29=$S$8,SUMIFS(Однолинейка!$BX$3:$BX$3000,Однолинейка!$A$3:$A$3000,Щит_спец),""))),""))))</f>
        <v>0</v>
      </c>
      <c r="O29" s="74"/>
      <c r="P29" s="38">
        <f t="shared" si="0"/>
        <v>0</v>
      </c>
      <c r="R29" s="38" t="str">
        <f>IFERROR(INDEX($AG$4:$AG$43,MATCH(2,$AH$4:$AH$43,0)),"")</f>
        <v>3P С25А</v>
      </c>
      <c r="U29" s="38" t="str">
        <f t="shared" si="1"/>
        <v/>
      </c>
      <c r="V29" s="38" t="str">
        <f t="shared" si="2"/>
        <v/>
      </c>
      <c r="W29" s="38" t="str">
        <f>IF(AND(U29&lt;&gt;"",OR($S$4="(все)",B29=$S$4),IF($S$4="(все)",COUNTIF($U$4:U29,U29),COUNTIFS($U$4:U29,U29,$B$4:B29,B29))=1),MAX($W$3:W28)+1,"")</f>
        <v/>
      </c>
      <c r="X29" s="38" t="str">
        <f t="shared" si="3"/>
        <v/>
      </c>
      <c r="Y29" s="38" t="str">
        <f>IF(AND(A29="Аппарат",C29&lt;&gt;"",OR($S$5="(все)",B29=$S$5)),MAX($Y$3:Y28)+1,"")</f>
        <v/>
      </c>
      <c r="Z29" s="38" t="str">
        <f t="shared" si="4"/>
        <v/>
      </c>
      <c r="AA29" s="38">
        <f>IF(AND(A29="Модуль",C29&lt;&gt;"",OR($S$6="(все)",B29=$S$6)),MAX($AA$3:AA28)+1,"")</f>
        <v>8</v>
      </c>
      <c r="AB29" s="38" t="str">
        <f t="shared" si="5"/>
        <v/>
      </c>
      <c r="AC29" s="38" t="str">
        <f>IF(OR(B29="",COUNTIF($B$4:B29,B29)&gt;1),"",MAX($AC$3:AC28)+1)</f>
        <v/>
      </c>
      <c r="AD29" s="38" t="str">
        <f t="shared" si="6"/>
        <v/>
      </c>
      <c r="AE29" s="38" t="str">
        <f t="shared" si="7"/>
        <v/>
      </c>
      <c r="AF29" s="38" t="str">
        <f t="shared" si="8"/>
        <v/>
      </c>
      <c r="AG29" s="38" t="str">
        <f>IF(Спецификация_авто!$L$32="","",IF(COUNTIF($C$4:$C$500,Спецификация_авто!$L$32)=0,Спецификация_авто!$L$32,""))</f>
        <v/>
      </c>
      <c r="AH29" s="38" t="str">
        <f>IF(AG29="","",COUNTIF($AG$4:AG29,"?*"))</f>
        <v/>
      </c>
    </row>
    <row r="30" spans="1:34" x14ac:dyDescent="0.3">
      <c r="A30" s="74" t="s">
        <v>434</v>
      </c>
      <c r="B30" s="74" t="s">
        <v>295</v>
      </c>
      <c r="C30" s="74" t="s">
        <v>719</v>
      </c>
      <c r="D30" s="74" t="s">
        <v>496</v>
      </c>
      <c r="E30" s="74">
        <v>4</v>
      </c>
      <c r="F30" s="74" t="s">
        <v>720</v>
      </c>
      <c r="G30" s="74" t="s">
        <v>721</v>
      </c>
      <c r="H30" s="74" t="s">
        <v>296</v>
      </c>
      <c r="I30" s="74"/>
      <c r="J30" s="74"/>
      <c r="K30" s="74"/>
      <c r="L30" s="74"/>
      <c r="M30" s="74" t="s">
        <v>282</v>
      </c>
      <c r="N30" s="38">
        <f>IF(OR(A30="Автомат",A30="Дифавтомат"),IF(W30="","",COUNTIFS(Однолинейка!$H$3:$H$3000,U30,Однолинейка!$A$3:$A$3000,Щит_спец)),IF(A30="Аппарат",IF(C30="","",COUNTIFS(Однолинейка!$I$3:$I$3000,C30,Однолинейка!$A$3:$A$3000,Щит_спец)+COUNTIFS(Однолинейка!$J$3:$J$3000,C30,Однолинейка!$A$3:$A$3000,Щит_спец)+COUNTIFS(Однолинейка!$K$3:$K$3000,C30,Однолинейка!$A$3:$A$3000,Щит_спец)),IF(A30="Модуль",IF(C30="","",COUNTIFS(Однолинейка!$AW$3:$AW$3000,"?*",Однолинейка!$AI$3:$AI$3000,C30,Однолинейка!$A$3:$A$3000,Щит_спец)),IF(A30="Клемма",IF(C30="","",IF(C30=$S$7,SUMIFS(Однолинейка!$BW$3:$BW$3000,Однолинейка!$A$3:$A$3000,Щит_спец),IF(C30=$S$8,SUMIFS(Однолинейка!$BX$3:$BX$3000,Однолинейка!$A$3:$A$3000,Щит_спец),""))),""))))</f>
        <v>0</v>
      </c>
      <c r="O30" s="74"/>
      <c r="P30" s="38">
        <f t="shared" si="0"/>
        <v>0</v>
      </c>
      <c r="R30" s="38" t="str">
        <f>IFERROR(INDEX($AG$4:$AG$43,MATCH(3,$AH$4:$AH$43,0)),"")</f>
        <v>3P С400А</v>
      </c>
      <c r="U30" s="38" t="str">
        <f t="shared" si="1"/>
        <v/>
      </c>
      <c r="V30" s="38" t="str">
        <f t="shared" si="2"/>
        <v/>
      </c>
      <c r="W30" s="38" t="str">
        <f>IF(AND(U30&lt;&gt;"",OR($S$4="(все)",B30=$S$4),IF($S$4="(все)",COUNTIF($U$4:U30,U30),COUNTIFS($U$4:U30,U30,$B$4:B30,B30))=1),MAX($W$3:W29)+1,"")</f>
        <v/>
      </c>
      <c r="X30" s="38" t="str">
        <f t="shared" si="3"/>
        <v/>
      </c>
      <c r="Y30" s="38" t="str">
        <f>IF(AND(A30="Аппарат",C30&lt;&gt;"",OR($S$5="(все)",B30=$S$5)),MAX($Y$3:Y29)+1,"")</f>
        <v/>
      </c>
      <c r="Z30" s="38" t="str">
        <f t="shared" si="4"/>
        <v/>
      </c>
      <c r="AA30" s="38">
        <f>IF(AND(A30="Модуль",C30&lt;&gt;"",OR($S$6="(все)",B30=$S$6)),MAX($AA$3:AA29)+1,"")</f>
        <v>9</v>
      </c>
      <c r="AB30" s="38" t="str">
        <f t="shared" si="5"/>
        <v/>
      </c>
      <c r="AC30" s="38" t="str">
        <f>IF(OR(B30="",COUNTIF($B$4:B30,B30)&gt;1),"",MAX($AC$3:AC29)+1)</f>
        <v/>
      </c>
      <c r="AD30" s="38" t="str">
        <f t="shared" si="6"/>
        <v/>
      </c>
      <c r="AE30" s="38" t="str">
        <f t="shared" si="7"/>
        <v/>
      </c>
      <c r="AF30" s="38" t="str">
        <f t="shared" si="8"/>
        <v/>
      </c>
      <c r="AG30" s="38" t="str">
        <f>IF(Спецификация_авто!$L$33="","",IF(COUNTIF($C$4:$C$500,Спецификация_авто!$L$33)=0,Спецификация_авто!$L$33,""))</f>
        <v/>
      </c>
      <c r="AH30" s="38" t="str">
        <f>IF(AG30="","",COUNTIF($AG$4:AG30,"?*"))</f>
        <v/>
      </c>
    </row>
    <row r="31" spans="1:34" x14ac:dyDescent="0.3">
      <c r="A31" s="74" t="s">
        <v>434</v>
      </c>
      <c r="B31" s="74" t="s">
        <v>722</v>
      </c>
      <c r="C31" s="74" t="s">
        <v>481</v>
      </c>
      <c r="D31" s="74" t="s">
        <v>30</v>
      </c>
      <c r="E31" s="74">
        <v>24</v>
      </c>
      <c r="F31" s="74" t="s">
        <v>489</v>
      </c>
      <c r="G31" s="74" t="s">
        <v>723</v>
      </c>
      <c r="H31" s="74"/>
      <c r="I31" s="74"/>
      <c r="J31" s="74"/>
      <c r="K31" s="74"/>
      <c r="L31" s="74"/>
      <c r="M31" s="74" t="s">
        <v>282</v>
      </c>
      <c r="N31" s="38">
        <f>IF(OR(A31="Автомат",A31="Дифавтомат"),IF(W31="","",COUNTIFS(Однолинейка!$H$3:$H$3000,U31,Однолинейка!$A$3:$A$3000,Щит_спец)),IF(A31="Аппарат",IF(C31="","",COUNTIFS(Однолинейка!$I$3:$I$3000,C31,Однолинейка!$A$3:$A$3000,Щит_спец)+COUNTIFS(Однолинейка!$J$3:$J$3000,C31,Однолинейка!$A$3:$A$3000,Щит_спец)+COUNTIFS(Однолинейка!$K$3:$K$3000,C31,Однолинейка!$A$3:$A$3000,Щит_спец)),IF(A31="Модуль",IF(C31="","",COUNTIFS(Однолинейка!$AW$3:$AW$3000,"?*",Однолинейка!$AI$3:$AI$3000,C31,Однолинейка!$A$3:$A$3000,Щит_спец)),IF(A31="Клемма",IF(C31="","",IF(C31=$S$7,SUMIFS(Однолинейка!$BW$3:$BW$3000,Однолинейка!$A$3:$A$3000,Щит_спец),IF(C31=$S$8,SUMIFS(Однолинейка!$BX$3:$BX$3000,Однолинейка!$A$3:$A$3000,Щит_спец),""))),""))))</f>
        <v>0</v>
      </c>
      <c r="O31" s="74"/>
      <c r="P31" s="38">
        <f t="shared" si="0"/>
        <v>0</v>
      </c>
      <c r="R31" s="38" t="str">
        <f>IFERROR(INDEX($AG$4:$AG$43,MATCH(4,$AH$4:$AH$43,0)),"")</f>
        <v>3P С16А</v>
      </c>
      <c r="U31" s="38" t="str">
        <f t="shared" si="1"/>
        <v/>
      </c>
      <c r="V31" s="38" t="str">
        <f t="shared" si="2"/>
        <v/>
      </c>
      <c r="W31" s="38" t="str">
        <f>IF(AND(U31&lt;&gt;"",OR($S$4="(все)",B31=$S$4),IF($S$4="(все)",COUNTIF($U$4:U31,U31),COUNTIFS($U$4:U31,U31,$B$4:B31,B31))=1),MAX($W$3:W30)+1,"")</f>
        <v/>
      </c>
      <c r="X31" s="38" t="str">
        <f t="shared" si="3"/>
        <v/>
      </c>
      <c r="Y31" s="38" t="str">
        <f>IF(AND(A31="Аппарат",C31&lt;&gt;"",OR($S$5="(все)",B31=$S$5)),MAX($Y$3:Y30)+1,"")</f>
        <v/>
      </c>
      <c r="Z31" s="38" t="str">
        <f t="shared" si="4"/>
        <v/>
      </c>
      <c r="AA31" s="38">
        <f>IF(AND(A31="Модуль",C31&lt;&gt;"",OR($S$6="(все)",B31=$S$6)),MAX($AA$3:AA30)+1,"")</f>
        <v>10</v>
      </c>
      <c r="AB31" s="38" t="str">
        <f t="shared" si="5"/>
        <v/>
      </c>
      <c r="AC31" s="38">
        <f>IF(OR(B31="",COUNTIF($B$4:B31,B31)&gt;1),"",MAX($AC$3:AC30)+1)</f>
        <v>5</v>
      </c>
      <c r="AD31" s="38" t="str">
        <f t="shared" si="6"/>
        <v/>
      </c>
      <c r="AE31" s="38" t="str">
        <f t="shared" si="7"/>
        <v/>
      </c>
      <c r="AF31" s="38" t="str">
        <f t="shared" si="8"/>
        <v/>
      </c>
      <c r="AG31" s="38" t="str">
        <f>IF(Спецификация_авто!$L$34="","",IF(COUNTIF($C$4:$C$500,Спецификация_авто!$L$34)=0,Спецификация_авто!$L$34,""))</f>
        <v/>
      </c>
      <c r="AH31" s="38" t="str">
        <f>IF(AG31="","",COUNTIF($AG$4:AG31,"?*"))</f>
        <v/>
      </c>
    </row>
    <row r="32" spans="1:34" x14ac:dyDescent="0.3">
      <c r="A32" s="74" t="s">
        <v>434</v>
      </c>
      <c r="B32" s="74" t="s">
        <v>722</v>
      </c>
      <c r="C32" s="74" t="s">
        <v>480</v>
      </c>
      <c r="D32" s="74" t="s">
        <v>499</v>
      </c>
      <c r="E32" s="74">
        <v>8</v>
      </c>
      <c r="F32" s="74" t="s">
        <v>724</v>
      </c>
      <c r="G32" s="74" t="s">
        <v>723</v>
      </c>
      <c r="H32" s="74"/>
      <c r="I32" s="74"/>
      <c r="J32" s="74"/>
      <c r="K32" s="74"/>
      <c r="L32" s="74"/>
      <c r="M32" s="74" t="s">
        <v>282</v>
      </c>
      <c r="N32" s="38">
        <f>IF(OR(A32="Автомат",A32="Дифавтомат"),IF(W32="","",COUNTIFS(Однолинейка!$H$3:$H$3000,U32,Однолинейка!$A$3:$A$3000,Щит_спец)),IF(A32="Аппарат",IF(C32="","",COUNTIFS(Однолинейка!$I$3:$I$3000,C32,Однолинейка!$A$3:$A$3000,Щит_спец)+COUNTIFS(Однолинейка!$J$3:$J$3000,C32,Однолинейка!$A$3:$A$3000,Щит_спец)+COUNTIFS(Однолинейка!$K$3:$K$3000,C32,Однолинейка!$A$3:$A$3000,Щит_спец)),IF(A32="Модуль",IF(C32="","",COUNTIFS(Однолинейка!$AW$3:$AW$3000,"?*",Однолинейка!$AI$3:$AI$3000,C32,Однолинейка!$A$3:$A$3000,Щит_спец)),IF(A32="Клемма",IF(C32="","",IF(C32=$S$7,SUMIFS(Однолинейка!$BW$3:$BW$3000,Однолинейка!$A$3:$A$3000,Щит_спец),IF(C32=$S$8,SUMIFS(Однолинейка!$BX$3:$BX$3000,Однолинейка!$A$3:$A$3000,Щит_спец),""))),""))))</f>
        <v>0</v>
      </c>
      <c r="O32" s="74"/>
      <c r="P32" s="38">
        <f t="shared" si="0"/>
        <v>0</v>
      </c>
      <c r="R32" s="38" t="str">
        <f>IFERROR(INDEX($AG$4:$AG$43,MATCH(5,$AH$4:$AH$43,0)),"")</f>
        <v>3P С6А</v>
      </c>
      <c r="U32" s="38" t="str">
        <f t="shared" si="1"/>
        <v/>
      </c>
      <c r="V32" s="38" t="str">
        <f t="shared" si="2"/>
        <v/>
      </c>
      <c r="W32" s="38" t="str">
        <f>IF(AND(U32&lt;&gt;"",OR($S$4="(все)",B32=$S$4),IF($S$4="(все)",COUNTIF($U$4:U32,U32),COUNTIFS($U$4:U32,U32,$B$4:B32,B32))=1),MAX($W$3:W31)+1,"")</f>
        <v/>
      </c>
      <c r="X32" s="38" t="str">
        <f t="shared" si="3"/>
        <v/>
      </c>
      <c r="Y32" s="38" t="str">
        <f>IF(AND(A32="Аппарат",C32&lt;&gt;"",OR($S$5="(все)",B32=$S$5)),MAX($Y$3:Y31)+1,"")</f>
        <v/>
      </c>
      <c r="Z32" s="38" t="str">
        <f t="shared" si="4"/>
        <v/>
      </c>
      <c r="AA32" s="38">
        <f>IF(AND(A32="Модуль",C32&lt;&gt;"",OR($S$6="(все)",B32=$S$6)),MAX($AA$3:AA31)+1,"")</f>
        <v>11</v>
      </c>
      <c r="AB32" s="38" t="str">
        <f t="shared" si="5"/>
        <v/>
      </c>
      <c r="AC32" s="38" t="str">
        <f>IF(OR(B32="",COUNTIF($B$4:B32,B32)&gt;1),"",MAX($AC$3:AC31)+1)</f>
        <v/>
      </c>
      <c r="AD32" s="38" t="str">
        <f t="shared" si="6"/>
        <v/>
      </c>
      <c r="AE32" s="38" t="str">
        <f t="shared" si="7"/>
        <v/>
      </c>
      <c r="AF32" s="38" t="str">
        <f t="shared" si="8"/>
        <v/>
      </c>
      <c r="AG32" s="38" t="str">
        <f>IF(Спецификация_авто!$L$35="","",IF(COUNTIF($C$4:$C$500,Спецификация_авто!$L$35)=0,Спецификация_авто!$L$35,""))</f>
        <v/>
      </c>
      <c r="AH32" s="38" t="str">
        <f>IF(AG32="","",COUNTIF($AG$4:AG32,"?*"))</f>
        <v/>
      </c>
    </row>
    <row r="33" spans="1:34" x14ac:dyDescent="0.3">
      <c r="A33" s="74" t="s">
        <v>437</v>
      </c>
      <c r="B33" s="74" t="s">
        <v>279</v>
      </c>
      <c r="C33" s="74" t="s">
        <v>317</v>
      </c>
      <c r="D33" s="74"/>
      <c r="E33" s="74"/>
      <c r="F33" s="74"/>
      <c r="G33" s="74" t="s">
        <v>725</v>
      </c>
      <c r="H33" s="74" t="s">
        <v>317</v>
      </c>
      <c r="I33" s="74"/>
      <c r="J33" s="74"/>
      <c r="K33" s="74"/>
      <c r="L33" s="74"/>
      <c r="M33" s="74" t="s">
        <v>282</v>
      </c>
      <c r="N33" s="38">
        <f>IF(OR(A33="Автомат",A33="Дифавтомат"),IF(W33="","",COUNTIFS(Однолинейка!$H$3:$H$3000,U33,Однолинейка!$A$3:$A$3000,Щит_спец)),IF(A33="Аппарат",IF(C33="","",COUNTIFS(Однолинейка!$I$3:$I$3000,C33,Однолинейка!$A$3:$A$3000,Щит_спец)+COUNTIFS(Однолинейка!$J$3:$J$3000,C33,Однолинейка!$A$3:$A$3000,Щит_спец)+COUNTIFS(Однолинейка!$K$3:$K$3000,C33,Однолинейка!$A$3:$A$3000,Щит_спец)),IF(A33="Модуль",IF(C33="","",COUNTIFS(Однолинейка!$AW$3:$AW$3000,"?*",Однолинейка!$AI$3:$AI$3000,C33,Однолинейка!$A$3:$A$3000,Щит_спец)),IF(A33="Клемма",IF(C33="","",IF(C33=$S$7,SUMIFS(Однолинейка!$BW$3:$BW$3000,Однолинейка!$A$3:$A$3000,Щит_спец),IF(C33=$S$8,SUMIFS(Однолинейка!$BX$3:$BX$3000,Однолинейка!$A$3:$A$3000,Щит_спец),""))),""))))</f>
        <v>305</v>
      </c>
      <c r="O33" s="74"/>
      <c r="P33" s="38">
        <f t="shared" si="0"/>
        <v>305</v>
      </c>
      <c r="R33" s="38" t="str">
        <f>IFERROR(INDEX($AG$4:$AG$43,MATCH(6,$AH$4:$AH$43,0)),"")</f>
        <v>3P С40А</v>
      </c>
      <c r="U33" s="38" t="str">
        <f t="shared" si="1"/>
        <v/>
      </c>
      <c r="V33" s="38" t="str">
        <f t="shared" si="2"/>
        <v/>
      </c>
      <c r="W33" s="38" t="str">
        <f>IF(AND(U33&lt;&gt;"",OR($S$4="(все)",B33=$S$4),IF($S$4="(все)",COUNTIF($U$4:U33,U33),COUNTIFS($U$4:U33,U33,$B$4:B33,B33))=1),MAX($W$3:W32)+1,"")</f>
        <v/>
      </c>
      <c r="X33" s="38" t="str">
        <f t="shared" si="3"/>
        <v/>
      </c>
      <c r="Y33" s="38" t="str">
        <f>IF(AND(A33="Аппарат",C33&lt;&gt;"",OR($S$5="(все)",B33=$S$5)),MAX($Y$3:Y32)+1,"")</f>
        <v/>
      </c>
      <c r="Z33" s="38" t="str">
        <f t="shared" si="4"/>
        <v/>
      </c>
      <c r="AA33" s="38" t="str">
        <f>IF(AND(A33="Модуль",C33&lt;&gt;"",OR($S$6="(все)",B33=$S$6)),MAX($AA$3:AA32)+1,"")</f>
        <v/>
      </c>
      <c r="AB33" s="38" t="str">
        <f t="shared" si="5"/>
        <v/>
      </c>
      <c r="AC33" s="38">
        <f>IF(OR(B33="",COUNTIF($B$4:B33,B33)&gt;1),"",MAX($AC$3:AC32)+1)</f>
        <v>6</v>
      </c>
      <c r="AD33" s="38" t="str">
        <f t="shared" si="6"/>
        <v/>
      </c>
      <c r="AE33" s="38">
        <f t="shared" si="7"/>
        <v>7033</v>
      </c>
      <c r="AF33" s="38">
        <f t="shared" si="8"/>
        <v>6</v>
      </c>
      <c r="AG33" s="38" t="str">
        <f>IF(Спецификация_авто!$L$36="","",IF(COUNTIF($C$4:$C$500,Спецификация_авто!$L$36)=0,Спецификация_авто!$L$36,""))</f>
        <v/>
      </c>
      <c r="AH33" s="38" t="str">
        <f>IF(AG33="","",COUNTIF($AG$4:AG33,"?*"))</f>
        <v/>
      </c>
    </row>
    <row r="34" spans="1:34" x14ac:dyDescent="0.3">
      <c r="A34" s="74" t="s">
        <v>437</v>
      </c>
      <c r="B34" s="74" t="s">
        <v>279</v>
      </c>
      <c r="C34" s="74" t="s">
        <v>398</v>
      </c>
      <c r="D34" s="74"/>
      <c r="E34" s="74"/>
      <c r="F34" s="74"/>
      <c r="G34" s="74" t="s">
        <v>726</v>
      </c>
      <c r="H34" s="74" t="s">
        <v>398</v>
      </c>
      <c r="I34" s="74"/>
      <c r="J34" s="74"/>
      <c r="K34" s="74"/>
      <c r="L34" s="74"/>
      <c r="M34" s="74" t="s">
        <v>282</v>
      </c>
      <c r="N34" s="38">
        <f>IF(OR(A34="Автомат",A34="Дифавтомат"),IF(W34="","",COUNTIFS(Однолинейка!$H$3:$H$3000,U34,Однолинейка!$A$3:$A$3000,Щит_спец)),IF(A34="Аппарат",IF(C34="","",COUNTIFS(Однолинейка!$I$3:$I$3000,C34,Однолинейка!$A$3:$A$3000,Щит_спец)+COUNTIFS(Однолинейка!$J$3:$J$3000,C34,Однолинейка!$A$3:$A$3000,Щит_спец)+COUNTIFS(Однолинейка!$K$3:$K$3000,C34,Однолинейка!$A$3:$A$3000,Щит_спец)),IF(A34="Модуль",IF(C34="","",COUNTIFS(Однолинейка!$AW$3:$AW$3000,"?*",Однолинейка!$AI$3:$AI$3000,C34,Однолинейка!$A$3:$A$3000,Щит_спец)),IF(A34="Клемма",IF(C34="","",IF(C34=$S$7,SUMIFS(Однолинейка!$BW$3:$BW$3000,Однолинейка!$A$3:$A$3000,Щит_спец),IF(C34=$S$8,SUMIFS(Однолинейка!$BX$3:$BX$3000,Однолинейка!$A$3:$A$3000,Щит_спец),""))),""))))</f>
        <v>50</v>
      </c>
      <c r="O34" s="74"/>
      <c r="P34" s="38">
        <f t="shared" si="0"/>
        <v>50</v>
      </c>
      <c r="R34" s="38" t="str">
        <f>IFERROR(INDEX($AG$4:$AG$43,MATCH(7,$AH$4:$AH$43,0)),"")</f>
        <v>3P С63А</v>
      </c>
      <c r="U34" s="38" t="str">
        <f t="shared" si="1"/>
        <v/>
      </c>
      <c r="V34" s="38" t="str">
        <f t="shared" si="2"/>
        <v/>
      </c>
      <c r="W34" s="38" t="str">
        <f>IF(AND(U34&lt;&gt;"",OR($S$4="(все)",B34=$S$4),IF($S$4="(все)",COUNTIF($U$4:U34,U34),COUNTIFS($U$4:U34,U34,$B$4:B34,B34))=1),MAX($W$3:W33)+1,"")</f>
        <v/>
      </c>
      <c r="X34" s="38" t="str">
        <f t="shared" si="3"/>
        <v/>
      </c>
      <c r="Y34" s="38" t="str">
        <f>IF(AND(A34="Аппарат",C34&lt;&gt;"",OR($S$5="(все)",B34=$S$5)),MAX($Y$3:Y33)+1,"")</f>
        <v/>
      </c>
      <c r="Z34" s="38" t="str">
        <f t="shared" si="4"/>
        <v/>
      </c>
      <c r="AA34" s="38" t="str">
        <f>IF(AND(A34="Модуль",C34&lt;&gt;"",OR($S$6="(все)",B34=$S$6)),MAX($AA$3:AA33)+1,"")</f>
        <v/>
      </c>
      <c r="AB34" s="38" t="str">
        <f t="shared" si="5"/>
        <v/>
      </c>
      <c r="AC34" s="38" t="str">
        <f>IF(OR(B34="",COUNTIF($B$4:B34,B34)&gt;1),"",MAX($AC$3:AC33)+1)</f>
        <v/>
      </c>
      <c r="AD34" s="38" t="str">
        <f t="shared" si="6"/>
        <v/>
      </c>
      <c r="AE34" s="38">
        <f t="shared" si="7"/>
        <v>7034</v>
      </c>
      <c r="AF34" s="38">
        <f t="shared" si="8"/>
        <v>7</v>
      </c>
      <c r="AG34" s="38" t="str">
        <f>IF(Спецификация_авто!$L$39="","",IF(COUNTIF($C$4:$C$500,Спецификация_авто!$L$39)=0,Спецификация_авто!$L$39,""))</f>
        <v/>
      </c>
      <c r="AH34" s="38" t="str">
        <f>IF(AG34="","",COUNTIF($AG$4:AG34,"?*"))</f>
        <v/>
      </c>
    </row>
    <row r="35" spans="1:34" x14ac:dyDescent="0.3">
      <c r="A35" s="74" t="s">
        <v>437</v>
      </c>
      <c r="B35" s="74" t="s">
        <v>279</v>
      </c>
      <c r="C35" s="74" t="s">
        <v>319</v>
      </c>
      <c r="D35" s="74"/>
      <c r="E35" s="74"/>
      <c r="F35" s="74"/>
      <c r="G35" s="74" t="s">
        <v>318</v>
      </c>
      <c r="H35" s="74" t="s">
        <v>319</v>
      </c>
      <c r="I35" s="74"/>
      <c r="J35" s="74"/>
      <c r="K35" s="74"/>
      <c r="L35" s="74"/>
      <c r="M35" s="74" t="s">
        <v>282</v>
      </c>
      <c r="N35" s="38" t="str">
        <f>IF(OR(A35="Автомат",A35="Дифавтомат"),IF(W35="","",COUNTIFS(Однолинейка!$H$3:$H$3000,U35,Однолинейка!$A$3:$A$3000,Щит_спец)),IF(A35="Аппарат",IF(C35="","",COUNTIFS(Однолинейка!$I$3:$I$3000,C35,Однолинейка!$A$3:$A$3000,Щит_спец)+COUNTIFS(Однолинейка!$J$3:$J$3000,C35,Однолинейка!$A$3:$A$3000,Щит_спец)+COUNTIFS(Однолинейка!$K$3:$K$3000,C35,Однолинейка!$A$3:$A$3000,Щит_спец)),IF(A35="Модуль",IF(C35="","",COUNTIFS(Однолинейка!$AW$3:$AW$3000,"?*",Однолинейка!$AI$3:$AI$3000,C35,Однолинейка!$A$3:$A$3000,Щит_спец)),IF(A35="Клемма",IF(C35="","",IF(C35=$S$7,SUMIFS(Однолинейка!$BW$3:$BW$3000,Однолинейка!$A$3:$A$3000,Щит_спец),IF(C35=$S$8,SUMIFS(Однолинейка!$BX$3:$BX$3000,Однолинейка!$A$3:$A$3000,Щит_спец),""))),""))))</f>
        <v/>
      </c>
      <c r="O35" s="74"/>
      <c r="P35" s="38" t="str">
        <f t="shared" si="0"/>
        <v/>
      </c>
      <c r="R35" s="38" t="str">
        <f>IFERROR(INDEX($AG$4:$AG$43,MATCH(8,$AH$4:$AH$43,0)),"")</f>
        <v>1P С20А</v>
      </c>
      <c r="U35" s="38" t="str">
        <f t="shared" si="1"/>
        <v/>
      </c>
      <c r="V35" s="38" t="str">
        <f t="shared" si="2"/>
        <v/>
      </c>
      <c r="W35" s="38" t="str">
        <f>IF(AND(U35&lt;&gt;"",OR($S$4="(все)",B35=$S$4),IF($S$4="(все)",COUNTIF($U$4:U35,U35),COUNTIFS($U$4:U35,U35,$B$4:B35,B35))=1),MAX($W$3:W34)+1,"")</f>
        <v/>
      </c>
      <c r="X35" s="38" t="str">
        <f t="shared" si="3"/>
        <v/>
      </c>
      <c r="Y35" s="38" t="str">
        <f>IF(AND(A35="Аппарат",C35&lt;&gt;"",OR($S$5="(все)",B35=$S$5)),MAX($Y$3:Y34)+1,"")</f>
        <v/>
      </c>
      <c r="Z35" s="38" t="str">
        <f t="shared" si="4"/>
        <v/>
      </c>
      <c r="AA35" s="38" t="str">
        <f>IF(AND(A35="Модуль",C35&lt;&gt;"",OR($S$6="(все)",B35=$S$6)),MAX($AA$3:AA34)+1,"")</f>
        <v/>
      </c>
      <c r="AB35" s="38" t="str">
        <f t="shared" si="5"/>
        <v/>
      </c>
      <c r="AC35" s="38" t="str">
        <f>IF(OR(B35="",COUNTIF($B$4:B35,B35)&gt;1),"",MAX($AC$3:AC34)+1)</f>
        <v/>
      </c>
      <c r="AD35" s="38" t="str">
        <f t="shared" si="6"/>
        <v/>
      </c>
      <c r="AE35" s="38" t="str">
        <f t="shared" si="7"/>
        <v/>
      </c>
      <c r="AF35" s="38" t="str">
        <f t="shared" si="8"/>
        <v/>
      </c>
      <c r="AG35" s="38" t="str">
        <f>IF(Спецификация_авто!$L$40="","",IF(COUNTIF($C$4:$C$500,Спецификация_авто!$L$40)=0,Спецификация_авто!$L$40,""))</f>
        <v/>
      </c>
      <c r="AH35" s="38" t="str">
        <f>IF(AG35="","",COUNTIF($AG$4:AG35,"?*"))</f>
        <v/>
      </c>
    </row>
    <row r="36" spans="1:34" x14ac:dyDescent="0.3">
      <c r="A36" s="74" t="s">
        <v>437</v>
      </c>
      <c r="B36" s="74" t="s">
        <v>279</v>
      </c>
      <c r="C36" s="74" t="s">
        <v>310</v>
      </c>
      <c r="D36" s="74"/>
      <c r="E36" s="74"/>
      <c r="F36" s="74"/>
      <c r="G36" s="74" t="s">
        <v>727</v>
      </c>
      <c r="H36" s="74" t="s">
        <v>310</v>
      </c>
      <c r="I36" s="74"/>
      <c r="J36" s="74"/>
      <c r="K36" s="74"/>
      <c r="L36" s="74"/>
      <c r="M36" s="74" t="s">
        <v>282</v>
      </c>
      <c r="N36" s="38" t="str">
        <f>IF(OR(A36="Автомат",A36="Дифавтомат"),IF(W36="","",COUNTIFS(Однолинейка!$H$3:$H$3000,U36,Однолинейка!$A$3:$A$3000,Щит_спец)),IF(A36="Аппарат",IF(C36="","",COUNTIFS(Однолинейка!$I$3:$I$3000,C36,Однолинейка!$A$3:$A$3000,Щит_спец)+COUNTIFS(Однолинейка!$J$3:$J$3000,C36,Однолинейка!$A$3:$A$3000,Щит_спец)+COUNTIFS(Однолинейка!$K$3:$K$3000,C36,Однолинейка!$A$3:$A$3000,Щит_спец)),IF(A36="Модуль",IF(C36="","",COUNTIFS(Однолинейка!$AW$3:$AW$3000,"?*",Однолинейка!$AI$3:$AI$3000,C36,Однолинейка!$A$3:$A$3000,Щит_спец)),IF(A36="Клемма",IF(C36="","",IF(C36=$S$7,SUMIFS(Однолинейка!$BW$3:$BW$3000,Однолинейка!$A$3:$A$3000,Щит_спец),IF(C36=$S$8,SUMIFS(Однолинейка!$BX$3:$BX$3000,Однолинейка!$A$3:$A$3000,Щит_спец),""))),""))))</f>
        <v/>
      </c>
      <c r="O36" s="74"/>
      <c r="P36" s="38" t="str">
        <f t="shared" si="0"/>
        <v/>
      </c>
      <c r="R36" s="38" t="str">
        <f>IFERROR(INDEX($AG$4:$AG$43,MATCH(9,$AH$4:$AH$43,0)),"")</f>
        <v>3P С32А</v>
      </c>
      <c r="U36" s="38" t="str">
        <f t="shared" si="1"/>
        <v/>
      </c>
      <c r="V36" s="38" t="str">
        <f t="shared" si="2"/>
        <v/>
      </c>
      <c r="W36" s="38" t="str">
        <f>IF(AND(U36&lt;&gt;"",OR($S$4="(все)",B36=$S$4),IF($S$4="(все)",COUNTIF($U$4:U36,U36),COUNTIFS($U$4:U36,U36,$B$4:B36,B36))=1),MAX($W$3:W35)+1,"")</f>
        <v/>
      </c>
      <c r="X36" s="38" t="str">
        <f t="shared" si="3"/>
        <v/>
      </c>
      <c r="Y36" s="38" t="str">
        <f>IF(AND(A36="Аппарат",C36&lt;&gt;"",OR($S$5="(все)",B36=$S$5)),MAX($Y$3:Y35)+1,"")</f>
        <v/>
      </c>
      <c r="Z36" s="38" t="str">
        <f t="shared" si="4"/>
        <v/>
      </c>
      <c r="AA36" s="38" t="str">
        <f>IF(AND(A36="Модуль",C36&lt;&gt;"",OR($S$6="(все)",B36=$S$6)),MAX($AA$3:AA35)+1,"")</f>
        <v/>
      </c>
      <c r="AB36" s="38" t="str">
        <f t="shared" si="5"/>
        <v/>
      </c>
      <c r="AC36" s="38" t="str">
        <f>IF(OR(B36="",COUNTIF($B$4:B36,B36)&gt;1),"",MAX($AC$3:AC35)+1)</f>
        <v/>
      </c>
      <c r="AD36" s="38" t="str">
        <f t="shared" si="6"/>
        <v/>
      </c>
      <c r="AE36" s="38" t="str">
        <f t="shared" si="7"/>
        <v/>
      </c>
      <c r="AF36" s="38" t="str">
        <f t="shared" si="8"/>
        <v/>
      </c>
      <c r="AG36" s="38" t="str">
        <f>IF(Спецификация_авто!$L$41="","",IF(COUNTIF($C$4:$C$500,Спецификация_авто!$L$41)=0,Спецификация_авто!$L$41,""))</f>
        <v/>
      </c>
      <c r="AH36" s="38" t="str">
        <f>IF(AG36="","",COUNTIF($AG$4:AG36,"?*"))</f>
        <v/>
      </c>
    </row>
    <row r="37" spans="1:34" x14ac:dyDescent="0.3">
      <c r="A37" s="74" t="s">
        <v>437</v>
      </c>
      <c r="B37" s="74" t="s">
        <v>279</v>
      </c>
      <c r="C37" s="74" t="s">
        <v>384</v>
      </c>
      <c r="D37" s="74"/>
      <c r="E37" s="74"/>
      <c r="F37" s="74"/>
      <c r="G37" s="74" t="s">
        <v>728</v>
      </c>
      <c r="H37" s="74" t="s">
        <v>384</v>
      </c>
      <c r="I37" s="74"/>
      <c r="J37" s="74"/>
      <c r="K37" s="74"/>
      <c r="L37" s="74"/>
      <c r="M37" s="74" t="s">
        <v>282</v>
      </c>
      <c r="N37" s="38" t="str">
        <f>IF(OR(A37="Автомат",A37="Дифавтомат"),IF(W37="","",COUNTIFS(Однолинейка!$H$3:$H$3000,U37,Однолинейка!$A$3:$A$3000,Щит_спец)),IF(A37="Аппарат",IF(C37="","",COUNTIFS(Однолинейка!$I$3:$I$3000,C37,Однолинейка!$A$3:$A$3000,Щит_спец)+COUNTIFS(Однолинейка!$J$3:$J$3000,C37,Однолинейка!$A$3:$A$3000,Щит_спец)+COUNTIFS(Однолинейка!$K$3:$K$3000,C37,Однолинейка!$A$3:$A$3000,Щит_спец)),IF(A37="Модуль",IF(C37="","",COUNTIFS(Однолинейка!$AW$3:$AW$3000,"?*",Однолинейка!$AI$3:$AI$3000,C37,Однолинейка!$A$3:$A$3000,Щит_спец)),IF(A37="Клемма",IF(C37="","",IF(C37=$S$7,SUMIFS(Однолинейка!$BW$3:$BW$3000,Однолинейка!$A$3:$A$3000,Щит_спец),IF(C37=$S$8,SUMIFS(Однолинейка!$BX$3:$BX$3000,Однолинейка!$A$3:$A$3000,Щит_спец),""))),""))))</f>
        <v/>
      </c>
      <c r="O37" s="74"/>
      <c r="P37" s="38" t="str">
        <f t="shared" si="0"/>
        <v/>
      </c>
      <c r="R37" s="38" t="str">
        <f>IFERROR(INDEX($AG$4:$AG$43,MATCH(10,$AH$4:$AH$43,0)),"")</f>
        <v>3P С200А</v>
      </c>
      <c r="U37" s="38" t="str">
        <f t="shared" si="1"/>
        <v/>
      </c>
      <c r="V37" s="38" t="str">
        <f t="shared" si="2"/>
        <v/>
      </c>
      <c r="W37" s="38" t="str">
        <f>IF(AND(U37&lt;&gt;"",OR($S$4="(все)",B37=$S$4),IF($S$4="(все)",COUNTIF($U$4:U37,U37),COUNTIFS($U$4:U37,U37,$B$4:B37,B37))=1),MAX($W$3:W36)+1,"")</f>
        <v/>
      </c>
      <c r="X37" s="38" t="str">
        <f t="shared" si="3"/>
        <v/>
      </c>
      <c r="Y37" s="38" t="str">
        <f>IF(AND(A37="Аппарат",C37&lt;&gt;"",OR($S$5="(все)",B37=$S$5)),MAX($Y$3:Y36)+1,"")</f>
        <v/>
      </c>
      <c r="Z37" s="38" t="str">
        <f t="shared" si="4"/>
        <v/>
      </c>
      <c r="AA37" s="38" t="str">
        <f>IF(AND(A37="Модуль",C37&lt;&gt;"",OR($S$6="(все)",B37=$S$6)),MAX($AA$3:AA36)+1,"")</f>
        <v/>
      </c>
      <c r="AB37" s="38" t="str">
        <f t="shared" si="5"/>
        <v/>
      </c>
      <c r="AC37" s="38" t="str">
        <f>IF(OR(B37="",COUNTIF($B$4:B37,B37)&gt;1),"",MAX($AC$3:AC36)+1)</f>
        <v/>
      </c>
      <c r="AD37" s="38" t="str">
        <f t="shared" si="6"/>
        <v/>
      </c>
      <c r="AE37" s="38" t="str">
        <f t="shared" si="7"/>
        <v/>
      </c>
      <c r="AF37" s="38" t="str">
        <f t="shared" si="8"/>
        <v/>
      </c>
      <c r="AG37" s="38" t="str">
        <f>IF(Спецификация_авто!$L$42="","",IF(COUNTIF($C$4:$C$500,Спецификация_авто!$L$42)=0,Спецификация_авто!$L$42,""))</f>
        <v/>
      </c>
      <c r="AH37" s="38" t="str">
        <f>IF(AG37="","",COUNTIF($AG$4:AG37,"?*"))</f>
        <v/>
      </c>
    </row>
    <row r="38" spans="1:34" x14ac:dyDescent="0.3">
      <c r="A38" s="74" t="s">
        <v>437</v>
      </c>
      <c r="B38" s="74" t="s">
        <v>279</v>
      </c>
      <c r="C38" s="74" t="s">
        <v>391</v>
      </c>
      <c r="D38" s="74"/>
      <c r="E38" s="74"/>
      <c r="F38" s="74"/>
      <c r="G38" s="74" t="s">
        <v>729</v>
      </c>
      <c r="H38" s="74" t="s">
        <v>391</v>
      </c>
      <c r="I38" s="74"/>
      <c r="J38" s="74"/>
      <c r="K38" s="74"/>
      <c r="L38" s="74"/>
      <c r="M38" s="74" t="s">
        <v>282</v>
      </c>
      <c r="N38" s="38" t="str">
        <f>IF(OR(A38="Автомат",A38="Дифавтомат"),IF(W38="","",COUNTIFS(Однолинейка!$H$3:$H$3000,U38,Однолинейка!$A$3:$A$3000,Щит_спец)),IF(A38="Аппарат",IF(C38="","",COUNTIFS(Однолинейка!$I$3:$I$3000,C38,Однолинейка!$A$3:$A$3000,Щит_спец)+COUNTIFS(Однолинейка!$J$3:$J$3000,C38,Однолинейка!$A$3:$A$3000,Щит_спец)+COUNTIFS(Однолинейка!$K$3:$K$3000,C38,Однолинейка!$A$3:$A$3000,Щит_спец)),IF(A38="Модуль",IF(C38="","",COUNTIFS(Однолинейка!$AW$3:$AW$3000,"?*",Однолинейка!$AI$3:$AI$3000,C38,Однолинейка!$A$3:$A$3000,Щит_спец)),IF(A38="Клемма",IF(C38="","",IF(C38=$S$7,SUMIFS(Однолинейка!$BW$3:$BW$3000,Однолинейка!$A$3:$A$3000,Щит_спец),IF(C38=$S$8,SUMIFS(Однолинейка!$BX$3:$BX$3000,Однолинейка!$A$3:$A$3000,Щит_спец),""))),""))))</f>
        <v/>
      </c>
      <c r="O38" s="74"/>
      <c r="P38" s="38" t="str">
        <f t="shared" si="0"/>
        <v/>
      </c>
      <c r="U38" s="38" t="str">
        <f t="shared" si="1"/>
        <v/>
      </c>
      <c r="V38" s="38" t="str">
        <f t="shared" si="2"/>
        <v/>
      </c>
      <c r="W38" s="38" t="str">
        <f>IF(AND(U38&lt;&gt;"",OR($S$4="(все)",B38=$S$4),IF($S$4="(все)",COUNTIF($U$4:U38,U38),COUNTIFS($U$4:U38,U38,$B$4:B38,B38))=1),MAX($W$3:W37)+1,"")</f>
        <v/>
      </c>
      <c r="X38" s="38" t="str">
        <f t="shared" si="3"/>
        <v/>
      </c>
      <c r="Y38" s="38" t="str">
        <f>IF(AND(A38="Аппарат",C38&lt;&gt;"",OR($S$5="(все)",B38=$S$5)),MAX($Y$3:Y37)+1,"")</f>
        <v/>
      </c>
      <c r="Z38" s="38" t="str">
        <f t="shared" si="4"/>
        <v/>
      </c>
      <c r="AA38" s="38" t="str">
        <f>IF(AND(A38="Модуль",C38&lt;&gt;"",OR($S$6="(все)",B38=$S$6)),MAX($AA$3:AA37)+1,"")</f>
        <v/>
      </c>
      <c r="AB38" s="38" t="str">
        <f t="shared" si="5"/>
        <v/>
      </c>
      <c r="AC38" s="38" t="str">
        <f>IF(OR(B38="",COUNTIF($B$4:B38,B38)&gt;1),"",MAX($AC$3:AC37)+1)</f>
        <v/>
      </c>
      <c r="AD38" s="38" t="str">
        <f t="shared" si="6"/>
        <v/>
      </c>
      <c r="AE38" s="38" t="str">
        <f t="shared" si="7"/>
        <v/>
      </c>
      <c r="AF38" s="38" t="str">
        <f t="shared" si="8"/>
        <v/>
      </c>
      <c r="AG38" s="38" t="str">
        <f>IF(Спецификация_авто!$L$43="","",IF(COUNTIF($C$4:$C$500,Спецификация_авто!$L$43)=0,Спецификация_авто!$L$43,""))</f>
        <v/>
      </c>
      <c r="AH38" s="38" t="str">
        <f>IF(AG38="","",COUNTIF($AG$4:AG38,"?*"))</f>
        <v/>
      </c>
    </row>
    <row r="39" spans="1:34" x14ac:dyDescent="0.3">
      <c r="A39" s="74" t="s">
        <v>698</v>
      </c>
      <c r="B39" s="74" t="s">
        <v>279</v>
      </c>
      <c r="C39" s="74" t="s">
        <v>269</v>
      </c>
      <c r="D39" s="74"/>
      <c r="E39" s="74"/>
      <c r="F39" s="74"/>
      <c r="G39" s="74" t="s">
        <v>254</v>
      </c>
      <c r="H39" s="74" t="s">
        <v>269</v>
      </c>
      <c r="I39" s="74"/>
      <c r="J39" s="74"/>
      <c r="K39" s="74"/>
      <c r="L39" s="74"/>
      <c r="M39" s="74" t="s">
        <v>260</v>
      </c>
      <c r="N39" s="38" t="str">
        <f>IF(OR(A39="Автомат",A39="Дифавтомат"),IF(W39="","",COUNTIFS(Однолинейка!$H$3:$H$3000,U39,Однолинейка!$A$3:$A$3000,Щит_спец)),IF(A39="Аппарат",IF(C39="","",COUNTIFS(Однолинейка!$I$3:$I$3000,C39,Однолинейка!$A$3:$A$3000,Щит_спец)+COUNTIFS(Однолинейка!$J$3:$J$3000,C39,Однолинейка!$A$3:$A$3000,Щит_спец)+COUNTIFS(Однолинейка!$K$3:$K$3000,C39,Однолинейка!$A$3:$A$3000,Щит_спец)),IF(A39="Модуль",IF(C39="","",COUNTIFS(Однолинейка!$AW$3:$AW$3000,"?*",Однолинейка!$AI$3:$AI$3000,C39,Однолинейка!$A$3:$A$3000,Щит_спец)),IF(A39="Клемма",IF(C39="","",IF(C39=$S$7,SUMIFS(Однолинейка!$BW$3:$BW$3000,Однолинейка!$A$3:$A$3000,Щит_спец),IF(C39=$S$8,SUMIFS(Однолинейка!$BX$3:$BX$3000,Однолинейка!$A$3:$A$3000,Щит_спец),""))),""))))</f>
        <v/>
      </c>
      <c r="O39" s="74"/>
      <c r="P39" s="38" t="str">
        <f t="shared" si="0"/>
        <v/>
      </c>
      <c r="U39" s="38" t="str">
        <f t="shared" si="1"/>
        <v/>
      </c>
      <c r="V39" s="38" t="str">
        <f t="shared" si="2"/>
        <v/>
      </c>
      <c r="W39" s="38" t="str">
        <f>IF(AND(U39&lt;&gt;"",OR($S$4="(все)",B39=$S$4),IF($S$4="(все)",COUNTIF($U$4:U39,U39),COUNTIFS($U$4:U39,U39,$B$4:B39,B39))=1),MAX($W$3:W38)+1,"")</f>
        <v/>
      </c>
      <c r="X39" s="38" t="str">
        <f t="shared" si="3"/>
        <v/>
      </c>
      <c r="Y39" s="38" t="str">
        <f>IF(AND(A39="Аппарат",C39&lt;&gt;"",OR($S$5="(все)",B39=$S$5)),MAX($Y$3:Y38)+1,"")</f>
        <v/>
      </c>
      <c r="Z39" s="38" t="str">
        <f t="shared" si="4"/>
        <v/>
      </c>
      <c r="AA39" s="38" t="str">
        <f>IF(AND(A39="Модуль",C39&lt;&gt;"",OR($S$6="(все)",B39=$S$6)),MAX($AA$3:AA38)+1,"")</f>
        <v/>
      </c>
      <c r="AB39" s="38" t="str">
        <f t="shared" si="5"/>
        <v/>
      </c>
      <c r="AC39" s="38" t="str">
        <f>IF(OR(B39="",COUNTIF($B$4:B39,B39)&gt;1),"",MAX($AC$3:AC38)+1)</f>
        <v/>
      </c>
      <c r="AD39" s="38" t="str">
        <f t="shared" si="6"/>
        <v/>
      </c>
      <c r="AE39" s="38" t="str">
        <f t="shared" si="7"/>
        <v/>
      </c>
      <c r="AF39" s="38" t="str">
        <f t="shared" si="8"/>
        <v/>
      </c>
      <c r="AG39" s="38" t="str">
        <f>IF(Спецификация_авто!$L$44="","",IF(COUNTIF($C$4:$C$500,Спецификация_авто!$L$44)=0,Спецификация_авто!$L$44,""))</f>
        <v/>
      </c>
      <c r="AH39" s="38" t="str">
        <f>IF(AG39="","",COUNTIF($AG$4:AG39,"?*"))</f>
        <v/>
      </c>
    </row>
    <row r="40" spans="1:34" x14ac:dyDescent="0.3">
      <c r="A40" s="74" t="s">
        <v>698</v>
      </c>
      <c r="B40" s="74" t="s">
        <v>279</v>
      </c>
      <c r="C40" s="74" t="s">
        <v>270</v>
      </c>
      <c r="D40" s="74"/>
      <c r="E40" s="74"/>
      <c r="F40" s="74"/>
      <c r="G40" s="74" t="s">
        <v>255</v>
      </c>
      <c r="H40" s="74" t="s">
        <v>270</v>
      </c>
      <c r="I40" s="74"/>
      <c r="J40" s="74"/>
      <c r="K40" s="74"/>
      <c r="L40" s="74"/>
      <c r="M40" s="74" t="s">
        <v>260</v>
      </c>
      <c r="N40" s="38" t="str">
        <f>IF(OR(A40="Автомат",A40="Дифавтомат"),IF(W40="","",COUNTIFS(Однолинейка!$H$3:$H$3000,U40,Однолинейка!$A$3:$A$3000,Щит_спец)),IF(A40="Аппарат",IF(C40="","",COUNTIFS(Однолинейка!$I$3:$I$3000,C40,Однолинейка!$A$3:$A$3000,Щит_спец)+COUNTIFS(Однолинейка!$J$3:$J$3000,C40,Однолинейка!$A$3:$A$3000,Щит_спец)+COUNTIFS(Однолинейка!$K$3:$K$3000,C40,Однолинейка!$A$3:$A$3000,Щит_спец)),IF(A40="Модуль",IF(C40="","",COUNTIFS(Однолинейка!$AW$3:$AW$3000,"?*",Однолинейка!$AI$3:$AI$3000,C40,Однолинейка!$A$3:$A$3000,Щит_спец)),IF(A40="Клемма",IF(C40="","",IF(C40=$S$7,SUMIFS(Однолинейка!$BW$3:$BW$3000,Однолинейка!$A$3:$A$3000,Щит_спец),IF(C40=$S$8,SUMIFS(Однолинейка!$BX$3:$BX$3000,Однолинейка!$A$3:$A$3000,Щит_спец),""))),""))))</f>
        <v/>
      </c>
      <c r="O40" s="74"/>
      <c r="P40" s="38" t="str">
        <f t="shared" si="0"/>
        <v/>
      </c>
      <c r="U40" s="38" t="str">
        <f t="shared" si="1"/>
        <v/>
      </c>
      <c r="V40" s="38" t="str">
        <f t="shared" si="2"/>
        <v/>
      </c>
      <c r="W40" s="38" t="str">
        <f>IF(AND(U40&lt;&gt;"",OR($S$4="(все)",B40=$S$4),IF($S$4="(все)",COUNTIF($U$4:U40,U40),COUNTIFS($U$4:U40,U40,$B$4:B40,B40))=1),MAX($W$3:W39)+1,"")</f>
        <v/>
      </c>
      <c r="X40" s="38" t="str">
        <f t="shared" si="3"/>
        <v/>
      </c>
      <c r="Y40" s="38" t="str">
        <f>IF(AND(A40="Аппарат",C40&lt;&gt;"",OR($S$5="(все)",B40=$S$5)),MAX($Y$3:Y39)+1,"")</f>
        <v/>
      </c>
      <c r="Z40" s="38" t="str">
        <f t="shared" si="4"/>
        <v/>
      </c>
      <c r="AA40" s="38" t="str">
        <f>IF(AND(A40="Модуль",C40&lt;&gt;"",OR($S$6="(все)",B40=$S$6)),MAX($AA$3:AA39)+1,"")</f>
        <v/>
      </c>
      <c r="AB40" s="38" t="str">
        <f t="shared" si="5"/>
        <v/>
      </c>
      <c r="AC40" s="38" t="str">
        <f>IF(OR(B40="",COUNTIF($B$4:B40,B40)&gt;1),"",MAX($AC$3:AC39)+1)</f>
        <v/>
      </c>
      <c r="AD40" s="38" t="str">
        <f t="shared" si="6"/>
        <v/>
      </c>
      <c r="AE40" s="38" t="str">
        <f t="shared" si="7"/>
        <v/>
      </c>
      <c r="AF40" s="38" t="str">
        <f t="shared" si="8"/>
        <v/>
      </c>
      <c r="AG40" s="38" t="str">
        <f>IF(Спецификация_авто!$L$45="","",IF(COUNTIF($C$4:$C$500,Спецификация_авто!$L$45)=0,Спецификация_авто!$L$45,""))</f>
        <v/>
      </c>
      <c r="AH40" s="38" t="str">
        <f>IF(AG40="","",COUNTIF($AG$4:AG40,"?*"))</f>
        <v/>
      </c>
    </row>
    <row r="41" spans="1:34" x14ac:dyDescent="0.3">
      <c r="A41" s="74" t="s">
        <v>698</v>
      </c>
      <c r="B41" s="74" t="s">
        <v>279</v>
      </c>
      <c r="C41" s="74" t="s">
        <v>400</v>
      </c>
      <c r="D41" s="74"/>
      <c r="E41" s="74"/>
      <c r="F41" s="74"/>
      <c r="G41" s="74" t="s">
        <v>399</v>
      </c>
      <c r="H41" s="74" t="s">
        <v>400</v>
      </c>
      <c r="I41" s="74"/>
      <c r="J41" s="74"/>
      <c r="K41" s="74"/>
      <c r="L41" s="74"/>
      <c r="M41" s="74" t="s">
        <v>260</v>
      </c>
      <c r="N41" s="38" t="str">
        <f>IF(OR(A41="Автомат",A41="Дифавтомат"),IF(W41="","",COUNTIFS(Однолинейка!$H$3:$H$3000,U41,Однолинейка!$A$3:$A$3000,Щит_спец)),IF(A41="Аппарат",IF(C41="","",COUNTIFS(Однолинейка!$I$3:$I$3000,C41,Однолинейка!$A$3:$A$3000,Щит_спец)+COUNTIFS(Однолинейка!$J$3:$J$3000,C41,Однолинейка!$A$3:$A$3000,Щит_спец)+COUNTIFS(Однолинейка!$K$3:$K$3000,C41,Однолинейка!$A$3:$A$3000,Щит_спец)),IF(A41="Модуль",IF(C41="","",COUNTIFS(Однолинейка!$AW$3:$AW$3000,"?*",Однолинейка!$AI$3:$AI$3000,C41,Однолинейка!$A$3:$A$3000,Щит_спец)),IF(A41="Клемма",IF(C41="","",IF(C41=$S$7,SUMIFS(Однолинейка!$BW$3:$BW$3000,Однолинейка!$A$3:$A$3000,Щит_спец),IF(C41=$S$8,SUMIFS(Однолинейка!$BX$3:$BX$3000,Однолинейка!$A$3:$A$3000,Щит_спец),""))),""))))</f>
        <v/>
      </c>
      <c r="O41" s="74"/>
      <c r="P41" s="38" t="str">
        <f t="shared" si="0"/>
        <v/>
      </c>
      <c r="U41" s="38" t="str">
        <f t="shared" si="1"/>
        <v/>
      </c>
      <c r="V41" s="38" t="str">
        <f t="shared" si="2"/>
        <v/>
      </c>
      <c r="W41" s="38" t="str">
        <f>IF(AND(U41&lt;&gt;"",OR($S$4="(все)",B41=$S$4),IF($S$4="(все)",COUNTIF($U$4:U41,U41),COUNTIFS($U$4:U41,U41,$B$4:B41,B41))=1),MAX($W$3:W40)+1,"")</f>
        <v/>
      </c>
      <c r="X41" s="38" t="str">
        <f t="shared" si="3"/>
        <v/>
      </c>
      <c r="Y41" s="38" t="str">
        <f>IF(AND(A41="Аппарат",C41&lt;&gt;"",OR($S$5="(все)",B41=$S$5)),MAX($Y$3:Y40)+1,"")</f>
        <v/>
      </c>
      <c r="Z41" s="38" t="str">
        <f t="shared" si="4"/>
        <v/>
      </c>
      <c r="AA41" s="38" t="str">
        <f>IF(AND(A41="Модуль",C41&lt;&gt;"",OR($S$6="(все)",B41=$S$6)),MAX($AA$3:AA40)+1,"")</f>
        <v/>
      </c>
      <c r="AB41" s="38" t="str">
        <f t="shared" si="5"/>
        <v/>
      </c>
      <c r="AC41" s="38" t="str">
        <f>IF(OR(B41="",COUNTIF($B$4:B41,B41)&gt;1),"",MAX($AC$3:AC40)+1)</f>
        <v/>
      </c>
      <c r="AD41" s="38" t="str">
        <f t="shared" si="6"/>
        <v/>
      </c>
      <c r="AE41" s="38" t="str">
        <f t="shared" si="7"/>
        <v/>
      </c>
      <c r="AF41" s="38" t="str">
        <f t="shared" si="8"/>
        <v/>
      </c>
      <c r="AG41" s="38" t="str">
        <f>IF(Спецификация_авто!$L$46="","",IF(COUNTIF($C$4:$C$500,Спецификация_авто!$L$46)=0,Спецификация_авто!$L$46,""))</f>
        <v/>
      </c>
      <c r="AH41" s="38" t="str">
        <f>IF(AG41="","",COUNTIF($AG$4:AG41,"?*"))</f>
        <v/>
      </c>
    </row>
    <row r="42" spans="1:34" x14ac:dyDescent="0.3">
      <c r="A42" s="74" t="s">
        <v>698</v>
      </c>
      <c r="B42" s="74" t="s">
        <v>279</v>
      </c>
      <c r="C42" s="74" t="s">
        <v>271</v>
      </c>
      <c r="D42" s="74"/>
      <c r="E42" s="74"/>
      <c r="F42" s="74"/>
      <c r="G42" s="74" t="s">
        <v>256</v>
      </c>
      <c r="H42" s="74" t="s">
        <v>271</v>
      </c>
      <c r="I42" s="74"/>
      <c r="J42" s="74"/>
      <c r="K42" s="74"/>
      <c r="L42" s="74"/>
      <c r="M42" s="74" t="s">
        <v>260</v>
      </c>
      <c r="N42" s="38" t="str">
        <f>IF(OR(A42="Автомат",A42="Дифавтомат"),IF(W42="","",COUNTIFS(Однолинейка!$H$3:$H$3000,U42,Однолинейка!$A$3:$A$3000,Щит_спец)),IF(A42="Аппарат",IF(C42="","",COUNTIFS(Однолинейка!$I$3:$I$3000,C42,Однолинейка!$A$3:$A$3000,Щит_спец)+COUNTIFS(Однолинейка!$J$3:$J$3000,C42,Однолинейка!$A$3:$A$3000,Щит_спец)+COUNTIFS(Однолинейка!$K$3:$K$3000,C42,Однолинейка!$A$3:$A$3000,Щит_спец)),IF(A42="Модуль",IF(C42="","",COUNTIFS(Однолинейка!$AW$3:$AW$3000,"?*",Однолинейка!$AI$3:$AI$3000,C42,Однолинейка!$A$3:$A$3000,Щит_спец)),IF(A42="Клемма",IF(C42="","",IF(C42=$S$7,SUMIFS(Однолинейка!$BW$3:$BW$3000,Однолинейка!$A$3:$A$3000,Щит_спец),IF(C42=$S$8,SUMIFS(Однолинейка!$BX$3:$BX$3000,Однолинейка!$A$3:$A$3000,Щит_спец),""))),""))))</f>
        <v/>
      </c>
      <c r="O42" s="74"/>
      <c r="P42" s="38" t="str">
        <f t="shared" si="0"/>
        <v/>
      </c>
      <c r="U42" s="38" t="str">
        <f t="shared" si="1"/>
        <v/>
      </c>
      <c r="V42" s="38" t="str">
        <f t="shared" si="2"/>
        <v/>
      </c>
      <c r="W42" s="38" t="str">
        <f>IF(AND(U42&lt;&gt;"",OR($S$4="(все)",B42=$S$4),IF($S$4="(все)",COUNTIF($U$4:U42,U42),COUNTIFS($U$4:U42,U42,$B$4:B42,B42))=1),MAX($W$3:W41)+1,"")</f>
        <v/>
      </c>
      <c r="X42" s="38" t="str">
        <f t="shared" si="3"/>
        <v/>
      </c>
      <c r="Y42" s="38" t="str">
        <f>IF(AND(A42="Аппарат",C42&lt;&gt;"",OR($S$5="(все)",B42=$S$5)),MAX($Y$3:Y41)+1,"")</f>
        <v/>
      </c>
      <c r="Z42" s="38" t="str">
        <f t="shared" si="4"/>
        <v/>
      </c>
      <c r="AA42" s="38" t="str">
        <f>IF(AND(A42="Модуль",C42&lt;&gt;"",OR($S$6="(все)",B42=$S$6)),MAX($AA$3:AA41)+1,"")</f>
        <v/>
      </c>
      <c r="AB42" s="38" t="str">
        <f t="shared" si="5"/>
        <v/>
      </c>
      <c r="AC42" s="38" t="str">
        <f>IF(OR(B42="",COUNTIF($B$4:B42,B42)&gt;1),"",MAX($AC$3:AC41)+1)</f>
        <v/>
      </c>
      <c r="AD42" s="38" t="str">
        <f t="shared" si="6"/>
        <v/>
      </c>
      <c r="AE42" s="38" t="str">
        <f t="shared" si="7"/>
        <v/>
      </c>
      <c r="AF42" s="38" t="str">
        <f t="shared" si="8"/>
        <v/>
      </c>
      <c r="AG42" s="38" t="str">
        <f>IF(Спецификация_авто!$L$47="","",IF(COUNTIF($C$4:$C$500,Спецификация_авто!$L$47)=0,Спецификация_авто!$L$47,""))</f>
        <v/>
      </c>
      <c r="AH42" s="38" t="str">
        <f>IF(AG42="","",COUNTIF($AG$4:AG42,"?*"))</f>
        <v/>
      </c>
    </row>
    <row r="43" spans="1:34" x14ac:dyDescent="0.3">
      <c r="A43" s="74" t="s">
        <v>698</v>
      </c>
      <c r="B43" s="74" t="s">
        <v>279</v>
      </c>
      <c r="C43" s="74" t="s">
        <v>272</v>
      </c>
      <c r="D43" s="74"/>
      <c r="E43" s="74"/>
      <c r="F43" s="74"/>
      <c r="G43" s="74" t="s">
        <v>257</v>
      </c>
      <c r="H43" s="74" t="s">
        <v>272</v>
      </c>
      <c r="I43" s="74"/>
      <c r="J43" s="74"/>
      <c r="K43" s="74"/>
      <c r="L43" s="74"/>
      <c r="M43" s="74" t="s">
        <v>260</v>
      </c>
      <c r="N43" s="38" t="str">
        <f>IF(OR(A43="Автомат",A43="Дифавтомат"),IF(W43="","",COUNTIFS(Однолинейка!$H$3:$H$3000,U43,Однолинейка!$A$3:$A$3000,Щит_спец)),IF(A43="Аппарат",IF(C43="","",COUNTIFS(Однолинейка!$I$3:$I$3000,C43,Однолинейка!$A$3:$A$3000,Щит_спец)+COUNTIFS(Однолинейка!$J$3:$J$3000,C43,Однолинейка!$A$3:$A$3000,Щит_спец)+COUNTIFS(Однолинейка!$K$3:$K$3000,C43,Однолинейка!$A$3:$A$3000,Щит_спец)),IF(A43="Модуль",IF(C43="","",COUNTIFS(Однолинейка!$AW$3:$AW$3000,"?*",Однолинейка!$AI$3:$AI$3000,C43,Однолинейка!$A$3:$A$3000,Щит_спец)),IF(A43="Клемма",IF(C43="","",IF(C43=$S$7,SUMIFS(Однолинейка!$BW$3:$BW$3000,Однолинейка!$A$3:$A$3000,Щит_спец),IF(C43=$S$8,SUMIFS(Однолинейка!$BX$3:$BX$3000,Однолинейка!$A$3:$A$3000,Щит_спец),""))),""))))</f>
        <v/>
      </c>
      <c r="O43" s="74"/>
      <c r="P43" s="38" t="str">
        <f t="shared" si="0"/>
        <v/>
      </c>
      <c r="U43" s="38" t="str">
        <f t="shared" si="1"/>
        <v/>
      </c>
      <c r="V43" s="38" t="str">
        <f t="shared" si="2"/>
        <v/>
      </c>
      <c r="W43" s="38" t="str">
        <f>IF(AND(U43&lt;&gt;"",OR($S$4="(все)",B43=$S$4),IF($S$4="(все)",COUNTIF($U$4:U43,U43),COUNTIFS($U$4:U43,U43,$B$4:B43,B43))=1),MAX($W$3:W42)+1,"")</f>
        <v/>
      </c>
      <c r="X43" s="38" t="str">
        <f t="shared" si="3"/>
        <v/>
      </c>
      <c r="Y43" s="38" t="str">
        <f>IF(AND(A43="Аппарат",C43&lt;&gt;"",OR($S$5="(все)",B43=$S$5)),MAX($Y$3:Y42)+1,"")</f>
        <v/>
      </c>
      <c r="Z43" s="38" t="str">
        <f t="shared" si="4"/>
        <v/>
      </c>
      <c r="AA43" s="38" t="str">
        <f>IF(AND(A43="Модуль",C43&lt;&gt;"",OR($S$6="(все)",B43=$S$6)),MAX($AA$3:AA42)+1,"")</f>
        <v/>
      </c>
      <c r="AB43" s="38" t="str">
        <f t="shared" si="5"/>
        <v/>
      </c>
      <c r="AC43" s="38" t="str">
        <f>IF(OR(B43="",COUNTIF($B$4:B43,B43)&gt;1),"",MAX($AC$3:AC42)+1)</f>
        <v/>
      </c>
      <c r="AD43" s="38" t="str">
        <f t="shared" si="6"/>
        <v/>
      </c>
      <c r="AE43" s="38" t="str">
        <f t="shared" si="7"/>
        <v/>
      </c>
      <c r="AF43" s="38" t="str">
        <f t="shared" si="8"/>
        <v/>
      </c>
      <c r="AG43" s="38" t="str">
        <f>IF(Спецификация_авто!$L$48="","",IF(COUNTIF($C$4:$C$500,Спецификация_авто!$L$48)=0,Спецификация_авто!$L$48,""))</f>
        <v/>
      </c>
      <c r="AH43" s="38" t="str">
        <f>IF(AG43="","",COUNTIF($AG$4:AG43,"?*"))</f>
        <v/>
      </c>
    </row>
    <row r="44" spans="1:34" x14ac:dyDescent="0.3">
      <c r="A44" s="74" t="s">
        <v>698</v>
      </c>
      <c r="B44" s="74" t="s">
        <v>279</v>
      </c>
      <c r="C44" s="74" t="s">
        <v>273</v>
      </c>
      <c r="D44" s="74"/>
      <c r="E44" s="74"/>
      <c r="F44" s="74"/>
      <c r="G44" s="74" t="s">
        <v>258</v>
      </c>
      <c r="H44" s="74" t="s">
        <v>273</v>
      </c>
      <c r="I44" s="74"/>
      <c r="J44" s="74"/>
      <c r="K44" s="74"/>
      <c r="L44" s="74"/>
      <c r="M44" s="74" t="s">
        <v>260</v>
      </c>
      <c r="N44" s="38" t="str">
        <f>IF(OR(A44="Автомат",A44="Дифавтомат"),IF(W44="","",COUNTIFS(Однолинейка!$H$3:$H$3000,U44,Однолинейка!$A$3:$A$3000,Щит_спец)),IF(A44="Аппарат",IF(C44="","",COUNTIFS(Однолинейка!$I$3:$I$3000,C44,Однолинейка!$A$3:$A$3000,Щит_спец)+COUNTIFS(Однолинейка!$J$3:$J$3000,C44,Однолинейка!$A$3:$A$3000,Щит_спец)+COUNTIFS(Однолинейка!$K$3:$K$3000,C44,Однолинейка!$A$3:$A$3000,Щит_спец)),IF(A44="Модуль",IF(C44="","",COUNTIFS(Однолинейка!$AW$3:$AW$3000,"?*",Однолинейка!$AI$3:$AI$3000,C44,Однолинейка!$A$3:$A$3000,Щит_спец)),IF(A44="Клемма",IF(C44="","",IF(C44=$S$7,SUMIFS(Однолинейка!$BW$3:$BW$3000,Однолинейка!$A$3:$A$3000,Щит_спец),IF(C44=$S$8,SUMIFS(Однолинейка!$BX$3:$BX$3000,Однолинейка!$A$3:$A$3000,Щит_спец),""))),""))))</f>
        <v/>
      </c>
      <c r="O44" s="74"/>
      <c r="P44" s="38" t="str">
        <f t="shared" si="0"/>
        <v/>
      </c>
      <c r="U44" s="38" t="str">
        <f t="shared" si="1"/>
        <v/>
      </c>
      <c r="V44" s="38" t="str">
        <f t="shared" si="2"/>
        <v/>
      </c>
      <c r="W44" s="38" t="str">
        <f>IF(AND(U44&lt;&gt;"",OR($S$4="(все)",B44=$S$4),IF($S$4="(все)",COUNTIF($U$4:U44,U44),COUNTIFS($U$4:U44,U44,$B$4:B44,B44))=1),MAX($W$3:W43)+1,"")</f>
        <v/>
      </c>
      <c r="X44" s="38" t="str">
        <f t="shared" si="3"/>
        <v/>
      </c>
      <c r="Y44" s="38" t="str">
        <f>IF(AND(A44="Аппарат",C44&lt;&gt;"",OR($S$5="(все)",B44=$S$5)),MAX($Y$3:Y43)+1,"")</f>
        <v/>
      </c>
      <c r="Z44" s="38" t="str">
        <f t="shared" si="4"/>
        <v/>
      </c>
      <c r="AA44" s="38" t="str">
        <f>IF(AND(A44="Модуль",C44&lt;&gt;"",OR($S$6="(все)",B44=$S$6)),MAX($AA$3:AA43)+1,"")</f>
        <v/>
      </c>
      <c r="AB44" s="38" t="str">
        <f t="shared" si="5"/>
        <v/>
      </c>
      <c r="AC44" s="38" t="str">
        <f>IF(OR(B44="",COUNTIF($B$4:B44,B44)&gt;1),"",MAX($AC$3:AC43)+1)</f>
        <v/>
      </c>
      <c r="AD44" s="38" t="str">
        <f t="shared" si="6"/>
        <v/>
      </c>
      <c r="AE44" s="38" t="str">
        <f t="shared" si="7"/>
        <v/>
      </c>
      <c r="AF44" s="38" t="str">
        <f t="shared" si="8"/>
        <v/>
      </c>
    </row>
    <row r="45" spans="1:34" x14ac:dyDescent="0.3">
      <c r="A45" s="74" t="s">
        <v>698</v>
      </c>
      <c r="B45" s="74" t="s">
        <v>279</v>
      </c>
      <c r="C45" s="74" t="s">
        <v>274</v>
      </c>
      <c r="D45" s="74"/>
      <c r="E45" s="74"/>
      <c r="F45" s="74"/>
      <c r="G45" s="74" t="s">
        <v>259</v>
      </c>
      <c r="H45" s="74" t="s">
        <v>274</v>
      </c>
      <c r="I45" s="74"/>
      <c r="J45" s="74"/>
      <c r="K45" s="74"/>
      <c r="L45" s="74"/>
      <c r="M45" s="74" t="s">
        <v>260</v>
      </c>
      <c r="N45" s="38" t="str">
        <f>IF(OR(A45="Автомат",A45="Дифавтомат"),IF(W45="","",COUNTIFS(Однолинейка!$H$3:$H$3000,U45,Однолинейка!$A$3:$A$3000,Щит_спец)),IF(A45="Аппарат",IF(C45="","",COUNTIFS(Однолинейка!$I$3:$I$3000,C45,Однолинейка!$A$3:$A$3000,Щит_спец)+COUNTIFS(Однолинейка!$J$3:$J$3000,C45,Однолинейка!$A$3:$A$3000,Щит_спец)+COUNTIFS(Однолинейка!$K$3:$K$3000,C45,Однолинейка!$A$3:$A$3000,Щит_спец)),IF(A45="Модуль",IF(C45="","",COUNTIFS(Однолинейка!$AW$3:$AW$3000,"?*",Однолинейка!$AI$3:$AI$3000,C45,Однолинейка!$A$3:$A$3000,Щит_спец)),IF(A45="Клемма",IF(C45="","",IF(C45=$S$7,SUMIFS(Однолинейка!$BW$3:$BW$3000,Однолинейка!$A$3:$A$3000,Щит_спец),IF(C45=$S$8,SUMIFS(Однолинейка!$BX$3:$BX$3000,Однолинейка!$A$3:$A$3000,Щит_спец),""))),""))))</f>
        <v/>
      </c>
      <c r="O45" s="74"/>
      <c r="P45" s="38" t="str">
        <f t="shared" si="0"/>
        <v/>
      </c>
      <c r="U45" s="38" t="str">
        <f t="shared" si="1"/>
        <v/>
      </c>
      <c r="V45" s="38" t="str">
        <f t="shared" si="2"/>
        <v/>
      </c>
      <c r="W45" s="38" t="str">
        <f>IF(AND(U45&lt;&gt;"",OR($S$4="(все)",B45=$S$4),IF($S$4="(все)",COUNTIF($U$4:U45,U45),COUNTIFS($U$4:U45,U45,$B$4:B45,B45))=1),MAX($W$3:W44)+1,"")</f>
        <v/>
      </c>
      <c r="X45" s="38" t="str">
        <f t="shared" si="3"/>
        <v/>
      </c>
      <c r="Y45" s="38" t="str">
        <f>IF(AND(A45="Аппарат",C45&lt;&gt;"",OR($S$5="(все)",B45=$S$5)),MAX($Y$3:Y44)+1,"")</f>
        <v/>
      </c>
      <c r="Z45" s="38" t="str">
        <f t="shared" si="4"/>
        <v/>
      </c>
      <c r="AA45" s="38" t="str">
        <f>IF(AND(A45="Модуль",C45&lt;&gt;"",OR($S$6="(все)",B45=$S$6)),MAX($AA$3:AA44)+1,"")</f>
        <v/>
      </c>
      <c r="AB45" s="38" t="str">
        <f t="shared" si="5"/>
        <v/>
      </c>
      <c r="AC45" s="38" t="str">
        <f>IF(OR(B45="",COUNTIF($B$4:B45,B45)&gt;1),"",MAX($AC$3:AC44)+1)</f>
        <v/>
      </c>
      <c r="AD45" s="38" t="str">
        <f t="shared" si="6"/>
        <v/>
      </c>
      <c r="AE45" s="38" t="str">
        <f t="shared" si="7"/>
        <v/>
      </c>
      <c r="AF45" s="38" t="str">
        <f t="shared" si="8"/>
        <v/>
      </c>
    </row>
    <row r="46" spans="1:34" x14ac:dyDescent="0.3">
      <c r="A46" s="74" t="s">
        <v>698</v>
      </c>
      <c r="B46" s="74" t="s">
        <v>279</v>
      </c>
      <c r="C46" s="74" t="s">
        <v>275</v>
      </c>
      <c r="D46" s="74"/>
      <c r="E46" s="74"/>
      <c r="F46" s="74"/>
      <c r="G46" s="74" t="s">
        <v>261</v>
      </c>
      <c r="H46" s="74" t="s">
        <v>275</v>
      </c>
      <c r="I46" s="74"/>
      <c r="J46" s="74"/>
      <c r="K46" s="74"/>
      <c r="L46" s="74"/>
      <c r="M46" s="74" t="s">
        <v>265</v>
      </c>
      <c r="N46" s="38" t="str">
        <f>IF(OR(A46="Автомат",A46="Дифавтомат"),IF(W46="","",COUNTIFS(Однолинейка!$H$3:$H$3000,U46,Однолинейка!$A$3:$A$3000,Щит_спец)),IF(A46="Аппарат",IF(C46="","",COUNTIFS(Однолинейка!$I$3:$I$3000,C46,Однолинейка!$A$3:$A$3000,Щит_спец)+COUNTIFS(Однолинейка!$J$3:$J$3000,C46,Однолинейка!$A$3:$A$3000,Щит_спец)+COUNTIFS(Однолинейка!$K$3:$K$3000,C46,Однолинейка!$A$3:$A$3000,Щит_спец)),IF(A46="Модуль",IF(C46="","",COUNTIFS(Однолинейка!$AW$3:$AW$3000,"?*",Однолинейка!$AI$3:$AI$3000,C46,Однолинейка!$A$3:$A$3000,Щит_спец)),IF(A46="Клемма",IF(C46="","",IF(C46=$S$7,SUMIFS(Однолинейка!$BW$3:$BW$3000,Однолинейка!$A$3:$A$3000,Щит_спец),IF(C46=$S$8,SUMIFS(Однолинейка!$BX$3:$BX$3000,Однолинейка!$A$3:$A$3000,Щит_спец),""))),""))))</f>
        <v/>
      </c>
      <c r="O46" s="74"/>
      <c r="P46" s="38" t="str">
        <f t="shared" si="0"/>
        <v/>
      </c>
      <c r="U46" s="38" t="str">
        <f t="shared" si="1"/>
        <v/>
      </c>
      <c r="V46" s="38" t="str">
        <f t="shared" si="2"/>
        <v/>
      </c>
      <c r="W46" s="38" t="str">
        <f>IF(AND(U46&lt;&gt;"",OR($S$4="(все)",B46=$S$4),IF($S$4="(все)",COUNTIF($U$4:U46,U46),COUNTIFS($U$4:U46,U46,$B$4:B46,B46))=1),MAX($W$3:W45)+1,"")</f>
        <v/>
      </c>
      <c r="X46" s="38" t="str">
        <f t="shared" si="3"/>
        <v/>
      </c>
      <c r="Y46" s="38" t="str">
        <f>IF(AND(A46="Аппарат",C46&lt;&gt;"",OR($S$5="(все)",B46=$S$5)),MAX($Y$3:Y45)+1,"")</f>
        <v/>
      </c>
      <c r="Z46" s="38" t="str">
        <f t="shared" si="4"/>
        <v/>
      </c>
      <c r="AA46" s="38" t="str">
        <f>IF(AND(A46="Модуль",C46&lt;&gt;"",OR($S$6="(все)",B46=$S$6)),MAX($AA$3:AA45)+1,"")</f>
        <v/>
      </c>
      <c r="AB46" s="38" t="str">
        <f t="shared" si="5"/>
        <v/>
      </c>
      <c r="AC46" s="38" t="str">
        <f>IF(OR(B46="",COUNTIF($B$4:B46,B46)&gt;1),"",MAX($AC$3:AC45)+1)</f>
        <v/>
      </c>
      <c r="AD46" s="38" t="str">
        <f t="shared" si="6"/>
        <v/>
      </c>
      <c r="AE46" s="38" t="str">
        <f t="shared" si="7"/>
        <v/>
      </c>
      <c r="AF46" s="38" t="str">
        <f t="shared" si="8"/>
        <v/>
      </c>
    </row>
    <row r="47" spans="1:34" x14ac:dyDescent="0.3">
      <c r="A47" s="74" t="s">
        <v>698</v>
      </c>
      <c r="B47" s="74" t="s">
        <v>279</v>
      </c>
      <c r="C47" s="74" t="s">
        <v>276</v>
      </c>
      <c r="D47" s="74"/>
      <c r="E47" s="74"/>
      <c r="F47" s="74"/>
      <c r="G47" s="74" t="s">
        <v>262</v>
      </c>
      <c r="H47" s="74" t="s">
        <v>276</v>
      </c>
      <c r="I47" s="74"/>
      <c r="J47" s="74"/>
      <c r="K47" s="74"/>
      <c r="L47" s="74"/>
      <c r="M47" s="74" t="s">
        <v>265</v>
      </c>
      <c r="N47" s="38" t="str">
        <f>IF(OR(A47="Автомат",A47="Дифавтомат"),IF(W47="","",COUNTIFS(Однолинейка!$H$3:$H$3000,U47,Однолинейка!$A$3:$A$3000,Щит_спец)),IF(A47="Аппарат",IF(C47="","",COUNTIFS(Однолинейка!$I$3:$I$3000,C47,Однолинейка!$A$3:$A$3000,Щит_спец)+COUNTIFS(Однолинейка!$J$3:$J$3000,C47,Однолинейка!$A$3:$A$3000,Щит_спец)+COUNTIFS(Однолинейка!$K$3:$K$3000,C47,Однолинейка!$A$3:$A$3000,Щит_спец)),IF(A47="Модуль",IF(C47="","",COUNTIFS(Однолинейка!$AW$3:$AW$3000,"?*",Однолинейка!$AI$3:$AI$3000,C47,Однолинейка!$A$3:$A$3000,Щит_спец)),IF(A47="Клемма",IF(C47="","",IF(C47=$S$7,SUMIFS(Однолинейка!$BW$3:$BW$3000,Однолинейка!$A$3:$A$3000,Щит_спец),IF(C47=$S$8,SUMIFS(Однолинейка!$BX$3:$BX$3000,Однолинейка!$A$3:$A$3000,Щит_спец),""))),""))))</f>
        <v/>
      </c>
      <c r="O47" s="74"/>
      <c r="P47" s="38" t="str">
        <f t="shared" si="0"/>
        <v/>
      </c>
      <c r="U47" s="38" t="str">
        <f t="shared" si="1"/>
        <v/>
      </c>
      <c r="V47" s="38" t="str">
        <f t="shared" si="2"/>
        <v/>
      </c>
      <c r="W47" s="38" t="str">
        <f>IF(AND(U47&lt;&gt;"",OR($S$4="(все)",B47=$S$4),IF($S$4="(все)",COUNTIF($U$4:U47,U47),COUNTIFS($U$4:U47,U47,$B$4:B47,B47))=1),MAX($W$3:W46)+1,"")</f>
        <v/>
      </c>
      <c r="X47" s="38" t="str">
        <f t="shared" si="3"/>
        <v/>
      </c>
      <c r="Y47" s="38" t="str">
        <f>IF(AND(A47="Аппарат",C47&lt;&gt;"",OR($S$5="(все)",B47=$S$5)),MAX($Y$3:Y46)+1,"")</f>
        <v/>
      </c>
      <c r="Z47" s="38" t="str">
        <f t="shared" si="4"/>
        <v/>
      </c>
      <c r="AA47" s="38" t="str">
        <f>IF(AND(A47="Модуль",C47&lt;&gt;"",OR($S$6="(все)",B47=$S$6)),MAX($AA$3:AA46)+1,"")</f>
        <v/>
      </c>
      <c r="AB47" s="38" t="str">
        <f t="shared" si="5"/>
        <v/>
      </c>
      <c r="AC47" s="38" t="str">
        <f>IF(OR(B47="",COUNTIF($B$4:B47,B47)&gt;1),"",MAX($AC$3:AC46)+1)</f>
        <v/>
      </c>
      <c r="AD47" s="38" t="str">
        <f t="shared" si="6"/>
        <v/>
      </c>
      <c r="AE47" s="38" t="str">
        <f t="shared" si="7"/>
        <v/>
      </c>
      <c r="AF47" s="38" t="str">
        <f t="shared" si="8"/>
        <v/>
      </c>
    </row>
    <row r="48" spans="1:34" x14ac:dyDescent="0.3">
      <c r="A48" s="74" t="s">
        <v>698</v>
      </c>
      <c r="B48" s="74" t="s">
        <v>279</v>
      </c>
      <c r="C48" s="74" t="s">
        <v>268</v>
      </c>
      <c r="D48" s="74"/>
      <c r="E48" s="74"/>
      <c r="F48" s="74"/>
      <c r="G48" s="74" t="s">
        <v>267</v>
      </c>
      <c r="H48" s="74" t="s">
        <v>268</v>
      </c>
      <c r="I48" s="74"/>
      <c r="J48" s="74"/>
      <c r="K48" s="74"/>
      <c r="L48" s="74"/>
      <c r="M48" s="74" t="s">
        <v>260</v>
      </c>
      <c r="N48" s="38" t="str">
        <f>IF(OR(A48="Автомат",A48="Дифавтомат"),IF(W48="","",COUNTIFS(Однолинейка!$H$3:$H$3000,U48,Однолинейка!$A$3:$A$3000,Щит_спец)),IF(A48="Аппарат",IF(C48="","",COUNTIFS(Однолинейка!$I$3:$I$3000,C48,Однолинейка!$A$3:$A$3000,Щит_спец)+COUNTIFS(Однолинейка!$J$3:$J$3000,C48,Однолинейка!$A$3:$A$3000,Щит_спец)+COUNTIFS(Однолинейка!$K$3:$K$3000,C48,Однолинейка!$A$3:$A$3000,Щит_спец)),IF(A48="Модуль",IF(C48="","",COUNTIFS(Однолинейка!$AW$3:$AW$3000,"?*",Однолинейка!$AI$3:$AI$3000,C48,Однолинейка!$A$3:$A$3000,Щит_спец)),IF(A48="Клемма",IF(C48="","",IF(C48=$S$7,SUMIFS(Однолинейка!$BW$3:$BW$3000,Однолинейка!$A$3:$A$3000,Щит_спец),IF(C48=$S$8,SUMIFS(Однолинейка!$BX$3:$BX$3000,Однолинейка!$A$3:$A$3000,Щит_спец),""))),""))))</f>
        <v/>
      </c>
      <c r="O48" s="74"/>
      <c r="P48" s="38" t="str">
        <f t="shared" si="0"/>
        <v/>
      </c>
      <c r="U48" s="38" t="str">
        <f t="shared" si="1"/>
        <v/>
      </c>
      <c r="V48" s="38" t="str">
        <f t="shared" si="2"/>
        <v/>
      </c>
      <c r="W48" s="38" t="str">
        <f>IF(AND(U48&lt;&gt;"",OR($S$4="(все)",B48=$S$4),IF($S$4="(все)",COUNTIF($U$4:U48,U48),COUNTIFS($U$4:U48,U48,$B$4:B48,B48))=1),MAX($W$3:W47)+1,"")</f>
        <v/>
      </c>
      <c r="X48" s="38" t="str">
        <f t="shared" si="3"/>
        <v/>
      </c>
      <c r="Y48" s="38" t="str">
        <f>IF(AND(A48="Аппарат",C48&lt;&gt;"",OR($S$5="(все)",B48=$S$5)),MAX($Y$3:Y47)+1,"")</f>
        <v/>
      </c>
      <c r="Z48" s="38" t="str">
        <f t="shared" si="4"/>
        <v/>
      </c>
      <c r="AA48" s="38" t="str">
        <f>IF(AND(A48="Модуль",C48&lt;&gt;"",OR($S$6="(все)",B48=$S$6)),MAX($AA$3:AA47)+1,"")</f>
        <v/>
      </c>
      <c r="AB48" s="38" t="str">
        <f t="shared" si="5"/>
        <v/>
      </c>
      <c r="AC48" s="38" t="str">
        <f>IF(OR(B48="",COUNTIF($B$4:B48,B48)&gt;1),"",MAX($AC$3:AC47)+1)</f>
        <v/>
      </c>
      <c r="AD48" s="38" t="str">
        <f t="shared" si="6"/>
        <v/>
      </c>
      <c r="AE48" s="38" t="str">
        <f t="shared" si="7"/>
        <v/>
      </c>
      <c r="AF48" s="38" t="str">
        <f t="shared" si="8"/>
        <v/>
      </c>
    </row>
    <row r="49" spans="1:32" x14ac:dyDescent="0.3">
      <c r="A49" s="74" t="s">
        <v>698</v>
      </c>
      <c r="B49" s="74" t="s">
        <v>279</v>
      </c>
      <c r="C49" s="74" t="s">
        <v>277</v>
      </c>
      <c r="D49" s="74"/>
      <c r="E49" s="74"/>
      <c r="F49" s="74"/>
      <c r="G49" s="74" t="s">
        <v>263</v>
      </c>
      <c r="H49" s="74" t="s">
        <v>277</v>
      </c>
      <c r="I49" s="74"/>
      <c r="J49" s="74"/>
      <c r="K49" s="74"/>
      <c r="L49" s="74"/>
      <c r="M49" s="74" t="s">
        <v>260</v>
      </c>
      <c r="N49" s="38" t="str">
        <f>IF(OR(A49="Автомат",A49="Дифавтомат"),IF(W49="","",COUNTIFS(Однолинейка!$H$3:$H$3000,U49,Однолинейка!$A$3:$A$3000,Щит_спец)),IF(A49="Аппарат",IF(C49="","",COUNTIFS(Однолинейка!$I$3:$I$3000,C49,Однолинейка!$A$3:$A$3000,Щит_спец)+COUNTIFS(Однолинейка!$J$3:$J$3000,C49,Однолинейка!$A$3:$A$3000,Щит_спец)+COUNTIFS(Однолинейка!$K$3:$K$3000,C49,Однолинейка!$A$3:$A$3000,Щит_спец)),IF(A49="Модуль",IF(C49="","",COUNTIFS(Однолинейка!$AW$3:$AW$3000,"?*",Однолинейка!$AI$3:$AI$3000,C49,Однолинейка!$A$3:$A$3000,Щит_спец)),IF(A49="Клемма",IF(C49="","",IF(C49=$S$7,SUMIFS(Однолинейка!$BW$3:$BW$3000,Однолинейка!$A$3:$A$3000,Щит_спец),IF(C49=$S$8,SUMIFS(Однолинейка!$BX$3:$BX$3000,Однолинейка!$A$3:$A$3000,Щит_спец),""))),""))))</f>
        <v/>
      </c>
      <c r="O49" s="74"/>
      <c r="P49" s="38" t="str">
        <f t="shared" si="0"/>
        <v/>
      </c>
      <c r="U49" s="38" t="str">
        <f t="shared" si="1"/>
        <v/>
      </c>
      <c r="V49" s="38" t="str">
        <f t="shared" si="2"/>
        <v/>
      </c>
      <c r="W49" s="38" t="str">
        <f>IF(AND(U49&lt;&gt;"",OR($S$4="(все)",B49=$S$4),IF($S$4="(все)",COUNTIF($U$4:U49,U49),COUNTIFS($U$4:U49,U49,$B$4:B49,B49))=1),MAX($W$3:W48)+1,"")</f>
        <v/>
      </c>
      <c r="X49" s="38" t="str">
        <f t="shared" si="3"/>
        <v/>
      </c>
      <c r="Y49" s="38" t="str">
        <f>IF(AND(A49="Аппарат",C49&lt;&gt;"",OR($S$5="(все)",B49=$S$5)),MAX($Y$3:Y48)+1,"")</f>
        <v/>
      </c>
      <c r="Z49" s="38" t="str">
        <f t="shared" si="4"/>
        <v/>
      </c>
      <c r="AA49" s="38" t="str">
        <f>IF(AND(A49="Модуль",C49&lt;&gt;"",OR($S$6="(все)",B49=$S$6)),MAX($AA$3:AA48)+1,"")</f>
        <v/>
      </c>
      <c r="AB49" s="38" t="str">
        <f t="shared" si="5"/>
        <v/>
      </c>
      <c r="AC49" s="38" t="str">
        <f>IF(OR(B49="",COUNTIF($B$4:B49,B49)&gt;1),"",MAX($AC$3:AC48)+1)</f>
        <v/>
      </c>
      <c r="AD49" s="38" t="str">
        <f t="shared" si="6"/>
        <v/>
      </c>
      <c r="AE49" s="38" t="str">
        <f t="shared" si="7"/>
        <v/>
      </c>
      <c r="AF49" s="38" t="str">
        <f t="shared" si="8"/>
        <v/>
      </c>
    </row>
    <row r="50" spans="1:32" x14ac:dyDescent="0.3">
      <c r="A50" s="74" t="s">
        <v>698</v>
      </c>
      <c r="B50" s="74" t="s">
        <v>279</v>
      </c>
      <c r="C50" s="74" t="s">
        <v>278</v>
      </c>
      <c r="D50" s="74"/>
      <c r="E50" s="74"/>
      <c r="F50" s="74"/>
      <c r="G50" s="74" t="s">
        <v>264</v>
      </c>
      <c r="H50" s="74" t="s">
        <v>278</v>
      </c>
      <c r="I50" s="74"/>
      <c r="J50" s="74"/>
      <c r="K50" s="74"/>
      <c r="L50" s="74"/>
      <c r="M50" s="74" t="s">
        <v>266</v>
      </c>
      <c r="N50" s="38" t="str">
        <f>IF(OR(A50="Автомат",A50="Дифавтомат"),IF(W50="","",COUNTIFS(Однолинейка!$H$3:$H$3000,U50,Однолинейка!$A$3:$A$3000,Щит_спец)),IF(A50="Аппарат",IF(C50="","",COUNTIFS(Однолинейка!$I$3:$I$3000,C50,Однолинейка!$A$3:$A$3000,Щит_спец)+COUNTIFS(Однолинейка!$J$3:$J$3000,C50,Однолинейка!$A$3:$A$3000,Щит_спец)+COUNTIFS(Однолинейка!$K$3:$K$3000,C50,Однолинейка!$A$3:$A$3000,Щит_спец)),IF(A50="Модуль",IF(C50="","",COUNTIFS(Однолинейка!$AW$3:$AW$3000,"?*",Однолинейка!$AI$3:$AI$3000,C50,Однолинейка!$A$3:$A$3000,Щит_спец)),IF(A50="Клемма",IF(C50="","",IF(C50=$S$7,SUMIFS(Однолинейка!$BW$3:$BW$3000,Однолинейка!$A$3:$A$3000,Щит_спец),IF(C50=$S$8,SUMIFS(Однолинейка!$BX$3:$BX$3000,Однолинейка!$A$3:$A$3000,Щит_спец),""))),""))))</f>
        <v/>
      </c>
      <c r="O50" s="74"/>
      <c r="P50" s="38" t="str">
        <f t="shared" si="0"/>
        <v/>
      </c>
      <c r="U50" s="38" t="str">
        <f t="shared" si="1"/>
        <v/>
      </c>
      <c r="V50" s="38" t="str">
        <f t="shared" si="2"/>
        <v/>
      </c>
      <c r="W50" s="38" t="str">
        <f>IF(AND(U50&lt;&gt;"",OR($S$4="(все)",B50=$S$4),IF($S$4="(все)",COUNTIF($U$4:U50,U50),COUNTIFS($U$4:U50,U50,$B$4:B50,B50))=1),MAX($W$3:W49)+1,"")</f>
        <v/>
      </c>
      <c r="X50" s="38" t="str">
        <f t="shared" si="3"/>
        <v/>
      </c>
      <c r="Y50" s="38" t="str">
        <f>IF(AND(A50="Аппарат",C50&lt;&gt;"",OR($S$5="(все)",B50=$S$5)),MAX($Y$3:Y49)+1,"")</f>
        <v/>
      </c>
      <c r="Z50" s="38" t="str">
        <f t="shared" si="4"/>
        <v/>
      </c>
      <c r="AA50" s="38" t="str">
        <f>IF(AND(A50="Модуль",C50&lt;&gt;"",OR($S$6="(все)",B50=$S$6)),MAX($AA$3:AA49)+1,"")</f>
        <v/>
      </c>
      <c r="AB50" s="38" t="str">
        <f t="shared" si="5"/>
        <v/>
      </c>
      <c r="AC50" s="38" t="str">
        <f>IF(OR(B50="",COUNTIF($B$4:B50,B50)&gt;1),"",MAX($AC$3:AC49)+1)</f>
        <v/>
      </c>
      <c r="AD50" s="38" t="str">
        <f t="shared" si="6"/>
        <v/>
      </c>
      <c r="AE50" s="38" t="str">
        <f t="shared" si="7"/>
        <v/>
      </c>
      <c r="AF50" s="38" t="str">
        <f t="shared" si="8"/>
        <v/>
      </c>
    </row>
    <row r="51" spans="1:32" x14ac:dyDescent="0.3">
      <c r="A51" s="74" t="s">
        <v>698</v>
      </c>
      <c r="B51" s="74" t="s">
        <v>279</v>
      </c>
      <c r="C51" s="74" t="s">
        <v>281</v>
      </c>
      <c r="D51" s="74"/>
      <c r="E51" s="74"/>
      <c r="F51" s="74"/>
      <c r="G51" s="74" t="s">
        <v>280</v>
      </c>
      <c r="H51" s="74" t="s">
        <v>281</v>
      </c>
      <c r="I51" s="74"/>
      <c r="J51" s="74"/>
      <c r="K51" s="74"/>
      <c r="L51" s="74"/>
      <c r="M51" s="74" t="s">
        <v>282</v>
      </c>
      <c r="N51" s="38" t="str">
        <f>IF(OR(A51="Автомат",A51="Дифавтомат"),IF(W51="","",COUNTIFS(Однолинейка!$H$3:$H$3000,U51,Однолинейка!$A$3:$A$3000,Щит_спец)),IF(A51="Аппарат",IF(C51="","",COUNTIFS(Однолинейка!$I$3:$I$3000,C51,Однолинейка!$A$3:$A$3000,Щит_спец)+COUNTIFS(Однолинейка!$J$3:$J$3000,C51,Однолинейка!$A$3:$A$3000,Щит_спец)+COUNTIFS(Однолинейка!$K$3:$K$3000,C51,Однолинейка!$A$3:$A$3000,Щит_спец)),IF(A51="Модуль",IF(C51="","",COUNTIFS(Однолинейка!$AW$3:$AW$3000,"?*",Однолинейка!$AI$3:$AI$3000,C51,Однолинейка!$A$3:$A$3000,Щит_спец)),IF(A51="Клемма",IF(C51="","",IF(C51=$S$7,SUMIFS(Однолинейка!$BW$3:$BW$3000,Однолинейка!$A$3:$A$3000,Щит_спец),IF(C51=$S$8,SUMIFS(Однолинейка!$BX$3:$BX$3000,Однолинейка!$A$3:$A$3000,Щит_спец),""))),""))))</f>
        <v/>
      </c>
      <c r="O51" s="74"/>
      <c r="P51" s="38" t="str">
        <f t="shared" si="0"/>
        <v/>
      </c>
      <c r="U51" s="38" t="str">
        <f t="shared" si="1"/>
        <v/>
      </c>
      <c r="V51" s="38" t="str">
        <f t="shared" si="2"/>
        <v/>
      </c>
      <c r="W51" s="38" t="str">
        <f>IF(AND(U51&lt;&gt;"",OR($S$4="(все)",B51=$S$4),IF($S$4="(все)",COUNTIF($U$4:U51,U51),COUNTIFS($U$4:U51,U51,$B$4:B51,B51))=1),MAX($W$3:W50)+1,"")</f>
        <v/>
      </c>
      <c r="X51" s="38" t="str">
        <f t="shared" si="3"/>
        <v/>
      </c>
      <c r="Y51" s="38" t="str">
        <f>IF(AND(A51="Аппарат",C51&lt;&gt;"",OR($S$5="(все)",B51=$S$5)),MAX($Y$3:Y50)+1,"")</f>
        <v/>
      </c>
      <c r="Z51" s="38" t="str">
        <f t="shared" si="4"/>
        <v/>
      </c>
      <c r="AA51" s="38" t="str">
        <f>IF(AND(A51="Модуль",C51&lt;&gt;"",OR($S$6="(все)",B51=$S$6)),MAX($AA$3:AA50)+1,"")</f>
        <v/>
      </c>
      <c r="AB51" s="38" t="str">
        <f t="shared" si="5"/>
        <v/>
      </c>
      <c r="AC51" s="38" t="str">
        <f>IF(OR(B51="",COUNTIF($B$4:B51,B51)&gt;1),"",MAX($AC$3:AC50)+1)</f>
        <v/>
      </c>
      <c r="AD51" s="38" t="str">
        <f t="shared" si="6"/>
        <v/>
      </c>
      <c r="AE51" s="38" t="str">
        <f t="shared" si="7"/>
        <v/>
      </c>
      <c r="AF51" s="38" t="str">
        <f t="shared" si="8"/>
        <v/>
      </c>
    </row>
    <row r="52" spans="1:32" x14ac:dyDescent="0.3">
      <c r="A52" s="74" t="s">
        <v>698</v>
      </c>
      <c r="B52" s="74" t="s">
        <v>285</v>
      </c>
      <c r="C52" s="74" t="s">
        <v>284</v>
      </c>
      <c r="D52" s="74"/>
      <c r="E52" s="74"/>
      <c r="F52" s="74"/>
      <c r="G52" s="74" t="s">
        <v>283</v>
      </c>
      <c r="H52" s="74" t="s">
        <v>284</v>
      </c>
      <c r="I52" s="74"/>
      <c r="J52" s="74"/>
      <c r="K52" s="74"/>
      <c r="L52" s="74"/>
      <c r="M52" s="74" t="s">
        <v>282</v>
      </c>
      <c r="N52" s="38" t="str">
        <f>IF(OR(A52="Автомат",A52="Дифавтомат"),IF(W52="","",COUNTIFS(Однолинейка!$H$3:$H$3000,U52,Однолинейка!$A$3:$A$3000,Щит_спец)),IF(A52="Аппарат",IF(C52="","",COUNTIFS(Однолинейка!$I$3:$I$3000,C52,Однолинейка!$A$3:$A$3000,Щит_спец)+COUNTIFS(Однолинейка!$J$3:$J$3000,C52,Однолинейка!$A$3:$A$3000,Щит_спец)+COUNTIFS(Однолинейка!$K$3:$K$3000,C52,Однолинейка!$A$3:$A$3000,Щит_спец)),IF(A52="Модуль",IF(C52="","",COUNTIFS(Однолинейка!$AW$3:$AW$3000,"?*",Однолинейка!$AI$3:$AI$3000,C52,Однолинейка!$A$3:$A$3000,Щит_спец)),IF(A52="Клемма",IF(C52="","",IF(C52=$S$7,SUMIFS(Однолинейка!$BW$3:$BW$3000,Однолинейка!$A$3:$A$3000,Щит_спец),IF(C52=$S$8,SUMIFS(Однолинейка!$BX$3:$BX$3000,Однолинейка!$A$3:$A$3000,Щит_спец),""))),""))))</f>
        <v/>
      </c>
      <c r="O52" s="74"/>
      <c r="P52" s="38" t="str">
        <f t="shared" si="0"/>
        <v/>
      </c>
      <c r="U52" s="38" t="str">
        <f t="shared" si="1"/>
        <v/>
      </c>
      <c r="V52" s="38" t="str">
        <f t="shared" si="2"/>
        <v/>
      </c>
      <c r="W52" s="38" t="str">
        <f>IF(AND(U52&lt;&gt;"",OR($S$4="(все)",B52=$S$4),IF($S$4="(все)",COUNTIF($U$4:U52,U52),COUNTIFS($U$4:U52,U52,$B$4:B52,B52))=1),MAX($W$3:W51)+1,"")</f>
        <v/>
      </c>
      <c r="X52" s="38" t="str">
        <f t="shared" si="3"/>
        <v/>
      </c>
      <c r="Y52" s="38" t="str">
        <f>IF(AND(A52="Аппарат",C52&lt;&gt;"",OR($S$5="(все)",B52=$S$5)),MAX($Y$3:Y51)+1,"")</f>
        <v/>
      </c>
      <c r="Z52" s="38" t="str">
        <f t="shared" si="4"/>
        <v/>
      </c>
      <c r="AA52" s="38" t="str">
        <f>IF(AND(A52="Модуль",C52&lt;&gt;"",OR($S$6="(все)",B52=$S$6)),MAX($AA$3:AA51)+1,"")</f>
        <v/>
      </c>
      <c r="AB52" s="38" t="str">
        <f t="shared" si="5"/>
        <v/>
      </c>
      <c r="AC52" s="38" t="str">
        <f>IF(OR(B52="",COUNTIF($B$4:B52,B52)&gt;1),"",MAX($AC$3:AC51)+1)</f>
        <v/>
      </c>
      <c r="AD52" s="38" t="str">
        <f t="shared" si="6"/>
        <v/>
      </c>
      <c r="AE52" s="38" t="str">
        <f t="shared" si="7"/>
        <v/>
      </c>
      <c r="AF52" s="38" t="str">
        <f t="shared" si="8"/>
        <v/>
      </c>
    </row>
    <row r="53" spans="1:32" x14ac:dyDescent="0.3">
      <c r="A53" s="74" t="s">
        <v>698</v>
      </c>
      <c r="B53" s="74" t="s">
        <v>285</v>
      </c>
      <c r="C53" s="74" t="s">
        <v>403</v>
      </c>
      <c r="D53" s="74"/>
      <c r="E53" s="74"/>
      <c r="F53" s="74"/>
      <c r="G53" s="74" t="s">
        <v>401</v>
      </c>
      <c r="H53" s="74" t="s">
        <v>403</v>
      </c>
      <c r="I53" s="74"/>
      <c r="J53" s="74"/>
      <c r="K53" s="74"/>
      <c r="L53" s="74"/>
      <c r="M53" s="74" t="s">
        <v>282</v>
      </c>
      <c r="N53" s="38" t="str">
        <f>IF(OR(A53="Автомат",A53="Дифавтомат"),IF(W53="","",COUNTIFS(Однолинейка!$H$3:$H$3000,U53,Однолинейка!$A$3:$A$3000,Щит_спец)),IF(A53="Аппарат",IF(C53="","",COUNTIFS(Однолинейка!$I$3:$I$3000,C53,Однолинейка!$A$3:$A$3000,Щит_спец)+COUNTIFS(Однолинейка!$J$3:$J$3000,C53,Однолинейка!$A$3:$A$3000,Щит_спец)+COUNTIFS(Однолинейка!$K$3:$K$3000,C53,Однолинейка!$A$3:$A$3000,Щит_спец)),IF(A53="Модуль",IF(C53="","",COUNTIFS(Однолинейка!$AW$3:$AW$3000,"?*",Однолинейка!$AI$3:$AI$3000,C53,Однолинейка!$A$3:$A$3000,Щит_спец)),IF(A53="Клемма",IF(C53="","",IF(C53=$S$7,SUMIFS(Однолинейка!$BW$3:$BW$3000,Однолинейка!$A$3:$A$3000,Щит_спец),IF(C53=$S$8,SUMIFS(Однолинейка!$BX$3:$BX$3000,Однолинейка!$A$3:$A$3000,Щит_спец),""))),""))))</f>
        <v/>
      </c>
      <c r="O53" s="74"/>
      <c r="P53" s="38" t="str">
        <f t="shared" si="0"/>
        <v/>
      </c>
      <c r="U53" s="38" t="str">
        <f t="shared" si="1"/>
        <v/>
      </c>
      <c r="V53" s="38" t="str">
        <f t="shared" si="2"/>
        <v/>
      </c>
      <c r="W53" s="38" t="str">
        <f>IF(AND(U53&lt;&gt;"",OR($S$4="(все)",B53=$S$4),IF($S$4="(все)",COUNTIF($U$4:U53,U53),COUNTIFS($U$4:U53,U53,$B$4:B53,B53))=1),MAX($W$3:W52)+1,"")</f>
        <v/>
      </c>
      <c r="X53" s="38" t="str">
        <f t="shared" si="3"/>
        <v/>
      </c>
      <c r="Y53" s="38" t="str">
        <f>IF(AND(A53="Аппарат",C53&lt;&gt;"",OR($S$5="(все)",B53=$S$5)),MAX($Y$3:Y52)+1,"")</f>
        <v/>
      </c>
      <c r="Z53" s="38" t="str">
        <f t="shared" si="4"/>
        <v/>
      </c>
      <c r="AA53" s="38" t="str">
        <f>IF(AND(A53="Модуль",C53&lt;&gt;"",OR($S$6="(все)",B53=$S$6)),MAX($AA$3:AA52)+1,"")</f>
        <v/>
      </c>
      <c r="AB53" s="38" t="str">
        <f t="shared" si="5"/>
        <v/>
      </c>
      <c r="AC53" s="38" t="str">
        <f>IF(OR(B53="",COUNTIF($B$4:B53,B53)&gt;1),"",MAX($AC$3:AC52)+1)</f>
        <v/>
      </c>
      <c r="AD53" s="38" t="str">
        <f t="shared" si="6"/>
        <v/>
      </c>
      <c r="AE53" s="38" t="str">
        <f t="shared" si="7"/>
        <v/>
      </c>
      <c r="AF53" s="38" t="str">
        <f t="shared" si="8"/>
        <v/>
      </c>
    </row>
    <row r="54" spans="1:32" x14ac:dyDescent="0.3">
      <c r="A54" s="74" t="s">
        <v>698</v>
      </c>
      <c r="B54" s="74" t="s">
        <v>285</v>
      </c>
      <c r="C54" s="74" t="s">
        <v>404</v>
      </c>
      <c r="D54" s="74"/>
      <c r="E54" s="74"/>
      <c r="F54" s="74"/>
      <c r="G54" s="74" t="s">
        <v>402</v>
      </c>
      <c r="H54" s="74" t="s">
        <v>404</v>
      </c>
      <c r="I54" s="74"/>
      <c r="J54" s="74"/>
      <c r="K54" s="74"/>
      <c r="L54" s="74"/>
      <c r="M54" s="74" t="s">
        <v>282</v>
      </c>
      <c r="N54" s="38" t="str">
        <f>IF(OR(A54="Автомат",A54="Дифавтомат"),IF(W54="","",COUNTIFS(Однолинейка!$H$3:$H$3000,U54,Однолинейка!$A$3:$A$3000,Щит_спец)),IF(A54="Аппарат",IF(C54="","",COUNTIFS(Однолинейка!$I$3:$I$3000,C54,Однолинейка!$A$3:$A$3000,Щит_спец)+COUNTIFS(Однолинейка!$J$3:$J$3000,C54,Однолинейка!$A$3:$A$3000,Щит_спец)+COUNTIFS(Однолинейка!$K$3:$K$3000,C54,Однолинейка!$A$3:$A$3000,Щит_спец)),IF(A54="Модуль",IF(C54="","",COUNTIFS(Однолинейка!$AW$3:$AW$3000,"?*",Однолинейка!$AI$3:$AI$3000,C54,Однолинейка!$A$3:$A$3000,Щит_спец)),IF(A54="Клемма",IF(C54="","",IF(C54=$S$7,SUMIFS(Однолинейка!$BW$3:$BW$3000,Однолинейка!$A$3:$A$3000,Щит_спец),IF(C54=$S$8,SUMIFS(Однолинейка!$BX$3:$BX$3000,Однолинейка!$A$3:$A$3000,Щит_спец),""))),""))))</f>
        <v/>
      </c>
      <c r="O54" s="74"/>
      <c r="P54" s="38" t="str">
        <f t="shared" si="0"/>
        <v/>
      </c>
      <c r="U54" s="38" t="str">
        <f t="shared" si="1"/>
        <v/>
      </c>
      <c r="V54" s="38" t="str">
        <f t="shared" si="2"/>
        <v/>
      </c>
      <c r="W54" s="38" t="str">
        <f>IF(AND(U54&lt;&gt;"",OR($S$4="(все)",B54=$S$4),IF($S$4="(все)",COUNTIF($U$4:U54,U54),COUNTIFS($U$4:U54,U54,$B$4:B54,B54))=1),MAX($W$3:W53)+1,"")</f>
        <v/>
      </c>
      <c r="X54" s="38" t="str">
        <f t="shared" si="3"/>
        <v/>
      </c>
      <c r="Y54" s="38" t="str">
        <f>IF(AND(A54="Аппарат",C54&lt;&gt;"",OR($S$5="(все)",B54=$S$5)),MAX($Y$3:Y53)+1,"")</f>
        <v/>
      </c>
      <c r="Z54" s="38" t="str">
        <f t="shared" si="4"/>
        <v/>
      </c>
      <c r="AA54" s="38" t="str">
        <f>IF(AND(A54="Модуль",C54&lt;&gt;"",OR($S$6="(все)",B54=$S$6)),MAX($AA$3:AA53)+1,"")</f>
        <v/>
      </c>
      <c r="AB54" s="38" t="str">
        <f t="shared" si="5"/>
        <v/>
      </c>
      <c r="AC54" s="38" t="str">
        <f>IF(OR(B54="",COUNTIF($B$4:B54,B54)&gt;1),"",MAX($AC$3:AC53)+1)</f>
        <v/>
      </c>
      <c r="AD54" s="38" t="str">
        <f t="shared" si="6"/>
        <v/>
      </c>
      <c r="AE54" s="38" t="str">
        <f t="shared" si="7"/>
        <v/>
      </c>
      <c r="AF54" s="38" t="str">
        <f t="shared" si="8"/>
        <v/>
      </c>
    </row>
    <row r="55" spans="1:32" x14ac:dyDescent="0.3">
      <c r="A55" s="74" t="s">
        <v>708</v>
      </c>
      <c r="B55" s="74" t="s">
        <v>287</v>
      </c>
      <c r="C55" s="74" t="s">
        <v>369</v>
      </c>
      <c r="D55" s="74"/>
      <c r="E55" s="74"/>
      <c r="F55" s="74"/>
      <c r="G55" s="74" t="s">
        <v>368</v>
      </c>
      <c r="H55" s="74" t="s">
        <v>369</v>
      </c>
      <c r="I55" s="74"/>
      <c r="J55" s="74"/>
      <c r="K55" s="74"/>
      <c r="L55" s="74"/>
      <c r="M55" s="74" t="s">
        <v>282</v>
      </c>
      <c r="N55" s="38" t="str">
        <f>IF(OR(A55="Автомат",A55="Дифавтомат"),IF(W55="","",COUNTIFS(Однолинейка!$H$3:$H$3000,U55,Однолинейка!$A$3:$A$3000,Щит_спец)),IF(A55="Аппарат",IF(C55="","",COUNTIFS(Однолинейка!$I$3:$I$3000,C55,Однолинейка!$A$3:$A$3000,Щит_спец)+COUNTIFS(Однолинейка!$J$3:$J$3000,C55,Однолинейка!$A$3:$A$3000,Щит_спец)+COUNTIFS(Однолинейка!$K$3:$K$3000,C55,Однолинейка!$A$3:$A$3000,Щит_спец)),IF(A55="Модуль",IF(C55="","",COUNTIFS(Однолинейка!$AW$3:$AW$3000,"?*",Однолинейка!$AI$3:$AI$3000,C55,Однолинейка!$A$3:$A$3000,Щит_спец)),IF(A55="Клемма",IF(C55="","",IF(C55=$S$7,SUMIFS(Однолинейка!$BW$3:$BW$3000,Однолинейка!$A$3:$A$3000,Щит_спец),IF(C55=$S$8,SUMIFS(Однолинейка!$BX$3:$BX$3000,Однолинейка!$A$3:$A$3000,Щит_спец),""))),""))))</f>
        <v/>
      </c>
      <c r="O55" s="74"/>
      <c r="P55" s="38" t="str">
        <f t="shared" si="0"/>
        <v/>
      </c>
      <c r="U55" s="38" t="str">
        <f t="shared" si="1"/>
        <v/>
      </c>
      <c r="V55" s="38" t="str">
        <f t="shared" si="2"/>
        <v/>
      </c>
      <c r="W55" s="38" t="str">
        <f>IF(AND(U55&lt;&gt;"",OR($S$4="(все)",B55=$S$4),IF($S$4="(все)",COUNTIF($U$4:U55,U55),COUNTIFS($U$4:U55,U55,$B$4:B55,B55))=1),MAX($W$3:W54)+1,"")</f>
        <v/>
      </c>
      <c r="X55" s="38" t="str">
        <f t="shared" si="3"/>
        <v/>
      </c>
      <c r="Y55" s="38" t="str">
        <f>IF(AND(A55="Аппарат",C55&lt;&gt;"",OR($S$5="(все)",B55=$S$5)),MAX($Y$3:Y54)+1,"")</f>
        <v/>
      </c>
      <c r="Z55" s="38" t="str">
        <f t="shared" si="4"/>
        <v/>
      </c>
      <c r="AA55" s="38" t="str">
        <f>IF(AND(A55="Модуль",C55&lt;&gt;"",OR($S$6="(все)",B55=$S$6)),MAX($AA$3:AA54)+1,"")</f>
        <v/>
      </c>
      <c r="AB55" s="38" t="str">
        <f t="shared" si="5"/>
        <v/>
      </c>
      <c r="AC55" s="38">
        <f>IF(OR(B55="",COUNTIF($B$4:B55,B55)&gt;1),"",MAX($AC$3:AC54)+1)</f>
        <v>7</v>
      </c>
      <c r="AD55" s="38" t="str">
        <f t="shared" si="6"/>
        <v/>
      </c>
      <c r="AE55" s="38" t="str">
        <f t="shared" si="7"/>
        <v/>
      </c>
      <c r="AF55" s="38" t="str">
        <f t="shared" si="8"/>
        <v/>
      </c>
    </row>
    <row r="56" spans="1:32" x14ac:dyDescent="0.3">
      <c r="A56" s="74" t="s">
        <v>708</v>
      </c>
      <c r="B56" s="74" t="s">
        <v>287</v>
      </c>
      <c r="C56" s="74" t="s">
        <v>371</v>
      </c>
      <c r="D56" s="74"/>
      <c r="E56" s="74"/>
      <c r="F56" s="74"/>
      <c r="G56" s="74" t="s">
        <v>370</v>
      </c>
      <c r="H56" s="74" t="s">
        <v>371</v>
      </c>
      <c r="I56" s="74"/>
      <c r="J56" s="74"/>
      <c r="K56" s="74"/>
      <c r="L56" s="74"/>
      <c r="M56" s="74" t="s">
        <v>282</v>
      </c>
      <c r="N56" s="38" t="str">
        <f>IF(OR(A56="Автомат",A56="Дифавтомат"),IF(W56="","",COUNTIFS(Однолинейка!$H$3:$H$3000,U56,Однолинейка!$A$3:$A$3000,Щит_спец)),IF(A56="Аппарат",IF(C56="","",COUNTIFS(Однолинейка!$I$3:$I$3000,C56,Однолинейка!$A$3:$A$3000,Щит_спец)+COUNTIFS(Однолинейка!$J$3:$J$3000,C56,Однолинейка!$A$3:$A$3000,Щит_спец)+COUNTIFS(Однолинейка!$K$3:$K$3000,C56,Однолинейка!$A$3:$A$3000,Щит_спец)),IF(A56="Модуль",IF(C56="","",COUNTIFS(Однолинейка!$AW$3:$AW$3000,"?*",Однолинейка!$AI$3:$AI$3000,C56,Однолинейка!$A$3:$A$3000,Щит_спец)),IF(A56="Клемма",IF(C56="","",IF(C56=$S$7,SUMIFS(Однолинейка!$BW$3:$BW$3000,Однолинейка!$A$3:$A$3000,Щит_спец),IF(C56=$S$8,SUMIFS(Однолинейка!$BX$3:$BX$3000,Однолинейка!$A$3:$A$3000,Щит_спец),""))),""))))</f>
        <v/>
      </c>
      <c r="O56" s="74"/>
      <c r="P56" s="38" t="str">
        <f t="shared" si="0"/>
        <v/>
      </c>
      <c r="U56" s="38" t="str">
        <f t="shared" si="1"/>
        <v/>
      </c>
      <c r="V56" s="38" t="str">
        <f t="shared" si="2"/>
        <v/>
      </c>
      <c r="W56" s="38" t="str">
        <f>IF(AND(U56&lt;&gt;"",OR($S$4="(все)",B56=$S$4),IF($S$4="(все)",COUNTIF($U$4:U56,U56),COUNTIFS($U$4:U56,U56,$B$4:B56,B56))=1),MAX($W$3:W55)+1,"")</f>
        <v/>
      </c>
      <c r="X56" s="38" t="str">
        <f t="shared" si="3"/>
        <v/>
      </c>
      <c r="Y56" s="38" t="str">
        <f>IF(AND(A56="Аппарат",C56&lt;&gt;"",OR($S$5="(все)",B56=$S$5)),MAX($Y$3:Y55)+1,"")</f>
        <v/>
      </c>
      <c r="Z56" s="38" t="str">
        <f t="shared" si="4"/>
        <v/>
      </c>
      <c r="AA56" s="38" t="str">
        <f>IF(AND(A56="Модуль",C56&lt;&gt;"",OR($S$6="(все)",B56=$S$6)),MAX($AA$3:AA55)+1,"")</f>
        <v/>
      </c>
      <c r="AB56" s="38" t="str">
        <f t="shared" si="5"/>
        <v/>
      </c>
      <c r="AC56" s="38" t="str">
        <f>IF(OR(B56="",COUNTIF($B$4:B56,B56)&gt;1),"",MAX($AC$3:AC55)+1)</f>
        <v/>
      </c>
      <c r="AD56" s="38" t="str">
        <f t="shared" si="6"/>
        <v/>
      </c>
      <c r="AE56" s="38" t="str">
        <f t="shared" si="7"/>
        <v/>
      </c>
      <c r="AF56" s="38" t="str">
        <f t="shared" si="8"/>
        <v/>
      </c>
    </row>
    <row r="57" spans="1:32" x14ac:dyDescent="0.3">
      <c r="A57" s="74" t="s">
        <v>437</v>
      </c>
      <c r="B57" s="74" t="s">
        <v>279</v>
      </c>
      <c r="C57" s="74" t="s">
        <v>312</v>
      </c>
      <c r="D57" s="74"/>
      <c r="E57" s="74"/>
      <c r="F57" s="74"/>
      <c r="G57" s="74" t="s">
        <v>311</v>
      </c>
      <c r="H57" s="74" t="s">
        <v>312</v>
      </c>
      <c r="I57" s="74"/>
      <c r="J57" s="74"/>
      <c r="K57" s="74"/>
      <c r="L57" s="74"/>
      <c r="M57" s="74" t="s">
        <v>282</v>
      </c>
      <c r="N57" s="38" t="str">
        <f>IF(OR(A57="Автомат",A57="Дифавтомат"),IF(W57="","",COUNTIFS(Однолинейка!$H$3:$H$3000,U57,Однолинейка!$A$3:$A$3000,Щит_спец)),IF(A57="Аппарат",IF(C57="","",COUNTIFS(Однолинейка!$I$3:$I$3000,C57,Однолинейка!$A$3:$A$3000,Щит_спец)+COUNTIFS(Однолинейка!$J$3:$J$3000,C57,Однолинейка!$A$3:$A$3000,Щит_спец)+COUNTIFS(Однолинейка!$K$3:$K$3000,C57,Однолинейка!$A$3:$A$3000,Щит_спец)),IF(A57="Модуль",IF(C57="","",COUNTIFS(Однолинейка!$AW$3:$AW$3000,"?*",Однолинейка!$AI$3:$AI$3000,C57,Однолинейка!$A$3:$A$3000,Щит_спец)),IF(A57="Клемма",IF(C57="","",IF(C57=$S$7,SUMIFS(Однолинейка!$BW$3:$BW$3000,Однолинейка!$A$3:$A$3000,Щит_спец),IF(C57=$S$8,SUMIFS(Однолинейка!$BX$3:$BX$3000,Однолинейка!$A$3:$A$3000,Щит_спец),""))),""))))</f>
        <v/>
      </c>
      <c r="O57" s="74"/>
      <c r="P57" s="38" t="str">
        <f t="shared" si="0"/>
        <v/>
      </c>
      <c r="U57" s="38" t="str">
        <f t="shared" si="1"/>
        <v/>
      </c>
      <c r="V57" s="38" t="str">
        <f t="shared" si="2"/>
        <v/>
      </c>
      <c r="W57" s="38" t="str">
        <f>IF(AND(U57&lt;&gt;"",OR($S$4="(все)",B57=$S$4),IF($S$4="(все)",COUNTIF($U$4:U57,U57),COUNTIFS($U$4:U57,U57,$B$4:B57,B57))=1),MAX($W$3:W56)+1,"")</f>
        <v/>
      </c>
      <c r="X57" s="38" t="str">
        <f t="shared" si="3"/>
        <v/>
      </c>
      <c r="Y57" s="38" t="str">
        <f>IF(AND(A57="Аппарат",C57&lt;&gt;"",OR($S$5="(все)",B57=$S$5)),MAX($Y$3:Y56)+1,"")</f>
        <v/>
      </c>
      <c r="Z57" s="38" t="str">
        <f t="shared" si="4"/>
        <v/>
      </c>
      <c r="AA57" s="38" t="str">
        <f>IF(AND(A57="Модуль",C57&lt;&gt;"",OR($S$6="(все)",B57=$S$6)),MAX($AA$3:AA56)+1,"")</f>
        <v/>
      </c>
      <c r="AB57" s="38" t="str">
        <f t="shared" si="5"/>
        <v/>
      </c>
      <c r="AC57" s="38" t="str">
        <f>IF(OR(B57="",COUNTIF($B$4:B57,B57)&gt;1),"",MAX($AC$3:AC56)+1)</f>
        <v/>
      </c>
      <c r="AD57" s="38" t="str">
        <f t="shared" si="6"/>
        <v/>
      </c>
      <c r="AE57" s="38" t="str">
        <f t="shared" si="7"/>
        <v/>
      </c>
      <c r="AF57" s="38" t="str">
        <f t="shared" si="8"/>
        <v/>
      </c>
    </row>
    <row r="58" spans="1:32" x14ac:dyDescent="0.3">
      <c r="A58" s="74" t="s">
        <v>437</v>
      </c>
      <c r="B58" s="74" t="s">
        <v>279</v>
      </c>
      <c r="C58" s="74" t="s">
        <v>314</v>
      </c>
      <c r="D58" s="74"/>
      <c r="E58" s="74"/>
      <c r="F58" s="74"/>
      <c r="G58" s="74" t="s">
        <v>313</v>
      </c>
      <c r="H58" s="74" t="s">
        <v>314</v>
      </c>
      <c r="I58" s="74"/>
      <c r="J58" s="74"/>
      <c r="K58" s="74"/>
      <c r="L58" s="74"/>
      <c r="M58" s="74" t="s">
        <v>282</v>
      </c>
      <c r="N58" s="38" t="str">
        <f>IF(OR(A58="Автомат",A58="Дифавтомат"),IF(W58="","",COUNTIFS(Однолинейка!$H$3:$H$3000,U58,Однолинейка!$A$3:$A$3000,Щит_спец)),IF(A58="Аппарат",IF(C58="","",COUNTIFS(Однолинейка!$I$3:$I$3000,C58,Однолинейка!$A$3:$A$3000,Щит_спец)+COUNTIFS(Однолинейка!$J$3:$J$3000,C58,Однолинейка!$A$3:$A$3000,Щит_спец)+COUNTIFS(Однолинейка!$K$3:$K$3000,C58,Однолинейка!$A$3:$A$3000,Щит_спец)),IF(A58="Модуль",IF(C58="","",COUNTIFS(Однолинейка!$AW$3:$AW$3000,"?*",Однолинейка!$AI$3:$AI$3000,C58,Однолинейка!$A$3:$A$3000,Щит_спец)),IF(A58="Клемма",IF(C58="","",IF(C58=$S$7,SUMIFS(Однолинейка!$BW$3:$BW$3000,Однолинейка!$A$3:$A$3000,Щит_спец),IF(C58=$S$8,SUMIFS(Однолинейка!$BX$3:$BX$3000,Однолинейка!$A$3:$A$3000,Щит_спец),""))),""))))</f>
        <v/>
      </c>
      <c r="O58" s="74"/>
      <c r="P58" s="38" t="str">
        <f t="shared" si="0"/>
        <v/>
      </c>
      <c r="U58" s="38" t="str">
        <f t="shared" si="1"/>
        <v/>
      </c>
      <c r="V58" s="38" t="str">
        <f t="shared" si="2"/>
        <v/>
      </c>
      <c r="W58" s="38" t="str">
        <f>IF(AND(U58&lt;&gt;"",OR($S$4="(все)",B58=$S$4),IF($S$4="(все)",COUNTIF($U$4:U58,U58),COUNTIFS($U$4:U58,U58,$B$4:B58,B58))=1),MAX($W$3:W57)+1,"")</f>
        <v/>
      </c>
      <c r="X58" s="38" t="str">
        <f t="shared" si="3"/>
        <v/>
      </c>
      <c r="Y58" s="38" t="str">
        <f>IF(AND(A58="Аппарат",C58&lt;&gt;"",OR($S$5="(все)",B58=$S$5)),MAX($Y$3:Y57)+1,"")</f>
        <v/>
      </c>
      <c r="Z58" s="38" t="str">
        <f t="shared" si="4"/>
        <v/>
      </c>
      <c r="AA58" s="38" t="str">
        <f>IF(AND(A58="Модуль",C58&lt;&gt;"",OR($S$6="(все)",B58=$S$6)),MAX($AA$3:AA57)+1,"")</f>
        <v/>
      </c>
      <c r="AB58" s="38" t="str">
        <f t="shared" si="5"/>
        <v/>
      </c>
      <c r="AC58" s="38" t="str">
        <f>IF(OR(B58="",COUNTIF($B$4:B58,B58)&gt;1),"",MAX($AC$3:AC57)+1)</f>
        <v/>
      </c>
      <c r="AD58" s="38" t="str">
        <f t="shared" si="6"/>
        <v/>
      </c>
      <c r="AE58" s="38" t="str">
        <f t="shared" si="7"/>
        <v/>
      </c>
      <c r="AF58" s="38" t="str">
        <f t="shared" si="8"/>
        <v/>
      </c>
    </row>
    <row r="59" spans="1:32" x14ac:dyDescent="0.3">
      <c r="A59" s="74" t="s">
        <v>437</v>
      </c>
      <c r="B59" s="74" t="s">
        <v>279</v>
      </c>
      <c r="C59" s="74" t="s">
        <v>316</v>
      </c>
      <c r="D59" s="74"/>
      <c r="E59" s="74"/>
      <c r="F59" s="74"/>
      <c r="G59" s="74" t="s">
        <v>315</v>
      </c>
      <c r="H59" s="74" t="s">
        <v>316</v>
      </c>
      <c r="I59" s="74"/>
      <c r="J59" s="74"/>
      <c r="K59" s="74"/>
      <c r="L59" s="74"/>
      <c r="M59" s="74" t="s">
        <v>282</v>
      </c>
      <c r="N59" s="38" t="str">
        <f>IF(OR(A59="Автомат",A59="Дифавтомат"),IF(W59="","",COUNTIFS(Однолинейка!$H$3:$H$3000,U59,Однолинейка!$A$3:$A$3000,Щит_спец)),IF(A59="Аппарат",IF(C59="","",COUNTIFS(Однолинейка!$I$3:$I$3000,C59,Однолинейка!$A$3:$A$3000,Щит_спец)+COUNTIFS(Однолинейка!$J$3:$J$3000,C59,Однолинейка!$A$3:$A$3000,Щит_спец)+COUNTIFS(Однолинейка!$K$3:$K$3000,C59,Однолинейка!$A$3:$A$3000,Щит_спец)),IF(A59="Модуль",IF(C59="","",COUNTIFS(Однолинейка!$AW$3:$AW$3000,"?*",Однолинейка!$AI$3:$AI$3000,C59,Однолинейка!$A$3:$A$3000,Щит_спец)),IF(A59="Клемма",IF(C59="","",IF(C59=$S$7,SUMIFS(Однолинейка!$BW$3:$BW$3000,Однолинейка!$A$3:$A$3000,Щит_спец),IF(C59=$S$8,SUMIFS(Однолинейка!$BX$3:$BX$3000,Однолинейка!$A$3:$A$3000,Щит_спец),""))),""))))</f>
        <v/>
      </c>
      <c r="O59" s="74"/>
      <c r="P59" s="38" t="str">
        <f t="shared" si="0"/>
        <v/>
      </c>
      <c r="U59" s="38" t="str">
        <f t="shared" si="1"/>
        <v/>
      </c>
      <c r="V59" s="38" t="str">
        <f t="shared" si="2"/>
        <v/>
      </c>
      <c r="W59" s="38" t="str">
        <f>IF(AND(U59&lt;&gt;"",OR($S$4="(все)",B59=$S$4),IF($S$4="(все)",COUNTIF($U$4:U59,U59),COUNTIFS($U$4:U59,U59,$B$4:B59,B59))=1),MAX($W$3:W58)+1,"")</f>
        <v/>
      </c>
      <c r="X59" s="38" t="str">
        <f t="shared" si="3"/>
        <v/>
      </c>
      <c r="Y59" s="38" t="str">
        <f>IF(AND(A59="Аппарат",C59&lt;&gt;"",OR($S$5="(все)",B59=$S$5)),MAX($Y$3:Y58)+1,"")</f>
        <v/>
      </c>
      <c r="Z59" s="38" t="str">
        <f t="shared" si="4"/>
        <v/>
      </c>
      <c r="AA59" s="38" t="str">
        <f>IF(AND(A59="Модуль",C59&lt;&gt;"",OR($S$6="(все)",B59=$S$6)),MAX($AA$3:AA58)+1,"")</f>
        <v/>
      </c>
      <c r="AB59" s="38" t="str">
        <f t="shared" si="5"/>
        <v/>
      </c>
      <c r="AC59" s="38" t="str">
        <f>IF(OR(B59="",COUNTIF($B$4:B59,B59)&gt;1),"",MAX($AC$3:AC58)+1)</f>
        <v/>
      </c>
      <c r="AD59" s="38" t="str">
        <f t="shared" si="6"/>
        <v/>
      </c>
      <c r="AE59" s="38" t="str">
        <f t="shared" si="7"/>
        <v/>
      </c>
      <c r="AF59" s="38" t="str">
        <f t="shared" si="8"/>
        <v/>
      </c>
    </row>
    <row r="60" spans="1:32" x14ac:dyDescent="0.3">
      <c r="A60" s="74" t="s">
        <v>437</v>
      </c>
      <c r="B60" s="74" t="s">
        <v>279</v>
      </c>
      <c r="C60" s="74" t="s">
        <v>386</v>
      </c>
      <c r="D60" s="74"/>
      <c r="E60" s="74"/>
      <c r="F60" s="74"/>
      <c r="G60" s="74" t="s">
        <v>385</v>
      </c>
      <c r="H60" s="74" t="s">
        <v>386</v>
      </c>
      <c r="I60" s="74"/>
      <c r="J60" s="74"/>
      <c r="K60" s="74"/>
      <c r="L60" s="74"/>
      <c r="M60" s="74" t="s">
        <v>282</v>
      </c>
      <c r="N60" s="38" t="str">
        <f>IF(OR(A60="Автомат",A60="Дифавтомат"),IF(W60="","",COUNTIFS(Однолинейка!$H$3:$H$3000,U60,Однолинейка!$A$3:$A$3000,Щит_спец)),IF(A60="Аппарат",IF(C60="","",COUNTIFS(Однолинейка!$I$3:$I$3000,C60,Однолинейка!$A$3:$A$3000,Щит_спец)+COUNTIFS(Однолинейка!$J$3:$J$3000,C60,Однолинейка!$A$3:$A$3000,Щит_спец)+COUNTIFS(Однолинейка!$K$3:$K$3000,C60,Однолинейка!$A$3:$A$3000,Щит_спец)),IF(A60="Модуль",IF(C60="","",COUNTIFS(Однолинейка!$AW$3:$AW$3000,"?*",Однолинейка!$AI$3:$AI$3000,C60,Однолинейка!$A$3:$A$3000,Щит_спец)),IF(A60="Клемма",IF(C60="","",IF(C60=$S$7,SUMIFS(Однолинейка!$BW$3:$BW$3000,Однолинейка!$A$3:$A$3000,Щит_спец),IF(C60=$S$8,SUMIFS(Однолинейка!$BX$3:$BX$3000,Однолинейка!$A$3:$A$3000,Щит_спец),""))),""))))</f>
        <v/>
      </c>
      <c r="O60" s="74"/>
      <c r="P60" s="38" t="str">
        <f t="shared" si="0"/>
        <v/>
      </c>
      <c r="U60" s="38" t="str">
        <f t="shared" si="1"/>
        <v/>
      </c>
      <c r="V60" s="38" t="str">
        <f t="shared" si="2"/>
        <v/>
      </c>
      <c r="W60" s="38" t="str">
        <f>IF(AND(U60&lt;&gt;"",OR($S$4="(все)",B60=$S$4),IF($S$4="(все)",COUNTIF($U$4:U60,U60),COUNTIFS($U$4:U60,U60,$B$4:B60,B60))=1),MAX($W$3:W59)+1,"")</f>
        <v/>
      </c>
      <c r="X60" s="38" t="str">
        <f t="shared" si="3"/>
        <v/>
      </c>
      <c r="Y60" s="38" t="str">
        <f>IF(AND(A60="Аппарат",C60&lt;&gt;"",OR($S$5="(все)",B60=$S$5)),MAX($Y$3:Y59)+1,"")</f>
        <v/>
      </c>
      <c r="Z60" s="38" t="str">
        <f t="shared" si="4"/>
        <v/>
      </c>
      <c r="AA60" s="38" t="str">
        <f>IF(AND(A60="Модуль",C60&lt;&gt;"",OR($S$6="(все)",B60=$S$6)),MAX($AA$3:AA59)+1,"")</f>
        <v/>
      </c>
      <c r="AB60" s="38" t="str">
        <f t="shared" si="5"/>
        <v/>
      </c>
      <c r="AC60" s="38" t="str">
        <f>IF(OR(B60="",COUNTIF($B$4:B60,B60)&gt;1),"",MAX($AC$3:AC59)+1)</f>
        <v/>
      </c>
      <c r="AD60" s="38" t="str">
        <f t="shared" si="6"/>
        <v/>
      </c>
      <c r="AE60" s="38" t="str">
        <f t="shared" si="7"/>
        <v/>
      </c>
      <c r="AF60" s="38" t="str">
        <f t="shared" si="8"/>
        <v/>
      </c>
    </row>
    <row r="61" spans="1:32" x14ac:dyDescent="0.3">
      <c r="A61" s="74" t="s">
        <v>437</v>
      </c>
      <c r="B61" s="74" t="s">
        <v>279</v>
      </c>
      <c r="C61" s="74" t="s">
        <v>388</v>
      </c>
      <c r="D61" s="74"/>
      <c r="E61" s="74"/>
      <c r="F61" s="74"/>
      <c r="G61" s="74" t="s">
        <v>387</v>
      </c>
      <c r="H61" s="74" t="s">
        <v>388</v>
      </c>
      <c r="I61" s="74"/>
      <c r="J61" s="74"/>
      <c r="K61" s="74"/>
      <c r="L61" s="74"/>
      <c r="M61" s="74" t="s">
        <v>282</v>
      </c>
      <c r="N61" s="38" t="str">
        <f>IF(OR(A61="Автомат",A61="Дифавтомат"),IF(W61="","",COUNTIFS(Однолинейка!$H$3:$H$3000,U61,Однолинейка!$A$3:$A$3000,Щит_спец)),IF(A61="Аппарат",IF(C61="","",COUNTIFS(Однолинейка!$I$3:$I$3000,C61,Однолинейка!$A$3:$A$3000,Щит_спец)+COUNTIFS(Однолинейка!$J$3:$J$3000,C61,Однолинейка!$A$3:$A$3000,Щит_спец)+COUNTIFS(Однолинейка!$K$3:$K$3000,C61,Однолинейка!$A$3:$A$3000,Щит_спец)),IF(A61="Модуль",IF(C61="","",COUNTIFS(Однолинейка!$AW$3:$AW$3000,"?*",Однолинейка!$AI$3:$AI$3000,C61,Однолинейка!$A$3:$A$3000,Щит_спец)),IF(A61="Клемма",IF(C61="","",IF(C61=$S$7,SUMIFS(Однолинейка!$BW$3:$BW$3000,Однолинейка!$A$3:$A$3000,Щит_спец),IF(C61=$S$8,SUMIFS(Однолинейка!$BX$3:$BX$3000,Однолинейка!$A$3:$A$3000,Щит_спец),""))),""))))</f>
        <v/>
      </c>
      <c r="O61" s="74"/>
      <c r="P61" s="38" t="str">
        <f t="shared" si="0"/>
        <v/>
      </c>
      <c r="U61" s="38" t="str">
        <f t="shared" si="1"/>
        <v/>
      </c>
      <c r="V61" s="38" t="str">
        <f t="shared" si="2"/>
        <v/>
      </c>
      <c r="W61" s="38" t="str">
        <f>IF(AND(U61&lt;&gt;"",OR($S$4="(все)",B61=$S$4),IF($S$4="(все)",COUNTIF($U$4:U61,U61),COUNTIFS($U$4:U61,U61,$B$4:B61,B61))=1),MAX($W$3:W60)+1,"")</f>
        <v/>
      </c>
      <c r="X61" s="38" t="str">
        <f t="shared" si="3"/>
        <v/>
      </c>
      <c r="Y61" s="38" t="str">
        <f>IF(AND(A61="Аппарат",C61&lt;&gt;"",OR($S$5="(все)",B61=$S$5)),MAX($Y$3:Y60)+1,"")</f>
        <v/>
      </c>
      <c r="Z61" s="38" t="str">
        <f t="shared" si="4"/>
        <v/>
      </c>
      <c r="AA61" s="38" t="str">
        <f>IF(AND(A61="Модуль",C61&lt;&gt;"",OR($S$6="(все)",B61=$S$6)),MAX($AA$3:AA60)+1,"")</f>
        <v/>
      </c>
      <c r="AB61" s="38" t="str">
        <f t="shared" si="5"/>
        <v/>
      </c>
      <c r="AC61" s="38" t="str">
        <f>IF(OR(B61="",COUNTIF($B$4:B61,B61)&gt;1),"",MAX($AC$3:AC60)+1)</f>
        <v/>
      </c>
      <c r="AD61" s="38" t="str">
        <f t="shared" si="6"/>
        <v/>
      </c>
      <c r="AE61" s="38" t="str">
        <f t="shared" si="7"/>
        <v/>
      </c>
      <c r="AF61" s="38" t="str">
        <f t="shared" si="8"/>
        <v/>
      </c>
    </row>
    <row r="62" spans="1:32" x14ac:dyDescent="0.3">
      <c r="A62" s="74" t="s">
        <v>437</v>
      </c>
      <c r="B62" s="74" t="s">
        <v>279</v>
      </c>
      <c r="C62" s="74" t="s">
        <v>390</v>
      </c>
      <c r="D62" s="74"/>
      <c r="E62" s="74"/>
      <c r="F62" s="74"/>
      <c r="G62" s="74" t="s">
        <v>389</v>
      </c>
      <c r="H62" s="74" t="s">
        <v>390</v>
      </c>
      <c r="I62" s="74"/>
      <c r="J62" s="74"/>
      <c r="K62" s="74"/>
      <c r="L62" s="74"/>
      <c r="M62" s="74" t="s">
        <v>282</v>
      </c>
      <c r="N62" s="38" t="str">
        <f>IF(OR(A62="Автомат",A62="Дифавтомат"),IF(W62="","",COUNTIFS(Однолинейка!$H$3:$H$3000,U62,Однолинейка!$A$3:$A$3000,Щит_спец)),IF(A62="Аппарат",IF(C62="","",COUNTIFS(Однолинейка!$I$3:$I$3000,C62,Однолинейка!$A$3:$A$3000,Щит_спец)+COUNTIFS(Однолинейка!$J$3:$J$3000,C62,Однолинейка!$A$3:$A$3000,Щит_спец)+COUNTIFS(Однолинейка!$K$3:$K$3000,C62,Однолинейка!$A$3:$A$3000,Щит_спец)),IF(A62="Модуль",IF(C62="","",COUNTIFS(Однолинейка!$AW$3:$AW$3000,"?*",Однолинейка!$AI$3:$AI$3000,C62,Однолинейка!$A$3:$A$3000,Щит_спец)),IF(A62="Клемма",IF(C62="","",IF(C62=$S$7,SUMIFS(Однолинейка!$BW$3:$BW$3000,Однолинейка!$A$3:$A$3000,Щит_спец),IF(C62=$S$8,SUMIFS(Однолинейка!$BX$3:$BX$3000,Однолинейка!$A$3:$A$3000,Щит_спец),""))),""))))</f>
        <v/>
      </c>
      <c r="O62" s="74"/>
      <c r="P62" s="38" t="str">
        <f t="shared" si="0"/>
        <v/>
      </c>
      <c r="U62" s="38" t="str">
        <f t="shared" si="1"/>
        <v/>
      </c>
      <c r="V62" s="38" t="str">
        <f t="shared" si="2"/>
        <v/>
      </c>
      <c r="W62" s="38" t="str">
        <f>IF(AND(U62&lt;&gt;"",OR($S$4="(все)",B62=$S$4),IF($S$4="(все)",COUNTIF($U$4:U62,U62),COUNTIFS($U$4:U62,U62,$B$4:B62,B62))=1),MAX($W$3:W61)+1,"")</f>
        <v/>
      </c>
      <c r="X62" s="38" t="str">
        <f t="shared" si="3"/>
        <v/>
      </c>
      <c r="Y62" s="38" t="str">
        <f>IF(AND(A62="Аппарат",C62&lt;&gt;"",OR($S$5="(все)",B62=$S$5)),MAX($Y$3:Y61)+1,"")</f>
        <v/>
      </c>
      <c r="Z62" s="38" t="str">
        <f t="shared" si="4"/>
        <v/>
      </c>
      <c r="AA62" s="38" t="str">
        <f>IF(AND(A62="Модуль",C62&lt;&gt;"",OR($S$6="(все)",B62=$S$6)),MAX($AA$3:AA61)+1,"")</f>
        <v/>
      </c>
      <c r="AB62" s="38" t="str">
        <f t="shared" si="5"/>
        <v/>
      </c>
      <c r="AC62" s="38" t="str">
        <f>IF(OR(B62="",COUNTIF($B$4:B62,B62)&gt;1),"",MAX($AC$3:AC61)+1)</f>
        <v/>
      </c>
      <c r="AD62" s="38" t="str">
        <f t="shared" si="6"/>
        <v/>
      </c>
      <c r="AE62" s="38" t="str">
        <f t="shared" si="7"/>
        <v/>
      </c>
      <c r="AF62" s="38" t="str">
        <f t="shared" si="8"/>
        <v/>
      </c>
    </row>
    <row r="63" spans="1:32" x14ac:dyDescent="0.3">
      <c r="A63" s="74" t="s">
        <v>437</v>
      </c>
      <c r="B63" s="74" t="s">
        <v>279</v>
      </c>
      <c r="C63" s="74" t="s">
        <v>393</v>
      </c>
      <c r="D63" s="74"/>
      <c r="E63" s="74"/>
      <c r="F63" s="74"/>
      <c r="G63" s="74" t="s">
        <v>392</v>
      </c>
      <c r="H63" s="74" t="s">
        <v>393</v>
      </c>
      <c r="I63" s="74"/>
      <c r="J63" s="74"/>
      <c r="K63" s="74"/>
      <c r="L63" s="74"/>
      <c r="M63" s="74" t="s">
        <v>282</v>
      </c>
      <c r="N63" s="38" t="str">
        <f>IF(OR(A63="Автомат",A63="Дифавтомат"),IF(W63="","",COUNTIFS(Однолинейка!$H$3:$H$3000,U63,Однолинейка!$A$3:$A$3000,Щит_спец)),IF(A63="Аппарат",IF(C63="","",COUNTIFS(Однолинейка!$I$3:$I$3000,C63,Однолинейка!$A$3:$A$3000,Щит_спец)+COUNTIFS(Однолинейка!$J$3:$J$3000,C63,Однолинейка!$A$3:$A$3000,Щит_спец)+COUNTIFS(Однолинейка!$K$3:$K$3000,C63,Однолинейка!$A$3:$A$3000,Щит_спец)),IF(A63="Модуль",IF(C63="","",COUNTIFS(Однолинейка!$AW$3:$AW$3000,"?*",Однолинейка!$AI$3:$AI$3000,C63,Однолинейка!$A$3:$A$3000,Щит_спец)),IF(A63="Клемма",IF(C63="","",IF(C63=$S$7,SUMIFS(Однолинейка!$BW$3:$BW$3000,Однолинейка!$A$3:$A$3000,Щит_спец),IF(C63=$S$8,SUMIFS(Однолинейка!$BX$3:$BX$3000,Однолинейка!$A$3:$A$3000,Щит_спец),""))),""))))</f>
        <v/>
      </c>
      <c r="O63" s="74"/>
      <c r="P63" s="38" t="str">
        <f t="shared" si="0"/>
        <v/>
      </c>
      <c r="U63" s="38" t="str">
        <f t="shared" si="1"/>
        <v/>
      </c>
      <c r="V63" s="38" t="str">
        <f t="shared" si="2"/>
        <v/>
      </c>
      <c r="W63" s="38" t="str">
        <f>IF(AND(U63&lt;&gt;"",OR($S$4="(все)",B63=$S$4),IF($S$4="(все)",COUNTIF($U$4:U63,U63),COUNTIFS($U$4:U63,U63,$B$4:B63,B63))=1),MAX($W$3:W62)+1,"")</f>
        <v/>
      </c>
      <c r="X63" s="38" t="str">
        <f t="shared" si="3"/>
        <v/>
      </c>
      <c r="Y63" s="38" t="str">
        <f>IF(AND(A63="Аппарат",C63&lt;&gt;"",OR($S$5="(все)",B63=$S$5)),MAX($Y$3:Y62)+1,"")</f>
        <v/>
      </c>
      <c r="Z63" s="38" t="str">
        <f t="shared" si="4"/>
        <v/>
      </c>
      <c r="AA63" s="38" t="str">
        <f>IF(AND(A63="Модуль",C63&lt;&gt;"",OR($S$6="(все)",B63=$S$6)),MAX($AA$3:AA62)+1,"")</f>
        <v/>
      </c>
      <c r="AB63" s="38" t="str">
        <f t="shared" si="5"/>
        <v/>
      </c>
      <c r="AC63" s="38" t="str">
        <f>IF(OR(B63="",COUNTIF($B$4:B63,B63)&gt;1),"",MAX($AC$3:AC62)+1)</f>
        <v/>
      </c>
      <c r="AD63" s="38" t="str">
        <f t="shared" si="6"/>
        <v/>
      </c>
      <c r="AE63" s="38" t="str">
        <f t="shared" si="7"/>
        <v/>
      </c>
      <c r="AF63" s="38" t="str">
        <f t="shared" si="8"/>
        <v/>
      </c>
    </row>
    <row r="64" spans="1:32" x14ac:dyDescent="0.3">
      <c r="A64" s="74" t="s">
        <v>437</v>
      </c>
      <c r="B64" s="74" t="s">
        <v>279</v>
      </c>
      <c r="C64" s="74" t="s">
        <v>395</v>
      </c>
      <c r="D64" s="74"/>
      <c r="E64" s="74"/>
      <c r="F64" s="74"/>
      <c r="G64" s="74" t="s">
        <v>394</v>
      </c>
      <c r="H64" s="74" t="s">
        <v>395</v>
      </c>
      <c r="I64" s="74"/>
      <c r="J64" s="74"/>
      <c r="K64" s="74"/>
      <c r="L64" s="74"/>
      <c r="M64" s="74" t="s">
        <v>282</v>
      </c>
      <c r="N64" s="38" t="str">
        <f>IF(OR(A64="Автомат",A64="Дифавтомат"),IF(W64="","",COUNTIFS(Однолинейка!$H$3:$H$3000,U64,Однолинейка!$A$3:$A$3000,Щит_спец)),IF(A64="Аппарат",IF(C64="","",COUNTIFS(Однолинейка!$I$3:$I$3000,C64,Однолинейка!$A$3:$A$3000,Щит_спец)+COUNTIFS(Однолинейка!$J$3:$J$3000,C64,Однолинейка!$A$3:$A$3000,Щит_спец)+COUNTIFS(Однолинейка!$K$3:$K$3000,C64,Однолинейка!$A$3:$A$3000,Щит_спец)),IF(A64="Модуль",IF(C64="","",COUNTIFS(Однолинейка!$AW$3:$AW$3000,"?*",Однолинейка!$AI$3:$AI$3000,C64,Однолинейка!$A$3:$A$3000,Щит_спец)),IF(A64="Клемма",IF(C64="","",IF(C64=$S$7,SUMIFS(Однолинейка!$BW$3:$BW$3000,Однолинейка!$A$3:$A$3000,Щит_спец),IF(C64=$S$8,SUMIFS(Однолинейка!$BX$3:$BX$3000,Однолинейка!$A$3:$A$3000,Щит_спец),""))),""))))</f>
        <v/>
      </c>
      <c r="O64" s="74"/>
      <c r="P64" s="38" t="str">
        <f t="shared" si="0"/>
        <v/>
      </c>
      <c r="U64" s="38" t="str">
        <f t="shared" si="1"/>
        <v/>
      </c>
      <c r="V64" s="38" t="str">
        <f t="shared" si="2"/>
        <v/>
      </c>
      <c r="W64" s="38" t="str">
        <f>IF(AND(U64&lt;&gt;"",OR($S$4="(все)",B64=$S$4),IF($S$4="(все)",COUNTIF($U$4:U64,U64),COUNTIFS($U$4:U64,U64,$B$4:B64,B64))=1),MAX($W$3:W63)+1,"")</f>
        <v/>
      </c>
      <c r="X64" s="38" t="str">
        <f t="shared" si="3"/>
        <v/>
      </c>
      <c r="Y64" s="38" t="str">
        <f>IF(AND(A64="Аппарат",C64&lt;&gt;"",OR($S$5="(все)",B64=$S$5)),MAX($Y$3:Y63)+1,"")</f>
        <v/>
      </c>
      <c r="Z64" s="38" t="str">
        <f t="shared" si="4"/>
        <v/>
      </c>
      <c r="AA64" s="38" t="str">
        <f>IF(AND(A64="Модуль",C64&lt;&gt;"",OR($S$6="(все)",B64=$S$6)),MAX($AA$3:AA63)+1,"")</f>
        <v/>
      </c>
      <c r="AB64" s="38" t="str">
        <f t="shared" si="5"/>
        <v/>
      </c>
      <c r="AC64" s="38" t="str">
        <f>IF(OR(B64="",COUNTIF($B$4:B64,B64)&gt;1),"",MAX($AC$3:AC63)+1)</f>
        <v/>
      </c>
      <c r="AD64" s="38" t="str">
        <f t="shared" si="6"/>
        <v/>
      </c>
      <c r="AE64" s="38" t="str">
        <f t="shared" si="7"/>
        <v/>
      </c>
      <c r="AF64" s="38" t="str">
        <f t="shared" si="8"/>
        <v/>
      </c>
    </row>
    <row r="65" spans="1:32" x14ac:dyDescent="0.3">
      <c r="A65" s="74" t="s">
        <v>437</v>
      </c>
      <c r="B65" s="74" t="s">
        <v>279</v>
      </c>
      <c r="C65" s="74" t="s">
        <v>397</v>
      </c>
      <c r="D65" s="74"/>
      <c r="E65" s="74"/>
      <c r="F65" s="74"/>
      <c r="G65" s="74" t="s">
        <v>396</v>
      </c>
      <c r="H65" s="74" t="s">
        <v>397</v>
      </c>
      <c r="I65" s="74"/>
      <c r="J65" s="74"/>
      <c r="K65" s="74"/>
      <c r="L65" s="74"/>
      <c r="M65" s="74" t="s">
        <v>282</v>
      </c>
      <c r="N65" s="38" t="str">
        <f>IF(OR(A65="Автомат",A65="Дифавтомат"),IF(W65="","",COUNTIFS(Однолинейка!$H$3:$H$3000,U65,Однолинейка!$A$3:$A$3000,Щит_спец)),IF(A65="Аппарат",IF(C65="","",COUNTIFS(Однолинейка!$I$3:$I$3000,C65,Однолинейка!$A$3:$A$3000,Щит_спец)+COUNTIFS(Однолинейка!$J$3:$J$3000,C65,Однолинейка!$A$3:$A$3000,Щит_спец)+COUNTIFS(Однолинейка!$K$3:$K$3000,C65,Однолинейка!$A$3:$A$3000,Щит_спец)),IF(A65="Модуль",IF(C65="","",COUNTIFS(Однолинейка!$AW$3:$AW$3000,"?*",Однолинейка!$AI$3:$AI$3000,C65,Однолинейка!$A$3:$A$3000,Щит_спец)),IF(A65="Клемма",IF(C65="","",IF(C65=$S$7,SUMIFS(Однолинейка!$BW$3:$BW$3000,Однолинейка!$A$3:$A$3000,Щит_спец),IF(C65=$S$8,SUMIFS(Однолинейка!$BX$3:$BX$3000,Однолинейка!$A$3:$A$3000,Щит_спец),""))),""))))</f>
        <v/>
      </c>
      <c r="O65" s="74"/>
      <c r="P65" s="38" t="str">
        <f t="shared" si="0"/>
        <v/>
      </c>
      <c r="U65" s="38" t="str">
        <f t="shared" si="1"/>
        <v/>
      </c>
      <c r="V65" s="38" t="str">
        <f t="shared" si="2"/>
        <v/>
      </c>
      <c r="W65" s="38" t="str">
        <f>IF(AND(U65&lt;&gt;"",OR($S$4="(все)",B65=$S$4),IF($S$4="(все)",COUNTIF($U$4:U65,U65),COUNTIFS($U$4:U65,U65,$B$4:B65,B65))=1),MAX($W$3:W64)+1,"")</f>
        <v/>
      </c>
      <c r="X65" s="38" t="str">
        <f t="shared" si="3"/>
        <v/>
      </c>
      <c r="Y65" s="38" t="str">
        <f>IF(AND(A65="Аппарат",C65&lt;&gt;"",OR($S$5="(все)",B65=$S$5)),MAX($Y$3:Y64)+1,"")</f>
        <v/>
      </c>
      <c r="Z65" s="38" t="str">
        <f t="shared" si="4"/>
        <v/>
      </c>
      <c r="AA65" s="38" t="str">
        <f>IF(AND(A65="Модуль",C65&lt;&gt;"",OR($S$6="(все)",B65=$S$6)),MAX($AA$3:AA64)+1,"")</f>
        <v/>
      </c>
      <c r="AB65" s="38" t="str">
        <f t="shared" si="5"/>
        <v/>
      </c>
      <c r="AC65" s="38" t="str">
        <f>IF(OR(B65="",COUNTIF($B$4:B65,B65)&gt;1),"",MAX($AC$3:AC64)+1)</f>
        <v/>
      </c>
      <c r="AD65" s="38" t="str">
        <f t="shared" si="6"/>
        <v/>
      </c>
      <c r="AE65" s="38" t="str">
        <f t="shared" si="7"/>
        <v/>
      </c>
      <c r="AF65" s="38" t="str">
        <f t="shared" si="8"/>
        <v/>
      </c>
    </row>
    <row r="66" spans="1:32" x14ac:dyDescent="0.3">
      <c r="A66" s="74" t="s">
        <v>437</v>
      </c>
      <c r="B66" s="74" t="s">
        <v>279</v>
      </c>
      <c r="C66" s="74" t="s">
        <v>321</v>
      </c>
      <c r="D66" s="74"/>
      <c r="E66" s="74"/>
      <c r="F66" s="74"/>
      <c r="G66" s="74" t="s">
        <v>320</v>
      </c>
      <c r="H66" s="74" t="s">
        <v>321</v>
      </c>
      <c r="I66" s="74"/>
      <c r="J66" s="74"/>
      <c r="K66" s="74"/>
      <c r="L66" s="74"/>
      <c r="M66" s="74" t="s">
        <v>282</v>
      </c>
      <c r="N66" s="38" t="str">
        <f>IF(OR(A66="Автомат",A66="Дифавтомат"),IF(W66="","",COUNTIFS(Однолинейка!$H$3:$H$3000,U66,Однолинейка!$A$3:$A$3000,Щит_спец)),IF(A66="Аппарат",IF(C66="","",COUNTIFS(Однолинейка!$I$3:$I$3000,C66,Однолинейка!$A$3:$A$3000,Щит_спец)+COUNTIFS(Однолинейка!$J$3:$J$3000,C66,Однолинейка!$A$3:$A$3000,Щит_спец)+COUNTIFS(Однолинейка!$K$3:$K$3000,C66,Однолинейка!$A$3:$A$3000,Щит_спец)),IF(A66="Модуль",IF(C66="","",COUNTIFS(Однолинейка!$AW$3:$AW$3000,"?*",Однолинейка!$AI$3:$AI$3000,C66,Однолинейка!$A$3:$A$3000,Щит_спец)),IF(A66="Клемма",IF(C66="","",IF(C66=$S$7,SUMIFS(Однолинейка!$BW$3:$BW$3000,Однолинейка!$A$3:$A$3000,Щит_спец),IF(C66=$S$8,SUMIFS(Однолинейка!$BX$3:$BX$3000,Однолинейка!$A$3:$A$3000,Щит_спец),""))),""))))</f>
        <v/>
      </c>
      <c r="O66" s="74"/>
      <c r="P66" s="38" t="str">
        <f t="shared" si="0"/>
        <v/>
      </c>
      <c r="U66" s="38" t="str">
        <f t="shared" si="1"/>
        <v/>
      </c>
      <c r="V66" s="38" t="str">
        <f t="shared" si="2"/>
        <v/>
      </c>
      <c r="W66" s="38" t="str">
        <f>IF(AND(U66&lt;&gt;"",OR($S$4="(все)",B66=$S$4),IF($S$4="(все)",COUNTIF($U$4:U66,U66),COUNTIFS($U$4:U66,U66,$B$4:B66,B66))=1),MAX($W$3:W65)+1,"")</f>
        <v/>
      </c>
      <c r="X66" s="38" t="str">
        <f t="shared" si="3"/>
        <v/>
      </c>
      <c r="Y66" s="38" t="str">
        <f>IF(AND(A66="Аппарат",C66&lt;&gt;"",OR($S$5="(все)",B66=$S$5)),MAX($Y$3:Y65)+1,"")</f>
        <v/>
      </c>
      <c r="Z66" s="38" t="str">
        <f t="shared" si="4"/>
        <v/>
      </c>
      <c r="AA66" s="38" t="str">
        <f>IF(AND(A66="Модуль",C66&lt;&gt;"",OR($S$6="(все)",B66=$S$6)),MAX($AA$3:AA65)+1,"")</f>
        <v/>
      </c>
      <c r="AB66" s="38" t="str">
        <f t="shared" si="5"/>
        <v/>
      </c>
      <c r="AC66" s="38" t="str">
        <f>IF(OR(B66="",COUNTIF($B$4:B66,B66)&gt;1),"",MAX($AC$3:AC65)+1)</f>
        <v/>
      </c>
      <c r="AD66" s="38" t="str">
        <f t="shared" si="6"/>
        <v/>
      </c>
      <c r="AE66" s="38" t="str">
        <f t="shared" si="7"/>
        <v/>
      </c>
      <c r="AF66" s="38" t="str">
        <f t="shared" si="8"/>
        <v/>
      </c>
    </row>
    <row r="67" spans="1:32" x14ac:dyDescent="0.3">
      <c r="A67" s="74" t="s">
        <v>437</v>
      </c>
      <c r="B67" s="74" t="s">
        <v>279</v>
      </c>
      <c r="C67" s="74" t="s">
        <v>323</v>
      </c>
      <c r="D67" s="74"/>
      <c r="E67" s="74"/>
      <c r="F67" s="74"/>
      <c r="G67" s="74" t="s">
        <v>322</v>
      </c>
      <c r="H67" s="74" t="s">
        <v>323</v>
      </c>
      <c r="I67" s="74"/>
      <c r="J67" s="74"/>
      <c r="K67" s="74"/>
      <c r="L67" s="74"/>
      <c r="M67" s="74" t="s">
        <v>282</v>
      </c>
      <c r="N67" s="38" t="str">
        <f>IF(OR(A67="Автомат",A67="Дифавтомат"),IF(W67="","",COUNTIFS(Однолинейка!$H$3:$H$3000,U67,Однолинейка!$A$3:$A$3000,Щит_спец)),IF(A67="Аппарат",IF(C67="","",COUNTIFS(Однолинейка!$I$3:$I$3000,C67,Однолинейка!$A$3:$A$3000,Щит_спец)+COUNTIFS(Однолинейка!$J$3:$J$3000,C67,Однолинейка!$A$3:$A$3000,Щит_спец)+COUNTIFS(Однолинейка!$K$3:$K$3000,C67,Однолинейка!$A$3:$A$3000,Щит_спец)),IF(A67="Модуль",IF(C67="","",COUNTIFS(Однолинейка!$AW$3:$AW$3000,"?*",Однолинейка!$AI$3:$AI$3000,C67,Однолинейка!$A$3:$A$3000,Щит_спец)),IF(A67="Клемма",IF(C67="","",IF(C67=$S$7,SUMIFS(Однолинейка!$BW$3:$BW$3000,Однолинейка!$A$3:$A$3000,Щит_спец),IF(C67=$S$8,SUMIFS(Однолинейка!$BX$3:$BX$3000,Однолинейка!$A$3:$A$3000,Щит_спец),""))),""))))</f>
        <v/>
      </c>
      <c r="O67" s="74"/>
      <c r="P67" s="38" t="str">
        <f t="shared" si="0"/>
        <v/>
      </c>
      <c r="U67" s="38" t="str">
        <f t="shared" si="1"/>
        <v/>
      </c>
      <c r="V67" s="38" t="str">
        <f t="shared" si="2"/>
        <v/>
      </c>
      <c r="W67" s="38" t="str">
        <f>IF(AND(U67&lt;&gt;"",OR($S$4="(все)",B67=$S$4),IF($S$4="(все)",COUNTIF($U$4:U67,U67),COUNTIFS($U$4:U67,U67,$B$4:B67,B67))=1),MAX($W$3:W66)+1,"")</f>
        <v/>
      </c>
      <c r="X67" s="38" t="str">
        <f t="shared" si="3"/>
        <v/>
      </c>
      <c r="Y67" s="38" t="str">
        <f>IF(AND(A67="Аппарат",C67&lt;&gt;"",OR($S$5="(все)",B67=$S$5)),MAX($Y$3:Y66)+1,"")</f>
        <v/>
      </c>
      <c r="Z67" s="38" t="str">
        <f t="shared" si="4"/>
        <v/>
      </c>
      <c r="AA67" s="38" t="str">
        <f>IF(AND(A67="Модуль",C67&lt;&gt;"",OR($S$6="(все)",B67=$S$6)),MAX($AA$3:AA66)+1,"")</f>
        <v/>
      </c>
      <c r="AB67" s="38" t="str">
        <f t="shared" si="5"/>
        <v/>
      </c>
      <c r="AC67" s="38" t="str">
        <f>IF(OR(B67="",COUNTIF($B$4:B67,B67)&gt;1),"",MAX($AC$3:AC66)+1)</f>
        <v/>
      </c>
      <c r="AD67" s="38" t="str">
        <f t="shared" si="6"/>
        <v/>
      </c>
      <c r="AE67" s="38" t="str">
        <f t="shared" si="7"/>
        <v/>
      </c>
      <c r="AF67" s="38" t="str">
        <f t="shared" si="8"/>
        <v/>
      </c>
    </row>
    <row r="68" spans="1:32" x14ac:dyDescent="0.3">
      <c r="A68" s="74" t="s">
        <v>711</v>
      </c>
      <c r="B68" s="74" t="s">
        <v>326</v>
      </c>
      <c r="C68" s="74" t="s">
        <v>325</v>
      </c>
      <c r="D68" s="74"/>
      <c r="E68" s="74"/>
      <c r="F68" s="74"/>
      <c r="G68" s="74" t="s">
        <v>324</v>
      </c>
      <c r="H68" s="74" t="s">
        <v>325</v>
      </c>
      <c r="I68" s="74"/>
      <c r="J68" s="74"/>
      <c r="K68" s="74"/>
      <c r="L68" s="74"/>
      <c r="M68" s="74" t="s">
        <v>327</v>
      </c>
      <c r="N68" s="38" t="str">
        <f>IF(OR(A68="Автомат",A68="Дифавтомат"),IF(W68="","",COUNTIFS(Однолинейка!$H$3:$H$3000,U68,Однолинейка!$A$3:$A$3000,Щит_спец)),IF(A68="Аппарат",IF(C68="","",COUNTIFS(Однолинейка!$I$3:$I$3000,C68,Однолинейка!$A$3:$A$3000,Щит_спец)+COUNTIFS(Однолинейка!$J$3:$J$3000,C68,Однолинейка!$A$3:$A$3000,Щит_спец)+COUNTIFS(Однолинейка!$K$3:$K$3000,C68,Однолинейка!$A$3:$A$3000,Щит_спец)),IF(A68="Модуль",IF(C68="","",COUNTIFS(Однолинейка!$AW$3:$AW$3000,"?*",Однолинейка!$AI$3:$AI$3000,C68,Однолинейка!$A$3:$A$3000,Щит_спец)),IF(A68="Клемма",IF(C68="","",IF(C68=$S$7,SUMIFS(Однолинейка!$BW$3:$BW$3000,Однолинейка!$A$3:$A$3000,Щит_спец),IF(C68=$S$8,SUMIFS(Однолинейка!$BX$3:$BX$3000,Однолинейка!$A$3:$A$3000,Щит_спец),""))),""))))</f>
        <v/>
      </c>
      <c r="O68" s="74"/>
      <c r="P68" s="38" t="str">
        <f t="shared" ref="P68:P131" si="9">IF(COUNT(N68,O68)=0,"",SUM(N68,O68))</f>
        <v/>
      </c>
      <c r="U68" s="38" t="str">
        <f t="shared" ref="U68:U131" si="10">IF(OR(A68="Автомат",A68="Дифавтомат"),I68&amp;" С"&amp;J68&amp;"А"&amp;IF(K68="да"," 30мА",IF(ISNUMBER(K68)," "&amp;K68&amp;"мА","")),"")</f>
        <v/>
      </c>
      <c r="V68" s="38" t="str">
        <f t="shared" ref="V68:V131" si="11">IF(U68="","",B68&amp;"|"&amp;U68)</f>
        <v/>
      </c>
      <c r="W68" s="38" t="str">
        <f>IF(AND(U68&lt;&gt;"",OR($S$4="(все)",B68=$S$4),IF($S$4="(все)",COUNTIF($U$4:U68,U68),COUNTIFS($U$4:U68,U68,$B$4:B68,B68))=1),MAX($W$3:W67)+1,"")</f>
        <v/>
      </c>
      <c r="X68" s="38" t="str">
        <f t="shared" ref="X68:X131" si="12">IFERROR(INDEX($U$4:$U$500,MATCH(ROW()-3,$W$4:$W$500,0)),"")</f>
        <v/>
      </c>
      <c r="Y68" s="38" t="str">
        <f>IF(AND(A68="Аппарат",C68&lt;&gt;"",OR($S$5="(все)",B68=$S$5)),MAX($Y$3:Y67)+1,"")</f>
        <v/>
      </c>
      <c r="Z68" s="38" t="str">
        <f t="shared" ref="Z68:Z131" si="13">IFERROR(INDEX($C$4:$C$500,MATCH(ROW()-3,$Y$4:$Y$500,0)),"")</f>
        <v/>
      </c>
      <c r="AA68" s="38" t="str">
        <f>IF(AND(A68="Модуль",C68&lt;&gt;"",OR($S$6="(все)",B68=$S$6)),MAX($AA$3:AA67)+1,"")</f>
        <v/>
      </c>
      <c r="AB68" s="38" t="str">
        <f t="shared" ref="AB68:AB131" si="14">IFERROR(INDEX($C$4:$C$500,MATCH(ROW()-3,$AA$4:$AA$500,0)),"")</f>
        <v/>
      </c>
      <c r="AC68" s="38">
        <f>IF(OR(B68="",COUNTIF($B$4:B68,B68)&gt;1),"",MAX($AC$3:AC67)+1)</f>
        <v>8</v>
      </c>
      <c r="AD68" s="38" t="str">
        <f t="shared" ref="AD68:AD131" si="15">IFERROR(INDEX($B$4:$B$500,MATCH(ROW()-3,$AC$4:$AC$500,0)),"")</f>
        <v/>
      </c>
      <c r="AE68" s="38" t="str">
        <f t="shared" ref="AE68:AE131" si="16">IF(AND(A68&lt;&gt;"",N(P68)&gt;0),IFERROR(MATCH(A68,$R$12:$R$25,0),99)*1000+ROW(),"")</f>
        <v/>
      </c>
      <c r="AF68" s="38" t="str">
        <f t="shared" ref="AF68:AF131" si="17">IF(AE68="","",COUNTIF($AE$4:$AE$500,"&lt;="&amp;AE68))</f>
        <v/>
      </c>
    </row>
    <row r="69" spans="1:32" x14ac:dyDescent="0.3">
      <c r="A69" s="74" t="s">
        <v>711</v>
      </c>
      <c r="B69" s="74" t="s">
        <v>326</v>
      </c>
      <c r="C69" s="74" t="s">
        <v>325</v>
      </c>
      <c r="D69" s="74"/>
      <c r="E69" s="74"/>
      <c r="F69" s="74"/>
      <c r="G69" s="74" t="s">
        <v>328</v>
      </c>
      <c r="H69" s="74" t="s">
        <v>325</v>
      </c>
      <c r="I69" s="74"/>
      <c r="J69" s="74"/>
      <c r="K69" s="74"/>
      <c r="L69" s="74"/>
      <c r="M69" s="74" t="s">
        <v>327</v>
      </c>
      <c r="N69" s="38" t="str">
        <f>IF(OR(A69="Автомат",A69="Дифавтомат"),IF(W69="","",COUNTIFS(Однолинейка!$H$3:$H$3000,U69,Однолинейка!$A$3:$A$3000,Щит_спец)),IF(A69="Аппарат",IF(C69="","",COUNTIFS(Однолинейка!$I$3:$I$3000,C69,Однолинейка!$A$3:$A$3000,Щит_спец)+COUNTIFS(Однолинейка!$J$3:$J$3000,C69,Однолинейка!$A$3:$A$3000,Щит_спец)+COUNTIFS(Однолинейка!$K$3:$K$3000,C69,Однолинейка!$A$3:$A$3000,Щит_спец)),IF(A69="Модуль",IF(C69="","",COUNTIFS(Однолинейка!$AW$3:$AW$3000,"?*",Однолинейка!$AI$3:$AI$3000,C69,Однолинейка!$A$3:$A$3000,Щит_спец)),IF(A69="Клемма",IF(C69="","",IF(C69=$S$7,SUMIFS(Однолинейка!$BW$3:$BW$3000,Однолинейка!$A$3:$A$3000,Щит_спец),IF(C69=$S$8,SUMIFS(Однолинейка!$BX$3:$BX$3000,Однолинейка!$A$3:$A$3000,Щит_спец),""))),""))))</f>
        <v/>
      </c>
      <c r="O69" s="74"/>
      <c r="P69" s="38" t="str">
        <f t="shared" si="9"/>
        <v/>
      </c>
      <c r="U69" s="38" t="str">
        <f t="shared" si="10"/>
        <v/>
      </c>
      <c r="V69" s="38" t="str">
        <f t="shared" si="11"/>
        <v/>
      </c>
      <c r="W69" s="38" t="str">
        <f>IF(AND(U69&lt;&gt;"",OR($S$4="(все)",B69=$S$4),IF($S$4="(все)",COUNTIF($U$4:U69,U69),COUNTIFS($U$4:U69,U69,$B$4:B69,B69))=1),MAX($W$3:W68)+1,"")</f>
        <v/>
      </c>
      <c r="X69" s="38" t="str">
        <f t="shared" si="12"/>
        <v/>
      </c>
      <c r="Y69" s="38" t="str">
        <f>IF(AND(A69="Аппарат",C69&lt;&gt;"",OR($S$5="(все)",B69=$S$5)),MAX($Y$3:Y68)+1,"")</f>
        <v/>
      </c>
      <c r="Z69" s="38" t="str">
        <f t="shared" si="13"/>
        <v/>
      </c>
      <c r="AA69" s="38" t="str">
        <f>IF(AND(A69="Модуль",C69&lt;&gt;"",OR($S$6="(все)",B69=$S$6)),MAX($AA$3:AA68)+1,"")</f>
        <v/>
      </c>
      <c r="AB69" s="38" t="str">
        <f t="shared" si="14"/>
        <v/>
      </c>
      <c r="AC69" s="38" t="str">
        <f>IF(OR(B69="",COUNTIF($B$4:B69,B69)&gt;1),"",MAX($AC$3:AC68)+1)</f>
        <v/>
      </c>
      <c r="AD69" s="38" t="str">
        <f t="shared" si="15"/>
        <v/>
      </c>
      <c r="AE69" s="38" t="str">
        <f t="shared" si="16"/>
        <v/>
      </c>
      <c r="AF69" s="38" t="str">
        <f t="shared" si="17"/>
        <v/>
      </c>
    </row>
    <row r="70" spans="1:32" x14ac:dyDescent="0.3">
      <c r="A70" s="74" t="s">
        <v>711</v>
      </c>
      <c r="B70" s="74" t="s">
        <v>326</v>
      </c>
      <c r="C70" s="74" t="s">
        <v>325</v>
      </c>
      <c r="D70" s="74"/>
      <c r="E70" s="74"/>
      <c r="F70" s="74"/>
      <c r="G70" s="74" t="s">
        <v>329</v>
      </c>
      <c r="H70" s="74" t="s">
        <v>325</v>
      </c>
      <c r="I70" s="74"/>
      <c r="J70" s="74"/>
      <c r="K70" s="74"/>
      <c r="L70" s="74"/>
      <c r="M70" s="74" t="s">
        <v>327</v>
      </c>
      <c r="N70" s="38" t="str">
        <f>IF(OR(A70="Автомат",A70="Дифавтомат"),IF(W70="","",COUNTIFS(Однолинейка!$H$3:$H$3000,U70,Однолинейка!$A$3:$A$3000,Щит_спец)),IF(A70="Аппарат",IF(C70="","",COUNTIFS(Однолинейка!$I$3:$I$3000,C70,Однолинейка!$A$3:$A$3000,Щит_спец)+COUNTIFS(Однолинейка!$J$3:$J$3000,C70,Однолинейка!$A$3:$A$3000,Щит_спец)+COUNTIFS(Однолинейка!$K$3:$K$3000,C70,Однолинейка!$A$3:$A$3000,Щит_спец)),IF(A70="Модуль",IF(C70="","",COUNTIFS(Однолинейка!$AW$3:$AW$3000,"?*",Однолинейка!$AI$3:$AI$3000,C70,Однолинейка!$A$3:$A$3000,Щит_спец)),IF(A70="Клемма",IF(C70="","",IF(C70=$S$7,SUMIFS(Однолинейка!$BW$3:$BW$3000,Однолинейка!$A$3:$A$3000,Щит_спец),IF(C70=$S$8,SUMIFS(Однолинейка!$BX$3:$BX$3000,Однолинейка!$A$3:$A$3000,Щит_спец),""))),""))))</f>
        <v/>
      </c>
      <c r="O70" s="74"/>
      <c r="P70" s="38" t="str">
        <f t="shared" si="9"/>
        <v/>
      </c>
      <c r="U70" s="38" t="str">
        <f t="shared" si="10"/>
        <v/>
      </c>
      <c r="V70" s="38" t="str">
        <f t="shared" si="11"/>
        <v/>
      </c>
      <c r="W70" s="38" t="str">
        <f>IF(AND(U70&lt;&gt;"",OR($S$4="(все)",B70=$S$4),IF($S$4="(все)",COUNTIF($U$4:U70,U70),COUNTIFS($U$4:U70,U70,$B$4:B70,B70))=1),MAX($W$3:W69)+1,"")</f>
        <v/>
      </c>
      <c r="X70" s="38" t="str">
        <f t="shared" si="12"/>
        <v/>
      </c>
      <c r="Y70" s="38" t="str">
        <f>IF(AND(A70="Аппарат",C70&lt;&gt;"",OR($S$5="(все)",B70=$S$5)),MAX($Y$3:Y69)+1,"")</f>
        <v/>
      </c>
      <c r="Z70" s="38" t="str">
        <f t="shared" si="13"/>
        <v/>
      </c>
      <c r="AA70" s="38" t="str">
        <f>IF(AND(A70="Модуль",C70&lt;&gt;"",OR($S$6="(все)",B70=$S$6)),MAX($AA$3:AA69)+1,"")</f>
        <v/>
      </c>
      <c r="AB70" s="38" t="str">
        <f t="shared" si="14"/>
        <v/>
      </c>
      <c r="AC70" s="38" t="str">
        <f>IF(OR(B70="",COUNTIF($B$4:B70,B70)&gt;1),"",MAX($AC$3:AC69)+1)</f>
        <v/>
      </c>
      <c r="AD70" s="38" t="str">
        <f t="shared" si="15"/>
        <v/>
      </c>
      <c r="AE70" s="38" t="str">
        <f t="shared" si="16"/>
        <v/>
      </c>
      <c r="AF70" s="38" t="str">
        <f t="shared" si="17"/>
        <v/>
      </c>
    </row>
    <row r="71" spans="1:32" x14ac:dyDescent="0.3">
      <c r="A71" s="74" t="s">
        <v>711</v>
      </c>
      <c r="B71" s="74" t="s">
        <v>326</v>
      </c>
      <c r="C71" s="74" t="s">
        <v>325</v>
      </c>
      <c r="D71" s="74"/>
      <c r="E71" s="74"/>
      <c r="F71" s="74"/>
      <c r="G71" s="74" t="s">
        <v>330</v>
      </c>
      <c r="H71" s="74" t="s">
        <v>325</v>
      </c>
      <c r="I71" s="74"/>
      <c r="J71" s="74"/>
      <c r="K71" s="74"/>
      <c r="L71" s="74"/>
      <c r="M71" s="74" t="s">
        <v>327</v>
      </c>
      <c r="N71" s="38" t="str">
        <f>IF(OR(A71="Автомат",A71="Дифавтомат"),IF(W71="","",COUNTIFS(Однолинейка!$H$3:$H$3000,U71,Однолинейка!$A$3:$A$3000,Щит_спец)),IF(A71="Аппарат",IF(C71="","",COUNTIFS(Однолинейка!$I$3:$I$3000,C71,Однолинейка!$A$3:$A$3000,Щит_спец)+COUNTIFS(Однолинейка!$J$3:$J$3000,C71,Однолинейка!$A$3:$A$3000,Щит_спец)+COUNTIFS(Однолинейка!$K$3:$K$3000,C71,Однолинейка!$A$3:$A$3000,Щит_спец)),IF(A71="Модуль",IF(C71="","",COUNTIFS(Однолинейка!$AW$3:$AW$3000,"?*",Однолинейка!$AI$3:$AI$3000,C71,Однолинейка!$A$3:$A$3000,Щит_спец)),IF(A71="Клемма",IF(C71="","",IF(C71=$S$7,SUMIFS(Однолинейка!$BW$3:$BW$3000,Однолинейка!$A$3:$A$3000,Щит_спец),IF(C71=$S$8,SUMIFS(Однолинейка!$BX$3:$BX$3000,Однолинейка!$A$3:$A$3000,Щит_спец),""))),""))))</f>
        <v/>
      </c>
      <c r="O71" s="74"/>
      <c r="P71" s="38" t="str">
        <f t="shared" si="9"/>
        <v/>
      </c>
      <c r="U71" s="38" t="str">
        <f t="shared" si="10"/>
        <v/>
      </c>
      <c r="V71" s="38" t="str">
        <f t="shared" si="11"/>
        <v/>
      </c>
      <c r="W71" s="38" t="str">
        <f>IF(AND(U71&lt;&gt;"",OR($S$4="(все)",B71=$S$4),IF($S$4="(все)",COUNTIF($U$4:U71,U71),COUNTIFS($U$4:U71,U71,$B$4:B71,B71))=1),MAX($W$3:W70)+1,"")</f>
        <v/>
      </c>
      <c r="X71" s="38" t="str">
        <f t="shared" si="12"/>
        <v/>
      </c>
      <c r="Y71" s="38" t="str">
        <f>IF(AND(A71="Аппарат",C71&lt;&gt;"",OR($S$5="(все)",B71=$S$5)),MAX($Y$3:Y70)+1,"")</f>
        <v/>
      </c>
      <c r="Z71" s="38" t="str">
        <f t="shared" si="13"/>
        <v/>
      </c>
      <c r="AA71" s="38" t="str">
        <f>IF(AND(A71="Модуль",C71&lt;&gt;"",OR($S$6="(все)",B71=$S$6)),MAX($AA$3:AA70)+1,"")</f>
        <v/>
      </c>
      <c r="AB71" s="38" t="str">
        <f t="shared" si="14"/>
        <v/>
      </c>
      <c r="AC71" s="38" t="str">
        <f>IF(OR(B71="",COUNTIF($B$4:B71,B71)&gt;1),"",MAX($AC$3:AC70)+1)</f>
        <v/>
      </c>
      <c r="AD71" s="38" t="str">
        <f t="shared" si="15"/>
        <v/>
      </c>
      <c r="AE71" s="38" t="str">
        <f t="shared" si="16"/>
        <v/>
      </c>
      <c r="AF71" s="38" t="str">
        <f t="shared" si="17"/>
        <v/>
      </c>
    </row>
    <row r="72" spans="1:32" x14ac:dyDescent="0.3">
      <c r="A72" s="74" t="s">
        <v>711</v>
      </c>
      <c r="B72" s="74" t="s">
        <v>326</v>
      </c>
      <c r="C72" s="74" t="s">
        <v>325</v>
      </c>
      <c r="D72" s="74"/>
      <c r="E72" s="74"/>
      <c r="F72" s="74"/>
      <c r="G72" s="74" t="s">
        <v>372</v>
      </c>
      <c r="H72" s="74" t="s">
        <v>325</v>
      </c>
      <c r="I72" s="74"/>
      <c r="J72" s="74"/>
      <c r="K72" s="74"/>
      <c r="L72" s="74"/>
      <c r="M72" s="74" t="s">
        <v>327</v>
      </c>
      <c r="N72" s="38" t="str">
        <f>IF(OR(A72="Автомат",A72="Дифавтомат"),IF(W72="","",COUNTIFS(Однолинейка!$H$3:$H$3000,U72,Однолинейка!$A$3:$A$3000,Щит_спец)),IF(A72="Аппарат",IF(C72="","",COUNTIFS(Однолинейка!$I$3:$I$3000,C72,Однолинейка!$A$3:$A$3000,Щит_спец)+COUNTIFS(Однолинейка!$J$3:$J$3000,C72,Однолинейка!$A$3:$A$3000,Щит_спец)+COUNTIFS(Однолинейка!$K$3:$K$3000,C72,Однолинейка!$A$3:$A$3000,Щит_спец)),IF(A72="Модуль",IF(C72="","",COUNTIFS(Однолинейка!$AW$3:$AW$3000,"?*",Однолинейка!$AI$3:$AI$3000,C72,Однолинейка!$A$3:$A$3000,Щит_спец)),IF(A72="Клемма",IF(C72="","",IF(C72=$S$7,SUMIFS(Однолинейка!$BW$3:$BW$3000,Однолинейка!$A$3:$A$3000,Щит_спец),IF(C72=$S$8,SUMIFS(Однолинейка!$BX$3:$BX$3000,Однолинейка!$A$3:$A$3000,Щит_спец),""))),""))))</f>
        <v/>
      </c>
      <c r="O72" s="74"/>
      <c r="P72" s="38" t="str">
        <f t="shared" si="9"/>
        <v/>
      </c>
      <c r="U72" s="38" t="str">
        <f t="shared" si="10"/>
        <v/>
      </c>
      <c r="V72" s="38" t="str">
        <f t="shared" si="11"/>
        <v/>
      </c>
      <c r="W72" s="38" t="str">
        <f>IF(AND(U72&lt;&gt;"",OR($S$4="(все)",B72=$S$4),IF($S$4="(все)",COUNTIF($U$4:U72,U72),COUNTIFS($U$4:U72,U72,$B$4:B72,B72))=1),MAX($W$3:W71)+1,"")</f>
        <v/>
      </c>
      <c r="X72" s="38" t="str">
        <f t="shared" si="12"/>
        <v/>
      </c>
      <c r="Y72" s="38" t="str">
        <f>IF(AND(A72="Аппарат",C72&lt;&gt;"",OR($S$5="(все)",B72=$S$5)),MAX($Y$3:Y71)+1,"")</f>
        <v/>
      </c>
      <c r="Z72" s="38" t="str">
        <f t="shared" si="13"/>
        <v/>
      </c>
      <c r="AA72" s="38" t="str">
        <f>IF(AND(A72="Модуль",C72&lt;&gt;"",OR($S$6="(все)",B72=$S$6)),MAX($AA$3:AA71)+1,"")</f>
        <v/>
      </c>
      <c r="AB72" s="38" t="str">
        <f t="shared" si="14"/>
        <v/>
      </c>
      <c r="AC72" s="38" t="str">
        <f>IF(OR(B72="",COUNTIF($B$4:B72,B72)&gt;1),"",MAX($AC$3:AC71)+1)</f>
        <v/>
      </c>
      <c r="AD72" s="38" t="str">
        <f t="shared" si="15"/>
        <v/>
      </c>
      <c r="AE72" s="38" t="str">
        <f t="shared" si="16"/>
        <v/>
      </c>
      <c r="AF72" s="38" t="str">
        <f t="shared" si="17"/>
        <v/>
      </c>
    </row>
    <row r="73" spans="1:32" x14ac:dyDescent="0.3">
      <c r="A73" s="74" t="s">
        <v>711</v>
      </c>
      <c r="B73" s="74" t="s">
        <v>326</v>
      </c>
      <c r="C73" s="74" t="s">
        <v>332</v>
      </c>
      <c r="D73" s="74"/>
      <c r="E73" s="74"/>
      <c r="F73" s="74"/>
      <c r="G73" s="74" t="s">
        <v>331</v>
      </c>
      <c r="H73" s="74" t="s">
        <v>332</v>
      </c>
      <c r="I73" s="74"/>
      <c r="J73" s="74"/>
      <c r="K73" s="74"/>
      <c r="L73" s="74"/>
      <c r="M73" s="74" t="s">
        <v>327</v>
      </c>
      <c r="N73" s="38" t="str">
        <f>IF(OR(A73="Автомат",A73="Дифавтомат"),IF(W73="","",COUNTIFS(Однолинейка!$H$3:$H$3000,U73,Однолинейка!$A$3:$A$3000,Щит_спец)),IF(A73="Аппарат",IF(C73="","",COUNTIFS(Однолинейка!$I$3:$I$3000,C73,Однолинейка!$A$3:$A$3000,Щит_спец)+COUNTIFS(Однолинейка!$J$3:$J$3000,C73,Однолинейка!$A$3:$A$3000,Щит_спец)+COUNTIFS(Однолинейка!$K$3:$K$3000,C73,Однолинейка!$A$3:$A$3000,Щит_спец)),IF(A73="Модуль",IF(C73="","",COUNTIFS(Однолинейка!$AW$3:$AW$3000,"?*",Однолинейка!$AI$3:$AI$3000,C73,Однолинейка!$A$3:$A$3000,Щит_спец)),IF(A73="Клемма",IF(C73="","",IF(C73=$S$7,SUMIFS(Однолинейка!$BW$3:$BW$3000,Однолинейка!$A$3:$A$3000,Щит_спец),IF(C73=$S$8,SUMIFS(Однолинейка!$BX$3:$BX$3000,Однолинейка!$A$3:$A$3000,Щит_спец),""))),""))))</f>
        <v/>
      </c>
      <c r="O73" s="74"/>
      <c r="P73" s="38" t="str">
        <f t="shared" si="9"/>
        <v/>
      </c>
      <c r="U73" s="38" t="str">
        <f t="shared" si="10"/>
        <v/>
      </c>
      <c r="V73" s="38" t="str">
        <f t="shared" si="11"/>
        <v/>
      </c>
      <c r="W73" s="38" t="str">
        <f>IF(AND(U73&lt;&gt;"",OR($S$4="(все)",B73=$S$4),IF($S$4="(все)",COUNTIF($U$4:U73,U73),COUNTIFS($U$4:U73,U73,$B$4:B73,B73))=1),MAX($W$3:W72)+1,"")</f>
        <v/>
      </c>
      <c r="X73" s="38" t="str">
        <f t="shared" si="12"/>
        <v/>
      </c>
      <c r="Y73" s="38" t="str">
        <f>IF(AND(A73="Аппарат",C73&lt;&gt;"",OR($S$5="(все)",B73=$S$5)),MAX($Y$3:Y72)+1,"")</f>
        <v/>
      </c>
      <c r="Z73" s="38" t="str">
        <f t="shared" si="13"/>
        <v/>
      </c>
      <c r="AA73" s="38" t="str">
        <f>IF(AND(A73="Модуль",C73&lt;&gt;"",OR($S$6="(все)",B73=$S$6)),MAX($AA$3:AA72)+1,"")</f>
        <v/>
      </c>
      <c r="AB73" s="38" t="str">
        <f t="shared" si="14"/>
        <v/>
      </c>
      <c r="AC73" s="38" t="str">
        <f>IF(OR(B73="",COUNTIF($B$4:B73,B73)&gt;1),"",MAX($AC$3:AC72)+1)</f>
        <v/>
      </c>
      <c r="AD73" s="38" t="str">
        <f t="shared" si="15"/>
        <v/>
      </c>
      <c r="AE73" s="38" t="str">
        <f t="shared" si="16"/>
        <v/>
      </c>
      <c r="AF73" s="38" t="str">
        <f t="shared" si="17"/>
        <v/>
      </c>
    </row>
    <row r="74" spans="1:32" x14ac:dyDescent="0.3">
      <c r="A74" s="74" t="s">
        <v>711</v>
      </c>
      <c r="B74" s="74" t="s">
        <v>326</v>
      </c>
      <c r="C74" s="74" t="s">
        <v>332</v>
      </c>
      <c r="D74" s="74"/>
      <c r="E74" s="74"/>
      <c r="F74" s="74"/>
      <c r="G74" s="74" t="s">
        <v>333</v>
      </c>
      <c r="H74" s="74" t="s">
        <v>332</v>
      </c>
      <c r="I74" s="74"/>
      <c r="J74" s="74"/>
      <c r="K74" s="74"/>
      <c r="L74" s="74"/>
      <c r="M74" s="74" t="s">
        <v>327</v>
      </c>
      <c r="N74" s="38" t="str">
        <f>IF(OR(A74="Автомат",A74="Дифавтомат"),IF(W74="","",COUNTIFS(Однолинейка!$H$3:$H$3000,U74,Однолинейка!$A$3:$A$3000,Щит_спец)),IF(A74="Аппарат",IF(C74="","",COUNTIFS(Однолинейка!$I$3:$I$3000,C74,Однолинейка!$A$3:$A$3000,Щит_спец)+COUNTIFS(Однолинейка!$J$3:$J$3000,C74,Однолинейка!$A$3:$A$3000,Щит_спец)+COUNTIFS(Однолинейка!$K$3:$K$3000,C74,Однолинейка!$A$3:$A$3000,Щит_спец)),IF(A74="Модуль",IF(C74="","",COUNTIFS(Однолинейка!$AW$3:$AW$3000,"?*",Однолинейка!$AI$3:$AI$3000,C74,Однолинейка!$A$3:$A$3000,Щит_спец)),IF(A74="Клемма",IF(C74="","",IF(C74=$S$7,SUMIFS(Однолинейка!$BW$3:$BW$3000,Однолинейка!$A$3:$A$3000,Щит_спец),IF(C74=$S$8,SUMIFS(Однолинейка!$BX$3:$BX$3000,Однолинейка!$A$3:$A$3000,Щит_спец),""))),""))))</f>
        <v/>
      </c>
      <c r="O74" s="74"/>
      <c r="P74" s="38" t="str">
        <f t="shared" si="9"/>
        <v/>
      </c>
      <c r="U74" s="38" t="str">
        <f t="shared" si="10"/>
        <v/>
      </c>
      <c r="V74" s="38" t="str">
        <f t="shared" si="11"/>
        <v/>
      </c>
      <c r="W74" s="38" t="str">
        <f>IF(AND(U74&lt;&gt;"",OR($S$4="(все)",B74=$S$4),IF($S$4="(все)",COUNTIF($U$4:U74,U74),COUNTIFS($U$4:U74,U74,$B$4:B74,B74))=1),MAX($W$3:W73)+1,"")</f>
        <v/>
      </c>
      <c r="X74" s="38" t="str">
        <f t="shared" si="12"/>
        <v/>
      </c>
      <c r="Y74" s="38" t="str">
        <f>IF(AND(A74="Аппарат",C74&lt;&gt;"",OR($S$5="(все)",B74=$S$5)),MAX($Y$3:Y73)+1,"")</f>
        <v/>
      </c>
      <c r="Z74" s="38" t="str">
        <f t="shared" si="13"/>
        <v/>
      </c>
      <c r="AA74" s="38" t="str">
        <f>IF(AND(A74="Модуль",C74&lt;&gt;"",OR($S$6="(все)",B74=$S$6)),MAX($AA$3:AA73)+1,"")</f>
        <v/>
      </c>
      <c r="AB74" s="38" t="str">
        <f t="shared" si="14"/>
        <v/>
      </c>
      <c r="AC74" s="38" t="str">
        <f>IF(OR(B74="",COUNTIF($B$4:B74,B74)&gt;1),"",MAX($AC$3:AC73)+1)</f>
        <v/>
      </c>
      <c r="AD74" s="38" t="str">
        <f t="shared" si="15"/>
        <v/>
      </c>
      <c r="AE74" s="38" t="str">
        <f t="shared" si="16"/>
        <v/>
      </c>
      <c r="AF74" s="38" t="str">
        <f t="shared" si="17"/>
        <v/>
      </c>
    </row>
    <row r="75" spans="1:32" x14ac:dyDescent="0.3">
      <c r="A75" s="74" t="s">
        <v>711</v>
      </c>
      <c r="B75" s="74" t="s">
        <v>326</v>
      </c>
      <c r="C75" s="74" t="s">
        <v>332</v>
      </c>
      <c r="D75" s="74"/>
      <c r="E75" s="74"/>
      <c r="F75" s="74"/>
      <c r="G75" s="74" t="s">
        <v>334</v>
      </c>
      <c r="H75" s="74" t="s">
        <v>332</v>
      </c>
      <c r="I75" s="74"/>
      <c r="J75" s="74"/>
      <c r="K75" s="74"/>
      <c r="L75" s="74"/>
      <c r="M75" s="74" t="s">
        <v>327</v>
      </c>
      <c r="N75" s="38" t="str">
        <f>IF(OR(A75="Автомат",A75="Дифавтомат"),IF(W75="","",COUNTIFS(Однолинейка!$H$3:$H$3000,U75,Однолинейка!$A$3:$A$3000,Щит_спец)),IF(A75="Аппарат",IF(C75="","",COUNTIFS(Однолинейка!$I$3:$I$3000,C75,Однолинейка!$A$3:$A$3000,Щит_спец)+COUNTIFS(Однолинейка!$J$3:$J$3000,C75,Однолинейка!$A$3:$A$3000,Щит_спец)+COUNTIFS(Однолинейка!$K$3:$K$3000,C75,Однолинейка!$A$3:$A$3000,Щит_спец)),IF(A75="Модуль",IF(C75="","",COUNTIFS(Однолинейка!$AW$3:$AW$3000,"?*",Однолинейка!$AI$3:$AI$3000,C75,Однолинейка!$A$3:$A$3000,Щит_спец)),IF(A75="Клемма",IF(C75="","",IF(C75=$S$7,SUMIFS(Однолинейка!$BW$3:$BW$3000,Однолинейка!$A$3:$A$3000,Щит_спец),IF(C75=$S$8,SUMIFS(Однолинейка!$BX$3:$BX$3000,Однолинейка!$A$3:$A$3000,Щит_спец),""))),""))))</f>
        <v/>
      </c>
      <c r="O75" s="74"/>
      <c r="P75" s="38" t="str">
        <f t="shared" si="9"/>
        <v/>
      </c>
      <c r="U75" s="38" t="str">
        <f t="shared" si="10"/>
        <v/>
      </c>
      <c r="V75" s="38" t="str">
        <f t="shared" si="11"/>
        <v/>
      </c>
      <c r="W75" s="38" t="str">
        <f>IF(AND(U75&lt;&gt;"",OR($S$4="(все)",B75=$S$4),IF($S$4="(все)",COUNTIF($U$4:U75,U75),COUNTIFS($U$4:U75,U75,$B$4:B75,B75))=1),MAX($W$3:W74)+1,"")</f>
        <v/>
      </c>
      <c r="X75" s="38" t="str">
        <f t="shared" si="12"/>
        <v/>
      </c>
      <c r="Y75" s="38" t="str">
        <f>IF(AND(A75="Аппарат",C75&lt;&gt;"",OR($S$5="(все)",B75=$S$5)),MAX($Y$3:Y74)+1,"")</f>
        <v/>
      </c>
      <c r="Z75" s="38" t="str">
        <f t="shared" si="13"/>
        <v/>
      </c>
      <c r="AA75" s="38" t="str">
        <f>IF(AND(A75="Модуль",C75&lt;&gt;"",OR($S$6="(все)",B75=$S$6)),MAX($AA$3:AA74)+1,"")</f>
        <v/>
      </c>
      <c r="AB75" s="38" t="str">
        <f t="shared" si="14"/>
        <v/>
      </c>
      <c r="AC75" s="38" t="str">
        <f>IF(OR(B75="",COUNTIF($B$4:B75,B75)&gt;1),"",MAX($AC$3:AC74)+1)</f>
        <v/>
      </c>
      <c r="AD75" s="38" t="str">
        <f t="shared" si="15"/>
        <v/>
      </c>
      <c r="AE75" s="38" t="str">
        <f t="shared" si="16"/>
        <v/>
      </c>
      <c r="AF75" s="38" t="str">
        <f t="shared" si="17"/>
        <v/>
      </c>
    </row>
    <row r="76" spans="1:32" x14ac:dyDescent="0.3">
      <c r="A76" s="74" t="s">
        <v>711</v>
      </c>
      <c r="B76" s="74" t="s">
        <v>326</v>
      </c>
      <c r="C76" s="74" t="s">
        <v>332</v>
      </c>
      <c r="D76" s="74"/>
      <c r="E76" s="74"/>
      <c r="F76" s="74"/>
      <c r="G76" s="74" t="s">
        <v>335</v>
      </c>
      <c r="H76" s="74" t="s">
        <v>332</v>
      </c>
      <c r="I76" s="74"/>
      <c r="J76" s="74"/>
      <c r="K76" s="74"/>
      <c r="L76" s="74"/>
      <c r="M76" s="74" t="s">
        <v>327</v>
      </c>
      <c r="N76" s="38" t="str">
        <f>IF(OR(A76="Автомат",A76="Дифавтомат"),IF(W76="","",COUNTIFS(Однолинейка!$H$3:$H$3000,U76,Однолинейка!$A$3:$A$3000,Щит_спец)),IF(A76="Аппарат",IF(C76="","",COUNTIFS(Однолинейка!$I$3:$I$3000,C76,Однолинейка!$A$3:$A$3000,Щит_спец)+COUNTIFS(Однолинейка!$J$3:$J$3000,C76,Однолинейка!$A$3:$A$3000,Щит_спец)+COUNTIFS(Однолинейка!$K$3:$K$3000,C76,Однолинейка!$A$3:$A$3000,Щит_спец)),IF(A76="Модуль",IF(C76="","",COUNTIFS(Однолинейка!$AW$3:$AW$3000,"?*",Однолинейка!$AI$3:$AI$3000,C76,Однолинейка!$A$3:$A$3000,Щит_спец)),IF(A76="Клемма",IF(C76="","",IF(C76=$S$7,SUMIFS(Однолинейка!$BW$3:$BW$3000,Однолинейка!$A$3:$A$3000,Щит_спец),IF(C76=$S$8,SUMIFS(Однолинейка!$BX$3:$BX$3000,Однолинейка!$A$3:$A$3000,Щит_спец),""))),""))))</f>
        <v/>
      </c>
      <c r="O76" s="74"/>
      <c r="P76" s="38" t="str">
        <f t="shared" si="9"/>
        <v/>
      </c>
      <c r="U76" s="38" t="str">
        <f t="shared" si="10"/>
        <v/>
      </c>
      <c r="V76" s="38" t="str">
        <f t="shared" si="11"/>
        <v/>
      </c>
      <c r="W76" s="38" t="str">
        <f>IF(AND(U76&lt;&gt;"",OR($S$4="(все)",B76=$S$4),IF($S$4="(все)",COUNTIF($U$4:U76,U76),COUNTIFS($U$4:U76,U76,$B$4:B76,B76))=1),MAX($W$3:W75)+1,"")</f>
        <v/>
      </c>
      <c r="X76" s="38" t="str">
        <f t="shared" si="12"/>
        <v/>
      </c>
      <c r="Y76" s="38" t="str">
        <f>IF(AND(A76="Аппарат",C76&lt;&gt;"",OR($S$5="(все)",B76=$S$5)),MAX($Y$3:Y75)+1,"")</f>
        <v/>
      </c>
      <c r="Z76" s="38" t="str">
        <f t="shared" si="13"/>
        <v/>
      </c>
      <c r="AA76" s="38" t="str">
        <f>IF(AND(A76="Модуль",C76&lt;&gt;"",OR($S$6="(все)",B76=$S$6)),MAX($AA$3:AA75)+1,"")</f>
        <v/>
      </c>
      <c r="AB76" s="38" t="str">
        <f t="shared" si="14"/>
        <v/>
      </c>
      <c r="AC76" s="38" t="str">
        <f>IF(OR(B76="",COUNTIF($B$4:B76,B76)&gt;1),"",MAX($AC$3:AC75)+1)</f>
        <v/>
      </c>
      <c r="AD76" s="38" t="str">
        <f t="shared" si="15"/>
        <v/>
      </c>
      <c r="AE76" s="38" t="str">
        <f t="shared" si="16"/>
        <v/>
      </c>
      <c r="AF76" s="38" t="str">
        <f t="shared" si="17"/>
        <v/>
      </c>
    </row>
    <row r="77" spans="1:32" x14ac:dyDescent="0.3">
      <c r="A77" s="74" t="s">
        <v>711</v>
      </c>
      <c r="B77" s="74" t="s">
        <v>326</v>
      </c>
      <c r="C77" s="74" t="s">
        <v>332</v>
      </c>
      <c r="D77" s="74"/>
      <c r="E77" s="74"/>
      <c r="F77" s="74"/>
      <c r="G77" s="74" t="s">
        <v>373</v>
      </c>
      <c r="H77" s="74" t="s">
        <v>332</v>
      </c>
      <c r="I77" s="74"/>
      <c r="J77" s="74"/>
      <c r="K77" s="74"/>
      <c r="L77" s="74"/>
      <c r="M77" s="74" t="s">
        <v>327</v>
      </c>
      <c r="N77" s="38" t="str">
        <f>IF(OR(A77="Автомат",A77="Дифавтомат"),IF(W77="","",COUNTIFS(Однолинейка!$H$3:$H$3000,U77,Однолинейка!$A$3:$A$3000,Щит_спец)),IF(A77="Аппарат",IF(C77="","",COUNTIFS(Однолинейка!$I$3:$I$3000,C77,Однолинейка!$A$3:$A$3000,Щит_спец)+COUNTIFS(Однолинейка!$J$3:$J$3000,C77,Однолинейка!$A$3:$A$3000,Щит_спец)+COUNTIFS(Однолинейка!$K$3:$K$3000,C77,Однолинейка!$A$3:$A$3000,Щит_спец)),IF(A77="Модуль",IF(C77="","",COUNTIFS(Однолинейка!$AW$3:$AW$3000,"?*",Однолинейка!$AI$3:$AI$3000,C77,Однолинейка!$A$3:$A$3000,Щит_спец)),IF(A77="Клемма",IF(C77="","",IF(C77=$S$7,SUMIFS(Однолинейка!$BW$3:$BW$3000,Однолинейка!$A$3:$A$3000,Щит_спец),IF(C77=$S$8,SUMIFS(Однолинейка!$BX$3:$BX$3000,Однолинейка!$A$3:$A$3000,Щит_спец),""))),""))))</f>
        <v/>
      </c>
      <c r="O77" s="74"/>
      <c r="P77" s="38" t="str">
        <f t="shared" si="9"/>
        <v/>
      </c>
      <c r="U77" s="38" t="str">
        <f t="shared" si="10"/>
        <v/>
      </c>
      <c r="V77" s="38" t="str">
        <f t="shared" si="11"/>
        <v/>
      </c>
      <c r="W77" s="38" t="str">
        <f>IF(AND(U77&lt;&gt;"",OR($S$4="(все)",B77=$S$4),IF($S$4="(все)",COUNTIF($U$4:U77,U77),COUNTIFS($U$4:U77,U77,$B$4:B77,B77))=1),MAX($W$3:W76)+1,"")</f>
        <v/>
      </c>
      <c r="X77" s="38" t="str">
        <f t="shared" si="12"/>
        <v/>
      </c>
      <c r="Y77" s="38" t="str">
        <f>IF(AND(A77="Аппарат",C77&lt;&gt;"",OR($S$5="(все)",B77=$S$5)),MAX($Y$3:Y76)+1,"")</f>
        <v/>
      </c>
      <c r="Z77" s="38" t="str">
        <f t="shared" si="13"/>
        <v/>
      </c>
      <c r="AA77" s="38" t="str">
        <f>IF(AND(A77="Модуль",C77&lt;&gt;"",OR($S$6="(все)",B77=$S$6)),MAX($AA$3:AA76)+1,"")</f>
        <v/>
      </c>
      <c r="AB77" s="38" t="str">
        <f t="shared" si="14"/>
        <v/>
      </c>
      <c r="AC77" s="38" t="str">
        <f>IF(OR(B77="",COUNTIF($B$4:B77,B77)&gt;1),"",MAX($AC$3:AC76)+1)</f>
        <v/>
      </c>
      <c r="AD77" s="38" t="str">
        <f t="shared" si="15"/>
        <v/>
      </c>
      <c r="AE77" s="38" t="str">
        <f t="shared" si="16"/>
        <v/>
      </c>
      <c r="AF77" s="38" t="str">
        <f t="shared" si="17"/>
        <v/>
      </c>
    </row>
    <row r="78" spans="1:32" x14ac:dyDescent="0.3">
      <c r="A78" s="74" t="s">
        <v>711</v>
      </c>
      <c r="B78" s="74" t="s">
        <v>326</v>
      </c>
      <c r="C78" s="74" t="s">
        <v>337</v>
      </c>
      <c r="D78" s="74"/>
      <c r="E78" s="74"/>
      <c r="F78" s="74"/>
      <c r="G78" s="74" t="s">
        <v>336</v>
      </c>
      <c r="H78" s="74" t="s">
        <v>337</v>
      </c>
      <c r="I78" s="74"/>
      <c r="J78" s="74"/>
      <c r="K78" s="74"/>
      <c r="L78" s="74"/>
      <c r="M78" s="74" t="s">
        <v>327</v>
      </c>
      <c r="N78" s="38" t="str">
        <f>IF(OR(A78="Автомат",A78="Дифавтомат"),IF(W78="","",COUNTIFS(Однолинейка!$H$3:$H$3000,U78,Однолинейка!$A$3:$A$3000,Щит_спец)),IF(A78="Аппарат",IF(C78="","",COUNTIFS(Однолинейка!$I$3:$I$3000,C78,Однолинейка!$A$3:$A$3000,Щит_спец)+COUNTIFS(Однолинейка!$J$3:$J$3000,C78,Однолинейка!$A$3:$A$3000,Щит_спец)+COUNTIFS(Однолинейка!$K$3:$K$3000,C78,Однолинейка!$A$3:$A$3000,Щит_спец)),IF(A78="Модуль",IF(C78="","",COUNTIFS(Однолинейка!$AW$3:$AW$3000,"?*",Однолинейка!$AI$3:$AI$3000,C78,Однолинейка!$A$3:$A$3000,Щит_спец)),IF(A78="Клемма",IF(C78="","",IF(C78=$S$7,SUMIFS(Однолинейка!$BW$3:$BW$3000,Однолинейка!$A$3:$A$3000,Щит_спец),IF(C78=$S$8,SUMIFS(Однолинейка!$BX$3:$BX$3000,Однолинейка!$A$3:$A$3000,Щит_спец),""))),""))))</f>
        <v/>
      </c>
      <c r="O78" s="74"/>
      <c r="P78" s="38" t="str">
        <f t="shared" si="9"/>
        <v/>
      </c>
      <c r="U78" s="38" t="str">
        <f t="shared" si="10"/>
        <v/>
      </c>
      <c r="V78" s="38" t="str">
        <f t="shared" si="11"/>
        <v/>
      </c>
      <c r="W78" s="38" t="str">
        <f>IF(AND(U78&lt;&gt;"",OR($S$4="(все)",B78=$S$4),IF($S$4="(все)",COUNTIF($U$4:U78,U78),COUNTIFS($U$4:U78,U78,$B$4:B78,B78))=1),MAX($W$3:W77)+1,"")</f>
        <v/>
      </c>
      <c r="X78" s="38" t="str">
        <f t="shared" si="12"/>
        <v/>
      </c>
      <c r="Y78" s="38" t="str">
        <f>IF(AND(A78="Аппарат",C78&lt;&gt;"",OR($S$5="(все)",B78=$S$5)),MAX($Y$3:Y77)+1,"")</f>
        <v/>
      </c>
      <c r="Z78" s="38" t="str">
        <f t="shared" si="13"/>
        <v/>
      </c>
      <c r="AA78" s="38" t="str">
        <f>IF(AND(A78="Модуль",C78&lt;&gt;"",OR($S$6="(все)",B78=$S$6)),MAX($AA$3:AA77)+1,"")</f>
        <v/>
      </c>
      <c r="AB78" s="38" t="str">
        <f t="shared" si="14"/>
        <v/>
      </c>
      <c r="AC78" s="38" t="str">
        <f>IF(OR(B78="",COUNTIF($B$4:B78,B78)&gt;1),"",MAX($AC$3:AC77)+1)</f>
        <v/>
      </c>
      <c r="AD78" s="38" t="str">
        <f t="shared" si="15"/>
        <v/>
      </c>
      <c r="AE78" s="38" t="str">
        <f t="shared" si="16"/>
        <v/>
      </c>
      <c r="AF78" s="38" t="str">
        <f t="shared" si="17"/>
        <v/>
      </c>
    </row>
    <row r="79" spans="1:32" x14ac:dyDescent="0.3">
      <c r="A79" s="74" t="s">
        <v>711</v>
      </c>
      <c r="B79" s="74" t="s">
        <v>326</v>
      </c>
      <c r="C79" s="74" t="s">
        <v>337</v>
      </c>
      <c r="D79" s="74"/>
      <c r="E79" s="74"/>
      <c r="F79" s="74"/>
      <c r="G79" s="74" t="s">
        <v>338</v>
      </c>
      <c r="H79" s="74" t="s">
        <v>337</v>
      </c>
      <c r="I79" s="74"/>
      <c r="J79" s="74"/>
      <c r="K79" s="74"/>
      <c r="L79" s="74"/>
      <c r="M79" s="74" t="s">
        <v>327</v>
      </c>
      <c r="N79" s="38" t="str">
        <f>IF(OR(A79="Автомат",A79="Дифавтомат"),IF(W79="","",COUNTIFS(Однолинейка!$H$3:$H$3000,U79,Однолинейка!$A$3:$A$3000,Щит_спец)),IF(A79="Аппарат",IF(C79="","",COUNTIFS(Однолинейка!$I$3:$I$3000,C79,Однолинейка!$A$3:$A$3000,Щит_спец)+COUNTIFS(Однолинейка!$J$3:$J$3000,C79,Однолинейка!$A$3:$A$3000,Щит_спец)+COUNTIFS(Однолинейка!$K$3:$K$3000,C79,Однолинейка!$A$3:$A$3000,Щит_спец)),IF(A79="Модуль",IF(C79="","",COUNTIFS(Однолинейка!$AW$3:$AW$3000,"?*",Однолинейка!$AI$3:$AI$3000,C79,Однолинейка!$A$3:$A$3000,Щит_спец)),IF(A79="Клемма",IF(C79="","",IF(C79=$S$7,SUMIFS(Однолинейка!$BW$3:$BW$3000,Однолинейка!$A$3:$A$3000,Щит_спец),IF(C79=$S$8,SUMIFS(Однолинейка!$BX$3:$BX$3000,Однолинейка!$A$3:$A$3000,Щит_спец),""))),""))))</f>
        <v/>
      </c>
      <c r="O79" s="74"/>
      <c r="P79" s="38" t="str">
        <f t="shared" si="9"/>
        <v/>
      </c>
      <c r="U79" s="38" t="str">
        <f t="shared" si="10"/>
        <v/>
      </c>
      <c r="V79" s="38" t="str">
        <f t="shared" si="11"/>
        <v/>
      </c>
      <c r="W79" s="38" t="str">
        <f>IF(AND(U79&lt;&gt;"",OR($S$4="(все)",B79=$S$4),IF($S$4="(все)",COUNTIF($U$4:U79,U79),COUNTIFS($U$4:U79,U79,$B$4:B79,B79))=1),MAX($W$3:W78)+1,"")</f>
        <v/>
      </c>
      <c r="X79" s="38" t="str">
        <f t="shared" si="12"/>
        <v/>
      </c>
      <c r="Y79" s="38" t="str">
        <f>IF(AND(A79="Аппарат",C79&lt;&gt;"",OR($S$5="(все)",B79=$S$5)),MAX($Y$3:Y78)+1,"")</f>
        <v/>
      </c>
      <c r="Z79" s="38" t="str">
        <f t="shared" si="13"/>
        <v/>
      </c>
      <c r="AA79" s="38" t="str">
        <f>IF(AND(A79="Модуль",C79&lt;&gt;"",OR($S$6="(все)",B79=$S$6)),MAX($AA$3:AA78)+1,"")</f>
        <v/>
      </c>
      <c r="AB79" s="38" t="str">
        <f t="shared" si="14"/>
        <v/>
      </c>
      <c r="AC79" s="38" t="str">
        <f>IF(OR(B79="",COUNTIF($B$4:B79,B79)&gt;1),"",MAX($AC$3:AC78)+1)</f>
        <v/>
      </c>
      <c r="AD79" s="38" t="str">
        <f t="shared" si="15"/>
        <v/>
      </c>
      <c r="AE79" s="38" t="str">
        <f t="shared" si="16"/>
        <v/>
      </c>
      <c r="AF79" s="38" t="str">
        <f t="shared" si="17"/>
        <v/>
      </c>
    </row>
    <row r="80" spans="1:32" x14ac:dyDescent="0.3">
      <c r="A80" s="74" t="s">
        <v>711</v>
      </c>
      <c r="B80" s="74" t="s">
        <v>326</v>
      </c>
      <c r="C80" s="74" t="s">
        <v>337</v>
      </c>
      <c r="D80" s="74"/>
      <c r="E80" s="74"/>
      <c r="F80" s="74"/>
      <c r="G80" s="74" t="s">
        <v>339</v>
      </c>
      <c r="H80" s="74" t="s">
        <v>337</v>
      </c>
      <c r="I80" s="74"/>
      <c r="J80" s="74"/>
      <c r="K80" s="74"/>
      <c r="L80" s="74"/>
      <c r="M80" s="74" t="s">
        <v>327</v>
      </c>
      <c r="N80" s="38" t="str">
        <f>IF(OR(A80="Автомат",A80="Дифавтомат"),IF(W80="","",COUNTIFS(Однолинейка!$H$3:$H$3000,U80,Однолинейка!$A$3:$A$3000,Щит_спец)),IF(A80="Аппарат",IF(C80="","",COUNTIFS(Однолинейка!$I$3:$I$3000,C80,Однолинейка!$A$3:$A$3000,Щит_спец)+COUNTIFS(Однолинейка!$J$3:$J$3000,C80,Однолинейка!$A$3:$A$3000,Щит_спец)+COUNTIFS(Однолинейка!$K$3:$K$3000,C80,Однолинейка!$A$3:$A$3000,Щит_спец)),IF(A80="Модуль",IF(C80="","",COUNTIFS(Однолинейка!$AW$3:$AW$3000,"?*",Однолинейка!$AI$3:$AI$3000,C80,Однолинейка!$A$3:$A$3000,Щит_спец)),IF(A80="Клемма",IF(C80="","",IF(C80=$S$7,SUMIFS(Однолинейка!$BW$3:$BW$3000,Однолинейка!$A$3:$A$3000,Щит_спец),IF(C80=$S$8,SUMIFS(Однолинейка!$BX$3:$BX$3000,Однолинейка!$A$3:$A$3000,Щит_спец),""))),""))))</f>
        <v/>
      </c>
      <c r="O80" s="74"/>
      <c r="P80" s="38" t="str">
        <f t="shared" si="9"/>
        <v/>
      </c>
      <c r="U80" s="38" t="str">
        <f t="shared" si="10"/>
        <v/>
      </c>
      <c r="V80" s="38" t="str">
        <f t="shared" si="11"/>
        <v/>
      </c>
      <c r="W80" s="38" t="str">
        <f>IF(AND(U80&lt;&gt;"",OR($S$4="(все)",B80=$S$4),IF($S$4="(все)",COUNTIF($U$4:U80,U80),COUNTIFS($U$4:U80,U80,$B$4:B80,B80))=1),MAX($W$3:W79)+1,"")</f>
        <v/>
      </c>
      <c r="X80" s="38" t="str">
        <f t="shared" si="12"/>
        <v/>
      </c>
      <c r="Y80" s="38" t="str">
        <f>IF(AND(A80="Аппарат",C80&lt;&gt;"",OR($S$5="(все)",B80=$S$5)),MAX($Y$3:Y79)+1,"")</f>
        <v/>
      </c>
      <c r="Z80" s="38" t="str">
        <f t="shared" si="13"/>
        <v/>
      </c>
      <c r="AA80" s="38" t="str">
        <f>IF(AND(A80="Модуль",C80&lt;&gt;"",OR($S$6="(все)",B80=$S$6)),MAX($AA$3:AA79)+1,"")</f>
        <v/>
      </c>
      <c r="AB80" s="38" t="str">
        <f t="shared" si="14"/>
        <v/>
      </c>
      <c r="AC80" s="38" t="str">
        <f>IF(OR(B80="",COUNTIF($B$4:B80,B80)&gt;1),"",MAX($AC$3:AC79)+1)</f>
        <v/>
      </c>
      <c r="AD80" s="38" t="str">
        <f t="shared" si="15"/>
        <v/>
      </c>
      <c r="AE80" s="38" t="str">
        <f t="shared" si="16"/>
        <v/>
      </c>
      <c r="AF80" s="38" t="str">
        <f t="shared" si="17"/>
        <v/>
      </c>
    </row>
    <row r="81" spans="1:32" x14ac:dyDescent="0.3">
      <c r="A81" s="74" t="s">
        <v>711</v>
      </c>
      <c r="B81" s="74" t="s">
        <v>326</v>
      </c>
      <c r="C81" s="74" t="s">
        <v>337</v>
      </c>
      <c r="D81" s="74"/>
      <c r="E81" s="74"/>
      <c r="F81" s="74"/>
      <c r="G81" s="74" t="s">
        <v>340</v>
      </c>
      <c r="H81" s="74" t="s">
        <v>337</v>
      </c>
      <c r="I81" s="74"/>
      <c r="J81" s="74"/>
      <c r="K81" s="74"/>
      <c r="L81" s="74"/>
      <c r="M81" s="74" t="s">
        <v>327</v>
      </c>
      <c r="N81" s="38" t="str">
        <f>IF(OR(A81="Автомат",A81="Дифавтомат"),IF(W81="","",COUNTIFS(Однолинейка!$H$3:$H$3000,U81,Однолинейка!$A$3:$A$3000,Щит_спец)),IF(A81="Аппарат",IF(C81="","",COUNTIFS(Однолинейка!$I$3:$I$3000,C81,Однолинейка!$A$3:$A$3000,Щит_спец)+COUNTIFS(Однолинейка!$J$3:$J$3000,C81,Однолинейка!$A$3:$A$3000,Щит_спец)+COUNTIFS(Однолинейка!$K$3:$K$3000,C81,Однолинейка!$A$3:$A$3000,Щит_спец)),IF(A81="Модуль",IF(C81="","",COUNTIFS(Однолинейка!$AW$3:$AW$3000,"?*",Однолинейка!$AI$3:$AI$3000,C81,Однолинейка!$A$3:$A$3000,Щит_спец)),IF(A81="Клемма",IF(C81="","",IF(C81=$S$7,SUMIFS(Однолинейка!$BW$3:$BW$3000,Однолинейка!$A$3:$A$3000,Щит_спец),IF(C81=$S$8,SUMIFS(Однолинейка!$BX$3:$BX$3000,Однолинейка!$A$3:$A$3000,Щит_спец),""))),""))))</f>
        <v/>
      </c>
      <c r="O81" s="74"/>
      <c r="P81" s="38" t="str">
        <f t="shared" si="9"/>
        <v/>
      </c>
      <c r="U81" s="38" t="str">
        <f t="shared" si="10"/>
        <v/>
      </c>
      <c r="V81" s="38" t="str">
        <f t="shared" si="11"/>
        <v/>
      </c>
      <c r="W81" s="38" t="str">
        <f>IF(AND(U81&lt;&gt;"",OR($S$4="(все)",B81=$S$4),IF($S$4="(все)",COUNTIF($U$4:U81,U81),COUNTIFS($U$4:U81,U81,$B$4:B81,B81))=1),MAX($W$3:W80)+1,"")</f>
        <v/>
      </c>
      <c r="X81" s="38" t="str">
        <f t="shared" si="12"/>
        <v/>
      </c>
      <c r="Y81" s="38" t="str">
        <f>IF(AND(A81="Аппарат",C81&lt;&gt;"",OR($S$5="(все)",B81=$S$5)),MAX($Y$3:Y80)+1,"")</f>
        <v/>
      </c>
      <c r="Z81" s="38" t="str">
        <f t="shared" si="13"/>
        <v/>
      </c>
      <c r="AA81" s="38" t="str">
        <f>IF(AND(A81="Модуль",C81&lt;&gt;"",OR($S$6="(все)",B81=$S$6)),MAX($AA$3:AA80)+1,"")</f>
        <v/>
      </c>
      <c r="AB81" s="38" t="str">
        <f t="shared" si="14"/>
        <v/>
      </c>
      <c r="AC81" s="38" t="str">
        <f>IF(OR(B81="",COUNTIF($B$4:B81,B81)&gt;1),"",MAX($AC$3:AC80)+1)</f>
        <v/>
      </c>
      <c r="AD81" s="38" t="str">
        <f t="shared" si="15"/>
        <v/>
      </c>
      <c r="AE81" s="38" t="str">
        <f t="shared" si="16"/>
        <v/>
      </c>
      <c r="AF81" s="38" t="str">
        <f t="shared" si="17"/>
        <v/>
      </c>
    </row>
    <row r="82" spans="1:32" x14ac:dyDescent="0.3">
      <c r="A82" s="74" t="s">
        <v>711</v>
      </c>
      <c r="B82" s="74" t="s">
        <v>326</v>
      </c>
      <c r="C82" s="74" t="s">
        <v>337</v>
      </c>
      <c r="D82" s="74"/>
      <c r="E82" s="74"/>
      <c r="F82" s="74"/>
      <c r="G82" s="74" t="s">
        <v>374</v>
      </c>
      <c r="H82" s="74" t="s">
        <v>337</v>
      </c>
      <c r="I82" s="74"/>
      <c r="J82" s="74"/>
      <c r="K82" s="74"/>
      <c r="L82" s="74"/>
      <c r="M82" s="74" t="s">
        <v>327</v>
      </c>
      <c r="N82" s="38" t="str">
        <f>IF(OR(A82="Автомат",A82="Дифавтомат"),IF(W82="","",COUNTIFS(Однолинейка!$H$3:$H$3000,U82,Однолинейка!$A$3:$A$3000,Щит_спец)),IF(A82="Аппарат",IF(C82="","",COUNTIFS(Однолинейка!$I$3:$I$3000,C82,Однолинейка!$A$3:$A$3000,Щит_спец)+COUNTIFS(Однолинейка!$J$3:$J$3000,C82,Однолинейка!$A$3:$A$3000,Щит_спец)+COUNTIFS(Однолинейка!$K$3:$K$3000,C82,Однолинейка!$A$3:$A$3000,Щит_спец)),IF(A82="Модуль",IF(C82="","",COUNTIFS(Однолинейка!$AW$3:$AW$3000,"?*",Однолинейка!$AI$3:$AI$3000,C82,Однолинейка!$A$3:$A$3000,Щит_спец)),IF(A82="Клемма",IF(C82="","",IF(C82=$S$7,SUMIFS(Однолинейка!$BW$3:$BW$3000,Однолинейка!$A$3:$A$3000,Щит_спец),IF(C82=$S$8,SUMIFS(Однолинейка!$BX$3:$BX$3000,Однолинейка!$A$3:$A$3000,Щит_спец),""))),""))))</f>
        <v/>
      </c>
      <c r="O82" s="74"/>
      <c r="P82" s="38" t="str">
        <f t="shared" si="9"/>
        <v/>
      </c>
      <c r="U82" s="38" t="str">
        <f t="shared" si="10"/>
        <v/>
      </c>
      <c r="V82" s="38" t="str">
        <f t="shared" si="11"/>
        <v/>
      </c>
      <c r="W82" s="38" t="str">
        <f>IF(AND(U82&lt;&gt;"",OR($S$4="(все)",B82=$S$4),IF($S$4="(все)",COUNTIF($U$4:U82,U82),COUNTIFS($U$4:U82,U82,$B$4:B82,B82))=1),MAX($W$3:W81)+1,"")</f>
        <v/>
      </c>
      <c r="X82" s="38" t="str">
        <f t="shared" si="12"/>
        <v/>
      </c>
      <c r="Y82" s="38" t="str">
        <f>IF(AND(A82="Аппарат",C82&lt;&gt;"",OR($S$5="(все)",B82=$S$5)),MAX($Y$3:Y81)+1,"")</f>
        <v/>
      </c>
      <c r="Z82" s="38" t="str">
        <f t="shared" si="13"/>
        <v/>
      </c>
      <c r="AA82" s="38" t="str">
        <f>IF(AND(A82="Модуль",C82&lt;&gt;"",OR($S$6="(все)",B82=$S$6)),MAX($AA$3:AA81)+1,"")</f>
        <v/>
      </c>
      <c r="AB82" s="38" t="str">
        <f t="shared" si="14"/>
        <v/>
      </c>
      <c r="AC82" s="38" t="str">
        <f>IF(OR(B82="",COUNTIF($B$4:B82,B82)&gt;1),"",MAX($AC$3:AC81)+1)</f>
        <v/>
      </c>
      <c r="AD82" s="38" t="str">
        <f t="shared" si="15"/>
        <v/>
      </c>
      <c r="AE82" s="38" t="str">
        <f t="shared" si="16"/>
        <v/>
      </c>
      <c r="AF82" s="38" t="str">
        <f t="shared" si="17"/>
        <v/>
      </c>
    </row>
    <row r="83" spans="1:32" x14ac:dyDescent="0.3">
      <c r="A83" s="74" t="s">
        <v>711</v>
      </c>
      <c r="B83" s="74" t="s">
        <v>326</v>
      </c>
      <c r="C83" s="74" t="s">
        <v>380</v>
      </c>
      <c r="D83" s="74"/>
      <c r="E83" s="74"/>
      <c r="F83" s="74"/>
      <c r="G83" s="74" t="s">
        <v>375</v>
      </c>
      <c r="H83" s="74" t="s">
        <v>380</v>
      </c>
      <c r="I83" s="74"/>
      <c r="J83" s="74"/>
      <c r="K83" s="74"/>
      <c r="L83" s="74"/>
      <c r="M83" s="74" t="s">
        <v>327</v>
      </c>
      <c r="N83" s="38" t="str">
        <f>IF(OR(A83="Автомат",A83="Дифавтомат"),IF(W83="","",COUNTIFS(Однолинейка!$H$3:$H$3000,U83,Однолинейка!$A$3:$A$3000,Щит_спец)),IF(A83="Аппарат",IF(C83="","",COUNTIFS(Однолинейка!$I$3:$I$3000,C83,Однолинейка!$A$3:$A$3000,Щит_спец)+COUNTIFS(Однолинейка!$J$3:$J$3000,C83,Однолинейка!$A$3:$A$3000,Щит_спец)+COUNTIFS(Однолинейка!$K$3:$K$3000,C83,Однолинейка!$A$3:$A$3000,Щит_спец)),IF(A83="Модуль",IF(C83="","",COUNTIFS(Однолинейка!$AW$3:$AW$3000,"?*",Однолинейка!$AI$3:$AI$3000,C83,Однолинейка!$A$3:$A$3000,Щит_спец)),IF(A83="Клемма",IF(C83="","",IF(C83=$S$7,SUMIFS(Однолинейка!$BW$3:$BW$3000,Однолинейка!$A$3:$A$3000,Щит_спец),IF(C83=$S$8,SUMIFS(Однолинейка!$BX$3:$BX$3000,Однолинейка!$A$3:$A$3000,Щит_спец),""))),""))))</f>
        <v/>
      </c>
      <c r="O83" s="74"/>
      <c r="P83" s="38" t="str">
        <f t="shared" si="9"/>
        <v/>
      </c>
      <c r="U83" s="38" t="str">
        <f t="shared" si="10"/>
        <v/>
      </c>
      <c r="V83" s="38" t="str">
        <f t="shared" si="11"/>
        <v/>
      </c>
      <c r="W83" s="38" t="str">
        <f>IF(AND(U83&lt;&gt;"",OR($S$4="(все)",B83=$S$4),IF($S$4="(все)",COUNTIF($U$4:U83,U83),COUNTIFS($U$4:U83,U83,$B$4:B83,B83))=1),MAX($W$3:W82)+1,"")</f>
        <v/>
      </c>
      <c r="X83" s="38" t="str">
        <f t="shared" si="12"/>
        <v/>
      </c>
      <c r="Y83" s="38" t="str">
        <f>IF(AND(A83="Аппарат",C83&lt;&gt;"",OR($S$5="(все)",B83=$S$5)),MAX($Y$3:Y82)+1,"")</f>
        <v/>
      </c>
      <c r="Z83" s="38" t="str">
        <f t="shared" si="13"/>
        <v/>
      </c>
      <c r="AA83" s="38" t="str">
        <f>IF(AND(A83="Модуль",C83&lt;&gt;"",OR($S$6="(все)",B83=$S$6)),MAX($AA$3:AA82)+1,"")</f>
        <v/>
      </c>
      <c r="AB83" s="38" t="str">
        <f t="shared" si="14"/>
        <v/>
      </c>
      <c r="AC83" s="38" t="str">
        <f>IF(OR(B83="",COUNTIF($B$4:B83,B83)&gt;1),"",MAX($AC$3:AC82)+1)</f>
        <v/>
      </c>
      <c r="AD83" s="38" t="str">
        <f t="shared" si="15"/>
        <v/>
      </c>
      <c r="AE83" s="38" t="str">
        <f t="shared" si="16"/>
        <v/>
      </c>
      <c r="AF83" s="38" t="str">
        <f t="shared" si="17"/>
        <v/>
      </c>
    </row>
    <row r="84" spans="1:32" x14ac:dyDescent="0.3">
      <c r="A84" s="74" t="s">
        <v>711</v>
      </c>
      <c r="B84" s="74" t="s">
        <v>326</v>
      </c>
      <c r="C84" s="74" t="s">
        <v>380</v>
      </c>
      <c r="D84" s="74"/>
      <c r="E84" s="74"/>
      <c r="F84" s="74"/>
      <c r="G84" s="74" t="s">
        <v>376</v>
      </c>
      <c r="H84" s="74" t="s">
        <v>380</v>
      </c>
      <c r="I84" s="74"/>
      <c r="J84" s="74"/>
      <c r="K84" s="74"/>
      <c r="L84" s="74"/>
      <c r="M84" s="74" t="s">
        <v>327</v>
      </c>
      <c r="N84" s="38" t="str">
        <f>IF(OR(A84="Автомат",A84="Дифавтомат"),IF(W84="","",COUNTIFS(Однолинейка!$H$3:$H$3000,U84,Однолинейка!$A$3:$A$3000,Щит_спец)),IF(A84="Аппарат",IF(C84="","",COUNTIFS(Однолинейка!$I$3:$I$3000,C84,Однолинейка!$A$3:$A$3000,Щит_спец)+COUNTIFS(Однолинейка!$J$3:$J$3000,C84,Однолинейка!$A$3:$A$3000,Щит_спец)+COUNTIFS(Однолинейка!$K$3:$K$3000,C84,Однолинейка!$A$3:$A$3000,Щит_спец)),IF(A84="Модуль",IF(C84="","",COUNTIFS(Однолинейка!$AW$3:$AW$3000,"?*",Однолинейка!$AI$3:$AI$3000,C84,Однолинейка!$A$3:$A$3000,Щит_спец)),IF(A84="Клемма",IF(C84="","",IF(C84=$S$7,SUMIFS(Однолинейка!$BW$3:$BW$3000,Однолинейка!$A$3:$A$3000,Щит_спец),IF(C84=$S$8,SUMIFS(Однолинейка!$BX$3:$BX$3000,Однолинейка!$A$3:$A$3000,Щит_спец),""))),""))))</f>
        <v/>
      </c>
      <c r="O84" s="74"/>
      <c r="P84" s="38" t="str">
        <f t="shared" si="9"/>
        <v/>
      </c>
      <c r="U84" s="38" t="str">
        <f t="shared" si="10"/>
        <v/>
      </c>
      <c r="V84" s="38" t="str">
        <f t="shared" si="11"/>
        <v/>
      </c>
      <c r="W84" s="38" t="str">
        <f>IF(AND(U84&lt;&gt;"",OR($S$4="(все)",B84=$S$4),IF($S$4="(все)",COUNTIF($U$4:U84,U84),COUNTIFS($U$4:U84,U84,$B$4:B84,B84))=1),MAX($W$3:W83)+1,"")</f>
        <v/>
      </c>
      <c r="X84" s="38" t="str">
        <f t="shared" si="12"/>
        <v/>
      </c>
      <c r="Y84" s="38" t="str">
        <f>IF(AND(A84="Аппарат",C84&lt;&gt;"",OR($S$5="(все)",B84=$S$5)),MAX($Y$3:Y83)+1,"")</f>
        <v/>
      </c>
      <c r="Z84" s="38" t="str">
        <f t="shared" si="13"/>
        <v/>
      </c>
      <c r="AA84" s="38" t="str">
        <f>IF(AND(A84="Модуль",C84&lt;&gt;"",OR($S$6="(все)",B84=$S$6)),MAX($AA$3:AA83)+1,"")</f>
        <v/>
      </c>
      <c r="AB84" s="38" t="str">
        <f t="shared" si="14"/>
        <v/>
      </c>
      <c r="AC84" s="38" t="str">
        <f>IF(OR(B84="",COUNTIF($B$4:B84,B84)&gt;1),"",MAX($AC$3:AC83)+1)</f>
        <v/>
      </c>
      <c r="AD84" s="38" t="str">
        <f t="shared" si="15"/>
        <v/>
      </c>
      <c r="AE84" s="38" t="str">
        <f t="shared" si="16"/>
        <v/>
      </c>
      <c r="AF84" s="38" t="str">
        <f t="shared" si="17"/>
        <v/>
      </c>
    </row>
    <row r="85" spans="1:32" x14ac:dyDescent="0.3">
      <c r="A85" s="74" t="s">
        <v>711</v>
      </c>
      <c r="B85" s="74" t="s">
        <v>326</v>
      </c>
      <c r="C85" s="74" t="s">
        <v>380</v>
      </c>
      <c r="D85" s="74"/>
      <c r="E85" s="74"/>
      <c r="F85" s="74"/>
      <c r="G85" s="74" t="s">
        <v>377</v>
      </c>
      <c r="H85" s="74" t="s">
        <v>380</v>
      </c>
      <c r="I85" s="74"/>
      <c r="J85" s="74"/>
      <c r="K85" s="74"/>
      <c r="L85" s="74"/>
      <c r="M85" s="74" t="s">
        <v>327</v>
      </c>
      <c r="N85" s="38" t="str">
        <f>IF(OR(A85="Автомат",A85="Дифавтомат"),IF(W85="","",COUNTIFS(Однолинейка!$H$3:$H$3000,U85,Однолинейка!$A$3:$A$3000,Щит_спец)),IF(A85="Аппарат",IF(C85="","",COUNTIFS(Однолинейка!$I$3:$I$3000,C85,Однолинейка!$A$3:$A$3000,Щит_спец)+COUNTIFS(Однолинейка!$J$3:$J$3000,C85,Однолинейка!$A$3:$A$3000,Щит_спец)+COUNTIFS(Однолинейка!$K$3:$K$3000,C85,Однолинейка!$A$3:$A$3000,Щит_спец)),IF(A85="Модуль",IF(C85="","",COUNTIFS(Однолинейка!$AW$3:$AW$3000,"?*",Однолинейка!$AI$3:$AI$3000,C85,Однолинейка!$A$3:$A$3000,Щит_спец)),IF(A85="Клемма",IF(C85="","",IF(C85=$S$7,SUMIFS(Однолинейка!$BW$3:$BW$3000,Однолинейка!$A$3:$A$3000,Щит_спец),IF(C85=$S$8,SUMIFS(Однолинейка!$BX$3:$BX$3000,Однолинейка!$A$3:$A$3000,Щит_спец),""))),""))))</f>
        <v/>
      </c>
      <c r="O85" s="74"/>
      <c r="P85" s="38" t="str">
        <f t="shared" si="9"/>
        <v/>
      </c>
      <c r="U85" s="38" t="str">
        <f t="shared" si="10"/>
        <v/>
      </c>
      <c r="V85" s="38" t="str">
        <f t="shared" si="11"/>
        <v/>
      </c>
      <c r="W85" s="38" t="str">
        <f>IF(AND(U85&lt;&gt;"",OR($S$4="(все)",B85=$S$4),IF($S$4="(все)",COUNTIF($U$4:U85,U85),COUNTIFS($U$4:U85,U85,$B$4:B85,B85))=1),MAX($W$3:W84)+1,"")</f>
        <v/>
      </c>
      <c r="X85" s="38" t="str">
        <f t="shared" si="12"/>
        <v/>
      </c>
      <c r="Y85" s="38" t="str">
        <f>IF(AND(A85="Аппарат",C85&lt;&gt;"",OR($S$5="(все)",B85=$S$5)),MAX($Y$3:Y84)+1,"")</f>
        <v/>
      </c>
      <c r="Z85" s="38" t="str">
        <f t="shared" si="13"/>
        <v/>
      </c>
      <c r="AA85" s="38" t="str">
        <f>IF(AND(A85="Модуль",C85&lt;&gt;"",OR($S$6="(все)",B85=$S$6)),MAX($AA$3:AA84)+1,"")</f>
        <v/>
      </c>
      <c r="AB85" s="38" t="str">
        <f t="shared" si="14"/>
        <v/>
      </c>
      <c r="AC85" s="38" t="str">
        <f>IF(OR(B85="",COUNTIF($B$4:B85,B85)&gt;1),"",MAX($AC$3:AC84)+1)</f>
        <v/>
      </c>
      <c r="AD85" s="38" t="str">
        <f t="shared" si="15"/>
        <v/>
      </c>
      <c r="AE85" s="38" t="str">
        <f t="shared" si="16"/>
        <v/>
      </c>
      <c r="AF85" s="38" t="str">
        <f t="shared" si="17"/>
        <v/>
      </c>
    </row>
    <row r="86" spans="1:32" x14ac:dyDescent="0.3">
      <c r="A86" s="74" t="s">
        <v>711</v>
      </c>
      <c r="B86" s="74" t="s">
        <v>326</v>
      </c>
      <c r="C86" s="74" t="s">
        <v>380</v>
      </c>
      <c r="D86" s="74"/>
      <c r="E86" s="74"/>
      <c r="F86" s="74"/>
      <c r="G86" s="74" t="s">
        <v>378</v>
      </c>
      <c r="H86" s="74" t="s">
        <v>380</v>
      </c>
      <c r="I86" s="74"/>
      <c r="J86" s="74"/>
      <c r="K86" s="74"/>
      <c r="L86" s="74"/>
      <c r="M86" s="74" t="s">
        <v>327</v>
      </c>
      <c r="N86" s="38" t="str">
        <f>IF(OR(A86="Автомат",A86="Дифавтомат"),IF(W86="","",COUNTIFS(Однолинейка!$H$3:$H$3000,U86,Однолинейка!$A$3:$A$3000,Щит_спец)),IF(A86="Аппарат",IF(C86="","",COUNTIFS(Однолинейка!$I$3:$I$3000,C86,Однолинейка!$A$3:$A$3000,Щит_спец)+COUNTIFS(Однолинейка!$J$3:$J$3000,C86,Однолинейка!$A$3:$A$3000,Щит_спец)+COUNTIFS(Однолинейка!$K$3:$K$3000,C86,Однолинейка!$A$3:$A$3000,Щит_спец)),IF(A86="Модуль",IF(C86="","",COUNTIFS(Однолинейка!$AW$3:$AW$3000,"?*",Однолинейка!$AI$3:$AI$3000,C86,Однолинейка!$A$3:$A$3000,Щит_спец)),IF(A86="Клемма",IF(C86="","",IF(C86=$S$7,SUMIFS(Однолинейка!$BW$3:$BW$3000,Однолинейка!$A$3:$A$3000,Щит_спец),IF(C86=$S$8,SUMIFS(Однолинейка!$BX$3:$BX$3000,Однолинейка!$A$3:$A$3000,Щит_спец),""))),""))))</f>
        <v/>
      </c>
      <c r="O86" s="74"/>
      <c r="P86" s="38" t="str">
        <f t="shared" si="9"/>
        <v/>
      </c>
      <c r="U86" s="38" t="str">
        <f t="shared" si="10"/>
        <v/>
      </c>
      <c r="V86" s="38" t="str">
        <f t="shared" si="11"/>
        <v/>
      </c>
      <c r="W86" s="38" t="str">
        <f>IF(AND(U86&lt;&gt;"",OR($S$4="(все)",B86=$S$4),IF($S$4="(все)",COUNTIF($U$4:U86,U86),COUNTIFS($U$4:U86,U86,$B$4:B86,B86))=1),MAX($W$3:W85)+1,"")</f>
        <v/>
      </c>
      <c r="X86" s="38" t="str">
        <f t="shared" si="12"/>
        <v/>
      </c>
      <c r="Y86" s="38" t="str">
        <f>IF(AND(A86="Аппарат",C86&lt;&gt;"",OR($S$5="(все)",B86=$S$5)),MAX($Y$3:Y85)+1,"")</f>
        <v/>
      </c>
      <c r="Z86" s="38" t="str">
        <f t="shared" si="13"/>
        <v/>
      </c>
      <c r="AA86" s="38" t="str">
        <f>IF(AND(A86="Модуль",C86&lt;&gt;"",OR($S$6="(все)",B86=$S$6)),MAX($AA$3:AA85)+1,"")</f>
        <v/>
      </c>
      <c r="AB86" s="38" t="str">
        <f t="shared" si="14"/>
        <v/>
      </c>
      <c r="AC86" s="38" t="str">
        <f>IF(OR(B86="",COUNTIF($B$4:B86,B86)&gt;1),"",MAX($AC$3:AC85)+1)</f>
        <v/>
      </c>
      <c r="AD86" s="38" t="str">
        <f t="shared" si="15"/>
        <v/>
      </c>
      <c r="AE86" s="38" t="str">
        <f t="shared" si="16"/>
        <v/>
      </c>
      <c r="AF86" s="38" t="str">
        <f t="shared" si="17"/>
        <v/>
      </c>
    </row>
    <row r="87" spans="1:32" x14ac:dyDescent="0.3">
      <c r="A87" s="74" t="s">
        <v>711</v>
      </c>
      <c r="B87" s="74" t="s">
        <v>326</v>
      </c>
      <c r="C87" s="74" t="s">
        <v>380</v>
      </c>
      <c r="D87" s="74"/>
      <c r="E87" s="74"/>
      <c r="F87" s="74"/>
      <c r="G87" s="74" t="s">
        <v>379</v>
      </c>
      <c r="H87" s="74" t="s">
        <v>380</v>
      </c>
      <c r="I87" s="74"/>
      <c r="J87" s="74"/>
      <c r="K87" s="74"/>
      <c r="L87" s="74"/>
      <c r="M87" s="74" t="s">
        <v>327</v>
      </c>
      <c r="N87" s="38" t="str">
        <f>IF(OR(A87="Автомат",A87="Дифавтомат"),IF(W87="","",COUNTIFS(Однолинейка!$H$3:$H$3000,U87,Однолинейка!$A$3:$A$3000,Щит_спец)),IF(A87="Аппарат",IF(C87="","",COUNTIFS(Однолинейка!$I$3:$I$3000,C87,Однолинейка!$A$3:$A$3000,Щит_спец)+COUNTIFS(Однолинейка!$J$3:$J$3000,C87,Однолинейка!$A$3:$A$3000,Щит_спец)+COUNTIFS(Однолинейка!$K$3:$K$3000,C87,Однолинейка!$A$3:$A$3000,Щит_спец)),IF(A87="Модуль",IF(C87="","",COUNTIFS(Однолинейка!$AW$3:$AW$3000,"?*",Однолинейка!$AI$3:$AI$3000,C87,Однолинейка!$A$3:$A$3000,Щит_спец)),IF(A87="Клемма",IF(C87="","",IF(C87=$S$7,SUMIFS(Однолинейка!$BW$3:$BW$3000,Однолинейка!$A$3:$A$3000,Щит_спец),IF(C87=$S$8,SUMIFS(Однолинейка!$BX$3:$BX$3000,Однолинейка!$A$3:$A$3000,Щит_спец),""))),""))))</f>
        <v/>
      </c>
      <c r="O87" s="74"/>
      <c r="P87" s="38" t="str">
        <f t="shared" si="9"/>
        <v/>
      </c>
      <c r="U87" s="38" t="str">
        <f t="shared" si="10"/>
        <v/>
      </c>
      <c r="V87" s="38" t="str">
        <f t="shared" si="11"/>
        <v/>
      </c>
      <c r="W87" s="38" t="str">
        <f>IF(AND(U87&lt;&gt;"",OR($S$4="(все)",B87=$S$4),IF($S$4="(все)",COUNTIF($U$4:U87,U87),COUNTIFS($U$4:U87,U87,$B$4:B87,B87))=1),MAX($W$3:W86)+1,"")</f>
        <v/>
      </c>
      <c r="X87" s="38" t="str">
        <f t="shared" si="12"/>
        <v/>
      </c>
      <c r="Y87" s="38" t="str">
        <f>IF(AND(A87="Аппарат",C87&lt;&gt;"",OR($S$5="(все)",B87=$S$5)),MAX($Y$3:Y86)+1,"")</f>
        <v/>
      </c>
      <c r="Z87" s="38" t="str">
        <f t="shared" si="13"/>
        <v/>
      </c>
      <c r="AA87" s="38" t="str">
        <f>IF(AND(A87="Модуль",C87&lt;&gt;"",OR($S$6="(все)",B87=$S$6)),MAX($AA$3:AA86)+1,"")</f>
        <v/>
      </c>
      <c r="AB87" s="38" t="str">
        <f t="shared" si="14"/>
        <v/>
      </c>
      <c r="AC87" s="38" t="str">
        <f>IF(OR(B87="",COUNTIF($B$4:B87,B87)&gt;1),"",MAX($AC$3:AC86)+1)</f>
        <v/>
      </c>
      <c r="AD87" s="38" t="str">
        <f t="shared" si="15"/>
        <v/>
      </c>
      <c r="AE87" s="38" t="str">
        <f t="shared" si="16"/>
        <v/>
      </c>
      <c r="AF87" s="38" t="str">
        <f t="shared" si="17"/>
        <v/>
      </c>
    </row>
    <row r="88" spans="1:32" x14ac:dyDescent="0.3">
      <c r="A88" s="74" t="s">
        <v>622</v>
      </c>
      <c r="B88" s="74" t="s">
        <v>343</v>
      </c>
      <c r="C88" s="74" t="s">
        <v>342</v>
      </c>
      <c r="D88" s="74"/>
      <c r="E88" s="74"/>
      <c r="F88" s="74"/>
      <c r="G88" s="74" t="s">
        <v>341</v>
      </c>
      <c r="H88" s="74" t="s">
        <v>342</v>
      </c>
      <c r="I88" s="74"/>
      <c r="J88" s="74"/>
      <c r="K88" s="74"/>
      <c r="L88" s="74"/>
      <c r="M88" s="74" t="s">
        <v>344</v>
      </c>
      <c r="N88" s="38" t="str">
        <f>IF(OR(A88="Автомат",A88="Дифавтомат"),IF(W88="","",COUNTIFS(Однолинейка!$H$3:$H$3000,U88,Однолинейка!$A$3:$A$3000,Щит_спец)),IF(A88="Аппарат",IF(C88="","",COUNTIFS(Однолинейка!$I$3:$I$3000,C88,Однолинейка!$A$3:$A$3000,Щит_спец)+COUNTIFS(Однолинейка!$J$3:$J$3000,C88,Однолинейка!$A$3:$A$3000,Щит_спец)+COUNTIFS(Однолинейка!$K$3:$K$3000,C88,Однолинейка!$A$3:$A$3000,Щит_спец)),IF(A88="Модуль",IF(C88="","",COUNTIFS(Однолинейка!$AW$3:$AW$3000,"?*",Однолинейка!$AI$3:$AI$3000,C88,Однолинейка!$A$3:$A$3000,Щит_спец)),IF(A88="Клемма",IF(C88="","",IF(C88=$S$7,SUMIFS(Однолинейка!$BW$3:$BW$3000,Однолинейка!$A$3:$A$3000,Щит_спец),IF(C88=$S$8,SUMIFS(Однолинейка!$BX$3:$BX$3000,Однолинейка!$A$3:$A$3000,Щит_спец),""))),""))))</f>
        <v/>
      </c>
      <c r="O88" s="74"/>
      <c r="P88" s="38" t="str">
        <f t="shared" si="9"/>
        <v/>
      </c>
      <c r="U88" s="38" t="str">
        <f t="shared" si="10"/>
        <v/>
      </c>
      <c r="V88" s="38" t="str">
        <f t="shared" si="11"/>
        <v/>
      </c>
      <c r="W88" s="38" t="str">
        <f>IF(AND(U88&lt;&gt;"",OR($S$4="(все)",B88=$S$4),IF($S$4="(все)",COUNTIF($U$4:U88,U88),COUNTIFS($U$4:U88,U88,$B$4:B88,B88))=1),MAX($W$3:W87)+1,"")</f>
        <v/>
      </c>
      <c r="X88" s="38" t="str">
        <f t="shared" si="12"/>
        <v/>
      </c>
      <c r="Y88" s="38" t="str">
        <f>IF(AND(A88="Аппарат",C88&lt;&gt;"",OR($S$5="(все)",B88=$S$5)),MAX($Y$3:Y87)+1,"")</f>
        <v/>
      </c>
      <c r="Z88" s="38" t="str">
        <f t="shared" si="13"/>
        <v/>
      </c>
      <c r="AA88" s="38" t="str">
        <f>IF(AND(A88="Модуль",C88&lt;&gt;"",OR($S$6="(все)",B88=$S$6)),MAX($AA$3:AA87)+1,"")</f>
        <v/>
      </c>
      <c r="AB88" s="38" t="str">
        <f t="shared" si="14"/>
        <v/>
      </c>
      <c r="AC88" s="38">
        <f>IF(OR(B88="",COUNTIF($B$4:B88,B88)&gt;1),"",MAX($AC$3:AC87)+1)</f>
        <v>9</v>
      </c>
      <c r="AD88" s="38" t="str">
        <f t="shared" si="15"/>
        <v/>
      </c>
      <c r="AE88" s="38" t="str">
        <f t="shared" si="16"/>
        <v/>
      </c>
      <c r="AF88" s="38" t="str">
        <f t="shared" si="17"/>
        <v/>
      </c>
    </row>
    <row r="89" spans="1:32" x14ac:dyDescent="0.3">
      <c r="A89" s="74" t="s">
        <v>622</v>
      </c>
      <c r="B89" s="74" t="s">
        <v>343</v>
      </c>
      <c r="C89" s="74" t="s">
        <v>730</v>
      </c>
      <c r="D89" s="74"/>
      <c r="E89" s="74"/>
      <c r="F89" s="74"/>
      <c r="G89" s="74" t="s">
        <v>345</v>
      </c>
      <c r="H89" s="74" t="s">
        <v>730</v>
      </c>
      <c r="I89" s="74"/>
      <c r="J89" s="74"/>
      <c r="K89" s="74"/>
      <c r="L89" s="74"/>
      <c r="M89" s="74" t="s">
        <v>344</v>
      </c>
      <c r="N89" s="38" t="str">
        <f>IF(OR(A89="Автомат",A89="Дифавтомат"),IF(W89="","",COUNTIFS(Однолинейка!$H$3:$H$3000,U89,Однолинейка!$A$3:$A$3000,Щит_спец)),IF(A89="Аппарат",IF(C89="","",COUNTIFS(Однолинейка!$I$3:$I$3000,C89,Однолинейка!$A$3:$A$3000,Щит_спец)+COUNTIFS(Однолинейка!$J$3:$J$3000,C89,Однолинейка!$A$3:$A$3000,Щит_спец)+COUNTIFS(Однолинейка!$K$3:$K$3000,C89,Однолинейка!$A$3:$A$3000,Щит_спец)),IF(A89="Модуль",IF(C89="","",COUNTIFS(Однолинейка!$AW$3:$AW$3000,"?*",Однолинейка!$AI$3:$AI$3000,C89,Однолинейка!$A$3:$A$3000,Щит_спец)),IF(A89="Клемма",IF(C89="","",IF(C89=$S$7,SUMIFS(Однолинейка!$BW$3:$BW$3000,Однолинейка!$A$3:$A$3000,Щит_спец),IF(C89=$S$8,SUMIFS(Однолинейка!$BX$3:$BX$3000,Однолинейка!$A$3:$A$3000,Щит_спец),""))),""))))</f>
        <v/>
      </c>
      <c r="O89" s="74"/>
      <c r="P89" s="38" t="str">
        <f t="shared" si="9"/>
        <v/>
      </c>
      <c r="U89" s="38" t="str">
        <f t="shared" si="10"/>
        <v/>
      </c>
      <c r="V89" s="38" t="str">
        <f t="shared" si="11"/>
        <v/>
      </c>
      <c r="W89" s="38" t="str">
        <f>IF(AND(U89&lt;&gt;"",OR($S$4="(все)",B89=$S$4),IF($S$4="(все)",COUNTIF($U$4:U89,U89),COUNTIFS($U$4:U89,U89,$B$4:B89,B89))=1),MAX($W$3:W88)+1,"")</f>
        <v/>
      </c>
      <c r="X89" s="38" t="str">
        <f t="shared" si="12"/>
        <v/>
      </c>
      <c r="Y89" s="38" t="str">
        <f>IF(AND(A89="Аппарат",C89&lt;&gt;"",OR($S$5="(все)",B89=$S$5)),MAX($Y$3:Y88)+1,"")</f>
        <v/>
      </c>
      <c r="Z89" s="38" t="str">
        <f t="shared" si="13"/>
        <v/>
      </c>
      <c r="AA89" s="38" t="str">
        <f>IF(AND(A89="Модуль",C89&lt;&gt;"",OR($S$6="(все)",B89=$S$6)),MAX($AA$3:AA88)+1,"")</f>
        <v/>
      </c>
      <c r="AB89" s="38" t="str">
        <f t="shared" si="14"/>
        <v/>
      </c>
      <c r="AC89" s="38" t="str">
        <f>IF(OR(B89="",COUNTIF($B$4:B89,B89)&gt;1),"",MAX($AC$3:AC88)+1)</f>
        <v/>
      </c>
      <c r="AD89" s="38" t="str">
        <f t="shared" si="15"/>
        <v/>
      </c>
      <c r="AE89" s="38" t="str">
        <f t="shared" si="16"/>
        <v/>
      </c>
      <c r="AF89" s="38" t="str">
        <f t="shared" si="17"/>
        <v/>
      </c>
    </row>
    <row r="90" spans="1:32" x14ac:dyDescent="0.3">
      <c r="A90" s="74" t="s">
        <v>622</v>
      </c>
      <c r="B90" s="74" t="s">
        <v>343</v>
      </c>
      <c r="C90" s="74" t="s">
        <v>731</v>
      </c>
      <c r="D90" s="74"/>
      <c r="E90" s="74"/>
      <c r="F90" s="74"/>
      <c r="G90" s="74" t="s">
        <v>346</v>
      </c>
      <c r="H90" s="74" t="s">
        <v>731</v>
      </c>
      <c r="I90" s="74"/>
      <c r="J90" s="74"/>
      <c r="K90" s="74"/>
      <c r="L90" s="74"/>
      <c r="M90" s="74" t="s">
        <v>344</v>
      </c>
      <c r="N90" s="38" t="str">
        <f>IF(OR(A90="Автомат",A90="Дифавтомат"),IF(W90="","",COUNTIFS(Однолинейка!$H$3:$H$3000,U90,Однолинейка!$A$3:$A$3000,Щит_спец)),IF(A90="Аппарат",IF(C90="","",COUNTIFS(Однолинейка!$I$3:$I$3000,C90,Однолинейка!$A$3:$A$3000,Щит_спец)+COUNTIFS(Однолинейка!$J$3:$J$3000,C90,Однолинейка!$A$3:$A$3000,Щит_спец)+COUNTIFS(Однолинейка!$K$3:$K$3000,C90,Однолинейка!$A$3:$A$3000,Щит_спец)),IF(A90="Модуль",IF(C90="","",COUNTIFS(Однолинейка!$AW$3:$AW$3000,"?*",Однолинейка!$AI$3:$AI$3000,C90,Однолинейка!$A$3:$A$3000,Щит_спец)),IF(A90="Клемма",IF(C90="","",IF(C90=$S$7,SUMIFS(Однолинейка!$BW$3:$BW$3000,Однолинейка!$A$3:$A$3000,Щит_спец),IF(C90=$S$8,SUMIFS(Однолинейка!$BX$3:$BX$3000,Однолинейка!$A$3:$A$3000,Щит_спец),""))),""))))</f>
        <v/>
      </c>
      <c r="O90" s="74"/>
      <c r="P90" s="38" t="str">
        <f t="shared" si="9"/>
        <v/>
      </c>
      <c r="U90" s="38" t="str">
        <f t="shared" si="10"/>
        <v/>
      </c>
      <c r="V90" s="38" t="str">
        <f t="shared" si="11"/>
        <v/>
      </c>
      <c r="W90" s="38" t="str">
        <f>IF(AND(U90&lt;&gt;"",OR($S$4="(все)",B90=$S$4),IF($S$4="(все)",COUNTIF($U$4:U90,U90),COUNTIFS($U$4:U90,U90,$B$4:B90,B90))=1),MAX($W$3:W89)+1,"")</f>
        <v/>
      </c>
      <c r="X90" s="38" t="str">
        <f t="shared" si="12"/>
        <v/>
      </c>
      <c r="Y90" s="38" t="str">
        <f>IF(AND(A90="Аппарат",C90&lt;&gt;"",OR($S$5="(все)",B90=$S$5)),MAX($Y$3:Y89)+1,"")</f>
        <v/>
      </c>
      <c r="Z90" s="38" t="str">
        <f t="shared" si="13"/>
        <v/>
      </c>
      <c r="AA90" s="38" t="str">
        <f>IF(AND(A90="Модуль",C90&lt;&gt;"",OR($S$6="(все)",B90=$S$6)),MAX($AA$3:AA89)+1,"")</f>
        <v/>
      </c>
      <c r="AB90" s="38" t="str">
        <f t="shared" si="14"/>
        <v/>
      </c>
      <c r="AC90" s="38" t="str">
        <f>IF(OR(B90="",COUNTIF($B$4:B90,B90)&gt;1),"",MAX($AC$3:AC89)+1)</f>
        <v/>
      </c>
      <c r="AD90" s="38" t="str">
        <f t="shared" si="15"/>
        <v/>
      </c>
      <c r="AE90" s="38" t="str">
        <f t="shared" si="16"/>
        <v/>
      </c>
      <c r="AF90" s="38" t="str">
        <f t="shared" si="17"/>
        <v/>
      </c>
    </row>
    <row r="91" spans="1:32" x14ac:dyDescent="0.3">
      <c r="A91" s="74" t="s">
        <v>622</v>
      </c>
      <c r="B91" s="74" t="s">
        <v>343</v>
      </c>
      <c r="C91" s="74" t="s">
        <v>348</v>
      </c>
      <c r="D91" s="74"/>
      <c r="E91" s="74"/>
      <c r="F91" s="74"/>
      <c r="G91" s="74" t="s">
        <v>347</v>
      </c>
      <c r="H91" s="74" t="s">
        <v>348</v>
      </c>
      <c r="I91" s="74"/>
      <c r="J91" s="74"/>
      <c r="K91" s="74"/>
      <c r="L91" s="74"/>
      <c r="M91" s="74" t="s">
        <v>344</v>
      </c>
      <c r="N91" s="38" t="str">
        <f>IF(OR(A91="Автомат",A91="Дифавтомат"),IF(W91="","",COUNTIFS(Однолинейка!$H$3:$H$3000,U91,Однолинейка!$A$3:$A$3000,Щит_спец)),IF(A91="Аппарат",IF(C91="","",COUNTIFS(Однолинейка!$I$3:$I$3000,C91,Однолинейка!$A$3:$A$3000,Щит_спец)+COUNTIFS(Однолинейка!$J$3:$J$3000,C91,Однолинейка!$A$3:$A$3000,Щит_спец)+COUNTIFS(Однолинейка!$K$3:$K$3000,C91,Однолинейка!$A$3:$A$3000,Щит_спец)),IF(A91="Модуль",IF(C91="","",COUNTIFS(Однолинейка!$AW$3:$AW$3000,"?*",Однолинейка!$AI$3:$AI$3000,C91,Однолинейка!$A$3:$A$3000,Щит_спец)),IF(A91="Клемма",IF(C91="","",IF(C91=$S$7,SUMIFS(Однолинейка!$BW$3:$BW$3000,Однолинейка!$A$3:$A$3000,Щит_спец),IF(C91=$S$8,SUMIFS(Однолинейка!$BX$3:$BX$3000,Однолинейка!$A$3:$A$3000,Щит_спец),""))),""))))</f>
        <v/>
      </c>
      <c r="O91" s="74"/>
      <c r="P91" s="38" t="str">
        <f t="shared" si="9"/>
        <v/>
      </c>
      <c r="U91" s="38" t="str">
        <f t="shared" si="10"/>
        <v/>
      </c>
      <c r="V91" s="38" t="str">
        <f t="shared" si="11"/>
        <v/>
      </c>
      <c r="W91" s="38" t="str">
        <f>IF(AND(U91&lt;&gt;"",OR($S$4="(все)",B91=$S$4),IF($S$4="(все)",COUNTIF($U$4:U91,U91),COUNTIFS($U$4:U91,U91,$B$4:B91,B91))=1),MAX($W$3:W90)+1,"")</f>
        <v/>
      </c>
      <c r="X91" s="38" t="str">
        <f t="shared" si="12"/>
        <v/>
      </c>
      <c r="Y91" s="38" t="str">
        <f>IF(AND(A91="Аппарат",C91&lt;&gt;"",OR($S$5="(все)",B91=$S$5)),MAX($Y$3:Y90)+1,"")</f>
        <v/>
      </c>
      <c r="Z91" s="38" t="str">
        <f t="shared" si="13"/>
        <v/>
      </c>
      <c r="AA91" s="38" t="str">
        <f>IF(AND(A91="Модуль",C91&lt;&gt;"",OR($S$6="(все)",B91=$S$6)),MAX($AA$3:AA90)+1,"")</f>
        <v/>
      </c>
      <c r="AB91" s="38" t="str">
        <f t="shared" si="14"/>
        <v/>
      </c>
      <c r="AC91" s="38" t="str">
        <f>IF(OR(B91="",COUNTIF($B$4:B91,B91)&gt;1),"",MAX($AC$3:AC90)+1)</f>
        <v/>
      </c>
      <c r="AD91" s="38" t="str">
        <f t="shared" si="15"/>
        <v/>
      </c>
      <c r="AE91" s="38" t="str">
        <f t="shared" si="16"/>
        <v/>
      </c>
      <c r="AF91" s="38" t="str">
        <f t="shared" si="17"/>
        <v/>
      </c>
    </row>
    <row r="92" spans="1:32" x14ac:dyDescent="0.3">
      <c r="A92" s="74" t="s">
        <v>622</v>
      </c>
      <c r="B92" s="74" t="s">
        <v>343</v>
      </c>
      <c r="C92" s="74" t="s">
        <v>350</v>
      </c>
      <c r="D92" s="74"/>
      <c r="E92" s="74"/>
      <c r="F92" s="74"/>
      <c r="G92" s="74" t="s">
        <v>349</v>
      </c>
      <c r="H92" s="74" t="s">
        <v>350</v>
      </c>
      <c r="I92" s="74"/>
      <c r="J92" s="74"/>
      <c r="K92" s="74"/>
      <c r="L92" s="74"/>
      <c r="M92" s="74" t="s">
        <v>344</v>
      </c>
      <c r="N92" s="38" t="str">
        <f>IF(OR(A92="Автомат",A92="Дифавтомат"),IF(W92="","",COUNTIFS(Однолинейка!$H$3:$H$3000,U92,Однолинейка!$A$3:$A$3000,Щит_спец)),IF(A92="Аппарат",IF(C92="","",COUNTIFS(Однолинейка!$I$3:$I$3000,C92,Однолинейка!$A$3:$A$3000,Щит_спец)+COUNTIFS(Однолинейка!$J$3:$J$3000,C92,Однолинейка!$A$3:$A$3000,Щит_спец)+COUNTIFS(Однолинейка!$K$3:$K$3000,C92,Однолинейка!$A$3:$A$3000,Щит_спец)),IF(A92="Модуль",IF(C92="","",COUNTIFS(Однолинейка!$AW$3:$AW$3000,"?*",Однолинейка!$AI$3:$AI$3000,C92,Однолинейка!$A$3:$A$3000,Щит_спец)),IF(A92="Клемма",IF(C92="","",IF(C92=$S$7,SUMIFS(Однолинейка!$BW$3:$BW$3000,Однолинейка!$A$3:$A$3000,Щит_спец),IF(C92=$S$8,SUMIFS(Однолинейка!$BX$3:$BX$3000,Однолинейка!$A$3:$A$3000,Щит_спец),""))),""))))</f>
        <v/>
      </c>
      <c r="O92" s="74"/>
      <c r="P92" s="38" t="str">
        <f t="shared" si="9"/>
        <v/>
      </c>
      <c r="U92" s="38" t="str">
        <f t="shared" si="10"/>
        <v/>
      </c>
      <c r="V92" s="38" t="str">
        <f t="shared" si="11"/>
        <v/>
      </c>
      <c r="W92" s="38" t="str">
        <f>IF(AND(U92&lt;&gt;"",OR($S$4="(все)",B92=$S$4),IF($S$4="(все)",COUNTIF($U$4:U92,U92),COUNTIFS($U$4:U92,U92,$B$4:B92,B92))=1),MAX($W$3:W91)+1,"")</f>
        <v/>
      </c>
      <c r="X92" s="38" t="str">
        <f t="shared" si="12"/>
        <v/>
      </c>
      <c r="Y92" s="38" t="str">
        <f>IF(AND(A92="Аппарат",C92&lt;&gt;"",OR($S$5="(все)",B92=$S$5)),MAX($Y$3:Y91)+1,"")</f>
        <v/>
      </c>
      <c r="Z92" s="38" t="str">
        <f t="shared" si="13"/>
        <v/>
      </c>
      <c r="AA92" s="38" t="str">
        <f>IF(AND(A92="Модуль",C92&lt;&gt;"",OR($S$6="(все)",B92=$S$6)),MAX($AA$3:AA91)+1,"")</f>
        <v/>
      </c>
      <c r="AB92" s="38" t="str">
        <f t="shared" si="14"/>
        <v/>
      </c>
      <c r="AC92" s="38" t="str">
        <f>IF(OR(B92="",COUNTIF($B$4:B92,B92)&gt;1),"",MAX($AC$3:AC91)+1)</f>
        <v/>
      </c>
      <c r="AD92" s="38" t="str">
        <f t="shared" si="15"/>
        <v/>
      </c>
      <c r="AE92" s="38" t="str">
        <f t="shared" si="16"/>
        <v/>
      </c>
      <c r="AF92" s="38" t="str">
        <f t="shared" si="17"/>
        <v/>
      </c>
    </row>
    <row r="93" spans="1:32" x14ac:dyDescent="0.3">
      <c r="A93" s="74" t="s">
        <v>622</v>
      </c>
      <c r="B93" s="74" t="s">
        <v>343</v>
      </c>
      <c r="C93" s="74" t="s">
        <v>352</v>
      </c>
      <c r="D93" s="74"/>
      <c r="E93" s="74"/>
      <c r="F93" s="74"/>
      <c r="G93" s="74" t="s">
        <v>351</v>
      </c>
      <c r="H93" s="74" t="s">
        <v>352</v>
      </c>
      <c r="I93" s="74"/>
      <c r="J93" s="74"/>
      <c r="K93" s="74"/>
      <c r="L93" s="74"/>
      <c r="M93" s="74" t="s">
        <v>344</v>
      </c>
      <c r="N93" s="38" t="str">
        <f>IF(OR(A93="Автомат",A93="Дифавтомат"),IF(W93="","",COUNTIFS(Однолинейка!$H$3:$H$3000,U93,Однолинейка!$A$3:$A$3000,Щит_спец)),IF(A93="Аппарат",IF(C93="","",COUNTIFS(Однолинейка!$I$3:$I$3000,C93,Однолинейка!$A$3:$A$3000,Щит_спец)+COUNTIFS(Однолинейка!$J$3:$J$3000,C93,Однолинейка!$A$3:$A$3000,Щит_спец)+COUNTIFS(Однолинейка!$K$3:$K$3000,C93,Однолинейка!$A$3:$A$3000,Щит_спец)),IF(A93="Модуль",IF(C93="","",COUNTIFS(Однолинейка!$AW$3:$AW$3000,"?*",Однолинейка!$AI$3:$AI$3000,C93,Однолинейка!$A$3:$A$3000,Щит_спец)),IF(A93="Клемма",IF(C93="","",IF(C93=$S$7,SUMIFS(Однолинейка!$BW$3:$BW$3000,Однолинейка!$A$3:$A$3000,Щит_спец),IF(C93=$S$8,SUMIFS(Однолинейка!$BX$3:$BX$3000,Однолинейка!$A$3:$A$3000,Щит_спец),""))),""))))</f>
        <v/>
      </c>
      <c r="O93" s="74"/>
      <c r="P93" s="38" t="str">
        <f t="shared" si="9"/>
        <v/>
      </c>
      <c r="U93" s="38" t="str">
        <f t="shared" si="10"/>
        <v/>
      </c>
      <c r="V93" s="38" t="str">
        <f t="shared" si="11"/>
        <v/>
      </c>
      <c r="W93" s="38" t="str">
        <f>IF(AND(U93&lt;&gt;"",OR($S$4="(все)",B93=$S$4),IF($S$4="(все)",COUNTIF($U$4:U93,U93),COUNTIFS($U$4:U93,U93,$B$4:B93,B93))=1),MAX($W$3:W92)+1,"")</f>
        <v/>
      </c>
      <c r="X93" s="38" t="str">
        <f t="shared" si="12"/>
        <v/>
      </c>
      <c r="Y93" s="38" t="str">
        <f>IF(AND(A93="Аппарат",C93&lt;&gt;"",OR($S$5="(все)",B93=$S$5)),MAX($Y$3:Y92)+1,"")</f>
        <v/>
      </c>
      <c r="Z93" s="38" t="str">
        <f t="shared" si="13"/>
        <v/>
      </c>
      <c r="AA93" s="38" t="str">
        <f>IF(AND(A93="Модуль",C93&lt;&gt;"",OR($S$6="(все)",B93=$S$6)),MAX($AA$3:AA92)+1,"")</f>
        <v/>
      </c>
      <c r="AB93" s="38" t="str">
        <f t="shared" si="14"/>
        <v/>
      </c>
      <c r="AC93" s="38" t="str">
        <f>IF(OR(B93="",COUNTIF($B$4:B93,B93)&gt;1),"",MAX($AC$3:AC92)+1)</f>
        <v/>
      </c>
      <c r="AD93" s="38" t="str">
        <f t="shared" si="15"/>
        <v/>
      </c>
      <c r="AE93" s="38" t="str">
        <f t="shared" si="16"/>
        <v/>
      </c>
      <c r="AF93" s="38" t="str">
        <f t="shared" si="17"/>
        <v/>
      </c>
    </row>
    <row r="94" spans="1:32" x14ac:dyDescent="0.3">
      <c r="A94" s="74" t="s">
        <v>622</v>
      </c>
      <c r="B94" s="74" t="s">
        <v>343</v>
      </c>
      <c r="C94" s="74" t="s">
        <v>732</v>
      </c>
      <c r="D94" s="74"/>
      <c r="E94" s="74"/>
      <c r="F94" s="74"/>
      <c r="G94" s="74" t="s">
        <v>381</v>
      </c>
      <c r="H94" s="74" t="s">
        <v>732</v>
      </c>
      <c r="I94" s="74"/>
      <c r="J94" s="74"/>
      <c r="K94" s="74"/>
      <c r="L94" s="74"/>
      <c r="M94" s="74" t="s">
        <v>282</v>
      </c>
      <c r="N94" s="38" t="str">
        <f>IF(OR(A94="Автомат",A94="Дифавтомат"),IF(W94="","",COUNTIFS(Однолинейка!$H$3:$H$3000,U94,Однолинейка!$A$3:$A$3000,Щит_спец)),IF(A94="Аппарат",IF(C94="","",COUNTIFS(Однолинейка!$I$3:$I$3000,C94,Однолинейка!$A$3:$A$3000,Щит_спец)+COUNTIFS(Однолинейка!$J$3:$J$3000,C94,Однолинейка!$A$3:$A$3000,Щит_спец)+COUNTIFS(Однолинейка!$K$3:$K$3000,C94,Однолинейка!$A$3:$A$3000,Щит_спец)),IF(A94="Модуль",IF(C94="","",COUNTIFS(Однолинейка!$AW$3:$AW$3000,"?*",Однолинейка!$AI$3:$AI$3000,C94,Однолинейка!$A$3:$A$3000,Щит_спец)),IF(A94="Клемма",IF(C94="","",IF(C94=$S$7,SUMIFS(Однолинейка!$BW$3:$BW$3000,Однолинейка!$A$3:$A$3000,Щит_спец),IF(C94=$S$8,SUMIFS(Однолинейка!$BX$3:$BX$3000,Однолинейка!$A$3:$A$3000,Щит_спец),""))),""))))</f>
        <v/>
      </c>
      <c r="O94" s="74"/>
      <c r="P94" s="38" t="str">
        <f t="shared" si="9"/>
        <v/>
      </c>
      <c r="U94" s="38" t="str">
        <f t="shared" si="10"/>
        <v/>
      </c>
      <c r="V94" s="38" t="str">
        <f t="shared" si="11"/>
        <v/>
      </c>
      <c r="W94" s="38" t="str">
        <f>IF(AND(U94&lt;&gt;"",OR($S$4="(все)",B94=$S$4),IF($S$4="(все)",COUNTIF($U$4:U94,U94),COUNTIFS($U$4:U94,U94,$B$4:B94,B94))=1),MAX($W$3:W93)+1,"")</f>
        <v/>
      </c>
      <c r="X94" s="38" t="str">
        <f t="shared" si="12"/>
        <v/>
      </c>
      <c r="Y94" s="38" t="str">
        <f>IF(AND(A94="Аппарат",C94&lt;&gt;"",OR($S$5="(все)",B94=$S$5)),MAX($Y$3:Y93)+1,"")</f>
        <v/>
      </c>
      <c r="Z94" s="38" t="str">
        <f t="shared" si="13"/>
        <v/>
      </c>
      <c r="AA94" s="38" t="str">
        <f>IF(AND(A94="Модуль",C94&lt;&gt;"",OR($S$6="(все)",B94=$S$6)),MAX($AA$3:AA93)+1,"")</f>
        <v/>
      </c>
      <c r="AB94" s="38" t="str">
        <f t="shared" si="14"/>
        <v/>
      </c>
      <c r="AC94" s="38" t="str">
        <f>IF(OR(B94="",COUNTIF($B$4:B94,B94)&gt;1),"",MAX($AC$3:AC93)+1)</f>
        <v/>
      </c>
      <c r="AD94" s="38" t="str">
        <f t="shared" si="15"/>
        <v/>
      </c>
      <c r="AE94" s="38" t="str">
        <f t="shared" si="16"/>
        <v/>
      </c>
      <c r="AF94" s="38" t="str">
        <f t="shared" si="17"/>
        <v/>
      </c>
    </row>
    <row r="95" spans="1:32" x14ac:dyDescent="0.3">
      <c r="A95" s="74" t="s">
        <v>622</v>
      </c>
      <c r="B95" s="74" t="s">
        <v>343</v>
      </c>
      <c r="C95" s="74" t="s">
        <v>733</v>
      </c>
      <c r="D95" s="74"/>
      <c r="E95" s="74"/>
      <c r="F95" s="74"/>
      <c r="G95" s="74" t="s">
        <v>382</v>
      </c>
      <c r="H95" s="74" t="s">
        <v>733</v>
      </c>
      <c r="I95" s="74"/>
      <c r="J95" s="74"/>
      <c r="K95" s="74"/>
      <c r="L95" s="74"/>
      <c r="M95" s="74" t="s">
        <v>282</v>
      </c>
      <c r="N95" s="38" t="str">
        <f>IF(OR(A95="Автомат",A95="Дифавтомат"),IF(W95="","",COUNTIFS(Однолинейка!$H$3:$H$3000,U95,Однолинейка!$A$3:$A$3000,Щит_спец)),IF(A95="Аппарат",IF(C95="","",COUNTIFS(Однолинейка!$I$3:$I$3000,C95,Однолинейка!$A$3:$A$3000,Щит_спец)+COUNTIFS(Однолинейка!$J$3:$J$3000,C95,Однолинейка!$A$3:$A$3000,Щит_спец)+COUNTIFS(Однолинейка!$K$3:$K$3000,C95,Однолинейка!$A$3:$A$3000,Щит_спец)),IF(A95="Модуль",IF(C95="","",COUNTIFS(Однолинейка!$AW$3:$AW$3000,"?*",Однолинейка!$AI$3:$AI$3000,C95,Однолинейка!$A$3:$A$3000,Щит_спец)),IF(A95="Клемма",IF(C95="","",IF(C95=$S$7,SUMIFS(Однолинейка!$BW$3:$BW$3000,Однолинейка!$A$3:$A$3000,Щит_спец),IF(C95=$S$8,SUMIFS(Однолинейка!$BX$3:$BX$3000,Однолинейка!$A$3:$A$3000,Щит_спец),""))),""))))</f>
        <v/>
      </c>
      <c r="O95" s="74"/>
      <c r="P95" s="38" t="str">
        <f t="shared" si="9"/>
        <v/>
      </c>
      <c r="U95" s="38" t="str">
        <f t="shared" si="10"/>
        <v/>
      </c>
      <c r="V95" s="38" t="str">
        <f t="shared" si="11"/>
        <v/>
      </c>
      <c r="W95" s="38" t="str">
        <f>IF(AND(U95&lt;&gt;"",OR($S$4="(все)",B95=$S$4),IF($S$4="(все)",COUNTIF($U$4:U95,U95),COUNTIFS($U$4:U95,U95,$B$4:B95,B95))=1),MAX($W$3:W94)+1,"")</f>
        <v/>
      </c>
      <c r="X95" s="38" t="str">
        <f t="shared" si="12"/>
        <v/>
      </c>
      <c r="Y95" s="38" t="str">
        <f>IF(AND(A95="Аппарат",C95&lt;&gt;"",OR($S$5="(все)",B95=$S$5)),MAX($Y$3:Y94)+1,"")</f>
        <v/>
      </c>
      <c r="Z95" s="38" t="str">
        <f t="shared" si="13"/>
        <v/>
      </c>
      <c r="AA95" s="38" t="str">
        <f>IF(AND(A95="Модуль",C95&lt;&gt;"",OR($S$6="(все)",B95=$S$6)),MAX($AA$3:AA94)+1,"")</f>
        <v/>
      </c>
      <c r="AB95" s="38" t="str">
        <f t="shared" si="14"/>
        <v/>
      </c>
      <c r="AC95" s="38" t="str">
        <f>IF(OR(B95="",COUNTIF($B$4:B95,B95)&gt;1),"",MAX($AC$3:AC94)+1)</f>
        <v/>
      </c>
      <c r="AD95" s="38" t="str">
        <f t="shared" si="15"/>
        <v/>
      </c>
      <c r="AE95" s="38" t="str">
        <f t="shared" si="16"/>
        <v/>
      </c>
      <c r="AF95" s="38" t="str">
        <f t="shared" si="17"/>
        <v/>
      </c>
    </row>
    <row r="96" spans="1:32" x14ac:dyDescent="0.3">
      <c r="A96" s="74" t="s">
        <v>622</v>
      </c>
      <c r="B96" s="74" t="s">
        <v>299</v>
      </c>
      <c r="C96" s="74" t="s">
        <v>354</v>
      </c>
      <c r="D96" s="74"/>
      <c r="E96" s="74"/>
      <c r="F96" s="74"/>
      <c r="G96" s="74" t="s">
        <v>353</v>
      </c>
      <c r="H96" s="74" t="s">
        <v>354</v>
      </c>
      <c r="I96" s="74"/>
      <c r="J96" s="74"/>
      <c r="K96" s="74"/>
      <c r="L96" s="74"/>
      <c r="M96" s="74" t="s">
        <v>282</v>
      </c>
      <c r="N96" s="38" t="str">
        <f>IF(OR(A96="Автомат",A96="Дифавтомат"),IF(W96="","",COUNTIFS(Однолинейка!$H$3:$H$3000,U96,Однолинейка!$A$3:$A$3000,Щит_спец)),IF(A96="Аппарат",IF(C96="","",COUNTIFS(Однолинейка!$I$3:$I$3000,C96,Однолинейка!$A$3:$A$3000,Щит_спец)+COUNTIFS(Однолинейка!$J$3:$J$3000,C96,Однолинейка!$A$3:$A$3000,Щит_спец)+COUNTIFS(Однолинейка!$K$3:$K$3000,C96,Однолинейка!$A$3:$A$3000,Щит_спец)),IF(A96="Модуль",IF(C96="","",COUNTIFS(Однолинейка!$AW$3:$AW$3000,"?*",Однолинейка!$AI$3:$AI$3000,C96,Однолинейка!$A$3:$A$3000,Щит_спец)),IF(A96="Клемма",IF(C96="","",IF(C96=$S$7,SUMIFS(Однолинейка!$BW$3:$BW$3000,Однолинейка!$A$3:$A$3000,Щит_спец),IF(C96=$S$8,SUMIFS(Однолинейка!$BX$3:$BX$3000,Однолинейка!$A$3:$A$3000,Щит_спец),""))),""))))</f>
        <v/>
      </c>
      <c r="O96" s="74"/>
      <c r="P96" s="38" t="str">
        <f t="shared" si="9"/>
        <v/>
      </c>
      <c r="U96" s="38" t="str">
        <f t="shared" si="10"/>
        <v/>
      </c>
      <c r="V96" s="38" t="str">
        <f t="shared" si="11"/>
        <v/>
      </c>
      <c r="W96" s="38" t="str">
        <f>IF(AND(U96&lt;&gt;"",OR($S$4="(все)",B96=$S$4),IF($S$4="(все)",COUNTIF($U$4:U96,U96),COUNTIFS($U$4:U96,U96,$B$4:B96,B96))=1),MAX($W$3:W95)+1,"")</f>
        <v/>
      </c>
      <c r="X96" s="38" t="str">
        <f t="shared" si="12"/>
        <v/>
      </c>
      <c r="Y96" s="38" t="str">
        <f>IF(AND(A96="Аппарат",C96&lt;&gt;"",OR($S$5="(все)",B96=$S$5)),MAX($Y$3:Y95)+1,"")</f>
        <v/>
      </c>
      <c r="Z96" s="38" t="str">
        <f t="shared" si="13"/>
        <v/>
      </c>
      <c r="AA96" s="38" t="str">
        <f>IF(AND(A96="Модуль",C96&lt;&gt;"",OR($S$6="(все)",B96=$S$6)),MAX($AA$3:AA95)+1,"")</f>
        <v/>
      </c>
      <c r="AB96" s="38" t="str">
        <f t="shared" si="14"/>
        <v/>
      </c>
      <c r="AC96" s="38" t="str">
        <f>IF(OR(B96="",COUNTIF($B$4:B96,B96)&gt;1),"",MAX($AC$3:AC95)+1)</f>
        <v/>
      </c>
      <c r="AD96" s="38" t="str">
        <f t="shared" si="15"/>
        <v/>
      </c>
      <c r="AE96" s="38" t="str">
        <f t="shared" si="16"/>
        <v/>
      </c>
      <c r="AF96" s="38" t="str">
        <f t="shared" si="17"/>
        <v/>
      </c>
    </row>
    <row r="97" spans="1:32" x14ac:dyDescent="0.3">
      <c r="A97" s="74" t="s">
        <v>622</v>
      </c>
      <c r="B97" s="74" t="s">
        <v>279</v>
      </c>
      <c r="C97" s="74" t="s">
        <v>356</v>
      </c>
      <c r="D97" s="74"/>
      <c r="E97" s="74"/>
      <c r="F97" s="74"/>
      <c r="G97" s="74" t="s">
        <v>355</v>
      </c>
      <c r="H97" s="74" t="s">
        <v>356</v>
      </c>
      <c r="I97" s="74"/>
      <c r="J97" s="74"/>
      <c r="K97" s="74"/>
      <c r="L97" s="74"/>
      <c r="M97" s="74" t="s">
        <v>282</v>
      </c>
      <c r="N97" s="38" t="str">
        <f>IF(OR(A97="Автомат",A97="Дифавтомат"),IF(W97="","",COUNTIFS(Однолинейка!$H$3:$H$3000,U97,Однолинейка!$A$3:$A$3000,Щит_спец)),IF(A97="Аппарат",IF(C97="","",COUNTIFS(Однолинейка!$I$3:$I$3000,C97,Однолинейка!$A$3:$A$3000,Щит_спец)+COUNTIFS(Однолинейка!$J$3:$J$3000,C97,Однолинейка!$A$3:$A$3000,Щит_спец)+COUNTIFS(Однолинейка!$K$3:$K$3000,C97,Однолинейка!$A$3:$A$3000,Щит_спец)),IF(A97="Модуль",IF(C97="","",COUNTIFS(Однолинейка!$AW$3:$AW$3000,"?*",Однолинейка!$AI$3:$AI$3000,C97,Однолинейка!$A$3:$A$3000,Щит_спец)),IF(A97="Клемма",IF(C97="","",IF(C97=$S$7,SUMIFS(Однолинейка!$BW$3:$BW$3000,Однолинейка!$A$3:$A$3000,Щит_спец),IF(C97=$S$8,SUMIFS(Однолинейка!$BX$3:$BX$3000,Однолинейка!$A$3:$A$3000,Щит_спец),""))),""))))</f>
        <v/>
      </c>
      <c r="O97" s="74"/>
      <c r="P97" s="38" t="str">
        <f t="shared" si="9"/>
        <v/>
      </c>
      <c r="U97" s="38" t="str">
        <f t="shared" si="10"/>
        <v/>
      </c>
      <c r="V97" s="38" t="str">
        <f t="shared" si="11"/>
        <v/>
      </c>
      <c r="W97" s="38" t="str">
        <f>IF(AND(U97&lt;&gt;"",OR($S$4="(все)",B97=$S$4),IF($S$4="(все)",COUNTIF($U$4:U97,U97),COUNTIFS($U$4:U97,U97,$B$4:B97,B97))=1),MAX($W$3:W96)+1,"")</f>
        <v/>
      </c>
      <c r="X97" s="38" t="str">
        <f t="shared" si="12"/>
        <v/>
      </c>
      <c r="Y97" s="38" t="str">
        <f>IF(AND(A97="Аппарат",C97&lt;&gt;"",OR($S$5="(все)",B97=$S$5)),MAX($Y$3:Y96)+1,"")</f>
        <v/>
      </c>
      <c r="Z97" s="38" t="str">
        <f t="shared" si="13"/>
        <v/>
      </c>
      <c r="AA97" s="38" t="str">
        <f>IF(AND(A97="Модуль",C97&lt;&gt;"",OR($S$6="(все)",B97=$S$6)),MAX($AA$3:AA96)+1,"")</f>
        <v/>
      </c>
      <c r="AB97" s="38" t="str">
        <f t="shared" si="14"/>
        <v/>
      </c>
      <c r="AC97" s="38" t="str">
        <f>IF(OR(B97="",COUNTIF($B$4:B97,B97)&gt;1),"",MAX($AC$3:AC96)+1)</f>
        <v/>
      </c>
      <c r="AD97" s="38" t="str">
        <f t="shared" si="15"/>
        <v/>
      </c>
      <c r="AE97" s="38" t="str">
        <f t="shared" si="16"/>
        <v/>
      </c>
      <c r="AF97" s="38" t="str">
        <f t="shared" si="17"/>
        <v/>
      </c>
    </row>
    <row r="98" spans="1:32" x14ac:dyDescent="0.3">
      <c r="A98" s="74" t="s">
        <v>622</v>
      </c>
      <c r="B98" s="74" t="s">
        <v>279</v>
      </c>
      <c r="C98" s="74" t="s">
        <v>358</v>
      </c>
      <c r="D98" s="74"/>
      <c r="E98" s="74"/>
      <c r="F98" s="74"/>
      <c r="G98" s="74" t="s">
        <v>357</v>
      </c>
      <c r="H98" s="74" t="s">
        <v>358</v>
      </c>
      <c r="I98" s="74"/>
      <c r="J98" s="74"/>
      <c r="K98" s="74"/>
      <c r="L98" s="74"/>
      <c r="M98" s="74" t="s">
        <v>282</v>
      </c>
      <c r="N98" s="38" t="str">
        <f>IF(OR(A98="Автомат",A98="Дифавтомат"),IF(W98="","",COUNTIFS(Однолинейка!$H$3:$H$3000,U98,Однолинейка!$A$3:$A$3000,Щит_спец)),IF(A98="Аппарат",IF(C98="","",COUNTIFS(Однолинейка!$I$3:$I$3000,C98,Однолинейка!$A$3:$A$3000,Щит_спец)+COUNTIFS(Однолинейка!$J$3:$J$3000,C98,Однолинейка!$A$3:$A$3000,Щит_спец)+COUNTIFS(Однолинейка!$K$3:$K$3000,C98,Однолинейка!$A$3:$A$3000,Щит_спец)),IF(A98="Модуль",IF(C98="","",COUNTIFS(Однолинейка!$AW$3:$AW$3000,"?*",Однолинейка!$AI$3:$AI$3000,C98,Однолинейка!$A$3:$A$3000,Щит_спец)),IF(A98="Клемма",IF(C98="","",IF(C98=$S$7,SUMIFS(Однолинейка!$BW$3:$BW$3000,Однолинейка!$A$3:$A$3000,Щит_спец),IF(C98=$S$8,SUMIFS(Однолинейка!$BX$3:$BX$3000,Однолинейка!$A$3:$A$3000,Щит_спец),""))),""))))</f>
        <v/>
      </c>
      <c r="O98" s="74"/>
      <c r="P98" s="38" t="str">
        <f t="shared" si="9"/>
        <v/>
      </c>
      <c r="U98" s="38" t="str">
        <f t="shared" si="10"/>
        <v/>
      </c>
      <c r="V98" s="38" t="str">
        <f t="shared" si="11"/>
        <v/>
      </c>
      <c r="W98" s="38" t="str">
        <f>IF(AND(U98&lt;&gt;"",OR($S$4="(все)",B98=$S$4),IF($S$4="(все)",COUNTIF($U$4:U98,U98),COUNTIFS($U$4:U98,U98,$B$4:B98,B98))=1),MAX($W$3:W97)+1,"")</f>
        <v/>
      </c>
      <c r="X98" s="38" t="str">
        <f t="shared" si="12"/>
        <v/>
      </c>
      <c r="Y98" s="38" t="str">
        <f>IF(AND(A98="Аппарат",C98&lt;&gt;"",OR($S$5="(все)",B98=$S$5)),MAX($Y$3:Y97)+1,"")</f>
        <v/>
      </c>
      <c r="Z98" s="38" t="str">
        <f t="shared" si="13"/>
        <v/>
      </c>
      <c r="AA98" s="38" t="str">
        <f>IF(AND(A98="Модуль",C98&lt;&gt;"",OR($S$6="(все)",B98=$S$6)),MAX($AA$3:AA97)+1,"")</f>
        <v/>
      </c>
      <c r="AB98" s="38" t="str">
        <f t="shared" si="14"/>
        <v/>
      </c>
      <c r="AC98" s="38" t="str">
        <f>IF(OR(B98="",COUNTIF($B$4:B98,B98)&gt;1),"",MAX($AC$3:AC97)+1)</f>
        <v/>
      </c>
      <c r="AD98" s="38" t="str">
        <f t="shared" si="15"/>
        <v/>
      </c>
      <c r="AE98" s="38" t="str">
        <f t="shared" si="16"/>
        <v/>
      </c>
      <c r="AF98" s="38" t="str">
        <f t="shared" si="17"/>
        <v/>
      </c>
    </row>
    <row r="99" spans="1:32" x14ac:dyDescent="0.3">
      <c r="A99" s="74" t="s">
        <v>622</v>
      </c>
      <c r="B99" s="74" t="s">
        <v>279</v>
      </c>
      <c r="C99" s="74" t="s">
        <v>360</v>
      </c>
      <c r="D99" s="74"/>
      <c r="E99" s="74"/>
      <c r="F99" s="74"/>
      <c r="G99" s="74" t="s">
        <v>359</v>
      </c>
      <c r="H99" s="74" t="s">
        <v>360</v>
      </c>
      <c r="I99" s="74"/>
      <c r="J99" s="74"/>
      <c r="K99" s="74"/>
      <c r="L99" s="74"/>
      <c r="M99" s="74" t="s">
        <v>282</v>
      </c>
      <c r="N99" s="38" t="str">
        <f>IF(OR(A99="Автомат",A99="Дифавтомат"),IF(W99="","",COUNTIFS(Однолинейка!$H$3:$H$3000,U99,Однолинейка!$A$3:$A$3000,Щит_спец)),IF(A99="Аппарат",IF(C99="","",COUNTIFS(Однолинейка!$I$3:$I$3000,C99,Однолинейка!$A$3:$A$3000,Щит_спец)+COUNTIFS(Однолинейка!$J$3:$J$3000,C99,Однолинейка!$A$3:$A$3000,Щит_спец)+COUNTIFS(Однолинейка!$K$3:$K$3000,C99,Однолинейка!$A$3:$A$3000,Щит_спец)),IF(A99="Модуль",IF(C99="","",COUNTIFS(Однолинейка!$AW$3:$AW$3000,"?*",Однолинейка!$AI$3:$AI$3000,C99,Однолинейка!$A$3:$A$3000,Щит_спец)),IF(A99="Клемма",IF(C99="","",IF(C99=$S$7,SUMIFS(Однолинейка!$BW$3:$BW$3000,Однолинейка!$A$3:$A$3000,Щит_спец),IF(C99=$S$8,SUMIFS(Однолинейка!$BX$3:$BX$3000,Однолинейка!$A$3:$A$3000,Щит_спец),""))),""))))</f>
        <v/>
      </c>
      <c r="O99" s="74"/>
      <c r="P99" s="38" t="str">
        <f t="shared" si="9"/>
        <v/>
      </c>
      <c r="U99" s="38" t="str">
        <f t="shared" si="10"/>
        <v/>
      </c>
      <c r="V99" s="38" t="str">
        <f t="shared" si="11"/>
        <v/>
      </c>
      <c r="W99" s="38" t="str">
        <f>IF(AND(U99&lt;&gt;"",OR($S$4="(все)",B99=$S$4),IF($S$4="(все)",COUNTIF($U$4:U99,U99),COUNTIFS($U$4:U99,U99,$B$4:B99,B99))=1),MAX($W$3:W98)+1,"")</f>
        <v/>
      </c>
      <c r="X99" s="38" t="str">
        <f t="shared" si="12"/>
        <v/>
      </c>
      <c r="Y99" s="38" t="str">
        <f>IF(AND(A99="Аппарат",C99&lt;&gt;"",OR($S$5="(все)",B99=$S$5)),MAX($Y$3:Y98)+1,"")</f>
        <v/>
      </c>
      <c r="Z99" s="38" t="str">
        <f t="shared" si="13"/>
        <v/>
      </c>
      <c r="AA99" s="38" t="str">
        <f>IF(AND(A99="Модуль",C99&lt;&gt;"",OR($S$6="(все)",B99=$S$6)),MAX($AA$3:AA98)+1,"")</f>
        <v/>
      </c>
      <c r="AB99" s="38" t="str">
        <f t="shared" si="14"/>
        <v/>
      </c>
      <c r="AC99" s="38" t="str">
        <f>IF(OR(B99="",COUNTIF($B$4:B99,B99)&gt;1),"",MAX($AC$3:AC98)+1)</f>
        <v/>
      </c>
      <c r="AD99" s="38" t="str">
        <f t="shared" si="15"/>
        <v/>
      </c>
      <c r="AE99" s="38" t="str">
        <f t="shared" si="16"/>
        <v/>
      </c>
      <c r="AF99" s="38" t="str">
        <f t="shared" si="17"/>
        <v/>
      </c>
    </row>
    <row r="100" spans="1:32" x14ac:dyDescent="0.3">
      <c r="A100" s="74" t="s">
        <v>622</v>
      </c>
      <c r="B100" s="74"/>
      <c r="C100" s="74" t="s">
        <v>734</v>
      </c>
      <c r="D100" s="74"/>
      <c r="E100" s="74"/>
      <c r="F100" s="74"/>
      <c r="G100" s="74" t="s">
        <v>361</v>
      </c>
      <c r="H100" s="74"/>
      <c r="I100" s="74"/>
      <c r="J100" s="74"/>
      <c r="K100" s="74"/>
      <c r="L100" s="74"/>
      <c r="M100" s="74" t="s">
        <v>362</v>
      </c>
      <c r="N100" s="38" t="str">
        <f>IF(OR(A100="Автомат",A100="Дифавтомат"),IF(W100="","",COUNTIFS(Однолинейка!$H$3:$H$3000,U100,Однолинейка!$A$3:$A$3000,Щит_спец)),IF(A100="Аппарат",IF(C100="","",COUNTIFS(Однолинейка!$I$3:$I$3000,C100,Однолинейка!$A$3:$A$3000,Щит_спец)+COUNTIFS(Однолинейка!$J$3:$J$3000,C100,Однолинейка!$A$3:$A$3000,Щит_спец)+COUNTIFS(Однолинейка!$K$3:$K$3000,C100,Однолинейка!$A$3:$A$3000,Щит_спец)),IF(A100="Модуль",IF(C100="","",COUNTIFS(Однолинейка!$AW$3:$AW$3000,"?*",Однолинейка!$AI$3:$AI$3000,C100,Однолинейка!$A$3:$A$3000,Щит_спец)),IF(A100="Клемма",IF(C100="","",IF(C100=$S$7,SUMIFS(Однолинейка!$BW$3:$BW$3000,Однолинейка!$A$3:$A$3000,Щит_спец),IF(C100=$S$8,SUMIFS(Однолинейка!$BX$3:$BX$3000,Однолинейка!$A$3:$A$3000,Щит_спец),""))),""))))</f>
        <v/>
      </c>
      <c r="O100" s="74"/>
      <c r="P100" s="38" t="str">
        <f t="shared" si="9"/>
        <v/>
      </c>
      <c r="U100" s="38" t="str">
        <f t="shared" si="10"/>
        <v/>
      </c>
      <c r="V100" s="38" t="str">
        <f t="shared" si="11"/>
        <v/>
      </c>
      <c r="W100" s="38" t="str">
        <f>IF(AND(U100&lt;&gt;"",OR($S$4="(все)",B100=$S$4),IF($S$4="(все)",COUNTIF($U$4:U100,U100),COUNTIFS($U$4:U100,U100,$B$4:B100,B100))=1),MAX($W$3:W99)+1,"")</f>
        <v/>
      </c>
      <c r="X100" s="38" t="str">
        <f t="shared" si="12"/>
        <v/>
      </c>
      <c r="Y100" s="38" t="str">
        <f>IF(AND(A100="Аппарат",C100&lt;&gt;"",OR($S$5="(все)",B100=$S$5)),MAX($Y$3:Y99)+1,"")</f>
        <v/>
      </c>
      <c r="Z100" s="38" t="str">
        <f t="shared" si="13"/>
        <v/>
      </c>
      <c r="AA100" s="38" t="str">
        <f>IF(AND(A100="Модуль",C100&lt;&gt;"",OR($S$6="(все)",B100=$S$6)),MAX($AA$3:AA99)+1,"")</f>
        <v/>
      </c>
      <c r="AB100" s="38" t="str">
        <f t="shared" si="14"/>
        <v/>
      </c>
      <c r="AC100" s="38" t="str">
        <f>IF(OR(B100="",COUNTIF($B$4:B100,B100)&gt;1),"",MAX($AC$3:AC99)+1)</f>
        <v/>
      </c>
      <c r="AD100" s="38" t="str">
        <f t="shared" si="15"/>
        <v/>
      </c>
      <c r="AE100" s="38" t="str">
        <f t="shared" si="16"/>
        <v/>
      </c>
      <c r="AF100" s="38" t="str">
        <f t="shared" si="17"/>
        <v/>
      </c>
    </row>
    <row r="101" spans="1:32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38" t="str">
        <f>IF(OR(A101="Автомат",A101="Дифавтомат"),IF(W101="","",COUNTIFS(Однолинейка!$H$3:$H$3000,U101,Однолинейка!$A$3:$A$3000,Щит_спец)),IF(A101="Аппарат",IF(C101="","",COUNTIFS(Однолинейка!$I$3:$I$3000,C101,Однолинейка!$A$3:$A$3000,Щит_спец)+COUNTIFS(Однолинейка!$J$3:$J$3000,C101,Однолинейка!$A$3:$A$3000,Щит_спец)+COUNTIFS(Однолинейка!$K$3:$K$3000,C101,Однолинейка!$A$3:$A$3000,Щит_спец)),IF(A101="Модуль",IF(C101="","",COUNTIFS(Однолинейка!$AW$3:$AW$3000,"?*",Однолинейка!$AI$3:$AI$3000,C101,Однолинейка!$A$3:$A$3000,Щит_спец)),IF(A101="Клемма",IF(C101="","",IF(C101=$S$7,SUMIFS(Однолинейка!$BW$3:$BW$3000,Однолинейка!$A$3:$A$3000,Щит_спец),IF(C101=$S$8,SUMIFS(Однолинейка!$BX$3:$BX$3000,Однолинейка!$A$3:$A$3000,Щит_спец),""))),""))))</f>
        <v/>
      </c>
      <c r="O101" s="74"/>
      <c r="P101" s="38" t="str">
        <f t="shared" si="9"/>
        <v/>
      </c>
      <c r="U101" s="38" t="str">
        <f t="shared" si="10"/>
        <v/>
      </c>
      <c r="V101" s="38" t="str">
        <f t="shared" si="11"/>
        <v/>
      </c>
      <c r="W101" s="38" t="str">
        <f>IF(AND(U101&lt;&gt;"",OR($S$4="(все)",B101=$S$4),IF($S$4="(все)",COUNTIF($U$4:U101,U101),COUNTIFS($U$4:U101,U101,$B$4:B101,B101))=1),MAX($W$3:W100)+1,"")</f>
        <v/>
      </c>
      <c r="X101" s="38" t="str">
        <f t="shared" si="12"/>
        <v/>
      </c>
      <c r="Y101" s="38" t="str">
        <f>IF(AND(A101="Аппарат",C101&lt;&gt;"",OR($S$5="(все)",B101=$S$5)),MAX($Y$3:Y100)+1,"")</f>
        <v/>
      </c>
      <c r="Z101" s="38" t="str">
        <f t="shared" si="13"/>
        <v/>
      </c>
      <c r="AA101" s="38" t="str">
        <f>IF(AND(A101="Модуль",C101&lt;&gt;"",OR($S$6="(все)",B101=$S$6)),MAX($AA$3:AA100)+1,"")</f>
        <v/>
      </c>
      <c r="AB101" s="38" t="str">
        <f t="shared" si="14"/>
        <v/>
      </c>
      <c r="AC101" s="38" t="str">
        <f>IF(OR(B101="",COUNTIF($B$4:B101,B101)&gt;1),"",MAX($AC$3:AC100)+1)</f>
        <v/>
      </c>
      <c r="AD101" s="38" t="str">
        <f t="shared" si="15"/>
        <v/>
      </c>
      <c r="AE101" s="38" t="str">
        <f t="shared" si="16"/>
        <v/>
      </c>
      <c r="AF101" s="38" t="str">
        <f t="shared" si="17"/>
        <v/>
      </c>
    </row>
    <row r="102" spans="1:32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38" t="str">
        <f>IF(OR(A102="Автомат",A102="Дифавтомат"),IF(W102="","",COUNTIFS(Однолинейка!$H$3:$H$3000,U102,Однолинейка!$A$3:$A$3000,Щит_спец)),IF(A102="Аппарат",IF(C102="","",COUNTIFS(Однолинейка!$I$3:$I$3000,C102,Однолинейка!$A$3:$A$3000,Щит_спец)+COUNTIFS(Однолинейка!$J$3:$J$3000,C102,Однолинейка!$A$3:$A$3000,Щит_спец)+COUNTIFS(Однолинейка!$K$3:$K$3000,C102,Однолинейка!$A$3:$A$3000,Щит_спец)),IF(A102="Модуль",IF(C102="","",COUNTIFS(Однолинейка!$AW$3:$AW$3000,"?*",Однолинейка!$AI$3:$AI$3000,C102,Однолинейка!$A$3:$A$3000,Щит_спец)),IF(A102="Клемма",IF(C102="","",IF(C102=$S$7,SUMIFS(Однолинейка!$BW$3:$BW$3000,Однолинейка!$A$3:$A$3000,Щит_спец),IF(C102=$S$8,SUMIFS(Однолинейка!$BX$3:$BX$3000,Однолинейка!$A$3:$A$3000,Щит_спец),""))),""))))</f>
        <v/>
      </c>
      <c r="O102" s="74"/>
      <c r="P102" s="38" t="str">
        <f t="shared" si="9"/>
        <v/>
      </c>
      <c r="U102" s="38" t="str">
        <f t="shared" si="10"/>
        <v/>
      </c>
      <c r="V102" s="38" t="str">
        <f t="shared" si="11"/>
        <v/>
      </c>
      <c r="W102" s="38" t="str">
        <f>IF(AND(U102&lt;&gt;"",OR($S$4="(все)",B102=$S$4),IF($S$4="(все)",COUNTIF($U$4:U102,U102),COUNTIFS($U$4:U102,U102,$B$4:B102,B102))=1),MAX($W$3:W101)+1,"")</f>
        <v/>
      </c>
      <c r="X102" s="38" t="str">
        <f t="shared" si="12"/>
        <v/>
      </c>
      <c r="Y102" s="38" t="str">
        <f>IF(AND(A102="Аппарат",C102&lt;&gt;"",OR($S$5="(все)",B102=$S$5)),MAX($Y$3:Y101)+1,"")</f>
        <v/>
      </c>
      <c r="Z102" s="38" t="str">
        <f t="shared" si="13"/>
        <v/>
      </c>
      <c r="AA102" s="38" t="str">
        <f>IF(AND(A102="Модуль",C102&lt;&gt;"",OR($S$6="(все)",B102=$S$6)),MAX($AA$3:AA101)+1,"")</f>
        <v/>
      </c>
      <c r="AB102" s="38" t="str">
        <f t="shared" si="14"/>
        <v/>
      </c>
      <c r="AC102" s="38" t="str">
        <f>IF(OR(B102="",COUNTIF($B$4:B102,B102)&gt;1),"",MAX($AC$3:AC101)+1)</f>
        <v/>
      </c>
      <c r="AD102" s="38" t="str">
        <f t="shared" si="15"/>
        <v/>
      </c>
      <c r="AE102" s="38" t="str">
        <f t="shared" si="16"/>
        <v/>
      </c>
      <c r="AF102" s="38" t="str">
        <f t="shared" si="17"/>
        <v/>
      </c>
    </row>
    <row r="103" spans="1:32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38" t="str">
        <f>IF(OR(A103="Автомат",A103="Дифавтомат"),IF(W103="","",COUNTIFS(Однолинейка!$H$3:$H$3000,U103,Однолинейка!$A$3:$A$3000,Щит_спец)),IF(A103="Аппарат",IF(C103="","",COUNTIFS(Однолинейка!$I$3:$I$3000,C103,Однолинейка!$A$3:$A$3000,Щит_спец)+COUNTIFS(Однолинейка!$J$3:$J$3000,C103,Однолинейка!$A$3:$A$3000,Щит_спец)+COUNTIFS(Однолинейка!$K$3:$K$3000,C103,Однолинейка!$A$3:$A$3000,Щит_спец)),IF(A103="Модуль",IF(C103="","",COUNTIFS(Однолинейка!$AW$3:$AW$3000,"?*",Однолинейка!$AI$3:$AI$3000,C103,Однолинейка!$A$3:$A$3000,Щит_спец)),IF(A103="Клемма",IF(C103="","",IF(C103=$S$7,SUMIFS(Однолинейка!$BW$3:$BW$3000,Однолинейка!$A$3:$A$3000,Щит_спец),IF(C103=$S$8,SUMIFS(Однолинейка!$BX$3:$BX$3000,Однолинейка!$A$3:$A$3000,Щит_спец),""))),""))))</f>
        <v/>
      </c>
      <c r="O103" s="74"/>
      <c r="P103" s="38" t="str">
        <f t="shared" si="9"/>
        <v/>
      </c>
      <c r="U103" s="38" t="str">
        <f t="shared" si="10"/>
        <v/>
      </c>
      <c r="V103" s="38" t="str">
        <f t="shared" si="11"/>
        <v/>
      </c>
      <c r="W103" s="38" t="str">
        <f>IF(AND(U103&lt;&gt;"",OR($S$4="(все)",B103=$S$4),IF($S$4="(все)",COUNTIF($U$4:U103,U103),COUNTIFS($U$4:U103,U103,$B$4:B103,B103))=1),MAX($W$3:W102)+1,"")</f>
        <v/>
      </c>
      <c r="X103" s="38" t="str">
        <f t="shared" si="12"/>
        <v/>
      </c>
      <c r="Y103" s="38" t="str">
        <f>IF(AND(A103="Аппарат",C103&lt;&gt;"",OR($S$5="(все)",B103=$S$5)),MAX($Y$3:Y102)+1,"")</f>
        <v/>
      </c>
      <c r="Z103" s="38" t="str">
        <f t="shared" si="13"/>
        <v/>
      </c>
      <c r="AA103" s="38" t="str">
        <f>IF(AND(A103="Модуль",C103&lt;&gt;"",OR($S$6="(все)",B103=$S$6)),MAX($AA$3:AA102)+1,"")</f>
        <v/>
      </c>
      <c r="AB103" s="38" t="str">
        <f t="shared" si="14"/>
        <v/>
      </c>
      <c r="AC103" s="38" t="str">
        <f>IF(OR(B103="",COUNTIF($B$4:B103,B103)&gt;1),"",MAX($AC$3:AC102)+1)</f>
        <v/>
      </c>
      <c r="AD103" s="38" t="str">
        <f t="shared" si="15"/>
        <v/>
      </c>
      <c r="AE103" s="38" t="str">
        <f t="shared" si="16"/>
        <v/>
      </c>
      <c r="AF103" s="38" t="str">
        <f t="shared" si="17"/>
        <v/>
      </c>
    </row>
    <row r="104" spans="1:32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38" t="str">
        <f>IF(OR(A104="Автомат",A104="Дифавтомат"),IF(W104="","",COUNTIFS(Однолинейка!$H$3:$H$3000,U104,Однолинейка!$A$3:$A$3000,Щит_спец)),IF(A104="Аппарат",IF(C104="","",COUNTIFS(Однолинейка!$I$3:$I$3000,C104,Однолинейка!$A$3:$A$3000,Щит_спец)+COUNTIFS(Однолинейка!$J$3:$J$3000,C104,Однолинейка!$A$3:$A$3000,Щит_спец)+COUNTIFS(Однолинейка!$K$3:$K$3000,C104,Однолинейка!$A$3:$A$3000,Щит_спец)),IF(A104="Модуль",IF(C104="","",COUNTIFS(Однолинейка!$AW$3:$AW$3000,"?*",Однолинейка!$AI$3:$AI$3000,C104,Однолинейка!$A$3:$A$3000,Щит_спец)),IF(A104="Клемма",IF(C104="","",IF(C104=$S$7,SUMIFS(Однолинейка!$BW$3:$BW$3000,Однолинейка!$A$3:$A$3000,Щит_спец),IF(C104=$S$8,SUMIFS(Однолинейка!$BX$3:$BX$3000,Однолинейка!$A$3:$A$3000,Щит_спец),""))),""))))</f>
        <v/>
      </c>
      <c r="O104" s="74"/>
      <c r="P104" s="38" t="str">
        <f t="shared" si="9"/>
        <v/>
      </c>
      <c r="U104" s="38" t="str">
        <f t="shared" si="10"/>
        <v/>
      </c>
      <c r="V104" s="38" t="str">
        <f t="shared" si="11"/>
        <v/>
      </c>
      <c r="W104" s="38" t="str">
        <f>IF(AND(U104&lt;&gt;"",OR($S$4="(все)",B104=$S$4),IF($S$4="(все)",COUNTIF($U$4:U104,U104),COUNTIFS($U$4:U104,U104,$B$4:B104,B104))=1),MAX($W$3:W103)+1,"")</f>
        <v/>
      </c>
      <c r="X104" s="38" t="str">
        <f t="shared" si="12"/>
        <v/>
      </c>
      <c r="Y104" s="38" t="str">
        <f>IF(AND(A104="Аппарат",C104&lt;&gt;"",OR($S$5="(все)",B104=$S$5)),MAX($Y$3:Y103)+1,"")</f>
        <v/>
      </c>
      <c r="Z104" s="38" t="str">
        <f t="shared" si="13"/>
        <v/>
      </c>
      <c r="AA104" s="38" t="str">
        <f>IF(AND(A104="Модуль",C104&lt;&gt;"",OR($S$6="(все)",B104=$S$6)),MAX($AA$3:AA103)+1,"")</f>
        <v/>
      </c>
      <c r="AB104" s="38" t="str">
        <f t="shared" si="14"/>
        <v/>
      </c>
      <c r="AC104" s="38" t="str">
        <f>IF(OR(B104="",COUNTIF($B$4:B104,B104)&gt;1),"",MAX($AC$3:AC103)+1)</f>
        <v/>
      </c>
      <c r="AD104" s="38" t="str">
        <f t="shared" si="15"/>
        <v/>
      </c>
      <c r="AE104" s="38" t="str">
        <f t="shared" si="16"/>
        <v/>
      </c>
      <c r="AF104" s="38" t="str">
        <f t="shared" si="17"/>
        <v/>
      </c>
    </row>
    <row r="105" spans="1:32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38" t="str">
        <f>IF(OR(A105="Автомат",A105="Дифавтомат"),IF(W105="","",COUNTIFS(Однолинейка!$H$3:$H$3000,U105,Однолинейка!$A$3:$A$3000,Щит_спец)),IF(A105="Аппарат",IF(C105="","",COUNTIFS(Однолинейка!$I$3:$I$3000,C105,Однолинейка!$A$3:$A$3000,Щит_спец)+COUNTIFS(Однолинейка!$J$3:$J$3000,C105,Однолинейка!$A$3:$A$3000,Щит_спец)+COUNTIFS(Однолинейка!$K$3:$K$3000,C105,Однолинейка!$A$3:$A$3000,Щит_спец)),IF(A105="Модуль",IF(C105="","",COUNTIFS(Однолинейка!$AW$3:$AW$3000,"?*",Однолинейка!$AI$3:$AI$3000,C105,Однолинейка!$A$3:$A$3000,Щит_спец)),IF(A105="Клемма",IF(C105="","",IF(C105=$S$7,SUMIFS(Однолинейка!$BW$3:$BW$3000,Однолинейка!$A$3:$A$3000,Щит_спец),IF(C105=$S$8,SUMIFS(Однолинейка!$BX$3:$BX$3000,Однолинейка!$A$3:$A$3000,Щит_спец),""))),""))))</f>
        <v/>
      </c>
      <c r="O105" s="74"/>
      <c r="P105" s="38" t="str">
        <f t="shared" si="9"/>
        <v/>
      </c>
      <c r="U105" s="38" t="str">
        <f t="shared" si="10"/>
        <v/>
      </c>
      <c r="V105" s="38" t="str">
        <f t="shared" si="11"/>
        <v/>
      </c>
      <c r="W105" s="38" t="str">
        <f>IF(AND(U105&lt;&gt;"",OR($S$4="(все)",B105=$S$4),IF($S$4="(все)",COUNTIF($U$4:U105,U105),COUNTIFS($U$4:U105,U105,$B$4:B105,B105))=1),MAX($W$3:W104)+1,"")</f>
        <v/>
      </c>
      <c r="X105" s="38" t="str">
        <f t="shared" si="12"/>
        <v/>
      </c>
      <c r="Y105" s="38" t="str">
        <f>IF(AND(A105="Аппарат",C105&lt;&gt;"",OR($S$5="(все)",B105=$S$5)),MAX($Y$3:Y104)+1,"")</f>
        <v/>
      </c>
      <c r="Z105" s="38" t="str">
        <f t="shared" si="13"/>
        <v/>
      </c>
      <c r="AA105" s="38" t="str">
        <f>IF(AND(A105="Модуль",C105&lt;&gt;"",OR($S$6="(все)",B105=$S$6)),MAX($AA$3:AA104)+1,"")</f>
        <v/>
      </c>
      <c r="AB105" s="38" t="str">
        <f t="shared" si="14"/>
        <v/>
      </c>
      <c r="AC105" s="38" t="str">
        <f>IF(OR(B105="",COUNTIF($B$4:B105,B105)&gt;1),"",MAX($AC$3:AC104)+1)</f>
        <v/>
      </c>
      <c r="AD105" s="38" t="str">
        <f t="shared" si="15"/>
        <v/>
      </c>
      <c r="AE105" s="38" t="str">
        <f t="shared" si="16"/>
        <v/>
      </c>
      <c r="AF105" s="38" t="str">
        <f t="shared" si="17"/>
        <v/>
      </c>
    </row>
    <row r="106" spans="1:32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38" t="str">
        <f>IF(OR(A106="Автомат",A106="Дифавтомат"),IF(W106="","",COUNTIFS(Однолинейка!$H$3:$H$3000,U106,Однолинейка!$A$3:$A$3000,Щит_спец)),IF(A106="Аппарат",IF(C106="","",COUNTIFS(Однолинейка!$I$3:$I$3000,C106,Однолинейка!$A$3:$A$3000,Щит_спец)+COUNTIFS(Однолинейка!$J$3:$J$3000,C106,Однолинейка!$A$3:$A$3000,Щит_спец)+COUNTIFS(Однолинейка!$K$3:$K$3000,C106,Однолинейка!$A$3:$A$3000,Щит_спец)),IF(A106="Модуль",IF(C106="","",COUNTIFS(Однолинейка!$AW$3:$AW$3000,"?*",Однолинейка!$AI$3:$AI$3000,C106,Однолинейка!$A$3:$A$3000,Щит_спец)),IF(A106="Клемма",IF(C106="","",IF(C106=$S$7,SUMIFS(Однолинейка!$BW$3:$BW$3000,Однолинейка!$A$3:$A$3000,Щит_спец),IF(C106=$S$8,SUMIFS(Однолинейка!$BX$3:$BX$3000,Однолинейка!$A$3:$A$3000,Щит_спец),""))),""))))</f>
        <v/>
      </c>
      <c r="O106" s="74"/>
      <c r="P106" s="38" t="str">
        <f t="shared" si="9"/>
        <v/>
      </c>
      <c r="U106" s="38" t="str">
        <f t="shared" si="10"/>
        <v/>
      </c>
      <c r="V106" s="38" t="str">
        <f t="shared" si="11"/>
        <v/>
      </c>
      <c r="W106" s="38" t="str">
        <f>IF(AND(U106&lt;&gt;"",OR($S$4="(все)",B106=$S$4),IF($S$4="(все)",COUNTIF($U$4:U106,U106),COUNTIFS($U$4:U106,U106,$B$4:B106,B106))=1),MAX($W$3:W105)+1,"")</f>
        <v/>
      </c>
      <c r="X106" s="38" t="str">
        <f t="shared" si="12"/>
        <v/>
      </c>
      <c r="Y106" s="38" t="str">
        <f>IF(AND(A106="Аппарат",C106&lt;&gt;"",OR($S$5="(все)",B106=$S$5)),MAX($Y$3:Y105)+1,"")</f>
        <v/>
      </c>
      <c r="Z106" s="38" t="str">
        <f t="shared" si="13"/>
        <v/>
      </c>
      <c r="AA106" s="38" t="str">
        <f>IF(AND(A106="Модуль",C106&lt;&gt;"",OR($S$6="(все)",B106=$S$6)),MAX($AA$3:AA105)+1,"")</f>
        <v/>
      </c>
      <c r="AB106" s="38" t="str">
        <f t="shared" si="14"/>
        <v/>
      </c>
      <c r="AC106" s="38" t="str">
        <f>IF(OR(B106="",COUNTIF($B$4:B106,B106)&gt;1),"",MAX($AC$3:AC105)+1)</f>
        <v/>
      </c>
      <c r="AD106" s="38" t="str">
        <f t="shared" si="15"/>
        <v/>
      </c>
      <c r="AE106" s="38" t="str">
        <f t="shared" si="16"/>
        <v/>
      </c>
      <c r="AF106" s="38" t="str">
        <f t="shared" si="17"/>
        <v/>
      </c>
    </row>
    <row r="107" spans="1:32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38" t="str">
        <f>IF(OR(A107="Автомат",A107="Дифавтомат"),IF(W107="","",COUNTIFS(Однолинейка!$H$3:$H$3000,U107,Однолинейка!$A$3:$A$3000,Щит_спец)),IF(A107="Аппарат",IF(C107="","",COUNTIFS(Однолинейка!$I$3:$I$3000,C107,Однолинейка!$A$3:$A$3000,Щит_спец)+COUNTIFS(Однолинейка!$J$3:$J$3000,C107,Однолинейка!$A$3:$A$3000,Щит_спец)+COUNTIFS(Однолинейка!$K$3:$K$3000,C107,Однолинейка!$A$3:$A$3000,Щит_спец)),IF(A107="Модуль",IF(C107="","",COUNTIFS(Однолинейка!$AW$3:$AW$3000,"?*",Однолинейка!$AI$3:$AI$3000,C107,Однолинейка!$A$3:$A$3000,Щит_спец)),IF(A107="Клемма",IF(C107="","",IF(C107=$S$7,SUMIFS(Однолинейка!$BW$3:$BW$3000,Однолинейка!$A$3:$A$3000,Щит_спец),IF(C107=$S$8,SUMIFS(Однолинейка!$BX$3:$BX$3000,Однолинейка!$A$3:$A$3000,Щит_спец),""))),""))))</f>
        <v/>
      </c>
      <c r="O107" s="74"/>
      <c r="P107" s="38" t="str">
        <f t="shared" si="9"/>
        <v/>
      </c>
      <c r="U107" s="38" t="str">
        <f t="shared" si="10"/>
        <v/>
      </c>
      <c r="V107" s="38" t="str">
        <f t="shared" si="11"/>
        <v/>
      </c>
      <c r="W107" s="38" t="str">
        <f>IF(AND(U107&lt;&gt;"",OR($S$4="(все)",B107=$S$4),IF($S$4="(все)",COUNTIF($U$4:U107,U107),COUNTIFS($U$4:U107,U107,$B$4:B107,B107))=1),MAX($W$3:W106)+1,"")</f>
        <v/>
      </c>
      <c r="X107" s="38" t="str">
        <f t="shared" si="12"/>
        <v/>
      </c>
      <c r="Y107" s="38" t="str">
        <f>IF(AND(A107="Аппарат",C107&lt;&gt;"",OR($S$5="(все)",B107=$S$5)),MAX($Y$3:Y106)+1,"")</f>
        <v/>
      </c>
      <c r="Z107" s="38" t="str">
        <f t="shared" si="13"/>
        <v/>
      </c>
      <c r="AA107" s="38" t="str">
        <f>IF(AND(A107="Модуль",C107&lt;&gt;"",OR($S$6="(все)",B107=$S$6)),MAX($AA$3:AA106)+1,"")</f>
        <v/>
      </c>
      <c r="AB107" s="38" t="str">
        <f t="shared" si="14"/>
        <v/>
      </c>
      <c r="AC107" s="38" t="str">
        <f>IF(OR(B107="",COUNTIF($B$4:B107,B107)&gt;1),"",MAX($AC$3:AC106)+1)</f>
        <v/>
      </c>
      <c r="AD107" s="38" t="str">
        <f t="shared" si="15"/>
        <v/>
      </c>
      <c r="AE107" s="38" t="str">
        <f t="shared" si="16"/>
        <v/>
      </c>
      <c r="AF107" s="38" t="str">
        <f t="shared" si="17"/>
        <v/>
      </c>
    </row>
    <row r="108" spans="1:32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38" t="str">
        <f>IF(OR(A108="Автомат",A108="Дифавтомат"),IF(W108="","",COUNTIFS(Однолинейка!$H$3:$H$3000,U108,Однолинейка!$A$3:$A$3000,Щит_спец)),IF(A108="Аппарат",IF(C108="","",COUNTIFS(Однолинейка!$I$3:$I$3000,C108,Однолинейка!$A$3:$A$3000,Щит_спец)+COUNTIFS(Однолинейка!$J$3:$J$3000,C108,Однолинейка!$A$3:$A$3000,Щит_спец)+COUNTIFS(Однолинейка!$K$3:$K$3000,C108,Однолинейка!$A$3:$A$3000,Щит_спец)),IF(A108="Модуль",IF(C108="","",COUNTIFS(Однолинейка!$AW$3:$AW$3000,"?*",Однолинейка!$AI$3:$AI$3000,C108,Однолинейка!$A$3:$A$3000,Щит_спец)),IF(A108="Клемма",IF(C108="","",IF(C108=$S$7,SUMIFS(Однолинейка!$BW$3:$BW$3000,Однолинейка!$A$3:$A$3000,Щит_спец),IF(C108=$S$8,SUMIFS(Однолинейка!$BX$3:$BX$3000,Однолинейка!$A$3:$A$3000,Щит_спец),""))),""))))</f>
        <v/>
      </c>
      <c r="O108" s="74"/>
      <c r="P108" s="38" t="str">
        <f t="shared" si="9"/>
        <v/>
      </c>
      <c r="U108" s="38" t="str">
        <f t="shared" si="10"/>
        <v/>
      </c>
      <c r="V108" s="38" t="str">
        <f t="shared" si="11"/>
        <v/>
      </c>
      <c r="W108" s="38" t="str">
        <f>IF(AND(U108&lt;&gt;"",OR($S$4="(все)",B108=$S$4),IF($S$4="(все)",COUNTIF($U$4:U108,U108),COUNTIFS($U$4:U108,U108,$B$4:B108,B108))=1),MAX($W$3:W107)+1,"")</f>
        <v/>
      </c>
      <c r="X108" s="38" t="str">
        <f t="shared" si="12"/>
        <v/>
      </c>
      <c r="Y108" s="38" t="str">
        <f>IF(AND(A108="Аппарат",C108&lt;&gt;"",OR($S$5="(все)",B108=$S$5)),MAX($Y$3:Y107)+1,"")</f>
        <v/>
      </c>
      <c r="Z108" s="38" t="str">
        <f t="shared" si="13"/>
        <v/>
      </c>
      <c r="AA108" s="38" t="str">
        <f>IF(AND(A108="Модуль",C108&lt;&gt;"",OR($S$6="(все)",B108=$S$6)),MAX($AA$3:AA107)+1,"")</f>
        <v/>
      </c>
      <c r="AB108" s="38" t="str">
        <f t="shared" si="14"/>
        <v/>
      </c>
      <c r="AC108" s="38" t="str">
        <f>IF(OR(B108="",COUNTIF($B$4:B108,B108)&gt;1),"",MAX($AC$3:AC107)+1)</f>
        <v/>
      </c>
      <c r="AD108" s="38" t="str">
        <f t="shared" si="15"/>
        <v/>
      </c>
      <c r="AE108" s="38" t="str">
        <f t="shared" si="16"/>
        <v/>
      </c>
      <c r="AF108" s="38" t="str">
        <f t="shared" si="17"/>
        <v/>
      </c>
    </row>
    <row r="109" spans="1:32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38" t="str">
        <f>IF(OR(A109="Автомат",A109="Дифавтомат"),IF(W109="","",COUNTIFS(Однолинейка!$H$3:$H$3000,U109,Однолинейка!$A$3:$A$3000,Щит_спец)),IF(A109="Аппарат",IF(C109="","",COUNTIFS(Однолинейка!$I$3:$I$3000,C109,Однолинейка!$A$3:$A$3000,Щит_спец)+COUNTIFS(Однолинейка!$J$3:$J$3000,C109,Однолинейка!$A$3:$A$3000,Щит_спец)+COUNTIFS(Однолинейка!$K$3:$K$3000,C109,Однолинейка!$A$3:$A$3000,Щит_спец)),IF(A109="Модуль",IF(C109="","",COUNTIFS(Однолинейка!$AW$3:$AW$3000,"?*",Однолинейка!$AI$3:$AI$3000,C109,Однолинейка!$A$3:$A$3000,Щит_спец)),IF(A109="Клемма",IF(C109="","",IF(C109=$S$7,SUMIFS(Однолинейка!$BW$3:$BW$3000,Однолинейка!$A$3:$A$3000,Щит_спец),IF(C109=$S$8,SUMIFS(Однолинейка!$BX$3:$BX$3000,Однолинейка!$A$3:$A$3000,Щит_спец),""))),""))))</f>
        <v/>
      </c>
      <c r="O109" s="74"/>
      <c r="P109" s="38" t="str">
        <f t="shared" si="9"/>
        <v/>
      </c>
      <c r="U109" s="38" t="str">
        <f t="shared" si="10"/>
        <v/>
      </c>
      <c r="V109" s="38" t="str">
        <f t="shared" si="11"/>
        <v/>
      </c>
      <c r="W109" s="38" t="str">
        <f>IF(AND(U109&lt;&gt;"",OR($S$4="(все)",B109=$S$4),IF($S$4="(все)",COUNTIF($U$4:U109,U109),COUNTIFS($U$4:U109,U109,$B$4:B109,B109))=1),MAX($W$3:W108)+1,"")</f>
        <v/>
      </c>
      <c r="X109" s="38" t="str">
        <f t="shared" si="12"/>
        <v/>
      </c>
      <c r="Y109" s="38" t="str">
        <f>IF(AND(A109="Аппарат",C109&lt;&gt;"",OR($S$5="(все)",B109=$S$5)),MAX($Y$3:Y108)+1,"")</f>
        <v/>
      </c>
      <c r="Z109" s="38" t="str">
        <f t="shared" si="13"/>
        <v/>
      </c>
      <c r="AA109" s="38" t="str">
        <f>IF(AND(A109="Модуль",C109&lt;&gt;"",OR($S$6="(все)",B109=$S$6)),MAX($AA$3:AA108)+1,"")</f>
        <v/>
      </c>
      <c r="AB109" s="38" t="str">
        <f t="shared" si="14"/>
        <v/>
      </c>
      <c r="AC109" s="38" t="str">
        <f>IF(OR(B109="",COUNTIF($B$4:B109,B109)&gt;1),"",MAX($AC$3:AC108)+1)</f>
        <v/>
      </c>
      <c r="AD109" s="38" t="str">
        <f t="shared" si="15"/>
        <v/>
      </c>
      <c r="AE109" s="38" t="str">
        <f t="shared" si="16"/>
        <v/>
      </c>
      <c r="AF109" s="38" t="str">
        <f t="shared" si="17"/>
        <v/>
      </c>
    </row>
    <row r="110" spans="1:32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38" t="str">
        <f>IF(OR(A110="Автомат",A110="Дифавтомат"),IF(W110="","",COUNTIFS(Однолинейка!$H$3:$H$3000,U110,Однолинейка!$A$3:$A$3000,Щит_спец)),IF(A110="Аппарат",IF(C110="","",COUNTIFS(Однолинейка!$I$3:$I$3000,C110,Однолинейка!$A$3:$A$3000,Щит_спец)+COUNTIFS(Однолинейка!$J$3:$J$3000,C110,Однолинейка!$A$3:$A$3000,Щит_спец)+COUNTIFS(Однолинейка!$K$3:$K$3000,C110,Однолинейка!$A$3:$A$3000,Щит_спец)),IF(A110="Модуль",IF(C110="","",COUNTIFS(Однолинейка!$AW$3:$AW$3000,"?*",Однолинейка!$AI$3:$AI$3000,C110,Однолинейка!$A$3:$A$3000,Щит_спец)),IF(A110="Клемма",IF(C110="","",IF(C110=$S$7,SUMIFS(Однолинейка!$BW$3:$BW$3000,Однолинейка!$A$3:$A$3000,Щит_спец),IF(C110=$S$8,SUMIFS(Однолинейка!$BX$3:$BX$3000,Однолинейка!$A$3:$A$3000,Щит_спец),""))),""))))</f>
        <v/>
      </c>
      <c r="O110" s="74"/>
      <c r="P110" s="38" t="str">
        <f t="shared" si="9"/>
        <v/>
      </c>
      <c r="U110" s="38" t="str">
        <f t="shared" si="10"/>
        <v/>
      </c>
      <c r="V110" s="38" t="str">
        <f t="shared" si="11"/>
        <v/>
      </c>
      <c r="W110" s="38" t="str">
        <f>IF(AND(U110&lt;&gt;"",OR($S$4="(все)",B110=$S$4),IF($S$4="(все)",COUNTIF($U$4:U110,U110),COUNTIFS($U$4:U110,U110,$B$4:B110,B110))=1),MAX($W$3:W109)+1,"")</f>
        <v/>
      </c>
      <c r="X110" s="38" t="str">
        <f t="shared" si="12"/>
        <v/>
      </c>
      <c r="Y110" s="38" t="str">
        <f>IF(AND(A110="Аппарат",C110&lt;&gt;"",OR($S$5="(все)",B110=$S$5)),MAX($Y$3:Y109)+1,"")</f>
        <v/>
      </c>
      <c r="Z110" s="38" t="str">
        <f t="shared" si="13"/>
        <v/>
      </c>
      <c r="AA110" s="38" t="str">
        <f>IF(AND(A110="Модуль",C110&lt;&gt;"",OR($S$6="(все)",B110=$S$6)),MAX($AA$3:AA109)+1,"")</f>
        <v/>
      </c>
      <c r="AB110" s="38" t="str">
        <f t="shared" si="14"/>
        <v/>
      </c>
      <c r="AC110" s="38" t="str">
        <f>IF(OR(B110="",COUNTIF($B$4:B110,B110)&gt;1),"",MAX($AC$3:AC109)+1)</f>
        <v/>
      </c>
      <c r="AD110" s="38" t="str">
        <f t="shared" si="15"/>
        <v/>
      </c>
      <c r="AE110" s="38" t="str">
        <f t="shared" si="16"/>
        <v/>
      </c>
      <c r="AF110" s="38" t="str">
        <f t="shared" si="17"/>
        <v/>
      </c>
    </row>
    <row r="111" spans="1:32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38" t="str">
        <f>IF(OR(A111="Автомат",A111="Дифавтомат"),IF(W111="","",COUNTIFS(Однолинейка!$H$3:$H$3000,U111,Однолинейка!$A$3:$A$3000,Щит_спец)),IF(A111="Аппарат",IF(C111="","",COUNTIFS(Однолинейка!$I$3:$I$3000,C111,Однолинейка!$A$3:$A$3000,Щит_спец)+COUNTIFS(Однолинейка!$J$3:$J$3000,C111,Однолинейка!$A$3:$A$3000,Щит_спец)+COUNTIFS(Однолинейка!$K$3:$K$3000,C111,Однолинейка!$A$3:$A$3000,Щит_спец)),IF(A111="Модуль",IF(C111="","",COUNTIFS(Однолинейка!$AW$3:$AW$3000,"?*",Однолинейка!$AI$3:$AI$3000,C111,Однолинейка!$A$3:$A$3000,Щит_спец)),IF(A111="Клемма",IF(C111="","",IF(C111=$S$7,SUMIFS(Однолинейка!$BW$3:$BW$3000,Однолинейка!$A$3:$A$3000,Щит_спец),IF(C111=$S$8,SUMIFS(Однолинейка!$BX$3:$BX$3000,Однолинейка!$A$3:$A$3000,Щит_спец),""))),""))))</f>
        <v/>
      </c>
      <c r="O111" s="74"/>
      <c r="P111" s="38" t="str">
        <f t="shared" si="9"/>
        <v/>
      </c>
      <c r="U111" s="38" t="str">
        <f t="shared" si="10"/>
        <v/>
      </c>
      <c r="V111" s="38" t="str">
        <f t="shared" si="11"/>
        <v/>
      </c>
      <c r="W111" s="38" t="str">
        <f>IF(AND(U111&lt;&gt;"",OR($S$4="(все)",B111=$S$4),IF($S$4="(все)",COUNTIF($U$4:U111,U111),COUNTIFS($U$4:U111,U111,$B$4:B111,B111))=1),MAX($W$3:W110)+1,"")</f>
        <v/>
      </c>
      <c r="X111" s="38" t="str">
        <f t="shared" si="12"/>
        <v/>
      </c>
      <c r="Y111" s="38" t="str">
        <f>IF(AND(A111="Аппарат",C111&lt;&gt;"",OR($S$5="(все)",B111=$S$5)),MAX($Y$3:Y110)+1,"")</f>
        <v/>
      </c>
      <c r="Z111" s="38" t="str">
        <f t="shared" si="13"/>
        <v/>
      </c>
      <c r="AA111" s="38" t="str">
        <f>IF(AND(A111="Модуль",C111&lt;&gt;"",OR($S$6="(все)",B111=$S$6)),MAX($AA$3:AA110)+1,"")</f>
        <v/>
      </c>
      <c r="AB111" s="38" t="str">
        <f t="shared" si="14"/>
        <v/>
      </c>
      <c r="AC111" s="38" t="str">
        <f>IF(OR(B111="",COUNTIF($B$4:B111,B111)&gt;1),"",MAX($AC$3:AC110)+1)</f>
        <v/>
      </c>
      <c r="AD111" s="38" t="str">
        <f t="shared" si="15"/>
        <v/>
      </c>
      <c r="AE111" s="38" t="str">
        <f t="shared" si="16"/>
        <v/>
      </c>
      <c r="AF111" s="38" t="str">
        <f t="shared" si="17"/>
        <v/>
      </c>
    </row>
    <row r="112" spans="1:32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38" t="str">
        <f>IF(OR(A112="Автомат",A112="Дифавтомат"),IF(W112="","",COUNTIFS(Однолинейка!$H$3:$H$3000,U112,Однолинейка!$A$3:$A$3000,Щит_спец)),IF(A112="Аппарат",IF(C112="","",COUNTIFS(Однолинейка!$I$3:$I$3000,C112,Однолинейка!$A$3:$A$3000,Щит_спец)+COUNTIFS(Однолинейка!$J$3:$J$3000,C112,Однолинейка!$A$3:$A$3000,Щит_спец)+COUNTIFS(Однолинейка!$K$3:$K$3000,C112,Однолинейка!$A$3:$A$3000,Щит_спец)),IF(A112="Модуль",IF(C112="","",COUNTIFS(Однолинейка!$AW$3:$AW$3000,"?*",Однолинейка!$AI$3:$AI$3000,C112,Однолинейка!$A$3:$A$3000,Щит_спец)),IF(A112="Клемма",IF(C112="","",IF(C112=$S$7,SUMIFS(Однолинейка!$BW$3:$BW$3000,Однолинейка!$A$3:$A$3000,Щит_спец),IF(C112=$S$8,SUMIFS(Однолинейка!$BX$3:$BX$3000,Однолинейка!$A$3:$A$3000,Щит_спец),""))),""))))</f>
        <v/>
      </c>
      <c r="O112" s="74"/>
      <c r="P112" s="38" t="str">
        <f t="shared" si="9"/>
        <v/>
      </c>
      <c r="U112" s="38" t="str">
        <f t="shared" si="10"/>
        <v/>
      </c>
      <c r="V112" s="38" t="str">
        <f t="shared" si="11"/>
        <v/>
      </c>
      <c r="W112" s="38" t="str">
        <f>IF(AND(U112&lt;&gt;"",OR($S$4="(все)",B112=$S$4),IF($S$4="(все)",COUNTIF($U$4:U112,U112),COUNTIFS($U$4:U112,U112,$B$4:B112,B112))=1),MAX($W$3:W111)+1,"")</f>
        <v/>
      </c>
      <c r="X112" s="38" t="str">
        <f t="shared" si="12"/>
        <v/>
      </c>
      <c r="Y112" s="38" t="str">
        <f>IF(AND(A112="Аппарат",C112&lt;&gt;"",OR($S$5="(все)",B112=$S$5)),MAX($Y$3:Y111)+1,"")</f>
        <v/>
      </c>
      <c r="Z112" s="38" t="str">
        <f t="shared" si="13"/>
        <v/>
      </c>
      <c r="AA112" s="38" t="str">
        <f>IF(AND(A112="Модуль",C112&lt;&gt;"",OR($S$6="(все)",B112=$S$6)),MAX($AA$3:AA111)+1,"")</f>
        <v/>
      </c>
      <c r="AB112" s="38" t="str">
        <f t="shared" si="14"/>
        <v/>
      </c>
      <c r="AC112" s="38" t="str">
        <f>IF(OR(B112="",COUNTIF($B$4:B112,B112)&gt;1),"",MAX($AC$3:AC111)+1)</f>
        <v/>
      </c>
      <c r="AD112" s="38" t="str">
        <f t="shared" si="15"/>
        <v/>
      </c>
      <c r="AE112" s="38" t="str">
        <f t="shared" si="16"/>
        <v/>
      </c>
      <c r="AF112" s="38" t="str">
        <f t="shared" si="17"/>
        <v/>
      </c>
    </row>
    <row r="113" spans="1:32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38" t="str">
        <f>IF(OR(A113="Автомат",A113="Дифавтомат"),IF(W113="","",COUNTIFS(Однолинейка!$H$3:$H$3000,U113,Однолинейка!$A$3:$A$3000,Щит_спец)),IF(A113="Аппарат",IF(C113="","",COUNTIFS(Однолинейка!$I$3:$I$3000,C113,Однолинейка!$A$3:$A$3000,Щит_спец)+COUNTIFS(Однолинейка!$J$3:$J$3000,C113,Однолинейка!$A$3:$A$3000,Щит_спец)+COUNTIFS(Однолинейка!$K$3:$K$3000,C113,Однолинейка!$A$3:$A$3000,Щит_спец)),IF(A113="Модуль",IF(C113="","",COUNTIFS(Однолинейка!$AW$3:$AW$3000,"?*",Однолинейка!$AI$3:$AI$3000,C113,Однолинейка!$A$3:$A$3000,Щит_спец)),IF(A113="Клемма",IF(C113="","",IF(C113=$S$7,SUMIFS(Однолинейка!$BW$3:$BW$3000,Однолинейка!$A$3:$A$3000,Щит_спец),IF(C113=$S$8,SUMIFS(Однолинейка!$BX$3:$BX$3000,Однолинейка!$A$3:$A$3000,Щит_спец),""))),""))))</f>
        <v/>
      </c>
      <c r="O113" s="74"/>
      <c r="P113" s="38" t="str">
        <f t="shared" si="9"/>
        <v/>
      </c>
      <c r="U113" s="38" t="str">
        <f t="shared" si="10"/>
        <v/>
      </c>
      <c r="V113" s="38" t="str">
        <f t="shared" si="11"/>
        <v/>
      </c>
      <c r="W113" s="38" t="str">
        <f>IF(AND(U113&lt;&gt;"",OR($S$4="(все)",B113=$S$4),IF($S$4="(все)",COUNTIF($U$4:U113,U113),COUNTIFS($U$4:U113,U113,$B$4:B113,B113))=1),MAX($W$3:W112)+1,"")</f>
        <v/>
      </c>
      <c r="X113" s="38" t="str">
        <f t="shared" si="12"/>
        <v/>
      </c>
      <c r="Y113" s="38" t="str">
        <f>IF(AND(A113="Аппарат",C113&lt;&gt;"",OR($S$5="(все)",B113=$S$5)),MAX($Y$3:Y112)+1,"")</f>
        <v/>
      </c>
      <c r="Z113" s="38" t="str">
        <f t="shared" si="13"/>
        <v/>
      </c>
      <c r="AA113" s="38" t="str">
        <f>IF(AND(A113="Модуль",C113&lt;&gt;"",OR($S$6="(все)",B113=$S$6)),MAX($AA$3:AA112)+1,"")</f>
        <v/>
      </c>
      <c r="AB113" s="38" t="str">
        <f t="shared" si="14"/>
        <v/>
      </c>
      <c r="AC113" s="38" t="str">
        <f>IF(OR(B113="",COUNTIF($B$4:B113,B113)&gt;1),"",MAX($AC$3:AC112)+1)</f>
        <v/>
      </c>
      <c r="AD113" s="38" t="str">
        <f t="shared" si="15"/>
        <v/>
      </c>
      <c r="AE113" s="38" t="str">
        <f t="shared" si="16"/>
        <v/>
      </c>
      <c r="AF113" s="38" t="str">
        <f t="shared" si="17"/>
        <v/>
      </c>
    </row>
    <row r="114" spans="1:32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38" t="str">
        <f>IF(OR(A114="Автомат",A114="Дифавтомат"),IF(W114="","",COUNTIFS(Однолинейка!$H$3:$H$3000,U114,Однолинейка!$A$3:$A$3000,Щит_спец)),IF(A114="Аппарат",IF(C114="","",COUNTIFS(Однолинейка!$I$3:$I$3000,C114,Однолинейка!$A$3:$A$3000,Щит_спец)+COUNTIFS(Однолинейка!$J$3:$J$3000,C114,Однолинейка!$A$3:$A$3000,Щит_спец)+COUNTIFS(Однолинейка!$K$3:$K$3000,C114,Однолинейка!$A$3:$A$3000,Щит_спец)),IF(A114="Модуль",IF(C114="","",COUNTIFS(Однолинейка!$AW$3:$AW$3000,"?*",Однолинейка!$AI$3:$AI$3000,C114,Однолинейка!$A$3:$A$3000,Щит_спец)),IF(A114="Клемма",IF(C114="","",IF(C114=$S$7,SUMIFS(Однолинейка!$BW$3:$BW$3000,Однолинейка!$A$3:$A$3000,Щит_спец),IF(C114=$S$8,SUMIFS(Однолинейка!$BX$3:$BX$3000,Однолинейка!$A$3:$A$3000,Щит_спец),""))),""))))</f>
        <v/>
      </c>
      <c r="O114" s="74"/>
      <c r="P114" s="38" t="str">
        <f t="shared" si="9"/>
        <v/>
      </c>
      <c r="U114" s="38" t="str">
        <f t="shared" si="10"/>
        <v/>
      </c>
      <c r="V114" s="38" t="str">
        <f t="shared" si="11"/>
        <v/>
      </c>
      <c r="W114" s="38" t="str">
        <f>IF(AND(U114&lt;&gt;"",OR($S$4="(все)",B114=$S$4),IF($S$4="(все)",COUNTIF($U$4:U114,U114),COUNTIFS($U$4:U114,U114,$B$4:B114,B114))=1),MAX($W$3:W113)+1,"")</f>
        <v/>
      </c>
      <c r="X114" s="38" t="str">
        <f t="shared" si="12"/>
        <v/>
      </c>
      <c r="Y114" s="38" t="str">
        <f>IF(AND(A114="Аппарат",C114&lt;&gt;"",OR($S$5="(все)",B114=$S$5)),MAX($Y$3:Y113)+1,"")</f>
        <v/>
      </c>
      <c r="Z114" s="38" t="str">
        <f t="shared" si="13"/>
        <v/>
      </c>
      <c r="AA114" s="38" t="str">
        <f>IF(AND(A114="Модуль",C114&lt;&gt;"",OR($S$6="(все)",B114=$S$6)),MAX($AA$3:AA113)+1,"")</f>
        <v/>
      </c>
      <c r="AB114" s="38" t="str">
        <f t="shared" si="14"/>
        <v/>
      </c>
      <c r="AC114" s="38" t="str">
        <f>IF(OR(B114="",COUNTIF($B$4:B114,B114)&gt;1),"",MAX($AC$3:AC113)+1)</f>
        <v/>
      </c>
      <c r="AD114" s="38" t="str">
        <f t="shared" si="15"/>
        <v/>
      </c>
      <c r="AE114" s="38" t="str">
        <f t="shared" si="16"/>
        <v/>
      </c>
      <c r="AF114" s="38" t="str">
        <f t="shared" si="17"/>
        <v/>
      </c>
    </row>
    <row r="115" spans="1:32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38" t="str">
        <f>IF(OR(A115="Автомат",A115="Дифавтомат"),IF(W115="","",COUNTIFS(Однолинейка!$H$3:$H$3000,U115,Однолинейка!$A$3:$A$3000,Щит_спец)),IF(A115="Аппарат",IF(C115="","",COUNTIFS(Однолинейка!$I$3:$I$3000,C115,Однолинейка!$A$3:$A$3000,Щит_спец)+COUNTIFS(Однолинейка!$J$3:$J$3000,C115,Однолинейка!$A$3:$A$3000,Щит_спец)+COUNTIFS(Однолинейка!$K$3:$K$3000,C115,Однолинейка!$A$3:$A$3000,Щит_спец)),IF(A115="Модуль",IF(C115="","",COUNTIFS(Однолинейка!$AW$3:$AW$3000,"?*",Однолинейка!$AI$3:$AI$3000,C115,Однолинейка!$A$3:$A$3000,Щит_спец)),IF(A115="Клемма",IF(C115="","",IF(C115=$S$7,SUMIFS(Однолинейка!$BW$3:$BW$3000,Однолинейка!$A$3:$A$3000,Щит_спец),IF(C115=$S$8,SUMIFS(Однолинейка!$BX$3:$BX$3000,Однолинейка!$A$3:$A$3000,Щит_спец),""))),""))))</f>
        <v/>
      </c>
      <c r="O115" s="74"/>
      <c r="P115" s="38" t="str">
        <f t="shared" si="9"/>
        <v/>
      </c>
      <c r="U115" s="38" t="str">
        <f t="shared" si="10"/>
        <v/>
      </c>
      <c r="V115" s="38" t="str">
        <f t="shared" si="11"/>
        <v/>
      </c>
      <c r="W115" s="38" t="str">
        <f>IF(AND(U115&lt;&gt;"",OR($S$4="(все)",B115=$S$4),IF($S$4="(все)",COUNTIF($U$4:U115,U115),COUNTIFS($U$4:U115,U115,$B$4:B115,B115))=1),MAX($W$3:W114)+1,"")</f>
        <v/>
      </c>
      <c r="X115" s="38" t="str">
        <f t="shared" si="12"/>
        <v/>
      </c>
      <c r="Y115" s="38" t="str">
        <f>IF(AND(A115="Аппарат",C115&lt;&gt;"",OR($S$5="(все)",B115=$S$5)),MAX($Y$3:Y114)+1,"")</f>
        <v/>
      </c>
      <c r="Z115" s="38" t="str">
        <f t="shared" si="13"/>
        <v/>
      </c>
      <c r="AA115" s="38" t="str">
        <f>IF(AND(A115="Модуль",C115&lt;&gt;"",OR($S$6="(все)",B115=$S$6)),MAX($AA$3:AA114)+1,"")</f>
        <v/>
      </c>
      <c r="AB115" s="38" t="str">
        <f t="shared" si="14"/>
        <v/>
      </c>
      <c r="AC115" s="38" t="str">
        <f>IF(OR(B115="",COUNTIF($B$4:B115,B115)&gt;1),"",MAX($AC$3:AC114)+1)</f>
        <v/>
      </c>
      <c r="AD115" s="38" t="str">
        <f t="shared" si="15"/>
        <v/>
      </c>
      <c r="AE115" s="38" t="str">
        <f t="shared" si="16"/>
        <v/>
      </c>
      <c r="AF115" s="38" t="str">
        <f t="shared" si="17"/>
        <v/>
      </c>
    </row>
    <row r="116" spans="1:32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38" t="str">
        <f>IF(OR(A116="Автомат",A116="Дифавтомат"),IF(W116="","",COUNTIFS(Однолинейка!$H$3:$H$3000,U116,Однолинейка!$A$3:$A$3000,Щит_спец)),IF(A116="Аппарат",IF(C116="","",COUNTIFS(Однолинейка!$I$3:$I$3000,C116,Однолинейка!$A$3:$A$3000,Щит_спец)+COUNTIFS(Однолинейка!$J$3:$J$3000,C116,Однолинейка!$A$3:$A$3000,Щит_спец)+COUNTIFS(Однолинейка!$K$3:$K$3000,C116,Однолинейка!$A$3:$A$3000,Щит_спец)),IF(A116="Модуль",IF(C116="","",COUNTIFS(Однолинейка!$AW$3:$AW$3000,"?*",Однолинейка!$AI$3:$AI$3000,C116,Однолинейка!$A$3:$A$3000,Щит_спец)),IF(A116="Клемма",IF(C116="","",IF(C116=$S$7,SUMIFS(Однолинейка!$BW$3:$BW$3000,Однолинейка!$A$3:$A$3000,Щит_спец),IF(C116=$S$8,SUMIFS(Однолинейка!$BX$3:$BX$3000,Однолинейка!$A$3:$A$3000,Щит_спец),""))),""))))</f>
        <v/>
      </c>
      <c r="O116" s="74"/>
      <c r="P116" s="38" t="str">
        <f t="shared" si="9"/>
        <v/>
      </c>
      <c r="U116" s="38" t="str">
        <f t="shared" si="10"/>
        <v/>
      </c>
      <c r="V116" s="38" t="str">
        <f t="shared" si="11"/>
        <v/>
      </c>
      <c r="W116" s="38" t="str">
        <f>IF(AND(U116&lt;&gt;"",OR($S$4="(все)",B116=$S$4),IF($S$4="(все)",COUNTIF($U$4:U116,U116),COUNTIFS($U$4:U116,U116,$B$4:B116,B116))=1),MAX($W$3:W115)+1,"")</f>
        <v/>
      </c>
      <c r="X116" s="38" t="str">
        <f t="shared" si="12"/>
        <v/>
      </c>
      <c r="Y116" s="38" t="str">
        <f>IF(AND(A116="Аппарат",C116&lt;&gt;"",OR($S$5="(все)",B116=$S$5)),MAX($Y$3:Y115)+1,"")</f>
        <v/>
      </c>
      <c r="Z116" s="38" t="str">
        <f t="shared" si="13"/>
        <v/>
      </c>
      <c r="AA116" s="38" t="str">
        <f>IF(AND(A116="Модуль",C116&lt;&gt;"",OR($S$6="(все)",B116=$S$6)),MAX($AA$3:AA115)+1,"")</f>
        <v/>
      </c>
      <c r="AB116" s="38" t="str">
        <f t="shared" si="14"/>
        <v/>
      </c>
      <c r="AC116" s="38" t="str">
        <f>IF(OR(B116="",COUNTIF($B$4:B116,B116)&gt;1),"",MAX($AC$3:AC115)+1)</f>
        <v/>
      </c>
      <c r="AD116" s="38" t="str">
        <f t="shared" si="15"/>
        <v/>
      </c>
      <c r="AE116" s="38" t="str">
        <f t="shared" si="16"/>
        <v/>
      </c>
      <c r="AF116" s="38" t="str">
        <f t="shared" si="17"/>
        <v/>
      </c>
    </row>
    <row r="117" spans="1:32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38" t="str">
        <f>IF(OR(A117="Автомат",A117="Дифавтомат"),IF(W117="","",COUNTIFS(Однолинейка!$H$3:$H$3000,U117,Однолинейка!$A$3:$A$3000,Щит_спец)),IF(A117="Аппарат",IF(C117="","",COUNTIFS(Однолинейка!$I$3:$I$3000,C117,Однолинейка!$A$3:$A$3000,Щит_спец)+COUNTIFS(Однолинейка!$J$3:$J$3000,C117,Однолинейка!$A$3:$A$3000,Щит_спец)+COUNTIFS(Однолинейка!$K$3:$K$3000,C117,Однолинейка!$A$3:$A$3000,Щит_спец)),IF(A117="Модуль",IF(C117="","",COUNTIFS(Однолинейка!$AW$3:$AW$3000,"?*",Однолинейка!$AI$3:$AI$3000,C117,Однолинейка!$A$3:$A$3000,Щит_спец)),IF(A117="Клемма",IF(C117="","",IF(C117=$S$7,SUMIFS(Однолинейка!$BW$3:$BW$3000,Однолинейка!$A$3:$A$3000,Щит_спец),IF(C117=$S$8,SUMIFS(Однолинейка!$BX$3:$BX$3000,Однолинейка!$A$3:$A$3000,Щит_спец),""))),""))))</f>
        <v/>
      </c>
      <c r="O117" s="74"/>
      <c r="P117" s="38" t="str">
        <f t="shared" si="9"/>
        <v/>
      </c>
      <c r="U117" s="38" t="str">
        <f t="shared" si="10"/>
        <v/>
      </c>
      <c r="V117" s="38" t="str">
        <f t="shared" si="11"/>
        <v/>
      </c>
      <c r="W117" s="38" t="str">
        <f>IF(AND(U117&lt;&gt;"",OR($S$4="(все)",B117=$S$4),IF($S$4="(все)",COUNTIF($U$4:U117,U117),COUNTIFS($U$4:U117,U117,$B$4:B117,B117))=1),MAX($W$3:W116)+1,"")</f>
        <v/>
      </c>
      <c r="X117" s="38" t="str">
        <f t="shared" si="12"/>
        <v/>
      </c>
      <c r="Y117" s="38" t="str">
        <f>IF(AND(A117="Аппарат",C117&lt;&gt;"",OR($S$5="(все)",B117=$S$5)),MAX($Y$3:Y116)+1,"")</f>
        <v/>
      </c>
      <c r="Z117" s="38" t="str">
        <f t="shared" si="13"/>
        <v/>
      </c>
      <c r="AA117" s="38" t="str">
        <f>IF(AND(A117="Модуль",C117&lt;&gt;"",OR($S$6="(все)",B117=$S$6)),MAX($AA$3:AA116)+1,"")</f>
        <v/>
      </c>
      <c r="AB117" s="38" t="str">
        <f t="shared" si="14"/>
        <v/>
      </c>
      <c r="AC117" s="38" t="str">
        <f>IF(OR(B117="",COUNTIF($B$4:B117,B117)&gt;1),"",MAX($AC$3:AC116)+1)</f>
        <v/>
      </c>
      <c r="AD117" s="38" t="str">
        <f t="shared" si="15"/>
        <v/>
      </c>
      <c r="AE117" s="38" t="str">
        <f t="shared" si="16"/>
        <v/>
      </c>
      <c r="AF117" s="38" t="str">
        <f t="shared" si="17"/>
        <v/>
      </c>
    </row>
    <row r="118" spans="1:32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38" t="str">
        <f>IF(OR(A118="Автомат",A118="Дифавтомат"),IF(W118="","",COUNTIFS(Однолинейка!$H$3:$H$3000,U118,Однолинейка!$A$3:$A$3000,Щит_спец)),IF(A118="Аппарат",IF(C118="","",COUNTIFS(Однолинейка!$I$3:$I$3000,C118,Однолинейка!$A$3:$A$3000,Щит_спец)+COUNTIFS(Однолинейка!$J$3:$J$3000,C118,Однолинейка!$A$3:$A$3000,Щит_спец)+COUNTIFS(Однолинейка!$K$3:$K$3000,C118,Однолинейка!$A$3:$A$3000,Щит_спец)),IF(A118="Модуль",IF(C118="","",COUNTIFS(Однолинейка!$AW$3:$AW$3000,"?*",Однолинейка!$AI$3:$AI$3000,C118,Однолинейка!$A$3:$A$3000,Щит_спец)),IF(A118="Клемма",IF(C118="","",IF(C118=$S$7,SUMIFS(Однолинейка!$BW$3:$BW$3000,Однолинейка!$A$3:$A$3000,Щит_спец),IF(C118=$S$8,SUMIFS(Однолинейка!$BX$3:$BX$3000,Однолинейка!$A$3:$A$3000,Щит_спец),""))),""))))</f>
        <v/>
      </c>
      <c r="O118" s="74"/>
      <c r="P118" s="38" t="str">
        <f t="shared" si="9"/>
        <v/>
      </c>
      <c r="U118" s="38" t="str">
        <f t="shared" si="10"/>
        <v/>
      </c>
      <c r="V118" s="38" t="str">
        <f t="shared" si="11"/>
        <v/>
      </c>
      <c r="W118" s="38" t="str">
        <f>IF(AND(U118&lt;&gt;"",OR($S$4="(все)",B118=$S$4),IF($S$4="(все)",COUNTIF($U$4:U118,U118),COUNTIFS($U$4:U118,U118,$B$4:B118,B118))=1),MAX($W$3:W117)+1,"")</f>
        <v/>
      </c>
      <c r="X118" s="38" t="str">
        <f t="shared" si="12"/>
        <v/>
      </c>
      <c r="Y118" s="38" t="str">
        <f>IF(AND(A118="Аппарат",C118&lt;&gt;"",OR($S$5="(все)",B118=$S$5)),MAX($Y$3:Y117)+1,"")</f>
        <v/>
      </c>
      <c r="Z118" s="38" t="str">
        <f t="shared" si="13"/>
        <v/>
      </c>
      <c r="AA118" s="38" t="str">
        <f>IF(AND(A118="Модуль",C118&lt;&gt;"",OR($S$6="(все)",B118=$S$6)),MAX($AA$3:AA117)+1,"")</f>
        <v/>
      </c>
      <c r="AB118" s="38" t="str">
        <f t="shared" si="14"/>
        <v/>
      </c>
      <c r="AC118" s="38" t="str">
        <f>IF(OR(B118="",COUNTIF($B$4:B118,B118)&gt;1),"",MAX($AC$3:AC117)+1)</f>
        <v/>
      </c>
      <c r="AD118" s="38" t="str">
        <f t="shared" si="15"/>
        <v/>
      </c>
      <c r="AE118" s="38" t="str">
        <f t="shared" si="16"/>
        <v/>
      </c>
      <c r="AF118" s="38" t="str">
        <f t="shared" si="17"/>
        <v/>
      </c>
    </row>
    <row r="119" spans="1:32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38" t="str">
        <f>IF(OR(A119="Автомат",A119="Дифавтомат"),IF(W119="","",COUNTIFS(Однолинейка!$H$3:$H$3000,U119,Однолинейка!$A$3:$A$3000,Щит_спец)),IF(A119="Аппарат",IF(C119="","",COUNTIFS(Однолинейка!$I$3:$I$3000,C119,Однолинейка!$A$3:$A$3000,Щит_спец)+COUNTIFS(Однолинейка!$J$3:$J$3000,C119,Однолинейка!$A$3:$A$3000,Щит_спец)+COUNTIFS(Однолинейка!$K$3:$K$3000,C119,Однолинейка!$A$3:$A$3000,Щит_спец)),IF(A119="Модуль",IF(C119="","",COUNTIFS(Однолинейка!$AW$3:$AW$3000,"?*",Однолинейка!$AI$3:$AI$3000,C119,Однолинейка!$A$3:$A$3000,Щит_спец)),IF(A119="Клемма",IF(C119="","",IF(C119=$S$7,SUMIFS(Однолинейка!$BW$3:$BW$3000,Однолинейка!$A$3:$A$3000,Щит_спец),IF(C119=$S$8,SUMIFS(Однолинейка!$BX$3:$BX$3000,Однолинейка!$A$3:$A$3000,Щит_спец),""))),""))))</f>
        <v/>
      </c>
      <c r="O119" s="74"/>
      <c r="P119" s="38" t="str">
        <f t="shared" si="9"/>
        <v/>
      </c>
      <c r="U119" s="38" t="str">
        <f t="shared" si="10"/>
        <v/>
      </c>
      <c r="V119" s="38" t="str">
        <f t="shared" si="11"/>
        <v/>
      </c>
      <c r="W119" s="38" t="str">
        <f>IF(AND(U119&lt;&gt;"",OR($S$4="(все)",B119=$S$4),IF($S$4="(все)",COUNTIF($U$4:U119,U119),COUNTIFS($U$4:U119,U119,$B$4:B119,B119))=1),MAX($W$3:W118)+1,"")</f>
        <v/>
      </c>
      <c r="X119" s="38" t="str">
        <f t="shared" si="12"/>
        <v/>
      </c>
      <c r="Y119" s="38" t="str">
        <f>IF(AND(A119="Аппарат",C119&lt;&gt;"",OR($S$5="(все)",B119=$S$5)),MAX($Y$3:Y118)+1,"")</f>
        <v/>
      </c>
      <c r="Z119" s="38" t="str">
        <f t="shared" si="13"/>
        <v/>
      </c>
      <c r="AA119" s="38" t="str">
        <f>IF(AND(A119="Модуль",C119&lt;&gt;"",OR($S$6="(все)",B119=$S$6)),MAX($AA$3:AA118)+1,"")</f>
        <v/>
      </c>
      <c r="AB119" s="38" t="str">
        <f t="shared" si="14"/>
        <v/>
      </c>
      <c r="AC119" s="38" t="str">
        <f>IF(OR(B119="",COUNTIF($B$4:B119,B119)&gt;1),"",MAX($AC$3:AC118)+1)</f>
        <v/>
      </c>
      <c r="AD119" s="38" t="str">
        <f t="shared" si="15"/>
        <v/>
      </c>
      <c r="AE119" s="38" t="str">
        <f t="shared" si="16"/>
        <v/>
      </c>
      <c r="AF119" s="38" t="str">
        <f t="shared" si="17"/>
        <v/>
      </c>
    </row>
    <row r="120" spans="1:32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38" t="str">
        <f>IF(OR(A120="Автомат",A120="Дифавтомат"),IF(W120="","",COUNTIFS(Однолинейка!$H$3:$H$3000,U120,Однолинейка!$A$3:$A$3000,Щит_спец)),IF(A120="Аппарат",IF(C120="","",COUNTIFS(Однолинейка!$I$3:$I$3000,C120,Однолинейка!$A$3:$A$3000,Щит_спец)+COUNTIFS(Однолинейка!$J$3:$J$3000,C120,Однолинейка!$A$3:$A$3000,Щит_спец)+COUNTIFS(Однолинейка!$K$3:$K$3000,C120,Однолинейка!$A$3:$A$3000,Щит_спец)),IF(A120="Модуль",IF(C120="","",COUNTIFS(Однолинейка!$AW$3:$AW$3000,"?*",Однолинейка!$AI$3:$AI$3000,C120,Однолинейка!$A$3:$A$3000,Щит_спец)),IF(A120="Клемма",IF(C120="","",IF(C120=$S$7,SUMIFS(Однолинейка!$BW$3:$BW$3000,Однолинейка!$A$3:$A$3000,Щит_спец),IF(C120=$S$8,SUMIFS(Однолинейка!$BX$3:$BX$3000,Однолинейка!$A$3:$A$3000,Щит_спец),""))),""))))</f>
        <v/>
      </c>
      <c r="O120" s="74"/>
      <c r="P120" s="38" t="str">
        <f t="shared" si="9"/>
        <v/>
      </c>
      <c r="U120" s="38" t="str">
        <f t="shared" si="10"/>
        <v/>
      </c>
      <c r="V120" s="38" t="str">
        <f t="shared" si="11"/>
        <v/>
      </c>
      <c r="W120" s="38" t="str">
        <f>IF(AND(U120&lt;&gt;"",OR($S$4="(все)",B120=$S$4),IF($S$4="(все)",COUNTIF($U$4:U120,U120),COUNTIFS($U$4:U120,U120,$B$4:B120,B120))=1),MAX($W$3:W119)+1,"")</f>
        <v/>
      </c>
      <c r="X120" s="38" t="str">
        <f t="shared" si="12"/>
        <v/>
      </c>
      <c r="Y120" s="38" t="str">
        <f>IF(AND(A120="Аппарат",C120&lt;&gt;"",OR($S$5="(все)",B120=$S$5)),MAX($Y$3:Y119)+1,"")</f>
        <v/>
      </c>
      <c r="Z120" s="38" t="str">
        <f t="shared" si="13"/>
        <v/>
      </c>
      <c r="AA120" s="38" t="str">
        <f>IF(AND(A120="Модуль",C120&lt;&gt;"",OR($S$6="(все)",B120=$S$6)),MAX($AA$3:AA119)+1,"")</f>
        <v/>
      </c>
      <c r="AB120" s="38" t="str">
        <f t="shared" si="14"/>
        <v/>
      </c>
      <c r="AC120" s="38" t="str">
        <f>IF(OR(B120="",COUNTIF($B$4:B120,B120)&gt;1),"",MAX($AC$3:AC119)+1)</f>
        <v/>
      </c>
      <c r="AD120" s="38" t="str">
        <f t="shared" si="15"/>
        <v/>
      </c>
      <c r="AE120" s="38" t="str">
        <f t="shared" si="16"/>
        <v/>
      </c>
      <c r="AF120" s="38" t="str">
        <f t="shared" si="17"/>
        <v/>
      </c>
    </row>
    <row r="121" spans="1:32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38" t="str">
        <f>IF(OR(A121="Автомат",A121="Дифавтомат"),IF(W121="","",COUNTIFS(Однолинейка!$H$3:$H$3000,U121,Однолинейка!$A$3:$A$3000,Щит_спец)),IF(A121="Аппарат",IF(C121="","",COUNTIFS(Однолинейка!$I$3:$I$3000,C121,Однолинейка!$A$3:$A$3000,Щит_спец)+COUNTIFS(Однолинейка!$J$3:$J$3000,C121,Однолинейка!$A$3:$A$3000,Щит_спец)+COUNTIFS(Однолинейка!$K$3:$K$3000,C121,Однолинейка!$A$3:$A$3000,Щит_спец)),IF(A121="Модуль",IF(C121="","",COUNTIFS(Однолинейка!$AW$3:$AW$3000,"?*",Однолинейка!$AI$3:$AI$3000,C121,Однолинейка!$A$3:$A$3000,Щит_спец)),IF(A121="Клемма",IF(C121="","",IF(C121=$S$7,SUMIFS(Однолинейка!$BW$3:$BW$3000,Однолинейка!$A$3:$A$3000,Щит_спец),IF(C121=$S$8,SUMIFS(Однолинейка!$BX$3:$BX$3000,Однолинейка!$A$3:$A$3000,Щит_спец),""))),""))))</f>
        <v/>
      </c>
      <c r="O121" s="74"/>
      <c r="P121" s="38" t="str">
        <f t="shared" si="9"/>
        <v/>
      </c>
      <c r="U121" s="38" t="str">
        <f t="shared" si="10"/>
        <v/>
      </c>
      <c r="V121" s="38" t="str">
        <f t="shared" si="11"/>
        <v/>
      </c>
      <c r="W121" s="38" t="str">
        <f>IF(AND(U121&lt;&gt;"",OR($S$4="(все)",B121=$S$4),IF($S$4="(все)",COUNTIF($U$4:U121,U121),COUNTIFS($U$4:U121,U121,$B$4:B121,B121))=1),MAX($W$3:W120)+1,"")</f>
        <v/>
      </c>
      <c r="X121" s="38" t="str">
        <f t="shared" si="12"/>
        <v/>
      </c>
      <c r="Y121" s="38" t="str">
        <f>IF(AND(A121="Аппарат",C121&lt;&gt;"",OR($S$5="(все)",B121=$S$5)),MAX($Y$3:Y120)+1,"")</f>
        <v/>
      </c>
      <c r="Z121" s="38" t="str">
        <f t="shared" si="13"/>
        <v/>
      </c>
      <c r="AA121" s="38" t="str">
        <f>IF(AND(A121="Модуль",C121&lt;&gt;"",OR($S$6="(все)",B121=$S$6)),MAX($AA$3:AA120)+1,"")</f>
        <v/>
      </c>
      <c r="AB121" s="38" t="str">
        <f t="shared" si="14"/>
        <v/>
      </c>
      <c r="AC121" s="38" t="str">
        <f>IF(OR(B121="",COUNTIF($B$4:B121,B121)&gt;1),"",MAX($AC$3:AC120)+1)</f>
        <v/>
      </c>
      <c r="AD121" s="38" t="str">
        <f t="shared" si="15"/>
        <v/>
      </c>
      <c r="AE121" s="38" t="str">
        <f t="shared" si="16"/>
        <v/>
      </c>
      <c r="AF121" s="38" t="str">
        <f t="shared" si="17"/>
        <v/>
      </c>
    </row>
    <row r="122" spans="1:32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38" t="str">
        <f>IF(OR(A122="Автомат",A122="Дифавтомат"),IF(W122="","",COUNTIFS(Однолинейка!$H$3:$H$3000,U122,Однолинейка!$A$3:$A$3000,Щит_спец)),IF(A122="Аппарат",IF(C122="","",COUNTIFS(Однолинейка!$I$3:$I$3000,C122,Однолинейка!$A$3:$A$3000,Щит_спец)+COUNTIFS(Однолинейка!$J$3:$J$3000,C122,Однолинейка!$A$3:$A$3000,Щит_спец)+COUNTIFS(Однолинейка!$K$3:$K$3000,C122,Однолинейка!$A$3:$A$3000,Щит_спец)),IF(A122="Модуль",IF(C122="","",COUNTIFS(Однолинейка!$AW$3:$AW$3000,"?*",Однолинейка!$AI$3:$AI$3000,C122,Однолинейка!$A$3:$A$3000,Щит_спец)),IF(A122="Клемма",IF(C122="","",IF(C122=$S$7,SUMIFS(Однолинейка!$BW$3:$BW$3000,Однолинейка!$A$3:$A$3000,Щит_спец),IF(C122=$S$8,SUMIFS(Однолинейка!$BX$3:$BX$3000,Однолинейка!$A$3:$A$3000,Щит_спец),""))),""))))</f>
        <v/>
      </c>
      <c r="O122" s="74"/>
      <c r="P122" s="38" t="str">
        <f t="shared" si="9"/>
        <v/>
      </c>
      <c r="U122" s="38" t="str">
        <f t="shared" si="10"/>
        <v/>
      </c>
      <c r="V122" s="38" t="str">
        <f t="shared" si="11"/>
        <v/>
      </c>
      <c r="W122" s="38" t="str">
        <f>IF(AND(U122&lt;&gt;"",OR($S$4="(все)",B122=$S$4),IF($S$4="(все)",COUNTIF($U$4:U122,U122),COUNTIFS($U$4:U122,U122,$B$4:B122,B122))=1),MAX($W$3:W121)+1,"")</f>
        <v/>
      </c>
      <c r="X122" s="38" t="str">
        <f t="shared" si="12"/>
        <v/>
      </c>
      <c r="Y122" s="38" t="str">
        <f>IF(AND(A122="Аппарат",C122&lt;&gt;"",OR($S$5="(все)",B122=$S$5)),MAX($Y$3:Y121)+1,"")</f>
        <v/>
      </c>
      <c r="Z122" s="38" t="str">
        <f t="shared" si="13"/>
        <v/>
      </c>
      <c r="AA122" s="38" t="str">
        <f>IF(AND(A122="Модуль",C122&lt;&gt;"",OR($S$6="(все)",B122=$S$6)),MAX($AA$3:AA121)+1,"")</f>
        <v/>
      </c>
      <c r="AB122" s="38" t="str">
        <f t="shared" si="14"/>
        <v/>
      </c>
      <c r="AC122" s="38" t="str">
        <f>IF(OR(B122="",COUNTIF($B$4:B122,B122)&gt;1),"",MAX($AC$3:AC121)+1)</f>
        <v/>
      </c>
      <c r="AD122" s="38" t="str">
        <f t="shared" si="15"/>
        <v/>
      </c>
      <c r="AE122" s="38" t="str">
        <f t="shared" si="16"/>
        <v/>
      </c>
      <c r="AF122" s="38" t="str">
        <f t="shared" si="17"/>
        <v/>
      </c>
    </row>
    <row r="123" spans="1:32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38" t="str">
        <f>IF(OR(A123="Автомат",A123="Дифавтомат"),IF(W123="","",COUNTIFS(Однолинейка!$H$3:$H$3000,U123,Однолинейка!$A$3:$A$3000,Щит_спец)),IF(A123="Аппарат",IF(C123="","",COUNTIFS(Однолинейка!$I$3:$I$3000,C123,Однолинейка!$A$3:$A$3000,Щит_спец)+COUNTIFS(Однолинейка!$J$3:$J$3000,C123,Однолинейка!$A$3:$A$3000,Щит_спец)+COUNTIFS(Однолинейка!$K$3:$K$3000,C123,Однолинейка!$A$3:$A$3000,Щит_спец)),IF(A123="Модуль",IF(C123="","",COUNTIFS(Однолинейка!$AW$3:$AW$3000,"?*",Однолинейка!$AI$3:$AI$3000,C123,Однолинейка!$A$3:$A$3000,Щит_спец)),IF(A123="Клемма",IF(C123="","",IF(C123=$S$7,SUMIFS(Однолинейка!$BW$3:$BW$3000,Однолинейка!$A$3:$A$3000,Щит_спец),IF(C123=$S$8,SUMIFS(Однолинейка!$BX$3:$BX$3000,Однолинейка!$A$3:$A$3000,Щит_спец),""))),""))))</f>
        <v/>
      </c>
      <c r="O123" s="74"/>
      <c r="P123" s="38" t="str">
        <f t="shared" si="9"/>
        <v/>
      </c>
      <c r="U123" s="38" t="str">
        <f t="shared" si="10"/>
        <v/>
      </c>
      <c r="V123" s="38" t="str">
        <f t="shared" si="11"/>
        <v/>
      </c>
      <c r="W123" s="38" t="str">
        <f>IF(AND(U123&lt;&gt;"",OR($S$4="(все)",B123=$S$4),IF($S$4="(все)",COUNTIF($U$4:U123,U123),COUNTIFS($U$4:U123,U123,$B$4:B123,B123))=1),MAX($W$3:W122)+1,"")</f>
        <v/>
      </c>
      <c r="X123" s="38" t="str">
        <f t="shared" si="12"/>
        <v/>
      </c>
      <c r="Y123" s="38" t="str">
        <f>IF(AND(A123="Аппарат",C123&lt;&gt;"",OR($S$5="(все)",B123=$S$5)),MAX($Y$3:Y122)+1,"")</f>
        <v/>
      </c>
      <c r="Z123" s="38" t="str">
        <f t="shared" si="13"/>
        <v/>
      </c>
      <c r="AA123" s="38" t="str">
        <f>IF(AND(A123="Модуль",C123&lt;&gt;"",OR($S$6="(все)",B123=$S$6)),MAX($AA$3:AA122)+1,"")</f>
        <v/>
      </c>
      <c r="AB123" s="38" t="str">
        <f t="shared" si="14"/>
        <v/>
      </c>
      <c r="AC123" s="38" t="str">
        <f>IF(OR(B123="",COUNTIF($B$4:B123,B123)&gt;1),"",MAX($AC$3:AC122)+1)</f>
        <v/>
      </c>
      <c r="AD123" s="38" t="str">
        <f t="shared" si="15"/>
        <v/>
      </c>
      <c r="AE123" s="38" t="str">
        <f t="shared" si="16"/>
        <v/>
      </c>
      <c r="AF123" s="38" t="str">
        <f t="shared" si="17"/>
        <v/>
      </c>
    </row>
    <row r="124" spans="1:32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38" t="str">
        <f>IF(OR(A124="Автомат",A124="Дифавтомат"),IF(W124="","",COUNTIFS(Однолинейка!$H$3:$H$3000,U124,Однолинейка!$A$3:$A$3000,Щит_спец)),IF(A124="Аппарат",IF(C124="","",COUNTIFS(Однолинейка!$I$3:$I$3000,C124,Однолинейка!$A$3:$A$3000,Щит_спец)+COUNTIFS(Однолинейка!$J$3:$J$3000,C124,Однолинейка!$A$3:$A$3000,Щит_спец)+COUNTIFS(Однолинейка!$K$3:$K$3000,C124,Однолинейка!$A$3:$A$3000,Щит_спец)),IF(A124="Модуль",IF(C124="","",COUNTIFS(Однолинейка!$AW$3:$AW$3000,"?*",Однолинейка!$AI$3:$AI$3000,C124,Однолинейка!$A$3:$A$3000,Щит_спец)),IF(A124="Клемма",IF(C124="","",IF(C124=$S$7,SUMIFS(Однолинейка!$BW$3:$BW$3000,Однолинейка!$A$3:$A$3000,Щит_спец),IF(C124=$S$8,SUMIFS(Однолинейка!$BX$3:$BX$3000,Однолинейка!$A$3:$A$3000,Щит_спец),""))),""))))</f>
        <v/>
      </c>
      <c r="O124" s="74"/>
      <c r="P124" s="38" t="str">
        <f t="shared" si="9"/>
        <v/>
      </c>
      <c r="U124" s="38" t="str">
        <f t="shared" si="10"/>
        <v/>
      </c>
      <c r="V124" s="38" t="str">
        <f t="shared" si="11"/>
        <v/>
      </c>
      <c r="W124" s="38" t="str">
        <f>IF(AND(U124&lt;&gt;"",OR($S$4="(все)",B124=$S$4),IF($S$4="(все)",COUNTIF($U$4:U124,U124),COUNTIFS($U$4:U124,U124,$B$4:B124,B124))=1),MAX($W$3:W123)+1,"")</f>
        <v/>
      </c>
      <c r="X124" s="38" t="str">
        <f t="shared" si="12"/>
        <v/>
      </c>
      <c r="Y124" s="38" t="str">
        <f>IF(AND(A124="Аппарат",C124&lt;&gt;"",OR($S$5="(все)",B124=$S$5)),MAX($Y$3:Y123)+1,"")</f>
        <v/>
      </c>
      <c r="Z124" s="38" t="str">
        <f t="shared" si="13"/>
        <v/>
      </c>
      <c r="AA124" s="38" t="str">
        <f>IF(AND(A124="Модуль",C124&lt;&gt;"",OR($S$6="(все)",B124=$S$6)),MAX($AA$3:AA123)+1,"")</f>
        <v/>
      </c>
      <c r="AB124" s="38" t="str">
        <f t="shared" si="14"/>
        <v/>
      </c>
      <c r="AC124" s="38" t="str">
        <f>IF(OR(B124="",COUNTIF($B$4:B124,B124)&gt;1),"",MAX($AC$3:AC123)+1)</f>
        <v/>
      </c>
      <c r="AD124" s="38" t="str">
        <f t="shared" si="15"/>
        <v/>
      </c>
      <c r="AE124" s="38" t="str">
        <f t="shared" si="16"/>
        <v/>
      </c>
      <c r="AF124" s="38" t="str">
        <f t="shared" si="17"/>
        <v/>
      </c>
    </row>
    <row r="125" spans="1:32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38" t="str">
        <f>IF(OR(A125="Автомат",A125="Дифавтомат"),IF(W125="","",COUNTIFS(Однолинейка!$H$3:$H$3000,U125,Однолинейка!$A$3:$A$3000,Щит_спец)),IF(A125="Аппарат",IF(C125="","",COUNTIFS(Однолинейка!$I$3:$I$3000,C125,Однолинейка!$A$3:$A$3000,Щит_спец)+COUNTIFS(Однолинейка!$J$3:$J$3000,C125,Однолинейка!$A$3:$A$3000,Щит_спец)+COUNTIFS(Однолинейка!$K$3:$K$3000,C125,Однолинейка!$A$3:$A$3000,Щит_спец)),IF(A125="Модуль",IF(C125="","",COUNTIFS(Однолинейка!$AW$3:$AW$3000,"?*",Однолинейка!$AI$3:$AI$3000,C125,Однолинейка!$A$3:$A$3000,Щит_спец)),IF(A125="Клемма",IF(C125="","",IF(C125=$S$7,SUMIFS(Однолинейка!$BW$3:$BW$3000,Однолинейка!$A$3:$A$3000,Щит_спец),IF(C125=$S$8,SUMIFS(Однолинейка!$BX$3:$BX$3000,Однолинейка!$A$3:$A$3000,Щит_спец),""))),""))))</f>
        <v/>
      </c>
      <c r="O125" s="74"/>
      <c r="P125" s="38" t="str">
        <f t="shared" si="9"/>
        <v/>
      </c>
      <c r="U125" s="38" t="str">
        <f t="shared" si="10"/>
        <v/>
      </c>
      <c r="V125" s="38" t="str">
        <f t="shared" si="11"/>
        <v/>
      </c>
      <c r="W125" s="38" t="str">
        <f>IF(AND(U125&lt;&gt;"",OR($S$4="(все)",B125=$S$4),IF($S$4="(все)",COUNTIF($U$4:U125,U125),COUNTIFS($U$4:U125,U125,$B$4:B125,B125))=1),MAX($W$3:W124)+1,"")</f>
        <v/>
      </c>
      <c r="X125" s="38" t="str">
        <f t="shared" si="12"/>
        <v/>
      </c>
      <c r="Y125" s="38" t="str">
        <f>IF(AND(A125="Аппарат",C125&lt;&gt;"",OR($S$5="(все)",B125=$S$5)),MAX($Y$3:Y124)+1,"")</f>
        <v/>
      </c>
      <c r="Z125" s="38" t="str">
        <f t="shared" si="13"/>
        <v/>
      </c>
      <c r="AA125" s="38" t="str">
        <f>IF(AND(A125="Модуль",C125&lt;&gt;"",OR($S$6="(все)",B125=$S$6)),MAX($AA$3:AA124)+1,"")</f>
        <v/>
      </c>
      <c r="AB125" s="38" t="str">
        <f t="shared" si="14"/>
        <v/>
      </c>
      <c r="AC125" s="38" t="str">
        <f>IF(OR(B125="",COUNTIF($B$4:B125,B125)&gt;1),"",MAX($AC$3:AC124)+1)</f>
        <v/>
      </c>
      <c r="AD125" s="38" t="str">
        <f t="shared" si="15"/>
        <v/>
      </c>
      <c r="AE125" s="38" t="str">
        <f t="shared" si="16"/>
        <v/>
      </c>
      <c r="AF125" s="38" t="str">
        <f t="shared" si="17"/>
        <v/>
      </c>
    </row>
    <row r="126" spans="1:32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38" t="str">
        <f>IF(OR(A126="Автомат",A126="Дифавтомат"),IF(W126="","",COUNTIFS(Однолинейка!$H$3:$H$3000,U126,Однолинейка!$A$3:$A$3000,Щит_спец)),IF(A126="Аппарат",IF(C126="","",COUNTIFS(Однолинейка!$I$3:$I$3000,C126,Однолинейка!$A$3:$A$3000,Щит_спец)+COUNTIFS(Однолинейка!$J$3:$J$3000,C126,Однолинейка!$A$3:$A$3000,Щит_спец)+COUNTIFS(Однолинейка!$K$3:$K$3000,C126,Однолинейка!$A$3:$A$3000,Щит_спец)),IF(A126="Модуль",IF(C126="","",COUNTIFS(Однолинейка!$AW$3:$AW$3000,"?*",Однолинейка!$AI$3:$AI$3000,C126,Однолинейка!$A$3:$A$3000,Щит_спец)),IF(A126="Клемма",IF(C126="","",IF(C126=$S$7,SUMIFS(Однолинейка!$BW$3:$BW$3000,Однолинейка!$A$3:$A$3000,Щит_спец),IF(C126=$S$8,SUMIFS(Однолинейка!$BX$3:$BX$3000,Однолинейка!$A$3:$A$3000,Щит_спец),""))),""))))</f>
        <v/>
      </c>
      <c r="O126" s="74"/>
      <c r="P126" s="38" t="str">
        <f t="shared" si="9"/>
        <v/>
      </c>
      <c r="U126" s="38" t="str">
        <f t="shared" si="10"/>
        <v/>
      </c>
      <c r="V126" s="38" t="str">
        <f t="shared" si="11"/>
        <v/>
      </c>
      <c r="W126" s="38" t="str">
        <f>IF(AND(U126&lt;&gt;"",OR($S$4="(все)",B126=$S$4),IF($S$4="(все)",COUNTIF($U$4:U126,U126),COUNTIFS($U$4:U126,U126,$B$4:B126,B126))=1),MAX($W$3:W125)+1,"")</f>
        <v/>
      </c>
      <c r="X126" s="38" t="str">
        <f t="shared" si="12"/>
        <v/>
      </c>
      <c r="Y126" s="38" t="str">
        <f>IF(AND(A126="Аппарат",C126&lt;&gt;"",OR($S$5="(все)",B126=$S$5)),MAX($Y$3:Y125)+1,"")</f>
        <v/>
      </c>
      <c r="Z126" s="38" t="str">
        <f t="shared" si="13"/>
        <v/>
      </c>
      <c r="AA126" s="38" t="str">
        <f>IF(AND(A126="Модуль",C126&lt;&gt;"",OR($S$6="(все)",B126=$S$6)),MAX($AA$3:AA125)+1,"")</f>
        <v/>
      </c>
      <c r="AB126" s="38" t="str">
        <f t="shared" si="14"/>
        <v/>
      </c>
      <c r="AC126" s="38" t="str">
        <f>IF(OR(B126="",COUNTIF($B$4:B126,B126)&gt;1),"",MAX($AC$3:AC125)+1)</f>
        <v/>
      </c>
      <c r="AD126" s="38" t="str">
        <f t="shared" si="15"/>
        <v/>
      </c>
      <c r="AE126" s="38" t="str">
        <f t="shared" si="16"/>
        <v/>
      </c>
      <c r="AF126" s="38" t="str">
        <f t="shared" si="17"/>
        <v/>
      </c>
    </row>
    <row r="127" spans="1:32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38" t="str">
        <f>IF(OR(A127="Автомат",A127="Дифавтомат"),IF(W127="","",COUNTIFS(Однолинейка!$H$3:$H$3000,U127,Однолинейка!$A$3:$A$3000,Щит_спец)),IF(A127="Аппарат",IF(C127="","",COUNTIFS(Однолинейка!$I$3:$I$3000,C127,Однолинейка!$A$3:$A$3000,Щит_спец)+COUNTIFS(Однолинейка!$J$3:$J$3000,C127,Однолинейка!$A$3:$A$3000,Щит_спец)+COUNTIFS(Однолинейка!$K$3:$K$3000,C127,Однолинейка!$A$3:$A$3000,Щит_спец)),IF(A127="Модуль",IF(C127="","",COUNTIFS(Однолинейка!$AW$3:$AW$3000,"?*",Однолинейка!$AI$3:$AI$3000,C127,Однолинейка!$A$3:$A$3000,Щит_спец)),IF(A127="Клемма",IF(C127="","",IF(C127=$S$7,SUMIFS(Однолинейка!$BW$3:$BW$3000,Однолинейка!$A$3:$A$3000,Щит_спец),IF(C127=$S$8,SUMIFS(Однолинейка!$BX$3:$BX$3000,Однолинейка!$A$3:$A$3000,Щит_спец),""))),""))))</f>
        <v/>
      </c>
      <c r="O127" s="74"/>
      <c r="P127" s="38" t="str">
        <f t="shared" si="9"/>
        <v/>
      </c>
      <c r="U127" s="38" t="str">
        <f t="shared" si="10"/>
        <v/>
      </c>
      <c r="V127" s="38" t="str">
        <f t="shared" si="11"/>
        <v/>
      </c>
      <c r="W127" s="38" t="str">
        <f>IF(AND(U127&lt;&gt;"",OR($S$4="(все)",B127=$S$4),IF($S$4="(все)",COUNTIF($U$4:U127,U127),COUNTIFS($U$4:U127,U127,$B$4:B127,B127))=1),MAX($W$3:W126)+1,"")</f>
        <v/>
      </c>
      <c r="X127" s="38" t="str">
        <f t="shared" si="12"/>
        <v/>
      </c>
      <c r="Y127" s="38" t="str">
        <f>IF(AND(A127="Аппарат",C127&lt;&gt;"",OR($S$5="(все)",B127=$S$5)),MAX($Y$3:Y126)+1,"")</f>
        <v/>
      </c>
      <c r="Z127" s="38" t="str">
        <f t="shared" si="13"/>
        <v/>
      </c>
      <c r="AA127" s="38" t="str">
        <f>IF(AND(A127="Модуль",C127&lt;&gt;"",OR($S$6="(все)",B127=$S$6)),MAX($AA$3:AA126)+1,"")</f>
        <v/>
      </c>
      <c r="AB127" s="38" t="str">
        <f t="shared" si="14"/>
        <v/>
      </c>
      <c r="AC127" s="38" t="str">
        <f>IF(OR(B127="",COUNTIF($B$4:B127,B127)&gt;1),"",MAX($AC$3:AC126)+1)</f>
        <v/>
      </c>
      <c r="AD127" s="38" t="str">
        <f t="shared" si="15"/>
        <v/>
      </c>
      <c r="AE127" s="38" t="str">
        <f t="shared" si="16"/>
        <v/>
      </c>
      <c r="AF127" s="38" t="str">
        <f t="shared" si="17"/>
        <v/>
      </c>
    </row>
    <row r="128" spans="1:32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38" t="str">
        <f>IF(OR(A128="Автомат",A128="Дифавтомат"),IF(W128="","",COUNTIFS(Однолинейка!$H$3:$H$3000,U128,Однолинейка!$A$3:$A$3000,Щит_спец)),IF(A128="Аппарат",IF(C128="","",COUNTIFS(Однолинейка!$I$3:$I$3000,C128,Однолинейка!$A$3:$A$3000,Щит_спец)+COUNTIFS(Однолинейка!$J$3:$J$3000,C128,Однолинейка!$A$3:$A$3000,Щит_спец)+COUNTIFS(Однолинейка!$K$3:$K$3000,C128,Однолинейка!$A$3:$A$3000,Щит_спец)),IF(A128="Модуль",IF(C128="","",COUNTIFS(Однолинейка!$AW$3:$AW$3000,"?*",Однолинейка!$AI$3:$AI$3000,C128,Однолинейка!$A$3:$A$3000,Щит_спец)),IF(A128="Клемма",IF(C128="","",IF(C128=$S$7,SUMIFS(Однолинейка!$BW$3:$BW$3000,Однолинейка!$A$3:$A$3000,Щит_спец),IF(C128=$S$8,SUMIFS(Однолинейка!$BX$3:$BX$3000,Однолинейка!$A$3:$A$3000,Щит_спец),""))),""))))</f>
        <v/>
      </c>
      <c r="O128" s="74"/>
      <c r="P128" s="38" t="str">
        <f t="shared" si="9"/>
        <v/>
      </c>
      <c r="U128" s="38" t="str">
        <f t="shared" si="10"/>
        <v/>
      </c>
      <c r="V128" s="38" t="str">
        <f t="shared" si="11"/>
        <v/>
      </c>
      <c r="W128" s="38" t="str">
        <f>IF(AND(U128&lt;&gt;"",OR($S$4="(все)",B128=$S$4),IF($S$4="(все)",COUNTIF($U$4:U128,U128),COUNTIFS($U$4:U128,U128,$B$4:B128,B128))=1),MAX($W$3:W127)+1,"")</f>
        <v/>
      </c>
      <c r="X128" s="38" t="str">
        <f t="shared" si="12"/>
        <v/>
      </c>
      <c r="Y128" s="38" t="str">
        <f>IF(AND(A128="Аппарат",C128&lt;&gt;"",OR($S$5="(все)",B128=$S$5)),MAX($Y$3:Y127)+1,"")</f>
        <v/>
      </c>
      <c r="Z128" s="38" t="str">
        <f t="shared" si="13"/>
        <v/>
      </c>
      <c r="AA128" s="38" t="str">
        <f>IF(AND(A128="Модуль",C128&lt;&gt;"",OR($S$6="(все)",B128=$S$6)),MAX($AA$3:AA127)+1,"")</f>
        <v/>
      </c>
      <c r="AB128" s="38" t="str">
        <f t="shared" si="14"/>
        <v/>
      </c>
      <c r="AC128" s="38" t="str">
        <f>IF(OR(B128="",COUNTIF($B$4:B128,B128)&gt;1),"",MAX($AC$3:AC127)+1)</f>
        <v/>
      </c>
      <c r="AD128" s="38" t="str">
        <f t="shared" si="15"/>
        <v/>
      </c>
      <c r="AE128" s="38" t="str">
        <f t="shared" si="16"/>
        <v/>
      </c>
      <c r="AF128" s="38" t="str">
        <f t="shared" si="17"/>
        <v/>
      </c>
    </row>
    <row r="129" spans="1:32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38" t="str">
        <f>IF(OR(A129="Автомат",A129="Дифавтомат"),IF(W129="","",COUNTIFS(Однолинейка!$H$3:$H$3000,U129,Однолинейка!$A$3:$A$3000,Щит_спец)),IF(A129="Аппарат",IF(C129="","",COUNTIFS(Однолинейка!$I$3:$I$3000,C129,Однолинейка!$A$3:$A$3000,Щит_спец)+COUNTIFS(Однолинейка!$J$3:$J$3000,C129,Однолинейка!$A$3:$A$3000,Щит_спец)+COUNTIFS(Однолинейка!$K$3:$K$3000,C129,Однолинейка!$A$3:$A$3000,Щит_спец)),IF(A129="Модуль",IF(C129="","",COUNTIFS(Однолинейка!$AW$3:$AW$3000,"?*",Однолинейка!$AI$3:$AI$3000,C129,Однолинейка!$A$3:$A$3000,Щит_спец)),IF(A129="Клемма",IF(C129="","",IF(C129=$S$7,SUMIFS(Однолинейка!$BW$3:$BW$3000,Однолинейка!$A$3:$A$3000,Щит_спец),IF(C129=$S$8,SUMIFS(Однолинейка!$BX$3:$BX$3000,Однолинейка!$A$3:$A$3000,Щит_спец),""))),""))))</f>
        <v/>
      </c>
      <c r="O129" s="74"/>
      <c r="P129" s="38" t="str">
        <f t="shared" si="9"/>
        <v/>
      </c>
      <c r="U129" s="38" t="str">
        <f t="shared" si="10"/>
        <v/>
      </c>
      <c r="V129" s="38" t="str">
        <f t="shared" si="11"/>
        <v/>
      </c>
      <c r="W129" s="38" t="str">
        <f>IF(AND(U129&lt;&gt;"",OR($S$4="(все)",B129=$S$4),IF($S$4="(все)",COUNTIF($U$4:U129,U129),COUNTIFS($U$4:U129,U129,$B$4:B129,B129))=1),MAX($W$3:W128)+1,"")</f>
        <v/>
      </c>
      <c r="X129" s="38" t="str">
        <f t="shared" si="12"/>
        <v/>
      </c>
      <c r="Y129" s="38" t="str">
        <f>IF(AND(A129="Аппарат",C129&lt;&gt;"",OR($S$5="(все)",B129=$S$5)),MAX($Y$3:Y128)+1,"")</f>
        <v/>
      </c>
      <c r="Z129" s="38" t="str">
        <f t="shared" si="13"/>
        <v/>
      </c>
      <c r="AA129" s="38" t="str">
        <f>IF(AND(A129="Модуль",C129&lt;&gt;"",OR($S$6="(все)",B129=$S$6)),MAX($AA$3:AA128)+1,"")</f>
        <v/>
      </c>
      <c r="AB129" s="38" t="str">
        <f t="shared" si="14"/>
        <v/>
      </c>
      <c r="AC129" s="38" t="str">
        <f>IF(OR(B129="",COUNTIF($B$4:B129,B129)&gt;1),"",MAX($AC$3:AC128)+1)</f>
        <v/>
      </c>
      <c r="AD129" s="38" t="str">
        <f t="shared" si="15"/>
        <v/>
      </c>
      <c r="AE129" s="38" t="str">
        <f t="shared" si="16"/>
        <v/>
      </c>
      <c r="AF129" s="38" t="str">
        <f t="shared" si="17"/>
        <v/>
      </c>
    </row>
    <row r="130" spans="1:32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38" t="str">
        <f>IF(OR(A130="Автомат",A130="Дифавтомат"),IF(W130="","",COUNTIFS(Однолинейка!$H$3:$H$3000,U130,Однолинейка!$A$3:$A$3000,Щит_спец)),IF(A130="Аппарат",IF(C130="","",COUNTIFS(Однолинейка!$I$3:$I$3000,C130,Однолинейка!$A$3:$A$3000,Щит_спец)+COUNTIFS(Однолинейка!$J$3:$J$3000,C130,Однолинейка!$A$3:$A$3000,Щит_спец)+COUNTIFS(Однолинейка!$K$3:$K$3000,C130,Однолинейка!$A$3:$A$3000,Щит_спец)),IF(A130="Модуль",IF(C130="","",COUNTIFS(Однолинейка!$AW$3:$AW$3000,"?*",Однолинейка!$AI$3:$AI$3000,C130,Однолинейка!$A$3:$A$3000,Щит_спец)),IF(A130="Клемма",IF(C130="","",IF(C130=$S$7,SUMIFS(Однолинейка!$BW$3:$BW$3000,Однолинейка!$A$3:$A$3000,Щит_спец),IF(C130=$S$8,SUMIFS(Однолинейка!$BX$3:$BX$3000,Однолинейка!$A$3:$A$3000,Щит_спец),""))),""))))</f>
        <v/>
      </c>
      <c r="O130" s="74"/>
      <c r="P130" s="38" t="str">
        <f t="shared" si="9"/>
        <v/>
      </c>
      <c r="U130" s="38" t="str">
        <f t="shared" si="10"/>
        <v/>
      </c>
      <c r="V130" s="38" t="str">
        <f t="shared" si="11"/>
        <v/>
      </c>
      <c r="W130" s="38" t="str">
        <f>IF(AND(U130&lt;&gt;"",OR($S$4="(все)",B130=$S$4),IF($S$4="(все)",COUNTIF($U$4:U130,U130),COUNTIFS($U$4:U130,U130,$B$4:B130,B130))=1),MAX($W$3:W129)+1,"")</f>
        <v/>
      </c>
      <c r="X130" s="38" t="str">
        <f t="shared" si="12"/>
        <v/>
      </c>
      <c r="Y130" s="38" t="str">
        <f>IF(AND(A130="Аппарат",C130&lt;&gt;"",OR($S$5="(все)",B130=$S$5)),MAX($Y$3:Y129)+1,"")</f>
        <v/>
      </c>
      <c r="Z130" s="38" t="str">
        <f t="shared" si="13"/>
        <v/>
      </c>
      <c r="AA130" s="38" t="str">
        <f>IF(AND(A130="Модуль",C130&lt;&gt;"",OR($S$6="(все)",B130=$S$6)),MAX($AA$3:AA129)+1,"")</f>
        <v/>
      </c>
      <c r="AB130" s="38" t="str">
        <f t="shared" si="14"/>
        <v/>
      </c>
      <c r="AC130" s="38" t="str">
        <f>IF(OR(B130="",COUNTIF($B$4:B130,B130)&gt;1),"",MAX($AC$3:AC129)+1)</f>
        <v/>
      </c>
      <c r="AD130" s="38" t="str">
        <f t="shared" si="15"/>
        <v/>
      </c>
      <c r="AE130" s="38" t="str">
        <f t="shared" si="16"/>
        <v/>
      </c>
      <c r="AF130" s="38" t="str">
        <f t="shared" si="17"/>
        <v/>
      </c>
    </row>
    <row r="131" spans="1:32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38" t="str">
        <f>IF(OR(A131="Автомат",A131="Дифавтомат"),IF(W131="","",COUNTIFS(Однолинейка!$H$3:$H$3000,U131,Однолинейка!$A$3:$A$3000,Щит_спец)),IF(A131="Аппарат",IF(C131="","",COUNTIFS(Однолинейка!$I$3:$I$3000,C131,Однолинейка!$A$3:$A$3000,Щит_спец)+COUNTIFS(Однолинейка!$J$3:$J$3000,C131,Однолинейка!$A$3:$A$3000,Щит_спец)+COUNTIFS(Однолинейка!$K$3:$K$3000,C131,Однолинейка!$A$3:$A$3000,Щит_спец)),IF(A131="Модуль",IF(C131="","",COUNTIFS(Однолинейка!$AW$3:$AW$3000,"?*",Однолинейка!$AI$3:$AI$3000,C131,Однолинейка!$A$3:$A$3000,Щит_спец)),IF(A131="Клемма",IF(C131="","",IF(C131=$S$7,SUMIFS(Однолинейка!$BW$3:$BW$3000,Однолинейка!$A$3:$A$3000,Щит_спец),IF(C131=$S$8,SUMIFS(Однолинейка!$BX$3:$BX$3000,Однолинейка!$A$3:$A$3000,Щит_спец),""))),""))))</f>
        <v/>
      </c>
      <c r="O131" s="74"/>
      <c r="P131" s="38" t="str">
        <f t="shared" si="9"/>
        <v/>
      </c>
      <c r="U131" s="38" t="str">
        <f t="shared" si="10"/>
        <v/>
      </c>
      <c r="V131" s="38" t="str">
        <f t="shared" si="11"/>
        <v/>
      </c>
      <c r="W131" s="38" t="str">
        <f>IF(AND(U131&lt;&gt;"",OR($S$4="(все)",B131=$S$4),IF($S$4="(все)",COUNTIF($U$4:U131,U131),COUNTIFS($U$4:U131,U131,$B$4:B131,B131))=1),MAX($W$3:W130)+1,"")</f>
        <v/>
      </c>
      <c r="X131" s="38" t="str">
        <f t="shared" si="12"/>
        <v/>
      </c>
      <c r="Y131" s="38" t="str">
        <f>IF(AND(A131="Аппарат",C131&lt;&gt;"",OR($S$5="(все)",B131=$S$5)),MAX($Y$3:Y130)+1,"")</f>
        <v/>
      </c>
      <c r="Z131" s="38" t="str">
        <f t="shared" si="13"/>
        <v/>
      </c>
      <c r="AA131" s="38" t="str">
        <f>IF(AND(A131="Модуль",C131&lt;&gt;"",OR($S$6="(все)",B131=$S$6)),MAX($AA$3:AA130)+1,"")</f>
        <v/>
      </c>
      <c r="AB131" s="38" t="str">
        <f t="shared" si="14"/>
        <v/>
      </c>
      <c r="AC131" s="38" t="str">
        <f>IF(OR(B131="",COUNTIF($B$4:B131,B131)&gt;1),"",MAX($AC$3:AC130)+1)</f>
        <v/>
      </c>
      <c r="AD131" s="38" t="str">
        <f t="shared" si="15"/>
        <v/>
      </c>
      <c r="AE131" s="38" t="str">
        <f t="shared" si="16"/>
        <v/>
      </c>
      <c r="AF131" s="38" t="str">
        <f t="shared" si="17"/>
        <v/>
      </c>
    </row>
    <row r="132" spans="1:32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38" t="str">
        <f>IF(OR(A132="Автомат",A132="Дифавтомат"),IF(W132="","",COUNTIFS(Однолинейка!$H$3:$H$3000,U132,Однолинейка!$A$3:$A$3000,Щит_спец)),IF(A132="Аппарат",IF(C132="","",COUNTIFS(Однолинейка!$I$3:$I$3000,C132,Однолинейка!$A$3:$A$3000,Щит_спец)+COUNTIFS(Однолинейка!$J$3:$J$3000,C132,Однолинейка!$A$3:$A$3000,Щит_спец)+COUNTIFS(Однолинейка!$K$3:$K$3000,C132,Однолинейка!$A$3:$A$3000,Щит_спец)),IF(A132="Модуль",IF(C132="","",COUNTIFS(Однолинейка!$AW$3:$AW$3000,"?*",Однолинейка!$AI$3:$AI$3000,C132,Однолинейка!$A$3:$A$3000,Щит_спец)),IF(A132="Клемма",IF(C132="","",IF(C132=$S$7,SUMIFS(Однолинейка!$BW$3:$BW$3000,Однолинейка!$A$3:$A$3000,Щит_спец),IF(C132=$S$8,SUMIFS(Однолинейка!$BX$3:$BX$3000,Однолинейка!$A$3:$A$3000,Щит_спец),""))),""))))</f>
        <v/>
      </c>
      <c r="O132" s="74"/>
      <c r="P132" s="38" t="str">
        <f t="shared" ref="P132:P195" si="18">IF(COUNT(N132,O132)=0,"",SUM(N132,O132))</f>
        <v/>
      </c>
      <c r="U132" s="38" t="str">
        <f t="shared" ref="U132:U195" si="19">IF(OR(A132="Автомат",A132="Дифавтомат"),I132&amp;" С"&amp;J132&amp;"А"&amp;IF(K132="да"," 30мА",IF(ISNUMBER(K132)," "&amp;K132&amp;"мА","")),"")</f>
        <v/>
      </c>
      <c r="V132" s="38" t="str">
        <f t="shared" ref="V132:V195" si="20">IF(U132="","",B132&amp;"|"&amp;U132)</f>
        <v/>
      </c>
      <c r="W132" s="38" t="str">
        <f>IF(AND(U132&lt;&gt;"",OR($S$4="(все)",B132=$S$4),IF($S$4="(все)",COUNTIF($U$4:U132,U132),COUNTIFS($U$4:U132,U132,$B$4:B132,B132))=1),MAX($W$3:W131)+1,"")</f>
        <v/>
      </c>
      <c r="X132" s="38" t="str">
        <f t="shared" ref="X132:X195" si="21">IFERROR(INDEX($U$4:$U$500,MATCH(ROW()-3,$W$4:$W$500,0)),"")</f>
        <v/>
      </c>
      <c r="Y132" s="38" t="str">
        <f>IF(AND(A132="Аппарат",C132&lt;&gt;"",OR($S$5="(все)",B132=$S$5)),MAX($Y$3:Y131)+1,"")</f>
        <v/>
      </c>
      <c r="Z132" s="38" t="str">
        <f t="shared" ref="Z132:Z195" si="22">IFERROR(INDEX($C$4:$C$500,MATCH(ROW()-3,$Y$4:$Y$500,0)),"")</f>
        <v/>
      </c>
      <c r="AA132" s="38" t="str">
        <f>IF(AND(A132="Модуль",C132&lt;&gt;"",OR($S$6="(все)",B132=$S$6)),MAX($AA$3:AA131)+1,"")</f>
        <v/>
      </c>
      <c r="AB132" s="38" t="str">
        <f t="shared" ref="AB132:AB195" si="23">IFERROR(INDEX($C$4:$C$500,MATCH(ROW()-3,$AA$4:$AA$500,0)),"")</f>
        <v/>
      </c>
      <c r="AC132" s="38" t="str">
        <f>IF(OR(B132="",COUNTIF($B$4:B132,B132)&gt;1),"",MAX($AC$3:AC131)+1)</f>
        <v/>
      </c>
      <c r="AD132" s="38" t="str">
        <f t="shared" ref="AD132:AD195" si="24">IFERROR(INDEX($B$4:$B$500,MATCH(ROW()-3,$AC$4:$AC$500,0)),"")</f>
        <v/>
      </c>
      <c r="AE132" s="38" t="str">
        <f t="shared" ref="AE132:AE195" si="25">IF(AND(A132&lt;&gt;"",N(P132)&gt;0),IFERROR(MATCH(A132,$R$12:$R$25,0),99)*1000+ROW(),"")</f>
        <v/>
      </c>
      <c r="AF132" s="38" t="str">
        <f t="shared" ref="AF132:AF195" si="26">IF(AE132="","",COUNTIF($AE$4:$AE$500,"&lt;="&amp;AE132))</f>
        <v/>
      </c>
    </row>
    <row r="133" spans="1:32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38" t="str">
        <f>IF(OR(A133="Автомат",A133="Дифавтомат"),IF(W133="","",COUNTIFS(Однолинейка!$H$3:$H$3000,U133,Однолинейка!$A$3:$A$3000,Щит_спец)),IF(A133="Аппарат",IF(C133="","",COUNTIFS(Однолинейка!$I$3:$I$3000,C133,Однолинейка!$A$3:$A$3000,Щит_спец)+COUNTIFS(Однолинейка!$J$3:$J$3000,C133,Однолинейка!$A$3:$A$3000,Щит_спец)+COUNTIFS(Однолинейка!$K$3:$K$3000,C133,Однолинейка!$A$3:$A$3000,Щит_спец)),IF(A133="Модуль",IF(C133="","",COUNTIFS(Однолинейка!$AW$3:$AW$3000,"?*",Однолинейка!$AI$3:$AI$3000,C133,Однолинейка!$A$3:$A$3000,Щит_спец)),IF(A133="Клемма",IF(C133="","",IF(C133=$S$7,SUMIFS(Однолинейка!$BW$3:$BW$3000,Однолинейка!$A$3:$A$3000,Щит_спец),IF(C133=$S$8,SUMIFS(Однолинейка!$BX$3:$BX$3000,Однолинейка!$A$3:$A$3000,Щит_спец),""))),""))))</f>
        <v/>
      </c>
      <c r="O133" s="74"/>
      <c r="P133" s="38" t="str">
        <f t="shared" si="18"/>
        <v/>
      </c>
      <c r="U133" s="38" t="str">
        <f t="shared" si="19"/>
        <v/>
      </c>
      <c r="V133" s="38" t="str">
        <f t="shared" si="20"/>
        <v/>
      </c>
      <c r="W133" s="38" t="str">
        <f>IF(AND(U133&lt;&gt;"",OR($S$4="(все)",B133=$S$4),IF($S$4="(все)",COUNTIF($U$4:U133,U133),COUNTIFS($U$4:U133,U133,$B$4:B133,B133))=1),MAX($W$3:W132)+1,"")</f>
        <v/>
      </c>
      <c r="X133" s="38" t="str">
        <f t="shared" si="21"/>
        <v/>
      </c>
      <c r="Y133" s="38" t="str">
        <f>IF(AND(A133="Аппарат",C133&lt;&gt;"",OR($S$5="(все)",B133=$S$5)),MAX($Y$3:Y132)+1,"")</f>
        <v/>
      </c>
      <c r="Z133" s="38" t="str">
        <f t="shared" si="22"/>
        <v/>
      </c>
      <c r="AA133" s="38" t="str">
        <f>IF(AND(A133="Модуль",C133&lt;&gt;"",OR($S$6="(все)",B133=$S$6)),MAX($AA$3:AA132)+1,"")</f>
        <v/>
      </c>
      <c r="AB133" s="38" t="str">
        <f t="shared" si="23"/>
        <v/>
      </c>
      <c r="AC133" s="38" t="str">
        <f>IF(OR(B133="",COUNTIF($B$4:B133,B133)&gt;1),"",MAX($AC$3:AC132)+1)</f>
        <v/>
      </c>
      <c r="AD133" s="38" t="str">
        <f t="shared" si="24"/>
        <v/>
      </c>
      <c r="AE133" s="38" t="str">
        <f t="shared" si="25"/>
        <v/>
      </c>
      <c r="AF133" s="38" t="str">
        <f t="shared" si="26"/>
        <v/>
      </c>
    </row>
    <row r="134" spans="1:32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38" t="str">
        <f>IF(OR(A134="Автомат",A134="Дифавтомат"),IF(W134="","",COUNTIFS(Однолинейка!$H$3:$H$3000,U134,Однолинейка!$A$3:$A$3000,Щит_спец)),IF(A134="Аппарат",IF(C134="","",COUNTIFS(Однолинейка!$I$3:$I$3000,C134,Однолинейка!$A$3:$A$3000,Щит_спец)+COUNTIFS(Однолинейка!$J$3:$J$3000,C134,Однолинейка!$A$3:$A$3000,Щит_спец)+COUNTIFS(Однолинейка!$K$3:$K$3000,C134,Однолинейка!$A$3:$A$3000,Щит_спец)),IF(A134="Модуль",IF(C134="","",COUNTIFS(Однолинейка!$AW$3:$AW$3000,"?*",Однолинейка!$AI$3:$AI$3000,C134,Однолинейка!$A$3:$A$3000,Щит_спец)),IF(A134="Клемма",IF(C134="","",IF(C134=$S$7,SUMIFS(Однолинейка!$BW$3:$BW$3000,Однолинейка!$A$3:$A$3000,Щит_спец),IF(C134=$S$8,SUMIFS(Однолинейка!$BX$3:$BX$3000,Однолинейка!$A$3:$A$3000,Щит_спец),""))),""))))</f>
        <v/>
      </c>
      <c r="O134" s="74"/>
      <c r="P134" s="38" t="str">
        <f t="shared" si="18"/>
        <v/>
      </c>
      <c r="U134" s="38" t="str">
        <f t="shared" si="19"/>
        <v/>
      </c>
      <c r="V134" s="38" t="str">
        <f t="shared" si="20"/>
        <v/>
      </c>
      <c r="W134" s="38" t="str">
        <f>IF(AND(U134&lt;&gt;"",OR($S$4="(все)",B134=$S$4),IF($S$4="(все)",COUNTIF($U$4:U134,U134),COUNTIFS($U$4:U134,U134,$B$4:B134,B134))=1),MAX($W$3:W133)+1,"")</f>
        <v/>
      </c>
      <c r="X134" s="38" t="str">
        <f t="shared" si="21"/>
        <v/>
      </c>
      <c r="Y134" s="38" t="str">
        <f>IF(AND(A134="Аппарат",C134&lt;&gt;"",OR($S$5="(все)",B134=$S$5)),MAX($Y$3:Y133)+1,"")</f>
        <v/>
      </c>
      <c r="Z134" s="38" t="str">
        <f t="shared" si="22"/>
        <v/>
      </c>
      <c r="AA134" s="38" t="str">
        <f>IF(AND(A134="Модуль",C134&lt;&gt;"",OR($S$6="(все)",B134=$S$6)),MAX($AA$3:AA133)+1,"")</f>
        <v/>
      </c>
      <c r="AB134" s="38" t="str">
        <f t="shared" si="23"/>
        <v/>
      </c>
      <c r="AC134" s="38" t="str">
        <f>IF(OR(B134="",COUNTIF($B$4:B134,B134)&gt;1),"",MAX($AC$3:AC133)+1)</f>
        <v/>
      </c>
      <c r="AD134" s="38" t="str">
        <f t="shared" si="24"/>
        <v/>
      </c>
      <c r="AE134" s="38" t="str">
        <f t="shared" si="25"/>
        <v/>
      </c>
      <c r="AF134" s="38" t="str">
        <f t="shared" si="26"/>
        <v/>
      </c>
    </row>
    <row r="135" spans="1:32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38" t="str">
        <f>IF(OR(A135="Автомат",A135="Дифавтомат"),IF(W135="","",COUNTIFS(Однолинейка!$H$3:$H$3000,U135,Однолинейка!$A$3:$A$3000,Щит_спец)),IF(A135="Аппарат",IF(C135="","",COUNTIFS(Однолинейка!$I$3:$I$3000,C135,Однолинейка!$A$3:$A$3000,Щит_спец)+COUNTIFS(Однолинейка!$J$3:$J$3000,C135,Однолинейка!$A$3:$A$3000,Щит_спец)+COUNTIFS(Однолинейка!$K$3:$K$3000,C135,Однолинейка!$A$3:$A$3000,Щит_спец)),IF(A135="Модуль",IF(C135="","",COUNTIFS(Однолинейка!$AW$3:$AW$3000,"?*",Однолинейка!$AI$3:$AI$3000,C135,Однолинейка!$A$3:$A$3000,Щит_спец)),IF(A135="Клемма",IF(C135="","",IF(C135=$S$7,SUMIFS(Однолинейка!$BW$3:$BW$3000,Однолинейка!$A$3:$A$3000,Щит_спец),IF(C135=$S$8,SUMIFS(Однолинейка!$BX$3:$BX$3000,Однолинейка!$A$3:$A$3000,Щит_спец),""))),""))))</f>
        <v/>
      </c>
      <c r="O135" s="74"/>
      <c r="P135" s="38" t="str">
        <f t="shared" si="18"/>
        <v/>
      </c>
      <c r="U135" s="38" t="str">
        <f t="shared" si="19"/>
        <v/>
      </c>
      <c r="V135" s="38" t="str">
        <f t="shared" si="20"/>
        <v/>
      </c>
      <c r="W135" s="38" t="str">
        <f>IF(AND(U135&lt;&gt;"",OR($S$4="(все)",B135=$S$4),IF($S$4="(все)",COUNTIF($U$4:U135,U135),COUNTIFS($U$4:U135,U135,$B$4:B135,B135))=1),MAX($W$3:W134)+1,"")</f>
        <v/>
      </c>
      <c r="X135" s="38" t="str">
        <f t="shared" si="21"/>
        <v/>
      </c>
      <c r="Y135" s="38" t="str">
        <f>IF(AND(A135="Аппарат",C135&lt;&gt;"",OR($S$5="(все)",B135=$S$5)),MAX($Y$3:Y134)+1,"")</f>
        <v/>
      </c>
      <c r="Z135" s="38" t="str">
        <f t="shared" si="22"/>
        <v/>
      </c>
      <c r="AA135" s="38" t="str">
        <f>IF(AND(A135="Модуль",C135&lt;&gt;"",OR($S$6="(все)",B135=$S$6)),MAX($AA$3:AA134)+1,"")</f>
        <v/>
      </c>
      <c r="AB135" s="38" t="str">
        <f t="shared" si="23"/>
        <v/>
      </c>
      <c r="AC135" s="38" t="str">
        <f>IF(OR(B135="",COUNTIF($B$4:B135,B135)&gt;1),"",MAX($AC$3:AC134)+1)</f>
        <v/>
      </c>
      <c r="AD135" s="38" t="str">
        <f t="shared" si="24"/>
        <v/>
      </c>
      <c r="AE135" s="38" t="str">
        <f t="shared" si="25"/>
        <v/>
      </c>
      <c r="AF135" s="38" t="str">
        <f t="shared" si="26"/>
        <v/>
      </c>
    </row>
    <row r="136" spans="1:32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38" t="str">
        <f>IF(OR(A136="Автомат",A136="Дифавтомат"),IF(W136="","",COUNTIFS(Однолинейка!$H$3:$H$3000,U136,Однолинейка!$A$3:$A$3000,Щит_спец)),IF(A136="Аппарат",IF(C136="","",COUNTIFS(Однолинейка!$I$3:$I$3000,C136,Однолинейка!$A$3:$A$3000,Щит_спец)+COUNTIFS(Однолинейка!$J$3:$J$3000,C136,Однолинейка!$A$3:$A$3000,Щит_спец)+COUNTIFS(Однолинейка!$K$3:$K$3000,C136,Однолинейка!$A$3:$A$3000,Щит_спец)),IF(A136="Модуль",IF(C136="","",COUNTIFS(Однолинейка!$AW$3:$AW$3000,"?*",Однолинейка!$AI$3:$AI$3000,C136,Однолинейка!$A$3:$A$3000,Щит_спец)),IF(A136="Клемма",IF(C136="","",IF(C136=$S$7,SUMIFS(Однолинейка!$BW$3:$BW$3000,Однолинейка!$A$3:$A$3000,Щит_спец),IF(C136=$S$8,SUMIFS(Однолинейка!$BX$3:$BX$3000,Однолинейка!$A$3:$A$3000,Щит_спец),""))),""))))</f>
        <v/>
      </c>
      <c r="O136" s="74"/>
      <c r="P136" s="38" t="str">
        <f t="shared" si="18"/>
        <v/>
      </c>
      <c r="U136" s="38" t="str">
        <f t="shared" si="19"/>
        <v/>
      </c>
      <c r="V136" s="38" t="str">
        <f t="shared" si="20"/>
        <v/>
      </c>
      <c r="W136" s="38" t="str">
        <f>IF(AND(U136&lt;&gt;"",OR($S$4="(все)",B136=$S$4),IF($S$4="(все)",COUNTIF($U$4:U136,U136),COUNTIFS($U$4:U136,U136,$B$4:B136,B136))=1),MAX($W$3:W135)+1,"")</f>
        <v/>
      </c>
      <c r="X136" s="38" t="str">
        <f t="shared" si="21"/>
        <v/>
      </c>
      <c r="Y136" s="38" t="str">
        <f>IF(AND(A136="Аппарат",C136&lt;&gt;"",OR($S$5="(все)",B136=$S$5)),MAX($Y$3:Y135)+1,"")</f>
        <v/>
      </c>
      <c r="Z136" s="38" t="str">
        <f t="shared" si="22"/>
        <v/>
      </c>
      <c r="AA136" s="38" t="str">
        <f>IF(AND(A136="Модуль",C136&lt;&gt;"",OR($S$6="(все)",B136=$S$6)),MAX($AA$3:AA135)+1,"")</f>
        <v/>
      </c>
      <c r="AB136" s="38" t="str">
        <f t="shared" si="23"/>
        <v/>
      </c>
      <c r="AC136" s="38" t="str">
        <f>IF(OR(B136="",COUNTIF($B$4:B136,B136)&gt;1),"",MAX($AC$3:AC135)+1)</f>
        <v/>
      </c>
      <c r="AD136" s="38" t="str">
        <f t="shared" si="24"/>
        <v/>
      </c>
      <c r="AE136" s="38" t="str">
        <f t="shared" si="25"/>
        <v/>
      </c>
      <c r="AF136" s="38" t="str">
        <f t="shared" si="26"/>
        <v/>
      </c>
    </row>
    <row r="137" spans="1:32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38" t="str">
        <f>IF(OR(A137="Автомат",A137="Дифавтомат"),IF(W137="","",COUNTIFS(Однолинейка!$H$3:$H$3000,U137,Однолинейка!$A$3:$A$3000,Щит_спец)),IF(A137="Аппарат",IF(C137="","",COUNTIFS(Однолинейка!$I$3:$I$3000,C137,Однолинейка!$A$3:$A$3000,Щит_спец)+COUNTIFS(Однолинейка!$J$3:$J$3000,C137,Однолинейка!$A$3:$A$3000,Щит_спец)+COUNTIFS(Однолинейка!$K$3:$K$3000,C137,Однолинейка!$A$3:$A$3000,Щит_спец)),IF(A137="Модуль",IF(C137="","",COUNTIFS(Однолинейка!$AW$3:$AW$3000,"?*",Однолинейка!$AI$3:$AI$3000,C137,Однолинейка!$A$3:$A$3000,Щит_спец)),IF(A137="Клемма",IF(C137="","",IF(C137=$S$7,SUMIFS(Однолинейка!$BW$3:$BW$3000,Однолинейка!$A$3:$A$3000,Щит_спец),IF(C137=$S$8,SUMIFS(Однолинейка!$BX$3:$BX$3000,Однолинейка!$A$3:$A$3000,Щит_спец),""))),""))))</f>
        <v/>
      </c>
      <c r="O137" s="74"/>
      <c r="P137" s="38" t="str">
        <f t="shared" si="18"/>
        <v/>
      </c>
      <c r="U137" s="38" t="str">
        <f t="shared" si="19"/>
        <v/>
      </c>
      <c r="V137" s="38" t="str">
        <f t="shared" si="20"/>
        <v/>
      </c>
      <c r="W137" s="38" t="str">
        <f>IF(AND(U137&lt;&gt;"",OR($S$4="(все)",B137=$S$4),IF($S$4="(все)",COUNTIF($U$4:U137,U137),COUNTIFS($U$4:U137,U137,$B$4:B137,B137))=1),MAX($W$3:W136)+1,"")</f>
        <v/>
      </c>
      <c r="X137" s="38" t="str">
        <f t="shared" si="21"/>
        <v/>
      </c>
      <c r="Y137" s="38" t="str">
        <f>IF(AND(A137="Аппарат",C137&lt;&gt;"",OR($S$5="(все)",B137=$S$5)),MAX($Y$3:Y136)+1,"")</f>
        <v/>
      </c>
      <c r="Z137" s="38" t="str">
        <f t="shared" si="22"/>
        <v/>
      </c>
      <c r="AA137" s="38" t="str">
        <f>IF(AND(A137="Модуль",C137&lt;&gt;"",OR($S$6="(все)",B137=$S$6)),MAX($AA$3:AA136)+1,"")</f>
        <v/>
      </c>
      <c r="AB137" s="38" t="str">
        <f t="shared" si="23"/>
        <v/>
      </c>
      <c r="AC137" s="38" t="str">
        <f>IF(OR(B137="",COUNTIF($B$4:B137,B137)&gt;1),"",MAX($AC$3:AC136)+1)</f>
        <v/>
      </c>
      <c r="AD137" s="38" t="str">
        <f t="shared" si="24"/>
        <v/>
      </c>
      <c r="AE137" s="38" t="str">
        <f t="shared" si="25"/>
        <v/>
      </c>
      <c r="AF137" s="38" t="str">
        <f t="shared" si="26"/>
        <v/>
      </c>
    </row>
    <row r="138" spans="1:32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38" t="str">
        <f>IF(OR(A138="Автомат",A138="Дифавтомат"),IF(W138="","",COUNTIFS(Однолинейка!$H$3:$H$3000,U138,Однолинейка!$A$3:$A$3000,Щит_спец)),IF(A138="Аппарат",IF(C138="","",COUNTIFS(Однолинейка!$I$3:$I$3000,C138,Однолинейка!$A$3:$A$3000,Щит_спец)+COUNTIFS(Однолинейка!$J$3:$J$3000,C138,Однолинейка!$A$3:$A$3000,Щит_спец)+COUNTIFS(Однолинейка!$K$3:$K$3000,C138,Однолинейка!$A$3:$A$3000,Щит_спец)),IF(A138="Модуль",IF(C138="","",COUNTIFS(Однолинейка!$AW$3:$AW$3000,"?*",Однолинейка!$AI$3:$AI$3000,C138,Однолинейка!$A$3:$A$3000,Щит_спец)),IF(A138="Клемма",IF(C138="","",IF(C138=$S$7,SUMIFS(Однолинейка!$BW$3:$BW$3000,Однолинейка!$A$3:$A$3000,Щит_спец),IF(C138=$S$8,SUMIFS(Однолинейка!$BX$3:$BX$3000,Однолинейка!$A$3:$A$3000,Щит_спец),""))),""))))</f>
        <v/>
      </c>
      <c r="O138" s="74"/>
      <c r="P138" s="38" t="str">
        <f t="shared" si="18"/>
        <v/>
      </c>
      <c r="U138" s="38" t="str">
        <f t="shared" si="19"/>
        <v/>
      </c>
      <c r="V138" s="38" t="str">
        <f t="shared" si="20"/>
        <v/>
      </c>
      <c r="W138" s="38" t="str">
        <f>IF(AND(U138&lt;&gt;"",OR($S$4="(все)",B138=$S$4),IF($S$4="(все)",COUNTIF($U$4:U138,U138),COUNTIFS($U$4:U138,U138,$B$4:B138,B138))=1),MAX($W$3:W137)+1,"")</f>
        <v/>
      </c>
      <c r="X138" s="38" t="str">
        <f t="shared" si="21"/>
        <v/>
      </c>
      <c r="Y138" s="38" t="str">
        <f>IF(AND(A138="Аппарат",C138&lt;&gt;"",OR($S$5="(все)",B138=$S$5)),MAX($Y$3:Y137)+1,"")</f>
        <v/>
      </c>
      <c r="Z138" s="38" t="str">
        <f t="shared" si="22"/>
        <v/>
      </c>
      <c r="AA138" s="38" t="str">
        <f>IF(AND(A138="Модуль",C138&lt;&gt;"",OR($S$6="(все)",B138=$S$6)),MAX($AA$3:AA137)+1,"")</f>
        <v/>
      </c>
      <c r="AB138" s="38" t="str">
        <f t="shared" si="23"/>
        <v/>
      </c>
      <c r="AC138" s="38" t="str">
        <f>IF(OR(B138="",COUNTIF($B$4:B138,B138)&gt;1),"",MAX($AC$3:AC137)+1)</f>
        <v/>
      </c>
      <c r="AD138" s="38" t="str">
        <f t="shared" si="24"/>
        <v/>
      </c>
      <c r="AE138" s="38" t="str">
        <f t="shared" si="25"/>
        <v/>
      </c>
      <c r="AF138" s="38" t="str">
        <f t="shared" si="26"/>
        <v/>
      </c>
    </row>
    <row r="139" spans="1:32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38" t="str">
        <f>IF(OR(A139="Автомат",A139="Дифавтомат"),IF(W139="","",COUNTIFS(Однолинейка!$H$3:$H$3000,U139,Однолинейка!$A$3:$A$3000,Щит_спец)),IF(A139="Аппарат",IF(C139="","",COUNTIFS(Однолинейка!$I$3:$I$3000,C139,Однолинейка!$A$3:$A$3000,Щит_спец)+COUNTIFS(Однолинейка!$J$3:$J$3000,C139,Однолинейка!$A$3:$A$3000,Щит_спец)+COUNTIFS(Однолинейка!$K$3:$K$3000,C139,Однолинейка!$A$3:$A$3000,Щит_спец)),IF(A139="Модуль",IF(C139="","",COUNTIFS(Однолинейка!$AW$3:$AW$3000,"?*",Однолинейка!$AI$3:$AI$3000,C139,Однолинейка!$A$3:$A$3000,Щит_спец)),IF(A139="Клемма",IF(C139="","",IF(C139=$S$7,SUMIFS(Однолинейка!$BW$3:$BW$3000,Однолинейка!$A$3:$A$3000,Щит_спец),IF(C139=$S$8,SUMIFS(Однолинейка!$BX$3:$BX$3000,Однолинейка!$A$3:$A$3000,Щит_спец),""))),""))))</f>
        <v/>
      </c>
      <c r="O139" s="74"/>
      <c r="P139" s="38" t="str">
        <f t="shared" si="18"/>
        <v/>
      </c>
      <c r="U139" s="38" t="str">
        <f t="shared" si="19"/>
        <v/>
      </c>
      <c r="V139" s="38" t="str">
        <f t="shared" si="20"/>
        <v/>
      </c>
      <c r="W139" s="38" t="str">
        <f>IF(AND(U139&lt;&gt;"",OR($S$4="(все)",B139=$S$4),IF($S$4="(все)",COUNTIF($U$4:U139,U139),COUNTIFS($U$4:U139,U139,$B$4:B139,B139))=1),MAX($W$3:W138)+1,"")</f>
        <v/>
      </c>
      <c r="X139" s="38" t="str">
        <f t="shared" si="21"/>
        <v/>
      </c>
      <c r="Y139" s="38" t="str">
        <f>IF(AND(A139="Аппарат",C139&lt;&gt;"",OR($S$5="(все)",B139=$S$5)),MAX($Y$3:Y138)+1,"")</f>
        <v/>
      </c>
      <c r="Z139" s="38" t="str">
        <f t="shared" si="22"/>
        <v/>
      </c>
      <c r="AA139" s="38" t="str">
        <f>IF(AND(A139="Модуль",C139&lt;&gt;"",OR($S$6="(все)",B139=$S$6)),MAX($AA$3:AA138)+1,"")</f>
        <v/>
      </c>
      <c r="AB139" s="38" t="str">
        <f t="shared" si="23"/>
        <v/>
      </c>
      <c r="AC139" s="38" t="str">
        <f>IF(OR(B139="",COUNTIF($B$4:B139,B139)&gt;1),"",MAX($AC$3:AC138)+1)</f>
        <v/>
      </c>
      <c r="AD139" s="38" t="str">
        <f t="shared" si="24"/>
        <v/>
      </c>
      <c r="AE139" s="38" t="str">
        <f t="shared" si="25"/>
        <v/>
      </c>
      <c r="AF139" s="38" t="str">
        <f t="shared" si="26"/>
        <v/>
      </c>
    </row>
    <row r="140" spans="1:32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38" t="str">
        <f>IF(OR(A140="Автомат",A140="Дифавтомат"),IF(W140="","",COUNTIFS(Однолинейка!$H$3:$H$3000,U140,Однолинейка!$A$3:$A$3000,Щит_спец)),IF(A140="Аппарат",IF(C140="","",COUNTIFS(Однолинейка!$I$3:$I$3000,C140,Однолинейка!$A$3:$A$3000,Щит_спец)+COUNTIFS(Однолинейка!$J$3:$J$3000,C140,Однолинейка!$A$3:$A$3000,Щит_спец)+COUNTIFS(Однолинейка!$K$3:$K$3000,C140,Однолинейка!$A$3:$A$3000,Щит_спец)),IF(A140="Модуль",IF(C140="","",COUNTIFS(Однолинейка!$AW$3:$AW$3000,"?*",Однолинейка!$AI$3:$AI$3000,C140,Однолинейка!$A$3:$A$3000,Щит_спец)),IF(A140="Клемма",IF(C140="","",IF(C140=$S$7,SUMIFS(Однолинейка!$BW$3:$BW$3000,Однолинейка!$A$3:$A$3000,Щит_спец),IF(C140=$S$8,SUMIFS(Однолинейка!$BX$3:$BX$3000,Однолинейка!$A$3:$A$3000,Щит_спец),""))),""))))</f>
        <v/>
      </c>
      <c r="O140" s="74"/>
      <c r="P140" s="38" t="str">
        <f t="shared" si="18"/>
        <v/>
      </c>
      <c r="U140" s="38" t="str">
        <f t="shared" si="19"/>
        <v/>
      </c>
      <c r="V140" s="38" t="str">
        <f t="shared" si="20"/>
        <v/>
      </c>
      <c r="W140" s="38" t="str">
        <f>IF(AND(U140&lt;&gt;"",OR($S$4="(все)",B140=$S$4),IF($S$4="(все)",COUNTIF($U$4:U140,U140),COUNTIFS($U$4:U140,U140,$B$4:B140,B140))=1),MAX($W$3:W139)+1,"")</f>
        <v/>
      </c>
      <c r="X140" s="38" t="str">
        <f t="shared" si="21"/>
        <v/>
      </c>
      <c r="Y140" s="38" t="str">
        <f>IF(AND(A140="Аппарат",C140&lt;&gt;"",OR($S$5="(все)",B140=$S$5)),MAX($Y$3:Y139)+1,"")</f>
        <v/>
      </c>
      <c r="Z140" s="38" t="str">
        <f t="shared" si="22"/>
        <v/>
      </c>
      <c r="AA140" s="38" t="str">
        <f>IF(AND(A140="Модуль",C140&lt;&gt;"",OR($S$6="(все)",B140=$S$6)),MAX($AA$3:AA139)+1,"")</f>
        <v/>
      </c>
      <c r="AB140" s="38" t="str">
        <f t="shared" si="23"/>
        <v/>
      </c>
      <c r="AC140" s="38" t="str">
        <f>IF(OR(B140="",COUNTIF($B$4:B140,B140)&gt;1),"",MAX($AC$3:AC139)+1)</f>
        <v/>
      </c>
      <c r="AD140" s="38" t="str">
        <f t="shared" si="24"/>
        <v/>
      </c>
      <c r="AE140" s="38" t="str">
        <f t="shared" si="25"/>
        <v/>
      </c>
      <c r="AF140" s="38" t="str">
        <f t="shared" si="26"/>
        <v/>
      </c>
    </row>
    <row r="141" spans="1:32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38" t="str">
        <f>IF(OR(A141="Автомат",A141="Дифавтомат"),IF(W141="","",COUNTIFS(Однолинейка!$H$3:$H$3000,U141,Однолинейка!$A$3:$A$3000,Щит_спец)),IF(A141="Аппарат",IF(C141="","",COUNTIFS(Однолинейка!$I$3:$I$3000,C141,Однолинейка!$A$3:$A$3000,Щит_спец)+COUNTIFS(Однолинейка!$J$3:$J$3000,C141,Однолинейка!$A$3:$A$3000,Щит_спец)+COUNTIFS(Однолинейка!$K$3:$K$3000,C141,Однолинейка!$A$3:$A$3000,Щит_спец)),IF(A141="Модуль",IF(C141="","",COUNTIFS(Однолинейка!$AW$3:$AW$3000,"?*",Однолинейка!$AI$3:$AI$3000,C141,Однолинейка!$A$3:$A$3000,Щит_спец)),IF(A141="Клемма",IF(C141="","",IF(C141=$S$7,SUMIFS(Однолинейка!$BW$3:$BW$3000,Однолинейка!$A$3:$A$3000,Щит_спец),IF(C141=$S$8,SUMIFS(Однолинейка!$BX$3:$BX$3000,Однолинейка!$A$3:$A$3000,Щит_спец),""))),""))))</f>
        <v/>
      </c>
      <c r="O141" s="74"/>
      <c r="P141" s="38" t="str">
        <f t="shared" si="18"/>
        <v/>
      </c>
      <c r="U141" s="38" t="str">
        <f t="shared" si="19"/>
        <v/>
      </c>
      <c r="V141" s="38" t="str">
        <f t="shared" si="20"/>
        <v/>
      </c>
      <c r="W141" s="38" t="str">
        <f>IF(AND(U141&lt;&gt;"",OR($S$4="(все)",B141=$S$4),IF($S$4="(все)",COUNTIF($U$4:U141,U141),COUNTIFS($U$4:U141,U141,$B$4:B141,B141))=1),MAX($W$3:W140)+1,"")</f>
        <v/>
      </c>
      <c r="X141" s="38" t="str">
        <f t="shared" si="21"/>
        <v/>
      </c>
      <c r="Y141" s="38" t="str">
        <f>IF(AND(A141="Аппарат",C141&lt;&gt;"",OR($S$5="(все)",B141=$S$5)),MAX($Y$3:Y140)+1,"")</f>
        <v/>
      </c>
      <c r="Z141" s="38" t="str">
        <f t="shared" si="22"/>
        <v/>
      </c>
      <c r="AA141" s="38" t="str">
        <f>IF(AND(A141="Модуль",C141&lt;&gt;"",OR($S$6="(все)",B141=$S$6)),MAX($AA$3:AA140)+1,"")</f>
        <v/>
      </c>
      <c r="AB141" s="38" t="str">
        <f t="shared" si="23"/>
        <v/>
      </c>
      <c r="AC141" s="38" t="str">
        <f>IF(OR(B141="",COUNTIF($B$4:B141,B141)&gt;1),"",MAX($AC$3:AC140)+1)</f>
        <v/>
      </c>
      <c r="AD141" s="38" t="str">
        <f t="shared" si="24"/>
        <v/>
      </c>
      <c r="AE141" s="38" t="str">
        <f t="shared" si="25"/>
        <v/>
      </c>
      <c r="AF141" s="38" t="str">
        <f t="shared" si="26"/>
        <v/>
      </c>
    </row>
    <row r="142" spans="1:32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38" t="str">
        <f>IF(OR(A142="Автомат",A142="Дифавтомат"),IF(W142="","",COUNTIFS(Однолинейка!$H$3:$H$3000,U142,Однолинейка!$A$3:$A$3000,Щит_спец)),IF(A142="Аппарат",IF(C142="","",COUNTIFS(Однолинейка!$I$3:$I$3000,C142,Однолинейка!$A$3:$A$3000,Щит_спец)+COUNTIFS(Однолинейка!$J$3:$J$3000,C142,Однолинейка!$A$3:$A$3000,Щит_спец)+COUNTIFS(Однолинейка!$K$3:$K$3000,C142,Однолинейка!$A$3:$A$3000,Щит_спец)),IF(A142="Модуль",IF(C142="","",COUNTIFS(Однолинейка!$AW$3:$AW$3000,"?*",Однолинейка!$AI$3:$AI$3000,C142,Однолинейка!$A$3:$A$3000,Щит_спец)),IF(A142="Клемма",IF(C142="","",IF(C142=$S$7,SUMIFS(Однолинейка!$BW$3:$BW$3000,Однолинейка!$A$3:$A$3000,Щит_спец),IF(C142=$S$8,SUMIFS(Однолинейка!$BX$3:$BX$3000,Однолинейка!$A$3:$A$3000,Щит_спец),""))),""))))</f>
        <v/>
      </c>
      <c r="O142" s="74"/>
      <c r="P142" s="38" t="str">
        <f t="shared" si="18"/>
        <v/>
      </c>
      <c r="U142" s="38" t="str">
        <f t="shared" si="19"/>
        <v/>
      </c>
      <c r="V142" s="38" t="str">
        <f t="shared" si="20"/>
        <v/>
      </c>
      <c r="W142" s="38" t="str">
        <f>IF(AND(U142&lt;&gt;"",OR($S$4="(все)",B142=$S$4),IF($S$4="(все)",COUNTIF($U$4:U142,U142),COUNTIFS($U$4:U142,U142,$B$4:B142,B142))=1),MAX($W$3:W141)+1,"")</f>
        <v/>
      </c>
      <c r="X142" s="38" t="str">
        <f t="shared" si="21"/>
        <v/>
      </c>
      <c r="Y142" s="38" t="str">
        <f>IF(AND(A142="Аппарат",C142&lt;&gt;"",OR($S$5="(все)",B142=$S$5)),MAX($Y$3:Y141)+1,"")</f>
        <v/>
      </c>
      <c r="Z142" s="38" t="str">
        <f t="shared" si="22"/>
        <v/>
      </c>
      <c r="AA142" s="38" t="str">
        <f>IF(AND(A142="Модуль",C142&lt;&gt;"",OR($S$6="(все)",B142=$S$6)),MAX($AA$3:AA141)+1,"")</f>
        <v/>
      </c>
      <c r="AB142" s="38" t="str">
        <f t="shared" si="23"/>
        <v/>
      </c>
      <c r="AC142" s="38" t="str">
        <f>IF(OR(B142="",COUNTIF($B$4:B142,B142)&gt;1),"",MAX($AC$3:AC141)+1)</f>
        <v/>
      </c>
      <c r="AD142" s="38" t="str">
        <f t="shared" si="24"/>
        <v/>
      </c>
      <c r="AE142" s="38" t="str">
        <f t="shared" si="25"/>
        <v/>
      </c>
      <c r="AF142" s="38" t="str">
        <f t="shared" si="26"/>
        <v/>
      </c>
    </row>
    <row r="143" spans="1:32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38" t="str">
        <f>IF(OR(A143="Автомат",A143="Дифавтомат"),IF(W143="","",COUNTIFS(Однолинейка!$H$3:$H$3000,U143,Однолинейка!$A$3:$A$3000,Щит_спец)),IF(A143="Аппарат",IF(C143="","",COUNTIFS(Однолинейка!$I$3:$I$3000,C143,Однолинейка!$A$3:$A$3000,Щит_спец)+COUNTIFS(Однолинейка!$J$3:$J$3000,C143,Однолинейка!$A$3:$A$3000,Щит_спец)+COUNTIFS(Однолинейка!$K$3:$K$3000,C143,Однолинейка!$A$3:$A$3000,Щит_спец)),IF(A143="Модуль",IF(C143="","",COUNTIFS(Однолинейка!$AW$3:$AW$3000,"?*",Однолинейка!$AI$3:$AI$3000,C143,Однолинейка!$A$3:$A$3000,Щит_спец)),IF(A143="Клемма",IF(C143="","",IF(C143=$S$7,SUMIFS(Однолинейка!$BW$3:$BW$3000,Однолинейка!$A$3:$A$3000,Щит_спец),IF(C143=$S$8,SUMIFS(Однолинейка!$BX$3:$BX$3000,Однолинейка!$A$3:$A$3000,Щит_спец),""))),""))))</f>
        <v/>
      </c>
      <c r="O143" s="74"/>
      <c r="P143" s="38" t="str">
        <f t="shared" si="18"/>
        <v/>
      </c>
      <c r="U143" s="38" t="str">
        <f t="shared" si="19"/>
        <v/>
      </c>
      <c r="V143" s="38" t="str">
        <f t="shared" si="20"/>
        <v/>
      </c>
      <c r="W143" s="38" t="str">
        <f>IF(AND(U143&lt;&gt;"",OR($S$4="(все)",B143=$S$4),IF($S$4="(все)",COUNTIF($U$4:U143,U143),COUNTIFS($U$4:U143,U143,$B$4:B143,B143))=1),MAX($W$3:W142)+1,"")</f>
        <v/>
      </c>
      <c r="X143" s="38" t="str">
        <f t="shared" si="21"/>
        <v/>
      </c>
      <c r="Y143" s="38" t="str">
        <f>IF(AND(A143="Аппарат",C143&lt;&gt;"",OR($S$5="(все)",B143=$S$5)),MAX($Y$3:Y142)+1,"")</f>
        <v/>
      </c>
      <c r="Z143" s="38" t="str">
        <f t="shared" si="22"/>
        <v/>
      </c>
      <c r="AA143" s="38" t="str">
        <f>IF(AND(A143="Модуль",C143&lt;&gt;"",OR($S$6="(все)",B143=$S$6)),MAX($AA$3:AA142)+1,"")</f>
        <v/>
      </c>
      <c r="AB143" s="38" t="str">
        <f t="shared" si="23"/>
        <v/>
      </c>
      <c r="AC143" s="38" t="str">
        <f>IF(OR(B143="",COUNTIF($B$4:B143,B143)&gt;1),"",MAX($AC$3:AC142)+1)</f>
        <v/>
      </c>
      <c r="AD143" s="38" t="str">
        <f t="shared" si="24"/>
        <v/>
      </c>
      <c r="AE143" s="38" t="str">
        <f t="shared" si="25"/>
        <v/>
      </c>
      <c r="AF143" s="38" t="str">
        <f t="shared" si="26"/>
        <v/>
      </c>
    </row>
    <row r="144" spans="1:32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38" t="str">
        <f>IF(OR(A144="Автомат",A144="Дифавтомат"),IF(W144="","",COUNTIFS(Однолинейка!$H$3:$H$3000,U144,Однолинейка!$A$3:$A$3000,Щит_спец)),IF(A144="Аппарат",IF(C144="","",COUNTIFS(Однолинейка!$I$3:$I$3000,C144,Однолинейка!$A$3:$A$3000,Щит_спец)+COUNTIFS(Однолинейка!$J$3:$J$3000,C144,Однолинейка!$A$3:$A$3000,Щит_спец)+COUNTIFS(Однолинейка!$K$3:$K$3000,C144,Однолинейка!$A$3:$A$3000,Щит_спец)),IF(A144="Модуль",IF(C144="","",COUNTIFS(Однолинейка!$AW$3:$AW$3000,"?*",Однолинейка!$AI$3:$AI$3000,C144,Однолинейка!$A$3:$A$3000,Щит_спец)),IF(A144="Клемма",IF(C144="","",IF(C144=$S$7,SUMIFS(Однолинейка!$BW$3:$BW$3000,Однолинейка!$A$3:$A$3000,Щит_спец),IF(C144=$S$8,SUMIFS(Однолинейка!$BX$3:$BX$3000,Однолинейка!$A$3:$A$3000,Щит_спец),""))),""))))</f>
        <v/>
      </c>
      <c r="O144" s="74"/>
      <c r="P144" s="38" t="str">
        <f t="shared" si="18"/>
        <v/>
      </c>
      <c r="U144" s="38" t="str">
        <f t="shared" si="19"/>
        <v/>
      </c>
      <c r="V144" s="38" t="str">
        <f t="shared" si="20"/>
        <v/>
      </c>
      <c r="W144" s="38" t="str">
        <f>IF(AND(U144&lt;&gt;"",OR($S$4="(все)",B144=$S$4),IF($S$4="(все)",COUNTIF($U$4:U144,U144),COUNTIFS($U$4:U144,U144,$B$4:B144,B144))=1),MAX($W$3:W143)+1,"")</f>
        <v/>
      </c>
      <c r="X144" s="38" t="str">
        <f t="shared" si="21"/>
        <v/>
      </c>
      <c r="Y144" s="38" t="str">
        <f>IF(AND(A144="Аппарат",C144&lt;&gt;"",OR($S$5="(все)",B144=$S$5)),MAX($Y$3:Y143)+1,"")</f>
        <v/>
      </c>
      <c r="Z144" s="38" t="str">
        <f t="shared" si="22"/>
        <v/>
      </c>
      <c r="AA144" s="38" t="str">
        <f>IF(AND(A144="Модуль",C144&lt;&gt;"",OR($S$6="(все)",B144=$S$6)),MAX($AA$3:AA143)+1,"")</f>
        <v/>
      </c>
      <c r="AB144" s="38" t="str">
        <f t="shared" si="23"/>
        <v/>
      </c>
      <c r="AC144" s="38" t="str">
        <f>IF(OR(B144="",COUNTIF($B$4:B144,B144)&gt;1),"",MAX($AC$3:AC143)+1)</f>
        <v/>
      </c>
      <c r="AD144" s="38" t="str">
        <f t="shared" si="24"/>
        <v/>
      </c>
      <c r="AE144" s="38" t="str">
        <f t="shared" si="25"/>
        <v/>
      </c>
      <c r="AF144" s="38" t="str">
        <f t="shared" si="26"/>
        <v/>
      </c>
    </row>
    <row r="145" spans="1:32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38" t="str">
        <f>IF(OR(A145="Автомат",A145="Дифавтомат"),IF(W145="","",COUNTIFS(Однолинейка!$H$3:$H$3000,U145,Однолинейка!$A$3:$A$3000,Щит_спец)),IF(A145="Аппарат",IF(C145="","",COUNTIFS(Однолинейка!$I$3:$I$3000,C145,Однолинейка!$A$3:$A$3000,Щит_спец)+COUNTIFS(Однолинейка!$J$3:$J$3000,C145,Однолинейка!$A$3:$A$3000,Щит_спец)+COUNTIFS(Однолинейка!$K$3:$K$3000,C145,Однолинейка!$A$3:$A$3000,Щит_спец)),IF(A145="Модуль",IF(C145="","",COUNTIFS(Однолинейка!$AW$3:$AW$3000,"?*",Однолинейка!$AI$3:$AI$3000,C145,Однолинейка!$A$3:$A$3000,Щит_спец)),IF(A145="Клемма",IF(C145="","",IF(C145=$S$7,SUMIFS(Однолинейка!$BW$3:$BW$3000,Однолинейка!$A$3:$A$3000,Щит_спец),IF(C145=$S$8,SUMIFS(Однолинейка!$BX$3:$BX$3000,Однолинейка!$A$3:$A$3000,Щит_спец),""))),""))))</f>
        <v/>
      </c>
      <c r="O145" s="74"/>
      <c r="P145" s="38" t="str">
        <f t="shared" si="18"/>
        <v/>
      </c>
      <c r="U145" s="38" t="str">
        <f t="shared" si="19"/>
        <v/>
      </c>
      <c r="V145" s="38" t="str">
        <f t="shared" si="20"/>
        <v/>
      </c>
      <c r="W145" s="38" t="str">
        <f>IF(AND(U145&lt;&gt;"",OR($S$4="(все)",B145=$S$4),IF($S$4="(все)",COUNTIF($U$4:U145,U145),COUNTIFS($U$4:U145,U145,$B$4:B145,B145))=1),MAX($W$3:W144)+1,"")</f>
        <v/>
      </c>
      <c r="X145" s="38" t="str">
        <f t="shared" si="21"/>
        <v/>
      </c>
      <c r="Y145" s="38" t="str">
        <f>IF(AND(A145="Аппарат",C145&lt;&gt;"",OR($S$5="(все)",B145=$S$5)),MAX($Y$3:Y144)+1,"")</f>
        <v/>
      </c>
      <c r="Z145" s="38" t="str">
        <f t="shared" si="22"/>
        <v/>
      </c>
      <c r="AA145" s="38" t="str">
        <f>IF(AND(A145="Модуль",C145&lt;&gt;"",OR($S$6="(все)",B145=$S$6)),MAX($AA$3:AA144)+1,"")</f>
        <v/>
      </c>
      <c r="AB145" s="38" t="str">
        <f t="shared" si="23"/>
        <v/>
      </c>
      <c r="AC145" s="38" t="str">
        <f>IF(OR(B145="",COUNTIF($B$4:B145,B145)&gt;1),"",MAX($AC$3:AC144)+1)</f>
        <v/>
      </c>
      <c r="AD145" s="38" t="str">
        <f t="shared" si="24"/>
        <v/>
      </c>
      <c r="AE145" s="38" t="str">
        <f t="shared" si="25"/>
        <v/>
      </c>
      <c r="AF145" s="38" t="str">
        <f t="shared" si="26"/>
        <v/>
      </c>
    </row>
    <row r="146" spans="1:32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38" t="str">
        <f>IF(OR(A146="Автомат",A146="Дифавтомат"),IF(W146="","",COUNTIFS(Однолинейка!$H$3:$H$3000,U146,Однолинейка!$A$3:$A$3000,Щит_спец)),IF(A146="Аппарат",IF(C146="","",COUNTIFS(Однолинейка!$I$3:$I$3000,C146,Однолинейка!$A$3:$A$3000,Щит_спец)+COUNTIFS(Однолинейка!$J$3:$J$3000,C146,Однолинейка!$A$3:$A$3000,Щит_спец)+COUNTIFS(Однолинейка!$K$3:$K$3000,C146,Однолинейка!$A$3:$A$3000,Щит_спец)),IF(A146="Модуль",IF(C146="","",COUNTIFS(Однолинейка!$AW$3:$AW$3000,"?*",Однолинейка!$AI$3:$AI$3000,C146,Однолинейка!$A$3:$A$3000,Щит_спец)),IF(A146="Клемма",IF(C146="","",IF(C146=$S$7,SUMIFS(Однолинейка!$BW$3:$BW$3000,Однолинейка!$A$3:$A$3000,Щит_спец),IF(C146=$S$8,SUMIFS(Однолинейка!$BX$3:$BX$3000,Однолинейка!$A$3:$A$3000,Щит_спец),""))),""))))</f>
        <v/>
      </c>
      <c r="O146" s="74"/>
      <c r="P146" s="38" t="str">
        <f t="shared" si="18"/>
        <v/>
      </c>
      <c r="U146" s="38" t="str">
        <f t="shared" si="19"/>
        <v/>
      </c>
      <c r="V146" s="38" t="str">
        <f t="shared" si="20"/>
        <v/>
      </c>
      <c r="W146" s="38" t="str">
        <f>IF(AND(U146&lt;&gt;"",OR($S$4="(все)",B146=$S$4),IF($S$4="(все)",COUNTIF($U$4:U146,U146),COUNTIFS($U$4:U146,U146,$B$4:B146,B146))=1),MAX($W$3:W145)+1,"")</f>
        <v/>
      </c>
      <c r="X146" s="38" t="str">
        <f t="shared" si="21"/>
        <v/>
      </c>
      <c r="Y146" s="38" t="str">
        <f>IF(AND(A146="Аппарат",C146&lt;&gt;"",OR($S$5="(все)",B146=$S$5)),MAX($Y$3:Y145)+1,"")</f>
        <v/>
      </c>
      <c r="Z146" s="38" t="str">
        <f t="shared" si="22"/>
        <v/>
      </c>
      <c r="AA146" s="38" t="str">
        <f>IF(AND(A146="Модуль",C146&lt;&gt;"",OR($S$6="(все)",B146=$S$6)),MAX($AA$3:AA145)+1,"")</f>
        <v/>
      </c>
      <c r="AB146" s="38" t="str">
        <f t="shared" si="23"/>
        <v/>
      </c>
      <c r="AC146" s="38" t="str">
        <f>IF(OR(B146="",COUNTIF($B$4:B146,B146)&gt;1),"",MAX($AC$3:AC145)+1)</f>
        <v/>
      </c>
      <c r="AD146" s="38" t="str">
        <f t="shared" si="24"/>
        <v/>
      </c>
      <c r="AE146" s="38" t="str">
        <f t="shared" si="25"/>
        <v/>
      </c>
      <c r="AF146" s="38" t="str">
        <f t="shared" si="26"/>
        <v/>
      </c>
    </row>
    <row r="147" spans="1:32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38" t="str">
        <f>IF(OR(A147="Автомат",A147="Дифавтомат"),IF(W147="","",COUNTIFS(Однолинейка!$H$3:$H$3000,U147,Однолинейка!$A$3:$A$3000,Щит_спец)),IF(A147="Аппарат",IF(C147="","",COUNTIFS(Однолинейка!$I$3:$I$3000,C147,Однолинейка!$A$3:$A$3000,Щит_спец)+COUNTIFS(Однолинейка!$J$3:$J$3000,C147,Однолинейка!$A$3:$A$3000,Щит_спец)+COUNTIFS(Однолинейка!$K$3:$K$3000,C147,Однолинейка!$A$3:$A$3000,Щит_спец)),IF(A147="Модуль",IF(C147="","",COUNTIFS(Однолинейка!$AW$3:$AW$3000,"?*",Однолинейка!$AI$3:$AI$3000,C147,Однолинейка!$A$3:$A$3000,Щит_спец)),IF(A147="Клемма",IF(C147="","",IF(C147=$S$7,SUMIFS(Однолинейка!$BW$3:$BW$3000,Однолинейка!$A$3:$A$3000,Щит_спец),IF(C147=$S$8,SUMIFS(Однолинейка!$BX$3:$BX$3000,Однолинейка!$A$3:$A$3000,Щит_спец),""))),""))))</f>
        <v/>
      </c>
      <c r="O147" s="74"/>
      <c r="P147" s="38" t="str">
        <f t="shared" si="18"/>
        <v/>
      </c>
      <c r="U147" s="38" t="str">
        <f t="shared" si="19"/>
        <v/>
      </c>
      <c r="V147" s="38" t="str">
        <f t="shared" si="20"/>
        <v/>
      </c>
      <c r="W147" s="38" t="str">
        <f>IF(AND(U147&lt;&gt;"",OR($S$4="(все)",B147=$S$4),IF($S$4="(все)",COUNTIF($U$4:U147,U147),COUNTIFS($U$4:U147,U147,$B$4:B147,B147))=1),MAX($W$3:W146)+1,"")</f>
        <v/>
      </c>
      <c r="X147" s="38" t="str">
        <f t="shared" si="21"/>
        <v/>
      </c>
      <c r="Y147" s="38" t="str">
        <f>IF(AND(A147="Аппарат",C147&lt;&gt;"",OR($S$5="(все)",B147=$S$5)),MAX($Y$3:Y146)+1,"")</f>
        <v/>
      </c>
      <c r="Z147" s="38" t="str">
        <f t="shared" si="22"/>
        <v/>
      </c>
      <c r="AA147" s="38" t="str">
        <f>IF(AND(A147="Модуль",C147&lt;&gt;"",OR($S$6="(все)",B147=$S$6)),MAX($AA$3:AA146)+1,"")</f>
        <v/>
      </c>
      <c r="AB147" s="38" t="str">
        <f t="shared" si="23"/>
        <v/>
      </c>
      <c r="AC147" s="38" t="str">
        <f>IF(OR(B147="",COUNTIF($B$4:B147,B147)&gt;1),"",MAX($AC$3:AC146)+1)</f>
        <v/>
      </c>
      <c r="AD147" s="38" t="str">
        <f t="shared" si="24"/>
        <v/>
      </c>
      <c r="AE147" s="38" t="str">
        <f t="shared" si="25"/>
        <v/>
      </c>
      <c r="AF147" s="38" t="str">
        <f t="shared" si="26"/>
        <v/>
      </c>
    </row>
    <row r="148" spans="1:32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38" t="str">
        <f>IF(OR(A148="Автомат",A148="Дифавтомат"),IF(W148="","",COUNTIFS(Однолинейка!$H$3:$H$3000,U148,Однолинейка!$A$3:$A$3000,Щит_спец)),IF(A148="Аппарат",IF(C148="","",COUNTIFS(Однолинейка!$I$3:$I$3000,C148,Однолинейка!$A$3:$A$3000,Щит_спец)+COUNTIFS(Однолинейка!$J$3:$J$3000,C148,Однолинейка!$A$3:$A$3000,Щит_спец)+COUNTIFS(Однолинейка!$K$3:$K$3000,C148,Однолинейка!$A$3:$A$3000,Щит_спец)),IF(A148="Модуль",IF(C148="","",COUNTIFS(Однолинейка!$AW$3:$AW$3000,"?*",Однолинейка!$AI$3:$AI$3000,C148,Однолинейка!$A$3:$A$3000,Щит_спец)),IF(A148="Клемма",IF(C148="","",IF(C148=$S$7,SUMIFS(Однолинейка!$BW$3:$BW$3000,Однолинейка!$A$3:$A$3000,Щит_спец),IF(C148=$S$8,SUMIFS(Однолинейка!$BX$3:$BX$3000,Однолинейка!$A$3:$A$3000,Щит_спец),""))),""))))</f>
        <v/>
      </c>
      <c r="O148" s="74"/>
      <c r="P148" s="38" t="str">
        <f t="shared" si="18"/>
        <v/>
      </c>
      <c r="U148" s="38" t="str">
        <f t="shared" si="19"/>
        <v/>
      </c>
      <c r="V148" s="38" t="str">
        <f t="shared" si="20"/>
        <v/>
      </c>
      <c r="W148" s="38" t="str">
        <f>IF(AND(U148&lt;&gt;"",OR($S$4="(все)",B148=$S$4),IF($S$4="(все)",COUNTIF($U$4:U148,U148),COUNTIFS($U$4:U148,U148,$B$4:B148,B148))=1),MAX($W$3:W147)+1,"")</f>
        <v/>
      </c>
      <c r="X148" s="38" t="str">
        <f t="shared" si="21"/>
        <v/>
      </c>
      <c r="Y148" s="38" t="str">
        <f>IF(AND(A148="Аппарат",C148&lt;&gt;"",OR($S$5="(все)",B148=$S$5)),MAX($Y$3:Y147)+1,"")</f>
        <v/>
      </c>
      <c r="Z148" s="38" t="str">
        <f t="shared" si="22"/>
        <v/>
      </c>
      <c r="AA148" s="38" t="str">
        <f>IF(AND(A148="Модуль",C148&lt;&gt;"",OR($S$6="(все)",B148=$S$6)),MAX($AA$3:AA147)+1,"")</f>
        <v/>
      </c>
      <c r="AB148" s="38" t="str">
        <f t="shared" si="23"/>
        <v/>
      </c>
      <c r="AC148" s="38" t="str">
        <f>IF(OR(B148="",COUNTIF($B$4:B148,B148)&gt;1),"",MAX($AC$3:AC147)+1)</f>
        <v/>
      </c>
      <c r="AD148" s="38" t="str">
        <f t="shared" si="24"/>
        <v/>
      </c>
      <c r="AE148" s="38" t="str">
        <f t="shared" si="25"/>
        <v/>
      </c>
      <c r="AF148" s="38" t="str">
        <f t="shared" si="26"/>
        <v/>
      </c>
    </row>
    <row r="149" spans="1:32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38" t="str">
        <f>IF(OR(A149="Автомат",A149="Дифавтомат"),IF(W149="","",COUNTIFS(Однолинейка!$H$3:$H$3000,U149,Однолинейка!$A$3:$A$3000,Щит_спец)),IF(A149="Аппарат",IF(C149="","",COUNTIFS(Однолинейка!$I$3:$I$3000,C149,Однолинейка!$A$3:$A$3000,Щит_спец)+COUNTIFS(Однолинейка!$J$3:$J$3000,C149,Однолинейка!$A$3:$A$3000,Щит_спец)+COUNTIFS(Однолинейка!$K$3:$K$3000,C149,Однолинейка!$A$3:$A$3000,Щит_спец)),IF(A149="Модуль",IF(C149="","",COUNTIFS(Однолинейка!$AW$3:$AW$3000,"?*",Однолинейка!$AI$3:$AI$3000,C149,Однолинейка!$A$3:$A$3000,Щит_спец)),IF(A149="Клемма",IF(C149="","",IF(C149=$S$7,SUMIFS(Однолинейка!$BW$3:$BW$3000,Однолинейка!$A$3:$A$3000,Щит_спец),IF(C149=$S$8,SUMIFS(Однолинейка!$BX$3:$BX$3000,Однолинейка!$A$3:$A$3000,Щит_спец),""))),""))))</f>
        <v/>
      </c>
      <c r="O149" s="74"/>
      <c r="P149" s="38" t="str">
        <f t="shared" si="18"/>
        <v/>
      </c>
      <c r="U149" s="38" t="str">
        <f t="shared" si="19"/>
        <v/>
      </c>
      <c r="V149" s="38" t="str">
        <f t="shared" si="20"/>
        <v/>
      </c>
      <c r="W149" s="38" t="str">
        <f>IF(AND(U149&lt;&gt;"",OR($S$4="(все)",B149=$S$4),IF($S$4="(все)",COUNTIF($U$4:U149,U149),COUNTIFS($U$4:U149,U149,$B$4:B149,B149))=1),MAX($W$3:W148)+1,"")</f>
        <v/>
      </c>
      <c r="X149" s="38" t="str">
        <f t="shared" si="21"/>
        <v/>
      </c>
      <c r="Y149" s="38" t="str">
        <f>IF(AND(A149="Аппарат",C149&lt;&gt;"",OR($S$5="(все)",B149=$S$5)),MAX($Y$3:Y148)+1,"")</f>
        <v/>
      </c>
      <c r="Z149" s="38" t="str">
        <f t="shared" si="22"/>
        <v/>
      </c>
      <c r="AA149" s="38" t="str">
        <f>IF(AND(A149="Модуль",C149&lt;&gt;"",OR($S$6="(все)",B149=$S$6)),MAX($AA$3:AA148)+1,"")</f>
        <v/>
      </c>
      <c r="AB149" s="38" t="str">
        <f t="shared" si="23"/>
        <v/>
      </c>
      <c r="AC149" s="38" t="str">
        <f>IF(OR(B149="",COUNTIF($B$4:B149,B149)&gt;1),"",MAX($AC$3:AC148)+1)</f>
        <v/>
      </c>
      <c r="AD149" s="38" t="str">
        <f t="shared" si="24"/>
        <v/>
      </c>
      <c r="AE149" s="38" t="str">
        <f t="shared" si="25"/>
        <v/>
      </c>
      <c r="AF149" s="38" t="str">
        <f t="shared" si="26"/>
        <v/>
      </c>
    </row>
    <row r="150" spans="1:32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38" t="str">
        <f>IF(OR(A150="Автомат",A150="Дифавтомат"),IF(W150="","",COUNTIFS(Однолинейка!$H$3:$H$3000,U150,Однолинейка!$A$3:$A$3000,Щит_спец)),IF(A150="Аппарат",IF(C150="","",COUNTIFS(Однолинейка!$I$3:$I$3000,C150,Однолинейка!$A$3:$A$3000,Щит_спец)+COUNTIFS(Однолинейка!$J$3:$J$3000,C150,Однолинейка!$A$3:$A$3000,Щит_спец)+COUNTIFS(Однолинейка!$K$3:$K$3000,C150,Однолинейка!$A$3:$A$3000,Щит_спец)),IF(A150="Модуль",IF(C150="","",COUNTIFS(Однолинейка!$AW$3:$AW$3000,"?*",Однолинейка!$AI$3:$AI$3000,C150,Однолинейка!$A$3:$A$3000,Щит_спец)),IF(A150="Клемма",IF(C150="","",IF(C150=$S$7,SUMIFS(Однолинейка!$BW$3:$BW$3000,Однолинейка!$A$3:$A$3000,Щит_спец),IF(C150=$S$8,SUMIFS(Однолинейка!$BX$3:$BX$3000,Однолинейка!$A$3:$A$3000,Щит_спец),""))),""))))</f>
        <v/>
      </c>
      <c r="O150" s="74"/>
      <c r="P150" s="38" t="str">
        <f t="shared" si="18"/>
        <v/>
      </c>
      <c r="U150" s="38" t="str">
        <f t="shared" si="19"/>
        <v/>
      </c>
      <c r="V150" s="38" t="str">
        <f t="shared" si="20"/>
        <v/>
      </c>
      <c r="W150" s="38" t="str">
        <f>IF(AND(U150&lt;&gt;"",OR($S$4="(все)",B150=$S$4),IF($S$4="(все)",COUNTIF($U$4:U150,U150),COUNTIFS($U$4:U150,U150,$B$4:B150,B150))=1),MAX($W$3:W149)+1,"")</f>
        <v/>
      </c>
      <c r="X150" s="38" t="str">
        <f t="shared" si="21"/>
        <v/>
      </c>
      <c r="Y150" s="38" t="str">
        <f>IF(AND(A150="Аппарат",C150&lt;&gt;"",OR($S$5="(все)",B150=$S$5)),MAX($Y$3:Y149)+1,"")</f>
        <v/>
      </c>
      <c r="Z150" s="38" t="str">
        <f t="shared" si="22"/>
        <v/>
      </c>
      <c r="AA150" s="38" t="str">
        <f>IF(AND(A150="Модуль",C150&lt;&gt;"",OR($S$6="(все)",B150=$S$6)),MAX($AA$3:AA149)+1,"")</f>
        <v/>
      </c>
      <c r="AB150" s="38" t="str">
        <f t="shared" si="23"/>
        <v/>
      </c>
      <c r="AC150" s="38" t="str">
        <f>IF(OR(B150="",COUNTIF($B$4:B150,B150)&gt;1),"",MAX($AC$3:AC149)+1)</f>
        <v/>
      </c>
      <c r="AD150" s="38" t="str">
        <f t="shared" si="24"/>
        <v/>
      </c>
      <c r="AE150" s="38" t="str">
        <f t="shared" si="25"/>
        <v/>
      </c>
      <c r="AF150" s="38" t="str">
        <f t="shared" si="26"/>
        <v/>
      </c>
    </row>
    <row r="151" spans="1:32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38" t="str">
        <f>IF(OR(A151="Автомат",A151="Дифавтомат"),IF(W151="","",COUNTIFS(Однолинейка!$H$3:$H$3000,U151,Однолинейка!$A$3:$A$3000,Щит_спец)),IF(A151="Аппарат",IF(C151="","",COUNTIFS(Однолинейка!$I$3:$I$3000,C151,Однолинейка!$A$3:$A$3000,Щит_спец)+COUNTIFS(Однолинейка!$J$3:$J$3000,C151,Однолинейка!$A$3:$A$3000,Щит_спец)+COUNTIFS(Однолинейка!$K$3:$K$3000,C151,Однолинейка!$A$3:$A$3000,Щит_спец)),IF(A151="Модуль",IF(C151="","",COUNTIFS(Однолинейка!$AW$3:$AW$3000,"?*",Однолинейка!$AI$3:$AI$3000,C151,Однолинейка!$A$3:$A$3000,Щит_спец)),IF(A151="Клемма",IF(C151="","",IF(C151=$S$7,SUMIFS(Однолинейка!$BW$3:$BW$3000,Однолинейка!$A$3:$A$3000,Щит_спец),IF(C151=$S$8,SUMIFS(Однолинейка!$BX$3:$BX$3000,Однолинейка!$A$3:$A$3000,Щит_спец),""))),""))))</f>
        <v/>
      </c>
      <c r="O151" s="74"/>
      <c r="P151" s="38" t="str">
        <f t="shared" si="18"/>
        <v/>
      </c>
      <c r="U151" s="38" t="str">
        <f t="shared" si="19"/>
        <v/>
      </c>
      <c r="V151" s="38" t="str">
        <f t="shared" si="20"/>
        <v/>
      </c>
      <c r="W151" s="38" t="str">
        <f>IF(AND(U151&lt;&gt;"",OR($S$4="(все)",B151=$S$4),IF($S$4="(все)",COUNTIF($U$4:U151,U151),COUNTIFS($U$4:U151,U151,$B$4:B151,B151))=1),MAX($W$3:W150)+1,"")</f>
        <v/>
      </c>
      <c r="X151" s="38" t="str">
        <f t="shared" si="21"/>
        <v/>
      </c>
      <c r="Y151" s="38" t="str">
        <f>IF(AND(A151="Аппарат",C151&lt;&gt;"",OR($S$5="(все)",B151=$S$5)),MAX($Y$3:Y150)+1,"")</f>
        <v/>
      </c>
      <c r="Z151" s="38" t="str">
        <f t="shared" si="22"/>
        <v/>
      </c>
      <c r="AA151" s="38" t="str">
        <f>IF(AND(A151="Модуль",C151&lt;&gt;"",OR($S$6="(все)",B151=$S$6)),MAX($AA$3:AA150)+1,"")</f>
        <v/>
      </c>
      <c r="AB151" s="38" t="str">
        <f t="shared" si="23"/>
        <v/>
      </c>
      <c r="AC151" s="38" t="str">
        <f>IF(OR(B151="",COUNTIF($B$4:B151,B151)&gt;1),"",MAX($AC$3:AC150)+1)</f>
        <v/>
      </c>
      <c r="AD151" s="38" t="str">
        <f t="shared" si="24"/>
        <v/>
      </c>
      <c r="AE151" s="38" t="str">
        <f t="shared" si="25"/>
        <v/>
      </c>
      <c r="AF151" s="38" t="str">
        <f t="shared" si="26"/>
        <v/>
      </c>
    </row>
    <row r="152" spans="1:32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38" t="str">
        <f>IF(OR(A152="Автомат",A152="Дифавтомат"),IF(W152="","",COUNTIFS(Однолинейка!$H$3:$H$3000,U152,Однолинейка!$A$3:$A$3000,Щит_спец)),IF(A152="Аппарат",IF(C152="","",COUNTIFS(Однолинейка!$I$3:$I$3000,C152,Однолинейка!$A$3:$A$3000,Щит_спец)+COUNTIFS(Однолинейка!$J$3:$J$3000,C152,Однолинейка!$A$3:$A$3000,Щит_спец)+COUNTIFS(Однолинейка!$K$3:$K$3000,C152,Однолинейка!$A$3:$A$3000,Щит_спец)),IF(A152="Модуль",IF(C152="","",COUNTIFS(Однолинейка!$AW$3:$AW$3000,"?*",Однолинейка!$AI$3:$AI$3000,C152,Однолинейка!$A$3:$A$3000,Щит_спец)),IF(A152="Клемма",IF(C152="","",IF(C152=$S$7,SUMIFS(Однолинейка!$BW$3:$BW$3000,Однолинейка!$A$3:$A$3000,Щит_спец),IF(C152=$S$8,SUMIFS(Однолинейка!$BX$3:$BX$3000,Однолинейка!$A$3:$A$3000,Щит_спец),""))),""))))</f>
        <v/>
      </c>
      <c r="O152" s="74"/>
      <c r="P152" s="38" t="str">
        <f t="shared" si="18"/>
        <v/>
      </c>
      <c r="U152" s="38" t="str">
        <f t="shared" si="19"/>
        <v/>
      </c>
      <c r="V152" s="38" t="str">
        <f t="shared" si="20"/>
        <v/>
      </c>
      <c r="W152" s="38" t="str">
        <f>IF(AND(U152&lt;&gt;"",OR($S$4="(все)",B152=$S$4),IF($S$4="(все)",COUNTIF($U$4:U152,U152),COUNTIFS($U$4:U152,U152,$B$4:B152,B152))=1),MAX($W$3:W151)+1,"")</f>
        <v/>
      </c>
      <c r="X152" s="38" t="str">
        <f t="shared" si="21"/>
        <v/>
      </c>
      <c r="Y152" s="38" t="str">
        <f>IF(AND(A152="Аппарат",C152&lt;&gt;"",OR($S$5="(все)",B152=$S$5)),MAX($Y$3:Y151)+1,"")</f>
        <v/>
      </c>
      <c r="Z152" s="38" t="str">
        <f t="shared" si="22"/>
        <v/>
      </c>
      <c r="AA152" s="38" t="str">
        <f>IF(AND(A152="Модуль",C152&lt;&gt;"",OR($S$6="(все)",B152=$S$6)),MAX($AA$3:AA151)+1,"")</f>
        <v/>
      </c>
      <c r="AB152" s="38" t="str">
        <f t="shared" si="23"/>
        <v/>
      </c>
      <c r="AC152" s="38" t="str">
        <f>IF(OR(B152="",COUNTIF($B$4:B152,B152)&gt;1),"",MAX($AC$3:AC151)+1)</f>
        <v/>
      </c>
      <c r="AD152" s="38" t="str">
        <f t="shared" si="24"/>
        <v/>
      </c>
      <c r="AE152" s="38" t="str">
        <f t="shared" si="25"/>
        <v/>
      </c>
      <c r="AF152" s="38" t="str">
        <f t="shared" si="26"/>
        <v/>
      </c>
    </row>
    <row r="153" spans="1:32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38" t="str">
        <f>IF(OR(A153="Автомат",A153="Дифавтомат"),IF(W153="","",COUNTIFS(Однолинейка!$H$3:$H$3000,U153,Однолинейка!$A$3:$A$3000,Щит_спец)),IF(A153="Аппарат",IF(C153="","",COUNTIFS(Однолинейка!$I$3:$I$3000,C153,Однолинейка!$A$3:$A$3000,Щит_спец)+COUNTIFS(Однолинейка!$J$3:$J$3000,C153,Однолинейка!$A$3:$A$3000,Щит_спец)+COUNTIFS(Однолинейка!$K$3:$K$3000,C153,Однолинейка!$A$3:$A$3000,Щит_спец)),IF(A153="Модуль",IF(C153="","",COUNTIFS(Однолинейка!$AW$3:$AW$3000,"?*",Однолинейка!$AI$3:$AI$3000,C153,Однолинейка!$A$3:$A$3000,Щит_спец)),IF(A153="Клемма",IF(C153="","",IF(C153=$S$7,SUMIFS(Однолинейка!$BW$3:$BW$3000,Однолинейка!$A$3:$A$3000,Щит_спец),IF(C153=$S$8,SUMIFS(Однолинейка!$BX$3:$BX$3000,Однолинейка!$A$3:$A$3000,Щит_спец),""))),""))))</f>
        <v/>
      </c>
      <c r="O153" s="74"/>
      <c r="P153" s="38" t="str">
        <f t="shared" si="18"/>
        <v/>
      </c>
      <c r="U153" s="38" t="str">
        <f t="shared" si="19"/>
        <v/>
      </c>
      <c r="V153" s="38" t="str">
        <f t="shared" si="20"/>
        <v/>
      </c>
      <c r="W153" s="38" t="str">
        <f>IF(AND(U153&lt;&gt;"",OR($S$4="(все)",B153=$S$4),IF($S$4="(все)",COUNTIF($U$4:U153,U153),COUNTIFS($U$4:U153,U153,$B$4:B153,B153))=1),MAX($W$3:W152)+1,"")</f>
        <v/>
      </c>
      <c r="X153" s="38" t="str">
        <f t="shared" si="21"/>
        <v/>
      </c>
      <c r="Y153" s="38" t="str">
        <f>IF(AND(A153="Аппарат",C153&lt;&gt;"",OR($S$5="(все)",B153=$S$5)),MAX($Y$3:Y152)+1,"")</f>
        <v/>
      </c>
      <c r="Z153" s="38" t="str">
        <f t="shared" si="22"/>
        <v/>
      </c>
      <c r="AA153" s="38" t="str">
        <f>IF(AND(A153="Модуль",C153&lt;&gt;"",OR($S$6="(все)",B153=$S$6)),MAX($AA$3:AA152)+1,"")</f>
        <v/>
      </c>
      <c r="AB153" s="38" t="str">
        <f t="shared" si="23"/>
        <v/>
      </c>
      <c r="AC153" s="38" t="str">
        <f>IF(OR(B153="",COUNTIF($B$4:B153,B153)&gt;1),"",MAX($AC$3:AC152)+1)</f>
        <v/>
      </c>
      <c r="AD153" s="38" t="str">
        <f t="shared" si="24"/>
        <v/>
      </c>
      <c r="AE153" s="38" t="str">
        <f t="shared" si="25"/>
        <v/>
      </c>
      <c r="AF153" s="38" t="str">
        <f t="shared" si="26"/>
        <v/>
      </c>
    </row>
    <row r="154" spans="1:32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38" t="str">
        <f>IF(OR(A154="Автомат",A154="Дифавтомат"),IF(W154="","",COUNTIFS(Однолинейка!$H$3:$H$3000,U154,Однолинейка!$A$3:$A$3000,Щит_спец)),IF(A154="Аппарат",IF(C154="","",COUNTIFS(Однолинейка!$I$3:$I$3000,C154,Однолинейка!$A$3:$A$3000,Щит_спец)+COUNTIFS(Однолинейка!$J$3:$J$3000,C154,Однолинейка!$A$3:$A$3000,Щит_спец)+COUNTIFS(Однолинейка!$K$3:$K$3000,C154,Однолинейка!$A$3:$A$3000,Щит_спец)),IF(A154="Модуль",IF(C154="","",COUNTIFS(Однолинейка!$AW$3:$AW$3000,"?*",Однолинейка!$AI$3:$AI$3000,C154,Однолинейка!$A$3:$A$3000,Щит_спец)),IF(A154="Клемма",IF(C154="","",IF(C154=$S$7,SUMIFS(Однолинейка!$BW$3:$BW$3000,Однолинейка!$A$3:$A$3000,Щит_спец),IF(C154=$S$8,SUMIFS(Однолинейка!$BX$3:$BX$3000,Однолинейка!$A$3:$A$3000,Щит_спец),""))),""))))</f>
        <v/>
      </c>
      <c r="O154" s="74"/>
      <c r="P154" s="38" t="str">
        <f t="shared" si="18"/>
        <v/>
      </c>
      <c r="U154" s="38" t="str">
        <f t="shared" si="19"/>
        <v/>
      </c>
      <c r="V154" s="38" t="str">
        <f t="shared" si="20"/>
        <v/>
      </c>
      <c r="W154" s="38" t="str">
        <f>IF(AND(U154&lt;&gt;"",OR($S$4="(все)",B154=$S$4),IF($S$4="(все)",COUNTIF($U$4:U154,U154),COUNTIFS($U$4:U154,U154,$B$4:B154,B154))=1),MAX($W$3:W153)+1,"")</f>
        <v/>
      </c>
      <c r="X154" s="38" t="str">
        <f t="shared" si="21"/>
        <v/>
      </c>
      <c r="Y154" s="38" t="str">
        <f>IF(AND(A154="Аппарат",C154&lt;&gt;"",OR($S$5="(все)",B154=$S$5)),MAX($Y$3:Y153)+1,"")</f>
        <v/>
      </c>
      <c r="Z154" s="38" t="str">
        <f t="shared" si="22"/>
        <v/>
      </c>
      <c r="AA154" s="38" t="str">
        <f>IF(AND(A154="Модуль",C154&lt;&gt;"",OR($S$6="(все)",B154=$S$6)),MAX($AA$3:AA153)+1,"")</f>
        <v/>
      </c>
      <c r="AB154" s="38" t="str">
        <f t="shared" si="23"/>
        <v/>
      </c>
      <c r="AC154" s="38" t="str">
        <f>IF(OR(B154="",COUNTIF($B$4:B154,B154)&gt;1),"",MAX($AC$3:AC153)+1)</f>
        <v/>
      </c>
      <c r="AD154" s="38" t="str">
        <f t="shared" si="24"/>
        <v/>
      </c>
      <c r="AE154" s="38" t="str">
        <f t="shared" si="25"/>
        <v/>
      </c>
      <c r="AF154" s="38" t="str">
        <f t="shared" si="26"/>
        <v/>
      </c>
    </row>
    <row r="155" spans="1:32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38" t="str">
        <f>IF(OR(A155="Автомат",A155="Дифавтомат"),IF(W155="","",COUNTIFS(Однолинейка!$H$3:$H$3000,U155,Однолинейка!$A$3:$A$3000,Щит_спец)),IF(A155="Аппарат",IF(C155="","",COUNTIFS(Однолинейка!$I$3:$I$3000,C155,Однолинейка!$A$3:$A$3000,Щит_спец)+COUNTIFS(Однолинейка!$J$3:$J$3000,C155,Однолинейка!$A$3:$A$3000,Щит_спец)+COUNTIFS(Однолинейка!$K$3:$K$3000,C155,Однолинейка!$A$3:$A$3000,Щит_спец)),IF(A155="Модуль",IF(C155="","",COUNTIFS(Однолинейка!$AW$3:$AW$3000,"?*",Однолинейка!$AI$3:$AI$3000,C155,Однолинейка!$A$3:$A$3000,Щит_спец)),IF(A155="Клемма",IF(C155="","",IF(C155=$S$7,SUMIFS(Однолинейка!$BW$3:$BW$3000,Однолинейка!$A$3:$A$3000,Щит_спец),IF(C155=$S$8,SUMIFS(Однолинейка!$BX$3:$BX$3000,Однолинейка!$A$3:$A$3000,Щит_спец),""))),""))))</f>
        <v/>
      </c>
      <c r="O155" s="74"/>
      <c r="P155" s="38" t="str">
        <f t="shared" si="18"/>
        <v/>
      </c>
      <c r="U155" s="38" t="str">
        <f t="shared" si="19"/>
        <v/>
      </c>
      <c r="V155" s="38" t="str">
        <f t="shared" si="20"/>
        <v/>
      </c>
      <c r="W155" s="38" t="str">
        <f>IF(AND(U155&lt;&gt;"",OR($S$4="(все)",B155=$S$4),IF($S$4="(все)",COUNTIF($U$4:U155,U155),COUNTIFS($U$4:U155,U155,$B$4:B155,B155))=1),MAX($W$3:W154)+1,"")</f>
        <v/>
      </c>
      <c r="X155" s="38" t="str">
        <f t="shared" si="21"/>
        <v/>
      </c>
      <c r="Y155" s="38" t="str">
        <f>IF(AND(A155="Аппарат",C155&lt;&gt;"",OR($S$5="(все)",B155=$S$5)),MAX($Y$3:Y154)+1,"")</f>
        <v/>
      </c>
      <c r="Z155" s="38" t="str">
        <f t="shared" si="22"/>
        <v/>
      </c>
      <c r="AA155" s="38" t="str">
        <f>IF(AND(A155="Модуль",C155&lt;&gt;"",OR($S$6="(все)",B155=$S$6)),MAX($AA$3:AA154)+1,"")</f>
        <v/>
      </c>
      <c r="AB155" s="38" t="str">
        <f t="shared" si="23"/>
        <v/>
      </c>
      <c r="AC155" s="38" t="str">
        <f>IF(OR(B155="",COUNTIF($B$4:B155,B155)&gt;1),"",MAX($AC$3:AC154)+1)</f>
        <v/>
      </c>
      <c r="AD155" s="38" t="str">
        <f t="shared" si="24"/>
        <v/>
      </c>
      <c r="AE155" s="38" t="str">
        <f t="shared" si="25"/>
        <v/>
      </c>
      <c r="AF155" s="38" t="str">
        <f t="shared" si="26"/>
        <v/>
      </c>
    </row>
    <row r="156" spans="1:32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38" t="str">
        <f>IF(OR(A156="Автомат",A156="Дифавтомат"),IF(W156="","",COUNTIFS(Однолинейка!$H$3:$H$3000,U156,Однолинейка!$A$3:$A$3000,Щит_спец)),IF(A156="Аппарат",IF(C156="","",COUNTIFS(Однолинейка!$I$3:$I$3000,C156,Однолинейка!$A$3:$A$3000,Щит_спец)+COUNTIFS(Однолинейка!$J$3:$J$3000,C156,Однолинейка!$A$3:$A$3000,Щит_спец)+COUNTIFS(Однолинейка!$K$3:$K$3000,C156,Однолинейка!$A$3:$A$3000,Щит_спец)),IF(A156="Модуль",IF(C156="","",COUNTIFS(Однолинейка!$AW$3:$AW$3000,"?*",Однолинейка!$AI$3:$AI$3000,C156,Однолинейка!$A$3:$A$3000,Щит_спец)),IF(A156="Клемма",IF(C156="","",IF(C156=$S$7,SUMIFS(Однолинейка!$BW$3:$BW$3000,Однолинейка!$A$3:$A$3000,Щит_спец),IF(C156=$S$8,SUMIFS(Однолинейка!$BX$3:$BX$3000,Однолинейка!$A$3:$A$3000,Щит_спец),""))),""))))</f>
        <v/>
      </c>
      <c r="O156" s="74"/>
      <c r="P156" s="38" t="str">
        <f t="shared" si="18"/>
        <v/>
      </c>
      <c r="U156" s="38" t="str">
        <f t="shared" si="19"/>
        <v/>
      </c>
      <c r="V156" s="38" t="str">
        <f t="shared" si="20"/>
        <v/>
      </c>
      <c r="W156" s="38" t="str">
        <f>IF(AND(U156&lt;&gt;"",OR($S$4="(все)",B156=$S$4),IF($S$4="(все)",COUNTIF($U$4:U156,U156),COUNTIFS($U$4:U156,U156,$B$4:B156,B156))=1),MAX($W$3:W155)+1,"")</f>
        <v/>
      </c>
      <c r="X156" s="38" t="str">
        <f t="shared" si="21"/>
        <v/>
      </c>
      <c r="Y156" s="38" t="str">
        <f>IF(AND(A156="Аппарат",C156&lt;&gt;"",OR($S$5="(все)",B156=$S$5)),MAX($Y$3:Y155)+1,"")</f>
        <v/>
      </c>
      <c r="Z156" s="38" t="str">
        <f t="shared" si="22"/>
        <v/>
      </c>
      <c r="AA156" s="38" t="str">
        <f>IF(AND(A156="Модуль",C156&lt;&gt;"",OR($S$6="(все)",B156=$S$6)),MAX($AA$3:AA155)+1,"")</f>
        <v/>
      </c>
      <c r="AB156" s="38" t="str">
        <f t="shared" si="23"/>
        <v/>
      </c>
      <c r="AC156" s="38" t="str">
        <f>IF(OR(B156="",COUNTIF($B$4:B156,B156)&gt;1),"",MAX($AC$3:AC155)+1)</f>
        <v/>
      </c>
      <c r="AD156" s="38" t="str">
        <f t="shared" si="24"/>
        <v/>
      </c>
      <c r="AE156" s="38" t="str">
        <f t="shared" si="25"/>
        <v/>
      </c>
      <c r="AF156" s="38" t="str">
        <f t="shared" si="26"/>
        <v/>
      </c>
    </row>
    <row r="157" spans="1:32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38" t="str">
        <f>IF(OR(A157="Автомат",A157="Дифавтомат"),IF(W157="","",COUNTIFS(Однолинейка!$H$3:$H$3000,U157,Однолинейка!$A$3:$A$3000,Щит_спец)),IF(A157="Аппарат",IF(C157="","",COUNTIFS(Однолинейка!$I$3:$I$3000,C157,Однолинейка!$A$3:$A$3000,Щит_спец)+COUNTIFS(Однолинейка!$J$3:$J$3000,C157,Однолинейка!$A$3:$A$3000,Щит_спец)+COUNTIFS(Однолинейка!$K$3:$K$3000,C157,Однолинейка!$A$3:$A$3000,Щит_спец)),IF(A157="Модуль",IF(C157="","",COUNTIFS(Однолинейка!$AW$3:$AW$3000,"?*",Однолинейка!$AI$3:$AI$3000,C157,Однолинейка!$A$3:$A$3000,Щит_спец)),IF(A157="Клемма",IF(C157="","",IF(C157=$S$7,SUMIFS(Однолинейка!$BW$3:$BW$3000,Однолинейка!$A$3:$A$3000,Щит_спец),IF(C157=$S$8,SUMIFS(Однолинейка!$BX$3:$BX$3000,Однолинейка!$A$3:$A$3000,Щит_спец),""))),""))))</f>
        <v/>
      </c>
      <c r="O157" s="74"/>
      <c r="P157" s="38" t="str">
        <f t="shared" si="18"/>
        <v/>
      </c>
      <c r="U157" s="38" t="str">
        <f t="shared" si="19"/>
        <v/>
      </c>
      <c r="V157" s="38" t="str">
        <f t="shared" si="20"/>
        <v/>
      </c>
      <c r="W157" s="38" t="str">
        <f>IF(AND(U157&lt;&gt;"",OR($S$4="(все)",B157=$S$4),IF($S$4="(все)",COUNTIF($U$4:U157,U157),COUNTIFS($U$4:U157,U157,$B$4:B157,B157))=1),MAX($W$3:W156)+1,"")</f>
        <v/>
      </c>
      <c r="X157" s="38" t="str">
        <f t="shared" si="21"/>
        <v/>
      </c>
      <c r="Y157" s="38" t="str">
        <f>IF(AND(A157="Аппарат",C157&lt;&gt;"",OR($S$5="(все)",B157=$S$5)),MAX($Y$3:Y156)+1,"")</f>
        <v/>
      </c>
      <c r="Z157" s="38" t="str">
        <f t="shared" si="22"/>
        <v/>
      </c>
      <c r="AA157" s="38" t="str">
        <f>IF(AND(A157="Модуль",C157&lt;&gt;"",OR($S$6="(все)",B157=$S$6)),MAX($AA$3:AA156)+1,"")</f>
        <v/>
      </c>
      <c r="AB157" s="38" t="str">
        <f t="shared" si="23"/>
        <v/>
      </c>
      <c r="AC157" s="38" t="str">
        <f>IF(OR(B157="",COUNTIF($B$4:B157,B157)&gt;1),"",MAX($AC$3:AC156)+1)</f>
        <v/>
      </c>
      <c r="AD157" s="38" t="str">
        <f t="shared" si="24"/>
        <v/>
      </c>
      <c r="AE157" s="38" t="str">
        <f t="shared" si="25"/>
        <v/>
      </c>
      <c r="AF157" s="38" t="str">
        <f t="shared" si="26"/>
        <v/>
      </c>
    </row>
    <row r="158" spans="1:32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38" t="str">
        <f>IF(OR(A158="Автомат",A158="Дифавтомат"),IF(W158="","",COUNTIFS(Однолинейка!$H$3:$H$3000,U158,Однолинейка!$A$3:$A$3000,Щит_спец)),IF(A158="Аппарат",IF(C158="","",COUNTIFS(Однолинейка!$I$3:$I$3000,C158,Однолинейка!$A$3:$A$3000,Щит_спец)+COUNTIFS(Однолинейка!$J$3:$J$3000,C158,Однолинейка!$A$3:$A$3000,Щит_спец)+COUNTIFS(Однолинейка!$K$3:$K$3000,C158,Однолинейка!$A$3:$A$3000,Щит_спец)),IF(A158="Модуль",IF(C158="","",COUNTIFS(Однолинейка!$AW$3:$AW$3000,"?*",Однолинейка!$AI$3:$AI$3000,C158,Однолинейка!$A$3:$A$3000,Щит_спец)),IF(A158="Клемма",IF(C158="","",IF(C158=$S$7,SUMIFS(Однолинейка!$BW$3:$BW$3000,Однолинейка!$A$3:$A$3000,Щит_спец),IF(C158=$S$8,SUMIFS(Однолинейка!$BX$3:$BX$3000,Однолинейка!$A$3:$A$3000,Щит_спец),""))),""))))</f>
        <v/>
      </c>
      <c r="O158" s="74"/>
      <c r="P158" s="38" t="str">
        <f t="shared" si="18"/>
        <v/>
      </c>
      <c r="U158" s="38" t="str">
        <f t="shared" si="19"/>
        <v/>
      </c>
      <c r="V158" s="38" t="str">
        <f t="shared" si="20"/>
        <v/>
      </c>
      <c r="W158" s="38" t="str">
        <f>IF(AND(U158&lt;&gt;"",OR($S$4="(все)",B158=$S$4),IF($S$4="(все)",COUNTIF($U$4:U158,U158),COUNTIFS($U$4:U158,U158,$B$4:B158,B158))=1),MAX($W$3:W157)+1,"")</f>
        <v/>
      </c>
      <c r="X158" s="38" t="str">
        <f t="shared" si="21"/>
        <v/>
      </c>
      <c r="Y158" s="38" t="str">
        <f>IF(AND(A158="Аппарат",C158&lt;&gt;"",OR($S$5="(все)",B158=$S$5)),MAX($Y$3:Y157)+1,"")</f>
        <v/>
      </c>
      <c r="Z158" s="38" t="str">
        <f t="shared" si="22"/>
        <v/>
      </c>
      <c r="AA158" s="38" t="str">
        <f>IF(AND(A158="Модуль",C158&lt;&gt;"",OR($S$6="(все)",B158=$S$6)),MAX($AA$3:AA157)+1,"")</f>
        <v/>
      </c>
      <c r="AB158" s="38" t="str">
        <f t="shared" si="23"/>
        <v/>
      </c>
      <c r="AC158" s="38" t="str">
        <f>IF(OR(B158="",COUNTIF($B$4:B158,B158)&gt;1),"",MAX($AC$3:AC157)+1)</f>
        <v/>
      </c>
      <c r="AD158" s="38" t="str">
        <f t="shared" si="24"/>
        <v/>
      </c>
      <c r="AE158" s="38" t="str">
        <f t="shared" si="25"/>
        <v/>
      </c>
      <c r="AF158" s="38" t="str">
        <f t="shared" si="26"/>
        <v/>
      </c>
    </row>
    <row r="159" spans="1:32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38" t="str">
        <f>IF(OR(A159="Автомат",A159="Дифавтомат"),IF(W159="","",COUNTIFS(Однолинейка!$H$3:$H$3000,U159,Однолинейка!$A$3:$A$3000,Щит_спец)),IF(A159="Аппарат",IF(C159="","",COUNTIFS(Однолинейка!$I$3:$I$3000,C159,Однолинейка!$A$3:$A$3000,Щит_спец)+COUNTIFS(Однолинейка!$J$3:$J$3000,C159,Однолинейка!$A$3:$A$3000,Щит_спец)+COUNTIFS(Однолинейка!$K$3:$K$3000,C159,Однолинейка!$A$3:$A$3000,Щит_спец)),IF(A159="Модуль",IF(C159="","",COUNTIFS(Однолинейка!$AW$3:$AW$3000,"?*",Однолинейка!$AI$3:$AI$3000,C159,Однолинейка!$A$3:$A$3000,Щит_спец)),IF(A159="Клемма",IF(C159="","",IF(C159=$S$7,SUMIFS(Однолинейка!$BW$3:$BW$3000,Однолинейка!$A$3:$A$3000,Щит_спец),IF(C159=$S$8,SUMIFS(Однолинейка!$BX$3:$BX$3000,Однолинейка!$A$3:$A$3000,Щит_спец),""))),""))))</f>
        <v/>
      </c>
      <c r="O159" s="74"/>
      <c r="P159" s="38" t="str">
        <f t="shared" si="18"/>
        <v/>
      </c>
      <c r="U159" s="38" t="str">
        <f t="shared" si="19"/>
        <v/>
      </c>
      <c r="V159" s="38" t="str">
        <f t="shared" si="20"/>
        <v/>
      </c>
      <c r="W159" s="38" t="str">
        <f>IF(AND(U159&lt;&gt;"",OR($S$4="(все)",B159=$S$4),IF($S$4="(все)",COUNTIF($U$4:U159,U159),COUNTIFS($U$4:U159,U159,$B$4:B159,B159))=1),MAX($W$3:W158)+1,"")</f>
        <v/>
      </c>
      <c r="X159" s="38" t="str">
        <f t="shared" si="21"/>
        <v/>
      </c>
      <c r="Y159" s="38" t="str">
        <f>IF(AND(A159="Аппарат",C159&lt;&gt;"",OR($S$5="(все)",B159=$S$5)),MAX($Y$3:Y158)+1,"")</f>
        <v/>
      </c>
      <c r="Z159" s="38" t="str">
        <f t="shared" si="22"/>
        <v/>
      </c>
      <c r="AA159" s="38" t="str">
        <f>IF(AND(A159="Модуль",C159&lt;&gt;"",OR($S$6="(все)",B159=$S$6)),MAX($AA$3:AA158)+1,"")</f>
        <v/>
      </c>
      <c r="AB159" s="38" t="str">
        <f t="shared" si="23"/>
        <v/>
      </c>
      <c r="AC159" s="38" t="str">
        <f>IF(OR(B159="",COUNTIF($B$4:B159,B159)&gt;1),"",MAX($AC$3:AC158)+1)</f>
        <v/>
      </c>
      <c r="AD159" s="38" t="str">
        <f t="shared" si="24"/>
        <v/>
      </c>
      <c r="AE159" s="38" t="str">
        <f t="shared" si="25"/>
        <v/>
      </c>
      <c r="AF159" s="38" t="str">
        <f t="shared" si="26"/>
        <v/>
      </c>
    </row>
    <row r="160" spans="1:32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38" t="str">
        <f>IF(OR(A160="Автомат",A160="Дифавтомат"),IF(W160="","",COUNTIFS(Однолинейка!$H$3:$H$3000,U160,Однолинейка!$A$3:$A$3000,Щит_спец)),IF(A160="Аппарат",IF(C160="","",COUNTIFS(Однолинейка!$I$3:$I$3000,C160,Однолинейка!$A$3:$A$3000,Щит_спец)+COUNTIFS(Однолинейка!$J$3:$J$3000,C160,Однолинейка!$A$3:$A$3000,Щит_спец)+COUNTIFS(Однолинейка!$K$3:$K$3000,C160,Однолинейка!$A$3:$A$3000,Щит_спец)),IF(A160="Модуль",IF(C160="","",COUNTIFS(Однолинейка!$AW$3:$AW$3000,"?*",Однолинейка!$AI$3:$AI$3000,C160,Однолинейка!$A$3:$A$3000,Щит_спец)),IF(A160="Клемма",IF(C160="","",IF(C160=$S$7,SUMIFS(Однолинейка!$BW$3:$BW$3000,Однолинейка!$A$3:$A$3000,Щит_спец),IF(C160=$S$8,SUMIFS(Однолинейка!$BX$3:$BX$3000,Однолинейка!$A$3:$A$3000,Щит_спец),""))),""))))</f>
        <v/>
      </c>
      <c r="O160" s="74"/>
      <c r="P160" s="38" t="str">
        <f t="shared" si="18"/>
        <v/>
      </c>
      <c r="U160" s="38" t="str">
        <f t="shared" si="19"/>
        <v/>
      </c>
      <c r="V160" s="38" t="str">
        <f t="shared" si="20"/>
        <v/>
      </c>
      <c r="W160" s="38" t="str">
        <f>IF(AND(U160&lt;&gt;"",OR($S$4="(все)",B160=$S$4),IF($S$4="(все)",COUNTIF($U$4:U160,U160),COUNTIFS($U$4:U160,U160,$B$4:B160,B160))=1),MAX($W$3:W159)+1,"")</f>
        <v/>
      </c>
      <c r="X160" s="38" t="str">
        <f t="shared" si="21"/>
        <v/>
      </c>
      <c r="Y160" s="38" t="str">
        <f>IF(AND(A160="Аппарат",C160&lt;&gt;"",OR($S$5="(все)",B160=$S$5)),MAX($Y$3:Y159)+1,"")</f>
        <v/>
      </c>
      <c r="Z160" s="38" t="str">
        <f t="shared" si="22"/>
        <v/>
      </c>
      <c r="AA160" s="38" t="str">
        <f>IF(AND(A160="Модуль",C160&lt;&gt;"",OR($S$6="(все)",B160=$S$6)),MAX($AA$3:AA159)+1,"")</f>
        <v/>
      </c>
      <c r="AB160" s="38" t="str">
        <f t="shared" si="23"/>
        <v/>
      </c>
      <c r="AC160" s="38" t="str">
        <f>IF(OR(B160="",COUNTIF($B$4:B160,B160)&gt;1),"",MAX($AC$3:AC159)+1)</f>
        <v/>
      </c>
      <c r="AD160" s="38" t="str">
        <f t="shared" si="24"/>
        <v/>
      </c>
      <c r="AE160" s="38" t="str">
        <f t="shared" si="25"/>
        <v/>
      </c>
      <c r="AF160" s="38" t="str">
        <f t="shared" si="26"/>
        <v/>
      </c>
    </row>
    <row r="161" spans="1:32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38" t="str">
        <f>IF(OR(A161="Автомат",A161="Дифавтомат"),IF(W161="","",COUNTIFS(Однолинейка!$H$3:$H$3000,U161,Однолинейка!$A$3:$A$3000,Щит_спец)),IF(A161="Аппарат",IF(C161="","",COUNTIFS(Однолинейка!$I$3:$I$3000,C161,Однолинейка!$A$3:$A$3000,Щит_спец)+COUNTIFS(Однолинейка!$J$3:$J$3000,C161,Однолинейка!$A$3:$A$3000,Щит_спец)+COUNTIFS(Однолинейка!$K$3:$K$3000,C161,Однолинейка!$A$3:$A$3000,Щит_спец)),IF(A161="Модуль",IF(C161="","",COUNTIFS(Однолинейка!$AW$3:$AW$3000,"?*",Однолинейка!$AI$3:$AI$3000,C161,Однолинейка!$A$3:$A$3000,Щит_спец)),IF(A161="Клемма",IF(C161="","",IF(C161=$S$7,SUMIFS(Однолинейка!$BW$3:$BW$3000,Однолинейка!$A$3:$A$3000,Щит_спец),IF(C161=$S$8,SUMIFS(Однолинейка!$BX$3:$BX$3000,Однолинейка!$A$3:$A$3000,Щит_спец),""))),""))))</f>
        <v/>
      </c>
      <c r="O161" s="74"/>
      <c r="P161" s="38" t="str">
        <f t="shared" si="18"/>
        <v/>
      </c>
      <c r="U161" s="38" t="str">
        <f t="shared" si="19"/>
        <v/>
      </c>
      <c r="V161" s="38" t="str">
        <f t="shared" si="20"/>
        <v/>
      </c>
      <c r="W161" s="38" t="str">
        <f>IF(AND(U161&lt;&gt;"",OR($S$4="(все)",B161=$S$4),IF($S$4="(все)",COUNTIF($U$4:U161,U161),COUNTIFS($U$4:U161,U161,$B$4:B161,B161))=1),MAX($W$3:W160)+1,"")</f>
        <v/>
      </c>
      <c r="X161" s="38" t="str">
        <f t="shared" si="21"/>
        <v/>
      </c>
      <c r="Y161" s="38" t="str">
        <f>IF(AND(A161="Аппарат",C161&lt;&gt;"",OR($S$5="(все)",B161=$S$5)),MAX($Y$3:Y160)+1,"")</f>
        <v/>
      </c>
      <c r="Z161" s="38" t="str">
        <f t="shared" si="22"/>
        <v/>
      </c>
      <c r="AA161" s="38" t="str">
        <f>IF(AND(A161="Модуль",C161&lt;&gt;"",OR($S$6="(все)",B161=$S$6)),MAX($AA$3:AA160)+1,"")</f>
        <v/>
      </c>
      <c r="AB161" s="38" t="str">
        <f t="shared" si="23"/>
        <v/>
      </c>
      <c r="AC161" s="38" t="str">
        <f>IF(OR(B161="",COUNTIF($B$4:B161,B161)&gt;1),"",MAX($AC$3:AC160)+1)</f>
        <v/>
      </c>
      <c r="AD161" s="38" t="str">
        <f t="shared" si="24"/>
        <v/>
      </c>
      <c r="AE161" s="38" t="str">
        <f t="shared" si="25"/>
        <v/>
      </c>
      <c r="AF161" s="38" t="str">
        <f t="shared" si="26"/>
        <v/>
      </c>
    </row>
    <row r="162" spans="1:32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38" t="str">
        <f>IF(OR(A162="Автомат",A162="Дифавтомат"),IF(W162="","",COUNTIFS(Однолинейка!$H$3:$H$3000,U162,Однолинейка!$A$3:$A$3000,Щит_спец)),IF(A162="Аппарат",IF(C162="","",COUNTIFS(Однолинейка!$I$3:$I$3000,C162,Однолинейка!$A$3:$A$3000,Щит_спец)+COUNTIFS(Однолинейка!$J$3:$J$3000,C162,Однолинейка!$A$3:$A$3000,Щит_спец)+COUNTIFS(Однолинейка!$K$3:$K$3000,C162,Однолинейка!$A$3:$A$3000,Щит_спец)),IF(A162="Модуль",IF(C162="","",COUNTIFS(Однолинейка!$AW$3:$AW$3000,"?*",Однолинейка!$AI$3:$AI$3000,C162,Однолинейка!$A$3:$A$3000,Щит_спец)),IF(A162="Клемма",IF(C162="","",IF(C162=$S$7,SUMIFS(Однолинейка!$BW$3:$BW$3000,Однолинейка!$A$3:$A$3000,Щит_спец),IF(C162=$S$8,SUMIFS(Однолинейка!$BX$3:$BX$3000,Однолинейка!$A$3:$A$3000,Щит_спец),""))),""))))</f>
        <v/>
      </c>
      <c r="O162" s="74"/>
      <c r="P162" s="38" t="str">
        <f t="shared" si="18"/>
        <v/>
      </c>
      <c r="U162" s="38" t="str">
        <f t="shared" si="19"/>
        <v/>
      </c>
      <c r="V162" s="38" t="str">
        <f t="shared" si="20"/>
        <v/>
      </c>
      <c r="W162" s="38" t="str">
        <f>IF(AND(U162&lt;&gt;"",OR($S$4="(все)",B162=$S$4),IF($S$4="(все)",COUNTIF($U$4:U162,U162),COUNTIFS($U$4:U162,U162,$B$4:B162,B162))=1),MAX($W$3:W161)+1,"")</f>
        <v/>
      </c>
      <c r="X162" s="38" t="str">
        <f t="shared" si="21"/>
        <v/>
      </c>
      <c r="Y162" s="38" t="str">
        <f>IF(AND(A162="Аппарат",C162&lt;&gt;"",OR($S$5="(все)",B162=$S$5)),MAX($Y$3:Y161)+1,"")</f>
        <v/>
      </c>
      <c r="Z162" s="38" t="str">
        <f t="shared" si="22"/>
        <v/>
      </c>
      <c r="AA162" s="38" t="str">
        <f>IF(AND(A162="Модуль",C162&lt;&gt;"",OR($S$6="(все)",B162=$S$6)),MAX($AA$3:AA161)+1,"")</f>
        <v/>
      </c>
      <c r="AB162" s="38" t="str">
        <f t="shared" si="23"/>
        <v/>
      </c>
      <c r="AC162" s="38" t="str">
        <f>IF(OR(B162="",COUNTIF($B$4:B162,B162)&gt;1),"",MAX($AC$3:AC161)+1)</f>
        <v/>
      </c>
      <c r="AD162" s="38" t="str">
        <f t="shared" si="24"/>
        <v/>
      </c>
      <c r="AE162" s="38" t="str">
        <f t="shared" si="25"/>
        <v/>
      </c>
      <c r="AF162" s="38" t="str">
        <f t="shared" si="26"/>
        <v/>
      </c>
    </row>
    <row r="163" spans="1:32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38" t="str">
        <f>IF(OR(A163="Автомат",A163="Дифавтомат"),IF(W163="","",COUNTIFS(Однолинейка!$H$3:$H$3000,U163,Однолинейка!$A$3:$A$3000,Щит_спец)),IF(A163="Аппарат",IF(C163="","",COUNTIFS(Однолинейка!$I$3:$I$3000,C163,Однолинейка!$A$3:$A$3000,Щит_спец)+COUNTIFS(Однолинейка!$J$3:$J$3000,C163,Однолинейка!$A$3:$A$3000,Щит_спец)+COUNTIFS(Однолинейка!$K$3:$K$3000,C163,Однолинейка!$A$3:$A$3000,Щит_спец)),IF(A163="Модуль",IF(C163="","",COUNTIFS(Однолинейка!$AW$3:$AW$3000,"?*",Однолинейка!$AI$3:$AI$3000,C163,Однолинейка!$A$3:$A$3000,Щит_спец)),IF(A163="Клемма",IF(C163="","",IF(C163=$S$7,SUMIFS(Однолинейка!$BW$3:$BW$3000,Однолинейка!$A$3:$A$3000,Щит_спец),IF(C163=$S$8,SUMIFS(Однолинейка!$BX$3:$BX$3000,Однолинейка!$A$3:$A$3000,Щит_спец),""))),""))))</f>
        <v/>
      </c>
      <c r="O163" s="74"/>
      <c r="P163" s="38" t="str">
        <f t="shared" si="18"/>
        <v/>
      </c>
      <c r="U163" s="38" t="str">
        <f t="shared" si="19"/>
        <v/>
      </c>
      <c r="V163" s="38" t="str">
        <f t="shared" si="20"/>
        <v/>
      </c>
      <c r="W163" s="38" t="str">
        <f>IF(AND(U163&lt;&gt;"",OR($S$4="(все)",B163=$S$4),IF($S$4="(все)",COUNTIF($U$4:U163,U163),COUNTIFS($U$4:U163,U163,$B$4:B163,B163))=1),MAX($W$3:W162)+1,"")</f>
        <v/>
      </c>
      <c r="X163" s="38" t="str">
        <f t="shared" si="21"/>
        <v/>
      </c>
      <c r="Y163" s="38" t="str">
        <f>IF(AND(A163="Аппарат",C163&lt;&gt;"",OR($S$5="(все)",B163=$S$5)),MAX($Y$3:Y162)+1,"")</f>
        <v/>
      </c>
      <c r="Z163" s="38" t="str">
        <f t="shared" si="22"/>
        <v/>
      </c>
      <c r="AA163" s="38" t="str">
        <f>IF(AND(A163="Модуль",C163&lt;&gt;"",OR($S$6="(все)",B163=$S$6)),MAX($AA$3:AA162)+1,"")</f>
        <v/>
      </c>
      <c r="AB163" s="38" t="str">
        <f t="shared" si="23"/>
        <v/>
      </c>
      <c r="AC163" s="38" t="str">
        <f>IF(OR(B163="",COUNTIF($B$4:B163,B163)&gt;1),"",MAX($AC$3:AC162)+1)</f>
        <v/>
      </c>
      <c r="AD163" s="38" t="str">
        <f t="shared" si="24"/>
        <v/>
      </c>
      <c r="AE163" s="38" t="str">
        <f t="shared" si="25"/>
        <v/>
      </c>
      <c r="AF163" s="38" t="str">
        <f t="shared" si="26"/>
        <v/>
      </c>
    </row>
    <row r="164" spans="1:32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38" t="str">
        <f>IF(OR(A164="Автомат",A164="Дифавтомат"),IF(W164="","",COUNTIFS(Однолинейка!$H$3:$H$3000,U164,Однолинейка!$A$3:$A$3000,Щит_спец)),IF(A164="Аппарат",IF(C164="","",COUNTIFS(Однолинейка!$I$3:$I$3000,C164,Однолинейка!$A$3:$A$3000,Щит_спец)+COUNTIFS(Однолинейка!$J$3:$J$3000,C164,Однолинейка!$A$3:$A$3000,Щит_спец)+COUNTIFS(Однолинейка!$K$3:$K$3000,C164,Однолинейка!$A$3:$A$3000,Щит_спец)),IF(A164="Модуль",IF(C164="","",COUNTIFS(Однолинейка!$AW$3:$AW$3000,"?*",Однолинейка!$AI$3:$AI$3000,C164,Однолинейка!$A$3:$A$3000,Щит_спец)),IF(A164="Клемма",IF(C164="","",IF(C164=$S$7,SUMIFS(Однолинейка!$BW$3:$BW$3000,Однолинейка!$A$3:$A$3000,Щит_спец),IF(C164=$S$8,SUMIFS(Однолинейка!$BX$3:$BX$3000,Однолинейка!$A$3:$A$3000,Щит_спец),""))),""))))</f>
        <v/>
      </c>
      <c r="O164" s="74"/>
      <c r="P164" s="38" t="str">
        <f t="shared" si="18"/>
        <v/>
      </c>
      <c r="U164" s="38" t="str">
        <f t="shared" si="19"/>
        <v/>
      </c>
      <c r="V164" s="38" t="str">
        <f t="shared" si="20"/>
        <v/>
      </c>
      <c r="W164" s="38" t="str">
        <f>IF(AND(U164&lt;&gt;"",OR($S$4="(все)",B164=$S$4),IF($S$4="(все)",COUNTIF($U$4:U164,U164),COUNTIFS($U$4:U164,U164,$B$4:B164,B164))=1),MAX($W$3:W163)+1,"")</f>
        <v/>
      </c>
      <c r="X164" s="38" t="str">
        <f t="shared" si="21"/>
        <v/>
      </c>
      <c r="Y164" s="38" t="str">
        <f>IF(AND(A164="Аппарат",C164&lt;&gt;"",OR($S$5="(все)",B164=$S$5)),MAX($Y$3:Y163)+1,"")</f>
        <v/>
      </c>
      <c r="Z164" s="38" t="str">
        <f t="shared" si="22"/>
        <v/>
      </c>
      <c r="AA164" s="38" t="str">
        <f>IF(AND(A164="Модуль",C164&lt;&gt;"",OR($S$6="(все)",B164=$S$6)),MAX($AA$3:AA163)+1,"")</f>
        <v/>
      </c>
      <c r="AB164" s="38" t="str">
        <f t="shared" si="23"/>
        <v/>
      </c>
      <c r="AC164" s="38" t="str">
        <f>IF(OR(B164="",COUNTIF($B$4:B164,B164)&gt;1),"",MAX($AC$3:AC163)+1)</f>
        <v/>
      </c>
      <c r="AD164" s="38" t="str">
        <f t="shared" si="24"/>
        <v/>
      </c>
      <c r="AE164" s="38" t="str">
        <f t="shared" si="25"/>
        <v/>
      </c>
      <c r="AF164" s="38" t="str">
        <f t="shared" si="26"/>
        <v/>
      </c>
    </row>
    <row r="165" spans="1:32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38" t="str">
        <f>IF(OR(A165="Автомат",A165="Дифавтомат"),IF(W165="","",COUNTIFS(Однолинейка!$H$3:$H$3000,U165,Однолинейка!$A$3:$A$3000,Щит_спец)),IF(A165="Аппарат",IF(C165="","",COUNTIFS(Однолинейка!$I$3:$I$3000,C165,Однолинейка!$A$3:$A$3000,Щит_спец)+COUNTIFS(Однолинейка!$J$3:$J$3000,C165,Однолинейка!$A$3:$A$3000,Щит_спец)+COUNTIFS(Однолинейка!$K$3:$K$3000,C165,Однолинейка!$A$3:$A$3000,Щит_спец)),IF(A165="Модуль",IF(C165="","",COUNTIFS(Однолинейка!$AW$3:$AW$3000,"?*",Однолинейка!$AI$3:$AI$3000,C165,Однолинейка!$A$3:$A$3000,Щит_спец)),IF(A165="Клемма",IF(C165="","",IF(C165=$S$7,SUMIFS(Однолинейка!$BW$3:$BW$3000,Однолинейка!$A$3:$A$3000,Щит_спец),IF(C165=$S$8,SUMIFS(Однолинейка!$BX$3:$BX$3000,Однолинейка!$A$3:$A$3000,Щит_спец),""))),""))))</f>
        <v/>
      </c>
      <c r="O165" s="74"/>
      <c r="P165" s="38" t="str">
        <f t="shared" si="18"/>
        <v/>
      </c>
      <c r="U165" s="38" t="str">
        <f t="shared" si="19"/>
        <v/>
      </c>
      <c r="V165" s="38" t="str">
        <f t="shared" si="20"/>
        <v/>
      </c>
      <c r="W165" s="38" t="str">
        <f>IF(AND(U165&lt;&gt;"",OR($S$4="(все)",B165=$S$4),IF($S$4="(все)",COUNTIF($U$4:U165,U165),COUNTIFS($U$4:U165,U165,$B$4:B165,B165))=1),MAX($W$3:W164)+1,"")</f>
        <v/>
      </c>
      <c r="X165" s="38" t="str">
        <f t="shared" si="21"/>
        <v/>
      </c>
      <c r="Y165" s="38" t="str">
        <f>IF(AND(A165="Аппарат",C165&lt;&gt;"",OR($S$5="(все)",B165=$S$5)),MAX($Y$3:Y164)+1,"")</f>
        <v/>
      </c>
      <c r="Z165" s="38" t="str">
        <f t="shared" si="22"/>
        <v/>
      </c>
      <c r="AA165" s="38" t="str">
        <f>IF(AND(A165="Модуль",C165&lt;&gt;"",OR($S$6="(все)",B165=$S$6)),MAX($AA$3:AA164)+1,"")</f>
        <v/>
      </c>
      <c r="AB165" s="38" t="str">
        <f t="shared" si="23"/>
        <v/>
      </c>
      <c r="AC165" s="38" t="str">
        <f>IF(OR(B165="",COUNTIF($B$4:B165,B165)&gt;1),"",MAX($AC$3:AC164)+1)</f>
        <v/>
      </c>
      <c r="AD165" s="38" t="str">
        <f t="shared" si="24"/>
        <v/>
      </c>
      <c r="AE165" s="38" t="str">
        <f t="shared" si="25"/>
        <v/>
      </c>
      <c r="AF165" s="38" t="str">
        <f t="shared" si="26"/>
        <v/>
      </c>
    </row>
    <row r="166" spans="1:32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38" t="str">
        <f>IF(OR(A166="Автомат",A166="Дифавтомат"),IF(W166="","",COUNTIFS(Однолинейка!$H$3:$H$3000,U166,Однолинейка!$A$3:$A$3000,Щит_спец)),IF(A166="Аппарат",IF(C166="","",COUNTIFS(Однолинейка!$I$3:$I$3000,C166,Однолинейка!$A$3:$A$3000,Щит_спец)+COUNTIFS(Однолинейка!$J$3:$J$3000,C166,Однолинейка!$A$3:$A$3000,Щит_спец)+COUNTIFS(Однолинейка!$K$3:$K$3000,C166,Однолинейка!$A$3:$A$3000,Щит_спец)),IF(A166="Модуль",IF(C166="","",COUNTIFS(Однолинейка!$AW$3:$AW$3000,"?*",Однолинейка!$AI$3:$AI$3000,C166,Однолинейка!$A$3:$A$3000,Щит_спец)),IF(A166="Клемма",IF(C166="","",IF(C166=$S$7,SUMIFS(Однолинейка!$BW$3:$BW$3000,Однолинейка!$A$3:$A$3000,Щит_спец),IF(C166=$S$8,SUMIFS(Однолинейка!$BX$3:$BX$3000,Однолинейка!$A$3:$A$3000,Щит_спец),""))),""))))</f>
        <v/>
      </c>
      <c r="O166" s="74"/>
      <c r="P166" s="38" t="str">
        <f t="shared" si="18"/>
        <v/>
      </c>
      <c r="U166" s="38" t="str">
        <f t="shared" si="19"/>
        <v/>
      </c>
      <c r="V166" s="38" t="str">
        <f t="shared" si="20"/>
        <v/>
      </c>
      <c r="W166" s="38" t="str">
        <f>IF(AND(U166&lt;&gt;"",OR($S$4="(все)",B166=$S$4),IF($S$4="(все)",COUNTIF($U$4:U166,U166),COUNTIFS($U$4:U166,U166,$B$4:B166,B166))=1),MAX($W$3:W165)+1,"")</f>
        <v/>
      </c>
      <c r="X166" s="38" t="str">
        <f t="shared" si="21"/>
        <v/>
      </c>
      <c r="Y166" s="38" t="str">
        <f>IF(AND(A166="Аппарат",C166&lt;&gt;"",OR($S$5="(все)",B166=$S$5)),MAX($Y$3:Y165)+1,"")</f>
        <v/>
      </c>
      <c r="Z166" s="38" t="str">
        <f t="shared" si="22"/>
        <v/>
      </c>
      <c r="AA166" s="38" t="str">
        <f>IF(AND(A166="Модуль",C166&lt;&gt;"",OR($S$6="(все)",B166=$S$6)),MAX($AA$3:AA165)+1,"")</f>
        <v/>
      </c>
      <c r="AB166" s="38" t="str">
        <f t="shared" si="23"/>
        <v/>
      </c>
      <c r="AC166" s="38" t="str">
        <f>IF(OR(B166="",COUNTIF($B$4:B166,B166)&gt;1),"",MAX($AC$3:AC165)+1)</f>
        <v/>
      </c>
      <c r="AD166" s="38" t="str">
        <f t="shared" si="24"/>
        <v/>
      </c>
      <c r="AE166" s="38" t="str">
        <f t="shared" si="25"/>
        <v/>
      </c>
      <c r="AF166" s="38" t="str">
        <f t="shared" si="26"/>
        <v/>
      </c>
    </row>
    <row r="167" spans="1:32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38" t="str">
        <f>IF(OR(A167="Автомат",A167="Дифавтомат"),IF(W167="","",COUNTIFS(Однолинейка!$H$3:$H$3000,U167,Однолинейка!$A$3:$A$3000,Щит_спец)),IF(A167="Аппарат",IF(C167="","",COUNTIFS(Однолинейка!$I$3:$I$3000,C167,Однолинейка!$A$3:$A$3000,Щит_спец)+COUNTIFS(Однолинейка!$J$3:$J$3000,C167,Однолинейка!$A$3:$A$3000,Щит_спец)+COUNTIFS(Однолинейка!$K$3:$K$3000,C167,Однолинейка!$A$3:$A$3000,Щит_спец)),IF(A167="Модуль",IF(C167="","",COUNTIFS(Однолинейка!$AW$3:$AW$3000,"?*",Однолинейка!$AI$3:$AI$3000,C167,Однолинейка!$A$3:$A$3000,Щит_спец)),IF(A167="Клемма",IF(C167="","",IF(C167=$S$7,SUMIFS(Однолинейка!$BW$3:$BW$3000,Однолинейка!$A$3:$A$3000,Щит_спец),IF(C167=$S$8,SUMIFS(Однолинейка!$BX$3:$BX$3000,Однолинейка!$A$3:$A$3000,Щит_спец),""))),""))))</f>
        <v/>
      </c>
      <c r="O167" s="74"/>
      <c r="P167" s="38" t="str">
        <f t="shared" si="18"/>
        <v/>
      </c>
      <c r="U167" s="38" t="str">
        <f t="shared" si="19"/>
        <v/>
      </c>
      <c r="V167" s="38" t="str">
        <f t="shared" si="20"/>
        <v/>
      </c>
      <c r="W167" s="38" t="str">
        <f>IF(AND(U167&lt;&gt;"",OR($S$4="(все)",B167=$S$4),IF($S$4="(все)",COUNTIF($U$4:U167,U167),COUNTIFS($U$4:U167,U167,$B$4:B167,B167))=1),MAX($W$3:W166)+1,"")</f>
        <v/>
      </c>
      <c r="X167" s="38" t="str">
        <f t="shared" si="21"/>
        <v/>
      </c>
      <c r="Y167" s="38" t="str">
        <f>IF(AND(A167="Аппарат",C167&lt;&gt;"",OR($S$5="(все)",B167=$S$5)),MAX($Y$3:Y166)+1,"")</f>
        <v/>
      </c>
      <c r="Z167" s="38" t="str">
        <f t="shared" si="22"/>
        <v/>
      </c>
      <c r="AA167" s="38" t="str">
        <f>IF(AND(A167="Модуль",C167&lt;&gt;"",OR($S$6="(все)",B167=$S$6)),MAX($AA$3:AA166)+1,"")</f>
        <v/>
      </c>
      <c r="AB167" s="38" t="str">
        <f t="shared" si="23"/>
        <v/>
      </c>
      <c r="AC167" s="38" t="str">
        <f>IF(OR(B167="",COUNTIF($B$4:B167,B167)&gt;1),"",MAX($AC$3:AC166)+1)</f>
        <v/>
      </c>
      <c r="AD167" s="38" t="str">
        <f t="shared" si="24"/>
        <v/>
      </c>
      <c r="AE167" s="38" t="str">
        <f t="shared" si="25"/>
        <v/>
      </c>
      <c r="AF167" s="38" t="str">
        <f t="shared" si="26"/>
        <v/>
      </c>
    </row>
    <row r="168" spans="1:32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38" t="str">
        <f>IF(OR(A168="Автомат",A168="Дифавтомат"),IF(W168="","",COUNTIFS(Однолинейка!$H$3:$H$3000,U168,Однолинейка!$A$3:$A$3000,Щит_спец)),IF(A168="Аппарат",IF(C168="","",COUNTIFS(Однолинейка!$I$3:$I$3000,C168,Однолинейка!$A$3:$A$3000,Щит_спец)+COUNTIFS(Однолинейка!$J$3:$J$3000,C168,Однолинейка!$A$3:$A$3000,Щит_спец)+COUNTIFS(Однолинейка!$K$3:$K$3000,C168,Однолинейка!$A$3:$A$3000,Щит_спец)),IF(A168="Модуль",IF(C168="","",COUNTIFS(Однолинейка!$AW$3:$AW$3000,"?*",Однолинейка!$AI$3:$AI$3000,C168,Однолинейка!$A$3:$A$3000,Щит_спец)),IF(A168="Клемма",IF(C168="","",IF(C168=$S$7,SUMIFS(Однолинейка!$BW$3:$BW$3000,Однолинейка!$A$3:$A$3000,Щит_спец),IF(C168=$S$8,SUMIFS(Однолинейка!$BX$3:$BX$3000,Однолинейка!$A$3:$A$3000,Щит_спец),""))),""))))</f>
        <v/>
      </c>
      <c r="O168" s="74"/>
      <c r="P168" s="38" t="str">
        <f t="shared" si="18"/>
        <v/>
      </c>
      <c r="U168" s="38" t="str">
        <f t="shared" si="19"/>
        <v/>
      </c>
      <c r="V168" s="38" t="str">
        <f t="shared" si="20"/>
        <v/>
      </c>
      <c r="W168" s="38" t="str">
        <f>IF(AND(U168&lt;&gt;"",OR($S$4="(все)",B168=$S$4),IF($S$4="(все)",COUNTIF($U$4:U168,U168),COUNTIFS($U$4:U168,U168,$B$4:B168,B168))=1),MAX($W$3:W167)+1,"")</f>
        <v/>
      </c>
      <c r="X168" s="38" t="str">
        <f t="shared" si="21"/>
        <v/>
      </c>
      <c r="Y168" s="38" t="str">
        <f>IF(AND(A168="Аппарат",C168&lt;&gt;"",OR($S$5="(все)",B168=$S$5)),MAX($Y$3:Y167)+1,"")</f>
        <v/>
      </c>
      <c r="Z168" s="38" t="str">
        <f t="shared" si="22"/>
        <v/>
      </c>
      <c r="AA168" s="38" t="str">
        <f>IF(AND(A168="Модуль",C168&lt;&gt;"",OR($S$6="(все)",B168=$S$6)),MAX($AA$3:AA167)+1,"")</f>
        <v/>
      </c>
      <c r="AB168" s="38" t="str">
        <f t="shared" si="23"/>
        <v/>
      </c>
      <c r="AC168" s="38" t="str">
        <f>IF(OR(B168="",COUNTIF($B$4:B168,B168)&gt;1),"",MAX($AC$3:AC167)+1)</f>
        <v/>
      </c>
      <c r="AD168" s="38" t="str">
        <f t="shared" si="24"/>
        <v/>
      </c>
      <c r="AE168" s="38" t="str">
        <f t="shared" si="25"/>
        <v/>
      </c>
      <c r="AF168" s="38" t="str">
        <f t="shared" si="26"/>
        <v/>
      </c>
    </row>
    <row r="169" spans="1:32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38" t="str">
        <f>IF(OR(A169="Автомат",A169="Дифавтомат"),IF(W169="","",COUNTIFS(Однолинейка!$H$3:$H$3000,U169,Однолинейка!$A$3:$A$3000,Щит_спец)),IF(A169="Аппарат",IF(C169="","",COUNTIFS(Однолинейка!$I$3:$I$3000,C169,Однолинейка!$A$3:$A$3000,Щит_спец)+COUNTIFS(Однолинейка!$J$3:$J$3000,C169,Однолинейка!$A$3:$A$3000,Щит_спец)+COUNTIFS(Однолинейка!$K$3:$K$3000,C169,Однолинейка!$A$3:$A$3000,Щит_спец)),IF(A169="Модуль",IF(C169="","",COUNTIFS(Однолинейка!$AW$3:$AW$3000,"?*",Однолинейка!$AI$3:$AI$3000,C169,Однолинейка!$A$3:$A$3000,Щит_спец)),IF(A169="Клемма",IF(C169="","",IF(C169=$S$7,SUMIFS(Однолинейка!$BW$3:$BW$3000,Однолинейка!$A$3:$A$3000,Щит_спец),IF(C169=$S$8,SUMIFS(Однолинейка!$BX$3:$BX$3000,Однолинейка!$A$3:$A$3000,Щит_спец),""))),""))))</f>
        <v/>
      </c>
      <c r="O169" s="74"/>
      <c r="P169" s="38" t="str">
        <f t="shared" si="18"/>
        <v/>
      </c>
      <c r="U169" s="38" t="str">
        <f t="shared" si="19"/>
        <v/>
      </c>
      <c r="V169" s="38" t="str">
        <f t="shared" si="20"/>
        <v/>
      </c>
      <c r="W169" s="38" t="str">
        <f>IF(AND(U169&lt;&gt;"",OR($S$4="(все)",B169=$S$4),IF($S$4="(все)",COUNTIF($U$4:U169,U169),COUNTIFS($U$4:U169,U169,$B$4:B169,B169))=1),MAX($W$3:W168)+1,"")</f>
        <v/>
      </c>
      <c r="X169" s="38" t="str">
        <f t="shared" si="21"/>
        <v/>
      </c>
      <c r="Y169" s="38" t="str">
        <f>IF(AND(A169="Аппарат",C169&lt;&gt;"",OR($S$5="(все)",B169=$S$5)),MAX($Y$3:Y168)+1,"")</f>
        <v/>
      </c>
      <c r="Z169" s="38" t="str">
        <f t="shared" si="22"/>
        <v/>
      </c>
      <c r="AA169" s="38" t="str">
        <f>IF(AND(A169="Модуль",C169&lt;&gt;"",OR($S$6="(все)",B169=$S$6)),MAX($AA$3:AA168)+1,"")</f>
        <v/>
      </c>
      <c r="AB169" s="38" t="str">
        <f t="shared" si="23"/>
        <v/>
      </c>
      <c r="AC169" s="38" t="str">
        <f>IF(OR(B169="",COUNTIF($B$4:B169,B169)&gt;1),"",MAX($AC$3:AC168)+1)</f>
        <v/>
      </c>
      <c r="AD169" s="38" t="str">
        <f t="shared" si="24"/>
        <v/>
      </c>
      <c r="AE169" s="38" t="str">
        <f t="shared" si="25"/>
        <v/>
      </c>
      <c r="AF169" s="38" t="str">
        <f t="shared" si="26"/>
        <v/>
      </c>
    </row>
    <row r="170" spans="1:32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38" t="str">
        <f>IF(OR(A170="Автомат",A170="Дифавтомат"),IF(W170="","",COUNTIFS(Однолинейка!$H$3:$H$3000,U170,Однолинейка!$A$3:$A$3000,Щит_спец)),IF(A170="Аппарат",IF(C170="","",COUNTIFS(Однолинейка!$I$3:$I$3000,C170,Однолинейка!$A$3:$A$3000,Щит_спец)+COUNTIFS(Однолинейка!$J$3:$J$3000,C170,Однолинейка!$A$3:$A$3000,Щит_спец)+COUNTIFS(Однолинейка!$K$3:$K$3000,C170,Однолинейка!$A$3:$A$3000,Щит_спец)),IF(A170="Модуль",IF(C170="","",COUNTIFS(Однолинейка!$AW$3:$AW$3000,"?*",Однолинейка!$AI$3:$AI$3000,C170,Однолинейка!$A$3:$A$3000,Щит_спец)),IF(A170="Клемма",IF(C170="","",IF(C170=$S$7,SUMIFS(Однолинейка!$BW$3:$BW$3000,Однолинейка!$A$3:$A$3000,Щит_спец),IF(C170=$S$8,SUMIFS(Однолинейка!$BX$3:$BX$3000,Однолинейка!$A$3:$A$3000,Щит_спец),""))),""))))</f>
        <v/>
      </c>
      <c r="O170" s="74"/>
      <c r="P170" s="38" t="str">
        <f t="shared" si="18"/>
        <v/>
      </c>
      <c r="U170" s="38" t="str">
        <f t="shared" si="19"/>
        <v/>
      </c>
      <c r="V170" s="38" t="str">
        <f t="shared" si="20"/>
        <v/>
      </c>
      <c r="W170" s="38" t="str">
        <f>IF(AND(U170&lt;&gt;"",OR($S$4="(все)",B170=$S$4),IF($S$4="(все)",COUNTIF($U$4:U170,U170),COUNTIFS($U$4:U170,U170,$B$4:B170,B170))=1),MAX($W$3:W169)+1,"")</f>
        <v/>
      </c>
      <c r="X170" s="38" t="str">
        <f t="shared" si="21"/>
        <v/>
      </c>
      <c r="Y170" s="38" t="str">
        <f>IF(AND(A170="Аппарат",C170&lt;&gt;"",OR($S$5="(все)",B170=$S$5)),MAX($Y$3:Y169)+1,"")</f>
        <v/>
      </c>
      <c r="Z170" s="38" t="str">
        <f t="shared" si="22"/>
        <v/>
      </c>
      <c r="AA170" s="38" t="str">
        <f>IF(AND(A170="Модуль",C170&lt;&gt;"",OR($S$6="(все)",B170=$S$6)),MAX($AA$3:AA169)+1,"")</f>
        <v/>
      </c>
      <c r="AB170" s="38" t="str">
        <f t="shared" si="23"/>
        <v/>
      </c>
      <c r="AC170" s="38" t="str">
        <f>IF(OR(B170="",COUNTIF($B$4:B170,B170)&gt;1),"",MAX($AC$3:AC169)+1)</f>
        <v/>
      </c>
      <c r="AD170" s="38" t="str">
        <f t="shared" si="24"/>
        <v/>
      </c>
      <c r="AE170" s="38" t="str">
        <f t="shared" si="25"/>
        <v/>
      </c>
      <c r="AF170" s="38" t="str">
        <f t="shared" si="26"/>
        <v/>
      </c>
    </row>
    <row r="171" spans="1:32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38" t="str">
        <f>IF(OR(A171="Автомат",A171="Дифавтомат"),IF(W171="","",COUNTIFS(Однолинейка!$H$3:$H$3000,U171,Однолинейка!$A$3:$A$3000,Щит_спец)),IF(A171="Аппарат",IF(C171="","",COUNTIFS(Однолинейка!$I$3:$I$3000,C171,Однолинейка!$A$3:$A$3000,Щит_спец)+COUNTIFS(Однолинейка!$J$3:$J$3000,C171,Однолинейка!$A$3:$A$3000,Щит_спец)+COUNTIFS(Однолинейка!$K$3:$K$3000,C171,Однолинейка!$A$3:$A$3000,Щит_спец)),IF(A171="Модуль",IF(C171="","",COUNTIFS(Однолинейка!$AW$3:$AW$3000,"?*",Однолинейка!$AI$3:$AI$3000,C171,Однолинейка!$A$3:$A$3000,Щит_спец)),IF(A171="Клемма",IF(C171="","",IF(C171=$S$7,SUMIFS(Однолинейка!$BW$3:$BW$3000,Однолинейка!$A$3:$A$3000,Щит_спец),IF(C171=$S$8,SUMIFS(Однолинейка!$BX$3:$BX$3000,Однолинейка!$A$3:$A$3000,Щит_спец),""))),""))))</f>
        <v/>
      </c>
      <c r="O171" s="74"/>
      <c r="P171" s="38" t="str">
        <f t="shared" si="18"/>
        <v/>
      </c>
      <c r="U171" s="38" t="str">
        <f t="shared" si="19"/>
        <v/>
      </c>
      <c r="V171" s="38" t="str">
        <f t="shared" si="20"/>
        <v/>
      </c>
      <c r="W171" s="38" t="str">
        <f>IF(AND(U171&lt;&gt;"",OR($S$4="(все)",B171=$S$4),IF($S$4="(все)",COUNTIF($U$4:U171,U171),COUNTIFS($U$4:U171,U171,$B$4:B171,B171))=1),MAX($W$3:W170)+1,"")</f>
        <v/>
      </c>
      <c r="X171" s="38" t="str">
        <f t="shared" si="21"/>
        <v/>
      </c>
      <c r="Y171" s="38" t="str">
        <f>IF(AND(A171="Аппарат",C171&lt;&gt;"",OR($S$5="(все)",B171=$S$5)),MAX($Y$3:Y170)+1,"")</f>
        <v/>
      </c>
      <c r="Z171" s="38" t="str">
        <f t="shared" si="22"/>
        <v/>
      </c>
      <c r="AA171" s="38" t="str">
        <f>IF(AND(A171="Модуль",C171&lt;&gt;"",OR($S$6="(все)",B171=$S$6)),MAX($AA$3:AA170)+1,"")</f>
        <v/>
      </c>
      <c r="AB171" s="38" t="str">
        <f t="shared" si="23"/>
        <v/>
      </c>
      <c r="AC171" s="38" t="str">
        <f>IF(OR(B171="",COUNTIF($B$4:B171,B171)&gt;1),"",MAX($AC$3:AC170)+1)</f>
        <v/>
      </c>
      <c r="AD171" s="38" t="str">
        <f t="shared" si="24"/>
        <v/>
      </c>
      <c r="AE171" s="38" t="str">
        <f t="shared" si="25"/>
        <v/>
      </c>
      <c r="AF171" s="38" t="str">
        <f t="shared" si="26"/>
        <v/>
      </c>
    </row>
    <row r="172" spans="1:32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38" t="str">
        <f>IF(OR(A172="Автомат",A172="Дифавтомат"),IF(W172="","",COUNTIFS(Однолинейка!$H$3:$H$3000,U172,Однолинейка!$A$3:$A$3000,Щит_спец)),IF(A172="Аппарат",IF(C172="","",COUNTIFS(Однолинейка!$I$3:$I$3000,C172,Однолинейка!$A$3:$A$3000,Щит_спец)+COUNTIFS(Однолинейка!$J$3:$J$3000,C172,Однолинейка!$A$3:$A$3000,Щит_спец)+COUNTIFS(Однолинейка!$K$3:$K$3000,C172,Однолинейка!$A$3:$A$3000,Щит_спец)),IF(A172="Модуль",IF(C172="","",COUNTIFS(Однолинейка!$AW$3:$AW$3000,"?*",Однолинейка!$AI$3:$AI$3000,C172,Однолинейка!$A$3:$A$3000,Щит_спец)),IF(A172="Клемма",IF(C172="","",IF(C172=$S$7,SUMIFS(Однолинейка!$BW$3:$BW$3000,Однолинейка!$A$3:$A$3000,Щит_спец),IF(C172=$S$8,SUMIFS(Однолинейка!$BX$3:$BX$3000,Однолинейка!$A$3:$A$3000,Щит_спец),""))),""))))</f>
        <v/>
      </c>
      <c r="O172" s="74"/>
      <c r="P172" s="38" t="str">
        <f t="shared" si="18"/>
        <v/>
      </c>
      <c r="U172" s="38" t="str">
        <f t="shared" si="19"/>
        <v/>
      </c>
      <c r="V172" s="38" t="str">
        <f t="shared" si="20"/>
        <v/>
      </c>
      <c r="W172" s="38" t="str">
        <f>IF(AND(U172&lt;&gt;"",OR($S$4="(все)",B172=$S$4),IF($S$4="(все)",COUNTIF($U$4:U172,U172),COUNTIFS($U$4:U172,U172,$B$4:B172,B172))=1),MAX($W$3:W171)+1,"")</f>
        <v/>
      </c>
      <c r="X172" s="38" t="str">
        <f t="shared" si="21"/>
        <v/>
      </c>
      <c r="Y172" s="38" t="str">
        <f>IF(AND(A172="Аппарат",C172&lt;&gt;"",OR($S$5="(все)",B172=$S$5)),MAX($Y$3:Y171)+1,"")</f>
        <v/>
      </c>
      <c r="Z172" s="38" t="str">
        <f t="shared" si="22"/>
        <v/>
      </c>
      <c r="AA172" s="38" t="str">
        <f>IF(AND(A172="Модуль",C172&lt;&gt;"",OR($S$6="(все)",B172=$S$6)),MAX($AA$3:AA171)+1,"")</f>
        <v/>
      </c>
      <c r="AB172" s="38" t="str">
        <f t="shared" si="23"/>
        <v/>
      </c>
      <c r="AC172" s="38" t="str">
        <f>IF(OR(B172="",COUNTIF($B$4:B172,B172)&gt;1),"",MAX($AC$3:AC171)+1)</f>
        <v/>
      </c>
      <c r="AD172" s="38" t="str">
        <f t="shared" si="24"/>
        <v/>
      </c>
      <c r="AE172" s="38" t="str">
        <f t="shared" si="25"/>
        <v/>
      </c>
      <c r="AF172" s="38" t="str">
        <f t="shared" si="26"/>
        <v/>
      </c>
    </row>
    <row r="173" spans="1:32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38" t="str">
        <f>IF(OR(A173="Автомат",A173="Дифавтомат"),IF(W173="","",COUNTIFS(Однолинейка!$H$3:$H$3000,U173,Однолинейка!$A$3:$A$3000,Щит_спец)),IF(A173="Аппарат",IF(C173="","",COUNTIFS(Однолинейка!$I$3:$I$3000,C173,Однолинейка!$A$3:$A$3000,Щит_спец)+COUNTIFS(Однолинейка!$J$3:$J$3000,C173,Однолинейка!$A$3:$A$3000,Щит_спец)+COUNTIFS(Однолинейка!$K$3:$K$3000,C173,Однолинейка!$A$3:$A$3000,Щит_спец)),IF(A173="Модуль",IF(C173="","",COUNTIFS(Однолинейка!$AW$3:$AW$3000,"?*",Однолинейка!$AI$3:$AI$3000,C173,Однолинейка!$A$3:$A$3000,Щит_спец)),IF(A173="Клемма",IF(C173="","",IF(C173=$S$7,SUMIFS(Однолинейка!$BW$3:$BW$3000,Однолинейка!$A$3:$A$3000,Щит_спец),IF(C173=$S$8,SUMIFS(Однолинейка!$BX$3:$BX$3000,Однолинейка!$A$3:$A$3000,Щит_спец),""))),""))))</f>
        <v/>
      </c>
      <c r="O173" s="74"/>
      <c r="P173" s="38" t="str">
        <f t="shared" si="18"/>
        <v/>
      </c>
      <c r="U173" s="38" t="str">
        <f t="shared" si="19"/>
        <v/>
      </c>
      <c r="V173" s="38" t="str">
        <f t="shared" si="20"/>
        <v/>
      </c>
      <c r="W173" s="38" t="str">
        <f>IF(AND(U173&lt;&gt;"",OR($S$4="(все)",B173=$S$4),IF($S$4="(все)",COUNTIF($U$4:U173,U173),COUNTIFS($U$4:U173,U173,$B$4:B173,B173))=1),MAX($W$3:W172)+1,"")</f>
        <v/>
      </c>
      <c r="X173" s="38" t="str">
        <f t="shared" si="21"/>
        <v/>
      </c>
      <c r="Y173" s="38" t="str">
        <f>IF(AND(A173="Аппарат",C173&lt;&gt;"",OR($S$5="(все)",B173=$S$5)),MAX($Y$3:Y172)+1,"")</f>
        <v/>
      </c>
      <c r="Z173" s="38" t="str">
        <f t="shared" si="22"/>
        <v/>
      </c>
      <c r="AA173" s="38" t="str">
        <f>IF(AND(A173="Модуль",C173&lt;&gt;"",OR($S$6="(все)",B173=$S$6)),MAX($AA$3:AA172)+1,"")</f>
        <v/>
      </c>
      <c r="AB173" s="38" t="str">
        <f t="shared" si="23"/>
        <v/>
      </c>
      <c r="AC173" s="38" t="str">
        <f>IF(OR(B173="",COUNTIF($B$4:B173,B173)&gt;1),"",MAX($AC$3:AC172)+1)</f>
        <v/>
      </c>
      <c r="AD173" s="38" t="str">
        <f t="shared" si="24"/>
        <v/>
      </c>
      <c r="AE173" s="38" t="str">
        <f t="shared" si="25"/>
        <v/>
      </c>
      <c r="AF173" s="38" t="str">
        <f t="shared" si="26"/>
        <v/>
      </c>
    </row>
    <row r="174" spans="1:32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38" t="str">
        <f>IF(OR(A174="Автомат",A174="Дифавтомат"),IF(W174="","",COUNTIFS(Однолинейка!$H$3:$H$3000,U174,Однолинейка!$A$3:$A$3000,Щит_спец)),IF(A174="Аппарат",IF(C174="","",COUNTIFS(Однолинейка!$I$3:$I$3000,C174,Однолинейка!$A$3:$A$3000,Щит_спец)+COUNTIFS(Однолинейка!$J$3:$J$3000,C174,Однолинейка!$A$3:$A$3000,Щит_спец)+COUNTIFS(Однолинейка!$K$3:$K$3000,C174,Однолинейка!$A$3:$A$3000,Щит_спец)),IF(A174="Модуль",IF(C174="","",COUNTIFS(Однолинейка!$AW$3:$AW$3000,"?*",Однолинейка!$AI$3:$AI$3000,C174,Однолинейка!$A$3:$A$3000,Щит_спец)),IF(A174="Клемма",IF(C174="","",IF(C174=$S$7,SUMIFS(Однолинейка!$BW$3:$BW$3000,Однолинейка!$A$3:$A$3000,Щит_спец),IF(C174=$S$8,SUMIFS(Однолинейка!$BX$3:$BX$3000,Однолинейка!$A$3:$A$3000,Щит_спец),""))),""))))</f>
        <v/>
      </c>
      <c r="O174" s="74"/>
      <c r="P174" s="38" t="str">
        <f t="shared" si="18"/>
        <v/>
      </c>
      <c r="U174" s="38" t="str">
        <f t="shared" si="19"/>
        <v/>
      </c>
      <c r="V174" s="38" t="str">
        <f t="shared" si="20"/>
        <v/>
      </c>
      <c r="W174" s="38" t="str">
        <f>IF(AND(U174&lt;&gt;"",OR($S$4="(все)",B174=$S$4),IF($S$4="(все)",COUNTIF($U$4:U174,U174),COUNTIFS($U$4:U174,U174,$B$4:B174,B174))=1),MAX($W$3:W173)+1,"")</f>
        <v/>
      </c>
      <c r="X174" s="38" t="str">
        <f t="shared" si="21"/>
        <v/>
      </c>
      <c r="Y174" s="38" t="str">
        <f>IF(AND(A174="Аппарат",C174&lt;&gt;"",OR($S$5="(все)",B174=$S$5)),MAX($Y$3:Y173)+1,"")</f>
        <v/>
      </c>
      <c r="Z174" s="38" t="str">
        <f t="shared" si="22"/>
        <v/>
      </c>
      <c r="AA174" s="38" t="str">
        <f>IF(AND(A174="Модуль",C174&lt;&gt;"",OR($S$6="(все)",B174=$S$6)),MAX($AA$3:AA173)+1,"")</f>
        <v/>
      </c>
      <c r="AB174" s="38" t="str">
        <f t="shared" si="23"/>
        <v/>
      </c>
      <c r="AC174" s="38" t="str">
        <f>IF(OR(B174="",COUNTIF($B$4:B174,B174)&gt;1),"",MAX($AC$3:AC173)+1)</f>
        <v/>
      </c>
      <c r="AD174" s="38" t="str">
        <f t="shared" si="24"/>
        <v/>
      </c>
      <c r="AE174" s="38" t="str">
        <f t="shared" si="25"/>
        <v/>
      </c>
      <c r="AF174" s="38" t="str">
        <f t="shared" si="26"/>
        <v/>
      </c>
    </row>
    <row r="175" spans="1:32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38" t="str">
        <f>IF(OR(A175="Автомат",A175="Дифавтомат"),IF(W175="","",COUNTIFS(Однолинейка!$H$3:$H$3000,U175,Однолинейка!$A$3:$A$3000,Щит_спец)),IF(A175="Аппарат",IF(C175="","",COUNTIFS(Однолинейка!$I$3:$I$3000,C175,Однолинейка!$A$3:$A$3000,Щит_спец)+COUNTIFS(Однолинейка!$J$3:$J$3000,C175,Однолинейка!$A$3:$A$3000,Щит_спец)+COUNTIFS(Однолинейка!$K$3:$K$3000,C175,Однолинейка!$A$3:$A$3000,Щит_спец)),IF(A175="Модуль",IF(C175="","",COUNTIFS(Однолинейка!$AW$3:$AW$3000,"?*",Однолинейка!$AI$3:$AI$3000,C175,Однолинейка!$A$3:$A$3000,Щит_спец)),IF(A175="Клемма",IF(C175="","",IF(C175=$S$7,SUMIFS(Однолинейка!$BW$3:$BW$3000,Однолинейка!$A$3:$A$3000,Щит_спец),IF(C175=$S$8,SUMIFS(Однолинейка!$BX$3:$BX$3000,Однолинейка!$A$3:$A$3000,Щит_спец),""))),""))))</f>
        <v/>
      </c>
      <c r="O175" s="74"/>
      <c r="P175" s="38" t="str">
        <f t="shared" si="18"/>
        <v/>
      </c>
      <c r="U175" s="38" t="str">
        <f t="shared" si="19"/>
        <v/>
      </c>
      <c r="V175" s="38" t="str">
        <f t="shared" si="20"/>
        <v/>
      </c>
      <c r="W175" s="38" t="str">
        <f>IF(AND(U175&lt;&gt;"",OR($S$4="(все)",B175=$S$4),IF($S$4="(все)",COUNTIF($U$4:U175,U175),COUNTIFS($U$4:U175,U175,$B$4:B175,B175))=1),MAX($W$3:W174)+1,"")</f>
        <v/>
      </c>
      <c r="X175" s="38" t="str">
        <f t="shared" si="21"/>
        <v/>
      </c>
      <c r="Y175" s="38" t="str">
        <f>IF(AND(A175="Аппарат",C175&lt;&gt;"",OR($S$5="(все)",B175=$S$5)),MAX($Y$3:Y174)+1,"")</f>
        <v/>
      </c>
      <c r="Z175" s="38" t="str">
        <f t="shared" si="22"/>
        <v/>
      </c>
      <c r="AA175" s="38" t="str">
        <f>IF(AND(A175="Модуль",C175&lt;&gt;"",OR($S$6="(все)",B175=$S$6)),MAX($AA$3:AA174)+1,"")</f>
        <v/>
      </c>
      <c r="AB175" s="38" t="str">
        <f t="shared" si="23"/>
        <v/>
      </c>
      <c r="AC175" s="38" t="str">
        <f>IF(OR(B175="",COUNTIF($B$4:B175,B175)&gt;1),"",MAX($AC$3:AC174)+1)</f>
        <v/>
      </c>
      <c r="AD175" s="38" t="str">
        <f t="shared" si="24"/>
        <v/>
      </c>
      <c r="AE175" s="38" t="str">
        <f t="shared" si="25"/>
        <v/>
      </c>
      <c r="AF175" s="38" t="str">
        <f t="shared" si="26"/>
        <v/>
      </c>
    </row>
    <row r="176" spans="1:32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38" t="str">
        <f>IF(OR(A176="Автомат",A176="Дифавтомат"),IF(W176="","",COUNTIFS(Однолинейка!$H$3:$H$3000,U176,Однолинейка!$A$3:$A$3000,Щит_спец)),IF(A176="Аппарат",IF(C176="","",COUNTIFS(Однолинейка!$I$3:$I$3000,C176,Однолинейка!$A$3:$A$3000,Щит_спец)+COUNTIFS(Однолинейка!$J$3:$J$3000,C176,Однолинейка!$A$3:$A$3000,Щит_спец)+COUNTIFS(Однолинейка!$K$3:$K$3000,C176,Однолинейка!$A$3:$A$3000,Щит_спец)),IF(A176="Модуль",IF(C176="","",COUNTIFS(Однолинейка!$AW$3:$AW$3000,"?*",Однолинейка!$AI$3:$AI$3000,C176,Однолинейка!$A$3:$A$3000,Щит_спец)),IF(A176="Клемма",IF(C176="","",IF(C176=$S$7,SUMIFS(Однолинейка!$BW$3:$BW$3000,Однолинейка!$A$3:$A$3000,Щит_спец),IF(C176=$S$8,SUMIFS(Однолинейка!$BX$3:$BX$3000,Однолинейка!$A$3:$A$3000,Щит_спец),""))),""))))</f>
        <v/>
      </c>
      <c r="O176" s="74"/>
      <c r="P176" s="38" t="str">
        <f t="shared" si="18"/>
        <v/>
      </c>
      <c r="U176" s="38" t="str">
        <f t="shared" si="19"/>
        <v/>
      </c>
      <c r="V176" s="38" t="str">
        <f t="shared" si="20"/>
        <v/>
      </c>
      <c r="W176" s="38" t="str">
        <f>IF(AND(U176&lt;&gt;"",OR($S$4="(все)",B176=$S$4),IF($S$4="(все)",COUNTIF($U$4:U176,U176),COUNTIFS($U$4:U176,U176,$B$4:B176,B176))=1),MAX($W$3:W175)+1,"")</f>
        <v/>
      </c>
      <c r="X176" s="38" t="str">
        <f t="shared" si="21"/>
        <v/>
      </c>
      <c r="Y176" s="38" t="str">
        <f>IF(AND(A176="Аппарат",C176&lt;&gt;"",OR($S$5="(все)",B176=$S$5)),MAX($Y$3:Y175)+1,"")</f>
        <v/>
      </c>
      <c r="Z176" s="38" t="str">
        <f t="shared" si="22"/>
        <v/>
      </c>
      <c r="AA176" s="38" t="str">
        <f>IF(AND(A176="Модуль",C176&lt;&gt;"",OR($S$6="(все)",B176=$S$6)),MAX($AA$3:AA175)+1,"")</f>
        <v/>
      </c>
      <c r="AB176" s="38" t="str">
        <f t="shared" si="23"/>
        <v/>
      </c>
      <c r="AC176" s="38" t="str">
        <f>IF(OR(B176="",COUNTIF($B$4:B176,B176)&gt;1),"",MAX($AC$3:AC175)+1)</f>
        <v/>
      </c>
      <c r="AD176" s="38" t="str">
        <f t="shared" si="24"/>
        <v/>
      </c>
      <c r="AE176" s="38" t="str">
        <f t="shared" si="25"/>
        <v/>
      </c>
      <c r="AF176" s="38" t="str">
        <f t="shared" si="26"/>
        <v/>
      </c>
    </row>
    <row r="177" spans="1:32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38" t="str">
        <f>IF(OR(A177="Автомат",A177="Дифавтомат"),IF(W177="","",COUNTIFS(Однолинейка!$H$3:$H$3000,U177,Однолинейка!$A$3:$A$3000,Щит_спец)),IF(A177="Аппарат",IF(C177="","",COUNTIFS(Однолинейка!$I$3:$I$3000,C177,Однолинейка!$A$3:$A$3000,Щит_спец)+COUNTIFS(Однолинейка!$J$3:$J$3000,C177,Однолинейка!$A$3:$A$3000,Щит_спец)+COUNTIFS(Однолинейка!$K$3:$K$3000,C177,Однолинейка!$A$3:$A$3000,Щит_спец)),IF(A177="Модуль",IF(C177="","",COUNTIFS(Однолинейка!$AW$3:$AW$3000,"?*",Однолинейка!$AI$3:$AI$3000,C177,Однолинейка!$A$3:$A$3000,Щит_спец)),IF(A177="Клемма",IF(C177="","",IF(C177=$S$7,SUMIFS(Однолинейка!$BW$3:$BW$3000,Однолинейка!$A$3:$A$3000,Щит_спец),IF(C177=$S$8,SUMIFS(Однолинейка!$BX$3:$BX$3000,Однолинейка!$A$3:$A$3000,Щит_спец),""))),""))))</f>
        <v/>
      </c>
      <c r="O177" s="74"/>
      <c r="P177" s="38" t="str">
        <f t="shared" si="18"/>
        <v/>
      </c>
      <c r="U177" s="38" t="str">
        <f t="shared" si="19"/>
        <v/>
      </c>
      <c r="V177" s="38" t="str">
        <f t="shared" si="20"/>
        <v/>
      </c>
      <c r="W177" s="38" t="str">
        <f>IF(AND(U177&lt;&gt;"",OR($S$4="(все)",B177=$S$4),IF($S$4="(все)",COUNTIF($U$4:U177,U177),COUNTIFS($U$4:U177,U177,$B$4:B177,B177))=1),MAX($W$3:W176)+1,"")</f>
        <v/>
      </c>
      <c r="X177" s="38" t="str">
        <f t="shared" si="21"/>
        <v/>
      </c>
      <c r="Y177" s="38" t="str">
        <f>IF(AND(A177="Аппарат",C177&lt;&gt;"",OR($S$5="(все)",B177=$S$5)),MAX($Y$3:Y176)+1,"")</f>
        <v/>
      </c>
      <c r="Z177" s="38" t="str">
        <f t="shared" si="22"/>
        <v/>
      </c>
      <c r="AA177" s="38" t="str">
        <f>IF(AND(A177="Модуль",C177&lt;&gt;"",OR($S$6="(все)",B177=$S$6)),MAX($AA$3:AA176)+1,"")</f>
        <v/>
      </c>
      <c r="AB177" s="38" t="str">
        <f t="shared" si="23"/>
        <v/>
      </c>
      <c r="AC177" s="38" t="str">
        <f>IF(OR(B177="",COUNTIF($B$4:B177,B177)&gt;1),"",MAX($AC$3:AC176)+1)</f>
        <v/>
      </c>
      <c r="AD177" s="38" t="str">
        <f t="shared" si="24"/>
        <v/>
      </c>
      <c r="AE177" s="38" t="str">
        <f t="shared" si="25"/>
        <v/>
      </c>
      <c r="AF177" s="38" t="str">
        <f t="shared" si="26"/>
        <v/>
      </c>
    </row>
    <row r="178" spans="1:32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38" t="str">
        <f>IF(OR(A178="Автомат",A178="Дифавтомат"),IF(W178="","",COUNTIFS(Однолинейка!$H$3:$H$3000,U178,Однолинейка!$A$3:$A$3000,Щит_спец)),IF(A178="Аппарат",IF(C178="","",COUNTIFS(Однолинейка!$I$3:$I$3000,C178,Однолинейка!$A$3:$A$3000,Щит_спец)+COUNTIFS(Однолинейка!$J$3:$J$3000,C178,Однолинейка!$A$3:$A$3000,Щит_спец)+COUNTIFS(Однолинейка!$K$3:$K$3000,C178,Однолинейка!$A$3:$A$3000,Щит_спец)),IF(A178="Модуль",IF(C178="","",COUNTIFS(Однолинейка!$AW$3:$AW$3000,"?*",Однолинейка!$AI$3:$AI$3000,C178,Однолинейка!$A$3:$A$3000,Щит_спец)),IF(A178="Клемма",IF(C178="","",IF(C178=$S$7,SUMIFS(Однолинейка!$BW$3:$BW$3000,Однолинейка!$A$3:$A$3000,Щит_спец),IF(C178=$S$8,SUMIFS(Однолинейка!$BX$3:$BX$3000,Однолинейка!$A$3:$A$3000,Щит_спец),""))),""))))</f>
        <v/>
      </c>
      <c r="O178" s="74"/>
      <c r="P178" s="38" t="str">
        <f t="shared" si="18"/>
        <v/>
      </c>
      <c r="U178" s="38" t="str">
        <f t="shared" si="19"/>
        <v/>
      </c>
      <c r="V178" s="38" t="str">
        <f t="shared" si="20"/>
        <v/>
      </c>
      <c r="W178" s="38" t="str">
        <f>IF(AND(U178&lt;&gt;"",OR($S$4="(все)",B178=$S$4),IF($S$4="(все)",COUNTIF($U$4:U178,U178),COUNTIFS($U$4:U178,U178,$B$4:B178,B178))=1),MAX($W$3:W177)+1,"")</f>
        <v/>
      </c>
      <c r="X178" s="38" t="str">
        <f t="shared" si="21"/>
        <v/>
      </c>
      <c r="Y178" s="38" t="str">
        <f>IF(AND(A178="Аппарат",C178&lt;&gt;"",OR($S$5="(все)",B178=$S$5)),MAX($Y$3:Y177)+1,"")</f>
        <v/>
      </c>
      <c r="Z178" s="38" t="str">
        <f t="shared" si="22"/>
        <v/>
      </c>
      <c r="AA178" s="38" t="str">
        <f>IF(AND(A178="Модуль",C178&lt;&gt;"",OR($S$6="(все)",B178=$S$6)),MAX($AA$3:AA177)+1,"")</f>
        <v/>
      </c>
      <c r="AB178" s="38" t="str">
        <f t="shared" si="23"/>
        <v/>
      </c>
      <c r="AC178" s="38" t="str">
        <f>IF(OR(B178="",COUNTIF($B$4:B178,B178)&gt;1),"",MAX($AC$3:AC177)+1)</f>
        <v/>
      </c>
      <c r="AD178" s="38" t="str">
        <f t="shared" si="24"/>
        <v/>
      </c>
      <c r="AE178" s="38" t="str">
        <f t="shared" si="25"/>
        <v/>
      </c>
      <c r="AF178" s="38" t="str">
        <f t="shared" si="26"/>
        <v/>
      </c>
    </row>
    <row r="179" spans="1:32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38" t="str">
        <f>IF(OR(A179="Автомат",A179="Дифавтомат"),IF(W179="","",COUNTIFS(Однолинейка!$H$3:$H$3000,U179,Однолинейка!$A$3:$A$3000,Щит_спец)),IF(A179="Аппарат",IF(C179="","",COUNTIFS(Однолинейка!$I$3:$I$3000,C179,Однолинейка!$A$3:$A$3000,Щит_спец)+COUNTIFS(Однолинейка!$J$3:$J$3000,C179,Однолинейка!$A$3:$A$3000,Щит_спец)+COUNTIFS(Однолинейка!$K$3:$K$3000,C179,Однолинейка!$A$3:$A$3000,Щит_спец)),IF(A179="Модуль",IF(C179="","",COUNTIFS(Однолинейка!$AW$3:$AW$3000,"?*",Однолинейка!$AI$3:$AI$3000,C179,Однолинейка!$A$3:$A$3000,Щит_спец)),IF(A179="Клемма",IF(C179="","",IF(C179=$S$7,SUMIFS(Однолинейка!$BW$3:$BW$3000,Однолинейка!$A$3:$A$3000,Щит_спец),IF(C179=$S$8,SUMIFS(Однолинейка!$BX$3:$BX$3000,Однолинейка!$A$3:$A$3000,Щит_спец),""))),""))))</f>
        <v/>
      </c>
      <c r="O179" s="74"/>
      <c r="P179" s="38" t="str">
        <f t="shared" si="18"/>
        <v/>
      </c>
      <c r="U179" s="38" t="str">
        <f t="shared" si="19"/>
        <v/>
      </c>
      <c r="V179" s="38" t="str">
        <f t="shared" si="20"/>
        <v/>
      </c>
      <c r="W179" s="38" t="str">
        <f>IF(AND(U179&lt;&gt;"",OR($S$4="(все)",B179=$S$4),IF($S$4="(все)",COUNTIF($U$4:U179,U179),COUNTIFS($U$4:U179,U179,$B$4:B179,B179))=1),MAX($W$3:W178)+1,"")</f>
        <v/>
      </c>
      <c r="X179" s="38" t="str">
        <f t="shared" si="21"/>
        <v/>
      </c>
      <c r="Y179" s="38" t="str">
        <f>IF(AND(A179="Аппарат",C179&lt;&gt;"",OR($S$5="(все)",B179=$S$5)),MAX($Y$3:Y178)+1,"")</f>
        <v/>
      </c>
      <c r="Z179" s="38" t="str">
        <f t="shared" si="22"/>
        <v/>
      </c>
      <c r="AA179" s="38" t="str">
        <f>IF(AND(A179="Модуль",C179&lt;&gt;"",OR($S$6="(все)",B179=$S$6)),MAX($AA$3:AA178)+1,"")</f>
        <v/>
      </c>
      <c r="AB179" s="38" t="str">
        <f t="shared" si="23"/>
        <v/>
      </c>
      <c r="AC179" s="38" t="str">
        <f>IF(OR(B179="",COUNTIF($B$4:B179,B179)&gt;1),"",MAX($AC$3:AC178)+1)</f>
        <v/>
      </c>
      <c r="AD179" s="38" t="str">
        <f t="shared" si="24"/>
        <v/>
      </c>
      <c r="AE179" s="38" t="str">
        <f t="shared" si="25"/>
        <v/>
      </c>
      <c r="AF179" s="38" t="str">
        <f t="shared" si="26"/>
        <v/>
      </c>
    </row>
    <row r="180" spans="1:32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38" t="str">
        <f>IF(OR(A180="Автомат",A180="Дифавтомат"),IF(W180="","",COUNTIFS(Однолинейка!$H$3:$H$3000,U180,Однолинейка!$A$3:$A$3000,Щит_спец)),IF(A180="Аппарат",IF(C180="","",COUNTIFS(Однолинейка!$I$3:$I$3000,C180,Однолинейка!$A$3:$A$3000,Щит_спец)+COUNTIFS(Однолинейка!$J$3:$J$3000,C180,Однолинейка!$A$3:$A$3000,Щит_спец)+COUNTIFS(Однолинейка!$K$3:$K$3000,C180,Однолинейка!$A$3:$A$3000,Щит_спец)),IF(A180="Модуль",IF(C180="","",COUNTIFS(Однолинейка!$AW$3:$AW$3000,"?*",Однолинейка!$AI$3:$AI$3000,C180,Однолинейка!$A$3:$A$3000,Щит_спец)),IF(A180="Клемма",IF(C180="","",IF(C180=$S$7,SUMIFS(Однолинейка!$BW$3:$BW$3000,Однолинейка!$A$3:$A$3000,Щит_спец),IF(C180=$S$8,SUMIFS(Однолинейка!$BX$3:$BX$3000,Однолинейка!$A$3:$A$3000,Щит_спец),""))),""))))</f>
        <v/>
      </c>
      <c r="O180" s="74"/>
      <c r="P180" s="38" t="str">
        <f t="shared" si="18"/>
        <v/>
      </c>
      <c r="U180" s="38" t="str">
        <f t="shared" si="19"/>
        <v/>
      </c>
      <c r="V180" s="38" t="str">
        <f t="shared" si="20"/>
        <v/>
      </c>
      <c r="W180" s="38" t="str">
        <f>IF(AND(U180&lt;&gt;"",OR($S$4="(все)",B180=$S$4),IF($S$4="(все)",COUNTIF($U$4:U180,U180),COUNTIFS($U$4:U180,U180,$B$4:B180,B180))=1),MAX($W$3:W179)+1,"")</f>
        <v/>
      </c>
      <c r="X180" s="38" t="str">
        <f t="shared" si="21"/>
        <v/>
      </c>
      <c r="Y180" s="38" t="str">
        <f>IF(AND(A180="Аппарат",C180&lt;&gt;"",OR($S$5="(все)",B180=$S$5)),MAX($Y$3:Y179)+1,"")</f>
        <v/>
      </c>
      <c r="Z180" s="38" t="str">
        <f t="shared" si="22"/>
        <v/>
      </c>
      <c r="AA180" s="38" t="str">
        <f>IF(AND(A180="Модуль",C180&lt;&gt;"",OR($S$6="(все)",B180=$S$6)),MAX($AA$3:AA179)+1,"")</f>
        <v/>
      </c>
      <c r="AB180" s="38" t="str">
        <f t="shared" si="23"/>
        <v/>
      </c>
      <c r="AC180" s="38" t="str">
        <f>IF(OR(B180="",COUNTIF($B$4:B180,B180)&gt;1),"",MAX($AC$3:AC179)+1)</f>
        <v/>
      </c>
      <c r="AD180" s="38" t="str">
        <f t="shared" si="24"/>
        <v/>
      </c>
      <c r="AE180" s="38" t="str">
        <f t="shared" si="25"/>
        <v/>
      </c>
      <c r="AF180" s="38" t="str">
        <f t="shared" si="26"/>
        <v/>
      </c>
    </row>
    <row r="181" spans="1:32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38" t="str">
        <f>IF(OR(A181="Автомат",A181="Дифавтомат"),IF(W181="","",COUNTIFS(Однолинейка!$H$3:$H$3000,U181,Однолинейка!$A$3:$A$3000,Щит_спец)),IF(A181="Аппарат",IF(C181="","",COUNTIFS(Однолинейка!$I$3:$I$3000,C181,Однолинейка!$A$3:$A$3000,Щит_спец)+COUNTIFS(Однолинейка!$J$3:$J$3000,C181,Однолинейка!$A$3:$A$3000,Щит_спец)+COUNTIFS(Однолинейка!$K$3:$K$3000,C181,Однолинейка!$A$3:$A$3000,Щит_спец)),IF(A181="Модуль",IF(C181="","",COUNTIFS(Однолинейка!$AW$3:$AW$3000,"?*",Однолинейка!$AI$3:$AI$3000,C181,Однолинейка!$A$3:$A$3000,Щит_спец)),IF(A181="Клемма",IF(C181="","",IF(C181=$S$7,SUMIFS(Однолинейка!$BW$3:$BW$3000,Однолинейка!$A$3:$A$3000,Щит_спец),IF(C181=$S$8,SUMIFS(Однолинейка!$BX$3:$BX$3000,Однолинейка!$A$3:$A$3000,Щит_спец),""))),""))))</f>
        <v/>
      </c>
      <c r="O181" s="74"/>
      <c r="P181" s="38" t="str">
        <f t="shared" si="18"/>
        <v/>
      </c>
      <c r="U181" s="38" t="str">
        <f t="shared" si="19"/>
        <v/>
      </c>
      <c r="V181" s="38" t="str">
        <f t="shared" si="20"/>
        <v/>
      </c>
      <c r="W181" s="38" t="str">
        <f>IF(AND(U181&lt;&gt;"",OR($S$4="(все)",B181=$S$4),IF($S$4="(все)",COUNTIF($U$4:U181,U181),COUNTIFS($U$4:U181,U181,$B$4:B181,B181))=1),MAX($W$3:W180)+1,"")</f>
        <v/>
      </c>
      <c r="X181" s="38" t="str">
        <f t="shared" si="21"/>
        <v/>
      </c>
      <c r="Y181" s="38" t="str">
        <f>IF(AND(A181="Аппарат",C181&lt;&gt;"",OR($S$5="(все)",B181=$S$5)),MAX($Y$3:Y180)+1,"")</f>
        <v/>
      </c>
      <c r="Z181" s="38" t="str">
        <f t="shared" si="22"/>
        <v/>
      </c>
      <c r="AA181" s="38" t="str">
        <f>IF(AND(A181="Модуль",C181&lt;&gt;"",OR($S$6="(все)",B181=$S$6)),MAX($AA$3:AA180)+1,"")</f>
        <v/>
      </c>
      <c r="AB181" s="38" t="str">
        <f t="shared" si="23"/>
        <v/>
      </c>
      <c r="AC181" s="38" t="str">
        <f>IF(OR(B181="",COUNTIF($B$4:B181,B181)&gt;1),"",MAX($AC$3:AC180)+1)</f>
        <v/>
      </c>
      <c r="AD181" s="38" t="str">
        <f t="shared" si="24"/>
        <v/>
      </c>
      <c r="AE181" s="38" t="str">
        <f t="shared" si="25"/>
        <v/>
      </c>
      <c r="AF181" s="38" t="str">
        <f t="shared" si="26"/>
        <v/>
      </c>
    </row>
    <row r="182" spans="1:32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38" t="str">
        <f>IF(OR(A182="Автомат",A182="Дифавтомат"),IF(W182="","",COUNTIFS(Однолинейка!$H$3:$H$3000,U182,Однолинейка!$A$3:$A$3000,Щит_спец)),IF(A182="Аппарат",IF(C182="","",COUNTIFS(Однолинейка!$I$3:$I$3000,C182,Однолинейка!$A$3:$A$3000,Щит_спец)+COUNTIFS(Однолинейка!$J$3:$J$3000,C182,Однолинейка!$A$3:$A$3000,Щит_спец)+COUNTIFS(Однолинейка!$K$3:$K$3000,C182,Однолинейка!$A$3:$A$3000,Щит_спец)),IF(A182="Модуль",IF(C182="","",COUNTIFS(Однолинейка!$AW$3:$AW$3000,"?*",Однолинейка!$AI$3:$AI$3000,C182,Однолинейка!$A$3:$A$3000,Щит_спец)),IF(A182="Клемма",IF(C182="","",IF(C182=$S$7,SUMIFS(Однолинейка!$BW$3:$BW$3000,Однолинейка!$A$3:$A$3000,Щит_спец),IF(C182=$S$8,SUMIFS(Однолинейка!$BX$3:$BX$3000,Однолинейка!$A$3:$A$3000,Щит_спец),""))),""))))</f>
        <v/>
      </c>
      <c r="O182" s="74"/>
      <c r="P182" s="38" t="str">
        <f t="shared" si="18"/>
        <v/>
      </c>
      <c r="U182" s="38" t="str">
        <f t="shared" si="19"/>
        <v/>
      </c>
      <c r="V182" s="38" t="str">
        <f t="shared" si="20"/>
        <v/>
      </c>
      <c r="W182" s="38" t="str">
        <f>IF(AND(U182&lt;&gt;"",OR($S$4="(все)",B182=$S$4),IF($S$4="(все)",COUNTIF($U$4:U182,U182),COUNTIFS($U$4:U182,U182,$B$4:B182,B182))=1),MAX($W$3:W181)+1,"")</f>
        <v/>
      </c>
      <c r="X182" s="38" t="str">
        <f t="shared" si="21"/>
        <v/>
      </c>
      <c r="Y182" s="38" t="str">
        <f>IF(AND(A182="Аппарат",C182&lt;&gt;"",OR($S$5="(все)",B182=$S$5)),MAX($Y$3:Y181)+1,"")</f>
        <v/>
      </c>
      <c r="Z182" s="38" t="str">
        <f t="shared" si="22"/>
        <v/>
      </c>
      <c r="AA182" s="38" t="str">
        <f>IF(AND(A182="Модуль",C182&lt;&gt;"",OR($S$6="(все)",B182=$S$6)),MAX($AA$3:AA181)+1,"")</f>
        <v/>
      </c>
      <c r="AB182" s="38" t="str">
        <f t="shared" si="23"/>
        <v/>
      </c>
      <c r="AC182" s="38" t="str">
        <f>IF(OR(B182="",COUNTIF($B$4:B182,B182)&gt;1),"",MAX($AC$3:AC181)+1)</f>
        <v/>
      </c>
      <c r="AD182" s="38" t="str">
        <f t="shared" si="24"/>
        <v/>
      </c>
      <c r="AE182" s="38" t="str">
        <f t="shared" si="25"/>
        <v/>
      </c>
      <c r="AF182" s="38" t="str">
        <f t="shared" si="26"/>
        <v/>
      </c>
    </row>
    <row r="183" spans="1:32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38" t="str">
        <f>IF(OR(A183="Автомат",A183="Дифавтомат"),IF(W183="","",COUNTIFS(Однолинейка!$H$3:$H$3000,U183,Однолинейка!$A$3:$A$3000,Щит_спец)),IF(A183="Аппарат",IF(C183="","",COUNTIFS(Однолинейка!$I$3:$I$3000,C183,Однолинейка!$A$3:$A$3000,Щит_спец)+COUNTIFS(Однолинейка!$J$3:$J$3000,C183,Однолинейка!$A$3:$A$3000,Щит_спец)+COUNTIFS(Однолинейка!$K$3:$K$3000,C183,Однолинейка!$A$3:$A$3000,Щит_спец)),IF(A183="Модуль",IF(C183="","",COUNTIFS(Однолинейка!$AW$3:$AW$3000,"?*",Однолинейка!$AI$3:$AI$3000,C183,Однолинейка!$A$3:$A$3000,Щит_спец)),IF(A183="Клемма",IF(C183="","",IF(C183=$S$7,SUMIFS(Однолинейка!$BW$3:$BW$3000,Однолинейка!$A$3:$A$3000,Щит_спец),IF(C183=$S$8,SUMIFS(Однолинейка!$BX$3:$BX$3000,Однолинейка!$A$3:$A$3000,Щит_спец),""))),""))))</f>
        <v/>
      </c>
      <c r="O183" s="74"/>
      <c r="P183" s="38" t="str">
        <f t="shared" si="18"/>
        <v/>
      </c>
      <c r="U183" s="38" t="str">
        <f t="shared" si="19"/>
        <v/>
      </c>
      <c r="V183" s="38" t="str">
        <f t="shared" si="20"/>
        <v/>
      </c>
      <c r="W183" s="38" t="str">
        <f>IF(AND(U183&lt;&gt;"",OR($S$4="(все)",B183=$S$4),IF($S$4="(все)",COUNTIF($U$4:U183,U183),COUNTIFS($U$4:U183,U183,$B$4:B183,B183))=1),MAX($W$3:W182)+1,"")</f>
        <v/>
      </c>
      <c r="X183" s="38" t="str">
        <f t="shared" si="21"/>
        <v/>
      </c>
      <c r="Y183" s="38" t="str">
        <f>IF(AND(A183="Аппарат",C183&lt;&gt;"",OR($S$5="(все)",B183=$S$5)),MAX($Y$3:Y182)+1,"")</f>
        <v/>
      </c>
      <c r="Z183" s="38" t="str">
        <f t="shared" si="22"/>
        <v/>
      </c>
      <c r="AA183" s="38" t="str">
        <f>IF(AND(A183="Модуль",C183&lt;&gt;"",OR($S$6="(все)",B183=$S$6)),MAX($AA$3:AA182)+1,"")</f>
        <v/>
      </c>
      <c r="AB183" s="38" t="str">
        <f t="shared" si="23"/>
        <v/>
      </c>
      <c r="AC183" s="38" t="str">
        <f>IF(OR(B183="",COUNTIF($B$4:B183,B183)&gt;1),"",MAX($AC$3:AC182)+1)</f>
        <v/>
      </c>
      <c r="AD183" s="38" t="str">
        <f t="shared" si="24"/>
        <v/>
      </c>
      <c r="AE183" s="38" t="str">
        <f t="shared" si="25"/>
        <v/>
      </c>
      <c r="AF183" s="38" t="str">
        <f t="shared" si="26"/>
        <v/>
      </c>
    </row>
    <row r="184" spans="1:32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38" t="str">
        <f>IF(OR(A184="Автомат",A184="Дифавтомат"),IF(W184="","",COUNTIFS(Однолинейка!$H$3:$H$3000,U184,Однолинейка!$A$3:$A$3000,Щит_спец)),IF(A184="Аппарат",IF(C184="","",COUNTIFS(Однолинейка!$I$3:$I$3000,C184,Однолинейка!$A$3:$A$3000,Щит_спец)+COUNTIFS(Однолинейка!$J$3:$J$3000,C184,Однолинейка!$A$3:$A$3000,Щит_спец)+COUNTIFS(Однолинейка!$K$3:$K$3000,C184,Однолинейка!$A$3:$A$3000,Щит_спец)),IF(A184="Модуль",IF(C184="","",COUNTIFS(Однолинейка!$AW$3:$AW$3000,"?*",Однолинейка!$AI$3:$AI$3000,C184,Однолинейка!$A$3:$A$3000,Щит_спец)),IF(A184="Клемма",IF(C184="","",IF(C184=$S$7,SUMIFS(Однолинейка!$BW$3:$BW$3000,Однолинейка!$A$3:$A$3000,Щит_спец),IF(C184=$S$8,SUMIFS(Однолинейка!$BX$3:$BX$3000,Однолинейка!$A$3:$A$3000,Щит_спец),""))),""))))</f>
        <v/>
      </c>
      <c r="O184" s="74"/>
      <c r="P184" s="38" t="str">
        <f t="shared" si="18"/>
        <v/>
      </c>
      <c r="U184" s="38" t="str">
        <f t="shared" si="19"/>
        <v/>
      </c>
      <c r="V184" s="38" t="str">
        <f t="shared" si="20"/>
        <v/>
      </c>
      <c r="W184" s="38" t="str">
        <f>IF(AND(U184&lt;&gt;"",OR($S$4="(все)",B184=$S$4),IF($S$4="(все)",COUNTIF($U$4:U184,U184),COUNTIFS($U$4:U184,U184,$B$4:B184,B184))=1),MAX($W$3:W183)+1,"")</f>
        <v/>
      </c>
      <c r="X184" s="38" t="str">
        <f t="shared" si="21"/>
        <v/>
      </c>
      <c r="Y184" s="38" t="str">
        <f>IF(AND(A184="Аппарат",C184&lt;&gt;"",OR($S$5="(все)",B184=$S$5)),MAX($Y$3:Y183)+1,"")</f>
        <v/>
      </c>
      <c r="Z184" s="38" t="str">
        <f t="shared" si="22"/>
        <v/>
      </c>
      <c r="AA184" s="38" t="str">
        <f>IF(AND(A184="Модуль",C184&lt;&gt;"",OR($S$6="(все)",B184=$S$6)),MAX($AA$3:AA183)+1,"")</f>
        <v/>
      </c>
      <c r="AB184" s="38" t="str">
        <f t="shared" si="23"/>
        <v/>
      </c>
      <c r="AC184" s="38" t="str">
        <f>IF(OR(B184="",COUNTIF($B$4:B184,B184)&gt;1),"",MAX($AC$3:AC183)+1)</f>
        <v/>
      </c>
      <c r="AD184" s="38" t="str">
        <f t="shared" si="24"/>
        <v/>
      </c>
      <c r="AE184" s="38" t="str">
        <f t="shared" si="25"/>
        <v/>
      </c>
      <c r="AF184" s="38" t="str">
        <f t="shared" si="26"/>
        <v/>
      </c>
    </row>
    <row r="185" spans="1:32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38" t="str">
        <f>IF(OR(A185="Автомат",A185="Дифавтомат"),IF(W185="","",COUNTIFS(Однолинейка!$H$3:$H$3000,U185,Однолинейка!$A$3:$A$3000,Щит_спец)),IF(A185="Аппарат",IF(C185="","",COUNTIFS(Однолинейка!$I$3:$I$3000,C185,Однолинейка!$A$3:$A$3000,Щит_спец)+COUNTIFS(Однолинейка!$J$3:$J$3000,C185,Однолинейка!$A$3:$A$3000,Щит_спец)+COUNTIFS(Однолинейка!$K$3:$K$3000,C185,Однолинейка!$A$3:$A$3000,Щит_спец)),IF(A185="Модуль",IF(C185="","",COUNTIFS(Однолинейка!$AW$3:$AW$3000,"?*",Однолинейка!$AI$3:$AI$3000,C185,Однолинейка!$A$3:$A$3000,Щит_спец)),IF(A185="Клемма",IF(C185="","",IF(C185=$S$7,SUMIFS(Однолинейка!$BW$3:$BW$3000,Однолинейка!$A$3:$A$3000,Щит_спец),IF(C185=$S$8,SUMIFS(Однолинейка!$BX$3:$BX$3000,Однолинейка!$A$3:$A$3000,Щит_спец),""))),""))))</f>
        <v/>
      </c>
      <c r="O185" s="74"/>
      <c r="P185" s="38" t="str">
        <f t="shared" si="18"/>
        <v/>
      </c>
      <c r="U185" s="38" t="str">
        <f t="shared" si="19"/>
        <v/>
      </c>
      <c r="V185" s="38" t="str">
        <f t="shared" si="20"/>
        <v/>
      </c>
      <c r="W185" s="38" t="str">
        <f>IF(AND(U185&lt;&gt;"",OR($S$4="(все)",B185=$S$4),IF($S$4="(все)",COUNTIF($U$4:U185,U185),COUNTIFS($U$4:U185,U185,$B$4:B185,B185))=1),MAX($W$3:W184)+1,"")</f>
        <v/>
      </c>
      <c r="X185" s="38" t="str">
        <f t="shared" si="21"/>
        <v/>
      </c>
      <c r="Y185" s="38" t="str">
        <f>IF(AND(A185="Аппарат",C185&lt;&gt;"",OR($S$5="(все)",B185=$S$5)),MAX($Y$3:Y184)+1,"")</f>
        <v/>
      </c>
      <c r="Z185" s="38" t="str">
        <f t="shared" si="22"/>
        <v/>
      </c>
      <c r="AA185" s="38" t="str">
        <f>IF(AND(A185="Модуль",C185&lt;&gt;"",OR($S$6="(все)",B185=$S$6)),MAX($AA$3:AA184)+1,"")</f>
        <v/>
      </c>
      <c r="AB185" s="38" t="str">
        <f t="shared" si="23"/>
        <v/>
      </c>
      <c r="AC185" s="38" t="str">
        <f>IF(OR(B185="",COUNTIF($B$4:B185,B185)&gt;1),"",MAX($AC$3:AC184)+1)</f>
        <v/>
      </c>
      <c r="AD185" s="38" t="str">
        <f t="shared" si="24"/>
        <v/>
      </c>
      <c r="AE185" s="38" t="str">
        <f t="shared" si="25"/>
        <v/>
      </c>
      <c r="AF185" s="38" t="str">
        <f t="shared" si="26"/>
        <v/>
      </c>
    </row>
    <row r="186" spans="1:32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38" t="str">
        <f>IF(OR(A186="Автомат",A186="Дифавтомат"),IF(W186="","",COUNTIFS(Однолинейка!$H$3:$H$3000,U186,Однолинейка!$A$3:$A$3000,Щит_спец)),IF(A186="Аппарат",IF(C186="","",COUNTIFS(Однолинейка!$I$3:$I$3000,C186,Однолинейка!$A$3:$A$3000,Щит_спец)+COUNTIFS(Однолинейка!$J$3:$J$3000,C186,Однолинейка!$A$3:$A$3000,Щит_спец)+COUNTIFS(Однолинейка!$K$3:$K$3000,C186,Однолинейка!$A$3:$A$3000,Щит_спец)),IF(A186="Модуль",IF(C186="","",COUNTIFS(Однолинейка!$AW$3:$AW$3000,"?*",Однолинейка!$AI$3:$AI$3000,C186,Однолинейка!$A$3:$A$3000,Щит_спец)),IF(A186="Клемма",IF(C186="","",IF(C186=$S$7,SUMIFS(Однолинейка!$BW$3:$BW$3000,Однолинейка!$A$3:$A$3000,Щит_спец),IF(C186=$S$8,SUMIFS(Однолинейка!$BX$3:$BX$3000,Однолинейка!$A$3:$A$3000,Щит_спец),""))),""))))</f>
        <v/>
      </c>
      <c r="O186" s="74"/>
      <c r="P186" s="38" t="str">
        <f t="shared" si="18"/>
        <v/>
      </c>
      <c r="U186" s="38" t="str">
        <f t="shared" si="19"/>
        <v/>
      </c>
      <c r="V186" s="38" t="str">
        <f t="shared" si="20"/>
        <v/>
      </c>
      <c r="W186" s="38" t="str">
        <f>IF(AND(U186&lt;&gt;"",OR($S$4="(все)",B186=$S$4),IF($S$4="(все)",COUNTIF($U$4:U186,U186),COUNTIFS($U$4:U186,U186,$B$4:B186,B186))=1),MAX($W$3:W185)+1,"")</f>
        <v/>
      </c>
      <c r="X186" s="38" t="str">
        <f t="shared" si="21"/>
        <v/>
      </c>
      <c r="Y186" s="38" t="str">
        <f>IF(AND(A186="Аппарат",C186&lt;&gt;"",OR($S$5="(все)",B186=$S$5)),MAX($Y$3:Y185)+1,"")</f>
        <v/>
      </c>
      <c r="Z186" s="38" t="str">
        <f t="shared" si="22"/>
        <v/>
      </c>
      <c r="AA186" s="38" t="str">
        <f>IF(AND(A186="Модуль",C186&lt;&gt;"",OR($S$6="(все)",B186=$S$6)),MAX($AA$3:AA185)+1,"")</f>
        <v/>
      </c>
      <c r="AB186" s="38" t="str">
        <f t="shared" si="23"/>
        <v/>
      </c>
      <c r="AC186" s="38" t="str">
        <f>IF(OR(B186="",COUNTIF($B$4:B186,B186)&gt;1),"",MAX($AC$3:AC185)+1)</f>
        <v/>
      </c>
      <c r="AD186" s="38" t="str">
        <f t="shared" si="24"/>
        <v/>
      </c>
      <c r="AE186" s="38" t="str">
        <f t="shared" si="25"/>
        <v/>
      </c>
      <c r="AF186" s="38" t="str">
        <f t="shared" si="26"/>
        <v/>
      </c>
    </row>
    <row r="187" spans="1:32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38" t="str">
        <f>IF(OR(A187="Автомат",A187="Дифавтомат"),IF(W187="","",COUNTIFS(Однолинейка!$H$3:$H$3000,U187,Однолинейка!$A$3:$A$3000,Щит_спец)),IF(A187="Аппарат",IF(C187="","",COUNTIFS(Однолинейка!$I$3:$I$3000,C187,Однолинейка!$A$3:$A$3000,Щит_спец)+COUNTIFS(Однолинейка!$J$3:$J$3000,C187,Однолинейка!$A$3:$A$3000,Щит_спец)+COUNTIFS(Однолинейка!$K$3:$K$3000,C187,Однолинейка!$A$3:$A$3000,Щит_спец)),IF(A187="Модуль",IF(C187="","",COUNTIFS(Однолинейка!$AW$3:$AW$3000,"?*",Однолинейка!$AI$3:$AI$3000,C187,Однолинейка!$A$3:$A$3000,Щит_спец)),IF(A187="Клемма",IF(C187="","",IF(C187=$S$7,SUMIFS(Однолинейка!$BW$3:$BW$3000,Однолинейка!$A$3:$A$3000,Щит_спец),IF(C187=$S$8,SUMIFS(Однолинейка!$BX$3:$BX$3000,Однолинейка!$A$3:$A$3000,Щит_спец),""))),""))))</f>
        <v/>
      </c>
      <c r="O187" s="74"/>
      <c r="P187" s="38" t="str">
        <f t="shared" si="18"/>
        <v/>
      </c>
      <c r="U187" s="38" t="str">
        <f t="shared" si="19"/>
        <v/>
      </c>
      <c r="V187" s="38" t="str">
        <f t="shared" si="20"/>
        <v/>
      </c>
      <c r="W187" s="38" t="str">
        <f>IF(AND(U187&lt;&gt;"",OR($S$4="(все)",B187=$S$4),IF($S$4="(все)",COUNTIF($U$4:U187,U187),COUNTIFS($U$4:U187,U187,$B$4:B187,B187))=1),MAX($W$3:W186)+1,"")</f>
        <v/>
      </c>
      <c r="X187" s="38" t="str">
        <f t="shared" si="21"/>
        <v/>
      </c>
      <c r="Y187" s="38" t="str">
        <f>IF(AND(A187="Аппарат",C187&lt;&gt;"",OR($S$5="(все)",B187=$S$5)),MAX($Y$3:Y186)+1,"")</f>
        <v/>
      </c>
      <c r="Z187" s="38" t="str">
        <f t="shared" si="22"/>
        <v/>
      </c>
      <c r="AA187" s="38" t="str">
        <f>IF(AND(A187="Модуль",C187&lt;&gt;"",OR($S$6="(все)",B187=$S$6)),MAX($AA$3:AA186)+1,"")</f>
        <v/>
      </c>
      <c r="AB187" s="38" t="str">
        <f t="shared" si="23"/>
        <v/>
      </c>
      <c r="AC187" s="38" t="str">
        <f>IF(OR(B187="",COUNTIF($B$4:B187,B187)&gt;1),"",MAX($AC$3:AC186)+1)</f>
        <v/>
      </c>
      <c r="AD187" s="38" t="str">
        <f t="shared" si="24"/>
        <v/>
      </c>
      <c r="AE187" s="38" t="str">
        <f t="shared" si="25"/>
        <v/>
      </c>
      <c r="AF187" s="38" t="str">
        <f t="shared" si="26"/>
        <v/>
      </c>
    </row>
    <row r="188" spans="1:32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38" t="str">
        <f>IF(OR(A188="Автомат",A188="Дифавтомат"),IF(W188="","",COUNTIFS(Однолинейка!$H$3:$H$3000,U188,Однолинейка!$A$3:$A$3000,Щит_спец)),IF(A188="Аппарат",IF(C188="","",COUNTIFS(Однолинейка!$I$3:$I$3000,C188,Однолинейка!$A$3:$A$3000,Щит_спец)+COUNTIFS(Однолинейка!$J$3:$J$3000,C188,Однолинейка!$A$3:$A$3000,Щит_спец)+COUNTIFS(Однолинейка!$K$3:$K$3000,C188,Однолинейка!$A$3:$A$3000,Щит_спец)),IF(A188="Модуль",IF(C188="","",COUNTIFS(Однолинейка!$AW$3:$AW$3000,"?*",Однолинейка!$AI$3:$AI$3000,C188,Однолинейка!$A$3:$A$3000,Щит_спец)),IF(A188="Клемма",IF(C188="","",IF(C188=$S$7,SUMIFS(Однолинейка!$BW$3:$BW$3000,Однолинейка!$A$3:$A$3000,Щит_спец),IF(C188=$S$8,SUMIFS(Однолинейка!$BX$3:$BX$3000,Однолинейка!$A$3:$A$3000,Щит_спец),""))),""))))</f>
        <v/>
      </c>
      <c r="O188" s="74"/>
      <c r="P188" s="38" t="str">
        <f t="shared" si="18"/>
        <v/>
      </c>
      <c r="U188" s="38" t="str">
        <f t="shared" si="19"/>
        <v/>
      </c>
      <c r="V188" s="38" t="str">
        <f t="shared" si="20"/>
        <v/>
      </c>
      <c r="W188" s="38" t="str">
        <f>IF(AND(U188&lt;&gt;"",OR($S$4="(все)",B188=$S$4),IF($S$4="(все)",COUNTIF($U$4:U188,U188),COUNTIFS($U$4:U188,U188,$B$4:B188,B188))=1),MAX($W$3:W187)+1,"")</f>
        <v/>
      </c>
      <c r="X188" s="38" t="str">
        <f t="shared" si="21"/>
        <v/>
      </c>
      <c r="Y188" s="38" t="str">
        <f>IF(AND(A188="Аппарат",C188&lt;&gt;"",OR($S$5="(все)",B188=$S$5)),MAX($Y$3:Y187)+1,"")</f>
        <v/>
      </c>
      <c r="Z188" s="38" t="str">
        <f t="shared" si="22"/>
        <v/>
      </c>
      <c r="AA188" s="38" t="str">
        <f>IF(AND(A188="Модуль",C188&lt;&gt;"",OR($S$6="(все)",B188=$S$6)),MAX($AA$3:AA187)+1,"")</f>
        <v/>
      </c>
      <c r="AB188" s="38" t="str">
        <f t="shared" si="23"/>
        <v/>
      </c>
      <c r="AC188" s="38" t="str">
        <f>IF(OR(B188="",COUNTIF($B$4:B188,B188)&gt;1),"",MAX($AC$3:AC187)+1)</f>
        <v/>
      </c>
      <c r="AD188" s="38" t="str">
        <f t="shared" si="24"/>
        <v/>
      </c>
      <c r="AE188" s="38" t="str">
        <f t="shared" si="25"/>
        <v/>
      </c>
      <c r="AF188" s="38" t="str">
        <f t="shared" si="26"/>
        <v/>
      </c>
    </row>
    <row r="189" spans="1:32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38" t="str">
        <f>IF(OR(A189="Автомат",A189="Дифавтомат"),IF(W189="","",COUNTIFS(Однолинейка!$H$3:$H$3000,U189,Однолинейка!$A$3:$A$3000,Щит_спец)),IF(A189="Аппарат",IF(C189="","",COUNTIFS(Однолинейка!$I$3:$I$3000,C189,Однолинейка!$A$3:$A$3000,Щит_спец)+COUNTIFS(Однолинейка!$J$3:$J$3000,C189,Однолинейка!$A$3:$A$3000,Щит_спец)+COUNTIFS(Однолинейка!$K$3:$K$3000,C189,Однолинейка!$A$3:$A$3000,Щит_спец)),IF(A189="Модуль",IF(C189="","",COUNTIFS(Однолинейка!$AW$3:$AW$3000,"?*",Однолинейка!$AI$3:$AI$3000,C189,Однолинейка!$A$3:$A$3000,Щит_спец)),IF(A189="Клемма",IF(C189="","",IF(C189=$S$7,SUMIFS(Однолинейка!$BW$3:$BW$3000,Однолинейка!$A$3:$A$3000,Щит_спец),IF(C189=$S$8,SUMIFS(Однолинейка!$BX$3:$BX$3000,Однолинейка!$A$3:$A$3000,Щит_спец),""))),""))))</f>
        <v/>
      </c>
      <c r="O189" s="74"/>
      <c r="P189" s="38" t="str">
        <f t="shared" si="18"/>
        <v/>
      </c>
      <c r="U189" s="38" t="str">
        <f t="shared" si="19"/>
        <v/>
      </c>
      <c r="V189" s="38" t="str">
        <f t="shared" si="20"/>
        <v/>
      </c>
      <c r="W189" s="38" t="str">
        <f>IF(AND(U189&lt;&gt;"",OR($S$4="(все)",B189=$S$4),IF($S$4="(все)",COUNTIF($U$4:U189,U189),COUNTIFS($U$4:U189,U189,$B$4:B189,B189))=1),MAX($W$3:W188)+1,"")</f>
        <v/>
      </c>
      <c r="X189" s="38" t="str">
        <f t="shared" si="21"/>
        <v/>
      </c>
      <c r="Y189" s="38" t="str">
        <f>IF(AND(A189="Аппарат",C189&lt;&gt;"",OR($S$5="(все)",B189=$S$5)),MAX($Y$3:Y188)+1,"")</f>
        <v/>
      </c>
      <c r="Z189" s="38" t="str">
        <f t="shared" si="22"/>
        <v/>
      </c>
      <c r="AA189" s="38" t="str">
        <f>IF(AND(A189="Модуль",C189&lt;&gt;"",OR($S$6="(все)",B189=$S$6)),MAX($AA$3:AA188)+1,"")</f>
        <v/>
      </c>
      <c r="AB189" s="38" t="str">
        <f t="shared" si="23"/>
        <v/>
      </c>
      <c r="AC189" s="38" t="str">
        <f>IF(OR(B189="",COUNTIF($B$4:B189,B189)&gt;1),"",MAX($AC$3:AC188)+1)</f>
        <v/>
      </c>
      <c r="AD189" s="38" t="str">
        <f t="shared" si="24"/>
        <v/>
      </c>
      <c r="AE189" s="38" t="str">
        <f t="shared" si="25"/>
        <v/>
      </c>
      <c r="AF189" s="38" t="str">
        <f t="shared" si="26"/>
        <v/>
      </c>
    </row>
    <row r="190" spans="1:32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38" t="str">
        <f>IF(OR(A190="Автомат",A190="Дифавтомат"),IF(W190="","",COUNTIFS(Однолинейка!$H$3:$H$3000,U190,Однолинейка!$A$3:$A$3000,Щит_спец)),IF(A190="Аппарат",IF(C190="","",COUNTIFS(Однолинейка!$I$3:$I$3000,C190,Однолинейка!$A$3:$A$3000,Щит_спец)+COUNTIFS(Однолинейка!$J$3:$J$3000,C190,Однолинейка!$A$3:$A$3000,Щит_спец)+COUNTIFS(Однолинейка!$K$3:$K$3000,C190,Однолинейка!$A$3:$A$3000,Щит_спец)),IF(A190="Модуль",IF(C190="","",COUNTIFS(Однолинейка!$AW$3:$AW$3000,"?*",Однолинейка!$AI$3:$AI$3000,C190,Однолинейка!$A$3:$A$3000,Щит_спец)),IF(A190="Клемма",IF(C190="","",IF(C190=$S$7,SUMIFS(Однолинейка!$BW$3:$BW$3000,Однолинейка!$A$3:$A$3000,Щит_спец),IF(C190=$S$8,SUMIFS(Однолинейка!$BX$3:$BX$3000,Однолинейка!$A$3:$A$3000,Щит_спец),""))),""))))</f>
        <v/>
      </c>
      <c r="O190" s="74"/>
      <c r="P190" s="38" t="str">
        <f t="shared" si="18"/>
        <v/>
      </c>
      <c r="U190" s="38" t="str">
        <f t="shared" si="19"/>
        <v/>
      </c>
      <c r="V190" s="38" t="str">
        <f t="shared" si="20"/>
        <v/>
      </c>
      <c r="W190" s="38" t="str">
        <f>IF(AND(U190&lt;&gt;"",OR($S$4="(все)",B190=$S$4),IF($S$4="(все)",COUNTIF($U$4:U190,U190),COUNTIFS($U$4:U190,U190,$B$4:B190,B190))=1),MAX($W$3:W189)+1,"")</f>
        <v/>
      </c>
      <c r="X190" s="38" t="str">
        <f t="shared" si="21"/>
        <v/>
      </c>
      <c r="Y190" s="38" t="str">
        <f>IF(AND(A190="Аппарат",C190&lt;&gt;"",OR($S$5="(все)",B190=$S$5)),MAX($Y$3:Y189)+1,"")</f>
        <v/>
      </c>
      <c r="Z190" s="38" t="str">
        <f t="shared" si="22"/>
        <v/>
      </c>
      <c r="AA190" s="38" t="str">
        <f>IF(AND(A190="Модуль",C190&lt;&gt;"",OR($S$6="(все)",B190=$S$6)),MAX($AA$3:AA189)+1,"")</f>
        <v/>
      </c>
      <c r="AB190" s="38" t="str">
        <f t="shared" si="23"/>
        <v/>
      </c>
      <c r="AC190" s="38" t="str">
        <f>IF(OR(B190="",COUNTIF($B$4:B190,B190)&gt;1),"",MAX($AC$3:AC189)+1)</f>
        <v/>
      </c>
      <c r="AD190" s="38" t="str">
        <f t="shared" si="24"/>
        <v/>
      </c>
      <c r="AE190" s="38" t="str">
        <f t="shared" si="25"/>
        <v/>
      </c>
      <c r="AF190" s="38" t="str">
        <f t="shared" si="26"/>
        <v/>
      </c>
    </row>
    <row r="191" spans="1:32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38" t="str">
        <f>IF(OR(A191="Автомат",A191="Дифавтомат"),IF(W191="","",COUNTIFS(Однолинейка!$H$3:$H$3000,U191,Однолинейка!$A$3:$A$3000,Щит_спец)),IF(A191="Аппарат",IF(C191="","",COUNTIFS(Однолинейка!$I$3:$I$3000,C191,Однолинейка!$A$3:$A$3000,Щит_спец)+COUNTIFS(Однолинейка!$J$3:$J$3000,C191,Однолинейка!$A$3:$A$3000,Щит_спец)+COUNTIFS(Однолинейка!$K$3:$K$3000,C191,Однолинейка!$A$3:$A$3000,Щит_спец)),IF(A191="Модуль",IF(C191="","",COUNTIFS(Однолинейка!$AW$3:$AW$3000,"?*",Однолинейка!$AI$3:$AI$3000,C191,Однолинейка!$A$3:$A$3000,Щит_спец)),IF(A191="Клемма",IF(C191="","",IF(C191=$S$7,SUMIFS(Однолинейка!$BW$3:$BW$3000,Однолинейка!$A$3:$A$3000,Щит_спец),IF(C191=$S$8,SUMIFS(Однолинейка!$BX$3:$BX$3000,Однолинейка!$A$3:$A$3000,Щит_спец),""))),""))))</f>
        <v/>
      </c>
      <c r="O191" s="74"/>
      <c r="P191" s="38" t="str">
        <f t="shared" si="18"/>
        <v/>
      </c>
      <c r="U191" s="38" t="str">
        <f t="shared" si="19"/>
        <v/>
      </c>
      <c r="V191" s="38" t="str">
        <f t="shared" si="20"/>
        <v/>
      </c>
      <c r="W191" s="38" t="str">
        <f>IF(AND(U191&lt;&gt;"",OR($S$4="(все)",B191=$S$4),IF($S$4="(все)",COUNTIF($U$4:U191,U191),COUNTIFS($U$4:U191,U191,$B$4:B191,B191))=1),MAX($W$3:W190)+1,"")</f>
        <v/>
      </c>
      <c r="X191" s="38" t="str">
        <f t="shared" si="21"/>
        <v/>
      </c>
      <c r="Y191" s="38" t="str">
        <f>IF(AND(A191="Аппарат",C191&lt;&gt;"",OR($S$5="(все)",B191=$S$5)),MAX($Y$3:Y190)+1,"")</f>
        <v/>
      </c>
      <c r="Z191" s="38" t="str">
        <f t="shared" si="22"/>
        <v/>
      </c>
      <c r="AA191" s="38" t="str">
        <f>IF(AND(A191="Модуль",C191&lt;&gt;"",OR($S$6="(все)",B191=$S$6)),MAX($AA$3:AA190)+1,"")</f>
        <v/>
      </c>
      <c r="AB191" s="38" t="str">
        <f t="shared" si="23"/>
        <v/>
      </c>
      <c r="AC191" s="38" t="str">
        <f>IF(OR(B191="",COUNTIF($B$4:B191,B191)&gt;1),"",MAX($AC$3:AC190)+1)</f>
        <v/>
      </c>
      <c r="AD191" s="38" t="str">
        <f t="shared" si="24"/>
        <v/>
      </c>
      <c r="AE191" s="38" t="str">
        <f t="shared" si="25"/>
        <v/>
      </c>
      <c r="AF191" s="38" t="str">
        <f t="shared" si="26"/>
        <v/>
      </c>
    </row>
    <row r="192" spans="1:32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38" t="str">
        <f>IF(OR(A192="Автомат",A192="Дифавтомат"),IF(W192="","",COUNTIFS(Однолинейка!$H$3:$H$3000,U192,Однолинейка!$A$3:$A$3000,Щит_спец)),IF(A192="Аппарат",IF(C192="","",COUNTIFS(Однолинейка!$I$3:$I$3000,C192,Однолинейка!$A$3:$A$3000,Щит_спец)+COUNTIFS(Однолинейка!$J$3:$J$3000,C192,Однолинейка!$A$3:$A$3000,Щит_спец)+COUNTIFS(Однолинейка!$K$3:$K$3000,C192,Однолинейка!$A$3:$A$3000,Щит_спец)),IF(A192="Модуль",IF(C192="","",COUNTIFS(Однолинейка!$AW$3:$AW$3000,"?*",Однолинейка!$AI$3:$AI$3000,C192,Однолинейка!$A$3:$A$3000,Щит_спец)),IF(A192="Клемма",IF(C192="","",IF(C192=$S$7,SUMIFS(Однолинейка!$BW$3:$BW$3000,Однолинейка!$A$3:$A$3000,Щит_спец),IF(C192=$S$8,SUMIFS(Однолинейка!$BX$3:$BX$3000,Однолинейка!$A$3:$A$3000,Щит_спец),""))),""))))</f>
        <v/>
      </c>
      <c r="O192" s="74"/>
      <c r="P192" s="38" t="str">
        <f t="shared" si="18"/>
        <v/>
      </c>
      <c r="U192" s="38" t="str">
        <f t="shared" si="19"/>
        <v/>
      </c>
      <c r="V192" s="38" t="str">
        <f t="shared" si="20"/>
        <v/>
      </c>
      <c r="W192" s="38" t="str">
        <f>IF(AND(U192&lt;&gt;"",OR($S$4="(все)",B192=$S$4),IF($S$4="(все)",COUNTIF($U$4:U192,U192),COUNTIFS($U$4:U192,U192,$B$4:B192,B192))=1),MAX($W$3:W191)+1,"")</f>
        <v/>
      </c>
      <c r="X192" s="38" t="str">
        <f t="shared" si="21"/>
        <v/>
      </c>
      <c r="Y192" s="38" t="str">
        <f>IF(AND(A192="Аппарат",C192&lt;&gt;"",OR($S$5="(все)",B192=$S$5)),MAX($Y$3:Y191)+1,"")</f>
        <v/>
      </c>
      <c r="Z192" s="38" t="str">
        <f t="shared" si="22"/>
        <v/>
      </c>
      <c r="AA192" s="38" t="str">
        <f>IF(AND(A192="Модуль",C192&lt;&gt;"",OR($S$6="(все)",B192=$S$6)),MAX($AA$3:AA191)+1,"")</f>
        <v/>
      </c>
      <c r="AB192" s="38" t="str">
        <f t="shared" si="23"/>
        <v/>
      </c>
      <c r="AC192" s="38" t="str">
        <f>IF(OR(B192="",COUNTIF($B$4:B192,B192)&gt;1),"",MAX($AC$3:AC191)+1)</f>
        <v/>
      </c>
      <c r="AD192" s="38" t="str">
        <f t="shared" si="24"/>
        <v/>
      </c>
      <c r="AE192" s="38" t="str">
        <f t="shared" si="25"/>
        <v/>
      </c>
      <c r="AF192" s="38" t="str">
        <f t="shared" si="26"/>
        <v/>
      </c>
    </row>
    <row r="193" spans="1:32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38" t="str">
        <f>IF(OR(A193="Автомат",A193="Дифавтомат"),IF(W193="","",COUNTIFS(Однолинейка!$H$3:$H$3000,U193,Однолинейка!$A$3:$A$3000,Щит_спец)),IF(A193="Аппарат",IF(C193="","",COUNTIFS(Однолинейка!$I$3:$I$3000,C193,Однолинейка!$A$3:$A$3000,Щит_спец)+COUNTIFS(Однолинейка!$J$3:$J$3000,C193,Однолинейка!$A$3:$A$3000,Щит_спец)+COUNTIFS(Однолинейка!$K$3:$K$3000,C193,Однолинейка!$A$3:$A$3000,Щит_спец)),IF(A193="Модуль",IF(C193="","",COUNTIFS(Однолинейка!$AW$3:$AW$3000,"?*",Однолинейка!$AI$3:$AI$3000,C193,Однолинейка!$A$3:$A$3000,Щит_спец)),IF(A193="Клемма",IF(C193="","",IF(C193=$S$7,SUMIFS(Однолинейка!$BW$3:$BW$3000,Однолинейка!$A$3:$A$3000,Щит_спец),IF(C193=$S$8,SUMIFS(Однолинейка!$BX$3:$BX$3000,Однолинейка!$A$3:$A$3000,Щит_спец),""))),""))))</f>
        <v/>
      </c>
      <c r="O193" s="74"/>
      <c r="P193" s="38" t="str">
        <f t="shared" si="18"/>
        <v/>
      </c>
      <c r="U193" s="38" t="str">
        <f t="shared" si="19"/>
        <v/>
      </c>
      <c r="V193" s="38" t="str">
        <f t="shared" si="20"/>
        <v/>
      </c>
      <c r="W193" s="38" t="str">
        <f>IF(AND(U193&lt;&gt;"",OR($S$4="(все)",B193=$S$4),IF($S$4="(все)",COUNTIF($U$4:U193,U193),COUNTIFS($U$4:U193,U193,$B$4:B193,B193))=1),MAX($W$3:W192)+1,"")</f>
        <v/>
      </c>
      <c r="X193" s="38" t="str">
        <f t="shared" si="21"/>
        <v/>
      </c>
      <c r="Y193" s="38" t="str">
        <f>IF(AND(A193="Аппарат",C193&lt;&gt;"",OR($S$5="(все)",B193=$S$5)),MAX($Y$3:Y192)+1,"")</f>
        <v/>
      </c>
      <c r="Z193" s="38" t="str">
        <f t="shared" si="22"/>
        <v/>
      </c>
      <c r="AA193" s="38" t="str">
        <f>IF(AND(A193="Модуль",C193&lt;&gt;"",OR($S$6="(все)",B193=$S$6)),MAX($AA$3:AA192)+1,"")</f>
        <v/>
      </c>
      <c r="AB193" s="38" t="str">
        <f t="shared" si="23"/>
        <v/>
      </c>
      <c r="AC193" s="38" t="str">
        <f>IF(OR(B193="",COUNTIF($B$4:B193,B193)&gt;1),"",MAX($AC$3:AC192)+1)</f>
        <v/>
      </c>
      <c r="AD193" s="38" t="str">
        <f t="shared" si="24"/>
        <v/>
      </c>
      <c r="AE193" s="38" t="str">
        <f t="shared" si="25"/>
        <v/>
      </c>
      <c r="AF193" s="38" t="str">
        <f t="shared" si="26"/>
        <v/>
      </c>
    </row>
    <row r="194" spans="1:32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38" t="str">
        <f>IF(OR(A194="Автомат",A194="Дифавтомат"),IF(W194="","",COUNTIFS(Однолинейка!$H$3:$H$3000,U194,Однолинейка!$A$3:$A$3000,Щит_спец)),IF(A194="Аппарат",IF(C194="","",COUNTIFS(Однолинейка!$I$3:$I$3000,C194,Однолинейка!$A$3:$A$3000,Щит_спец)+COUNTIFS(Однолинейка!$J$3:$J$3000,C194,Однолинейка!$A$3:$A$3000,Щит_спец)+COUNTIFS(Однолинейка!$K$3:$K$3000,C194,Однолинейка!$A$3:$A$3000,Щит_спец)),IF(A194="Модуль",IF(C194="","",COUNTIFS(Однолинейка!$AW$3:$AW$3000,"?*",Однолинейка!$AI$3:$AI$3000,C194,Однолинейка!$A$3:$A$3000,Щит_спец)),IF(A194="Клемма",IF(C194="","",IF(C194=$S$7,SUMIFS(Однолинейка!$BW$3:$BW$3000,Однолинейка!$A$3:$A$3000,Щит_спец),IF(C194=$S$8,SUMIFS(Однолинейка!$BX$3:$BX$3000,Однолинейка!$A$3:$A$3000,Щит_спец),""))),""))))</f>
        <v/>
      </c>
      <c r="O194" s="74"/>
      <c r="P194" s="38" t="str">
        <f t="shared" si="18"/>
        <v/>
      </c>
      <c r="U194" s="38" t="str">
        <f t="shared" si="19"/>
        <v/>
      </c>
      <c r="V194" s="38" t="str">
        <f t="shared" si="20"/>
        <v/>
      </c>
      <c r="W194" s="38" t="str">
        <f>IF(AND(U194&lt;&gt;"",OR($S$4="(все)",B194=$S$4),IF($S$4="(все)",COUNTIF($U$4:U194,U194),COUNTIFS($U$4:U194,U194,$B$4:B194,B194))=1),MAX($W$3:W193)+1,"")</f>
        <v/>
      </c>
      <c r="X194" s="38" t="str">
        <f t="shared" si="21"/>
        <v/>
      </c>
      <c r="Y194" s="38" t="str">
        <f>IF(AND(A194="Аппарат",C194&lt;&gt;"",OR($S$5="(все)",B194=$S$5)),MAX($Y$3:Y193)+1,"")</f>
        <v/>
      </c>
      <c r="Z194" s="38" t="str">
        <f t="shared" si="22"/>
        <v/>
      </c>
      <c r="AA194" s="38" t="str">
        <f>IF(AND(A194="Модуль",C194&lt;&gt;"",OR($S$6="(все)",B194=$S$6)),MAX($AA$3:AA193)+1,"")</f>
        <v/>
      </c>
      <c r="AB194" s="38" t="str">
        <f t="shared" si="23"/>
        <v/>
      </c>
      <c r="AC194" s="38" t="str">
        <f>IF(OR(B194="",COUNTIF($B$4:B194,B194)&gt;1),"",MAX($AC$3:AC193)+1)</f>
        <v/>
      </c>
      <c r="AD194" s="38" t="str">
        <f t="shared" si="24"/>
        <v/>
      </c>
      <c r="AE194" s="38" t="str">
        <f t="shared" si="25"/>
        <v/>
      </c>
      <c r="AF194" s="38" t="str">
        <f t="shared" si="26"/>
        <v/>
      </c>
    </row>
    <row r="195" spans="1:32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38" t="str">
        <f>IF(OR(A195="Автомат",A195="Дифавтомат"),IF(W195="","",COUNTIFS(Однолинейка!$H$3:$H$3000,U195,Однолинейка!$A$3:$A$3000,Щит_спец)),IF(A195="Аппарат",IF(C195="","",COUNTIFS(Однолинейка!$I$3:$I$3000,C195,Однолинейка!$A$3:$A$3000,Щит_спец)+COUNTIFS(Однолинейка!$J$3:$J$3000,C195,Однолинейка!$A$3:$A$3000,Щит_спец)+COUNTIFS(Однолинейка!$K$3:$K$3000,C195,Однолинейка!$A$3:$A$3000,Щит_спец)),IF(A195="Модуль",IF(C195="","",COUNTIFS(Однолинейка!$AW$3:$AW$3000,"?*",Однолинейка!$AI$3:$AI$3000,C195,Однолинейка!$A$3:$A$3000,Щит_спец)),IF(A195="Клемма",IF(C195="","",IF(C195=$S$7,SUMIFS(Однолинейка!$BW$3:$BW$3000,Однолинейка!$A$3:$A$3000,Щит_спец),IF(C195=$S$8,SUMIFS(Однолинейка!$BX$3:$BX$3000,Однолинейка!$A$3:$A$3000,Щит_спец),""))),""))))</f>
        <v/>
      </c>
      <c r="O195" s="74"/>
      <c r="P195" s="38" t="str">
        <f t="shared" si="18"/>
        <v/>
      </c>
      <c r="U195" s="38" t="str">
        <f t="shared" si="19"/>
        <v/>
      </c>
      <c r="V195" s="38" t="str">
        <f t="shared" si="20"/>
        <v/>
      </c>
      <c r="W195" s="38" t="str">
        <f>IF(AND(U195&lt;&gt;"",OR($S$4="(все)",B195=$S$4),IF($S$4="(все)",COUNTIF($U$4:U195,U195),COUNTIFS($U$4:U195,U195,$B$4:B195,B195))=1),MAX($W$3:W194)+1,"")</f>
        <v/>
      </c>
      <c r="X195" s="38" t="str">
        <f t="shared" si="21"/>
        <v/>
      </c>
      <c r="Y195" s="38" t="str">
        <f>IF(AND(A195="Аппарат",C195&lt;&gt;"",OR($S$5="(все)",B195=$S$5)),MAX($Y$3:Y194)+1,"")</f>
        <v/>
      </c>
      <c r="Z195" s="38" t="str">
        <f t="shared" si="22"/>
        <v/>
      </c>
      <c r="AA195" s="38" t="str">
        <f>IF(AND(A195="Модуль",C195&lt;&gt;"",OR($S$6="(все)",B195=$S$6)),MAX($AA$3:AA194)+1,"")</f>
        <v/>
      </c>
      <c r="AB195" s="38" t="str">
        <f t="shared" si="23"/>
        <v/>
      </c>
      <c r="AC195" s="38" t="str">
        <f>IF(OR(B195="",COUNTIF($B$4:B195,B195)&gt;1),"",MAX($AC$3:AC194)+1)</f>
        <v/>
      </c>
      <c r="AD195" s="38" t="str">
        <f t="shared" si="24"/>
        <v/>
      </c>
      <c r="AE195" s="38" t="str">
        <f t="shared" si="25"/>
        <v/>
      </c>
      <c r="AF195" s="38" t="str">
        <f t="shared" si="26"/>
        <v/>
      </c>
    </row>
    <row r="196" spans="1:32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38" t="str">
        <f>IF(OR(A196="Автомат",A196="Дифавтомат"),IF(W196="","",COUNTIFS(Однолинейка!$H$3:$H$3000,U196,Однолинейка!$A$3:$A$3000,Щит_спец)),IF(A196="Аппарат",IF(C196="","",COUNTIFS(Однолинейка!$I$3:$I$3000,C196,Однолинейка!$A$3:$A$3000,Щит_спец)+COUNTIFS(Однолинейка!$J$3:$J$3000,C196,Однолинейка!$A$3:$A$3000,Щит_спец)+COUNTIFS(Однолинейка!$K$3:$K$3000,C196,Однолинейка!$A$3:$A$3000,Щит_спец)),IF(A196="Модуль",IF(C196="","",COUNTIFS(Однолинейка!$AW$3:$AW$3000,"?*",Однолинейка!$AI$3:$AI$3000,C196,Однолинейка!$A$3:$A$3000,Щит_спец)),IF(A196="Клемма",IF(C196="","",IF(C196=$S$7,SUMIFS(Однолинейка!$BW$3:$BW$3000,Однолинейка!$A$3:$A$3000,Щит_спец),IF(C196=$S$8,SUMIFS(Однолинейка!$BX$3:$BX$3000,Однолинейка!$A$3:$A$3000,Щит_спец),""))),""))))</f>
        <v/>
      </c>
      <c r="O196" s="74"/>
      <c r="P196" s="38" t="str">
        <f t="shared" ref="P196:P259" si="27">IF(COUNT(N196,O196)=0,"",SUM(N196,O196))</f>
        <v/>
      </c>
      <c r="U196" s="38" t="str">
        <f t="shared" ref="U196:U259" si="28">IF(OR(A196="Автомат",A196="Дифавтомат"),I196&amp;" С"&amp;J196&amp;"А"&amp;IF(K196="да"," 30мА",IF(ISNUMBER(K196)," "&amp;K196&amp;"мА","")),"")</f>
        <v/>
      </c>
      <c r="V196" s="38" t="str">
        <f t="shared" ref="V196:V259" si="29">IF(U196="","",B196&amp;"|"&amp;U196)</f>
        <v/>
      </c>
      <c r="W196" s="38" t="str">
        <f>IF(AND(U196&lt;&gt;"",OR($S$4="(все)",B196=$S$4),IF($S$4="(все)",COUNTIF($U$4:U196,U196),COUNTIFS($U$4:U196,U196,$B$4:B196,B196))=1),MAX($W$3:W195)+1,"")</f>
        <v/>
      </c>
      <c r="X196" s="38" t="str">
        <f t="shared" ref="X196:X259" si="30">IFERROR(INDEX($U$4:$U$500,MATCH(ROW()-3,$W$4:$W$500,0)),"")</f>
        <v/>
      </c>
      <c r="Y196" s="38" t="str">
        <f>IF(AND(A196="Аппарат",C196&lt;&gt;"",OR($S$5="(все)",B196=$S$5)),MAX($Y$3:Y195)+1,"")</f>
        <v/>
      </c>
      <c r="Z196" s="38" t="str">
        <f t="shared" ref="Z196:Z259" si="31">IFERROR(INDEX($C$4:$C$500,MATCH(ROW()-3,$Y$4:$Y$500,0)),"")</f>
        <v/>
      </c>
      <c r="AA196" s="38" t="str">
        <f>IF(AND(A196="Модуль",C196&lt;&gt;"",OR($S$6="(все)",B196=$S$6)),MAX($AA$3:AA195)+1,"")</f>
        <v/>
      </c>
      <c r="AB196" s="38" t="str">
        <f t="shared" ref="AB196:AB259" si="32">IFERROR(INDEX($C$4:$C$500,MATCH(ROW()-3,$AA$4:$AA$500,0)),"")</f>
        <v/>
      </c>
      <c r="AC196" s="38" t="str">
        <f>IF(OR(B196="",COUNTIF($B$4:B196,B196)&gt;1),"",MAX($AC$3:AC195)+1)</f>
        <v/>
      </c>
      <c r="AD196" s="38" t="str">
        <f t="shared" ref="AD196:AD259" si="33">IFERROR(INDEX($B$4:$B$500,MATCH(ROW()-3,$AC$4:$AC$500,0)),"")</f>
        <v/>
      </c>
      <c r="AE196" s="38" t="str">
        <f t="shared" ref="AE196:AE259" si="34">IF(AND(A196&lt;&gt;"",N(P196)&gt;0),IFERROR(MATCH(A196,$R$12:$R$25,0),99)*1000+ROW(),"")</f>
        <v/>
      </c>
      <c r="AF196" s="38" t="str">
        <f t="shared" ref="AF196:AF259" si="35">IF(AE196="","",COUNTIF($AE$4:$AE$500,"&lt;="&amp;AE196))</f>
        <v/>
      </c>
    </row>
    <row r="197" spans="1:32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38" t="str">
        <f>IF(OR(A197="Автомат",A197="Дифавтомат"),IF(W197="","",COUNTIFS(Однолинейка!$H$3:$H$3000,U197,Однолинейка!$A$3:$A$3000,Щит_спец)),IF(A197="Аппарат",IF(C197="","",COUNTIFS(Однолинейка!$I$3:$I$3000,C197,Однолинейка!$A$3:$A$3000,Щит_спец)+COUNTIFS(Однолинейка!$J$3:$J$3000,C197,Однолинейка!$A$3:$A$3000,Щит_спец)+COUNTIFS(Однолинейка!$K$3:$K$3000,C197,Однолинейка!$A$3:$A$3000,Щит_спец)),IF(A197="Модуль",IF(C197="","",COUNTIFS(Однолинейка!$AW$3:$AW$3000,"?*",Однолинейка!$AI$3:$AI$3000,C197,Однолинейка!$A$3:$A$3000,Щит_спец)),IF(A197="Клемма",IF(C197="","",IF(C197=$S$7,SUMIFS(Однолинейка!$BW$3:$BW$3000,Однолинейка!$A$3:$A$3000,Щит_спец),IF(C197=$S$8,SUMIFS(Однолинейка!$BX$3:$BX$3000,Однолинейка!$A$3:$A$3000,Щит_спец),""))),""))))</f>
        <v/>
      </c>
      <c r="O197" s="74"/>
      <c r="P197" s="38" t="str">
        <f t="shared" si="27"/>
        <v/>
      </c>
      <c r="U197" s="38" t="str">
        <f t="shared" si="28"/>
        <v/>
      </c>
      <c r="V197" s="38" t="str">
        <f t="shared" si="29"/>
        <v/>
      </c>
      <c r="W197" s="38" t="str">
        <f>IF(AND(U197&lt;&gt;"",OR($S$4="(все)",B197=$S$4),IF($S$4="(все)",COUNTIF($U$4:U197,U197),COUNTIFS($U$4:U197,U197,$B$4:B197,B197))=1),MAX($W$3:W196)+1,"")</f>
        <v/>
      </c>
      <c r="X197" s="38" t="str">
        <f t="shared" si="30"/>
        <v/>
      </c>
      <c r="Y197" s="38" t="str">
        <f>IF(AND(A197="Аппарат",C197&lt;&gt;"",OR($S$5="(все)",B197=$S$5)),MAX($Y$3:Y196)+1,"")</f>
        <v/>
      </c>
      <c r="Z197" s="38" t="str">
        <f t="shared" si="31"/>
        <v/>
      </c>
      <c r="AA197" s="38" t="str">
        <f>IF(AND(A197="Модуль",C197&lt;&gt;"",OR($S$6="(все)",B197=$S$6)),MAX($AA$3:AA196)+1,"")</f>
        <v/>
      </c>
      <c r="AB197" s="38" t="str">
        <f t="shared" si="32"/>
        <v/>
      </c>
      <c r="AC197" s="38" t="str">
        <f>IF(OR(B197="",COUNTIF($B$4:B197,B197)&gt;1),"",MAX($AC$3:AC196)+1)</f>
        <v/>
      </c>
      <c r="AD197" s="38" t="str">
        <f t="shared" si="33"/>
        <v/>
      </c>
      <c r="AE197" s="38" t="str">
        <f t="shared" si="34"/>
        <v/>
      </c>
      <c r="AF197" s="38" t="str">
        <f t="shared" si="35"/>
        <v/>
      </c>
    </row>
    <row r="198" spans="1:32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38" t="str">
        <f>IF(OR(A198="Автомат",A198="Дифавтомат"),IF(W198="","",COUNTIFS(Однолинейка!$H$3:$H$3000,U198,Однолинейка!$A$3:$A$3000,Щит_спец)),IF(A198="Аппарат",IF(C198="","",COUNTIFS(Однолинейка!$I$3:$I$3000,C198,Однолинейка!$A$3:$A$3000,Щит_спец)+COUNTIFS(Однолинейка!$J$3:$J$3000,C198,Однолинейка!$A$3:$A$3000,Щит_спец)+COUNTIFS(Однолинейка!$K$3:$K$3000,C198,Однолинейка!$A$3:$A$3000,Щит_спец)),IF(A198="Модуль",IF(C198="","",COUNTIFS(Однолинейка!$AW$3:$AW$3000,"?*",Однолинейка!$AI$3:$AI$3000,C198,Однолинейка!$A$3:$A$3000,Щит_спец)),IF(A198="Клемма",IF(C198="","",IF(C198=$S$7,SUMIFS(Однолинейка!$BW$3:$BW$3000,Однолинейка!$A$3:$A$3000,Щит_спец),IF(C198=$S$8,SUMIFS(Однолинейка!$BX$3:$BX$3000,Однолинейка!$A$3:$A$3000,Щит_спец),""))),""))))</f>
        <v/>
      </c>
      <c r="O198" s="74"/>
      <c r="P198" s="38" t="str">
        <f t="shared" si="27"/>
        <v/>
      </c>
      <c r="U198" s="38" t="str">
        <f t="shared" si="28"/>
        <v/>
      </c>
      <c r="V198" s="38" t="str">
        <f t="shared" si="29"/>
        <v/>
      </c>
      <c r="W198" s="38" t="str">
        <f>IF(AND(U198&lt;&gt;"",OR($S$4="(все)",B198=$S$4),IF($S$4="(все)",COUNTIF($U$4:U198,U198),COUNTIFS($U$4:U198,U198,$B$4:B198,B198))=1),MAX($W$3:W197)+1,"")</f>
        <v/>
      </c>
      <c r="X198" s="38" t="str">
        <f t="shared" si="30"/>
        <v/>
      </c>
      <c r="Y198" s="38" t="str">
        <f>IF(AND(A198="Аппарат",C198&lt;&gt;"",OR($S$5="(все)",B198=$S$5)),MAX($Y$3:Y197)+1,"")</f>
        <v/>
      </c>
      <c r="Z198" s="38" t="str">
        <f t="shared" si="31"/>
        <v/>
      </c>
      <c r="AA198" s="38" t="str">
        <f>IF(AND(A198="Модуль",C198&lt;&gt;"",OR($S$6="(все)",B198=$S$6)),MAX($AA$3:AA197)+1,"")</f>
        <v/>
      </c>
      <c r="AB198" s="38" t="str">
        <f t="shared" si="32"/>
        <v/>
      </c>
      <c r="AC198" s="38" t="str">
        <f>IF(OR(B198="",COUNTIF($B$4:B198,B198)&gt;1),"",MAX($AC$3:AC197)+1)</f>
        <v/>
      </c>
      <c r="AD198" s="38" t="str">
        <f t="shared" si="33"/>
        <v/>
      </c>
      <c r="AE198" s="38" t="str">
        <f t="shared" si="34"/>
        <v/>
      </c>
      <c r="AF198" s="38" t="str">
        <f t="shared" si="35"/>
        <v/>
      </c>
    </row>
    <row r="199" spans="1:32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38" t="str">
        <f>IF(OR(A199="Автомат",A199="Дифавтомат"),IF(W199="","",COUNTIFS(Однолинейка!$H$3:$H$3000,U199,Однолинейка!$A$3:$A$3000,Щит_спец)),IF(A199="Аппарат",IF(C199="","",COUNTIFS(Однолинейка!$I$3:$I$3000,C199,Однолинейка!$A$3:$A$3000,Щит_спец)+COUNTIFS(Однолинейка!$J$3:$J$3000,C199,Однолинейка!$A$3:$A$3000,Щит_спец)+COUNTIFS(Однолинейка!$K$3:$K$3000,C199,Однолинейка!$A$3:$A$3000,Щит_спец)),IF(A199="Модуль",IF(C199="","",COUNTIFS(Однолинейка!$AW$3:$AW$3000,"?*",Однолинейка!$AI$3:$AI$3000,C199,Однолинейка!$A$3:$A$3000,Щит_спец)),IF(A199="Клемма",IF(C199="","",IF(C199=$S$7,SUMIFS(Однолинейка!$BW$3:$BW$3000,Однолинейка!$A$3:$A$3000,Щит_спец),IF(C199=$S$8,SUMIFS(Однолинейка!$BX$3:$BX$3000,Однолинейка!$A$3:$A$3000,Щит_спец),""))),""))))</f>
        <v/>
      </c>
      <c r="O199" s="74"/>
      <c r="P199" s="38" t="str">
        <f t="shared" si="27"/>
        <v/>
      </c>
      <c r="U199" s="38" t="str">
        <f t="shared" si="28"/>
        <v/>
      </c>
      <c r="V199" s="38" t="str">
        <f t="shared" si="29"/>
        <v/>
      </c>
      <c r="W199" s="38" t="str">
        <f>IF(AND(U199&lt;&gt;"",OR($S$4="(все)",B199=$S$4),IF($S$4="(все)",COUNTIF($U$4:U199,U199),COUNTIFS($U$4:U199,U199,$B$4:B199,B199))=1),MAX($W$3:W198)+1,"")</f>
        <v/>
      </c>
      <c r="X199" s="38" t="str">
        <f t="shared" si="30"/>
        <v/>
      </c>
      <c r="Y199" s="38" t="str">
        <f>IF(AND(A199="Аппарат",C199&lt;&gt;"",OR($S$5="(все)",B199=$S$5)),MAX($Y$3:Y198)+1,"")</f>
        <v/>
      </c>
      <c r="Z199" s="38" t="str">
        <f t="shared" si="31"/>
        <v/>
      </c>
      <c r="AA199" s="38" t="str">
        <f>IF(AND(A199="Модуль",C199&lt;&gt;"",OR($S$6="(все)",B199=$S$6)),MAX($AA$3:AA198)+1,"")</f>
        <v/>
      </c>
      <c r="AB199" s="38" t="str">
        <f t="shared" si="32"/>
        <v/>
      </c>
      <c r="AC199" s="38" t="str">
        <f>IF(OR(B199="",COUNTIF($B$4:B199,B199)&gt;1),"",MAX($AC$3:AC198)+1)</f>
        <v/>
      </c>
      <c r="AD199" s="38" t="str">
        <f t="shared" si="33"/>
        <v/>
      </c>
      <c r="AE199" s="38" t="str">
        <f t="shared" si="34"/>
        <v/>
      </c>
      <c r="AF199" s="38" t="str">
        <f t="shared" si="35"/>
        <v/>
      </c>
    </row>
    <row r="200" spans="1:32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38" t="str">
        <f>IF(OR(A200="Автомат",A200="Дифавтомат"),IF(W200="","",COUNTIFS(Однолинейка!$H$3:$H$3000,U200,Однолинейка!$A$3:$A$3000,Щит_спец)),IF(A200="Аппарат",IF(C200="","",COUNTIFS(Однолинейка!$I$3:$I$3000,C200,Однолинейка!$A$3:$A$3000,Щит_спец)+COUNTIFS(Однолинейка!$J$3:$J$3000,C200,Однолинейка!$A$3:$A$3000,Щит_спец)+COUNTIFS(Однолинейка!$K$3:$K$3000,C200,Однолинейка!$A$3:$A$3000,Щит_спец)),IF(A200="Модуль",IF(C200="","",COUNTIFS(Однолинейка!$AW$3:$AW$3000,"?*",Однолинейка!$AI$3:$AI$3000,C200,Однолинейка!$A$3:$A$3000,Щит_спец)),IF(A200="Клемма",IF(C200="","",IF(C200=$S$7,SUMIFS(Однолинейка!$BW$3:$BW$3000,Однолинейка!$A$3:$A$3000,Щит_спец),IF(C200=$S$8,SUMIFS(Однолинейка!$BX$3:$BX$3000,Однолинейка!$A$3:$A$3000,Щит_спец),""))),""))))</f>
        <v/>
      </c>
      <c r="O200" s="74"/>
      <c r="P200" s="38" t="str">
        <f t="shared" si="27"/>
        <v/>
      </c>
      <c r="U200" s="38" t="str">
        <f t="shared" si="28"/>
        <v/>
      </c>
      <c r="V200" s="38" t="str">
        <f t="shared" si="29"/>
        <v/>
      </c>
      <c r="W200" s="38" t="str">
        <f>IF(AND(U200&lt;&gt;"",OR($S$4="(все)",B200=$S$4),IF($S$4="(все)",COUNTIF($U$4:U200,U200),COUNTIFS($U$4:U200,U200,$B$4:B200,B200))=1),MAX($W$3:W199)+1,"")</f>
        <v/>
      </c>
      <c r="X200" s="38" t="str">
        <f t="shared" si="30"/>
        <v/>
      </c>
      <c r="Y200" s="38" t="str">
        <f>IF(AND(A200="Аппарат",C200&lt;&gt;"",OR($S$5="(все)",B200=$S$5)),MAX($Y$3:Y199)+1,"")</f>
        <v/>
      </c>
      <c r="Z200" s="38" t="str">
        <f t="shared" si="31"/>
        <v/>
      </c>
      <c r="AA200" s="38" t="str">
        <f>IF(AND(A200="Модуль",C200&lt;&gt;"",OR($S$6="(все)",B200=$S$6)),MAX($AA$3:AA199)+1,"")</f>
        <v/>
      </c>
      <c r="AB200" s="38" t="str">
        <f t="shared" si="32"/>
        <v/>
      </c>
      <c r="AC200" s="38" t="str">
        <f>IF(OR(B200="",COUNTIF($B$4:B200,B200)&gt;1),"",MAX($AC$3:AC199)+1)</f>
        <v/>
      </c>
      <c r="AD200" s="38" t="str">
        <f t="shared" si="33"/>
        <v/>
      </c>
      <c r="AE200" s="38" t="str">
        <f t="shared" si="34"/>
        <v/>
      </c>
      <c r="AF200" s="38" t="str">
        <f t="shared" si="35"/>
        <v/>
      </c>
    </row>
    <row r="201" spans="1:32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38" t="str">
        <f>IF(OR(A201="Автомат",A201="Дифавтомат"),IF(W201="","",COUNTIFS(Однолинейка!$H$3:$H$3000,U201,Однолинейка!$A$3:$A$3000,Щит_спец)),IF(A201="Аппарат",IF(C201="","",COUNTIFS(Однолинейка!$I$3:$I$3000,C201,Однолинейка!$A$3:$A$3000,Щит_спец)+COUNTIFS(Однолинейка!$J$3:$J$3000,C201,Однолинейка!$A$3:$A$3000,Щит_спец)+COUNTIFS(Однолинейка!$K$3:$K$3000,C201,Однолинейка!$A$3:$A$3000,Щит_спец)),IF(A201="Модуль",IF(C201="","",COUNTIFS(Однолинейка!$AW$3:$AW$3000,"?*",Однолинейка!$AI$3:$AI$3000,C201,Однолинейка!$A$3:$A$3000,Щит_спец)),IF(A201="Клемма",IF(C201="","",IF(C201=$S$7,SUMIFS(Однолинейка!$BW$3:$BW$3000,Однолинейка!$A$3:$A$3000,Щит_спец),IF(C201=$S$8,SUMIFS(Однолинейка!$BX$3:$BX$3000,Однолинейка!$A$3:$A$3000,Щит_спец),""))),""))))</f>
        <v/>
      </c>
      <c r="O201" s="74"/>
      <c r="P201" s="38" t="str">
        <f t="shared" si="27"/>
        <v/>
      </c>
      <c r="U201" s="38" t="str">
        <f t="shared" si="28"/>
        <v/>
      </c>
      <c r="V201" s="38" t="str">
        <f t="shared" si="29"/>
        <v/>
      </c>
      <c r="W201" s="38" t="str">
        <f>IF(AND(U201&lt;&gt;"",OR($S$4="(все)",B201=$S$4),IF($S$4="(все)",COUNTIF($U$4:U201,U201),COUNTIFS($U$4:U201,U201,$B$4:B201,B201))=1),MAX($W$3:W200)+1,"")</f>
        <v/>
      </c>
      <c r="X201" s="38" t="str">
        <f t="shared" si="30"/>
        <v/>
      </c>
      <c r="Y201" s="38" t="str">
        <f>IF(AND(A201="Аппарат",C201&lt;&gt;"",OR($S$5="(все)",B201=$S$5)),MAX($Y$3:Y200)+1,"")</f>
        <v/>
      </c>
      <c r="Z201" s="38" t="str">
        <f t="shared" si="31"/>
        <v/>
      </c>
      <c r="AA201" s="38" t="str">
        <f>IF(AND(A201="Модуль",C201&lt;&gt;"",OR($S$6="(все)",B201=$S$6)),MAX($AA$3:AA200)+1,"")</f>
        <v/>
      </c>
      <c r="AB201" s="38" t="str">
        <f t="shared" si="32"/>
        <v/>
      </c>
      <c r="AC201" s="38" t="str">
        <f>IF(OR(B201="",COUNTIF($B$4:B201,B201)&gt;1),"",MAX($AC$3:AC200)+1)</f>
        <v/>
      </c>
      <c r="AD201" s="38" t="str">
        <f t="shared" si="33"/>
        <v/>
      </c>
      <c r="AE201" s="38" t="str">
        <f t="shared" si="34"/>
        <v/>
      </c>
      <c r="AF201" s="38" t="str">
        <f t="shared" si="35"/>
        <v/>
      </c>
    </row>
    <row r="202" spans="1:32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38" t="str">
        <f>IF(OR(A202="Автомат",A202="Дифавтомат"),IF(W202="","",COUNTIFS(Однолинейка!$H$3:$H$3000,U202,Однолинейка!$A$3:$A$3000,Щит_спец)),IF(A202="Аппарат",IF(C202="","",COUNTIFS(Однолинейка!$I$3:$I$3000,C202,Однолинейка!$A$3:$A$3000,Щит_спец)+COUNTIFS(Однолинейка!$J$3:$J$3000,C202,Однолинейка!$A$3:$A$3000,Щит_спец)+COUNTIFS(Однолинейка!$K$3:$K$3000,C202,Однолинейка!$A$3:$A$3000,Щит_спец)),IF(A202="Модуль",IF(C202="","",COUNTIFS(Однолинейка!$AW$3:$AW$3000,"?*",Однолинейка!$AI$3:$AI$3000,C202,Однолинейка!$A$3:$A$3000,Щит_спец)),IF(A202="Клемма",IF(C202="","",IF(C202=$S$7,SUMIFS(Однолинейка!$BW$3:$BW$3000,Однолинейка!$A$3:$A$3000,Щит_спец),IF(C202=$S$8,SUMIFS(Однолинейка!$BX$3:$BX$3000,Однолинейка!$A$3:$A$3000,Щит_спец),""))),""))))</f>
        <v/>
      </c>
      <c r="O202" s="74"/>
      <c r="P202" s="38" t="str">
        <f t="shared" si="27"/>
        <v/>
      </c>
      <c r="U202" s="38" t="str">
        <f t="shared" si="28"/>
        <v/>
      </c>
      <c r="V202" s="38" t="str">
        <f t="shared" si="29"/>
        <v/>
      </c>
      <c r="W202" s="38" t="str">
        <f>IF(AND(U202&lt;&gt;"",OR($S$4="(все)",B202=$S$4),IF($S$4="(все)",COUNTIF($U$4:U202,U202),COUNTIFS($U$4:U202,U202,$B$4:B202,B202))=1),MAX($W$3:W201)+1,"")</f>
        <v/>
      </c>
      <c r="X202" s="38" t="str">
        <f t="shared" si="30"/>
        <v/>
      </c>
      <c r="Y202" s="38" t="str">
        <f>IF(AND(A202="Аппарат",C202&lt;&gt;"",OR($S$5="(все)",B202=$S$5)),MAX($Y$3:Y201)+1,"")</f>
        <v/>
      </c>
      <c r="Z202" s="38" t="str">
        <f t="shared" si="31"/>
        <v/>
      </c>
      <c r="AA202" s="38" t="str">
        <f>IF(AND(A202="Модуль",C202&lt;&gt;"",OR($S$6="(все)",B202=$S$6)),MAX($AA$3:AA201)+1,"")</f>
        <v/>
      </c>
      <c r="AB202" s="38" t="str">
        <f t="shared" si="32"/>
        <v/>
      </c>
      <c r="AC202" s="38" t="str">
        <f>IF(OR(B202="",COUNTIF($B$4:B202,B202)&gt;1),"",MAX($AC$3:AC201)+1)</f>
        <v/>
      </c>
      <c r="AD202" s="38" t="str">
        <f t="shared" si="33"/>
        <v/>
      </c>
      <c r="AE202" s="38" t="str">
        <f t="shared" si="34"/>
        <v/>
      </c>
      <c r="AF202" s="38" t="str">
        <f t="shared" si="35"/>
        <v/>
      </c>
    </row>
    <row r="203" spans="1:32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38" t="str">
        <f>IF(OR(A203="Автомат",A203="Дифавтомат"),IF(W203="","",COUNTIFS(Однолинейка!$H$3:$H$3000,U203,Однолинейка!$A$3:$A$3000,Щит_спец)),IF(A203="Аппарат",IF(C203="","",COUNTIFS(Однолинейка!$I$3:$I$3000,C203,Однолинейка!$A$3:$A$3000,Щит_спец)+COUNTIFS(Однолинейка!$J$3:$J$3000,C203,Однолинейка!$A$3:$A$3000,Щит_спец)+COUNTIFS(Однолинейка!$K$3:$K$3000,C203,Однолинейка!$A$3:$A$3000,Щит_спец)),IF(A203="Модуль",IF(C203="","",COUNTIFS(Однолинейка!$AW$3:$AW$3000,"?*",Однолинейка!$AI$3:$AI$3000,C203,Однолинейка!$A$3:$A$3000,Щит_спец)),IF(A203="Клемма",IF(C203="","",IF(C203=$S$7,SUMIFS(Однолинейка!$BW$3:$BW$3000,Однолинейка!$A$3:$A$3000,Щит_спец),IF(C203=$S$8,SUMIFS(Однолинейка!$BX$3:$BX$3000,Однолинейка!$A$3:$A$3000,Щит_спец),""))),""))))</f>
        <v/>
      </c>
      <c r="O203" s="74"/>
      <c r="P203" s="38" t="str">
        <f t="shared" si="27"/>
        <v/>
      </c>
      <c r="U203" s="38" t="str">
        <f t="shared" si="28"/>
        <v/>
      </c>
      <c r="V203" s="38" t="str">
        <f t="shared" si="29"/>
        <v/>
      </c>
      <c r="W203" s="38" t="str">
        <f>IF(AND(U203&lt;&gt;"",OR($S$4="(все)",B203=$S$4),IF($S$4="(все)",COUNTIF($U$4:U203,U203),COUNTIFS($U$4:U203,U203,$B$4:B203,B203))=1),MAX($W$3:W202)+1,"")</f>
        <v/>
      </c>
      <c r="X203" s="38" t="str">
        <f t="shared" si="30"/>
        <v/>
      </c>
      <c r="Y203" s="38" t="str">
        <f>IF(AND(A203="Аппарат",C203&lt;&gt;"",OR($S$5="(все)",B203=$S$5)),MAX($Y$3:Y202)+1,"")</f>
        <v/>
      </c>
      <c r="Z203" s="38" t="str">
        <f t="shared" si="31"/>
        <v/>
      </c>
      <c r="AA203" s="38" t="str">
        <f>IF(AND(A203="Модуль",C203&lt;&gt;"",OR($S$6="(все)",B203=$S$6)),MAX($AA$3:AA202)+1,"")</f>
        <v/>
      </c>
      <c r="AB203" s="38" t="str">
        <f t="shared" si="32"/>
        <v/>
      </c>
      <c r="AC203" s="38" t="str">
        <f>IF(OR(B203="",COUNTIF($B$4:B203,B203)&gt;1),"",MAX($AC$3:AC202)+1)</f>
        <v/>
      </c>
      <c r="AD203" s="38" t="str">
        <f t="shared" si="33"/>
        <v/>
      </c>
      <c r="AE203" s="38" t="str">
        <f t="shared" si="34"/>
        <v/>
      </c>
      <c r="AF203" s="38" t="str">
        <f t="shared" si="35"/>
        <v/>
      </c>
    </row>
    <row r="204" spans="1:32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38" t="str">
        <f>IF(OR(A204="Автомат",A204="Дифавтомат"),IF(W204="","",COUNTIFS(Однолинейка!$H$3:$H$3000,U204,Однолинейка!$A$3:$A$3000,Щит_спец)),IF(A204="Аппарат",IF(C204="","",COUNTIFS(Однолинейка!$I$3:$I$3000,C204,Однолинейка!$A$3:$A$3000,Щит_спец)+COUNTIFS(Однолинейка!$J$3:$J$3000,C204,Однолинейка!$A$3:$A$3000,Щит_спец)+COUNTIFS(Однолинейка!$K$3:$K$3000,C204,Однолинейка!$A$3:$A$3000,Щит_спец)),IF(A204="Модуль",IF(C204="","",COUNTIFS(Однолинейка!$AW$3:$AW$3000,"?*",Однолинейка!$AI$3:$AI$3000,C204,Однолинейка!$A$3:$A$3000,Щит_спец)),IF(A204="Клемма",IF(C204="","",IF(C204=$S$7,SUMIFS(Однолинейка!$BW$3:$BW$3000,Однолинейка!$A$3:$A$3000,Щит_спец),IF(C204=$S$8,SUMIFS(Однолинейка!$BX$3:$BX$3000,Однолинейка!$A$3:$A$3000,Щит_спец),""))),""))))</f>
        <v/>
      </c>
      <c r="O204" s="74"/>
      <c r="P204" s="38" t="str">
        <f t="shared" si="27"/>
        <v/>
      </c>
      <c r="U204" s="38" t="str">
        <f t="shared" si="28"/>
        <v/>
      </c>
      <c r="V204" s="38" t="str">
        <f t="shared" si="29"/>
        <v/>
      </c>
      <c r="W204" s="38" t="str">
        <f>IF(AND(U204&lt;&gt;"",OR($S$4="(все)",B204=$S$4),IF($S$4="(все)",COUNTIF($U$4:U204,U204),COUNTIFS($U$4:U204,U204,$B$4:B204,B204))=1),MAX($W$3:W203)+1,"")</f>
        <v/>
      </c>
      <c r="X204" s="38" t="str">
        <f t="shared" si="30"/>
        <v/>
      </c>
      <c r="Y204" s="38" t="str">
        <f>IF(AND(A204="Аппарат",C204&lt;&gt;"",OR($S$5="(все)",B204=$S$5)),MAX($Y$3:Y203)+1,"")</f>
        <v/>
      </c>
      <c r="Z204" s="38" t="str">
        <f t="shared" si="31"/>
        <v/>
      </c>
      <c r="AA204" s="38" t="str">
        <f>IF(AND(A204="Модуль",C204&lt;&gt;"",OR($S$6="(все)",B204=$S$6)),MAX($AA$3:AA203)+1,"")</f>
        <v/>
      </c>
      <c r="AB204" s="38" t="str">
        <f t="shared" si="32"/>
        <v/>
      </c>
      <c r="AC204" s="38" t="str">
        <f>IF(OR(B204="",COUNTIF($B$4:B204,B204)&gt;1),"",MAX($AC$3:AC203)+1)</f>
        <v/>
      </c>
      <c r="AD204" s="38" t="str">
        <f t="shared" si="33"/>
        <v/>
      </c>
      <c r="AE204" s="38" t="str">
        <f t="shared" si="34"/>
        <v/>
      </c>
      <c r="AF204" s="38" t="str">
        <f t="shared" si="35"/>
        <v/>
      </c>
    </row>
    <row r="205" spans="1:32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38" t="str">
        <f>IF(OR(A205="Автомат",A205="Дифавтомат"),IF(W205="","",COUNTIFS(Однолинейка!$H$3:$H$3000,U205,Однолинейка!$A$3:$A$3000,Щит_спец)),IF(A205="Аппарат",IF(C205="","",COUNTIFS(Однолинейка!$I$3:$I$3000,C205,Однолинейка!$A$3:$A$3000,Щит_спец)+COUNTIFS(Однолинейка!$J$3:$J$3000,C205,Однолинейка!$A$3:$A$3000,Щит_спец)+COUNTIFS(Однолинейка!$K$3:$K$3000,C205,Однолинейка!$A$3:$A$3000,Щит_спец)),IF(A205="Модуль",IF(C205="","",COUNTIFS(Однолинейка!$AW$3:$AW$3000,"?*",Однолинейка!$AI$3:$AI$3000,C205,Однолинейка!$A$3:$A$3000,Щит_спец)),IF(A205="Клемма",IF(C205="","",IF(C205=$S$7,SUMIFS(Однолинейка!$BW$3:$BW$3000,Однолинейка!$A$3:$A$3000,Щит_спец),IF(C205=$S$8,SUMIFS(Однолинейка!$BX$3:$BX$3000,Однолинейка!$A$3:$A$3000,Щит_спец),""))),""))))</f>
        <v/>
      </c>
      <c r="O205" s="74"/>
      <c r="P205" s="38" t="str">
        <f t="shared" si="27"/>
        <v/>
      </c>
      <c r="U205" s="38" t="str">
        <f t="shared" si="28"/>
        <v/>
      </c>
      <c r="V205" s="38" t="str">
        <f t="shared" si="29"/>
        <v/>
      </c>
      <c r="W205" s="38" t="str">
        <f>IF(AND(U205&lt;&gt;"",OR($S$4="(все)",B205=$S$4),IF($S$4="(все)",COUNTIF($U$4:U205,U205),COUNTIFS($U$4:U205,U205,$B$4:B205,B205))=1),MAX($W$3:W204)+1,"")</f>
        <v/>
      </c>
      <c r="X205" s="38" t="str">
        <f t="shared" si="30"/>
        <v/>
      </c>
      <c r="Y205" s="38" t="str">
        <f>IF(AND(A205="Аппарат",C205&lt;&gt;"",OR($S$5="(все)",B205=$S$5)),MAX($Y$3:Y204)+1,"")</f>
        <v/>
      </c>
      <c r="Z205" s="38" t="str">
        <f t="shared" si="31"/>
        <v/>
      </c>
      <c r="AA205" s="38" t="str">
        <f>IF(AND(A205="Модуль",C205&lt;&gt;"",OR($S$6="(все)",B205=$S$6)),MAX($AA$3:AA204)+1,"")</f>
        <v/>
      </c>
      <c r="AB205" s="38" t="str">
        <f t="shared" si="32"/>
        <v/>
      </c>
      <c r="AC205" s="38" t="str">
        <f>IF(OR(B205="",COUNTIF($B$4:B205,B205)&gt;1),"",MAX($AC$3:AC204)+1)</f>
        <v/>
      </c>
      <c r="AD205" s="38" t="str">
        <f t="shared" si="33"/>
        <v/>
      </c>
      <c r="AE205" s="38" t="str">
        <f t="shared" si="34"/>
        <v/>
      </c>
      <c r="AF205" s="38" t="str">
        <f t="shared" si="35"/>
        <v/>
      </c>
    </row>
    <row r="206" spans="1:32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38" t="str">
        <f>IF(OR(A206="Автомат",A206="Дифавтомат"),IF(W206="","",COUNTIFS(Однолинейка!$H$3:$H$3000,U206,Однолинейка!$A$3:$A$3000,Щит_спец)),IF(A206="Аппарат",IF(C206="","",COUNTIFS(Однолинейка!$I$3:$I$3000,C206,Однолинейка!$A$3:$A$3000,Щит_спец)+COUNTIFS(Однолинейка!$J$3:$J$3000,C206,Однолинейка!$A$3:$A$3000,Щит_спец)+COUNTIFS(Однолинейка!$K$3:$K$3000,C206,Однолинейка!$A$3:$A$3000,Щит_спец)),IF(A206="Модуль",IF(C206="","",COUNTIFS(Однолинейка!$AW$3:$AW$3000,"?*",Однолинейка!$AI$3:$AI$3000,C206,Однолинейка!$A$3:$A$3000,Щит_спец)),IF(A206="Клемма",IF(C206="","",IF(C206=$S$7,SUMIFS(Однолинейка!$BW$3:$BW$3000,Однолинейка!$A$3:$A$3000,Щит_спец),IF(C206=$S$8,SUMIFS(Однолинейка!$BX$3:$BX$3000,Однолинейка!$A$3:$A$3000,Щит_спец),""))),""))))</f>
        <v/>
      </c>
      <c r="O206" s="74"/>
      <c r="P206" s="38" t="str">
        <f t="shared" si="27"/>
        <v/>
      </c>
      <c r="U206" s="38" t="str">
        <f t="shared" si="28"/>
        <v/>
      </c>
      <c r="V206" s="38" t="str">
        <f t="shared" si="29"/>
        <v/>
      </c>
      <c r="W206" s="38" t="str">
        <f>IF(AND(U206&lt;&gt;"",OR($S$4="(все)",B206=$S$4),IF($S$4="(все)",COUNTIF($U$4:U206,U206),COUNTIFS($U$4:U206,U206,$B$4:B206,B206))=1),MAX($W$3:W205)+1,"")</f>
        <v/>
      </c>
      <c r="X206" s="38" t="str">
        <f t="shared" si="30"/>
        <v/>
      </c>
      <c r="Y206" s="38" t="str">
        <f>IF(AND(A206="Аппарат",C206&lt;&gt;"",OR($S$5="(все)",B206=$S$5)),MAX($Y$3:Y205)+1,"")</f>
        <v/>
      </c>
      <c r="Z206" s="38" t="str">
        <f t="shared" si="31"/>
        <v/>
      </c>
      <c r="AA206" s="38" t="str">
        <f>IF(AND(A206="Модуль",C206&lt;&gt;"",OR($S$6="(все)",B206=$S$6)),MAX($AA$3:AA205)+1,"")</f>
        <v/>
      </c>
      <c r="AB206" s="38" t="str">
        <f t="shared" si="32"/>
        <v/>
      </c>
      <c r="AC206" s="38" t="str">
        <f>IF(OR(B206="",COUNTIF($B$4:B206,B206)&gt;1),"",MAX($AC$3:AC205)+1)</f>
        <v/>
      </c>
      <c r="AD206" s="38" t="str">
        <f t="shared" si="33"/>
        <v/>
      </c>
      <c r="AE206" s="38" t="str">
        <f t="shared" si="34"/>
        <v/>
      </c>
      <c r="AF206" s="38" t="str">
        <f t="shared" si="35"/>
        <v/>
      </c>
    </row>
    <row r="207" spans="1:32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38" t="str">
        <f>IF(OR(A207="Автомат",A207="Дифавтомат"),IF(W207="","",COUNTIFS(Однолинейка!$H$3:$H$3000,U207,Однолинейка!$A$3:$A$3000,Щит_спец)),IF(A207="Аппарат",IF(C207="","",COUNTIFS(Однолинейка!$I$3:$I$3000,C207,Однолинейка!$A$3:$A$3000,Щит_спец)+COUNTIFS(Однолинейка!$J$3:$J$3000,C207,Однолинейка!$A$3:$A$3000,Щит_спец)+COUNTIFS(Однолинейка!$K$3:$K$3000,C207,Однолинейка!$A$3:$A$3000,Щит_спец)),IF(A207="Модуль",IF(C207="","",COUNTIFS(Однолинейка!$AW$3:$AW$3000,"?*",Однолинейка!$AI$3:$AI$3000,C207,Однолинейка!$A$3:$A$3000,Щит_спец)),IF(A207="Клемма",IF(C207="","",IF(C207=$S$7,SUMIFS(Однолинейка!$BW$3:$BW$3000,Однолинейка!$A$3:$A$3000,Щит_спец),IF(C207=$S$8,SUMIFS(Однолинейка!$BX$3:$BX$3000,Однолинейка!$A$3:$A$3000,Щит_спец),""))),""))))</f>
        <v/>
      </c>
      <c r="O207" s="74"/>
      <c r="P207" s="38" t="str">
        <f t="shared" si="27"/>
        <v/>
      </c>
      <c r="U207" s="38" t="str">
        <f t="shared" si="28"/>
        <v/>
      </c>
      <c r="V207" s="38" t="str">
        <f t="shared" si="29"/>
        <v/>
      </c>
      <c r="W207" s="38" t="str">
        <f>IF(AND(U207&lt;&gt;"",OR($S$4="(все)",B207=$S$4),IF($S$4="(все)",COUNTIF($U$4:U207,U207),COUNTIFS($U$4:U207,U207,$B$4:B207,B207))=1),MAX($W$3:W206)+1,"")</f>
        <v/>
      </c>
      <c r="X207" s="38" t="str">
        <f t="shared" si="30"/>
        <v/>
      </c>
      <c r="Y207" s="38" t="str">
        <f>IF(AND(A207="Аппарат",C207&lt;&gt;"",OR($S$5="(все)",B207=$S$5)),MAX($Y$3:Y206)+1,"")</f>
        <v/>
      </c>
      <c r="Z207" s="38" t="str">
        <f t="shared" si="31"/>
        <v/>
      </c>
      <c r="AA207" s="38" t="str">
        <f>IF(AND(A207="Модуль",C207&lt;&gt;"",OR($S$6="(все)",B207=$S$6)),MAX($AA$3:AA206)+1,"")</f>
        <v/>
      </c>
      <c r="AB207" s="38" t="str">
        <f t="shared" si="32"/>
        <v/>
      </c>
      <c r="AC207" s="38" t="str">
        <f>IF(OR(B207="",COUNTIF($B$4:B207,B207)&gt;1),"",MAX($AC$3:AC206)+1)</f>
        <v/>
      </c>
      <c r="AD207" s="38" t="str">
        <f t="shared" si="33"/>
        <v/>
      </c>
      <c r="AE207" s="38" t="str">
        <f t="shared" si="34"/>
        <v/>
      </c>
      <c r="AF207" s="38" t="str">
        <f t="shared" si="35"/>
        <v/>
      </c>
    </row>
    <row r="208" spans="1:32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38" t="str">
        <f>IF(OR(A208="Автомат",A208="Дифавтомат"),IF(W208="","",COUNTIFS(Однолинейка!$H$3:$H$3000,U208,Однолинейка!$A$3:$A$3000,Щит_спец)),IF(A208="Аппарат",IF(C208="","",COUNTIFS(Однолинейка!$I$3:$I$3000,C208,Однолинейка!$A$3:$A$3000,Щит_спец)+COUNTIFS(Однолинейка!$J$3:$J$3000,C208,Однолинейка!$A$3:$A$3000,Щит_спец)+COUNTIFS(Однолинейка!$K$3:$K$3000,C208,Однолинейка!$A$3:$A$3000,Щит_спец)),IF(A208="Модуль",IF(C208="","",COUNTIFS(Однолинейка!$AW$3:$AW$3000,"?*",Однолинейка!$AI$3:$AI$3000,C208,Однолинейка!$A$3:$A$3000,Щит_спец)),IF(A208="Клемма",IF(C208="","",IF(C208=$S$7,SUMIFS(Однолинейка!$BW$3:$BW$3000,Однолинейка!$A$3:$A$3000,Щит_спец),IF(C208=$S$8,SUMIFS(Однолинейка!$BX$3:$BX$3000,Однолинейка!$A$3:$A$3000,Щит_спец),""))),""))))</f>
        <v/>
      </c>
      <c r="O208" s="74"/>
      <c r="P208" s="38" t="str">
        <f t="shared" si="27"/>
        <v/>
      </c>
      <c r="U208" s="38" t="str">
        <f t="shared" si="28"/>
        <v/>
      </c>
      <c r="V208" s="38" t="str">
        <f t="shared" si="29"/>
        <v/>
      </c>
      <c r="W208" s="38" t="str">
        <f>IF(AND(U208&lt;&gt;"",OR($S$4="(все)",B208=$S$4),IF($S$4="(все)",COUNTIF($U$4:U208,U208),COUNTIFS($U$4:U208,U208,$B$4:B208,B208))=1),MAX($W$3:W207)+1,"")</f>
        <v/>
      </c>
      <c r="X208" s="38" t="str">
        <f t="shared" si="30"/>
        <v/>
      </c>
      <c r="Y208" s="38" t="str">
        <f>IF(AND(A208="Аппарат",C208&lt;&gt;"",OR($S$5="(все)",B208=$S$5)),MAX($Y$3:Y207)+1,"")</f>
        <v/>
      </c>
      <c r="Z208" s="38" t="str">
        <f t="shared" si="31"/>
        <v/>
      </c>
      <c r="AA208" s="38" t="str">
        <f>IF(AND(A208="Модуль",C208&lt;&gt;"",OR($S$6="(все)",B208=$S$6)),MAX($AA$3:AA207)+1,"")</f>
        <v/>
      </c>
      <c r="AB208" s="38" t="str">
        <f t="shared" si="32"/>
        <v/>
      </c>
      <c r="AC208" s="38" t="str">
        <f>IF(OR(B208="",COUNTIF($B$4:B208,B208)&gt;1),"",MAX($AC$3:AC207)+1)</f>
        <v/>
      </c>
      <c r="AD208" s="38" t="str">
        <f t="shared" si="33"/>
        <v/>
      </c>
      <c r="AE208" s="38" t="str">
        <f t="shared" si="34"/>
        <v/>
      </c>
      <c r="AF208" s="38" t="str">
        <f t="shared" si="35"/>
        <v/>
      </c>
    </row>
    <row r="209" spans="1:32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38" t="str">
        <f>IF(OR(A209="Автомат",A209="Дифавтомат"),IF(W209="","",COUNTIFS(Однолинейка!$H$3:$H$3000,U209,Однолинейка!$A$3:$A$3000,Щит_спец)),IF(A209="Аппарат",IF(C209="","",COUNTIFS(Однолинейка!$I$3:$I$3000,C209,Однолинейка!$A$3:$A$3000,Щит_спец)+COUNTIFS(Однолинейка!$J$3:$J$3000,C209,Однолинейка!$A$3:$A$3000,Щит_спец)+COUNTIFS(Однолинейка!$K$3:$K$3000,C209,Однолинейка!$A$3:$A$3000,Щит_спец)),IF(A209="Модуль",IF(C209="","",COUNTIFS(Однолинейка!$AW$3:$AW$3000,"?*",Однолинейка!$AI$3:$AI$3000,C209,Однолинейка!$A$3:$A$3000,Щит_спец)),IF(A209="Клемма",IF(C209="","",IF(C209=$S$7,SUMIFS(Однолинейка!$BW$3:$BW$3000,Однолинейка!$A$3:$A$3000,Щит_спец),IF(C209=$S$8,SUMIFS(Однолинейка!$BX$3:$BX$3000,Однолинейка!$A$3:$A$3000,Щит_спец),""))),""))))</f>
        <v/>
      </c>
      <c r="O209" s="74"/>
      <c r="P209" s="38" t="str">
        <f t="shared" si="27"/>
        <v/>
      </c>
      <c r="U209" s="38" t="str">
        <f t="shared" si="28"/>
        <v/>
      </c>
      <c r="V209" s="38" t="str">
        <f t="shared" si="29"/>
        <v/>
      </c>
      <c r="W209" s="38" t="str">
        <f>IF(AND(U209&lt;&gt;"",OR($S$4="(все)",B209=$S$4),IF($S$4="(все)",COUNTIF($U$4:U209,U209),COUNTIFS($U$4:U209,U209,$B$4:B209,B209))=1),MAX($W$3:W208)+1,"")</f>
        <v/>
      </c>
      <c r="X209" s="38" t="str">
        <f t="shared" si="30"/>
        <v/>
      </c>
      <c r="Y209" s="38" t="str">
        <f>IF(AND(A209="Аппарат",C209&lt;&gt;"",OR($S$5="(все)",B209=$S$5)),MAX($Y$3:Y208)+1,"")</f>
        <v/>
      </c>
      <c r="Z209" s="38" t="str">
        <f t="shared" si="31"/>
        <v/>
      </c>
      <c r="AA209" s="38" t="str">
        <f>IF(AND(A209="Модуль",C209&lt;&gt;"",OR($S$6="(все)",B209=$S$6)),MAX($AA$3:AA208)+1,"")</f>
        <v/>
      </c>
      <c r="AB209" s="38" t="str">
        <f t="shared" si="32"/>
        <v/>
      </c>
      <c r="AC209" s="38" t="str">
        <f>IF(OR(B209="",COUNTIF($B$4:B209,B209)&gt;1),"",MAX($AC$3:AC208)+1)</f>
        <v/>
      </c>
      <c r="AD209" s="38" t="str">
        <f t="shared" si="33"/>
        <v/>
      </c>
      <c r="AE209" s="38" t="str">
        <f t="shared" si="34"/>
        <v/>
      </c>
      <c r="AF209" s="38" t="str">
        <f t="shared" si="35"/>
        <v/>
      </c>
    </row>
    <row r="210" spans="1:32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38" t="str">
        <f>IF(OR(A210="Автомат",A210="Дифавтомат"),IF(W210="","",COUNTIFS(Однолинейка!$H$3:$H$3000,U210,Однолинейка!$A$3:$A$3000,Щит_спец)),IF(A210="Аппарат",IF(C210="","",COUNTIFS(Однолинейка!$I$3:$I$3000,C210,Однолинейка!$A$3:$A$3000,Щит_спец)+COUNTIFS(Однолинейка!$J$3:$J$3000,C210,Однолинейка!$A$3:$A$3000,Щит_спец)+COUNTIFS(Однолинейка!$K$3:$K$3000,C210,Однолинейка!$A$3:$A$3000,Щит_спец)),IF(A210="Модуль",IF(C210="","",COUNTIFS(Однолинейка!$AW$3:$AW$3000,"?*",Однолинейка!$AI$3:$AI$3000,C210,Однолинейка!$A$3:$A$3000,Щит_спец)),IF(A210="Клемма",IF(C210="","",IF(C210=$S$7,SUMIFS(Однолинейка!$BW$3:$BW$3000,Однолинейка!$A$3:$A$3000,Щит_спец),IF(C210=$S$8,SUMIFS(Однолинейка!$BX$3:$BX$3000,Однолинейка!$A$3:$A$3000,Щит_спец),""))),""))))</f>
        <v/>
      </c>
      <c r="O210" s="74"/>
      <c r="P210" s="38" t="str">
        <f t="shared" si="27"/>
        <v/>
      </c>
      <c r="U210" s="38" t="str">
        <f t="shared" si="28"/>
        <v/>
      </c>
      <c r="V210" s="38" t="str">
        <f t="shared" si="29"/>
        <v/>
      </c>
      <c r="W210" s="38" t="str">
        <f>IF(AND(U210&lt;&gt;"",OR($S$4="(все)",B210=$S$4),IF($S$4="(все)",COUNTIF($U$4:U210,U210),COUNTIFS($U$4:U210,U210,$B$4:B210,B210))=1),MAX($W$3:W209)+1,"")</f>
        <v/>
      </c>
      <c r="X210" s="38" t="str">
        <f t="shared" si="30"/>
        <v/>
      </c>
      <c r="Y210" s="38" t="str">
        <f>IF(AND(A210="Аппарат",C210&lt;&gt;"",OR($S$5="(все)",B210=$S$5)),MAX($Y$3:Y209)+1,"")</f>
        <v/>
      </c>
      <c r="Z210" s="38" t="str">
        <f t="shared" si="31"/>
        <v/>
      </c>
      <c r="AA210" s="38" t="str">
        <f>IF(AND(A210="Модуль",C210&lt;&gt;"",OR($S$6="(все)",B210=$S$6)),MAX($AA$3:AA209)+1,"")</f>
        <v/>
      </c>
      <c r="AB210" s="38" t="str">
        <f t="shared" si="32"/>
        <v/>
      </c>
      <c r="AC210" s="38" t="str">
        <f>IF(OR(B210="",COUNTIF($B$4:B210,B210)&gt;1),"",MAX($AC$3:AC209)+1)</f>
        <v/>
      </c>
      <c r="AD210" s="38" t="str">
        <f t="shared" si="33"/>
        <v/>
      </c>
      <c r="AE210" s="38" t="str">
        <f t="shared" si="34"/>
        <v/>
      </c>
      <c r="AF210" s="38" t="str">
        <f t="shared" si="35"/>
        <v/>
      </c>
    </row>
    <row r="211" spans="1:32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38" t="str">
        <f>IF(OR(A211="Автомат",A211="Дифавтомат"),IF(W211="","",COUNTIFS(Однолинейка!$H$3:$H$3000,U211,Однолинейка!$A$3:$A$3000,Щит_спец)),IF(A211="Аппарат",IF(C211="","",COUNTIFS(Однолинейка!$I$3:$I$3000,C211,Однолинейка!$A$3:$A$3000,Щит_спец)+COUNTIFS(Однолинейка!$J$3:$J$3000,C211,Однолинейка!$A$3:$A$3000,Щит_спец)+COUNTIFS(Однолинейка!$K$3:$K$3000,C211,Однолинейка!$A$3:$A$3000,Щит_спец)),IF(A211="Модуль",IF(C211="","",COUNTIFS(Однолинейка!$AW$3:$AW$3000,"?*",Однолинейка!$AI$3:$AI$3000,C211,Однолинейка!$A$3:$A$3000,Щит_спец)),IF(A211="Клемма",IF(C211="","",IF(C211=$S$7,SUMIFS(Однолинейка!$BW$3:$BW$3000,Однолинейка!$A$3:$A$3000,Щит_спец),IF(C211=$S$8,SUMIFS(Однолинейка!$BX$3:$BX$3000,Однолинейка!$A$3:$A$3000,Щит_спец),""))),""))))</f>
        <v/>
      </c>
      <c r="O211" s="74"/>
      <c r="P211" s="38" t="str">
        <f t="shared" si="27"/>
        <v/>
      </c>
      <c r="U211" s="38" t="str">
        <f t="shared" si="28"/>
        <v/>
      </c>
      <c r="V211" s="38" t="str">
        <f t="shared" si="29"/>
        <v/>
      </c>
      <c r="W211" s="38" t="str">
        <f>IF(AND(U211&lt;&gt;"",OR($S$4="(все)",B211=$S$4),IF($S$4="(все)",COUNTIF($U$4:U211,U211),COUNTIFS($U$4:U211,U211,$B$4:B211,B211))=1),MAX($W$3:W210)+1,"")</f>
        <v/>
      </c>
      <c r="X211" s="38" t="str">
        <f t="shared" si="30"/>
        <v/>
      </c>
      <c r="Y211" s="38" t="str">
        <f>IF(AND(A211="Аппарат",C211&lt;&gt;"",OR($S$5="(все)",B211=$S$5)),MAX($Y$3:Y210)+1,"")</f>
        <v/>
      </c>
      <c r="Z211" s="38" t="str">
        <f t="shared" si="31"/>
        <v/>
      </c>
      <c r="AA211" s="38" t="str">
        <f>IF(AND(A211="Модуль",C211&lt;&gt;"",OR($S$6="(все)",B211=$S$6)),MAX($AA$3:AA210)+1,"")</f>
        <v/>
      </c>
      <c r="AB211" s="38" t="str">
        <f t="shared" si="32"/>
        <v/>
      </c>
      <c r="AC211" s="38" t="str">
        <f>IF(OR(B211="",COUNTIF($B$4:B211,B211)&gt;1),"",MAX($AC$3:AC210)+1)</f>
        <v/>
      </c>
      <c r="AD211" s="38" t="str">
        <f t="shared" si="33"/>
        <v/>
      </c>
      <c r="AE211" s="38" t="str">
        <f t="shared" si="34"/>
        <v/>
      </c>
      <c r="AF211" s="38" t="str">
        <f t="shared" si="35"/>
        <v/>
      </c>
    </row>
    <row r="212" spans="1:32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38" t="str">
        <f>IF(OR(A212="Автомат",A212="Дифавтомат"),IF(W212="","",COUNTIFS(Однолинейка!$H$3:$H$3000,U212,Однолинейка!$A$3:$A$3000,Щит_спец)),IF(A212="Аппарат",IF(C212="","",COUNTIFS(Однолинейка!$I$3:$I$3000,C212,Однолинейка!$A$3:$A$3000,Щит_спец)+COUNTIFS(Однолинейка!$J$3:$J$3000,C212,Однолинейка!$A$3:$A$3000,Щит_спец)+COUNTIFS(Однолинейка!$K$3:$K$3000,C212,Однолинейка!$A$3:$A$3000,Щит_спец)),IF(A212="Модуль",IF(C212="","",COUNTIFS(Однолинейка!$AW$3:$AW$3000,"?*",Однолинейка!$AI$3:$AI$3000,C212,Однолинейка!$A$3:$A$3000,Щит_спец)),IF(A212="Клемма",IF(C212="","",IF(C212=$S$7,SUMIFS(Однолинейка!$BW$3:$BW$3000,Однолинейка!$A$3:$A$3000,Щит_спец),IF(C212=$S$8,SUMIFS(Однолинейка!$BX$3:$BX$3000,Однолинейка!$A$3:$A$3000,Щит_спец),""))),""))))</f>
        <v/>
      </c>
      <c r="O212" s="74"/>
      <c r="P212" s="38" t="str">
        <f t="shared" si="27"/>
        <v/>
      </c>
      <c r="U212" s="38" t="str">
        <f t="shared" si="28"/>
        <v/>
      </c>
      <c r="V212" s="38" t="str">
        <f t="shared" si="29"/>
        <v/>
      </c>
      <c r="W212" s="38" t="str">
        <f>IF(AND(U212&lt;&gt;"",OR($S$4="(все)",B212=$S$4),IF($S$4="(все)",COUNTIF($U$4:U212,U212),COUNTIFS($U$4:U212,U212,$B$4:B212,B212))=1),MAX($W$3:W211)+1,"")</f>
        <v/>
      </c>
      <c r="X212" s="38" t="str">
        <f t="shared" si="30"/>
        <v/>
      </c>
      <c r="Y212" s="38" t="str">
        <f>IF(AND(A212="Аппарат",C212&lt;&gt;"",OR($S$5="(все)",B212=$S$5)),MAX($Y$3:Y211)+1,"")</f>
        <v/>
      </c>
      <c r="Z212" s="38" t="str">
        <f t="shared" si="31"/>
        <v/>
      </c>
      <c r="AA212" s="38" t="str">
        <f>IF(AND(A212="Модуль",C212&lt;&gt;"",OR($S$6="(все)",B212=$S$6)),MAX($AA$3:AA211)+1,"")</f>
        <v/>
      </c>
      <c r="AB212" s="38" t="str">
        <f t="shared" si="32"/>
        <v/>
      </c>
      <c r="AC212" s="38" t="str">
        <f>IF(OR(B212="",COUNTIF($B$4:B212,B212)&gt;1),"",MAX($AC$3:AC211)+1)</f>
        <v/>
      </c>
      <c r="AD212" s="38" t="str">
        <f t="shared" si="33"/>
        <v/>
      </c>
      <c r="AE212" s="38" t="str">
        <f t="shared" si="34"/>
        <v/>
      </c>
      <c r="AF212" s="38" t="str">
        <f t="shared" si="35"/>
        <v/>
      </c>
    </row>
    <row r="213" spans="1:32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38" t="str">
        <f>IF(OR(A213="Автомат",A213="Дифавтомат"),IF(W213="","",COUNTIFS(Однолинейка!$H$3:$H$3000,U213,Однолинейка!$A$3:$A$3000,Щит_спец)),IF(A213="Аппарат",IF(C213="","",COUNTIFS(Однолинейка!$I$3:$I$3000,C213,Однолинейка!$A$3:$A$3000,Щит_спец)+COUNTIFS(Однолинейка!$J$3:$J$3000,C213,Однолинейка!$A$3:$A$3000,Щит_спец)+COUNTIFS(Однолинейка!$K$3:$K$3000,C213,Однолинейка!$A$3:$A$3000,Щит_спец)),IF(A213="Модуль",IF(C213="","",COUNTIFS(Однолинейка!$AW$3:$AW$3000,"?*",Однолинейка!$AI$3:$AI$3000,C213,Однолинейка!$A$3:$A$3000,Щит_спец)),IF(A213="Клемма",IF(C213="","",IF(C213=$S$7,SUMIFS(Однолинейка!$BW$3:$BW$3000,Однолинейка!$A$3:$A$3000,Щит_спец),IF(C213=$S$8,SUMIFS(Однолинейка!$BX$3:$BX$3000,Однолинейка!$A$3:$A$3000,Щит_спец),""))),""))))</f>
        <v/>
      </c>
      <c r="O213" s="74"/>
      <c r="P213" s="38" t="str">
        <f t="shared" si="27"/>
        <v/>
      </c>
      <c r="U213" s="38" t="str">
        <f t="shared" si="28"/>
        <v/>
      </c>
      <c r="V213" s="38" t="str">
        <f t="shared" si="29"/>
        <v/>
      </c>
      <c r="W213" s="38" t="str">
        <f>IF(AND(U213&lt;&gt;"",OR($S$4="(все)",B213=$S$4),IF($S$4="(все)",COUNTIF($U$4:U213,U213),COUNTIFS($U$4:U213,U213,$B$4:B213,B213))=1),MAX($W$3:W212)+1,"")</f>
        <v/>
      </c>
      <c r="X213" s="38" t="str">
        <f t="shared" si="30"/>
        <v/>
      </c>
      <c r="Y213" s="38" t="str">
        <f>IF(AND(A213="Аппарат",C213&lt;&gt;"",OR($S$5="(все)",B213=$S$5)),MAX($Y$3:Y212)+1,"")</f>
        <v/>
      </c>
      <c r="Z213" s="38" t="str">
        <f t="shared" si="31"/>
        <v/>
      </c>
      <c r="AA213" s="38" t="str">
        <f>IF(AND(A213="Модуль",C213&lt;&gt;"",OR($S$6="(все)",B213=$S$6)),MAX($AA$3:AA212)+1,"")</f>
        <v/>
      </c>
      <c r="AB213" s="38" t="str">
        <f t="shared" si="32"/>
        <v/>
      </c>
      <c r="AC213" s="38" t="str">
        <f>IF(OR(B213="",COUNTIF($B$4:B213,B213)&gt;1),"",MAX($AC$3:AC212)+1)</f>
        <v/>
      </c>
      <c r="AD213" s="38" t="str">
        <f t="shared" si="33"/>
        <v/>
      </c>
      <c r="AE213" s="38" t="str">
        <f t="shared" si="34"/>
        <v/>
      </c>
      <c r="AF213" s="38" t="str">
        <f t="shared" si="35"/>
        <v/>
      </c>
    </row>
    <row r="214" spans="1:32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38" t="str">
        <f>IF(OR(A214="Автомат",A214="Дифавтомат"),IF(W214="","",COUNTIFS(Однолинейка!$H$3:$H$3000,U214,Однолинейка!$A$3:$A$3000,Щит_спец)),IF(A214="Аппарат",IF(C214="","",COUNTIFS(Однолинейка!$I$3:$I$3000,C214,Однолинейка!$A$3:$A$3000,Щит_спец)+COUNTIFS(Однолинейка!$J$3:$J$3000,C214,Однолинейка!$A$3:$A$3000,Щит_спец)+COUNTIFS(Однолинейка!$K$3:$K$3000,C214,Однолинейка!$A$3:$A$3000,Щит_спец)),IF(A214="Модуль",IF(C214="","",COUNTIFS(Однолинейка!$AW$3:$AW$3000,"?*",Однолинейка!$AI$3:$AI$3000,C214,Однолинейка!$A$3:$A$3000,Щит_спец)),IF(A214="Клемма",IF(C214="","",IF(C214=$S$7,SUMIFS(Однолинейка!$BW$3:$BW$3000,Однолинейка!$A$3:$A$3000,Щит_спец),IF(C214=$S$8,SUMIFS(Однолинейка!$BX$3:$BX$3000,Однолинейка!$A$3:$A$3000,Щит_спец),""))),""))))</f>
        <v/>
      </c>
      <c r="O214" s="74"/>
      <c r="P214" s="38" t="str">
        <f t="shared" si="27"/>
        <v/>
      </c>
      <c r="U214" s="38" t="str">
        <f t="shared" si="28"/>
        <v/>
      </c>
      <c r="V214" s="38" t="str">
        <f t="shared" si="29"/>
        <v/>
      </c>
      <c r="W214" s="38" t="str">
        <f>IF(AND(U214&lt;&gt;"",OR($S$4="(все)",B214=$S$4),IF($S$4="(все)",COUNTIF($U$4:U214,U214),COUNTIFS($U$4:U214,U214,$B$4:B214,B214))=1),MAX($W$3:W213)+1,"")</f>
        <v/>
      </c>
      <c r="X214" s="38" t="str">
        <f t="shared" si="30"/>
        <v/>
      </c>
      <c r="Y214" s="38" t="str">
        <f>IF(AND(A214="Аппарат",C214&lt;&gt;"",OR($S$5="(все)",B214=$S$5)),MAX($Y$3:Y213)+1,"")</f>
        <v/>
      </c>
      <c r="Z214" s="38" t="str">
        <f t="shared" si="31"/>
        <v/>
      </c>
      <c r="AA214" s="38" t="str">
        <f>IF(AND(A214="Модуль",C214&lt;&gt;"",OR($S$6="(все)",B214=$S$6)),MAX($AA$3:AA213)+1,"")</f>
        <v/>
      </c>
      <c r="AB214" s="38" t="str">
        <f t="shared" si="32"/>
        <v/>
      </c>
      <c r="AC214" s="38" t="str">
        <f>IF(OR(B214="",COUNTIF($B$4:B214,B214)&gt;1),"",MAX($AC$3:AC213)+1)</f>
        <v/>
      </c>
      <c r="AD214" s="38" t="str">
        <f t="shared" si="33"/>
        <v/>
      </c>
      <c r="AE214" s="38" t="str">
        <f t="shared" si="34"/>
        <v/>
      </c>
      <c r="AF214" s="38" t="str">
        <f t="shared" si="35"/>
        <v/>
      </c>
    </row>
    <row r="215" spans="1:32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38" t="str">
        <f>IF(OR(A215="Автомат",A215="Дифавтомат"),IF(W215="","",COUNTIFS(Однолинейка!$H$3:$H$3000,U215,Однолинейка!$A$3:$A$3000,Щит_спец)),IF(A215="Аппарат",IF(C215="","",COUNTIFS(Однолинейка!$I$3:$I$3000,C215,Однолинейка!$A$3:$A$3000,Щит_спец)+COUNTIFS(Однолинейка!$J$3:$J$3000,C215,Однолинейка!$A$3:$A$3000,Щит_спец)+COUNTIFS(Однолинейка!$K$3:$K$3000,C215,Однолинейка!$A$3:$A$3000,Щит_спец)),IF(A215="Модуль",IF(C215="","",COUNTIFS(Однолинейка!$AW$3:$AW$3000,"?*",Однолинейка!$AI$3:$AI$3000,C215,Однолинейка!$A$3:$A$3000,Щит_спец)),IF(A215="Клемма",IF(C215="","",IF(C215=$S$7,SUMIFS(Однолинейка!$BW$3:$BW$3000,Однолинейка!$A$3:$A$3000,Щит_спец),IF(C215=$S$8,SUMIFS(Однолинейка!$BX$3:$BX$3000,Однолинейка!$A$3:$A$3000,Щит_спец),""))),""))))</f>
        <v/>
      </c>
      <c r="O215" s="74"/>
      <c r="P215" s="38" t="str">
        <f t="shared" si="27"/>
        <v/>
      </c>
      <c r="U215" s="38" t="str">
        <f t="shared" si="28"/>
        <v/>
      </c>
      <c r="V215" s="38" t="str">
        <f t="shared" si="29"/>
        <v/>
      </c>
      <c r="W215" s="38" t="str">
        <f>IF(AND(U215&lt;&gt;"",OR($S$4="(все)",B215=$S$4),IF($S$4="(все)",COUNTIF($U$4:U215,U215),COUNTIFS($U$4:U215,U215,$B$4:B215,B215))=1),MAX($W$3:W214)+1,"")</f>
        <v/>
      </c>
      <c r="X215" s="38" t="str">
        <f t="shared" si="30"/>
        <v/>
      </c>
      <c r="Y215" s="38" t="str">
        <f>IF(AND(A215="Аппарат",C215&lt;&gt;"",OR($S$5="(все)",B215=$S$5)),MAX($Y$3:Y214)+1,"")</f>
        <v/>
      </c>
      <c r="Z215" s="38" t="str">
        <f t="shared" si="31"/>
        <v/>
      </c>
      <c r="AA215" s="38" t="str">
        <f>IF(AND(A215="Модуль",C215&lt;&gt;"",OR($S$6="(все)",B215=$S$6)),MAX($AA$3:AA214)+1,"")</f>
        <v/>
      </c>
      <c r="AB215" s="38" t="str">
        <f t="shared" si="32"/>
        <v/>
      </c>
      <c r="AC215" s="38" t="str">
        <f>IF(OR(B215="",COUNTIF($B$4:B215,B215)&gt;1),"",MAX($AC$3:AC214)+1)</f>
        <v/>
      </c>
      <c r="AD215" s="38" t="str">
        <f t="shared" si="33"/>
        <v/>
      </c>
      <c r="AE215" s="38" t="str">
        <f t="shared" si="34"/>
        <v/>
      </c>
      <c r="AF215" s="38" t="str">
        <f t="shared" si="35"/>
        <v/>
      </c>
    </row>
    <row r="216" spans="1:32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38" t="str">
        <f>IF(OR(A216="Автомат",A216="Дифавтомат"),IF(W216="","",COUNTIFS(Однолинейка!$H$3:$H$3000,U216,Однолинейка!$A$3:$A$3000,Щит_спец)),IF(A216="Аппарат",IF(C216="","",COUNTIFS(Однолинейка!$I$3:$I$3000,C216,Однолинейка!$A$3:$A$3000,Щит_спец)+COUNTIFS(Однолинейка!$J$3:$J$3000,C216,Однолинейка!$A$3:$A$3000,Щит_спец)+COUNTIFS(Однолинейка!$K$3:$K$3000,C216,Однолинейка!$A$3:$A$3000,Щит_спец)),IF(A216="Модуль",IF(C216="","",COUNTIFS(Однолинейка!$AW$3:$AW$3000,"?*",Однолинейка!$AI$3:$AI$3000,C216,Однолинейка!$A$3:$A$3000,Щит_спец)),IF(A216="Клемма",IF(C216="","",IF(C216=$S$7,SUMIFS(Однолинейка!$BW$3:$BW$3000,Однолинейка!$A$3:$A$3000,Щит_спец),IF(C216=$S$8,SUMIFS(Однолинейка!$BX$3:$BX$3000,Однолинейка!$A$3:$A$3000,Щит_спец),""))),""))))</f>
        <v/>
      </c>
      <c r="O216" s="74"/>
      <c r="P216" s="38" t="str">
        <f t="shared" si="27"/>
        <v/>
      </c>
      <c r="U216" s="38" t="str">
        <f t="shared" si="28"/>
        <v/>
      </c>
      <c r="V216" s="38" t="str">
        <f t="shared" si="29"/>
        <v/>
      </c>
      <c r="W216" s="38" t="str">
        <f>IF(AND(U216&lt;&gt;"",OR($S$4="(все)",B216=$S$4),IF($S$4="(все)",COUNTIF($U$4:U216,U216),COUNTIFS($U$4:U216,U216,$B$4:B216,B216))=1),MAX($W$3:W215)+1,"")</f>
        <v/>
      </c>
      <c r="X216" s="38" t="str">
        <f t="shared" si="30"/>
        <v/>
      </c>
      <c r="Y216" s="38" t="str">
        <f>IF(AND(A216="Аппарат",C216&lt;&gt;"",OR($S$5="(все)",B216=$S$5)),MAX($Y$3:Y215)+1,"")</f>
        <v/>
      </c>
      <c r="Z216" s="38" t="str">
        <f t="shared" si="31"/>
        <v/>
      </c>
      <c r="AA216" s="38" t="str">
        <f>IF(AND(A216="Модуль",C216&lt;&gt;"",OR($S$6="(все)",B216=$S$6)),MAX($AA$3:AA215)+1,"")</f>
        <v/>
      </c>
      <c r="AB216" s="38" t="str">
        <f t="shared" si="32"/>
        <v/>
      </c>
      <c r="AC216" s="38" t="str">
        <f>IF(OR(B216="",COUNTIF($B$4:B216,B216)&gt;1),"",MAX($AC$3:AC215)+1)</f>
        <v/>
      </c>
      <c r="AD216" s="38" t="str">
        <f t="shared" si="33"/>
        <v/>
      </c>
      <c r="AE216" s="38" t="str">
        <f t="shared" si="34"/>
        <v/>
      </c>
      <c r="AF216" s="38" t="str">
        <f t="shared" si="35"/>
        <v/>
      </c>
    </row>
    <row r="217" spans="1:32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38" t="str">
        <f>IF(OR(A217="Автомат",A217="Дифавтомат"),IF(W217="","",COUNTIFS(Однолинейка!$H$3:$H$3000,U217,Однолинейка!$A$3:$A$3000,Щит_спец)),IF(A217="Аппарат",IF(C217="","",COUNTIFS(Однолинейка!$I$3:$I$3000,C217,Однолинейка!$A$3:$A$3000,Щит_спец)+COUNTIFS(Однолинейка!$J$3:$J$3000,C217,Однолинейка!$A$3:$A$3000,Щит_спец)+COUNTIFS(Однолинейка!$K$3:$K$3000,C217,Однолинейка!$A$3:$A$3000,Щит_спец)),IF(A217="Модуль",IF(C217="","",COUNTIFS(Однолинейка!$AW$3:$AW$3000,"?*",Однолинейка!$AI$3:$AI$3000,C217,Однолинейка!$A$3:$A$3000,Щит_спец)),IF(A217="Клемма",IF(C217="","",IF(C217=$S$7,SUMIFS(Однолинейка!$BW$3:$BW$3000,Однолинейка!$A$3:$A$3000,Щит_спец),IF(C217=$S$8,SUMIFS(Однолинейка!$BX$3:$BX$3000,Однолинейка!$A$3:$A$3000,Щит_спец),""))),""))))</f>
        <v/>
      </c>
      <c r="O217" s="74"/>
      <c r="P217" s="38" t="str">
        <f t="shared" si="27"/>
        <v/>
      </c>
      <c r="U217" s="38" t="str">
        <f t="shared" si="28"/>
        <v/>
      </c>
      <c r="V217" s="38" t="str">
        <f t="shared" si="29"/>
        <v/>
      </c>
      <c r="W217" s="38" t="str">
        <f>IF(AND(U217&lt;&gt;"",OR($S$4="(все)",B217=$S$4),IF($S$4="(все)",COUNTIF($U$4:U217,U217),COUNTIFS($U$4:U217,U217,$B$4:B217,B217))=1),MAX($W$3:W216)+1,"")</f>
        <v/>
      </c>
      <c r="X217" s="38" t="str">
        <f t="shared" si="30"/>
        <v/>
      </c>
      <c r="Y217" s="38" t="str">
        <f>IF(AND(A217="Аппарат",C217&lt;&gt;"",OR($S$5="(все)",B217=$S$5)),MAX($Y$3:Y216)+1,"")</f>
        <v/>
      </c>
      <c r="Z217" s="38" t="str">
        <f t="shared" si="31"/>
        <v/>
      </c>
      <c r="AA217" s="38" t="str">
        <f>IF(AND(A217="Модуль",C217&lt;&gt;"",OR($S$6="(все)",B217=$S$6)),MAX($AA$3:AA216)+1,"")</f>
        <v/>
      </c>
      <c r="AB217" s="38" t="str">
        <f t="shared" si="32"/>
        <v/>
      </c>
      <c r="AC217" s="38" t="str">
        <f>IF(OR(B217="",COUNTIF($B$4:B217,B217)&gt;1),"",MAX($AC$3:AC216)+1)</f>
        <v/>
      </c>
      <c r="AD217" s="38" t="str">
        <f t="shared" si="33"/>
        <v/>
      </c>
      <c r="AE217" s="38" t="str">
        <f t="shared" si="34"/>
        <v/>
      </c>
      <c r="AF217" s="38" t="str">
        <f t="shared" si="35"/>
        <v/>
      </c>
    </row>
    <row r="218" spans="1:32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38" t="str">
        <f>IF(OR(A218="Автомат",A218="Дифавтомат"),IF(W218="","",COUNTIFS(Однолинейка!$H$3:$H$3000,U218,Однолинейка!$A$3:$A$3000,Щит_спец)),IF(A218="Аппарат",IF(C218="","",COUNTIFS(Однолинейка!$I$3:$I$3000,C218,Однолинейка!$A$3:$A$3000,Щит_спец)+COUNTIFS(Однолинейка!$J$3:$J$3000,C218,Однолинейка!$A$3:$A$3000,Щит_спец)+COUNTIFS(Однолинейка!$K$3:$K$3000,C218,Однолинейка!$A$3:$A$3000,Щит_спец)),IF(A218="Модуль",IF(C218="","",COUNTIFS(Однолинейка!$AW$3:$AW$3000,"?*",Однолинейка!$AI$3:$AI$3000,C218,Однолинейка!$A$3:$A$3000,Щит_спец)),IF(A218="Клемма",IF(C218="","",IF(C218=$S$7,SUMIFS(Однолинейка!$BW$3:$BW$3000,Однолинейка!$A$3:$A$3000,Щит_спец),IF(C218=$S$8,SUMIFS(Однолинейка!$BX$3:$BX$3000,Однолинейка!$A$3:$A$3000,Щит_спец),""))),""))))</f>
        <v/>
      </c>
      <c r="O218" s="74"/>
      <c r="P218" s="38" t="str">
        <f t="shared" si="27"/>
        <v/>
      </c>
      <c r="U218" s="38" t="str">
        <f t="shared" si="28"/>
        <v/>
      </c>
      <c r="V218" s="38" t="str">
        <f t="shared" si="29"/>
        <v/>
      </c>
      <c r="W218" s="38" t="str">
        <f>IF(AND(U218&lt;&gt;"",OR($S$4="(все)",B218=$S$4),IF($S$4="(все)",COUNTIF($U$4:U218,U218),COUNTIFS($U$4:U218,U218,$B$4:B218,B218))=1),MAX($W$3:W217)+1,"")</f>
        <v/>
      </c>
      <c r="X218" s="38" t="str">
        <f t="shared" si="30"/>
        <v/>
      </c>
      <c r="Y218" s="38" t="str">
        <f>IF(AND(A218="Аппарат",C218&lt;&gt;"",OR($S$5="(все)",B218=$S$5)),MAX($Y$3:Y217)+1,"")</f>
        <v/>
      </c>
      <c r="Z218" s="38" t="str">
        <f t="shared" si="31"/>
        <v/>
      </c>
      <c r="AA218" s="38" t="str">
        <f>IF(AND(A218="Модуль",C218&lt;&gt;"",OR($S$6="(все)",B218=$S$6)),MAX($AA$3:AA217)+1,"")</f>
        <v/>
      </c>
      <c r="AB218" s="38" t="str">
        <f t="shared" si="32"/>
        <v/>
      </c>
      <c r="AC218" s="38" t="str">
        <f>IF(OR(B218="",COUNTIF($B$4:B218,B218)&gt;1),"",MAX($AC$3:AC217)+1)</f>
        <v/>
      </c>
      <c r="AD218" s="38" t="str">
        <f t="shared" si="33"/>
        <v/>
      </c>
      <c r="AE218" s="38" t="str">
        <f t="shared" si="34"/>
        <v/>
      </c>
      <c r="AF218" s="38" t="str">
        <f t="shared" si="35"/>
        <v/>
      </c>
    </row>
    <row r="219" spans="1:32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38" t="str">
        <f>IF(OR(A219="Автомат",A219="Дифавтомат"),IF(W219="","",COUNTIFS(Однолинейка!$H$3:$H$3000,U219,Однолинейка!$A$3:$A$3000,Щит_спец)),IF(A219="Аппарат",IF(C219="","",COUNTIFS(Однолинейка!$I$3:$I$3000,C219,Однолинейка!$A$3:$A$3000,Щит_спец)+COUNTIFS(Однолинейка!$J$3:$J$3000,C219,Однолинейка!$A$3:$A$3000,Щит_спец)+COUNTIFS(Однолинейка!$K$3:$K$3000,C219,Однолинейка!$A$3:$A$3000,Щит_спец)),IF(A219="Модуль",IF(C219="","",COUNTIFS(Однолинейка!$AW$3:$AW$3000,"?*",Однолинейка!$AI$3:$AI$3000,C219,Однолинейка!$A$3:$A$3000,Щит_спец)),IF(A219="Клемма",IF(C219="","",IF(C219=$S$7,SUMIFS(Однолинейка!$BW$3:$BW$3000,Однолинейка!$A$3:$A$3000,Щит_спец),IF(C219=$S$8,SUMIFS(Однолинейка!$BX$3:$BX$3000,Однолинейка!$A$3:$A$3000,Щит_спец),""))),""))))</f>
        <v/>
      </c>
      <c r="O219" s="74"/>
      <c r="P219" s="38" t="str">
        <f t="shared" si="27"/>
        <v/>
      </c>
      <c r="U219" s="38" t="str">
        <f t="shared" si="28"/>
        <v/>
      </c>
      <c r="V219" s="38" t="str">
        <f t="shared" si="29"/>
        <v/>
      </c>
      <c r="W219" s="38" t="str">
        <f>IF(AND(U219&lt;&gt;"",OR($S$4="(все)",B219=$S$4),IF($S$4="(все)",COUNTIF($U$4:U219,U219),COUNTIFS($U$4:U219,U219,$B$4:B219,B219))=1),MAX($W$3:W218)+1,"")</f>
        <v/>
      </c>
      <c r="X219" s="38" t="str">
        <f t="shared" si="30"/>
        <v/>
      </c>
      <c r="Y219" s="38" t="str">
        <f>IF(AND(A219="Аппарат",C219&lt;&gt;"",OR($S$5="(все)",B219=$S$5)),MAX($Y$3:Y218)+1,"")</f>
        <v/>
      </c>
      <c r="Z219" s="38" t="str">
        <f t="shared" si="31"/>
        <v/>
      </c>
      <c r="AA219" s="38" t="str">
        <f>IF(AND(A219="Модуль",C219&lt;&gt;"",OR($S$6="(все)",B219=$S$6)),MAX($AA$3:AA218)+1,"")</f>
        <v/>
      </c>
      <c r="AB219" s="38" t="str">
        <f t="shared" si="32"/>
        <v/>
      </c>
      <c r="AC219" s="38" t="str">
        <f>IF(OR(B219="",COUNTIF($B$4:B219,B219)&gt;1),"",MAX($AC$3:AC218)+1)</f>
        <v/>
      </c>
      <c r="AD219" s="38" t="str">
        <f t="shared" si="33"/>
        <v/>
      </c>
      <c r="AE219" s="38" t="str">
        <f t="shared" si="34"/>
        <v/>
      </c>
      <c r="AF219" s="38" t="str">
        <f t="shared" si="35"/>
        <v/>
      </c>
    </row>
    <row r="220" spans="1:32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38" t="str">
        <f>IF(OR(A220="Автомат",A220="Дифавтомат"),IF(W220="","",COUNTIFS(Однолинейка!$H$3:$H$3000,U220,Однолинейка!$A$3:$A$3000,Щит_спец)),IF(A220="Аппарат",IF(C220="","",COUNTIFS(Однолинейка!$I$3:$I$3000,C220,Однолинейка!$A$3:$A$3000,Щит_спец)+COUNTIFS(Однолинейка!$J$3:$J$3000,C220,Однолинейка!$A$3:$A$3000,Щит_спец)+COUNTIFS(Однолинейка!$K$3:$K$3000,C220,Однолинейка!$A$3:$A$3000,Щит_спец)),IF(A220="Модуль",IF(C220="","",COUNTIFS(Однолинейка!$AW$3:$AW$3000,"?*",Однолинейка!$AI$3:$AI$3000,C220,Однолинейка!$A$3:$A$3000,Щит_спец)),IF(A220="Клемма",IF(C220="","",IF(C220=$S$7,SUMIFS(Однолинейка!$BW$3:$BW$3000,Однолинейка!$A$3:$A$3000,Щит_спец),IF(C220=$S$8,SUMIFS(Однолинейка!$BX$3:$BX$3000,Однолинейка!$A$3:$A$3000,Щит_спец),""))),""))))</f>
        <v/>
      </c>
      <c r="O220" s="74"/>
      <c r="P220" s="38" t="str">
        <f t="shared" si="27"/>
        <v/>
      </c>
      <c r="U220" s="38" t="str">
        <f t="shared" si="28"/>
        <v/>
      </c>
      <c r="V220" s="38" t="str">
        <f t="shared" si="29"/>
        <v/>
      </c>
      <c r="W220" s="38" t="str">
        <f>IF(AND(U220&lt;&gt;"",OR($S$4="(все)",B220=$S$4),IF($S$4="(все)",COUNTIF($U$4:U220,U220),COUNTIFS($U$4:U220,U220,$B$4:B220,B220))=1),MAX($W$3:W219)+1,"")</f>
        <v/>
      </c>
      <c r="X220" s="38" t="str">
        <f t="shared" si="30"/>
        <v/>
      </c>
      <c r="Y220" s="38" t="str">
        <f>IF(AND(A220="Аппарат",C220&lt;&gt;"",OR($S$5="(все)",B220=$S$5)),MAX($Y$3:Y219)+1,"")</f>
        <v/>
      </c>
      <c r="Z220" s="38" t="str">
        <f t="shared" si="31"/>
        <v/>
      </c>
      <c r="AA220" s="38" t="str">
        <f>IF(AND(A220="Модуль",C220&lt;&gt;"",OR($S$6="(все)",B220=$S$6)),MAX($AA$3:AA219)+1,"")</f>
        <v/>
      </c>
      <c r="AB220" s="38" t="str">
        <f t="shared" si="32"/>
        <v/>
      </c>
      <c r="AC220" s="38" t="str">
        <f>IF(OR(B220="",COUNTIF($B$4:B220,B220)&gt;1),"",MAX($AC$3:AC219)+1)</f>
        <v/>
      </c>
      <c r="AD220" s="38" t="str">
        <f t="shared" si="33"/>
        <v/>
      </c>
      <c r="AE220" s="38" t="str">
        <f t="shared" si="34"/>
        <v/>
      </c>
      <c r="AF220" s="38" t="str">
        <f t="shared" si="35"/>
        <v/>
      </c>
    </row>
    <row r="221" spans="1:32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38" t="str">
        <f>IF(OR(A221="Автомат",A221="Дифавтомат"),IF(W221="","",COUNTIFS(Однолинейка!$H$3:$H$3000,U221,Однолинейка!$A$3:$A$3000,Щит_спец)),IF(A221="Аппарат",IF(C221="","",COUNTIFS(Однолинейка!$I$3:$I$3000,C221,Однолинейка!$A$3:$A$3000,Щит_спец)+COUNTIFS(Однолинейка!$J$3:$J$3000,C221,Однолинейка!$A$3:$A$3000,Щит_спец)+COUNTIFS(Однолинейка!$K$3:$K$3000,C221,Однолинейка!$A$3:$A$3000,Щит_спец)),IF(A221="Модуль",IF(C221="","",COUNTIFS(Однолинейка!$AW$3:$AW$3000,"?*",Однолинейка!$AI$3:$AI$3000,C221,Однолинейка!$A$3:$A$3000,Щит_спец)),IF(A221="Клемма",IF(C221="","",IF(C221=$S$7,SUMIFS(Однолинейка!$BW$3:$BW$3000,Однолинейка!$A$3:$A$3000,Щит_спец),IF(C221=$S$8,SUMIFS(Однолинейка!$BX$3:$BX$3000,Однолинейка!$A$3:$A$3000,Щит_спец),""))),""))))</f>
        <v/>
      </c>
      <c r="O221" s="74"/>
      <c r="P221" s="38" t="str">
        <f t="shared" si="27"/>
        <v/>
      </c>
      <c r="U221" s="38" t="str">
        <f t="shared" si="28"/>
        <v/>
      </c>
      <c r="V221" s="38" t="str">
        <f t="shared" si="29"/>
        <v/>
      </c>
      <c r="W221" s="38" t="str">
        <f>IF(AND(U221&lt;&gt;"",OR($S$4="(все)",B221=$S$4),IF($S$4="(все)",COUNTIF($U$4:U221,U221),COUNTIFS($U$4:U221,U221,$B$4:B221,B221))=1),MAX($W$3:W220)+1,"")</f>
        <v/>
      </c>
      <c r="X221" s="38" t="str">
        <f t="shared" si="30"/>
        <v/>
      </c>
      <c r="Y221" s="38" t="str">
        <f>IF(AND(A221="Аппарат",C221&lt;&gt;"",OR($S$5="(все)",B221=$S$5)),MAX($Y$3:Y220)+1,"")</f>
        <v/>
      </c>
      <c r="Z221" s="38" t="str">
        <f t="shared" si="31"/>
        <v/>
      </c>
      <c r="AA221" s="38" t="str">
        <f>IF(AND(A221="Модуль",C221&lt;&gt;"",OR($S$6="(все)",B221=$S$6)),MAX($AA$3:AA220)+1,"")</f>
        <v/>
      </c>
      <c r="AB221" s="38" t="str">
        <f t="shared" si="32"/>
        <v/>
      </c>
      <c r="AC221" s="38" t="str">
        <f>IF(OR(B221="",COUNTIF($B$4:B221,B221)&gt;1),"",MAX($AC$3:AC220)+1)</f>
        <v/>
      </c>
      <c r="AD221" s="38" t="str">
        <f t="shared" si="33"/>
        <v/>
      </c>
      <c r="AE221" s="38" t="str">
        <f t="shared" si="34"/>
        <v/>
      </c>
      <c r="AF221" s="38" t="str">
        <f t="shared" si="35"/>
        <v/>
      </c>
    </row>
    <row r="222" spans="1:32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38" t="str">
        <f>IF(OR(A222="Автомат",A222="Дифавтомат"),IF(W222="","",COUNTIFS(Однолинейка!$H$3:$H$3000,U222,Однолинейка!$A$3:$A$3000,Щит_спец)),IF(A222="Аппарат",IF(C222="","",COUNTIFS(Однолинейка!$I$3:$I$3000,C222,Однолинейка!$A$3:$A$3000,Щит_спец)+COUNTIFS(Однолинейка!$J$3:$J$3000,C222,Однолинейка!$A$3:$A$3000,Щит_спец)+COUNTIFS(Однолинейка!$K$3:$K$3000,C222,Однолинейка!$A$3:$A$3000,Щит_спец)),IF(A222="Модуль",IF(C222="","",COUNTIFS(Однолинейка!$AW$3:$AW$3000,"?*",Однолинейка!$AI$3:$AI$3000,C222,Однолинейка!$A$3:$A$3000,Щит_спец)),IF(A222="Клемма",IF(C222="","",IF(C222=$S$7,SUMIFS(Однолинейка!$BW$3:$BW$3000,Однолинейка!$A$3:$A$3000,Щит_спец),IF(C222=$S$8,SUMIFS(Однолинейка!$BX$3:$BX$3000,Однолинейка!$A$3:$A$3000,Щит_спец),""))),""))))</f>
        <v/>
      </c>
      <c r="O222" s="74"/>
      <c r="P222" s="38" t="str">
        <f t="shared" si="27"/>
        <v/>
      </c>
      <c r="U222" s="38" t="str">
        <f t="shared" si="28"/>
        <v/>
      </c>
      <c r="V222" s="38" t="str">
        <f t="shared" si="29"/>
        <v/>
      </c>
      <c r="W222" s="38" t="str">
        <f>IF(AND(U222&lt;&gt;"",OR($S$4="(все)",B222=$S$4),IF($S$4="(все)",COUNTIF($U$4:U222,U222),COUNTIFS($U$4:U222,U222,$B$4:B222,B222))=1),MAX($W$3:W221)+1,"")</f>
        <v/>
      </c>
      <c r="X222" s="38" t="str">
        <f t="shared" si="30"/>
        <v/>
      </c>
      <c r="Y222" s="38" t="str">
        <f>IF(AND(A222="Аппарат",C222&lt;&gt;"",OR($S$5="(все)",B222=$S$5)),MAX($Y$3:Y221)+1,"")</f>
        <v/>
      </c>
      <c r="Z222" s="38" t="str">
        <f t="shared" si="31"/>
        <v/>
      </c>
      <c r="AA222" s="38" t="str">
        <f>IF(AND(A222="Модуль",C222&lt;&gt;"",OR($S$6="(все)",B222=$S$6)),MAX($AA$3:AA221)+1,"")</f>
        <v/>
      </c>
      <c r="AB222" s="38" t="str">
        <f t="shared" si="32"/>
        <v/>
      </c>
      <c r="AC222" s="38" t="str">
        <f>IF(OR(B222="",COUNTIF($B$4:B222,B222)&gt;1),"",MAX($AC$3:AC221)+1)</f>
        <v/>
      </c>
      <c r="AD222" s="38" t="str">
        <f t="shared" si="33"/>
        <v/>
      </c>
      <c r="AE222" s="38" t="str">
        <f t="shared" si="34"/>
        <v/>
      </c>
      <c r="AF222" s="38" t="str">
        <f t="shared" si="35"/>
        <v/>
      </c>
    </row>
    <row r="223" spans="1:32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38" t="str">
        <f>IF(OR(A223="Автомат",A223="Дифавтомат"),IF(W223="","",COUNTIFS(Однолинейка!$H$3:$H$3000,U223,Однолинейка!$A$3:$A$3000,Щит_спец)),IF(A223="Аппарат",IF(C223="","",COUNTIFS(Однолинейка!$I$3:$I$3000,C223,Однолинейка!$A$3:$A$3000,Щит_спец)+COUNTIFS(Однолинейка!$J$3:$J$3000,C223,Однолинейка!$A$3:$A$3000,Щит_спец)+COUNTIFS(Однолинейка!$K$3:$K$3000,C223,Однолинейка!$A$3:$A$3000,Щит_спец)),IF(A223="Модуль",IF(C223="","",COUNTIFS(Однолинейка!$AW$3:$AW$3000,"?*",Однолинейка!$AI$3:$AI$3000,C223,Однолинейка!$A$3:$A$3000,Щит_спец)),IF(A223="Клемма",IF(C223="","",IF(C223=$S$7,SUMIFS(Однолинейка!$BW$3:$BW$3000,Однолинейка!$A$3:$A$3000,Щит_спец),IF(C223=$S$8,SUMIFS(Однолинейка!$BX$3:$BX$3000,Однолинейка!$A$3:$A$3000,Щит_спец),""))),""))))</f>
        <v/>
      </c>
      <c r="O223" s="74"/>
      <c r="P223" s="38" t="str">
        <f t="shared" si="27"/>
        <v/>
      </c>
      <c r="U223" s="38" t="str">
        <f t="shared" si="28"/>
        <v/>
      </c>
      <c r="V223" s="38" t="str">
        <f t="shared" si="29"/>
        <v/>
      </c>
      <c r="W223" s="38" t="str">
        <f>IF(AND(U223&lt;&gt;"",OR($S$4="(все)",B223=$S$4),IF($S$4="(все)",COUNTIF($U$4:U223,U223),COUNTIFS($U$4:U223,U223,$B$4:B223,B223))=1),MAX($W$3:W222)+1,"")</f>
        <v/>
      </c>
      <c r="X223" s="38" t="str">
        <f t="shared" si="30"/>
        <v/>
      </c>
      <c r="Y223" s="38" t="str">
        <f>IF(AND(A223="Аппарат",C223&lt;&gt;"",OR($S$5="(все)",B223=$S$5)),MAX($Y$3:Y222)+1,"")</f>
        <v/>
      </c>
      <c r="Z223" s="38" t="str">
        <f t="shared" si="31"/>
        <v/>
      </c>
      <c r="AA223" s="38" t="str">
        <f>IF(AND(A223="Модуль",C223&lt;&gt;"",OR($S$6="(все)",B223=$S$6)),MAX($AA$3:AA222)+1,"")</f>
        <v/>
      </c>
      <c r="AB223" s="38" t="str">
        <f t="shared" si="32"/>
        <v/>
      </c>
      <c r="AC223" s="38" t="str">
        <f>IF(OR(B223="",COUNTIF($B$4:B223,B223)&gt;1),"",MAX($AC$3:AC222)+1)</f>
        <v/>
      </c>
      <c r="AD223" s="38" t="str">
        <f t="shared" si="33"/>
        <v/>
      </c>
      <c r="AE223" s="38" t="str">
        <f t="shared" si="34"/>
        <v/>
      </c>
      <c r="AF223" s="38" t="str">
        <f t="shared" si="35"/>
        <v/>
      </c>
    </row>
    <row r="224" spans="1:32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38" t="str">
        <f>IF(OR(A224="Автомат",A224="Дифавтомат"),IF(W224="","",COUNTIFS(Однолинейка!$H$3:$H$3000,U224,Однолинейка!$A$3:$A$3000,Щит_спец)),IF(A224="Аппарат",IF(C224="","",COUNTIFS(Однолинейка!$I$3:$I$3000,C224,Однолинейка!$A$3:$A$3000,Щит_спец)+COUNTIFS(Однолинейка!$J$3:$J$3000,C224,Однолинейка!$A$3:$A$3000,Щит_спец)+COUNTIFS(Однолинейка!$K$3:$K$3000,C224,Однолинейка!$A$3:$A$3000,Щит_спец)),IF(A224="Модуль",IF(C224="","",COUNTIFS(Однолинейка!$AW$3:$AW$3000,"?*",Однолинейка!$AI$3:$AI$3000,C224,Однолинейка!$A$3:$A$3000,Щит_спец)),IF(A224="Клемма",IF(C224="","",IF(C224=$S$7,SUMIFS(Однолинейка!$BW$3:$BW$3000,Однолинейка!$A$3:$A$3000,Щит_спец),IF(C224=$S$8,SUMIFS(Однолинейка!$BX$3:$BX$3000,Однолинейка!$A$3:$A$3000,Щит_спец),""))),""))))</f>
        <v/>
      </c>
      <c r="O224" s="74"/>
      <c r="P224" s="38" t="str">
        <f t="shared" si="27"/>
        <v/>
      </c>
      <c r="U224" s="38" t="str">
        <f t="shared" si="28"/>
        <v/>
      </c>
      <c r="V224" s="38" t="str">
        <f t="shared" si="29"/>
        <v/>
      </c>
      <c r="W224" s="38" t="str">
        <f>IF(AND(U224&lt;&gt;"",OR($S$4="(все)",B224=$S$4),IF($S$4="(все)",COUNTIF($U$4:U224,U224),COUNTIFS($U$4:U224,U224,$B$4:B224,B224))=1),MAX($W$3:W223)+1,"")</f>
        <v/>
      </c>
      <c r="X224" s="38" t="str">
        <f t="shared" si="30"/>
        <v/>
      </c>
      <c r="Y224" s="38" t="str">
        <f>IF(AND(A224="Аппарат",C224&lt;&gt;"",OR($S$5="(все)",B224=$S$5)),MAX($Y$3:Y223)+1,"")</f>
        <v/>
      </c>
      <c r="Z224" s="38" t="str">
        <f t="shared" si="31"/>
        <v/>
      </c>
      <c r="AA224" s="38" t="str">
        <f>IF(AND(A224="Модуль",C224&lt;&gt;"",OR($S$6="(все)",B224=$S$6)),MAX($AA$3:AA223)+1,"")</f>
        <v/>
      </c>
      <c r="AB224" s="38" t="str">
        <f t="shared" si="32"/>
        <v/>
      </c>
      <c r="AC224" s="38" t="str">
        <f>IF(OR(B224="",COUNTIF($B$4:B224,B224)&gt;1),"",MAX($AC$3:AC223)+1)</f>
        <v/>
      </c>
      <c r="AD224" s="38" t="str">
        <f t="shared" si="33"/>
        <v/>
      </c>
      <c r="AE224" s="38" t="str">
        <f t="shared" si="34"/>
        <v/>
      </c>
      <c r="AF224" s="38" t="str">
        <f t="shared" si="35"/>
        <v/>
      </c>
    </row>
    <row r="225" spans="1:32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38" t="str">
        <f>IF(OR(A225="Автомат",A225="Дифавтомат"),IF(W225="","",COUNTIFS(Однолинейка!$H$3:$H$3000,U225,Однолинейка!$A$3:$A$3000,Щит_спец)),IF(A225="Аппарат",IF(C225="","",COUNTIFS(Однолинейка!$I$3:$I$3000,C225,Однолинейка!$A$3:$A$3000,Щит_спец)+COUNTIFS(Однолинейка!$J$3:$J$3000,C225,Однолинейка!$A$3:$A$3000,Щит_спец)+COUNTIFS(Однолинейка!$K$3:$K$3000,C225,Однолинейка!$A$3:$A$3000,Щит_спец)),IF(A225="Модуль",IF(C225="","",COUNTIFS(Однолинейка!$AW$3:$AW$3000,"?*",Однолинейка!$AI$3:$AI$3000,C225,Однолинейка!$A$3:$A$3000,Щит_спец)),IF(A225="Клемма",IF(C225="","",IF(C225=$S$7,SUMIFS(Однолинейка!$BW$3:$BW$3000,Однолинейка!$A$3:$A$3000,Щит_спец),IF(C225=$S$8,SUMIFS(Однолинейка!$BX$3:$BX$3000,Однолинейка!$A$3:$A$3000,Щит_спец),""))),""))))</f>
        <v/>
      </c>
      <c r="O225" s="74"/>
      <c r="P225" s="38" t="str">
        <f t="shared" si="27"/>
        <v/>
      </c>
      <c r="U225" s="38" t="str">
        <f t="shared" si="28"/>
        <v/>
      </c>
      <c r="V225" s="38" t="str">
        <f t="shared" si="29"/>
        <v/>
      </c>
      <c r="W225" s="38" t="str">
        <f>IF(AND(U225&lt;&gt;"",OR($S$4="(все)",B225=$S$4),IF($S$4="(все)",COUNTIF($U$4:U225,U225),COUNTIFS($U$4:U225,U225,$B$4:B225,B225))=1),MAX($W$3:W224)+1,"")</f>
        <v/>
      </c>
      <c r="X225" s="38" t="str">
        <f t="shared" si="30"/>
        <v/>
      </c>
      <c r="Y225" s="38" t="str">
        <f>IF(AND(A225="Аппарат",C225&lt;&gt;"",OR($S$5="(все)",B225=$S$5)),MAX($Y$3:Y224)+1,"")</f>
        <v/>
      </c>
      <c r="Z225" s="38" t="str">
        <f t="shared" si="31"/>
        <v/>
      </c>
      <c r="AA225" s="38" t="str">
        <f>IF(AND(A225="Модуль",C225&lt;&gt;"",OR($S$6="(все)",B225=$S$6)),MAX($AA$3:AA224)+1,"")</f>
        <v/>
      </c>
      <c r="AB225" s="38" t="str">
        <f t="shared" si="32"/>
        <v/>
      </c>
      <c r="AC225" s="38" t="str">
        <f>IF(OR(B225="",COUNTIF($B$4:B225,B225)&gt;1),"",MAX($AC$3:AC224)+1)</f>
        <v/>
      </c>
      <c r="AD225" s="38" t="str">
        <f t="shared" si="33"/>
        <v/>
      </c>
      <c r="AE225" s="38" t="str">
        <f t="shared" si="34"/>
        <v/>
      </c>
      <c r="AF225" s="38" t="str">
        <f t="shared" si="35"/>
        <v/>
      </c>
    </row>
    <row r="226" spans="1:32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38" t="str">
        <f>IF(OR(A226="Автомат",A226="Дифавтомат"),IF(W226="","",COUNTIFS(Однолинейка!$H$3:$H$3000,U226,Однолинейка!$A$3:$A$3000,Щит_спец)),IF(A226="Аппарат",IF(C226="","",COUNTIFS(Однолинейка!$I$3:$I$3000,C226,Однолинейка!$A$3:$A$3000,Щит_спец)+COUNTIFS(Однолинейка!$J$3:$J$3000,C226,Однолинейка!$A$3:$A$3000,Щит_спец)+COUNTIFS(Однолинейка!$K$3:$K$3000,C226,Однолинейка!$A$3:$A$3000,Щит_спец)),IF(A226="Модуль",IF(C226="","",COUNTIFS(Однолинейка!$AW$3:$AW$3000,"?*",Однолинейка!$AI$3:$AI$3000,C226,Однолинейка!$A$3:$A$3000,Щит_спец)),IF(A226="Клемма",IF(C226="","",IF(C226=$S$7,SUMIFS(Однолинейка!$BW$3:$BW$3000,Однолинейка!$A$3:$A$3000,Щит_спец),IF(C226=$S$8,SUMIFS(Однолинейка!$BX$3:$BX$3000,Однолинейка!$A$3:$A$3000,Щит_спец),""))),""))))</f>
        <v/>
      </c>
      <c r="O226" s="74"/>
      <c r="P226" s="38" t="str">
        <f t="shared" si="27"/>
        <v/>
      </c>
      <c r="U226" s="38" t="str">
        <f t="shared" si="28"/>
        <v/>
      </c>
      <c r="V226" s="38" t="str">
        <f t="shared" si="29"/>
        <v/>
      </c>
      <c r="W226" s="38" t="str">
        <f>IF(AND(U226&lt;&gt;"",OR($S$4="(все)",B226=$S$4),IF($S$4="(все)",COUNTIF($U$4:U226,U226),COUNTIFS($U$4:U226,U226,$B$4:B226,B226))=1),MAX($W$3:W225)+1,"")</f>
        <v/>
      </c>
      <c r="X226" s="38" t="str">
        <f t="shared" si="30"/>
        <v/>
      </c>
      <c r="Y226" s="38" t="str">
        <f>IF(AND(A226="Аппарат",C226&lt;&gt;"",OR($S$5="(все)",B226=$S$5)),MAX($Y$3:Y225)+1,"")</f>
        <v/>
      </c>
      <c r="Z226" s="38" t="str">
        <f t="shared" si="31"/>
        <v/>
      </c>
      <c r="AA226" s="38" t="str">
        <f>IF(AND(A226="Модуль",C226&lt;&gt;"",OR($S$6="(все)",B226=$S$6)),MAX($AA$3:AA225)+1,"")</f>
        <v/>
      </c>
      <c r="AB226" s="38" t="str">
        <f t="shared" si="32"/>
        <v/>
      </c>
      <c r="AC226" s="38" t="str">
        <f>IF(OR(B226="",COUNTIF($B$4:B226,B226)&gt;1),"",MAX($AC$3:AC225)+1)</f>
        <v/>
      </c>
      <c r="AD226" s="38" t="str">
        <f t="shared" si="33"/>
        <v/>
      </c>
      <c r="AE226" s="38" t="str">
        <f t="shared" si="34"/>
        <v/>
      </c>
      <c r="AF226" s="38" t="str">
        <f t="shared" si="35"/>
        <v/>
      </c>
    </row>
    <row r="227" spans="1:32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38" t="str">
        <f>IF(OR(A227="Автомат",A227="Дифавтомат"),IF(W227="","",COUNTIFS(Однолинейка!$H$3:$H$3000,U227,Однолинейка!$A$3:$A$3000,Щит_спец)),IF(A227="Аппарат",IF(C227="","",COUNTIFS(Однолинейка!$I$3:$I$3000,C227,Однолинейка!$A$3:$A$3000,Щит_спец)+COUNTIFS(Однолинейка!$J$3:$J$3000,C227,Однолинейка!$A$3:$A$3000,Щит_спец)+COUNTIFS(Однолинейка!$K$3:$K$3000,C227,Однолинейка!$A$3:$A$3000,Щит_спец)),IF(A227="Модуль",IF(C227="","",COUNTIFS(Однолинейка!$AW$3:$AW$3000,"?*",Однолинейка!$AI$3:$AI$3000,C227,Однолинейка!$A$3:$A$3000,Щит_спец)),IF(A227="Клемма",IF(C227="","",IF(C227=$S$7,SUMIFS(Однолинейка!$BW$3:$BW$3000,Однолинейка!$A$3:$A$3000,Щит_спец),IF(C227=$S$8,SUMIFS(Однолинейка!$BX$3:$BX$3000,Однолинейка!$A$3:$A$3000,Щит_спец),""))),""))))</f>
        <v/>
      </c>
      <c r="O227" s="74"/>
      <c r="P227" s="38" t="str">
        <f t="shared" si="27"/>
        <v/>
      </c>
      <c r="U227" s="38" t="str">
        <f t="shared" si="28"/>
        <v/>
      </c>
      <c r="V227" s="38" t="str">
        <f t="shared" si="29"/>
        <v/>
      </c>
      <c r="W227" s="38" t="str">
        <f>IF(AND(U227&lt;&gt;"",OR($S$4="(все)",B227=$S$4),IF($S$4="(все)",COUNTIF($U$4:U227,U227),COUNTIFS($U$4:U227,U227,$B$4:B227,B227))=1),MAX($W$3:W226)+1,"")</f>
        <v/>
      </c>
      <c r="X227" s="38" t="str">
        <f t="shared" si="30"/>
        <v/>
      </c>
      <c r="Y227" s="38" t="str">
        <f>IF(AND(A227="Аппарат",C227&lt;&gt;"",OR($S$5="(все)",B227=$S$5)),MAX($Y$3:Y226)+1,"")</f>
        <v/>
      </c>
      <c r="Z227" s="38" t="str">
        <f t="shared" si="31"/>
        <v/>
      </c>
      <c r="AA227" s="38" t="str">
        <f>IF(AND(A227="Модуль",C227&lt;&gt;"",OR($S$6="(все)",B227=$S$6)),MAX($AA$3:AA226)+1,"")</f>
        <v/>
      </c>
      <c r="AB227" s="38" t="str">
        <f t="shared" si="32"/>
        <v/>
      </c>
      <c r="AC227" s="38" t="str">
        <f>IF(OR(B227="",COUNTIF($B$4:B227,B227)&gt;1),"",MAX($AC$3:AC226)+1)</f>
        <v/>
      </c>
      <c r="AD227" s="38" t="str">
        <f t="shared" si="33"/>
        <v/>
      </c>
      <c r="AE227" s="38" t="str">
        <f t="shared" si="34"/>
        <v/>
      </c>
      <c r="AF227" s="38" t="str">
        <f t="shared" si="35"/>
        <v/>
      </c>
    </row>
    <row r="228" spans="1:32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38" t="str">
        <f>IF(OR(A228="Автомат",A228="Дифавтомат"),IF(W228="","",COUNTIFS(Однолинейка!$H$3:$H$3000,U228,Однолинейка!$A$3:$A$3000,Щит_спец)),IF(A228="Аппарат",IF(C228="","",COUNTIFS(Однолинейка!$I$3:$I$3000,C228,Однолинейка!$A$3:$A$3000,Щит_спец)+COUNTIFS(Однолинейка!$J$3:$J$3000,C228,Однолинейка!$A$3:$A$3000,Щит_спец)+COUNTIFS(Однолинейка!$K$3:$K$3000,C228,Однолинейка!$A$3:$A$3000,Щит_спец)),IF(A228="Модуль",IF(C228="","",COUNTIFS(Однолинейка!$AW$3:$AW$3000,"?*",Однолинейка!$AI$3:$AI$3000,C228,Однолинейка!$A$3:$A$3000,Щит_спец)),IF(A228="Клемма",IF(C228="","",IF(C228=$S$7,SUMIFS(Однолинейка!$BW$3:$BW$3000,Однолинейка!$A$3:$A$3000,Щит_спец),IF(C228=$S$8,SUMIFS(Однолинейка!$BX$3:$BX$3000,Однолинейка!$A$3:$A$3000,Щит_спец),""))),""))))</f>
        <v/>
      </c>
      <c r="O228" s="74"/>
      <c r="P228" s="38" t="str">
        <f t="shared" si="27"/>
        <v/>
      </c>
      <c r="U228" s="38" t="str">
        <f t="shared" si="28"/>
        <v/>
      </c>
      <c r="V228" s="38" t="str">
        <f t="shared" si="29"/>
        <v/>
      </c>
      <c r="W228" s="38" t="str">
        <f>IF(AND(U228&lt;&gt;"",OR($S$4="(все)",B228=$S$4),IF($S$4="(все)",COUNTIF($U$4:U228,U228),COUNTIFS($U$4:U228,U228,$B$4:B228,B228))=1),MAX($W$3:W227)+1,"")</f>
        <v/>
      </c>
      <c r="X228" s="38" t="str">
        <f t="shared" si="30"/>
        <v/>
      </c>
      <c r="Y228" s="38" t="str">
        <f>IF(AND(A228="Аппарат",C228&lt;&gt;"",OR($S$5="(все)",B228=$S$5)),MAX($Y$3:Y227)+1,"")</f>
        <v/>
      </c>
      <c r="Z228" s="38" t="str">
        <f t="shared" si="31"/>
        <v/>
      </c>
      <c r="AA228" s="38" t="str">
        <f>IF(AND(A228="Модуль",C228&lt;&gt;"",OR($S$6="(все)",B228=$S$6)),MAX($AA$3:AA227)+1,"")</f>
        <v/>
      </c>
      <c r="AB228" s="38" t="str">
        <f t="shared" si="32"/>
        <v/>
      </c>
      <c r="AC228" s="38" t="str">
        <f>IF(OR(B228="",COUNTIF($B$4:B228,B228)&gt;1),"",MAX($AC$3:AC227)+1)</f>
        <v/>
      </c>
      <c r="AD228" s="38" t="str">
        <f t="shared" si="33"/>
        <v/>
      </c>
      <c r="AE228" s="38" t="str">
        <f t="shared" si="34"/>
        <v/>
      </c>
      <c r="AF228" s="38" t="str">
        <f t="shared" si="35"/>
        <v/>
      </c>
    </row>
    <row r="229" spans="1:32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38" t="str">
        <f>IF(OR(A229="Автомат",A229="Дифавтомат"),IF(W229="","",COUNTIFS(Однолинейка!$H$3:$H$3000,U229,Однолинейка!$A$3:$A$3000,Щит_спец)),IF(A229="Аппарат",IF(C229="","",COUNTIFS(Однолинейка!$I$3:$I$3000,C229,Однолинейка!$A$3:$A$3000,Щит_спец)+COUNTIFS(Однолинейка!$J$3:$J$3000,C229,Однолинейка!$A$3:$A$3000,Щит_спец)+COUNTIFS(Однолинейка!$K$3:$K$3000,C229,Однолинейка!$A$3:$A$3000,Щит_спец)),IF(A229="Модуль",IF(C229="","",COUNTIFS(Однолинейка!$AW$3:$AW$3000,"?*",Однолинейка!$AI$3:$AI$3000,C229,Однолинейка!$A$3:$A$3000,Щит_спец)),IF(A229="Клемма",IF(C229="","",IF(C229=$S$7,SUMIFS(Однолинейка!$BW$3:$BW$3000,Однолинейка!$A$3:$A$3000,Щит_спец),IF(C229=$S$8,SUMIFS(Однолинейка!$BX$3:$BX$3000,Однолинейка!$A$3:$A$3000,Щит_спец),""))),""))))</f>
        <v/>
      </c>
      <c r="O229" s="74"/>
      <c r="P229" s="38" t="str">
        <f t="shared" si="27"/>
        <v/>
      </c>
      <c r="U229" s="38" t="str">
        <f t="shared" si="28"/>
        <v/>
      </c>
      <c r="V229" s="38" t="str">
        <f t="shared" si="29"/>
        <v/>
      </c>
      <c r="W229" s="38" t="str">
        <f>IF(AND(U229&lt;&gt;"",OR($S$4="(все)",B229=$S$4),IF($S$4="(все)",COUNTIF($U$4:U229,U229),COUNTIFS($U$4:U229,U229,$B$4:B229,B229))=1),MAX($W$3:W228)+1,"")</f>
        <v/>
      </c>
      <c r="X229" s="38" t="str">
        <f t="shared" si="30"/>
        <v/>
      </c>
      <c r="Y229" s="38" t="str">
        <f>IF(AND(A229="Аппарат",C229&lt;&gt;"",OR($S$5="(все)",B229=$S$5)),MAX($Y$3:Y228)+1,"")</f>
        <v/>
      </c>
      <c r="Z229" s="38" t="str">
        <f t="shared" si="31"/>
        <v/>
      </c>
      <c r="AA229" s="38" t="str">
        <f>IF(AND(A229="Модуль",C229&lt;&gt;"",OR($S$6="(все)",B229=$S$6)),MAX($AA$3:AA228)+1,"")</f>
        <v/>
      </c>
      <c r="AB229" s="38" t="str">
        <f t="shared" si="32"/>
        <v/>
      </c>
      <c r="AC229" s="38" t="str">
        <f>IF(OR(B229="",COUNTIF($B$4:B229,B229)&gt;1),"",MAX($AC$3:AC228)+1)</f>
        <v/>
      </c>
      <c r="AD229" s="38" t="str">
        <f t="shared" si="33"/>
        <v/>
      </c>
      <c r="AE229" s="38" t="str">
        <f t="shared" si="34"/>
        <v/>
      </c>
      <c r="AF229" s="38" t="str">
        <f t="shared" si="35"/>
        <v/>
      </c>
    </row>
    <row r="230" spans="1:32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38" t="str">
        <f>IF(OR(A230="Автомат",A230="Дифавтомат"),IF(W230="","",COUNTIFS(Однолинейка!$H$3:$H$3000,U230,Однолинейка!$A$3:$A$3000,Щит_спец)),IF(A230="Аппарат",IF(C230="","",COUNTIFS(Однолинейка!$I$3:$I$3000,C230,Однолинейка!$A$3:$A$3000,Щит_спец)+COUNTIFS(Однолинейка!$J$3:$J$3000,C230,Однолинейка!$A$3:$A$3000,Щит_спец)+COUNTIFS(Однолинейка!$K$3:$K$3000,C230,Однолинейка!$A$3:$A$3000,Щит_спец)),IF(A230="Модуль",IF(C230="","",COUNTIFS(Однолинейка!$AW$3:$AW$3000,"?*",Однолинейка!$AI$3:$AI$3000,C230,Однолинейка!$A$3:$A$3000,Щит_спец)),IF(A230="Клемма",IF(C230="","",IF(C230=$S$7,SUMIFS(Однолинейка!$BW$3:$BW$3000,Однолинейка!$A$3:$A$3000,Щит_спец),IF(C230=$S$8,SUMIFS(Однолинейка!$BX$3:$BX$3000,Однолинейка!$A$3:$A$3000,Щит_спец),""))),""))))</f>
        <v/>
      </c>
      <c r="O230" s="74"/>
      <c r="P230" s="38" t="str">
        <f t="shared" si="27"/>
        <v/>
      </c>
      <c r="U230" s="38" t="str">
        <f t="shared" si="28"/>
        <v/>
      </c>
      <c r="V230" s="38" t="str">
        <f t="shared" si="29"/>
        <v/>
      </c>
      <c r="W230" s="38" t="str">
        <f>IF(AND(U230&lt;&gt;"",OR($S$4="(все)",B230=$S$4),IF($S$4="(все)",COUNTIF($U$4:U230,U230),COUNTIFS($U$4:U230,U230,$B$4:B230,B230))=1),MAX($W$3:W229)+1,"")</f>
        <v/>
      </c>
      <c r="X230" s="38" t="str">
        <f t="shared" si="30"/>
        <v/>
      </c>
      <c r="Y230" s="38" t="str">
        <f>IF(AND(A230="Аппарат",C230&lt;&gt;"",OR($S$5="(все)",B230=$S$5)),MAX($Y$3:Y229)+1,"")</f>
        <v/>
      </c>
      <c r="Z230" s="38" t="str">
        <f t="shared" si="31"/>
        <v/>
      </c>
      <c r="AA230" s="38" t="str">
        <f>IF(AND(A230="Модуль",C230&lt;&gt;"",OR($S$6="(все)",B230=$S$6)),MAX($AA$3:AA229)+1,"")</f>
        <v/>
      </c>
      <c r="AB230" s="38" t="str">
        <f t="shared" si="32"/>
        <v/>
      </c>
      <c r="AC230" s="38" t="str">
        <f>IF(OR(B230="",COUNTIF($B$4:B230,B230)&gt;1),"",MAX($AC$3:AC229)+1)</f>
        <v/>
      </c>
      <c r="AD230" s="38" t="str">
        <f t="shared" si="33"/>
        <v/>
      </c>
      <c r="AE230" s="38" t="str">
        <f t="shared" si="34"/>
        <v/>
      </c>
      <c r="AF230" s="38" t="str">
        <f t="shared" si="35"/>
        <v/>
      </c>
    </row>
    <row r="231" spans="1:32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38" t="str">
        <f>IF(OR(A231="Автомат",A231="Дифавтомат"),IF(W231="","",COUNTIFS(Однолинейка!$H$3:$H$3000,U231,Однолинейка!$A$3:$A$3000,Щит_спец)),IF(A231="Аппарат",IF(C231="","",COUNTIFS(Однолинейка!$I$3:$I$3000,C231,Однолинейка!$A$3:$A$3000,Щит_спец)+COUNTIFS(Однолинейка!$J$3:$J$3000,C231,Однолинейка!$A$3:$A$3000,Щит_спец)+COUNTIFS(Однолинейка!$K$3:$K$3000,C231,Однолинейка!$A$3:$A$3000,Щит_спец)),IF(A231="Модуль",IF(C231="","",COUNTIFS(Однолинейка!$AW$3:$AW$3000,"?*",Однолинейка!$AI$3:$AI$3000,C231,Однолинейка!$A$3:$A$3000,Щит_спец)),IF(A231="Клемма",IF(C231="","",IF(C231=$S$7,SUMIFS(Однолинейка!$BW$3:$BW$3000,Однолинейка!$A$3:$A$3000,Щит_спец),IF(C231=$S$8,SUMIFS(Однолинейка!$BX$3:$BX$3000,Однолинейка!$A$3:$A$3000,Щит_спец),""))),""))))</f>
        <v/>
      </c>
      <c r="O231" s="74"/>
      <c r="P231" s="38" t="str">
        <f t="shared" si="27"/>
        <v/>
      </c>
      <c r="U231" s="38" t="str">
        <f t="shared" si="28"/>
        <v/>
      </c>
      <c r="V231" s="38" t="str">
        <f t="shared" si="29"/>
        <v/>
      </c>
      <c r="W231" s="38" t="str">
        <f>IF(AND(U231&lt;&gt;"",OR($S$4="(все)",B231=$S$4),IF($S$4="(все)",COUNTIF($U$4:U231,U231),COUNTIFS($U$4:U231,U231,$B$4:B231,B231))=1),MAX($W$3:W230)+1,"")</f>
        <v/>
      </c>
      <c r="X231" s="38" t="str">
        <f t="shared" si="30"/>
        <v/>
      </c>
      <c r="Y231" s="38" t="str">
        <f>IF(AND(A231="Аппарат",C231&lt;&gt;"",OR($S$5="(все)",B231=$S$5)),MAX($Y$3:Y230)+1,"")</f>
        <v/>
      </c>
      <c r="Z231" s="38" t="str">
        <f t="shared" si="31"/>
        <v/>
      </c>
      <c r="AA231" s="38" t="str">
        <f>IF(AND(A231="Модуль",C231&lt;&gt;"",OR($S$6="(все)",B231=$S$6)),MAX($AA$3:AA230)+1,"")</f>
        <v/>
      </c>
      <c r="AB231" s="38" t="str">
        <f t="shared" si="32"/>
        <v/>
      </c>
      <c r="AC231" s="38" t="str">
        <f>IF(OR(B231="",COUNTIF($B$4:B231,B231)&gt;1),"",MAX($AC$3:AC230)+1)</f>
        <v/>
      </c>
      <c r="AD231" s="38" t="str">
        <f t="shared" si="33"/>
        <v/>
      </c>
      <c r="AE231" s="38" t="str">
        <f t="shared" si="34"/>
        <v/>
      </c>
      <c r="AF231" s="38" t="str">
        <f t="shared" si="35"/>
        <v/>
      </c>
    </row>
    <row r="232" spans="1:32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38" t="str">
        <f>IF(OR(A232="Автомат",A232="Дифавтомат"),IF(W232="","",COUNTIFS(Однолинейка!$H$3:$H$3000,U232,Однолинейка!$A$3:$A$3000,Щит_спец)),IF(A232="Аппарат",IF(C232="","",COUNTIFS(Однолинейка!$I$3:$I$3000,C232,Однолинейка!$A$3:$A$3000,Щит_спец)+COUNTIFS(Однолинейка!$J$3:$J$3000,C232,Однолинейка!$A$3:$A$3000,Щит_спец)+COUNTIFS(Однолинейка!$K$3:$K$3000,C232,Однолинейка!$A$3:$A$3000,Щит_спец)),IF(A232="Модуль",IF(C232="","",COUNTIFS(Однолинейка!$AW$3:$AW$3000,"?*",Однолинейка!$AI$3:$AI$3000,C232,Однолинейка!$A$3:$A$3000,Щит_спец)),IF(A232="Клемма",IF(C232="","",IF(C232=$S$7,SUMIFS(Однолинейка!$BW$3:$BW$3000,Однолинейка!$A$3:$A$3000,Щит_спец),IF(C232=$S$8,SUMIFS(Однолинейка!$BX$3:$BX$3000,Однолинейка!$A$3:$A$3000,Щит_спец),""))),""))))</f>
        <v/>
      </c>
      <c r="O232" s="74"/>
      <c r="P232" s="38" t="str">
        <f t="shared" si="27"/>
        <v/>
      </c>
      <c r="U232" s="38" t="str">
        <f t="shared" si="28"/>
        <v/>
      </c>
      <c r="V232" s="38" t="str">
        <f t="shared" si="29"/>
        <v/>
      </c>
      <c r="W232" s="38" t="str">
        <f>IF(AND(U232&lt;&gt;"",OR($S$4="(все)",B232=$S$4),IF($S$4="(все)",COUNTIF($U$4:U232,U232),COUNTIFS($U$4:U232,U232,$B$4:B232,B232))=1),MAX($W$3:W231)+1,"")</f>
        <v/>
      </c>
      <c r="X232" s="38" t="str">
        <f t="shared" si="30"/>
        <v/>
      </c>
      <c r="Y232" s="38" t="str">
        <f>IF(AND(A232="Аппарат",C232&lt;&gt;"",OR($S$5="(все)",B232=$S$5)),MAX($Y$3:Y231)+1,"")</f>
        <v/>
      </c>
      <c r="Z232" s="38" t="str">
        <f t="shared" si="31"/>
        <v/>
      </c>
      <c r="AA232" s="38" t="str">
        <f>IF(AND(A232="Модуль",C232&lt;&gt;"",OR($S$6="(все)",B232=$S$6)),MAX($AA$3:AA231)+1,"")</f>
        <v/>
      </c>
      <c r="AB232" s="38" t="str">
        <f t="shared" si="32"/>
        <v/>
      </c>
      <c r="AC232" s="38" t="str">
        <f>IF(OR(B232="",COUNTIF($B$4:B232,B232)&gt;1),"",MAX($AC$3:AC231)+1)</f>
        <v/>
      </c>
      <c r="AD232" s="38" t="str">
        <f t="shared" si="33"/>
        <v/>
      </c>
      <c r="AE232" s="38" t="str">
        <f t="shared" si="34"/>
        <v/>
      </c>
      <c r="AF232" s="38" t="str">
        <f t="shared" si="35"/>
        <v/>
      </c>
    </row>
    <row r="233" spans="1:32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38" t="str">
        <f>IF(OR(A233="Автомат",A233="Дифавтомат"),IF(W233="","",COUNTIFS(Однолинейка!$H$3:$H$3000,U233,Однолинейка!$A$3:$A$3000,Щит_спец)),IF(A233="Аппарат",IF(C233="","",COUNTIFS(Однолинейка!$I$3:$I$3000,C233,Однолинейка!$A$3:$A$3000,Щит_спец)+COUNTIFS(Однолинейка!$J$3:$J$3000,C233,Однолинейка!$A$3:$A$3000,Щит_спец)+COUNTIFS(Однолинейка!$K$3:$K$3000,C233,Однолинейка!$A$3:$A$3000,Щит_спец)),IF(A233="Модуль",IF(C233="","",COUNTIFS(Однолинейка!$AW$3:$AW$3000,"?*",Однолинейка!$AI$3:$AI$3000,C233,Однолинейка!$A$3:$A$3000,Щит_спец)),IF(A233="Клемма",IF(C233="","",IF(C233=$S$7,SUMIFS(Однолинейка!$BW$3:$BW$3000,Однолинейка!$A$3:$A$3000,Щит_спец),IF(C233=$S$8,SUMIFS(Однолинейка!$BX$3:$BX$3000,Однолинейка!$A$3:$A$3000,Щит_спец),""))),""))))</f>
        <v/>
      </c>
      <c r="O233" s="74"/>
      <c r="P233" s="38" t="str">
        <f t="shared" si="27"/>
        <v/>
      </c>
      <c r="U233" s="38" t="str">
        <f t="shared" si="28"/>
        <v/>
      </c>
      <c r="V233" s="38" t="str">
        <f t="shared" si="29"/>
        <v/>
      </c>
      <c r="W233" s="38" t="str">
        <f>IF(AND(U233&lt;&gt;"",OR($S$4="(все)",B233=$S$4),IF($S$4="(все)",COUNTIF($U$4:U233,U233),COUNTIFS($U$4:U233,U233,$B$4:B233,B233))=1),MAX($W$3:W232)+1,"")</f>
        <v/>
      </c>
      <c r="X233" s="38" t="str">
        <f t="shared" si="30"/>
        <v/>
      </c>
      <c r="Y233" s="38" t="str">
        <f>IF(AND(A233="Аппарат",C233&lt;&gt;"",OR($S$5="(все)",B233=$S$5)),MAX($Y$3:Y232)+1,"")</f>
        <v/>
      </c>
      <c r="Z233" s="38" t="str">
        <f t="shared" si="31"/>
        <v/>
      </c>
      <c r="AA233" s="38" t="str">
        <f>IF(AND(A233="Модуль",C233&lt;&gt;"",OR($S$6="(все)",B233=$S$6)),MAX($AA$3:AA232)+1,"")</f>
        <v/>
      </c>
      <c r="AB233" s="38" t="str">
        <f t="shared" si="32"/>
        <v/>
      </c>
      <c r="AC233" s="38" t="str">
        <f>IF(OR(B233="",COUNTIF($B$4:B233,B233)&gt;1),"",MAX($AC$3:AC232)+1)</f>
        <v/>
      </c>
      <c r="AD233" s="38" t="str">
        <f t="shared" si="33"/>
        <v/>
      </c>
      <c r="AE233" s="38" t="str">
        <f t="shared" si="34"/>
        <v/>
      </c>
      <c r="AF233" s="38" t="str">
        <f t="shared" si="35"/>
        <v/>
      </c>
    </row>
    <row r="234" spans="1:32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38" t="str">
        <f>IF(OR(A234="Автомат",A234="Дифавтомат"),IF(W234="","",COUNTIFS(Однолинейка!$H$3:$H$3000,U234,Однолинейка!$A$3:$A$3000,Щит_спец)),IF(A234="Аппарат",IF(C234="","",COUNTIFS(Однолинейка!$I$3:$I$3000,C234,Однолинейка!$A$3:$A$3000,Щит_спец)+COUNTIFS(Однолинейка!$J$3:$J$3000,C234,Однолинейка!$A$3:$A$3000,Щит_спец)+COUNTIFS(Однолинейка!$K$3:$K$3000,C234,Однолинейка!$A$3:$A$3000,Щит_спец)),IF(A234="Модуль",IF(C234="","",COUNTIFS(Однолинейка!$AW$3:$AW$3000,"?*",Однолинейка!$AI$3:$AI$3000,C234,Однолинейка!$A$3:$A$3000,Щит_спец)),IF(A234="Клемма",IF(C234="","",IF(C234=$S$7,SUMIFS(Однолинейка!$BW$3:$BW$3000,Однолинейка!$A$3:$A$3000,Щит_спец),IF(C234=$S$8,SUMIFS(Однолинейка!$BX$3:$BX$3000,Однолинейка!$A$3:$A$3000,Щит_спец),""))),""))))</f>
        <v/>
      </c>
      <c r="O234" s="74"/>
      <c r="P234" s="38" t="str">
        <f t="shared" si="27"/>
        <v/>
      </c>
      <c r="U234" s="38" t="str">
        <f t="shared" si="28"/>
        <v/>
      </c>
      <c r="V234" s="38" t="str">
        <f t="shared" si="29"/>
        <v/>
      </c>
      <c r="W234" s="38" t="str">
        <f>IF(AND(U234&lt;&gt;"",OR($S$4="(все)",B234=$S$4),IF($S$4="(все)",COUNTIF($U$4:U234,U234),COUNTIFS($U$4:U234,U234,$B$4:B234,B234))=1),MAX($W$3:W233)+1,"")</f>
        <v/>
      </c>
      <c r="X234" s="38" t="str">
        <f t="shared" si="30"/>
        <v/>
      </c>
      <c r="Y234" s="38" t="str">
        <f>IF(AND(A234="Аппарат",C234&lt;&gt;"",OR($S$5="(все)",B234=$S$5)),MAX($Y$3:Y233)+1,"")</f>
        <v/>
      </c>
      <c r="Z234" s="38" t="str">
        <f t="shared" si="31"/>
        <v/>
      </c>
      <c r="AA234" s="38" t="str">
        <f>IF(AND(A234="Модуль",C234&lt;&gt;"",OR($S$6="(все)",B234=$S$6)),MAX($AA$3:AA233)+1,"")</f>
        <v/>
      </c>
      <c r="AB234" s="38" t="str">
        <f t="shared" si="32"/>
        <v/>
      </c>
      <c r="AC234" s="38" t="str">
        <f>IF(OR(B234="",COUNTIF($B$4:B234,B234)&gt;1),"",MAX($AC$3:AC233)+1)</f>
        <v/>
      </c>
      <c r="AD234" s="38" t="str">
        <f t="shared" si="33"/>
        <v/>
      </c>
      <c r="AE234" s="38" t="str">
        <f t="shared" si="34"/>
        <v/>
      </c>
      <c r="AF234" s="38" t="str">
        <f t="shared" si="35"/>
        <v/>
      </c>
    </row>
    <row r="235" spans="1:32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38" t="str">
        <f>IF(OR(A235="Автомат",A235="Дифавтомат"),IF(W235="","",COUNTIFS(Однолинейка!$H$3:$H$3000,U235,Однолинейка!$A$3:$A$3000,Щит_спец)),IF(A235="Аппарат",IF(C235="","",COUNTIFS(Однолинейка!$I$3:$I$3000,C235,Однолинейка!$A$3:$A$3000,Щит_спец)+COUNTIFS(Однолинейка!$J$3:$J$3000,C235,Однолинейка!$A$3:$A$3000,Щит_спец)+COUNTIFS(Однолинейка!$K$3:$K$3000,C235,Однолинейка!$A$3:$A$3000,Щит_спец)),IF(A235="Модуль",IF(C235="","",COUNTIFS(Однолинейка!$AW$3:$AW$3000,"?*",Однолинейка!$AI$3:$AI$3000,C235,Однолинейка!$A$3:$A$3000,Щит_спец)),IF(A235="Клемма",IF(C235="","",IF(C235=$S$7,SUMIFS(Однолинейка!$BW$3:$BW$3000,Однолинейка!$A$3:$A$3000,Щит_спец),IF(C235=$S$8,SUMIFS(Однолинейка!$BX$3:$BX$3000,Однолинейка!$A$3:$A$3000,Щит_спец),""))),""))))</f>
        <v/>
      </c>
      <c r="O235" s="74"/>
      <c r="P235" s="38" t="str">
        <f t="shared" si="27"/>
        <v/>
      </c>
      <c r="U235" s="38" t="str">
        <f t="shared" si="28"/>
        <v/>
      </c>
      <c r="V235" s="38" t="str">
        <f t="shared" si="29"/>
        <v/>
      </c>
      <c r="W235" s="38" t="str">
        <f>IF(AND(U235&lt;&gt;"",OR($S$4="(все)",B235=$S$4),IF($S$4="(все)",COUNTIF($U$4:U235,U235),COUNTIFS($U$4:U235,U235,$B$4:B235,B235))=1),MAX($W$3:W234)+1,"")</f>
        <v/>
      </c>
      <c r="X235" s="38" t="str">
        <f t="shared" si="30"/>
        <v/>
      </c>
      <c r="Y235" s="38" t="str">
        <f>IF(AND(A235="Аппарат",C235&lt;&gt;"",OR($S$5="(все)",B235=$S$5)),MAX($Y$3:Y234)+1,"")</f>
        <v/>
      </c>
      <c r="Z235" s="38" t="str">
        <f t="shared" si="31"/>
        <v/>
      </c>
      <c r="AA235" s="38" t="str">
        <f>IF(AND(A235="Модуль",C235&lt;&gt;"",OR($S$6="(все)",B235=$S$6)),MAX($AA$3:AA234)+1,"")</f>
        <v/>
      </c>
      <c r="AB235" s="38" t="str">
        <f t="shared" si="32"/>
        <v/>
      </c>
      <c r="AC235" s="38" t="str">
        <f>IF(OR(B235="",COUNTIF($B$4:B235,B235)&gt;1),"",MAX($AC$3:AC234)+1)</f>
        <v/>
      </c>
      <c r="AD235" s="38" t="str">
        <f t="shared" si="33"/>
        <v/>
      </c>
      <c r="AE235" s="38" t="str">
        <f t="shared" si="34"/>
        <v/>
      </c>
      <c r="AF235" s="38" t="str">
        <f t="shared" si="35"/>
        <v/>
      </c>
    </row>
    <row r="236" spans="1:32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38" t="str">
        <f>IF(OR(A236="Автомат",A236="Дифавтомат"),IF(W236="","",COUNTIFS(Однолинейка!$H$3:$H$3000,U236,Однолинейка!$A$3:$A$3000,Щит_спец)),IF(A236="Аппарат",IF(C236="","",COUNTIFS(Однолинейка!$I$3:$I$3000,C236,Однолинейка!$A$3:$A$3000,Щит_спец)+COUNTIFS(Однолинейка!$J$3:$J$3000,C236,Однолинейка!$A$3:$A$3000,Щит_спец)+COUNTIFS(Однолинейка!$K$3:$K$3000,C236,Однолинейка!$A$3:$A$3000,Щит_спец)),IF(A236="Модуль",IF(C236="","",COUNTIFS(Однолинейка!$AW$3:$AW$3000,"?*",Однолинейка!$AI$3:$AI$3000,C236,Однолинейка!$A$3:$A$3000,Щит_спец)),IF(A236="Клемма",IF(C236="","",IF(C236=$S$7,SUMIFS(Однолинейка!$BW$3:$BW$3000,Однолинейка!$A$3:$A$3000,Щит_спец),IF(C236=$S$8,SUMIFS(Однолинейка!$BX$3:$BX$3000,Однолинейка!$A$3:$A$3000,Щит_спец),""))),""))))</f>
        <v/>
      </c>
      <c r="O236" s="74"/>
      <c r="P236" s="38" t="str">
        <f t="shared" si="27"/>
        <v/>
      </c>
      <c r="U236" s="38" t="str">
        <f t="shared" si="28"/>
        <v/>
      </c>
      <c r="V236" s="38" t="str">
        <f t="shared" si="29"/>
        <v/>
      </c>
      <c r="W236" s="38" t="str">
        <f>IF(AND(U236&lt;&gt;"",OR($S$4="(все)",B236=$S$4),IF($S$4="(все)",COUNTIF($U$4:U236,U236),COUNTIFS($U$4:U236,U236,$B$4:B236,B236))=1),MAX($W$3:W235)+1,"")</f>
        <v/>
      </c>
      <c r="X236" s="38" t="str">
        <f t="shared" si="30"/>
        <v/>
      </c>
      <c r="Y236" s="38" t="str">
        <f>IF(AND(A236="Аппарат",C236&lt;&gt;"",OR($S$5="(все)",B236=$S$5)),MAX($Y$3:Y235)+1,"")</f>
        <v/>
      </c>
      <c r="Z236" s="38" t="str">
        <f t="shared" si="31"/>
        <v/>
      </c>
      <c r="AA236" s="38" t="str">
        <f>IF(AND(A236="Модуль",C236&lt;&gt;"",OR($S$6="(все)",B236=$S$6)),MAX($AA$3:AA235)+1,"")</f>
        <v/>
      </c>
      <c r="AB236" s="38" t="str">
        <f t="shared" si="32"/>
        <v/>
      </c>
      <c r="AC236" s="38" t="str">
        <f>IF(OR(B236="",COUNTIF($B$4:B236,B236)&gt;1),"",MAX($AC$3:AC235)+1)</f>
        <v/>
      </c>
      <c r="AD236" s="38" t="str">
        <f t="shared" si="33"/>
        <v/>
      </c>
      <c r="AE236" s="38" t="str">
        <f t="shared" si="34"/>
        <v/>
      </c>
      <c r="AF236" s="38" t="str">
        <f t="shared" si="35"/>
        <v/>
      </c>
    </row>
    <row r="237" spans="1:32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38" t="str">
        <f>IF(OR(A237="Автомат",A237="Дифавтомат"),IF(W237="","",COUNTIFS(Однолинейка!$H$3:$H$3000,U237,Однолинейка!$A$3:$A$3000,Щит_спец)),IF(A237="Аппарат",IF(C237="","",COUNTIFS(Однолинейка!$I$3:$I$3000,C237,Однолинейка!$A$3:$A$3000,Щит_спец)+COUNTIFS(Однолинейка!$J$3:$J$3000,C237,Однолинейка!$A$3:$A$3000,Щит_спец)+COUNTIFS(Однолинейка!$K$3:$K$3000,C237,Однолинейка!$A$3:$A$3000,Щит_спец)),IF(A237="Модуль",IF(C237="","",COUNTIFS(Однолинейка!$AW$3:$AW$3000,"?*",Однолинейка!$AI$3:$AI$3000,C237,Однолинейка!$A$3:$A$3000,Щит_спец)),IF(A237="Клемма",IF(C237="","",IF(C237=$S$7,SUMIFS(Однолинейка!$BW$3:$BW$3000,Однолинейка!$A$3:$A$3000,Щит_спец),IF(C237=$S$8,SUMIFS(Однолинейка!$BX$3:$BX$3000,Однолинейка!$A$3:$A$3000,Щит_спец),""))),""))))</f>
        <v/>
      </c>
      <c r="O237" s="74"/>
      <c r="P237" s="38" t="str">
        <f t="shared" si="27"/>
        <v/>
      </c>
      <c r="U237" s="38" t="str">
        <f t="shared" si="28"/>
        <v/>
      </c>
      <c r="V237" s="38" t="str">
        <f t="shared" si="29"/>
        <v/>
      </c>
      <c r="W237" s="38" t="str">
        <f>IF(AND(U237&lt;&gt;"",OR($S$4="(все)",B237=$S$4),IF($S$4="(все)",COUNTIF($U$4:U237,U237),COUNTIFS($U$4:U237,U237,$B$4:B237,B237))=1),MAX($W$3:W236)+1,"")</f>
        <v/>
      </c>
      <c r="X237" s="38" t="str">
        <f t="shared" si="30"/>
        <v/>
      </c>
      <c r="Y237" s="38" t="str">
        <f>IF(AND(A237="Аппарат",C237&lt;&gt;"",OR($S$5="(все)",B237=$S$5)),MAX($Y$3:Y236)+1,"")</f>
        <v/>
      </c>
      <c r="Z237" s="38" t="str">
        <f t="shared" si="31"/>
        <v/>
      </c>
      <c r="AA237" s="38" t="str">
        <f>IF(AND(A237="Модуль",C237&lt;&gt;"",OR($S$6="(все)",B237=$S$6)),MAX($AA$3:AA236)+1,"")</f>
        <v/>
      </c>
      <c r="AB237" s="38" t="str">
        <f t="shared" si="32"/>
        <v/>
      </c>
      <c r="AC237" s="38" t="str">
        <f>IF(OR(B237="",COUNTIF($B$4:B237,B237)&gt;1),"",MAX($AC$3:AC236)+1)</f>
        <v/>
      </c>
      <c r="AD237" s="38" t="str">
        <f t="shared" si="33"/>
        <v/>
      </c>
      <c r="AE237" s="38" t="str">
        <f t="shared" si="34"/>
        <v/>
      </c>
      <c r="AF237" s="38" t="str">
        <f t="shared" si="35"/>
        <v/>
      </c>
    </row>
    <row r="238" spans="1:32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38" t="str">
        <f>IF(OR(A238="Автомат",A238="Дифавтомат"),IF(W238="","",COUNTIFS(Однолинейка!$H$3:$H$3000,U238,Однолинейка!$A$3:$A$3000,Щит_спец)),IF(A238="Аппарат",IF(C238="","",COUNTIFS(Однолинейка!$I$3:$I$3000,C238,Однолинейка!$A$3:$A$3000,Щит_спец)+COUNTIFS(Однолинейка!$J$3:$J$3000,C238,Однолинейка!$A$3:$A$3000,Щит_спец)+COUNTIFS(Однолинейка!$K$3:$K$3000,C238,Однолинейка!$A$3:$A$3000,Щит_спец)),IF(A238="Модуль",IF(C238="","",COUNTIFS(Однолинейка!$AW$3:$AW$3000,"?*",Однолинейка!$AI$3:$AI$3000,C238,Однолинейка!$A$3:$A$3000,Щит_спец)),IF(A238="Клемма",IF(C238="","",IF(C238=$S$7,SUMIFS(Однолинейка!$BW$3:$BW$3000,Однолинейка!$A$3:$A$3000,Щит_спец),IF(C238=$S$8,SUMIFS(Однолинейка!$BX$3:$BX$3000,Однолинейка!$A$3:$A$3000,Щит_спец),""))),""))))</f>
        <v/>
      </c>
      <c r="O238" s="74"/>
      <c r="P238" s="38" t="str">
        <f t="shared" si="27"/>
        <v/>
      </c>
      <c r="U238" s="38" t="str">
        <f t="shared" si="28"/>
        <v/>
      </c>
      <c r="V238" s="38" t="str">
        <f t="shared" si="29"/>
        <v/>
      </c>
      <c r="W238" s="38" t="str">
        <f>IF(AND(U238&lt;&gt;"",OR($S$4="(все)",B238=$S$4),IF($S$4="(все)",COUNTIF($U$4:U238,U238),COUNTIFS($U$4:U238,U238,$B$4:B238,B238))=1),MAX($W$3:W237)+1,"")</f>
        <v/>
      </c>
      <c r="X238" s="38" t="str">
        <f t="shared" si="30"/>
        <v/>
      </c>
      <c r="Y238" s="38" t="str">
        <f>IF(AND(A238="Аппарат",C238&lt;&gt;"",OR($S$5="(все)",B238=$S$5)),MAX($Y$3:Y237)+1,"")</f>
        <v/>
      </c>
      <c r="Z238" s="38" t="str">
        <f t="shared" si="31"/>
        <v/>
      </c>
      <c r="AA238" s="38" t="str">
        <f>IF(AND(A238="Модуль",C238&lt;&gt;"",OR($S$6="(все)",B238=$S$6)),MAX($AA$3:AA237)+1,"")</f>
        <v/>
      </c>
      <c r="AB238" s="38" t="str">
        <f t="shared" si="32"/>
        <v/>
      </c>
      <c r="AC238" s="38" t="str">
        <f>IF(OR(B238="",COUNTIF($B$4:B238,B238)&gt;1),"",MAX($AC$3:AC237)+1)</f>
        <v/>
      </c>
      <c r="AD238" s="38" t="str">
        <f t="shared" si="33"/>
        <v/>
      </c>
      <c r="AE238" s="38" t="str">
        <f t="shared" si="34"/>
        <v/>
      </c>
      <c r="AF238" s="38" t="str">
        <f t="shared" si="35"/>
        <v/>
      </c>
    </row>
    <row r="239" spans="1:32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38" t="str">
        <f>IF(OR(A239="Автомат",A239="Дифавтомат"),IF(W239="","",COUNTIFS(Однолинейка!$H$3:$H$3000,U239,Однолинейка!$A$3:$A$3000,Щит_спец)),IF(A239="Аппарат",IF(C239="","",COUNTIFS(Однолинейка!$I$3:$I$3000,C239,Однолинейка!$A$3:$A$3000,Щит_спец)+COUNTIFS(Однолинейка!$J$3:$J$3000,C239,Однолинейка!$A$3:$A$3000,Щит_спец)+COUNTIFS(Однолинейка!$K$3:$K$3000,C239,Однолинейка!$A$3:$A$3000,Щит_спец)),IF(A239="Модуль",IF(C239="","",COUNTIFS(Однолинейка!$AW$3:$AW$3000,"?*",Однолинейка!$AI$3:$AI$3000,C239,Однолинейка!$A$3:$A$3000,Щит_спец)),IF(A239="Клемма",IF(C239="","",IF(C239=$S$7,SUMIFS(Однолинейка!$BW$3:$BW$3000,Однолинейка!$A$3:$A$3000,Щит_спец),IF(C239=$S$8,SUMIFS(Однолинейка!$BX$3:$BX$3000,Однолинейка!$A$3:$A$3000,Щит_спец),""))),""))))</f>
        <v/>
      </c>
      <c r="O239" s="74"/>
      <c r="P239" s="38" t="str">
        <f t="shared" si="27"/>
        <v/>
      </c>
      <c r="U239" s="38" t="str">
        <f t="shared" si="28"/>
        <v/>
      </c>
      <c r="V239" s="38" t="str">
        <f t="shared" si="29"/>
        <v/>
      </c>
      <c r="W239" s="38" t="str">
        <f>IF(AND(U239&lt;&gt;"",OR($S$4="(все)",B239=$S$4),IF($S$4="(все)",COUNTIF($U$4:U239,U239),COUNTIFS($U$4:U239,U239,$B$4:B239,B239))=1),MAX($W$3:W238)+1,"")</f>
        <v/>
      </c>
      <c r="X239" s="38" t="str">
        <f t="shared" si="30"/>
        <v/>
      </c>
      <c r="Y239" s="38" t="str">
        <f>IF(AND(A239="Аппарат",C239&lt;&gt;"",OR($S$5="(все)",B239=$S$5)),MAX($Y$3:Y238)+1,"")</f>
        <v/>
      </c>
      <c r="Z239" s="38" t="str">
        <f t="shared" si="31"/>
        <v/>
      </c>
      <c r="AA239" s="38" t="str">
        <f>IF(AND(A239="Модуль",C239&lt;&gt;"",OR($S$6="(все)",B239=$S$6)),MAX($AA$3:AA238)+1,"")</f>
        <v/>
      </c>
      <c r="AB239" s="38" t="str">
        <f t="shared" si="32"/>
        <v/>
      </c>
      <c r="AC239" s="38" t="str">
        <f>IF(OR(B239="",COUNTIF($B$4:B239,B239)&gt;1),"",MAX($AC$3:AC238)+1)</f>
        <v/>
      </c>
      <c r="AD239" s="38" t="str">
        <f t="shared" si="33"/>
        <v/>
      </c>
      <c r="AE239" s="38" t="str">
        <f t="shared" si="34"/>
        <v/>
      </c>
      <c r="AF239" s="38" t="str">
        <f t="shared" si="35"/>
        <v/>
      </c>
    </row>
    <row r="240" spans="1:32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38" t="str">
        <f>IF(OR(A240="Автомат",A240="Дифавтомат"),IF(W240="","",COUNTIFS(Однолинейка!$H$3:$H$3000,U240,Однолинейка!$A$3:$A$3000,Щит_спец)),IF(A240="Аппарат",IF(C240="","",COUNTIFS(Однолинейка!$I$3:$I$3000,C240,Однолинейка!$A$3:$A$3000,Щит_спец)+COUNTIFS(Однолинейка!$J$3:$J$3000,C240,Однолинейка!$A$3:$A$3000,Щит_спец)+COUNTIFS(Однолинейка!$K$3:$K$3000,C240,Однолинейка!$A$3:$A$3000,Щит_спец)),IF(A240="Модуль",IF(C240="","",COUNTIFS(Однолинейка!$AW$3:$AW$3000,"?*",Однолинейка!$AI$3:$AI$3000,C240,Однолинейка!$A$3:$A$3000,Щит_спец)),IF(A240="Клемма",IF(C240="","",IF(C240=$S$7,SUMIFS(Однолинейка!$BW$3:$BW$3000,Однолинейка!$A$3:$A$3000,Щит_спец),IF(C240=$S$8,SUMIFS(Однолинейка!$BX$3:$BX$3000,Однолинейка!$A$3:$A$3000,Щит_спец),""))),""))))</f>
        <v/>
      </c>
      <c r="O240" s="74"/>
      <c r="P240" s="38" t="str">
        <f t="shared" si="27"/>
        <v/>
      </c>
      <c r="U240" s="38" t="str">
        <f t="shared" si="28"/>
        <v/>
      </c>
      <c r="V240" s="38" t="str">
        <f t="shared" si="29"/>
        <v/>
      </c>
      <c r="W240" s="38" t="str">
        <f>IF(AND(U240&lt;&gt;"",OR($S$4="(все)",B240=$S$4),IF($S$4="(все)",COUNTIF($U$4:U240,U240),COUNTIFS($U$4:U240,U240,$B$4:B240,B240))=1),MAX($W$3:W239)+1,"")</f>
        <v/>
      </c>
      <c r="X240" s="38" t="str">
        <f t="shared" si="30"/>
        <v/>
      </c>
      <c r="Y240" s="38" t="str">
        <f>IF(AND(A240="Аппарат",C240&lt;&gt;"",OR($S$5="(все)",B240=$S$5)),MAX($Y$3:Y239)+1,"")</f>
        <v/>
      </c>
      <c r="Z240" s="38" t="str">
        <f t="shared" si="31"/>
        <v/>
      </c>
      <c r="AA240" s="38" t="str">
        <f>IF(AND(A240="Модуль",C240&lt;&gt;"",OR($S$6="(все)",B240=$S$6)),MAX($AA$3:AA239)+1,"")</f>
        <v/>
      </c>
      <c r="AB240" s="38" t="str">
        <f t="shared" si="32"/>
        <v/>
      </c>
      <c r="AC240" s="38" t="str">
        <f>IF(OR(B240="",COUNTIF($B$4:B240,B240)&gt;1),"",MAX($AC$3:AC239)+1)</f>
        <v/>
      </c>
      <c r="AD240" s="38" t="str">
        <f t="shared" si="33"/>
        <v/>
      </c>
      <c r="AE240" s="38" t="str">
        <f t="shared" si="34"/>
        <v/>
      </c>
      <c r="AF240" s="38" t="str">
        <f t="shared" si="35"/>
        <v/>
      </c>
    </row>
    <row r="241" spans="1:32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38" t="str">
        <f>IF(OR(A241="Автомат",A241="Дифавтомат"),IF(W241="","",COUNTIFS(Однолинейка!$H$3:$H$3000,U241,Однолинейка!$A$3:$A$3000,Щит_спец)),IF(A241="Аппарат",IF(C241="","",COUNTIFS(Однолинейка!$I$3:$I$3000,C241,Однолинейка!$A$3:$A$3000,Щит_спец)+COUNTIFS(Однолинейка!$J$3:$J$3000,C241,Однолинейка!$A$3:$A$3000,Щит_спец)+COUNTIFS(Однолинейка!$K$3:$K$3000,C241,Однолинейка!$A$3:$A$3000,Щит_спец)),IF(A241="Модуль",IF(C241="","",COUNTIFS(Однолинейка!$AW$3:$AW$3000,"?*",Однолинейка!$AI$3:$AI$3000,C241,Однолинейка!$A$3:$A$3000,Щит_спец)),IF(A241="Клемма",IF(C241="","",IF(C241=$S$7,SUMIFS(Однолинейка!$BW$3:$BW$3000,Однолинейка!$A$3:$A$3000,Щит_спец),IF(C241=$S$8,SUMIFS(Однолинейка!$BX$3:$BX$3000,Однолинейка!$A$3:$A$3000,Щит_спец),""))),""))))</f>
        <v/>
      </c>
      <c r="O241" s="74"/>
      <c r="P241" s="38" t="str">
        <f t="shared" si="27"/>
        <v/>
      </c>
      <c r="U241" s="38" t="str">
        <f t="shared" si="28"/>
        <v/>
      </c>
      <c r="V241" s="38" t="str">
        <f t="shared" si="29"/>
        <v/>
      </c>
      <c r="W241" s="38" t="str">
        <f>IF(AND(U241&lt;&gt;"",OR($S$4="(все)",B241=$S$4),IF($S$4="(все)",COUNTIF($U$4:U241,U241),COUNTIFS($U$4:U241,U241,$B$4:B241,B241))=1),MAX($W$3:W240)+1,"")</f>
        <v/>
      </c>
      <c r="X241" s="38" t="str">
        <f t="shared" si="30"/>
        <v/>
      </c>
      <c r="Y241" s="38" t="str">
        <f>IF(AND(A241="Аппарат",C241&lt;&gt;"",OR($S$5="(все)",B241=$S$5)),MAX($Y$3:Y240)+1,"")</f>
        <v/>
      </c>
      <c r="Z241" s="38" t="str">
        <f t="shared" si="31"/>
        <v/>
      </c>
      <c r="AA241" s="38" t="str">
        <f>IF(AND(A241="Модуль",C241&lt;&gt;"",OR($S$6="(все)",B241=$S$6)),MAX($AA$3:AA240)+1,"")</f>
        <v/>
      </c>
      <c r="AB241" s="38" t="str">
        <f t="shared" si="32"/>
        <v/>
      </c>
      <c r="AC241" s="38" t="str">
        <f>IF(OR(B241="",COUNTIF($B$4:B241,B241)&gt;1),"",MAX($AC$3:AC240)+1)</f>
        <v/>
      </c>
      <c r="AD241" s="38" t="str">
        <f t="shared" si="33"/>
        <v/>
      </c>
      <c r="AE241" s="38" t="str">
        <f t="shared" si="34"/>
        <v/>
      </c>
      <c r="AF241" s="38" t="str">
        <f t="shared" si="35"/>
        <v/>
      </c>
    </row>
    <row r="242" spans="1:32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38" t="str">
        <f>IF(OR(A242="Автомат",A242="Дифавтомат"),IF(W242="","",COUNTIFS(Однолинейка!$H$3:$H$3000,U242,Однолинейка!$A$3:$A$3000,Щит_спец)),IF(A242="Аппарат",IF(C242="","",COUNTIFS(Однолинейка!$I$3:$I$3000,C242,Однолинейка!$A$3:$A$3000,Щит_спец)+COUNTIFS(Однолинейка!$J$3:$J$3000,C242,Однолинейка!$A$3:$A$3000,Щит_спец)+COUNTIFS(Однолинейка!$K$3:$K$3000,C242,Однолинейка!$A$3:$A$3000,Щит_спец)),IF(A242="Модуль",IF(C242="","",COUNTIFS(Однолинейка!$AW$3:$AW$3000,"?*",Однолинейка!$AI$3:$AI$3000,C242,Однолинейка!$A$3:$A$3000,Щит_спец)),IF(A242="Клемма",IF(C242="","",IF(C242=$S$7,SUMIFS(Однолинейка!$BW$3:$BW$3000,Однолинейка!$A$3:$A$3000,Щит_спец),IF(C242=$S$8,SUMIFS(Однолинейка!$BX$3:$BX$3000,Однолинейка!$A$3:$A$3000,Щит_спец),""))),""))))</f>
        <v/>
      </c>
      <c r="O242" s="74"/>
      <c r="P242" s="38" t="str">
        <f t="shared" si="27"/>
        <v/>
      </c>
      <c r="U242" s="38" t="str">
        <f t="shared" si="28"/>
        <v/>
      </c>
      <c r="V242" s="38" t="str">
        <f t="shared" si="29"/>
        <v/>
      </c>
      <c r="W242" s="38" t="str">
        <f>IF(AND(U242&lt;&gt;"",OR($S$4="(все)",B242=$S$4),IF($S$4="(все)",COUNTIF($U$4:U242,U242),COUNTIFS($U$4:U242,U242,$B$4:B242,B242))=1),MAX($W$3:W241)+1,"")</f>
        <v/>
      </c>
      <c r="X242" s="38" t="str">
        <f t="shared" si="30"/>
        <v/>
      </c>
      <c r="Y242" s="38" t="str">
        <f>IF(AND(A242="Аппарат",C242&lt;&gt;"",OR($S$5="(все)",B242=$S$5)),MAX($Y$3:Y241)+1,"")</f>
        <v/>
      </c>
      <c r="Z242" s="38" t="str">
        <f t="shared" si="31"/>
        <v/>
      </c>
      <c r="AA242" s="38" t="str">
        <f>IF(AND(A242="Модуль",C242&lt;&gt;"",OR($S$6="(все)",B242=$S$6)),MAX($AA$3:AA241)+1,"")</f>
        <v/>
      </c>
      <c r="AB242" s="38" t="str">
        <f t="shared" si="32"/>
        <v/>
      </c>
      <c r="AC242" s="38" t="str">
        <f>IF(OR(B242="",COUNTIF($B$4:B242,B242)&gt;1),"",MAX($AC$3:AC241)+1)</f>
        <v/>
      </c>
      <c r="AD242" s="38" t="str">
        <f t="shared" si="33"/>
        <v/>
      </c>
      <c r="AE242" s="38" t="str">
        <f t="shared" si="34"/>
        <v/>
      </c>
      <c r="AF242" s="38" t="str">
        <f t="shared" si="35"/>
        <v/>
      </c>
    </row>
    <row r="243" spans="1:32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38" t="str">
        <f>IF(OR(A243="Автомат",A243="Дифавтомат"),IF(W243="","",COUNTIFS(Однолинейка!$H$3:$H$3000,U243,Однолинейка!$A$3:$A$3000,Щит_спец)),IF(A243="Аппарат",IF(C243="","",COUNTIFS(Однолинейка!$I$3:$I$3000,C243,Однолинейка!$A$3:$A$3000,Щит_спец)+COUNTIFS(Однолинейка!$J$3:$J$3000,C243,Однолинейка!$A$3:$A$3000,Щит_спец)+COUNTIFS(Однолинейка!$K$3:$K$3000,C243,Однолинейка!$A$3:$A$3000,Щит_спец)),IF(A243="Модуль",IF(C243="","",COUNTIFS(Однолинейка!$AW$3:$AW$3000,"?*",Однолинейка!$AI$3:$AI$3000,C243,Однолинейка!$A$3:$A$3000,Щит_спец)),IF(A243="Клемма",IF(C243="","",IF(C243=$S$7,SUMIFS(Однолинейка!$BW$3:$BW$3000,Однолинейка!$A$3:$A$3000,Щит_спец),IF(C243=$S$8,SUMIFS(Однолинейка!$BX$3:$BX$3000,Однолинейка!$A$3:$A$3000,Щит_спец),""))),""))))</f>
        <v/>
      </c>
      <c r="O243" s="74"/>
      <c r="P243" s="38" t="str">
        <f t="shared" si="27"/>
        <v/>
      </c>
      <c r="U243" s="38" t="str">
        <f t="shared" si="28"/>
        <v/>
      </c>
      <c r="V243" s="38" t="str">
        <f t="shared" si="29"/>
        <v/>
      </c>
      <c r="W243" s="38" t="str">
        <f>IF(AND(U243&lt;&gt;"",OR($S$4="(все)",B243=$S$4),IF($S$4="(все)",COUNTIF($U$4:U243,U243),COUNTIFS($U$4:U243,U243,$B$4:B243,B243))=1),MAX($W$3:W242)+1,"")</f>
        <v/>
      </c>
      <c r="X243" s="38" t="str">
        <f t="shared" si="30"/>
        <v/>
      </c>
      <c r="Y243" s="38" t="str">
        <f>IF(AND(A243="Аппарат",C243&lt;&gt;"",OR($S$5="(все)",B243=$S$5)),MAX($Y$3:Y242)+1,"")</f>
        <v/>
      </c>
      <c r="Z243" s="38" t="str">
        <f t="shared" si="31"/>
        <v/>
      </c>
      <c r="AA243" s="38" t="str">
        <f>IF(AND(A243="Модуль",C243&lt;&gt;"",OR($S$6="(все)",B243=$S$6)),MAX($AA$3:AA242)+1,"")</f>
        <v/>
      </c>
      <c r="AB243" s="38" t="str">
        <f t="shared" si="32"/>
        <v/>
      </c>
      <c r="AC243" s="38" t="str">
        <f>IF(OR(B243="",COUNTIF($B$4:B243,B243)&gt;1),"",MAX($AC$3:AC242)+1)</f>
        <v/>
      </c>
      <c r="AD243" s="38" t="str">
        <f t="shared" si="33"/>
        <v/>
      </c>
      <c r="AE243" s="38" t="str">
        <f t="shared" si="34"/>
        <v/>
      </c>
      <c r="AF243" s="38" t="str">
        <f t="shared" si="35"/>
        <v/>
      </c>
    </row>
    <row r="244" spans="1:32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38" t="str">
        <f>IF(OR(A244="Автомат",A244="Дифавтомат"),IF(W244="","",COUNTIFS(Однолинейка!$H$3:$H$3000,U244,Однолинейка!$A$3:$A$3000,Щит_спец)),IF(A244="Аппарат",IF(C244="","",COUNTIFS(Однолинейка!$I$3:$I$3000,C244,Однолинейка!$A$3:$A$3000,Щит_спец)+COUNTIFS(Однолинейка!$J$3:$J$3000,C244,Однолинейка!$A$3:$A$3000,Щит_спец)+COUNTIFS(Однолинейка!$K$3:$K$3000,C244,Однолинейка!$A$3:$A$3000,Щит_спец)),IF(A244="Модуль",IF(C244="","",COUNTIFS(Однолинейка!$AW$3:$AW$3000,"?*",Однолинейка!$AI$3:$AI$3000,C244,Однолинейка!$A$3:$A$3000,Щит_спец)),IF(A244="Клемма",IF(C244="","",IF(C244=$S$7,SUMIFS(Однолинейка!$BW$3:$BW$3000,Однолинейка!$A$3:$A$3000,Щит_спец),IF(C244=$S$8,SUMIFS(Однолинейка!$BX$3:$BX$3000,Однолинейка!$A$3:$A$3000,Щит_спец),""))),""))))</f>
        <v/>
      </c>
      <c r="O244" s="74"/>
      <c r="P244" s="38" t="str">
        <f t="shared" si="27"/>
        <v/>
      </c>
      <c r="U244" s="38" t="str">
        <f t="shared" si="28"/>
        <v/>
      </c>
      <c r="V244" s="38" t="str">
        <f t="shared" si="29"/>
        <v/>
      </c>
      <c r="W244" s="38" t="str">
        <f>IF(AND(U244&lt;&gt;"",OR($S$4="(все)",B244=$S$4),IF($S$4="(все)",COUNTIF($U$4:U244,U244),COUNTIFS($U$4:U244,U244,$B$4:B244,B244))=1),MAX($W$3:W243)+1,"")</f>
        <v/>
      </c>
      <c r="X244" s="38" t="str">
        <f t="shared" si="30"/>
        <v/>
      </c>
      <c r="Y244" s="38" t="str">
        <f>IF(AND(A244="Аппарат",C244&lt;&gt;"",OR($S$5="(все)",B244=$S$5)),MAX($Y$3:Y243)+1,"")</f>
        <v/>
      </c>
      <c r="Z244" s="38" t="str">
        <f t="shared" si="31"/>
        <v/>
      </c>
      <c r="AA244" s="38" t="str">
        <f>IF(AND(A244="Модуль",C244&lt;&gt;"",OR($S$6="(все)",B244=$S$6)),MAX($AA$3:AA243)+1,"")</f>
        <v/>
      </c>
      <c r="AB244" s="38" t="str">
        <f t="shared" si="32"/>
        <v/>
      </c>
      <c r="AC244" s="38" t="str">
        <f>IF(OR(B244="",COUNTIF($B$4:B244,B244)&gt;1),"",MAX($AC$3:AC243)+1)</f>
        <v/>
      </c>
      <c r="AD244" s="38" t="str">
        <f t="shared" si="33"/>
        <v/>
      </c>
      <c r="AE244" s="38" t="str">
        <f t="shared" si="34"/>
        <v/>
      </c>
      <c r="AF244" s="38" t="str">
        <f t="shared" si="35"/>
        <v/>
      </c>
    </row>
    <row r="245" spans="1:32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38" t="str">
        <f>IF(OR(A245="Автомат",A245="Дифавтомат"),IF(W245="","",COUNTIFS(Однолинейка!$H$3:$H$3000,U245,Однолинейка!$A$3:$A$3000,Щит_спец)),IF(A245="Аппарат",IF(C245="","",COUNTIFS(Однолинейка!$I$3:$I$3000,C245,Однолинейка!$A$3:$A$3000,Щит_спец)+COUNTIFS(Однолинейка!$J$3:$J$3000,C245,Однолинейка!$A$3:$A$3000,Щит_спец)+COUNTIFS(Однолинейка!$K$3:$K$3000,C245,Однолинейка!$A$3:$A$3000,Щит_спец)),IF(A245="Модуль",IF(C245="","",COUNTIFS(Однолинейка!$AW$3:$AW$3000,"?*",Однолинейка!$AI$3:$AI$3000,C245,Однолинейка!$A$3:$A$3000,Щит_спец)),IF(A245="Клемма",IF(C245="","",IF(C245=$S$7,SUMIFS(Однолинейка!$BW$3:$BW$3000,Однолинейка!$A$3:$A$3000,Щит_спец),IF(C245=$S$8,SUMIFS(Однолинейка!$BX$3:$BX$3000,Однолинейка!$A$3:$A$3000,Щит_спец),""))),""))))</f>
        <v/>
      </c>
      <c r="O245" s="74"/>
      <c r="P245" s="38" t="str">
        <f t="shared" si="27"/>
        <v/>
      </c>
      <c r="U245" s="38" t="str">
        <f t="shared" si="28"/>
        <v/>
      </c>
      <c r="V245" s="38" t="str">
        <f t="shared" si="29"/>
        <v/>
      </c>
      <c r="W245" s="38" t="str">
        <f>IF(AND(U245&lt;&gt;"",OR($S$4="(все)",B245=$S$4),IF($S$4="(все)",COUNTIF($U$4:U245,U245),COUNTIFS($U$4:U245,U245,$B$4:B245,B245))=1),MAX($W$3:W244)+1,"")</f>
        <v/>
      </c>
      <c r="X245" s="38" t="str">
        <f t="shared" si="30"/>
        <v/>
      </c>
      <c r="Y245" s="38" t="str">
        <f>IF(AND(A245="Аппарат",C245&lt;&gt;"",OR($S$5="(все)",B245=$S$5)),MAX($Y$3:Y244)+1,"")</f>
        <v/>
      </c>
      <c r="Z245" s="38" t="str">
        <f t="shared" si="31"/>
        <v/>
      </c>
      <c r="AA245" s="38" t="str">
        <f>IF(AND(A245="Модуль",C245&lt;&gt;"",OR($S$6="(все)",B245=$S$6)),MAX($AA$3:AA244)+1,"")</f>
        <v/>
      </c>
      <c r="AB245" s="38" t="str">
        <f t="shared" si="32"/>
        <v/>
      </c>
      <c r="AC245" s="38" t="str">
        <f>IF(OR(B245="",COUNTIF($B$4:B245,B245)&gt;1),"",MAX($AC$3:AC244)+1)</f>
        <v/>
      </c>
      <c r="AD245" s="38" t="str">
        <f t="shared" si="33"/>
        <v/>
      </c>
      <c r="AE245" s="38" t="str">
        <f t="shared" si="34"/>
        <v/>
      </c>
      <c r="AF245" s="38" t="str">
        <f t="shared" si="35"/>
        <v/>
      </c>
    </row>
    <row r="246" spans="1:32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38" t="str">
        <f>IF(OR(A246="Автомат",A246="Дифавтомат"),IF(W246="","",COUNTIFS(Однолинейка!$H$3:$H$3000,U246,Однолинейка!$A$3:$A$3000,Щит_спец)),IF(A246="Аппарат",IF(C246="","",COUNTIFS(Однолинейка!$I$3:$I$3000,C246,Однолинейка!$A$3:$A$3000,Щит_спец)+COUNTIFS(Однолинейка!$J$3:$J$3000,C246,Однолинейка!$A$3:$A$3000,Щит_спец)+COUNTIFS(Однолинейка!$K$3:$K$3000,C246,Однолинейка!$A$3:$A$3000,Щит_спец)),IF(A246="Модуль",IF(C246="","",COUNTIFS(Однолинейка!$AW$3:$AW$3000,"?*",Однолинейка!$AI$3:$AI$3000,C246,Однолинейка!$A$3:$A$3000,Щит_спец)),IF(A246="Клемма",IF(C246="","",IF(C246=$S$7,SUMIFS(Однолинейка!$BW$3:$BW$3000,Однолинейка!$A$3:$A$3000,Щит_спец),IF(C246=$S$8,SUMIFS(Однолинейка!$BX$3:$BX$3000,Однолинейка!$A$3:$A$3000,Щит_спец),""))),""))))</f>
        <v/>
      </c>
      <c r="O246" s="74"/>
      <c r="P246" s="38" t="str">
        <f t="shared" si="27"/>
        <v/>
      </c>
      <c r="U246" s="38" t="str">
        <f t="shared" si="28"/>
        <v/>
      </c>
      <c r="V246" s="38" t="str">
        <f t="shared" si="29"/>
        <v/>
      </c>
      <c r="W246" s="38" t="str">
        <f>IF(AND(U246&lt;&gt;"",OR($S$4="(все)",B246=$S$4),IF($S$4="(все)",COUNTIF($U$4:U246,U246),COUNTIFS($U$4:U246,U246,$B$4:B246,B246))=1),MAX($W$3:W245)+1,"")</f>
        <v/>
      </c>
      <c r="X246" s="38" t="str">
        <f t="shared" si="30"/>
        <v/>
      </c>
      <c r="Y246" s="38" t="str">
        <f>IF(AND(A246="Аппарат",C246&lt;&gt;"",OR($S$5="(все)",B246=$S$5)),MAX($Y$3:Y245)+1,"")</f>
        <v/>
      </c>
      <c r="Z246" s="38" t="str">
        <f t="shared" si="31"/>
        <v/>
      </c>
      <c r="AA246" s="38" t="str">
        <f>IF(AND(A246="Модуль",C246&lt;&gt;"",OR($S$6="(все)",B246=$S$6)),MAX($AA$3:AA245)+1,"")</f>
        <v/>
      </c>
      <c r="AB246" s="38" t="str">
        <f t="shared" si="32"/>
        <v/>
      </c>
      <c r="AC246" s="38" t="str">
        <f>IF(OR(B246="",COUNTIF($B$4:B246,B246)&gt;1),"",MAX($AC$3:AC245)+1)</f>
        <v/>
      </c>
      <c r="AD246" s="38" t="str">
        <f t="shared" si="33"/>
        <v/>
      </c>
      <c r="AE246" s="38" t="str">
        <f t="shared" si="34"/>
        <v/>
      </c>
      <c r="AF246" s="38" t="str">
        <f t="shared" si="35"/>
        <v/>
      </c>
    </row>
    <row r="247" spans="1:32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38" t="str">
        <f>IF(OR(A247="Автомат",A247="Дифавтомат"),IF(W247="","",COUNTIFS(Однолинейка!$H$3:$H$3000,U247,Однолинейка!$A$3:$A$3000,Щит_спец)),IF(A247="Аппарат",IF(C247="","",COUNTIFS(Однолинейка!$I$3:$I$3000,C247,Однолинейка!$A$3:$A$3000,Щит_спец)+COUNTIFS(Однолинейка!$J$3:$J$3000,C247,Однолинейка!$A$3:$A$3000,Щит_спец)+COUNTIFS(Однолинейка!$K$3:$K$3000,C247,Однолинейка!$A$3:$A$3000,Щит_спец)),IF(A247="Модуль",IF(C247="","",COUNTIFS(Однолинейка!$AW$3:$AW$3000,"?*",Однолинейка!$AI$3:$AI$3000,C247,Однолинейка!$A$3:$A$3000,Щит_спец)),IF(A247="Клемма",IF(C247="","",IF(C247=$S$7,SUMIFS(Однолинейка!$BW$3:$BW$3000,Однолинейка!$A$3:$A$3000,Щит_спец),IF(C247=$S$8,SUMIFS(Однолинейка!$BX$3:$BX$3000,Однолинейка!$A$3:$A$3000,Щит_спец),""))),""))))</f>
        <v/>
      </c>
      <c r="O247" s="74"/>
      <c r="P247" s="38" t="str">
        <f t="shared" si="27"/>
        <v/>
      </c>
      <c r="U247" s="38" t="str">
        <f t="shared" si="28"/>
        <v/>
      </c>
      <c r="V247" s="38" t="str">
        <f t="shared" si="29"/>
        <v/>
      </c>
      <c r="W247" s="38" t="str">
        <f>IF(AND(U247&lt;&gt;"",OR($S$4="(все)",B247=$S$4),IF($S$4="(все)",COUNTIF($U$4:U247,U247),COUNTIFS($U$4:U247,U247,$B$4:B247,B247))=1),MAX($W$3:W246)+1,"")</f>
        <v/>
      </c>
      <c r="X247" s="38" t="str">
        <f t="shared" si="30"/>
        <v/>
      </c>
      <c r="Y247" s="38" t="str">
        <f>IF(AND(A247="Аппарат",C247&lt;&gt;"",OR($S$5="(все)",B247=$S$5)),MAX($Y$3:Y246)+1,"")</f>
        <v/>
      </c>
      <c r="Z247" s="38" t="str">
        <f t="shared" si="31"/>
        <v/>
      </c>
      <c r="AA247" s="38" t="str">
        <f>IF(AND(A247="Модуль",C247&lt;&gt;"",OR($S$6="(все)",B247=$S$6)),MAX($AA$3:AA246)+1,"")</f>
        <v/>
      </c>
      <c r="AB247" s="38" t="str">
        <f t="shared" si="32"/>
        <v/>
      </c>
      <c r="AC247" s="38" t="str">
        <f>IF(OR(B247="",COUNTIF($B$4:B247,B247)&gt;1),"",MAX($AC$3:AC246)+1)</f>
        <v/>
      </c>
      <c r="AD247" s="38" t="str">
        <f t="shared" si="33"/>
        <v/>
      </c>
      <c r="AE247" s="38" t="str">
        <f t="shared" si="34"/>
        <v/>
      </c>
      <c r="AF247" s="38" t="str">
        <f t="shared" si="35"/>
        <v/>
      </c>
    </row>
    <row r="248" spans="1:32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38" t="str">
        <f>IF(OR(A248="Автомат",A248="Дифавтомат"),IF(W248="","",COUNTIFS(Однолинейка!$H$3:$H$3000,U248,Однолинейка!$A$3:$A$3000,Щит_спец)),IF(A248="Аппарат",IF(C248="","",COUNTIFS(Однолинейка!$I$3:$I$3000,C248,Однолинейка!$A$3:$A$3000,Щит_спец)+COUNTIFS(Однолинейка!$J$3:$J$3000,C248,Однолинейка!$A$3:$A$3000,Щит_спец)+COUNTIFS(Однолинейка!$K$3:$K$3000,C248,Однолинейка!$A$3:$A$3000,Щит_спец)),IF(A248="Модуль",IF(C248="","",COUNTIFS(Однолинейка!$AW$3:$AW$3000,"?*",Однолинейка!$AI$3:$AI$3000,C248,Однолинейка!$A$3:$A$3000,Щит_спец)),IF(A248="Клемма",IF(C248="","",IF(C248=$S$7,SUMIFS(Однолинейка!$BW$3:$BW$3000,Однолинейка!$A$3:$A$3000,Щит_спец),IF(C248=$S$8,SUMIFS(Однолинейка!$BX$3:$BX$3000,Однолинейка!$A$3:$A$3000,Щит_спец),""))),""))))</f>
        <v/>
      </c>
      <c r="O248" s="74"/>
      <c r="P248" s="38" t="str">
        <f t="shared" si="27"/>
        <v/>
      </c>
      <c r="U248" s="38" t="str">
        <f t="shared" si="28"/>
        <v/>
      </c>
      <c r="V248" s="38" t="str">
        <f t="shared" si="29"/>
        <v/>
      </c>
      <c r="W248" s="38" t="str">
        <f>IF(AND(U248&lt;&gt;"",OR($S$4="(все)",B248=$S$4),IF($S$4="(все)",COUNTIF($U$4:U248,U248),COUNTIFS($U$4:U248,U248,$B$4:B248,B248))=1),MAX($W$3:W247)+1,"")</f>
        <v/>
      </c>
      <c r="X248" s="38" t="str">
        <f t="shared" si="30"/>
        <v/>
      </c>
      <c r="Y248" s="38" t="str">
        <f>IF(AND(A248="Аппарат",C248&lt;&gt;"",OR($S$5="(все)",B248=$S$5)),MAX($Y$3:Y247)+1,"")</f>
        <v/>
      </c>
      <c r="Z248" s="38" t="str">
        <f t="shared" si="31"/>
        <v/>
      </c>
      <c r="AA248" s="38" t="str">
        <f>IF(AND(A248="Модуль",C248&lt;&gt;"",OR($S$6="(все)",B248=$S$6)),MAX($AA$3:AA247)+1,"")</f>
        <v/>
      </c>
      <c r="AB248" s="38" t="str">
        <f t="shared" si="32"/>
        <v/>
      </c>
      <c r="AC248" s="38" t="str">
        <f>IF(OR(B248="",COUNTIF($B$4:B248,B248)&gt;1),"",MAX($AC$3:AC247)+1)</f>
        <v/>
      </c>
      <c r="AD248" s="38" t="str">
        <f t="shared" si="33"/>
        <v/>
      </c>
      <c r="AE248" s="38" t="str">
        <f t="shared" si="34"/>
        <v/>
      </c>
      <c r="AF248" s="38" t="str">
        <f t="shared" si="35"/>
        <v/>
      </c>
    </row>
    <row r="249" spans="1:32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38" t="str">
        <f>IF(OR(A249="Автомат",A249="Дифавтомат"),IF(W249="","",COUNTIFS(Однолинейка!$H$3:$H$3000,U249,Однолинейка!$A$3:$A$3000,Щит_спец)),IF(A249="Аппарат",IF(C249="","",COUNTIFS(Однолинейка!$I$3:$I$3000,C249,Однолинейка!$A$3:$A$3000,Щит_спец)+COUNTIFS(Однолинейка!$J$3:$J$3000,C249,Однолинейка!$A$3:$A$3000,Щит_спец)+COUNTIFS(Однолинейка!$K$3:$K$3000,C249,Однолинейка!$A$3:$A$3000,Щит_спец)),IF(A249="Модуль",IF(C249="","",COUNTIFS(Однолинейка!$AW$3:$AW$3000,"?*",Однолинейка!$AI$3:$AI$3000,C249,Однолинейка!$A$3:$A$3000,Щит_спец)),IF(A249="Клемма",IF(C249="","",IF(C249=$S$7,SUMIFS(Однолинейка!$BW$3:$BW$3000,Однолинейка!$A$3:$A$3000,Щит_спец),IF(C249=$S$8,SUMIFS(Однолинейка!$BX$3:$BX$3000,Однолинейка!$A$3:$A$3000,Щит_спец),""))),""))))</f>
        <v/>
      </c>
      <c r="O249" s="74"/>
      <c r="P249" s="38" t="str">
        <f t="shared" si="27"/>
        <v/>
      </c>
      <c r="U249" s="38" t="str">
        <f t="shared" si="28"/>
        <v/>
      </c>
      <c r="V249" s="38" t="str">
        <f t="shared" si="29"/>
        <v/>
      </c>
      <c r="W249" s="38" t="str">
        <f>IF(AND(U249&lt;&gt;"",OR($S$4="(все)",B249=$S$4),IF($S$4="(все)",COUNTIF($U$4:U249,U249),COUNTIFS($U$4:U249,U249,$B$4:B249,B249))=1),MAX($W$3:W248)+1,"")</f>
        <v/>
      </c>
      <c r="X249" s="38" t="str">
        <f t="shared" si="30"/>
        <v/>
      </c>
      <c r="Y249" s="38" t="str">
        <f>IF(AND(A249="Аппарат",C249&lt;&gt;"",OR($S$5="(все)",B249=$S$5)),MAX($Y$3:Y248)+1,"")</f>
        <v/>
      </c>
      <c r="Z249" s="38" t="str">
        <f t="shared" si="31"/>
        <v/>
      </c>
      <c r="AA249" s="38" t="str">
        <f>IF(AND(A249="Модуль",C249&lt;&gt;"",OR($S$6="(все)",B249=$S$6)),MAX($AA$3:AA248)+1,"")</f>
        <v/>
      </c>
      <c r="AB249" s="38" t="str">
        <f t="shared" si="32"/>
        <v/>
      </c>
      <c r="AC249" s="38" t="str">
        <f>IF(OR(B249="",COUNTIF($B$4:B249,B249)&gt;1),"",MAX($AC$3:AC248)+1)</f>
        <v/>
      </c>
      <c r="AD249" s="38" t="str">
        <f t="shared" si="33"/>
        <v/>
      </c>
      <c r="AE249" s="38" t="str">
        <f t="shared" si="34"/>
        <v/>
      </c>
      <c r="AF249" s="38" t="str">
        <f t="shared" si="35"/>
        <v/>
      </c>
    </row>
    <row r="250" spans="1:32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38" t="str">
        <f>IF(OR(A250="Автомат",A250="Дифавтомат"),IF(W250="","",COUNTIFS(Однолинейка!$H$3:$H$3000,U250,Однолинейка!$A$3:$A$3000,Щит_спец)),IF(A250="Аппарат",IF(C250="","",COUNTIFS(Однолинейка!$I$3:$I$3000,C250,Однолинейка!$A$3:$A$3000,Щит_спец)+COUNTIFS(Однолинейка!$J$3:$J$3000,C250,Однолинейка!$A$3:$A$3000,Щит_спец)+COUNTIFS(Однолинейка!$K$3:$K$3000,C250,Однолинейка!$A$3:$A$3000,Щит_спец)),IF(A250="Модуль",IF(C250="","",COUNTIFS(Однолинейка!$AW$3:$AW$3000,"?*",Однолинейка!$AI$3:$AI$3000,C250,Однолинейка!$A$3:$A$3000,Щит_спец)),IF(A250="Клемма",IF(C250="","",IF(C250=$S$7,SUMIFS(Однолинейка!$BW$3:$BW$3000,Однолинейка!$A$3:$A$3000,Щит_спец),IF(C250=$S$8,SUMIFS(Однолинейка!$BX$3:$BX$3000,Однолинейка!$A$3:$A$3000,Щит_спец),""))),""))))</f>
        <v/>
      </c>
      <c r="O250" s="74"/>
      <c r="P250" s="38" t="str">
        <f t="shared" si="27"/>
        <v/>
      </c>
      <c r="U250" s="38" t="str">
        <f t="shared" si="28"/>
        <v/>
      </c>
      <c r="V250" s="38" t="str">
        <f t="shared" si="29"/>
        <v/>
      </c>
      <c r="W250" s="38" t="str">
        <f>IF(AND(U250&lt;&gt;"",OR($S$4="(все)",B250=$S$4),IF($S$4="(все)",COUNTIF($U$4:U250,U250),COUNTIFS($U$4:U250,U250,$B$4:B250,B250))=1),MAX($W$3:W249)+1,"")</f>
        <v/>
      </c>
      <c r="X250" s="38" t="str">
        <f t="shared" si="30"/>
        <v/>
      </c>
      <c r="Y250" s="38" t="str">
        <f>IF(AND(A250="Аппарат",C250&lt;&gt;"",OR($S$5="(все)",B250=$S$5)),MAX($Y$3:Y249)+1,"")</f>
        <v/>
      </c>
      <c r="Z250" s="38" t="str">
        <f t="shared" si="31"/>
        <v/>
      </c>
      <c r="AA250" s="38" t="str">
        <f>IF(AND(A250="Модуль",C250&lt;&gt;"",OR($S$6="(все)",B250=$S$6)),MAX($AA$3:AA249)+1,"")</f>
        <v/>
      </c>
      <c r="AB250" s="38" t="str">
        <f t="shared" si="32"/>
        <v/>
      </c>
      <c r="AC250" s="38" t="str">
        <f>IF(OR(B250="",COUNTIF($B$4:B250,B250)&gt;1),"",MAX($AC$3:AC249)+1)</f>
        <v/>
      </c>
      <c r="AD250" s="38" t="str">
        <f t="shared" si="33"/>
        <v/>
      </c>
      <c r="AE250" s="38" t="str">
        <f t="shared" si="34"/>
        <v/>
      </c>
      <c r="AF250" s="38" t="str">
        <f t="shared" si="35"/>
        <v/>
      </c>
    </row>
    <row r="251" spans="1:32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38" t="str">
        <f>IF(OR(A251="Автомат",A251="Дифавтомат"),IF(W251="","",COUNTIFS(Однолинейка!$H$3:$H$3000,U251,Однолинейка!$A$3:$A$3000,Щит_спец)),IF(A251="Аппарат",IF(C251="","",COUNTIFS(Однолинейка!$I$3:$I$3000,C251,Однолинейка!$A$3:$A$3000,Щит_спец)+COUNTIFS(Однолинейка!$J$3:$J$3000,C251,Однолинейка!$A$3:$A$3000,Щит_спец)+COUNTIFS(Однолинейка!$K$3:$K$3000,C251,Однолинейка!$A$3:$A$3000,Щит_спец)),IF(A251="Модуль",IF(C251="","",COUNTIFS(Однолинейка!$AW$3:$AW$3000,"?*",Однолинейка!$AI$3:$AI$3000,C251,Однолинейка!$A$3:$A$3000,Щит_спец)),IF(A251="Клемма",IF(C251="","",IF(C251=$S$7,SUMIFS(Однолинейка!$BW$3:$BW$3000,Однолинейка!$A$3:$A$3000,Щит_спец),IF(C251=$S$8,SUMIFS(Однолинейка!$BX$3:$BX$3000,Однолинейка!$A$3:$A$3000,Щит_спец),""))),""))))</f>
        <v/>
      </c>
      <c r="O251" s="74"/>
      <c r="P251" s="38" t="str">
        <f t="shared" si="27"/>
        <v/>
      </c>
      <c r="U251" s="38" t="str">
        <f t="shared" si="28"/>
        <v/>
      </c>
      <c r="V251" s="38" t="str">
        <f t="shared" si="29"/>
        <v/>
      </c>
      <c r="W251" s="38" t="str">
        <f>IF(AND(U251&lt;&gt;"",OR($S$4="(все)",B251=$S$4),IF($S$4="(все)",COUNTIF($U$4:U251,U251),COUNTIFS($U$4:U251,U251,$B$4:B251,B251))=1),MAX($W$3:W250)+1,"")</f>
        <v/>
      </c>
      <c r="X251" s="38" t="str">
        <f t="shared" si="30"/>
        <v/>
      </c>
      <c r="Y251" s="38" t="str">
        <f>IF(AND(A251="Аппарат",C251&lt;&gt;"",OR($S$5="(все)",B251=$S$5)),MAX($Y$3:Y250)+1,"")</f>
        <v/>
      </c>
      <c r="Z251" s="38" t="str">
        <f t="shared" si="31"/>
        <v/>
      </c>
      <c r="AA251" s="38" t="str">
        <f>IF(AND(A251="Модуль",C251&lt;&gt;"",OR($S$6="(все)",B251=$S$6)),MAX($AA$3:AA250)+1,"")</f>
        <v/>
      </c>
      <c r="AB251" s="38" t="str">
        <f t="shared" si="32"/>
        <v/>
      </c>
      <c r="AC251" s="38" t="str">
        <f>IF(OR(B251="",COUNTIF($B$4:B251,B251)&gt;1),"",MAX($AC$3:AC250)+1)</f>
        <v/>
      </c>
      <c r="AD251" s="38" t="str">
        <f t="shared" si="33"/>
        <v/>
      </c>
      <c r="AE251" s="38" t="str">
        <f t="shared" si="34"/>
        <v/>
      </c>
      <c r="AF251" s="38" t="str">
        <f t="shared" si="35"/>
        <v/>
      </c>
    </row>
    <row r="252" spans="1:32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38" t="str">
        <f>IF(OR(A252="Автомат",A252="Дифавтомат"),IF(W252="","",COUNTIFS(Однолинейка!$H$3:$H$3000,U252,Однолинейка!$A$3:$A$3000,Щит_спец)),IF(A252="Аппарат",IF(C252="","",COUNTIFS(Однолинейка!$I$3:$I$3000,C252,Однолинейка!$A$3:$A$3000,Щит_спец)+COUNTIFS(Однолинейка!$J$3:$J$3000,C252,Однолинейка!$A$3:$A$3000,Щит_спец)+COUNTIFS(Однолинейка!$K$3:$K$3000,C252,Однолинейка!$A$3:$A$3000,Щит_спец)),IF(A252="Модуль",IF(C252="","",COUNTIFS(Однолинейка!$AW$3:$AW$3000,"?*",Однолинейка!$AI$3:$AI$3000,C252,Однолинейка!$A$3:$A$3000,Щит_спец)),IF(A252="Клемма",IF(C252="","",IF(C252=$S$7,SUMIFS(Однолинейка!$BW$3:$BW$3000,Однолинейка!$A$3:$A$3000,Щит_спец),IF(C252=$S$8,SUMIFS(Однолинейка!$BX$3:$BX$3000,Однолинейка!$A$3:$A$3000,Щит_спец),""))),""))))</f>
        <v/>
      </c>
      <c r="O252" s="74"/>
      <c r="P252" s="38" t="str">
        <f t="shared" si="27"/>
        <v/>
      </c>
      <c r="U252" s="38" t="str">
        <f t="shared" si="28"/>
        <v/>
      </c>
      <c r="V252" s="38" t="str">
        <f t="shared" si="29"/>
        <v/>
      </c>
      <c r="W252" s="38" t="str">
        <f>IF(AND(U252&lt;&gt;"",OR($S$4="(все)",B252=$S$4),IF($S$4="(все)",COUNTIF($U$4:U252,U252),COUNTIFS($U$4:U252,U252,$B$4:B252,B252))=1),MAX($W$3:W251)+1,"")</f>
        <v/>
      </c>
      <c r="X252" s="38" t="str">
        <f t="shared" si="30"/>
        <v/>
      </c>
      <c r="Y252" s="38" t="str">
        <f>IF(AND(A252="Аппарат",C252&lt;&gt;"",OR($S$5="(все)",B252=$S$5)),MAX($Y$3:Y251)+1,"")</f>
        <v/>
      </c>
      <c r="Z252" s="38" t="str">
        <f t="shared" si="31"/>
        <v/>
      </c>
      <c r="AA252" s="38" t="str">
        <f>IF(AND(A252="Модуль",C252&lt;&gt;"",OR($S$6="(все)",B252=$S$6)),MAX($AA$3:AA251)+1,"")</f>
        <v/>
      </c>
      <c r="AB252" s="38" t="str">
        <f t="shared" si="32"/>
        <v/>
      </c>
      <c r="AC252" s="38" t="str">
        <f>IF(OR(B252="",COUNTIF($B$4:B252,B252)&gt;1),"",MAX($AC$3:AC251)+1)</f>
        <v/>
      </c>
      <c r="AD252" s="38" t="str">
        <f t="shared" si="33"/>
        <v/>
      </c>
      <c r="AE252" s="38" t="str">
        <f t="shared" si="34"/>
        <v/>
      </c>
      <c r="AF252" s="38" t="str">
        <f t="shared" si="35"/>
        <v/>
      </c>
    </row>
    <row r="253" spans="1:32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38" t="str">
        <f>IF(OR(A253="Автомат",A253="Дифавтомат"),IF(W253="","",COUNTIFS(Однолинейка!$H$3:$H$3000,U253,Однолинейка!$A$3:$A$3000,Щит_спец)),IF(A253="Аппарат",IF(C253="","",COUNTIFS(Однолинейка!$I$3:$I$3000,C253,Однолинейка!$A$3:$A$3000,Щит_спец)+COUNTIFS(Однолинейка!$J$3:$J$3000,C253,Однолинейка!$A$3:$A$3000,Щит_спец)+COUNTIFS(Однолинейка!$K$3:$K$3000,C253,Однолинейка!$A$3:$A$3000,Щит_спец)),IF(A253="Модуль",IF(C253="","",COUNTIFS(Однолинейка!$AW$3:$AW$3000,"?*",Однолинейка!$AI$3:$AI$3000,C253,Однолинейка!$A$3:$A$3000,Щит_спец)),IF(A253="Клемма",IF(C253="","",IF(C253=$S$7,SUMIFS(Однолинейка!$BW$3:$BW$3000,Однолинейка!$A$3:$A$3000,Щит_спец),IF(C253=$S$8,SUMIFS(Однолинейка!$BX$3:$BX$3000,Однолинейка!$A$3:$A$3000,Щит_спец),""))),""))))</f>
        <v/>
      </c>
      <c r="O253" s="74"/>
      <c r="P253" s="38" t="str">
        <f t="shared" si="27"/>
        <v/>
      </c>
      <c r="U253" s="38" t="str">
        <f t="shared" si="28"/>
        <v/>
      </c>
      <c r="V253" s="38" t="str">
        <f t="shared" si="29"/>
        <v/>
      </c>
      <c r="W253" s="38" t="str">
        <f>IF(AND(U253&lt;&gt;"",OR($S$4="(все)",B253=$S$4),IF($S$4="(все)",COUNTIF($U$4:U253,U253),COUNTIFS($U$4:U253,U253,$B$4:B253,B253))=1),MAX($W$3:W252)+1,"")</f>
        <v/>
      </c>
      <c r="X253" s="38" t="str">
        <f t="shared" si="30"/>
        <v/>
      </c>
      <c r="Y253" s="38" t="str">
        <f>IF(AND(A253="Аппарат",C253&lt;&gt;"",OR($S$5="(все)",B253=$S$5)),MAX($Y$3:Y252)+1,"")</f>
        <v/>
      </c>
      <c r="Z253" s="38" t="str">
        <f t="shared" si="31"/>
        <v/>
      </c>
      <c r="AA253" s="38" t="str">
        <f>IF(AND(A253="Модуль",C253&lt;&gt;"",OR($S$6="(все)",B253=$S$6)),MAX($AA$3:AA252)+1,"")</f>
        <v/>
      </c>
      <c r="AB253" s="38" t="str">
        <f t="shared" si="32"/>
        <v/>
      </c>
      <c r="AC253" s="38" t="str">
        <f>IF(OR(B253="",COUNTIF($B$4:B253,B253)&gt;1),"",MAX($AC$3:AC252)+1)</f>
        <v/>
      </c>
      <c r="AD253" s="38" t="str">
        <f t="shared" si="33"/>
        <v/>
      </c>
      <c r="AE253" s="38" t="str">
        <f t="shared" si="34"/>
        <v/>
      </c>
      <c r="AF253" s="38" t="str">
        <f t="shared" si="35"/>
        <v/>
      </c>
    </row>
    <row r="254" spans="1:32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38" t="str">
        <f>IF(OR(A254="Автомат",A254="Дифавтомат"),IF(W254="","",COUNTIFS(Однолинейка!$H$3:$H$3000,U254,Однолинейка!$A$3:$A$3000,Щит_спец)),IF(A254="Аппарат",IF(C254="","",COUNTIFS(Однолинейка!$I$3:$I$3000,C254,Однолинейка!$A$3:$A$3000,Щит_спец)+COUNTIFS(Однолинейка!$J$3:$J$3000,C254,Однолинейка!$A$3:$A$3000,Щит_спец)+COUNTIFS(Однолинейка!$K$3:$K$3000,C254,Однолинейка!$A$3:$A$3000,Щит_спец)),IF(A254="Модуль",IF(C254="","",COUNTIFS(Однолинейка!$AW$3:$AW$3000,"?*",Однолинейка!$AI$3:$AI$3000,C254,Однолинейка!$A$3:$A$3000,Щит_спец)),IF(A254="Клемма",IF(C254="","",IF(C254=$S$7,SUMIFS(Однолинейка!$BW$3:$BW$3000,Однолинейка!$A$3:$A$3000,Щит_спец),IF(C254=$S$8,SUMIFS(Однолинейка!$BX$3:$BX$3000,Однолинейка!$A$3:$A$3000,Щит_спец),""))),""))))</f>
        <v/>
      </c>
      <c r="O254" s="74"/>
      <c r="P254" s="38" t="str">
        <f t="shared" si="27"/>
        <v/>
      </c>
      <c r="U254" s="38" t="str">
        <f t="shared" si="28"/>
        <v/>
      </c>
      <c r="V254" s="38" t="str">
        <f t="shared" si="29"/>
        <v/>
      </c>
      <c r="W254" s="38" t="str">
        <f>IF(AND(U254&lt;&gt;"",OR($S$4="(все)",B254=$S$4),IF($S$4="(все)",COUNTIF($U$4:U254,U254),COUNTIFS($U$4:U254,U254,$B$4:B254,B254))=1),MAX($W$3:W253)+1,"")</f>
        <v/>
      </c>
      <c r="X254" s="38" t="str">
        <f t="shared" si="30"/>
        <v/>
      </c>
      <c r="Y254" s="38" t="str">
        <f>IF(AND(A254="Аппарат",C254&lt;&gt;"",OR($S$5="(все)",B254=$S$5)),MAX($Y$3:Y253)+1,"")</f>
        <v/>
      </c>
      <c r="Z254" s="38" t="str">
        <f t="shared" si="31"/>
        <v/>
      </c>
      <c r="AA254" s="38" t="str">
        <f>IF(AND(A254="Модуль",C254&lt;&gt;"",OR($S$6="(все)",B254=$S$6)),MAX($AA$3:AA253)+1,"")</f>
        <v/>
      </c>
      <c r="AB254" s="38" t="str">
        <f t="shared" si="32"/>
        <v/>
      </c>
      <c r="AC254" s="38" t="str">
        <f>IF(OR(B254="",COUNTIF($B$4:B254,B254)&gt;1),"",MAX($AC$3:AC253)+1)</f>
        <v/>
      </c>
      <c r="AD254" s="38" t="str">
        <f t="shared" si="33"/>
        <v/>
      </c>
      <c r="AE254" s="38" t="str">
        <f t="shared" si="34"/>
        <v/>
      </c>
      <c r="AF254" s="38" t="str">
        <f t="shared" si="35"/>
        <v/>
      </c>
    </row>
    <row r="255" spans="1:32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38" t="str">
        <f>IF(OR(A255="Автомат",A255="Дифавтомат"),IF(W255="","",COUNTIFS(Однолинейка!$H$3:$H$3000,U255,Однолинейка!$A$3:$A$3000,Щит_спец)),IF(A255="Аппарат",IF(C255="","",COUNTIFS(Однолинейка!$I$3:$I$3000,C255,Однолинейка!$A$3:$A$3000,Щит_спец)+COUNTIFS(Однолинейка!$J$3:$J$3000,C255,Однолинейка!$A$3:$A$3000,Щит_спец)+COUNTIFS(Однолинейка!$K$3:$K$3000,C255,Однолинейка!$A$3:$A$3000,Щит_спец)),IF(A255="Модуль",IF(C255="","",COUNTIFS(Однолинейка!$AW$3:$AW$3000,"?*",Однолинейка!$AI$3:$AI$3000,C255,Однолинейка!$A$3:$A$3000,Щит_спец)),IF(A255="Клемма",IF(C255="","",IF(C255=$S$7,SUMIFS(Однолинейка!$BW$3:$BW$3000,Однолинейка!$A$3:$A$3000,Щит_спец),IF(C255=$S$8,SUMIFS(Однолинейка!$BX$3:$BX$3000,Однолинейка!$A$3:$A$3000,Щит_спец),""))),""))))</f>
        <v/>
      </c>
      <c r="O255" s="74"/>
      <c r="P255" s="38" t="str">
        <f t="shared" si="27"/>
        <v/>
      </c>
      <c r="U255" s="38" t="str">
        <f t="shared" si="28"/>
        <v/>
      </c>
      <c r="V255" s="38" t="str">
        <f t="shared" si="29"/>
        <v/>
      </c>
      <c r="W255" s="38" t="str">
        <f>IF(AND(U255&lt;&gt;"",OR($S$4="(все)",B255=$S$4),IF($S$4="(все)",COUNTIF($U$4:U255,U255),COUNTIFS($U$4:U255,U255,$B$4:B255,B255))=1),MAX($W$3:W254)+1,"")</f>
        <v/>
      </c>
      <c r="X255" s="38" t="str">
        <f t="shared" si="30"/>
        <v/>
      </c>
      <c r="Y255" s="38" t="str">
        <f>IF(AND(A255="Аппарат",C255&lt;&gt;"",OR($S$5="(все)",B255=$S$5)),MAX($Y$3:Y254)+1,"")</f>
        <v/>
      </c>
      <c r="Z255" s="38" t="str">
        <f t="shared" si="31"/>
        <v/>
      </c>
      <c r="AA255" s="38" t="str">
        <f>IF(AND(A255="Модуль",C255&lt;&gt;"",OR($S$6="(все)",B255=$S$6)),MAX($AA$3:AA254)+1,"")</f>
        <v/>
      </c>
      <c r="AB255" s="38" t="str">
        <f t="shared" si="32"/>
        <v/>
      </c>
      <c r="AC255" s="38" t="str">
        <f>IF(OR(B255="",COUNTIF($B$4:B255,B255)&gt;1),"",MAX($AC$3:AC254)+1)</f>
        <v/>
      </c>
      <c r="AD255" s="38" t="str">
        <f t="shared" si="33"/>
        <v/>
      </c>
      <c r="AE255" s="38" t="str">
        <f t="shared" si="34"/>
        <v/>
      </c>
      <c r="AF255" s="38" t="str">
        <f t="shared" si="35"/>
        <v/>
      </c>
    </row>
    <row r="256" spans="1:32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38" t="str">
        <f>IF(OR(A256="Автомат",A256="Дифавтомат"),IF(W256="","",COUNTIFS(Однолинейка!$H$3:$H$3000,U256,Однолинейка!$A$3:$A$3000,Щит_спец)),IF(A256="Аппарат",IF(C256="","",COUNTIFS(Однолинейка!$I$3:$I$3000,C256,Однолинейка!$A$3:$A$3000,Щит_спец)+COUNTIFS(Однолинейка!$J$3:$J$3000,C256,Однолинейка!$A$3:$A$3000,Щит_спец)+COUNTIFS(Однолинейка!$K$3:$K$3000,C256,Однолинейка!$A$3:$A$3000,Щит_спец)),IF(A256="Модуль",IF(C256="","",COUNTIFS(Однолинейка!$AW$3:$AW$3000,"?*",Однолинейка!$AI$3:$AI$3000,C256,Однолинейка!$A$3:$A$3000,Щит_спец)),IF(A256="Клемма",IF(C256="","",IF(C256=$S$7,SUMIFS(Однолинейка!$BW$3:$BW$3000,Однолинейка!$A$3:$A$3000,Щит_спец),IF(C256=$S$8,SUMIFS(Однолинейка!$BX$3:$BX$3000,Однолинейка!$A$3:$A$3000,Щит_спец),""))),""))))</f>
        <v/>
      </c>
      <c r="O256" s="74"/>
      <c r="P256" s="38" t="str">
        <f t="shared" si="27"/>
        <v/>
      </c>
      <c r="U256" s="38" t="str">
        <f t="shared" si="28"/>
        <v/>
      </c>
      <c r="V256" s="38" t="str">
        <f t="shared" si="29"/>
        <v/>
      </c>
      <c r="W256" s="38" t="str">
        <f>IF(AND(U256&lt;&gt;"",OR($S$4="(все)",B256=$S$4),IF($S$4="(все)",COUNTIF($U$4:U256,U256),COUNTIFS($U$4:U256,U256,$B$4:B256,B256))=1),MAX($W$3:W255)+1,"")</f>
        <v/>
      </c>
      <c r="X256" s="38" t="str">
        <f t="shared" si="30"/>
        <v/>
      </c>
      <c r="Y256" s="38" t="str">
        <f>IF(AND(A256="Аппарат",C256&lt;&gt;"",OR($S$5="(все)",B256=$S$5)),MAX($Y$3:Y255)+1,"")</f>
        <v/>
      </c>
      <c r="Z256" s="38" t="str">
        <f t="shared" si="31"/>
        <v/>
      </c>
      <c r="AA256" s="38" t="str">
        <f>IF(AND(A256="Модуль",C256&lt;&gt;"",OR($S$6="(все)",B256=$S$6)),MAX($AA$3:AA255)+1,"")</f>
        <v/>
      </c>
      <c r="AB256" s="38" t="str">
        <f t="shared" si="32"/>
        <v/>
      </c>
      <c r="AC256" s="38" t="str">
        <f>IF(OR(B256="",COUNTIF($B$4:B256,B256)&gt;1),"",MAX($AC$3:AC255)+1)</f>
        <v/>
      </c>
      <c r="AD256" s="38" t="str">
        <f t="shared" si="33"/>
        <v/>
      </c>
      <c r="AE256" s="38" t="str">
        <f t="shared" si="34"/>
        <v/>
      </c>
      <c r="AF256" s="38" t="str">
        <f t="shared" si="35"/>
        <v/>
      </c>
    </row>
    <row r="257" spans="1:32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38" t="str">
        <f>IF(OR(A257="Автомат",A257="Дифавтомат"),IF(W257="","",COUNTIFS(Однолинейка!$H$3:$H$3000,U257,Однолинейка!$A$3:$A$3000,Щит_спец)),IF(A257="Аппарат",IF(C257="","",COUNTIFS(Однолинейка!$I$3:$I$3000,C257,Однолинейка!$A$3:$A$3000,Щит_спец)+COUNTIFS(Однолинейка!$J$3:$J$3000,C257,Однолинейка!$A$3:$A$3000,Щит_спец)+COUNTIFS(Однолинейка!$K$3:$K$3000,C257,Однолинейка!$A$3:$A$3000,Щит_спец)),IF(A257="Модуль",IF(C257="","",COUNTIFS(Однолинейка!$AW$3:$AW$3000,"?*",Однолинейка!$AI$3:$AI$3000,C257,Однолинейка!$A$3:$A$3000,Щит_спец)),IF(A257="Клемма",IF(C257="","",IF(C257=$S$7,SUMIFS(Однолинейка!$BW$3:$BW$3000,Однолинейка!$A$3:$A$3000,Щит_спец),IF(C257=$S$8,SUMIFS(Однолинейка!$BX$3:$BX$3000,Однолинейка!$A$3:$A$3000,Щит_спец),""))),""))))</f>
        <v/>
      </c>
      <c r="O257" s="74"/>
      <c r="P257" s="38" t="str">
        <f t="shared" si="27"/>
        <v/>
      </c>
      <c r="U257" s="38" t="str">
        <f t="shared" si="28"/>
        <v/>
      </c>
      <c r="V257" s="38" t="str">
        <f t="shared" si="29"/>
        <v/>
      </c>
      <c r="W257" s="38" t="str">
        <f>IF(AND(U257&lt;&gt;"",OR($S$4="(все)",B257=$S$4),IF($S$4="(все)",COUNTIF($U$4:U257,U257),COUNTIFS($U$4:U257,U257,$B$4:B257,B257))=1),MAX($W$3:W256)+1,"")</f>
        <v/>
      </c>
      <c r="X257" s="38" t="str">
        <f t="shared" si="30"/>
        <v/>
      </c>
      <c r="Y257" s="38" t="str">
        <f>IF(AND(A257="Аппарат",C257&lt;&gt;"",OR($S$5="(все)",B257=$S$5)),MAX($Y$3:Y256)+1,"")</f>
        <v/>
      </c>
      <c r="Z257" s="38" t="str">
        <f t="shared" si="31"/>
        <v/>
      </c>
      <c r="AA257" s="38" t="str">
        <f>IF(AND(A257="Модуль",C257&lt;&gt;"",OR($S$6="(все)",B257=$S$6)),MAX($AA$3:AA256)+1,"")</f>
        <v/>
      </c>
      <c r="AB257" s="38" t="str">
        <f t="shared" si="32"/>
        <v/>
      </c>
      <c r="AC257" s="38" t="str">
        <f>IF(OR(B257="",COUNTIF($B$4:B257,B257)&gt;1),"",MAX($AC$3:AC256)+1)</f>
        <v/>
      </c>
      <c r="AD257" s="38" t="str">
        <f t="shared" si="33"/>
        <v/>
      </c>
      <c r="AE257" s="38" t="str">
        <f t="shared" si="34"/>
        <v/>
      </c>
      <c r="AF257" s="38" t="str">
        <f t="shared" si="35"/>
        <v/>
      </c>
    </row>
    <row r="258" spans="1:32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38" t="str">
        <f>IF(OR(A258="Автомат",A258="Дифавтомат"),IF(W258="","",COUNTIFS(Однолинейка!$H$3:$H$3000,U258,Однолинейка!$A$3:$A$3000,Щит_спец)),IF(A258="Аппарат",IF(C258="","",COUNTIFS(Однолинейка!$I$3:$I$3000,C258,Однолинейка!$A$3:$A$3000,Щит_спец)+COUNTIFS(Однолинейка!$J$3:$J$3000,C258,Однолинейка!$A$3:$A$3000,Щит_спец)+COUNTIFS(Однолинейка!$K$3:$K$3000,C258,Однолинейка!$A$3:$A$3000,Щит_спец)),IF(A258="Модуль",IF(C258="","",COUNTIFS(Однолинейка!$AW$3:$AW$3000,"?*",Однолинейка!$AI$3:$AI$3000,C258,Однолинейка!$A$3:$A$3000,Щит_спец)),IF(A258="Клемма",IF(C258="","",IF(C258=$S$7,SUMIFS(Однолинейка!$BW$3:$BW$3000,Однолинейка!$A$3:$A$3000,Щит_спец),IF(C258=$S$8,SUMIFS(Однолинейка!$BX$3:$BX$3000,Однолинейка!$A$3:$A$3000,Щит_спец),""))),""))))</f>
        <v/>
      </c>
      <c r="O258" s="74"/>
      <c r="P258" s="38" t="str">
        <f t="shared" si="27"/>
        <v/>
      </c>
      <c r="U258" s="38" t="str">
        <f t="shared" si="28"/>
        <v/>
      </c>
      <c r="V258" s="38" t="str">
        <f t="shared" si="29"/>
        <v/>
      </c>
      <c r="W258" s="38" t="str">
        <f>IF(AND(U258&lt;&gt;"",OR($S$4="(все)",B258=$S$4),IF($S$4="(все)",COUNTIF($U$4:U258,U258),COUNTIFS($U$4:U258,U258,$B$4:B258,B258))=1),MAX($W$3:W257)+1,"")</f>
        <v/>
      </c>
      <c r="X258" s="38" t="str">
        <f t="shared" si="30"/>
        <v/>
      </c>
      <c r="Y258" s="38" t="str">
        <f>IF(AND(A258="Аппарат",C258&lt;&gt;"",OR($S$5="(все)",B258=$S$5)),MAX($Y$3:Y257)+1,"")</f>
        <v/>
      </c>
      <c r="Z258" s="38" t="str">
        <f t="shared" si="31"/>
        <v/>
      </c>
      <c r="AA258" s="38" t="str">
        <f>IF(AND(A258="Модуль",C258&lt;&gt;"",OR($S$6="(все)",B258=$S$6)),MAX($AA$3:AA257)+1,"")</f>
        <v/>
      </c>
      <c r="AB258" s="38" t="str">
        <f t="shared" si="32"/>
        <v/>
      </c>
      <c r="AC258" s="38" t="str">
        <f>IF(OR(B258="",COUNTIF($B$4:B258,B258)&gt;1),"",MAX($AC$3:AC257)+1)</f>
        <v/>
      </c>
      <c r="AD258" s="38" t="str">
        <f t="shared" si="33"/>
        <v/>
      </c>
      <c r="AE258" s="38" t="str">
        <f t="shared" si="34"/>
        <v/>
      </c>
      <c r="AF258" s="38" t="str">
        <f t="shared" si="35"/>
        <v/>
      </c>
    </row>
    <row r="259" spans="1:32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38" t="str">
        <f>IF(OR(A259="Автомат",A259="Дифавтомат"),IF(W259="","",COUNTIFS(Однолинейка!$H$3:$H$3000,U259,Однолинейка!$A$3:$A$3000,Щит_спец)),IF(A259="Аппарат",IF(C259="","",COUNTIFS(Однолинейка!$I$3:$I$3000,C259,Однолинейка!$A$3:$A$3000,Щит_спец)+COUNTIFS(Однолинейка!$J$3:$J$3000,C259,Однолинейка!$A$3:$A$3000,Щит_спец)+COUNTIFS(Однолинейка!$K$3:$K$3000,C259,Однолинейка!$A$3:$A$3000,Щит_спец)),IF(A259="Модуль",IF(C259="","",COUNTIFS(Однолинейка!$AW$3:$AW$3000,"?*",Однолинейка!$AI$3:$AI$3000,C259,Однолинейка!$A$3:$A$3000,Щит_спец)),IF(A259="Клемма",IF(C259="","",IF(C259=$S$7,SUMIFS(Однолинейка!$BW$3:$BW$3000,Однолинейка!$A$3:$A$3000,Щит_спец),IF(C259=$S$8,SUMIFS(Однолинейка!$BX$3:$BX$3000,Однолинейка!$A$3:$A$3000,Щит_спец),""))),""))))</f>
        <v/>
      </c>
      <c r="O259" s="74"/>
      <c r="P259" s="38" t="str">
        <f t="shared" si="27"/>
        <v/>
      </c>
      <c r="U259" s="38" t="str">
        <f t="shared" si="28"/>
        <v/>
      </c>
      <c r="V259" s="38" t="str">
        <f t="shared" si="29"/>
        <v/>
      </c>
      <c r="W259" s="38" t="str">
        <f>IF(AND(U259&lt;&gt;"",OR($S$4="(все)",B259=$S$4),IF($S$4="(все)",COUNTIF($U$4:U259,U259),COUNTIFS($U$4:U259,U259,$B$4:B259,B259))=1),MAX($W$3:W258)+1,"")</f>
        <v/>
      </c>
      <c r="X259" s="38" t="str">
        <f t="shared" si="30"/>
        <v/>
      </c>
      <c r="Y259" s="38" t="str">
        <f>IF(AND(A259="Аппарат",C259&lt;&gt;"",OR($S$5="(все)",B259=$S$5)),MAX($Y$3:Y258)+1,"")</f>
        <v/>
      </c>
      <c r="Z259" s="38" t="str">
        <f t="shared" si="31"/>
        <v/>
      </c>
      <c r="AA259" s="38" t="str">
        <f>IF(AND(A259="Модуль",C259&lt;&gt;"",OR($S$6="(все)",B259=$S$6)),MAX($AA$3:AA258)+1,"")</f>
        <v/>
      </c>
      <c r="AB259" s="38" t="str">
        <f t="shared" si="32"/>
        <v/>
      </c>
      <c r="AC259" s="38" t="str">
        <f>IF(OR(B259="",COUNTIF($B$4:B259,B259)&gt;1),"",MAX($AC$3:AC258)+1)</f>
        <v/>
      </c>
      <c r="AD259" s="38" t="str">
        <f t="shared" si="33"/>
        <v/>
      </c>
      <c r="AE259" s="38" t="str">
        <f t="shared" si="34"/>
        <v/>
      </c>
      <c r="AF259" s="38" t="str">
        <f t="shared" si="35"/>
        <v/>
      </c>
    </row>
    <row r="260" spans="1:32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38" t="str">
        <f>IF(OR(A260="Автомат",A260="Дифавтомат"),IF(W260="","",COUNTIFS(Однолинейка!$H$3:$H$3000,U260,Однолинейка!$A$3:$A$3000,Щит_спец)),IF(A260="Аппарат",IF(C260="","",COUNTIFS(Однолинейка!$I$3:$I$3000,C260,Однолинейка!$A$3:$A$3000,Щит_спец)+COUNTIFS(Однолинейка!$J$3:$J$3000,C260,Однолинейка!$A$3:$A$3000,Щит_спец)+COUNTIFS(Однолинейка!$K$3:$K$3000,C260,Однолинейка!$A$3:$A$3000,Щит_спец)),IF(A260="Модуль",IF(C260="","",COUNTIFS(Однолинейка!$AW$3:$AW$3000,"?*",Однолинейка!$AI$3:$AI$3000,C260,Однолинейка!$A$3:$A$3000,Щит_спец)),IF(A260="Клемма",IF(C260="","",IF(C260=$S$7,SUMIFS(Однолинейка!$BW$3:$BW$3000,Однолинейка!$A$3:$A$3000,Щит_спец),IF(C260=$S$8,SUMIFS(Однолинейка!$BX$3:$BX$3000,Однолинейка!$A$3:$A$3000,Щит_спец),""))),""))))</f>
        <v/>
      </c>
      <c r="O260" s="74"/>
      <c r="P260" s="38" t="str">
        <f t="shared" ref="P260:P323" si="36">IF(COUNT(N260,O260)=0,"",SUM(N260,O260))</f>
        <v/>
      </c>
      <c r="U260" s="38" t="str">
        <f t="shared" ref="U260:U323" si="37">IF(OR(A260="Автомат",A260="Дифавтомат"),I260&amp;" С"&amp;J260&amp;"А"&amp;IF(K260="да"," 30мА",IF(ISNUMBER(K260)," "&amp;K260&amp;"мА","")),"")</f>
        <v/>
      </c>
      <c r="V260" s="38" t="str">
        <f t="shared" ref="V260:V323" si="38">IF(U260="","",B260&amp;"|"&amp;U260)</f>
        <v/>
      </c>
      <c r="W260" s="38" t="str">
        <f>IF(AND(U260&lt;&gt;"",OR($S$4="(все)",B260=$S$4),IF($S$4="(все)",COUNTIF($U$4:U260,U260),COUNTIFS($U$4:U260,U260,$B$4:B260,B260))=1),MAX($W$3:W259)+1,"")</f>
        <v/>
      </c>
      <c r="X260" s="38" t="str">
        <f t="shared" ref="X260:X323" si="39">IFERROR(INDEX($U$4:$U$500,MATCH(ROW()-3,$W$4:$W$500,0)),"")</f>
        <v/>
      </c>
      <c r="Y260" s="38" t="str">
        <f>IF(AND(A260="Аппарат",C260&lt;&gt;"",OR($S$5="(все)",B260=$S$5)),MAX($Y$3:Y259)+1,"")</f>
        <v/>
      </c>
      <c r="Z260" s="38" t="str">
        <f t="shared" ref="Z260:Z323" si="40">IFERROR(INDEX($C$4:$C$500,MATCH(ROW()-3,$Y$4:$Y$500,0)),"")</f>
        <v/>
      </c>
      <c r="AA260" s="38" t="str">
        <f>IF(AND(A260="Модуль",C260&lt;&gt;"",OR($S$6="(все)",B260=$S$6)),MAX($AA$3:AA259)+1,"")</f>
        <v/>
      </c>
      <c r="AB260" s="38" t="str">
        <f t="shared" ref="AB260:AB323" si="41">IFERROR(INDEX($C$4:$C$500,MATCH(ROW()-3,$AA$4:$AA$500,0)),"")</f>
        <v/>
      </c>
      <c r="AC260" s="38" t="str">
        <f>IF(OR(B260="",COUNTIF($B$4:B260,B260)&gt;1),"",MAX($AC$3:AC259)+1)</f>
        <v/>
      </c>
      <c r="AD260" s="38" t="str">
        <f t="shared" ref="AD260:AD323" si="42">IFERROR(INDEX($B$4:$B$500,MATCH(ROW()-3,$AC$4:$AC$500,0)),"")</f>
        <v/>
      </c>
      <c r="AE260" s="38" t="str">
        <f t="shared" ref="AE260:AE323" si="43">IF(AND(A260&lt;&gt;"",N(P260)&gt;0),IFERROR(MATCH(A260,$R$12:$R$25,0),99)*1000+ROW(),"")</f>
        <v/>
      </c>
      <c r="AF260" s="38" t="str">
        <f t="shared" ref="AF260:AF323" si="44">IF(AE260="","",COUNTIF($AE$4:$AE$500,"&lt;="&amp;AE260))</f>
        <v/>
      </c>
    </row>
    <row r="261" spans="1:32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38" t="str">
        <f>IF(OR(A261="Автомат",A261="Дифавтомат"),IF(W261="","",COUNTIFS(Однолинейка!$H$3:$H$3000,U261,Однолинейка!$A$3:$A$3000,Щит_спец)),IF(A261="Аппарат",IF(C261="","",COUNTIFS(Однолинейка!$I$3:$I$3000,C261,Однолинейка!$A$3:$A$3000,Щит_спец)+COUNTIFS(Однолинейка!$J$3:$J$3000,C261,Однолинейка!$A$3:$A$3000,Щит_спец)+COUNTIFS(Однолинейка!$K$3:$K$3000,C261,Однолинейка!$A$3:$A$3000,Щит_спец)),IF(A261="Модуль",IF(C261="","",COUNTIFS(Однолинейка!$AW$3:$AW$3000,"?*",Однолинейка!$AI$3:$AI$3000,C261,Однолинейка!$A$3:$A$3000,Щит_спец)),IF(A261="Клемма",IF(C261="","",IF(C261=$S$7,SUMIFS(Однолинейка!$BW$3:$BW$3000,Однолинейка!$A$3:$A$3000,Щит_спец),IF(C261=$S$8,SUMIFS(Однолинейка!$BX$3:$BX$3000,Однолинейка!$A$3:$A$3000,Щит_спец),""))),""))))</f>
        <v/>
      </c>
      <c r="O261" s="74"/>
      <c r="P261" s="38" t="str">
        <f t="shared" si="36"/>
        <v/>
      </c>
      <c r="U261" s="38" t="str">
        <f t="shared" si="37"/>
        <v/>
      </c>
      <c r="V261" s="38" t="str">
        <f t="shared" si="38"/>
        <v/>
      </c>
      <c r="W261" s="38" t="str">
        <f>IF(AND(U261&lt;&gt;"",OR($S$4="(все)",B261=$S$4),IF($S$4="(все)",COUNTIF($U$4:U261,U261),COUNTIFS($U$4:U261,U261,$B$4:B261,B261))=1),MAX($W$3:W260)+1,"")</f>
        <v/>
      </c>
      <c r="X261" s="38" t="str">
        <f t="shared" si="39"/>
        <v/>
      </c>
      <c r="Y261" s="38" t="str">
        <f>IF(AND(A261="Аппарат",C261&lt;&gt;"",OR($S$5="(все)",B261=$S$5)),MAX($Y$3:Y260)+1,"")</f>
        <v/>
      </c>
      <c r="Z261" s="38" t="str">
        <f t="shared" si="40"/>
        <v/>
      </c>
      <c r="AA261" s="38" t="str">
        <f>IF(AND(A261="Модуль",C261&lt;&gt;"",OR($S$6="(все)",B261=$S$6)),MAX($AA$3:AA260)+1,"")</f>
        <v/>
      </c>
      <c r="AB261" s="38" t="str">
        <f t="shared" si="41"/>
        <v/>
      </c>
      <c r="AC261" s="38" t="str">
        <f>IF(OR(B261="",COUNTIF($B$4:B261,B261)&gt;1),"",MAX($AC$3:AC260)+1)</f>
        <v/>
      </c>
      <c r="AD261" s="38" t="str">
        <f t="shared" si="42"/>
        <v/>
      </c>
      <c r="AE261" s="38" t="str">
        <f t="shared" si="43"/>
        <v/>
      </c>
      <c r="AF261" s="38" t="str">
        <f t="shared" si="44"/>
        <v/>
      </c>
    </row>
    <row r="262" spans="1:32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38" t="str">
        <f>IF(OR(A262="Автомат",A262="Дифавтомат"),IF(W262="","",COUNTIFS(Однолинейка!$H$3:$H$3000,U262,Однолинейка!$A$3:$A$3000,Щит_спец)),IF(A262="Аппарат",IF(C262="","",COUNTIFS(Однолинейка!$I$3:$I$3000,C262,Однолинейка!$A$3:$A$3000,Щит_спец)+COUNTIFS(Однолинейка!$J$3:$J$3000,C262,Однолинейка!$A$3:$A$3000,Щит_спец)+COUNTIFS(Однолинейка!$K$3:$K$3000,C262,Однолинейка!$A$3:$A$3000,Щит_спец)),IF(A262="Модуль",IF(C262="","",COUNTIFS(Однолинейка!$AW$3:$AW$3000,"?*",Однолинейка!$AI$3:$AI$3000,C262,Однолинейка!$A$3:$A$3000,Щит_спец)),IF(A262="Клемма",IF(C262="","",IF(C262=$S$7,SUMIFS(Однолинейка!$BW$3:$BW$3000,Однолинейка!$A$3:$A$3000,Щит_спец),IF(C262=$S$8,SUMIFS(Однолинейка!$BX$3:$BX$3000,Однолинейка!$A$3:$A$3000,Щит_спец),""))),""))))</f>
        <v/>
      </c>
      <c r="O262" s="74"/>
      <c r="P262" s="38" t="str">
        <f t="shared" si="36"/>
        <v/>
      </c>
      <c r="U262" s="38" t="str">
        <f t="shared" si="37"/>
        <v/>
      </c>
      <c r="V262" s="38" t="str">
        <f t="shared" si="38"/>
        <v/>
      </c>
      <c r="W262" s="38" t="str">
        <f>IF(AND(U262&lt;&gt;"",OR($S$4="(все)",B262=$S$4),IF($S$4="(все)",COUNTIF($U$4:U262,U262),COUNTIFS($U$4:U262,U262,$B$4:B262,B262))=1),MAX($W$3:W261)+1,"")</f>
        <v/>
      </c>
      <c r="X262" s="38" t="str">
        <f t="shared" si="39"/>
        <v/>
      </c>
      <c r="Y262" s="38" t="str">
        <f>IF(AND(A262="Аппарат",C262&lt;&gt;"",OR($S$5="(все)",B262=$S$5)),MAX($Y$3:Y261)+1,"")</f>
        <v/>
      </c>
      <c r="Z262" s="38" t="str">
        <f t="shared" si="40"/>
        <v/>
      </c>
      <c r="AA262" s="38" t="str">
        <f>IF(AND(A262="Модуль",C262&lt;&gt;"",OR($S$6="(все)",B262=$S$6)),MAX($AA$3:AA261)+1,"")</f>
        <v/>
      </c>
      <c r="AB262" s="38" t="str">
        <f t="shared" si="41"/>
        <v/>
      </c>
      <c r="AC262" s="38" t="str">
        <f>IF(OR(B262="",COUNTIF($B$4:B262,B262)&gt;1),"",MAX($AC$3:AC261)+1)</f>
        <v/>
      </c>
      <c r="AD262" s="38" t="str">
        <f t="shared" si="42"/>
        <v/>
      </c>
      <c r="AE262" s="38" t="str">
        <f t="shared" si="43"/>
        <v/>
      </c>
      <c r="AF262" s="38" t="str">
        <f t="shared" si="44"/>
        <v/>
      </c>
    </row>
    <row r="263" spans="1:32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38" t="str">
        <f>IF(OR(A263="Автомат",A263="Дифавтомат"),IF(W263="","",COUNTIFS(Однолинейка!$H$3:$H$3000,U263,Однолинейка!$A$3:$A$3000,Щит_спец)),IF(A263="Аппарат",IF(C263="","",COUNTIFS(Однолинейка!$I$3:$I$3000,C263,Однолинейка!$A$3:$A$3000,Щит_спец)+COUNTIFS(Однолинейка!$J$3:$J$3000,C263,Однолинейка!$A$3:$A$3000,Щит_спец)+COUNTIFS(Однолинейка!$K$3:$K$3000,C263,Однолинейка!$A$3:$A$3000,Щит_спец)),IF(A263="Модуль",IF(C263="","",COUNTIFS(Однолинейка!$AW$3:$AW$3000,"?*",Однолинейка!$AI$3:$AI$3000,C263,Однолинейка!$A$3:$A$3000,Щит_спец)),IF(A263="Клемма",IF(C263="","",IF(C263=$S$7,SUMIFS(Однолинейка!$BW$3:$BW$3000,Однолинейка!$A$3:$A$3000,Щит_спец),IF(C263=$S$8,SUMIFS(Однолинейка!$BX$3:$BX$3000,Однолинейка!$A$3:$A$3000,Щит_спец),""))),""))))</f>
        <v/>
      </c>
      <c r="O263" s="74"/>
      <c r="P263" s="38" t="str">
        <f t="shared" si="36"/>
        <v/>
      </c>
      <c r="U263" s="38" t="str">
        <f t="shared" si="37"/>
        <v/>
      </c>
      <c r="V263" s="38" t="str">
        <f t="shared" si="38"/>
        <v/>
      </c>
      <c r="W263" s="38" t="str">
        <f>IF(AND(U263&lt;&gt;"",OR($S$4="(все)",B263=$S$4),IF($S$4="(все)",COUNTIF($U$4:U263,U263),COUNTIFS($U$4:U263,U263,$B$4:B263,B263))=1),MAX($W$3:W262)+1,"")</f>
        <v/>
      </c>
      <c r="X263" s="38" t="str">
        <f t="shared" si="39"/>
        <v/>
      </c>
      <c r="Y263" s="38" t="str">
        <f>IF(AND(A263="Аппарат",C263&lt;&gt;"",OR($S$5="(все)",B263=$S$5)),MAX($Y$3:Y262)+1,"")</f>
        <v/>
      </c>
      <c r="Z263" s="38" t="str">
        <f t="shared" si="40"/>
        <v/>
      </c>
      <c r="AA263" s="38" t="str">
        <f>IF(AND(A263="Модуль",C263&lt;&gt;"",OR($S$6="(все)",B263=$S$6)),MAX($AA$3:AA262)+1,"")</f>
        <v/>
      </c>
      <c r="AB263" s="38" t="str">
        <f t="shared" si="41"/>
        <v/>
      </c>
      <c r="AC263" s="38" t="str">
        <f>IF(OR(B263="",COUNTIF($B$4:B263,B263)&gt;1),"",MAX($AC$3:AC262)+1)</f>
        <v/>
      </c>
      <c r="AD263" s="38" t="str">
        <f t="shared" si="42"/>
        <v/>
      </c>
      <c r="AE263" s="38" t="str">
        <f t="shared" si="43"/>
        <v/>
      </c>
      <c r="AF263" s="38" t="str">
        <f t="shared" si="44"/>
        <v/>
      </c>
    </row>
    <row r="264" spans="1:32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38" t="str">
        <f>IF(OR(A264="Автомат",A264="Дифавтомат"),IF(W264="","",COUNTIFS(Однолинейка!$H$3:$H$3000,U264,Однолинейка!$A$3:$A$3000,Щит_спец)),IF(A264="Аппарат",IF(C264="","",COUNTIFS(Однолинейка!$I$3:$I$3000,C264,Однолинейка!$A$3:$A$3000,Щит_спец)+COUNTIFS(Однолинейка!$J$3:$J$3000,C264,Однолинейка!$A$3:$A$3000,Щит_спец)+COUNTIFS(Однолинейка!$K$3:$K$3000,C264,Однолинейка!$A$3:$A$3000,Щит_спец)),IF(A264="Модуль",IF(C264="","",COUNTIFS(Однолинейка!$AW$3:$AW$3000,"?*",Однолинейка!$AI$3:$AI$3000,C264,Однолинейка!$A$3:$A$3000,Щит_спец)),IF(A264="Клемма",IF(C264="","",IF(C264=$S$7,SUMIFS(Однолинейка!$BW$3:$BW$3000,Однолинейка!$A$3:$A$3000,Щит_спец),IF(C264=$S$8,SUMIFS(Однолинейка!$BX$3:$BX$3000,Однолинейка!$A$3:$A$3000,Щит_спец),""))),""))))</f>
        <v/>
      </c>
      <c r="O264" s="74"/>
      <c r="P264" s="38" t="str">
        <f t="shared" si="36"/>
        <v/>
      </c>
      <c r="U264" s="38" t="str">
        <f t="shared" si="37"/>
        <v/>
      </c>
      <c r="V264" s="38" t="str">
        <f t="shared" si="38"/>
        <v/>
      </c>
      <c r="W264" s="38" t="str">
        <f>IF(AND(U264&lt;&gt;"",OR($S$4="(все)",B264=$S$4),IF($S$4="(все)",COUNTIF($U$4:U264,U264),COUNTIFS($U$4:U264,U264,$B$4:B264,B264))=1),MAX($W$3:W263)+1,"")</f>
        <v/>
      </c>
      <c r="X264" s="38" t="str">
        <f t="shared" si="39"/>
        <v/>
      </c>
      <c r="Y264" s="38" t="str">
        <f>IF(AND(A264="Аппарат",C264&lt;&gt;"",OR($S$5="(все)",B264=$S$5)),MAX($Y$3:Y263)+1,"")</f>
        <v/>
      </c>
      <c r="Z264" s="38" t="str">
        <f t="shared" si="40"/>
        <v/>
      </c>
      <c r="AA264" s="38" t="str">
        <f>IF(AND(A264="Модуль",C264&lt;&gt;"",OR($S$6="(все)",B264=$S$6)),MAX($AA$3:AA263)+1,"")</f>
        <v/>
      </c>
      <c r="AB264" s="38" t="str">
        <f t="shared" si="41"/>
        <v/>
      </c>
      <c r="AC264" s="38" t="str">
        <f>IF(OR(B264="",COUNTIF($B$4:B264,B264)&gt;1),"",MAX($AC$3:AC263)+1)</f>
        <v/>
      </c>
      <c r="AD264" s="38" t="str">
        <f t="shared" si="42"/>
        <v/>
      </c>
      <c r="AE264" s="38" t="str">
        <f t="shared" si="43"/>
        <v/>
      </c>
      <c r="AF264" s="38" t="str">
        <f t="shared" si="44"/>
        <v/>
      </c>
    </row>
    <row r="265" spans="1:32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38" t="str">
        <f>IF(OR(A265="Автомат",A265="Дифавтомат"),IF(W265="","",COUNTIFS(Однолинейка!$H$3:$H$3000,U265,Однолинейка!$A$3:$A$3000,Щит_спец)),IF(A265="Аппарат",IF(C265="","",COUNTIFS(Однолинейка!$I$3:$I$3000,C265,Однолинейка!$A$3:$A$3000,Щит_спец)+COUNTIFS(Однолинейка!$J$3:$J$3000,C265,Однолинейка!$A$3:$A$3000,Щит_спец)+COUNTIFS(Однолинейка!$K$3:$K$3000,C265,Однолинейка!$A$3:$A$3000,Щит_спец)),IF(A265="Модуль",IF(C265="","",COUNTIFS(Однолинейка!$AW$3:$AW$3000,"?*",Однолинейка!$AI$3:$AI$3000,C265,Однолинейка!$A$3:$A$3000,Щит_спец)),IF(A265="Клемма",IF(C265="","",IF(C265=$S$7,SUMIFS(Однолинейка!$BW$3:$BW$3000,Однолинейка!$A$3:$A$3000,Щит_спец),IF(C265=$S$8,SUMIFS(Однолинейка!$BX$3:$BX$3000,Однолинейка!$A$3:$A$3000,Щит_спец),""))),""))))</f>
        <v/>
      </c>
      <c r="O265" s="74"/>
      <c r="P265" s="38" t="str">
        <f t="shared" si="36"/>
        <v/>
      </c>
      <c r="U265" s="38" t="str">
        <f t="shared" si="37"/>
        <v/>
      </c>
      <c r="V265" s="38" t="str">
        <f t="shared" si="38"/>
        <v/>
      </c>
      <c r="W265" s="38" t="str">
        <f>IF(AND(U265&lt;&gt;"",OR($S$4="(все)",B265=$S$4),IF($S$4="(все)",COUNTIF($U$4:U265,U265),COUNTIFS($U$4:U265,U265,$B$4:B265,B265))=1),MAX($W$3:W264)+1,"")</f>
        <v/>
      </c>
      <c r="X265" s="38" t="str">
        <f t="shared" si="39"/>
        <v/>
      </c>
      <c r="Y265" s="38" t="str">
        <f>IF(AND(A265="Аппарат",C265&lt;&gt;"",OR($S$5="(все)",B265=$S$5)),MAX($Y$3:Y264)+1,"")</f>
        <v/>
      </c>
      <c r="Z265" s="38" t="str">
        <f t="shared" si="40"/>
        <v/>
      </c>
      <c r="AA265" s="38" t="str">
        <f>IF(AND(A265="Модуль",C265&lt;&gt;"",OR($S$6="(все)",B265=$S$6)),MAX($AA$3:AA264)+1,"")</f>
        <v/>
      </c>
      <c r="AB265" s="38" t="str">
        <f t="shared" si="41"/>
        <v/>
      </c>
      <c r="AC265" s="38" t="str">
        <f>IF(OR(B265="",COUNTIF($B$4:B265,B265)&gt;1),"",MAX($AC$3:AC264)+1)</f>
        <v/>
      </c>
      <c r="AD265" s="38" t="str">
        <f t="shared" si="42"/>
        <v/>
      </c>
      <c r="AE265" s="38" t="str">
        <f t="shared" si="43"/>
        <v/>
      </c>
      <c r="AF265" s="38" t="str">
        <f t="shared" si="44"/>
        <v/>
      </c>
    </row>
    <row r="266" spans="1:32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38" t="str">
        <f>IF(OR(A266="Автомат",A266="Дифавтомат"),IF(W266="","",COUNTIFS(Однолинейка!$H$3:$H$3000,U266,Однолинейка!$A$3:$A$3000,Щит_спец)),IF(A266="Аппарат",IF(C266="","",COUNTIFS(Однолинейка!$I$3:$I$3000,C266,Однолинейка!$A$3:$A$3000,Щит_спец)+COUNTIFS(Однолинейка!$J$3:$J$3000,C266,Однолинейка!$A$3:$A$3000,Щит_спец)+COUNTIFS(Однолинейка!$K$3:$K$3000,C266,Однолинейка!$A$3:$A$3000,Щит_спец)),IF(A266="Модуль",IF(C266="","",COUNTIFS(Однолинейка!$AW$3:$AW$3000,"?*",Однолинейка!$AI$3:$AI$3000,C266,Однолинейка!$A$3:$A$3000,Щит_спец)),IF(A266="Клемма",IF(C266="","",IF(C266=$S$7,SUMIFS(Однолинейка!$BW$3:$BW$3000,Однолинейка!$A$3:$A$3000,Щит_спец),IF(C266=$S$8,SUMIFS(Однолинейка!$BX$3:$BX$3000,Однолинейка!$A$3:$A$3000,Щит_спец),""))),""))))</f>
        <v/>
      </c>
      <c r="O266" s="74"/>
      <c r="P266" s="38" t="str">
        <f t="shared" si="36"/>
        <v/>
      </c>
      <c r="U266" s="38" t="str">
        <f t="shared" si="37"/>
        <v/>
      </c>
      <c r="V266" s="38" t="str">
        <f t="shared" si="38"/>
        <v/>
      </c>
      <c r="W266" s="38" t="str">
        <f>IF(AND(U266&lt;&gt;"",OR($S$4="(все)",B266=$S$4),IF($S$4="(все)",COUNTIF($U$4:U266,U266),COUNTIFS($U$4:U266,U266,$B$4:B266,B266))=1),MAX($W$3:W265)+1,"")</f>
        <v/>
      </c>
      <c r="X266" s="38" t="str">
        <f t="shared" si="39"/>
        <v/>
      </c>
      <c r="Y266" s="38" t="str">
        <f>IF(AND(A266="Аппарат",C266&lt;&gt;"",OR($S$5="(все)",B266=$S$5)),MAX($Y$3:Y265)+1,"")</f>
        <v/>
      </c>
      <c r="Z266" s="38" t="str">
        <f t="shared" si="40"/>
        <v/>
      </c>
      <c r="AA266" s="38" t="str">
        <f>IF(AND(A266="Модуль",C266&lt;&gt;"",OR($S$6="(все)",B266=$S$6)),MAX($AA$3:AA265)+1,"")</f>
        <v/>
      </c>
      <c r="AB266" s="38" t="str">
        <f t="shared" si="41"/>
        <v/>
      </c>
      <c r="AC266" s="38" t="str">
        <f>IF(OR(B266="",COUNTIF($B$4:B266,B266)&gt;1),"",MAX($AC$3:AC265)+1)</f>
        <v/>
      </c>
      <c r="AD266" s="38" t="str">
        <f t="shared" si="42"/>
        <v/>
      </c>
      <c r="AE266" s="38" t="str">
        <f t="shared" si="43"/>
        <v/>
      </c>
      <c r="AF266" s="38" t="str">
        <f t="shared" si="44"/>
        <v/>
      </c>
    </row>
    <row r="267" spans="1:32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38" t="str">
        <f>IF(OR(A267="Автомат",A267="Дифавтомат"),IF(W267="","",COUNTIFS(Однолинейка!$H$3:$H$3000,U267,Однолинейка!$A$3:$A$3000,Щит_спец)),IF(A267="Аппарат",IF(C267="","",COUNTIFS(Однолинейка!$I$3:$I$3000,C267,Однолинейка!$A$3:$A$3000,Щит_спец)+COUNTIFS(Однолинейка!$J$3:$J$3000,C267,Однолинейка!$A$3:$A$3000,Щит_спец)+COUNTIFS(Однолинейка!$K$3:$K$3000,C267,Однолинейка!$A$3:$A$3000,Щит_спец)),IF(A267="Модуль",IF(C267="","",COUNTIFS(Однолинейка!$AW$3:$AW$3000,"?*",Однолинейка!$AI$3:$AI$3000,C267,Однолинейка!$A$3:$A$3000,Щит_спец)),IF(A267="Клемма",IF(C267="","",IF(C267=$S$7,SUMIFS(Однолинейка!$BW$3:$BW$3000,Однолинейка!$A$3:$A$3000,Щит_спец),IF(C267=$S$8,SUMIFS(Однолинейка!$BX$3:$BX$3000,Однолинейка!$A$3:$A$3000,Щит_спец),""))),""))))</f>
        <v/>
      </c>
      <c r="O267" s="74"/>
      <c r="P267" s="38" t="str">
        <f t="shared" si="36"/>
        <v/>
      </c>
      <c r="U267" s="38" t="str">
        <f t="shared" si="37"/>
        <v/>
      </c>
      <c r="V267" s="38" t="str">
        <f t="shared" si="38"/>
        <v/>
      </c>
      <c r="W267" s="38" t="str">
        <f>IF(AND(U267&lt;&gt;"",OR($S$4="(все)",B267=$S$4),IF($S$4="(все)",COUNTIF($U$4:U267,U267),COUNTIFS($U$4:U267,U267,$B$4:B267,B267))=1),MAX($W$3:W266)+1,"")</f>
        <v/>
      </c>
      <c r="X267" s="38" t="str">
        <f t="shared" si="39"/>
        <v/>
      </c>
      <c r="Y267" s="38" t="str">
        <f>IF(AND(A267="Аппарат",C267&lt;&gt;"",OR($S$5="(все)",B267=$S$5)),MAX($Y$3:Y266)+1,"")</f>
        <v/>
      </c>
      <c r="Z267" s="38" t="str">
        <f t="shared" si="40"/>
        <v/>
      </c>
      <c r="AA267" s="38" t="str">
        <f>IF(AND(A267="Модуль",C267&lt;&gt;"",OR($S$6="(все)",B267=$S$6)),MAX($AA$3:AA266)+1,"")</f>
        <v/>
      </c>
      <c r="AB267" s="38" t="str">
        <f t="shared" si="41"/>
        <v/>
      </c>
      <c r="AC267" s="38" t="str">
        <f>IF(OR(B267="",COUNTIF($B$4:B267,B267)&gt;1),"",MAX($AC$3:AC266)+1)</f>
        <v/>
      </c>
      <c r="AD267" s="38" t="str">
        <f t="shared" si="42"/>
        <v/>
      </c>
      <c r="AE267" s="38" t="str">
        <f t="shared" si="43"/>
        <v/>
      </c>
      <c r="AF267" s="38" t="str">
        <f t="shared" si="44"/>
        <v/>
      </c>
    </row>
    <row r="268" spans="1:32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38" t="str">
        <f>IF(OR(A268="Автомат",A268="Дифавтомат"),IF(W268="","",COUNTIFS(Однолинейка!$H$3:$H$3000,U268,Однолинейка!$A$3:$A$3000,Щит_спец)),IF(A268="Аппарат",IF(C268="","",COUNTIFS(Однолинейка!$I$3:$I$3000,C268,Однолинейка!$A$3:$A$3000,Щит_спец)+COUNTIFS(Однолинейка!$J$3:$J$3000,C268,Однолинейка!$A$3:$A$3000,Щит_спец)+COUNTIFS(Однолинейка!$K$3:$K$3000,C268,Однолинейка!$A$3:$A$3000,Щит_спец)),IF(A268="Модуль",IF(C268="","",COUNTIFS(Однолинейка!$AW$3:$AW$3000,"?*",Однолинейка!$AI$3:$AI$3000,C268,Однолинейка!$A$3:$A$3000,Щит_спец)),IF(A268="Клемма",IF(C268="","",IF(C268=$S$7,SUMIFS(Однолинейка!$BW$3:$BW$3000,Однолинейка!$A$3:$A$3000,Щит_спец),IF(C268=$S$8,SUMIFS(Однолинейка!$BX$3:$BX$3000,Однолинейка!$A$3:$A$3000,Щит_спец),""))),""))))</f>
        <v/>
      </c>
      <c r="O268" s="74"/>
      <c r="P268" s="38" t="str">
        <f t="shared" si="36"/>
        <v/>
      </c>
      <c r="U268" s="38" t="str">
        <f t="shared" si="37"/>
        <v/>
      </c>
      <c r="V268" s="38" t="str">
        <f t="shared" si="38"/>
        <v/>
      </c>
      <c r="W268" s="38" t="str">
        <f>IF(AND(U268&lt;&gt;"",OR($S$4="(все)",B268=$S$4),IF($S$4="(все)",COUNTIF($U$4:U268,U268),COUNTIFS($U$4:U268,U268,$B$4:B268,B268))=1),MAX($W$3:W267)+1,"")</f>
        <v/>
      </c>
      <c r="X268" s="38" t="str">
        <f t="shared" si="39"/>
        <v/>
      </c>
      <c r="Y268" s="38" t="str">
        <f>IF(AND(A268="Аппарат",C268&lt;&gt;"",OR($S$5="(все)",B268=$S$5)),MAX($Y$3:Y267)+1,"")</f>
        <v/>
      </c>
      <c r="Z268" s="38" t="str">
        <f t="shared" si="40"/>
        <v/>
      </c>
      <c r="AA268" s="38" t="str">
        <f>IF(AND(A268="Модуль",C268&lt;&gt;"",OR($S$6="(все)",B268=$S$6)),MAX($AA$3:AA267)+1,"")</f>
        <v/>
      </c>
      <c r="AB268" s="38" t="str">
        <f t="shared" si="41"/>
        <v/>
      </c>
      <c r="AC268" s="38" t="str">
        <f>IF(OR(B268="",COUNTIF($B$4:B268,B268)&gt;1),"",MAX($AC$3:AC267)+1)</f>
        <v/>
      </c>
      <c r="AD268" s="38" t="str">
        <f t="shared" si="42"/>
        <v/>
      </c>
      <c r="AE268" s="38" t="str">
        <f t="shared" si="43"/>
        <v/>
      </c>
      <c r="AF268" s="38" t="str">
        <f t="shared" si="44"/>
        <v/>
      </c>
    </row>
    <row r="269" spans="1:32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38" t="str">
        <f>IF(OR(A269="Автомат",A269="Дифавтомат"),IF(W269="","",COUNTIFS(Однолинейка!$H$3:$H$3000,U269,Однолинейка!$A$3:$A$3000,Щит_спец)),IF(A269="Аппарат",IF(C269="","",COUNTIFS(Однолинейка!$I$3:$I$3000,C269,Однолинейка!$A$3:$A$3000,Щит_спец)+COUNTIFS(Однолинейка!$J$3:$J$3000,C269,Однолинейка!$A$3:$A$3000,Щит_спец)+COUNTIFS(Однолинейка!$K$3:$K$3000,C269,Однолинейка!$A$3:$A$3000,Щит_спец)),IF(A269="Модуль",IF(C269="","",COUNTIFS(Однолинейка!$AW$3:$AW$3000,"?*",Однолинейка!$AI$3:$AI$3000,C269,Однолинейка!$A$3:$A$3000,Щит_спец)),IF(A269="Клемма",IF(C269="","",IF(C269=$S$7,SUMIFS(Однолинейка!$BW$3:$BW$3000,Однолинейка!$A$3:$A$3000,Щит_спец),IF(C269=$S$8,SUMIFS(Однолинейка!$BX$3:$BX$3000,Однолинейка!$A$3:$A$3000,Щит_спец),""))),""))))</f>
        <v/>
      </c>
      <c r="O269" s="74"/>
      <c r="P269" s="38" t="str">
        <f t="shared" si="36"/>
        <v/>
      </c>
      <c r="U269" s="38" t="str">
        <f t="shared" si="37"/>
        <v/>
      </c>
      <c r="V269" s="38" t="str">
        <f t="shared" si="38"/>
        <v/>
      </c>
      <c r="W269" s="38" t="str">
        <f>IF(AND(U269&lt;&gt;"",OR($S$4="(все)",B269=$S$4),IF($S$4="(все)",COUNTIF($U$4:U269,U269),COUNTIFS($U$4:U269,U269,$B$4:B269,B269))=1),MAX($W$3:W268)+1,"")</f>
        <v/>
      </c>
      <c r="X269" s="38" t="str">
        <f t="shared" si="39"/>
        <v/>
      </c>
      <c r="Y269" s="38" t="str">
        <f>IF(AND(A269="Аппарат",C269&lt;&gt;"",OR($S$5="(все)",B269=$S$5)),MAX($Y$3:Y268)+1,"")</f>
        <v/>
      </c>
      <c r="Z269" s="38" t="str">
        <f t="shared" si="40"/>
        <v/>
      </c>
      <c r="AA269" s="38" t="str">
        <f>IF(AND(A269="Модуль",C269&lt;&gt;"",OR($S$6="(все)",B269=$S$6)),MAX($AA$3:AA268)+1,"")</f>
        <v/>
      </c>
      <c r="AB269" s="38" t="str">
        <f t="shared" si="41"/>
        <v/>
      </c>
      <c r="AC269" s="38" t="str">
        <f>IF(OR(B269="",COUNTIF($B$4:B269,B269)&gt;1),"",MAX($AC$3:AC268)+1)</f>
        <v/>
      </c>
      <c r="AD269" s="38" t="str">
        <f t="shared" si="42"/>
        <v/>
      </c>
      <c r="AE269" s="38" t="str">
        <f t="shared" si="43"/>
        <v/>
      </c>
      <c r="AF269" s="38" t="str">
        <f t="shared" si="44"/>
        <v/>
      </c>
    </row>
    <row r="270" spans="1:32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38" t="str">
        <f>IF(OR(A270="Автомат",A270="Дифавтомат"),IF(W270="","",COUNTIFS(Однолинейка!$H$3:$H$3000,U270,Однолинейка!$A$3:$A$3000,Щит_спец)),IF(A270="Аппарат",IF(C270="","",COUNTIFS(Однолинейка!$I$3:$I$3000,C270,Однолинейка!$A$3:$A$3000,Щит_спец)+COUNTIFS(Однолинейка!$J$3:$J$3000,C270,Однолинейка!$A$3:$A$3000,Щит_спец)+COUNTIFS(Однолинейка!$K$3:$K$3000,C270,Однолинейка!$A$3:$A$3000,Щит_спец)),IF(A270="Модуль",IF(C270="","",COUNTIFS(Однолинейка!$AW$3:$AW$3000,"?*",Однолинейка!$AI$3:$AI$3000,C270,Однолинейка!$A$3:$A$3000,Щит_спец)),IF(A270="Клемма",IF(C270="","",IF(C270=$S$7,SUMIFS(Однолинейка!$BW$3:$BW$3000,Однолинейка!$A$3:$A$3000,Щит_спец),IF(C270=$S$8,SUMIFS(Однолинейка!$BX$3:$BX$3000,Однолинейка!$A$3:$A$3000,Щит_спец),""))),""))))</f>
        <v/>
      </c>
      <c r="O270" s="74"/>
      <c r="P270" s="38" t="str">
        <f t="shared" si="36"/>
        <v/>
      </c>
      <c r="U270" s="38" t="str">
        <f t="shared" si="37"/>
        <v/>
      </c>
      <c r="V270" s="38" t="str">
        <f t="shared" si="38"/>
        <v/>
      </c>
      <c r="W270" s="38" t="str">
        <f>IF(AND(U270&lt;&gt;"",OR($S$4="(все)",B270=$S$4),IF($S$4="(все)",COUNTIF($U$4:U270,U270),COUNTIFS($U$4:U270,U270,$B$4:B270,B270))=1),MAX($W$3:W269)+1,"")</f>
        <v/>
      </c>
      <c r="X270" s="38" t="str">
        <f t="shared" si="39"/>
        <v/>
      </c>
      <c r="Y270" s="38" t="str">
        <f>IF(AND(A270="Аппарат",C270&lt;&gt;"",OR($S$5="(все)",B270=$S$5)),MAX($Y$3:Y269)+1,"")</f>
        <v/>
      </c>
      <c r="Z270" s="38" t="str">
        <f t="shared" si="40"/>
        <v/>
      </c>
      <c r="AA270" s="38" t="str">
        <f>IF(AND(A270="Модуль",C270&lt;&gt;"",OR($S$6="(все)",B270=$S$6)),MAX($AA$3:AA269)+1,"")</f>
        <v/>
      </c>
      <c r="AB270" s="38" t="str">
        <f t="shared" si="41"/>
        <v/>
      </c>
      <c r="AC270" s="38" t="str">
        <f>IF(OR(B270="",COUNTIF($B$4:B270,B270)&gt;1),"",MAX($AC$3:AC269)+1)</f>
        <v/>
      </c>
      <c r="AD270" s="38" t="str">
        <f t="shared" si="42"/>
        <v/>
      </c>
      <c r="AE270" s="38" t="str">
        <f t="shared" si="43"/>
        <v/>
      </c>
      <c r="AF270" s="38" t="str">
        <f t="shared" si="44"/>
        <v/>
      </c>
    </row>
    <row r="271" spans="1:32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38" t="str">
        <f>IF(OR(A271="Автомат",A271="Дифавтомат"),IF(W271="","",COUNTIFS(Однолинейка!$H$3:$H$3000,U271,Однолинейка!$A$3:$A$3000,Щит_спец)),IF(A271="Аппарат",IF(C271="","",COUNTIFS(Однолинейка!$I$3:$I$3000,C271,Однолинейка!$A$3:$A$3000,Щит_спец)+COUNTIFS(Однолинейка!$J$3:$J$3000,C271,Однолинейка!$A$3:$A$3000,Щит_спец)+COUNTIFS(Однолинейка!$K$3:$K$3000,C271,Однолинейка!$A$3:$A$3000,Щит_спец)),IF(A271="Модуль",IF(C271="","",COUNTIFS(Однолинейка!$AW$3:$AW$3000,"?*",Однолинейка!$AI$3:$AI$3000,C271,Однолинейка!$A$3:$A$3000,Щит_спец)),IF(A271="Клемма",IF(C271="","",IF(C271=$S$7,SUMIFS(Однолинейка!$BW$3:$BW$3000,Однолинейка!$A$3:$A$3000,Щит_спец),IF(C271=$S$8,SUMIFS(Однолинейка!$BX$3:$BX$3000,Однолинейка!$A$3:$A$3000,Щит_спец),""))),""))))</f>
        <v/>
      </c>
      <c r="O271" s="74"/>
      <c r="P271" s="38" t="str">
        <f t="shared" si="36"/>
        <v/>
      </c>
      <c r="U271" s="38" t="str">
        <f t="shared" si="37"/>
        <v/>
      </c>
      <c r="V271" s="38" t="str">
        <f t="shared" si="38"/>
        <v/>
      </c>
      <c r="W271" s="38" t="str">
        <f>IF(AND(U271&lt;&gt;"",OR($S$4="(все)",B271=$S$4),IF($S$4="(все)",COUNTIF($U$4:U271,U271),COUNTIFS($U$4:U271,U271,$B$4:B271,B271))=1),MAX($W$3:W270)+1,"")</f>
        <v/>
      </c>
      <c r="X271" s="38" t="str">
        <f t="shared" si="39"/>
        <v/>
      </c>
      <c r="Y271" s="38" t="str">
        <f>IF(AND(A271="Аппарат",C271&lt;&gt;"",OR($S$5="(все)",B271=$S$5)),MAX($Y$3:Y270)+1,"")</f>
        <v/>
      </c>
      <c r="Z271" s="38" t="str">
        <f t="shared" si="40"/>
        <v/>
      </c>
      <c r="AA271" s="38" t="str">
        <f>IF(AND(A271="Модуль",C271&lt;&gt;"",OR($S$6="(все)",B271=$S$6)),MAX($AA$3:AA270)+1,"")</f>
        <v/>
      </c>
      <c r="AB271" s="38" t="str">
        <f t="shared" si="41"/>
        <v/>
      </c>
      <c r="AC271" s="38" t="str">
        <f>IF(OR(B271="",COUNTIF($B$4:B271,B271)&gt;1),"",MAX($AC$3:AC270)+1)</f>
        <v/>
      </c>
      <c r="AD271" s="38" t="str">
        <f t="shared" si="42"/>
        <v/>
      </c>
      <c r="AE271" s="38" t="str">
        <f t="shared" si="43"/>
        <v/>
      </c>
      <c r="AF271" s="38" t="str">
        <f t="shared" si="44"/>
        <v/>
      </c>
    </row>
    <row r="272" spans="1:32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38" t="str">
        <f>IF(OR(A272="Автомат",A272="Дифавтомат"),IF(W272="","",COUNTIFS(Однолинейка!$H$3:$H$3000,U272,Однолинейка!$A$3:$A$3000,Щит_спец)),IF(A272="Аппарат",IF(C272="","",COUNTIFS(Однолинейка!$I$3:$I$3000,C272,Однолинейка!$A$3:$A$3000,Щит_спец)+COUNTIFS(Однолинейка!$J$3:$J$3000,C272,Однолинейка!$A$3:$A$3000,Щит_спец)+COUNTIFS(Однолинейка!$K$3:$K$3000,C272,Однолинейка!$A$3:$A$3000,Щит_спец)),IF(A272="Модуль",IF(C272="","",COUNTIFS(Однолинейка!$AW$3:$AW$3000,"?*",Однолинейка!$AI$3:$AI$3000,C272,Однолинейка!$A$3:$A$3000,Щит_спец)),IF(A272="Клемма",IF(C272="","",IF(C272=$S$7,SUMIFS(Однолинейка!$BW$3:$BW$3000,Однолинейка!$A$3:$A$3000,Щит_спец),IF(C272=$S$8,SUMIFS(Однолинейка!$BX$3:$BX$3000,Однолинейка!$A$3:$A$3000,Щит_спец),""))),""))))</f>
        <v/>
      </c>
      <c r="O272" s="74"/>
      <c r="P272" s="38" t="str">
        <f t="shared" si="36"/>
        <v/>
      </c>
      <c r="U272" s="38" t="str">
        <f t="shared" si="37"/>
        <v/>
      </c>
      <c r="V272" s="38" t="str">
        <f t="shared" si="38"/>
        <v/>
      </c>
      <c r="W272" s="38" t="str">
        <f>IF(AND(U272&lt;&gt;"",OR($S$4="(все)",B272=$S$4),IF($S$4="(все)",COUNTIF($U$4:U272,U272),COUNTIFS($U$4:U272,U272,$B$4:B272,B272))=1),MAX($W$3:W271)+1,"")</f>
        <v/>
      </c>
      <c r="X272" s="38" t="str">
        <f t="shared" si="39"/>
        <v/>
      </c>
      <c r="Y272" s="38" t="str">
        <f>IF(AND(A272="Аппарат",C272&lt;&gt;"",OR($S$5="(все)",B272=$S$5)),MAX($Y$3:Y271)+1,"")</f>
        <v/>
      </c>
      <c r="Z272" s="38" t="str">
        <f t="shared" si="40"/>
        <v/>
      </c>
      <c r="AA272" s="38" t="str">
        <f>IF(AND(A272="Модуль",C272&lt;&gt;"",OR($S$6="(все)",B272=$S$6)),MAX($AA$3:AA271)+1,"")</f>
        <v/>
      </c>
      <c r="AB272" s="38" t="str">
        <f t="shared" si="41"/>
        <v/>
      </c>
      <c r="AC272" s="38" t="str">
        <f>IF(OR(B272="",COUNTIF($B$4:B272,B272)&gt;1),"",MAX($AC$3:AC271)+1)</f>
        <v/>
      </c>
      <c r="AD272" s="38" t="str">
        <f t="shared" si="42"/>
        <v/>
      </c>
      <c r="AE272" s="38" t="str">
        <f t="shared" si="43"/>
        <v/>
      </c>
      <c r="AF272" s="38" t="str">
        <f t="shared" si="44"/>
        <v/>
      </c>
    </row>
    <row r="273" spans="1:32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38" t="str">
        <f>IF(OR(A273="Автомат",A273="Дифавтомат"),IF(W273="","",COUNTIFS(Однолинейка!$H$3:$H$3000,U273,Однолинейка!$A$3:$A$3000,Щит_спец)),IF(A273="Аппарат",IF(C273="","",COUNTIFS(Однолинейка!$I$3:$I$3000,C273,Однолинейка!$A$3:$A$3000,Щит_спец)+COUNTIFS(Однолинейка!$J$3:$J$3000,C273,Однолинейка!$A$3:$A$3000,Щит_спец)+COUNTIFS(Однолинейка!$K$3:$K$3000,C273,Однолинейка!$A$3:$A$3000,Щит_спец)),IF(A273="Модуль",IF(C273="","",COUNTIFS(Однолинейка!$AW$3:$AW$3000,"?*",Однолинейка!$AI$3:$AI$3000,C273,Однолинейка!$A$3:$A$3000,Щит_спец)),IF(A273="Клемма",IF(C273="","",IF(C273=$S$7,SUMIFS(Однолинейка!$BW$3:$BW$3000,Однолинейка!$A$3:$A$3000,Щит_спец),IF(C273=$S$8,SUMIFS(Однолинейка!$BX$3:$BX$3000,Однолинейка!$A$3:$A$3000,Щит_спец),""))),""))))</f>
        <v/>
      </c>
      <c r="O273" s="74"/>
      <c r="P273" s="38" t="str">
        <f t="shared" si="36"/>
        <v/>
      </c>
      <c r="U273" s="38" t="str">
        <f t="shared" si="37"/>
        <v/>
      </c>
      <c r="V273" s="38" t="str">
        <f t="shared" si="38"/>
        <v/>
      </c>
      <c r="W273" s="38" t="str">
        <f>IF(AND(U273&lt;&gt;"",OR($S$4="(все)",B273=$S$4),IF($S$4="(все)",COUNTIF($U$4:U273,U273),COUNTIFS($U$4:U273,U273,$B$4:B273,B273))=1),MAX($W$3:W272)+1,"")</f>
        <v/>
      </c>
      <c r="X273" s="38" t="str">
        <f t="shared" si="39"/>
        <v/>
      </c>
      <c r="Y273" s="38" t="str">
        <f>IF(AND(A273="Аппарат",C273&lt;&gt;"",OR($S$5="(все)",B273=$S$5)),MAX($Y$3:Y272)+1,"")</f>
        <v/>
      </c>
      <c r="Z273" s="38" t="str">
        <f t="shared" si="40"/>
        <v/>
      </c>
      <c r="AA273" s="38" t="str">
        <f>IF(AND(A273="Модуль",C273&lt;&gt;"",OR($S$6="(все)",B273=$S$6)),MAX($AA$3:AA272)+1,"")</f>
        <v/>
      </c>
      <c r="AB273" s="38" t="str">
        <f t="shared" si="41"/>
        <v/>
      </c>
      <c r="AC273" s="38" t="str">
        <f>IF(OR(B273="",COUNTIF($B$4:B273,B273)&gt;1),"",MAX($AC$3:AC272)+1)</f>
        <v/>
      </c>
      <c r="AD273" s="38" t="str">
        <f t="shared" si="42"/>
        <v/>
      </c>
      <c r="AE273" s="38" t="str">
        <f t="shared" si="43"/>
        <v/>
      </c>
      <c r="AF273" s="38" t="str">
        <f t="shared" si="44"/>
        <v/>
      </c>
    </row>
    <row r="274" spans="1:32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38" t="str">
        <f>IF(OR(A274="Автомат",A274="Дифавтомат"),IF(W274="","",COUNTIFS(Однолинейка!$H$3:$H$3000,U274,Однолинейка!$A$3:$A$3000,Щит_спец)),IF(A274="Аппарат",IF(C274="","",COUNTIFS(Однолинейка!$I$3:$I$3000,C274,Однолинейка!$A$3:$A$3000,Щит_спец)+COUNTIFS(Однолинейка!$J$3:$J$3000,C274,Однолинейка!$A$3:$A$3000,Щит_спец)+COUNTIFS(Однолинейка!$K$3:$K$3000,C274,Однолинейка!$A$3:$A$3000,Щит_спец)),IF(A274="Модуль",IF(C274="","",COUNTIFS(Однолинейка!$AW$3:$AW$3000,"?*",Однолинейка!$AI$3:$AI$3000,C274,Однолинейка!$A$3:$A$3000,Щит_спец)),IF(A274="Клемма",IF(C274="","",IF(C274=$S$7,SUMIFS(Однолинейка!$BW$3:$BW$3000,Однолинейка!$A$3:$A$3000,Щит_спец),IF(C274=$S$8,SUMIFS(Однолинейка!$BX$3:$BX$3000,Однолинейка!$A$3:$A$3000,Щит_спец),""))),""))))</f>
        <v/>
      </c>
      <c r="O274" s="74"/>
      <c r="P274" s="38" t="str">
        <f t="shared" si="36"/>
        <v/>
      </c>
      <c r="U274" s="38" t="str">
        <f t="shared" si="37"/>
        <v/>
      </c>
      <c r="V274" s="38" t="str">
        <f t="shared" si="38"/>
        <v/>
      </c>
      <c r="W274" s="38" t="str">
        <f>IF(AND(U274&lt;&gt;"",OR($S$4="(все)",B274=$S$4),IF($S$4="(все)",COUNTIF($U$4:U274,U274),COUNTIFS($U$4:U274,U274,$B$4:B274,B274))=1),MAX($W$3:W273)+1,"")</f>
        <v/>
      </c>
      <c r="X274" s="38" t="str">
        <f t="shared" si="39"/>
        <v/>
      </c>
      <c r="Y274" s="38" t="str">
        <f>IF(AND(A274="Аппарат",C274&lt;&gt;"",OR($S$5="(все)",B274=$S$5)),MAX($Y$3:Y273)+1,"")</f>
        <v/>
      </c>
      <c r="Z274" s="38" t="str">
        <f t="shared" si="40"/>
        <v/>
      </c>
      <c r="AA274" s="38" t="str">
        <f>IF(AND(A274="Модуль",C274&lt;&gt;"",OR($S$6="(все)",B274=$S$6)),MAX($AA$3:AA273)+1,"")</f>
        <v/>
      </c>
      <c r="AB274" s="38" t="str">
        <f t="shared" si="41"/>
        <v/>
      </c>
      <c r="AC274" s="38" t="str">
        <f>IF(OR(B274="",COUNTIF($B$4:B274,B274)&gt;1),"",MAX($AC$3:AC273)+1)</f>
        <v/>
      </c>
      <c r="AD274" s="38" t="str">
        <f t="shared" si="42"/>
        <v/>
      </c>
      <c r="AE274" s="38" t="str">
        <f t="shared" si="43"/>
        <v/>
      </c>
      <c r="AF274" s="38" t="str">
        <f t="shared" si="44"/>
        <v/>
      </c>
    </row>
    <row r="275" spans="1:32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38" t="str">
        <f>IF(OR(A275="Автомат",A275="Дифавтомат"),IF(W275="","",COUNTIFS(Однолинейка!$H$3:$H$3000,U275,Однолинейка!$A$3:$A$3000,Щит_спец)),IF(A275="Аппарат",IF(C275="","",COUNTIFS(Однолинейка!$I$3:$I$3000,C275,Однолинейка!$A$3:$A$3000,Щит_спец)+COUNTIFS(Однолинейка!$J$3:$J$3000,C275,Однолинейка!$A$3:$A$3000,Щит_спец)+COUNTIFS(Однолинейка!$K$3:$K$3000,C275,Однолинейка!$A$3:$A$3000,Щит_спец)),IF(A275="Модуль",IF(C275="","",COUNTIFS(Однолинейка!$AW$3:$AW$3000,"?*",Однолинейка!$AI$3:$AI$3000,C275,Однолинейка!$A$3:$A$3000,Щит_спец)),IF(A275="Клемма",IF(C275="","",IF(C275=$S$7,SUMIFS(Однолинейка!$BW$3:$BW$3000,Однолинейка!$A$3:$A$3000,Щит_спец),IF(C275=$S$8,SUMIFS(Однолинейка!$BX$3:$BX$3000,Однолинейка!$A$3:$A$3000,Щит_спец),""))),""))))</f>
        <v/>
      </c>
      <c r="O275" s="74"/>
      <c r="P275" s="38" t="str">
        <f t="shared" si="36"/>
        <v/>
      </c>
      <c r="U275" s="38" t="str">
        <f t="shared" si="37"/>
        <v/>
      </c>
      <c r="V275" s="38" t="str">
        <f t="shared" si="38"/>
        <v/>
      </c>
      <c r="W275" s="38" t="str">
        <f>IF(AND(U275&lt;&gt;"",OR($S$4="(все)",B275=$S$4),IF($S$4="(все)",COUNTIF($U$4:U275,U275),COUNTIFS($U$4:U275,U275,$B$4:B275,B275))=1),MAX($W$3:W274)+1,"")</f>
        <v/>
      </c>
      <c r="X275" s="38" t="str">
        <f t="shared" si="39"/>
        <v/>
      </c>
      <c r="Y275" s="38" t="str">
        <f>IF(AND(A275="Аппарат",C275&lt;&gt;"",OR($S$5="(все)",B275=$S$5)),MAX($Y$3:Y274)+1,"")</f>
        <v/>
      </c>
      <c r="Z275" s="38" t="str">
        <f t="shared" si="40"/>
        <v/>
      </c>
      <c r="AA275" s="38" t="str">
        <f>IF(AND(A275="Модуль",C275&lt;&gt;"",OR($S$6="(все)",B275=$S$6)),MAX($AA$3:AA274)+1,"")</f>
        <v/>
      </c>
      <c r="AB275" s="38" t="str">
        <f t="shared" si="41"/>
        <v/>
      </c>
      <c r="AC275" s="38" t="str">
        <f>IF(OR(B275="",COUNTIF($B$4:B275,B275)&gt;1),"",MAX($AC$3:AC274)+1)</f>
        <v/>
      </c>
      <c r="AD275" s="38" t="str">
        <f t="shared" si="42"/>
        <v/>
      </c>
      <c r="AE275" s="38" t="str">
        <f t="shared" si="43"/>
        <v/>
      </c>
      <c r="AF275" s="38" t="str">
        <f t="shared" si="44"/>
        <v/>
      </c>
    </row>
    <row r="276" spans="1:32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38" t="str">
        <f>IF(OR(A276="Автомат",A276="Дифавтомат"),IF(W276="","",COUNTIFS(Однолинейка!$H$3:$H$3000,U276,Однолинейка!$A$3:$A$3000,Щит_спец)),IF(A276="Аппарат",IF(C276="","",COUNTIFS(Однолинейка!$I$3:$I$3000,C276,Однолинейка!$A$3:$A$3000,Щит_спец)+COUNTIFS(Однолинейка!$J$3:$J$3000,C276,Однолинейка!$A$3:$A$3000,Щит_спец)+COUNTIFS(Однолинейка!$K$3:$K$3000,C276,Однолинейка!$A$3:$A$3000,Щит_спец)),IF(A276="Модуль",IF(C276="","",COUNTIFS(Однолинейка!$AW$3:$AW$3000,"?*",Однолинейка!$AI$3:$AI$3000,C276,Однолинейка!$A$3:$A$3000,Щит_спец)),IF(A276="Клемма",IF(C276="","",IF(C276=$S$7,SUMIFS(Однолинейка!$BW$3:$BW$3000,Однолинейка!$A$3:$A$3000,Щит_спец),IF(C276=$S$8,SUMIFS(Однолинейка!$BX$3:$BX$3000,Однолинейка!$A$3:$A$3000,Щит_спец),""))),""))))</f>
        <v/>
      </c>
      <c r="O276" s="74"/>
      <c r="P276" s="38" t="str">
        <f t="shared" si="36"/>
        <v/>
      </c>
      <c r="U276" s="38" t="str">
        <f t="shared" si="37"/>
        <v/>
      </c>
      <c r="V276" s="38" t="str">
        <f t="shared" si="38"/>
        <v/>
      </c>
      <c r="W276" s="38" t="str">
        <f>IF(AND(U276&lt;&gt;"",OR($S$4="(все)",B276=$S$4),IF($S$4="(все)",COUNTIF($U$4:U276,U276),COUNTIFS($U$4:U276,U276,$B$4:B276,B276))=1),MAX($W$3:W275)+1,"")</f>
        <v/>
      </c>
      <c r="X276" s="38" t="str">
        <f t="shared" si="39"/>
        <v/>
      </c>
      <c r="Y276" s="38" t="str">
        <f>IF(AND(A276="Аппарат",C276&lt;&gt;"",OR($S$5="(все)",B276=$S$5)),MAX($Y$3:Y275)+1,"")</f>
        <v/>
      </c>
      <c r="Z276" s="38" t="str">
        <f t="shared" si="40"/>
        <v/>
      </c>
      <c r="AA276" s="38" t="str">
        <f>IF(AND(A276="Модуль",C276&lt;&gt;"",OR($S$6="(все)",B276=$S$6)),MAX($AA$3:AA275)+1,"")</f>
        <v/>
      </c>
      <c r="AB276" s="38" t="str">
        <f t="shared" si="41"/>
        <v/>
      </c>
      <c r="AC276" s="38" t="str">
        <f>IF(OR(B276="",COUNTIF($B$4:B276,B276)&gt;1),"",MAX($AC$3:AC275)+1)</f>
        <v/>
      </c>
      <c r="AD276" s="38" t="str">
        <f t="shared" si="42"/>
        <v/>
      </c>
      <c r="AE276" s="38" t="str">
        <f t="shared" si="43"/>
        <v/>
      </c>
      <c r="AF276" s="38" t="str">
        <f t="shared" si="44"/>
        <v/>
      </c>
    </row>
    <row r="277" spans="1:32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38" t="str">
        <f>IF(OR(A277="Автомат",A277="Дифавтомат"),IF(W277="","",COUNTIFS(Однолинейка!$H$3:$H$3000,U277,Однолинейка!$A$3:$A$3000,Щит_спец)),IF(A277="Аппарат",IF(C277="","",COUNTIFS(Однолинейка!$I$3:$I$3000,C277,Однолинейка!$A$3:$A$3000,Щит_спец)+COUNTIFS(Однолинейка!$J$3:$J$3000,C277,Однолинейка!$A$3:$A$3000,Щит_спец)+COUNTIFS(Однолинейка!$K$3:$K$3000,C277,Однолинейка!$A$3:$A$3000,Щит_спец)),IF(A277="Модуль",IF(C277="","",COUNTIFS(Однолинейка!$AW$3:$AW$3000,"?*",Однолинейка!$AI$3:$AI$3000,C277,Однолинейка!$A$3:$A$3000,Щит_спец)),IF(A277="Клемма",IF(C277="","",IF(C277=$S$7,SUMIFS(Однолинейка!$BW$3:$BW$3000,Однолинейка!$A$3:$A$3000,Щит_спец),IF(C277=$S$8,SUMIFS(Однолинейка!$BX$3:$BX$3000,Однолинейка!$A$3:$A$3000,Щит_спец),""))),""))))</f>
        <v/>
      </c>
      <c r="O277" s="74"/>
      <c r="P277" s="38" t="str">
        <f t="shared" si="36"/>
        <v/>
      </c>
      <c r="U277" s="38" t="str">
        <f t="shared" si="37"/>
        <v/>
      </c>
      <c r="V277" s="38" t="str">
        <f t="shared" si="38"/>
        <v/>
      </c>
      <c r="W277" s="38" t="str">
        <f>IF(AND(U277&lt;&gt;"",OR($S$4="(все)",B277=$S$4),IF($S$4="(все)",COUNTIF($U$4:U277,U277),COUNTIFS($U$4:U277,U277,$B$4:B277,B277))=1),MAX($W$3:W276)+1,"")</f>
        <v/>
      </c>
      <c r="X277" s="38" t="str">
        <f t="shared" si="39"/>
        <v/>
      </c>
      <c r="Y277" s="38" t="str">
        <f>IF(AND(A277="Аппарат",C277&lt;&gt;"",OR($S$5="(все)",B277=$S$5)),MAX($Y$3:Y276)+1,"")</f>
        <v/>
      </c>
      <c r="Z277" s="38" t="str">
        <f t="shared" si="40"/>
        <v/>
      </c>
      <c r="AA277" s="38" t="str">
        <f>IF(AND(A277="Модуль",C277&lt;&gt;"",OR($S$6="(все)",B277=$S$6)),MAX($AA$3:AA276)+1,"")</f>
        <v/>
      </c>
      <c r="AB277" s="38" t="str">
        <f t="shared" si="41"/>
        <v/>
      </c>
      <c r="AC277" s="38" t="str">
        <f>IF(OR(B277="",COUNTIF($B$4:B277,B277)&gt;1),"",MAX($AC$3:AC276)+1)</f>
        <v/>
      </c>
      <c r="AD277" s="38" t="str">
        <f t="shared" si="42"/>
        <v/>
      </c>
      <c r="AE277" s="38" t="str">
        <f t="shared" si="43"/>
        <v/>
      </c>
      <c r="AF277" s="38" t="str">
        <f t="shared" si="44"/>
        <v/>
      </c>
    </row>
    <row r="278" spans="1:32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38" t="str">
        <f>IF(OR(A278="Автомат",A278="Дифавтомат"),IF(W278="","",COUNTIFS(Однолинейка!$H$3:$H$3000,U278,Однолинейка!$A$3:$A$3000,Щит_спец)),IF(A278="Аппарат",IF(C278="","",COUNTIFS(Однолинейка!$I$3:$I$3000,C278,Однолинейка!$A$3:$A$3000,Щит_спец)+COUNTIFS(Однолинейка!$J$3:$J$3000,C278,Однолинейка!$A$3:$A$3000,Щит_спец)+COUNTIFS(Однолинейка!$K$3:$K$3000,C278,Однолинейка!$A$3:$A$3000,Щит_спец)),IF(A278="Модуль",IF(C278="","",COUNTIFS(Однолинейка!$AW$3:$AW$3000,"?*",Однолинейка!$AI$3:$AI$3000,C278,Однолинейка!$A$3:$A$3000,Щит_спец)),IF(A278="Клемма",IF(C278="","",IF(C278=$S$7,SUMIFS(Однолинейка!$BW$3:$BW$3000,Однолинейка!$A$3:$A$3000,Щит_спец),IF(C278=$S$8,SUMIFS(Однолинейка!$BX$3:$BX$3000,Однолинейка!$A$3:$A$3000,Щит_спец),""))),""))))</f>
        <v/>
      </c>
      <c r="O278" s="74"/>
      <c r="P278" s="38" t="str">
        <f t="shared" si="36"/>
        <v/>
      </c>
      <c r="U278" s="38" t="str">
        <f t="shared" si="37"/>
        <v/>
      </c>
      <c r="V278" s="38" t="str">
        <f t="shared" si="38"/>
        <v/>
      </c>
      <c r="W278" s="38" t="str">
        <f>IF(AND(U278&lt;&gt;"",OR($S$4="(все)",B278=$S$4),IF($S$4="(все)",COUNTIF($U$4:U278,U278),COUNTIFS($U$4:U278,U278,$B$4:B278,B278))=1),MAX($W$3:W277)+1,"")</f>
        <v/>
      </c>
      <c r="X278" s="38" t="str">
        <f t="shared" si="39"/>
        <v/>
      </c>
      <c r="Y278" s="38" t="str">
        <f>IF(AND(A278="Аппарат",C278&lt;&gt;"",OR($S$5="(все)",B278=$S$5)),MAX($Y$3:Y277)+1,"")</f>
        <v/>
      </c>
      <c r="Z278" s="38" t="str">
        <f t="shared" si="40"/>
        <v/>
      </c>
      <c r="AA278" s="38" t="str">
        <f>IF(AND(A278="Модуль",C278&lt;&gt;"",OR($S$6="(все)",B278=$S$6)),MAX($AA$3:AA277)+1,"")</f>
        <v/>
      </c>
      <c r="AB278" s="38" t="str">
        <f t="shared" si="41"/>
        <v/>
      </c>
      <c r="AC278" s="38" t="str">
        <f>IF(OR(B278="",COUNTIF($B$4:B278,B278)&gt;1),"",MAX($AC$3:AC277)+1)</f>
        <v/>
      </c>
      <c r="AD278" s="38" t="str">
        <f t="shared" si="42"/>
        <v/>
      </c>
      <c r="AE278" s="38" t="str">
        <f t="shared" si="43"/>
        <v/>
      </c>
      <c r="AF278" s="38" t="str">
        <f t="shared" si="44"/>
        <v/>
      </c>
    </row>
    <row r="279" spans="1:32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38" t="str">
        <f>IF(OR(A279="Автомат",A279="Дифавтомат"),IF(W279="","",COUNTIFS(Однолинейка!$H$3:$H$3000,U279,Однолинейка!$A$3:$A$3000,Щит_спец)),IF(A279="Аппарат",IF(C279="","",COUNTIFS(Однолинейка!$I$3:$I$3000,C279,Однолинейка!$A$3:$A$3000,Щит_спец)+COUNTIFS(Однолинейка!$J$3:$J$3000,C279,Однолинейка!$A$3:$A$3000,Щит_спец)+COUNTIFS(Однолинейка!$K$3:$K$3000,C279,Однолинейка!$A$3:$A$3000,Щит_спец)),IF(A279="Модуль",IF(C279="","",COUNTIFS(Однолинейка!$AW$3:$AW$3000,"?*",Однолинейка!$AI$3:$AI$3000,C279,Однолинейка!$A$3:$A$3000,Щит_спец)),IF(A279="Клемма",IF(C279="","",IF(C279=$S$7,SUMIFS(Однолинейка!$BW$3:$BW$3000,Однолинейка!$A$3:$A$3000,Щит_спец),IF(C279=$S$8,SUMIFS(Однолинейка!$BX$3:$BX$3000,Однолинейка!$A$3:$A$3000,Щит_спец),""))),""))))</f>
        <v/>
      </c>
      <c r="O279" s="74"/>
      <c r="P279" s="38" t="str">
        <f t="shared" si="36"/>
        <v/>
      </c>
      <c r="U279" s="38" t="str">
        <f t="shared" si="37"/>
        <v/>
      </c>
      <c r="V279" s="38" t="str">
        <f t="shared" si="38"/>
        <v/>
      </c>
      <c r="W279" s="38" t="str">
        <f>IF(AND(U279&lt;&gt;"",OR($S$4="(все)",B279=$S$4),IF($S$4="(все)",COUNTIF($U$4:U279,U279),COUNTIFS($U$4:U279,U279,$B$4:B279,B279))=1),MAX($W$3:W278)+1,"")</f>
        <v/>
      </c>
      <c r="X279" s="38" t="str">
        <f t="shared" si="39"/>
        <v/>
      </c>
      <c r="Y279" s="38" t="str">
        <f>IF(AND(A279="Аппарат",C279&lt;&gt;"",OR($S$5="(все)",B279=$S$5)),MAX($Y$3:Y278)+1,"")</f>
        <v/>
      </c>
      <c r="Z279" s="38" t="str">
        <f t="shared" si="40"/>
        <v/>
      </c>
      <c r="AA279" s="38" t="str">
        <f>IF(AND(A279="Модуль",C279&lt;&gt;"",OR($S$6="(все)",B279=$S$6)),MAX($AA$3:AA278)+1,"")</f>
        <v/>
      </c>
      <c r="AB279" s="38" t="str">
        <f t="shared" si="41"/>
        <v/>
      </c>
      <c r="AC279" s="38" t="str">
        <f>IF(OR(B279="",COUNTIF($B$4:B279,B279)&gt;1),"",MAX($AC$3:AC278)+1)</f>
        <v/>
      </c>
      <c r="AD279" s="38" t="str">
        <f t="shared" si="42"/>
        <v/>
      </c>
      <c r="AE279" s="38" t="str">
        <f t="shared" si="43"/>
        <v/>
      </c>
      <c r="AF279" s="38" t="str">
        <f t="shared" si="44"/>
        <v/>
      </c>
    </row>
    <row r="280" spans="1:32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38" t="str">
        <f>IF(OR(A280="Автомат",A280="Дифавтомат"),IF(W280="","",COUNTIFS(Однолинейка!$H$3:$H$3000,U280,Однолинейка!$A$3:$A$3000,Щит_спец)),IF(A280="Аппарат",IF(C280="","",COUNTIFS(Однолинейка!$I$3:$I$3000,C280,Однолинейка!$A$3:$A$3000,Щит_спец)+COUNTIFS(Однолинейка!$J$3:$J$3000,C280,Однолинейка!$A$3:$A$3000,Щит_спец)+COUNTIFS(Однолинейка!$K$3:$K$3000,C280,Однолинейка!$A$3:$A$3000,Щит_спец)),IF(A280="Модуль",IF(C280="","",COUNTIFS(Однолинейка!$AW$3:$AW$3000,"?*",Однолинейка!$AI$3:$AI$3000,C280,Однолинейка!$A$3:$A$3000,Щит_спец)),IF(A280="Клемма",IF(C280="","",IF(C280=$S$7,SUMIFS(Однолинейка!$BW$3:$BW$3000,Однолинейка!$A$3:$A$3000,Щит_спец),IF(C280=$S$8,SUMIFS(Однолинейка!$BX$3:$BX$3000,Однолинейка!$A$3:$A$3000,Щит_спец),""))),""))))</f>
        <v/>
      </c>
      <c r="O280" s="74"/>
      <c r="P280" s="38" t="str">
        <f t="shared" si="36"/>
        <v/>
      </c>
      <c r="U280" s="38" t="str">
        <f t="shared" si="37"/>
        <v/>
      </c>
      <c r="V280" s="38" t="str">
        <f t="shared" si="38"/>
        <v/>
      </c>
      <c r="W280" s="38" t="str">
        <f>IF(AND(U280&lt;&gt;"",OR($S$4="(все)",B280=$S$4),IF($S$4="(все)",COUNTIF($U$4:U280,U280),COUNTIFS($U$4:U280,U280,$B$4:B280,B280))=1),MAX($W$3:W279)+1,"")</f>
        <v/>
      </c>
      <c r="X280" s="38" t="str">
        <f t="shared" si="39"/>
        <v/>
      </c>
      <c r="Y280" s="38" t="str">
        <f>IF(AND(A280="Аппарат",C280&lt;&gt;"",OR($S$5="(все)",B280=$S$5)),MAX($Y$3:Y279)+1,"")</f>
        <v/>
      </c>
      <c r="Z280" s="38" t="str">
        <f t="shared" si="40"/>
        <v/>
      </c>
      <c r="AA280" s="38" t="str">
        <f>IF(AND(A280="Модуль",C280&lt;&gt;"",OR($S$6="(все)",B280=$S$6)),MAX($AA$3:AA279)+1,"")</f>
        <v/>
      </c>
      <c r="AB280" s="38" t="str">
        <f t="shared" si="41"/>
        <v/>
      </c>
      <c r="AC280" s="38" t="str">
        <f>IF(OR(B280="",COUNTIF($B$4:B280,B280)&gt;1),"",MAX($AC$3:AC279)+1)</f>
        <v/>
      </c>
      <c r="AD280" s="38" t="str">
        <f t="shared" si="42"/>
        <v/>
      </c>
      <c r="AE280" s="38" t="str">
        <f t="shared" si="43"/>
        <v/>
      </c>
      <c r="AF280" s="38" t="str">
        <f t="shared" si="44"/>
        <v/>
      </c>
    </row>
    <row r="281" spans="1:32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38" t="str">
        <f>IF(OR(A281="Автомат",A281="Дифавтомат"),IF(W281="","",COUNTIFS(Однолинейка!$H$3:$H$3000,U281,Однолинейка!$A$3:$A$3000,Щит_спец)),IF(A281="Аппарат",IF(C281="","",COUNTIFS(Однолинейка!$I$3:$I$3000,C281,Однолинейка!$A$3:$A$3000,Щит_спец)+COUNTIFS(Однолинейка!$J$3:$J$3000,C281,Однолинейка!$A$3:$A$3000,Щит_спец)+COUNTIFS(Однолинейка!$K$3:$K$3000,C281,Однолинейка!$A$3:$A$3000,Щит_спец)),IF(A281="Модуль",IF(C281="","",COUNTIFS(Однолинейка!$AW$3:$AW$3000,"?*",Однолинейка!$AI$3:$AI$3000,C281,Однолинейка!$A$3:$A$3000,Щит_спец)),IF(A281="Клемма",IF(C281="","",IF(C281=$S$7,SUMIFS(Однолинейка!$BW$3:$BW$3000,Однолинейка!$A$3:$A$3000,Щит_спец),IF(C281=$S$8,SUMIFS(Однолинейка!$BX$3:$BX$3000,Однолинейка!$A$3:$A$3000,Щит_спец),""))),""))))</f>
        <v/>
      </c>
      <c r="O281" s="74"/>
      <c r="P281" s="38" t="str">
        <f t="shared" si="36"/>
        <v/>
      </c>
      <c r="U281" s="38" t="str">
        <f t="shared" si="37"/>
        <v/>
      </c>
      <c r="V281" s="38" t="str">
        <f t="shared" si="38"/>
        <v/>
      </c>
      <c r="W281" s="38" t="str">
        <f>IF(AND(U281&lt;&gt;"",OR($S$4="(все)",B281=$S$4),IF($S$4="(все)",COUNTIF($U$4:U281,U281),COUNTIFS($U$4:U281,U281,$B$4:B281,B281))=1),MAX($W$3:W280)+1,"")</f>
        <v/>
      </c>
      <c r="X281" s="38" t="str">
        <f t="shared" si="39"/>
        <v/>
      </c>
      <c r="Y281" s="38" t="str">
        <f>IF(AND(A281="Аппарат",C281&lt;&gt;"",OR($S$5="(все)",B281=$S$5)),MAX($Y$3:Y280)+1,"")</f>
        <v/>
      </c>
      <c r="Z281" s="38" t="str">
        <f t="shared" si="40"/>
        <v/>
      </c>
      <c r="AA281" s="38" t="str">
        <f>IF(AND(A281="Модуль",C281&lt;&gt;"",OR($S$6="(все)",B281=$S$6)),MAX($AA$3:AA280)+1,"")</f>
        <v/>
      </c>
      <c r="AB281" s="38" t="str">
        <f t="shared" si="41"/>
        <v/>
      </c>
      <c r="AC281" s="38" t="str">
        <f>IF(OR(B281="",COUNTIF($B$4:B281,B281)&gt;1),"",MAX($AC$3:AC280)+1)</f>
        <v/>
      </c>
      <c r="AD281" s="38" t="str">
        <f t="shared" si="42"/>
        <v/>
      </c>
      <c r="AE281" s="38" t="str">
        <f t="shared" si="43"/>
        <v/>
      </c>
      <c r="AF281" s="38" t="str">
        <f t="shared" si="44"/>
        <v/>
      </c>
    </row>
    <row r="282" spans="1:32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38" t="str">
        <f>IF(OR(A282="Автомат",A282="Дифавтомат"),IF(W282="","",COUNTIFS(Однолинейка!$H$3:$H$3000,U282,Однолинейка!$A$3:$A$3000,Щит_спец)),IF(A282="Аппарат",IF(C282="","",COUNTIFS(Однолинейка!$I$3:$I$3000,C282,Однолинейка!$A$3:$A$3000,Щит_спец)+COUNTIFS(Однолинейка!$J$3:$J$3000,C282,Однолинейка!$A$3:$A$3000,Щит_спец)+COUNTIFS(Однолинейка!$K$3:$K$3000,C282,Однолинейка!$A$3:$A$3000,Щит_спец)),IF(A282="Модуль",IF(C282="","",COUNTIFS(Однолинейка!$AW$3:$AW$3000,"?*",Однолинейка!$AI$3:$AI$3000,C282,Однолинейка!$A$3:$A$3000,Щит_спец)),IF(A282="Клемма",IF(C282="","",IF(C282=$S$7,SUMIFS(Однолинейка!$BW$3:$BW$3000,Однолинейка!$A$3:$A$3000,Щит_спец),IF(C282=$S$8,SUMIFS(Однолинейка!$BX$3:$BX$3000,Однолинейка!$A$3:$A$3000,Щит_спец),""))),""))))</f>
        <v/>
      </c>
      <c r="O282" s="74"/>
      <c r="P282" s="38" t="str">
        <f t="shared" si="36"/>
        <v/>
      </c>
      <c r="U282" s="38" t="str">
        <f t="shared" si="37"/>
        <v/>
      </c>
      <c r="V282" s="38" t="str">
        <f t="shared" si="38"/>
        <v/>
      </c>
      <c r="W282" s="38" t="str">
        <f>IF(AND(U282&lt;&gt;"",OR($S$4="(все)",B282=$S$4),IF($S$4="(все)",COUNTIF($U$4:U282,U282),COUNTIFS($U$4:U282,U282,$B$4:B282,B282))=1),MAX($W$3:W281)+1,"")</f>
        <v/>
      </c>
      <c r="X282" s="38" t="str">
        <f t="shared" si="39"/>
        <v/>
      </c>
      <c r="Y282" s="38" t="str">
        <f>IF(AND(A282="Аппарат",C282&lt;&gt;"",OR($S$5="(все)",B282=$S$5)),MAX($Y$3:Y281)+1,"")</f>
        <v/>
      </c>
      <c r="Z282" s="38" t="str">
        <f t="shared" si="40"/>
        <v/>
      </c>
      <c r="AA282" s="38" t="str">
        <f>IF(AND(A282="Модуль",C282&lt;&gt;"",OR($S$6="(все)",B282=$S$6)),MAX($AA$3:AA281)+1,"")</f>
        <v/>
      </c>
      <c r="AB282" s="38" t="str">
        <f t="shared" si="41"/>
        <v/>
      </c>
      <c r="AC282" s="38" t="str">
        <f>IF(OR(B282="",COUNTIF($B$4:B282,B282)&gt;1),"",MAX($AC$3:AC281)+1)</f>
        <v/>
      </c>
      <c r="AD282" s="38" t="str">
        <f t="shared" si="42"/>
        <v/>
      </c>
      <c r="AE282" s="38" t="str">
        <f t="shared" si="43"/>
        <v/>
      </c>
      <c r="AF282" s="38" t="str">
        <f t="shared" si="44"/>
        <v/>
      </c>
    </row>
    <row r="283" spans="1:32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38" t="str">
        <f>IF(OR(A283="Автомат",A283="Дифавтомат"),IF(W283="","",COUNTIFS(Однолинейка!$H$3:$H$3000,U283,Однолинейка!$A$3:$A$3000,Щит_спец)),IF(A283="Аппарат",IF(C283="","",COUNTIFS(Однолинейка!$I$3:$I$3000,C283,Однолинейка!$A$3:$A$3000,Щит_спец)+COUNTIFS(Однолинейка!$J$3:$J$3000,C283,Однолинейка!$A$3:$A$3000,Щит_спец)+COUNTIFS(Однолинейка!$K$3:$K$3000,C283,Однолинейка!$A$3:$A$3000,Щит_спец)),IF(A283="Модуль",IF(C283="","",COUNTIFS(Однолинейка!$AW$3:$AW$3000,"?*",Однолинейка!$AI$3:$AI$3000,C283,Однолинейка!$A$3:$A$3000,Щит_спец)),IF(A283="Клемма",IF(C283="","",IF(C283=$S$7,SUMIFS(Однолинейка!$BW$3:$BW$3000,Однолинейка!$A$3:$A$3000,Щит_спец),IF(C283=$S$8,SUMIFS(Однолинейка!$BX$3:$BX$3000,Однолинейка!$A$3:$A$3000,Щит_спец),""))),""))))</f>
        <v/>
      </c>
      <c r="O283" s="74"/>
      <c r="P283" s="38" t="str">
        <f t="shared" si="36"/>
        <v/>
      </c>
      <c r="U283" s="38" t="str">
        <f t="shared" si="37"/>
        <v/>
      </c>
      <c r="V283" s="38" t="str">
        <f t="shared" si="38"/>
        <v/>
      </c>
      <c r="W283" s="38" t="str">
        <f>IF(AND(U283&lt;&gt;"",OR($S$4="(все)",B283=$S$4),IF($S$4="(все)",COUNTIF($U$4:U283,U283),COUNTIFS($U$4:U283,U283,$B$4:B283,B283))=1),MAX($W$3:W282)+1,"")</f>
        <v/>
      </c>
      <c r="X283" s="38" t="str">
        <f t="shared" si="39"/>
        <v/>
      </c>
      <c r="Y283" s="38" t="str">
        <f>IF(AND(A283="Аппарат",C283&lt;&gt;"",OR($S$5="(все)",B283=$S$5)),MAX($Y$3:Y282)+1,"")</f>
        <v/>
      </c>
      <c r="Z283" s="38" t="str">
        <f t="shared" si="40"/>
        <v/>
      </c>
      <c r="AA283" s="38" t="str">
        <f>IF(AND(A283="Модуль",C283&lt;&gt;"",OR($S$6="(все)",B283=$S$6)),MAX($AA$3:AA282)+1,"")</f>
        <v/>
      </c>
      <c r="AB283" s="38" t="str">
        <f t="shared" si="41"/>
        <v/>
      </c>
      <c r="AC283" s="38" t="str">
        <f>IF(OR(B283="",COUNTIF($B$4:B283,B283)&gt;1),"",MAX($AC$3:AC282)+1)</f>
        <v/>
      </c>
      <c r="AD283" s="38" t="str">
        <f t="shared" si="42"/>
        <v/>
      </c>
      <c r="AE283" s="38" t="str">
        <f t="shared" si="43"/>
        <v/>
      </c>
      <c r="AF283" s="38" t="str">
        <f t="shared" si="44"/>
        <v/>
      </c>
    </row>
    <row r="284" spans="1:32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38" t="str">
        <f>IF(OR(A284="Автомат",A284="Дифавтомат"),IF(W284="","",COUNTIFS(Однолинейка!$H$3:$H$3000,U284,Однолинейка!$A$3:$A$3000,Щит_спец)),IF(A284="Аппарат",IF(C284="","",COUNTIFS(Однолинейка!$I$3:$I$3000,C284,Однолинейка!$A$3:$A$3000,Щит_спец)+COUNTIFS(Однолинейка!$J$3:$J$3000,C284,Однолинейка!$A$3:$A$3000,Щит_спец)+COUNTIFS(Однолинейка!$K$3:$K$3000,C284,Однолинейка!$A$3:$A$3000,Щит_спец)),IF(A284="Модуль",IF(C284="","",COUNTIFS(Однолинейка!$AW$3:$AW$3000,"?*",Однолинейка!$AI$3:$AI$3000,C284,Однолинейка!$A$3:$A$3000,Щит_спец)),IF(A284="Клемма",IF(C284="","",IF(C284=$S$7,SUMIFS(Однолинейка!$BW$3:$BW$3000,Однолинейка!$A$3:$A$3000,Щит_спец),IF(C284=$S$8,SUMIFS(Однолинейка!$BX$3:$BX$3000,Однолинейка!$A$3:$A$3000,Щит_спец),""))),""))))</f>
        <v/>
      </c>
      <c r="O284" s="74"/>
      <c r="P284" s="38" t="str">
        <f t="shared" si="36"/>
        <v/>
      </c>
      <c r="U284" s="38" t="str">
        <f t="shared" si="37"/>
        <v/>
      </c>
      <c r="V284" s="38" t="str">
        <f t="shared" si="38"/>
        <v/>
      </c>
      <c r="W284" s="38" t="str">
        <f>IF(AND(U284&lt;&gt;"",OR($S$4="(все)",B284=$S$4),IF($S$4="(все)",COUNTIF($U$4:U284,U284),COUNTIFS($U$4:U284,U284,$B$4:B284,B284))=1),MAX($W$3:W283)+1,"")</f>
        <v/>
      </c>
      <c r="X284" s="38" t="str">
        <f t="shared" si="39"/>
        <v/>
      </c>
      <c r="Y284" s="38" t="str">
        <f>IF(AND(A284="Аппарат",C284&lt;&gt;"",OR($S$5="(все)",B284=$S$5)),MAX($Y$3:Y283)+1,"")</f>
        <v/>
      </c>
      <c r="Z284" s="38" t="str">
        <f t="shared" si="40"/>
        <v/>
      </c>
      <c r="AA284" s="38" t="str">
        <f>IF(AND(A284="Модуль",C284&lt;&gt;"",OR($S$6="(все)",B284=$S$6)),MAX($AA$3:AA283)+1,"")</f>
        <v/>
      </c>
      <c r="AB284" s="38" t="str">
        <f t="shared" si="41"/>
        <v/>
      </c>
      <c r="AC284" s="38" t="str">
        <f>IF(OR(B284="",COUNTIF($B$4:B284,B284)&gt;1),"",MAX($AC$3:AC283)+1)</f>
        <v/>
      </c>
      <c r="AD284" s="38" t="str">
        <f t="shared" si="42"/>
        <v/>
      </c>
      <c r="AE284" s="38" t="str">
        <f t="shared" si="43"/>
        <v/>
      </c>
      <c r="AF284" s="38" t="str">
        <f t="shared" si="44"/>
        <v/>
      </c>
    </row>
    <row r="285" spans="1:32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38" t="str">
        <f>IF(OR(A285="Автомат",A285="Дифавтомат"),IF(W285="","",COUNTIFS(Однолинейка!$H$3:$H$3000,U285,Однолинейка!$A$3:$A$3000,Щит_спец)),IF(A285="Аппарат",IF(C285="","",COUNTIFS(Однолинейка!$I$3:$I$3000,C285,Однолинейка!$A$3:$A$3000,Щит_спец)+COUNTIFS(Однолинейка!$J$3:$J$3000,C285,Однолинейка!$A$3:$A$3000,Щит_спец)+COUNTIFS(Однолинейка!$K$3:$K$3000,C285,Однолинейка!$A$3:$A$3000,Щит_спец)),IF(A285="Модуль",IF(C285="","",COUNTIFS(Однолинейка!$AW$3:$AW$3000,"?*",Однолинейка!$AI$3:$AI$3000,C285,Однолинейка!$A$3:$A$3000,Щит_спец)),IF(A285="Клемма",IF(C285="","",IF(C285=$S$7,SUMIFS(Однолинейка!$BW$3:$BW$3000,Однолинейка!$A$3:$A$3000,Щит_спец),IF(C285=$S$8,SUMIFS(Однолинейка!$BX$3:$BX$3000,Однолинейка!$A$3:$A$3000,Щит_спец),""))),""))))</f>
        <v/>
      </c>
      <c r="O285" s="74"/>
      <c r="P285" s="38" t="str">
        <f t="shared" si="36"/>
        <v/>
      </c>
      <c r="U285" s="38" t="str">
        <f t="shared" si="37"/>
        <v/>
      </c>
      <c r="V285" s="38" t="str">
        <f t="shared" si="38"/>
        <v/>
      </c>
      <c r="W285" s="38" t="str">
        <f>IF(AND(U285&lt;&gt;"",OR($S$4="(все)",B285=$S$4),IF($S$4="(все)",COUNTIF($U$4:U285,U285),COUNTIFS($U$4:U285,U285,$B$4:B285,B285))=1),MAX($W$3:W284)+1,"")</f>
        <v/>
      </c>
      <c r="X285" s="38" t="str">
        <f t="shared" si="39"/>
        <v/>
      </c>
      <c r="Y285" s="38" t="str">
        <f>IF(AND(A285="Аппарат",C285&lt;&gt;"",OR($S$5="(все)",B285=$S$5)),MAX($Y$3:Y284)+1,"")</f>
        <v/>
      </c>
      <c r="Z285" s="38" t="str">
        <f t="shared" si="40"/>
        <v/>
      </c>
      <c r="AA285" s="38" t="str">
        <f>IF(AND(A285="Модуль",C285&lt;&gt;"",OR($S$6="(все)",B285=$S$6)),MAX($AA$3:AA284)+1,"")</f>
        <v/>
      </c>
      <c r="AB285" s="38" t="str">
        <f t="shared" si="41"/>
        <v/>
      </c>
      <c r="AC285" s="38" t="str">
        <f>IF(OR(B285="",COUNTIF($B$4:B285,B285)&gt;1),"",MAX($AC$3:AC284)+1)</f>
        <v/>
      </c>
      <c r="AD285" s="38" t="str">
        <f t="shared" si="42"/>
        <v/>
      </c>
      <c r="AE285" s="38" t="str">
        <f t="shared" si="43"/>
        <v/>
      </c>
      <c r="AF285" s="38" t="str">
        <f t="shared" si="44"/>
        <v/>
      </c>
    </row>
    <row r="286" spans="1:32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38" t="str">
        <f>IF(OR(A286="Автомат",A286="Дифавтомат"),IF(W286="","",COUNTIFS(Однолинейка!$H$3:$H$3000,U286,Однолинейка!$A$3:$A$3000,Щит_спец)),IF(A286="Аппарат",IF(C286="","",COUNTIFS(Однолинейка!$I$3:$I$3000,C286,Однолинейка!$A$3:$A$3000,Щит_спец)+COUNTIFS(Однолинейка!$J$3:$J$3000,C286,Однолинейка!$A$3:$A$3000,Щит_спец)+COUNTIFS(Однолинейка!$K$3:$K$3000,C286,Однолинейка!$A$3:$A$3000,Щит_спец)),IF(A286="Модуль",IF(C286="","",COUNTIFS(Однолинейка!$AW$3:$AW$3000,"?*",Однолинейка!$AI$3:$AI$3000,C286,Однолинейка!$A$3:$A$3000,Щит_спец)),IF(A286="Клемма",IF(C286="","",IF(C286=$S$7,SUMIFS(Однолинейка!$BW$3:$BW$3000,Однолинейка!$A$3:$A$3000,Щит_спец),IF(C286=$S$8,SUMIFS(Однолинейка!$BX$3:$BX$3000,Однолинейка!$A$3:$A$3000,Щит_спец),""))),""))))</f>
        <v/>
      </c>
      <c r="O286" s="74"/>
      <c r="P286" s="38" t="str">
        <f t="shared" si="36"/>
        <v/>
      </c>
      <c r="U286" s="38" t="str">
        <f t="shared" si="37"/>
        <v/>
      </c>
      <c r="V286" s="38" t="str">
        <f t="shared" si="38"/>
        <v/>
      </c>
      <c r="W286" s="38" t="str">
        <f>IF(AND(U286&lt;&gt;"",OR($S$4="(все)",B286=$S$4),IF($S$4="(все)",COUNTIF($U$4:U286,U286),COUNTIFS($U$4:U286,U286,$B$4:B286,B286))=1),MAX($W$3:W285)+1,"")</f>
        <v/>
      </c>
      <c r="X286" s="38" t="str">
        <f t="shared" si="39"/>
        <v/>
      </c>
      <c r="Y286" s="38" t="str">
        <f>IF(AND(A286="Аппарат",C286&lt;&gt;"",OR($S$5="(все)",B286=$S$5)),MAX($Y$3:Y285)+1,"")</f>
        <v/>
      </c>
      <c r="Z286" s="38" t="str">
        <f t="shared" si="40"/>
        <v/>
      </c>
      <c r="AA286" s="38" t="str">
        <f>IF(AND(A286="Модуль",C286&lt;&gt;"",OR($S$6="(все)",B286=$S$6)),MAX($AA$3:AA285)+1,"")</f>
        <v/>
      </c>
      <c r="AB286" s="38" t="str">
        <f t="shared" si="41"/>
        <v/>
      </c>
      <c r="AC286" s="38" t="str">
        <f>IF(OR(B286="",COUNTIF($B$4:B286,B286)&gt;1),"",MAX($AC$3:AC285)+1)</f>
        <v/>
      </c>
      <c r="AD286" s="38" t="str">
        <f t="shared" si="42"/>
        <v/>
      </c>
      <c r="AE286" s="38" t="str">
        <f t="shared" si="43"/>
        <v/>
      </c>
      <c r="AF286" s="38" t="str">
        <f t="shared" si="44"/>
        <v/>
      </c>
    </row>
    <row r="287" spans="1:32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38" t="str">
        <f>IF(OR(A287="Автомат",A287="Дифавтомат"),IF(W287="","",COUNTIFS(Однолинейка!$H$3:$H$3000,U287,Однолинейка!$A$3:$A$3000,Щит_спец)),IF(A287="Аппарат",IF(C287="","",COUNTIFS(Однолинейка!$I$3:$I$3000,C287,Однолинейка!$A$3:$A$3000,Щит_спец)+COUNTIFS(Однолинейка!$J$3:$J$3000,C287,Однолинейка!$A$3:$A$3000,Щит_спец)+COUNTIFS(Однолинейка!$K$3:$K$3000,C287,Однолинейка!$A$3:$A$3000,Щит_спец)),IF(A287="Модуль",IF(C287="","",COUNTIFS(Однолинейка!$AW$3:$AW$3000,"?*",Однолинейка!$AI$3:$AI$3000,C287,Однолинейка!$A$3:$A$3000,Щит_спец)),IF(A287="Клемма",IF(C287="","",IF(C287=$S$7,SUMIFS(Однолинейка!$BW$3:$BW$3000,Однолинейка!$A$3:$A$3000,Щит_спец),IF(C287=$S$8,SUMIFS(Однолинейка!$BX$3:$BX$3000,Однолинейка!$A$3:$A$3000,Щит_спец),""))),""))))</f>
        <v/>
      </c>
      <c r="O287" s="74"/>
      <c r="P287" s="38" t="str">
        <f t="shared" si="36"/>
        <v/>
      </c>
      <c r="U287" s="38" t="str">
        <f t="shared" si="37"/>
        <v/>
      </c>
      <c r="V287" s="38" t="str">
        <f t="shared" si="38"/>
        <v/>
      </c>
      <c r="W287" s="38" t="str">
        <f>IF(AND(U287&lt;&gt;"",OR($S$4="(все)",B287=$S$4),IF($S$4="(все)",COUNTIF($U$4:U287,U287),COUNTIFS($U$4:U287,U287,$B$4:B287,B287))=1),MAX($W$3:W286)+1,"")</f>
        <v/>
      </c>
      <c r="X287" s="38" t="str">
        <f t="shared" si="39"/>
        <v/>
      </c>
      <c r="Y287" s="38" t="str">
        <f>IF(AND(A287="Аппарат",C287&lt;&gt;"",OR($S$5="(все)",B287=$S$5)),MAX($Y$3:Y286)+1,"")</f>
        <v/>
      </c>
      <c r="Z287" s="38" t="str">
        <f t="shared" si="40"/>
        <v/>
      </c>
      <c r="AA287" s="38" t="str">
        <f>IF(AND(A287="Модуль",C287&lt;&gt;"",OR($S$6="(все)",B287=$S$6)),MAX($AA$3:AA286)+1,"")</f>
        <v/>
      </c>
      <c r="AB287" s="38" t="str">
        <f t="shared" si="41"/>
        <v/>
      </c>
      <c r="AC287" s="38" t="str">
        <f>IF(OR(B287="",COUNTIF($B$4:B287,B287)&gt;1),"",MAX($AC$3:AC286)+1)</f>
        <v/>
      </c>
      <c r="AD287" s="38" t="str">
        <f t="shared" si="42"/>
        <v/>
      </c>
      <c r="AE287" s="38" t="str">
        <f t="shared" si="43"/>
        <v/>
      </c>
      <c r="AF287" s="38" t="str">
        <f t="shared" si="44"/>
        <v/>
      </c>
    </row>
    <row r="288" spans="1:32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38" t="str">
        <f>IF(OR(A288="Автомат",A288="Дифавтомат"),IF(W288="","",COUNTIFS(Однолинейка!$H$3:$H$3000,U288,Однолинейка!$A$3:$A$3000,Щит_спец)),IF(A288="Аппарат",IF(C288="","",COUNTIFS(Однолинейка!$I$3:$I$3000,C288,Однолинейка!$A$3:$A$3000,Щит_спец)+COUNTIFS(Однолинейка!$J$3:$J$3000,C288,Однолинейка!$A$3:$A$3000,Щит_спец)+COUNTIFS(Однолинейка!$K$3:$K$3000,C288,Однолинейка!$A$3:$A$3000,Щит_спец)),IF(A288="Модуль",IF(C288="","",COUNTIFS(Однолинейка!$AW$3:$AW$3000,"?*",Однолинейка!$AI$3:$AI$3000,C288,Однолинейка!$A$3:$A$3000,Щит_спец)),IF(A288="Клемма",IF(C288="","",IF(C288=$S$7,SUMIFS(Однолинейка!$BW$3:$BW$3000,Однолинейка!$A$3:$A$3000,Щит_спец),IF(C288=$S$8,SUMIFS(Однолинейка!$BX$3:$BX$3000,Однолинейка!$A$3:$A$3000,Щит_спец),""))),""))))</f>
        <v/>
      </c>
      <c r="O288" s="74"/>
      <c r="P288" s="38" t="str">
        <f t="shared" si="36"/>
        <v/>
      </c>
      <c r="U288" s="38" t="str">
        <f t="shared" si="37"/>
        <v/>
      </c>
      <c r="V288" s="38" t="str">
        <f t="shared" si="38"/>
        <v/>
      </c>
      <c r="W288" s="38" t="str">
        <f>IF(AND(U288&lt;&gt;"",OR($S$4="(все)",B288=$S$4),IF($S$4="(все)",COUNTIF($U$4:U288,U288),COUNTIFS($U$4:U288,U288,$B$4:B288,B288))=1),MAX($W$3:W287)+1,"")</f>
        <v/>
      </c>
      <c r="X288" s="38" t="str">
        <f t="shared" si="39"/>
        <v/>
      </c>
      <c r="Y288" s="38" t="str">
        <f>IF(AND(A288="Аппарат",C288&lt;&gt;"",OR($S$5="(все)",B288=$S$5)),MAX($Y$3:Y287)+1,"")</f>
        <v/>
      </c>
      <c r="Z288" s="38" t="str">
        <f t="shared" si="40"/>
        <v/>
      </c>
      <c r="AA288" s="38" t="str">
        <f>IF(AND(A288="Модуль",C288&lt;&gt;"",OR($S$6="(все)",B288=$S$6)),MAX($AA$3:AA287)+1,"")</f>
        <v/>
      </c>
      <c r="AB288" s="38" t="str">
        <f t="shared" si="41"/>
        <v/>
      </c>
      <c r="AC288" s="38" t="str">
        <f>IF(OR(B288="",COUNTIF($B$4:B288,B288)&gt;1),"",MAX($AC$3:AC287)+1)</f>
        <v/>
      </c>
      <c r="AD288" s="38" t="str">
        <f t="shared" si="42"/>
        <v/>
      </c>
      <c r="AE288" s="38" t="str">
        <f t="shared" si="43"/>
        <v/>
      </c>
      <c r="AF288" s="38" t="str">
        <f t="shared" si="44"/>
        <v/>
      </c>
    </row>
    <row r="289" spans="1:32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38" t="str">
        <f>IF(OR(A289="Автомат",A289="Дифавтомат"),IF(W289="","",COUNTIFS(Однолинейка!$H$3:$H$3000,U289,Однолинейка!$A$3:$A$3000,Щит_спец)),IF(A289="Аппарат",IF(C289="","",COUNTIFS(Однолинейка!$I$3:$I$3000,C289,Однолинейка!$A$3:$A$3000,Щит_спец)+COUNTIFS(Однолинейка!$J$3:$J$3000,C289,Однолинейка!$A$3:$A$3000,Щит_спец)+COUNTIFS(Однолинейка!$K$3:$K$3000,C289,Однолинейка!$A$3:$A$3000,Щит_спец)),IF(A289="Модуль",IF(C289="","",COUNTIFS(Однолинейка!$AW$3:$AW$3000,"?*",Однолинейка!$AI$3:$AI$3000,C289,Однолинейка!$A$3:$A$3000,Щит_спец)),IF(A289="Клемма",IF(C289="","",IF(C289=$S$7,SUMIFS(Однолинейка!$BW$3:$BW$3000,Однолинейка!$A$3:$A$3000,Щит_спец),IF(C289=$S$8,SUMIFS(Однолинейка!$BX$3:$BX$3000,Однолинейка!$A$3:$A$3000,Щит_спец),""))),""))))</f>
        <v/>
      </c>
      <c r="O289" s="74"/>
      <c r="P289" s="38" t="str">
        <f t="shared" si="36"/>
        <v/>
      </c>
      <c r="U289" s="38" t="str">
        <f t="shared" si="37"/>
        <v/>
      </c>
      <c r="V289" s="38" t="str">
        <f t="shared" si="38"/>
        <v/>
      </c>
      <c r="W289" s="38" t="str">
        <f>IF(AND(U289&lt;&gt;"",OR($S$4="(все)",B289=$S$4),IF($S$4="(все)",COUNTIF($U$4:U289,U289),COUNTIFS($U$4:U289,U289,$B$4:B289,B289))=1),MAX($W$3:W288)+1,"")</f>
        <v/>
      </c>
      <c r="X289" s="38" t="str">
        <f t="shared" si="39"/>
        <v/>
      </c>
      <c r="Y289" s="38" t="str">
        <f>IF(AND(A289="Аппарат",C289&lt;&gt;"",OR($S$5="(все)",B289=$S$5)),MAX($Y$3:Y288)+1,"")</f>
        <v/>
      </c>
      <c r="Z289" s="38" t="str">
        <f t="shared" si="40"/>
        <v/>
      </c>
      <c r="AA289" s="38" t="str">
        <f>IF(AND(A289="Модуль",C289&lt;&gt;"",OR($S$6="(все)",B289=$S$6)),MAX($AA$3:AA288)+1,"")</f>
        <v/>
      </c>
      <c r="AB289" s="38" t="str">
        <f t="shared" si="41"/>
        <v/>
      </c>
      <c r="AC289" s="38" t="str">
        <f>IF(OR(B289="",COUNTIF($B$4:B289,B289)&gt;1),"",MAX($AC$3:AC288)+1)</f>
        <v/>
      </c>
      <c r="AD289" s="38" t="str">
        <f t="shared" si="42"/>
        <v/>
      </c>
      <c r="AE289" s="38" t="str">
        <f t="shared" si="43"/>
        <v/>
      </c>
      <c r="AF289" s="38" t="str">
        <f t="shared" si="44"/>
        <v/>
      </c>
    </row>
    <row r="290" spans="1:32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38" t="str">
        <f>IF(OR(A290="Автомат",A290="Дифавтомат"),IF(W290="","",COUNTIFS(Однолинейка!$H$3:$H$3000,U290,Однолинейка!$A$3:$A$3000,Щит_спец)),IF(A290="Аппарат",IF(C290="","",COUNTIFS(Однолинейка!$I$3:$I$3000,C290,Однолинейка!$A$3:$A$3000,Щит_спец)+COUNTIFS(Однолинейка!$J$3:$J$3000,C290,Однолинейка!$A$3:$A$3000,Щит_спец)+COUNTIFS(Однолинейка!$K$3:$K$3000,C290,Однолинейка!$A$3:$A$3000,Щит_спец)),IF(A290="Модуль",IF(C290="","",COUNTIFS(Однолинейка!$AW$3:$AW$3000,"?*",Однолинейка!$AI$3:$AI$3000,C290,Однолинейка!$A$3:$A$3000,Щит_спец)),IF(A290="Клемма",IF(C290="","",IF(C290=$S$7,SUMIFS(Однолинейка!$BW$3:$BW$3000,Однолинейка!$A$3:$A$3000,Щит_спец),IF(C290=$S$8,SUMIFS(Однолинейка!$BX$3:$BX$3000,Однолинейка!$A$3:$A$3000,Щит_спец),""))),""))))</f>
        <v/>
      </c>
      <c r="O290" s="74"/>
      <c r="P290" s="38" t="str">
        <f t="shared" si="36"/>
        <v/>
      </c>
      <c r="U290" s="38" t="str">
        <f t="shared" si="37"/>
        <v/>
      </c>
      <c r="V290" s="38" t="str">
        <f t="shared" si="38"/>
        <v/>
      </c>
      <c r="W290" s="38" t="str">
        <f>IF(AND(U290&lt;&gt;"",OR($S$4="(все)",B290=$S$4),IF($S$4="(все)",COUNTIF($U$4:U290,U290),COUNTIFS($U$4:U290,U290,$B$4:B290,B290))=1),MAX($W$3:W289)+1,"")</f>
        <v/>
      </c>
      <c r="X290" s="38" t="str">
        <f t="shared" si="39"/>
        <v/>
      </c>
      <c r="Y290" s="38" t="str">
        <f>IF(AND(A290="Аппарат",C290&lt;&gt;"",OR($S$5="(все)",B290=$S$5)),MAX($Y$3:Y289)+1,"")</f>
        <v/>
      </c>
      <c r="Z290" s="38" t="str">
        <f t="shared" si="40"/>
        <v/>
      </c>
      <c r="AA290" s="38" t="str">
        <f>IF(AND(A290="Модуль",C290&lt;&gt;"",OR($S$6="(все)",B290=$S$6)),MAX($AA$3:AA289)+1,"")</f>
        <v/>
      </c>
      <c r="AB290" s="38" t="str">
        <f t="shared" si="41"/>
        <v/>
      </c>
      <c r="AC290" s="38" t="str">
        <f>IF(OR(B290="",COUNTIF($B$4:B290,B290)&gt;1),"",MAX($AC$3:AC289)+1)</f>
        <v/>
      </c>
      <c r="AD290" s="38" t="str">
        <f t="shared" si="42"/>
        <v/>
      </c>
      <c r="AE290" s="38" t="str">
        <f t="shared" si="43"/>
        <v/>
      </c>
      <c r="AF290" s="38" t="str">
        <f t="shared" si="44"/>
        <v/>
      </c>
    </row>
    <row r="291" spans="1:32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38" t="str">
        <f>IF(OR(A291="Автомат",A291="Дифавтомат"),IF(W291="","",COUNTIFS(Однолинейка!$H$3:$H$3000,U291,Однолинейка!$A$3:$A$3000,Щит_спец)),IF(A291="Аппарат",IF(C291="","",COUNTIFS(Однолинейка!$I$3:$I$3000,C291,Однолинейка!$A$3:$A$3000,Щит_спец)+COUNTIFS(Однолинейка!$J$3:$J$3000,C291,Однолинейка!$A$3:$A$3000,Щит_спец)+COUNTIFS(Однолинейка!$K$3:$K$3000,C291,Однолинейка!$A$3:$A$3000,Щит_спец)),IF(A291="Модуль",IF(C291="","",COUNTIFS(Однолинейка!$AW$3:$AW$3000,"?*",Однолинейка!$AI$3:$AI$3000,C291,Однолинейка!$A$3:$A$3000,Щит_спец)),IF(A291="Клемма",IF(C291="","",IF(C291=$S$7,SUMIFS(Однолинейка!$BW$3:$BW$3000,Однолинейка!$A$3:$A$3000,Щит_спец),IF(C291=$S$8,SUMIFS(Однолинейка!$BX$3:$BX$3000,Однолинейка!$A$3:$A$3000,Щит_спец),""))),""))))</f>
        <v/>
      </c>
      <c r="O291" s="74"/>
      <c r="P291" s="38" t="str">
        <f t="shared" si="36"/>
        <v/>
      </c>
      <c r="U291" s="38" t="str">
        <f t="shared" si="37"/>
        <v/>
      </c>
      <c r="V291" s="38" t="str">
        <f t="shared" si="38"/>
        <v/>
      </c>
      <c r="W291" s="38" t="str">
        <f>IF(AND(U291&lt;&gt;"",OR($S$4="(все)",B291=$S$4),IF($S$4="(все)",COUNTIF($U$4:U291,U291),COUNTIFS($U$4:U291,U291,$B$4:B291,B291))=1),MAX($W$3:W290)+1,"")</f>
        <v/>
      </c>
      <c r="X291" s="38" t="str">
        <f t="shared" si="39"/>
        <v/>
      </c>
      <c r="Y291" s="38" t="str">
        <f>IF(AND(A291="Аппарат",C291&lt;&gt;"",OR($S$5="(все)",B291=$S$5)),MAX($Y$3:Y290)+1,"")</f>
        <v/>
      </c>
      <c r="Z291" s="38" t="str">
        <f t="shared" si="40"/>
        <v/>
      </c>
      <c r="AA291" s="38" t="str">
        <f>IF(AND(A291="Модуль",C291&lt;&gt;"",OR($S$6="(все)",B291=$S$6)),MAX($AA$3:AA290)+1,"")</f>
        <v/>
      </c>
      <c r="AB291" s="38" t="str">
        <f t="shared" si="41"/>
        <v/>
      </c>
      <c r="AC291" s="38" t="str">
        <f>IF(OR(B291="",COUNTIF($B$4:B291,B291)&gt;1),"",MAX($AC$3:AC290)+1)</f>
        <v/>
      </c>
      <c r="AD291" s="38" t="str">
        <f t="shared" si="42"/>
        <v/>
      </c>
      <c r="AE291" s="38" t="str">
        <f t="shared" si="43"/>
        <v/>
      </c>
      <c r="AF291" s="38" t="str">
        <f t="shared" si="44"/>
        <v/>
      </c>
    </row>
    <row r="292" spans="1:32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38" t="str">
        <f>IF(OR(A292="Автомат",A292="Дифавтомат"),IF(W292="","",COUNTIFS(Однолинейка!$H$3:$H$3000,U292,Однолинейка!$A$3:$A$3000,Щит_спец)),IF(A292="Аппарат",IF(C292="","",COUNTIFS(Однолинейка!$I$3:$I$3000,C292,Однолинейка!$A$3:$A$3000,Щит_спец)+COUNTIFS(Однолинейка!$J$3:$J$3000,C292,Однолинейка!$A$3:$A$3000,Щит_спец)+COUNTIFS(Однолинейка!$K$3:$K$3000,C292,Однолинейка!$A$3:$A$3000,Щит_спец)),IF(A292="Модуль",IF(C292="","",COUNTIFS(Однолинейка!$AW$3:$AW$3000,"?*",Однолинейка!$AI$3:$AI$3000,C292,Однолинейка!$A$3:$A$3000,Щит_спец)),IF(A292="Клемма",IF(C292="","",IF(C292=$S$7,SUMIFS(Однолинейка!$BW$3:$BW$3000,Однолинейка!$A$3:$A$3000,Щит_спец),IF(C292=$S$8,SUMIFS(Однолинейка!$BX$3:$BX$3000,Однолинейка!$A$3:$A$3000,Щит_спец),""))),""))))</f>
        <v/>
      </c>
      <c r="O292" s="74"/>
      <c r="P292" s="38" t="str">
        <f t="shared" si="36"/>
        <v/>
      </c>
      <c r="U292" s="38" t="str">
        <f t="shared" si="37"/>
        <v/>
      </c>
      <c r="V292" s="38" t="str">
        <f t="shared" si="38"/>
        <v/>
      </c>
      <c r="W292" s="38" t="str">
        <f>IF(AND(U292&lt;&gt;"",OR($S$4="(все)",B292=$S$4),IF($S$4="(все)",COUNTIF($U$4:U292,U292),COUNTIFS($U$4:U292,U292,$B$4:B292,B292))=1),MAX($W$3:W291)+1,"")</f>
        <v/>
      </c>
      <c r="X292" s="38" t="str">
        <f t="shared" si="39"/>
        <v/>
      </c>
      <c r="Y292" s="38" t="str">
        <f>IF(AND(A292="Аппарат",C292&lt;&gt;"",OR($S$5="(все)",B292=$S$5)),MAX($Y$3:Y291)+1,"")</f>
        <v/>
      </c>
      <c r="Z292" s="38" t="str">
        <f t="shared" si="40"/>
        <v/>
      </c>
      <c r="AA292" s="38" t="str">
        <f>IF(AND(A292="Модуль",C292&lt;&gt;"",OR($S$6="(все)",B292=$S$6)),MAX($AA$3:AA291)+1,"")</f>
        <v/>
      </c>
      <c r="AB292" s="38" t="str">
        <f t="shared" si="41"/>
        <v/>
      </c>
      <c r="AC292" s="38" t="str">
        <f>IF(OR(B292="",COUNTIF($B$4:B292,B292)&gt;1),"",MAX($AC$3:AC291)+1)</f>
        <v/>
      </c>
      <c r="AD292" s="38" t="str">
        <f t="shared" si="42"/>
        <v/>
      </c>
      <c r="AE292" s="38" t="str">
        <f t="shared" si="43"/>
        <v/>
      </c>
      <c r="AF292" s="38" t="str">
        <f t="shared" si="44"/>
        <v/>
      </c>
    </row>
    <row r="293" spans="1:32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38" t="str">
        <f>IF(OR(A293="Автомат",A293="Дифавтомат"),IF(W293="","",COUNTIFS(Однолинейка!$H$3:$H$3000,U293,Однолинейка!$A$3:$A$3000,Щит_спец)),IF(A293="Аппарат",IF(C293="","",COUNTIFS(Однолинейка!$I$3:$I$3000,C293,Однолинейка!$A$3:$A$3000,Щит_спец)+COUNTIFS(Однолинейка!$J$3:$J$3000,C293,Однолинейка!$A$3:$A$3000,Щит_спец)+COUNTIFS(Однолинейка!$K$3:$K$3000,C293,Однолинейка!$A$3:$A$3000,Щит_спец)),IF(A293="Модуль",IF(C293="","",COUNTIFS(Однолинейка!$AW$3:$AW$3000,"?*",Однолинейка!$AI$3:$AI$3000,C293,Однолинейка!$A$3:$A$3000,Щит_спец)),IF(A293="Клемма",IF(C293="","",IF(C293=$S$7,SUMIFS(Однолинейка!$BW$3:$BW$3000,Однолинейка!$A$3:$A$3000,Щит_спец),IF(C293=$S$8,SUMIFS(Однолинейка!$BX$3:$BX$3000,Однолинейка!$A$3:$A$3000,Щит_спец),""))),""))))</f>
        <v/>
      </c>
      <c r="O293" s="74"/>
      <c r="P293" s="38" t="str">
        <f t="shared" si="36"/>
        <v/>
      </c>
      <c r="U293" s="38" t="str">
        <f t="shared" si="37"/>
        <v/>
      </c>
      <c r="V293" s="38" t="str">
        <f t="shared" si="38"/>
        <v/>
      </c>
      <c r="W293" s="38" t="str">
        <f>IF(AND(U293&lt;&gt;"",OR($S$4="(все)",B293=$S$4),IF($S$4="(все)",COUNTIF($U$4:U293,U293),COUNTIFS($U$4:U293,U293,$B$4:B293,B293))=1),MAX($W$3:W292)+1,"")</f>
        <v/>
      </c>
      <c r="X293" s="38" t="str">
        <f t="shared" si="39"/>
        <v/>
      </c>
      <c r="Y293" s="38" t="str">
        <f>IF(AND(A293="Аппарат",C293&lt;&gt;"",OR($S$5="(все)",B293=$S$5)),MAX($Y$3:Y292)+1,"")</f>
        <v/>
      </c>
      <c r="Z293" s="38" t="str">
        <f t="shared" si="40"/>
        <v/>
      </c>
      <c r="AA293" s="38" t="str">
        <f>IF(AND(A293="Модуль",C293&lt;&gt;"",OR($S$6="(все)",B293=$S$6)),MAX($AA$3:AA292)+1,"")</f>
        <v/>
      </c>
      <c r="AB293" s="38" t="str">
        <f t="shared" si="41"/>
        <v/>
      </c>
      <c r="AC293" s="38" t="str">
        <f>IF(OR(B293="",COUNTIF($B$4:B293,B293)&gt;1),"",MAX($AC$3:AC292)+1)</f>
        <v/>
      </c>
      <c r="AD293" s="38" t="str">
        <f t="shared" si="42"/>
        <v/>
      </c>
      <c r="AE293" s="38" t="str">
        <f t="shared" si="43"/>
        <v/>
      </c>
      <c r="AF293" s="38" t="str">
        <f t="shared" si="44"/>
        <v/>
      </c>
    </row>
    <row r="294" spans="1:32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38" t="str">
        <f>IF(OR(A294="Автомат",A294="Дифавтомат"),IF(W294="","",COUNTIFS(Однолинейка!$H$3:$H$3000,U294,Однолинейка!$A$3:$A$3000,Щит_спец)),IF(A294="Аппарат",IF(C294="","",COUNTIFS(Однолинейка!$I$3:$I$3000,C294,Однолинейка!$A$3:$A$3000,Щит_спец)+COUNTIFS(Однолинейка!$J$3:$J$3000,C294,Однолинейка!$A$3:$A$3000,Щит_спец)+COUNTIFS(Однолинейка!$K$3:$K$3000,C294,Однолинейка!$A$3:$A$3000,Щит_спец)),IF(A294="Модуль",IF(C294="","",COUNTIFS(Однолинейка!$AW$3:$AW$3000,"?*",Однолинейка!$AI$3:$AI$3000,C294,Однолинейка!$A$3:$A$3000,Щит_спец)),IF(A294="Клемма",IF(C294="","",IF(C294=$S$7,SUMIFS(Однолинейка!$BW$3:$BW$3000,Однолинейка!$A$3:$A$3000,Щит_спец),IF(C294=$S$8,SUMIFS(Однолинейка!$BX$3:$BX$3000,Однолинейка!$A$3:$A$3000,Щит_спец),""))),""))))</f>
        <v/>
      </c>
      <c r="O294" s="74"/>
      <c r="P294" s="38" t="str">
        <f t="shared" si="36"/>
        <v/>
      </c>
      <c r="U294" s="38" t="str">
        <f t="shared" si="37"/>
        <v/>
      </c>
      <c r="V294" s="38" t="str">
        <f t="shared" si="38"/>
        <v/>
      </c>
      <c r="W294" s="38" t="str">
        <f>IF(AND(U294&lt;&gt;"",OR($S$4="(все)",B294=$S$4),IF($S$4="(все)",COUNTIF($U$4:U294,U294),COUNTIFS($U$4:U294,U294,$B$4:B294,B294))=1),MAX($W$3:W293)+1,"")</f>
        <v/>
      </c>
      <c r="X294" s="38" t="str">
        <f t="shared" si="39"/>
        <v/>
      </c>
      <c r="Y294" s="38" t="str">
        <f>IF(AND(A294="Аппарат",C294&lt;&gt;"",OR($S$5="(все)",B294=$S$5)),MAX($Y$3:Y293)+1,"")</f>
        <v/>
      </c>
      <c r="Z294" s="38" t="str">
        <f t="shared" si="40"/>
        <v/>
      </c>
      <c r="AA294" s="38" t="str">
        <f>IF(AND(A294="Модуль",C294&lt;&gt;"",OR($S$6="(все)",B294=$S$6)),MAX($AA$3:AA293)+1,"")</f>
        <v/>
      </c>
      <c r="AB294" s="38" t="str">
        <f t="shared" si="41"/>
        <v/>
      </c>
      <c r="AC294" s="38" t="str">
        <f>IF(OR(B294="",COUNTIF($B$4:B294,B294)&gt;1),"",MAX($AC$3:AC293)+1)</f>
        <v/>
      </c>
      <c r="AD294" s="38" t="str">
        <f t="shared" si="42"/>
        <v/>
      </c>
      <c r="AE294" s="38" t="str">
        <f t="shared" si="43"/>
        <v/>
      </c>
      <c r="AF294" s="38" t="str">
        <f t="shared" si="44"/>
        <v/>
      </c>
    </row>
    <row r="295" spans="1:32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38" t="str">
        <f>IF(OR(A295="Автомат",A295="Дифавтомат"),IF(W295="","",COUNTIFS(Однолинейка!$H$3:$H$3000,U295,Однолинейка!$A$3:$A$3000,Щит_спец)),IF(A295="Аппарат",IF(C295="","",COUNTIFS(Однолинейка!$I$3:$I$3000,C295,Однолинейка!$A$3:$A$3000,Щит_спец)+COUNTIFS(Однолинейка!$J$3:$J$3000,C295,Однолинейка!$A$3:$A$3000,Щит_спец)+COUNTIFS(Однолинейка!$K$3:$K$3000,C295,Однолинейка!$A$3:$A$3000,Щит_спец)),IF(A295="Модуль",IF(C295="","",COUNTIFS(Однолинейка!$AW$3:$AW$3000,"?*",Однолинейка!$AI$3:$AI$3000,C295,Однолинейка!$A$3:$A$3000,Щит_спец)),IF(A295="Клемма",IF(C295="","",IF(C295=$S$7,SUMIFS(Однолинейка!$BW$3:$BW$3000,Однолинейка!$A$3:$A$3000,Щит_спец),IF(C295=$S$8,SUMIFS(Однолинейка!$BX$3:$BX$3000,Однолинейка!$A$3:$A$3000,Щит_спец),""))),""))))</f>
        <v/>
      </c>
      <c r="O295" s="74"/>
      <c r="P295" s="38" t="str">
        <f t="shared" si="36"/>
        <v/>
      </c>
      <c r="U295" s="38" t="str">
        <f t="shared" si="37"/>
        <v/>
      </c>
      <c r="V295" s="38" t="str">
        <f t="shared" si="38"/>
        <v/>
      </c>
      <c r="W295" s="38" t="str">
        <f>IF(AND(U295&lt;&gt;"",OR($S$4="(все)",B295=$S$4),IF($S$4="(все)",COUNTIF($U$4:U295,U295),COUNTIFS($U$4:U295,U295,$B$4:B295,B295))=1),MAX($W$3:W294)+1,"")</f>
        <v/>
      </c>
      <c r="X295" s="38" t="str">
        <f t="shared" si="39"/>
        <v/>
      </c>
      <c r="Y295" s="38" t="str">
        <f>IF(AND(A295="Аппарат",C295&lt;&gt;"",OR($S$5="(все)",B295=$S$5)),MAX($Y$3:Y294)+1,"")</f>
        <v/>
      </c>
      <c r="Z295" s="38" t="str">
        <f t="shared" si="40"/>
        <v/>
      </c>
      <c r="AA295" s="38" t="str">
        <f>IF(AND(A295="Модуль",C295&lt;&gt;"",OR($S$6="(все)",B295=$S$6)),MAX($AA$3:AA294)+1,"")</f>
        <v/>
      </c>
      <c r="AB295" s="38" t="str">
        <f t="shared" si="41"/>
        <v/>
      </c>
      <c r="AC295" s="38" t="str">
        <f>IF(OR(B295="",COUNTIF($B$4:B295,B295)&gt;1),"",MAX($AC$3:AC294)+1)</f>
        <v/>
      </c>
      <c r="AD295" s="38" t="str">
        <f t="shared" si="42"/>
        <v/>
      </c>
      <c r="AE295" s="38" t="str">
        <f t="shared" si="43"/>
        <v/>
      </c>
      <c r="AF295" s="38" t="str">
        <f t="shared" si="44"/>
        <v/>
      </c>
    </row>
    <row r="296" spans="1:32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38" t="str">
        <f>IF(OR(A296="Автомат",A296="Дифавтомат"),IF(W296="","",COUNTIFS(Однолинейка!$H$3:$H$3000,U296,Однолинейка!$A$3:$A$3000,Щит_спец)),IF(A296="Аппарат",IF(C296="","",COUNTIFS(Однолинейка!$I$3:$I$3000,C296,Однолинейка!$A$3:$A$3000,Щит_спец)+COUNTIFS(Однолинейка!$J$3:$J$3000,C296,Однолинейка!$A$3:$A$3000,Щит_спец)+COUNTIFS(Однолинейка!$K$3:$K$3000,C296,Однолинейка!$A$3:$A$3000,Щит_спец)),IF(A296="Модуль",IF(C296="","",COUNTIFS(Однолинейка!$AW$3:$AW$3000,"?*",Однолинейка!$AI$3:$AI$3000,C296,Однолинейка!$A$3:$A$3000,Щит_спец)),IF(A296="Клемма",IF(C296="","",IF(C296=$S$7,SUMIFS(Однолинейка!$BW$3:$BW$3000,Однолинейка!$A$3:$A$3000,Щит_спец),IF(C296=$S$8,SUMIFS(Однолинейка!$BX$3:$BX$3000,Однолинейка!$A$3:$A$3000,Щит_спец),""))),""))))</f>
        <v/>
      </c>
      <c r="O296" s="74"/>
      <c r="P296" s="38" t="str">
        <f t="shared" si="36"/>
        <v/>
      </c>
      <c r="U296" s="38" t="str">
        <f t="shared" si="37"/>
        <v/>
      </c>
      <c r="V296" s="38" t="str">
        <f t="shared" si="38"/>
        <v/>
      </c>
      <c r="W296" s="38" t="str">
        <f>IF(AND(U296&lt;&gt;"",OR($S$4="(все)",B296=$S$4),IF($S$4="(все)",COUNTIF($U$4:U296,U296),COUNTIFS($U$4:U296,U296,$B$4:B296,B296))=1),MAX($W$3:W295)+1,"")</f>
        <v/>
      </c>
      <c r="X296" s="38" t="str">
        <f t="shared" si="39"/>
        <v/>
      </c>
      <c r="Y296" s="38" t="str">
        <f>IF(AND(A296="Аппарат",C296&lt;&gt;"",OR($S$5="(все)",B296=$S$5)),MAX($Y$3:Y295)+1,"")</f>
        <v/>
      </c>
      <c r="Z296" s="38" t="str">
        <f t="shared" si="40"/>
        <v/>
      </c>
      <c r="AA296" s="38" t="str">
        <f>IF(AND(A296="Модуль",C296&lt;&gt;"",OR($S$6="(все)",B296=$S$6)),MAX($AA$3:AA295)+1,"")</f>
        <v/>
      </c>
      <c r="AB296" s="38" t="str">
        <f t="shared" si="41"/>
        <v/>
      </c>
      <c r="AC296" s="38" t="str">
        <f>IF(OR(B296="",COUNTIF($B$4:B296,B296)&gt;1),"",MAX($AC$3:AC295)+1)</f>
        <v/>
      </c>
      <c r="AD296" s="38" t="str">
        <f t="shared" si="42"/>
        <v/>
      </c>
      <c r="AE296" s="38" t="str">
        <f t="shared" si="43"/>
        <v/>
      </c>
      <c r="AF296" s="38" t="str">
        <f t="shared" si="44"/>
        <v/>
      </c>
    </row>
    <row r="297" spans="1:32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38" t="str">
        <f>IF(OR(A297="Автомат",A297="Дифавтомат"),IF(W297="","",COUNTIFS(Однолинейка!$H$3:$H$3000,U297,Однолинейка!$A$3:$A$3000,Щит_спец)),IF(A297="Аппарат",IF(C297="","",COUNTIFS(Однолинейка!$I$3:$I$3000,C297,Однолинейка!$A$3:$A$3000,Щит_спец)+COUNTIFS(Однолинейка!$J$3:$J$3000,C297,Однолинейка!$A$3:$A$3000,Щит_спец)+COUNTIFS(Однолинейка!$K$3:$K$3000,C297,Однолинейка!$A$3:$A$3000,Щит_спец)),IF(A297="Модуль",IF(C297="","",COUNTIFS(Однолинейка!$AW$3:$AW$3000,"?*",Однолинейка!$AI$3:$AI$3000,C297,Однолинейка!$A$3:$A$3000,Щит_спец)),IF(A297="Клемма",IF(C297="","",IF(C297=$S$7,SUMIFS(Однолинейка!$BW$3:$BW$3000,Однолинейка!$A$3:$A$3000,Щит_спец),IF(C297=$S$8,SUMIFS(Однолинейка!$BX$3:$BX$3000,Однолинейка!$A$3:$A$3000,Щит_спец),""))),""))))</f>
        <v/>
      </c>
      <c r="O297" s="74"/>
      <c r="P297" s="38" t="str">
        <f t="shared" si="36"/>
        <v/>
      </c>
      <c r="U297" s="38" t="str">
        <f t="shared" si="37"/>
        <v/>
      </c>
      <c r="V297" s="38" t="str">
        <f t="shared" si="38"/>
        <v/>
      </c>
      <c r="W297" s="38" t="str">
        <f>IF(AND(U297&lt;&gt;"",OR($S$4="(все)",B297=$S$4),IF($S$4="(все)",COUNTIF($U$4:U297,U297),COUNTIFS($U$4:U297,U297,$B$4:B297,B297))=1),MAX($W$3:W296)+1,"")</f>
        <v/>
      </c>
      <c r="X297" s="38" t="str">
        <f t="shared" si="39"/>
        <v/>
      </c>
      <c r="Y297" s="38" t="str">
        <f>IF(AND(A297="Аппарат",C297&lt;&gt;"",OR($S$5="(все)",B297=$S$5)),MAX($Y$3:Y296)+1,"")</f>
        <v/>
      </c>
      <c r="Z297" s="38" t="str">
        <f t="shared" si="40"/>
        <v/>
      </c>
      <c r="AA297" s="38" t="str">
        <f>IF(AND(A297="Модуль",C297&lt;&gt;"",OR($S$6="(все)",B297=$S$6)),MAX($AA$3:AA296)+1,"")</f>
        <v/>
      </c>
      <c r="AB297" s="38" t="str">
        <f t="shared" si="41"/>
        <v/>
      </c>
      <c r="AC297" s="38" t="str">
        <f>IF(OR(B297="",COUNTIF($B$4:B297,B297)&gt;1),"",MAX($AC$3:AC296)+1)</f>
        <v/>
      </c>
      <c r="AD297" s="38" t="str">
        <f t="shared" si="42"/>
        <v/>
      </c>
      <c r="AE297" s="38" t="str">
        <f t="shared" si="43"/>
        <v/>
      </c>
      <c r="AF297" s="38" t="str">
        <f t="shared" si="44"/>
        <v/>
      </c>
    </row>
    <row r="298" spans="1:32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38" t="str">
        <f>IF(OR(A298="Автомат",A298="Дифавтомат"),IF(W298="","",COUNTIFS(Однолинейка!$H$3:$H$3000,U298,Однолинейка!$A$3:$A$3000,Щит_спец)),IF(A298="Аппарат",IF(C298="","",COUNTIFS(Однолинейка!$I$3:$I$3000,C298,Однолинейка!$A$3:$A$3000,Щит_спец)+COUNTIFS(Однолинейка!$J$3:$J$3000,C298,Однолинейка!$A$3:$A$3000,Щит_спец)+COUNTIFS(Однолинейка!$K$3:$K$3000,C298,Однолинейка!$A$3:$A$3000,Щит_спец)),IF(A298="Модуль",IF(C298="","",COUNTIFS(Однолинейка!$AW$3:$AW$3000,"?*",Однолинейка!$AI$3:$AI$3000,C298,Однолинейка!$A$3:$A$3000,Щит_спец)),IF(A298="Клемма",IF(C298="","",IF(C298=$S$7,SUMIFS(Однолинейка!$BW$3:$BW$3000,Однолинейка!$A$3:$A$3000,Щит_спец),IF(C298=$S$8,SUMIFS(Однолинейка!$BX$3:$BX$3000,Однолинейка!$A$3:$A$3000,Щит_спец),""))),""))))</f>
        <v/>
      </c>
      <c r="O298" s="74"/>
      <c r="P298" s="38" t="str">
        <f t="shared" si="36"/>
        <v/>
      </c>
      <c r="U298" s="38" t="str">
        <f t="shared" si="37"/>
        <v/>
      </c>
      <c r="V298" s="38" t="str">
        <f t="shared" si="38"/>
        <v/>
      </c>
      <c r="W298" s="38" t="str">
        <f>IF(AND(U298&lt;&gt;"",OR($S$4="(все)",B298=$S$4),IF($S$4="(все)",COUNTIF($U$4:U298,U298),COUNTIFS($U$4:U298,U298,$B$4:B298,B298))=1),MAX($W$3:W297)+1,"")</f>
        <v/>
      </c>
      <c r="X298" s="38" t="str">
        <f t="shared" si="39"/>
        <v/>
      </c>
      <c r="Y298" s="38" t="str">
        <f>IF(AND(A298="Аппарат",C298&lt;&gt;"",OR($S$5="(все)",B298=$S$5)),MAX($Y$3:Y297)+1,"")</f>
        <v/>
      </c>
      <c r="Z298" s="38" t="str">
        <f t="shared" si="40"/>
        <v/>
      </c>
      <c r="AA298" s="38" t="str">
        <f>IF(AND(A298="Модуль",C298&lt;&gt;"",OR($S$6="(все)",B298=$S$6)),MAX($AA$3:AA297)+1,"")</f>
        <v/>
      </c>
      <c r="AB298" s="38" t="str">
        <f t="shared" si="41"/>
        <v/>
      </c>
      <c r="AC298" s="38" t="str">
        <f>IF(OR(B298="",COUNTIF($B$4:B298,B298)&gt;1),"",MAX($AC$3:AC297)+1)</f>
        <v/>
      </c>
      <c r="AD298" s="38" t="str">
        <f t="shared" si="42"/>
        <v/>
      </c>
      <c r="AE298" s="38" t="str">
        <f t="shared" si="43"/>
        <v/>
      </c>
      <c r="AF298" s="38" t="str">
        <f t="shared" si="44"/>
        <v/>
      </c>
    </row>
    <row r="299" spans="1:32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38" t="str">
        <f>IF(OR(A299="Автомат",A299="Дифавтомат"),IF(W299="","",COUNTIFS(Однолинейка!$H$3:$H$3000,U299,Однолинейка!$A$3:$A$3000,Щит_спец)),IF(A299="Аппарат",IF(C299="","",COUNTIFS(Однолинейка!$I$3:$I$3000,C299,Однолинейка!$A$3:$A$3000,Щит_спец)+COUNTIFS(Однолинейка!$J$3:$J$3000,C299,Однолинейка!$A$3:$A$3000,Щит_спец)+COUNTIFS(Однолинейка!$K$3:$K$3000,C299,Однолинейка!$A$3:$A$3000,Щит_спец)),IF(A299="Модуль",IF(C299="","",COUNTIFS(Однолинейка!$AW$3:$AW$3000,"?*",Однолинейка!$AI$3:$AI$3000,C299,Однолинейка!$A$3:$A$3000,Щит_спец)),IF(A299="Клемма",IF(C299="","",IF(C299=$S$7,SUMIFS(Однолинейка!$BW$3:$BW$3000,Однолинейка!$A$3:$A$3000,Щит_спец),IF(C299=$S$8,SUMIFS(Однолинейка!$BX$3:$BX$3000,Однолинейка!$A$3:$A$3000,Щит_спец),""))),""))))</f>
        <v/>
      </c>
      <c r="O299" s="74"/>
      <c r="P299" s="38" t="str">
        <f t="shared" si="36"/>
        <v/>
      </c>
      <c r="U299" s="38" t="str">
        <f t="shared" si="37"/>
        <v/>
      </c>
      <c r="V299" s="38" t="str">
        <f t="shared" si="38"/>
        <v/>
      </c>
      <c r="W299" s="38" t="str">
        <f>IF(AND(U299&lt;&gt;"",OR($S$4="(все)",B299=$S$4),IF($S$4="(все)",COUNTIF($U$4:U299,U299),COUNTIFS($U$4:U299,U299,$B$4:B299,B299))=1),MAX($W$3:W298)+1,"")</f>
        <v/>
      </c>
      <c r="X299" s="38" t="str">
        <f t="shared" si="39"/>
        <v/>
      </c>
      <c r="Y299" s="38" t="str">
        <f>IF(AND(A299="Аппарат",C299&lt;&gt;"",OR($S$5="(все)",B299=$S$5)),MAX($Y$3:Y298)+1,"")</f>
        <v/>
      </c>
      <c r="Z299" s="38" t="str">
        <f t="shared" si="40"/>
        <v/>
      </c>
      <c r="AA299" s="38" t="str">
        <f>IF(AND(A299="Модуль",C299&lt;&gt;"",OR($S$6="(все)",B299=$S$6)),MAX($AA$3:AA298)+1,"")</f>
        <v/>
      </c>
      <c r="AB299" s="38" t="str">
        <f t="shared" si="41"/>
        <v/>
      </c>
      <c r="AC299" s="38" t="str">
        <f>IF(OR(B299="",COUNTIF($B$4:B299,B299)&gt;1),"",MAX($AC$3:AC298)+1)</f>
        <v/>
      </c>
      <c r="AD299" s="38" t="str">
        <f t="shared" si="42"/>
        <v/>
      </c>
      <c r="AE299" s="38" t="str">
        <f t="shared" si="43"/>
        <v/>
      </c>
      <c r="AF299" s="38" t="str">
        <f t="shared" si="44"/>
        <v/>
      </c>
    </row>
    <row r="300" spans="1:32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38" t="str">
        <f>IF(OR(A300="Автомат",A300="Дифавтомат"),IF(W300="","",COUNTIFS(Однолинейка!$H$3:$H$3000,U300,Однолинейка!$A$3:$A$3000,Щит_спец)),IF(A300="Аппарат",IF(C300="","",COUNTIFS(Однолинейка!$I$3:$I$3000,C300,Однолинейка!$A$3:$A$3000,Щит_спец)+COUNTIFS(Однолинейка!$J$3:$J$3000,C300,Однолинейка!$A$3:$A$3000,Щит_спец)+COUNTIFS(Однолинейка!$K$3:$K$3000,C300,Однолинейка!$A$3:$A$3000,Щит_спец)),IF(A300="Модуль",IF(C300="","",COUNTIFS(Однолинейка!$AW$3:$AW$3000,"?*",Однолинейка!$AI$3:$AI$3000,C300,Однолинейка!$A$3:$A$3000,Щит_спец)),IF(A300="Клемма",IF(C300="","",IF(C300=$S$7,SUMIFS(Однолинейка!$BW$3:$BW$3000,Однолинейка!$A$3:$A$3000,Щит_спец),IF(C300=$S$8,SUMIFS(Однолинейка!$BX$3:$BX$3000,Однолинейка!$A$3:$A$3000,Щит_спец),""))),""))))</f>
        <v/>
      </c>
      <c r="O300" s="74"/>
      <c r="P300" s="38" t="str">
        <f t="shared" si="36"/>
        <v/>
      </c>
      <c r="U300" s="38" t="str">
        <f t="shared" si="37"/>
        <v/>
      </c>
      <c r="V300" s="38" t="str">
        <f t="shared" si="38"/>
        <v/>
      </c>
      <c r="W300" s="38" t="str">
        <f>IF(AND(U300&lt;&gt;"",OR($S$4="(все)",B300=$S$4),IF($S$4="(все)",COUNTIF($U$4:U300,U300),COUNTIFS($U$4:U300,U300,$B$4:B300,B300))=1),MAX($W$3:W299)+1,"")</f>
        <v/>
      </c>
      <c r="X300" s="38" t="str">
        <f t="shared" si="39"/>
        <v/>
      </c>
      <c r="Y300" s="38" t="str">
        <f>IF(AND(A300="Аппарат",C300&lt;&gt;"",OR($S$5="(все)",B300=$S$5)),MAX($Y$3:Y299)+1,"")</f>
        <v/>
      </c>
      <c r="Z300" s="38" t="str">
        <f t="shared" si="40"/>
        <v/>
      </c>
      <c r="AA300" s="38" t="str">
        <f>IF(AND(A300="Модуль",C300&lt;&gt;"",OR($S$6="(все)",B300=$S$6)),MAX($AA$3:AA299)+1,"")</f>
        <v/>
      </c>
      <c r="AB300" s="38" t="str">
        <f t="shared" si="41"/>
        <v/>
      </c>
      <c r="AC300" s="38" t="str">
        <f>IF(OR(B300="",COUNTIF($B$4:B300,B300)&gt;1),"",MAX($AC$3:AC299)+1)</f>
        <v/>
      </c>
      <c r="AD300" s="38" t="str">
        <f t="shared" si="42"/>
        <v/>
      </c>
      <c r="AE300" s="38" t="str">
        <f t="shared" si="43"/>
        <v/>
      </c>
      <c r="AF300" s="38" t="str">
        <f t="shared" si="44"/>
        <v/>
      </c>
    </row>
    <row r="301" spans="1:32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38" t="str">
        <f>IF(OR(A301="Автомат",A301="Дифавтомат"),IF(W301="","",COUNTIFS(Однолинейка!$H$3:$H$3000,U301,Однолинейка!$A$3:$A$3000,Щит_спец)),IF(A301="Аппарат",IF(C301="","",COUNTIFS(Однолинейка!$I$3:$I$3000,C301,Однолинейка!$A$3:$A$3000,Щит_спец)+COUNTIFS(Однолинейка!$J$3:$J$3000,C301,Однолинейка!$A$3:$A$3000,Щит_спец)+COUNTIFS(Однолинейка!$K$3:$K$3000,C301,Однолинейка!$A$3:$A$3000,Щит_спец)),IF(A301="Модуль",IF(C301="","",COUNTIFS(Однолинейка!$AW$3:$AW$3000,"?*",Однолинейка!$AI$3:$AI$3000,C301,Однолинейка!$A$3:$A$3000,Щит_спец)),IF(A301="Клемма",IF(C301="","",IF(C301=$S$7,SUMIFS(Однолинейка!$BW$3:$BW$3000,Однолинейка!$A$3:$A$3000,Щит_спец),IF(C301=$S$8,SUMIFS(Однолинейка!$BX$3:$BX$3000,Однолинейка!$A$3:$A$3000,Щит_спец),""))),""))))</f>
        <v/>
      </c>
      <c r="O301" s="74"/>
      <c r="P301" s="38" t="str">
        <f t="shared" si="36"/>
        <v/>
      </c>
      <c r="U301" s="38" t="str">
        <f t="shared" si="37"/>
        <v/>
      </c>
      <c r="V301" s="38" t="str">
        <f t="shared" si="38"/>
        <v/>
      </c>
      <c r="W301" s="38" t="str">
        <f>IF(AND(U301&lt;&gt;"",OR($S$4="(все)",B301=$S$4),IF($S$4="(все)",COUNTIF($U$4:U301,U301),COUNTIFS($U$4:U301,U301,$B$4:B301,B301))=1),MAX($W$3:W300)+1,"")</f>
        <v/>
      </c>
      <c r="X301" s="38" t="str">
        <f t="shared" si="39"/>
        <v/>
      </c>
      <c r="Y301" s="38" t="str">
        <f>IF(AND(A301="Аппарат",C301&lt;&gt;"",OR($S$5="(все)",B301=$S$5)),MAX($Y$3:Y300)+1,"")</f>
        <v/>
      </c>
      <c r="Z301" s="38" t="str">
        <f t="shared" si="40"/>
        <v/>
      </c>
      <c r="AA301" s="38" t="str">
        <f>IF(AND(A301="Модуль",C301&lt;&gt;"",OR($S$6="(все)",B301=$S$6)),MAX($AA$3:AA300)+1,"")</f>
        <v/>
      </c>
      <c r="AB301" s="38" t="str">
        <f t="shared" si="41"/>
        <v/>
      </c>
      <c r="AC301" s="38" t="str">
        <f>IF(OR(B301="",COUNTIF($B$4:B301,B301)&gt;1),"",MAX($AC$3:AC300)+1)</f>
        <v/>
      </c>
      <c r="AD301" s="38" t="str">
        <f t="shared" si="42"/>
        <v/>
      </c>
      <c r="AE301" s="38" t="str">
        <f t="shared" si="43"/>
        <v/>
      </c>
      <c r="AF301" s="38" t="str">
        <f t="shared" si="44"/>
        <v/>
      </c>
    </row>
    <row r="302" spans="1:32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38" t="str">
        <f>IF(OR(A302="Автомат",A302="Дифавтомат"),IF(W302="","",COUNTIFS(Однолинейка!$H$3:$H$3000,U302,Однолинейка!$A$3:$A$3000,Щит_спец)),IF(A302="Аппарат",IF(C302="","",COUNTIFS(Однолинейка!$I$3:$I$3000,C302,Однолинейка!$A$3:$A$3000,Щит_спец)+COUNTIFS(Однолинейка!$J$3:$J$3000,C302,Однолинейка!$A$3:$A$3000,Щит_спец)+COUNTIFS(Однолинейка!$K$3:$K$3000,C302,Однолинейка!$A$3:$A$3000,Щит_спец)),IF(A302="Модуль",IF(C302="","",COUNTIFS(Однолинейка!$AW$3:$AW$3000,"?*",Однолинейка!$AI$3:$AI$3000,C302,Однолинейка!$A$3:$A$3000,Щит_спец)),IF(A302="Клемма",IF(C302="","",IF(C302=$S$7,SUMIFS(Однолинейка!$BW$3:$BW$3000,Однолинейка!$A$3:$A$3000,Щит_спец),IF(C302=$S$8,SUMIFS(Однолинейка!$BX$3:$BX$3000,Однолинейка!$A$3:$A$3000,Щит_спец),""))),""))))</f>
        <v/>
      </c>
      <c r="O302" s="74"/>
      <c r="P302" s="38" t="str">
        <f t="shared" si="36"/>
        <v/>
      </c>
      <c r="U302" s="38" t="str">
        <f t="shared" si="37"/>
        <v/>
      </c>
      <c r="V302" s="38" t="str">
        <f t="shared" si="38"/>
        <v/>
      </c>
      <c r="W302" s="38" t="str">
        <f>IF(AND(U302&lt;&gt;"",OR($S$4="(все)",B302=$S$4),IF($S$4="(все)",COUNTIF($U$4:U302,U302),COUNTIFS($U$4:U302,U302,$B$4:B302,B302))=1),MAX($W$3:W301)+1,"")</f>
        <v/>
      </c>
      <c r="X302" s="38" t="str">
        <f t="shared" si="39"/>
        <v/>
      </c>
      <c r="Y302" s="38" t="str">
        <f>IF(AND(A302="Аппарат",C302&lt;&gt;"",OR($S$5="(все)",B302=$S$5)),MAX($Y$3:Y301)+1,"")</f>
        <v/>
      </c>
      <c r="Z302" s="38" t="str">
        <f t="shared" si="40"/>
        <v/>
      </c>
      <c r="AA302" s="38" t="str">
        <f>IF(AND(A302="Модуль",C302&lt;&gt;"",OR($S$6="(все)",B302=$S$6)),MAX($AA$3:AA301)+1,"")</f>
        <v/>
      </c>
      <c r="AB302" s="38" t="str">
        <f t="shared" si="41"/>
        <v/>
      </c>
      <c r="AC302" s="38" t="str">
        <f>IF(OR(B302="",COUNTIF($B$4:B302,B302)&gt;1),"",MAX($AC$3:AC301)+1)</f>
        <v/>
      </c>
      <c r="AD302" s="38" t="str">
        <f t="shared" si="42"/>
        <v/>
      </c>
      <c r="AE302" s="38" t="str">
        <f t="shared" si="43"/>
        <v/>
      </c>
      <c r="AF302" s="38" t="str">
        <f t="shared" si="44"/>
        <v/>
      </c>
    </row>
    <row r="303" spans="1:32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38" t="str">
        <f>IF(OR(A303="Автомат",A303="Дифавтомат"),IF(W303="","",COUNTIFS(Однолинейка!$H$3:$H$3000,U303,Однолинейка!$A$3:$A$3000,Щит_спец)),IF(A303="Аппарат",IF(C303="","",COUNTIFS(Однолинейка!$I$3:$I$3000,C303,Однолинейка!$A$3:$A$3000,Щит_спец)+COUNTIFS(Однолинейка!$J$3:$J$3000,C303,Однолинейка!$A$3:$A$3000,Щит_спец)+COUNTIFS(Однолинейка!$K$3:$K$3000,C303,Однолинейка!$A$3:$A$3000,Щит_спец)),IF(A303="Модуль",IF(C303="","",COUNTIFS(Однолинейка!$AW$3:$AW$3000,"?*",Однолинейка!$AI$3:$AI$3000,C303,Однолинейка!$A$3:$A$3000,Щит_спец)),IF(A303="Клемма",IF(C303="","",IF(C303=$S$7,SUMIFS(Однолинейка!$BW$3:$BW$3000,Однолинейка!$A$3:$A$3000,Щит_спец),IF(C303=$S$8,SUMIFS(Однолинейка!$BX$3:$BX$3000,Однолинейка!$A$3:$A$3000,Щит_спец),""))),""))))</f>
        <v/>
      </c>
      <c r="O303" s="74"/>
      <c r="P303" s="38" t="str">
        <f t="shared" si="36"/>
        <v/>
      </c>
      <c r="U303" s="38" t="str">
        <f t="shared" si="37"/>
        <v/>
      </c>
      <c r="V303" s="38" t="str">
        <f t="shared" si="38"/>
        <v/>
      </c>
      <c r="W303" s="38" t="str">
        <f>IF(AND(U303&lt;&gt;"",OR($S$4="(все)",B303=$S$4),IF($S$4="(все)",COUNTIF($U$4:U303,U303),COUNTIFS($U$4:U303,U303,$B$4:B303,B303))=1),MAX($W$3:W302)+1,"")</f>
        <v/>
      </c>
      <c r="X303" s="38" t="str">
        <f t="shared" si="39"/>
        <v/>
      </c>
      <c r="Y303" s="38" t="str">
        <f>IF(AND(A303="Аппарат",C303&lt;&gt;"",OR($S$5="(все)",B303=$S$5)),MAX($Y$3:Y302)+1,"")</f>
        <v/>
      </c>
      <c r="Z303" s="38" t="str">
        <f t="shared" si="40"/>
        <v/>
      </c>
      <c r="AA303" s="38" t="str">
        <f>IF(AND(A303="Модуль",C303&lt;&gt;"",OR($S$6="(все)",B303=$S$6)),MAX($AA$3:AA302)+1,"")</f>
        <v/>
      </c>
      <c r="AB303" s="38" t="str">
        <f t="shared" si="41"/>
        <v/>
      </c>
      <c r="AC303" s="38" t="str">
        <f>IF(OR(B303="",COUNTIF($B$4:B303,B303)&gt;1),"",MAX($AC$3:AC302)+1)</f>
        <v/>
      </c>
      <c r="AD303" s="38" t="str">
        <f t="shared" si="42"/>
        <v/>
      </c>
      <c r="AE303" s="38" t="str">
        <f t="shared" si="43"/>
        <v/>
      </c>
      <c r="AF303" s="38" t="str">
        <f t="shared" si="44"/>
        <v/>
      </c>
    </row>
    <row r="304" spans="1:32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38" t="str">
        <f>IF(OR(A304="Автомат",A304="Дифавтомат"),IF(W304="","",COUNTIFS(Однолинейка!$H$3:$H$3000,U304,Однолинейка!$A$3:$A$3000,Щит_спец)),IF(A304="Аппарат",IF(C304="","",COUNTIFS(Однолинейка!$I$3:$I$3000,C304,Однолинейка!$A$3:$A$3000,Щит_спец)+COUNTIFS(Однолинейка!$J$3:$J$3000,C304,Однолинейка!$A$3:$A$3000,Щит_спец)+COUNTIFS(Однолинейка!$K$3:$K$3000,C304,Однолинейка!$A$3:$A$3000,Щит_спец)),IF(A304="Модуль",IF(C304="","",COUNTIFS(Однолинейка!$AW$3:$AW$3000,"?*",Однолинейка!$AI$3:$AI$3000,C304,Однолинейка!$A$3:$A$3000,Щит_спец)),IF(A304="Клемма",IF(C304="","",IF(C304=$S$7,SUMIFS(Однолинейка!$BW$3:$BW$3000,Однолинейка!$A$3:$A$3000,Щит_спец),IF(C304=$S$8,SUMIFS(Однолинейка!$BX$3:$BX$3000,Однолинейка!$A$3:$A$3000,Щит_спец),""))),""))))</f>
        <v/>
      </c>
      <c r="O304" s="74"/>
      <c r="P304" s="38" t="str">
        <f t="shared" si="36"/>
        <v/>
      </c>
      <c r="U304" s="38" t="str">
        <f t="shared" si="37"/>
        <v/>
      </c>
      <c r="V304" s="38" t="str">
        <f t="shared" si="38"/>
        <v/>
      </c>
      <c r="W304" s="38" t="str">
        <f>IF(AND(U304&lt;&gt;"",OR($S$4="(все)",B304=$S$4),IF($S$4="(все)",COUNTIF($U$4:U304,U304),COUNTIFS($U$4:U304,U304,$B$4:B304,B304))=1),MAX($W$3:W303)+1,"")</f>
        <v/>
      </c>
      <c r="X304" s="38" t="str">
        <f t="shared" si="39"/>
        <v/>
      </c>
      <c r="Y304" s="38" t="str">
        <f>IF(AND(A304="Аппарат",C304&lt;&gt;"",OR($S$5="(все)",B304=$S$5)),MAX($Y$3:Y303)+1,"")</f>
        <v/>
      </c>
      <c r="Z304" s="38" t="str">
        <f t="shared" si="40"/>
        <v/>
      </c>
      <c r="AA304" s="38" t="str">
        <f>IF(AND(A304="Модуль",C304&lt;&gt;"",OR($S$6="(все)",B304=$S$6)),MAX($AA$3:AA303)+1,"")</f>
        <v/>
      </c>
      <c r="AB304" s="38" t="str">
        <f t="shared" si="41"/>
        <v/>
      </c>
      <c r="AC304" s="38" t="str">
        <f>IF(OR(B304="",COUNTIF($B$4:B304,B304)&gt;1),"",MAX($AC$3:AC303)+1)</f>
        <v/>
      </c>
      <c r="AD304" s="38" t="str">
        <f t="shared" si="42"/>
        <v/>
      </c>
      <c r="AE304" s="38" t="str">
        <f t="shared" si="43"/>
        <v/>
      </c>
      <c r="AF304" s="38" t="str">
        <f t="shared" si="44"/>
        <v/>
      </c>
    </row>
    <row r="305" spans="1:32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38" t="str">
        <f>IF(OR(A305="Автомат",A305="Дифавтомат"),IF(W305="","",COUNTIFS(Однолинейка!$H$3:$H$3000,U305,Однолинейка!$A$3:$A$3000,Щит_спец)),IF(A305="Аппарат",IF(C305="","",COUNTIFS(Однолинейка!$I$3:$I$3000,C305,Однолинейка!$A$3:$A$3000,Щит_спец)+COUNTIFS(Однолинейка!$J$3:$J$3000,C305,Однолинейка!$A$3:$A$3000,Щит_спец)+COUNTIFS(Однолинейка!$K$3:$K$3000,C305,Однолинейка!$A$3:$A$3000,Щит_спец)),IF(A305="Модуль",IF(C305="","",COUNTIFS(Однолинейка!$AW$3:$AW$3000,"?*",Однолинейка!$AI$3:$AI$3000,C305,Однолинейка!$A$3:$A$3000,Щит_спец)),IF(A305="Клемма",IF(C305="","",IF(C305=$S$7,SUMIFS(Однолинейка!$BW$3:$BW$3000,Однолинейка!$A$3:$A$3000,Щит_спец),IF(C305=$S$8,SUMIFS(Однолинейка!$BX$3:$BX$3000,Однолинейка!$A$3:$A$3000,Щит_спец),""))),""))))</f>
        <v/>
      </c>
      <c r="O305" s="74"/>
      <c r="P305" s="38" t="str">
        <f t="shared" si="36"/>
        <v/>
      </c>
      <c r="U305" s="38" t="str">
        <f t="shared" si="37"/>
        <v/>
      </c>
      <c r="V305" s="38" t="str">
        <f t="shared" si="38"/>
        <v/>
      </c>
      <c r="W305" s="38" t="str">
        <f>IF(AND(U305&lt;&gt;"",OR($S$4="(все)",B305=$S$4),IF($S$4="(все)",COUNTIF($U$4:U305,U305),COUNTIFS($U$4:U305,U305,$B$4:B305,B305))=1),MAX($W$3:W304)+1,"")</f>
        <v/>
      </c>
      <c r="X305" s="38" t="str">
        <f t="shared" si="39"/>
        <v/>
      </c>
      <c r="Y305" s="38" t="str">
        <f>IF(AND(A305="Аппарат",C305&lt;&gt;"",OR($S$5="(все)",B305=$S$5)),MAX($Y$3:Y304)+1,"")</f>
        <v/>
      </c>
      <c r="Z305" s="38" t="str">
        <f t="shared" si="40"/>
        <v/>
      </c>
      <c r="AA305" s="38" t="str">
        <f>IF(AND(A305="Модуль",C305&lt;&gt;"",OR($S$6="(все)",B305=$S$6)),MAX($AA$3:AA304)+1,"")</f>
        <v/>
      </c>
      <c r="AB305" s="38" t="str">
        <f t="shared" si="41"/>
        <v/>
      </c>
      <c r="AC305" s="38" t="str">
        <f>IF(OR(B305="",COUNTIF($B$4:B305,B305)&gt;1),"",MAX($AC$3:AC304)+1)</f>
        <v/>
      </c>
      <c r="AD305" s="38" t="str">
        <f t="shared" si="42"/>
        <v/>
      </c>
      <c r="AE305" s="38" t="str">
        <f t="shared" si="43"/>
        <v/>
      </c>
      <c r="AF305" s="38" t="str">
        <f t="shared" si="44"/>
        <v/>
      </c>
    </row>
    <row r="306" spans="1:32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38" t="str">
        <f>IF(OR(A306="Автомат",A306="Дифавтомат"),IF(W306="","",COUNTIFS(Однолинейка!$H$3:$H$3000,U306,Однолинейка!$A$3:$A$3000,Щит_спец)),IF(A306="Аппарат",IF(C306="","",COUNTIFS(Однолинейка!$I$3:$I$3000,C306,Однолинейка!$A$3:$A$3000,Щит_спец)+COUNTIFS(Однолинейка!$J$3:$J$3000,C306,Однолинейка!$A$3:$A$3000,Щит_спец)+COUNTIFS(Однолинейка!$K$3:$K$3000,C306,Однолинейка!$A$3:$A$3000,Щит_спец)),IF(A306="Модуль",IF(C306="","",COUNTIFS(Однолинейка!$AW$3:$AW$3000,"?*",Однолинейка!$AI$3:$AI$3000,C306,Однолинейка!$A$3:$A$3000,Щит_спец)),IF(A306="Клемма",IF(C306="","",IF(C306=$S$7,SUMIFS(Однолинейка!$BW$3:$BW$3000,Однолинейка!$A$3:$A$3000,Щит_спец),IF(C306=$S$8,SUMIFS(Однолинейка!$BX$3:$BX$3000,Однолинейка!$A$3:$A$3000,Щит_спец),""))),""))))</f>
        <v/>
      </c>
      <c r="O306" s="74"/>
      <c r="P306" s="38" t="str">
        <f t="shared" si="36"/>
        <v/>
      </c>
      <c r="U306" s="38" t="str">
        <f t="shared" si="37"/>
        <v/>
      </c>
      <c r="V306" s="38" t="str">
        <f t="shared" si="38"/>
        <v/>
      </c>
      <c r="W306" s="38" t="str">
        <f>IF(AND(U306&lt;&gt;"",OR($S$4="(все)",B306=$S$4),IF($S$4="(все)",COUNTIF($U$4:U306,U306),COUNTIFS($U$4:U306,U306,$B$4:B306,B306))=1),MAX($W$3:W305)+1,"")</f>
        <v/>
      </c>
      <c r="X306" s="38" t="str">
        <f t="shared" si="39"/>
        <v/>
      </c>
      <c r="Y306" s="38" t="str">
        <f>IF(AND(A306="Аппарат",C306&lt;&gt;"",OR($S$5="(все)",B306=$S$5)),MAX($Y$3:Y305)+1,"")</f>
        <v/>
      </c>
      <c r="Z306" s="38" t="str">
        <f t="shared" si="40"/>
        <v/>
      </c>
      <c r="AA306" s="38" t="str">
        <f>IF(AND(A306="Модуль",C306&lt;&gt;"",OR($S$6="(все)",B306=$S$6)),MAX($AA$3:AA305)+1,"")</f>
        <v/>
      </c>
      <c r="AB306" s="38" t="str">
        <f t="shared" si="41"/>
        <v/>
      </c>
      <c r="AC306" s="38" t="str">
        <f>IF(OR(B306="",COUNTIF($B$4:B306,B306)&gt;1),"",MAX($AC$3:AC305)+1)</f>
        <v/>
      </c>
      <c r="AD306" s="38" t="str">
        <f t="shared" si="42"/>
        <v/>
      </c>
      <c r="AE306" s="38" t="str">
        <f t="shared" si="43"/>
        <v/>
      </c>
      <c r="AF306" s="38" t="str">
        <f t="shared" si="44"/>
        <v/>
      </c>
    </row>
    <row r="307" spans="1:32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38" t="str">
        <f>IF(OR(A307="Автомат",A307="Дифавтомат"),IF(W307="","",COUNTIFS(Однолинейка!$H$3:$H$3000,U307,Однолинейка!$A$3:$A$3000,Щит_спец)),IF(A307="Аппарат",IF(C307="","",COUNTIFS(Однолинейка!$I$3:$I$3000,C307,Однолинейка!$A$3:$A$3000,Щит_спец)+COUNTIFS(Однолинейка!$J$3:$J$3000,C307,Однолинейка!$A$3:$A$3000,Щит_спец)+COUNTIFS(Однолинейка!$K$3:$K$3000,C307,Однолинейка!$A$3:$A$3000,Щит_спец)),IF(A307="Модуль",IF(C307="","",COUNTIFS(Однолинейка!$AW$3:$AW$3000,"?*",Однолинейка!$AI$3:$AI$3000,C307,Однолинейка!$A$3:$A$3000,Щит_спец)),IF(A307="Клемма",IF(C307="","",IF(C307=$S$7,SUMIFS(Однолинейка!$BW$3:$BW$3000,Однолинейка!$A$3:$A$3000,Щит_спец),IF(C307=$S$8,SUMIFS(Однолинейка!$BX$3:$BX$3000,Однолинейка!$A$3:$A$3000,Щит_спец),""))),""))))</f>
        <v/>
      </c>
      <c r="O307" s="74"/>
      <c r="P307" s="38" t="str">
        <f t="shared" si="36"/>
        <v/>
      </c>
      <c r="U307" s="38" t="str">
        <f t="shared" si="37"/>
        <v/>
      </c>
      <c r="V307" s="38" t="str">
        <f t="shared" si="38"/>
        <v/>
      </c>
      <c r="W307" s="38" t="str">
        <f>IF(AND(U307&lt;&gt;"",OR($S$4="(все)",B307=$S$4),IF($S$4="(все)",COUNTIF($U$4:U307,U307),COUNTIFS($U$4:U307,U307,$B$4:B307,B307))=1),MAX($W$3:W306)+1,"")</f>
        <v/>
      </c>
      <c r="X307" s="38" t="str">
        <f t="shared" si="39"/>
        <v/>
      </c>
      <c r="Y307" s="38" t="str">
        <f>IF(AND(A307="Аппарат",C307&lt;&gt;"",OR($S$5="(все)",B307=$S$5)),MAX($Y$3:Y306)+1,"")</f>
        <v/>
      </c>
      <c r="Z307" s="38" t="str">
        <f t="shared" si="40"/>
        <v/>
      </c>
      <c r="AA307" s="38" t="str">
        <f>IF(AND(A307="Модуль",C307&lt;&gt;"",OR($S$6="(все)",B307=$S$6)),MAX($AA$3:AA306)+1,"")</f>
        <v/>
      </c>
      <c r="AB307" s="38" t="str">
        <f t="shared" si="41"/>
        <v/>
      </c>
      <c r="AC307" s="38" t="str">
        <f>IF(OR(B307="",COUNTIF($B$4:B307,B307)&gt;1),"",MAX($AC$3:AC306)+1)</f>
        <v/>
      </c>
      <c r="AD307" s="38" t="str">
        <f t="shared" si="42"/>
        <v/>
      </c>
      <c r="AE307" s="38" t="str">
        <f t="shared" si="43"/>
        <v/>
      </c>
      <c r="AF307" s="38" t="str">
        <f t="shared" si="44"/>
        <v/>
      </c>
    </row>
    <row r="308" spans="1:32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38" t="str">
        <f>IF(OR(A308="Автомат",A308="Дифавтомат"),IF(W308="","",COUNTIFS(Однолинейка!$H$3:$H$3000,U308,Однолинейка!$A$3:$A$3000,Щит_спец)),IF(A308="Аппарат",IF(C308="","",COUNTIFS(Однолинейка!$I$3:$I$3000,C308,Однолинейка!$A$3:$A$3000,Щит_спец)+COUNTIFS(Однолинейка!$J$3:$J$3000,C308,Однолинейка!$A$3:$A$3000,Щит_спец)+COUNTIFS(Однолинейка!$K$3:$K$3000,C308,Однолинейка!$A$3:$A$3000,Щит_спец)),IF(A308="Модуль",IF(C308="","",COUNTIFS(Однолинейка!$AW$3:$AW$3000,"?*",Однолинейка!$AI$3:$AI$3000,C308,Однолинейка!$A$3:$A$3000,Щит_спец)),IF(A308="Клемма",IF(C308="","",IF(C308=$S$7,SUMIFS(Однолинейка!$BW$3:$BW$3000,Однолинейка!$A$3:$A$3000,Щит_спец),IF(C308=$S$8,SUMIFS(Однолинейка!$BX$3:$BX$3000,Однолинейка!$A$3:$A$3000,Щит_спец),""))),""))))</f>
        <v/>
      </c>
      <c r="O308" s="74"/>
      <c r="P308" s="38" t="str">
        <f t="shared" si="36"/>
        <v/>
      </c>
      <c r="U308" s="38" t="str">
        <f t="shared" si="37"/>
        <v/>
      </c>
      <c r="V308" s="38" t="str">
        <f t="shared" si="38"/>
        <v/>
      </c>
      <c r="W308" s="38" t="str">
        <f>IF(AND(U308&lt;&gt;"",OR($S$4="(все)",B308=$S$4),IF($S$4="(все)",COUNTIF($U$4:U308,U308),COUNTIFS($U$4:U308,U308,$B$4:B308,B308))=1),MAX($W$3:W307)+1,"")</f>
        <v/>
      </c>
      <c r="X308" s="38" t="str">
        <f t="shared" si="39"/>
        <v/>
      </c>
      <c r="Y308" s="38" t="str">
        <f>IF(AND(A308="Аппарат",C308&lt;&gt;"",OR($S$5="(все)",B308=$S$5)),MAX($Y$3:Y307)+1,"")</f>
        <v/>
      </c>
      <c r="Z308" s="38" t="str">
        <f t="shared" si="40"/>
        <v/>
      </c>
      <c r="AA308" s="38" t="str">
        <f>IF(AND(A308="Модуль",C308&lt;&gt;"",OR($S$6="(все)",B308=$S$6)),MAX($AA$3:AA307)+1,"")</f>
        <v/>
      </c>
      <c r="AB308" s="38" t="str">
        <f t="shared" si="41"/>
        <v/>
      </c>
      <c r="AC308" s="38" t="str">
        <f>IF(OR(B308="",COUNTIF($B$4:B308,B308)&gt;1),"",MAX($AC$3:AC307)+1)</f>
        <v/>
      </c>
      <c r="AD308" s="38" t="str">
        <f t="shared" si="42"/>
        <v/>
      </c>
      <c r="AE308" s="38" t="str">
        <f t="shared" si="43"/>
        <v/>
      </c>
      <c r="AF308" s="38" t="str">
        <f t="shared" si="44"/>
        <v/>
      </c>
    </row>
    <row r="309" spans="1:32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38" t="str">
        <f>IF(OR(A309="Автомат",A309="Дифавтомат"),IF(W309="","",COUNTIFS(Однолинейка!$H$3:$H$3000,U309,Однолинейка!$A$3:$A$3000,Щит_спец)),IF(A309="Аппарат",IF(C309="","",COUNTIFS(Однолинейка!$I$3:$I$3000,C309,Однолинейка!$A$3:$A$3000,Щит_спец)+COUNTIFS(Однолинейка!$J$3:$J$3000,C309,Однолинейка!$A$3:$A$3000,Щит_спец)+COUNTIFS(Однолинейка!$K$3:$K$3000,C309,Однолинейка!$A$3:$A$3000,Щит_спец)),IF(A309="Модуль",IF(C309="","",COUNTIFS(Однолинейка!$AW$3:$AW$3000,"?*",Однолинейка!$AI$3:$AI$3000,C309,Однолинейка!$A$3:$A$3000,Щит_спец)),IF(A309="Клемма",IF(C309="","",IF(C309=$S$7,SUMIFS(Однолинейка!$BW$3:$BW$3000,Однолинейка!$A$3:$A$3000,Щит_спец),IF(C309=$S$8,SUMIFS(Однолинейка!$BX$3:$BX$3000,Однолинейка!$A$3:$A$3000,Щит_спец),""))),""))))</f>
        <v/>
      </c>
      <c r="O309" s="74"/>
      <c r="P309" s="38" t="str">
        <f t="shared" si="36"/>
        <v/>
      </c>
      <c r="U309" s="38" t="str">
        <f t="shared" si="37"/>
        <v/>
      </c>
      <c r="V309" s="38" t="str">
        <f t="shared" si="38"/>
        <v/>
      </c>
      <c r="W309" s="38" t="str">
        <f>IF(AND(U309&lt;&gt;"",OR($S$4="(все)",B309=$S$4),IF($S$4="(все)",COUNTIF($U$4:U309,U309),COUNTIFS($U$4:U309,U309,$B$4:B309,B309))=1),MAX($W$3:W308)+1,"")</f>
        <v/>
      </c>
      <c r="X309" s="38" t="str">
        <f t="shared" si="39"/>
        <v/>
      </c>
      <c r="Y309" s="38" t="str">
        <f>IF(AND(A309="Аппарат",C309&lt;&gt;"",OR($S$5="(все)",B309=$S$5)),MAX($Y$3:Y308)+1,"")</f>
        <v/>
      </c>
      <c r="Z309" s="38" t="str">
        <f t="shared" si="40"/>
        <v/>
      </c>
      <c r="AA309" s="38" t="str">
        <f>IF(AND(A309="Модуль",C309&lt;&gt;"",OR($S$6="(все)",B309=$S$6)),MAX($AA$3:AA308)+1,"")</f>
        <v/>
      </c>
      <c r="AB309" s="38" t="str">
        <f t="shared" si="41"/>
        <v/>
      </c>
      <c r="AC309" s="38" t="str">
        <f>IF(OR(B309="",COUNTIF($B$4:B309,B309)&gt;1),"",MAX($AC$3:AC308)+1)</f>
        <v/>
      </c>
      <c r="AD309" s="38" t="str">
        <f t="shared" si="42"/>
        <v/>
      </c>
      <c r="AE309" s="38" t="str">
        <f t="shared" si="43"/>
        <v/>
      </c>
      <c r="AF309" s="38" t="str">
        <f t="shared" si="44"/>
        <v/>
      </c>
    </row>
    <row r="310" spans="1:32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38" t="str">
        <f>IF(OR(A310="Автомат",A310="Дифавтомат"),IF(W310="","",COUNTIFS(Однолинейка!$H$3:$H$3000,U310,Однолинейка!$A$3:$A$3000,Щит_спец)),IF(A310="Аппарат",IF(C310="","",COUNTIFS(Однолинейка!$I$3:$I$3000,C310,Однолинейка!$A$3:$A$3000,Щит_спец)+COUNTIFS(Однолинейка!$J$3:$J$3000,C310,Однолинейка!$A$3:$A$3000,Щит_спец)+COUNTIFS(Однолинейка!$K$3:$K$3000,C310,Однолинейка!$A$3:$A$3000,Щит_спец)),IF(A310="Модуль",IF(C310="","",COUNTIFS(Однолинейка!$AW$3:$AW$3000,"?*",Однолинейка!$AI$3:$AI$3000,C310,Однолинейка!$A$3:$A$3000,Щит_спец)),IF(A310="Клемма",IF(C310="","",IF(C310=$S$7,SUMIFS(Однолинейка!$BW$3:$BW$3000,Однолинейка!$A$3:$A$3000,Щит_спец),IF(C310=$S$8,SUMIFS(Однолинейка!$BX$3:$BX$3000,Однолинейка!$A$3:$A$3000,Щит_спец),""))),""))))</f>
        <v/>
      </c>
      <c r="O310" s="74"/>
      <c r="P310" s="38" t="str">
        <f t="shared" si="36"/>
        <v/>
      </c>
      <c r="U310" s="38" t="str">
        <f t="shared" si="37"/>
        <v/>
      </c>
      <c r="V310" s="38" t="str">
        <f t="shared" si="38"/>
        <v/>
      </c>
      <c r="W310" s="38" t="str">
        <f>IF(AND(U310&lt;&gt;"",OR($S$4="(все)",B310=$S$4),IF($S$4="(все)",COUNTIF($U$4:U310,U310),COUNTIFS($U$4:U310,U310,$B$4:B310,B310))=1),MAX($W$3:W309)+1,"")</f>
        <v/>
      </c>
      <c r="X310" s="38" t="str">
        <f t="shared" si="39"/>
        <v/>
      </c>
      <c r="Y310" s="38" t="str">
        <f>IF(AND(A310="Аппарат",C310&lt;&gt;"",OR($S$5="(все)",B310=$S$5)),MAX($Y$3:Y309)+1,"")</f>
        <v/>
      </c>
      <c r="Z310" s="38" t="str">
        <f t="shared" si="40"/>
        <v/>
      </c>
      <c r="AA310" s="38" t="str">
        <f>IF(AND(A310="Модуль",C310&lt;&gt;"",OR($S$6="(все)",B310=$S$6)),MAX($AA$3:AA309)+1,"")</f>
        <v/>
      </c>
      <c r="AB310" s="38" t="str">
        <f t="shared" si="41"/>
        <v/>
      </c>
      <c r="AC310" s="38" t="str">
        <f>IF(OR(B310="",COUNTIF($B$4:B310,B310)&gt;1),"",MAX($AC$3:AC309)+1)</f>
        <v/>
      </c>
      <c r="AD310" s="38" t="str">
        <f t="shared" si="42"/>
        <v/>
      </c>
      <c r="AE310" s="38" t="str">
        <f t="shared" si="43"/>
        <v/>
      </c>
      <c r="AF310" s="38" t="str">
        <f t="shared" si="44"/>
        <v/>
      </c>
    </row>
    <row r="311" spans="1:32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38" t="str">
        <f>IF(OR(A311="Автомат",A311="Дифавтомат"),IF(W311="","",COUNTIFS(Однолинейка!$H$3:$H$3000,U311,Однолинейка!$A$3:$A$3000,Щит_спец)),IF(A311="Аппарат",IF(C311="","",COUNTIFS(Однолинейка!$I$3:$I$3000,C311,Однолинейка!$A$3:$A$3000,Щит_спец)+COUNTIFS(Однолинейка!$J$3:$J$3000,C311,Однолинейка!$A$3:$A$3000,Щит_спец)+COUNTIFS(Однолинейка!$K$3:$K$3000,C311,Однолинейка!$A$3:$A$3000,Щит_спец)),IF(A311="Модуль",IF(C311="","",COUNTIFS(Однолинейка!$AW$3:$AW$3000,"?*",Однолинейка!$AI$3:$AI$3000,C311,Однолинейка!$A$3:$A$3000,Щит_спец)),IF(A311="Клемма",IF(C311="","",IF(C311=$S$7,SUMIFS(Однолинейка!$BW$3:$BW$3000,Однолинейка!$A$3:$A$3000,Щит_спец),IF(C311=$S$8,SUMIFS(Однолинейка!$BX$3:$BX$3000,Однолинейка!$A$3:$A$3000,Щит_спец),""))),""))))</f>
        <v/>
      </c>
      <c r="O311" s="74"/>
      <c r="P311" s="38" t="str">
        <f t="shared" si="36"/>
        <v/>
      </c>
      <c r="U311" s="38" t="str">
        <f t="shared" si="37"/>
        <v/>
      </c>
      <c r="V311" s="38" t="str">
        <f t="shared" si="38"/>
        <v/>
      </c>
      <c r="W311" s="38" t="str">
        <f>IF(AND(U311&lt;&gt;"",OR($S$4="(все)",B311=$S$4),IF($S$4="(все)",COUNTIF($U$4:U311,U311),COUNTIFS($U$4:U311,U311,$B$4:B311,B311))=1),MAX($W$3:W310)+1,"")</f>
        <v/>
      </c>
      <c r="X311" s="38" t="str">
        <f t="shared" si="39"/>
        <v/>
      </c>
      <c r="Y311" s="38" t="str">
        <f>IF(AND(A311="Аппарат",C311&lt;&gt;"",OR($S$5="(все)",B311=$S$5)),MAX($Y$3:Y310)+1,"")</f>
        <v/>
      </c>
      <c r="Z311" s="38" t="str">
        <f t="shared" si="40"/>
        <v/>
      </c>
      <c r="AA311" s="38" t="str">
        <f>IF(AND(A311="Модуль",C311&lt;&gt;"",OR($S$6="(все)",B311=$S$6)),MAX($AA$3:AA310)+1,"")</f>
        <v/>
      </c>
      <c r="AB311" s="38" t="str">
        <f t="shared" si="41"/>
        <v/>
      </c>
      <c r="AC311" s="38" t="str">
        <f>IF(OR(B311="",COUNTIF($B$4:B311,B311)&gt;1),"",MAX($AC$3:AC310)+1)</f>
        <v/>
      </c>
      <c r="AD311" s="38" t="str">
        <f t="shared" si="42"/>
        <v/>
      </c>
      <c r="AE311" s="38" t="str">
        <f t="shared" si="43"/>
        <v/>
      </c>
      <c r="AF311" s="38" t="str">
        <f t="shared" si="44"/>
        <v/>
      </c>
    </row>
    <row r="312" spans="1:32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38" t="str">
        <f>IF(OR(A312="Автомат",A312="Дифавтомат"),IF(W312="","",COUNTIFS(Однолинейка!$H$3:$H$3000,U312,Однолинейка!$A$3:$A$3000,Щит_спец)),IF(A312="Аппарат",IF(C312="","",COUNTIFS(Однолинейка!$I$3:$I$3000,C312,Однолинейка!$A$3:$A$3000,Щит_спец)+COUNTIFS(Однолинейка!$J$3:$J$3000,C312,Однолинейка!$A$3:$A$3000,Щит_спец)+COUNTIFS(Однолинейка!$K$3:$K$3000,C312,Однолинейка!$A$3:$A$3000,Щит_спец)),IF(A312="Модуль",IF(C312="","",COUNTIFS(Однолинейка!$AW$3:$AW$3000,"?*",Однолинейка!$AI$3:$AI$3000,C312,Однолинейка!$A$3:$A$3000,Щит_спец)),IF(A312="Клемма",IF(C312="","",IF(C312=$S$7,SUMIFS(Однолинейка!$BW$3:$BW$3000,Однолинейка!$A$3:$A$3000,Щит_спец),IF(C312=$S$8,SUMIFS(Однолинейка!$BX$3:$BX$3000,Однолинейка!$A$3:$A$3000,Щит_спец),""))),""))))</f>
        <v/>
      </c>
      <c r="O312" s="74"/>
      <c r="P312" s="38" t="str">
        <f t="shared" si="36"/>
        <v/>
      </c>
      <c r="U312" s="38" t="str">
        <f t="shared" si="37"/>
        <v/>
      </c>
      <c r="V312" s="38" t="str">
        <f t="shared" si="38"/>
        <v/>
      </c>
      <c r="W312" s="38" t="str">
        <f>IF(AND(U312&lt;&gt;"",OR($S$4="(все)",B312=$S$4),IF($S$4="(все)",COUNTIF($U$4:U312,U312),COUNTIFS($U$4:U312,U312,$B$4:B312,B312))=1),MAX($W$3:W311)+1,"")</f>
        <v/>
      </c>
      <c r="X312" s="38" t="str">
        <f t="shared" si="39"/>
        <v/>
      </c>
      <c r="Y312" s="38" t="str">
        <f>IF(AND(A312="Аппарат",C312&lt;&gt;"",OR($S$5="(все)",B312=$S$5)),MAX($Y$3:Y311)+1,"")</f>
        <v/>
      </c>
      <c r="Z312" s="38" t="str">
        <f t="shared" si="40"/>
        <v/>
      </c>
      <c r="AA312" s="38" t="str">
        <f>IF(AND(A312="Модуль",C312&lt;&gt;"",OR($S$6="(все)",B312=$S$6)),MAX($AA$3:AA311)+1,"")</f>
        <v/>
      </c>
      <c r="AB312" s="38" t="str">
        <f t="shared" si="41"/>
        <v/>
      </c>
      <c r="AC312" s="38" t="str">
        <f>IF(OR(B312="",COUNTIF($B$4:B312,B312)&gt;1),"",MAX($AC$3:AC311)+1)</f>
        <v/>
      </c>
      <c r="AD312" s="38" t="str">
        <f t="shared" si="42"/>
        <v/>
      </c>
      <c r="AE312" s="38" t="str">
        <f t="shared" si="43"/>
        <v/>
      </c>
      <c r="AF312" s="38" t="str">
        <f t="shared" si="44"/>
        <v/>
      </c>
    </row>
    <row r="313" spans="1:32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38" t="str">
        <f>IF(OR(A313="Автомат",A313="Дифавтомат"),IF(W313="","",COUNTIFS(Однолинейка!$H$3:$H$3000,U313,Однолинейка!$A$3:$A$3000,Щит_спец)),IF(A313="Аппарат",IF(C313="","",COUNTIFS(Однолинейка!$I$3:$I$3000,C313,Однолинейка!$A$3:$A$3000,Щит_спец)+COUNTIFS(Однолинейка!$J$3:$J$3000,C313,Однолинейка!$A$3:$A$3000,Щит_спец)+COUNTIFS(Однолинейка!$K$3:$K$3000,C313,Однолинейка!$A$3:$A$3000,Щит_спец)),IF(A313="Модуль",IF(C313="","",COUNTIFS(Однолинейка!$AW$3:$AW$3000,"?*",Однолинейка!$AI$3:$AI$3000,C313,Однолинейка!$A$3:$A$3000,Щит_спец)),IF(A313="Клемма",IF(C313="","",IF(C313=$S$7,SUMIFS(Однолинейка!$BW$3:$BW$3000,Однолинейка!$A$3:$A$3000,Щит_спец),IF(C313=$S$8,SUMIFS(Однолинейка!$BX$3:$BX$3000,Однолинейка!$A$3:$A$3000,Щит_спец),""))),""))))</f>
        <v/>
      </c>
      <c r="O313" s="74"/>
      <c r="P313" s="38" t="str">
        <f t="shared" si="36"/>
        <v/>
      </c>
      <c r="U313" s="38" t="str">
        <f t="shared" si="37"/>
        <v/>
      </c>
      <c r="V313" s="38" t="str">
        <f t="shared" si="38"/>
        <v/>
      </c>
      <c r="W313" s="38" t="str">
        <f>IF(AND(U313&lt;&gt;"",OR($S$4="(все)",B313=$S$4),IF($S$4="(все)",COUNTIF($U$4:U313,U313),COUNTIFS($U$4:U313,U313,$B$4:B313,B313))=1),MAX($W$3:W312)+1,"")</f>
        <v/>
      </c>
      <c r="X313" s="38" t="str">
        <f t="shared" si="39"/>
        <v/>
      </c>
      <c r="Y313" s="38" t="str">
        <f>IF(AND(A313="Аппарат",C313&lt;&gt;"",OR($S$5="(все)",B313=$S$5)),MAX($Y$3:Y312)+1,"")</f>
        <v/>
      </c>
      <c r="Z313" s="38" t="str">
        <f t="shared" si="40"/>
        <v/>
      </c>
      <c r="AA313" s="38" t="str">
        <f>IF(AND(A313="Модуль",C313&lt;&gt;"",OR($S$6="(все)",B313=$S$6)),MAX($AA$3:AA312)+1,"")</f>
        <v/>
      </c>
      <c r="AB313" s="38" t="str">
        <f t="shared" si="41"/>
        <v/>
      </c>
      <c r="AC313" s="38" t="str">
        <f>IF(OR(B313="",COUNTIF($B$4:B313,B313)&gt;1),"",MAX($AC$3:AC312)+1)</f>
        <v/>
      </c>
      <c r="AD313" s="38" t="str">
        <f t="shared" si="42"/>
        <v/>
      </c>
      <c r="AE313" s="38" t="str">
        <f t="shared" si="43"/>
        <v/>
      </c>
      <c r="AF313" s="38" t="str">
        <f t="shared" si="44"/>
        <v/>
      </c>
    </row>
    <row r="314" spans="1:32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38" t="str">
        <f>IF(OR(A314="Автомат",A314="Дифавтомат"),IF(W314="","",COUNTIFS(Однолинейка!$H$3:$H$3000,U314,Однолинейка!$A$3:$A$3000,Щит_спец)),IF(A314="Аппарат",IF(C314="","",COUNTIFS(Однолинейка!$I$3:$I$3000,C314,Однолинейка!$A$3:$A$3000,Щит_спец)+COUNTIFS(Однолинейка!$J$3:$J$3000,C314,Однолинейка!$A$3:$A$3000,Щит_спец)+COUNTIFS(Однолинейка!$K$3:$K$3000,C314,Однолинейка!$A$3:$A$3000,Щит_спец)),IF(A314="Модуль",IF(C314="","",COUNTIFS(Однолинейка!$AW$3:$AW$3000,"?*",Однолинейка!$AI$3:$AI$3000,C314,Однолинейка!$A$3:$A$3000,Щит_спец)),IF(A314="Клемма",IF(C314="","",IF(C314=$S$7,SUMIFS(Однолинейка!$BW$3:$BW$3000,Однолинейка!$A$3:$A$3000,Щит_спец),IF(C314=$S$8,SUMIFS(Однолинейка!$BX$3:$BX$3000,Однолинейка!$A$3:$A$3000,Щит_спец),""))),""))))</f>
        <v/>
      </c>
      <c r="O314" s="74"/>
      <c r="P314" s="38" t="str">
        <f t="shared" si="36"/>
        <v/>
      </c>
      <c r="U314" s="38" t="str">
        <f t="shared" si="37"/>
        <v/>
      </c>
      <c r="V314" s="38" t="str">
        <f t="shared" si="38"/>
        <v/>
      </c>
      <c r="W314" s="38" t="str">
        <f>IF(AND(U314&lt;&gt;"",OR($S$4="(все)",B314=$S$4),IF($S$4="(все)",COUNTIF($U$4:U314,U314),COUNTIFS($U$4:U314,U314,$B$4:B314,B314))=1),MAX($W$3:W313)+1,"")</f>
        <v/>
      </c>
      <c r="X314" s="38" t="str">
        <f t="shared" si="39"/>
        <v/>
      </c>
      <c r="Y314" s="38" t="str">
        <f>IF(AND(A314="Аппарат",C314&lt;&gt;"",OR($S$5="(все)",B314=$S$5)),MAX($Y$3:Y313)+1,"")</f>
        <v/>
      </c>
      <c r="Z314" s="38" t="str">
        <f t="shared" si="40"/>
        <v/>
      </c>
      <c r="AA314" s="38" t="str">
        <f>IF(AND(A314="Модуль",C314&lt;&gt;"",OR($S$6="(все)",B314=$S$6)),MAX($AA$3:AA313)+1,"")</f>
        <v/>
      </c>
      <c r="AB314" s="38" t="str">
        <f t="shared" si="41"/>
        <v/>
      </c>
      <c r="AC314" s="38" t="str">
        <f>IF(OR(B314="",COUNTIF($B$4:B314,B314)&gt;1),"",MAX($AC$3:AC313)+1)</f>
        <v/>
      </c>
      <c r="AD314" s="38" t="str">
        <f t="shared" si="42"/>
        <v/>
      </c>
      <c r="AE314" s="38" t="str">
        <f t="shared" si="43"/>
        <v/>
      </c>
      <c r="AF314" s="38" t="str">
        <f t="shared" si="44"/>
        <v/>
      </c>
    </row>
    <row r="315" spans="1:32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38" t="str">
        <f>IF(OR(A315="Автомат",A315="Дифавтомат"),IF(W315="","",COUNTIFS(Однолинейка!$H$3:$H$3000,U315,Однолинейка!$A$3:$A$3000,Щит_спец)),IF(A315="Аппарат",IF(C315="","",COUNTIFS(Однолинейка!$I$3:$I$3000,C315,Однолинейка!$A$3:$A$3000,Щит_спец)+COUNTIFS(Однолинейка!$J$3:$J$3000,C315,Однолинейка!$A$3:$A$3000,Щит_спец)+COUNTIFS(Однолинейка!$K$3:$K$3000,C315,Однолинейка!$A$3:$A$3000,Щит_спец)),IF(A315="Модуль",IF(C315="","",COUNTIFS(Однолинейка!$AW$3:$AW$3000,"?*",Однолинейка!$AI$3:$AI$3000,C315,Однолинейка!$A$3:$A$3000,Щит_спец)),IF(A315="Клемма",IF(C315="","",IF(C315=$S$7,SUMIFS(Однолинейка!$BW$3:$BW$3000,Однолинейка!$A$3:$A$3000,Щит_спец),IF(C315=$S$8,SUMIFS(Однолинейка!$BX$3:$BX$3000,Однолинейка!$A$3:$A$3000,Щит_спец),""))),""))))</f>
        <v/>
      </c>
      <c r="O315" s="74"/>
      <c r="P315" s="38" t="str">
        <f t="shared" si="36"/>
        <v/>
      </c>
      <c r="U315" s="38" t="str">
        <f t="shared" si="37"/>
        <v/>
      </c>
      <c r="V315" s="38" t="str">
        <f t="shared" si="38"/>
        <v/>
      </c>
      <c r="W315" s="38" t="str">
        <f>IF(AND(U315&lt;&gt;"",OR($S$4="(все)",B315=$S$4),IF($S$4="(все)",COUNTIF($U$4:U315,U315),COUNTIFS($U$4:U315,U315,$B$4:B315,B315))=1),MAX($W$3:W314)+1,"")</f>
        <v/>
      </c>
      <c r="X315" s="38" t="str">
        <f t="shared" si="39"/>
        <v/>
      </c>
      <c r="Y315" s="38" t="str">
        <f>IF(AND(A315="Аппарат",C315&lt;&gt;"",OR($S$5="(все)",B315=$S$5)),MAX($Y$3:Y314)+1,"")</f>
        <v/>
      </c>
      <c r="Z315" s="38" t="str">
        <f t="shared" si="40"/>
        <v/>
      </c>
      <c r="AA315" s="38" t="str">
        <f>IF(AND(A315="Модуль",C315&lt;&gt;"",OR($S$6="(все)",B315=$S$6)),MAX($AA$3:AA314)+1,"")</f>
        <v/>
      </c>
      <c r="AB315" s="38" t="str">
        <f t="shared" si="41"/>
        <v/>
      </c>
      <c r="AC315" s="38" t="str">
        <f>IF(OR(B315="",COUNTIF($B$4:B315,B315)&gt;1),"",MAX($AC$3:AC314)+1)</f>
        <v/>
      </c>
      <c r="AD315" s="38" t="str">
        <f t="shared" si="42"/>
        <v/>
      </c>
      <c r="AE315" s="38" t="str">
        <f t="shared" si="43"/>
        <v/>
      </c>
      <c r="AF315" s="38" t="str">
        <f t="shared" si="44"/>
        <v/>
      </c>
    </row>
    <row r="316" spans="1:32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38" t="str">
        <f>IF(OR(A316="Автомат",A316="Дифавтомат"),IF(W316="","",COUNTIFS(Однолинейка!$H$3:$H$3000,U316,Однолинейка!$A$3:$A$3000,Щит_спец)),IF(A316="Аппарат",IF(C316="","",COUNTIFS(Однолинейка!$I$3:$I$3000,C316,Однолинейка!$A$3:$A$3000,Щит_спец)+COUNTIFS(Однолинейка!$J$3:$J$3000,C316,Однолинейка!$A$3:$A$3000,Щит_спец)+COUNTIFS(Однолинейка!$K$3:$K$3000,C316,Однолинейка!$A$3:$A$3000,Щит_спец)),IF(A316="Модуль",IF(C316="","",COUNTIFS(Однолинейка!$AW$3:$AW$3000,"?*",Однолинейка!$AI$3:$AI$3000,C316,Однолинейка!$A$3:$A$3000,Щит_спец)),IF(A316="Клемма",IF(C316="","",IF(C316=$S$7,SUMIFS(Однолинейка!$BW$3:$BW$3000,Однолинейка!$A$3:$A$3000,Щит_спец),IF(C316=$S$8,SUMIFS(Однолинейка!$BX$3:$BX$3000,Однолинейка!$A$3:$A$3000,Щит_спец),""))),""))))</f>
        <v/>
      </c>
      <c r="O316" s="74"/>
      <c r="P316" s="38" t="str">
        <f t="shared" si="36"/>
        <v/>
      </c>
      <c r="U316" s="38" t="str">
        <f t="shared" si="37"/>
        <v/>
      </c>
      <c r="V316" s="38" t="str">
        <f t="shared" si="38"/>
        <v/>
      </c>
      <c r="W316" s="38" t="str">
        <f>IF(AND(U316&lt;&gt;"",OR($S$4="(все)",B316=$S$4),IF($S$4="(все)",COUNTIF($U$4:U316,U316),COUNTIFS($U$4:U316,U316,$B$4:B316,B316))=1),MAX($W$3:W315)+1,"")</f>
        <v/>
      </c>
      <c r="X316" s="38" t="str">
        <f t="shared" si="39"/>
        <v/>
      </c>
      <c r="Y316" s="38" t="str">
        <f>IF(AND(A316="Аппарат",C316&lt;&gt;"",OR($S$5="(все)",B316=$S$5)),MAX($Y$3:Y315)+1,"")</f>
        <v/>
      </c>
      <c r="Z316" s="38" t="str">
        <f t="shared" si="40"/>
        <v/>
      </c>
      <c r="AA316" s="38" t="str">
        <f>IF(AND(A316="Модуль",C316&lt;&gt;"",OR($S$6="(все)",B316=$S$6)),MAX($AA$3:AA315)+1,"")</f>
        <v/>
      </c>
      <c r="AB316" s="38" t="str">
        <f t="shared" si="41"/>
        <v/>
      </c>
      <c r="AC316" s="38" t="str">
        <f>IF(OR(B316="",COUNTIF($B$4:B316,B316)&gt;1),"",MAX($AC$3:AC315)+1)</f>
        <v/>
      </c>
      <c r="AD316" s="38" t="str">
        <f t="shared" si="42"/>
        <v/>
      </c>
      <c r="AE316" s="38" t="str">
        <f t="shared" si="43"/>
        <v/>
      </c>
      <c r="AF316" s="38" t="str">
        <f t="shared" si="44"/>
        <v/>
      </c>
    </row>
    <row r="317" spans="1:32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38" t="str">
        <f>IF(OR(A317="Автомат",A317="Дифавтомат"),IF(W317="","",COUNTIFS(Однолинейка!$H$3:$H$3000,U317,Однолинейка!$A$3:$A$3000,Щит_спец)),IF(A317="Аппарат",IF(C317="","",COUNTIFS(Однолинейка!$I$3:$I$3000,C317,Однолинейка!$A$3:$A$3000,Щит_спец)+COUNTIFS(Однолинейка!$J$3:$J$3000,C317,Однолинейка!$A$3:$A$3000,Щит_спец)+COUNTIFS(Однолинейка!$K$3:$K$3000,C317,Однолинейка!$A$3:$A$3000,Щит_спец)),IF(A317="Модуль",IF(C317="","",COUNTIFS(Однолинейка!$AW$3:$AW$3000,"?*",Однолинейка!$AI$3:$AI$3000,C317,Однолинейка!$A$3:$A$3000,Щит_спец)),IF(A317="Клемма",IF(C317="","",IF(C317=$S$7,SUMIFS(Однолинейка!$BW$3:$BW$3000,Однолинейка!$A$3:$A$3000,Щит_спец),IF(C317=$S$8,SUMIFS(Однолинейка!$BX$3:$BX$3000,Однолинейка!$A$3:$A$3000,Щит_спец),""))),""))))</f>
        <v/>
      </c>
      <c r="O317" s="74"/>
      <c r="P317" s="38" t="str">
        <f t="shared" si="36"/>
        <v/>
      </c>
      <c r="U317" s="38" t="str">
        <f t="shared" si="37"/>
        <v/>
      </c>
      <c r="V317" s="38" t="str">
        <f t="shared" si="38"/>
        <v/>
      </c>
      <c r="W317" s="38" t="str">
        <f>IF(AND(U317&lt;&gt;"",OR($S$4="(все)",B317=$S$4),IF($S$4="(все)",COUNTIF($U$4:U317,U317),COUNTIFS($U$4:U317,U317,$B$4:B317,B317))=1),MAX($W$3:W316)+1,"")</f>
        <v/>
      </c>
      <c r="X317" s="38" t="str">
        <f t="shared" si="39"/>
        <v/>
      </c>
      <c r="Y317" s="38" t="str">
        <f>IF(AND(A317="Аппарат",C317&lt;&gt;"",OR($S$5="(все)",B317=$S$5)),MAX($Y$3:Y316)+1,"")</f>
        <v/>
      </c>
      <c r="Z317" s="38" t="str">
        <f t="shared" si="40"/>
        <v/>
      </c>
      <c r="AA317" s="38" t="str">
        <f>IF(AND(A317="Модуль",C317&lt;&gt;"",OR($S$6="(все)",B317=$S$6)),MAX($AA$3:AA316)+1,"")</f>
        <v/>
      </c>
      <c r="AB317" s="38" t="str">
        <f t="shared" si="41"/>
        <v/>
      </c>
      <c r="AC317" s="38" t="str">
        <f>IF(OR(B317="",COUNTIF($B$4:B317,B317)&gt;1),"",MAX($AC$3:AC316)+1)</f>
        <v/>
      </c>
      <c r="AD317" s="38" t="str">
        <f t="shared" si="42"/>
        <v/>
      </c>
      <c r="AE317" s="38" t="str">
        <f t="shared" si="43"/>
        <v/>
      </c>
      <c r="AF317" s="38" t="str">
        <f t="shared" si="44"/>
        <v/>
      </c>
    </row>
    <row r="318" spans="1:32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38" t="str">
        <f>IF(OR(A318="Автомат",A318="Дифавтомат"),IF(W318="","",COUNTIFS(Однолинейка!$H$3:$H$3000,U318,Однолинейка!$A$3:$A$3000,Щит_спец)),IF(A318="Аппарат",IF(C318="","",COUNTIFS(Однолинейка!$I$3:$I$3000,C318,Однолинейка!$A$3:$A$3000,Щит_спец)+COUNTIFS(Однолинейка!$J$3:$J$3000,C318,Однолинейка!$A$3:$A$3000,Щит_спец)+COUNTIFS(Однолинейка!$K$3:$K$3000,C318,Однолинейка!$A$3:$A$3000,Щит_спец)),IF(A318="Модуль",IF(C318="","",COUNTIFS(Однолинейка!$AW$3:$AW$3000,"?*",Однолинейка!$AI$3:$AI$3000,C318,Однолинейка!$A$3:$A$3000,Щит_спец)),IF(A318="Клемма",IF(C318="","",IF(C318=$S$7,SUMIFS(Однолинейка!$BW$3:$BW$3000,Однолинейка!$A$3:$A$3000,Щит_спец),IF(C318=$S$8,SUMIFS(Однолинейка!$BX$3:$BX$3000,Однолинейка!$A$3:$A$3000,Щит_спец),""))),""))))</f>
        <v/>
      </c>
      <c r="O318" s="74"/>
      <c r="P318" s="38" t="str">
        <f t="shared" si="36"/>
        <v/>
      </c>
      <c r="U318" s="38" t="str">
        <f t="shared" si="37"/>
        <v/>
      </c>
      <c r="V318" s="38" t="str">
        <f t="shared" si="38"/>
        <v/>
      </c>
      <c r="W318" s="38" t="str">
        <f>IF(AND(U318&lt;&gt;"",OR($S$4="(все)",B318=$S$4),IF($S$4="(все)",COUNTIF($U$4:U318,U318),COUNTIFS($U$4:U318,U318,$B$4:B318,B318))=1),MAX($W$3:W317)+1,"")</f>
        <v/>
      </c>
      <c r="X318" s="38" t="str">
        <f t="shared" si="39"/>
        <v/>
      </c>
      <c r="Y318" s="38" t="str">
        <f>IF(AND(A318="Аппарат",C318&lt;&gt;"",OR($S$5="(все)",B318=$S$5)),MAX($Y$3:Y317)+1,"")</f>
        <v/>
      </c>
      <c r="Z318" s="38" t="str">
        <f t="shared" si="40"/>
        <v/>
      </c>
      <c r="AA318" s="38" t="str">
        <f>IF(AND(A318="Модуль",C318&lt;&gt;"",OR($S$6="(все)",B318=$S$6)),MAX($AA$3:AA317)+1,"")</f>
        <v/>
      </c>
      <c r="AB318" s="38" t="str">
        <f t="shared" si="41"/>
        <v/>
      </c>
      <c r="AC318" s="38" t="str">
        <f>IF(OR(B318="",COUNTIF($B$4:B318,B318)&gt;1),"",MAX($AC$3:AC317)+1)</f>
        <v/>
      </c>
      <c r="AD318" s="38" t="str">
        <f t="shared" si="42"/>
        <v/>
      </c>
      <c r="AE318" s="38" t="str">
        <f t="shared" si="43"/>
        <v/>
      </c>
      <c r="AF318" s="38" t="str">
        <f t="shared" si="44"/>
        <v/>
      </c>
    </row>
    <row r="319" spans="1:32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38" t="str">
        <f>IF(OR(A319="Автомат",A319="Дифавтомат"),IF(W319="","",COUNTIFS(Однолинейка!$H$3:$H$3000,U319,Однолинейка!$A$3:$A$3000,Щит_спец)),IF(A319="Аппарат",IF(C319="","",COUNTIFS(Однолинейка!$I$3:$I$3000,C319,Однолинейка!$A$3:$A$3000,Щит_спец)+COUNTIFS(Однолинейка!$J$3:$J$3000,C319,Однолинейка!$A$3:$A$3000,Щит_спец)+COUNTIFS(Однолинейка!$K$3:$K$3000,C319,Однолинейка!$A$3:$A$3000,Щит_спец)),IF(A319="Модуль",IF(C319="","",COUNTIFS(Однолинейка!$AW$3:$AW$3000,"?*",Однолинейка!$AI$3:$AI$3000,C319,Однолинейка!$A$3:$A$3000,Щит_спец)),IF(A319="Клемма",IF(C319="","",IF(C319=$S$7,SUMIFS(Однолинейка!$BW$3:$BW$3000,Однолинейка!$A$3:$A$3000,Щит_спец),IF(C319=$S$8,SUMIFS(Однолинейка!$BX$3:$BX$3000,Однолинейка!$A$3:$A$3000,Щит_спец),""))),""))))</f>
        <v/>
      </c>
      <c r="O319" s="74"/>
      <c r="P319" s="38" t="str">
        <f t="shared" si="36"/>
        <v/>
      </c>
      <c r="U319" s="38" t="str">
        <f t="shared" si="37"/>
        <v/>
      </c>
      <c r="V319" s="38" t="str">
        <f t="shared" si="38"/>
        <v/>
      </c>
      <c r="W319" s="38" t="str">
        <f>IF(AND(U319&lt;&gt;"",OR($S$4="(все)",B319=$S$4),IF($S$4="(все)",COUNTIF($U$4:U319,U319),COUNTIFS($U$4:U319,U319,$B$4:B319,B319))=1),MAX($W$3:W318)+1,"")</f>
        <v/>
      </c>
      <c r="X319" s="38" t="str">
        <f t="shared" si="39"/>
        <v/>
      </c>
      <c r="Y319" s="38" t="str">
        <f>IF(AND(A319="Аппарат",C319&lt;&gt;"",OR($S$5="(все)",B319=$S$5)),MAX($Y$3:Y318)+1,"")</f>
        <v/>
      </c>
      <c r="Z319" s="38" t="str">
        <f t="shared" si="40"/>
        <v/>
      </c>
      <c r="AA319" s="38" t="str">
        <f>IF(AND(A319="Модуль",C319&lt;&gt;"",OR($S$6="(все)",B319=$S$6)),MAX($AA$3:AA318)+1,"")</f>
        <v/>
      </c>
      <c r="AB319" s="38" t="str">
        <f t="shared" si="41"/>
        <v/>
      </c>
      <c r="AC319" s="38" t="str">
        <f>IF(OR(B319="",COUNTIF($B$4:B319,B319)&gt;1),"",MAX($AC$3:AC318)+1)</f>
        <v/>
      </c>
      <c r="AD319" s="38" t="str">
        <f t="shared" si="42"/>
        <v/>
      </c>
      <c r="AE319" s="38" t="str">
        <f t="shared" si="43"/>
        <v/>
      </c>
      <c r="AF319" s="38" t="str">
        <f t="shared" si="44"/>
        <v/>
      </c>
    </row>
    <row r="320" spans="1:32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38" t="str">
        <f>IF(OR(A320="Автомат",A320="Дифавтомат"),IF(W320="","",COUNTIFS(Однолинейка!$H$3:$H$3000,U320,Однолинейка!$A$3:$A$3000,Щит_спец)),IF(A320="Аппарат",IF(C320="","",COUNTIFS(Однолинейка!$I$3:$I$3000,C320,Однолинейка!$A$3:$A$3000,Щит_спец)+COUNTIFS(Однолинейка!$J$3:$J$3000,C320,Однолинейка!$A$3:$A$3000,Щит_спец)+COUNTIFS(Однолинейка!$K$3:$K$3000,C320,Однолинейка!$A$3:$A$3000,Щит_спец)),IF(A320="Модуль",IF(C320="","",COUNTIFS(Однолинейка!$AW$3:$AW$3000,"?*",Однолинейка!$AI$3:$AI$3000,C320,Однолинейка!$A$3:$A$3000,Щит_спец)),IF(A320="Клемма",IF(C320="","",IF(C320=$S$7,SUMIFS(Однолинейка!$BW$3:$BW$3000,Однолинейка!$A$3:$A$3000,Щит_спец),IF(C320=$S$8,SUMIFS(Однолинейка!$BX$3:$BX$3000,Однолинейка!$A$3:$A$3000,Щит_спец),""))),""))))</f>
        <v/>
      </c>
      <c r="O320" s="74"/>
      <c r="P320" s="38" t="str">
        <f t="shared" si="36"/>
        <v/>
      </c>
      <c r="U320" s="38" t="str">
        <f t="shared" si="37"/>
        <v/>
      </c>
      <c r="V320" s="38" t="str">
        <f t="shared" si="38"/>
        <v/>
      </c>
      <c r="W320" s="38" t="str">
        <f>IF(AND(U320&lt;&gt;"",OR($S$4="(все)",B320=$S$4),IF($S$4="(все)",COUNTIF($U$4:U320,U320),COUNTIFS($U$4:U320,U320,$B$4:B320,B320))=1),MAX($W$3:W319)+1,"")</f>
        <v/>
      </c>
      <c r="X320" s="38" t="str">
        <f t="shared" si="39"/>
        <v/>
      </c>
      <c r="Y320" s="38" t="str">
        <f>IF(AND(A320="Аппарат",C320&lt;&gt;"",OR($S$5="(все)",B320=$S$5)),MAX($Y$3:Y319)+1,"")</f>
        <v/>
      </c>
      <c r="Z320" s="38" t="str">
        <f t="shared" si="40"/>
        <v/>
      </c>
      <c r="AA320" s="38" t="str">
        <f>IF(AND(A320="Модуль",C320&lt;&gt;"",OR($S$6="(все)",B320=$S$6)),MAX($AA$3:AA319)+1,"")</f>
        <v/>
      </c>
      <c r="AB320" s="38" t="str">
        <f t="shared" si="41"/>
        <v/>
      </c>
      <c r="AC320" s="38" t="str">
        <f>IF(OR(B320="",COUNTIF($B$4:B320,B320)&gt;1),"",MAX($AC$3:AC319)+1)</f>
        <v/>
      </c>
      <c r="AD320" s="38" t="str">
        <f t="shared" si="42"/>
        <v/>
      </c>
      <c r="AE320" s="38" t="str">
        <f t="shared" si="43"/>
        <v/>
      </c>
      <c r="AF320" s="38" t="str">
        <f t="shared" si="44"/>
        <v/>
      </c>
    </row>
    <row r="321" spans="1:32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38" t="str">
        <f>IF(OR(A321="Автомат",A321="Дифавтомат"),IF(W321="","",COUNTIFS(Однолинейка!$H$3:$H$3000,U321,Однолинейка!$A$3:$A$3000,Щит_спец)),IF(A321="Аппарат",IF(C321="","",COUNTIFS(Однолинейка!$I$3:$I$3000,C321,Однолинейка!$A$3:$A$3000,Щит_спец)+COUNTIFS(Однолинейка!$J$3:$J$3000,C321,Однолинейка!$A$3:$A$3000,Щит_спец)+COUNTIFS(Однолинейка!$K$3:$K$3000,C321,Однолинейка!$A$3:$A$3000,Щит_спец)),IF(A321="Модуль",IF(C321="","",COUNTIFS(Однолинейка!$AW$3:$AW$3000,"?*",Однолинейка!$AI$3:$AI$3000,C321,Однолинейка!$A$3:$A$3000,Щит_спец)),IF(A321="Клемма",IF(C321="","",IF(C321=$S$7,SUMIFS(Однолинейка!$BW$3:$BW$3000,Однолинейка!$A$3:$A$3000,Щит_спец),IF(C321=$S$8,SUMIFS(Однолинейка!$BX$3:$BX$3000,Однолинейка!$A$3:$A$3000,Щит_спец),""))),""))))</f>
        <v/>
      </c>
      <c r="O321" s="74"/>
      <c r="P321" s="38" t="str">
        <f t="shared" si="36"/>
        <v/>
      </c>
      <c r="U321" s="38" t="str">
        <f t="shared" si="37"/>
        <v/>
      </c>
      <c r="V321" s="38" t="str">
        <f t="shared" si="38"/>
        <v/>
      </c>
      <c r="W321" s="38" t="str">
        <f>IF(AND(U321&lt;&gt;"",OR($S$4="(все)",B321=$S$4),IF($S$4="(все)",COUNTIF($U$4:U321,U321),COUNTIFS($U$4:U321,U321,$B$4:B321,B321))=1),MAX($W$3:W320)+1,"")</f>
        <v/>
      </c>
      <c r="X321" s="38" t="str">
        <f t="shared" si="39"/>
        <v/>
      </c>
      <c r="Y321" s="38" t="str">
        <f>IF(AND(A321="Аппарат",C321&lt;&gt;"",OR($S$5="(все)",B321=$S$5)),MAX($Y$3:Y320)+1,"")</f>
        <v/>
      </c>
      <c r="Z321" s="38" t="str">
        <f t="shared" si="40"/>
        <v/>
      </c>
      <c r="AA321" s="38" t="str">
        <f>IF(AND(A321="Модуль",C321&lt;&gt;"",OR($S$6="(все)",B321=$S$6)),MAX($AA$3:AA320)+1,"")</f>
        <v/>
      </c>
      <c r="AB321" s="38" t="str">
        <f t="shared" si="41"/>
        <v/>
      </c>
      <c r="AC321" s="38" t="str">
        <f>IF(OR(B321="",COUNTIF($B$4:B321,B321)&gt;1),"",MAX($AC$3:AC320)+1)</f>
        <v/>
      </c>
      <c r="AD321" s="38" t="str">
        <f t="shared" si="42"/>
        <v/>
      </c>
      <c r="AE321" s="38" t="str">
        <f t="shared" si="43"/>
        <v/>
      </c>
      <c r="AF321" s="38" t="str">
        <f t="shared" si="44"/>
        <v/>
      </c>
    </row>
    <row r="322" spans="1:32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38" t="str">
        <f>IF(OR(A322="Автомат",A322="Дифавтомат"),IF(W322="","",COUNTIFS(Однолинейка!$H$3:$H$3000,U322,Однолинейка!$A$3:$A$3000,Щит_спец)),IF(A322="Аппарат",IF(C322="","",COUNTIFS(Однолинейка!$I$3:$I$3000,C322,Однолинейка!$A$3:$A$3000,Щит_спец)+COUNTIFS(Однолинейка!$J$3:$J$3000,C322,Однолинейка!$A$3:$A$3000,Щит_спец)+COUNTIFS(Однолинейка!$K$3:$K$3000,C322,Однолинейка!$A$3:$A$3000,Щит_спец)),IF(A322="Модуль",IF(C322="","",COUNTIFS(Однолинейка!$AW$3:$AW$3000,"?*",Однолинейка!$AI$3:$AI$3000,C322,Однолинейка!$A$3:$A$3000,Щит_спец)),IF(A322="Клемма",IF(C322="","",IF(C322=$S$7,SUMIFS(Однолинейка!$BW$3:$BW$3000,Однолинейка!$A$3:$A$3000,Щит_спец),IF(C322=$S$8,SUMIFS(Однолинейка!$BX$3:$BX$3000,Однолинейка!$A$3:$A$3000,Щит_спец),""))),""))))</f>
        <v/>
      </c>
      <c r="O322" s="74"/>
      <c r="P322" s="38" t="str">
        <f t="shared" si="36"/>
        <v/>
      </c>
      <c r="U322" s="38" t="str">
        <f t="shared" si="37"/>
        <v/>
      </c>
      <c r="V322" s="38" t="str">
        <f t="shared" si="38"/>
        <v/>
      </c>
      <c r="W322" s="38" t="str">
        <f>IF(AND(U322&lt;&gt;"",OR($S$4="(все)",B322=$S$4),IF($S$4="(все)",COUNTIF($U$4:U322,U322),COUNTIFS($U$4:U322,U322,$B$4:B322,B322))=1),MAX($W$3:W321)+1,"")</f>
        <v/>
      </c>
      <c r="X322" s="38" t="str">
        <f t="shared" si="39"/>
        <v/>
      </c>
      <c r="Y322" s="38" t="str">
        <f>IF(AND(A322="Аппарат",C322&lt;&gt;"",OR($S$5="(все)",B322=$S$5)),MAX($Y$3:Y321)+1,"")</f>
        <v/>
      </c>
      <c r="Z322" s="38" t="str">
        <f t="shared" si="40"/>
        <v/>
      </c>
      <c r="AA322" s="38" t="str">
        <f>IF(AND(A322="Модуль",C322&lt;&gt;"",OR($S$6="(все)",B322=$S$6)),MAX($AA$3:AA321)+1,"")</f>
        <v/>
      </c>
      <c r="AB322" s="38" t="str">
        <f t="shared" si="41"/>
        <v/>
      </c>
      <c r="AC322" s="38" t="str">
        <f>IF(OR(B322="",COUNTIF($B$4:B322,B322)&gt;1),"",MAX($AC$3:AC321)+1)</f>
        <v/>
      </c>
      <c r="AD322" s="38" t="str">
        <f t="shared" si="42"/>
        <v/>
      </c>
      <c r="AE322" s="38" t="str">
        <f t="shared" si="43"/>
        <v/>
      </c>
      <c r="AF322" s="38" t="str">
        <f t="shared" si="44"/>
        <v/>
      </c>
    </row>
    <row r="323" spans="1:32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38" t="str">
        <f>IF(OR(A323="Автомат",A323="Дифавтомат"),IF(W323="","",COUNTIFS(Однолинейка!$H$3:$H$3000,U323,Однолинейка!$A$3:$A$3000,Щит_спец)),IF(A323="Аппарат",IF(C323="","",COUNTIFS(Однолинейка!$I$3:$I$3000,C323,Однолинейка!$A$3:$A$3000,Щит_спец)+COUNTIFS(Однолинейка!$J$3:$J$3000,C323,Однолинейка!$A$3:$A$3000,Щит_спец)+COUNTIFS(Однолинейка!$K$3:$K$3000,C323,Однолинейка!$A$3:$A$3000,Щит_спец)),IF(A323="Модуль",IF(C323="","",COUNTIFS(Однолинейка!$AW$3:$AW$3000,"?*",Однолинейка!$AI$3:$AI$3000,C323,Однолинейка!$A$3:$A$3000,Щит_спец)),IF(A323="Клемма",IF(C323="","",IF(C323=$S$7,SUMIFS(Однолинейка!$BW$3:$BW$3000,Однолинейка!$A$3:$A$3000,Щит_спец),IF(C323=$S$8,SUMIFS(Однолинейка!$BX$3:$BX$3000,Однолинейка!$A$3:$A$3000,Щит_спец),""))),""))))</f>
        <v/>
      </c>
      <c r="O323" s="74"/>
      <c r="P323" s="38" t="str">
        <f t="shared" si="36"/>
        <v/>
      </c>
      <c r="U323" s="38" t="str">
        <f t="shared" si="37"/>
        <v/>
      </c>
      <c r="V323" s="38" t="str">
        <f t="shared" si="38"/>
        <v/>
      </c>
      <c r="W323" s="38" t="str">
        <f>IF(AND(U323&lt;&gt;"",OR($S$4="(все)",B323=$S$4),IF($S$4="(все)",COUNTIF($U$4:U323,U323),COUNTIFS($U$4:U323,U323,$B$4:B323,B323))=1),MAX($W$3:W322)+1,"")</f>
        <v/>
      </c>
      <c r="X323" s="38" t="str">
        <f t="shared" si="39"/>
        <v/>
      </c>
      <c r="Y323" s="38" t="str">
        <f>IF(AND(A323="Аппарат",C323&lt;&gt;"",OR($S$5="(все)",B323=$S$5)),MAX($Y$3:Y322)+1,"")</f>
        <v/>
      </c>
      <c r="Z323" s="38" t="str">
        <f t="shared" si="40"/>
        <v/>
      </c>
      <c r="AA323" s="38" t="str">
        <f>IF(AND(A323="Модуль",C323&lt;&gt;"",OR($S$6="(все)",B323=$S$6)),MAX($AA$3:AA322)+1,"")</f>
        <v/>
      </c>
      <c r="AB323" s="38" t="str">
        <f t="shared" si="41"/>
        <v/>
      </c>
      <c r="AC323" s="38" t="str">
        <f>IF(OR(B323="",COUNTIF($B$4:B323,B323)&gt;1),"",MAX($AC$3:AC322)+1)</f>
        <v/>
      </c>
      <c r="AD323" s="38" t="str">
        <f t="shared" si="42"/>
        <v/>
      </c>
      <c r="AE323" s="38" t="str">
        <f t="shared" si="43"/>
        <v/>
      </c>
      <c r="AF323" s="38" t="str">
        <f t="shared" si="44"/>
        <v/>
      </c>
    </row>
    <row r="324" spans="1:32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38" t="str">
        <f>IF(OR(A324="Автомат",A324="Дифавтомат"),IF(W324="","",COUNTIFS(Однолинейка!$H$3:$H$3000,U324,Однолинейка!$A$3:$A$3000,Щит_спец)),IF(A324="Аппарат",IF(C324="","",COUNTIFS(Однолинейка!$I$3:$I$3000,C324,Однолинейка!$A$3:$A$3000,Щит_спец)+COUNTIFS(Однолинейка!$J$3:$J$3000,C324,Однолинейка!$A$3:$A$3000,Щит_спец)+COUNTIFS(Однолинейка!$K$3:$K$3000,C324,Однолинейка!$A$3:$A$3000,Щит_спец)),IF(A324="Модуль",IF(C324="","",COUNTIFS(Однолинейка!$AW$3:$AW$3000,"?*",Однолинейка!$AI$3:$AI$3000,C324,Однолинейка!$A$3:$A$3000,Щит_спец)),IF(A324="Клемма",IF(C324="","",IF(C324=$S$7,SUMIFS(Однолинейка!$BW$3:$BW$3000,Однолинейка!$A$3:$A$3000,Щит_спец),IF(C324=$S$8,SUMIFS(Однолинейка!$BX$3:$BX$3000,Однолинейка!$A$3:$A$3000,Щит_спец),""))),""))))</f>
        <v/>
      </c>
      <c r="O324" s="74"/>
      <c r="P324" s="38" t="str">
        <f t="shared" ref="P324:P387" si="45">IF(COUNT(N324,O324)=0,"",SUM(N324,O324))</f>
        <v/>
      </c>
      <c r="U324" s="38" t="str">
        <f t="shared" ref="U324:U387" si="46">IF(OR(A324="Автомат",A324="Дифавтомат"),I324&amp;" С"&amp;J324&amp;"А"&amp;IF(K324="да"," 30мА",IF(ISNUMBER(K324)," "&amp;K324&amp;"мА","")),"")</f>
        <v/>
      </c>
      <c r="V324" s="38" t="str">
        <f t="shared" ref="V324:V387" si="47">IF(U324="","",B324&amp;"|"&amp;U324)</f>
        <v/>
      </c>
      <c r="W324" s="38" t="str">
        <f>IF(AND(U324&lt;&gt;"",OR($S$4="(все)",B324=$S$4),IF($S$4="(все)",COUNTIF($U$4:U324,U324),COUNTIFS($U$4:U324,U324,$B$4:B324,B324))=1),MAX($W$3:W323)+1,"")</f>
        <v/>
      </c>
      <c r="X324" s="38" t="str">
        <f t="shared" ref="X324:X387" si="48">IFERROR(INDEX($U$4:$U$500,MATCH(ROW()-3,$W$4:$W$500,0)),"")</f>
        <v/>
      </c>
      <c r="Y324" s="38" t="str">
        <f>IF(AND(A324="Аппарат",C324&lt;&gt;"",OR($S$5="(все)",B324=$S$5)),MAX($Y$3:Y323)+1,"")</f>
        <v/>
      </c>
      <c r="Z324" s="38" t="str">
        <f t="shared" ref="Z324:Z387" si="49">IFERROR(INDEX($C$4:$C$500,MATCH(ROW()-3,$Y$4:$Y$500,0)),"")</f>
        <v/>
      </c>
      <c r="AA324" s="38" t="str">
        <f>IF(AND(A324="Модуль",C324&lt;&gt;"",OR($S$6="(все)",B324=$S$6)),MAX($AA$3:AA323)+1,"")</f>
        <v/>
      </c>
      <c r="AB324" s="38" t="str">
        <f t="shared" ref="AB324:AB387" si="50">IFERROR(INDEX($C$4:$C$500,MATCH(ROW()-3,$AA$4:$AA$500,0)),"")</f>
        <v/>
      </c>
      <c r="AC324" s="38" t="str">
        <f>IF(OR(B324="",COUNTIF($B$4:B324,B324)&gt;1),"",MAX($AC$3:AC323)+1)</f>
        <v/>
      </c>
      <c r="AD324" s="38" t="str">
        <f t="shared" ref="AD324:AD387" si="51">IFERROR(INDEX($B$4:$B$500,MATCH(ROW()-3,$AC$4:$AC$500,0)),"")</f>
        <v/>
      </c>
      <c r="AE324" s="38" t="str">
        <f t="shared" ref="AE324:AE387" si="52">IF(AND(A324&lt;&gt;"",N(P324)&gt;0),IFERROR(MATCH(A324,$R$12:$R$25,0),99)*1000+ROW(),"")</f>
        <v/>
      </c>
      <c r="AF324" s="38" t="str">
        <f t="shared" ref="AF324:AF387" si="53">IF(AE324="","",COUNTIF($AE$4:$AE$500,"&lt;="&amp;AE324))</f>
        <v/>
      </c>
    </row>
    <row r="325" spans="1:32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38" t="str">
        <f>IF(OR(A325="Автомат",A325="Дифавтомат"),IF(W325="","",COUNTIFS(Однолинейка!$H$3:$H$3000,U325,Однолинейка!$A$3:$A$3000,Щит_спец)),IF(A325="Аппарат",IF(C325="","",COUNTIFS(Однолинейка!$I$3:$I$3000,C325,Однолинейка!$A$3:$A$3000,Щит_спец)+COUNTIFS(Однолинейка!$J$3:$J$3000,C325,Однолинейка!$A$3:$A$3000,Щит_спец)+COUNTIFS(Однолинейка!$K$3:$K$3000,C325,Однолинейка!$A$3:$A$3000,Щит_спец)),IF(A325="Модуль",IF(C325="","",COUNTIFS(Однолинейка!$AW$3:$AW$3000,"?*",Однолинейка!$AI$3:$AI$3000,C325,Однолинейка!$A$3:$A$3000,Щит_спец)),IF(A325="Клемма",IF(C325="","",IF(C325=$S$7,SUMIFS(Однолинейка!$BW$3:$BW$3000,Однолинейка!$A$3:$A$3000,Щит_спец),IF(C325=$S$8,SUMIFS(Однолинейка!$BX$3:$BX$3000,Однолинейка!$A$3:$A$3000,Щит_спец),""))),""))))</f>
        <v/>
      </c>
      <c r="O325" s="74"/>
      <c r="P325" s="38" t="str">
        <f t="shared" si="45"/>
        <v/>
      </c>
      <c r="U325" s="38" t="str">
        <f t="shared" si="46"/>
        <v/>
      </c>
      <c r="V325" s="38" t="str">
        <f t="shared" si="47"/>
        <v/>
      </c>
      <c r="W325" s="38" t="str">
        <f>IF(AND(U325&lt;&gt;"",OR($S$4="(все)",B325=$S$4),IF($S$4="(все)",COUNTIF($U$4:U325,U325),COUNTIFS($U$4:U325,U325,$B$4:B325,B325))=1),MAX($W$3:W324)+1,"")</f>
        <v/>
      </c>
      <c r="X325" s="38" t="str">
        <f t="shared" si="48"/>
        <v/>
      </c>
      <c r="Y325" s="38" t="str">
        <f>IF(AND(A325="Аппарат",C325&lt;&gt;"",OR($S$5="(все)",B325=$S$5)),MAX($Y$3:Y324)+1,"")</f>
        <v/>
      </c>
      <c r="Z325" s="38" t="str">
        <f t="shared" si="49"/>
        <v/>
      </c>
      <c r="AA325" s="38" t="str">
        <f>IF(AND(A325="Модуль",C325&lt;&gt;"",OR($S$6="(все)",B325=$S$6)),MAX($AA$3:AA324)+1,"")</f>
        <v/>
      </c>
      <c r="AB325" s="38" t="str">
        <f t="shared" si="50"/>
        <v/>
      </c>
      <c r="AC325" s="38" t="str">
        <f>IF(OR(B325="",COUNTIF($B$4:B325,B325)&gt;1),"",MAX($AC$3:AC324)+1)</f>
        <v/>
      </c>
      <c r="AD325" s="38" t="str">
        <f t="shared" si="51"/>
        <v/>
      </c>
      <c r="AE325" s="38" t="str">
        <f t="shared" si="52"/>
        <v/>
      </c>
      <c r="AF325" s="38" t="str">
        <f t="shared" si="53"/>
        <v/>
      </c>
    </row>
    <row r="326" spans="1:32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38" t="str">
        <f>IF(OR(A326="Автомат",A326="Дифавтомат"),IF(W326="","",COUNTIFS(Однолинейка!$H$3:$H$3000,U326,Однолинейка!$A$3:$A$3000,Щит_спец)),IF(A326="Аппарат",IF(C326="","",COUNTIFS(Однолинейка!$I$3:$I$3000,C326,Однолинейка!$A$3:$A$3000,Щит_спец)+COUNTIFS(Однолинейка!$J$3:$J$3000,C326,Однолинейка!$A$3:$A$3000,Щит_спец)+COUNTIFS(Однолинейка!$K$3:$K$3000,C326,Однолинейка!$A$3:$A$3000,Щит_спец)),IF(A326="Модуль",IF(C326="","",COUNTIFS(Однолинейка!$AW$3:$AW$3000,"?*",Однолинейка!$AI$3:$AI$3000,C326,Однолинейка!$A$3:$A$3000,Щит_спец)),IF(A326="Клемма",IF(C326="","",IF(C326=$S$7,SUMIFS(Однолинейка!$BW$3:$BW$3000,Однолинейка!$A$3:$A$3000,Щит_спец),IF(C326=$S$8,SUMIFS(Однолинейка!$BX$3:$BX$3000,Однолинейка!$A$3:$A$3000,Щит_спец),""))),""))))</f>
        <v/>
      </c>
      <c r="O326" s="74"/>
      <c r="P326" s="38" t="str">
        <f t="shared" si="45"/>
        <v/>
      </c>
      <c r="U326" s="38" t="str">
        <f t="shared" si="46"/>
        <v/>
      </c>
      <c r="V326" s="38" t="str">
        <f t="shared" si="47"/>
        <v/>
      </c>
      <c r="W326" s="38" t="str">
        <f>IF(AND(U326&lt;&gt;"",OR($S$4="(все)",B326=$S$4),IF($S$4="(все)",COUNTIF($U$4:U326,U326),COUNTIFS($U$4:U326,U326,$B$4:B326,B326))=1),MAX($W$3:W325)+1,"")</f>
        <v/>
      </c>
      <c r="X326" s="38" t="str">
        <f t="shared" si="48"/>
        <v/>
      </c>
      <c r="Y326" s="38" t="str">
        <f>IF(AND(A326="Аппарат",C326&lt;&gt;"",OR($S$5="(все)",B326=$S$5)),MAX($Y$3:Y325)+1,"")</f>
        <v/>
      </c>
      <c r="Z326" s="38" t="str">
        <f t="shared" si="49"/>
        <v/>
      </c>
      <c r="AA326" s="38" t="str">
        <f>IF(AND(A326="Модуль",C326&lt;&gt;"",OR($S$6="(все)",B326=$S$6)),MAX($AA$3:AA325)+1,"")</f>
        <v/>
      </c>
      <c r="AB326" s="38" t="str">
        <f t="shared" si="50"/>
        <v/>
      </c>
      <c r="AC326" s="38" t="str">
        <f>IF(OR(B326="",COUNTIF($B$4:B326,B326)&gt;1),"",MAX($AC$3:AC325)+1)</f>
        <v/>
      </c>
      <c r="AD326" s="38" t="str">
        <f t="shared" si="51"/>
        <v/>
      </c>
      <c r="AE326" s="38" t="str">
        <f t="shared" si="52"/>
        <v/>
      </c>
      <c r="AF326" s="38" t="str">
        <f t="shared" si="53"/>
        <v/>
      </c>
    </row>
    <row r="327" spans="1:32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38" t="str">
        <f>IF(OR(A327="Автомат",A327="Дифавтомат"),IF(W327="","",COUNTIFS(Однолинейка!$H$3:$H$3000,U327,Однолинейка!$A$3:$A$3000,Щит_спец)),IF(A327="Аппарат",IF(C327="","",COUNTIFS(Однолинейка!$I$3:$I$3000,C327,Однолинейка!$A$3:$A$3000,Щит_спец)+COUNTIFS(Однолинейка!$J$3:$J$3000,C327,Однолинейка!$A$3:$A$3000,Щит_спец)+COUNTIFS(Однолинейка!$K$3:$K$3000,C327,Однолинейка!$A$3:$A$3000,Щит_спец)),IF(A327="Модуль",IF(C327="","",COUNTIFS(Однолинейка!$AW$3:$AW$3000,"?*",Однолинейка!$AI$3:$AI$3000,C327,Однолинейка!$A$3:$A$3000,Щит_спец)),IF(A327="Клемма",IF(C327="","",IF(C327=$S$7,SUMIFS(Однолинейка!$BW$3:$BW$3000,Однолинейка!$A$3:$A$3000,Щит_спец),IF(C327=$S$8,SUMIFS(Однолинейка!$BX$3:$BX$3000,Однолинейка!$A$3:$A$3000,Щит_спец),""))),""))))</f>
        <v/>
      </c>
      <c r="O327" s="74"/>
      <c r="P327" s="38" t="str">
        <f t="shared" si="45"/>
        <v/>
      </c>
      <c r="U327" s="38" t="str">
        <f t="shared" si="46"/>
        <v/>
      </c>
      <c r="V327" s="38" t="str">
        <f t="shared" si="47"/>
        <v/>
      </c>
      <c r="W327" s="38" t="str">
        <f>IF(AND(U327&lt;&gt;"",OR($S$4="(все)",B327=$S$4),IF($S$4="(все)",COUNTIF($U$4:U327,U327),COUNTIFS($U$4:U327,U327,$B$4:B327,B327))=1),MAX($W$3:W326)+1,"")</f>
        <v/>
      </c>
      <c r="X327" s="38" t="str">
        <f t="shared" si="48"/>
        <v/>
      </c>
      <c r="Y327" s="38" t="str">
        <f>IF(AND(A327="Аппарат",C327&lt;&gt;"",OR($S$5="(все)",B327=$S$5)),MAX($Y$3:Y326)+1,"")</f>
        <v/>
      </c>
      <c r="Z327" s="38" t="str">
        <f t="shared" si="49"/>
        <v/>
      </c>
      <c r="AA327" s="38" t="str">
        <f>IF(AND(A327="Модуль",C327&lt;&gt;"",OR($S$6="(все)",B327=$S$6)),MAX($AA$3:AA326)+1,"")</f>
        <v/>
      </c>
      <c r="AB327" s="38" t="str">
        <f t="shared" si="50"/>
        <v/>
      </c>
      <c r="AC327" s="38" t="str">
        <f>IF(OR(B327="",COUNTIF($B$4:B327,B327)&gt;1),"",MAX($AC$3:AC326)+1)</f>
        <v/>
      </c>
      <c r="AD327" s="38" t="str">
        <f t="shared" si="51"/>
        <v/>
      </c>
      <c r="AE327" s="38" t="str">
        <f t="shared" si="52"/>
        <v/>
      </c>
      <c r="AF327" s="38" t="str">
        <f t="shared" si="53"/>
        <v/>
      </c>
    </row>
    <row r="328" spans="1:32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38" t="str">
        <f>IF(OR(A328="Автомат",A328="Дифавтомат"),IF(W328="","",COUNTIFS(Однолинейка!$H$3:$H$3000,U328,Однолинейка!$A$3:$A$3000,Щит_спец)),IF(A328="Аппарат",IF(C328="","",COUNTIFS(Однолинейка!$I$3:$I$3000,C328,Однолинейка!$A$3:$A$3000,Щит_спец)+COUNTIFS(Однолинейка!$J$3:$J$3000,C328,Однолинейка!$A$3:$A$3000,Щит_спец)+COUNTIFS(Однолинейка!$K$3:$K$3000,C328,Однолинейка!$A$3:$A$3000,Щит_спец)),IF(A328="Модуль",IF(C328="","",COUNTIFS(Однолинейка!$AW$3:$AW$3000,"?*",Однолинейка!$AI$3:$AI$3000,C328,Однолинейка!$A$3:$A$3000,Щит_спец)),IF(A328="Клемма",IF(C328="","",IF(C328=$S$7,SUMIFS(Однолинейка!$BW$3:$BW$3000,Однолинейка!$A$3:$A$3000,Щит_спец),IF(C328=$S$8,SUMIFS(Однолинейка!$BX$3:$BX$3000,Однолинейка!$A$3:$A$3000,Щит_спец),""))),""))))</f>
        <v/>
      </c>
      <c r="O328" s="74"/>
      <c r="P328" s="38" t="str">
        <f t="shared" si="45"/>
        <v/>
      </c>
      <c r="U328" s="38" t="str">
        <f t="shared" si="46"/>
        <v/>
      </c>
      <c r="V328" s="38" t="str">
        <f t="shared" si="47"/>
        <v/>
      </c>
      <c r="W328" s="38" t="str">
        <f>IF(AND(U328&lt;&gt;"",OR($S$4="(все)",B328=$S$4),IF($S$4="(все)",COUNTIF($U$4:U328,U328),COUNTIFS($U$4:U328,U328,$B$4:B328,B328))=1),MAX($W$3:W327)+1,"")</f>
        <v/>
      </c>
      <c r="X328" s="38" t="str">
        <f t="shared" si="48"/>
        <v/>
      </c>
      <c r="Y328" s="38" t="str">
        <f>IF(AND(A328="Аппарат",C328&lt;&gt;"",OR($S$5="(все)",B328=$S$5)),MAX($Y$3:Y327)+1,"")</f>
        <v/>
      </c>
      <c r="Z328" s="38" t="str">
        <f t="shared" si="49"/>
        <v/>
      </c>
      <c r="AA328" s="38" t="str">
        <f>IF(AND(A328="Модуль",C328&lt;&gt;"",OR($S$6="(все)",B328=$S$6)),MAX($AA$3:AA327)+1,"")</f>
        <v/>
      </c>
      <c r="AB328" s="38" t="str">
        <f t="shared" si="50"/>
        <v/>
      </c>
      <c r="AC328" s="38" t="str">
        <f>IF(OR(B328="",COUNTIF($B$4:B328,B328)&gt;1),"",MAX($AC$3:AC327)+1)</f>
        <v/>
      </c>
      <c r="AD328" s="38" t="str">
        <f t="shared" si="51"/>
        <v/>
      </c>
      <c r="AE328" s="38" t="str">
        <f t="shared" si="52"/>
        <v/>
      </c>
      <c r="AF328" s="38" t="str">
        <f t="shared" si="53"/>
        <v/>
      </c>
    </row>
    <row r="329" spans="1:32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38" t="str">
        <f>IF(OR(A329="Автомат",A329="Дифавтомат"),IF(W329="","",COUNTIFS(Однолинейка!$H$3:$H$3000,U329,Однолинейка!$A$3:$A$3000,Щит_спец)),IF(A329="Аппарат",IF(C329="","",COUNTIFS(Однолинейка!$I$3:$I$3000,C329,Однолинейка!$A$3:$A$3000,Щит_спец)+COUNTIFS(Однолинейка!$J$3:$J$3000,C329,Однолинейка!$A$3:$A$3000,Щит_спец)+COUNTIFS(Однолинейка!$K$3:$K$3000,C329,Однолинейка!$A$3:$A$3000,Щит_спец)),IF(A329="Модуль",IF(C329="","",COUNTIFS(Однолинейка!$AW$3:$AW$3000,"?*",Однолинейка!$AI$3:$AI$3000,C329,Однолинейка!$A$3:$A$3000,Щит_спец)),IF(A329="Клемма",IF(C329="","",IF(C329=$S$7,SUMIFS(Однолинейка!$BW$3:$BW$3000,Однолинейка!$A$3:$A$3000,Щит_спец),IF(C329=$S$8,SUMIFS(Однолинейка!$BX$3:$BX$3000,Однолинейка!$A$3:$A$3000,Щит_спец),""))),""))))</f>
        <v/>
      </c>
      <c r="O329" s="74"/>
      <c r="P329" s="38" t="str">
        <f t="shared" si="45"/>
        <v/>
      </c>
      <c r="U329" s="38" t="str">
        <f t="shared" si="46"/>
        <v/>
      </c>
      <c r="V329" s="38" t="str">
        <f t="shared" si="47"/>
        <v/>
      </c>
      <c r="W329" s="38" t="str">
        <f>IF(AND(U329&lt;&gt;"",OR($S$4="(все)",B329=$S$4),IF($S$4="(все)",COUNTIF($U$4:U329,U329),COUNTIFS($U$4:U329,U329,$B$4:B329,B329))=1),MAX($W$3:W328)+1,"")</f>
        <v/>
      </c>
      <c r="X329" s="38" t="str">
        <f t="shared" si="48"/>
        <v/>
      </c>
      <c r="Y329" s="38" t="str">
        <f>IF(AND(A329="Аппарат",C329&lt;&gt;"",OR($S$5="(все)",B329=$S$5)),MAX($Y$3:Y328)+1,"")</f>
        <v/>
      </c>
      <c r="Z329" s="38" t="str">
        <f t="shared" si="49"/>
        <v/>
      </c>
      <c r="AA329" s="38" t="str">
        <f>IF(AND(A329="Модуль",C329&lt;&gt;"",OR($S$6="(все)",B329=$S$6)),MAX($AA$3:AA328)+1,"")</f>
        <v/>
      </c>
      <c r="AB329" s="38" t="str">
        <f t="shared" si="50"/>
        <v/>
      </c>
      <c r="AC329" s="38" t="str">
        <f>IF(OR(B329="",COUNTIF($B$4:B329,B329)&gt;1),"",MAX($AC$3:AC328)+1)</f>
        <v/>
      </c>
      <c r="AD329" s="38" t="str">
        <f t="shared" si="51"/>
        <v/>
      </c>
      <c r="AE329" s="38" t="str">
        <f t="shared" si="52"/>
        <v/>
      </c>
      <c r="AF329" s="38" t="str">
        <f t="shared" si="53"/>
        <v/>
      </c>
    </row>
    <row r="330" spans="1:32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38" t="str">
        <f>IF(OR(A330="Автомат",A330="Дифавтомат"),IF(W330="","",COUNTIFS(Однолинейка!$H$3:$H$3000,U330,Однолинейка!$A$3:$A$3000,Щит_спец)),IF(A330="Аппарат",IF(C330="","",COUNTIFS(Однолинейка!$I$3:$I$3000,C330,Однолинейка!$A$3:$A$3000,Щит_спец)+COUNTIFS(Однолинейка!$J$3:$J$3000,C330,Однолинейка!$A$3:$A$3000,Щит_спец)+COUNTIFS(Однолинейка!$K$3:$K$3000,C330,Однолинейка!$A$3:$A$3000,Щит_спец)),IF(A330="Модуль",IF(C330="","",COUNTIFS(Однолинейка!$AW$3:$AW$3000,"?*",Однолинейка!$AI$3:$AI$3000,C330,Однолинейка!$A$3:$A$3000,Щит_спец)),IF(A330="Клемма",IF(C330="","",IF(C330=$S$7,SUMIFS(Однолинейка!$BW$3:$BW$3000,Однолинейка!$A$3:$A$3000,Щит_спец),IF(C330=$S$8,SUMIFS(Однолинейка!$BX$3:$BX$3000,Однолинейка!$A$3:$A$3000,Щит_спец),""))),""))))</f>
        <v/>
      </c>
      <c r="O330" s="74"/>
      <c r="P330" s="38" t="str">
        <f t="shared" si="45"/>
        <v/>
      </c>
      <c r="U330" s="38" t="str">
        <f t="shared" si="46"/>
        <v/>
      </c>
      <c r="V330" s="38" t="str">
        <f t="shared" si="47"/>
        <v/>
      </c>
      <c r="W330" s="38" t="str">
        <f>IF(AND(U330&lt;&gt;"",OR($S$4="(все)",B330=$S$4),IF($S$4="(все)",COUNTIF($U$4:U330,U330),COUNTIFS($U$4:U330,U330,$B$4:B330,B330))=1),MAX($W$3:W329)+1,"")</f>
        <v/>
      </c>
      <c r="X330" s="38" t="str">
        <f t="shared" si="48"/>
        <v/>
      </c>
      <c r="Y330" s="38" t="str">
        <f>IF(AND(A330="Аппарат",C330&lt;&gt;"",OR($S$5="(все)",B330=$S$5)),MAX($Y$3:Y329)+1,"")</f>
        <v/>
      </c>
      <c r="Z330" s="38" t="str">
        <f t="shared" si="49"/>
        <v/>
      </c>
      <c r="AA330" s="38" t="str">
        <f>IF(AND(A330="Модуль",C330&lt;&gt;"",OR($S$6="(все)",B330=$S$6)),MAX($AA$3:AA329)+1,"")</f>
        <v/>
      </c>
      <c r="AB330" s="38" t="str">
        <f t="shared" si="50"/>
        <v/>
      </c>
      <c r="AC330" s="38" t="str">
        <f>IF(OR(B330="",COUNTIF($B$4:B330,B330)&gt;1),"",MAX($AC$3:AC329)+1)</f>
        <v/>
      </c>
      <c r="AD330" s="38" t="str">
        <f t="shared" si="51"/>
        <v/>
      </c>
      <c r="AE330" s="38" t="str">
        <f t="shared" si="52"/>
        <v/>
      </c>
      <c r="AF330" s="38" t="str">
        <f t="shared" si="53"/>
        <v/>
      </c>
    </row>
    <row r="331" spans="1:32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38" t="str">
        <f>IF(OR(A331="Автомат",A331="Дифавтомат"),IF(W331="","",COUNTIFS(Однолинейка!$H$3:$H$3000,U331,Однолинейка!$A$3:$A$3000,Щит_спец)),IF(A331="Аппарат",IF(C331="","",COUNTIFS(Однолинейка!$I$3:$I$3000,C331,Однолинейка!$A$3:$A$3000,Щит_спец)+COUNTIFS(Однолинейка!$J$3:$J$3000,C331,Однолинейка!$A$3:$A$3000,Щит_спец)+COUNTIFS(Однолинейка!$K$3:$K$3000,C331,Однолинейка!$A$3:$A$3000,Щит_спец)),IF(A331="Модуль",IF(C331="","",COUNTIFS(Однолинейка!$AW$3:$AW$3000,"?*",Однолинейка!$AI$3:$AI$3000,C331,Однолинейка!$A$3:$A$3000,Щит_спец)),IF(A331="Клемма",IF(C331="","",IF(C331=$S$7,SUMIFS(Однолинейка!$BW$3:$BW$3000,Однолинейка!$A$3:$A$3000,Щит_спец),IF(C331=$S$8,SUMIFS(Однолинейка!$BX$3:$BX$3000,Однолинейка!$A$3:$A$3000,Щит_спец),""))),""))))</f>
        <v/>
      </c>
      <c r="O331" s="74"/>
      <c r="P331" s="38" t="str">
        <f t="shared" si="45"/>
        <v/>
      </c>
      <c r="U331" s="38" t="str">
        <f t="shared" si="46"/>
        <v/>
      </c>
      <c r="V331" s="38" t="str">
        <f t="shared" si="47"/>
        <v/>
      </c>
      <c r="W331" s="38" t="str">
        <f>IF(AND(U331&lt;&gt;"",OR($S$4="(все)",B331=$S$4),IF($S$4="(все)",COUNTIF($U$4:U331,U331),COUNTIFS($U$4:U331,U331,$B$4:B331,B331))=1),MAX($W$3:W330)+1,"")</f>
        <v/>
      </c>
      <c r="X331" s="38" t="str">
        <f t="shared" si="48"/>
        <v/>
      </c>
      <c r="Y331" s="38" t="str">
        <f>IF(AND(A331="Аппарат",C331&lt;&gt;"",OR($S$5="(все)",B331=$S$5)),MAX($Y$3:Y330)+1,"")</f>
        <v/>
      </c>
      <c r="Z331" s="38" t="str">
        <f t="shared" si="49"/>
        <v/>
      </c>
      <c r="AA331" s="38" t="str">
        <f>IF(AND(A331="Модуль",C331&lt;&gt;"",OR($S$6="(все)",B331=$S$6)),MAX($AA$3:AA330)+1,"")</f>
        <v/>
      </c>
      <c r="AB331" s="38" t="str">
        <f t="shared" si="50"/>
        <v/>
      </c>
      <c r="AC331" s="38" t="str">
        <f>IF(OR(B331="",COUNTIF($B$4:B331,B331)&gt;1),"",MAX($AC$3:AC330)+1)</f>
        <v/>
      </c>
      <c r="AD331" s="38" t="str">
        <f t="shared" si="51"/>
        <v/>
      </c>
      <c r="AE331" s="38" t="str">
        <f t="shared" si="52"/>
        <v/>
      </c>
      <c r="AF331" s="38" t="str">
        <f t="shared" si="53"/>
        <v/>
      </c>
    </row>
    <row r="332" spans="1:32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38" t="str">
        <f>IF(OR(A332="Автомат",A332="Дифавтомат"),IF(W332="","",COUNTIFS(Однолинейка!$H$3:$H$3000,U332,Однолинейка!$A$3:$A$3000,Щит_спец)),IF(A332="Аппарат",IF(C332="","",COUNTIFS(Однолинейка!$I$3:$I$3000,C332,Однолинейка!$A$3:$A$3000,Щит_спец)+COUNTIFS(Однолинейка!$J$3:$J$3000,C332,Однолинейка!$A$3:$A$3000,Щит_спец)+COUNTIFS(Однолинейка!$K$3:$K$3000,C332,Однолинейка!$A$3:$A$3000,Щит_спец)),IF(A332="Модуль",IF(C332="","",COUNTIFS(Однолинейка!$AW$3:$AW$3000,"?*",Однолинейка!$AI$3:$AI$3000,C332,Однолинейка!$A$3:$A$3000,Щит_спец)),IF(A332="Клемма",IF(C332="","",IF(C332=$S$7,SUMIFS(Однолинейка!$BW$3:$BW$3000,Однолинейка!$A$3:$A$3000,Щит_спец),IF(C332=$S$8,SUMIFS(Однолинейка!$BX$3:$BX$3000,Однолинейка!$A$3:$A$3000,Щит_спец),""))),""))))</f>
        <v/>
      </c>
      <c r="O332" s="74"/>
      <c r="P332" s="38" t="str">
        <f t="shared" si="45"/>
        <v/>
      </c>
      <c r="U332" s="38" t="str">
        <f t="shared" si="46"/>
        <v/>
      </c>
      <c r="V332" s="38" t="str">
        <f t="shared" si="47"/>
        <v/>
      </c>
      <c r="W332" s="38" t="str">
        <f>IF(AND(U332&lt;&gt;"",OR($S$4="(все)",B332=$S$4),IF($S$4="(все)",COUNTIF($U$4:U332,U332),COUNTIFS($U$4:U332,U332,$B$4:B332,B332))=1),MAX($W$3:W331)+1,"")</f>
        <v/>
      </c>
      <c r="X332" s="38" t="str">
        <f t="shared" si="48"/>
        <v/>
      </c>
      <c r="Y332" s="38" t="str">
        <f>IF(AND(A332="Аппарат",C332&lt;&gt;"",OR($S$5="(все)",B332=$S$5)),MAX($Y$3:Y331)+1,"")</f>
        <v/>
      </c>
      <c r="Z332" s="38" t="str">
        <f t="shared" si="49"/>
        <v/>
      </c>
      <c r="AA332" s="38" t="str">
        <f>IF(AND(A332="Модуль",C332&lt;&gt;"",OR($S$6="(все)",B332=$S$6)),MAX($AA$3:AA331)+1,"")</f>
        <v/>
      </c>
      <c r="AB332" s="38" t="str">
        <f t="shared" si="50"/>
        <v/>
      </c>
      <c r="AC332" s="38" t="str">
        <f>IF(OR(B332="",COUNTIF($B$4:B332,B332)&gt;1),"",MAX($AC$3:AC331)+1)</f>
        <v/>
      </c>
      <c r="AD332" s="38" t="str">
        <f t="shared" si="51"/>
        <v/>
      </c>
      <c r="AE332" s="38" t="str">
        <f t="shared" si="52"/>
        <v/>
      </c>
      <c r="AF332" s="38" t="str">
        <f t="shared" si="53"/>
        <v/>
      </c>
    </row>
    <row r="333" spans="1:32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38" t="str">
        <f>IF(OR(A333="Автомат",A333="Дифавтомат"),IF(W333="","",COUNTIFS(Однолинейка!$H$3:$H$3000,U333,Однолинейка!$A$3:$A$3000,Щит_спец)),IF(A333="Аппарат",IF(C333="","",COUNTIFS(Однолинейка!$I$3:$I$3000,C333,Однолинейка!$A$3:$A$3000,Щит_спец)+COUNTIFS(Однолинейка!$J$3:$J$3000,C333,Однолинейка!$A$3:$A$3000,Щит_спец)+COUNTIFS(Однолинейка!$K$3:$K$3000,C333,Однолинейка!$A$3:$A$3000,Щит_спец)),IF(A333="Модуль",IF(C333="","",COUNTIFS(Однолинейка!$AW$3:$AW$3000,"?*",Однолинейка!$AI$3:$AI$3000,C333,Однолинейка!$A$3:$A$3000,Щит_спец)),IF(A333="Клемма",IF(C333="","",IF(C333=$S$7,SUMIFS(Однолинейка!$BW$3:$BW$3000,Однолинейка!$A$3:$A$3000,Щит_спец),IF(C333=$S$8,SUMIFS(Однолинейка!$BX$3:$BX$3000,Однолинейка!$A$3:$A$3000,Щит_спец),""))),""))))</f>
        <v/>
      </c>
      <c r="O333" s="74"/>
      <c r="P333" s="38" t="str">
        <f t="shared" si="45"/>
        <v/>
      </c>
      <c r="U333" s="38" t="str">
        <f t="shared" si="46"/>
        <v/>
      </c>
      <c r="V333" s="38" t="str">
        <f t="shared" si="47"/>
        <v/>
      </c>
      <c r="W333" s="38" t="str">
        <f>IF(AND(U333&lt;&gt;"",OR($S$4="(все)",B333=$S$4),IF($S$4="(все)",COUNTIF($U$4:U333,U333),COUNTIFS($U$4:U333,U333,$B$4:B333,B333))=1),MAX($W$3:W332)+1,"")</f>
        <v/>
      </c>
      <c r="X333" s="38" t="str">
        <f t="shared" si="48"/>
        <v/>
      </c>
      <c r="Y333" s="38" t="str">
        <f>IF(AND(A333="Аппарат",C333&lt;&gt;"",OR($S$5="(все)",B333=$S$5)),MAX($Y$3:Y332)+1,"")</f>
        <v/>
      </c>
      <c r="Z333" s="38" t="str">
        <f t="shared" si="49"/>
        <v/>
      </c>
      <c r="AA333" s="38" t="str">
        <f>IF(AND(A333="Модуль",C333&lt;&gt;"",OR($S$6="(все)",B333=$S$6)),MAX($AA$3:AA332)+1,"")</f>
        <v/>
      </c>
      <c r="AB333" s="38" t="str">
        <f t="shared" si="50"/>
        <v/>
      </c>
      <c r="AC333" s="38" t="str">
        <f>IF(OR(B333="",COUNTIF($B$4:B333,B333)&gt;1),"",MAX($AC$3:AC332)+1)</f>
        <v/>
      </c>
      <c r="AD333" s="38" t="str">
        <f t="shared" si="51"/>
        <v/>
      </c>
      <c r="AE333" s="38" t="str">
        <f t="shared" si="52"/>
        <v/>
      </c>
      <c r="AF333" s="38" t="str">
        <f t="shared" si="53"/>
        <v/>
      </c>
    </row>
    <row r="334" spans="1:32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38" t="str">
        <f>IF(OR(A334="Автомат",A334="Дифавтомат"),IF(W334="","",COUNTIFS(Однолинейка!$H$3:$H$3000,U334,Однолинейка!$A$3:$A$3000,Щит_спец)),IF(A334="Аппарат",IF(C334="","",COUNTIFS(Однолинейка!$I$3:$I$3000,C334,Однолинейка!$A$3:$A$3000,Щит_спец)+COUNTIFS(Однолинейка!$J$3:$J$3000,C334,Однолинейка!$A$3:$A$3000,Щит_спец)+COUNTIFS(Однолинейка!$K$3:$K$3000,C334,Однолинейка!$A$3:$A$3000,Щит_спец)),IF(A334="Модуль",IF(C334="","",COUNTIFS(Однолинейка!$AW$3:$AW$3000,"?*",Однолинейка!$AI$3:$AI$3000,C334,Однолинейка!$A$3:$A$3000,Щит_спец)),IF(A334="Клемма",IF(C334="","",IF(C334=$S$7,SUMIFS(Однолинейка!$BW$3:$BW$3000,Однолинейка!$A$3:$A$3000,Щит_спец),IF(C334=$S$8,SUMIFS(Однолинейка!$BX$3:$BX$3000,Однолинейка!$A$3:$A$3000,Щит_спец),""))),""))))</f>
        <v/>
      </c>
      <c r="O334" s="74"/>
      <c r="P334" s="38" t="str">
        <f t="shared" si="45"/>
        <v/>
      </c>
      <c r="U334" s="38" t="str">
        <f t="shared" si="46"/>
        <v/>
      </c>
      <c r="V334" s="38" t="str">
        <f t="shared" si="47"/>
        <v/>
      </c>
      <c r="W334" s="38" t="str">
        <f>IF(AND(U334&lt;&gt;"",OR($S$4="(все)",B334=$S$4),IF($S$4="(все)",COUNTIF($U$4:U334,U334),COUNTIFS($U$4:U334,U334,$B$4:B334,B334))=1),MAX($W$3:W333)+1,"")</f>
        <v/>
      </c>
      <c r="X334" s="38" t="str">
        <f t="shared" si="48"/>
        <v/>
      </c>
      <c r="Y334" s="38" t="str">
        <f>IF(AND(A334="Аппарат",C334&lt;&gt;"",OR($S$5="(все)",B334=$S$5)),MAX($Y$3:Y333)+1,"")</f>
        <v/>
      </c>
      <c r="Z334" s="38" t="str">
        <f t="shared" si="49"/>
        <v/>
      </c>
      <c r="AA334" s="38" t="str">
        <f>IF(AND(A334="Модуль",C334&lt;&gt;"",OR($S$6="(все)",B334=$S$6)),MAX($AA$3:AA333)+1,"")</f>
        <v/>
      </c>
      <c r="AB334" s="38" t="str">
        <f t="shared" si="50"/>
        <v/>
      </c>
      <c r="AC334" s="38" t="str">
        <f>IF(OR(B334="",COUNTIF($B$4:B334,B334)&gt;1),"",MAX($AC$3:AC333)+1)</f>
        <v/>
      </c>
      <c r="AD334" s="38" t="str">
        <f t="shared" si="51"/>
        <v/>
      </c>
      <c r="AE334" s="38" t="str">
        <f t="shared" si="52"/>
        <v/>
      </c>
      <c r="AF334" s="38" t="str">
        <f t="shared" si="53"/>
        <v/>
      </c>
    </row>
    <row r="335" spans="1:32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38" t="str">
        <f>IF(OR(A335="Автомат",A335="Дифавтомат"),IF(W335="","",COUNTIFS(Однолинейка!$H$3:$H$3000,U335,Однолинейка!$A$3:$A$3000,Щит_спец)),IF(A335="Аппарат",IF(C335="","",COUNTIFS(Однолинейка!$I$3:$I$3000,C335,Однолинейка!$A$3:$A$3000,Щит_спец)+COUNTIFS(Однолинейка!$J$3:$J$3000,C335,Однолинейка!$A$3:$A$3000,Щит_спец)+COUNTIFS(Однолинейка!$K$3:$K$3000,C335,Однолинейка!$A$3:$A$3000,Щит_спец)),IF(A335="Модуль",IF(C335="","",COUNTIFS(Однолинейка!$AW$3:$AW$3000,"?*",Однолинейка!$AI$3:$AI$3000,C335,Однолинейка!$A$3:$A$3000,Щит_спец)),IF(A335="Клемма",IF(C335="","",IF(C335=$S$7,SUMIFS(Однолинейка!$BW$3:$BW$3000,Однолинейка!$A$3:$A$3000,Щит_спец),IF(C335=$S$8,SUMIFS(Однолинейка!$BX$3:$BX$3000,Однолинейка!$A$3:$A$3000,Щит_спец),""))),""))))</f>
        <v/>
      </c>
      <c r="O335" s="74"/>
      <c r="P335" s="38" t="str">
        <f t="shared" si="45"/>
        <v/>
      </c>
      <c r="U335" s="38" t="str">
        <f t="shared" si="46"/>
        <v/>
      </c>
      <c r="V335" s="38" t="str">
        <f t="shared" si="47"/>
        <v/>
      </c>
      <c r="W335" s="38" t="str">
        <f>IF(AND(U335&lt;&gt;"",OR($S$4="(все)",B335=$S$4),IF($S$4="(все)",COUNTIF($U$4:U335,U335),COUNTIFS($U$4:U335,U335,$B$4:B335,B335))=1),MAX($W$3:W334)+1,"")</f>
        <v/>
      </c>
      <c r="X335" s="38" t="str">
        <f t="shared" si="48"/>
        <v/>
      </c>
      <c r="Y335" s="38" t="str">
        <f>IF(AND(A335="Аппарат",C335&lt;&gt;"",OR($S$5="(все)",B335=$S$5)),MAX($Y$3:Y334)+1,"")</f>
        <v/>
      </c>
      <c r="Z335" s="38" t="str">
        <f t="shared" si="49"/>
        <v/>
      </c>
      <c r="AA335" s="38" t="str">
        <f>IF(AND(A335="Модуль",C335&lt;&gt;"",OR($S$6="(все)",B335=$S$6)),MAX($AA$3:AA334)+1,"")</f>
        <v/>
      </c>
      <c r="AB335" s="38" t="str">
        <f t="shared" si="50"/>
        <v/>
      </c>
      <c r="AC335" s="38" t="str">
        <f>IF(OR(B335="",COUNTIF($B$4:B335,B335)&gt;1),"",MAX($AC$3:AC334)+1)</f>
        <v/>
      </c>
      <c r="AD335" s="38" t="str">
        <f t="shared" si="51"/>
        <v/>
      </c>
      <c r="AE335" s="38" t="str">
        <f t="shared" si="52"/>
        <v/>
      </c>
      <c r="AF335" s="38" t="str">
        <f t="shared" si="53"/>
        <v/>
      </c>
    </row>
    <row r="336" spans="1:32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38" t="str">
        <f>IF(OR(A336="Автомат",A336="Дифавтомат"),IF(W336="","",COUNTIFS(Однолинейка!$H$3:$H$3000,U336,Однолинейка!$A$3:$A$3000,Щит_спец)),IF(A336="Аппарат",IF(C336="","",COUNTIFS(Однолинейка!$I$3:$I$3000,C336,Однолинейка!$A$3:$A$3000,Щит_спец)+COUNTIFS(Однолинейка!$J$3:$J$3000,C336,Однолинейка!$A$3:$A$3000,Щит_спец)+COUNTIFS(Однолинейка!$K$3:$K$3000,C336,Однолинейка!$A$3:$A$3000,Щит_спец)),IF(A336="Модуль",IF(C336="","",COUNTIFS(Однолинейка!$AW$3:$AW$3000,"?*",Однолинейка!$AI$3:$AI$3000,C336,Однолинейка!$A$3:$A$3000,Щит_спец)),IF(A336="Клемма",IF(C336="","",IF(C336=$S$7,SUMIFS(Однолинейка!$BW$3:$BW$3000,Однолинейка!$A$3:$A$3000,Щит_спец),IF(C336=$S$8,SUMIFS(Однолинейка!$BX$3:$BX$3000,Однолинейка!$A$3:$A$3000,Щит_спец),""))),""))))</f>
        <v/>
      </c>
      <c r="O336" s="74"/>
      <c r="P336" s="38" t="str">
        <f t="shared" si="45"/>
        <v/>
      </c>
      <c r="U336" s="38" t="str">
        <f t="shared" si="46"/>
        <v/>
      </c>
      <c r="V336" s="38" t="str">
        <f t="shared" si="47"/>
        <v/>
      </c>
      <c r="W336" s="38" t="str">
        <f>IF(AND(U336&lt;&gt;"",OR($S$4="(все)",B336=$S$4),IF($S$4="(все)",COUNTIF($U$4:U336,U336),COUNTIFS($U$4:U336,U336,$B$4:B336,B336))=1),MAX($W$3:W335)+1,"")</f>
        <v/>
      </c>
      <c r="X336" s="38" t="str">
        <f t="shared" si="48"/>
        <v/>
      </c>
      <c r="Y336" s="38" t="str">
        <f>IF(AND(A336="Аппарат",C336&lt;&gt;"",OR($S$5="(все)",B336=$S$5)),MAX($Y$3:Y335)+1,"")</f>
        <v/>
      </c>
      <c r="Z336" s="38" t="str">
        <f t="shared" si="49"/>
        <v/>
      </c>
      <c r="AA336" s="38" t="str">
        <f>IF(AND(A336="Модуль",C336&lt;&gt;"",OR($S$6="(все)",B336=$S$6)),MAX($AA$3:AA335)+1,"")</f>
        <v/>
      </c>
      <c r="AB336" s="38" t="str">
        <f t="shared" si="50"/>
        <v/>
      </c>
      <c r="AC336" s="38" t="str">
        <f>IF(OR(B336="",COUNTIF($B$4:B336,B336)&gt;1),"",MAX($AC$3:AC335)+1)</f>
        <v/>
      </c>
      <c r="AD336" s="38" t="str">
        <f t="shared" si="51"/>
        <v/>
      </c>
      <c r="AE336" s="38" t="str">
        <f t="shared" si="52"/>
        <v/>
      </c>
      <c r="AF336" s="38" t="str">
        <f t="shared" si="53"/>
        <v/>
      </c>
    </row>
    <row r="337" spans="1:32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38" t="str">
        <f>IF(OR(A337="Автомат",A337="Дифавтомат"),IF(W337="","",COUNTIFS(Однолинейка!$H$3:$H$3000,U337,Однолинейка!$A$3:$A$3000,Щит_спец)),IF(A337="Аппарат",IF(C337="","",COUNTIFS(Однолинейка!$I$3:$I$3000,C337,Однолинейка!$A$3:$A$3000,Щит_спец)+COUNTIFS(Однолинейка!$J$3:$J$3000,C337,Однолинейка!$A$3:$A$3000,Щит_спец)+COUNTIFS(Однолинейка!$K$3:$K$3000,C337,Однолинейка!$A$3:$A$3000,Щит_спец)),IF(A337="Модуль",IF(C337="","",COUNTIFS(Однолинейка!$AW$3:$AW$3000,"?*",Однолинейка!$AI$3:$AI$3000,C337,Однолинейка!$A$3:$A$3000,Щит_спец)),IF(A337="Клемма",IF(C337="","",IF(C337=$S$7,SUMIFS(Однолинейка!$BW$3:$BW$3000,Однолинейка!$A$3:$A$3000,Щит_спец),IF(C337=$S$8,SUMIFS(Однолинейка!$BX$3:$BX$3000,Однолинейка!$A$3:$A$3000,Щит_спец),""))),""))))</f>
        <v/>
      </c>
      <c r="O337" s="74"/>
      <c r="P337" s="38" t="str">
        <f t="shared" si="45"/>
        <v/>
      </c>
      <c r="U337" s="38" t="str">
        <f t="shared" si="46"/>
        <v/>
      </c>
      <c r="V337" s="38" t="str">
        <f t="shared" si="47"/>
        <v/>
      </c>
      <c r="W337" s="38" t="str">
        <f>IF(AND(U337&lt;&gt;"",OR($S$4="(все)",B337=$S$4),IF($S$4="(все)",COUNTIF($U$4:U337,U337),COUNTIFS($U$4:U337,U337,$B$4:B337,B337))=1),MAX($W$3:W336)+1,"")</f>
        <v/>
      </c>
      <c r="X337" s="38" t="str">
        <f t="shared" si="48"/>
        <v/>
      </c>
      <c r="Y337" s="38" t="str">
        <f>IF(AND(A337="Аппарат",C337&lt;&gt;"",OR($S$5="(все)",B337=$S$5)),MAX($Y$3:Y336)+1,"")</f>
        <v/>
      </c>
      <c r="Z337" s="38" t="str">
        <f t="shared" si="49"/>
        <v/>
      </c>
      <c r="AA337" s="38" t="str">
        <f>IF(AND(A337="Модуль",C337&lt;&gt;"",OR($S$6="(все)",B337=$S$6)),MAX($AA$3:AA336)+1,"")</f>
        <v/>
      </c>
      <c r="AB337" s="38" t="str">
        <f t="shared" si="50"/>
        <v/>
      </c>
      <c r="AC337" s="38" t="str">
        <f>IF(OR(B337="",COUNTIF($B$4:B337,B337)&gt;1),"",MAX($AC$3:AC336)+1)</f>
        <v/>
      </c>
      <c r="AD337" s="38" t="str">
        <f t="shared" si="51"/>
        <v/>
      </c>
      <c r="AE337" s="38" t="str">
        <f t="shared" si="52"/>
        <v/>
      </c>
      <c r="AF337" s="38" t="str">
        <f t="shared" si="53"/>
        <v/>
      </c>
    </row>
    <row r="338" spans="1:32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38" t="str">
        <f>IF(OR(A338="Автомат",A338="Дифавтомат"),IF(W338="","",COUNTIFS(Однолинейка!$H$3:$H$3000,U338,Однолинейка!$A$3:$A$3000,Щит_спец)),IF(A338="Аппарат",IF(C338="","",COUNTIFS(Однолинейка!$I$3:$I$3000,C338,Однолинейка!$A$3:$A$3000,Щит_спец)+COUNTIFS(Однолинейка!$J$3:$J$3000,C338,Однолинейка!$A$3:$A$3000,Щит_спец)+COUNTIFS(Однолинейка!$K$3:$K$3000,C338,Однолинейка!$A$3:$A$3000,Щит_спец)),IF(A338="Модуль",IF(C338="","",COUNTIFS(Однолинейка!$AW$3:$AW$3000,"?*",Однолинейка!$AI$3:$AI$3000,C338,Однолинейка!$A$3:$A$3000,Щит_спец)),IF(A338="Клемма",IF(C338="","",IF(C338=$S$7,SUMIFS(Однолинейка!$BW$3:$BW$3000,Однолинейка!$A$3:$A$3000,Щит_спец),IF(C338=$S$8,SUMIFS(Однолинейка!$BX$3:$BX$3000,Однолинейка!$A$3:$A$3000,Щит_спец),""))),""))))</f>
        <v/>
      </c>
      <c r="O338" s="74"/>
      <c r="P338" s="38" t="str">
        <f t="shared" si="45"/>
        <v/>
      </c>
      <c r="U338" s="38" t="str">
        <f t="shared" si="46"/>
        <v/>
      </c>
      <c r="V338" s="38" t="str">
        <f t="shared" si="47"/>
        <v/>
      </c>
      <c r="W338" s="38" t="str">
        <f>IF(AND(U338&lt;&gt;"",OR($S$4="(все)",B338=$S$4),IF($S$4="(все)",COUNTIF($U$4:U338,U338),COUNTIFS($U$4:U338,U338,$B$4:B338,B338))=1),MAX($W$3:W337)+1,"")</f>
        <v/>
      </c>
      <c r="X338" s="38" t="str">
        <f t="shared" si="48"/>
        <v/>
      </c>
      <c r="Y338" s="38" t="str">
        <f>IF(AND(A338="Аппарат",C338&lt;&gt;"",OR($S$5="(все)",B338=$S$5)),MAX($Y$3:Y337)+1,"")</f>
        <v/>
      </c>
      <c r="Z338" s="38" t="str">
        <f t="shared" si="49"/>
        <v/>
      </c>
      <c r="AA338" s="38" t="str">
        <f>IF(AND(A338="Модуль",C338&lt;&gt;"",OR($S$6="(все)",B338=$S$6)),MAX($AA$3:AA337)+1,"")</f>
        <v/>
      </c>
      <c r="AB338" s="38" t="str">
        <f t="shared" si="50"/>
        <v/>
      </c>
      <c r="AC338" s="38" t="str">
        <f>IF(OR(B338="",COUNTIF($B$4:B338,B338)&gt;1),"",MAX($AC$3:AC337)+1)</f>
        <v/>
      </c>
      <c r="AD338" s="38" t="str">
        <f t="shared" si="51"/>
        <v/>
      </c>
      <c r="AE338" s="38" t="str">
        <f t="shared" si="52"/>
        <v/>
      </c>
      <c r="AF338" s="38" t="str">
        <f t="shared" si="53"/>
        <v/>
      </c>
    </row>
    <row r="339" spans="1:32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38" t="str">
        <f>IF(OR(A339="Автомат",A339="Дифавтомат"),IF(W339="","",COUNTIFS(Однолинейка!$H$3:$H$3000,U339,Однолинейка!$A$3:$A$3000,Щит_спец)),IF(A339="Аппарат",IF(C339="","",COUNTIFS(Однолинейка!$I$3:$I$3000,C339,Однолинейка!$A$3:$A$3000,Щит_спец)+COUNTIFS(Однолинейка!$J$3:$J$3000,C339,Однолинейка!$A$3:$A$3000,Щит_спец)+COUNTIFS(Однолинейка!$K$3:$K$3000,C339,Однолинейка!$A$3:$A$3000,Щит_спец)),IF(A339="Модуль",IF(C339="","",COUNTIFS(Однолинейка!$AW$3:$AW$3000,"?*",Однолинейка!$AI$3:$AI$3000,C339,Однолинейка!$A$3:$A$3000,Щит_спец)),IF(A339="Клемма",IF(C339="","",IF(C339=$S$7,SUMIFS(Однолинейка!$BW$3:$BW$3000,Однолинейка!$A$3:$A$3000,Щит_спец),IF(C339=$S$8,SUMIFS(Однолинейка!$BX$3:$BX$3000,Однолинейка!$A$3:$A$3000,Щит_спец),""))),""))))</f>
        <v/>
      </c>
      <c r="O339" s="74"/>
      <c r="P339" s="38" t="str">
        <f t="shared" si="45"/>
        <v/>
      </c>
      <c r="U339" s="38" t="str">
        <f t="shared" si="46"/>
        <v/>
      </c>
      <c r="V339" s="38" t="str">
        <f t="shared" si="47"/>
        <v/>
      </c>
      <c r="W339" s="38" t="str">
        <f>IF(AND(U339&lt;&gt;"",OR($S$4="(все)",B339=$S$4),IF($S$4="(все)",COUNTIF($U$4:U339,U339),COUNTIFS($U$4:U339,U339,$B$4:B339,B339))=1),MAX($W$3:W338)+1,"")</f>
        <v/>
      </c>
      <c r="X339" s="38" t="str">
        <f t="shared" si="48"/>
        <v/>
      </c>
      <c r="Y339" s="38" t="str">
        <f>IF(AND(A339="Аппарат",C339&lt;&gt;"",OR($S$5="(все)",B339=$S$5)),MAX($Y$3:Y338)+1,"")</f>
        <v/>
      </c>
      <c r="Z339" s="38" t="str">
        <f t="shared" si="49"/>
        <v/>
      </c>
      <c r="AA339" s="38" t="str">
        <f>IF(AND(A339="Модуль",C339&lt;&gt;"",OR($S$6="(все)",B339=$S$6)),MAX($AA$3:AA338)+1,"")</f>
        <v/>
      </c>
      <c r="AB339" s="38" t="str">
        <f t="shared" si="50"/>
        <v/>
      </c>
      <c r="AC339" s="38" t="str">
        <f>IF(OR(B339="",COUNTIF($B$4:B339,B339)&gt;1),"",MAX($AC$3:AC338)+1)</f>
        <v/>
      </c>
      <c r="AD339" s="38" t="str">
        <f t="shared" si="51"/>
        <v/>
      </c>
      <c r="AE339" s="38" t="str">
        <f t="shared" si="52"/>
        <v/>
      </c>
      <c r="AF339" s="38" t="str">
        <f t="shared" si="53"/>
        <v/>
      </c>
    </row>
    <row r="340" spans="1:32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38" t="str">
        <f>IF(OR(A340="Автомат",A340="Дифавтомат"),IF(W340="","",COUNTIFS(Однолинейка!$H$3:$H$3000,U340,Однолинейка!$A$3:$A$3000,Щит_спец)),IF(A340="Аппарат",IF(C340="","",COUNTIFS(Однолинейка!$I$3:$I$3000,C340,Однолинейка!$A$3:$A$3000,Щит_спец)+COUNTIFS(Однолинейка!$J$3:$J$3000,C340,Однолинейка!$A$3:$A$3000,Щит_спец)+COUNTIFS(Однолинейка!$K$3:$K$3000,C340,Однолинейка!$A$3:$A$3000,Щит_спец)),IF(A340="Модуль",IF(C340="","",COUNTIFS(Однолинейка!$AW$3:$AW$3000,"?*",Однолинейка!$AI$3:$AI$3000,C340,Однолинейка!$A$3:$A$3000,Щит_спец)),IF(A340="Клемма",IF(C340="","",IF(C340=$S$7,SUMIFS(Однолинейка!$BW$3:$BW$3000,Однолинейка!$A$3:$A$3000,Щит_спец),IF(C340=$S$8,SUMIFS(Однолинейка!$BX$3:$BX$3000,Однолинейка!$A$3:$A$3000,Щит_спец),""))),""))))</f>
        <v/>
      </c>
      <c r="O340" s="74"/>
      <c r="P340" s="38" t="str">
        <f t="shared" si="45"/>
        <v/>
      </c>
      <c r="U340" s="38" t="str">
        <f t="shared" si="46"/>
        <v/>
      </c>
      <c r="V340" s="38" t="str">
        <f t="shared" si="47"/>
        <v/>
      </c>
      <c r="W340" s="38" t="str">
        <f>IF(AND(U340&lt;&gt;"",OR($S$4="(все)",B340=$S$4),IF($S$4="(все)",COUNTIF($U$4:U340,U340),COUNTIFS($U$4:U340,U340,$B$4:B340,B340))=1),MAX($W$3:W339)+1,"")</f>
        <v/>
      </c>
      <c r="X340" s="38" t="str">
        <f t="shared" si="48"/>
        <v/>
      </c>
      <c r="Y340" s="38" t="str">
        <f>IF(AND(A340="Аппарат",C340&lt;&gt;"",OR($S$5="(все)",B340=$S$5)),MAX($Y$3:Y339)+1,"")</f>
        <v/>
      </c>
      <c r="Z340" s="38" t="str">
        <f t="shared" si="49"/>
        <v/>
      </c>
      <c r="AA340" s="38" t="str">
        <f>IF(AND(A340="Модуль",C340&lt;&gt;"",OR($S$6="(все)",B340=$S$6)),MAX($AA$3:AA339)+1,"")</f>
        <v/>
      </c>
      <c r="AB340" s="38" t="str">
        <f t="shared" si="50"/>
        <v/>
      </c>
      <c r="AC340" s="38" t="str">
        <f>IF(OR(B340="",COUNTIF($B$4:B340,B340)&gt;1),"",MAX($AC$3:AC339)+1)</f>
        <v/>
      </c>
      <c r="AD340" s="38" t="str">
        <f t="shared" si="51"/>
        <v/>
      </c>
      <c r="AE340" s="38" t="str">
        <f t="shared" si="52"/>
        <v/>
      </c>
      <c r="AF340" s="38" t="str">
        <f t="shared" si="53"/>
        <v/>
      </c>
    </row>
    <row r="341" spans="1:32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38" t="str">
        <f>IF(OR(A341="Автомат",A341="Дифавтомат"),IF(W341="","",COUNTIFS(Однолинейка!$H$3:$H$3000,U341,Однолинейка!$A$3:$A$3000,Щит_спец)),IF(A341="Аппарат",IF(C341="","",COUNTIFS(Однолинейка!$I$3:$I$3000,C341,Однолинейка!$A$3:$A$3000,Щит_спец)+COUNTIFS(Однолинейка!$J$3:$J$3000,C341,Однолинейка!$A$3:$A$3000,Щит_спец)+COUNTIFS(Однолинейка!$K$3:$K$3000,C341,Однолинейка!$A$3:$A$3000,Щит_спец)),IF(A341="Модуль",IF(C341="","",COUNTIFS(Однолинейка!$AW$3:$AW$3000,"?*",Однолинейка!$AI$3:$AI$3000,C341,Однолинейка!$A$3:$A$3000,Щит_спец)),IF(A341="Клемма",IF(C341="","",IF(C341=$S$7,SUMIFS(Однолинейка!$BW$3:$BW$3000,Однолинейка!$A$3:$A$3000,Щит_спец),IF(C341=$S$8,SUMIFS(Однолинейка!$BX$3:$BX$3000,Однолинейка!$A$3:$A$3000,Щит_спец),""))),""))))</f>
        <v/>
      </c>
      <c r="O341" s="74"/>
      <c r="P341" s="38" t="str">
        <f t="shared" si="45"/>
        <v/>
      </c>
      <c r="U341" s="38" t="str">
        <f t="shared" si="46"/>
        <v/>
      </c>
      <c r="V341" s="38" t="str">
        <f t="shared" si="47"/>
        <v/>
      </c>
      <c r="W341" s="38" t="str">
        <f>IF(AND(U341&lt;&gt;"",OR($S$4="(все)",B341=$S$4),IF($S$4="(все)",COUNTIF($U$4:U341,U341),COUNTIFS($U$4:U341,U341,$B$4:B341,B341))=1),MAX($W$3:W340)+1,"")</f>
        <v/>
      </c>
      <c r="X341" s="38" t="str">
        <f t="shared" si="48"/>
        <v/>
      </c>
      <c r="Y341" s="38" t="str">
        <f>IF(AND(A341="Аппарат",C341&lt;&gt;"",OR($S$5="(все)",B341=$S$5)),MAX($Y$3:Y340)+1,"")</f>
        <v/>
      </c>
      <c r="Z341" s="38" t="str">
        <f t="shared" si="49"/>
        <v/>
      </c>
      <c r="AA341" s="38" t="str">
        <f>IF(AND(A341="Модуль",C341&lt;&gt;"",OR($S$6="(все)",B341=$S$6)),MAX($AA$3:AA340)+1,"")</f>
        <v/>
      </c>
      <c r="AB341" s="38" t="str">
        <f t="shared" si="50"/>
        <v/>
      </c>
      <c r="AC341" s="38" t="str">
        <f>IF(OR(B341="",COUNTIF($B$4:B341,B341)&gt;1),"",MAX($AC$3:AC340)+1)</f>
        <v/>
      </c>
      <c r="AD341" s="38" t="str">
        <f t="shared" si="51"/>
        <v/>
      </c>
      <c r="AE341" s="38" t="str">
        <f t="shared" si="52"/>
        <v/>
      </c>
      <c r="AF341" s="38" t="str">
        <f t="shared" si="53"/>
        <v/>
      </c>
    </row>
    <row r="342" spans="1:32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38" t="str">
        <f>IF(OR(A342="Автомат",A342="Дифавтомат"),IF(W342="","",COUNTIFS(Однолинейка!$H$3:$H$3000,U342,Однолинейка!$A$3:$A$3000,Щит_спец)),IF(A342="Аппарат",IF(C342="","",COUNTIFS(Однолинейка!$I$3:$I$3000,C342,Однолинейка!$A$3:$A$3000,Щит_спец)+COUNTIFS(Однолинейка!$J$3:$J$3000,C342,Однолинейка!$A$3:$A$3000,Щит_спец)+COUNTIFS(Однолинейка!$K$3:$K$3000,C342,Однолинейка!$A$3:$A$3000,Щит_спец)),IF(A342="Модуль",IF(C342="","",COUNTIFS(Однолинейка!$AW$3:$AW$3000,"?*",Однолинейка!$AI$3:$AI$3000,C342,Однолинейка!$A$3:$A$3000,Щит_спец)),IF(A342="Клемма",IF(C342="","",IF(C342=$S$7,SUMIFS(Однолинейка!$BW$3:$BW$3000,Однолинейка!$A$3:$A$3000,Щит_спец),IF(C342=$S$8,SUMIFS(Однолинейка!$BX$3:$BX$3000,Однолинейка!$A$3:$A$3000,Щит_спец),""))),""))))</f>
        <v/>
      </c>
      <c r="O342" s="74"/>
      <c r="P342" s="38" t="str">
        <f t="shared" si="45"/>
        <v/>
      </c>
      <c r="U342" s="38" t="str">
        <f t="shared" si="46"/>
        <v/>
      </c>
      <c r="V342" s="38" t="str">
        <f t="shared" si="47"/>
        <v/>
      </c>
      <c r="W342" s="38" t="str">
        <f>IF(AND(U342&lt;&gt;"",OR($S$4="(все)",B342=$S$4),IF($S$4="(все)",COUNTIF($U$4:U342,U342),COUNTIFS($U$4:U342,U342,$B$4:B342,B342))=1),MAX($W$3:W341)+1,"")</f>
        <v/>
      </c>
      <c r="X342" s="38" t="str">
        <f t="shared" si="48"/>
        <v/>
      </c>
      <c r="Y342" s="38" t="str">
        <f>IF(AND(A342="Аппарат",C342&lt;&gt;"",OR($S$5="(все)",B342=$S$5)),MAX($Y$3:Y341)+1,"")</f>
        <v/>
      </c>
      <c r="Z342" s="38" t="str">
        <f t="shared" si="49"/>
        <v/>
      </c>
      <c r="AA342" s="38" t="str">
        <f>IF(AND(A342="Модуль",C342&lt;&gt;"",OR($S$6="(все)",B342=$S$6)),MAX($AA$3:AA341)+1,"")</f>
        <v/>
      </c>
      <c r="AB342" s="38" t="str">
        <f t="shared" si="50"/>
        <v/>
      </c>
      <c r="AC342" s="38" t="str">
        <f>IF(OR(B342="",COUNTIF($B$4:B342,B342)&gt;1),"",MAX($AC$3:AC341)+1)</f>
        <v/>
      </c>
      <c r="AD342" s="38" t="str">
        <f t="shared" si="51"/>
        <v/>
      </c>
      <c r="AE342" s="38" t="str">
        <f t="shared" si="52"/>
        <v/>
      </c>
      <c r="AF342" s="38" t="str">
        <f t="shared" si="53"/>
        <v/>
      </c>
    </row>
    <row r="343" spans="1:32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38" t="str">
        <f>IF(OR(A343="Автомат",A343="Дифавтомат"),IF(W343="","",COUNTIFS(Однолинейка!$H$3:$H$3000,U343,Однолинейка!$A$3:$A$3000,Щит_спец)),IF(A343="Аппарат",IF(C343="","",COUNTIFS(Однолинейка!$I$3:$I$3000,C343,Однолинейка!$A$3:$A$3000,Щит_спец)+COUNTIFS(Однолинейка!$J$3:$J$3000,C343,Однолинейка!$A$3:$A$3000,Щит_спец)+COUNTIFS(Однолинейка!$K$3:$K$3000,C343,Однолинейка!$A$3:$A$3000,Щит_спец)),IF(A343="Модуль",IF(C343="","",COUNTIFS(Однолинейка!$AW$3:$AW$3000,"?*",Однолинейка!$AI$3:$AI$3000,C343,Однолинейка!$A$3:$A$3000,Щит_спец)),IF(A343="Клемма",IF(C343="","",IF(C343=$S$7,SUMIFS(Однолинейка!$BW$3:$BW$3000,Однолинейка!$A$3:$A$3000,Щит_спец),IF(C343=$S$8,SUMIFS(Однолинейка!$BX$3:$BX$3000,Однолинейка!$A$3:$A$3000,Щит_спец),""))),""))))</f>
        <v/>
      </c>
      <c r="O343" s="74"/>
      <c r="P343" s="38" t="str">
        <f t="shared" si="45"/>
        <v/>
      </c>
      <c r="U343" s="38" t="str">
        <f t="shared" si="46"/>
        <v/>
      </c>
      <c r="V343" s="38" t="str">
        <f t="shared" si="47"/>
        <v/>
      </c>
      <c r="W343" s="38" t="str">
        <f>IF(AND(U343&lt;&gt;"",OR($S$4="(все)",B343=$S$4),IF($S$4="(все)",COUNTIF($U$4:U343,U343),COUNTIFS($U$4:U343,U343,$B$4:B343,B343))=1),MAX($W$3:W342)+1,"")</f>
        <v/>
      </c>
      <c r="X343" s="38" t="str">
        <f t="shared" si="48"/>
        <v/>
      </c>
      <c r="Y343" s="38" t="str">
        <f>IF(AND(A343="Аппарат",C343&lt;&gt;"",OR($S$5="(все)",B343=$S$5)),MAX($Y$3:Y342)+1,"")</f>
        <v/>
      </c>
      <c r="Z343" s="38" t="str">
        <f t="shared" si="49"/>
        <v/>
      </c>
      <c r="AA343" s="38" t="str">
        <f>IF(AND(A343="Модуль",C343&lt;&gt;"",OR($S$6="(все)",B343=$S$6)),MAX($AA$3:AA342)+1,"")</f>
        <v/>
      </c>
      <c r="AB343" s="38" t="str">
        <f t="shared" si="50"/>
        <v/>
      </c>
      <c r="AC343" s="38" t="str">
        <f>IF(OR(B343="",COUNTIF($B$4:B343,B343)&gt;1),"",MAX($AC$3:AC342)+1)</f>
        <v/>
      </c>
      <c r="AD343" s="38" t="str">
        <f t="shared" si="51"/>
        <v/>
      </c>
      <c r="AE343" s="38" t="str">
        <f t="shared" si="52"/>
        <v/>
      </c>
      <c r="AF343" s="38" t="str">
        <f t="shared" si="53"/>
        <v/>
      </c>
    </row>
    <row r="344" spans="1:32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38" t="str">
        <f>IF(OR(A344="Автомат",A344="Дифавтомат"),IF(W344="","",COUNTIFS(Однолинейка!$H$3:$H$3000,U344,Однолинейка!$A$3:$A$3000,Щит_спец)),IF(A344="Аппарат",IF(C344="","",COUNTIFS(Однолинейка!$I$3:$I$3000,C344,Однолинейка!$A$3:$A$3000,Щит_спец)+COUNTIFS(Однолинейка!$J$3:$J$3000,C344,Однолинейка!$A$3:$A$3000,Щит_спец)+COUNTIFS(Однолинейка!$K$3:$K$3000,C344,Однолинейка!$A$3:$A$3000,Щит_спец)),IF(A344="Модуль",IF(C344="","",COUNTIFS(Однолинейка!$AW$3:$AW$3000,"?*",Однолинейка!$AI$3:$AI$3000,C344,Однолинейка!$A$3:$A$3000,Щит_спец)),IF(A344="Клемма",IF(C344="","",IF(C344=$S$7,SUMIFS(Однолинейка!$BW$3:$BW$3000,Однолинейка!$A$3:$A$3000,Щит_спец),IF(C344=$S$8,SUMIFS(Однолинейка!$BX$3:$BX$3000,Однолинейка!$A$3:$A$3000,Щит_спец),""))),""))))</f>
        <v/>
      </c>
      <c r="O344" s="74"/>
      <c r="P344" s="38" t="str">
        <f t="shared" si="45"/>
        <v/>
      </c>
      <c r="U344" s="38" t="str">
        <f t="shared" si="46"/>
        <v/>
      </c>
      <c r="V344" s="38" t="str">
        <f t="shared" si="47"/>
        <v/>
      </c>
      <c r="W344" s="38" t="str">
        <f>IF(AND(U344&lt;&gt;"",OR($S$4="(все)",B344=$S$4),IF($S$4="(все)",COUNTIF($U$4:U344,U344),COUNTIFS($U$4:U344,U344,$B$4:B344,B344))=1),MAX($W$3:W343)+1,"")</f>
        <v/>
      </c>
      <c r="X344" s="38" t="str">
        <f t="shared" si="48"/>
        <v/>
      </c>
      <c r="Y344" s="38" t="str">
        <f>IF(AND(A344="Аппарат",C344&lt;&gt;"",OR($S$5="(все)",B344=$S$5)),MAX($Y$3:Y343)+1,"")</f>
        <v/>
      </c>
      <c r="Z344" s="38" t="str">
        <f t="shared" si="49"/>
        <v/>
      </c>
      <c r="AA344" s="38" t="str">
        <f>IF(AND(A344="Модуль",C344&lt;&gt;"",OR($S$6="(все)",B344=$S$6)),MAX($AA$3:AA343)+1,"")</f>
        <v/>
      </c>
      <c r="AB344" s="38" t="str">
        <f t="shared" si="50"/>
        <v/>
      </c>
      <c r="AC344" s="38" t="str">
        <f>IF(OR(B344="",COUNTIF($B$4:B344,B344)&gt;1),"",MAX($AC$3:AC343)+1)</f>
        <v/>
      </c>
      <c r="AD344" s="38" t="str">
        <f t="shared" si="51"/>
        <v/>
      </c>
      <c r="AE344" s="38" t="str">
        <f t="shared" si="52"/>
        <v/>
      </c>
      <c r="AF344" s="38" t="str">
        <f t="shared" si="53"/>
        <v/>
      </c>
    </row>
    <row r="345" spans="1:32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38" t="str">
        <f>IF(OR(A345="Автомат",A345="Дифавтомат"),IF(W345="","",COUNTIFS(Однолинейка!$H$3:$H$3000,U345,Однолинейка!$A$3:$A$3000,Щит_спец)),IF(A345="Аппарат",IF(C345="","",COUNTIFS(Однолинейка!$I$3:$I$3000,C345,Однолинейка!$A$3:$A$3000,Щит_спец)+COUNTIFS(Однолинейка!$J$3:$J$3000,C345,Однолинейка!$A$3:$A$3000,Щит_спец)+COUNTIFS(Однолинейка!$K$3:$K$3000,C345,Однолинейка!$A$3:$A$3000,Щит_спец)),IF(A345="Модуль",IF(C345="","",COUNTIFS(Однолинейка!$AW$3:$AW$3000,"?*",Однолинейка!$AI$3:$AI$3000,C345,Однолинейка!$A$3:$A$3000,Щит_спец)),IF(A345="Клемма",IF(C345="","",IF(C345=$S$7,SUMIFS(Однолинейка!$BW$3:$BW$3000,Однолинейка!$A$3:$A$3000,Щит_спец),IF(C345=$S$8,SUMIFS(Однолинейка!$BX$3:$BX$3000,Однолинейка!$A$3:$A$3000,Щит_спец),""))),""))))</f>
        <v/>
      </c>
      <c r="O345" s="74"/>
      <c r="P345" s="38" t="str">
        <f t="shared" si="45"/>
        <v/>
      </c>
      <c r="U345" s="38" t="str">
        <f t="shared" si="46"/>
        <v/>
      </c>
      <c r="V345" s="38" t="str">
        <f t="shared" si="47"/>
        <v/>
      </c>
      <c r="W345" s="38" t="str">
        <f>IF(AND(U345&lt;&gt;"",OR($S$4="(все)",B345=$S$4),IF($S$4="(все)",COUNTIF($U$4:U345,U345),COUNTIFS($U$4:U345,U345,$B$4:B345,B345))=1),MAX($W$3:W344)+1,"")</f>
        <v/>
      </c>
      <c r="X345" s="38" t="str">
        <f t="shared" si="48"/>
        <v/>
      </c>
      <c r="Y345" s="38" t="str">
        <f>IF(AND(A345="Аппарат",C345&lt;&gt;"",OR($S$5="(все)",B345=$S$5)),MAX($Y$3:Y344)+1,"")</f>
        <v/>
      </c>
      <c r="Z345" s="38" t="str">
        <f t="shared" si="49"/>
        <v/>
      </c>
      <c r="AA345" s="38" t="str">
        <f>IF(AND(A345="Модуль",C345&lt;&gt;"",OR($S$6="(все)",B345=$S$6)),MAX($AA$3:AA344)+1,"")</f>
        <v/>
      </c>
      <c r="AB345" s="38" t="str">
        <f t="shared" si="50"/>
        <v/>
      </c>
      <c r="AC345" s="38" t="str">
        <f>IF(OR(B345="",COUNTIF($B$4:B345,B345)&gt;1),"",MAX($AC$3:AC344)+1)</f>
        <v/>
      </c>
      <c r="AD345" s="38" t="str">
        <f t="shared" si="51"/>
        <v/>
      </c>
      <c r="AE345" s="38" t="str">
        <f t="shared" si="52"/>
        <v/>
      </c>
      <c r="AF345" s="38" t="str">
        <f t="shared" si="53"/>
        <v/>
      </c>
    </row>
    <row r="346" spans="1:32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38" t="str">
        <f>IF(OR(A346="Автомат",A346="Дифавтомат"),IF(W346="","",COUNTIFS(Однолинейка!$H$3:$H$3000,U346,Однолинейка!$A$3:$A$3000,Щит_спец)),IF(A346="Аппарат",IF(C346="","",COUNTIFS(Однолинейка!$I$3:$I$3000,C346,Однолинейка!$A$3:$A$3000,Щит_спец)+COUNTIFS(Однолинейка!$J$3:$J$3000,C346,Однолинейка!$A$3:$A$3000,Щит_спец)+COUNTIFS(Однолинейка!$K$3:$K$3000,C346,Однолинейка!$A$3:$A$3000,Щит_спец)),IF(A346="Модуль",IF(C346="","",COUNTIFS(Однолинейка!$AW$3:$AW$3000,"?*",Однолинейка!$AI$3:$AI$3000,C346,Однолинейка!$A$3:$A$3000,Щит_спец)),IF(A346="Клемма",IF(C346="","",IF(C346=$S$7,SUMIFS(Однолинейка!$BW$3:$BW$3000,Однолинейка!$A$3:$A$3000,Щит_спец),IF(C346=$S$8,SUMIFS(Однолинейка!$BX$3:$BX$3000,Однолинейка!$A$3:$A$3000,Щит_спец),""))),""))))</f>
        <v/>
      </c>
      <c r="O346" s="74"/>
      <c r="P346" s="38" t="str">
        <f t="shared" si="45"/>
        <v/>
      </c>
      <c r="U346" s="38" t="str">
        <f t="shared" si="46"/>
        <v/>
      </c>
      <c r="V346" s="38" t="str">
        <f t="shared" si="47"/>
        <v/>
      </c>
      <c r="W346" s="38" t="str">
        <f>IF(AND(U346&lt;&gt;"",OR($S$4="(все)",B346=$S$4),IF($S$4="(все)",COUNTIF($U$4:U346,U346),COUNTIFS($U$4:U346,U346,$B$4:B346,B346))=1),MAX($W$3:W345)+1,"")</f>
        <v/>
      </c>
      <c r="X346" s="38" t="str">
        <f t="shared" si="48"/>
        <v/>
      </c>
      <c r="Y346" s="38" t="str">
        <f>IF(AND(A346="Аппарат",C346&lt;&gt;"",OR($S$5="(все)",B346=$S$5)),MAX($Y$3:Y345)+1,"")</f>
        <v/>
      </c>
      <c r="Z346" s="38" t="str">
        <f t="shared" si="49"/>
        <v/>
      </c>
      <c r="AA346" s="38" t="str">
        <f>IF(AND(A346="Модуль",C346&lt;&gt;"",OR($S$6="(все)",B346=$S$6)),MAX($AA$3:AA345)+1,"")</f>
        <v/>
      </c>
      <c r="AB346" s="38" t="str">
        <f t="shared" si="50"/>
        <v/>
      </c>
      <c r="AC346" s="38" t="str">
        <f>IF(OR(B346="",COUNTIF($B$4:B346,B346)&gt;1),"",MAX($AC$3:AC345)+1)</f>
        <v/>
      </c>
      <c r="AD346" s="38" t="str">
        <f t="shared" si="51"/>
        <v/>
      </c>
      <c r="AE346" s="38" t="str">
        <f t="shared" si="52"/>
        <v/>
      </c>
      <c r="AF346" s="38" t="str">
        <f t="shared" si="53"/>
        <v/>
      </c>
    </row>
    <row r="347" spans="1:32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38" t="str">
        <f>IF(OR(A347="Автомат",A347="Дифавтомат"),IF(W347="","",COUNTIFS(Однолинейка!$H$3:$H$3000,U347,Однолинейка!$A$3:$A$3000,Щит_спец)),IF(A347="Аппарат",IF(C347="","",COUNTIFS(Однолинейка!$I$3:$I$3000,C347,Однолинейка!$A$3:$A$3000,Щит_спец)+COUNTIFS(Однолинейка!$J$3:$J$3000,C347,Однолинейка!$A$3:$A$3000,Щит_спец)+COUNTIFS(Однолинейка!$K$3:$K$3000,C347,Однолинейка!$A$3:$A$3000,Щит_спец)),IF(A347="Модуль",IF(C347="","",COUNTIFS(Однолинейка!$AW$3:$AW$3000,"?*",Однолинейка!$AI$3:$AI$3000,C347,Однолинейка!$A$3:$A$3000,Щит_спец)),IF(A347="Клемма",IF(C347="","",IF(C347=$S$7,SUMIFS(Однолинейка!$BW$3:$BW$3000,Однолинейка!$A$3:$A$3000,Щит_спец),IF(C347=$S$8,SUMIFS(Однолинейка!$BX$3:$BX$3000,Однолинейка!$A$3:$A$3000,Щит_спец),""))),""))))</f>
        <v/>
      </c>
      <c r="O347" s="74"/>
      <c r="P347" s="38" t="str">
        <f t="shared" si="45"/>
        <v/>
      </c>
      <c r="U347" s="38" t="str">
        <f t="shared" si="46"/>
        <v/>
      </c>
      <c r="V347" s="38" t="str">
        <f t="shared" si="47"/>
        <v/>
      </c>
      <c r="W347" s="38" t="str">
        <f>IF(AND(U347&lt;&gt;"",OR($S$4="(все)",B347=$S$4),IF($S$4="(все)",COUNTIF($U$4:U347,U347),COUNTIFS($U$4:U347,U347,$B$4:B347,B347))=1),MAX($W$3:W346)+1,"")</f>
        <v/>
      </c>
      <c r="X347" s="38" t="str">
        <f t="shared" si="48"/>
        <v/>
      </c>
      <c r="Y347" s="38" t="str">
        <f>IF(AND(A347="Аппарат",C347&lt;&gt;"",OR($S$5="(все)",B347=$S$5)),MAX($Y$3:Y346)+1,"")</f>
        <v/>
      </c>
      <c r="Z347" s="38" t="str">
        <f t="shared" si="49"/>
        <v/>
      </c>
      <c r="AA347" s="38" t="str">
        <f>IF(AND(A347="Модуль",C347&lt;&gt;"",OR($S$6="(все)",B347=$S$6)),MAX($AA$3:AA346)+1,"")</f>
        <v/>
      </c>
      <c r="AB347" s="38" t="str">
        <f t="shared" si="50"/>
        <v/>
      </c>
      <c r="AC347" s="38" t="str">
        <f>IF(OR(B347="",COUNTIF($B$4:B347,B347)&gt;1),"",MAX($AC$3:AC346)+1)</f>
        <v/>
      </c>
      <c r="AD347" s="38" t="str">
        <f t="shared" si="51"/>
        <v/>
      </c>
      <c r="AE347" s="38" t="str">
        <f t="shared" si="52"/>
        <v/>
      </c>
      <c r="AF347" s="38" t="str">
        <f t="shared" si="53"/>
        <v/>
      </c>
    </row>
    <row r="348" spans="1:32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38" t="str">
        <f>IF(OR(A348="Автомат",A348="Дифавтомат"),IF(W348="","",COUNTIFS(Однолинейка!$H$3:$H$3000,U348,Однолинейка!$A$3:$A$3000,Щит_спец)),IF(A348="Аппарат",IF(C348="","",COUNTIFS(Однолинейка!$I$3:$I$3000,C348,Однолинейка!$A$3:$A$3000,Щит_спец)+COUNTIFS(Однолинейка!$J$3:$J$3000,C348,Однолинейка!$A$3:$A$3000,Щит_спец)+COUNTIFS(Однолинейка!$K$3:$K$3000,C348,Однолинейка!$A$3:$A$3000,Щит_спец)),IF(A348="Модуль",IF(C348="","",COUNTIFS(Однолинейка!$AW$3:$AW$3000,"?*",Однолинейка!$AI$3:$AI$3000,C348,Однолинейка!$A$3:$A$3000,Щит_спец)),IF(A348="Клемма",IF(C348="","",IF(C348=$S$7,SUMIFS(Однолинейка!$BW$3:$BW$3000,Однолинейка!$A$3:$A$3000,Щит_спец),IF(C348=$S$8,SUMIFS(Однолинейка!$BX$3:$BX$3000,Однолинейка!$A$3:$A$3000,Щит_спец),""))),""))))</f>
        <v/>
      </c>
      <c r="O348" s="74"/>
      <c r="P348" s="38" t="str">
        <f t="shared" si="45"/>
        <v/>
      </c>
      <c r="U348" s="38" t="str">
        <f t="shared" si="46"/>
        <v/>
      </c>
      <c r="V348" s="38" t="str">
        <f t="shared" si="47"/>
        <v/>
      </c>
      <c r="W348" s="38" t="str">
        <f>IF(AND(U348&lt;&gt;"",OR($S$4="(все)",B348=$S$4),IF($S$4="(все)",COUNTIF($U$4:U348,U348),COUNTIFS($U$4:U348,U348,$B$4:B348,B348))=1),MAX($W$3:W347)+1,"")</f>
        <v/>
      </c>
      <c r="X348" s="38" t="str">
        <f t="shared" si="48"/>
        <v/>
      </c>
      <c r="Y348" s="38" t="str">
        <f>IF(AND(A348="Аппарат",C348&lt;&gt;"",OR($S$5="(все)",B348=$S$5)),MAX($Y$3:Y347)+1,"")</f>
        <v/>
      </c>
      <c r="Z348" s="38" t="str">
        <f t="shared" si="49"/>
        <v/>
      </c>
      <c r="AA348" s="38" t="str">
        <f>IF(AND(A348="Модуль",C348&lt;&gt;"",OR($S$6="(все)",B348=$S$6)),MAX($AA$3:AA347)+1,"")</f>
        <v/>
      </c>
      <c r="AB348" s="38" t="str">
        <f t="shared" si="50"/>
        <v/>
      </c>
      <c r="AC348" s="38" t="str">
        <f>IF(OR(B348="",COUNTIF($B$4:B348,B348)&gt;1),"",MAX($AC$3:AC347)+1)</f>
        <v/>
      </c>
      <c r="AD348" s="38" t="str">
        <f t="shared" si="51"/>
        <v/>
      </c>
      <c r="AE348" s="38" t="str">
        <f t="shared" si="52"/>
        <v/>
      </c>
      <c r="AF348" s="38" t="str">
        <f t="shared" si="53"/>
        <v/>
      </c>
    </row>
    <row r="349" spans="1:32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38" t="str">
        <f>IF(OR(A349="Автомат",A349="Дифавтомат"),IF(W349="","",COUNTIFS(Однолинейка!$H$3:$H$3000,U349,Однолинейка!$A$3:$A$3000,Щит_спец)),IF(A349="Аппарат",IF(C349="","",COUNTIFS(Однолинейка!$I$3:$I$3000,C349,Однолинейка!$A$3:$A$3000,Щит_спец)+COUNTIFS(Однолинейка!$J$3:$J$3000,C349,Однолинейка!$A$3:$A$3000,Щит_спец)+COUNTIFS(Однолинейка!$K$3:$K$3000,C349,Однолинейка!$A$3:$A$3000,Щит_спец)),IF(A349="Модуль",IF(C349="","",COUNTIFS(Однолинейка!$AW$3:$AW$3000,"?*",Однолинейка!$AI$3:$AI$3000,C349,Однолинейка!$A$3:$A$3000,Щит_спец)),IF(A349="Клемма",IF(C349="","",IF(C349=$S$7,SUMIFS(Однолинейка!$BW$3:$BW$3000,Однолинейка!$A$3:$A$3000,Щит_спец),IF(C349=$S$8,SUMIFS(Однолинейка!$BX$3:$BX$3000,Однолинейка!$A$3:$A$3000,Щит_спец),""))),""))))</f>
        <v/>
      </c>
      <c r="O349" s="74"/>
      <c r="P349" s="38" t="str">
        <f t="shared" si="45"/>
        <v/>
      </c>
      <c r="U349" s="38" t="str">
        <f t="shared" si="46"/>
        <v/>
      </c>
      <c r="V349" s="38" t="str">
        <f t="shared" si="47"/>
        <v/>
      </c>
      <c r="W349" s="38" t="str">
        <f>IF(AND(U349&lt;&gt;"",OR($S$4="(все)",B349=$S$4),IF($S$4="(все)",COUNTIF($U$4:U349,U349),COUNTIFS($U$4:U349,U349,$B$4:B349,B349))=1),MAX($W$3:W348)+1,"")</f>
        <v/>
      </c>
      <c r="X349" s="38" t="str">
        <f t="shared" si="48"/>
        <v/>
      </c>
      <c r="Y349" s="38" t="str">
        <f>IF(AND(A349="Аппарат",C349&lt;&gt;"",OR($S$5="(все)",B349=$S$5)),MAX($Y$3:Y348)+1,"")</f>
        <v/>
      </c>
      <c r="Z349" s="38" t="str">
        <f t="shared" si="49"/>
        <v/>
      </c>
      <c r="AA349" s="38" t="str">
        <f>IF(AND(A349="Модуль",C349&lt;&gt;"",OR($S$6="(все)",B349=$S$6)),MAX($AA$3:AA348)+1,"")</f>
        <v/>
      </c>
      <c r="AB349" s="38" t="str">
        <f t="shared" si="50"/>
        <v/>
      </c>
      <c r="AC349" s="38" t="str">
        <f>IF(OR(B349="",COUNTIF($B$4:B349,B349)&gt;1),"",MAX($AC$3:AC348)+1)</f>
        <v/>
      </c>
      <c r="AD349" s="38" t="str">
        <f t="shared" si="51"/>
        <v/>
      </c>
      <c r="AE349" s="38" t="str">
        <f t="shared" si="52"/>
        <v/>
      </c>
      <c r="AF349" s="38" t="str">
        <f t="shared" si="53"/>
        <v/>
      </c>
    </row>
    <row r="350" spans="1:32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38" t="str">
        <f>IF(OR(A350="Автомат",A350="Дифавтомат"),IF(W350="","",COUNTIFS(Однолинейка!$H$3:$H$3000,U350,Однолинейка!$A$3:$A$3000,Щит_спец)),IF(A350="Аппарат",IF(C350="","",COUNTIFS(Однолинейка!$I$3:$I$3000,C350,Однолинейка!$A$3:$A$3000,Щит_спец)+COUNTIFS(Однолинейка!$J$3:$J$3000,C350,Однолинейка!$A$3:$A$3000,Щит_спец)+COUNTIFS(Однолинейка!$K$3:$K$3000,C350,Однолинейка!$A$3:$A$3000,Щит_спец)),IF(A350="Модуль",IF(C350="","",COUNTIFS(Однолинейка!$AW$3:$AW$3000,"?*",Однолинейка!$AI$3:$AI$3000,C350,Однолинейка!$A$3:$A$3000,Щит_спец)),IF(A350="Клемма",IF(C350="","",IF(C350=$S$7,SUMIFS(Однолинейка!$BW$3:$BW$3000,Однолинейка!$A$3:$A$3000,Щит_спец),IF(C350=$S$8,SUMIFS(Однолинейка!$BX$3:$BX$3000,Однолинейка!$A$3:$A$3000,Щит_спец),""))),""))))</f>
        <v/>
      </c>
      <c r="O350" s="74"/>
      <c r="P350" s="38" t="str">
        <f t="shared" si="45"/>
        <v/>
      </c>
      <c r="U350" s="38" t="str">
        <f t="shared" si="46"/>
        <v/>
      </c>
      <c r="V350" s="38" t="str">
        <f t="shared" si="47"/>
        <v/>
      </c>
      <c r="W350" s="38" t="str">
        <f>IF(AND(U350&lt;&gt;"",OR($S$4="(все)",B350=$S$4),IF($S$4="(все)",COUNTIF($U$4:U350,U350),COUNTIFS($U$4:U350,U350,$B$4:B350,B350))=1),MAX($W$3:W349)+1,"")</f>
        <v/>
      </c>
      <c r="X350" s="38" t="str">
        <f t="shared" si="48"/>
        <v/>
      </c>
      <c r="Y350" s="38" t="str">
        <f>IF(AND(A350="Аппарат",C350&lt;&gt;"",OR($S$5="(все)",B350=$S$5)),MAX($Y$3:Y349)+1,"")</f>
        <v/>
      </c>
      <c r="Z350" s="38" t="str">
        <f t="shared" si="49"/>
        <v/>
      </c>
      <c r="AA350" s="38" t="str">
        <f>IF(AND(A350="Модуль",C350&lt;&gt;"",OR($S$6="(все)",B350=$S$6)),MAX($AA$3:AA349)+1,"")</f>
        <v/>
      </c>
      <c r="AB350" s="38" t="str">
        <f t="shared" si="50"/>
        <v/>
      </c>
      <c r="AC350" s="38" t="str">
        <f>IF(OR(B350="",COUNTIF($B$4:B350,B350)&gt;1),"",MAX($AC$3:AC349)+1)</f>
        <v/>
      </c>
      <c r="AD350" s="38" t="str">
        <f t="shared" si="51"/>
        <v/>
      </c>
      <c r="AE350" s="38" t="str">
        <f t="shared" si="52"/>
        <v/>
      </c>
      <c r="AF350" s="38" t="str">
        <f t="shared" si="53"/>
        <v/>
      </c>
    </row>
    <row r="351" spans="1:32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38" t="str">
        <f>IF(OR(A351="Автомат",A351="Дифавтомат"),IF(W351="","",COUNTIFS(Однолинейка!$H$3:$H$3000,U351,Однолинейка!$A$3:$A$3000,Щит_спец)),IF(A351="Аппарат",IF(C351="","",COUNTIFS(Однолинейка!$I$3:$I$3000,C351,Однолинейка!$A$3:$A$3000,Щит_спец)+COUNTIFS(Однолинейка!$J$3:$J$3000,C351,Однолинейка!$A$3:$A$3000,Щит_спец)+COUNTIFS(Однолинейка!$K$3:$K$3000,C351,Однолинейка!$A$3:$A$3000,Щит_спец)),IF(A351="Модуль",IF(C351="","",COUNTIFS(Однолинейка!$AW$3:$AW$3000,"?*",Однолинейка!$AI$3:$AI$3000,C351,Однолинейка!$A$3:$A$3000,Щит_спец)),IF(A351="Клемма",IF(C351="","",IF(C351=$S$7,SUMIFS(Однолинейка!$BW$3:$BW$3000,Однолинейка!$A$3:$A$3000,Щит_спец),IF(C351=$S$8,SUMIFS(Однолинейка!$BX$3:$BX$3000,Однолинейка!$A$3:$A$3000,Щит_спец),""))),""))))</f>
        <v/>
      </c>
      <c r="O351" s="74"/>
      <c r="P351" s="38" t="str">
        <f t="shared" si="45"/>
        <v/>
      </c>
      <c r="U351" s="38" t="str">
        <f t="shared" si="46"/>
        <v/>
      </c>
      <c r="V351" s="38" t="str">
        <f t="shared" si="47"/>
        <v/>
      </c>
      <c r="W351" s="38" t="str">
        <f>IF(AND(U351&lt;&gt;"",OR($S$4="(все)",B351=$S$4),IF($S$4="(все)",COUNTIF($U$4:U351,U351),COUNTIFS($U$4:U351,U351,$B$4:B351,B351))=1),MAX($W$3:W350)+1,"")</f>
        <v/>
      </c>
      <c r="X351" s="38" t="str">
        <f t="shared" si="48"/>
        <v/>
      </c>
      <c r="Y351" s="38" t="str">
        <f>IF(AND(A351="Аппарат",C351&lt;&gt;"",OR($S$5="(все)",B351=$S$5)),MAX($Y$3:Y350)+1,"")</f>
        <v/>
      </c>
      <c r="Z351" s="38" t="str">
        <f t="shared" si="49"/>
        <v/>
      </c>
      <c r="AA351" s="38" t="str">
        <f>IF(AND(A351="Модуль",C351&lt;&gt;"",OR($S$6="(все)",B351=$S$6)),MAX($AA$3:AA350)+1,"")</f>
        <v/>
      </c>
      <c r="AB351" s="38" t="str">
        <f t="shared" si="50"/>
        <v/>
      </c>
      <c r="AC351" s="38" t="str">
        <f>IF(OR(B351="",COUNTIF($B$4:B351,B351)&gt;1),"",MAX($AC$3:AC350)+1)</f>
        <v/>
      </c>
      <c r="AD351" s="38" t="str">
        <f t="shared" si="51"/>
        <v/>
      </c>
      <c r="AE351" s="38" t="str">
        <f t="shared" si="52"/>
        <v/>
      </c>
      <c r="AF351" s="38" t="str">
        <f t="shared" si="53"/>
        <v/>
      </c>
    </row>
    <row r="352" spans="1:32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38" t="str">
        <f>IF(OR(A352="Автомат",A352="Дифавтомат"),IF(W352="","",COUNTIFS(Однолинейка!$H$3:$H$3000,U352,Однолинейка!$A$3:$A$3000,Щит_спец)),IF(A352="Аппарат",IF(C352="","",COUNTIFS(Однолинейка!$I$3:$I$3000,C352,Однолинейка!$A$3:$A$3000,Щит_спец)+COUNTIFS(Однолинейка!$J$3:$J$3000,C352,Однолинейка!$A$3:$A$3000,Щит_спец)+COUNTIFS(Однолинейка!$K$3:$K$3000,C352,Однолинейка!$A$3:$A$3000,Щит_спец)),IF(A352="Модуль",IF(C352="","",COUNTIFS(Однолинейка!$AW$3:$AW$3000,"?*",Однолинейка!$AI$3:$AI$3000,C352,Однолинейка!$A$3:$A$3000,Щит_спец)),IF(A352="Клемма",IF(C352="","",IF(C352=$S$7,SUMIFS(Однолинейка!$BW$3:$BW$3000,Однолинейка!$A$3:$A$3000,Щит_спец),IF(C352=$S$8,SUMIFS(Однолинейка!$BX$3:$BX$3000,Однолинейка!$A$3:$A$3000,Щит_спец),""))),""))))</f>
        <v/>
      </c>
      <c r="O352" s="74"/>
      <c r="P352" s="38" t="str">
        <f t="shared" si="45"/>
        <v/>
      </c>
      <c r="U352" s="38" t="str">
        <f t="shared" si="46"/>
        <v/>
      </c>
      <c r="V352" s="38" t="str">
        <f t="shared" si="47"/>
        <v/>
      </c>
      <c r="W352" s="38" t="str">
        <f>IF(AND(U352&lt;&gt;"",OR($S$4="(все)",B352=$S$4),IF($S$4="(все)",COUNTIF($U$4:U352,U352),COUNTIFS($U$4:U352,U352,$B$4:B352,B352))=1),MAX($W$3:W351)+1,"")</f>
        <v/>
      </c>
      <c r="X352" s="38" t="str">
        <f t="shared" si="48"/>
        <v/>
      </c>
      <c r="Y352" s="38" t="str">
        <f>IF(AND(A352="Аппарат",C352&lt;&gt;"",OR($S$5="(все)",B352=$S$5)),MAX($Y$3:Y351)+1,"")</f>
        <v/>
      </c>
      <c r="Z352" s="38" t="str">
        <f t="shared" si="49"/>
        <v/>
      </c>
      <c r="AA352" s="38" t="str">
        <f>IF(AND(A352="Модуль",C352&lt;&gt;"",OR($S$6="(все)",B352=$S$6)),MAX($AA$3:AA351)+1,"")</f>
        <v/>
      </c>
      <c r="AB352" s="38" t="str">
        <f t="shared" si="50"/>
        <v/>
      </c>
      <c r="AC352" s="38" t="str">
        <f>IF(OR(B352="",COUNTIF($B$4:B352,B352)&gt;1),"",MAX($AC$3:AC351)+1)</f>
        <v/>
      </c>
      <c r="AD352" s="38" t="str">
        <f t="shared" si="51"/>
        <v/>
      </c>
      <c r="AE352" s="38" t="str">
        <f t="shared" si="52"/>
        <v/>
      </c>
      <c r="AF352" s="38" t="str">
        <f t="shared" si="53"/>
        <v/>
      </c>
    </row>
    <row r="353" spans="1:32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38" t="str">
        <f>IF(OR(A353="Автомат",A353="Дифавтомат"),IF(W353="","",COUNTIFS(Однолинейка!$H$3:$H$3000,U353,Однолинейка!$A$3:$A$3000,Щит_спец)),IF(A353="Аппарат",IF(C353="","",COUNTIFS(Однолинейка!$I$3:$I$3000,C353,Однолинейка!$A$3:$A$3000,Щит_спец)+COUNTIFS(Однолинейка!$J$3:$J$3000,C353,Однолинейка!$A$3:$A$3000,Щит_спец)+COUNTIFS(Однолинейка!$K$3:$K$3000,C353,Однолинейка!$A$3:$A$3000,Щит_спец)),IF(A353="Модуль",IF(C353="","",COUNTIFS(Однолинейка!$AW$3:$AW$3000,"?*",Однолинейка!$AI$3:$AI$3000,C353,Однолинейка!$A$3:$A$3000,Щит_спец)),IF(A353="Клемма",IF(C353="","",IF(C353=$S$7,SUMIFS(Однолинейка!$BW$3:$BW$3000,Однолинейка!$A$3:$A$3000,Щит_спец),IF(C353=$S$8,SUMIFS(Однолинейка!$BX$3:$BX$3000,Однолинейка!$A$3:$A$3000,Щит_спец),""))),""))))</f>
        <v/>
      </c>
      <c r="O353" s="74"/>
      <c r="P353" s="38" t="str">
        <f t="shared" si="45"/>
        <v/>
      </c>
      <c r="U353" s="38" t="str">
        <f t="shared" si="46"/>
        <v/>
      </c>
      <c r="V353" s="38" t="str">
        <f t="shared" si="47"/>
        <v/>
      </c>
      <c r="W353" s="38" t="str">
        <f>IF(AND(U353&lt;&gt;"",OR($S$4="(все)",B353=$S$4),IF($S$4="(все)",COUNTIF($U$4:U353,U353),COUNTIFS($U$4:U353,U353,$B$4:B353,B353))=1),MAX($W$3:W352)+1,"")</f>
        <v/>
      </c>
      <c r="X353" s="38" t="str">
        <f t="shared" si="48"/>
        <v/>
      </c>
      <c r="Y353" s="38" t="str">
        <f>IF(AND(A353="Аппарат",C353&lt;&gt;"",OR($S$5="(все)",B353=$S$5)),MAX($Y$3:Y352)+1,"")</f>
        <v/>
      </c>
      <c r="Z353" s="38" t="str">
        <f t="shared" si="49"/>
        <v/>
      </c>
      <c r="AA353" s="38" t="str">
        <f>IF(AND(A353="Модуль",C353&lt;&gt;"",OR($S$6="(все)",B353=$S$6)),MAX($AA$3:AA352)+1,"")</f>
        <v/>
      </c>
      <c r="AB353" s="38" t="str">
        <f t="shared" si="50"/>
        <v/>
      </c>
      <c r="AC353" s="38" t="str">
        <f>IF(OR(B353="",COUNTIF($B$4:B353,B353)&gt;1),"",MAX($AC$3:AC352)+1)</f>
        <v/>
      </c>
      <c r="AD353" s="38" t="str">
        <f t="shared" si="51"/>
        <v/>
      </c>
      <c r="AE353" s="38" t="str">
        <f t="shared" si="52"/>
        <v/>
      </c>
      <c r="AF353" s="38" t="str">
        <f t="shared" si="53"/>
        <v/>
      </c>
    </row>
    <row r="354" spans="1:32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38" t="str">
        <f>IF(OR(A354="Автомат",A354="Дифавтомат"),IF(W354="","",COUNTIFS(Однолинейка!$H$3:$H$3000,U354,Однолинейка!$A$3:$A$3000,Щит_спец)),IF(A354="Аппарат",IF(C354="","",COUNTIFS(Однолинейка!$I$3:$I$3000,C354,Однолинейка!$A$3:$A$3000,Щит_спец)+COUNTIFS(Однолинейка!$J$3:$J$3000,C354,Однолинейка!$A$3:$A$3000,Щит_спец)+COUNTIFS(Однолинейка!$K$3:$K$3000,C354,Однолинейка!$A$3:$A$3000,Щит_спец)),IF(A354="Модуль",IF(C354="","",COUNTIFS(Однолинейка!$AW$3:$AW$3000,"?*",Однолинейка!$AI$3:$AI$3000,C354,Однолинейка!$A$3:$A$3000,Щит_спец)),IF(A354="Клемма",IF(C354="","",IF(C354=$S$7,SUMIFS(Однолинейка!$BW$3:$BW$3000,Однолинейка!$A$3:$A$3000,Щит_спец),IF(C354=$S$8,SUMIFS(Однолинейка!$BX$3:$BX$3000,Однолинейка!$A$3:$A$3000,Щит_спец),""))),""))))</f>
        <v/>
      </c>
      <c r="O354" s="74"/>
      <c r="P354" s="38" t="str">
        <f t="shared" si="45"/>
        <v/>
      </c>
      <c r="U354" s="38" t="str">
        <f t="shared" si="46"/>
        <v/>
      </c>
      <c r="V354" s="38" t="str">
        <f t="shared" si="47"/>
        <v/>
      </c>
      <c r="W354" s="38" t="str">
        <f>IF(AND(U354&lt;&gt;"",OR($S$4="(все)",B354=$S$4),IF($S$4="(все)",COUNTIF($U$4:U354,U354),COUNTIFS($U$4:U354,U354,$B$4:B354,B354))=1),MAX($W$3:W353)+1,"")</f>
        <v/>
      </c>
      <c r="X354" s="38" t="str">
        <f t="shared" si="48"/>
        <v/>
      </c>
      <c r="Y354" s="38" t="str">
        <f>IF(AND(A354="Аппарат",C354&lt;&gt;"",OR($S$5="(все)",B354=$S$5)),MAX($Y$3:Y353)+1,"")</f>
        <v/>
      </c>
      <c r="Z354" s="38" t="str">
        <f t="shared" si="49"/>
        <v/>
      </c>
      <c r="AA354" s="38" t="str">
        <f>IF(AND(A354="Модуль",C354&lt;&gt;"",OR($S$6="(все)",B354=$S$6)),MAX($AA$3:AA353)+1,"")</f>
        <v/>
      </c>
      <c r="AB354" s="38" t="str">
        <f t="shared" si="50"/>
        <v/>
      </c>
      <c r="AC354" s="38" t="str">
        <f>IF(OR(B354="",COUNTIF($B$4:B354,B354)&gt;1),"",MAX($AC$3:AC353)+1)</f>
        <v/>
      </c>
      <c r="AD354" s="38" t="str">
        <f t="shared" si="51"/>
        <v/>
      </c>
      <c r="AE354" s="38" t="str">
        <f t="shared" si="52"/>
        <v/>
      </c>
      <c r="AF354" s="38" t="str">
        <f t="shared" si="53"/>
        <v/>
      </c>
    </row>
    <row r="355" spans="1:32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38" t="str">
        <f>IF(OR(A355="Автомат",A355="Дифавтомат"),IF(W355="","",COUNTIFS(Однолинейка!$H$3:$H$3000,U355,Однолинейка!$A$3:$A$3000,Щит_спец)),IF(A355="Аппарат",IF(C355="","",COUNTIFS(Однолинейка!$I$3:$I$3000,C355,Однолинейка!$A$3:$A$3000,Щит_спец)+COUNTIFS(Однолинейка!$J$3:$J$3000,C355,Однолинейка!$A$3:$A$3000,Щит_спец)+COUNTIFS(Однолинейка!$K$3:$K$3000,C355,Однолинейка!$A$3:$A$3000,Щит_спец)),IF(A355="Модуль",IF(C355="","",COUNTIFS(Однолинейка!$AW$3:$AW$3000,"?*",Однолинейка!$AI$3:$AI$3000,C355,Однолинейка!$A$3:$A$3000,Щит_спец)),IF(A355="Клемма",IF(C355="","",IF(C355=$S$7,SUMIFS(Однолинейка!$BW$3:$BW$3000,Однолинейка!$A$3:$A$3000,Щит_спец),IF(C355=$S$8,SUMIFS(Однолинейка!$BX$3:$BX$3000,Однолинейка!$A$3:$A$3000,Щит_спец),""))),""))))</f>
        <v/>
      </c>
      <c r="O355" s="74"/>
      <c r="P355" s="38" t="str">
        <f t="shared" si="45"/>
        <v/>
      </c>
      <c r="U355" s="38" t="str">
        <f t="shared" si="46"/>
        <v/>
      </c>
      <c r="V355" s="38" t="str">
        <f t="shared" si="47"/>
        <v/>
      </c>
      <c r="W355" s="38" t="str">
        <f>IF(AND(U355&lt;&gt;"",OR($S$4="(все)",B355=$S$4),IF($S$4="(все)",COUNTIF($U$4:U355,U355),COUNTIFS($U$4:U355,U355,$B$4:B355,B355))=1),MAX($W$3:W354)+1,"")</f>
        <v/>
      </c>
      <c r="X355" s="38" t="str">
        <f t="shared" si="48"/>
        <v/>
      </c>
      <c r="Y355" s="38" t="str">
        <f>IF(AND(A355="Аппарат",C355&lt;&gt;"",OR($S$5="(все)",B355=$S$5)),MAX($Y$3:Y354)+1,"")</f>
        <v/>
      </c>
      <c r="Z355" s="38" t="str">
        <f t="shared" si="49"/>
        <v/>
      </c>
      <c r="AA355" s="38" t="str">
        <f>IF(AND(A355="Модуль",C355&lt;&gt;"",OR($S$6="(все)",B355=$S$6)),MAX($AA$3:AA354)+1,"")</f>
        <v/>
      </c>
      <c r="AB355" s="38" t="str">
        <f t="shared" si="50"/>
        <v/>
      </c>
      <c r="AC355" s="38" t="str">
        <f>IF(OR(B355="",COUNTIF($B$4:B355,B355)&gt;1),"",MAX($AC$3:AC354)+1)</f>
        <v/>
      </c>
      <c r="AD355" s="38" t="str">
        <f t="shared" si="51"/>
        <v/>
      </c>
      <c r="AE355" s="38" t="str">
        <f t="shared" si="52"/>
        <v/>
      </c>
      <c r="AF355" s="38" t="str">
        <f t="shared" si="53"/>
        <v/>
      </c>
    </row>
    <row r="356" spans="1:32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38" t="str">
        <f>IF(OR(A356="Автомат",A356="Дифавтомат"),IF(W356="","",COUNTIFS(Однолинейка!$H$3:$H$3000,U356,Однолинейка!$A$3:$A$3000,Щит_спец)),IF(A356="Аппарат",IF(C356="","",COUNTIFS(Однолинейка!$I$3:$I$3000,C356,Однолинейка!$A$3:$A$3000,Щит_спец)+COUNTIFS(Однолинейка!$J$3:$J$3000,C356,Однолинейка!$A$3:$A$3000,Щит_спец)+COUNTIFS(Однолинейка!$K$3:$K$3000,C356,Однолинейка!$A$3:$A$3000,Щит_спец)),IF(A356="Модуль",IF(C356="","",COUNTIFS(Однолинейка!$AW$3:$AW$3000,"?*",Однолинейка!$AI$3:$AI$3000,C356,Однолинейка!$A$3:$A$3000,Щит_спец)),IF(A356="Клемма",IF(C356="","",IF(C356=$S$7,SUMIFS(Однолинейка!$BW$3:$BW$3000,Однолинейка!$A$3:$A$3000,Щит_спец),IF(C356=$S$8,SUMIFS(Однолинейка!$BX$3:$BX$3000,Однолинейка!$A$3:$A$3000,Щит_спец),""))),""))))</f>
        <v/>
      </c>
      <c r="O356" s="74"/>
      <c r="P356" s="38" t="str">
        <f t="shared" si="45"/>
        <v/>
      </c>
      <c r="U356" s="38" t="str">
        <f t="shared" si="46"/>
        <v/>
      </c>
      <c r="V356" s="38" t="str">
        <f t="shared" si="47"/>
        <v/>
      </c>
      <c r="W356" s="38" t="str">
        <f>IF(AND(U356&lt;&gt;"",OR($S$4="(все)",B356=$S$4),IF($S$4="(все)",COUNTIF($U$4:U356,U356),COUNTIFS($U$4:U356,U356,$B$4:B356,B356))=1),MAX($W$3:W355)+1,"")</f>
        <v/>
      </c>
      <c r="X356" s="38" t="str">
        <f t="shared" si="48"/>
        <v/>
      </c>
      <c r="Y356" s="38" t="str">
        <f>IF(AND(A356="Аппарат",C356&lt;&gt;"",OR($S$5="(все)",B356=$S$5)),MAX($Y$3:Y355)+1,"")</f>
        <v/>
      </c>
      <c r="Z356" s="38" t="str">
        <f t="shared" si="49"/>
        <v/>
      </c>
      <c r="AA356" s="38" t="str">
        <f>IF(AND(A356="Модуль",C356&lt;&gt;"",OR($S$6="(все)",B356=$S$6)),MAX($AA$3:AA355)+1,"")</f>
        <v/>
      </c>
      <c r="AB356" s="38" t="str">
        <f t="shared" si="50"/>
        <v/>
      </c>
      <c r="AC356" s="38" t="str">
        <f>IF(OR(B356="",COUNTIF($B$4:B356,B356)&gt;1),"",MAX($AC$3:AC355)+1)</f>
        <v/>
      </c>
      <c r="AD356" s="38" t="str">
        <f t="shared" si="51"/>
        <v/>
      </c>
      <c r="AE356" s="38" t="str">
        <f t="shared" si="52"/>
        <v/>
      </c>
      <c r="AF356" s="38" t="str">
        <f t="shared" si="53"/>
        <v/>
      </c>
    </row>
    <row r="357" spans="1:32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38" t="str">
        <f>IF(OR(A357="Автомат",A357="Дифавтомат"),IF(W357="","",COUNTIFS(Однолинейка!$H$3:$H$3000,U357,Однолинейка!$A$3:$A$3000,Щит_спец)),IF(A357="Аппарат",IF(C357="","",COUNTIFS(Однолинейка!$I$3:$I$3000,C357,Однолинейка!$A$3:$A$3000,Щит_спец)+COUNTIFS(Однолинейка!$J$3:$J$3000,C357,Однолинейка!$A$3:$A$3000,Щит_спец)+COUNTIFS(Однолинейка!$K$3:$K$3000,C357,Однолинейка!$A$3:$A$3000,Щит_спец)),IF(A357="Модуль",IF(C357="","",COUNTIFS(Однолинейка!$AW$3:$AW$3000,"?*",Однолинейка!$AI$3:$AI$3000,C357,Однолинейка!$A$3:$A$3000,Щит_спец)),IF(A357="Клемма",IF(C357="","",IF(C357=$S$7,SUMIFS(Однолинейка!$BW$3:$BW$3000,Однолинейка!$A$3:$A$3000,Щит_спец),IF(C357=$S$8,SUMIFS(Однолинейка!$BX$3:$BX$3000,Однолинейка!$A$3:$A$3000,Щит_спец),""))),""))))</f>
        <v/>
      </c>
      <c r="O357" s="74"/>
      <c r="P357" s="38" t="str">
        <f t="shared" si="45"/>
        <v/>
      </c>
      <c r="U357" s="38" t="str">
        <f t="shared" si="46"/>
        <v/>
      </c>
      <c r="V357" s="38" t="str">
        <f t="shared" si="47"/>
        <v/>
      </c>
      <c r="W357" s="38" t="str">
        <f>IF(AND(U357&lt;&gt;"",OR($S$4="(все)",B357=$S$4),IF($S$4="(все)",COUNTIF($U$4:U357,U357),COUNTIFS($U$4:U357,U357,$B$4:B357,B357))=1),MAX($W$3:W356)+1,"")</f>
        <v/>
      </c>
      <c r="X357" s="38" t="str">
        <f t="shared" si="48"/>
        <v/>
      </c>
      <c r="Y357" s="38" t="str">
        <f>IF(AND(A357="Аппарат",C357&lt;&gt;"",OR($S$5="(все)",B357=$S$5)),MAX($Y$3:Y356)+1,"")</f>
        <v/>
      </c>
      <c r="Z357" s="38" t="str">
        <f t="shared" si="49"/>
        <v/>
      </c>
      <c r="AA357" s="38" t="str">
        <f>IF(AND(A357="Модуль",C357&lt;&gt;"",OR($S$6="(все)",B357=$S$6)),MAX($AA$3:AA356)+1,"")</f>
        <v/>
      </c>
      <c r="AB357" s="38" t="str">
        <f t="shared" si="50"/>
        <v/>
      </c>
      <c r="AC357" s="38" t="str">
        <f>IF(OR(B357="",COUNTIF($B$4:B357,B357)&gt;1),"",MAX($AC$3:AC356)+1)</f>
        <v/>
      </c>
      <c r="AD357" s="38" t="str">
        <f t="shared" si="51"/>
        <v/>
      </c>
      <c r="AE357" s="38" t="str">
        <f t="shared" si="52"/>
        <v/>
      </c>
      <c r="AF357" s="38" t="str">
        <f t="shared" si="53"/>
        <v/>
      </c>
    </row>
    <row r="358" spans="1:32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38" t="str">
        <f>IF(OR(A358="Автомат",A358="Дифавтомат"),IF(W358="","",COUNTIFS(Однолинейка!$H$3:$H$3000,U358,Однолинейка!$A$3:$A$3000,Щит_спец)),IF(A358="Аппарат",IF(C358="","",COUNTIFS(Однолинейка!$I$3:$I$3000,C358,Однолинейка!$A$3:$A$3000,Щит_спец)+COUNTIFS(Однолинейка!$J$3:$J$3000,C358,Однолинейка!$A$3:$A$3000,Щит_спец)+COUNTIFS(Однолинейка!$K$3:$K$3000,C358,Однолинейка!$A$3:$A$3000,Щит_спец)),IF(A358="Модуль",IF(C358="","",COUNTIFS(Однолинейка!$AW$3:$AW$3000,"?*",Однолинейка!$AI$3:$AI$3000,C358,Однолинейка!$A$3:$A$3000,Щит_спец)),IF(A358="Клемма",IF(C358="","",IF(C358=$S$7,SUMIFS(Однолинейка!$BW$3:$BW$3000,Однолинейка!$A$3:$A$3000,Щит_спец),IF(C358=$S$8,SUMIFS(Однолинейка!$BX$3:$BX$3000,Однолинейка!$A$3:$A$3000,Щит_спец),""))),""))))</f>
        <v/>
      </c>
      <c r="O358" s="74"/>
      <c r="P358" s="38" t="str">
        <f t="shared" si="45"/>
        <v/>
      </c>
      <c r="U358" s="38" t="str">
        <f t="shared" si="46"/>
        <v/>
      </c>
      <c r="V358" s="38" t="str">
        <f t="shared" si="47"/>
        <v/>
      </c>
      <c r="W358" s="38" t="str">
        <f>IF(AND(U358&lt;&gt;"",OR($S$4="(все)",B358=$S$4),IF($S$4="(все)",COUNTIF($U$4:U358,U358),COUNTIFS($U$4:U358,U358,$B$4:B358,B358))=1),MAX($W$3:W357)+1,"")</f>
        <v/>
      </c>
      <c r="X358" s="38" t="str">
        <f t="shared" si="48"/>
        <v/>
      </c>
      <c r="Y358" s="38" t="str">
        <f>IF(AND(A358="Аппарат",C358&lt;&gt;"",OR($S$5="(все)",B358=$S$5)),MAX($Y$3:Y357)+1,"")</f>
        <v/>
      </c>
      <c r="Z358" s="38" t="str">
        <f t="shared" si="49"/>
        <v/>
      </c>
      <c r="AA358" s="38" t="str">
        <f>IF(AND(A358="Модуль",C358&lt;&gt;"",OR($S$6="(все)",B358=$S$6)),MAX($AA$3:AA357)+1,"")</f>
        <v/>
      </c>
      <c r="AB358" s="38" t="str">
        <f t="shared" si="50"/>
        <v/>
      </c>
      <c r="AC358" s="38" t="str">
        <f>IF(OR(B358="",COUNTIF($B$4:B358,B358)&gt;1),"",MAX($AC$3:AC357)+1)</f>
        <v/>
      </c>
      <c r="AD358" s="38" t="str">
        <f t="shared" si="51"/>
        <v/>
      </c>
      <c r="AE358" s="38" t="str">
        <f t="shared" si="52"/>
        <v/>
      </c>
      <c r="AF358" s="38" t="str">
        <f t="shared" si="53"/>
        <v/>
      </c>
    </row>
    <row r="359" spans="1:32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38" t="str">
        <f>IF(OR(A359="Автомат",A359="Дифавтомат"),IF(W359="","",COUNTIFS(Однолинейка!$H$3:$H$3000,U359,Однолинейка!$A$3:$A$3000,Щит_спец)),IF(A359="Аппарат",IF(C359="","",COUNTIFS(Однолинейка!$I$3:$I$3000,C359,Однолинейка!$A$3:$A$3000,Щит_спец)+COUNTIFS(Однолинейка!$J$3:$J$3000,C359,Однолинейка!$A$3:$A$3000,Щит_спец)+COUNTIFS(Однолинейка!$K$3:$K$3000,C359,Однолинейка!$A$3:$A$3000,Щит_спец)),IF(A359="Модуль",IF(C359="","",COUNTIFS(Однолинейка!$AW$3:$AW$3000,"?*",Однолинейка!$AI$3:$AI$3000,C359,Однолинейка!$A$3:$A$3000,Щит_спец)),IF(A359="Клемма",IF(C359="","",IF(C359=$S$7,SUMIFS(Однолинейка!$BW$3:$BW$3000,Однолинейка!$A$3:$A$3000,Щит_спец),IF(C359=$S$8,SUMIFS(Однолинейка!$BX$3:$BX$3000,Однолинейка!$A$3:$A$3000,Щит_спец),""))),""))))</f>
        <v/>
      </c>
      <c r="O359" s="74"/>
      <c r="P359" s="38" t="str">
        <f t="shared" si="45"/>
        <v/>
      </c>
      <c r="U359" s="38" t="str">
        <f t="shared" si="46"/>
        <v/>
      </c>
      <c r="V359" s="38" t="str">
        <f t="shared" si="47"/>
        <v/>
      </c>
      <c r="W359" s="38" t="str">
        <f>IF(AND(U359&lt;&gt;"",OR($S$4="(все)",B359=$S$4),IF($S$4="(все)",COUNTIF($U$4:U359,U359),COUNTIFS($U$4:U359,U359,$B$4:B359,B359))=1),MAX($W$3:W358)+1,"")</f>
        <v/>
      </c>
      <c r="X359" s="38" t="str">
        <f t="shared" si="48"/>
        <v/>
      </c>
      <c r="Y359" s="38" t="str">
        <f>IF(AND(A359="Аппарат",C359&lt;&gt;"",OR($S$5="(все)",B359=$S$5)),MAX($Y$3:Y358)+1,"")</f>
        <v/>
      </c>
      <c r="Z359" s="38" t="str">
        <f t="shared" si="49"/>
        <v/>
      </c>
      <c r="AA359" s="38" t="str">
        <f>IF(AND(A359="Модуль",C359&lt;&gt;"",OR($S$6="(все)",B359=$S$6)),MAX($AA$3:AA358)+1,"")</f>
        <v/>
      </c>
      <c r="AB359" s="38" t="str">
        <f t="shared" si="50"/>
        <v/>
      </c>
      <c r="AC359" s="38" t="str">
        <f>IF(OR(B359="",COUNTIF($B$4:B359,B359)&gt;1),"",MAX($AC$3:AC358)+1)</f>
        <v/>
      </c>
      <c r="AD359" s="38" t="str">
        <f t="shared" si="51"/>
        <v/>
      </c>
      <c r="AE359" s="38" t="str">
        <f t="shared" si="52"/>
        <v/>
      </c>
      <c r="AF359" s="38" t="str">
        <f t="shared" si="53"/>
        <v/>
      </c>
    </row>
    <row r="360" spans="1:32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38" t="str">
        <f>IF(OR(A360="Автомат",A360="Дифавтомат"),IF(W360="","",COUNTIFS(Однолинейка!$H$3:$H$3000,U360,Однолинейка!$A$3:$A$3000,Щит_спец)),IF(A360="Аппарат",IF(C360="","",COUNTIFS(Однолинейка!$I$3:$I$3000,C360,Однолинейка!$A$3:$A$3000,Щит_спец)+COUNTIFS(Однолинейка!$J$3:$J$3000,C360,Однолинейка!$A$3:$A$3000,Щит_спец)+COUNTIFS(Однолинейка!$K$3:$K$3000,C360,Однолинейка!$A$3:$A$3000,Щит_спец)),IF(A360="Модуль",IF(C360="","",COUNTIFS(Однолинейка!$AW$3:$AW$3000,"?*",Однолинейка!$AI$3:$AI$3000,C360,Однолинейка!$A$3:$A$3000,Щит_спец)),IF(A360="Клемма",IF(C360="","",IF(C360=$S$7,SUMIFS(Однолинейка!$BW$3:$BW$3000,Однолинейка!$A$3:$A$3000,Щит_спец),IF(C360=$S$8,SUMIFS(Однолинейка!$BX$3:$BX$3000,Однолинейка!$A$3:$A$3000,Щит_спец),""))),""))))</f>
        <v/>
      </c>
      <c r="O360" s="74"/>
      <c r="P360" s="38" t="str">
        <f t="shared" si="45"/>
        <v/>
      </c>
      <c r="U360" s="38" t="str">
        <f t="shared" si="46"/>
        <v/>
      </c>
      <c r="V360" s="38" t="str">
        <f t="shared" si="47"/>
        <v/>
      </c>
      <c r="W360" s="38" t="str">
        <f>IF(AND(U360&lt;&gt;"",OR($S$4="(все)",B360=$S$4),IF($S$4="(все)",COUNTIF($U$4:U360,U360),COUNTIFS($U$4:U360,U360,$B$4:B360,B360))=1),MAX($W$3:W359)+1,"")</f>
        <v/>
      </c>
      <c r="X360" s="38" t="str">
        <f t="shared" si="48"/>
        <v/>
      </c>
      <c r="Y360" s="38" t="str">
        <f>IF(AND(A360="Аппарат",C360&lt;&gt;"",OR($S$5="(все)",B360=$S$5)),MAX($Y$3:Y359)+1,"")</f>
        <v/>
      </c>
      <c r="Z360" s="38" t="str">
        <f t="shared" si="49"/>
        <v/>
      </c>
      <c r="AA360" s="38" t="str">
        <f>IF(AND(A360="Модуль",C360&lt;&gt;"",OR($S$6="(все)",B360=$S$6)),MAX($AA$3:AA359)+1,"")</f>
        <v/>
      </c>
      <c r="AB360" s="38" t="str">
        <f t="shared" si="50"/>
        <v/>
      </c>
      <c r="AC360" s="38" t="str">
        <f>IF(OR(B360="",COUNTIF($B$4:B360,B360)&gt;1),"",MAX($AC$3:AC359)+1)</f>
        <v/>
      </c>
      <c r="AD360" s="38" t="str">
        <f t="shared" si="51"/>
        <v/>
      </c>
      <c r="AE360" s="38" t="str">
        <f t="shared" si="52"/>
        <v/>
      </c>
      <c r="AF360" s="38" t="str">
        <f t="shared" si="53"/>
        <v/>
      </c>
    </row>
    <row r="361" spans="1:32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38" t="str">
        <f>IF(OR(A361="Автомат",A361="Дифавтомат"),IF(W361="","",COUNTIFS(Однолинейка!$H$3:$H$3000,U361,Однолинейка!$A$3:$A$3000,Щит_спец)),IF(A361="Аппарат",IF(C361="","",COUNTIFS(Однолинейка!$I$3:$I$3000,C361,Однолинейка!$A$3:$A$3000,Щит_спец)+COUNTIFS(Однолинейка!$J$3:$J$3000,C361,Однолинейка!$A$3:$A$3000,Щит_спец)+COUNTIFS(Однолинейка!$K$3:$K$3000,C361,Однолинейка!$A$3:$A$3000,Щит_спец)),IF(A361="Модуль",IF(C361="","",COUNTIFS(Однолинейка!$AW$3:$AW$3000,"?*",Однолинейка!$AI$3:$AI$3000,C361,Однолинейка!$A$3:$A$3000,Щит_спец)),IF(A361="Клемма",IF(C361="","",IF(C361=$S$7,SUMIFS(Однолинейка!$BW$3:$BW$3000,Однолинейка!$A$3:$A$3000,Щит_спец),IF(C361=$S$8,SUMIFS(Однолинейка!$BX$3:$BX$3000,Однолинейка!$A$3:$A$3000,Щит_спец),""))),""))))</f>
        <v/>
      </c>
      <c r="O361" s="74"/>
      <c r="P361" s="38" t="str">
        <f t="shared" si="45"/>
        <v/>
      </c>
      <c r="U361" s="38" t="str">
        <f t="shared" si="46"/>
        <v/>
      </c>
      <c r="V361" s="38" t="str">
        <f t="shared" si="47"/>
        <v/>
      </c>
      <c r="W361" s="38" t="str">
        <f>IF(AND(U361&lt;&gt;"",OR($S$4="(все)",B361=$S$4),IF($S$4="(все)",COUNTIF($U$4:U361,U361),COUNTIFS($U$4:U361,U361,$B$4:B361,B361))=1),MAX($W$3:W360)+1,"")</f>
        <v/>
      </c>
      <c r="X361" s="38" t="str">
        <f t="shared" si="48"/>
        <v/>
      </c>
      <c r="Y361" s="38" t="str">
        <f>IF(AND(A361="Аппарат",C361&lt;&gt;"",OR($S$5="(все)",B361=$S$5)),MAX($Y$3:Y360)+1,"")</f>
        <v/>
      </c>
      <c r="Z361" s="38" t="str">
        <f t="shared" si="49"/>
        <v/>
      </c>
      <c r="AA361" s="38" t="str">
        <f>IF(AND(A361="Модуль",C361&lt;&gt;"",OR($S$6="(все)",B361=$S$6)),MAX($AA$3:AA360)+1,"")</f>
        <v/>
      </c>
      <c r="AB361" s="38" t="str">
        <f t="shared" si="50"/>
        <v/>
      </c>
      <c r="AC361" s="38" t="str">
        <f>IF(OR(B361="",COUNTIF($B$4:B361,B361)&gt;1),"",MAX($AC$3:AC360)+1)</f>
        <v/>
      </c>
      <c r="AD361" s="38" t="str">
        <f t="shared" si="51"/>
        <v/>
      </c>
      <c r="AE361" s="38" t="str">
        <f t="shared" si="52"/>
        <v/>
      </c>
      <c r="AF361" s="38" t="str">
        <f t="shared" si="53"/>
        <v/>
      </c>
    </row>
    <row r="362" spans="1:32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38" t="str">
        <f>IF(OR(A362="Автомат",A362="Дифавтомат"),IF(W362="","",COUNTIFS(Однолинейка!$H$3:$H$3000,U362,Однолинейка!$A$3:$A$3000,Щит_спец)),IF(A362="Аппарат",IF(C362="","",COUNTIFS(Однолинейка!$I$3:$I$3000,C362,Однолинейка!$A$3:$A$3000,Щит_спец)+COUNTIFS(Однолинейка!$J$3:$J$3000,C362,Однолинейка!$A$3:$A$3000,Щит_спец)+COUNTIFS(Однолинейка!$K$3:$K$3000,C362,Однолинейка!$A$3:$A$3000,Щит_спец)),IF(A362="Модуль",IF(C362="","",COUNTIFS(Однолинейка!$AW$3:$AW$3000,"?*",Однолинейка!$AI$3:$AI$3000,C362,Однолинейка!$A$3:$A$3000,Щит_спец)),IF(A362="Клемма",IF(C362="","",IF(C362=$S$7,SUMIFS(Однолинейка!$BW$3:$BW$3000,Однолинейка!$A$3:$A$3000,Щит_спец),IF(C362=$S$8,SUMIFS(Однолинейка!$BX$3:$BX$3000,Однолинейка!$A$3:$A$3000,Щит_спец),""))),""))))</f>
        <v/>
      </c>
      <c r="O362" s="74"/>
      <c r="P362" s="38" t="str">
        <f t="shared" si="45"/>
        <v/>
      </c>
      <c r="U362" s="38" t="str">
        <f t="shared" si="46"/>
        <v/>
      </c>
      <c r="V362" s="38" t="str">
        <f t="shared" si="47"/>
        <v/>
      </c>
      <c r="W362" s="38" t="str">
        <f>IF(AND(U362&lt;&gt;"",OR($S$4="(все)",B362=$S$4),IF($S$4="(все)",COUNTIF($U$4:U362,U362),COUNTIFS($U$4:U362,U362,$B$4:B362,B362))=1),MAX($W$3:W361)+1,"")</f>
        <v/>
      </c>
      <c r="X362" s="38" t="str">
        <f t="shared" si="48"/>
        <v/>
      </c>
      <c r="Y362" s="38" t="str">
        <f>IF(AND(A362="Аппарат",C362&lt;&gt;"",OR($S$5="(все)",B362=$S$5)),MAX($Y$3:Y361)+1,"")</f>
        <v/>
      </c>
      <c r="Z362" s="38" t="str">
        <f t="shared" si="49"/>
        <v/>
      </c>
      <c r="AA362" s="38" t="str">
        <f>IF(AND(A362="Модуль",C362&lt;&gt;"",OR($S$6="(все)",B362=$S$6)),MAX($AA$3:AA361)+1,"")</f>
        <v/>
      </c>
      <c r="AB362" s="38" t="str">
        <f t="shared" si="50"/>
        <v/>
      </c>
      <c r="AC362" s="38" t="str">
        <f>IF(OR(B362="",COUNTIF($B$4:B362,B362)&gt;1),"",MAX($AC$3:AC361)+1)</f>
        <v/>
      </c>
      <c r="AD362" s="38" t="str">
        <f t="shared" si="51"/>
        <v/>
      </c>
      <c r="AE362" s="38" t="str">
        <f t="shared" si="52"/>
        <v/>
      </c>
      <c r="AF362" s="38" t="str">
        <f t="shared" si="53"/>
        <v/>
      </c>
    </row>
    <row r="363" spans="1:32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38" t="str">
        <f>IF(OR(A363="Автомат",A363="Дифавтомат"),IF(W363="","",COUNTIFS(Однолинейка!$H$3:$H$3000,U363,Однолинейка!$A$3:$A$3000,Щит_спец)),IF(A363="Аппарат",IF(C363="","",COUNTIFS(Однолинейка!$I$3:$I$3000,C363,Однолинейка!$A$3:$A$3000,Щит_спец)+COUNTIFS(Однолинейка!$J$3:$J$3000,C363,Однолинейка!$A$3:$A$3000,Щит_спец)+COUNTIFS(Однолинейка!$K$3:$K$3000,C363,Однолинейка!$A$3:$A$3000,Щит_спец)),IF(A363="Модуль",IF(C363="","",COUNTIFS(Однолинейка!$AW$3:$AW$3000,"?*",Однолинейка!$AI$3:$AI$3000,C363,Однолинейка!$A$3:$A$3000,Щит_спец)),IF(A363="Клемма",IF(C363="","",IF(C363=$S$7,SUMIFS(Однолинейка!$BW$3:$BW$3000,Однолинейка!$A$3:$A$3000,Щит_спец),IF(C363=$S$8,SUMIFS(Однолинейка!$BX$3:$BX$3000,Однолинейка!$A$3:$A$3000,Щит_спец),""))),""))))</f>
        <v/>
      </c>
      <c r="O363" s="74"/>
      <c r="P363" s="38" t="str">
        <f t="shared" si="45"/>
        <v/>
      </c>
      <c r="U363" s="38" t="str">
        <f t="shared" si="46"/>
        <v/>
      </c>
      <c r="V363" s="38" t="str">
        <f t="shared" si="47"/>
        <v/>
      </c>
      <c r="W363" s="38" t="str">
        <f>IF(AND(U363&lt;&gt;"",OR($S$4="(все)",B363=$S$4),IF($S$4="(все)",COUNTIF($U$4:U363,U363),COUNTIFS($U$4:U363,U363,$B$4:B363,B363))=1),MAX($W$3:W362)+1,"")</f>
        <v/>
      </c>
      <c r="X363" s="38" t="str">
        <f t="shared" si="48"/>
        <v/>
      </c>
      <c r="Y363" s="38" t="str">
        <f>IF(AND(A363="Аппарат",C363&lt;&gt;"",OR($S$5="(все)",B363=$S$5)),MAX($Y$3:Y362)+1,"")</f>
        <v/>
      </c>
      <c r="Z363" s="38" t="str">
        <f t="shared" si="49"/>
        <v/>
      </c>
      <c r="AA363" s="38" t="str">
        <f>IF(AND(A363="Модуль",C363&lt;&gt;"",OR($S$6="(все)",B363=$S$6)),MAX($AA$3:AA362)+1,"")</f>
        <v/>
      </c>
      <c r="AB363" s="38" t="str">
        <f t="shared" si="50"/>
        <v/>
      </c>
      <c r="AC363" s="38" t="str">
        <f>IF(OR(B363="",COUNTIF($B$4:B363,B363)&gt;1),"",MAX($AC$3:AC362)+1)</f>
        <v/>
      </c>
      <c r="AD363" s="38" t="str">
        <f t="shared" si="51"/>
        <v/>
      </c>
      <c r="AE363" s="38" t="str">
        <f t="shared" si="52"/>
        <v/>
      </c>
      <c r="AF363" s="38" t="str">
        <f t="shared" si="53"/>
        <v/>
      </c>
    </row>
    <row r="364" spans="1:32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38" t="str">
        <f>IF(OR(A364="Автомат",A364="Дифавтомат"),IF(W364="","",COUNTIFS(Однолинейка!$H$3:$H$3000,U364,Однолинейка!$A$3:$A$3000,Щит_спец)),IF(A364="Аппарат",IF(C364="","",COUNTIFS(Однолинейка!$I$3:$I$3000,C364,Однолинейка!$A$3:$A$3000,Щит_спец)+COUNTIFS(Однолинейка!$J$3:$J$3000,C364,Однолинейка!$A$3:$A$3000,Щит_спец)+COUNTIFS(Однолинейка!$K$3:$K$3000,C364,Однолинейка!$A$3:$A$3000,Щит_спец)),IF(A364="Модуль",IF(C364="","",COUNTIFS(Однолинейка!$AW$3:$AW$3000,"?*",Однолинейка!$AI$3:$AI$3000,C364,Однолинейка!$A$3:$A$3000,Щит_спец)),IF(A364="Клемма",IF(C364="","",IF(C364=$S$7,SUMIFS(Однолинейка!$BW$3:$BW$3000,Однолинейка!$A$3:$A$3000,Щит_спец),IF(C364=$S$8,SUMIFS(Однолинейка!$BX$3:$BX$3000,Однолинейка!$A$3:$A$3000,Щит_спец),""))),""))))</f>
        <v/>
      </c>
      <c r="O364" s="74"/>
      <c r="P364" s="38" t="str">
        <f t="shared" si="45"/>
        <v/>
      </c>
      <c r="U364" s="38" t="str">
        <f t="shared" si="46"/>
        <v/>
      </c>
      <c r="V364" s="38" t="str">
        <f t="shared" si="47"/>
        <v/>
      </c>
      <c r="W364" s="38" t="str">
        <f>IF(AND(U364&lt;&gt;"",OR($S$4="(все)",B364=$S$4),IF($S$4="(все)",COUNTIF($U$4:U364,U364),COUNTIFS($U$4:U364,U364,$B$4:B364,B364))=1),MAX($W$3:W363)+1,"")</f>
        <v/>
      </c>
      <c r="X364" s="38" t="str">
        <f t="shared" si="48"/>
        <v/>
      </c>
      <c r="Y364" s="38" t="str">
        <f>IF(AND(A364="Аппарат",C364&lt;&gt;"",OR($S$5="(все)",B364=$S$5)),MAX($Y$3:Y363)+1,"")</f>
        <v/>
      </c>
      <c r="Z364" s="38" t="str">
        <f t="shared" si="49"/>
        <v/>
      </c>
      <c r="AA364" s="38" t="str">
        <f>IF(AND(A364="Модуль",C364&lt;&gt;"",OR($S$6="(все)",B364=$S$6)),MAX($AA$3:AA363)+1,"")</f>
        <v/>
      </c>
      <c r="AB364" s="38" t="str">
        <f t="shared" si="50"/>
        <v/>
      </c>
      <c r="AC364" s="38" t="str">
        <f>IF(OR(B364="",COUNTIF($B$4:B364,B364)&gt;1),"",MAX($AC$3:AC363)+1)</f>
        <v/>
      </c>
      <c r="AD364" s="38" t="str">
        <f t="shared" si="51"/>
        <v/>
      </c>
      <c r="AE364" s="38" t="str">
        <f t="shared" si="52"/>
        <v/>
      </c>
      <c r="AF364" s="38" t="str">
        <f t="shared" si="53"/>
        <v/>
      </c>
    </row>
    <row r="365" spans="1:32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38" t="str">
        <f>IF(OR(A365="Автомат",A365="Дифавтомат"),IF(W365="","",COUNTIFS(Однолинейка!$H$3:$H$3000,U365,Однолинейка!$A$3:$A$3000,Щит_спец)),IF(A365="Аппарат",IF(C365="","",COUNTIFS(Однолинейка!$I$3:$I$3000,C365,Однолинейка!$A$3:$A$3000,Щит_спец)+COUNTIFS(Однолинейка!$J$3:$J$3000,C365,Однолинейка!$A$3:$A$3000,Щит_спец)+COUNTIFS(Однолинейка!$K$3:$K$3000,C365,Однолинейка!$A$3:$A$3000,Щит_спец)),IF(A365="Модуль",IF(C365="","",COUNTIFS(Однолинейка!$AW$3:$AW$3000,"?*",Однолинейка!$AI$3:$AI$3000,C365,Однолинейка!$A$3:$A$3000,Щит_спец)),IF(A365="Клемма",IF(C365="","",IF(C365=$S$7,SUMIFS(Однолинейка!$BW$3:$BW$3000,Однолинейка!$A$3:$A$3000,Щит_спец),IF(C365=$S$8,SUMIFS(Однолинейка!$BX$3:$BX$3000,Однолинейка!$A$3:$A$3000,Щит_спец),""))),""))))</f>
        <v/>
      </c>
      <c r="O365" s="74"/>
      <c r="P365" s="38" t="str">
        <f t="shared" si="45"/>
        <v/>
      </c>
      <c r="U365" s="38" t="str">
        <f t="shared" si="46"/>
        <v/>
      </c>
      <c r="V365" s="38" t="str">
        <f t="shared" si="47"/>
        <v/>
      </c>
      <c r="W365" s="38" t="str">
        <f>IF(AND(U365&lt;&gt;"",OR($S$4="(все)",B365=$S$4),IF($S$4="(все)",COUNTIF($U$4:U365,U365),COUNTIFS($U$4:U365,U365,$B$4:B365,B365))=1),MAX($W$3:W364)+1,"")</f>
        <v/>
      </c>
      <c r="X365" s="38" t="str">
        <f t="shared" si="48"/>
        <v/>
      </c>
      <c r="Y365" s="38" t="str">
        <f>IF(AND(A365="Аппарат",C365&lt;&gt;"",OR($S$5="(все)",B365=$S$5)),MAX($Y$3:Y364)+1,"")</f>
        <v/>
      </c>
      <c r="Z365" s="38" t="str">
        <f t="shared" si="49"/>
        <v/>
      </c>
      <c r="AA365" s="38" t="str">
        <f>IF(AND(A365="Модуль",C365&lt;&gt;"",OR($S$6="(все)",B365=$S$6)),MAX($AA$3:AA364)+1,"")</f>
        <v/>
      </c>
      <c r="AB365" s="38" t="str">
        <f t="shared" si="50"/>
        <v/>
      </c>
      <c r="AC365" s="38" t="str">
        <f>IF(OR(B365="",COUNTIF($B$4:B365,B365)&gt;1),"",MAX($AC$3:AC364)+1)</f>
        <v/>
      </c>
      <c r="AD365" s="38" t="str">
        <f t="shared" si="51"/>
        <v/>
      </c>
      <c r="AE365" s="38" t="str">
        <f t="shared" si="52"/>
        <v/>
      </c>
      <c r="AF365" s="38" t="str">
        <f t="shared" si="53"/>
        <v/>
      </c>
    </row>
    <row r="366" spans="1:32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38" t="str">
        <f>IF(OR(A366="Автомат",A366="Дифавтомат"),IF(W366="","",COUNTIFS(Однолинейка!$H$3:$H$3000,U366,Однолинейка!$A$3:$A$3000,Щит_спец)),IF(A366="Аппарат",IF(C366="","",COUNTIFS(Однолинейка!$I$3:$I$3000,C366,Однолинейка!$A$3:$A$3000,Щит_спец)+COUNTIFS(Однолинейка!$J$3:$J$3000,C366,Однолинейка!$A$3:$A$3000,Щит_спец)+COUNTIFS(Однолинейка!$K$3:$K$3000,C366,Однолинейка!$A$3:$A$3000,Щит_спец)),IF(A366="Модуль",IF(C366="","",COUNTIFS(Однолинейка!$AW$3:$AW$3000,"?*",Однолинейка!$AI$3:$AI$3000,C366,Однолинейка!$A$3:$A$3000,Щит_спец)),IF(A366="Клемма",IF(C366="","",IF(C366=$S$7,SUMIFS(Однолинейка!$BW$3:$BW$3000,Однолинейка!$A$3:$A$3000,Щит_спец),IF(C366=$S$8,SUMIFS(Однолинейка!$BX$3:$BX$3000,Однолинейка!$A$3:$A$3000,Щит_спец),""))),""))))</f>
        <v/>
      </c>
      <c r="O366" s="74"/>
      <c r="P366" s="38" t="str">
        <f t="shared" si="45"/>
        <v/>
      </c>
      <c r="U366" s="38" t="str">
        <f t="shared" si="46"/>
        <v/>
      </c>
      <c r="V366" s="38" t="str">
        <f t="shared" si="47"/>
        <v/>
      </c>
      <c r="W366" s="38" t="str">
        <f>IF(AND(U366&lt;&gt;"",OR($S$4="(все)",B366=$S$4),IF($S$4="(все)",COUNTIF($U$4:U366,U366),COUNTIFS($U$4:U366,U366,$B$4:B366,B366))=1),MAX($W$3:W365)+1,"")</f>
        <v/>
      </c>
      <c r="X366" s="38" t="str">
        <f t="shared" si="48"/>
        <v/>
      </c>
      <c r="Y366" s="38" t="str">
        <f>IF(AND(A366="Аппарат",C366&lt;&gt;"",OR($S$5="(все)",B366=$S$5)),MAX($Y$3:Y365)+1,"")</f>
        <v/>
      </c>
      <c r="Z366" s="38" t="str">
        <f t="shared" si="49"/>
        <v/>
      </c>
      <c r="AA366" s="38" t="str">
        <f>IF(AND(A366="Модуль",C366&lt;&gt;"",OR($S$6="(все)",B366=$S$6)),MAX($AA$3:AA365)+1,"")</f>
        <v/>
      </c>
      <c r="AB366" s="38" t="str">
        <f t="shared" si="50"/>
        <v/>
      </c>
      <c r="AC366" s="38" t="str">
        <f>IF(OR(B366="",COUNTIF($B$4:B366,B366)&gt;1),"",MAX($AC$3:AC365)+1)</f>
        <v/>
      </c>
      <c r="AD366" s="38" t="str">
        <f t="shared" si="51"/>
        <v/>
      </c>
      <c r="AE366" s="38" t="str">
        <f t="shared" si="52"/>
        <v/>
      </c>
      <c r="AF366" s="38" t="str">
        <f t="shared" si="53"/>
        <v/>
      </c>
    </row>
    <row r="367" spans="1:32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38" t="str">
        <f>IF(OR(A367="Автомат",A367="Дифавтомат"),IF(W367="","",COUNTIFS(Однолинейка!$H$3:$H$3000,U367,Однолинейка!$A$3:$A$3000,Щит_спец)),IF(A367="Аппарат",IF(C367="","",COUNTIFS(Однолинейка!$I$3:$I$3000,C367,Однолинейка!$A$3:$A$3000,Щит_спец)+COUNTIFS(Однолинейка!$J$3:$J$3000,C367,Однолинейка!$A$3:$A$3000,Щит_спец)+COUNTIFS(Однолинейка!$K$3:$K$3000,C367,Однолинейка!$A$3:$A$3000,Щит_спец)),IF(A367="Модуль",IF(C367="","",COUNTIFS(Однолинейка!$AW$3:$AW$3000,"?*",Однолинейка!$AI$3:$AI$3000,C367,Однолинейка!$A$3:$A$3000,Щит_спец)),IF(A367="Клемма",IF(C367="","",IF(C367=$S$7,SUMIFS(Однолинейка!$BW$3:$BW$3000,Однолинейка!$A$3:$A$3000,Щит_спец),IF(C367=$S$8,SUMIFS(Однолинейка!$BX$3:$BX$3000,Однолинейка!$A$3:$A$3000,Щит_спец),""))),""))))</f>
        <v/>
      </c>
      <c r="O367" s="74"/>
      <c r="P367" s="38" t="str">
        <f t="shared" si="45"/>
        <v/>
      </c>
      <c r="U367" s="38" t="str">
        <f t="shared" si="46"/>
        <v/>
      </c>
      <c r="V367" s="38" t="str">
        <f t="shared" si="47"/>
        <v/>
      </c>
      <c r="W367" s="38" t="str">
        <f>IF(AND(U367&lt;&gt;"",OR($S$4="(все)",B367=$S$4),IF($S$4="(все)",COUNTIF($U$4:U367,U367),COUNTIFS($U$4:U367,U367,$B$4:B367,B367))=1),MAX($W$3:W366)+1,"")</f>
        <v/>
      </c>
      <c r="X367" s="38" t="str">
        <f t="shared" si="48"/>
        <v/>
      </c>
      <c r="Y367" s="38" t="str">
        <f>IF(AND(A367="Аппарат",C367&lt;&gt;"",OR($S$5="(все)",B367=$S$5)),MAX($Y$3:Y366)+1,"")</f>
        <v/>
      </c>
      <c r="Z367" s="38" t="str">
        <f t="shared" si="49"/>
        <v/>
      </c>
      <c r="AA367" s="38" t="str">
        <f>IF(AND(A367="Модуль",C367&lt;&gt;"",OR($S$6="(все)",B367=$S$6)),MAX($AA$3:AA366)+1,"")</f>
        <v/>
      </c>
      <c r="AB367" s="38" t="str">
        <f t="shared" si="50"/>
        <v/>
      </c>
      <c r="AC367" s="38" t="str">
        <f>IF(OR(B367="",COUNTIF($B$4:B367,B367)&gt;1),"",MAX($AC$3:AC366)+1)</f>
        <v/>
      </c>
      <c r="AD367" s="38" t="str">
        <f t="shared" si="51"/>
        <v/>
      </c>
      <c r="AE367" s="38" t="str">
        <f t="shared" si="52"/>
        <v/>
      </c>
      <c r="AF367" s="38" t="str">
        <f t="shared" si="53"/>
        <v/>
      </c>
    </row>
    <row r="368" spans="1:32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38" t="str">
        <f>IF(OR(A368="Автомат",A368="Дифавтомат"),IF(W368="","",COUNTIFS(Однолинейка!$H$3:$H$3000,U368,Однолинейка!$A$3:$A$3000,Щит_спец)),IF(A368="Аппарат",IF(C368="","",COUNTIFS(Однолинейка!$I$3:$I$3000,C368,Однолинейка!$A$3:$A$3000,Щит_спец)+COUNTIFS(Однолинейка!$J$3:$J$3000,C368,Однолинейка!$A$3:$A$3000,Щит_спец)+COUNTIFS(Однолинейка!$K$3:$K$3000,C368,Однолинейка!$A$3:$A$3000,Щит_спец)),IF(A368="Модуль",IF(C368="","",COUNTIFS(Однолинейка!$AW$3:$AW$3000,"?*",Однолинейка!$AI$3:$AI$3000,C368,Однолинейка!$A$3:$A$3000,Щит_спец)),IF(A368="Клемма",IF(C368="","",IF(C368=$S$7,SUMIFS(Однолинейка!$BW$3:$BW$3000,Однолинейка!$A$3:$A$3000,Щит_спец),IF(C368=$S$8,SUMIFS(Однолинейка!$BX$3:$BX$3000,Однолинейка!$A$3:$A$3000,Щит_спец),""))),""))))</f>
        <v/>
      </c>
      <c r="O368" s="74"/>
      <c r="P368" s="38" t="str">
        <f t="shared" si="45"/>
        <v/>
      </c>
      <c r="U368" s="38" t="str">
        <f t="shared" si="46"/>
        <v/>
      </c>
      <c r="V368" s="38" t="str">
        <f t="shared" si="47"/>
        <v/>
      </c>
      <c r="W368" s="38" t="str">
        <f>IF(AND(U368&lt;&gt;"",OR($S$4="(все)",B368=$S$4),IF($S$4="(все)",COUNTIF($U$4:U368,U368),COUNTIFS($U$4:U368,U368,$B$4:B368,B368))=1),MAX($W$3:W367)+1,"")</f>
        <v/>
      </c>
      <c r="X368" s="38" t="str">
        <f t="shared" si="48"/>
        <v/>
      </c>
      <c r="Y368" s="38" t="str">
        <f>IF(AND(A368="Аппарат",C368&lt;&gt;"",OR($S$5="(все)",B368=$S$5)),MAX($Y$3:Y367)+1,"")</f>
        <v/>
      </c>
      <c r="Z368" s="38" t="str">
        <f t="shared" si="49"/>
        <v/>
      </c>
      <c r="AA368" s="38" t="str">
        <f>IF(AND(A368="Модуль",C368&lt;&gt;"",OR($S$6="(все)",B368=$S$6)),MAX($AA$3:AA367)+1,"")</f>
        <v/>
      </c>
      <c r="AB368" s="38" t="str">
        <f t="shared" si="50"/>
        <v/>
      </c>
      <c r="AC368" s="38" t="str">
        <f>IF(OR(B368="",COUNTIF($B$4:B368,B368)&gt;1),"",MAX($AC$3:AC367)+1)</f>
        <v/>
      </c>
      <c r="AD368" s="38" t="str">
        <f t="shared" si="51"/>
        <v/>
      </c>
      <c r="AE368" s="38" t="str">
        <f t="shared" si="52"/>
        <v/>
      </c>
      <c r="AF368" s="38" t="str">
        <f t="shared" si="53"/>
        <v/>
      </c>
    </row>
    <row r="369" spans="1:32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38" t="str">
        <f>IF(OR(A369="Автомат",A369="Дифавтомат"),IF(W369="","",COUNTIFS(Однолинейка!$H$3:$H$3000,U369,Однолинейка!$A$3:$A$3000,Щит_спец)),IF(A369="Аппарат",IF(C369="","",COUNTIFS(Однолинейка!$I$3:$I$3000,C369,Однолинейка!$A$3:$A$3000,Щит_спец)+COUNTIFS(Однолинейка!$J$3:$J$3000,C369,Однолинейка!$A$3:$A$3000,Щит_спец)+COUNTIFS(Однолинейка!$K$3:$K$3000,C369,Однолинейка!$A$3:$A$3000,Щит_спец)),IF(A369="Модуль",IF(C369="","",COUNTIFS(Однолинейка!$AW$3:$AW$3000,"?*",Однолинейка!$AI$3:$AI$3000,C369,Однолинейка!$A$3:$A$3000,Щит_спец)),IF(A369="Клемма",IF(C369="","",IF(C369=$S$7,SUMIFS(Однолинейка!$BW$3:$BW$3000,Однолинейка!$A$3:$A$3000,Щит_спец),IF(C369=$S$8,SUMIFS(Однолинейка!$BX$3:$BX$3000,Однолинейка!$A$3:$A$3000,Щит_спец),""))),""))))</f>
        <v/>
      </c>
      <c r="O369" s="74"/>
      <c r="P369" s="38" t="str">
        <f t="shared" si="45"/>
        <v/>
      </c>
      <c r="U369" s="38" t="str">
        <f t="shared" si="46"/>
        <v/>
      </c>
      <c r="V369" s="38" t="str">
        <f t="shared" si="47"/>
        <v/>
      </c>
      <c r="W369" s="38" t="str">
        <f>IF(AND(U369&lt;&gt;"",OR($S$4="(все)",B369=$S$4),IF($S$4="(все)",COUNTIF($U$4:U369,U369),COUNTIFS($U$4:U369,U369,$B$4:B369,B369))=1),MAX($W$3:W368)+1,"")</f>
        <v/>
      </c>
      <c r="X369" s="38" t="str">
        <f t="shared" si="48"/>
        <v/>
      </c>
      <c r="Y369" s="38" t="str">
        <f>IF(AND(A369="Аппарат",C369&lt;&gt;"",OR($S$5="(все)",B369=$S$5)),MAX($Y$3:Y368)+1,"")</f>
        <v/>
      </c>
      <c r="Z369" s="38" t="str">
        <f t="shared" si="49"/>
        <v/>
      </c>
      <c r="AA369" s="38" t="str">
        <f>IF(AND(A369="Модуль",C369&lt;&gt;"",OR($S$6="(все)",B369=$S$6)),MAX($AA$3:AA368)+1,"")</f>
        <v/>
      </c>
      <c r="AB369" s="38" t="str">
        <f t="shared" si="50"/>
        <v/>
      </c>
      <c r="AC369" s="38" t="str">
        <f>IF(OR(B369="",COUNTIF($B$4:B369,B369)&gt;1),"",MAX($AC$3:AC368)+1)</f>
        <v/>
      </c>
      <c r="AD369" s="38" t="str">
        <f t="shared" si="51"/>
        <v/>
      </c>
      <c r="AE369" s="38" t="str">
        <f t="shared" si="52"/>
        <v/>
      </c>
      <c r="AF369" s="38" t="str">
        <f t="shared" si="53"/>
        <v/>
      </c>
    </row>
    <row r="370" spans="1:32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38" t="str">
        <f>IF(OR(A370="Автомат",A370="Дифавтомат"),IF(W370="","",COUNTIFS(Однолинейка!$H$3:$H$3000,U370,Однолинейка!$A$3:$A$3000,Щит_спец)),IF(A370="Аппарат",IF(C370="","",COUNTIFS(Однолинейка!$I$3:$I$3000,C370,Однолинейка!$A$3:$A$3000,Щит_спец)+COUNTIFS(Однолинейка!$J$3:$J$3000,C370,Однолинейка!$A$3:$A$3000,Щит_спец)+COUNTIFS(Однолинейка!$K$3:$K$3000,C370,Однолинейка!$A$3:$A$3000,Щит_спец)),IF(A370="Модуль",IF(C370="","",COUNTIFS(Однолинейка!$AW$3:$AW$3000,"?*",Однолинейка!$AI$3:$AI$3000,C370,Однолинейка!$A$3:$A$3000,Щит_спец)),IF(A370="Клемма",IF(C370="","",IF(C370=$S$7,SUMIFS(Однолинейка!$BW$3:$BW$3000,Однолинейка!$A$3:$A$3000,Щит_спец),IF(C370=$S$8,SUMIFS(Однолинейка!$BX$3:$BX$3000,Однолинейка!$A$3:$A$3000,Щит_спец),""))),""))))</f>
        <v/>
      </c>
      <c r="O370" s="74"/>
      <c r="P370" s="38" t="str">
        <f t="shared" si="45"/>
        <v/>
      </c>
      <c r="U370" s="38" t="str">
        <f t="shared" si="46"/>
        <v/>
      </c>
      <c r="V370" s="38" t="str">
        <f t="shared" si="47"/>
        <v/>
      </c>
      <c r="W370" s="38" t="str">
        <f>IF(AND(U370&lt;&gt;"",OR($S$4="(все)",B370=$S$4),IF($S$4="(все)",COUNTIF($U$4:U370,U370),COUNTIFS($U$4:U370,U370,$B$4:B370,B370))=1),MAX($W$3:W369)+1,"")</f>
        <v/>
      </c>
      <c r="X370" s="38" t="str">
        <f t="shared" si="48"/>
        <v/>
      </c>
      <c r="Y370" s="38" t="str">
        <f>IF(AND(A370="Аппарат",C370&lt;&gt;"",OR($S$5="(все)",B370=$S$5)),MAX($Y$3:Y369)+1,"")</f>
        <v/>
      </c>
      <c r="Z370" s="38" t="str">
        <f t="shared" si="49"/>
        <v/>
      </c>
      <c r="AA370" s="38" t="str">
        <f>IF(AND(A370="Модуль",C370&lt;&gt;"",OR($S$6="(все)",B370=$S$6)),MAX($AA$3:AA369)+1,"")</f>
        <v/>
      </c>
      <c r="AB370" s="38" t="str">
        <f t="shared" si="50"/>
        <v/>
      </c>
      <c r="AC370" s="38" t="str">
        <f>IF(OR(B370="",COUNTIF($B$4:B370,B370)&gt;1),"",MAX($AC$3:AC369)+1)</f>
        <v/>
      </c>
      <c r="AD370" s="38" t="str">
        <f t="shared" si="51"/>
        <v/>
      </c>
      <c r="AE370" s="38" t="str">
        <f t="shared" si="52"/>
        <v/>
      </c>
      <c r="AF370" s="38" t="str">
        <f t="shared" si="53"/>
        <v/>
      </c>
    </row>
    <row r="371" spans="1:32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38" t="str">
        <f>IF(OR(A371="Автомат",A371="Дифавтомат"),IF(W371="","",COUNTIFS(Однолинейка!$H$3:$H$3000,U371,Однолинейка!$A$3:$A$3000,Щит_спец)),IF(A371="Аппарат",IF(C371="","",COUNTIFS(Однолинейка!$I$3:$I$3000,C371,Однолинейка!$A$3:$A$3000,Щит_спец)+COUNTIFS(Однолинейка!$J$3:$J$3000,C371,Однолинейка!$A$3:$A$3000,Щит_спец)+COUNTIFS(Однолинейка!$K$3:$K$3000,C371,Однолинейка!$A$3:$A$3000,Щит_спец)),IF(A371="Модуль",IF(C371="","",COUNTIFS(Однолинейка!$AW$3:$AW$3000,"?*",Однолинейка!$AI$3:$AI$3000,C371,Однолинейка!$A$3:$A$3000,Щит_спец)),IF(A371="Клемма",IF(C371="","",IF(C371=$S$7,SUMIFS(Однолинейка!$BW$3:$BW$3000,Однолинейка!$A$3:$A$3000,Щит_спец),IF(C371=$S$8,SUMIFS(Однолинейка!$BX$3:$BX$3000,Однолинейка!$A$3:$A$3000,Щит_спец),""))),""))))</f>
        <v/>
      </c>
      <c r="O371" s="74"/>
      <c r="P371" s="38" t="str">
        <f t="shared" si="45"/>
        <v/>
      </c>
      <c r="U371" s="38" t="str">
        <f t="shared" si="46"/>
        <v/>
      </c>
      <c r="V371" s="38" t="str">
        <f t="shared" si="47"/>
        <v/>
      </c>
      <c r="W371" s="38" t="str">
        <f>IF(AND(U371&lt;&gt;"",OR($S$4="(все)",B371=$S$4),IF($S$4="(все)",COUNTIF($U$4:U371,U371),COUNTIFS($U$4:U371,U371,$B$4:B371,B371))=1),MAX($W$3:W370)+1,"")</f>
        <v/>
      </c>
      <c r="X371" s="38" t="str">
        <f t="shared" si="48"/>
        <v/>
      </c>
      <c r="Y371" s="38" t="str">
        <f>IF(AND(A371="Аппарат",C371&lt;&gt;"",OR($S$5="(все)",B371=$S$5)),MAX($Y$3:Y370)+1,"")</f>
        <v/>
      </c>
      <c r="Z371" s="38" t="str">
        <f t="shared" si="49"/>
        <v/>
      </c>
      <c r="AA371" s="38" t="str">
        <f>IF(AND(A371="Модуль",C371&lt;&gt;"",OR($S$6="(все)",B371=$S$6)),MAX($AA$3:AA370)+1,"")</f>
        <v/>
      </c>
      <c r="AB371" s="38" t="str">
        <f t="shared" si="50"/>
        <v/>
      </c>
      <c r="AC371" s="38" t="str">
        <f>IF(OR(B371="",COUNTIF($B$4:B371,B371)&gt;1),"",MAX($AC$3:AC370)+1)</f>
        <v/>
      </c>
      <c r="AD371" s="38" t="str">
        <f t="shared" si="51"/>
        <v/>
      </c>
      <c r="AE371" s="38" t="str">
        <f t="shared" si="52"/>
        <v/>
      </c>
      <c r="AF371" s="38" t="str">
        <f t="shared" si="53"/>
        <v/>
      </c>
    </row>
    <row r="372" spans="1:32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38" t="str">
        <f>IF(OR(A372="Автомат",A372="Дифавтомат"),IF(W372="","",COUNTIFS(Однолинейка!$H$3:$H$3000,U372,Однолинейка!$A$3:$A$3000,Щит_спец)),IF(A372="Аппарат",IF(C372="","",COUNTIFS(Однолинейка!$I$3:$I$3000,C372,Однолинейка!$A$3:$A$3000,Щит_спец)+COUNTIFS(Однолинейка!$J$3:$J$3000,C372,Однолинейка!$A$3:$A$3000,Щит_спец)+COUNTIFS(Однолинейка!$K$3:$K$3000,C372,Однолинейка!$A$3:$A$3000,Щит_спец)),IF(A372="Модуль",IF(C372="","",COUNTIFS(Однолинейка!$AW$3:$AW$3000,"?*",Однолинейка!$AI$3:$AI$3000,C372,Однолинейка!$A$3:$A$3000,Щит_спец)),IF(A372="Клемма",IF(C372="","",IF(C372=$S$7,SUMIFS(Однолинейка!$BW$3:$BW$3000,Однолинейка!$A$3:$A$3000,Щит_спец),IF(C372=$S$8,SUMIFS(Однолинейка!$BX$3:$BX$3000,Однолинейка!$A$3:$A$3000,Щит_спец),""))),""))))</f>
        <v/>
      </c>
      <c r="O372" s="74"/>
      <c r="P372" s="38" t="str">
        <f t="shared" si="45"/>
        <v/>
      </c>
      <c r="U372" s="38" t="str">
        <f t="shared" si="46"/>
        <v/>
      </c>
      <c r="V372" s="38" t="str">
        <f t="shared" si="47"/>
        <v/>
      </c>
      <c r="W372" s="38" t="str">
        <f>IF(AND(U372&lt;&gt;"",OR($S$4="(все)",B372=$S$4),IF($S$4="(все)",COUNTIF($U$4:U372,U372),COUNTIFS($U$4:U372,U372,$B$4:B372,B372))=1),MAX($W$3:W371)+1,"")</f>
        <v/>
      </c>
      <c r="X372" s="38" t="str">
        <f t="shared" si="48"/>
        <v/>
      </c>
      <c r="Y372" s="38" t="str">
        <f>IF(AND(A372="Аппарат",C372&lt;&gt;"",OR($S$5="(все)",B372=$S$5)),MAX($Y$3:Y371)+1,"")</f>
        <v/>
      </c>
      <c r="Z372" s="38" t="str">
        <f t="shared" si="49"/>
        <v/>
      </c>
      <c r="AA372" s="38" t="str">
        <f>IF(AND(A372="Модуль",C372&lt;&gt;"",OR($S$6="(все)",B372=$S$6)),MAX($AA$3:AA371)+1,"")</f>
        <v/>
      </c>
      <c r="AB372" s="38" t="str">
        <f t="shared" si="50"/>
        <v/>
      </c>
      <c r="AC372" s="38" t="str">
        <f>IF(OR(B372="",COUNTIF($B$4:B372,B372)&gt;1),"",MAX($AC$3:AC371)+1)</f>
        <v/>
      </c>
      <c r="AD372" s="38" t="str">
        <f t="shared" si="51"/>
        <v/>
      </c>
      <c r="AE372" s="38" t="str">
        <f t="shared" si="52"/>
        <v/>
      </c>
      <c r="AF372" s="38" t="str">
        <f t="shared" si="53"/>
        <v/>
      </c>
    </row>
    <row r="373" spans="1:32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38" t="str">
        <f>IF(OR(A373="Автомат",A373="Дифавтомат"),IF(W373="","",COUNTIFS(Однолинейка!$H$3:$H$3000,U373,Однолинейка!$A$3:$A$3000,Щит_спец)),IF(A373="Аппарат",IF(C373="","",COUNTIFS(Однолинейка!$I$3:$I$3000,C373,Однолинейка!$A$3:$A$3000,Щит_спец)+COUNTIFS(Однолинейка!$J$3:$J$3000,C373,Однолинейка!$A$3:$A$3000,Щит_спец)+COUNTIFS(Однолинейка!$K$3:$K$3000,C373,Однолинейка!$A$3:$A$3000,Щит_спец)),IF(A373="Модуль",IF(C373="","",COUNTIFS(Однолинейка!$AW$3:$AW$3000,"?*",Однолинейка!$AI$3:$AI$3000,C373,Однолинейка!$A$3:$A$3000,Щит_спец)),IF(A373="Клемма",IF(C373="","",IF(C373=$S$7,SUMIFS(Однолинейка!$BW$3:$BW$3000,Однолинейка!$A$3:$A$3000,Щит_спец),IF(C373=$S$8,SUMIFS(Однолинейка!$BX$3:$BX$3000,Однолинейка!$A$3:$A$3000,Щит_спец),""))),""))))</f>
        <v/>
      </c>
      <c r="O373" s="74"/>
      <c r="P373" s="38" t="str">
        <f t="shared" si="45"/>
        <v/>
      </c>
      <c r="U373" s="38" t="str">
        <f t="shared" si="46"/>
        <v/>
      </c>
      <c r="V373" s="38" t="str">
        <f t="shared" si="47"/>
        <v/>
      </c>
      <c r="W373" s="38" t="str">
        <f>IF(AND(U373&lt;&gt;"",OR($S$4="(все)",B373=$S$4),IF($S$4="(все)",COUNTIF($U$4:U373,U373),COUNTIFS($U$4:U373,U373,$B$4:B373,B373))=1),MAX($W$3:W372)+1,"")</f>
        <v/>
      </c>
      <c r="X373" s="38" t="str">
        <f t="shared" si="48"/>
        <v/>
      </c>
      <c r="Y373" s="38" t="str">
        <f>IF(AND(A373="Аппарат",C373&lt;&gt;"",OR($S$5="(все)",B373=$S$5)),MAX($Y$3:Y372)+1,"")</f>
        <v/>
      </c>
      <c r="Z373" s="38" t="str">
        <f t="shared" si="49"/>
        <v/>
      </c>
      <c r="AA373" s="38" t="str">
        <f>IF(AND(A373="Модуль",C373&lt;&gt;"",OR($S$6="(все)",B373=$S$6)),MAX($AA$3:AA372)+1,"")</f>
        <v/>
      </c>
      <c r="AB373" s="38" t="str">
        <f t="shared" si="50"/>
        <v/>
      </c>
      <c r="AC373" s="38" t="str">
        <f>IF(OR(B373="",COUNTIF($B$4:B373,B373)&gt;1),"",MAX($AC$3:AC372)+1)</f>
        <v/>
      </c>
      <c r="AD373" s="38" t="str">
        <f t="shared" si="51"/>
        <v/>
      </c>
      <c r="AE373" s="38" t="str">
        <f t="shared" si="52"/>
        <v/>
      </c>
      <c r="AF373" s="38" t="str">
        <f t="shared" si="53"/>
        <v/>
      </c>
    </row>
    <row r="374" spans="1:32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38" t="str">
        <f>IF(OR(A374="Автомат",A374="Дифавтомат"),IF(W374="","",COUNTIFS(Однолинейка!$H$3:$H$3000,U374,Однолинейка!$A$3:$A$3000,Щит_спец)),IF(A374="Аппарат",IF(C374="","",COUNTIFS(Однолинейка!$I$3:$I$3000,C374,Однолинейка!$A$3:$A$3000,Щит_спец)+COUNTIFS(Однолинейка!$J$3:$J$3000,C374,Однолинейка!$A$3:$A$3000,Щит_спец)+COUNTIFS(Однолинейка!$K$3:$K$3000,C374,Однолинейка!$A$3:$A$3000,Щит_спец)),IF(A374="Модуль",IF(C374="","",COUNTIFS(Однолинейка!$AW$3:$AW$3000,"?*",Однолинейка!$AI$3:$AI$3000,C374,Однолинейка!$A$3:$A$3000,Щит_спец)),IF(A374="Клемма",IF(C374="","",IF(C374=$S$7,SUMIFS(Однолинейка!$BW$3:$BW$3000,Однолинейка!$A$3:$A$3000,Щит_спец),IF(C374=$S$8,SUMIFS(Однолинейка!$BX$3:$BX$3000,Однолинейка!$A$3:$A$3000,Щит_спец),""))),""))))</f>
        <v/>
      </c>
      <c r="O374" s="74"/>
      <c r="P374" s="38" t="str">
        <f t="shared" si="45"/>
        <v/>
      </c>
      <c r="U374" s="38" t="str">
        <f t="shared" si="46"/>
        <v/>
      </c>
      <c r="V374" s="38" t="str">
        <f t="shared" si="47"/>
        <v/>
      </c>
      <c r="W374" s="38" t="str">
        <f>IF(AND(U374&lt;&gt;"",OR($S$4="(все)",B374=$S$4),IF($S$4="(все)",COUNTIF($U$4:U374,U374),COUNTIFS($U$4:U374,U374,$B$4:B374,B374))=1),MAX($W$3:W373)+1,"")</f>
        <v/>
      </c>
      <c r="X374" s="38" t="str">
        <f t="shared" si="48"/>
        <v/>
      </c>
      <c r="Y374" s="38" t="str">
        <f>IF(AND(A374="Аппарат",C374&lt;&gt;"",OR($S$5="(все)",B374=$S$5)),MAX($Y$3:Y373)+1,"")</f>
        <v/>
      </c>
      <c r="Z374" s="38" t="str">
        <f t="shared" si="49"/>
        <v/>
      </c>
      <c r="AA374" s="38" t="str">
        <f>IF(AND(A374="Модуль",C374&lt;&gt;"",OR($S$6="(все)",B374=$S$6)),MAX($AA$3:AA373)+1,"")</f>
        <v/>
      </c>
      <c r="AB374" s="38" t="str">
        <f t="shared" si="50"/>
        <v/>
      </c>
      <c r="AC374" s="38" t="str">
        <f>IF(OR(B374="",COUNTIF($B$4:B374,B374)&gt;1),"",MAX($AC$3:AC373)+1)</f>
        <v/>
      </c>
      <c r="AD374" s="38" t="str">
        <f t="shared" si="51"/>
        <v/>
      </c>
      <c r="AE374" s="38" t="str">
        <f t="shared" si="52"/>
        <v/>
      </c>
      <c r="AF374" s="38" t="str">
        <f t="shared" si="53"/>
        <v/>
      </c>
    </row>
    <row r="375" spans="1:32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38" t="str">
        <f>IF(OR(A375="Автомат",A375="Дифавтомат"),IF(W375="","",COUNTIFS(Однолинейка!$H$3:$H$3000,U375,Однолинейка!$A$3:$A$3000,Щит_спец)),IF(A375="Аппарат",IF(C375="","",COUNTIFS(Однолинейка!$I$3:$I$3000,C375,Однолинейка!$A$3:$A$3000,Щит_спец)+COUNTIFS(Однолинейка!$J$3:$J$3000,C375,Однолинейка!$A$3:$A$3000,Щит_спец)+COUNTIFS(Однолинейка!$K$3:$K$3000,C375,Однолинейка!$A$3:$A$3000,Щит_спец)),IF(A375="Модуль",IF(C375="","",COUNTIFS(Однолинейка!$AW$3:$AW$3000,"?*",Однолинейка!$AI$3:$AI$3000,C375,Однолинейка!$A$3:$A$3000,Щит_спец)),IF(A375="Клемма",IF(C375="","",IF(C375=$S$7,SUMIFS(Однолинейка!$BW$3:$BW$3000,Однолинейка!$A$3:$A$3000,Щит_спец),IF(C375=$S$8,SUMIFS(Однолинейка!$BX$3:$BX$3000,Однолинейка!$A$3:$A$3000,Щит_спец),""))),""))))</f>
        <v/>
      </c>
      <c r="O375" s="74"/>
      <c r="P375" s="38" t="str">
        <f t="shared" si="45"/>
        <v/>
      </c>
      <c r="U375" s="38" t="str">
        <f t="shared" si="46"/>
        <v/>
      </c>
      <c r="V375" s="38" t="str">
        <f t="shared" si="47"/>
        <v/>
      </c>
      <c r="W375" s="38" t="str">
        <f>IF(AND(U375&lt;&gt;"",OR($S$4="(все)",B375=$S$4),IF($S$4="(все)",COUNTIF($U$4:U375,U375),COUNTIFS($U$4:U375,U375,$B$4:B375,B375))=1),MAX($W$3:W374)+1,"")</f>
        <v/>
      </c>
      <c r="X375" s="38" t="str">
        <f t="shared" si="48"/>
        <v/>
      </c>
      <c r="Y375" s="38" t="str">
        <f>IF(AND(A375="Аппарат",C375&lt;&gt;"",OR($S$5="(все)",B375=$S$5)),MAX($Y$3:Y374)+1,"")</f>
        <v/>
      </c>
      <c r="Z375" s="38" t="str">
        <f t="shared" si="49"/>
        <v/>
      </c>
      <c r="AA375" s="38" t="str">
        <f>IF(AND(A375="Модуль",C375&lt;&gt;"",OR($S$6="(все)",B375=$S$6)),MAX($AA$3:AA374)+1,"")</f>
        <v/>
      </c>
      <c r="AB375" s="38" t="str">
        <f t="shared" si="50"/>
        <v/>
      </c>
      <c r="AC375" s="38" t="str">
        <f>IF(OR(B375="",COUNTIF($B$4:B375,B375)&gt;1),"",MAX($AC$3:AC374)+1)</f>
        <v/>
      </c>
      <c r="AD375" s="38" t="str">
        <f t="shared" si="51"/>
        <v/>
      </c>
      <c r="AE375" s="38" t="str">
        <f t="shared" si="52"/>
        <v/>
      </c>
      <c r="AF375" s="38" t="str">
        <f t="shared" si="53"/>
        <v/>
      </c>
    </row>
    <row r="376" spans="1:32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38" t="str">
        <f>IF(OR(A376="Автомат",A376="Дифавтомат"),IF(W376="","",COUNTIFS(Однолинейка!$H$3:$H$3000,U376,Однолинейка!$A$3:$A$3000,Щит_спец)),IF(A376="Аппарат",IF(C376="","",COUNTIFS(Однолинейка!$I$3:$I$3000,C376,Однолинейка!$A$3:$A$3000,Щит_спец)+COUNTIFS(Однолинейка!$J$3:$J$3000,C376,Однолинейка!$A$3:$A$3000,Щит_спец)+COUNTIFS(Однолинейка!$K$3:$K$3000,C376,Однолинейка!$A$3:$A$3000,Щит_спец)),IF(A376="Модуль",IF(C376="","",COUNTIFS(Однолинейка!$AW$3:$AW$3000,"?*",Однолинейка!$AI$3:$AI$3000,C376,Однолинейка!$A$3:$A$3000,Щит_спец)),IF(A376="Клемма",IF(C376="","",IF(C376=$S$7,SUMIFS(Однолинейка!$BW$3:$BW$3000,Однолинейка!$A$3:$A$3000,Щит_спец),IF(C376=$S$8,SUMIFS(Однолинейка!$BX$3:$BX$3000,Однолинейка!$A$3:$A$3000,Щит_спец),""))),""))))</f>
        <v/>
      </c>
      <c r="O376" s="74"/>
      <c r="P376" s="38" t="str">
        <f t="shared" si="45"/>
        <v/>
      </c>
      <c r="U376" s="38" t="str">
        <f t="shared" si="46"/>
        <v/>
      </c>
      <c r="V376" s="38" t="str">
        <f t="shared" si="47"/>
        <v/>
      </c>
      <c r="W376" s="38" t="str">
        <f>IF(AND(U376&lt;&gt;"",OR($S$4="(все)",B376=$S$4),IF($S$4="(все)",COUNTIF($U$4:U376,U376),COUNTIFS($U$4:U376,U376,$B$4:B376,B376))=1),MAX($W$3:W375)+1,"")</f>
        <v/>
      </c>
      <c r="X376" s="38" t="str">
        <f t="shared" si="48"/>
        <v/>
      </c>
      <c r="Y376" s="38" t="str">
        <f>IF(AND(A376="Аппарат",C376&lt;&gt;"",OR($S$5="(все)",B376=$S$5)),MAX($Y$3:Y375)+1,"")</f>
        <v/>
      </c>
      <c r="Z376" s="38" t="str">
        <f t="shared" si="49"/>
        <v/>
      </c>
      <c r="AA376" s="38" t="str">
        <f>IF(AND(A376="Модуль",C376&lt;&gt;"",OR($S$6="(все)",B376=$S$6)),MAX($AA$3:AA375)+1,"")</f>
        <v/>
      </c>
      <c r="AB376" s="38" t="str">
        <f t="shared" si="50"/>
        <v/>
      </c>
      <c r="AC376" s="38" t="str">
        <f>IF(OR(B376="",COUNTIF($B$4:B376,B376)&gt;1),"",MAX($AC$3:AC375)+1)</f>
        <v/>
      </c>
      <c r="AD376" s="38" t="str">
        <f t="shared" si="51"/>
        <v/>
      </c>
      <c r="AE376" s="38" t="str">
        <f t="shared" si="52"/>
        <v/>
      </c>
      <c r="AF376" s="38" t="str">
        <f t="shared" si="53"/>
        <v/>
      </c>
    </row>
    <row r="377" spans="1:32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38" t="str">
        <f>IF(OR(A377="Автомат",A377="Дифавтомат"),IF(W377="","",COUNTIFS(Однолинейка!$H$3:$H$3000,U377,Однолинейка!$A$3:$A$3000,Щит_спец)),IF(A377="Аппарат",IF(C377="","",COUNTIFS(Однолинейка!$I$3:$I$3000,C377,Однолинейка!$A$3:$A$3000,Щит_спец)+COUNTIFS(Однолинейка!$J$3:$J$3000,C377,Однолинейка!$A$3:$A$3000,Щит_спец)+COUNTIFS(Однолинейка!$K$3:$K$3000,C377,Однолинейка!$A$3:$A$3000,Щит_спец)),IF(A377="Модуль",IF(C377="","",COUNTIFS(Однолинейка!$AW$3:$AW$3000,"?*",Однолинейка!$AI$3:$AI$3000,C377,Однолинейка!$A$3:$A$3000,Щит_спец)),IF(A377="Клемма",IF(C377="","",IF(C377=$S$7,SUMIFS(Однолинейка!$BW$3:$BW$3000,Однолинейка!$A$3:$A$3000,Щит_спец),IF(C377=$S$8,SUMIFS(Однолинейка!$BX$3:$BX$3000,Однолинейка!$A$3:$A$3000,Щит_спец),""))),""))))</f>
        <v/>
      </c>
      <c r="O377" s="74"/>
      <c r="P377" s="38" t="str">
        <f t="shared" si="45"/>
        <v/>
      </c>
      <c r="U377" s="38" t="str">
        <f t="shared" si="46"/>
        <v/>
      </c>
      <c r="V377" s="38" t="str">
        <f t="shared" si="47"/>
        <v/>
      </c>
      <c r="W377" s="38" t="str">
        <f>IF(AND(U377&lt;&gt;"",OR($S$4="(все)",B377=$S$4),IF($S$4="(все)",COUNTIF($U$4:U377,U377),COUNTIFS($U$4:U377,U377,$B$4:B377,B377))=1),MAX($W$3:W376)+1,"")</f>
        <v/>
      </c>
      <c r="X377" s="38" t="str">
        <f t="shared" si="48"/>
        <v/>
      </c>
      <c r="Y377" s="38" t="str">
        <f>IF(AND(A377="Аппарат",C377&lt;&gt;"",OR($S$5="(все)",B377=$S$5)),MAX($Y$3:Y376)+1,"")</f>
        <v/>
      </c>
      <c r="Z377" s="38" t="str">
        <f t="shared" si="49"/>
        <v/>
      </c>
      <c r="AA377" s="38" t="str">
        <f>IF(AND(A377="Модуль",C377&lt;&gt;"",OR($S$6="(все)",B377=$S$6)),MAX($AA$3:AA376)+1,"")</f>
        <v/>
      </c>
      <c r="AB377" s="38" t="str">
        <f t="shared" si="50"/>
        <v/>
      </c>
      <c r="AC377" s="38" t="str">
        <f>IF(OR(B377="",COUNTIF($B$4:B377,B377)&gt;1),"",MAX($AC$3:AC376)+1)</f>
        <v/>
      </c>
      <c r="AD377" s="38" t="str">
        <f t="shared" si="51"/>
        <v/>
      </c>
      <c r="AE377" s="38" t="str">
        <f t="shared" si="52"/>
        <v/>
      </c>
      <c r="AF377" s="38" t="str">
        <f t="shared" si="53"/>
        <v/>
      </c>
    </row>
    <row r="378" spans="1:32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38" t="str">
        <f>IF(OR(A378="Автомат",A378="Дифавтомат"),IF(W378="","",COUNTIFS(Однолинейка!$H$3:$H$3000,U378,Однолинейка!$A$3:$A$3000,Щит_спец)),IF(A378="Аппарат",IF(C378="","",COUNTIFS(Однолинейка!$I$3:$I$3000,C378,Однолинейка!$A$3:$A$3000,Щит_спец)+COUNTIFS(Однолинейка!$J$3:$J$3000,C378,Однолинейка!$A$3:$A$3000,Щит_спец)+COUNTIFS(Однолинейка!$K$3:$K$3000,C378,Однолинейка!$A$3:$A$3000,Щит_спец)),IF(A378="Модуль",IF(C378="","",COUNTIFS(Однолинейка!$AW$3:$AW$3000,"?*",Однолинейка!$AI$3:$AI$3000,C378,Однолинейка!$A$3:$A$3000,Щит_спец)),IF(A378="Клемма",IF(C378="","",IF(C378=$S$7,SUMIFS(Однолинейка!$BW$3:$BW$3000,Однолинейка!$A$3:$A$3000,Щит_спец),IF(C378=$S$8,SUMIFS(Однолинейка!$BX$3:$BX$3000,Однолинейка!$A$3:$A$3000,Щит_спец),""))),""))))</f>
        <v/>
      </c>
      <c r="O378" s="74"/>
      <c r="P378" s="38" t="str">
        <f t="shared" si="45"/>
        <v/>
      </c>
      <c r="U378" s="38" t="str">
        <f t="shared" si="46"/>
        <v/>
      </c>
      <c r="V378" s="38" t="str">
        <f t="shared" si="47"/>
        <v/>
      </c>
      <c r="W378" s="38" t="str">
        <f>IF(AND(U378&lt;&gt;"",OR($S$4="(все)",B378=$S$4),IF($S$4="(все)",COUNTIF($U$4:U378,U378),COUNTIFS($U$4:U378,U378,$B$4:B378,B378))=1),MAX($W$3:W377)+1,"")</f>
        <v/>
      </c>
      <c r="X378" s="38" t="str">
        <f t="shared" si="48"/>
        <v/>
      </c>
      <c r="Y378" s="38" t="str">
        <f>IF(AND(A378="Аппарат",C378&lt;&gt;"",OR($S$5="(все)",B378=$S$5)),MAX($Y$3:Y377)+1,"")</f>
        <v/>
      </c>
      <c r="Z378" s="38" t="str">
        <f t="shared" si="49"/>
        <v/>
      </c>
      <c r="AA378" s="38" t="str">
        <f>IF(AND(A378="Модуль",C378&lt;&gt;"",OR($S$6="(все)",B378=$S$6)),MAX($AA$3:AA377)+1,"")</f>
        <v/>
      </c>
      <c r="AB378" s="38" t="str">
        <f t="shared" si="50"/>
        <v/>
      </c>
      <c r="AC378" s="38" t="str">
        <f>IF(OR(B378="",COUNTIF($B$4:B378,B378)&gt;1),"",MAX($AC$3:AC377)+1)</f>
        <v/>
      </c>
      <c r="AD378" s="38" t="str">
        <f t="shared" si="51"/>
        <v/>
      </c>
      <c r="AE378" s="38" t="str">
        <f t="shared" si="52"/>
        <v/>
      </c>
      <c r="AF378" s="38" t="str">
        <f t="shared" si="53"/>
        <v/>
      </c>
    </row>
    <row r="379" spans="1:32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38" t="str">
        <f>IF(OR(A379="Автомат",A379="Дифавтомат"),IF(W379="","",COUNTIFS(Однолинейка!$H$3:$H$3000,U379,Однолинейка!$A$3:$A$3000,Щит_спец)),IF(A379="Аппарат",IF(C379="","",COUNTIFS(Однолинейка!$I$3:$I$3000,C379,Однолинейка!$A$3:$A$3000,Щит_спец)+COUNTIFS(Однолинейка!$J$3:$J$3000,C379,Однолинейка!$A$3:$A$3000,Щит_спец)+COUNTIFS(Однолинейка!$K$3:$K$3000,C379,Однолинейка!$A$3:$A$3000,Щит_спец)),IF(A379="Модуль",IF(C379="","",COUNTIFS(Однолинейка!$AW$3:$AW$3000,"?*",Однолинейка!$AI$3:$AI$3000,C379,Однолинейка!$A$3:$A$3000,Щит_спец)),IF(A379="Клемма",IF(C379="","",IF(C379=$S$7,SUMIFS(Однолинейка!$BW$3:$BW$3000,Однолинейка!$A$3:$A$3000,Щит_спец),IF(C379=$S$8,SUMIFS(Однолинейка!$BX$3:$BX$3000,Однолинейка!$A$3:$A$3000,Щит_спец),""))),""))))</f>
        <v/>
      </c>
      <c r="O379" s="74"/>
      <c r="P379" s="38" t="str">
        <f t="shared" si="45"/>
        <v/>
      </c>
      <c r="U379" s="38" t="str">
        <f t="shared" si="46"/>
        <v/>
      </c>
      <c r="V379" s="38" t="str">
        <f t="shared" si="47"/>
        <v/>
      </c>
      <c r="W379" s="38" t="str">
        <f>IF(AND(U379&lt;&gt;"",OR($S$4="(все)",B379=$S$4),IF($S$4="(все)",COUNTIF($U$4:U379,U379),COUNTIFS($U$4:U379,U379,$B$4:B379,B379))=1),MAX($W$3:W378)+1,"")</f>
        <v/>
      </c>
      <c r="X379" s="38" t="str">
        <f t="shared" si="48"/>
        <v/>
      </c>
      <c r="Y379" s="38" t="str">
        <f>IF(AND(A379="Аппарат",C379&lt;&gt;"",OR($S$5="(все)",B379=$S$5)),MAX($Y$3:Y378)+1,"")</f>
        <v/>
      </c>
      <c r="Z379" s="38" t="str">
        <f t="shared" si="49"/>
        <v/>
      </c>
      <c r="AA379" s="38" t="str">
        <f>IF(AND(A379="Модуль",C379&lt;&gt;"",OR($S$6="(все)",B379=$S$6)),MAX($AA$3:AA378)+1,"")</f>
        <v/>
      </c>
      <c r="AB379" s="38" t="str">
        <f t="shared" si="50"/>
        <v/>
      </c>
      <c r="AC379" s="38" t="str">
        <f>IF(OR(B379="",COUNTIF($B$4:B379,B379)&gt;1),"",MAX($AC$3:AC378)+1)</f>
        <v/>
      </c>
      <c r="AD379" s="38" t="str">
        <f t="shared" si="51"/>
        <v/>
      </c>
      <c r="AE379" s="38" t="str">
        <f t="shared" si="52"/>
        <v/>
      </c>
      <c r="AF379" s="38" t="str">
        <f t="shared" si="53"/>
        <v/>
      </c>
    </row>
    <row r="380" spans="1:32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38" t="str">
        <f>IF(OR(A380="Автомат",A380="Дифавтомат"),IF(W380="","",COUNTIFS(Однолинейка!$H$3:$H$3000,U380,Однолинейка!$A$3:$A$3000,Щит_спец)),IF(A380="Аппарат",IF(C380="","",COUNTIFS(Однолинейка!$I$3:$I$3000,C380,Однолинейка!$A$3:$A$3000,Щит_спец)+COUNTIFS(Однолинейка!$J$3:$J$3000,C380,Однолинейка!$A$3:$A$3000,Щит_спец)+COUNTIFS(Однолинейка!$K$3:$K$3000,C380,Однолинейка!$A$3:$A$3000,Щит_спец)),IF(A380="Модуль",IF(C380="","",COUNTIFS(Однолинейка!$AW$3:$AW$3000,"?*",Однолинейка!$AI$3:$AI$3000,C380,Однолинейка!$A$3:$A$3000,Щит_спец)),IF(A380="Клемма",IF(C380="","",IF(C380=$S$7,SUMIFS(Однолинейка!$BW$3:$BW$3000,Однолинейка!$A$3:$A$3000,Щит_спец),IF(C380=$S$8,SUMIFS(Однолинейка!$BX$3:$BX$3000,Однолинейка!$A$3:$A$3000,Щит_спец),""))),""))))</f>
        <v/>
      </c>
      <c r="O380" s="74"/>
      <c r="P380" s="38" t="str">
        <f t="shared" si="45"/>
        <v/>
      </c>
      <c r="U380" s="38" t="str">
        <f t="shared" si="46"/>
        <v/>
      </c>
      <c r="V380" s="38" t="str">
        <f t="shared" si="47"/>
        <v/>
      </c>
      <c r="W380" s="38" t="str">
        <f>IF(AND(U380&lt;&gt;"",OR($S$4="(все)",B380=$S$4),IF($S$4="(все)",COUNTIF($U$4:U380,U380),COUNTIFS($U$4:U380,U380,$B$4:B380,B380))=1),MAX($W$3:W379)+1,"")</f>
        <v/>
      </c>
      <c r="X380" s="38" t="str">
        <f t="shared" si="48"/>
        <v/>
      </c>
      <c r="Y380" s="38" t="str">
        <f>IF(AND(A380="Аппарат",C380&lt;&gt;"",OR($S$5="(все)",B380=$S$5)),MAX($Y$3:Y379)+1,"")</f>
        <v/>
      </c>
      <c r="Z380" s="38" t="str">
        <f t="shared" si="49"/>
        <v/>
      </c>
      <c r="AA380" s="38" t="str">
        <f>IF(AND(A380="Модуль",C380&lt;&gt;"",OR($S$6="(все)",B380=$S$6)),MAX($AA$3:AA379)+1,"")</f>
        <v/>
      </c>
      <c r="AB380" s="38" t="str">
        <f t="shared" si="50"/>
        <v/>
      </c>
      <c r="AC380" s="38" t="str">
        <f>IF(OR(B380="",COUNTIF($B$4:B380,B380)&gt;1),"",MAX($AC$3:AC379)+1)</f>
        <v/>
      </c>
      <c r="AD380" s="38" t="str">
        <f t="shared" si="51"/>
        <v/>
      </c>
      <c r="AE380" s="38" t="str">
        <f t="shared" si="52"/>
        <v/>
      </c>
      <c r="AF380" s="38" t="str">
        <f t="shared" si="53"/>
        <v/>
      </c>
    </row>
    <row r="381" spans="1:32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38" t="str">
        <f>IF(OR(A381="Автомат",A381="Дифавтомат"),IF(W381="","",COUNTIFS(Однолинейка!$H$3:$H$3000,U381,Однолинейка!$A$3:$A$3000,Щит_спец)),IF(A381="Аппарат",IF(C381="","",COUNTIFS(Однолинейка!$I$3:$I$3000,C381,Однолинейка!$A$3:$A$3000,Щит_спец)+COUNTIFS(Однолинейка!$J$3:$J$3000,C381,Однолинейка!$A$3:$A$3000,Щит_спец)+COUNTIFS(Однолинейка!$K$3:$K$3000,C381,Однолинейка!$A$3:$A$3000,Щит_спец)),IF(A381="Модуль",IF(C381="","",COUNTIFS(Однолинейка!$AW$3:$AW$3000,"?*",Однолинейка!$AI$3:$AI$3000,C381,Однолинейка!$A$3:$A$3000,Щит_спец)),IF(A381="Клемма",IF(C381="","",IF(C381=$S$7,SUMIFS(Однолинейка!$BW$3:$BW$3000,Однолинейка!$A$3:$A$3000,Щит_спец),IF(C381=$S$8,SUMIFS(Однолинейка!$BX$3:$BX$3000,Однолинейка!$A$3:$A$3000,Щит_спец),""))),""))))</f>
        <v/>
      </c>
      <c r="O381" s="74"/>
      <c r="P381" s="38" t="str">
        <f t="shared" si="45"/>
        <v/>
      </c>
      <c r="U381" s="38" t="str">
        <f t="shared" si="46"/>
        <v/>
      </c>
      <c r="V381" s="38" t="str">
        <f t="shared" si="47"/>
        <v/>
      </c>
      <c r="W381" s="38" t="str">
        <f>IF(AND(U381&lt;&gt;"",OR($S$4="(все)",B381=$S$4),IF($S$4="(все)",COUNTIF($U$4:U381,U381),COUNTIFS($U$4:U381,U381,$B$4:B381,B381))=1),MAX($W$3:W380)+1,"")</f>
        <v/>
      </c>
      <c r="X381" s="38" t="str">
        <f t="shared" si="48"/>
        <v/>
      </c>
      <c r="Y381" s="38" t="str">
        <f>IF(AND(A381="Аппарат",C381&lt;&gt;"",OR($S$5="(все)",B381=$S$5)),MAX($Y$3:Y380)+1,"")</f>
        <v/>
      </c>
      <c r="Z381" s="38" t="str">
        <f t="shared" si="49"/>
        <v/>
      </c>
      <c r="AA381" s="38" t="str">
        <f>IF(AND(A381="Модуль",C381&lt;&gt;"",OR($S$6="(все)",B381=$S$6)),MAX($AA$3:AA380)+1,"")</f>
        <v/>
      </c>
      <c r="AB381" s="38" t="str">
        <f t="shared" si="50"/>
        <v/>
      </c>
      <c r="AC381" s="38" t="str">
        <f>IF(OR(B381="",COUNTIF($B$4:B381,B381)&gt;1),"",MAX($AC$3:AC380)+1)</f>
        <v/>
      </c>
      <c r="AD381" s="38" t="str">
        <f t="shared" si="51"/>
        <v/>
      </c>
      <c r="AE381" s="38" t="str">
        <f t="shared" si="52"/>
        <v/>
      </c>
      <c r="AF381" s="38" t="str">
        <f t="shared" si="53"/>
        <v/>
      </c>
    </row>
    <row r="382" spans="1:32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38" t="str">
        <f>IF(OR(A382="Автомат",A382="Дифавтомат"),IF(W382="","",COUNTIFS(Однолинейка!$H$3:$H$3000,U382,Однолинейка!$A$3:$A$3000,Щит_спец)),IF(A382="Аппарат",IF(C382="","",COUNTIFS(Однолинейка!$I$3:$I$3000,C382,Однолинейка!$A$3:$A$3000,Щит_спец)+COUNTIFS(Однолинейка!$J$3:$J$3000,C382,Однолинейка!$A$3:$A$3000,Щит_спец)+COUNTIFS(Однолинейка!$K$3:$K$3000,C382,Однолинейка!$A$3:$A$3000,Щит_спец)),IF(A382="Модуль",IF(C382="","",COUNTIFS(Однолинейка!$AW$3:$AW$3000,"?*",Однолинейка!$AI$3:$AI$3000,C382,Однолинейка!$A$3:$A$3000,Щит_спец)),IF(A382="Клемма",IF(C382="","",IF(C382=$S$7,SUMIFS(Однолинейка!$BW$3:$BW$3000,Однолинейка!$A$3:$A$3000,Щит_спец),IF(C382=$S$8,SUMIFS(Однолинейка!$BX$3:$BX$3000,Однолинейка!$A$3:$A$3000,Щит_спец),""))),""))))</f>
        <v/>
      </c>
      <c r="O382" s="74"/>
      <c r="P382" s="38" t="str">
        <f t="shared" si="45"/>
        <v/>
      </c>
      <c r="U382" s="38" t="str">
        <f t="shared" si="46"/>
        <v/>
      </c>
      <c r="V382" s="38" t="str">
        <f t="shared" si="47"/>
        <v/>
      </c>
      <c r="W382" s="38" t="str">
        <f>IF(AND(U382&lt;&gt;"",OR($S$4="(все)",B382=$S$4),IF($S$4="(все)",COUNTIF($U$4:U382,U382),COUNTIFS($U$4:U382,U382,$B$4:B382,B382))=1),MAX($W$3:W381)+1,"")</f>
        <v/>
      </c>
      <c r="X382" s="38" t="str">
        <f t="shared" si="48"/>
        <v/>
      </c>
      <c r="Y382" s="38" t="str">
        <f>IF(AND(A382="Аппарат",C382&lt;&gt;"",OR($S$5="(все)",B382=$S$5)),MAX($Y$3:Y381)+1,"")</f>
        <v/>
      </c>
      <c r="Z382" s="38" t="str">
        <f t="shared" si="49"/>
        <v/>
      </c>
      <c r="AA382" s="38" t="str">
        <f>IF(AND(A382="Модуль",C382&lt;&gt;"",OR($S$6="(все)",B382=$S$6)),MAX($AA$3:AA381)+1,"")</f>
        <v/>
      </c>
      <c r="AB382" s="38" t="str">
        <f t="shared" si="50"/>
        <v/>
      </c>
      <c r="AC382" s="38" t="str">
        <f>IF(OR(B382="",COUNTIF($B$4:B382,B382)&gt;1),"",MAX($AC$3:AC381)+1)</f>
        <v/>
      </c>
      <c r="AD382" s="38" t="str">
        <f t="shared" si="51"/>
        <v/>
      </c>
      <c r="AE382" s="38" t="str">
        <f t="shared" si="52"/>
        <v/>
      </c>
      <c r="AF382" s="38" t="str">
        <f t="shared" si="53"/>
        <v/>
      </c>
    </row>
    <row r="383" spans="1:32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38" t="str">
        <f>IF(OR(A383="Автомат",A383="Дифавтомат"),IF(W383="","",COUNTIFS(Однолинейка!$H$3:$H$3000,U383,Однолинейка!$A$3:$A$3000,Щит_спец)),IF(A383="Аппарат",IF(C383="","",COUNTIFS(Однолинейка!$I$3:$I$3000,C383,Однолинейка!$A$3:$A$3000,Щит_спец)+COUNTIFS(Однолинейка!$J$3:$J$3000,C383,Однолинейка!$A$3:$A$3000,Щит_спец)+COUNTIFS(Однолинейка!$K$3:$K$3000,C383,Однолинейка!$A$3:$A$3000,Щит_спец)),IF(A383="Модуль",IF(C383="","",COUNTIFS(Однолинейка!$AW$3:$AW$3000,"?*",Однолинейка!$AI$3:$AI$3000,C383,Однолинейка!$A$3:$A$3000,Щит_спец)),IF(A383="Клемма",IF(C383="","",IF(C383=$S$7,SUMIFS(Однолинейка!$BW$3:$BW$3000,Однолинейка!$A$3:$A$3000,Щит_спец),IF(C383=$S$8,SUMIFS(Однолинейка!$BX$3:$BX$3000,Однолинейка!$A$3:$A$3000,Щит_спец),""))),""))))</f>
        <v/>
      </c>
      <c r="O383" s="74"/>
      <c r="P383" s="38" t="str">
        <f t="shared" si="45"/>
        <v/>
      </c>
      <c r="U383" s="38" t="str">
        <f t="shared" si="46"/>
        <v/>
      </c>
      <c r="V383" s="38" t="str">
        <f t="shared" si="47"/>
        <v/>
      </c>
      <c r="W383" s="38" t="str">
        <f>IF(AND(U383&lt;&gt;"",OR($S$4="(все)",B383=$S$4),IF($S$4="(все)",COUNTIF($U$4:U383,U383),COUNTIFS($U$4:U383,U383,$B$4:B383,B383))=1),MAX($W$3:W382)+1,"")</f>
        <v/>
      </c>
      <c r="X383" s="38" t="str">
        <f t="shared" si="48"/>
        <v/>
      </c>
      <c r="Y383" s="38" t="str">
        <f>IF(AND(A383="Аппарат",C383&lt;&gt;"",OR($S$5="(все)",B383=$S$5)),MAX($Y$3:Y382)+1,"")</f>
        <v/>
      </c>
      <c r="Z383" s="38" t="str">
        <f t="shared" si="49"/>
        <v/>
      </c>
      <c r="AA383" s="38" t="str">
        <f>IF(AND(A383="Модуль",C383&lt;&gt;"",OR($S$6="(все)",B383=$S$6)),MAX($AA$3:AA382)+1,"")</f>
        <v/>
      </c>
      <c r="AB383" s="38" t="str">
        <f t="shared" si="50"/>
        <v/>
      </c>
      <c r="AC383" s="38" t="str">
        <f>IF(OR(B383="",COUNTIF($B$4:B383,B383)&gt;1),"",MAX($AC$3:AC382)+1)</f>
        <v/>
      </c>
      <c r="AD383" s="38" t="str">
        <f t="shared" si="51"/>
        <v/>
      </c>
      <c r="AE383" s="38" t="str">
        <f t="shared" si="52"/>
        <v/>
      </c>
      <c r="AF383" s="38" t="str">
        <f t="shared" si="53"/>
        <v/>
      </c>
    </row>
    <row r="384" spans="1:32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38" t="str">
        <f>IF(OR(A384="Автомат",A384="Дифавтомат"),IF(W384="","",COUNTIFS(Однолинейка!$H$3:$H$3000,U384,Однолинейка!$A$3:$A$3000,Щит_спец)),IF(A384="Аппарат",IF(C384="","",COUNTIFS(Однолинейка!$I$3:$I$3000,C384,Однолинейка!$A$3:$A$3000,Щит_спец)+COUNTIFS(Однолинейка!$J$3:$J$3000,C384,Однолинейка!$A$3:$A$3000,Щит_спец)+COUNTIFS(Однолинейка!$K$3:$K$3000,C384,Однолинейка!$A$3:$A$3000,Щит_спец)),IF(A384="Модуль",IF(C384="","",COUNTIFS(Однолинейка!$AW$3:$AW$3000,"?*",Однолинейка!$AI$3:$AI$3000,C384,Однолинейка!$A$3:$A$3000,Щит_спец)),IF(A384="Клемма",IF(C384="","",IF(C384=$S$7,SUMIFS(Однолинейка!$BW$3:$BW$3000,Однолинейка!$A$3:$A$3000,Щит_спец),IF(C384=$S$8,SUMIFS(Однолинейка!$BX$3:$BX$3000,Однолинейка!$A$3:$A$3000,Щит_спец),""))),""))))</f>
        <v/>
      </c>
      <c r="O384" s="74"/>
      <c r="P384" s="38" t="str">
        <f t="shared" si="45"/>
        <v/>
      </c>
      <c r="U384" s="38" t="str">
        <f t="shared" si="46"/>
        <v/>
      </c>
      <c r="V384" s="38" t="str">
        <f t="shared" si="47"/>
        <v/>
      </c>
      <c r="W384" s="38" t="str">
        <f>IF(AND(U384&lt;&gt;"",OR($S$4="(все)",B384=$S$4),IF($S$4="(все)",COUNTIF($U$4:U384,U384),COUNTIFS($U$4:U384,U384,$B$4:B384,B384))=1),MAX($W$3:W383)+1,"")</f>
        <v/>
      </c>
      <c r="X384" s="38" t="str">
        <f t="shared" si="48"/>
        <v/>
      </c>
      <c r="Y384" s="38" t="str">
        <f>IF(AND(A384="Аппарат",C384&lt;&gt;"",OR($S$5="(все)",B384=$S$5)),MAX($Y$3:Y383)+1,"")</f>
        <v/>
      </c>
      <c r="Z384" s="38" t="str">
        <f t="shared" si="49"/>
        <v/>
      </c>
      <c r="AA384" s="38" t="str">
        <f>IF(AND(A384="Модуль",C384&lt;&gt;"",OR($S$6="(все)",B384=$S$6)),MAX($AA$3:AA383)+1,"")</f>
        <v/>
      </c>
      <c r="AB384" s="38" t="str">
        <f t="shared" si="50"/>
        <v/>
      </c>
      <c r="AC384" s="38" t="str">
        <f>IF(OR(B384="",COUNTIF($B$4:B384,B384)&gt;1),"",MAX($AC$3:AC383)+1)</f>
        <v/>
      </c>
      <c r="AD384" s="38" t="str">
        <f t="shared" si="51"/>
        <v/>
      </c>
      <c r="AE384" s="38" t="str">
        <f t="shared" si="52"/>
        <v/>
      </c>
      <c r="AF384" s="38" t="str">
        <f t="shared" si="53"/>
        <v/>
      </c>
    </row>
    <row r="385" spans="1:32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38" t="str">
        <f>IF(OR(A385="Автомат",A385="Дифавтомат"),IF(W385="","",COUNTIFS(Однолинейка!$H$3:$H$3000,U385,Однолинейка!$A$3:$A$3000,Щит_спец)),IF(A385="Аппарат",IF(C385="","",COUNTIFS(Однолинейка!$I$3:$I$3000,C385,Однолинейка!$A$3:$A$3000,Щит_спец)+COUNTIFS(Однолинейка!$J$3:$J$3000,C385,Однолинейка!$A$3:$A$3000,Щит_спец)+COUNTIFS(Однолинейка!$K$3:$K$3000,C385,Однолинейка!$A$3:$A$3000,Щит_спец)),IF(A385="Модуль",IF(C385="","",COUNTIFS(Однолинейка!$AW$3:$AW$3000,"?*",Однолинейка!$AI$3:$AI$3000,C385,Однолинейка!$A$3:$A$3000,Щит_спец)),IF(A385="Клемма",IF(C385="","",IF(C385=$S$7,SUMIFS(Однолинейка!$BW$3:$BW$3000,Однолинейка!$A$3:$A$3000,Щит_спец),IF(C385=$S$8,SUMIFS(Однолинейка!$BX$3:$BX$3000,Однолинейка!$A$3:$A$3000,Щит_спец),""))),""))))</f>
        <v/>
      </c>
      <c r="O385" s="74"/>
      <c r="P385" s="38" t="str">
        <f t="shared" si="45"/>
        <v/>
      </c>
      <c r="U385" s="38" t="str">
        <f t="shared" si="46"/>
        <v/>
      </c>
      <c r="V385" s="38" t="str">
        <f t="shared" si="47"/>
        <v/>
      </c>
      <c r="W385" s="38" t="str">
        <f>IF(AND(U385&lt;&gt;"",OR($S$4="(все)",B385=$S$4),IF($S$4="(все)",COUNTIF($U$4:U385,U385),COUNTIFS($U$4:U385,U385,$B$4:B385,B385))=1),MAX($W$3:W384)+1,"")</f>
        <v/>
      </c>
      <c r="X385" s="38" t="str">
        <f t="shared" si="48"/>
        <v/>
      </c>
      <c r="Y385" s="38" t="str">
        <f>IF(AND(A385="Аппарат",C385&lt;&gt;"",OR($S$5="(все)",B385=$S$5)),MAX($Y$3:Y384)+1,"")</f>
        <v/>
      </c>
      <c r="Z385" s="38" t="str">
        <f t="shared" si="49"/>
        <v/>
      </c>
      <c r="AA385" s="38" t="str">
        <f>IF(AND(A385="Модуль",C385&lt;&gt;"",OR($S$6="(все)",B385=$S$6)),MAX($AA$3:AA384)+1,"")</f>
        <v/>
      </c>
      <c r="AB385" s="38" t="str">
        <f t="shared" si="50"/>
        <v/>
      </c>
      <c r="AC385" s="38" t="str">
        <f>IF(OR(B385="",COUNTIF($B$4:B385,B385)&gt;1),"",MAX($AC$3:AC384)+1)</f>
        <v/>
      </c>
      <c r="AD385" s="38" t="str">
        <f t="shared" si="51"/>
        <v/>
      </c>
      <c r="AE385" s="38" t="str">
        <f t="shared" si="52"/>
        <v/>
      </c>
      <c r="AF385" s="38" t="str">
        <f t="shared" si="53"/>
        <v/>
      </c>
    </row>
    <row r="386" spans="1:32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38" t="str">
        <f>IF(OR(A386="Автомат",A386="Дифавтомат"),IF(W386="","",COUNTIFS(Однолинейка!$H$3:$H$3000,U386,Однолинейка!$A$3:$A$3000,Щит_спец)),IF(A386="Аппарат",IF(C386="","",COUNTIFS(Однолинейка!$I$3:$I$3000,C386,Однолинейка!$A$3:$A$3000,Щит_спец)+COUNTIFS(Однолинейка!$J$3:$J$3000,C386,Однолинейка!$A$3:$A$3000,Щит_спец)+COUNTIFS(Однолинейка!$K$3:$K$3000,C386,Однолинейка!$A$3:$A$3000,Щит_спец)),IF(A386="Модуль",IF(C386="","",COUNTIFS(Однолинейка!$AW$3:$AW$3000,"?*",Однолинейка!$AI$3:$AI$3000,C386,Однолинейка!$A$3:$A$3000,Щит_спец)),IF(A386="Клемма",IF(C386="","",IF(C386=$S$7,SUMIFS(Однолинейка!$BW$3:$BW$3000,Однолинейка!$A$3:$A$3000,Щит_спец),IF(C386=$S$8,SUMIFS(Однолинейка!$BX$3:$BX$3000,Однолинейка!$A$3:$A$3000,Щит_спец),""))),""))))</f>
        <v/>
      </c>
      <c r="O386" s="74"/>
      <c r="P386" s="38" t="str">
        <f t="shared" si="45"/>
        <v/>
      </c>
      <c r="U386" s="38" t="str">
        <f t="shared" si="46"/>
        <v/>
      </c>
      <c r="V386" s="38" t="str">
        <f t="shared" si="47"/>
        <v/>
      </c>
      <c r="W386" s="38" t="str">
        <f>IF(AND(U386&lt;&gt;"",OR($S$4="(все)",B386=$S$4),IF($S$4="(все)",COUNTIF($U$4:U386,U386),COUNTIFS($U$4:U386,U386,$B$4:B386,B386))=1),MAX($W$3:W385)+1,"")</f>
        <v/>
      </c>
      <c r="X386" s="38" t="str">
        <f t="shared" si="48"/>
        <v/>
      </c>
      <c r="Y386" s="38" t="str">
        <f>IF(AND(A386="Аппарат",C386&lt;&gt;"",OR($S$5="(все)",B386=$S$5)),MAX($Y$3:Y385)+1,"")</f>
        <v/>
      </c>
      <c r="Z386" s="38" t="str">
        <f t="shared" si="49"/>
        <v/>
      </c>
      <c r="AA386" s="38" t="str">
        <f>IF(AND(A386="Модуль",C386&lt;&gt;"",OR($S$6="(все)",B386=$S$6)),MAX($AA$3:AA385)+1,"")</f>
        <v/>
      </c>
      <c r="AB386" s="38" t="str">
        <f t="shared" si="50"/>
        <v/>
      </c>
      <c r="AC386" s="38" t="str">
        <f>IF(OR(B386="",COUNTIF($B$4:B386,B386)&gt;1),"",MAX($AC$3:AC385)+1)</f>
        <v/>
      </c>
      <c r="AD386" s="38" t="str">
        <f t="shared" si="51"/>
        <v/>
      </c>
      <c r="AE386" s="38" t="str">
        <f t="shared" si="52"/>
        <v/>
      </c>
      <c r="AF386" s="38" t="str">
        <f t="shared" si="53"/>
        <v/>
      </c>
    </row>
    <row r="387" spans="1:32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38" t="str">
        <f>IF(OR(A387="Автомат",A387="Дифавтомат"),IF(W387="","",COUNTIFS(Однолинейка!$H$3:$H$3000,U387,Однолинейка!$A$3:$A$3000,Щит_спец)),IF(A387="Аппарат",IF(C387="","",COUNTIFS(Однолинейка!$I$3:$I$3000,C387,Однолинейка!$A$3:$A$3000,Щит_спец)+COUNTIFS(Однолинейка!$J$3:$J$3000,C387,Однолинейка!$A$3:$A$3000,Щит_спец)+COUNTIFS(Однолинейка!$K$3:$K$3000,C387,Однолинейка!$A$3:$A$3000,Щит_спец)),IF(A387="Модуль",IF(C387="","",COUNTIFS(Однолинейка!$AW$3:$AW$3000,"?*",Однолинейка!$AI$3:$AI$3000,C387,Однолинейка!$A$3:$A$3000,Щит_спец)),IF(A387="Клемма",IF(C387="","",IF(C387=$S$7,SUMIFS(Однолинейка!$BW$3:$BW$3000,Однолинейка!$A$3:$A$3000,Щит_спец),IF(C387=$S$8,SUMIFS(Однолинейка!$BX$3:$BX$3000,Однолинейка!$A$3:$A$3000,Щит_спец),""))),""))))</f>
        <v/>
      </c>
      <c r="O387" s="74"/>
      <c r="P387" s="38" t="str">
        <f t="shared" si="45"/>
        <v/>
      </c>
      <c r="U387" s="38" t="str">
        <f t="shared" si="46"/>
        <v/>
      </c>
      <c r="V387" s="38" t="str">
        <f t="shared" si="47"/>
        <v/>
      </c>
      <c r="W387" s="38" t="str">
        <f>IF(AND(U387&lt;&gt;"",OR($S$4="(все)",B387=$S$4),IF($S$4="(все)",COUNTIF($U$4:U387,U387),COUNTIFS($U$4:U387,U387,$B$4:B387,B387))=1),MAX($W$3:W386)+1,"")</f>
        <v/>
      </c>
      <c r="X387" s="38" t="str">
        <f t="shared" si="48"/>
        <v/>
      </c>
      <c r="Y387" s="38" t="str">
        <f>IF(AND(A387="Аппарат",C387&lt;&gt;"",OR($S$5="(все)",B387=$S$5)),MAX($Y$3:Y386)+1,"")</f>
        <v/>
      </c>
      <c r="Z387" s="38" t="str">
        <f t="shared" si="49"/>
        <v/>
      </c>
      <c r="AA387" s="38" t="str">
        <f>IF(AND(A387="Модуль",C387&lt;&gt;"",OR($S$6="(все)",B387=$S$6)),MAX($AA$3:AA386)+1,"")</f>
        <v/>
      </c>
      <c r="AB387" s="38" t="str">
        <f t="shared" si="50"/>
        <v/>
      </c>
      <c r="AC387" s="38" t="str">
        <f>IF(OR(B387="",COUNTIF($B$4:B387,B387)&gt;1),"",MAX($AC$3:AC386)+1)</f>
        <v/>
      </c>
      <c r="AD387" s="38" t="str">
        <f t="shared" si="51"/>
        <v/>
      </c>
      <c r="AE387" s="38" t="str">
        <f t="shared" si="52"/>
        <v/>
      </c>
      <c r="AF387" s="38" t="str">
        <f t="shared" si="53"/>
        <v/>
      </c>
    </row>
    <row r="388" spans="1:32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38" t="str">
        <f>IF(OR(A388="Автомат",A388="Дифавтомат"),IF(W388="","",COUNTIFS(Однолинейка!$H$3:$H$3000,U388,Однолинейка!$A$3:$A$3000,Щит_спец)),IF(A388="Аппарат",IF(C388="","",COUNTIFS(Однолинейка!$I$3:$I$3000,C388,Однолинейка!$A$3:$A$3000,Щит_спец)+COUNTIFS(Однолинейка!$J$3:$J$3000,C388,Однолинейка!$A$3:$A$3000,Щит_спец)+COUNTIFS(Однолинейка!$K$3:$K$3000,C388,Однолинейка!$A$3:$A$3000,Щит_спец)),IF(A388="Модуль",IF(C388="","",COUNTIFS(Однолинейка!$AW$3:$AW$3000,"?*",Однолинейка!$AI$3:$AI$3000,C388,Однолинейка!$A$3:$A$3000,Щит_спец)),IF(A388="Клемма",IF(C388="","",IF(C388=$S$7,SUMIFS(Однолинейка!$BW$3:$BW$3000,Однолинейка!$A$3:$A$3000,Щит_спец),IF(C388=$S$8,SUMIFS(Однолинейка!$BX$3:$BX$3000,Однолинейка!$A$3:$A$3000,Щит_спец),""))),""))))</f>
        <v/>
      </c>
      <c r="O388" s="74"/>
      <c r="P388" s="38" t="str">
        <f t="shared" ref="P388:P451" si="54">IF(COUNT(N388,O388)=0,"",SUM(N388,O388))</f>
        <v/>
      </c>
      <c r="U388" s="38" t="str">
        <f t="shared" ref="U388:U451" si="55">IF(OR(A388="Автомат",A388="Дифавтомат"),I388&amp;" С"&amp;J388&amp;"А"&amp;IF(K388="да"," 30мА",IF(ISNUMBER(K388)," "&amp;K388&amp;"мА","")),"")</f>
        <v/>
      </c>
      <c r="V388" s="38" t="str">
        <f t="shared" ref="V388:V451" si="56">IF(U388="","",B388&amp;"|"&amp;U388)</f>
        <v/>
      </c>
      <c r="W388" s="38" t="str">
        <f>IF(AND(U388&lt;&gt;"",OR($S$4="(все)",B388=$S$4),IF($S$4="(все)",COUNTIF($U$4:U388,U388),COUNTIFS($U$4:U388,U388,$B$4:B388,B388))=1),MAX($W$3:W387)+1,"")</f>
        <v/>
      </c>
      <c r="X388" s="38" t="str">
        <f t="shared" ref="X388:X451" si="57">IFERROR(INDEX($U$4:$U$500,MATCH(ROW()-3,$W$4:$W$500,0)),"")</f>
        <v/>
      </c>
      <c r="Y388" s="38" t="str">
        <f>IF(AND(A388="Аппарат",C388&lt;&gt;"",OR($S$5="(все)",B388=$S$5)),MAX($Y$3:Y387)+1,"")</f>
        <v/>
      </c>
      <c r="Z388" s="38" t="str">
        <f t="shared" ref="Z388:Z451" si="58">IFERROR(INDEX($C$4:$C$500,MATCH(ROW()-3,$Y$4:$Y$500,0)),"")</f>
        <v/>
      </c>
      <c r="AA388" s="38" t="str">
        <f>IF(AND(A388="Модуль",C388&lt;&gt;"",OR($S$6="(все)",B388=$S$6)),MAX($AA$3:AA387)+1,"")</f>
        <v/>
      </c>
      <c r="AB388" s="38" t="str">
        <f t="shared" ref="AB388:AB451" si="59">IFERROR(INDEX($C$4:$C$500,MATCH(ROW()-3,$AA$4:$AA$500,0)),"")</f>
        <v/>
      </c>
      <c r="AC388" s="38" t="str">
        <f>IF(OR(B388="",COUNTIF($B$4:B388,B388)&gt;1),"",MAX($AC$3:AC387)+1)</f>
        <v/>
      </c>
      <c r="AD388" s="38" t="str">
        <f t="shared" ref="AD388:AD451" si="60">IFERROR(INDEX($B$4:$B$500,MATCH(ROW()-3,$AC$4:$AC$500,0)),"")</f>
        <v/>
      </c>
      <c r="AE388" s="38" t="str">
        <f t="shared" ref="AE388:AE451" si="61">IF(AND(A388&lt;&gt;"",N(P388)&gt;0),IFERROR(MATCH(A388,$R$12:$R$25,0),99)*1000+ROW(),"")</f>
        <v/>
      </c>
      <c r="AF388" s="38" t="str">
        <f t="shared" ref="AF388:AF451" si="62">IF(AE388="","",COUNTIF($AE$4:$AE$500,"&lt;="&amp;AE388))</f>
        <v/>
      </c>
    </row>
    <row r="389" spans="1:32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38" t="str">
        <f>IF(OR(A389="Автомат",A389="Дифавтомат"),IF(W389="","",COUNTIFS(Однолинейка!$H$3:$H$3000,U389,Однолинейка!$A$3:$A$3000,Щит_спец)),IF(A389="Аппарат",IF(C389="","",COUNTIFS(Однолинейка!$I$3:$I$3000,C389,Однолинейка!$A$3:$A$3000,Щит_спец)+COUNTIFS(Однолинейка!$J$3:$J$3000,C389,Однолинейка!$A$3:$A$3000,Щит_спец)+COUNTIFS(Однолинейка!$K$3:$K$3000,C389,Однолинейка!$A$3:$A$3000,Щит_спец)),IF(A389="Модуль",IF(C389="","",COUNTIFS(Однолинейка!$AW$3:$AW$3000,"?*",Однолинейка!$AI$3:$AI$3000,C389,Однолинейка!$A$3:$A$3000,Щит_спец)),IF(A389="Клемма",IF(C389="","",IF(C389=$S$7,SUMIFS(Однолинейка!$BW$3:$BW$3000,Однолинейка!$A$3:$A$3000,Щит_спец),IF(C389=$S$8,SUMIFS(Однолинейка!$BX$3:$BX$3000,Однолинейка!$A$3:$A$3000,Щит_спец),""))),""))))</f>
        <v/>
      </c>
      <c r="O389" s="74"/>
      <c r="P389" s="38" t="str">
        <f t="shared" si="54"/>
        <v/>
      </c>
      <c r="U389" s="38" t="str">
        <f t="shared" si="55"/>
        <v/>
      </c>
      <c r="V389" s="38" t="str">
        <f t="shared" si="56"/>
        <v/>
      </c>
      <c r="W389" s="38" t="str">
        <f>IF(AND(U389&lt;&gt;"",OR($S$4="(все)",B389=$S$4),IF($S$4="(все)",COUNTIF($U$4:U389,U389),COUNTIFS($U$4:U389,U389,$B$4:B389,B389))=1),MAX($W$3:W388)+1,"")</f>
        <v/>
      </c>
      <c r="X389" s="38" t="str">
        <f t="shared" si="57"/>
        <v/>
      </c>
      <c r="Y389" s="38" t="str">
        <f>IF(AND(A389="Аппарат",C389&lt;&gt;"",OR($S$5="(все)",B389=$S$5)),MAX($Y$3:Y388)+1,"")</f>
        <v/>
      </c>
      <c r="Z389" s="38" t="str">
        <f t="shared" si="58"/>
        <v/>
      </c>
      <c r="AA389" s="38" t="str">
        <f>IF(AND(A389="Модуль",C389&lt;&gt;"",OR($S$6="(все)",B389=$S$6)),MAX($AA$3:AA388)+1,"")</f>
        <v/>
      </c>
      <c r="AB389" s="38" t="str">
        <f t="shared" si="59"/>
        <v/>
      </c>
      <c r="AC389" s="38" t="str">
        <f>IF(OR(B389="",COUNTIF($B$4:B389,B389)&gt;1),"",MAX($AC$3:AC388)+1)</f>
        <v/>
      </c>
      <c r="AD389" s="38" t="str">
        <f t="shared" si="60"/>
        <v/>
      </c>
      <c r="AE389" s="38" t="str">
        <f t="shared" si="61"/>
        <v/>
      </c>
      <c r="AF389" s="38" t="str">
        <f t="shared" si="62"/>
        <v/>
      </c>
    </row>
    <row r="390" spans="1:32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38" t="str">
        <f>IF(OR(A390="Автомат",A390="Дифавтомат"),IF(W390="","",COUNTIFS(Однолинейка!$H$3:$H$3000,U390,Однолинейка!$A$3:$A$3000,Щит_спец)),IF(A390="Аппарат",IF(C390="","",COUNTIFS(Однолинейка!$I$3:$I$3000,C390,Однолинейка!$A$3:$A$3000,Щит_спец)+COUNTIFS(Однолинейка!$J$3:$J$3000,C390,Однолинейка!$A$3:$A$3000,Щит_спец)+COUNTIFS(Однолинейка!$K$3:$K$3000,C390,Однолинейка!$A$3:$A$3000,Щит_спец)),IF(A390="Модуль",IF(C390="","",COUNTIFS(Однолинейка!$AW$3:$AW$3000,"?*",Однолинейка!$AI$3:$AI$3000,C390,Однолинейка!$A$3:$A$3000,Щит_спец)),IF(A390="Клемма",IF(C390="","",IF(C390=$S$7,SUMIFS(Однолинейка!$BW$3:$BW$3000,Однолинейка!$A$3:$A$3000,Щит_спец),IF(C390=$S$8,SUMIFS(Однолинейка!$BX$3:$BX$3000,Однолинейка!$A$3:$A$3000,Щит_спец),""))),""))))</f>
        <v/>
      </c>
      <c r="O390" s="74"/>
      <c r="P390" s="38" t="str">
        <f t="shared" si="54"/>
        <v/>
      </c>
      <c r="U390" s="38" t="str">
        <f t="shared" si="55"/>
        <v/>
      </c>
      <c r="V390" s="38" t="str">
        <f t="shared" si="56"/>
        <v/>
      </c>
      <c r="W390" s="38" t="str">
        <f>IF(AND(U390&lt;&gt;"",OR($S$4="(все)",B390=$S$4),IF($S$4="(все)",COUNTIF($U$4:U390,U390),COUNTIFS($U$4:U390,U390,$B$4:B390,B390))=1),MAX($W$3:W389)+1,"")</f>
        <v/>
      </c>
      <c r="X390" s="38" t="str">
        <f t="shared" si="57"/>
        <v/>
      </c>
      <c r="Y390" s="38" t="str">
        <f>IF(AND(A390="Аппарат",C390&lt;&gt;"",OR($S$5="(все)",B390=$S$5)),MAX($Y$3:Y389)+1,"")</f>
        <v/>
      </c>
      <c r="Z390" s="38" t="str">
        <f t="shared" si="58"/>
        <v/>
      </c>
      <c r="AA390" s="38" t="str">
        <f>IF(AND(A390="Модуль",C390&lt;&gt;"",OR($S$6="(все)",B390=$S$6)),MAX($AA$3:AA389)+1,"")</f>
        <v/>
      </c>
      <c r="AB390" s="38" t="str">
        <f t="shared" si="59"/>
        <v/>
      </c>
      <c r="AC390" s="38" t="str">
        <f>IF(OR(B390="",COUNTIF($B$4:B390,B390)&gt;1),"",MAX($AC$3:AC389)+1)</f>
        <v/>
      </c>
      <c r="AD390" s="38" t="str">
        <f t="shared" si="60"/>
        <v/>
      </c>
      <c r="AE390" s="38" t="str">
        <f t="shared" si="61"/>
        <v/>
      </c>
      <c r="AF390" s="38" t="str">
        <f t="shared" si="62"/>
        <v/>
      </c>
    </row>
    <row r="391" spans="1:32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38" t="str">
        <f>IF(OR(A391="Автомат",A391="Дифавтомат"),IF(W391="","",COUNTIFS(Однолинейка!$H$3:$H$3000,U391,Однолинейка!$A$3:$A$3000,Щит_спец)),IF(A391="Аппарат",IF(C391="","",COUNTIFS(Однолинейка!$I$3:$I$3000,C391,Однолинейка!$A$3:$A$3000,Щит_спец)+COUNTIFS(Однолинейка!$J$3:$J$3000,C391,Однолинейка!$A$3:$A$3000,Щит_спец)+COUNTIFS(Однолинейка!$K$3:$K$3000,C391,Однолинейка!$A$3:$A$3000,Щит_спец)),IF(A391="Модуль",IF(C391="","",COUNTIFS(Однолинейка!$AW$3:$AW$3000,"?*",Однолинейка!$AI$3:$AI$3000,C391,Однолинейка!$A$3:$A$3000,Щит_спец)),IF(A391="Клемма",IF(C391="","",IF(C391=$S$7,SUMIFS(Однолинейка!$BW$3:$BW$3000,Однолинейка!$A$3:$A$3000,Щит_спец),IF(C391=$S$8,SUMIFS(Однолинейка!$BX$3:$BX$3000,Однолинейка!$A$3:$A$3000,Щит_спец),""))),""))))</f>
        <v/>
      </c>
      <c r="O391" s="74"/>
      <c r="P391" s="38" t="str">
        <f t="shared" si="54"/>
        <v/>
      </c>
      <c r="U391" s="38" t="str">
        <f t="shared" si="55"/>
        <v/>
      </c>
      <c r="V391" s="38" t="str">
        <f t="shared" si="56"/>
        <v/>
      </c>
      <c r="W391" s="38" t="str">
        <f>IF(AND(U391&lt;&gt;"",OR($S$4="(все)",B391=$S$4),IF($S$4="(все)",COUNTIF($U$4:U391,U391),COUNTIFS($U$4:U391,U391,$B$4:B391,B391))=1),MAX($W$3:W390)+1,"")</f>
        <v/>
      </c>
      <c r="X391" s="38" t="str">
        <f t="shared" si="57"/>
        <v/>
      </c>
      <c r="Y391" s="38" t="str">
        <f>IF(AND(A391="Аппарат",C391&lt;&gt;"",OR($S$5="(все)",B391=$S$5)),MAX($Y$3:Y390)+1,"")</f>
        <v/>
      </c>
      <c r="Z391" s="38" t="str">
        <f t="shared" si="58"/>
        <v/>
      </c>
      <c r="AA391" s="38" t="str">
        <f>IF(AND(A391="Модуль",C391&lt;&gt;"",OR($S$6="(все)",B391=$S$6)),MAX($AA$3:AA390)+1,"")</f>
        <v/>
      </c>
      <c r="AB391" s="38" t="str">
        <f t="shared" si="59"/>
        <v/>
      </c>
      <c r="AC391" s="38" t="str">
        <f>IF(OR(B391="",COUNTIF($B$4:B391,B391)&gt;1),"",MAX($AC$3:AC390)+1)</f>
        <v/>
      </c>
      <c r="AD391" s="38" t="str">
        <f t="shared" si="60"/>
        <v/>
      </c>
      <c r="AE391" s="38" t="str">
        <f t="shared" si="61"/>
        <v/>
      </c>
      <c r="AF391" s="38" t="str">
        <f t="shared" si="62"/>
        <v/>
      </c>
    </row>
    <row r="392" spans="1:32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38" t="str">
        <f>IF(OR(A392="Автомат",A392="Дифавтомат"),IF(W392="","",COUNTIFS(Однолинейка!$H$3:$H$3000,U392,Однолинейка!$A$3:$A$3000,Щит_спец)),IF(A392="Аппарат",IF(C392="","",COUNTIFS(Однолинейка!$I$3:$I$3000,C392,Однолинейка!$A$3:$A$3000,Щит_спец)+COUNTIFS(Однолинейка!$J$3:$J$3000,C392,Однолинейка!$A$3:$A$3000,Щит_спец)+COUNTIFS(Однолинейка!$K$3:$K$3000,C392,Однолинейка!$A$3:$A$3000,Щит_спец)),IF(A392="Модуль",IF(C392="","",COUNTIFS(Однолинейка!$AW$3:$AW$3000,"?*",Однолинейка!$AI$3:$AI$3000,C392,Однолинейка!$A$3:$A$3000,Щит_спец)),IF(A392="Клемма",IF(C392="","",IF(C392=$S$7,SUMIFS(Однолинейка!$BW$3:$BW$3000,Однолинейка!$A$3:$A$3000,Щит_спец),IF(C392=$S$8,SUMIFS(Однолинейка!$BX$3:$BX$3000,Однолинейка!$A$3:$A$3000,Щит_спец),""))),""))))</f>
        <v/>
      </c>
      <c r="O392" s="74"/>
      <c r="P392" s="38" t="str">
        <f t="shared" si="54"/>
        <v/>
      </c>
      <c r="U392" s="38" t="str">
        <f t="shared" si="55"/>
        <v/>
      </c>
      <c r="V392" s="38" t="str">
        <f t="shared" si="56"/>
        <v/>
      </c>
      <c r="W392" s="38" t="str">
        <f>IF(AND(U392&lt;&gt;"",OR($S$4="(все)",B392=$S$4),IF($S$4="(все)",COUNTIF($U$4:U392,U392),COUNTIFS($U$4:U392,U392,$B$4:B392,B392))=1),MAX($W$3:W391)+1,"")</f>
        <v/>
      </c>
      <c r="X392" s="38" t="str">
        <f t="shared" si="57"/>
        <v/>
      </c>
      <c r="Y392" s="38" t="str">
        <f>IF(AND(A392="Аппарат",C392&lt;&gt;"",OR($S$5="(все)",B392=$S$5)),MAX($Y$3:Y391)+1,"")</f>
        <v/>
      </c>
      <c r="Z392" s="38" t="str">
        <f t="shared" si="58"/>
        <v/>
      </c>
      <c r="AA392" s="38" t="str">
        <f>IF(AND(A392="Модуль",C392&lt;&gt;"",OR($S$6="(все)",B392=$S$6)),MAX($AA$3:AA391)+1,"")</f>
        <v/>
      </c>
      <c r="AB392" s="38" t="str">
        <f t="shared" si="59"/>
        <v/>
      </c>
      <c r="AC392" s="38" t="str">
        <f>IF(OR(B392="",COUNTIF($B$4:B392,B392)&gt;1),"",MAX($AC$3:AC391)+1)</f>
        <v/>
      </c>
      <c r="AD392" s="38" t="str">
        <f t="shared" si="60"/>
        <v/>
      </c>
      <c r="AE392" s="38" t="str">
        <f t="shared" si="61"/>
        <v/>
      </c>
      <c r="AF392" s="38" t="str">
        <f t="shared" si="62"/>
        <v/>
      </c>
    </row>
    <row r="393" spans="1:32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38" t="str">
        <f>IF(OR(A393="Автомат",A393="Дифавтомат"),IF(W393="","",COUNTIFS(Однолинейка!$H$3:$H$3000,U393,Однолинейка!$A$3:$A$3000,Щит_спец)),IF(A393="Аппарат",IF(C393="","",COUNTIFS(Однолинейка!$I$3:$I$3000,C393,Однолинейка!$A$3:$A$3000,Щит_спец)+COUNTIFS(Однолинейка!$J$3:$J$3000,C393,Однолинейка!$A$3:$A$3000,Щит_спец)+COUNTIFS(Однолинейка!$K$3:$K$3000,C393,Однолинейка!$A$3:$A$3000,Щит_спец)),IF(A393="Модуль",IF(C393="","",COUNTIFS(Однолинейка!$AW$3:$AW$3000,"?*",Однолинейка!$AI$3:$AI$3000,C393,Однолинейка!$A$3:$A$3000,Щит_спец)),IF(A393="Клемма",IF(C393="","",IF(C393=$S$7,SUMIFS(Однолинейка!$BW$3:$BW$3000,Однолинейка!$A$3:$A$3000,Щит_спец),IF(C393=$S$8,SUMIFS(Однолинейка!$BX$3:$BX$3000,Однолинейка!$A$3:$A$3000,Щит_спец),""))),""))))</f>
        <v/>
      </c>
      <c r="O393" s="74"/>
      <c r="P393" s="38" t="str">
        <f t="shared" si="54"/>
        <v/>
      </c>
      <c r="U393" s="38" t="str">
        <f t="shared" si="55"/>
        <v/>
      </c>
      <c r="V393" s="38" t="str">
        <f t="shared" si="56"/>
        <v/>
      </c>
      <c r="W393" s="38" t="str">
        <f>IF(AND(U393&lt;&gt;"",OR($S$4="(все)",B393=$S$4),IF($S$4="(все)",COUNTIF($U$4:U393,U393),COUNTIFS($U$4:U393,U393,$B$4:B393,B393))=1),MAX($W$3:W392)+1,"")</f>
        <v/>
      </c>
      <c r="X393" s="38" t="str">
        <f t="shared" si="57"/>
        <v/>
      </c>
      <c r="Y393" s="38" t="str">
        <f>IF(AND(A393="Аппарат",C393&lt;&gt;"",OR($S$5="(все)",B393=$S$5)),MAX($Y$3:Y392)+1,"")</f>
        <v/>
      </c>
      <c r="Z393" s="38" t="str">
        <f t="shared" si="58"/>
        <v/>
      </c>
      <c r="AA393" s="38" t="str">
        <f>IF(AND(A393="Модуль",C393&lt;&gt;"",OR($S$6="(все)",B393=$S$6)),MAX($AA$3:AA392)+1,"")</f>
        <v/>
      </c>
      <c r="AB393" s="38" t="str">
        <f t="shared" si="59"/>
        <v/>
      </c>
      <c r="AC393" s="38" t="str">
        <f>IF(OR(B393="",COUNTIF($B$4:B393,B393)&gt;1),"",MAX($AC$3:AC392)+1)</f>
        <v/>
      </c>
      <c r="AD393" s="38" t="str">
        <f t="shared" si="60"/>
        <v/>
      </c>
      <c r="AE393" s="38" t="str">
        <f t="shared" si="61"/>
        <v/>
      </c>
      <c r="AF393" s="38" t="str">
        <f t="shared" si="62"/>
        <v/>
      </c>
    </row>
    <row r="394" spans="1:32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38" t="str">
        <f>IF(OR(A394="Автомат",A394="Дифавтомат"),IF(W394="","",COUNTIFS(Однолинейка!$H$3:$H$3000,U394,Однолинейка!$A$3:$A$3000,Щит_спец)),IF(A394="Аппарат",IF(C394="","",COUNTIFS(Однолинейка!$I$3:$I$3000,C394,Однолинейка!$A$3:$A$3000,Щит_спец)+COUNTIFS(Однолинейка!$J$3:$J$3000,C394,Однолинейка!$A$3:$A$3000,Щит_спец)+COUNTIFS(Однолинейка!$K$3:$K$3000,C394,Однолинейка!$A$3:$A$3000,Щит_спец)),IF(A394="Модуль",IF(C394="","",COUNTIFS(Однолинейка!$AW$3:$AW$3000,"?*",Однолинейка!$AI$3:$AI$3000,C394,Однолинейка!$A$3:$A$3000,Щит_спец)),IF(A394="Клемма",IF(C394="","",IF(C394=$S$7,SUMIFS(Однолинейка!$BW$3:$BW$3000,Однолинейка!$A$3:$A$3000,Щит_спец),IF(C394=$S$8,SUMIFS(Однолинейка!$BX$3:$BX$3000,Однолинейка!$A$3:$A$3000,Щит_спец),""))),""))))</f>
        <v/>
      </c>
      <c r="O394" s="74"/>
      <c r="P394" s="38" t="str">
        <f t="shared" si="54"/>
        <v/>
      </c>
      <c r="U394" s="38" t="str">
        <f t="shared" si="55"/>
        <v/>
      </c>
      <c r="V394" s="38" t="str">
        <f t="shared" si="56"/>
        <v/>
      </c>
      <c r="W394" s="38" t="str">
        <f>IF(AND(U394&lt;&gt;"",OR($S$4="(все)",B394=$S$4),IF($S$4="(все)",COUNTIF($U$4:U394,U394),COUNTIFS($U$4:U394,U394,$B$4:B394,B394))=1),MAX($W$3:W393)+1,"")</f>
        <v/>
      </c>
      <c r="X394" s="38" t="str">
        <f t="shared" si="57"/>
        <v/>
      </c>
      <c r="Y394" s="38" t="str">
        <f>IF(AND(A394="Аппарат",C394&lt;&gt;"",OR($S$5="(все)",B394=$S$5)),MAX($Y$3:Y393)+1,"")</f>
        <v/>
      </c>
      <c r="Z394" s="38" t="str">
        <f t="shared" si="58"/>
        <v/>
      </c>
      <c r="AA394" s="38" t="str">
        <f>IF(AND(A394="Модуль",C394&lt;&gt;"",OR($S$6="(все)",B394=$S$6)),MAX($AA$3:AA393)+1,"")</f>
        <v/>
      </c>
      <c r="AB394" s="38" t="str">
        <f t="shared" si="59"/>
        <v/>
      </c>
      <c r="AC394" s="38" t="str">
        <f>IF(OR(B394="",COUNTIF($B$4:B394,B394)&gt;1),"",MAX($AC$3:AC393)+1)</f>
        <v/>
      </c>
      <c r="AD394" s="38" t="str">
        <f t="shared" si="60"/>
        <v/>
      </c>
      <c r="AE394" s="38" t="str">
        <f t="shared" si="61"/>
        <v/>
      </c>
      <c r="AF394" s="38" t="str">
        <f t="shared" si="62"/>
        <v/>
      </c>
    </row>
    <row r="395" spans="1:32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38" t="str">
        <f>IF(OR(A395="Автомат",A395="Дифавтомат"),IF(W395="","",COUNTIFS(Однолинейка!$H$3:$H$3000,U395,Однолинейка!$A$3:$A$3000,Щит_спец)),IF(A395="Аппарат",IF(C395="","",COUNTIFS(Однолинейка!$I$3:$I$3000,C395,Однолинейка!$A$3:$A$3000,Щит_спец)+COUNTIFS(Однолинейка!$J$3:$J$3000,C395,Однолинейка!$A$3:$A$3000,Щит_спец)+COUNTIFS(Однолинейка!$K$3:$K$3000,C395,Однолинейка!$A$3:$A$3000,Щит_спец)),IF(A395="Модуль",IF(C395="","",COUNTIFS(Однолинейка!$AW$3:$AW$3000,"?*",Однолинейка!$AI$3:$AI$3000,C395,Однолинейка!$A$3:$A$3000,Щит_спец)),IF(A395="Клемма",IF(C395="","",IF(C395=$S$7,SUMIFS(Однолинейка!$BW$3:$BW$3000,Однолинейка!$A$3:$A$3000,Щит_спец),IF(C395=$S$8,SUMIFS(Однолинейка!$BX$3:$BX$3000,Однолинейка!$A$3:$A$3000,Щит_спец),""))),""))))</f>
        <v/>
      </c>
      <c r="O395" s="74"/>
      <c r="P395" s="38" t="str">
        <f t="shared" si="54"/>
        <v/>
      </c>
      <c r="U395" s="38" t="str">
        <f t="shared" si="55"/>
        <v/>
      </c>
      <c r="V395" s="38" t="str">
        <f t="shared" si="56"/>
        <v/>
      </c>
      <c r="W395" s="38" t="str">
        <f>IF(AND(U395&lt;&gt;"",OR($S$4="(все)",B395=$S$4),IF($S$4="(все)",COUNTIF($U$4:U395,U395),COUNTIFS($U$4:U395,U395,$B$4:B395,B395))=1),MAX($W$3:W394)+1,"")</f>
        <v/>
      </c>
      <c r="X395" s="38" t="str">
        <f t="shared" si="57"/>
        <v/>
      </c>
      <c r="Y395" s="38" t="str">
        <f>IF(AND(A395="Аппарат",C395&lt;&gt;"",OR($S$5="(все)",B395=$S$5)),MAX($Y$3:Y394)+1,"")</f>
        <v/>
      </c>
      <c r="Z395" s="38" t="str">
        <f t="shared" si="58"/>
        <v/>
      </c>
      <c r="AA395" s="38" t="str">
        <f>IF(AND(A395="Модуль",C395&lt;&gt;"",OR($S$6="(все)",B395=$S$6)),MAX($AA$3:AA394)+1,"")</f>
        <v/>
      </c>
      <c r="AB395" s="38" t="str">
        <f t="shared" si="59"/>
        <v/>
      </c>
      <c r="AC395" s="38" t="str">
        <f>IF(OR(B395="",COUNTIF($B$4:B395,B395)&gt;1),"",MAX($AC$3:AC394)+1)</f>
        <v/>
      </c>
      <c r="AD395" s="38" t="str">
        <f t="shared" si="60"/>
        <v/>
      </c>
      <c r="AE395" s="38" t="str">
        <f t="shared" si="61"/>
        <v/>
      </c>
      <c r="AF395" s="38" t="str">
        <f t="shared" si="62"/>
        <v/>
      </c>
    </row>
    <row r="396" spans="1:32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38" t="str">
        <f>IF(OR(A396="Автомат",A396="Дифавтомат"),IF(W396="","",COUNTIFS(Однолинейка!$H$3:$H$3000,U396,Однолинейка!$A$3:$A$3000,Щит_спец)),IF(A396="Аппарат",IF(C396="","",COUNTIFS(Однолинейка!$I$3:$I$3000,C396,Однолинейка!$A$3:$A$3000,Щит_спец)+COUNTIFS(Однолинейка!$J$3:$J$3000,C396,Однолинейка!$A$3:$A$3000,Щит_спец)+COUNTIFS(Однолинейка!$K$3:$K$3000,C396,Однолинейка!$A$3:$A$3000,Щит_спец)),IF(A396="Модуль",IF(C396="","",COUNTIFS(Однолинейка!$AW$3:$AW$3000,"?*",Однолинейка!$AI$3:$AI$3000,C396,Однолинейка!$A$3:$A$3000,Щит_спец)),IF(A396="Клемма",IF(C396="","",IF(C396=$S$7,SUMIFS(Однолинейка!$BW$3:$BW$3000,Однолинейка!$A$3:$A$3000,Щит_спец),IF(C396=$S$8,SUMIFS(Однолинейка!$BX$3:$BX$3000,Однолинейка!$A$3:$A$3000,Щит_спец),""))),""))))</f>
        <v/>
      </c>
      <c r="O396" s="74"/>
      <c r="P396" s="38" t="str">
        <f t="shared" si="54"/>
        <v/>
      </c>
      <c r="U396" s="38" t="str">
        <f t="shared" si="55"/>
        <v/>
      </c>
      <c r="V396" s="38" t="str">
        <f t="shared" si="56"/>
        <v/>
      </c>
      <c r="W396" s="38" t="str">
        <f>IF(AND(U396&lt;&gt;"",OR($S$4="(все)",B396=$S$4),IF($S$4="(все)",COUNTIF($U$4:U396,U396),COUNTIFS($U$4:U396,U396,$B$4:B396,B396))=1),MAX($W$3:W395)+1,"")</f>
        <v/>
      </c>
      <c r="X396" s="38" t="str">
        <f t="shared" si="57"/>
        <v/>
      </c>
      <c r="Y396" s="38" t="str">
        <f>IF(AND(A396="Аппарат",C396&lt;&gt;"",OR($S$5="(все)",B396=$S$5)),MAX($Y$3:Y395)+1,"")</f>
        <v/>
      </c>
      <c r="Z396" s="38" t="str">
        <f t="shared" si="58"/>
        <v/>
      </c>
      <c r="AA396" s="38" t="str">
        <f>IF(AND(A396="Модуль",C396&lt;&gt;"",OR($S$6="(все)",B396=$S$6)),MAX($AA$3:AA395)+1,"")</f>
        <v/>
      </c>
      <c r="AB396" s="38" t="str">
        <f t="shared" si="59"/>
        <v/>
      </c>
      <c r="AC396" s="38" t="str">
        <f>IF(OR(B396="",COUNTIF($B$4:B396,B396)&gt;1),"",MAX($AC$3:AC395)+1)</f>
        <v/>
      </c>
      <c r="AD396" s="38" t="str">
        <f t="shared" si="60"/>
        <v/>
      </c>
      <c r="AE396" s="38" t="str">
        <f t="shared" si="61"/>
        <v/>
      </c>
      <c r="AF396" s="38" t="str">
        <f t="shared" si="62"/>
        <v/>
      </c>
    </row>
    <row r="397" spans="1:32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38" t="str">
        <f>IF(OR(A397="Автомат",A397="Дифавтомат"),IF(W397="","",COUNTIFS(Однолинейка!$H$3:$H$3000,U397,Однолинейка!$A$3:$A$3000,Щит_спец)),IF(A397="Аппарат",IF(C397="","",COUNTIFS(Однолинейка!$I$3:$I$3000,C397,Однолинейка!$A$3:$A$3000,Щит_спец)+COUNTIFS(Однолинейка!$J$3:$J$3000,C397,Однолинейка!$A$3:$A$3000,Щит_спец)+COUNTIFS(Однолинейка!$K$3:$K$3000,C397,Однолинейка!$A$3:$A$3000,Щит_спец)),IF(A397="Модуль",IF(C397="","",COUNTIFS(Однолинейка!$AW$3:$AW$3000,"?*",Однолинейка!$AI$3:$AI$3000,C397,Однолинейка!$A$3:$A$3000,Щит_спец)),IF(A397="Клемма",IF(C397="","",IF(C397=$S$7,SUMIFS(Однолинейка!$BW$3:$BW$3000,Однолинейка!$A$3:$A$3000,Щит_спец),IF(C397=$S$8,SUMIFS(Однолинейка!$BX$3:$BX$3000,Однолинейка!$A$3:$A$3000,Щит_спец),""))),""))))</f>
        <v/>
      </c>
      <c r="O397" s="74"/>
      <c r="P397" s="38" t="str">
        <f t="shared" si="54"/>
        <v/>
      </c>
      <c r="U397" s="38" t="str">
        <f t="shared" si="55"/>
        <v/>
      </c>
      <c r="V397" s="38" t="str">
        <f t="shared" si="56"/>
        <v/>
      </c>
      <c r="W397" s="38" t="str">
        <f>IF(AND(U397&lt;&gt;"",OR($S$4="(все)",B397=$S$4),IF($S$4="(все)",COUNTIF($U$4:U397,U397),COUNTIFS($U$4:U397,U397,$B$4:B397,B397))=1),MAX($W$3:W396)+1,"")</f>
        <v/>
      </c>
      <c r="X397" s="38" t="str">
        <f t="shared" si="57"/>
        <v/>
      </c>
      <c r="Y397" s="38" t="str">
        <f>IF(AND(A397="Аппарат",C397&lt;&gt;"",OR($S$5="(все)",B397=$S$5)),MAX($Y$3:Y396)+1,"")</f>
        <v/>
      </c>
      <c r="Z397" s="38" t="str">
        <f t="shared" si="58"/>
        <v/>
      </c>
      <c r="AA397" s="38" t="str">
        <f>IF(AND(A397="Модуль",C397&lt;&gt;"",OR($S$6="(все)",B397=$S$6)),MAX($AA$3:AA396)+1,"")</f>
        <v/>
      </c>
      <c r="AB397" s="38" t="str">
        <f t="shared" si="59"/>
        <v/>
      </c>
      <c r="AC397" s="38" t="str">
        <f>IF(OR(B397="",COUNTIF($B$4:B397,B397)&gt;1),"",MAX($AC$3:AC396)+1)</f>
        <v/>
      </c>
      <c r="AD397" s="38" t="str">
        <f t="shared" si="60"/>
        <v/>
      </c>
      <c r="AE397" s="38" t="str">
        <f t="shared" si="61"/>
        <v/>
      </c>
      <c r="AF397" s="38" t="str">
        <f t="shared" si="62"/>
        <v/>
      </c>
    </row>
    <row r="398" spans="1:32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38" t="str">
        <f>IF(OR(A398="Автомат",A398="Дифавтомат"),IF(W398="","",COUNTIFS(Однолинейка!$H$3:$H$3000,U398,Однолинейка!$A$3:$A$3000,Щит_спец)),IF(A398="Аппарат",IF(C398="","",COUNTIFS(Однолинейка!$I$3:$I$3000,C398,Однолинейка!$A$3:$A$3000,Щит_спец)+COUNTIFS(Однолинейка!$J$3:$J$3000,C398,Однолинейка!$A$3:$A$3000,Щит_спец)+COUNTIFS(Однолинейка!$K$3:$K$3000,C398,Однолинейка!$A$3:$A$3000,Щит_спец)),IF(A398="Модуль",IF(C398="","",COUNTIFS(Однолинейка!$AW$3:$AW$3000,"?*",Однолинейка!$AI$3:$AI$3000,C398,Однолинейка!$A$3:$A$3000,Щит_спец)),IF(A398="Клемма",IF(C398="","",IF(C398=$S$7,SUMIFS(Однолинейка!$BW$3:$BW$3000,Однолинейка!$A$3:$A$3000,Щит_спец),IF(C398=$S$8,SUMIFS(Однолинейка!$BX$3:$BX$3000,Однолинейка!$A$3:$A$3000,Щит_спец),""))),""))))</f>
        <v/>
      </c>
      <c r="O398" s="74"/>
      <c r="P398" s="38" t="str">
        <f t="shared" si="54"/>
        <v/>
      </c>
      <c r="U398" s="38" t="str">
        <f t="shared" si="55"/>
        <v/>
      </c>
      <c r="V398" s="38" t="str">
        <f t="shared" si="56"/>
        <v/>
      </c>
      <c r="W398" s="38" t="str">
        <f>IF(AND(U398&lt;&gt;"",OR($S$4="(все)",B398=$S$4),IF($S$4="(все)",COUNTIF($U$4:U398,U398),COUNTIFS($U$4:U398,U398,$B$4:B398,B398))=1),MAX($W$3:W397)+1,"")</f>
        <v/>
      </c>
      <c r="X398" s="38" t="str">
        <f t="shared" si="57"/>
        <v/>
      </c>
      <c r="Y398" s="38" t="str">
        <f>IF(AND(A398="Аппарат",C398&lt;&gt;"",OR($S$5="(все)",B398=$S$5)),MAX($Y$3:Y397)+1,"")</f>
        <v/>
      </c>
      <c r="Z398" s="38" t="str">
        <f t="shared" si="58"/>
        <v/>
      </c>
      <c r="AA398" s="38" t="str">
        <f>IF(AND(A398="Модуль",C398&lt;&gt;"",OR($S$6="(все)",B398=$S$6)),MAX($AA$3:AA397)+1,"")</f>
        <v/>
      </c>
      <c r="AB398" s="38" t="str">
        <f t="shared" si="59"/>
        <v/>
      </c>
      <c r="AC398" s="38" t="str">
        <f>IF(OR(B398="",COUNTIF($B$4:B398,B398)&gt;1),"",MAX($AC$3:AC397)+1)</f>
        <v/>
      </c>
      <c r="AD398" s="38" t="str">
        <f t="shared" si="60"/>
        <v/>
      </c>
      <c r="AE398" s="38" t="str">
        <f t="shared" si="61"/>
        <v/>
      </c>
      <c r="AF398" s="38" t="str">
        <f t="shared" si="62"/>
        <v/>
      </c>
    </row>
    <row r="399" spans="1:32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38" t="str">
        <f>IF(OR(A399="Автомат",A399="Дифавтомат"),IF(W399="","",COUNTIFS(Однолинейка!$H$3:$H$3000,U399,Однолинейка!$A$3:$A$3000,Щит_спец)),IF(A399="Аппарат",IF(C399="","",COUNTIFS(Однолинейка!$I$3:$I$3000,C399,Однолинейка!$A$3:$A$3000,Щит_спец)+COUNTIFS(Однолинейка!$J$3:$J$3000,C399,Однолинейка!$A$3:$A$3000,Щит_спец)+COUNTIFS(Однолинейка!$K$3:$K$3000,C399,Однолинейка!$A$3:$A$3000,Щит_спец)),IF(A399="Модуль",IF(C399="","",COUNTIFS(Однолинейка!$AW$3:$AW$3000,"?*",Однолинейка!$AI$3:$AI$3000,C399,Однолинейка!$A$3:$A$3000,Щит_спец)),IF(A399="Клемма",IF(C399="","",IF(C399=$S$7,SUMIFS(Однолинейка!$BW$3:$BW$3000,Однолинейка!$A$3:$A$3000,Щит_спец),IF(C399=$S$8,SUMIFS(Однолинейка!$BX$3:$BX$3000,Однолинейка!$A$3:$A$3000,Щит_спец),""))),""))))</f>
        <v/>
      </c>
      <c r="O399" s="74"/>
      <c r="P399" s="38" t="str">
        <f t="shared" si="54"/>
        <v/>
      </c>
      <c r="U399" s="38" t="str">
        <f t="shared" si="55"/>
        <v/>
      </c>
      <c r="V399" s="38" t="str">
        <f t="shared" si="56"/>
        <v/>
      </c>
      <c r="W399" s="38" t="str">
        <f>IF(AND(U399&lt;&gt;"",OR($S$4="(все)",B399=$S$4),IF($S$4="(все)",COUNTIF($U$4:U399,U399),COUNTIFS($U$4:U399,U399,$B$4:B399,B399))=1),MAX($W$3:W398)+1,"")</f>
        <v/>
      </c>
      <c r="X399" s="38" t="str">
        <f t="shared" si="57"/>
        <v/>
      </c>
      <c r="Y399" s="38" t="str">
        <f>IF(AND(A399="Аппарат",C399&lt;&gt;"",OR($S$5="(все)",B399=$S$5)),MAX($Y$3:Y398)+1,"")</f>
        <v/>
      </c>
      <c r="Z399" s="38" t="str">
        <f t="shared" si="58"/>
        <v/>
      </c>
      <c r="AA399" s="38" t="str">
        <f>IF(AND(A399="Модуль",C399&lt;&gt;"",OR($S$6="(все)",B399=$S$6)),MAX($AA$3:AA398)+1,"")</f>
        <v/>
      </c>
      <c r="AB399" s="38" t="str">
        <f t="shared" si="59"/>
        <v/>
      </c>
      <c r="AC399" s="38" t="str">
        <f>IF(OR(B399="",COUNTIF($B$4:B399,B399)&gt;1),"",MAX($AC$3:AC398)+1)</f>
        <v/>
      </c>
      <c r="AD399" s="38" t="str">
        <f t="shared" si="60"/>
        <v/>
      </c>
      <c r="AE399" s="38" t="str">
        <f t="shared" si="61"/>
        <v/>
      </c>
      <c r="AF399" s="38" t="str">
        <f t="shared" si="62"/>
        <v/>
      </c>
    </row>
    <row r="400" spans="1:32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38" t="str">
        <f>IF(OR(A400="Автомат",A400="Дифавтомат"),IF(W400="","",COUNTIFS(Однолинейка!$H$3:$H$3000,U400,Однолинейка!$A$3:$A$3000,Щит_спец)),IF(A400="Аппарат",IF(C400="","",COUNTIFS(Однолинейка!$I$3:$I$3000,C400,Однолинейка!$A$3:$A$3000,Щит_спец)+COUNTIFS(Однолинейка!$J$3:$J$3000,C400,Однолинейка!$A$3:$A$3000,Щит_спец)+COUNTIFS(Однолинейка!$K$3:$K$3000,C400,Однолинейка!$A$3:$A$3000,Щит_спец)),IF(A400="Модуль",IF(C400="","",COUNTIFS(Однолинейка!$AW$3:$AW$3000,"?*",Однолинейка!$AI$3:$AI$3000,C400,Однолинейка!$A$3:$A$3000,Щит_спец)),IF(A400="Клемма",IF(C400="","",IF(C400=$S$7,SUMIFS(Однолинейка!$BW$3:$BW$3000,Однолинейка!$A$3:$A$3000,Щит_спец),IF(C400=$S$8,SUMIFS(Однолинейка!$BX$3:$BX$3000,Однолинейка!$A$3:$A$3000,Щит_спец),""))),""))))</f>
        <v/>
      </c>
      <c r="O400" s="74"/>
      <c r="P400" s="38" t="str">
        <f t="shared" si="54"/>
        <v/>
      </c>
      <c r="U400" s="38" t="str">
        <f t="shared" si="55"/>
        <v/>
      </c>
      <c r="V400" s="38" t="str">
        <f t="shared" si="56"/>
        <v/>
      </c>
      <c r="W400" s="38" t="str">
        <f>IF(AND(U400&lt;&gt;"",OR($S$4="(все)",B400=$S$4),IF($S$4="(все)",COUNTIF($U$4:U400,U400),COUNTIFS($U$4:U400,U400,$B$4:B400,B400))=1),MAX($W$3:W399)+1,"")</f>
        <v/>
      </c>
      <c r="X400" s="38" t="str">
        <f t="shared" si="57"/>
        <v/>
      </c>
      <c r="Y400" s="38" t="str">
        <f>IF(AND(A400="Аппарат",C400&lt;&gt;"",OR($S$5="(все)",B400=$S$5)),MAX($Y$3:Y399)+1,"")</f>
        <v/>
      </c>
      <c r="Z400" s="38" t="str">
        <f t="shared" si="58"/>
        <v/>
      </c>
      <c r="AA400" s="38" t="str">
        <f>IF(AND(A400="Модуль",C400&lt;&gt;"",OR($S$6="(все)",B400=$S$6)),MAX($AA$3:AA399)+1,"")</f>
        <v/>
      </c>
      <c r="AB400" s="38" t="str">
        <f t="shared" si="59"/>
        <v/>
      </c>
      <c r="AC400" s="38" t="str">
        <f>IF(OR(B400="",COUNTIF($B$4:B400,B400)&gt;1),"",MAX($AC$3:AC399)+1)</f>
        <v/>
      </c>
      <c r="AD400" s="38" t="str">
        <f t="shared" si="60"/>
        <v/>
      </c>
      <c r="AE400" s="38" t="str">
        <f t="shared" si="61"/>
        <v/>
      </c>
      <c r="AF400" s="38" t="str">
        <f t="shared" si="62"/>
        <v/>
      </c>
    </row>
    <row r="401" spans="1:32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38" t="str">
        <f>IF(OR(A401="Автомат",A401="Дифавтомат"),IF(W401="","",COUNTIFS(Однолинейка!$H$3:$H$3000,U401,Однолинейка!$A$3:$A$3000,Щит_спец)),IF(A401="Аппарат",IF(C401="","",COUNTIFS(Однолинейка!$I$3:$I$3000,C401,Однолинейка!$A$3:$A$3000,Щит_спец)+COUNTIFS(Однолинейка!$J$3:$J$3000,C401,Однолинейка!$A$3:$A$3000,Щит_спец)+COUNTIFS(Однолинейка!$K$3:$K$3000,C401,Однолинейка!$A$3:$A$3000,Щит_спец)),IF(A401="Модуль",IF(C401="","",COUNTIFS(Однолинейка!$AW$3:$AW$3000,"?*",Однолинейка!$AI$3:$AI$3000,C401,Однолинейка!$A$3:$A$3000,Щит_спец)),IF(A401="Клемма",IF(C401="","",IF(C401=$S$7,SUMIFS(Однолинейка!$BW$3:$BW$3000,Однолинейка!$A$3:$A$3000,Щит_спец),IF(C401=$S$8,SUMIFS(Однолинейка!$BX$3:$BX$3000,Однолинейка!$A$3:$A$3000,Щит_спец),""))),""))))</f>
        <v/>
      </c>
      <c r="O401" s="74"/>
      <c r="P401" s="38" t="str">
        <f t="shared" si="54"/>
        <v/>
      </c>
      <c r="U401" s="38" t="str">
        <f t="shared" si="55"/>
        <v/>
      </c>
      <c r="V401" s="38" t="str">
        <f t="shared" si="56"/>
        <v/>
      </c>
      <c r="W401" s="38" t="str">
        <f>IF(AND(U401&lt;&gt;"",OR($S$4="(все)",B401=$S$4),IF($S$4="(все)",COUNTIF($U$4:U401,U401),COUNTIFS($U$4:U401,U401,$B$4:B401,B401))=1),MAX($W$3:W400)+1,"")</f>
        <v/>
      </c>
      <c r="X401" s="38" t="str">
        <f t="shared" si="57"/>
        <v/>
      </c>
      <c r="Y401" s="38" t="str">
        <f>IF(AND(A401="Аппарат",C401&lt;&gt;"",OR($S$5="(все)",B401=$S$5)),MAX($Y$3:Y400)+1,"")</f>
        <v/>
      </c>
      <c r="Z401" s="38" t="str">
        <f t="shared" si="58"/>
        <v/>
      </c>
      <c r="AA401" s="38" t="str">
        <f>IF(AND(A401="Модуль",C401&lt;&gt;"",OR($S$6="(все)",B401=$S$6)),MAX($AA$3:AA400)+1,"")</f>
        <v/>
      </c>
      <c r="AB401" s="38" t="str">
        <f t="shared" si="59"/>
        <v/>
      </c>
      <c r="AC401" s="38" t="str">
        <f>IF(OR(B401="",COUNTIF($B$4:B401,B401)&gt;1),"",MAX($AC$3:AC400)+1)</f>
        <v/>
      </c>
      <c r="AD401" s="38" t="str">
        <f t="shared" si="60"/>
        <v/>
      </c>
      <c r="AE401" s="38" t="str">
        <f t="shared" si="61"/>
        <v/>
      </c>
      <c r="AF401" s="38" t="str">
        <f t="shared" si="62"/>
        <v/>
      </c>
    </row>
    <row r="402" spans="1:32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38" t="str">
        <f>IF(OR(A402="Автомат",A402="Дифавтомат"),IF(W402="","",COUNTIFS(Однолинейка!$H$3:$H$3000,U402,Однолинейка!$A$3:$A$3000,Щит_спец)),IF(A402="Аппарат",IF(C402="","",COUNTIFS(Однолинейка!$I$3:$I$3000,C402,Однолинейка!$A$3:$A$3000,Щит_спец)+COUNTIFS(Однолинейка!$J$3:$J$3000,C402,Однолинейка!$A$3:$A$3000,Щит_спец)+COUNTIFS(Однолинейка!$K$3:$K$3000,C402,Однолинейка!$A$3:$A$3000,Щит_спец)),IF(A402="Модуль",IF(C402="","",COUNTIFS(Однолинейка!$AW$3:$AW$3000,"?*",Однолинейка!$AI$3:$AI$3000,C402,Однолинейка!$A$3:$A$3000,Щит_спец)),IF(A402="Клемма",IF(C402="","",IF(C402=$S$7,SUMIFS(Однолинейка!$BW$3:$BW$3000,Однолинейка!$A$3:$A$3000,Щит_спец),IF(C402=$S$8,SUMIFS(Однолинейка!$BX$3:$BX$3000,Однолинейка!$A$3:$A$3000,Щит_спец),""))),""))))</f>
        <v/>
      </c>
      <c r="O402" s="74"/>
      <c r="P402" s="38" t="str">
        <f t="shared" si="54"/>
        <v/>
      </c>
      <c r="U402" s="38" t="str">
        <f t="shared" si="55"/>
        <v/>
      </c>
      <c r="V402" s="38" t="str">
        <f t="shared" si="56"/>
        <v/>
      </c>
      <c r="W402" s="38" t="str">
        <f>IF(AND(U402&lt;&gt;"",OR($S$4="(все)",B402=$S$4),IF($S$4="(все)",COUNTIF($U$4:U402,U402),COUNTIFS($U$4:U402,U402,$B$4:B402,B402))=1),MAX($W$3:W401)+1,"")</f>
        <v/>
      </c>
      <c r="X402" s="38" t="str">
        <f t="shared" si="57"/>
        <v/>
      </c>
      <c r="Y402" s="38" t="str">
        <f>IF(AND(A402="Аппарат",C402&lt;&gt;"",OR($S$5="(все)",B402=$S$5)),MAX($Y$3:Y401)+1,"")</f>
        <v/>
      </c>
      <c r="Z402" s="38" t="str">
        <f t="shared" si="58"/>
        <v/>
      </c>
      <c r="AA402" s="38" t="str">
        <f>IF(AND(A402="Модуль",C402&lt;&gt;"",OR($S$6="(все)",B402=$S$6)),MAX($AA$3:AA401)+1,"")</f>
        <v/>
      </c>
      <c r="AB402" s="38" t="str">
        <f t="shared" si="59"/>
        <v/>
      </c>
      <c r="AC402" s="38" t="str">
        <f>IF(OR(B402="",COUNTIF($B$4:B402,B402)&gt;1),"",MAX($AC$3:AC401)+1)</f>
        <v/>
      </c>
      <c r="AD402" s="38" t="str">
        <f t="shared" si="60"/>
        <v/>
      </c>
      <c r="AE402" s="38" t="str">
        <f t="shared" si="61"/>
        <v/>
      </c>
      <c r="AF402" s="38" t="str">
        <f t="shared" si="62"/>
        <v/>
      </c>
    </row>
    <row r="403" spans="1:32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38" t="str">
        <f>IF(OR(A403="Автомат",A403="Дифавтомат"),IF(W403="","",COUNTIFS(Однолинейка!$H$3:$H$3000,U403,Однолинейка!$A$3:$A$3000,Щит_спец)),IF(A403="Аппарат",IF(C403="","",COUNTIFS(Однолинейка!$I$3:$I$3000,C403,Однолинейка!$A$3:$A$3000,Щит_спец)+COUNTIFS(Однолинейка!$J$3:$J$3000,C403,Однолинейка!$A$3:$A$3000,Щит_спец)+COUNTIFS(Однолинейка!$K$3:$K$3000,C403,Однолинейка!$A$3:$A$3000,Щит_спец)),IF(A403="Модуль",IF(C403="","",COUNTIFS(Однолинейка!$AW$3:$AW$3000,"?*",Однолинейка!$AI$3:$AI$3000,C403,Однолинейка!$A$3:$A$3000,Щит_спец)),IF(A403="Клемма",IF(C403="","",IF(C403=$S$7,SUMIFS(Однолинейка!$BW$3:$BW$3000,Однолинейка!$A$3:$A$3000,Щит_спец),IF(C403=$S$8,SUMIFS(Однолинейка!$BX$3:$BX$3000,Однолинейка!$A$3:$A$3000,Щит_спец),""))),""))))</f>
        <v/>
      </c>
      <c r="O403" s="74"/>
      <c r="P403" s="38" t="str">
        <f t="shared" si="54"/>
        <v/>
      </c>
      <c r="U403" s="38" t="str">
        <f t="shared" si="55"/>
        <v/>
      </c>
      <c r="V403" s="38" t="str">
        <f t="shared" si="56"/>
        <v/>
      </c>
      <c r="W403" s="38" t="str">
        <f>IF(AND(U403&lt;&gt;"",OR($S$4="(все)",B403=$S$4),IF($S$4="(все)",COUNTIF($U$4:U403,U403),COUNTIFS($U$4:U403,U403,$B$4:B403,B403))=1),MAX($W$3:W402)+1,"")</f>
        <v/>
      </c>
      <c r="X403" s="38" t="str">
        <f t="shared" si="57"/>
        <v/>
      </c>
      <c r="Y403" s="38" t="str">
        <f>IF(AND(A403="Аппарат",C403&lt;&gt;"",OR($S$5="(все)",B403=$S$5)),MAX($Y$3:Y402)+1,"")</f>
        <v/>
      </c>
      <c r="Z403" s="38" t="str">
        <f t="shared" si="58"/>
        <v/>
      </c>
      <c r="AA403" s="38" t="str">
        <f>IF(AND(A403="Модуль",C403&lt;&gt;"",OR($S$6="(все)",B403=$S$6)),MAX($AA$3:AA402)+1,"")</f>
        <v/>
      </c>
      <c r="AB403" s="38" t="str">
        <f t="shared" si="59"/>
        <v/>
      </c>
      <c r="AC403" s="38" t="str">
        <f>IF(OR(B403="",COUNTIF($B$4:B403,B403)&gt;1),"",MAX($AC$3:AC402)+1)</f>
        <v/>
      </c>
      <c r="AD403" s="38" t="str">
        <f t="shared" si="60"/>
        <v/>
      </c>
      <c r="AE403" s="38" t="str">
        <f t="shared" si="61"/>
        <v/>
      </c>
      <c r="AF403" s="38" t="str">
        <f t="shared" si="62"/>
        <v/>
      </c>
    </row>
    <row r="404" spans="1:32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38" t="str">
        <f>IF(OR(A404="Автомат",A404="Дифавтомат"),IF(W404="","",COUNTIFS(Однолинейка!$H$3:$H$3000,U404,Однолинейка!$A$3:$A$3000,Щит_спец)),IF(A404="Аппарат",IF(C404="","",COUNTIFS(Однолинейка!$I$3:$I$3000,C404,Однолинейка!$A$3:$A$3000,Щит_спец)+COUNTIFS(Однолинейка!$J$3:$J$3000,C404,Однолинейка!$A$3:$A$3000,Щит_спец)+COUNTIFS(Однолинейка!$K$3:$K$3000,C404,Однолинейка!$A$3:$A$3000,Щит_спец)),IF(A404="Модуль",IF(C404="","",COUNTIFS(Однолинейка!$AW$3:$AW$3000,"?*",Однолинейка!$AI$3:$AI$3000,C404,Однолинейка!$A$3:$A$3000,Щит_спец)),IF(A404="Клемма",IF(C404="","",IF(C404=$S$7,SUMIFS(Однолинейка!$BW$3:$BW$3000,Однолинейка!$A$3:$A$3000,Щит_спец),IF(C404=$S$8,SUMIFS(Однолинейка!$BX$3:$BX$3000,Однолинейка!$A$3:$A$3000,Щит_спец),""))),""))))</f>
        <v/>
      </c>
      <c r="O404" s="74"/>
      <c r="P404" s="38" t="str">
        <f t="shared" si="54"/>
        <v/>
      </c>
      <c r="U404" s="38" t="str">
        <f t="shared" si="55"/>
        <v/>
      </c>
      <c r="V404" s="38" t="str">
        <f t="shared" si="56"/>
        <v/>
      </c>
      <c r="W404" s="38" t="str">
        <f>IF(AND(U404&lt;&gt;"",OR($S$4="(все)",B404=$S$4),IF($S$4="(все)",COUNTIF($U$4:U404,U404),COUNTIFS($U$4:U404,U404,$B$4:B404,B404))=1),MAX($W$3:W403)+1,"")</f>
        <v/>
      </c>
      <c r="X404" s="38" t="str">
        <f t="shared" si="57"/>
        <v/>
      </c>
      <c r="Y404" s="38" t="str">
        <f>IF(AND(A404="Аппарат",C404&lt;&gt;"",OR($S$5="(все)",B404=$S$5)),MAX($Y$3:Y403)+1,"")</f>
        <v/>
      </c>
      <c r="Z404" s="38" t="str">
        <f t="shared" si="58"/>
        <v/>
      </c>
      <c r="AA404" s="38" t="str">
        <f>IF(AND(A404="Модуль",C404&lt;&gt;"",OR($S$6="(все)",B404=$S$6)),MAX($AA$3:AA403)+1,"")</f>
        <v/>
      </c>
      <c r="AB404" s="38" t="str">
        <f t="shared" si="59"/>
        <v/>
      </c>
      <c r="AC404" s="38" t="str">
        <f>IF(OR(B404="",COUNTIF($B$4:B404,B404)&gt;1),"",MAX($AC$3:AC403)+1)</f>
        <v/>
      </c>
      <c r="AD404" s="38" t="str">
        <f t="shared" si="60"/>
        <v/>
      </c>
      <c r="AE404" s="38" t="str">
        <f t="shared" si="61"/>
        <v/>
      </c>
      <c r="AF404" s="38" t="str">
        <f t="shared" si="62"/>
        <v/>
      </c>
    </row>
    <row r="405" spans="1:32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38" t="str">
        <f>IF(OR(A405="Автомат",A405="Дифавтомат"),IF(W405="","",COUNTIFS(Однолинейка!$H$3:$H$3000,U405,Однолинейка!$A$3:$A$3000,Щит_спец)),IF(A405="Аппарат",IF(C405="","",COUNTIFS(Однолинейка!$I$3:$I$3000,C405,Однолинейка!$A$3:$A$3000,Щит_спец)+COUNTIFS(Однолинейка!$J$3:$J$3000,C405,Однолинейка!$A$3:$A$3000,Щит_спец)+COUNTIFS(Однолинейка!$K$3:$K$3000,C405,Однолинейка!$A$3:$A$3000,Щит_спец)),IF(A405="Модуль",IF(C405="","",COUNTIFS(Однолинейка!$AW$3:$AW$3000,"?*",Однолинейка!$AI$3:$AI$3000,C405,Однолинейка!$A$3:$A$3000,Щит_спец)),IF(A405="Клемма",IF(C405="","",IF(C405=$S$7,SUMIFS(Однолинейка!$BW$3:$BW$3000,Однолинейка!$A$3:$A$3000,Щит_спец),IF(C405=$S$8,SUMIFS(Однолинейка!$BX$3:$BX$3000,Однолинейка!$A$3:$A$3000,Щит_спец),""))),""))))</f>
        <v/>
      </c>
      <c r="O405" s="74"/>
      <c r="P405" s="38" t="str">
        <f t="shared" si="54"/>
        <v/>
      </c>
      <c r="U405" s="38" t="str">
        <f t="shared" si="55"/>
        <v/>
      </c>
      <c r="V405" s="38" t="str">
        <f t="shared" si="56"/>
        <v/>
      </c>
      <c r="W405" s="38" t="str">
        <f>IF(AND(U405&lt;&gt;"",OR($S$4="(все)",B405=$S$4),IF($S$4="(все)",COUNTIF($U$4:U405,U405),COUNTIFS($U$4:U405,U405,$B$4:B405,B405))=1),MAX($W$3:W404)+1,"")</f>
        <v/>
      </c>
      <c r="X405" s="38" t="str">
        <f t="shared" si="57"/>
        <v/>
      </c>
      <c r="Y405" s="38" t="str">
        <f>IF(AND(A405="Аппарат",C405&lt;&gt;"",OR($S$5="(все)",B405=$S$5)),MAX($Y$3:Y404)+1,"")</f>
        <v/>
      </c>
      <c r="Z405" s="38" t="str">
        <f t="shared" si="58"/>
        <v/>
      </c>
      <c r="AA405" s="38" t="str">
        <f>IF(AND(A405="Модуль",C405&lt;&gt;"",OR($S$6="(все)",B405=$S$6)),MAX($AA$3:AA404)+1,"")</f>
        <v/>
      </c>
      <c r="AB405" s="38" t="str">
        <f t="shared" si="59"/>
        <v/>
      </c>
      <c r="AC405" s="38" t="str">
        <f>IF(OR(B405="",COUNTIF($B$4:B405,B405)&gt;1),"",MAX($AC$3:AC404)+1)</f>
        <v/>
      </c>
      <c r="AD405" s="38" t="str">
        <f t="shared" si="60"/>
        <v/>
      </c>
      <c r="AE405" s="38" t="str">
        <f t="shared" si="61"/>
        <v/>
      </c>
      <c r="AF405" s="38" t="str">
        <f t="shared" si="62"/>
        <v/>
      </c>
    </row>
    <row r="406" spans="1:32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38" t="str">
        <f>IF(OR(A406="Автомат",A406="Дифавтомат"),IF(W406="","",COUNTIFS(Однолинейка!$H$3:$H$3000,U406,Однолинейка!$A$3:$A$3000,Щит_спец)),IF(A406="Аппарат",IF(C406="","",COUNTIFS(Однолинейка!$I$3:$I$3000,C406,Однолинейка!$A$3:$A$3000,Щит_спец)+COUNTIFS(Однолинейка!$J$3:$J$3000,C406,Однолинейка!$A$3:$A$3000,Щит_спец)+COUNTIFS(Однолинейка!$K$3:$K$3000,C406,Однолинейка!$A$3:$A$3000,Щит_спец)),IF(A406="Модуль",IF(C406="","",COUNTIFS(Однолинейка!$AW$3:$AW$3000,"?*",Однолинейка!$AI$3:$AI$3000,C406,Однолинейка!$A$3:$A$3000,Щит_спец)),IF(A406="Клемма",IF(C406="","",IF(C406=$S$7,SUMIFS(Однолинейка!$BW$3:$BW$3000,Однолинейка!$A$3:$A$3000,Щит_спец),IF(C406=$S$8,SUMIFS(Однолинейка!$BX$3:$BX$3000,Однолинейка!$A$3:$A$3000,Щит_спец),""))),""))))</f>
        <v/>
      </c>
      <c r="O406" s="74"/>
      <c r="P406" s="38" t="str">
        <f t="shared" si="54"/>
        <v/>
      </c>
      <c r="U406" s="38" t="str">
        <f t="shared" si="55"/>
        <v/>
      </c>
      <c r="V406" s="38" t="str">
        <f t="shared" si="56"/>
        <v/>
      </c>
      <c r="W406" s="38" t="str">
        <f>IF(AND(U406&lt;&gt;"",OR($S$4="(все)",B406=$S$4),IF($S$4="(все)",COUNTIF($U$4:U406,U406),COUNTIFS($U$4:U406,U406,$B$4:B406,B406))=1),MAX($W$3:W405)+1,"")</f>
        <v/>
      </c>
      <c r="X406" s="38" t="str">
        <f t="shared" si="57"/>
        <v/>
      </c>
      <c r="Y406" s="38" t="str">
        <f>IF(AND(A406="Аппарат",C406&lt;&gt;"",OR($S$5="(все)",B406=$S$5)),MAX($Y$3:Y405)+1,"")</f>
        <v/>
      </c>
      <c r="Z406" s="38" t="str">
        <f t="shared" si="58"/>
        <v/>
      </c>
      <c r="AA406" s="38" t="str">
        <f>IF(AND(A406="Модуль",C406&lt;&gt;"",OR($S$6="(все)",B406=$S$6)),MAX($AA$3:AA405)+1,"")</f>
        <v/>
      </c>
      <c r="AB406" s="38" t="str">
        <f t="shared" si="59"/>
        <v/>
      </c>
      <c r="AC406" s="38" t="str">
        <f>IF(OR(B406="",COUNTIF($B$4:B406,B406)&gt;1),"",MAX($AC$3:AC405)+1)</f>
        <v/>
      </c>
      <c r="AD406" s="38" t="str">
        <f t="shared" si="60"/>
        <v/>
      </c>
      <c r="AE406" s="38" t="str">
        <f t="shared" si="61"/>
        <v/>
      </c>
      <c r="AF406" s="38" t="str">
        <f t="shared" si="62"/>
        <v/>
      </c>
    </row>
    <row r="407" spans="1:32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38" t="str">
        <f>IF(OR(A407="Автомат",A407="Дифавтомат"),IF(W407="","",COUNTIFS(Однолинейка!$H$3:$H$3000,U407,Однолинейка!$A$3:$A$3000,Щит_спец)),IF(A407="Аппарат",IF(C407="","",COUNTIFS(Однолинейка!$I$3:$I$3000,C407,Однолинейка!$A$3:$A$3000,Щит_спец)+COUNTIFS(Однолинейка!$J$3:$J$3000,C407,Однолинейка!$A$3:$A$3000,Щит_спец)+COUNTIFS(Однолинейка!$K$3:$K$3000,C407,Однолинейка!$A$3:$A$3000,Щит_спец)),IF(A407="Модуль",IF(C407="","",COUNTIFS(Однолинейка!$AW$3:$AW$3000,"?*",Однолинейка!$AI$3:$AI$3000,C407,Однолинейка!$A$3:$A$3000,Щит_спец)),IF(A407="Клемма",IF(C407="","",IF(C407=$S$7,SUMIFS(Однолинейка!$BW$3:$BW$3000,Однолинейка!$A$3:$A$3000,Щит_спец),IF(C407=$S$8,SUMIFS(Однолинейка!$BX$3:$BX$3000,Однолинейка!$A$3:$A$3000,Щит_спец),""))),""))))</f>
        <v/>
      </c>
      <c r="O407" s="74"/>
      <c r="P407" s="38" t="str">
        <f t="shared" si="54"/>
        <v/>
      </c>
      <c r="U407" s="38" t="str">
        <f t="shared" si="55"/>
        <v/>
      </c>
      <c r="V407" s="38" t="str">
        <f t="shared" si="56"/>
        <v/>
      </c>
      <c r="W407" s="38" t="str">
        <f>IF(AND(U407&lt;&gt;"",OR($S$4="(все)",B407=$S$4),IF($S$4="(все)",COUNTIF($U$4:U407,U407),COUNTIFS($U$4:U407,U407,$B$4:B407,B407))=1),MAX($W$3:W406)+1,"")</f>
        <v/>
      </c>
      <c r="X407" s="38" t="str">
        <f t="shared" si="57"/>
        <v/>
      </c>
      <c r="Y407" s="38" t="str">
        <f>IF(AND(A407="Аппарат",C407&lt;&gt;"",OR($S$5="(все)",B407=$S$5)),MAX($Y$3:Y406)+1,"")</f>
        <v/>
      </c>
      <c r="Z407" s="38" t="str">
        <f t="shared" si="58"/>
        <v/>
      </c>
      <c r="AA407" s="38" t="str">
        <f>IF(AND(A407="Модуль",C407&lt;&gt;"",OR($S$6="(все)",B407=$S$6)),MAX($AA$3:AA406)+1,"")</f>
        <v/>
      </c>
      <c r="AB407" s="38" t="str">
        <f t="shared" si="59"/>
        <v/>
      </c>
      <c r="AC407" s="38" t="str">
        <f>IF(OR(B407="",COUNTIF($B$4:B407,B407)&gt;1),"",MAX($AC$3:AC406)+1)</f>
        <v/>
      </c>
      <c r="AD407" s="38" t="str">
        <f t="shared" si="60"/>
        <v/>
      </c>
      <c r="AE407" s="38" t="str">
        <f t="shared" si="61"/>
        <v/>
      </c>
      <c r="AF407" s="38" t="str">
        <f t="shared" si="62"/>
        <v/>
      </c>
    </row>
    <row r="408" spans="1:32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38" t="str">
        <f>IF(OR(A408="Автомат",A408="Дифавтомат"),IF(W408="","",COUNTIFS(Однолинейка!$H$3:$H$3000,U408,Однолинейка!$A$3:$A$3000,Щит_спец)),IF(A408="Аппарат",IF(C408="","",COUNTIFS(Однолинейка!$I$3:$I$3000,C408,Однолинейка!$A$3:$A$3000,Щит_спец)+COUNTIFS(Однолинейка!$J$3:$J$3000,C408,Однолинейка!$A$3:$A$3000,Щит_спец)+COUNTIFS(Однолинейка!$K$3:$K$3000,C408,Однолинейка!$A$3:$A$3000,Щит_спец)),IF(A408="Модуль",IF(C408="","",COUNTIFS(Однолинейка!$AW$3:$AW$3000,"?*",Однолинейка!$AI$3:$AI$3000,C408,Однолинейка!$A$3:$A$3000,Щит_спец)),IF(A408="Клемма",IF(C408="","",IF(C408=$S$7,SUMIFS(Однолинейка!$BW$3:$BW$3000,Однолинейка!$A$3:$A$3000,Щит_спец),IF(C408=$S$8,SUMIFS(Однолинейка!$BX$3:$BX$3000,Однолинейка!$A$3:$A$3000,Щит_спец),""))),""))))</f>
        <v/>
      </c>
      <c r="O408" s="74"/>
      <c r="P408" s="38" t="str">
        <f t="shared" si="54"/>
        <v/>
      </c>
      <c r="U408" s="38" t="str">
        <f t="shared" si="55"/>
        <v/>
      </c>
      <c r="V408" s="38" t="str">
        <f t="shared" si="56"/>
        <v/>
      </c>
      <c r="W408" s="38" t="str">
        <f>IF(AND(U408&lt;&gt;"",OR($S$4="(все)",B408=$S$4),IF($S$4="(все)",COUNTIF($U$4:U408,U408),COUNTIFS($U$4:U408,U408,$B$4:B408,B408))=1),MAX($W$3:W407)+1,"")</f>
        <v/>
      </c>
      <c r="X408" s="38" t="str">
        <f t="shared" si="57"/>
        <v/>
      </c>
      <c r="Y408" s="38" t="str">
        <f>IF(AND(A408="Аппарат",C408&lt;&gt;"",OR($S$5="(все)",B408=$S$5)),MAX($Y$3:Y407)+1,"")</f>
        <v/>
      </c>
      <c r="Z408" s="38" t="str">
        <f t="shared" si="58"/>
        <v/>
      </c>
      <c r="AA408" s="38" t="str">
        <f>IF(AND(A408="Модуль",C408&lt;&gt;"",OR($S$6="(все)",B408=$S$6)),MAX($AA$3:AA407)+1,"")</f>
        <v/>
      </c>
      <c r="AB408" s="38" t="str">
        <f t="shared" si="59"/>
        <v/>
      </c>
      <c r="AC408" s="38" t="str">
        <f>IF(OR(B408="",COUNTIF($B$4:B408,B408)&gt;1),"",MAX($AC$3:AC407)+1)</f>
        <v/>
      </c>
      <c r="AD408" s="38" t="str">
        <f t="shared" si="60"/>
        <v/>
      </c>
      <c r="AE408" s="38" t="str">
        <f t="shared" si="61"/>
        <v/>
      </c>
      <c r="AF408" s="38" t="str">
        <f t="shared" si="62"/>
        <v/>
      </c>
    </row>
    <row r="409" spans="1:32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38" t="str">
        <f>IF(OR(A409="Автомат",A409="Дифавтомат"),IF(W409="","",COUNTIFS(Однолинейка!$H$3:$H$3000,U409,Однолинейка!$A$3:$A$3000,Щит_спец)),IF(A409="Аппарат",IF(C409="","",COUNTIFS(Однолинейка!$I$3:$I$3000,C409,Однолинейка!$A$3:$A$3000,Щит_спец)+COUNTIFS(Однолинейка!$J$3:$J$3000,C409,Однолинейка!$A$3:$A$3000,Щит_спец)+COUNTIFS(Однолинейка!$K$3:$K$3000,C409,Однолинейка!$A$3:$A$3000,Щит_спец)),IF(A409="Модуль",IF(C409="","",COUNTIFS(Однолинейка!$AW$3:$AW$3000,"?*",Однолинейка!$AI$3:$AI$3000,C409,Однолинейка!$A$3:$A$3000,Щит_спец)),IF(A409="Клемма",IF(C409="","",IF(C409=$S$7,SUMIFS(Однолинейка!$BW$3:$BW$3000,Однолинейка!$A$3:$A$3000,Щит_спец),IF(C409=$S$8,SUMIFS(Однолинейка!$BX$3:$BX$3000,Однолинейка!$A$3:$A$3000,Щит_спец),""))),""))))</f>
        <v/>
      </c>
      <c r="O409" s="74"/>
      <c r="P409" s="38" t="str">
        <f t="shared" si="54"/>
        <v/>
      </c>
      <c r="U409" s="38" t="str">
        <f t="shared" si="55"/>
        <v/>
      </c>
      <c r="V409" s="38" t="str">
        <f t="shared" si="56"/>
        <v/>
      </c>
      <c r="W409" s="38" t="str">
        <f>IF(AND(U409&lt;&gt;"",OR($S$4="(все)",B409=$S$4),IF($S$4="(все)",COUNTIF($U$4:U409,U409),COUNTIFS($U$4:U409,U409,$B$4:B409,B409))=1),MAX($W$3:W408)+1,"")</f>
        <v/>
      </c>
      <c r="X409" s="38" t="str">
        <f t="shared" si="57"/>
        <v/>
      </c>
      <c r="Y409" s="38" t="str">
        <f>IF(AND(A409="Аппарат",C409&lt;&gt;"",OR($S$5="(все)",B409=$S$5)),MAX($Y$3:Y408)+1,"")</f>
        <v/>
      </c>
      <c r="Z409" s="38" t="str">
        <f t="shared" si="58"/>
        <v/>
      </c>
      <c r="AA409" s="38" t="str">
        <f>IF(AND(A409="Модуль",C409&lt;&gt;"",OR($S$6="(все)",B409=$S$6)),MAX($AA$3:AA408)+1,"")</f>
        <v/>
      </c>
      <c r="AB409" s="38" t="str">
        <f t="shared" si="59"/>
        <v/>
      </c>
      <c r="AC409" s="38" t="str">
        <f>IF(OR(B409="",COUNTIF($B$4:B409,B409)&gt;1),"",MAX($AC$3:AC408)+1)</f>
        <v/>
      </c>
      <c r="AD409" s="38" t="str">
        <f t="shared" si="60"/>
        <v/>
      </c>
      <c r="AE409" s="38" t="str">
        <f t="shared" si="61"/>
        <v/>
      </c>
      <c r="AF409" s="38" t="str">
        <f t="shared" si="62"/>
        <v/>
      </c>
    </row>
    <row r="410" spans="1:32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38" t="str">
        <f>IF(OR(A410="Автомат",A410="Дифавтомат"),IF(W410="","",COUNTIFS(Однолинейка!$H$3:$H$3000,U410,Однолинейка!$A$3:$A$3000,Щит_спец)),IF(A410="Аппарат",IF(C410="","",COUNTIFS(Однолинейка!$I$3:$I$3000,C410,Однолинейка!$A$3:$A$3000,Щит_спец)+COUNTIFS(Однолинейка!$J$3:$J$3000,C410,Однолинейка!$A$3:$A$3000,Щит_спец)+COUNTIFS(Однолинейка!$K$3:$K$3000,C410,Однолинейка!$A$3:$A$3000,Щит_спец)),IF(A410="Модуль",IF(C410="","",COUNTIFS(Однолинейка!$AW$3:$AW$3000,"?*",Однолинейка!$AI$3:$AI$3000,C410,Однолинейка!$A$3:$A$3000,Щит_спец)),IF(A410="Клемма",IF(C410="","",IF(C410=$S$7,SUMIFS(Однолинейка!$BW$3:$BW$3000,Однолинейка!$A$3:$A$3000,Щит_спец),IF(C410=$S$8,SUMIFS(Однолинейка!$BX$3:$BX$3000,Однолинейка!$A$3:$A$3000,Щит_спец),""))),""))))</f>
        <v/>
      </c>
      <c r="O410" s="74"/>
      <c r="P410" s="38" t="str">
        <f t="shared" si="54"/>
        <v/>
      </c>
      <c r="U410" s="38" t="str">
        <f t="shared" si="55"/>
        <v/>
      </c>
      <c r="V410" s="38" t="str">
        <f t="shared" si="56"/>
        <v/>
      </c>
      <c r="W410" s="38" t="str">
        <f>IF(AND(U410&lt;&gt;"",OR($S$4="(все)",B410=$S$4),IF($S$4="(все)",COUNTIF($U$4:U410,U410),COUNTIFS($U$4:U410,U410,$B$4:B410,B410))=1),MAX($W$3:W409)+1,"")</f>
        <v/>
      </c>
      <c r="X410" s="38" t="str">
        <f t="shared" si="57"/>
        <v/>
      </c>
      <c r="Y410" s="38" t="str">
        <f>IF(AND(A410="Аппарат",C410&lt;&gt;"",OR($S$5="(все)",B410=$S$5)),MAX($Y$3:Y409)+1,"")</f>
        <v/>
      </c>
      <c r="Z410" s="38" t="str">
        <f t="shared" si="58"/>
        <v/>
      </c>
      <c r="AA410" s="38" t="str">
        <f>IF(AND(A410="Модуль",C410&lt;&gt;"",OR($S$6="(все)",B410=$S$6)),MAX($AA$3:AA409)+1,"")</f>
        <v/>
      </c>
      <c r="AB410" s="38" t="str">
        <f t="shared" si="59"/>
        <v/>
      </c>
      <c r="AC410" s="38" t="str">
        <f>IF(OR(B410="",COUNTIF($B$4:B410,B410)&gt;1),"",MAX($AC$3:AC409)+1)</f>
        <v/>
      </c>
      <c r="AD410" s="38" t="str">
        <f t="shared" si="60"/>
        <v/>
      </c>
      <c r="AE410" s="38" t="str">
        <f t="shared" si="61"/>
        <v/>
      </c>
      <c r="AF410" s="38" t="str">
        <f t="shared" si="62"/>
        <v/>
      </c>
    </row>
    <row r="411" spans="1:32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38" t="str">
        <f>IF(OR(A411="Автомат",A411="Дифавтомат"),IF(W411="","",COUNTIFS(Однолинейка!$H$3:$H$3000,U411,Однолинейка!$A$3:$A$3000,Щит_спец)),IF(A411="Аппарат",IF(C411="","",COUNTIFS(Однолинейка!$I$3:$I$3000,C411,Однолинейка!$A$3:$A$3000,Щит_спец)+COUNTIFS(Однолинейка!$J$3:$J$3000,C411,Однолинейка!$A$3:$A$3000,Щит_спец)+COUNTIFS(Однолинейка!$K$3:$K$3000,C411,Однолинейка!$A$3:$A$3000,Щит_спец)),IF(A411="Модуль",IF(C411="","",COUNTIFS(Однолинейка!$AW$3:$AW$3000,"?*",Однолинейка!$AI$3:$AI$3000,C411,Однолинейка!$A$3:$A$3000,Щит_спец)),IF(A411="Клемма",IF(C411="","",IF(C411=$S$7,SUMIFS(Однолинейка!$BW$3:$BW$3000,Однолинейка!$A$3:$A$3000,Щит_спец),IF(C411=$S$8,SUMIFS(Однолинейка!$BX$3:$BX$3000,Однолинейка!$A$3:$A$3000,Щит_спец),""))),""))))</f>
        <v/>
      </c>
      <c r="O411" s="74"/>
      <c r="P411" s="38" t="str">
        <f t="shared" si="54"/>
        <v/>
      </c>
      <c r="U411" s="38" t="str">
        <f t="shared" si="55"/>
        <v/>
      </c>
      <c r="V411" s="38" t="str">
        <f t="shared" si="56"/>
        <v/>
      </c>
      <c r="W411" s="38" t="str">
        <f>IF(AND(U411&lt;&gt;"",OR($S$4="(все)",B411=$S$4),IF($S$4="(все)",COUNTIF($U$4:U411,U411),COUNTIFS($U$4:U411,U411,$B$4:B411,B411))=1),MAX($W$3:W410)+1,"")</f>
        <v/>
      </c>
      <c r="X411" s="38" t="str">
        <f t="shared" si="57"/>
        <v/>
      </c>
      <c r="Y411" s="38" t="str">
        <f>IF(AND(A411="Аппарат",C411&lt;&gt;"",OR($S$5="(все)",B411=$S$5)),MAX($Y$3:Y410)+1,"")</f>
        <v/>
      </c>
      <c r="Z411" s="38" t="str">
        <f t="shared" si="58"/>
        <v/>
      </c>
      <c r="AA411" s="38" t="str">
        <f>IF(AND(A411="Модуль",C411&lt;&gt;"",OR($S$6="(все)",B411=$S$6)),MAX($AA$3:AA410)+1,"")</f>
        <v/>
      </c>
      <c r="AB411" s="38" t="str">
        <f t="shared" si="59"/>
        <v/>
      </c>
      <c r="AC411" s="38" t="str">
        <f>IF(OR(B411="",COUNTIF($B$4:B411,B411)&gt;1),"",MAX($AC$3:AC410)+1)</f>
        <v/>
      </c>
      <c r="AD411" s="38" t="str">
        <f t="shared" si="60"/>
        <v/>
      </c>
      <c r="AE411" s="38" t="str">
        <f t="shared" si="61"/>
        <v/>
      </c>
      <c r="AF411" s="38" t="str">
        <f t="shared" si="62"/>
        <v/>
      </c>
    </row>
    <row r="412" spans="1:32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38" t="str">
        <f>IF(OR(A412="Автомат",A412="Дифавтомат"),IF(W412="","",COUNTIFS(Однолинейка!$H$3:$H$3000,U412,Однолинейка!$A$3:$A$3000,Щит_спец)),IF(A412="Аппарат",IF(C412="","",COUNTIFS(Однолинейка!$I$3:$I$3000,C412,Однолинейка!$A$3:$A$3000,Щит_спец)+COUNTIFS(Однолинейка!$J$3:$J$3000,C412,Однолинейка!$A$3:$A$3000,Щит_спец)+COUNTIFS(Однолинейка!$K$3:$K$3000,C412,Однолинейка!$A$3:$A$3000,Щит_спец)),IF(A412="Модуль",IF(C412="","",COUNTIFS(Однолинейка!$AW$3:$AW$3000,"?*",Однолинейка!$AI$3:$AI$3000,C412,Однолинейка!$A$3:$A$3000,Щит_спец)),IF(A412="Клемма",IF(C412="","",IF(C412=$S$7,SUMIFS(Однолинейка!$BW$3:$BW$3000,Однолинейка!$A$3:$A$3000,Щит_спец),IF(C412=$S$8,SUMIFS(Однолинейка!$BX$3:$BX$3000,Однолинейка!$A$3:$A$3000,Щит_спец),""))),""))))</f>
        <v/>
      </c>
      <c r="O412" s="74"/>
      <c r="P412" s="38" t="str">
        <f t="shared" si="54"/>
        <v/>
      </c>
      <c r="U412" s="38" t="str">
        <f t="shared" si="55"/>
        <v/>
      </c>
      <c r="V412" s="38" t="str">
        <f t="shared" si="56"/>
        <v/>
      </c>
      <c r="W412" s="38" t="str">
        <f>IF(AND(U412&lt;&gt;"",OR($S$4="(все)",B412=$S$4),IF($S$4="(все)",COUNTIF($U$4:U412,U412),COUNTIFS($U$4:U412,U412,$B$4:B412,B412))=1),MAX($W$3:W411)+1,"")</f>
        <v/>
      </c>
      <c r="X412" s="38" t="str">
        <f t="shared" si="57"/>
        <v/>
      </c>
      <c r="Y412" s="38" t="str">
        <f>IF(AND(A412="Аппарат",C412&lt;&gt;"",OR($S$5="(все)",B412=$S$5)),MAX($Y$3:Y411)+1,"")</f>
        <v/>
      </c>
      <c r="Z412" s="38" t="str">
        <f t="shared" si="58"/>
        <v/>
      </c>
      <c r="AA412" s="38" t="str">
        <f>IF(AND(A412="Модуль",C412&lt;&gt;"",OR($S$6="(все)",B412=$S$6)),MAX($AA$3:AA411)+1,"")</f>
        <v/>
      </c>
      <c r="AB412" s="38" t="str">
        <f t="shared" si="59"/>
        <v/>
      </c>
      <c r="AC412" s="38" t="str">
        <f>IF(OR(B412="",COUNTIF($B$4:B412,B412)&gt;1),"",MAX($AC$3:AC411)+1)</f>
        <v/>
      </c>
      <c r="AD412" s="38" t="str">
        <f t="shared" si="60"/>
        <v/>
      </c>
      <c r="AE412" s="38" t="str">
        <f t="shared" si="61"/>
        <v/>
      </c>
      <c r="AF412" s="38" t="str">
        <f t="shared" si="62"/>
        <v/>
      </c>
    </row>
    <row r="413" spans="1:32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38" t="str">
        <f>IF(OR(A413="Автомат",A413="Дифавтомат"),IF(W413="","",COUNTIFS(Однолинейка!$H$3:$H$3000,U413,Однолинейка!$A$3:$A$3000,Щит_спец)),IF(A413="Аппарат",IF(C413="","",COUNTIFS(Однолинейка!$I$3:$I$3000,C413,Однолинейка!$A$3:$A$3000,Щит_спец)+COUNTIFS(Однолинейка!$J$3:$J$3000,C413,Однолинейка!$A$3:$A$3000,Щит_спец)+COUNTIFS(Однолинейка!$K$3:$K$3000,C413,Однолинейка!$A$3:$A$3000,Щит_спец)),IF(A413="Модуль",IF(C413="","",COUNTIFS(Однолинейка!$AW$3:$AW$3000,"?*",Однолинейка!$AI$3:$AI$3000,C413,Однолинейка!$A$3:$A$3000,Щит_спец)),IF(A413="Клемма",IF(C413="","",IF(C413=$S$7,SUMIFS(Однолинейка!$BW$3:$BW$3000,Однолинейка!$A$3:$A$3000,Щит_спец),IF(C413=$S$8,SUMIFS(Однолинейка!$BX$3:$BX$3000,Однолинейка!$A$3:$A$3000,Щит_спец),""))),""))))</f>
        <v/>
      </c>
      <c r="O413" s="74"/>
      <c r="P413" s="38" t="str">
        <f t="shared" si="54"/>
        <v/>
      </c>
      <c r="U413" s="38" t="str">
        <f t="shared" si="55"/>
        <v/>
      </c>
      <c r="V413" s="38" t="str">
        <f t="shared" si="56"/>
        <v/>
      </c>
      <c r="W413" s="38" t="str">
        <f>IF(AND(U413&lt;&gt;"",OR($S$4="(все)",B413=$S$4),IF($S$4="(все)",COUNTIF($U$4:U413,U413),COUNTIFS($U$4:U413,U413,$B$4:B413,B413))=1),MAX($W$3:W412)+1,"")</f>
        <v/>
      </c>
      <c r="X413" s="38" t="str">
        <f t="shared" si="57"/>
        <v/>
      </c>
      <c r="Y413" s="38" t="str">
        <f>IF(AND(A413="Аппарат",C413&lt;&gt;"",OR($S$5="(все)",B413=$S$5)),MAX($Y$3:Y412)+1,"")</f>
        <v/>
      </c>
      <c r="Z413" s="38" t="str">
        <f t="shared" si="58"/>
        <v/>
      </c>
      <c r="AA413" s="38" t="str">
        <f>IF(AND(A413="Модуль",C413&lt;&gt;"",OR($S$6="(все)",B413=$S$6)),MAX($AA$3:AA412)+1,"")</f>
        <v/>
      </c>
      <c r="AB413" s="38" t="str">
        <f t="shared" si="59"/>
        <v/>
      </c>
      <c r="AC413" s="38" t="str">
        <f>IF(OR(B413="",COUNTIF($B$4:B413,B413)&gt;1),"",MAX($AC$3:AC412)+1)</f>
        <v/>
      </c>
      <c r="AD413" s="38" t="str">
        <f t="shared" si="60"/>
        <v/>
      </c>
      <c r="AE413" s="38" t="str">
        <f t="shared" si="61"/>
        <v/>
      </c>
      <c r="AF413" s="38" t="str">
        <f t="shared" si="62"/>
        <v/>
      </c>
    </row>
    <row r="414" spans="1:32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38" t="str">
        <f>IF(OR(A414="Автомат",A414="Дифавтомат"),IF(W414="","",COUNTIFS(Однолинейка!$H$3:$H$3000,U414,Однолинейка!$A$3:$A$3000,Щит_спец)),IF(A414="Аппарат",IF(C414="","",COUNTIFS(Однолинейка!$I$3:$I$3000,C414,Однолинейка!$A$3:$A$3000,Щит_спец)+COUNTIFS(Однолинейка!$J$3:$J$3000,C414,Однолинейка!$A$3:$A$3000,Щит_спец)+COUNTIFS(Однолинейка!$K$3:$K$3000,C414,Однолинейка!$A$3:$A$3000,Щит_спец)),IF(A414="Модуль",IF(C414="","",COUNTIFS(Однолинейка!$AW$3:$AW$3000,"?*",Однолинейка!$AI$3:$AI$3000,C414,Однолинейка!$A$3:$A$3000,Щит_спец)),IF(A414="Клемма",IF(C414="","",IF(C414=$S$7,SUMIFS(Однолинейка!$BW$3:$BW$3000,Однолинейка!$A$3:$A$3000,Щит_спец),IF(C414=$S$8,SUMIFS(Однолинейка!$BX$3:$BX$3000,Однолинейка!$A$3:$A$3000,Щит_спец),""))),""))))</f>
        <v/>
      </c>
      <c r="O414" s="74"/>
      <c r="P414" s="38" t="str">
        <f t="shared" si="54"/>
        <v/>
      </c>
      <c r="U414" s="38" t="str">
        <f t="shared" si="55"/>
        <v/>
      </c>
      <c r="V414" s="38" t="str">
        <f t="shared" si="56"/>
        <v/>
      </c>
      <c r="W414" s="38" t="str">
        <f>IF(AND(U414&lt;&gt;"",OR($S$4="(все)",B414=$S$4),IF($S$4="(все)",COUNTIF($U$4:U414,U414),COUNTIFS($U$4:U414,U414,$B$4:B414,B414))=1),MAX($W$3:W413)+1,"")</f>
        <v/>
      </c>
      <c r="X414" s="38" t="str">
        <f t="shared" si="57"/>
        <v/>
      </c>
      <c r="Y414" s="38" t="str">
        <f>IF(AND(A414="Аппарат",C414&lt;&gt;"",OR($S$5="(все)",B414=$S$5)),MAX($Y$3:Y413)+1,"")</f>
        <v/>
      </c>
      <c r="Z414" s="38" t="str">
        <f t="shared" si="58"/>
        <v/>
      </c>
      <c r="AA414" s="38" t="str">
        <f>IF(AND(A414="Модуль",C414&lt;&gt;"",OR($S$6="(все)",B414=$S$6)),MAX($AA$3:AA413)+1,"")</f>
        <v/>
      </c>
      <c r="AB414" s="38" t="str">
        <f t="shared" si="59"/>
        <v/>
      </c>
      <c r="AC414" s="38" t="str">
        <f>IF(OR(B414="",COUNTIF($B$4:B414,B414)&gt;1),"",MAX($AC$3:AC413)+1)</f>
        <v/>
      </c>
      <c r="AD414" s="38" t="str">
        <f t="shared" si="60"/>
        <v/>
      </c>
      <c r="AE414" s="38" t="str">
        <f t="shared" si="61"/>
        <v/>
      </c>
      <c r="AF414" s="38" t="str">
        <f t="shared" si="62"/>
        <v/>
      </c>
    </row>
    <row r="415" spans="1:32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38" t="str">
        <f>IF(OR(A415="Автомат",A415="Дифавтомат"),IF(W415="","",COUNTIFS(Однолинейка!$H$3:$H$3000,U415,Однолинейка!$A$3:$A$3000,Щит_спец)),IF(A415="Аппарат",IF(C415="","",COUNTIFS(Однолинейка!$I$3:$I$3000,C415,Однолинейка!$A$3:$A$3000,Щит_спец)+COUNTIFS(Однолинейка!$J$3:$J$3000,C415,Однолинейка!$A$3:$A$3000,Щит_спец)+COUNTIFS(Однолинейка!$K$3:$K$3000,C415,Однолинейка!$A$3:$A$3000,Щит_спец)),IF(A415="Модуль",IF(C415="","",COUNTIFS(Однолинейка!$AW$3:$AW$3000,"?*",Однолинейка!$AI$3:$AI$3000,C415,Однолинейка!$A$3:$A$3000,Щит_спец)),IF(A415="Клемма",IF(C415="","",IF(C415=$S$7,SUMIFS(Однолинейка!$BW$3:$BW$3000,Однолинейка!$A$3:$A$3000,Щит_спец),IF(C415=$S$8,SUMIFS(Однолинейка!$BX$3:$BX$3000,Однолинейка!$A$3:$A$3000,Щит_спец),""))),""))))</f>
        <v/>
      </c>
      <c r="O415" s="74"/>
      <c r="P415" s="38" t="str">
        <f t="shared" si="54"/>
        <v/>
      </c>
      <c r="U415" s="38" t="str">
        <f t="shared" si="55"/>
        <v/>
      </c>
      <c r="V415" s="38" t="str">
        <f t="shared" si="56"/>
        <v/>
      </c>
      <c r="W415" s="38" t="str">
        <f>IF(AND(U415&lt;&gt;"",OR($S$4="(все)",B415=$S$4),IF($S$4="(все)",COUNTIF($U$4:U415,U415),COUNTIFS($U$4:U415,U415,$B$4:B415,B415))=1),MAX($W$3:W414)+1,"")</f>
        <v/>
      </c>
      <c r="X415" s="38" t="str">
        <f t="shared" si="57"/>
        <v/>
      </c>
      <c r="Y415" s="38" t="str">
        <f>IF(AND(A415="Аппарат",C415&lt;&gt;"",OR($S$5="(все)",B415=$S$5)),MAX($Y$3:Y414)+1,"")</f>
        <v/>
      </c>
      <c r="Z415" s="38" t="str">
        <f t="shared" si="58"/>
        <v/>
      </c>
      <c r="AA415" s="38" t="str">
        <f>IF(AND(A415="Модуль",C415&lt;&gt;"",OR($S$6="(все)",B415=$S$6)),MAX($AA$3:AA414)+1,"")</f>
        <v/>
      </c>
      <c r="AB415" s="38" t="str">
        <f t="shared" si="59"/>
        <v/>
      </c>
      <c r="AC415" s="38" t="str">
        <f>IF(OR(B415="",COUNTIF($B$4:B415,B415)&gt;1),"",MAX($AC$3:AC414)+1)</f>
        <v/>
      </c>
      <c r="AD415" s="38" t="str">
        <f t="shared" si="60"/>
        <v/>
      </c>
      <c r="AE415" s="38" t="str">
        <f t="shared" si="61"/>
        <v/>
      </c>
      <c r="AF415" s="38" t="str">
        <f t="shared" si="62"/>
        <v/>
      </c>
    </row>
    <row r="416" spans="1:32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38" t="str">
        <f>IF(OR(A416="Автомат",A416="Дифавтомат"),IF(W416="","",COUNTIFS(Однолинейка!$H$3:$H$3000,U416,Однолинейка!$A$3:$A$3000,Щит_спец)),IF(A416="Аппарат",IF(C416="","",COUNTIFS(Однолинейка!$I$3:$I$3000,C416,Однолинейка!$A$3:$A$3000,Щит_спец)+COUNTIFS(Однолинейка!$J$3:$J$3000,C416,Однолинейка!$A$3:$A$3000,Щит_спец)+COUNTIFS(Однолинейка!$K$3:$K$3000,C416,Однолинейка!$A$3:$A$3000,Щит_спец)),IF(A416="Модуль",IF(C416="","",COUNTIFS(Однолинейка!$AW$3:$AW$3000,"?*",Однолинейка!$AI$3:$AI$3000,C416,Однолинейка!$A$3:$A$3000,Щит_спец)),IF(A416="Клемма",IF(C416="","",IF(C416=$S$7,SUMIFS(Однолинейка!$BW$3:$BW$3000,Однолинейка!$A$3:$A$3000,Щит_спец),IF(C416=$S$8,SUMIFS(Однолинейка!$BX$3:$BX$3000,Однолинейка!$A$3:$A$3000,Щит_спец),""))),""))))</f>
        <v/>
      </c>
      <c r="O416" s="74"/>
      <c r="P416" s="38" t="str">
        <f t="shared" si="54"/>
        <v/>
      </c>
      <c r="U416" s="38" t="str">
        <f t="shared" si="55"/>
        <v/>
      </c>
      <c r="V416" s="38" t="str">
        <f t="shared" si="56"/>
        <v/>
      </c>
      <c r="W416" s="38" t="str">
        <f>IF(AND(U416&lt;&gt;"",OR($S$4="(все)",B416=$S$4),IF($S$4="(все)",COUNTIF($U$4:U416,U416),COUNTIFS($U$4:U416,U416,$B$4:B416,B416))=1),MAX($W$3:W415)+1,"")</f>
        <v/>
      </c>
      <c r="X416" s="38" t="str">
        <f t="shared" si="57"/>
        <v/>
      </c>
      <c r="Y416" s="38" t="str">
        <f>IF(AND(A416="Аппарат",C416&lt;&gt;"",OR($S$5="(все)",B416=$S$5)),MAX($Y$3:Y415)+1,"")</f>
        <v/>
      </c>
      <c r="Z416" s="38" t="str">
        <f t="shared" si="58"/>
        <v/>
      </c>
      <c r="AA416" s="38" t="str">
        <f>IF(AND(A416="Модуль",C416&lt;&gt;"",OR($S$6="(все)",B416=$S$6)),MAX($AA$3:AA415)+1,"")</f>
        <v/>
      </c>
      <c r="AB416" s="38" t="str">
        <f t="shared" si="59"/>
        <v/>
      </c>
      <c r="AC416" s="38" t="str">
        <f>IF(OR(B416="",COUNTIF($B$4:B416,B416)&gt;1),"",MAX($AC$3:AC415)+1)</f>
        <v/>
      </c>
      <c r="AD416" s="38" t="str">
        <f t="shared" si="60"/>
        <v/>
      </c>
      <c r="AE416" s="38" t="str">
        <f t="shared" si="61"/>
        <v/>
      </c>
      <c r="AF416" s="38" t="str">
        <f t="shared" si="62"/>
        <v/>
      </c>
    </row>
    <row r="417" spans="1:32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38" t="str">
        <f>IF(OR(A417="Автомат",A417="Дифавтомат"),IF(W417="","",COUNTIFS(Однолинейка!$H$3:$H$3000,U417,Однолинейка!$A$3:$A$3000,Щит_спец)),IF(A417="Аппарат",IF(C417="","",COUNTIFS(Однолинейка!$I$3:$I$3000,C417,Однолинейка!$A$3:$A$3000,Щит_спец)+COUNTIFS(Однолинейка!$J$3:$J$3000,C417,Однолинейка!$A$3:$A$3000,Щит_спец)+COUNTIFS(Однолинейка!$K$3:$K$3000,C417,Однолинейка!$A$3:$A$3000,Щит_спец)),IF(A417="Модуль",IF(C417="","",COUNTIFS(Однолинейка!$AW$3:$AW$3000,"?*",Однолинейка!$AI$3:$AI$3000,C417,Однолинейка!$A$3:$A$3000,Щит_спец)),IF(A417="Клемма",IF(C417="","",IF(C417=$S$7,SUMIFS(Однолинейка!$BW$3:$BW$3000,Однолинейка!$A$3:$A$3000,Щит_спец),IF(C417=$S$8,SUMIFS(Однолинейка!$BX$3:$BX$3000,Однолинейка!$A$3:$A$3000,Щит_спец),""))),""))))</f>
        <v/>
      </c>
      <c r="O417" s="74"/>
      <c r="P417" s="38" t="str">
        <f t="shared" si="54"/>
        <v/>
      </c>
      <c r="U417" s="38" t="str">
        <f t="shared" si="55"/>
        <v/>
      </c>
      <c r="V417" s="38" t="str">
        <f t="shared" si="56"/>
        <v/>
      </c>
      <c r="W417" s="38" t="str">
        <f>IF(AND(U417&lt;&gt;"",OR($S$4="(все)",B417=$S$4),IF($S$4="(все)",COUNTIF($U$4:U417,U417),COUNTIFS($U$4:U417,U417,$B$4:B417,B417))=1),MAX($W$3:W416)+1,"")</f>
        <v/>
      </c>
      <c r="X417" s="38" t="str">
        <f t="shared" si="57"/>
        <v/>
      </c>
      <c r="Y417" s="38" t="str">
        <f>IF(AND(A417="Аппарат",C417&lt;&gt;"",OR($S$5="(все)",B417=$S$5)),MAX($Y$3:Y416)+1,"")</f>
        <v/>
      </c>
      <c r="Z417" s="38" t="str">
        <f t="shared" si="58"/>
        <v/>
      </c>
      <c r="AA417" s="38" t="str">
        <f>IF(AND(A417="Модуль",C417&lt;&gt;"",OR($S$6="(все)",B417=$S$6)),MAX($AA$3:AA416)+1,"")</f>
        <v/>
      </c>
      <c r="AB417" s="38" t="str">
        <f t="shared" si="59"/>
        <v/>
      </c>
      <c r="AC417" s="38" t="str">
        <f>IF(OR(B417="",COUNTIF($B$4:B417,B417)&gt;1),"",MAX($AC$3:AC416)+1)</f>
        <v/>
      </c>
      <c r="AD417" s="38" t="str">
        <f t="shared" si="60"/>
        <v/>
      </c>
      <c r="AE417" s="38" t="str">
        <f t="shared" si="61"/>
        <v/>
      </c>
      <c r="AF417" s="38" t="str">
        <f t="shared" si="62"/>
        <v/>
      </c>
    </row>
    <row r="418" spans="1:32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38" t="str">
        <f>IF(OR(A418="Автомат",A418="Дифавтомат"),IF(W418="","",COUNTIFS(Однолинейка!$H$3:$H$3000,U418,Однолинейка!$A$3:$A$3000,Щит_спец)),IF(A418="Аппарат",IF(C418="","",COUNTIFS(Однолинейка!$I$3:$I$3000,C418,Однолинейка!$A$3:$A$3000,Щит_спец)+COUNTIFS(Однолинейка!$J$3:$J$3000,C418,Однолинейка!$A$3:$A$3000,Щит_спец)+COUNTIFS(Однолинейка!$K$3:$K$3000,C418,Однолинейка!$A$3:$A$3000,Щит_спец)),IF(A418="Модуль",IF(C418="","",COUNTIFS(Однолинейка!$AW$3:$AW$3000,"?*",Однолинейка!$AI$3:$AI$3000,C418,Однолинейка!$A$3:$A$3000,Щит_спец)),IF(A418="Клемма",IF(C418="","",IF(C418=$S$7,SUMIFS(Однолинейка!$BW$3:$BW$3000,Однолинейка!$A$3:$A$3000,Щит_спец),IF(C418=$S$8,SUMIFS(Однолинейка!$BX$3:$BX$3000,Однолинейка!$A$3:$A$3000,Щит_спец),""))),""))))</f>
        <v/>
      </c>
      <c r="O418" s="74"/>
      <c r="P418" s="38" t="str">
        <f t="shared" si="54"/>
        <v/>
      </c>
      <c r="U418" s="38" t="str">
        <f t="shared" si="55"/>
        <v/>
      </c>
      <c r="V418" s="38" t="str">
        <f t="shared" si="56"/>
        <v/>
      </c>
      <c r="W418" s="38" t="str">
        <f>IF(AND(U418&lt;&gt;"",OR($S$4="(все)",B418=$S$4),IF($S$4="(все)",COUNTIF($U$4:U418,U418),COUNTIFS($U$4:U418,U418,$B$4:B418,B418))=1),MAX($W$3:W417)+1,"")</f>
        <v/>
      </c>
      <c r="X418" s="38" t="str">
        <f t="shared" si="57"/>
        <v/>
      </c>
      <c r="Y418" s="38" t="str">
        <f>IF(AND(A418="Аппарат",C418&lt;&gt;"",OR($S$5="(все)",B418=$S$5)),MAX($Y$3:Y417)+1,"")</f>
        <v/>
      </c>
      <c r="Z418" s="38" t="str">
        <f t="shared" si="58"/>
        <v/>
      </c>
      <c r="AA418" s="38" t="str">
        <f>IF(AND(A418="Модуль",C418&lt;&gt;"",OR($S$6="(все)",B418=$S$6)),MAX($AA$3:AA417)+1,"")</f>
        <v/>
      </c>
      <c r="AB418" s="38" t="str">
        <f t="shared" si="59"/>
        <v/>
      </c>
      <c r="AC418" s="38" t="str">
        <f>IF(OR(B418="",COUNTIF($B$4:B418,B418)&gt;1),"",MAX($AC$3:AC417)+1)</f>
        <v/>
      </c>
      <c r="AD418" s="38" t="str">
        <f t="shared" si="60"/>
        <v/>
      </c>
      <c r="AE418" s="38" t="str">
        <f t="shared" si="61"/>
        <v/>
      </c>
      <c r="AF418" s="38" t="str">
        <f t="shared" si="62"/>
        <v/>
      </c>
    </row>
    <row r="419" spans="1:32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38" t="str">
        <f>IF(OR(A419="Автомат",A419="Дифавтомат"),IF(W419="","",COUNTIFS(Однолинейка!$H$3:$H$3000,U419,Однолинейка!$A$3:$A$3000,Щит_спец)),IF(A419="Аппарат",IF(C419="","",COUNTIFS(Однолинейка!$I$3:$I$3000,C419,Однолинейка!$A$3:$A$3000,Щит_спец)+COUNTIFS(Однолинейка!$J$3:$J$3000,C419,Однолинейка!$A$3:$A$3000,Щит_спец)+COUNTIFS(Однолинейка!$K$3:$K$3000,C419,Однолинейка!$A$3:$A$3000,Щит_спец)),IF(A419="Модуль",IF(C419="","",COUNTIFS(Однолинейка!$AW$3:$AW$3000,"?*",Однолинейка!$AI$3:$AI$3000,C419,Однолинейка!$A$3:$A$3000,Щит_спец)),IF(A419="Клемма",IF(C419="","",IF(C419=$S$7,SUMIFS(Однолинейка!$BW$3:$BW$3000,Однолинейка!$A$3:$A$3000,Щит_спец),IF(C419=$S$8,SUMIFS(Однолинейка!$BX$3:$BX$3000,Однолинейка!$A$3:$A$3000,Щит_спец),""))),""))))</f>
        <v/>
      </c>
      <c r="O419" s="74"/>
      <c r="P419" s="38" t="str">
        <f t="shared" si="54"/>
        <v/>
      </c>
      <c r="U419" s="38" t="str">
        <f t="shared" si="55"/>
        <v/>
      </c>
      <c r="V419" s="38" t="str">
        <f t="shared" si="56"/>
        <v/>
      </c>
      <c r="W419" s="38" t="str">
        <f>IF(AND(U419&lt;&gt;"",OR($S$4="(все)",B419=$S$4),IF($S$4="(все)",COUNTIF($U$4:U419,U419),COUNTIFS($U$4:U419,U419,$B$4:B419,B419))=1),MAX($W$3:W418)+1,"")</f>
        <v/>
      </c>
      <c r="X419" s="38" t="str">
        <f t="shared" si="57"/>
        <v/>
      </c>
      <c r="Y419" s="38" t="str">
        <f>IF(AND(A419="Аппарат",C419&lt;&gt;"",OR($S$5="(все)",B419=$S$5)),MAX($Y$3:Y418)+1,"")</f>
        <v/>
      </c>
      <c r="Z419" s="38" t="str">
        <f t="shared" si="58"/>
        <v/>
      </c>
      <c r="AA419" s="38" t="str">
        <f>IF(AND(A419="Модуль",C419&lt;&gt;"",OR($S$6="(все)",B419=$S$6)),MAX($AA$3:AA418)+1,"")</f>
        <v/>
      </c>
      <c r="AB419" s="38" t="str">
        <f t="shared" si="59"/>
        <v/>
      </c>
      <c r="AC419" s="38" t="str">
        <f>IF(OR(B419="",COUNTIF($B$4:B419,B419)&gt;1),"",MAX($AC$3:AC418)+1)</f>
        <v/>
      </c>
      <c r="AD419" s="38" t="str">
        <f t="shared" si="60"/>
        <v/>
      </c>
      <c r="AE419" s="38" t="str">
        <f t="shared" si="61"/>
        <v/>
      </c>
      <c r="AF419" s="38" t="str">
        <f t="shared" si="62"/>
        <v/>
      </c>
    </row>
    <row r="420" spans="1:32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38" t="str">
        <f>IF(OR(A420="Автомат",A420="Дифавтомат"),IF(W420="","",COUNTIFS(Однолинейка!$H$3:$H$3000,U420,Однолинейка!$A$3:$A$3000,Щит_спец)),IF(A420="Аппарат",IF(C420="","",COUNTIFS(Однолинейка!$I$3:$I$3000,C420,Однолинейка!$A$3:$A$3000,Щит_спец)+COUNTIFS(Однолинейка!$J$3:$J$3000,C420,Однолинейка!$A$3:$A$3000,Щит_спец)+COUNTIFS(Однолинейка!$K$3:$K$3000,C420,Однолинейка!$A$3:$A$3000,Щит_спец)),IF(A420="Модуль",IF(C420="","",COUNTIFS(Однолинейка!$AW$3:$AW$3000,"?*",Однолинейка!$AI$3:$AI$3000,C420,Однолинейка!$A$3:$A$3000,Щит_спец)),IF(A420="Клемма",IF(C420="","",IF(C420=$S$7,SUMIFS(Однолинейка!$BW$3:$BW$3000,Однолинейка!$A$3:$A$3000,Щит_спец),IF(C420=$S$8,SUMIFS(Однолинейка!$BX$3:$BX$3000,Однолинейка!$A$3:$A$3000,Щит_спец),""))),""))))</f>
        <v/>
      </c>
      <c r="O420" s="74"/>
      <c r="P420" s="38" t="str">
        <f t="shared" si="54"/>
        <v/>
      </c>
      <c r="U420" s="38" t="str">
        <f t="shared" si="55"/>
        <v/>
      </c>
      <c r="V420" s="38" t="str">
        <f t="shared" si="56"/>
        <v/>
      </c>
      <c r="W420" s="38" t="str">
        <f>IF(AND(U420&lt;&gt;"",OR($S$4="(все)",B420=$S$4),IF($S$4="(все)",COUNTIF($U$4:U420,U420),COUNTIFS($U$4:U420,U420,$B$4:B420,B420))=1),MAX($W$3:W419)+1,"")</f>
        <v/>
      </c>
      <c r="X420" s="38" t="str">
        <f t="shared" si="57"/>
        <v/>
      </c>
      <c r="Y420" s="38" t="str">
        <f>IF(AND(A420="Аппарат",C420&lt;&gt;"",OR($S$5="(все)",B420=$S$5)),MAX($Y$3:Y419)+1,"")</f>
        <v/>
      </c>
      <c r="Z420" s="38" t="str">
        <f t="shared" si="58"/>
        <v/>
      </c>
      <c r="AA420" s="38" t="str">
        <f>IF(AND(A420="Модуль",C420&lt;&gt;"",OR($S$6="(все)",B420=$S$6)),MAX($AA$3:AA419)+1,"")</f>
        <v/>
      </c>
      <c r="AB420" s="38" t="str">
        <f t="shared" si="59"/>
        <v/>
      </c>
      <c r="AC420" s="38" t="str">
        <f>IF(OR(B420="",COUNTIF($B$4:B420,B420)&gt;1),"",MAX($AC$3:AC419)+1)</f>
        <v/>
      </c>
      <c r="AD420" s="38" t="str">
        <f t="shared" si="60"/>
        <v/>
      </c>
      <c r="AE420" s="38" t="str">
        <f t="shared" si="61"/>
        <v/>
      </c>
      <c r="AF420" s="38" t="str">
        <f t="shared" si="62"/>
        <v/>
      </c>
    </row>
    <row r="421" spans="1:32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38" t="str">
        <f>IF(OR(A421="Автомат",A421="Дифавтомат"),IF(W421="","",COUNTIFS(Однолинейка!$H$3:$H$3000,U421,Однолинейка!$A$3:$A$3000,Щит_спец)),IF(A421="Аппарат",IF(C421="","",COUNTIFS(Однолинейка!$I$3:$I$3000,C421,Однолинейка!$A$3:$A$3000,Щит_спец)+COUNTIFS(Однолинейка!$J$3:$J$3000,C421,Однолинейка!$A$3:$A$3000,Щит_спец)+COUNTIFS(Однолинейка!$K$3:$K$3000,C421,Однолинейка!$A$3:$A$3000,Щит_спец)),IF(A421="Модуль",IF(C421="","",COUNTIFS(Однолинейка!$AW$3:$AW$3000,"?*",Однолинейка!$AI$3:$AI$3000,C421,Однолинейка!$A$3:$A$3000,Щит_спец)),IF(A421="Клемма",IF(C421="","",IF(C421=$S$7,SUMIFS(Однолинейка!$BW$3:$BW$3000,Однолинейка!$A$3:$A$3000,Щит_спец),IF(C421=$S$8,SUMIFS(Однолинейка!$BX$3:$BX$3000,Однолинейка!$A$3:$A$3000,Щит_спец),""))),""))))</f>
        <v/>
      </c>
      <c r="O421" s="74"/>
      <c r="P421" s="38" t="str">
        <f t="shared" si="54"/>
        <v/>
      </c>
      <c r="U421" s="38" t="str">
        <f t="shared" si="55"/>
        <v/>
      </c>
      <c r="V421" s="38" t="str">
        <f t="shared" si="56"/>
        <v/>
      </c>
      <c r="W421" s="38" t="str">
        <f>IF(AND(U421&lt;&gt;"",OR($S$4="(все)",B421=$S$4),IF($S$4="(все)",COUNTIF($U$4:U421,U421),COUNTIFS($U$4:U421,U421,$B$4:B421,B421))=1),MAX($W$3:W420)+1,"")</f>
        <v/>
      </c>
      <c r="X421" s="38" t="str">
        <f t="shared" si="57"/>
        <v/>
      </c>
      <c r="Y421" s="38" t="str">
        <f>IF(AND(A421="Аппарат",C421&lt;&gt;"",OR($S$5="(все)",B421=$S$5)),MAX($Y$3:Y420)+1,"")</f>
        <v/>
      </c>
      <c r="Z421" s="38" t="str">
        <f t="shared" si="58"/>
        <v/>
      </c>
      <c r="AA421" s="38" t="str">
        <f>IF(AND(A421="Модуль",C421&lt;&gt;"",OR($S$6="(все)",B421=$S$6)),MAX($AA$3:AA420)+1,"")</f>
        <v/>
      </c>
      <c r="AB421" s="38" t="str">
        <f t="shared" si="59"/>
        <v/>
      </c>
      <c r="AC421" s="38" t="str">
        <f>IF(OR(B421="",COUNTIF($B$4:B421,B421)&gt;1),"",MAX($AC$3:AC420)+1)</f>
        <v/>
      </c>
      <c r="AD421" s="38" t="str">
        <f t="shared" si="60"/>
        <v/>
      </c>
      <c r="AE421" s="38" t="str">
        <f t="shared" si="61"/>
        <v/>
      </c>
      <c r="AF421" s="38" t="str">
        <f t="shared" si="62"/>
        <v/>
      </c>
    </row>
    <row r="422" spans="1:32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38" t="str">
        <f>IF(OR(A422="Автомат",A422="Дифавтомат"),IF(W422="","",COUNTIFS(Однолинейка!$H$3:$H$3000,U422,Однолинейка!$A$3:$A$3000,Щит_спец)),IF(A422="Аппарат",IF(C422="","",COUNTIFS(Однолинейка!$I$3:$I$3000,C422,Однолинейка!$A$3:$A$3000,Щит_спец)+COUNTIFS(Однолинейка!$J$3:$J$3000,C422,Однолинейка!$A$3:$A$3000,Щит_спец)+COUNTIFS(Однолинейка!$K$3:$K$3000,C422,Однолинейка!$A$3:$A$3000,Щит_спец)),IF(A422="Модуль",IF(C422="","",COUNTIFS(Однолинейка!$AW$3:$AW$3000,"?*",Однолинейка!$AI$3:$AI$3000,C422,Однолинейка!$A$3:$A$3000,Щит_спец)),IF(A422="Клемма",IF(C422="","",IF(C422=$S$7,SUMIFS(Однолинейка!$BW$3:$BW$3000,Однолинейка!$A$3:$A$3000,Щит_спец),IF(C422=$S$8,SUMIFS(Однолинейка!$BX$3:$BX$3000,Однолинейка!$A$3:$A$3000,Щит_спец),""))),""))))</f>
        <v/>
      </c>
      <c r="O422" s="74"/>
      <c r="P422" s="38" t="str">
        <f t="shared" si="54"/>
        <v/>
      </c>
      <c r="U422" s="38" t="str">
        <f t="shared" si="55"/>
        <v/>
      </c>
      <c r="V422" s="38" t="str">
        <f t="shared" si="56"/>
        <v/>
      </c>
      <c r="W422" s="38" t="str">
        <f>IF(AND(U422&lt;&gt;"",OR($S$4="(все)",B422=$S$4),IF($S$4="(все)",COUNTIF($U$4:U422,U422),COUNTIFS($U$4:U422,U422,$B$4:B422,B422))=1),MAX($W$3:W421)+1,"")</f>
        <v/>
      </c>
      <c r="X422" s="38" t="str">
        <f t="shared" si="57"/>
        <v/>
      </c>
      <c r="Y422" s="38" t="str">
        <f>IF(AND(A422="Аппарат",C422&lt;&gt;"",OR($S$5="(все)",B422=$S$5)),MAX($Y$3:Y421)+1,"")</f>
        <v/>
      </c>
      <c r="Z422" s="38" t="str">
        <f t="shared" si="58"/>
        <v/>
      </c>
      <c r="AA422" s="38" t="str">
        <f>IF(AND(A422="Модуль",C422&lt;&gt;"",OR($S$6="(все)",B422=$S$6)),MAX($AA$3:AA421)+1,"")</f>
        <v/>
      </c>
      <c r="AB422" s="38" t="str">
        <f t="shared" si="59"/>
        <v/>
      </c>
      <c r="AC422" s="38" t="str">
        <f>IF(OR(B422="",COUNTIF($B$4:B422,B422)&gt;1),"",MAX($AC$3:AC421)+1)</f>
        <v/>
      </c>
      <c r="AD422" s="38" t="str">
        <f t="shared" si="60"/>
        <v/>
      </c>
      <c r="AE422" s="38" t="str">
        <f t="shared" si="61"/>
        <v/>
      </c>
      <c r="AF422" s="38" t="str">
        <f t="shared" si="62"/>
        <v/>
      </c>
    </row>
    <row r="423" spans="1:32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38" t="str">
        <f>IF(OR(A423="Автомат",A423="Дифавтомат"),IF(W423="","",COUNTIFS(Однолинейка!$H$3:$H$3000,U423,Однолинейка!$A$3:$A$3000,Щит_спец)),IF(A423="Аппарат",IF(C423="","",COUNTIFS(Однолинейка!$I$3:$I$3000,C423,Однолинейка!$A$3:$A$3000,Щит_спец)+COUNTIFS(Однолинейка!$J$3:$J$3000,C423,Однолинейка!$A$3:$A$3000,Щит_спец)+COUNTIFS(Однолинейка!$K$3:$K$3000,C423,Однолинейка!$A$3:$A$3000,Щит_спец)),IF(A423="Модуль",IF(C423="","",COUNTIFS(Однолинейка!$AW$3:$AW$3000,"?*",Однолинейка!$AI$3:$AI$3000,C423,Однолинейка!$A$3:$A$3000,Щит_спец)),IF(A423="Клемма",IF(C423="","",IF(C423=$S$7,SUMIFS(Однолинейка!$BW$3:$BW$3000,Однолинейка!$A$3:$A$3000,Щит_спец),IF(C423=$S$8,SUMIFS(Однолинейка!$BX$3:$BX$3000,Однолинейка!$A$3:$A$3000,Щит_спец),""))),""))))</f>
        <v/>
      </c>
      <c r="O423" s="74"/>
      <c r="P423" s="38" t="str">
        <f t="shared" si="54"/>
        <v/>
      </c>
      <c r="U423" s="38" t="str">
        <f t="shared" si="55"/>
        <v/>
      </c>
      <c r="V423" s="38" t="str">
        <f t="shared" si="56"/>
        <v/>
      </c>
      <c r="W423" s="38" t="str">
        <f>IF(AND(U423&lt;&gt;"",OR($S$4="(все)",B423=$S$4),IF($S$4="(все)",COUNTIF($U$4:U423,U423),COUNTIFS($U$4:U423,U423,$B$4:B423,B423))=1),MAX($W$3:W422)+1,"")</f>
        <v/>
      </c>
      <c r="X423" s="38" t="str">
        <f t="shared" si="57"/>
        <v/>
      </c>
      <c r="Y423" s="38" t="str">
        <f>IF(AND(A423="Аппарат",C423&lt;&gt;"",OR($S$5="(все)",B423=$S$5)),MAX($Y$3:Y422)+1,"")</f>
        <v/>
      </c>
      <c r="Z423" s="38" t="str">
        <f t="shared" si="58"/>
        <v/>
      </c>
      <c r="AA423" s="38" t="str">
        <f>IF(AND(A423="Модуль",C423&lt;&gt;"",OR($S$6="(все)",B423=$S$6)),MAX($AA$3:AA422)+1,"")</f>
        <v/>
      </c>
      <c r="AB423" s="38" t="str">
        <f t="shared" si="59"/>
        <v/>
      </c>
      <c r="AC423" s="38" t="str">
        <f>IF(OR(B423="",COUNTIF($B$4:B423,B423)&gt;1),"",MAX($AC$3:AC422)+1)</f>
        <v/>
      </c>
      <c r="AD423" s="38" t="str">
        <f t="shared" si="60"/>
        <v/>
      </c>
      <c r="AE423" s="38" t="str">
        <f t="shared" si="61"/>
        <v/>
      </c>
      <c r="AF423" s="38" t="str">
        <f t="shared" si="62"/>
        <v/>
      </c>
    </row>
    <row r="424" spans="1:32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38" t="str">
        <f>IF(OR(A424="Автомат",A424="Дифавтомат"),IF(W424="","",COUNTIFS(Однолинейка!$H$3:$H$3000,U424,Однолинейка!$A$3:$A$3000,Щит_спец)),IF(A424="Аппарат",IF(C424="","",COUNTIFS(Однолинейка!$I$3:$I$3000,C424,Однолинейка!$A$3:$A$3000,Щит_спец)+COUNTIFS(Однолинейка!$J$3:$J$3000,C424,Однолинейка!$A$3:$A$3000,Щит_спец)+COUNTIFS(Однолинейка!$K$3:$K$3000,C424,Однолинейка!$A$3:$A$3000,Щит_спец)),IF(A424="Модуль",IF(C424="","",COUNTIFS(Однолинейка!$AW$3:$AW$3000,"?*",Однолинейка!$AI$3:$AI$3000,C424,Однолинейка!$A$3:$A$3000,Щит_спец)),IF(A424="Клемма",IF(C424="","",IF(C424=$S$7,SUMIFS(Однолинейка!$BW$3:$BW$3000,Однолинейка!$A$3:$A$3000,Щит_спец),IF(C424=$S$8,SUMIFS(Однолинейка!$BX$3:$BX$3000,Однолинейка!$A$3:$A$3000,Щит_спец),""))),""))))</f>
        <v/>
      </c>
      <c r="O424" s="74"/>
      <c r="P424" s="38" t="str">
        <f t="shared" si="54"/>
        <v/>
      </c>
      <c r="U424" s="38" t="str">
        <f t="shared" si="55"/>
        <v/>
      </c>
      <c r="V424" s="38" t="str">
        <f t="shared" si="56"/>
        <v/>
      </c>
      <c r="W424" s="38" t="str">
        <f>IF(AND(U424&lt;&gt;"",OR($S$4="(все)",B424=$S$4),IF($S$4="(все)",COUNTIF($U$4:U424,U424),COUNTIFS($U$4:U424,U424,$B$4:B424,B424))=1),MAX($W$3:W423)+1,"")</f>
        <v/>
      </c>
      <c r="X424" s="38" t="str">
        <f t="shared" si="57"/>
        <v/>
      </c>
      <c r="Y424" s="38" t="str">
        <f>IF(AND(A424="Аппарат",C424&lt;&gt;"",OR($S$5="(все)",B424=$S$5)),MAX($Y$3:Y423)+1,"")</f>
        <v/>
      </c>
      <c r="Z424" s="38" t="str">
        <f t="shared" si="58"/>
        <v/>
      </c>
      <c r="AA424" s="38" t="str">
        <f>IF(AND(A424="Модуль",C424&lt;&gt;"",OR($S$6="(все)",B424=$S$6)),MAX($AA$3:AA423)+1,"")</f>
        <v/>
      </c>
      <c r="AB424" s="38" t="str">
        <f t="shared" si="59"/>
        <v/>
      </c>
      <c r="AC424" s="38" t="str">
        <f>IF(OR(B424="",COUNTIF($B$4:B424,B424)&gt;1),"",MAX($AC$3:AC423)+1)</f>
        <v/>
      </c>
      <c r="AD424" s="38" t="str">
        <f t="shared" si="60"/>
        <v/>
      </c>
      <c r="AE424" s="38" t="str">
        <f t="shared" si="61"/>
        <v/>
      </c>
      <c r="AF424" s="38" t="str">
        <f t="shared" si="62"/>
        <v/>
      </c>
    </row>
    <row r="425" spans="1:32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38" t="str">
        <f>IF(OR(A425="Автомат",A425="Дифавтомат"),IF(W425="","",COUNTIFS(Однолинейка!$H$3:$H$3000,U425,Однолинейка!$A$3:$A$3000,Щит_спец)),IF(A425="Аппарат",IF(C425="","",COUNTIFS(Однолинейка!$I$3:$I$3000,C425,Однолинейка!$A$3:$A$3000,Щит_спец)+COUNTIFS(Однолинейка!$J$3:$J$3000,C425,Однолинейка!$A$3:$A$3000,Щит_спец)+COUNTIFS(Однолинейка!$K$3:$K$3000,C425,Однолинейка!$A$3:$A$3000,Щит_спец)),IF(A425="Модуль",IF(C425="","",COUNTIFS(Однолинейка!$AW$3:$AW$3000,"?*",Однолинейка!$AI$3:$AI$3000,C425,Однолинейка!$A$3:$A$3000,Щит_спец)),IF(A425="Клемма",IF(C425="","",IF(C425=$S$7,SUMIFS(Однолинейка!$BW$3:$BW$3000,Однолинейка!$A$3:$A$3000,Щит_спец),IF(C425=$S$8,SUMIFS(Однолинейка!$BX$3:$BX$3000,Однолинейка!$A$3:$A$3000,Щит_спец),""))),""))))</f>
        <v/>
      </c>
      <c r="O425" s="74"/>
      <c r="P425" s="38" t="str">
        <f t="shared" si="54"/>
        <v/>
      </c>
      <c r="U425" s="38" t="str">
        <f t="shared" si="55"/>
        <v/>
      </c>
      <c r="V425" s="38" t="str">
        <f t="shared" si="56"/>
        <v/>
      </c>
      <c r="W425" s="38" t="str">
        <f>IF(AND(U425&lt;&gt;"",OR($S$4="(все)",B425=$S$4),IF($S$4="(все)",COUNTIF($U$4:U425,U425),COUNTIFS($U$4:U425,U425,$B$4:B425,B425))=1),MAX($W$3:W424)+1,"")</f>
        <v/>
      </c>
      <c r="X425" s="38" t="str">
        <f t="shared" si="57"/>
        <v/>
      </c>
      <c r="Y425" s="38" t="str">
        <f>IF(AND(A425="Аппарат",C425&lt;&gt;"",OR($S$5="(все)",B425=$S$5)),MAX($Y$3:Y424)+1,"")</f>
        <v/>
      </c>
      <c r="Z425" s="38" t="str">
        <f t="shared" si="58"/>
        <v/>
      </c>
      <c r="AA425" s="38" t="str">
        <f>IF(AND(A425="Модуль",C425&lt;&gt;"",OR($S$6="(все)",B425=$S$6)),MAX($AA$3:AA424)+1,"")</f>
        <v/>
      </c>
      <c r="AB425" s="38" t="str">
        <f t="shared" si="59"/>
        <v/>
      </c>
      <c r="AC425" s="38" t="str">
        <f>IF(OR(B425="",COUNTIF($B$4:B425,B425)&gt;1),"",MAX($AC$3:AC424)+1)</f>
        <v/>
      </c>
      <c r="AD425" s="38" t="str">
        <f t="shared" si="60"/>
        <v/>
      </c>
      <c r="AE425" s="38" t="str">
        <f t="shared" si="61"/>
        <v/>
      </c>
      <c r="AF425" s="38" t="str">
        <f t="shared" si="62"/>
        <v/>
      </c>
    </row>
    <row r="426" spans="1:32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38" t="str">
        <f>IF(OR(A426="Автомат",A426="Дифавтомат"),IF(W426="","",COUNTIFS(Однолинейка!$H$3:$H$3000,U426,Однолинейка!$A$3:$A$3000,Щит_спец)),IF(A426="Аппарат",IF(C426="","",COUNTIFS(Однолинейка!$I$3:$I$3000,C426,Однолинейка!$A$3:$A$3000,Щит_спец)+COUNTIFS(Однолинейка!$J$3:$J$3000,C426,Однолинейка!$A$3:$A$3000,Щит_спец)+COUNTIFS(Однолинейка!$K$3:$K$3000,C426,Однолинейка!$A$3:$A$3000,Щит_спец)),IF(A426="Модуль",IF(C426="","",COUNTIFS(Однолинейка!$AW$3:$AW$3000,"?*",Однолинейка!$AI$3:$AI$3000,C426,Однолинейка!$A$3:$A$3000,Щит_спец)),IF(A426="Клемма",IF(C426="","",IF(C426=$S$7,SUMIFS(Однолинейка!$BW$3:$BW$3000,Однолинейка!$A$3:$A$3000,Щит_спец),IF(C426=$S$8,SUMIFS(Однолинейка!$BX$3:$BX$3000,Однолинейка!$A$3:$A$3000,Щит_спец),""))),""))))</f>
        <v/>
      </c>
      <c r="O426" s="74"/>
      <c r="P426" s="38" t="str">
        <f t="shared" si="54"/>
        <v/>
      </c>
      <c r="U426" s="38" t="str">
        <f t="shared" si="55"/>
        <v/>
      </c>
      <c r="V426" s="38" t="str">
        <f t="shared" si="56"/>
        <v/>
      </c>
      <c r="W426" s="38" t="str">
        <f>IF(AND(U426&lt;&gt;"",OR($S$4="(все)",B426=$S$4),IF($S$4="(все)",COUNTIF($U$4:U426,U426),COUNTIFS($U$4:U426,U426,$B$4:B426,B426))=1),MAX($W$3:W425)+1,"")</f>
        <v/>
      </c>
      <c r="X426" s="38" t="str">
        <f t="shared" si="57"/>
        <v/>
      </c>
      <c r="Y426" s="38" t="str">
        <f>IF(AND(A426="Аппарат",C426&lt;&gt;"",OR($S$5="(все)",B426=$S$5)),MAX($Y$3:Y425)+1,"")</f>
        <v/>
      </c>
      <c r="Z426" s="38" t="str">
        <f t="shared" si="58"/>
        <v/>
      </c>
      <c r="AA426" s="38" t="str">
        <f>IF(AND(A426="Модуль",C426&lt;&gt;"",OR($S$6="(все)",B426=$S$6)),MAX($AA$3:AA425)+1,"")</f>
        <v/>
      </c>
      <c r="AB426" s="38" t="str">
        <f t="shared" si="59"/>
        <v/>
      </c>
      <c r="AC426" s="38" t="str">
        <f>IF(OR(B426="",COUNTIF($B$4:B426,B426)&gt;1),"",MAX($AC$3:AC425)+1)</f>
        <v/>
      </c>
      <c r="AD426" s="38" t="str">
        <f t="shared" si="60"/>
        <v/>
      </c>
      <c r="AE426" s="38" t="str">
        <f t="shared" si="61"/>
        <v/>
      </c>
      <c r="AF426" s="38" t="str">
        <f t="shared" si="62"/>
        <v/>
      </c>
    </row>
    <row r="427" spans="1:32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38" t="str">
        <f>IF(OR(A427="Автомат",A427="Дифавтомат"),IF(W427="","",COUNTIFS(Однолинейка!$H$3:$H$3000,U427,Однолинейка!$A$3:$A$3000,Щит_спец)),IF(A427="Аппарат",IF(C427="","",COUNTIFS(Однолинейка!$I$3:$I$3000,C427,Однолинейка!$A$3:$A$3000,Щит_спец)+COUNTIFS(Однолинейка!$J$3:$J$3000,C427,Однолинейка!$A$3:$A$3000,Щит_спец)+COUNTIFS(Однолинейка!$K$3:$K$3000,C427,Однолинейка!$A$3:$A$3000,Щит_спец)),IF(A427="Модуль",IF(C427="","",COUNTIFS(Однолинейка!$AW$3:$AW$3000,"?*",Однолинейка!$AI$3:$AI$3000,C427,Однолинейка!$A$3:$A$3000,Щит_спец)),IF(A427="Клемма",IF(C427="","",IF(C427=$S$7,SUMIFS(Однолинейка!$BW$3:$BW$3000,Однолинейка!$A$3:$A$3000,Щит_спец),IF(C427=$S$8,SUMIFS(Однолинейка!$BX$3:$BX$3000,Однолинейка!$A$3:$A$3000,Щит_спец),""))),""))))</f>
        <v/>
      </c>
      <c r="O427" s="74"/>
      <c r="P427" s="38" t="str">
        <f t="shared" si="54"/>
        <v/>
      </c>
      <c r="U427" s="38" t="str">
        <f t="shared" si="55"/>
        <v/>
      </c>
      <c r="V427" s="38" t="str">
        <f t="shared" si="56"/>
        <v/>
      </c>
      <c r="W427" s="38" t="str">
        <f>IF(AND(U427&lt;&gt;"",OR($S$4="(все)",B427=$S$4),IF($S$4="(все)",COUNTIF($U$4:U427,U427),COUNTIFS($U$4:U427,U427,$B$4:B427,B427))=1),MAX($W$3:W426)+1,"")</f>
        <v/>
      </c>
      <c r="X427" s="38" t="str">
        <f t="shared" si="57"/>
        <v/>
      </c>
      <c r="Y427" s="38" t="str">
        <f>IF(AND(A427="Аппарат",C427&lt;&gt;"",OR($S$5="(все)",B427=$S$5)),MAX($Y$3:Y426)+1,"")</f>
        <v/>
      </c>
      <c r="Z427" s="38" t="str">
        <f t="shared" si="58"/>
        <v/>
      </c>
      <c r="AA427" s="38" t="str">
        <f>IF(AND(A427="Модуль",C427&lt;&gt;"",OR($S$6="(все)",B427=$S$6)),MAX($AA$3:AA426)+1,"")</f>
        <v/>
      </c>
      <c r="AB427" s="38" t="str">
        <f t="shared" si="59"/>
        <v/>
      </c>
      <c r="AC427" s="38" t="str">
        <f>IF(OR(B427="",COUNTIF($B$4:B427,B427)&gt;1),"",MAX($AC$3:AC426)+1)</f>
        <v/>
      </c>
      <c r="AD427" s="38" t="str">
        <f t="shared" si="60"/>
        <v/>
      </c>
      <c r="AE427" s="38" t="str">
        <f t="shared" si="61"/>
        <v/>
      </c>
      <c r="AF427" s="38" t="str">
        <f t="shared" si="62"/>
        <v/>
      </c>
    </row>
    <row r="428" spans="1:32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38" t="str">
        <f>IF(OR(A428="Автомат",A428="Дифавтомат"),IF(W428="","",COUNTIFS(Однолинейка!$H$3:$H$3000,U428,Однолинейка!$A$3:$A$3000,Щит_спец)),IF(A428="Аппарат",IF(C428="","",COUNTIFS(Однолинейка!$I$3:$I$3000,C428,Однолинейка!$A$3:$A$3000,Щит_спец)+COUNTIFS(Однолинейка!$J$3:$J$3000,C428,Однолинейка!$A$3:$A$3000,Щит_спец)+COUNTIFS(Однолинейка!$K$3:$K$3000,C428,Однолинейка!$A$3:$A$3000,Щит_спец)),IF(A428="Модуль",IF(C428="","",COUNTIFS(Однолинейка!$AW$3:$AW$3000,"?*",Однолинейка!$AI$3:$AI$3000,C428,Однолинейка!$A$3:$A$3000,Щит_спец)),IF(A428="Клемма",IF(C428="","",IF(C428=$S$7,SUMIFS(Однолинейка!$BW$3:$BW$3000,Однолинейка!$A$3:$A$3000,Щит_спец),IF(C428=$S$8,SUMIFS(Однолинейка!$BX$3:$BX$3000,Однолинейка!$A$3:$A$3000,Щит_спец),""))),""))))</f>
        <v/>
      </c>
      <c r="O428" s="74"/>
      <c r="P428" s="38" t="str">
        <f t="shared" si="54"/>
        <v/>
      </c>
      <c r="U428" s="38" t="str">
        <f t="shared" si="55"/>
        <v/>
      </c>
      <c r="V428" s="38" t="str">
        <f t="shared" si="56"/>
        <v/>
      </c>
      <c r="W428" s="38" t="str">
        <f>IF(AND(U428&lt;&gt;"",OR($S$4="(все)",B428=$S$4),IF($S$4="(все)",COUNTIF($U$4:U428,U428),COUNTIFS($U$4:U428,U428,$B$4:B428,B428))=1),MAX($W$3:W427)+1,"")</f>
        <v/>
      </c>
      <c r="X428" s="38" t="str">
        <f t="shared" si="57"/>
        <v/>
      </c>
      <c r="Y428" s="38" t="str">
        <f>IF(AND(A428="Аппарат",C428&lt;&gt;"",OR($S$5="(все)",B428=$S$5)),MAX($Y$3:Y427)+1,"")</f>
        <v/>
      </c>
      <c r="Z428" s="38" t="str">
        <f t="shared" si="58"/>
        <v/>
      </c>
      <c r="AA428" s="38" t="str">
        <f>IF(AND(A428="Модуль",C428&lt;&gt;"",OR($S$6="(все)",B428=$S$6)),MAX($AA$3:AA427)+1,"")</f>
        <v/>
      </c>
      <c r="AB428" s="38" t="str">
        <f t="shared" si="59"/>
        <v/>
      </c>
      <c r="AC428" s="38" t="str">
        <f>IF(OR(B428="",COUNTIF($B$4:B428,B428)&gt;1),"",MAX($AC$3:AC427)+1)</f>
        <v/>
      </c>
      <c r="AD428" s="38" t="str">
        <f t="shared" si="60"/>
        <v/>
      </c>
      <c r="AE428" s="38" t="str">
        <f t="shared" si="61"/>
        <v/>
      </c>
      <c r="AF428" s="38" t="str">
        <f t="shared" si="62"/>
        <v/>
      </c>
    </row>
    <row r="429" spans="1:32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38" t="str">
        <f>IF(OR(A429="Автомат",A429="Дифавтомат"),IF(W429="","",COUNTIFS(Однолинейка!$H$3:$H$3000,U429,Однолинейка!$A$3:$A$3000,Щит_спец)),IF(A429="Аппарат",IF(C429="","",COUNTIFS(Однолинейка!$I$3:$I$3000,C429,Однолинейка!$A$3:$A$3000,Щит_спец)+COUNTIFS(Однолинейка!$J$3:$J$3000,C429,Однолинейка!$A$3:$A$3000,Щит_спец)+COUNTIFS(Однолинейка!$K$3:$K$3000,C429,Однолинейка!$A$3:$A$3000,Щит_спец)),IF(A429="Модуль",IF(C429="","",COUNTIFS(Однолинейка!$AW$3:$AW$3000,"?*",Однолинейка!$AI$3:$AI$3000,C429,Однолинейка!$A$3:$A$3000,Щит_спец)),IF(A429="Клемма",IF(C429="","",IF(C429=$S$7,SUMIFS(Однолинейка!$BW$3:$BW$3000,Однолинейка!$A$3:$A$3000,Щит_спец),IF(C429=$S$8,SUMIFS(Однолинейка!$BX$3:$BX$3000,Однолинейка!$A$3:$A$3000,Щит_спец),""))),""))))</f>
        <v/>
      </c>
      <c r="O429" s="74"/>
      <c r="P429" s="38" t="str">
        <f t="shared" si="54"/>
        <v/>
      </c>
      <c r="U429" s="38" t="str">
        <f t="shared" si="55"/>
        <v/>
      </c>
      <c r="V429" s="38" t="str">
        <f t="shared" si="56"/>
        <v/>
      </c>
      <c r="W429" s="38" t="str">
        <f>IF(AND(U429&lt;&gt;"",OR($S$4="(все)",B429=$S$4),IF($S$4="(все)",COUNTIF($U$4:U429,U429),COUNTIFS($U$4:U429,U429,$B$4:B429,B429))=1),MAX($W$3:W428)+1,"")</f>
        <v/>
      </c>
      <c r="X429" s="38" t="str">
        <f t="shared" si="57"/>
        <v/>
      </c>
      <c r="Y429" s="38" t="str">
        <f>IF(AND(A429="Аппарат",C429&lt;&gt;"",OR($S$5="(все)",B429=$S$5)),MAX($Y$3:Y428)+1,"")</f>
        <v/>
      </c>
      <c r="Z429" s="38" t="str">
        <f t="shared" si="58"/>
        <v/>
      </c>
      <c r="AA429" s="38" t="str">
        <f>IF(AND(A429="Модуль",C429&lt;&gt;"",OR($S$6="(все)",B429=$S$6)),MAX($AA$3:AA428)+1,"")</f>
        <v/>
      </c>
      <c r="AB429" s="38" t="str">
        <f t="shared" si="59"/>
        <v/>
      </c>
      <c r="AC429" s="38" t="str">
        <f>IF(OR(B429="",COUNTIF($B$4:B429,B429)&gt;1),"",MAX($AC$3:AC428)+1)</f>
        <v/>
      </c>
      <c r="AD429" s="38" t="str">
        <f t="shared" si="60"/>
        <v/>
      </c>
      <c r="AE429" s="38" t="str">
        <f t="shared" si="61"/>
        <v/>
      </c>
      <c r="AF429" s="38" t="str">
        <f t="shared" si="62"/>
        <v/>
      </c>
    </row>
    <row r="430" spans="1:32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38" t="str">
        <f>IF(OR(A430="Автомат",A430="Дифавтомат"),IF(W430="","",COUNTIFS(Однолинейка!$H$3:$H$3000,U430,Однолинейка!$A$3:$A$3000,Щит_спец)),IF(A430="Аппарат",IF(C430="","",COUNTIFS(Однолинейка!$I$3:$I$3000,C430,Однолинейка!$A$3:$A$3000,Щит_спец)+COUNTIFS(Однолинейка!$J$3:$J$3000,C430,Однолинейка!$A$3:$A$3000,Щит_спец)+COUNTIFS(Однолинейка!$K$3:$K$3000,C430,Однолинейка!$A$3:$A$3000,Щит_спец)),IF(A430="Модуль",IF(C430="","",COUNTIFS(Однолинейка!$AW$3:$AW$3000,"?*",Однолинейка!$AI$3:$AI$3000,C430,Однолинейка!$A$3:$A$3000,Щит_спец)),IF(A430="Клемма",IF(C430="","",IF(C430=$S$7,SUMIFS(Однолинейка!$BW$3:$BW$3000,Однолинейка!$A$3:$A$3000,Щит_спец),IF(C430=$S$8,SUMIFS(Однолинейка!$BX$3:$BX$3000,Однолинейка!$A$3:$A$3000,Щит_спец),""))),""))))</f>
        <v/>
      </c>
      <c r="O430" s="74"/>
      <c r="P430" s="38" t="str">
        <f t="shared" si="54"/>
        <v/>
      </c>
      <c r="U430" s="38" t="str">
        <f t="shared" si="55"/>
        <v/>
      </c>
      <c r="V430" s="38" t="str">
        <f t="shared" si="56"/>
        <v/>
      </c>
      <c r="W430" s="38" t="str">
        <f>IF(AND(U430&lt;&gt;"",OR($S$4="(все)",B430=$S$4),IF($S$4="(все)",COUNTIF($U$4:U430,U430),COUNTIFS($U$4:U430,U430,$B$4:B430,B430))=1),MAX($W$3:W429)+1,"")</f>
        <v/>
      </c>
      <c r="X430" s="38" t="str">
        <f t="shared" si="57"/>
        <v/>
      </c>
      <c r="Y430" s="38" t="str">
        <f>IF(AND(A430="Аппарат",C430&lt;&gt;"",OR($S$5="(все)",B430=$S$5)),MAX($Y$3:Y429)+1,"")</f>
        <v/>
      </c>
      <c r="Z430" s="38" t="str">
        <f t="shared" si="58"/>
        <v/>
      </c>
      <c r="AA430" s="38" t="str">
        <f>IF(AND(A430="Модуль",C430&lt;&gt;"",OR($S$6="(все)",B430=$S$6)),MAX($AA$3:AA429)+1,"")</f>
        <v/>
      </c>
      <c r="AB430" s="38" t="str">
        <f t="shared" si="59"/>
        <v/>
      </c>
      <c r="AC430" s="38" t="str">
        <f>IF(OR(B430="",COUNTIF($B$4:B430,B430)&gt;1),"",MAX($AC$3:AC429)+1)</f>
        <v/>
      </c>
      <c r="AD430" s="38" t="str">
        <f t="shared" si="60"/>
        <v/>
      </c>
      <c r="AE430" s="38" t="str">
        <f t="shared" si="61"/>
        <v/>
      </c>
      <c r="AF430" s="38" t="str">
        <f t="shared" si="62"/>
        <v/>
      </c>
    </row>
    <row r="431" spans="1:32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38" t="str">
        <f>IF(OR(A431="Автомат",A431="Дифавтомат"),IF(W431="","",COUNTIFS(Однолинейка!$H$3:$H$3000,U431,Однолинейка!$A$3:$A$3000,Щит_спец)),IF(A431="Аппарат",IF(C431="","",COUNTIFS(Однолинейка!$I$3:$I$3000,C431,Однолинейка!$A$3:$A$3000,Щит_спец)+COUNTIFS(Однолинейка!$J$3:$J$3000,C431,Однолинейка!$A$3:$A$3000,Щит_спец)+COUNTIFS(Однолинейка!$K$3:$K$3000,C431,Однолинейка!$A$3:$A$3000,Щит_спец)),IF(A431="Модуль",IF(C431="","",COUNTIFS(Однолинейка!$AW$3:$AW$3000,"?*",Однолинейка!$AI$3:$AI$3000,C431,Однолинейка!$A$3:$A$3000,Щит_спец)),IF(A431="Клемма",IF(C431="","",IF(C431=$S$7,SUMIFS(Однолинейка!$BW$3:$BW$3000,Однолинейка!$A$3:$A$3000,Щит_спец),IF(C431=$S$8,SUMIFS(Однолинейка!$BX$3:$BX$3000,Однолинейка!$A$3:$A$3000,Щит_спец),""))),""))))</f>
        <v/>
      </c>
      <c r="O431" s="74"/>
      <c r="P431" s="38" t="str">
        <f t="shared" si="54"/>
        <v/>
      </c>
      <c r="U431" s="38" t="str">
        <f t="shared" si="55"/>
        <v/>
      </c>
      <c r="V431" s="38" t="str">
        <f t="shared" si="56"/>
        <v/>
      </c>
      <c r="W431" s="38" t="str">
        <f>IF(AND(U431&lt;&gt;"",OR($S$4="(все)",B431=$S$4),IF($S$4="(все)",COUNTIF($U$4:U431,U431),COUNTIFS($U$4:U431,U431,$B$4:B431,B431))=1),MAX($W$3:W430)+1,"")</f>
        <v/>
      </c>
      <c r="X431" s="38" t="str">
        <f t="shared" si="57"/>
        <v/>
      </c>
      <c r="Y431" s="38" t="str">
        <f>IF(AND(A431="Аппарат",C431&lt;&gt;"",OR($S$5="(все)",B431=$S$5)),MAX($Y$3:Y430)+1,"")</f>
        <v/>
      </c>
      <c r="Z431" s="38" t="str">
        <f t="shared" si="58"/>
        <v/>
      </c>
      <c r="AA431" s="38" t="str">
        <f>IF(AND(A431="Модуль",C431&lt;&gt;"",OR($S$6="(все)",B431=$S$6)),MAX($AA$3:AA430)+1,"")</f>
        <v/>
      </c>
      <c r="AB431" s="38" t="str">
        <f t="shared" si="59"/>
        <v/>
      </c>
      <c r="AC431" s="38" t="str">
        <f>IF(OR(B431="",COUNTIF($B$4:B431,B431)&gt;1),"",MAX($AC$3:AC430)+1)</f>
        <v/>
      </c>
      <c r="AD431" s="38" t="str">
        <f t="shared" si="60"/>
        <v/>
      </c>
      <c r="AE431" s="38" t="str">
        <f t="shared" si="61"/>
        <v/>
      </c>
      <c r="AF431" s="38" t="str">
        <f t="shared" si="62"/>
        <v/>
      </c>
    </row>
    <row r="432" spans="1:32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38" t="str">
        <f>IF(OR(A432="Автомат",A432="Дифавтомат"),IF(W432="","",COUNTIFS(Однолинейка!$H$3:$H$3000,U432,Однолинейка!$A$3:$A$3000,Щит_спец)),IF(A432="Аппарат",IF(C432="","",COUNTIFS(Однолинейка!$I$3:$I$3000,C432,Однолинейка!$A$3:$A$3000,Щит_спец)+COUNTIFS(Однолинейка!$J$3:$J$3000,C432,Однолинейка!$A$3:$A$3000,Щит_спец)+COUNTIFS(Однолинейка!$K$3:$K$3000,C432,Однолинейка!$A$3:$A$3000,Щит_спец)),IF(A432="Модуль",IF(C432="","",COUNTIFS(Однолинейка!$AW$3:$AW$3000,"?*",Однолинейка!$AI$3:$AI$3000,C432,Однолинейка!$A$3:$A$3000,Щит_спец)),IF(A432="Клемма",IF(C432="","",IF(C432=$S$7,SUMIFS(Однолинейка!$BW$3:$BW$3000,Однолинейка!$A$3:$A$3000,Щит_спец),IF(C432=$S$8,SUMIFS(Однолинейка!$BX$3:$BX$3000,Однолинейка!$A$3:$A$3000,Щит_спец),""))),""))))</f>
        <v/>
      </c>
      <c r="O432" s="74"/>
      <c r="P432" s="38" t="str">
        <f t="shared" si="54"/>
        <v/>
      </c>
      <c r="U432" s="38" t="str">
        <f t="shared" si="55"/>
        <v/>
      </c>
      <c r="V432" s="38" t="str">
        <f t="shared" si="56"/>
        <v/>
      </c>
      <c r="W432" s="38" t="str">
        <f>IF(AND(U432&lt;&gt;"",OR($S$4="(все)",B432=$S$4),IF($S$4="(все)",COUNTIF($U$4:U432,U432),COUNTIFS($U$4:U432,U432,$B$4:B432,B432))=1),MAX($W$3:W431)+1,"")</f>
        <v/>
      </c>
      <c r="X432" s="38" t="str">
        <f t="shared" si="57"/>
        <v/>
      </c>
      <c r="Y432" s="38" t="str">
        <f>IF(AND(A432="Аппарат",C432&lt;&gt;"",OR($S$5="(все)",B432=$S$5)),MAX($Y$3:Y431)+1,"")</f>
        <v/>
      </c>
      <c r="Z432" s="38" t="str">
        <f t="shared" si="58"/>
        <v/>
      </c>
      <c r="AA432" s="38" t="str">
        <f>IF(AND(A432="Модуль",C432&lt;&gt;"",OR($S$6="(все)",B432=$S$6)),MAX($AA$3:AA431)+1,"")</f>
        <v/>
      </c>
      <c r="AB432" s="38" t="str">
        <f t="shared" si="59"/>
        <v/>
      </c>
      <c r="AC432" s="38" t="str">
        <f>IF(OR(B432="",COUNTIF($B$4:B432,B432)&gt;1),"",MAX($AC$3:AC431)+1)</f>
        <v/>
      </c>
      <c r="AD432" s="38" t="str">
        <f t="shared" si="60"/>
        <v/>
      </c>
      <c r="AE432" s="38" t="str">
        <f t="shared" si="61"/>
        <v/>
      </c>
      <c r="AF432" s="38" t="str">
        <f t="shared" si="62"/>
        <v/>
      </c>
    </row>
    <row r="433" spans="1:32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38" t="str">
        <f>IF(OR(A433="Автомат",A433="Дифавтомат"),IF(W433="","",COUNTIFS(Однолинейка!$H$3:$H$3000,U433,Однолинейка!$A$3:$A$3000,Щит_спец)),IF(A433="Аппарат",IF(C433="","",COUNTIFS(Однолинейка!$I$3:$I$3000,C433,Однолинейка!$A$3:$A$3000,Щит_спец)+COUNTIFS(Однолинейка!$J$3:$J$3000,C433,Однолинейка!$A$3:$A$3000,Щит_спец)+COUNTIFS(Однолинейка!$K$3:$K$3000,C433,Однолинейка!$A$3:$A$3000,Щит_спец)),IF(A433="Модуль",IF(C433="","",COUNTIFS(Однолинейка!$AW$3:$AW$3000,"?*",Однолинейка!$AI$3:$AI$3000,C433,Однолинейка!$A$3:$A$3000,Щит_спец)),IF(A433="Клемма",IF(C433="","",IF(C433=$S$7,SUMIFS(Однолинейка!$BW$3:$BW$3000,Однолинейка!$A$3:$A$3000,Щит_спец),IF(C433=$S$8,SUMIFS(Однолинейка!$BX$3:$BX$3000,Однолинейка!$A$3:$A$3000,Щит_спец),""))),""))))</f>
        <v/>
      </c>
      <c r="O433" s="74"/>
      <c r="P433" s="38" t="str">
        <f t="shared" si="54"/>
        <v/>
      </c>
      <c r="U433" s="38" t="str">
        <f t="shared" si="55"/>
        <v/>
      </c>
      <c r="V433" s="38" t="str">
        <f t="shared" si="56"/>
        <v/>
      </c>
      <c r="W433" s="38" t="str">
        <f>IF(AND(U433&lt;&gt;"",OR($S$4="(все)",B433=$S$4),IF($S$4="(все)",COUNTIF($U$4:U433,U433),COUNTIFS($U$4:U433,U433,$B$4:B433,B433))=1),MAX($W$3:W432)+1,"")</f>
        <v/>
      </c>
      <c r="X433" s="38" t="str">
        <f t="shared" si="57"/>
        <v/>
      </c>
      <c r="Y433" s="38" t="str">
        <f>IF(AND(A433="Аппарат",C433&lt;&gt;"",OR($S$5="(все)",B433=$S$5)),MAX($Y$3:Y432)+1,"")</f>
        <v/>
      </c>
      <c r="Z433" s="38" t="str">
        <f t="shared" si="58"/>
        <v/>
      </c>
      <c r="AA433" s="38" t="str">
        <f>IF(AND(A433="Модуль",C433&lt;&gt;"",OR($S$6="(все)",B433=$S$6)),MAX($AA$3:AA432)+1,"")</f>
        <v/>
      </c>
      <c r="AB433" s="38" t="str">
        <f t="shared" si="59"/>
        <v/>
      </c>
      <c r="AC433" s="38" t="str">
        <f>IF(OR(B433="",COUNTIF($B$4:B433,B433)&gt;1),"",MAX($AC$3:AC432)+1)</f>
        <v/>
      </c>
      <c r="AD433" s="38" t="str">
        <f t="shared" si="60"/>
        <v/>
      </c>
      <c r="AE433" s="38" t="str">
        <f t="shared" si="61"/>
        <v/>
      </c>
      <c r="AF433" s="38" t="str">
        <f t="shared" si="62"/>
        <v/>
      </c>
    </row>
    <row r="434" spans="1:32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38" t="str">
        <f>IF(OR(A434="Автомат",A434="Дифавтомат"),IF(W434="","",COUNTIFS(Однолинейка!$H$3:$H$3000,U434,Однолинейка!$A$3:$A$3000,Щит_спец)),IF(A434="Аппарат",IF(C434="","",COUNTIFS(Однолинейка!$I$3:$I$3000,C434,Однолинейка!$A$3:$A$3000,Щит_спец)+COUNTIFS(Однолинейка!$J$3:$J$3000,C434,Однолинейка!$A$3:$A$3000,Щит_спец)+COUNTIFS(Однолинейка!$K$3:$K$3000,C434,Однолинейка!$A$3:$A$3000,Щит_спец)),IF(A434="Модуль",IF(C434="","",COUNTIFS(Однолинейка!$AW$3:$AW$3000,"?*",Однолинейка!$AI$3:$AI$3000,C434,Однолинейка!$A$3:$A$3000,Щит_спец)),IF(A434="Клемма",IF(C434="","",IF(C434=$S$7,SUMIFS(Однолинейка!$BW$3:$BW$3000,Однолинейка!$A$3:$A$3000,Щит_спец),IF(C434=$S$8,SUMIFS(Однолинейка!$BX$3:$BX$3000,Однолинейка!$A$3:$A$3000,Щит_спец),""))),""))))</f>
        <v/>
      </c>
      <c r="O434" s="74"/>
      <c r="P434" s="38" t="str">
        <f t="shared" si="54"/>
        <v/>
      </c>
      <c r="U434" s="38" t="str">
        <f t="shared" si="55"/>
        <v/>
      </c>
      <c r="V434" s="38" t="str">
        <f t="shared" si="56"/>
        <v/>
      </c>
      <c r="W434" s="38" t="str">
        <f>IF(AND(U434&lt;&gt;"",OR($S$4="(все)",B434=$S$4),IF($S$4="(все)",COUNTIF($U$4:U434,U434),COUNTIFS($U$4:U434,U434,$B$4:B434,B434))=1),MAX($W$3:W433)+1,"")</f>
        <v/>
      </c>
      <c r="X434" s="38" t="str">
        <f t="shared" si="57"/>
        <v/>
      </c>
      <c r="Y434" s="38" t="str">
        <f>IF(AND(A434="Аппарат",C434&lt;&gt;"",OR($S$5="(все)",B434=$S$5)),MAX($Y$3:Y433)+1,"")</f>
        <v/>
      </c>
      <c r="Z434" s="38" t="str">
        <f t="shared" si="58"/>
        <v/>
      </c>
      <c r="AA434" s="38" t="str">
        <f>IF(AND(A434="Модуль",C434&lt;&gt;"",OR($S$6="(все)",B434=$S$6)),MAX($AA$3:AA433)+1,"")</f>
        <v/>
      </c>
      <c r="AB434" s="38" t="str">
        <f t="shared" si="59"/>
        <v/>
      </c>
      <c r="AC434" s="38" t="str">
        <f>IF(OR(B434="",COUNTIF($B$4:B434,B434)&gt;1),"",MAX($AC$3:AC433)+1)</f>
        <v/>
      </c>
      <c r="AD434" s="38" t="str">
        <f t="shared" si="60"/>
        <v/>
      </c>
      <c r="AE434" s="38" t="str">
        <f t="shared" si="61"/>
        <v/>
      </c>
      <c r="AF434" s="38" t="str">
        <f t="shared" si="62"/>
        <v/>
      </c>
    </row>
    <row r="435" spans="1:32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38" t="str">
        <f>IF(OR(A435="Автомат",A435="Дифавтомат"),IF(W435="","",COUNTIFS(Однолинейка!$H$3:$H$3000,U435,Однолинейка!$A$3:$A$3000,Щит_спец)),IF(A435="Аппарат",IF(C435="","",COUNTIFS(Однолинейка!$I$3:$I$3000,C435,Однолинейка!$A$3:$A$3000,Щит_спец)+COUNTIFS(Однолинейка!$J$3:$J$3000,C435,Однолинейка!$A$3:$A$3000,Щит_спец)+COUNTIFS(Однолинейка!$K$3:$K$3000,C435,Однолинейка!$A$3:$A$3000,Щит_спец)),IF(A435="Модуль",IF(C435="","",COUNTIFS(Однолинейка!$AW$3:$AW$3000,"?*",Однолинейка!$AI$3:$AI$3000,C435,Однолинейка!$A$3:$A$3000,Щит_спец)),IF(A435="Клемма",IF(C435="","",IF(C435=$S$7,SUMIFS(Однолинейка!$BW$3:$BW$3000,Однолинейка!$A$3:$A$3000,Щит_спец),IF(C435=$S$8,SUMIFS(Однолинейка!$BX$3:$BX$3000,Однолинейка!$A$3:$A$3000,Щит_спец),""))),""))))</f>
        <v/>
      </c>
      <c r="O435" s="74"/>
      <c r="P435" s="38" t="str">
        <f t="shared" si="54"/>
        <v/>
      </c>
      <c r="U435" s="38" t="str">
        <f t="shared" si="55"/>
        <v/>
      </c>
      <c r="V435" s="38" t="str">
        <f t="shared" si="56"/>
        <v/>
      </c>
      <c r="W435" s="38" t="str">
        <f>IF(AND(U435&lt;&gt;"",OR($S$4="(все)",B435=$S$4),IF($S$4="(все)",COUNTIF($U$4:U435,U435),COUNTIFS($U$4:U435,U435,$B$4:B435,B435))=1),MAX($W$3:W434)+1,"")</f>
        <v/>
      </c>
      <c r="X435" s="38" t="str">
        <f t="shared" si="57"/>
        <v/>
      </c>
      <c r="Y435" s="38" t="str">
        <f>IF(AND(A435="Аппарат",C435&lt;&gt;"",OR($S$5="(все)",B435=$S$5)),MAX($Y$3:Y434)+1,"")</f>
        <v/>
      </c>
      <c r="Z435" s="38" t="str">
        <f t="shared" si="58"/>
        <v/>
      </c>
      <c r="AA435" s="38" t="str">
        <f>IF(AND(A435="Модуль",C435&lt;&gt;"",OR($S$6="(все)",B435=$S$6)),MAX($AA$3:AA434)+1,"")</f>
        <v/>
      </c>
      <c r="AB435" s="38" t="str">
        <f t="shared" si="59"/>
        <v/>
      </c>
      <c r="AC435" s="38" t="str">
        <f>IF(OR(B435="",COUNTIF($B$4:B435,B435)&gt;1),"",MAX($AC$3:AC434)+1)</f>
        <v/>
      </c>
      <c r="AD435" s="38" t="str">
        <f t="shared" si="60"/>
        <v/>
      </c>
      <c r="AE435" s="38" t="str">
        <f t="shared" si="61"/>
        <v/>
      </c>
      <c r="AF435" s="38" t="str">
        <f t="shared" si="62"/>
        <v/>
      </c>
    </row>
    <row r="436" spans="1:32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38" t="str">
        <f>IF(OR(A436="Автомат",A436="Дифавтомат"),IF(W436="","",COUNTIFS(Однолинейка!$H$3:$H$3000,U436,Однолинейка!$A$3:$A$3000,Щит_спец)),IF(A436="Аппарат",IF(C436="","",COUNTIFS(Однолинейка!$I$3:$I$3000,C436,Однолинейка!$A$3:$A$3000,Щит_спец)+COUNTIFS(Однолинейка!$J$3:$J$3000,C436,Однолинейка!$A$3:$A$3000,Щит_спец)+COUNTIFS(Однолинейка!$K$3:$K$3000,C436,Однолинейка!$A$3:$A$3000,Щит_спец)),IF(A436="Модуль",IF(C436="","",COUNTIFS(Однолинейка!$AW$3:$AW$3000,"?*",Однолинейка!$AI$3:$AI$3000,C436,Однолинейка!$A$3:$A$3000,Щит_спец)),IF(A436="Клемма",IF(C436="","",IF(C436=$S$7,SUMIFS(Однолинейка!$BW$3:$BW$3000,Однолинейка!$A$3:$A$3000,Щит_спец),IF(C436=$S$8,SUMIFS(Однолинейка!$BX$3:$BX$3000,Однолинейка!$A$3:$A$3000,Щит_спец),""))),""))))</f>
        <v/>
      </c>
      <c r="O436" s="74"/>
      <c r="P436" s="38" t="str">
        <f t="shared" si="54"/>
        <v/>
      </c>
      <c r="U436" s="38" t="str">
        <f t="shared" si="55"/>
        <v/>
      </c>
      <c r="V436" s="38" t="str">
        <f t="shared" si="56"/>
        <v/>
      </c>
      <c r="W436" s="38" t="str">
        <f>IF(AND(U436&lt;&gt;"",OR($S$4="(все)",B436=$S$4),IF($S$4="(все)",COUNTIF($U$4:U436,U436),COUNTIFS($U$4:U436,U436,$B$4:B436,B436))=1),MAX($W$3:W435)+1,"")</f>
        <v/>
      </c>
      <c r="X436" s="38" t="str">
        <f t="shared" si="57"/>
        <v/>
      </c>
      <c r="Y436" s="38" t="str">
        <f>IF(AND(A436="Аппарат",C436&lt;&gt;"",OR($S$5="(все)",B436=$S$5)),MAX($Y$3:Y435)+1,"")</f>
        <v/>
      </c>
      <c r="Z436" s="38" t="str">
        <f t="shared" si="58"/>
        <v/>
      </c>
      <c r="AA436" s="38" t="str">
        <f>IF(AND(A436="Модуль",C436&lt;&gt;"",OR($S$6="(все)",B436=$S$6)),MAX($AA$3:AA435)+1,"")</f>
        <v/>
      </c>
      <c r="AB436" s="38" t="str">
        <f t="shared" si="59"/>
        <v/>
      </c>
      <c r="AC436" s="38" t="str">
        <f>IF(OR(B436="",COUNTIF($B$4:B436,B436)&gt;1),"",MAX($AC$3:AC435)+1)</f>
        <v/>
      </c>
      <c r="AD436" s="38" t="str">
        <f t="shared" si="60"/>
        <v/>
      </c>
      <c r="AE436" s="38" t="str">
        <f t="shared" si="61"/>
        <v/>
      </c>
      <c r="AF436" s="38" t="str">
        <f t="shared" si="62"/>
        <v/>
      </c>
    </row>
    <row r="437" spans="1:32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38" t="str">
        <f>IF(OR(A437="Автомат",A437="Дифавтомат"),IF(W437="","",COUNTIFS(Однолинейка!$H$3:$H$3000,U437,Однолинейка!$A$3:$A$3000,Щит_спец)),IF(A437="Аппарат",IF(C437="","",COUNTIFS(Однолинейка!$I$3:$I$3000,C437,Однолинейка!$A$3:$A$3000,Щит_спец)+COUNTIFS(Однолинейка!$J$3:$J$3000,C437,Однолинейка!$A$3:$A$3000,Щит_спец)+COUNTIFS(Однолинейка!$K$3:$K$3000,C437,Однолинейка!$A$3:$A$3000,Щит_спец)),IF(A437="Модуль",IF(C437="","",COUNTIFS(Однолинейка!$AW$3:$AW$3000,"?*",Однолинейка!$AI$3:$AI$3000,C437,Однолинейка!$A$3:$A$3000,Щит_спец)),IF(A437="Клемма",IF(C437="","",IF(C437=$S$7,SUMIFS(Однолинейка!$BW$3:$BW$3000,Однолинейка!$A$3:$A$3000,Щит_спец),IF(C437=$S$8,SUMIFS(Однолинейка!$BX$3:$BX$3000,Однолинейка!$A$3:$A$3000,Щит_спец),""))),""))))</f>
        <v/>
      </c>
      <c r="O437" s="74"/>
      <c r="P437" s="38" t="str">
        <f t="shared" si="54"/>
        <v/>
      </c>
      <c r="U437" s="38" t="str">
        <f t="shared" si="55"/>
        <v/>
      </c>
      <c r="V437" s="38" t="str">
        <f t="shared" si="56"/>
        <v/>
      </c>
      <c r="W437" s="38" t="str">
        <f>IF(AND(U437&lt;&gt;"",OR($S$4="(все)",B437=$S$4),IF($S$4="(все)",COUNTIF($U$4:U437,U437),COUNTIFS($U$4:U437,U437,$B$4:B437,B437))=1),MAX($W$3:W436)+1,"")</f>
        <v/>
      </c>
      <c r="X437" s="38" t="str">
        <f t="shared" si="57"/>
        <v/>
      </c>
      <c r="Y437" s="38" t="str">
        <f>IF(AND(A437="Аппарат",C437&lt;&gt;"",OR($S$5="(все)",B437=$S$5)),MAX($Y$3:Y436)+1,"")</f>
        <v/>
      </c>
      <c r="Z437" s="38" t="str">
        <f t="shared" si="58"/>
        <v/>
      </c>
      <c r="AA437" s="38" t="str">
        <f>IF(AND(A437="Модуль",C437&lt;&gt;"",OR($S$6="(все)",B437=$S$6)),MAX($AA$3:AA436)+1,"")</f>
        <v/>
      </c>
      <c r="AB437" s="38" t="str">
        <f t="shared" si="59"/>
        <v/>
      </c>
      <c r="AC437" s="38" t="str">
        <f>IF(OR(B437="",COUNTIF($B$4:B437,B437)&gt;1),"",MAX($AC$3:AC436)+1)</f>
        <v/>
      </c>
      <c r="AD437" s="38" t="str">
        <f t="shared" si="60"/>
        <v/>
      </c>
      <c r="AE437" s="38" t="str">
        <f t="shared" si="61"/>
        <v/>
      </c>
      <c r="AF437" s="38" t="str">
        <f t="shared" si="62"/>
        <v/>
      </c>
    </row>
    <row r="438" spans="1:32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38" t="str">
        <f>IF(OR(A438="Автомат",A438="Дифавтомат"),IF(W438="","",COUNTIFS(Однолинейка!$H$3:$H$3000,U438,Однолинейка!$A$3:$A$3000,Щит_спец)),IF(A438="Аппарат",IF(C438="","",COUNTIFS(Однолинейка!$I$3:$I$3000,C438,Однолинейка!$A$3:$A$3000,Щит_спец)+COUNTIFS(Однолинейка!$J$3:$J$3000,C438,Однолинейка!$A$3:$A$3000,Щит_спец)+COUNTIFS(Однолинейка!$K$3:$K$3000,C438,Однолинейка!$A$3:$A$3000,Щит_спец)),IF(A438="Модуль",IF(C438="","",COUNTIFS(Однолинейка!$AW$3:$AW$3000,"?*",Однолинейка!$AI$3:$AI$3000,C438,Однолинейка!$A$3:$A$3000,Щит_спец)),IF(A438="Клемма",IF(C438="","",IF(C438=$S$7,SUMIFS(Однолинейка!$BW$3:$BW$3000,Однолинейка!$A$3:$A$3000,Щит_спец),IF(C438=$S$8,SUMIFS(Однолинейка!$BX$3:$BX$3000,Однолинейка!$A$3:$A$3000,Щит_спец),""))),""))))</f>
        <v/>
      </c>
      <c r="O438" s="74"/>
      <c r="P438" s="38" t="str">
        <f t="shared" si="54"/>
        <v/>
      </c>
      <c r="U438" s="38" t="str">
        <f t="shared" si="55"/>
        <v/>
      </c>
      <c r="V438" s="38" t="str">
        <f t="shared" si="56"/>
        <v/>
      </c>
      <c r="W438" s="38" t="str">
        <f>IF(AND(U438&lt;&gt;"",OR($S$4="(все)",B438=$S$4),IF($S$4="(все)",COUNTIF($U$4:U438,U438),COUNTIFS($U$4:U438,U438,$B$4:B438,B438))=1),MAX($W$3:W437)+1,"")</f>
        <v/>
      </c>
      <c r="X438" s="38" t="str">
        <f t="shared" si="57"/>
        <v/>
      </c>
      <c r="Y438" s="38" t="str">
        <f>IF(AND(A438="Аппарат",C438&lt;&gt;"",OR($S$5="(все)",B438=$S$5)),MAX($Y$3:Y437)+1,"")</f>
        <v/>
      </c>
      <c r="Z438" s="38" t="str">
        <f t="shared" si="58"/>
        <v/>
      </c>
      <c r="AA438" s="38" t="str">
        <f>IF(AND(A438="Модуль",C438&lt;&gt;"",OR($S$6="(все)",B438=$S$6)),MAX($AA$3:AA437)+1,"")</f>
        <v/>
      </c>
      <c r="AB438" s="38" t="str">
        <f t="shared" si="59"/>
        <v/>
      </c>
      <c r="AC438" s="38" t="str">
        <f>IF(OR(B438="",COUNTIF($B$4:B438,B438)&gt;1),"",MAX($AC$3:AC437)+1)</f>
        <v/>
      </c>
      <c r="AD438" s="38" t="str">
        <f t="shared" si="60"/>
        <v/>
      </c>
      <c r="AE438" s="38" t="str">
        <f t="shared" si="61"/>
        <v/>
      </c>
      <c r="AF438" s="38" t="str">
        <f t="shared" si="62"/>
        <v/>
      </c>
    </row>
    <row r="439" spans="1:32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38" t="str">
        <f>IF(OR(A439="Автомат",A439="Дифавтомат"),IF(W439="","",COUNTIFS(Однолинейка!$H$3:$H$3000,U439,Однолинейка!$A$3:$A$3000,Щит_спец)),IF(A439="Аппарат",IF(C439="","",COUNTIFS(Однолинейка!$I$3:$I$3000,C439,Однолинейка!$A$3:$A$3000,Щит_спец)+COUNTIFS(Однолинейка!$J$3:$J$3000,C439,Однолинейка!$A$3:$A$3000,Щит_спец)+COUNTIFS(Однолинейка!$K$3:$K$3000,C439,Однолинейка!$A$3:$A$3000,Щит_спец)),IF(A439="Модуль",IF(C439="","",COUNTIFS(Однолинейка!$AW$3:$AW$3000,"?*",Однолинейка!$AI$3:$AI$3000,C439,Однолинейка!$A$3:$A$3000,Щит_спец)),IF(A439="Клемма",IF(C439="","",IF(C439=$S$7,SUMIFS(Однолинейка!$BW$3:$BW$3000,Однолинейка!$A$3:$A$3000,Щит_спец),IF(C439=$S$8,SUMIFS(Однолинейка!$BX$3:$BX$3000,Однолинейка!$A$3:$A$3000,Щит_спец),""))),""))))</f>
        <v/>
      </c>
      <c r="O439" s="74"/>
      <c r="P439" s="38" t="str">
        <f t="shared" si="54"/>
        <v/>
      </c>
      <c r="U439" s="38" t="str">
        <f t="shared" si="55"/>
        <v/>
      </c>
      <c r="V439" s="38" t="str">
        <f t="shared" si="56"/>
        <v/>
      </c>
      <c r="W439" s="38" t="str">
        <f>IF(AND(U439&lt;&gt;"",OR($S$4="(все)",B439=$S$4),IF($S$4="(все)",COUNTIF($U$4:U439,U439),COUNTIFS($U$4:U439,U439,$B$4:B439,B439))=1),MAX($W$3:W438)+1,"")</f>
        <v/>
      </c>
      <c r="X439" s="38" t="str">
        <f t="shared" si="57"/>
        <v/>
      </c>
      <c r="Y439" s="38" t="str">
        <f>IF(AND(A439="Аппарат",C439&lt;&gt;"",OR($S$5="(все)",B439=$S$5)),MAX($Y$3:Y438)+1,"")</f>
        <v/>
      </c>
      <c r="Z439" s="38" t="str">
        <f t="shared" si="58"/>
        <v/>
      </c>
      <c r="AA439" s="38" t="str">
        <f>IF(AND(A439="Модуль",C439&lt;&gt;"",OR($S$6="(все)",B439=$S$6)),MAX($AA$3:AA438)+1,"")</f>
        <v/>
      </c>
      <c r="AB439" s="38" t="str">
        <f t="shared" si="59"/>
        <v/>
      </c>
      <c r="AC439" s="38" t="str">
        <f>IF(OR(B439="",COUNTIF($B$4:B439,B439)&gt;1),"",MAX($AC$3:AC438)+1)</f>
        <v/>
      </c>
      <c r="AD439" s="38" t="str">
        <f t="shared" si="60"/>
        <v/>
      </c>
      <c r="AE439" s="38" t="str">
        <f t="shared" si="61"/>
        <v/>
      </c>
      <c r="AF439" s="38" t="str">
        <f t="shared" si="62"/>
        <v/>
      </c>
    </row>
    <row r="440" spans="1:32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38" t="str">
        <f>IF(OR(A440="Автомат",A440="Дифавтомат"),IF(W440="","",COUNTIFS(Однолинейка!$H$3:$H$3000,U440,Однолинейка!$A$3:$A$3000,Щит_спец)),IF(A440="Аппарат",IF(C440="","",COUNTIFS(Однолинейка!$I$3:$I$3000,C440,Однолинейка!$A$3:$A$3000,Щит_спец)+COUNTIFS(Однолинейка!$J$3:$J$3000,C440,Однолинейка!$A$3:$A$3000,Щит_спец)+COUNTIFS(Однолинейка!$K$3:$K$3000,C440,Однолинейка!$A$3:$A$3000,Щит_спец)),IF(A440="Модуль",IF(C440="","",COUNTIFS(Однолинейка!$AW$3:$AW$3000,"?*",Однолинейка!$AI$3:$AI$3000,C440,Однолинейка!$A$3:$A$3000,Щит_спец)),IF(A440="Клемма",IF(C440="","",IF(C440=$S$7,SUMIFS(Однолинейка!$BW$3:$BW$3000,Однолинейка!$A$3:$A$3000,Щит_спец),IF(C440=$S$8,SUMIFS(Однолинейка!$BX$3:$BX$3000,Однолинейка!$A$3:$A$3000,Щит_спец),""))),""))))</f>
        <v/>
      </c>
      <c r="O440" s="74"/>
      <c r="P440" s="38" t="str">
        <f t="shared" si="54"/>
        <v/>
      </c>
      <c r="U440" s="38" t="str">
        <f t="shared" si="55"/>
        <v/>
      </c>
      <c r="V440" s="38" t="str">
        <f t="shared" si="56"/>
        <v/>
      </c>
      <c r="W440" s="38" t="str">
        <f>IF(AND(U440&lt;&gt;"",OR($S$4="(все)",B440=$S$4),IF($S$4="(все)",COUNTIF($U$4:U440,U440),COUNTIFS($U$4:U440,U440,$B$4:B440,B440))=1),MAX($W$3:W439)+1,"")</f>
        <v/>
      </c>
      <c r="X440" s="38" t="str">
        <f t="shared" si="57"/>
        <v/>
      </c>
      <c r="Y440" s="38" t="str">
        <f>IF(AND(A440="Аппарат",C440&lt;&gt;"",OR($S$5="(все)",B440=$S$5)),MAX($Y$3:Y439)+1,"")</f>
        <v/>
      </c>
      <c r="Z440" s="38" t="str">
        <f t="shared" si="58"/>
        <v/>
      </c>
      <c r="AA440" s="38" t="str">
        <f>IF(AND(A440="Модуль",C440&lt;&gt;"",OR($S$6="(все)",B440=$S$6)),MAX($AA$3:AA439)+1,"")</f>
        <v/>
      </c>
      <c r="AB440" s="38" t="str">
        <f t="shared" si="59"/>
        <v/>
      </c>
      <c r="AC440" s="38" t="str">
        <f>IF(OR(B440="",COUNTIF($B$4:B440,B440)&gt;1),"",MAX($AC$3:AC439)+1)</f>
        <v/>
      </c>
      <c r="AD440" s="38" t="str">
        <f t="shared" si="60"/>
        <v/>
      </c>
      <c r="AE440" s="38" t="str">
        <f t="shared" si="61"/>
        <v/>
      </c>
      <c r="AF440" s="38" t="str">
        <f t="shared" si="62"/>
        <v/>
      </c>
    </row>
    <row r="441" spans="1:32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38" t="str">
        <f>IF(OR(A441="Автомат",A441="Дифавтомат"),IF(W441="","",COUNTIFS(Однолинейка!$H$3:$H$3000,U441,Однолинейка!$A$3:$A$3000,Щит_спец)),IF(A441="Аппарат",IF(C441="","",COUNTIFS(Однолинейка!$I$3:$I$3000,C441,Однолинейка!$A$3:$A$3000,Щит_спец)+COUNTIFS(Однолинейка!$J$3:$J$3000,C441,Однолинейка!$A$3:$A$3000,Щит_спец)+COUNTIFS(Однолинейка!$K$3:$K$3000,C441,Однолинейка!$A$3:$A$3000,Щит_спец)),IF(A441="Модуль",IF(C441="","",COUNTIFS(Однолинейка!$AW$3:$AW$3000,"?*",Однолинейка!$AI$3:$AI$3000,C441,Однолинейка!$A$3:$A$3000,Щит_спец)),IF(A441="Клемма",IF(C441="","",IF(C441=$S$7,SUMIFS(Однолинейка!$BW$3:$BW$3000,Однолинейка!$A$3:$A$3000,Щит_спец),IF(C441=$S$8,SUMIFS(Однолинейка!$BX$3:$BX$3000,Однолинейка!$A$3:$A$3000,Щит_спец),""))),""))))</f>
        <v/>
      </c>
      <c r="O441" s="74"/>
      <c r="P441" s="38" t="str">
        <f t="shared" si="54"/>
        <v/>
      </c>
      <c r="U441" s="38" t="str">
        <f t="shared" si="55"/>
        <v/>
      </c>
      <c r="V441" s="38" t="str">
        <f t="shared" si="56"/>
        <v/>
      </c>
      <c r="W441" s="38" t="str">
        <f>IF(AND(U441&lt;&gt;"",OR($S$4="(все)",B441=$S$4),IF($S$4="(все)",COUNTIF($U$4:U441,U441),COUNTIFS($U$4:U441,U441,$B$4:B441,B441))=1),MAX($W$3:W440)+1,"")</f>
        <v/>
      </c>
      <c r="X441" s="38" t="str">
        <f t="shared" si="57"/>
        <v/>
      </c>
      <c r="Y441" s="38" t="str">
        <f>IF(AND(A441="Аппарат",C441&lt;&gt;"",OR($S$5="(все)",B441=$S$5)),MAX($Y$3:Y440)+1,"")</f>
        <v/>
      </c>
      <c r="Z441" s="38" t="str">
        <f t="shared" si="58"/>
        <v/>
      </c>
      <c r="AA441" s="38" t="str">
        <f>IF(AND(A441="Модуль",C441&lt;&gt;"",OR($S$6="(все)",B441=$S$6)),MAX($AA$3:AA440)+1,"")</f>
        <v/>
      </c>
      <c r="AB441" s="38" t="str">
        <f t="shared" si="59"/>
        <v/>
      </c>
      <c r="AC441" s="38" t="str">
        <f>IF(OR(B441="",COUNTIF($B$4:B441,B441)&gt;1),"",MAX($AC$3:AC440)+1)</f>
        <v/>
      </c>
      <c r="AD441" s="38" t="str">
        <f t="shared" si="60"/>
        <v/>
      </c>
      <c r="AE441" s="38" t="str">
        <f t="shared" si="61"/>
        <v/>
      </c>
      <c r="AF441" s="38" t="str">
        <f t="shared" si="62"/>
        <v/>
      </c>
    </row>
    <row r="442" spans="1:32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38" t="str">
        <f>IF(OR(A442="Автомат",A442="Дифавтомат"),IF(W442="","",COUNTIFS(Однолинейка!$H$3:$H$3000,U442,Однолинейка!$A$3:$A$3000,Щит_спец)),IF(A442="Аппарат",IF(C442="","",COUNTIFS(Однолинейка!$I$3:$I$3000,C442,Однолинейка!$A$3:$A$3000,Щит_спец)+COUNTIFS(Однолинейка!$J$3:$J$3000,C442,Однолинейка!$A$3:$A$3000,Щит_спец)+COUNTIFS(Однолинейка!$K$3:$K$3000,C442,Однолинейка!$A$3:$A$3000,Щит_спец)),IF(A442="Модуль",IF(C442="","",COUNTIFS(Однолинейка!$AW$3:$AW$3000,"?*",Однолинейка!$AI$3:$AI$3000,C442,Однолинейка!$A$3:$A$3000,Щит_спец)),IF(A442="Клемма",IF(C442="","",IF(C442=$S$7,SUMIFS(Однолинейка!$BW$3:$BW$3000,Однолинейка!$A$3:$A$3000,Щит_спец),IF(C442=$S$8,SUMIFS(Однолинейка!$BX$3:$BX$3000,Однолинейка!$A$3:$A$3000,Щит_спец),""))),""))))</f>
        <v/>
      </c>
      <c r="O442" s="74"/>
      <c r="P442" s="38" t="str">
        <f t="shared" si="54"/>
        <v/>
      </c>
      <c r="U442" s="38" t="str">
        <f t="shared" si="55"/>
        <v/>
      </c>
      <c r="V442" s="38" t="str">
        <f t="shared" si="56"/>
        <v/>
      </c>
      <c r="W442" s="38" t="str">
        <f>IF(AND(U442&lt;&gt;"",OR($S$4="(все)",B442=$S$4),IF($S$4="(все)",COUNTIF($U$4:U442,U442),COUNTIFS($U$4:U442,U442,$B$4:B442,B442))=1),MAX($W$3:W441)+1,"")</f>
        <v/>
      </c>
      <c r="X442" s="38" t="str">
        <f t="shared" si="57"/>
        <v/>
      </c>
      <c r="Y442" s="38" t="str">
        <f>IF(AND(A442="Аппарат",C442&lt;&gt;"",OR($S$5="(все)",B442=$S$5)),MAX($Y$3:Y441)+1,"")</f>
        <v/>
      </c>
      <c r="Z442" s="38" t="str">
        <f t="shared" si="58"/>
        <v/>
      </c>
      <c r="AA442" s="38" t="str">
        <f>IF(AND(A442="Модуль",C442&lt;&gt;"",OR($S$6="(все)",B442=$S$6)),MAX($AA$3:AA441)+1,"")</f>
        <v/>
      </c>
      <c r="AB442" s="38" t="str">
        <f t="shared" si="59"/>
        <v/>
      </c>
      <c r="AC442" s="38" t="str">
        <f>IF(OR(B442="",COUNTIF($B$4:B442,B442)&gt;1),"",MAX($AC$3:AC441)+1)</f>
        <v/>
      </c>
      <c r="AD442" s="38" t="str">
        <f t="shared" si="60"/>
        <v/>
      </c>
      <c r="AE442" s="38" t="str">
        <f t="shared" si="61"/>
        <v/>
      </c>
      <c r="AF442" s="38" t="str">
        <f t="shared" si="62"/>
        <v/>
      </c>
    </row>
    <row r="443" spans="1:32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38" t="str">
        <f>IF(OR(A443="Автомат",A443="Дифавтомат"),IF(W443="","",COUNTIFS(Однолинейка!$H$3:$H$3000,U443,Однолинейка!$A$3:$A$3000,Щит_спец)),IF(A443="Аппарат",IF(C443="","",COUNTIFS(Однолинейка!$I$3:$I$3000,C443,Однолинейка!$A$3:$A$3000,Щит_спец)+COUNTIFS(Однолинейка!$J$3:$J$3000,C443,Однолинейка!$A$3:$A$3000,Щит_спец)+COUNTIFS(Однолинейка!$K$3:$K$3000,C443,Однолинейка!$A$3:$A$3000,Щит_спец)),IF(A443="Модуль",IF(C443="","",COUNTIFS(Однолинейка!$AW$3:$AW$3000,"?*",Однолинейка!$AI$3:$AI$3000,C443,Однолинейка!$A$3:$A$3000,Щит_спец)),IF(A443="Клемма",IF(C443="","",IF(C443=$S$7,SUMIFS(Однолинейка!$BW$3:$BW$3000,Однолинейка!$A$3:$A$3000,Щит_спец),IF(C443=$S$8,SUMIFS(Однолинейка!$BX$3:$BX$3000,Однолинейка!$A$3:$A$3000,Щит_спец),""))),""))))</f>
        <v/>
      </c>
      <c r="O443" s="74"/>
      <c r="P443" s="38" t="str">
        <f t="shared" si="54"/>
        <v/>
      </c>
      <c r="U443" s="38" t="str">
        <f t="shared" si="55"/>
        <v/>
      </c>
      <c r="V443" s="38" t="str">
        <f t="shared" si="56"/>
        <v/>
      </c>
      <c r="W443" s="38" t="str">
        <f>IF(AND(U443&lt;&gt;"",OR($S$4="(все)",B443=$S$4),IF($S$4="(все)",COUNTIF($U$4:U443,U443),COUNTIFS($U$4:U443,U443,$B$4:B443,B443))=1),MAX($W$3:W442)+1,"")</f>
        <v/>
      </c>
      <c r="X443" s="38" t="str">
        <f t="shared" si="57"/>
        <v/>
      </c>
      <c r="Y443" s="38" t="str">
        <f>IF(AND(A443="Аппарат",C443&lt;&gt;"",OR($S$5="(все)",B443=$S$5)),MAX($Y$3:Y442)+1,"")</f>
        <v/>
      </c>
      <c r="Z443" s="38" t="str">
        <f t="shared" si="58"/>
        <v/>
      </c>
      <c r="AA443" s="38" t="str">
        <f>IF(AND(A443="Модуль",C443&lt;&gt;"",OR($S$6="(все)",B443=$S$6)),MAX($AA$3:AA442)+1,"")</f>
        <v/>
      </c>
      <c r="AB443" s="38" t="str">
        <f t="shared" si="59"/>
        <v/>
      </c>
      <c r="AC443" s="38" t="str">
        <f>IF(OR(B443="",COUNTIF($B$4:B443,B443)&gt;1),"",MAX($AC$3:AC442)+1)</f>
        <v/>
      </c>
      <c r="AD443" s="38" t="str">
        <f t="shared" si="60"/>
        <v/>
      </c>
      <c r="AE443" s="38" t="str">
        <f t="shared" si="61"/>
        <v/>
      </c>
      <c r="AF443" s="38" t="str">
        <f t="shared" si="62"/>
        <v/>
      </c>
    </row>
    <row r="444" spans="1:32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38" t="str">
        <f>IF(OR(A444="Автомат",A444="Дифавтомат"),IF(W444="","",COUNTIFS(Однолинейка!$H$3:$H$3000,U444,Однолинейка!$A$3:$A$3000,Щит_спец)),IF(A444="Аппарат",IF(C444="","",COUNTIFS(Однолинейка!$I$3:$I$3000,C444,Однолинейка!$A$3:$A$3000,Щит_спец)+COUNTIFS(Однолинейка!$J$3:$J$3000,C444,Однолинейка!$A$3:$A$3000,Щит_спец)+COUNTIFS(Однолинейка!$K$3:$K$3000,C444,Однолинейка!$A$3:$A$3000,Щит_спец)),IF(A444="Модуль",IF(C444="","",COUNTIFS(Однолинейка!$AW$3:$AW$3000,"?*",Однолинейка!$AI$3:$AI$3000,C444,Однолинейка!$A$3:$A$3000,Щит_спец)),IF(A444="Клемма",IF(C444="","",IF(C444=$S$7,SUMIFS(Однолинейка!$BW$3:$BW$3000,Однолинейка!$A$3:$A$3000,Щит_спец),IF(C444=$S$8,SUMIFS(Однолинейка!$BX$3:$BX$3000,Однолинейка!$A$3:$A$3000,Щит_спец),""))),""))))</f>
        <v/>
      </c>
      <c r="O444" s="74"/>
      <c r="P444" s="38" t="str">
        <f t="shared" si="54"/>
        <v/>
      </c>
      <c r="U444" s="38" t="str">
        <f t="shared" si="55"/>
        <v/>
      </c>
      <c r="V444" s="38" t="str">
        <f t="shared" si="56"/>
        <v/>
      </c>
      <c r="W444" s="38" t="str">
        <f>IF(AND(U444&lt;&gt;"",OR($S$4="(все)",B444=$S$4),IF($S$4="(все)",COUNTIF($U$4:U444,U444),COUNTIFS($U$4:U444,U444,$B$4:B444,B444))=1),MAX($W$3:W443)+1,"")</f>
        <v/>
      </c>
      <c r="X444" s="38" t="str">
        <f t="shared" si="57"/>
        <v/>
      </c>
      <c r="Y444" s="38" t="str">
        <f>IF(AND(A444="Аппарат",C444&lt;&gt;"",OR($S$5="(все)",B444=$S$5)),MAX($Y$3:Y443)+1,"")</f>
        <v/>
      </c>
      <c r="Z444" s="38" t="str">
        <f t="shared" si="58"/>
        <v/>
      </c>
      <c r="AA444" s="38" t="str">
        <f>IF(AND(A444="Модуль",C444&lt;&gt;"",OR($S$6="(все)",B444=$S$6)),MAX($AA$3:AA443)+1,"")</f>
        <v/>
      </c>
      <c r="AB444" s="38" t="str">
        <f t="shared" si="59"/>
        <v/>
      </c>
      <c r="AC444" s="38" t="str">
        <f>IF(OR(B444="",COUNTIF($B$4:B444,B444)&gt;1),"",MAX($AC$3:AC443)+1)</f>
        <v/>
      </c>
      <c r="AD444" s="38" t="str">
        <f t="shared" si="60"/>
        <v/>
      </c>
      <c r="AE444" s="38" t="str">
        <f t="shared" si="61"/>
        <v/>
      </c>
      <c r="AF444" s="38" t="str">
        <f t="shared" si="62"/>
        <v/>
      </c>
    </row>
    <row r="445" spans="1:32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38" t="str">
        <f>IF(OR(A445="Автомат",A445="Дифавтомат"),IF(W445="","",COUNTIFS(Однолинейка!$H$3:$H$3000,U445,Однолинейка!$A$3:$A$3000,Щит_спец)),IF(A445="Аппарат",IF(C445="","",COUNTIFS(Однолинейка!$I$3:$I$3000,C445,Однолинейка!$A$3:$A$3000,Щит_спец)+COUNTIFS(Однолинейка!$J$3:$J$3000,C445,Однолинейка!$A$3:$A$3000,Щит_спец)+COUNTIFS(Однолинейка!$K$3:$K$3000,C445,Однолинейка!$A$3:$A$3000,Щит_спец)),IF(A445="Модуль",IF(C445="","",COUNTIFS(Однолинейка!$AW$3:$AW$3000,"?*",Однолинейка!$AI$3:$AI$3000,C445,Однолинейка!$A$3:$A$3000,Щит_спец)),IF(A445="Клемма",IF(C445="","",IF(C445=$S$7,SUMIFS(Однолинейка!$BW$3:$BW$3000,Однолинейка!$A$3:$A$3000,Щит_спец),IF(C445=$S$8,SUMIFS(Однолинейка!$BX$3:$BX$3000,Однолинейка!$A$3:$A$3000,Щит_спец),""))),""))))</f>
        <v/>
      </c>
      <c r="O445" s="74"/>
      <c r="P445" s="38" t="str">
        <f t="shared" si="54"/>
        <v/>
      </c>
      <c r="U445" s="38" t="str">
        <f t="shared" si="55"/>
        <v/>
      </c>
      <c r="V445" s="38" t="str">
        <f t="shared" si="56"/>
        <v/>
      </c>
      <c r="W445" s="38" t="str">
        <f>IF(AND(U445&lt;&gt;"",OR($S$4="(все)",B445=$S$4),IF($S$4="(все)",COUNTIF($U$4:U445,U445),COUNTIFS($U$4:U445,U445,$B$4:B445,B445))=1),MAX($W$3:W444)+1,"")</f>
        <v/>
      </c>
      <c r="X445" s="38" t="str">
        <f t="shared" si="57"/>
        <v/>
      </c>
      <c r="Y445" s="38" t="str">
        <f>IF(AND(A445="Аппарат",C445&lt;&gt;"",OR($S$5="(все)",B445=$S$5)),MAX($Y$3:Y444)+1,"")</f>
        <v/>
      </c>
      <c r="Z445" s="38" t="str">
        <f t="shared" si="58"/>
        <v/>
      </c>
      <c r="AA445" s="38" t="str">
        <f>IF(AND(A445="Модуль",C445&lt;&gt;"",OR($S$6="(все)",B445=$S$6)),MAX($AA$3:AA444)+1,"")</f>
        <v/>
      </c>
      <c r="AB445" s="38" t="str">
        <f t="shared" si="59"/>
        <v/>
      </c>
      <c r="AC445" s="38" t="str">
        <f>IF(OR(B445="",COUNTIF($B$4:B445,B445)&gt;1),"",MAX($AC$3:AC444)+1)</f>
        <v/>
      </c>
      <c r="AD445" s="38" t="str">
        <f t="shared" si="60"/>
        <v/>
      </c>
      <c r="AE445" s="38" t="str">
        <f t="shared" si="61"/>
        <v/>
      </c>
      <c r="AF445" s="38" t="str">
        <f t="shared" si="62"/>
        <v/>
      </c>
    </row>
    <row r="446" spans="1:32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38" t="str">
        <f>IF(OR(A446="Автомат",A446="Дифавтомат"),IF(W446="","",COUNTIFS(Однолинейка!$H$3:$H$3000,U446,Однолинейка!$A$3:$A$3000,Щит_спец)),IF(A446="Аппарат",IF(C446="","",COUNTIFS(Однолинейка!$I$3:$I$3000,C446,Однолинейка!$A$3:$A$3000,Щит_спец)+COUNTIFS(Однолинейка!$J$3:$J$3000,C446,Однолинейка!$A$3:$A$3000,Щит_спец)+COUNTIFS(Однолинейка!$K$3:$K$3000,C446,Однолинейка!$A$3:$A$3000,Щит_спец)),IF(A446="Модуль",IF(C446="","",COUNTIFS(Однолинейка!$AW$3:$AW$3000,"?*",Однолинейка!$AI$3:$AI$3000,C446,Однолинейка!$A$3:$A$3000,Щит_спец)),IF(A446="Клемма",IF(C446="","",IF(C446=$S$7,SUMIFS(Однолинейка!$BW$3:$BW$3000,Однолинейка!$A$3:$A$3000,Щит_спец),IF(C446=$S$8,SUMIFS(Однолинейка!$BX$3:$BX$3000,Однолинейка!$A$3:$A$3000,Щит_спец),""))),""))))</f>
        <v/>
      </c>
      <c r="O446" s="74"/>
      <c r="P446" s="38" t="str">
        <f t="shared" si="54"/>
        <v/>
      </c>
      <c r="U446" s="38" t="str">
        <f t="shared" si="55"/>
        <v/>
      </c>
      <c r="V446" s="38" t="str">
        <f t="shared" si="56"/>
        <v/>
      </c>
      <c r="W446" s="38" t="str">
        <f>IF(AND(U446&lt;&gt;"",OR($S$4="(все)",B446=$S$4),IF($S$4="(все)",COUNTIF($U$4:U446,U446),COUNTIFS($U$4:U446,U446,$B$4:B446,B446))=1),MAX($W$3:W445)+1,"")</f>
        <v/>
      </c>
      <c r="X446" s="38" t="str">
        <f t="shared" si="57"/>
        <v/>
      </c>
      <c r="Y446" s="38" t="str">
        <f>IF(AND(A446="Аппарат",C446&lt;&gt;"",OR($S$5="(все)",B446=$S$5)),MAX($Y$3:Y445)+1,"")</f>
        <v/>
      </c>
      <c r="Z446" s="38" t="str">
        <f t="shared" si="58"/>
        <v/>
      </c>
      <c r="AA446" s="38" t="str">
        <f>IF(AND(A446="Модуль",C446&lt;&gt;"",OR($S$6="(все)",B446=$S$6)),MAX($AA$3:AA445)+1,"")</f>
        <v/>
      </c>
      <c r="AB446" s="38" t="str">
        <f t="shared" si="59"/>
        <v/>
      </c>
      <c r="AC446" s="38" t="str">
        <f>IF(OR(B446="",COUNTIF($B$4:B446,B446)&gt;1),"",MAX($AC$3:AC445)+1)</f>
        <v/>
      </c>
      <c r="AD446" s="38" t="str">
        <f t="shared" si="60"/>
        <v/>
      </c>
      <c r="AE446" s="38" t="str">
        <f t="shared" si="61"/>
        <v/>
      </c>
      <c r="AF446" s="38" t="str">
        <f t="shared" si="62"/>
        <v/>
      </c>
    </row>
    <row r="447" spans="1:32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38" t="str">
        <f>IF(OR(A447="Автомат",A447="Дифавтомат"),IF(W447="","",COUNTIFS(Однолинейка!$H$3:$H$3000,U447,Однолинейка!$A$3:$A$3000,Щит_спец)),IF(A447="Аппарат",IF(C447="","",COUNTIFS(Однолинейка!$I$3:$I$3000,C447,Однолинейка!$A$3:$A$3000,Щит_спец)+COUNTIFS(Однолинейка!$J$3:$J$3000,C447,Однолинейка!$A$3:$A$3000,Щит_спец)+COUNTIFS(Однолинейка!$K$3:$K$3000,C447,Однолинейка!$A$3:$A$3000,Щит_спец)),IF(A447="Модуль",IF(C447="","",COUNTIFS(Однолинейка!$AW$3:$AW$3000,"?*",Однолинейка!$AI$3:$AI$3000,C447,Однолинейка!$A$3:$A$3000,Щит_спец)),IF(A447="Клемма",IF(C447="","",IF(C447=$S$7,SUMIFS(Однолинейка!$BW$3:$BW$3000,Однолинейка!$A$3:$A$3000,Щит_спец),IF(C447=$S$8,SUMIFS(Однолинейка!$BX$3:$BX$3000,Однолинейка!$A$3:$A$3000,Щит_спец),""))),""))))</f>
        <v/>
      </c>
      <c r="O447" s="74"/>
      <c r="P447" s="38" t="str">
        <f t="shared" si="54"/>
        <v/>
      </c>
      <c r="U447" s="38" t="str">
        <f t="shared" si="55"/>
        <v/>
      </c>
      <c r="V447" s="38" t="str">
        <f t="shared" si="56"/>
        <v/>
      </c>
      <c r="W447" s="38" t="str">
        <f>IF(AND(U447&lt;&gt;"",OR($S$4="(все)",B447=$S$4),IF($S$4="(все)",COUNTIF($U$4:U447,U447),COUNTIFS($U$4:U447,U447,$B$4:B447,B447))=1),MAX($W$3:W446)+1,"")</f>
        <v/>
      </c>
      <c r="X447" s="38" t="str">
        <f t="shared" si="57"/>
        <v/>
      </c>
      <c r="Y447" s="38" t="str">
        <f>IF(AND(A447="Аппарат",C447&lt;&gt;"",OR($S$5="(все)",B447=$S$5)),MAX($Y$3:Y446)+1,"")</f>
        <v/>
      </c>
      <c r="Z447" s="38" t="str">
        <f t="shared" si="58"/>
        <v/>
      </c>
      <c r="AA447" s="38" t="str">
        <f>IF(AND(A447="Модуль",C447&lt;&gt;"",OR($S$6="(все)",B447=$S$6)),MAX($AA$3:AA446)+1,"")</f>
        <v/>
      </c>
      <c r="AB447" s="38" t="str">
        <f t="shared" si="59"/>
        <v/>
      </c>
      <c r="AC447" s="38" t="str">
        <f>IF(OR(B447="",COUNTIF($B$4:B447,B447)&gt;1),"",MAX($AC$3:AC446)+1)</f>
        <v/>
      </c>
      <c r="AD447" s="38" t="str">
        <f t="shared" si="60"/>
        <v/>
      </c>
      <c r="AE447" s="38" t="str">
        <f t="shared" si="61"/>
        <v/>
      </c>
      <c r="AF447" s="38" t="str">
        <f t="shared" si="62"/>
        <v/>
      </c>
    </row>
    <row r="448" spans="1:32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38" t="str">
        <f>IF(OR(A448="Автомат",A448="Дифавтомат"),IF(W448="","",COUNTIFS(Однолинейка!$H$3:$H$3000,U448,Однолинейка!$A$3:$A$3000,Щит_спец)),IF(A448="Аппарат",IF(C448="","",COUNTIFS(Однолинейка!$I$3:$I$3000,C448,Однолинейка!$A$3:$A$3000,Щит_спец)+COUNTIFS(Однолинейка!$J$3:$J$3000,C448,Однолинейка!$A$3:$A$3000,Щит_спец)+COUNTIFS(Однолинейка!$K$3:$K$3000,C448,Однолинейка!$A$3:$A$3000,Щит_спец)),IF(A448="Модуль",IF(C448="","",COUNTIFS(Однолинейка!$AW$3:$AW$3000,"?*",Однолинейка!$AI$3:$AI$3000,C448,Однолинейка!$A$3:$A$3000,Щит_спец)),IF(A448="Клемма",IF(C448="","",IF(C448=$S$7,SUMIFS(Однолинейка!$BW$3:$BW$3000,Однолинейка!$A$3:$A$3000,Щит_спец),IF(C448=$S$8,SUMIFS(Однолинейка!$BX$3:$BX$3000,Однолинейка!$A$3:$A$3000,Щит_спец),""))),""))))</f>
        <v/>
      </c>
      <c r="O448" s="74"/>
      <c r="P448" s="38" t="str">
        <f t="shared" si="54"/>
        <v/>
      </c>
      <c r="U448" s="38" t="str">
        <f t="shared" si="55"/>
        <v/>
      </c>
      <c r="V448" s="38" t="str">
        <f t="shared" si="56"/>
        <v/>
      </c>
      <c r="W448" s="38" t="str">
        <f>IF(AND(U448&lt;&gt;"",OR($S$4="(все)",B448=$S$4),IF($S$4="(все)",COUNTIF($U$4:U448,U448),COUNTIFS($U$4:U448,U448,$B$4:B448,B448))=1),MAX($W$3:W447)+1,"")</f>
        <v/>
      </c>
      <c r="X448" s="38" t="str">
        <f t="shared" si="57"/>
        <v/>
      </c>
      <c r="Y448" s="38" t="str">
        <f>IF(AND(A448="Аппарат",C448&lt;&gt;"",OR($S$5="(все)",B448=$S$5)),MAX($Y$3:Y447)+1,"")</f>
        <v/>
      </c>
      <c r="Z448" s="38" t="str">
        <f t="shared" si="58"/>
        <v/>
      </c>
      <c r="AA448" s="38" t="str">
        <f>IF(AND(A448="Модуль",C448&lt;&gt;"",OR($S$6="(все)",B448=$S$6)),MAX($AA$3:AA447)+1,"")</f>
        <v/>
      </c>
      <c r="AB448" s="38" t="str">
        <f t="shared" si="59"/>
        <v/>
      </c>
      <c r="AC448" s="38" t="str">
        <f>IF(OR(B448="",COUNTIF($B$4:B448,B448)&gt;1),"",MAX($AC$3:AC447)+1)</f>
        <v/>
      </c>
      <c r="AD448" s="38" t="str">
        <f t="shared" si="60"/>
        <v/>
      </c>
      <c r="AE448" s="38" t="str">
        <f t="shared" si="61"/>
        <v/>
      </c>
      <c r="AF448" s="38" t="str">
        <f t="shared" si="62"/>
        <v/>
      </c>
    </row>
    <row r="449" spans="1:32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38" t="str">
        <f>IF(OR(A449="Автомат",A449="Дифавтомат"),IF(W449="","",COUNTIFS(Однолинейка!$H$3:$H$3000,U449,Однолинейка!$A$3:$A$3000,Щит_спец)),IF(A449="Аппарат",IF(C449="","",COUNTIFS(Однолинейка!$I$3:$I$3000,C449,Однолинейка!$A$3:$A$3000,Щит_спец)+COUNTIFS(Однолинейка!$J$3:$J$3000,C449,Однолинейка!$A$3:$A$3000,Щит_спец)+COUNTIFS(Однолинейка!$K$3:$K$3000,C449,Однолинейка!$A$3:$A$3000,Щит_спец)),IF(A449="Модуль",IF(C449="","",COUNTIFS(Однолинейка!$AW$3:$AW$3000,"?*",Однолинейка!$AI$3:$AI$3000,C449,Однолинейка!$A$3:$A$3000,Щит_спец)),IF(A449="Клемма",IF(C449="","",IF(C449=$S$7,SUMIFS(Однолинейка!$BW$3:$BW$3000,Однолинейка!$A$3:$A$3000,Щит_спец),IF(C449=$S$8,SUMIFS(Однолинейка!$BX$3:$BX$3000,Однолинейка!$A$3:$A$3000,Щит_спец),""))),""))))</f>
        <v/>
      </c>
      <c r="O449" s="74"/>
      <c r="P449" s="38" t="str">
        <f t="shared" si="54"/>
        <v/>
      </c>
      <c r="U449" s="38" t="str">
        <f t="shared" si="55"/>
        <v/>
      </c>
      <c r="V449" s="38" t="str">
        <f t="shared" si="56"/>
        <v/>
      </c>
      <c r="W449" s="38" t="str">
        <f>IF(AND(U449&lt;&gt;"",OR($S$4="(все)",B449=$S$4),IF($S$4="(все)",COUNTIF($U$4:U449,U449),COUNTIFS($U$4:U449,U449,$B$4:B449,B449))=1),MAX($W$3:W448)+1,"")</f>
        <v/>
      </c>
      <c r="X449" s="38" t="str">
        <f t="shared" si="57"/>
        <v/>
      </c>
      <c r="Y449" s="38" t="str">
        <f>IF(AND(A449="Аппарат",C449&lt;&gt;"",OR($S$5="(все)",B449=$S$5)),MAX($Y$3:Y448)+1,"")</f>
        <v/>
      </c>
      <c r="Z449" s="38" t="str">
        <f t="shared" si="58"/>
        <v/>
      </c>
      <c r="AA449" s="38" t="str">
        <f>IF(AND(A449="Модуль",C449&lt;&gt;"",OR($S$6="(все)",B449=$S$6)),MAX($AA$3:AA448)+1,"")</f>
        <v/>
      </c>
      <c r="AB449" s="38" t="str">
        <f t="shared" si="59"/>
        <v/>
      </c>
      <c r="AC449" s="38" t="str">
        <f>IF(OR(B449="",COUNTIF($B$4:B449,B449)&gt;1),"",MAX($AC$3:AC448)+1)</f>
        <v/>
      </c>
      <c r="AD449" s="38" t="str">
        <f t="shared" si="60"/>
        <v/>
      </c>
      <c r="AE449" s="38" t="str">
        <f t="shared" si="61"/>
        <v/>
      </c>
      <c r="AF449" s="38" t="str">
        <f t="shared" si="62"/>
        <v/>
      </c>
    </row>
    <row r="450" spans="1:32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38" t="str">
        <f>IF(OR(A450="Автомат",A450="Дифавтомат"),IF(W450="","",COUNTIFS(Однолинейка!$H$3:$H$3000,U450,Однолинейка!$A$3:$A$3000,Щит_спец)),IF(A450="Аппарат",IF(C450="","",COUNTIFS(Однолинейка!$I$3:$I$3000,C450,Однолинейка!$A$3:$A$3000,Щит_спец)+COUNTIFS(Однолинейка!$J$3:$J$3000,C450,Однолинейка!$A$3:$A$3000,Щит_спец)+COUNTIFS(Однолинейка!$K$3:$K$3000,C450,Однолинейка!$A$3:$A$3000,Щит_спец)),IF(A450="Модуль",IF(C450="","",COUNTIFS(Однолинейка!$AW$3:$AW$3000,"?*",Однолинейка!$AI$3:$AI$3000,C450,Однолинейка!$A$3:$A$3000,Щит_спец)),IF(A450="Клемма",IF(C450="","",IF(C450=$S$7,SUMIFS(Однолинейка!$BW$3:$BW$3000,Однолинейка!$A$3:$A$3000,Щит_спец),IF(C450=$S$8,SUMIFS(Однолинейка!$BX$3:$BX$3000,Однолинейка!$A$3:$A$3000,Щит_спец),""))),""))))</f>
        <v/>
      </c>
      <c r="O450" s="74"/>
      <c r="P450" s="38" t="str">
        <f t="shared" si="54"/>
        <v/>
      </c>
      <c r="U450" s="38" t="str">
        <f t="shared" si="55"/>
        <v/>
      </c>
      <c r="V450" s="38" t="str">
        <f t="shared" si="56"/>
        <v/>
      </c>
      <c r="W450" s="38" t="str">
        <f>IF(AND(U450&lt;&gt;"",OR($S$4="(все)",B450=$S$4),IF($S$4="(все)",COUNTIF($U$4:U450,U450),COUNTIFS($U$4:U450,U450,$B$4:B450,B450))=1),MAX($W$3:W449)+1,"")</f>
        <v/>
      </c>
      <c r="X450" s="38" t="str">
        <f t="shared" si="57"/>
        <v/>
      </c>
      <c r="Y450" s="38" t="str">
        <f>IF(AND(A450="Аппарат",C450&lt;&gt;"",OR($S$5="(все)",B450=$S$5)),MAX($Y$3:Y449)+1,"")</f>
        <v/>
      </c>
      <c r="Z450" s="38" t="str">
        <f t="shared" si="58"/>
        <v/>
      </c>
      <c r="AA450" s="38" t="str">
        <f>IF(AND(A450="Модуль",C450&lt;&gt;"",OR($S$6="(все)",B450=$S$6)),MAX($AA$3:AA449)+1,"")</f>
        <v/>
      </c>
      <c r="AB450" s="38" t="str">
        <f t="shared" si="59"/>
        <v/>
      </c>
      <c r="AC450" s="38" t="str">
        <f>IF(OR(B450="",COUNTIF($B$4:B450,B450)&gt;1),"",MAX($AC$3:AC449)+1)</f>
        <v/>
      </c>
      <c r="AD450" s="38" t="str">
        <f t="shared" si="60"/>
        <v/>
      </c>
      <c r="AE450" s="38" t="str">
        <f t="shared" si="61"/>
        <v/>
      </c>
      <c r="AF450" s="38" t="str">
        <f t="shared" si="62"/>
        <v/>
      </c>
    </row>
    <row r="451" spans="1:32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38" t="str">
        <f>IF(OR(A451="Автомат",A451="Дифавтомат"),IF(W451="","",COUNTIFS(Однолинейка!$H$3:$H$3000,U451,Однолинейка!$A$3:$A$3000,Щит_спец)),IF(A451="Аппарат",IF(C451="","",COUNTIFS(Однолинейка!$I$3:$I$3000,C451,Однолинейка!$A$3:$A$3000,Щит_спец)+COUNTIFS(Однолинейка!$J$3:$J$3000,C451,Однолинейка!$A$3:$A$3000,Щит_спец)+COUNTIFS(Однолинейка!$K$3:$K$3000,C451,Однолинейка!$A$3:$A$3000,Щит_спец)),IF(A451="Модуль",IF(C451="","",COUNTIFS(Однолинейка!$AW$3:$AW$3000,"?*",Однолинейка!$AI$3:$AI$3000,C451,Однолинейка!$A$3:$A$3000,Щит_спец)),IF(A451="Клемма",IF(C451="","",IF(C451=$S$7,SUMIFS(Однолинейка!$BW$3:$BW$3000,Однолинейка!$A$3:$A$3000,Щит_спец),IF(C451=$S$8,SUMIFS(Однолинейка!$BX$3:$BX$3000,Однолинейка!$A$3:$A$3000,Щит_спец),""))),""))))</f>
        <v/>
      </c>
      <c r="O451" s="74"/>
      <c r="P451" s="38" t="str">
        <f t="shared" si="54"/>
        <v/>
      </c>
      <c r="U451" s="38" t="str">
        <f t="shared" si="55"/>
        <v/>
      </c>
      <c r="V451" s="38" t="str">
        <f t="shared" si="56"/>
        <v/>
      </c>
      <c r="W451" s="38" t="str">
        <f>IF(AND(U451&lt;&gt;"",OR($S$4="(все)",B451=$S$4),IF($S$4="(все)",COUNTIF($U$4:U451,U451),COUNTIFS($U$4:U451,U451,$B$4:B451,B451))=1),MAX($W$3:W450)+1,"")</f>
        <v/>
      </c>
      <c r="X451" s="38" t="str">
        <f t="shared" si="57"/>
        <v/>
      </c>
      <c r="Y451" s="38" t="str">
        <f>IF(AND(A451="Аппарат",C451&lt;&gt;"",OR($S$5="(все)",B451=$S$5)),MAX($Y$3:Y450)+1,"")</f>
        <v/>
      </c>
      <c r="Z451" s="38" t="str">
        <f t="shared" si="58"/>
        <v/>
      </c>
      <c r="AA451" s="38" t="str">
        <f>IF(AND(A451="Модуль",C451&lt;&gt;"",OR($S$6="(все)",B451=$S$6)),MAX($AA$3:AA450)+1,"")</f>
        <v/>
      </c>
      <c r="AB451" s="38" t="str">
        <f t="shared" si="59"/>
        <v/>
      </c>
      <c r="AC451" s="38" t="str">
        <f>IF(OR(B451="",COUNTIF($B$4:B451,B451)&gt;1),"",MAX($AC$3:AC450)+1)</f>
        <v/>
      </c>
      <c r="AD451" s="38" t="str">
        <f t="shared" si="60"/>
        <v/>
      </c>
      <c r="AE451" s="38" t="str">
        <f t="shared" si="61"/>
        <v/>
      </c>
      <c r="AF451" s="38" t="str">
        <f t="shared" si="62"/>
        <v/>
      </c>
    </row>
    <row r="452" spans="1:32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38" t="str">
        <f>IF(OR(A452="Автомат",A452="Дифавтомат"),IF(W452="","",COUNTIFS(Однолинейка!$H$3:$H$3000,U452,Однолинейка!$A$3:$A$3000,Щит_спец)),IF(A452="Аппарат",IF(C452="","",COUNTIFS(Однолинейка!$I$3:$I$3000,C452,Однолинейка!$A$3:$A$3000,Щит_спец)+COUNTIFS(Однолинейка!$J$3:$J$3000,C452,Однолинейка!$A$3:$A$3000,Щит_спец)+COUNTIFS(Однолинейка!$K$3:$K$3000,C452,Однолинейка!$A$3:$A$3000,Щит_спец)),IF(A452="Модуль",IF(C452="","",COUNTIFS(Однолинейка!$AW$3:$AW$3000,"?*",Однолинейка!$AI$3:$AI$3000,C452,Однолинейка!$A$3:$A$3000,Щит_спец)),IF(A452="Клемма",IF(C452="","",IF(C452=$S$7,SUMIFS(Однолинейка!$BW$3:$BW$3000,Однолинейка!$A$3:$A$3000,Щит_спец),IF(C452=$S$8,SUMIFS(Однолинейка!$BX$3:$BX$3000,Однолинейка!$A$3:$A$3000,Щит_спец),""))),""))))</f>
        <v/>
      </c>
      <c r="O452" s="74"/>
      <c r="P452" s="38" t="str">
        <f t="shared" ref="P452:P500" si="63">IF(COUNT(N452,O452)=0,"",SUM(N452,O452))</f>
        <v/>
      </c>
      <c r="U452" s="38" t="str">
        <f t="shared" ref="U452:U500" si="64">IF(OR(A452="Автомат",A452="Дифавтомат"),I452&amp;" С"&amp;J452&amp;"А"&amp;IF(K452="да"," 30мА",IF(ISNUMBER(K452)," "&amp;K452&amp;"мА","")),"")</f>
        <v/>
      </c>
      <c r="V452" s="38" t="str">
        <f t="shared" ref="V452:V500" si="65">IF(U452="","",B452&amp;"|"&amp;U452)</f>
        <v/>
      </c>
      <c r="W452" s="38" t="str">
        <f>IF(AND(U452&lt;&gt;"",OR($S$4="(все)",B452=$S$4),IF($S$4="(все)",COUNTIF($U$4:U452,U452),COUNTIFS($U$4:U452,U452,$B$4:B452,B452))=1),MAX($W$3:W451)+1,"")</f>
        <v/>
      </c>
      <c r="X452" s="38" t="str">
        <f t="shared" ref="X452:X500" si="66">IFERROR(INDEX($U$4:$U$500,MATCH(ROW()-3,$W$4:$W$500,0)),"")</f>
        <v/>
      </c>
      <c r="Y452" s="38" t="str">
        <f>IF(AND(A452="Аппарат",C452&lt;&gt;"",OR($S$5="(все)",B452=$S$5)),MAX($Y$3:Y451)+1,"")</f>
        <v/>
      </c>
      <c r="Z452" s="38" t="str">
        <f t="shared" ref="Z452:Z500" si="67">IFERROR(INDEX($C$4:$C$500,MATCH(ROW()-3,$Y$4:$Y$500,0)),"")</f>
        <v/>
      </c>
      <c r="AA452" s="38" t="str">
        <f>IF(AND(A452="Модуль",C452&lt;&gt;"",OR($S$6="(все)",B452=$S$6)),MAX($AA$3:AA451)+1,"")</f>
        <v/>
      </c>
      <c r="AB452" s="38" t="str">
        <f t="shared" ref="AB452:AB500" si="68">IFERROR(INDEX($C$4:$C$500,MATCH(ROW()-3,$AA$4:$AA$500,0)),"")</f>
        <v/>
      </c>
      <c r="AC452" s="38" t="str">
        <f>IF(OR(B452="",COUNTIF($B$4:B452,B452)&gt;1),"",MAX($AC$3:AC451)+1)</f>
        <v/>
      </c>
      <c r="AD452" s="38" t="str">
        <f t="shared" ref="AD452:AD500" si="69">IFERROR(INDEX($B$4:$B$500,MATCH(ROW()-3,$AC$4:$AC$500,0)),"")</f>
        <v/>
      </c>
      <c r="AE452" s="38" t="str">
        <f t="shared" ref="AE452:AE500" si="70">IF(AND(A452&lt;&gt;"",N(P452)&gt;0),IFERROR(MATCH(A452,$R$12:$R$25,0),99)*1000+ROW(),"")</f>
        <v/>
      </c>
      <c r="AF452" s="38" t="str">
        <f t="shared" ref="AF452:AF500" si="71">IF(AE452="","",COUNTIF($AE$4:$AE$500,"&lt;="&amp;AE452))</f>
        <v/>
      </c>
    </row>
    <row r="453" spans="1:32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38" t="str">
        <f>IF(OR(A453="Автомат",A453="Дифавтомат"),IF(W453="","",COUNTIFS(Однолинейка!$H$3:$H$3000,U453,Однолинейка!$A$3:$A$3000,Щит_спец)),IF(A453="Аппарат",IF(C453="","",COUNTIFS(Однолинейка!$I$3:$I$3000,C453,Однолинейка!$A$3:$A$3000,Щит_спец)+COUNTIFS(Однолинейка!$J$3:$J$3000,C453,Однолинейка!$A$3:$A$3000,Щит_спец)+COUNTIFS(Однолинейка!$K$3:$K$3000,C453,Однолинейка!$A$3:$A$3000,Щит_спец)),IF(A453="Модуль",IF(C453="","",COUNTIFS(Однолинейка!$AW$3:$AW$3000,"?*",Однолинейка!$AI$3:$AI$3000,C453,Однолинейка!$A$3:$A$3000,Щит_спец)),IF(A453="Клемма",IF(C453="","",IF(C453=$S$7,SUMIFS(Однолинейка!$BW$3:$BW$3000,Однолинейка!$A$3:$A$3000,Щит_спец),IF(C453=$S$8,SUMIFS(Однолинейка!$BX$3:$BX$3000,Однолинейка!$A$3:$A$3000,Щит_спец),""))),""))))</f>
        <v/>
      </c>
      <c r="O453" s="74"/>
      <c r="P453" s="38" t="str">
        <f t="shared" si="63"/>
        <v/>
      </c>
      <c r="U453" s="38" t="str">
        <f t="shared" si="64"/>
        <v/>
      </c>
      <c r="V453" s="38" t="str">
        <f t="shared" si="65"/>
        <v/>
      </c>
      <c r="W453" s="38" t="str">
        <f>IF(AND(U453&lt;&gt;"",OR($S$4="(все)",B453=$S$4),IF($S$4="(все)",COUNTIF($U$4:U453,U453),COUNTIFS($U$4:U453,U453,$B$4:B453,B453))=1),MAX($W$3:W452)+1,"")</f>
        <v/>
      </c>
      <c r="X453" s="38" t="str">
        <f t="shared" si="66"/>
        <v/>
      </c>
      <c r="Y453" s="38" t="str">
        <f>IF(AND(A453="Аппарат",C453&lt;&gt;"",OR($S$5="(все)",B453=$S$5)),MAX($Y$3:Y452)+1,"")</f>
        <v/>
      </c>
      <c r="Z453" s="38" t="str">
        <f t="shared" si="67"/>
        <v/>
      </c>
      <c r="AA453" s="38" t="str">
        <f>IF(AND(A453="Модуль",C453&lt;&gt;"",OR($S$6="(все)",B453=$S$6)),MAX($AA$3:AA452)+1,"")</f>
        <v/>
      </c>
      <c r="AB453" s="38" t="str">
        <f t="shared" si="68"/>
        <v/>
      </c>
      <c r="AC453" s="38" t="str">
        <f>IF(OR(B453="",COUNTIF($B$4:B453,B453)&gt;1),"",MAX($AC$3:AC452)+1)</f>
        <v/>
      </c>
      <c r="AD453" s="38" t="str">
        <f t="shared" si="69"/>
        <v/>
      </c>
      <c r="AE453" s="38" t="str">
        <f t="shared" si="70"/>
        <v/>
      </c>
      <c r="AF453" s="38" t="str">
        <f t="shared" si="71"/>
        <v/>
      </c>
    </row>
    <row r="454" spans="1:32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38" t="str">
        <f>IF(OR(A454="Автомат",A454="Дифавтомат"),IF(W454="","",COUNTIFS(Однолинейка!$H$3:$H$3000,U454,Однолинейка!$A$3:$A$3000,Щит_спец)),IF(A454="Аппарат",IF(C454="","",COUNTIFS(Однолинейка!$I$3:$I$3000,C454,Однолинейка!$A$3:$A$3000,Щит_спец)+COUNTIFS(Однолинейка!$J$3:$J$3000,C454,Однолинейка!$A$3:$A$3000,Щит_спец)+COUNTIFS(Однолинейка!$K$3:$K$3000,C454,Однолинейка!$A$3:$A$3000,Щит_спец)),IF(A454="Модуль",IF(C454="","",COUNTIFS(Однолинейка!$AW$3:$AW$3000,"?*",Однолинейка!$AI$3:$AI$3000,C454,Однолинейка!$A$3:$A$3000,Щит_спец)),IF(A454="Клемма",IF(C454="","",IF(C454=$S$7,SUMIFS(Однолинейка!$BW$3:$BW$3000,Однолинейка!$A$3:$A$3000,Щит_спец),IF(C454=$S$8,SUMIFS(Однолинейка!$BX$3:$BX$3000,Однолинейка!$A$3:$A$3000,Щит_спец),""))),""))))</f>
        <v/>
      </c>
      <c r="O454" s="74"/>
      <c r="P454" s="38" t="str">
        <f t="shared" si="63"/>
        <v/>
      </c>
      <c r="U454" s="38" t="str">
        <f t="shared" si="64"/>
        <v/>
      </c>
      <c r="V454" s="38" t="str">
        <f t="shared" si="65"/>
        <v/>
      </c>
      <c r="W454" s="38" t="str">
        <f>IF(AND(U454&lt;&gt;"",OR($S$4="(все)",B454=$S$4),IF($S$4="(все)",COUNTIF($U$4:U454,U454),COUNTIFS($U$4:U454,U454,$B$4:B454,B454))=1),MAX($W$3:W453)+1,"")</f>
        <v/>
      </c>
      <c r="X454" s="38" t="str">
        <f t="shared" si="66"/>
        <v/>
      </c>
      <c r="Y454" s="38" t="str">
        <f>IF(AND(A454="Аппарат",C454&lt;&gt;"",OR($S$5="(все)",B454=$S$5)),MAX($Y$3:Y453)+1,"")</f>
        <v/>
      </c>
      <c r="Z454" s="38" t="str">
        <f t="shared" si="67"/>
        <v/>
      </c>
      <c r="AA454" s="38" t="str">
        <f>IF(AND(A454="Модуль",C454&lt;&gt;"",OR($S$6="(все)",B454=$S$6)),MAX($AA$3:AA453)+1,"")</f>
        <v/>
      </c>
      <c r="AB454" s="38" t="str">
        <f t="shared" si="68"/>
        <v/>
      </c>
      <c r="AC454" s="38" t="str">
        <f>IF(OR(B454="",COUNTIF($B$4:B454,B454)&gt;1),"",MAX($AC$3:AC453)+1)</f>
        <v/>
      </c>
      <c r="AD454" s="38" t="str">
        <f t="shared" si="69"/>
        <v/>
      </c>
      <c r="AE454" s="38" t="str">
        <f t="shared" si="70"/>
        <v/>
      </c>
      <c r="AF454" s="38" t="str">
        <f t="shared" si="71"/>
        <v/>
      </c>
    </row>
    <row r="455" spans="1:32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38" t="str">
        <f>IF(OR(A455="Автомат",A455="Дифавтомат"),IF(W455="","",COUNTIFS(Однолинейка!$H$3:$H$3000,U455,Однолинейка!$A$3:$A$3000,Щит_спец)),IF(A455="Аппарат",IF(C455="","",COUNTIFS(Однолинейка!$I$3:$I$3000,C455,Однолинейка!$A$3:$A$3000,Щит_спец)+COUNTIFS(Однолинейка!$J$3:$J$3000,C455,Однолинейка!$A$3:$A$3000,Щит_спец)+COUNTIFS(Однолинейка!$K$3:$K$3000,C455,Однолинейка!$A$3:$A$3000,Щит_спец)),IF(A455="Модуль",IF(C455="","",COUNTIFS(Однолинейка!$AW$3:$AW$3000,"?*",Однолинейка!$AI$3:$AI$3000,C455,Однолинейка!$A$3:$A$3000,Щит_спец)),IF(A455="Клемма",IF(C455="","",IF(C455=$S$7,SUMIFS(Однолинейка!$BW$3:$BW$3000,Однолинейка!$A$3:$A$3000,Щит_спец),IF(C455=$S$8,SUMIFS(Однолинейка!$BX$3:$BX$3000,Однолинейка!$A$3:$A$3000,Щит_спец),""))),""))))</f>
        <v/>
      </c>
      <c r="O455" s="74"/>
      <c r="P455" s="38" t="str">
        <f t="shared" si="63"/>
        <v/>
      </c>
      <c r="U455" s="38" t="str">
        <f t="shared" si="64"/>
        <v/>
      </c>
      <c r="V455" s="38" t="str">
        <f t="shared" si="65"/>
        <v/>
      </c>
      <c r="W455" s="38" t="str">
        <f>IF(AND(U455&lt;&gt;"",OR($S$4="(все)",B455=$S$4),IF($S$4="(все)",COUNTIF($U$4:U455,U455),COUNTIFS($U$4:U455,U455,$B$4:B455,B455))=1),MAX($W$3:W454)+1,"")</f>
        <v/>
      </c>
      <c r="X455" s="38" t="str">
        <f t="shared" si="66"/>
        <v/>
      </c>
      <c r="Y455" s="38" t="str">
        <f>IF(AND(A455="Аппарат",C455&lt;&gt;"",OR($S$5="(все)",B455=$S$5)),MAX($Y$3:Y454)+1,"")</f>
        <v/>
      </c>
      <c r="Z455" s="38" t="str">
        <f t="shared" si="67"/>
        <v/>
      </c>
      <c r="AA455" s="38" t="str">
        <f>IF(AND(A455="Модуль",C455&lt;&gt;"",OR($S$6="(все)",B455=$S$6)),MAX($AA$3:AA454)+1,"")</f>
        <v/>
      </c>
      <c r="AB455" s="38" t="str">
        <f t="shared" si="68"/>
        <v/>
      </c>
      <c r="AC455" s="38" t="str">
        <f>IF(OR(B455="",COUNTIF($B$4:B455,B455)&gt;1),"",MAX($AC$3:AC454)+1)</f>
        <v/>
      </c>
      <c r="AD455" s="38" t="str">
        <f t="shared" si="69"/>
        <v/>
      </c>
      <c r="AE455" s="38" t="str">
        <f t="shared" si="70"/>
        <v/>
      </c>
      <c r="AF455" s="38" t="str">
        <f t="shared" si="71"/>
        <v/>
      </c>
    </row>
    <row r="456" spans="1:32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38" t="str">
        <f>IF(OR(A456="Автомат",A456="Дифавтомат"),IF(W456="","",COUNTIFS(Однолинейка!$H$3:$H$3000,U456,Однолинейка!$A$3:$A$3000,Щит_спец)),IF(A456="Аппарат",IF(C456="","",COUNTIFS(Однолинейка!$I$3:$I$3000,C456,Однолинейка!$A$3:$A$3000,Щит_спец)+COUNTIFS(Однолинейка!$J$3:$J$3000,C456,Однолинейка!$A$3:$A$3000,Щит_спец)+COUNTIFS(Однолинейка!$K$3:$K$3000,C456,Однолинейка!$A$3:$A$3000,Щит_спец)),IF(A456="Модуль",IF(C456="","",COUNTIFS(Однолинейка!$AW$3:$AW$3000,"?*",Однолинейка!$AI$3:$AI$3000,C456,Однолинейка!$A$3:$A$3000,Щит_спец)),IF(A456="Клемма",IF(C456="","",IF(C456=$S$7,SUMIFS(Однолинейка!$BW$3:$BW$3000,Однолинейка!$A$3:$A$3000,Щит_спец),IF(C456=$S$8,SUMIFS(Однолинейка!$BX$3:$BX$3000,Однолинейка!$A$3:$A$3000,Щит_спец),""))),""))))</f>
        <v/>
      </c>
      <c r="O456" s="74"/>
      <c r="P456" s="38" t="str">
        <f t="shared" si="63"/>
        <v/>
      </c>
      <c r="U456" s="38" t="str">
        <f t="shared" si="64"/>
        <v/>
      </c>
      <c r="V456" s="38" t="str">
        <f t="shared" si="65"/>
        <v/>
      </c>
      <c r="W456" s="38" t="str">
        <f>IF(AND(U456&lt;&gt;"",OR($S$4="(все)",B456=$S$4),IF($S$4="(все)",COUNTIF($U$4:U456,U456),COUNTIFS($U$4:U456,U456,$B$4:B456,B456))=1),MAX($W$3:W455)+1,"")</f>
        <v/>
      </c>
      <c r="X456" s="38" t="str">
        <f t="shared" si="66"/>
        <v/>
      </c>
      <c r="Y456" s="38" t="str">
        <f>IF(AND(A456="Аппарат",C456&lt;&gt;"",OR($S$5="(все)",B456=$S$5)),MAX($Y$3:Y455)+1,"")</f>
        <v/>
      </c>
      <c r="Z456" s="38" t="str">
        <f t="shared" si="67"/>
        <v/>
      </c>
      <c r="AA456" s="38" t="str">
        <f>IF(AND(A456="Модуль",C456&lt;&gt;"",OR($S$6="(все)",B456=$S$6)),MAX($AA$3:AA455)+1,"")</f>
        <v/>
      </c>
      <c r="AB456" s="38" t="str">
        <f t="shared" si="68"/>
        <v/>
      </c>
      <c r="AC456" s="38" t="str">
        <f>IF(OR(B456="",COUNTIF($B$4:B456,B456)&gt;1),"",MAX($AC$3:AC455)+1)</f>
        <v/>
      </c>
      <c r="AD456" s="38" t="str">
        <f t="shared" si="69"/>
        <v/>
      </c>
      <c r="AE456" s="38" t="str">
        <f t="shared" si="70"/>
        <v/>
      </c>
      <c r="AF456" s="38" t="str">
        <f t="shared" si="71"/>
        <v/>
      </c>
    </row>
    <row r="457" spans="1:32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38" t="str">
        <f>IF(OR(A457="Автомат",A457="Дифавтомат"),IF(W457="","",COUNTIFS(Однолинейка!$H$3:$H$3000,U457,Однолинейка!$A$3:$A$3000,Щит_спец)),IF(A457="Аппарат",IF(C457="","",COUNTIFS(Однолинейка!$I$3:$I$3000,C457,Однолинейка!$A$3:$A$3000,Щит_спец)+COUNTIFS(Однолинейка!$J$3:$J$3000,C457,Однолинейка!$A$3:$A$3000,Щит_спец)+COUNTIFS(Однолинейка!$K$3:$K$3000,C457,Однолинейка!$A$3:$A$3000,Щит_спец)),IF(A457="Модуль",IF(C457="","",COUNTIFS(Однолинейка!$AW$3:$AW$3000,"?*",Однолинейка!$AI$3:$AI$3000,C457,Однолинейка!$A$3:$A$3000,Щит_спец)),IF(A457="Клемма",IF(C457="","",IF(C457=$S$7,SUMIFS(Однолинейка!$BW$3:$BW$3000,Однолинейка!$A$3:$A$3000,Щит_спец),IF(C457=$S$8,SUMIFS(Однолинейка!$BX$3:$BX$3000,Однолинейка!$A$3:$A$3000,Щит_спец),""))),""))))</f>
        <v/>
      </c>
      <c r="O457" s="74"/>
      <c r="P457" s="38" t="str">
        <f t="shared" si="63"/>
        <v/>
      </c>
      <c r="U457" s="38" t="str">
        <f t="shared" si="64"/>
        <v/>
      </c>
      <c r="V457" s="38" t="str">
        <f t="shared" si="65"/>
        <v/>
      </c>
      <c r="W457" s="38" t="str">
        <f>IF(AND(U457&lt;&gt;"",OR($S$4="(все)",B457=$S$4),IF($S$4="(все)",COUNTIF($U$4:U457,U457),COUNTIFS($U$4:U457,U457,$B$4:B457,B457))=1),MAX($W$3:W456)+1,"")</f>
        <v/>
      </c>
      <c r="X457" s="38" t="str">
        <f t="shared" si="66"/>
        <v/>
      </c>
      <c r="Y457" s="38" t="str">
        <f>IF(AND(A457="Аппарат",C457&lt;&gt;"",OR($S$5="(все)",B457=$S$5)),MAX($Y$3:Y456)+1,"")</f>
        <v/>
      </c>
      <c r="Z457" s="38" t="str">
        <f t="shared" si="67"/>
        <v/>
      </c>
      <c r="AA457" s="38" t="str">
        <f>IF(AND(A457="Модуль",C457&lt;&gt;"",OR($S$6="(все)",B457=$S$6)),MAX($AA$3:AA456)+1,"")</f>
        <v/>
      </c>
      <c r="AB457" s="38" t="str">
        <f t="shared" si="68"/>
        <v/>
      </c>
      <c r="AC457" s="38" t="str">
        <f>IF(OR(B457="",COUNTIF($B$4:B457,B457)&gt;1),"",MAX($AC$3:AC456)+1)</f>
        <v/>
      </c>
      <c r="AD457" s="38" t="str">
        <f t="shared" si="69"/>
        <v/>
      </c>
      <c r="AE457" s="38" t="str">
        <f t="shared" si="70"/>
        <v/>
      </c>
      <c r="AF457" s="38" t="str">
        <f t="shared" si="71"/>
        <v/>
      </c>
    </row>
    <row r="458" spans="1:32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38" t="str">
        <f>IF(OR(A458="Автомат",A458="Дифавтомат"),IF(W458="","",COUNTIFS(Однолинейка!$H$3:$H$3000,U458,Однолинейка!$A$3:$A$3000,Щит_спец)),IF(A458="Аппарат",IF(C458="","",COUNTIFS(Однолинейка!$I$3:$I$3000,C458,Однолинейка!$A$3:$A$3000,Щит_спец)+COUNTIFS(Однолинейка!$J$3:$J$3000,C458,Однолинейка!$A$3:$A$3000,Щит_спец)+COUNTIFS(Однолинейка!$K$3:$K$3000,C458,Однолинейка!$A$3:$A$3000,Щит_спец)),IF(A458="Модуль",IF(C458="","",COUNTIFS(Однолинейка!$AW$3:$AW$3000,"?*",Однолинейка!$AI$3:$AI$3000,C458,Однолинейка!$A$3:$A$3000,Щит_спец)),IF(A458="Клемма",IF(C458="","",IF(C458=$S$7,SUMIFS(Однолинейка!$BW$3:$BW$3000,Однолинейка!$A$3:$A$3000,Щит_спец),IF(C458=$S$8,SUMIFS(Однолинейка!$BX$3:$BX$3000,Однолинейка!$A$3:$A$3000,Щит_спец),""))),""))))</f>
        <v/>
      </c>
      <c r="O458" s="74"/>
      <c r="P458" s="38" t="str">
        <f t="shared" si="63"/>
        <v/>
      </c>
      <c r="U458" s="38" t="str">
        <f t="shared" si="64"/>
        <v/>
      </c>
      <c r="V458" s="38" t="str">
        <f t="shared" si="65"/>
        <v/>
      </c>
      <c r="W458" s="38" t="str">
        <f>IF(AND(U458&lt;&gt;"",OR($S$4="(все)",B458=$S$4),IF($S$4="(все)",COUNTIF($U$4:U458,U458),COUNTIFS($U$4:U458,U458,$B$4:B458,B458))=1),MAX($W$3:W457)+1,"")</f>
        <v/>
      </c>
      <c r="X458" s="38" t="str">
        <f t="shared" si="66"/>
        <v/>
      </c>
      <c r="Y458" s="38" t="str">
        <f>IF(AND(A458="Аппарат",C458&lt;&gt;"",OR($S$5="(все)",B458=$S$5)),MAX($Y$3:Y457)+1,"")</f>
        <v/>
      </c>
      <c r="Z458" s="38" t="str">
        <f t="shared" si="67"/>
        <v/>
      </c>
      <c r="AA458" s="38" t="str">
        <f>IF(AND(A458="Модуль",C458&lt;&gt;"",OR($S$6="(все)",B458=$S$6)),MAX($AA$3:AA457)+1,"")</f>
        <v/>
      </c>
      <c r="AB458" s="38" t="str">
        <f t="shared" si="68"/>
        <v/>
      </c>
      <c r="AC458" s="38" t="str">
        <f>IF(OR(B458="",COUNTIF($B$4:B458,B458)&gt;1),"",MAX($AC$3:AC457)+1)</f>
        <v/>
      </c>
      <c r="AD458" s="38" t="str">
        <f t="shared" si="69"/>
        <v/>
      </c>
      <c r="AE458" s="38" t="str">
        <f t="shared" si="70"/>
        <v/>
      </c>
      <c r="AF458" s="38" t="str">
        <f t="shared" si="71"/>
        <v/>
      </c>
    </row>
    <row r="459" spans="1:32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38" t="str">
        <f>IF(OR(A459="Автомат",A459="Дифавтомат"),IF(W459="","",COUNTIFS(Однолинейка!$H$3:$H$3000,U459,Однолинейка!$A$3:$A$3000,Щит_спец)),IF(A459="Аппарат",IF(C459="","",COUNTIFS(Однолинейка!$I$3:$I$3000,C459,Однолинейка!$A$3:$A$3000,Щит_спец)+COUNTIFS(Однолинейка!$J$3:$J$3000,C459,Однолинейка!$A$3:$A$3000,Щит_спец)+COUNTIFS(Однолинейка!$K$3:$K$3000,C459,Однолинейка!$A$3:$A$3000,Щит_спец)),IF(A459="Модуль",IF(C459="","",COUNTIFS(Однолинейка!$AW$3:$AW$3000,"?*",Однолинейка!$AI$3:$AI$3000,C459,Однолинейка!$A$3:$A$3000,Щит_спец)),IF(A459="Клемма",IF(C459="","",IF(C459=$S$7,SUMIFS(Однолинейка!$BW$3:$BW$3000,Однолинейка!$A$3:$A$3000,Щит_спец),IF(C459=$S$8,SUMIFS(Однолинейка!$BX$3:$BX$3000,Однолинейка!$A$3:$A$3000,Щит_спец),""))),""))))</f>
        <v/>
      </c>
      <c r="O459" s="74"/>
      <c r="P459" s="38" t="str">
        <f t="shared" si="63"/>
        <v/>
      </c>
      <c r="U459" s="38" t="str">
        <f t="shared" si="64"/>
        <v/>
      </c>
      <c r="V459" s="38" t="str">
        <f t="shared" si="65"/>
        <v/>
      </c>
      <c r="W459" s="38" t="str">
        <f>IF(AND(U459&lt;&gt;"",OR($S$4="(все)",B459=$S$4),IF($S$4="(все)",COUNTIF($U$4:U459,U459),COUNTIFS($U$4:U459,U459,$B$4:B459,B459))=1),MAX($W$3:W458)+1,"")</f>
        <v/>
      </c>
      <c r="X459" s="38" t="str">
        <f t="shared" si="66"/>
        <v/>
      </c>
      <c r="Y459" s="38" t="str">
        <f>IF(AND(A459="Аппарат",C459&lt;&gt;"",OR($S$5="(все)",B459=$S$5)),MAX($Y$3:Y458)+1,"")</f>
        <v/>
      </c>
      <c r="Z459" s="38" t="str">
        <f t="shared" si="67"/>
        <v/>
      </c>
      <c r="AA459" s="38" t="str">
        <f>IF(AND(A459="Модуль",C459&lt;&gt;"",OR($S$6="(все)",B459=$S$6)),MAX($AA$3:AA458)+1,"")</f>
        <v/>
      </c>
      <c r="AB459" s="38" t="str">
        <f t="shared" si="68"/>
        <v/>
      </c>
      <c r="AC459" s="38" t="str">
        <f>IF(OR(B459="",COUNTIF($B$4:B459,B459)&gt;1),"",MAX($AC$3:AC458)+1)</f>
        <v/>
      </c>
      <c r="AD459" s="38" t="str">
        <f t="shared" si="69"/>
        <v/>
      </c>
      <c r="AE459" s="38" t="str">
        <f t="shared" si="70"/>
        <v/>
      </c>
      <c r="AF459" s="38" t="str">
        <f t="shared" si="71"/>
        <v/>
      </c>
    </row>
    <row r="460" spans="1:32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38" t="str">
        <f>IF(OR(A460="Автомат",A460="Дифавтомат"),IF(W460="","",COUNTIFS(Однолинейка!$H$3:$H$3000,U460,Однолинейка!$A$3:$A$3000,Щит_спец)),IF(A460="Аппарат",IF(C460="","",COUNTIFS(Однолинейка!$I$3:$I$3000,C460,Однолинейка!$A$3:$A$3000,Щит_спец)+COUNTIFS(Однолинейка!$J$3:$J$3000,C460,Однолинейка!$A$3:$A$3000,Щит_спец)+COUNTIFS(Однолинейка!$K$3:$K$3000,C460,Однолинейка!$A$3:$A$3000,Щит_спец)),IF(A460="Модуль",IF(C460="","",COUNTIFS(Однолинейка!$AW$3:$AW$3000,"?*",Однолинейка!$AI$3:$AI$3000,C460,Однолинейка!$A$3:$A$3000,Щит_спец)),IF(A460="Клемма",IF(C460="","",IF(C460=$S$7,SUMIFS(Однолинейка!$BW$3:$BW$3000,Однолинейка!$A$3:$A$3000,Щит_спец),IF(C460=$S$8,SUMIFS(Однолинейка!$BX$3:$BX$3000,Однолинейка!$A$3:$A$3000,Щит_спец),""))),""))))</f>
        <v/>
      </c>
      <c r="O460" s="74"/>
      <c r="P460" s="38" t="str">
        <f t="shared" si="63"/>
        <v/>
      </c>
      <c r="U460" s="38" t="str">
        <f t="shared" si="64"/>
        <v/>
      </c>
      <c r="V460" s="38" t="str">
        <f t="shared" si="65"/>
        <v/>
      </c>
      <c r="W460" s="38" t="str">
        <f>IF(AND(U460&lt;&gt;"",OR($S$4="(все)",B460=$S$4),IF($S$4="(все)",COUNTIF($U$4:U460,U460),COUNTIFS($U$4:U460,U460,$B$4:B460,B460))=1),MAX($W$3:W459)+1,"")</f>
        <v/>
      </c>
      <c r="X460" s="38" t="str">
        <f t="shared" si="66"/>
        <v/>
      </c>
      <c r="Y460" s="38" t="str">
        <f>IF(AND(A460="Аппарат",C460&lt;&gt;"",OR($S$5="(все)",B460=$S$5)),MAX($Y$3:Y459)+1,"")</f>
        <v/>
      </c>
      <c r="Z460" s="38" t="str">
        <f t="shared" si="67"/>
        <v/>
      </c>
      <c r="AA460" s="38" t="str">
        <f>IF(AND(A460="Модуль",C460&lt;&gt;"",OR($S$6="(все)",B460=$S$6)),MAX($AA$3:AA459)+1,"")</f>
        <v/>
      </c>
      <c r="AB460" s="38" t="str">
        <f t="shared" si="68"/>
        <v/>
      </c>
      <c r="AC460" s="38" t="str">
        <f>IF(OR(B460="",COUNTIF($B$4:B460,B460)&gt;1),"",MAX($AC$3:AC459)+1)</f>
        <v/>
      </c>
      <c r="AD460" s="38" t="str">
        <f t="shared" si="69"/>
        <v/>
      </c>
      <c r="AE460" s="38" t="str">
        <f t="shared" si="70"/>
        <v/>
      </c>
      <c r="AF460" s="38" t="str">
        <f t="shared" si="71"/>
        <v/>
      </c>
    </row>
    <row r="461" spans="1:32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38" t="str">
        <f>IF(OR(A461="Автомат",A461="Дифавтомат"),IF(W461="","",COUNTIFS(Однолинейка!$H$3:$H$3000,U461,Однолинейка!$A$3:$A$3000,Щит_спец)),IF(A461="Аппарат",IF(C461="","",COUNTIFS(Однолинейка!$I$3:$I$3000,C461,Однолинейка!$A$3:$A$3000,Щит_спец)+COUNTIFS(Однолинейка!$J$3:$J$3000,C461,Однолинейка!$A$3:$A$3000,Щит_спец)+COUNTIFS(Однолинейка!$K$3:$K$3000,C461,Однолинейка!$A$3:$A$3000,Щит_спец)),IF(A461="Модуль",IF(C461="","",COUNTIFS(Однолинейка!$AW$3:$AW$3000,"?*",Однолинейка!$AI$3:$AI$3000,C461,Однолинейка!$A$3:$A$3000,Щит_спец)),IF(A461="Клемма",IF(C461="","",IF(C461=$S$7,SUMIFS(Однолинейка!$BW$3:$BW$3000,Однолинейка!$A$3:$A$3000,Щит_спец),IF(C461=$S$8,SUMIFS(Однолинейка!$BX$3:$BX$3000,Однолинейка!$A$3:$A$3000,Щит_спец),""))),""))))</f>
        <v/>
      </c>
      <c r="O461" s="74"/>
      <c r="P461" s="38" t="str">
        <f t="shared" si="63"/>
        <v/>
      </c>
      <c r="U461" s="38" t="str">
        <f t="shared" si="64"/>
        <v/>
      </c>
      <c r="V461" s="38" t="str">
        <f t="shared" si="65"/>
        <v/>
      </c>
      <c r="W461" s="38" t="str">
        <f>IF(AND(U461&lt;&gt;"",OR($S$4="(все)",B461=$S$4),IF($S$4="(все)",COUNTIF($U$4:U461,U461),COUNTIFS($U$4:U461,U461,$B$4:B461,B461))=1),MAX($W$3:W460)+1,"")</f>
        <v/>
      </c>
      <c r="X461" s="38" t="str">
        <f t="shared" si="66"/>
        <v/>
      </c>
      <c r="Y461" s="38" t="str">
        <f>IF(AND(A461="Аппарат",C461&lt;&gt;"",OR($S$5="(все)",B461=$S$5)),MAX($Y$3:Y460)+1,"")</f>
        <v/>
      </c>
      <c r="Z461" s="38" t="str">
        <f t="shared" si="67"/>
        <v/>
      </c>
      <c r="AA461" s="38" t="str">
        <f>IF(AND(A461="Модуль",C461&lt;&gt;"",OR($S$6="(все)",B461=$S$6)),MAX($AA$3:AA460)+1,"")</f>
        <v/>
      </c>
      <c r="AB461" s="38" t="str">
        <f t="shared" si="68"/>
        <v/>
      </c>
      <c r="AC461" s="38" t="str">
        <f>IF(OR(B461="",COUNTIF($B$4:B461,B461)&gt;1),"",MAX($AC$3:AC460)+1)</f>
        <v/>
      </c>
      <c r="AD461" s="38" t="str">
        <f t="shared" si="69"/>
        <v/>
      </c>
      <c r="AE461" s="38" t="str">
        <f t="shared" si="70"/>
        <v/>
      </c>
      <c r="AF461" s="38" t="str">
        <f t="shared" si="71"/>
        <v/>
      </c>
    </row>
    <row r="462" spans="1:32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38" t="str">
        <f>IF(OR(A462="Автомат",A462="Дифавтомат"),IF(W462="","",COUNTIFS(Однолинейка!$H$3:$H$3000,U462,Однолинейка!$A$3:$A$3000,Щит_спец)),IF(A462="Аппарат",IF(C462="","",COUNTIFS(Однолинейка!$I$3:$I$3000,C462,Однолинейка!$A$3:$A$3000,Щит_спец)+COUNTIFS(Однолинейка!$J$3:$J$3000,C462,Однолинейка!$A$3:$A$3000,Щит_спец)+COUNTIFS(Однолинейка!$K$3:$K$3000,C462,Однолинейка!$A$3:$A$3000,Щит_спец)),IF(A462="Модуль",IF(C462="","",COUNTIFS(Однолинейка!$AW$3:$AW$3000,"?*",Однолинейка!$AI$3:$AI$3000,C462,Однолинейка!$A$3:$A$3000,Щит_спец)),IF(A462="Клемма",IF(C462="","",IF(C462=$S$7,SUMIFS(Однолинейка!$BW$3:$BW$3000,Однолинейка!$A$3:$A$3000,Щит_спец),IF(C462=$S$8,SUMIFS(Однолинейка!$BX$3:$BX$3000,Однолинейка!$A$3:$A$3000,Щит_спец),""))),""))))</f>
        <v/>
      </c>
      <c r="O462" s="74"/>
      <c r="P462" s="38" t="str">
        <f t="shared" si="63"/>
        <v/>
      </c>
      <c r="U462" s="38" t="str">
        <f t="shared" si="64"/>
        <v/>
      </c>
      <c r="V462" s="38" t="str">
        <f t="shared" si="65"/>
        <v/>
      </c>
      <c r="W462" s="38" t="str">
        <f>IF(AND(U462&lt;&gt;"",OR($S$4="(все)",B462=$S$4),IF($S$4="(все)",COUNTIF($U$4:U462,U462),COUNTIFS($U$4:U462,U462,$B$4:B462,B462))=1),MAX($W$3:W461)+1,"")</f>
        <v/>
      </c>
      <c r="X462" s="38" t="str">
        <f t="shared" si="66"/>
        <v/>
      </c>
      <c r="Y462" s="38" t="str">
        <f>IF(AND(A462="Аппарат",C462&lt;&gt;"",OR($S$5="(все)",B462=$S$5)),MAX($Y$3:Y461)+1,"")</f>
        <v/>
      </c>
      <c r="Z462" s="38" t="str">
        <f t="shared" si="67"/>
        <v/>
      </c>
      <c r="AA462" s="38" t="str">
        <f>IF(AND(A462="Модуль",C462&lt;&gt;"",OR($S$6="(все)",B462=$S$6)),MAX($AA$3:AA461)+1,"")</f>
        <v/>
      </c>
      <c r="AB462" s="38" t="str">
        <f t="shared" si="68"/>
        <v/>
      </c>
      <c r="AC462" s="38" t="str">
        <f>IF(OR(B462="",COUNTIF($B$4:B462,B462)&gt;1),"",MAX($AC$3:AC461)+1)</f>
        <v/>
      </c>
      <c r="AD462" s="38" t="str">
        <f t="shared" si="69"/>
        <v/>
      </c>
      <c r="AE462" s="38" t="str">
        <f t="shared" si="70"/>
        <v/>
      </c>
      <c r="AF462" s="38" t="str">
        <f t="shared" si="71"/>
        <v/>
      </c>
    </row>
    <row r="463" spans="1:32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38" t="str">
        <f>IF(OR(A463="Автомат",A463="Дифавтомат"),IF(W463="","",COUNTIFS(Однолинейка!$H$3:$H$3000,U463,Однолинейка!$A$3:$A$3000,Щит_спец)),IF(A463="Аппарат",IF(C463="","",COUNTIFS(Однолинейка!$I$3:$I$3000,C463,Однолинейка!$A$3:$A$3000,Щит_спец)+COUNTIFS(Однолинейка!$J$3:$J$3000,C463,Однолинейка!$A$3:$A$3000,Щит_спец)+COUNTIFS(Однолинейка!$K$3:$K$3000,C463,Однолинейка!$A$3:$A$3000,Щит_спец)),IF(A463="Модуль",IF(C463="","",COUNTIFS(Однолинейка!$AW$3:$AW$3000,"?*",Однолинейка!$AI$3:$AI$3000,C463,Однолинейка!$A$3:$A$3000,Щит_спец)),IF(A463="Клемма",IF(C463="","",IF(C463=$S$7,SUMIFS(Однолинейка!$BW$3:$BW$3000,Однолинейка!$A$3:$A$3000,Щит_спец),IF(C463=$S$8,SUMIFS(Однолинейка!$BX$3:$BX$3000,Однолинейка!$A$3:$A$3000,Щит_спец),""))),""))))</f>
        <v/>
      </c>
      <c r="O463" s="74"/>
      <c r="P463" s="38" t="str">
        <f t="shared" si="63"/>
        <v/>
      </c>
      <c r="U463" s="38" t="str">
        <f t="shared" si="64"/>
        <v/>
      </c>
      <c r="V463" s="38" t="str">
        <f t="shared" si="65"/>
        <v/>
      </c>
      <c r="W463" s="38" t="str">
        <f>IF(AND(U463&lt;&gt;"",OR($S$4="(все)",B463=$S$4),IF($S$4="(все)",COUNTIF($U$4:U463,U463),COUNTIFS($U$4:U463,U463,$B$4:B463,B463))=1),MAX($W$3:W462)+1,"")</f>
        <v/>
      </c>
      <c r="X463" s="38" t="str">
        <f t="shared" si="66"/>
        <v/>
      </c>
      <c r="Y463" s="38" t="str">
        <f>IF(AND(A463="Аппарат",C463&lt;&gt;"",OR($S$5="(все)",B463=$S$5)),MAX($Y$3:Y462)+1,"")</f>
        <v/>
      </c>
      <c r="Z463" s="38" t="str">
        <f t="shared" si="67"/>
        <v/>
      </c>
      <c r="AA463" s="38" t="str">
        <f>IF(AND(A463="Модуль",C463&lt;&gt;"",OR($S$6="(все)",B463=$S$6)),MAX($AA$3:AA462)+1,"")</f>
        <v/>
      </c>
      <c r="AB463" s="38" t="str">
        <f t="shared" si="68"/>
        <v/>
      </c>
      <c r="AC463" s="38" t="str">
        <f>IF(OR(B463="",COUNTIF($B$4:B463,B463)&gt;1),"",MAX($AC$3:AC462)+1)</f>
        <v/>
      </c>
      <c r="AD463" s="38" t="str">
        <f t="shared" si="69"/>
        <v/>
      </c>
      <c r="AE463" s="38" t="str">
        <f t="shared" si="70"/>
        <v/>
      </c>
      <c r="AF463" s="38" t="str">
        <f t="shared" si="71"/>
        <v/>
      </c>
    </row>
    <row r="464" spans="1:32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38" t="str">
        <f>IF(OR(A464="Автомат",A464="Дифавтомат"),IF(W464="","",COUNTIFS(Однолинейка!$H$3:$H$3000,U464,Однолинейка!$A$3:$A$3000,Щит_спец)),IF(A464="Аппарат",IF(C464="","",COUNTIFS(Однолинейка!$I$3:$I$3000,C464,Однолинейка!$A$3:$A$3000,Щит_спец)+COUNTIFS(Однолинейка!$J$3:$J$3000,C464,Однолинейка!$A$3:$A$3000,Щит_спец)+COUNTIFS(Однолинейка!$K$3:$K$3000,C464,Однолинейка!$A$3:$A$3000,Щит_спец)),IF(A464="Модуль",IF(C464="","",COUNTIFS(Однолинейка!$AW$3:$AW$3000,"?*",Однолинейка!$AI$3:$AI$3000,C464,Однолинейка!$A$3:$A$3000,Щит_спец)),IF(A464="Клемма",IF(C464="","",IF(C464=$S$7,SUMIFS(Однолинейка!$BW$3:$BW$3000,Однолинейка!$A$3:$A$3000,Щит_спец),IF(C464=$S$8,SUMIFS(Однолинейка!$BX$3:$BX$3000,Однолинейка!$A$3:$A$3000,Щит_спец),""))),""))))</f>
        <v/>
      </c>
      <c r="O464" s="74"/>
      <c r="P464" s="38" t="str">
        <f t="shared" si="63"/>
        <v/>
      </c>
      <c r="U464" s="38" t="str">
        <f t="shared" si="64"/>
        <v/>
      </c>
      <c r="V464" s="38" t="str">
        <f t="shared" si="65"/>
        <v/>
      </c>
      <c r="W464" s="38" t="str">
        <f>IF(AND(U464&lt;&gt;"",OR($S$4="(все)",B464=$S$4),IF($S$4="(все)",COUNTIF($U$4:U464,U464),COUNTIFS($U$4:U464,U464,$B$4:B464,B464))=1),MAX($W$3:W463)+1,"")</f>
        <v/>
      </c>
      <c r="X464" s="38" t="str">
        <f t="shared" si="66"/>
        <v/>
      </c>
      <c r="Y464" s="38" t="str">
        <f>IF(AND(A464="Аппарат",C464&lt;&gt;"",OR($S$5="(все)",B464=$S$5)),MAX($Y$3:Y463)+1,"")</f>
        <v/>
      </c>
      <c r="Z464" s="38" t="str">
        <f t="shared" si="67"/>
        <v/>
      </c>
      <c r="AA464" s="38" t="str">
        <f>IF(AND(A464="Модуль",C464&lt;&gt;"",OR($S$6="(все)",B464=$S$6)),MAX($AA$3:AA463)+1,"")</f>
        <v/>
      </c>
      <c r="AB464" s="38" t="str">
        <f t="shared" si="68"/>
        <v/>
      </c>
      <c r="AC464" s="38" t="str">
        <f>IF(OR(B464="",COUNTIF($B$4:B464,B464)&gt;1),"",MAX($AC$3:AC463)+1)</f>
        <v/>
      </c>
      <c r="AD464" s="38" t="str">
        <f t="shared" si="69"/>
        <v/>
      </c>
      <c r="AE464" s="38" t="str">
        <f t="shared" si="70"/>
        <v/>
      </c>
      <c r="AF464" s="38" t="str">
        <f t="shared" si="71"/>
        <v/>
      </c>
    </row>
    <row r="465" spans="1:32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38" t="str">
        <f>IF(OR(A465="Автомат",A465="Дифавтомат"),IF(W465="","",COUNTIFS(Однолинейка!$H$3:$H$3000,U465,Однолинейка!$A$3:$A$3000,Щит_спец)),IF(A465="Аппарат",IF(C465="","",COUNTIFS(Однолинейка!$I$3:$I$3000,C465,Однолинейка!$A$3:$A$3000,Щит_спец)+COUNTIFS(Однолинейка!$J$3:$J$3000,C465,Однолинейка!$A$3:$A$3000,Щит_спец)+COUNTIFS(Однолинейка!$K$3:$K$3000,C465,Однолинейка!$A$3:$A$3000,Щит_спец)),IF(A465="Модуль",IF(C465="","",COUNTIFS(Однолинейка!$AW$3:$AW$3000,"?*",Однолинейка!$AI$3:$AI$3000,C465,Однолинейка!$A$3:$A$3000,Щит_спец)),IF(A465="Клемма",IF(C465="","",IF(C465=$S$7,SUMIFS(Однолинейка!$BW$3:$BW$3000,Однолинейка!$A$3:$A$3000,Щит_спец),IF(C465=$S$8,SUMIFS(Однолинейка!$BX$3:$BX$3000,Однолинейка!$A$3:$A$3000,Щит_спец),""))),""))))</f>
        <v/>
      </c>
      <c r="O465" s="74"/>
      <c r="P465" s="38" t="str">
        <f t="shared" si="63"/>
        <v/>
      </c>
      <c r="U465" s="38" t="str">
        <f t="shared" si="64"/>
        <v/>
      </c>
      <c r="V465" s="38" t="str">
        <f t="shared" si="65"/>
        <v/>
      </c>
      <c r="W465" s="38" t="str">
        <f>IF(AND(U465&lt;&gt;"",OR($S$4="(все)",B465=$S$4),IF($S$4="(все)",COUNTIF($U$4:U465,U465),COUNTIFS($U$4:U465,U465,$B$4:B465,B465))=1),MAX($W$3:W464)+1,"")</f>
        <v/>
      </c>
      <c r="X465" s="38" t="str">
        <f t="shared" si="66"/>
        <v/>
      </c>
      <c r="Y465" s="38" t="str">
        <f>IF(AND(A465="Аппарат",C465&lt;&gt;"",OR($S$5="(все)",B465=$S$5)),MAX($Y$3:Y464)+1,"")</f>
        <v/>
      </c>
      <c r="Z465" s="38" t="str">
        <f t="shared" si="67"/>
        <v/>
      </c>
      <c r="AA465" s="38" t="str">
        <f>IF(AND(A465="Модуль",C465&lt;&gt;"",OR($S$6="(все)",B465=$S$6)),MAX($AA$3:AA464)+1,"")</f>
        <v/>
      </c>
      <c r="AB465" s="38" t="str">
        <f t="shared" si="68"/>
        <v/>
      </c>
      <c r="AC465" s="38" t="str">
        <f>IF(OR(B465="",COUNTIF($B$4:B465,B465)&gt;1),"",MAX($AC$3:AC464)+1)</f>
        <v/>
      </c>
      <c r="AD465" s="38" t="str">
        <f t="shared" si="69"/>
        <v/>
      </c>
      <c r="AE465" s="38" t="str">
        <f t="shared" si="70"/>
        <v/>
      </c>
      <c r="AF465" s="38" t="str">
        <f t="shared" si="71"/>
        <v/>
      </c>
    </row>
    <row r="466" spans="1:32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38" t="str">
        <f>IF(OR(A466="Автомат",A466="Дифавтомат"),IF(W466="","",COUNTIFS(Однолинейка!$H$3:$H$3000,U466,Однолинейка!$A$3:$A$3000,Щит_спец)),IF(A466="Аппарат",IF(C466="","",COUNTIFS(Однолинейка!$I$3:$I$3000,C466,Однолинейка!$A$3:$A$3000,Щит_спец)+COUNTIFS(Однолинейка!$J$3:$J$3000,C466,Однолинейка!$A$3:$A$3000,Щит_спец)+COUNTIFS(Однолинейка!$K$3:$K$3000,C466,Однолинейка!$A$3:$A$3000,Щит_спец)),IF(A466="Модуль",IF(C466="","",COUNTIFS(Однолинейка!$AW$3:$AW$3000,"?*",Однолинейка!$AI$3:$AI$3000,C466,Однолинейка!$A$3:$A$3000,Щит_спец)),IF(A466="Клемма",IF(C466="","",IF(C466=$S$7,SUMIFS(Однолинейка!$BW$3:$BW$3000,Однолинейка!$A$3:$A$3000,Щит_спец),IF(C466=$S$8,SUMIFS(Однолинейка!$BX$3:$BX$3000,Однолинейка!$A$3:$A$3000,Щит_спец),""))),""))))</f>
        <v/>
      </c>
      <c r="O466" s="74"/>
      <c r="P466" s="38" t="str">
        <f t="shared" si="63"/>
        <v/>
      </c>
      <c r="U466" s="38" t="str">
        <f t="shared" si="64"/>
        <v/>
      </c>
      <c r="V466" s="38" t="str">
        <f t="shared" si="65"/>
        <v/>
      </c>
      <c r="W466" s="38" t="str">
        <f>IF(AND(U466&lt;&gt;"",OR($S$4="(все)",B466=$S$4),IF($S$4="(все)",COUNTIF($U$4:U466,U466),COUNTIFS($U$4:U466,U466,$B$4:B466,B466))=1),MAX($W$3:W465)+1,"")</f>
        <v/>
      </c>
      <c r="X466" s="38" t="str">
        <f t="shared" si="66"/>
        <v/>
      </c>
      <c r="Y466" s="38" t="str">
        <f>IF(AND(A466="Аппарат",C466&lt;&gt;"",OR($S$5="(все)",B466=$S$5)),MAX($Y$3:Y465)+1,"")</f>
        <v/>
      </c>
      <c r="Z466" s="38" t="str">
        <f t="shared" si="67"/>
        <v/>
      </c>
      <c r="AA466" s="38" t="str">
        <f>IF(AND(A466="Модуль",C466&lt;&gt;"",OR($S$6="(все)",B466=$S$6)),MAX($AA$3:AA465)+1,"")</f>
        <v/>
      </c>
      <c r="AB466" s="38" t="str">
        <f t="shared" si="68"/>
        <v/>
      </c>
      <c r="AC466" s="38" t="str">
        <f>IF(OR(B466="",COUNTIF($B$4:B466,B466)&gt;1),"",MAX($AC$3:AC465)+1)</f>
        <v/>
      </c>
      <c r="AD466" s="38" t="str">
        <f t="shared" si="69"/>
        <v/>
      </c>
      <c r="AE466" s="38" t="str">
        <f t="shared" si="70"/>
        <v/>
      </c>
      <c r="AF466" s="38" t="str">
        <f t="shared" si="71"/>
        <v/>
      </c>
    </row>
    <row r="467" spans="1:32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38" t="str">
        <f>IF(OR(A467="Автомат",A467="Дифавтомат"),IF(W467="","",COUNTIFS(Однолинейка!$H$3:$H$3000,U467,Однолинейка!$A$3:$A$3000,Щит_спец)),IF(A467="Аппарат",IF(C467="","",COUNTIFS(Однолинейка!$I$3:$I$3000,C467,Однолинейка!$A$3:$A$3000,Щит_спец)+COUNTIFS(Однолинейка!$J$3:$J$3000,C467,Однолинейка!$A$3:$A$3000,Щит_спец)+COUNTIFS(Однолинейка!$K$3:$K$3000,C467,Однолинейка!$A$3:$A$3000,Щит_спец)),IF(A467="Модуль",IF(C467="","",COUNTIFS(Однолинейка!$AW$3:$AW$3000,"?*",Однолинейка!$AI$3:$AI$3000,C467,Однолинейка!$A$3:$A$3000,Щит_спец)),IF(A467="Клемма",IF(C467="","",IF(C467=$S$7,SUMIFS(Однолинейка!$BW$3:$BW$3000,Однолинейка!$A$3:$A$3000,Щит_спец),IF(C467=$S$8,SUMIFS(Однолинейка!$BX$3:$BX$3000,Однолинейка!$A$3:$A$3000,Щит_спец),""))),""))))</f>
        <v/>
      </c>
      <c r="O467" s="74"/>
      <c r="P467" s="38" t="str">
        <f t="shared" si="63"/>
        <v/>
      </c>
      <c r="U467" s="38" t="str">
        <f t="shared" si="64"/>
        <v/>
      </c>
      <c r="V467" s="38" t="str">
        <f t="shared" si="65"/>
        <v/>
      </c>
      <c r="W467" s="38" t="str">
        <f>IF(AND(U467&lt;&gt;"",OR($S$4="(все)",B467=$S$4),IF($S$4="(все)",COUNTIF($U$4:U467,U467),COUNTIFS($U$4:U467,U467,$B$4:B467,B467))=1),MAX($W$3:W466)+1,"")</f>
        <v/>
      </c>
      <c r="X467" s="38" t="str">
        <f t="shared" si="66"/>
        <v/>
      </c>
      <c r="Y467" s="38" t="str">
        <f>IF(AND(A467="Аппарат",C467&lt;&gt;"",OR($S$5="(все)",B467=$S$5)),MAX($Y$3:Y466)+1,"")</f>
        <v/>
      </c>
      <c r="Z467" s="38" t="str">
        <f t="shared" si="67"/>
        <v/>
      </c>
      <c r="AA467" s="38" t="str">
        <f>IF(AND(A467="Модуль",C467&lt;&gt;"",OR($S$6="(все)",B467=$S$6)),MAX($AA$3:AA466)+1,"")</f>
        <v/>
      </c>
      <c r="AB467" s="38" t="str">
        <f t="shared" si="68"/>
        <v/>
      </c>
      <c r="AC467" s="38" t="str">
        <f>IF(OR(B467="",COUNTIF($B$4:B467,B467)&gt;1),"",MAX($AC$3:AC466)+1)</f>
        <v/>
      </c>
      <c r="AD467" s="38" t="str">
        <f t="shared" si="69"/>
        <v/>
      </c>
      <c r="AE467" s="38" t="str">
        <f t="shared" si="70"/>
        <v/>
      </c>
      <c r="AF467" s="38" t="str">
        <f t="shared" si="71"/>
        <v/>
      </c>
    </row>
    <row r="468" spans="1:32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38" t="str">
        <f>IF(OR(A468="Автомат",A468="Дифавтомат"),IF(W468="","",COUNTIFS(Однолинейка!$H$3:$H$3000,U468,Однолинейка!$A$3:$A$3000,Щит_спец)),IF(A468="Аппарат",IF(C468="","",COUNTIFS(Однолинейка!$I$3:$I$3000,C468,Однолинейка!$A$3:$A$3000,Щит_спец)+COUNTIFS(Однолинейка!$J$3:$J$3000,C468,Однолинейка!$A$3:$A$3000,Щит_спец)+COUNTIFS(Однолинейка!$K$3:$K$3000,C468,Однолинейка!$A$3:$A$3000,Щит_спец)),IF(A468="Модуль",IF(C468="","",COUNTIFS(Однолинейка!$AW$3:$AW$3000,"?*",Однолинейка!$AI$3:$AI$3000,C468,Однолинейка!$A$3:$A$3000,Щит_спец)),IF(A468="Клемма",IF(C468="","",IF(C468=$S$7,SUMIFS(Однолинейка!$BW$3:$BW$3000,Однолинейка!$A$3:$A$3000,Щит_спец),IF(C468=$S$8,SUMIFS(Однолинейка!$BX$3:$BX$3000,Однолинейка!$A$3:$A$3000,Щит_спец),""))),""))))</f>
        <v/>
      </c>
      <c r="O468" s="74"/>
      <c r="P468" s="38" t="str">
        <f t="shared" si="63"/>
        <v/>
      </c>
      <c r="U468" s="38" t="str">
        <f t="shared" si="64"/>
        <v/>
      </c>
      <c r="V468" s="38" t="str">
        <f t="shared" si="65"/>
        <v/>
      </c>
      <c r="W468" s="38" t="str">
        <f>IF(AND(U468&lt;&gt;"",OR($S$4="(все)",B468=$S$4),IF($S$4="(все)",COUNTIF($U$4:U468,U468),COUNTIFS($U$4:U468,U468,$B$4:B468,B468))=1),MAX($W$3:W467)+1,"")</f>
        <v/>
      </c>
      <c r="X468" s="38" t="str">
        <f t="shared" si="66"/>
        <v/>
      </c>
      <c r="Y468" s="38" t="str">
        <f>IF(AND(A468="Аппарат",C468&lt;&gt;"",OR($S$5="(все)",B468=$S$5)),MAX($Y$3:Y467)+1,"")</f>
        <v/>
      </c>
      <c r="Z468" s="38" t="str">
        <f t="shared" si="67"/>
        <v/>
      </c>
      <c r="AA468" s="38" t="str">
        <f>IF(AND(A468="Модуль",C468&lt;&gt;"",OR($S$6="(все)",B468=$S$6)),MAX($AA$3:AA467)+1,"")</f>
        <v/>
      </c>
      <c r="AB468" s="38" t="str">
        <f t="shared" si="68"/>
        <v/>
      </c>
      <c r="AC468" s="38" t="str">
        <f>IF(OR(B468="",COUNTIF($B$4:B468,B468)&gt;1),"",MAX($AC$3:AC467)+1)</f>
        <v/>
      </c>
      <c r="AD468" s="38" t="str">
        <f t="shared" si="69"/>
        <v/>
      </c>
      <c r="AE468" s="38" t="str">
        <f t="shared" si="70"/>
        <v/>
      </c>
      <c r="AF468" s="38" t="str">
        <f t="shared" si="71"/>
        <v/>
      </c>
    </row>
    <row r="469" spans="1:32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38" t="str">
        <f>IF(OR(A469="Автомат",A469="Дифавтомат"),IF(W469="","",COUNTIFS(Однолинейка!$H$3:$H$3000,U469,Однолинейка!$A$3:$A$3000,Щит_спец)),IF(A469="Аппарат",IF(C469="","",COUNTIFS(Однолинейка!$I$3:$I$3000,C469,Однолинейка!$A$3:$A$3000,Щит_спец)+COUNTIFS(Однолинейка!$J$3:$J$3000,C469,Однолинейка!$A$3:$A$3000,Щит_спец)+COUNTIFS(Однолинейка!$K$3:$K$3000,C469,Однолинейка!$A$3:$A$3000,Щит_спец)),IF(A469="Модуль",IF(C469="","",COUNTIFS(Однолинейка!$AW$3:$AW$3000,"?*",Однолинейка!$AI$3:$AI$3000,C469,Однолинейка!$A$3:$A$3000,Щит_спец)),IF(A469="Клемма",IF(C469="","",IF(C469=$S$7,SUMIFS(Однолинейка!$BW$3:$BW$3000,Однолинейка!$A$3:$A$3000,Щит_спец),IF(C469=$S$8,SUMIFS(Однолинейка!$BX$3:$BX$3000,Однолинейка!$A$3:$A$3000,Щит_спец),""))),""))))</f>
        <v/>
      </c>
      <c r="O469" s="74"/>
      <c r="P469" s="38" t="str">
        <f t="shared" si="63"/>
        <v/>
      </c>
      <c r="U469" s="38" t="str">
        <f t="shared" si="64"/>
        <v/>
      </c>
      <c r="V469" s="38" t="str">
        <f t="shared" si="65"/>
        <v/>
      </c>
      <c r="W469" s="38" t="str">
        <f>IF(AND(U469&lt;&gt;"",OR($S$4="(все)",B469=$S$4),IF($S$4="(все)",COUNTIF($U$4:U469,U469),COUNTIFS($U$4:U469,U469,$B$4:B469,B469))=1),MAX($W$3:W468)+1,"")</f>
        <v/>
      </c>
      <c r="X469" s="38" t="str">
        <f t="shared" si="66"/>
        <v/>
      </c>
      <c r="Y469" s="38" t="str">
        <f>IF(AND(A469="Аппарат",C469&lt;&gt;"",OR($S$5="(все)",B469=$S$5)),MAX($Y$3:Y468)+1,"")</f>
        <v/>
      </c>
      <c r="Z469" s="38" t="str">
        <f t="shared" si="67"/>
        <v/>
      </c>
      <c r="AA469" s="38" t="str">
        <f>IF(AND(A469="Модуль",C469&lt;&gt;"",OR($S$6="(все)",B469=$S$6)),MAX($AA$3:AA468)+1,"")</f>
        <v/>
      </c>
      <c r="AB469" s="38" t="str">
        <f t="shared" si="68"/>
        <v/>
      </c>
      <c r="AC469" s="38" t="str">
        <f>IF(OR(B469="",COUNTIF($B$4:B469,B469)&gt;1),"",MAX($AC$3:AC468)+1)</f>
        <v/>
      </c>
      <c r="AD469" s="38" t="str">
        <f t="shared" si="69"/>
        <v/>
      </c>
      <c r="AE469" s="38" t="str">
        <f t="shared" si="70"/>
        <v/>
      </c>
      <c r="AF469" s="38" t="str">
        <f t="shared" si="71"/>
        <v/>
      </c>
    </row>
    <row r="470" spans="1:32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38" t="str">
        <f>IF(OR(A470="Автомат",A470="Дифавтомат"),IF(W470="","",COUNTIFS(Однолинейка!$H$3:$H$3000,U470,Однолинейка!$A$3:$A$3000,Щит_спец)),IF(A470="Аппарат",IF(C470="","",COUNTIFS(Однолинейка!$I$3:$I$3000,C470,Однолинейка!$A$3:$A$3000,Щит_спец)+COUNTIFS(Однолинейка!$J$3:$J$3000,C470,Однолинейка!$A$3:$A$3000,Щит_спец)+COUNTIFS(Однолинейка!$K$3:$K$3000,C470,Однолинейка!$A$3:$A$3000,Щит_спец)),IF(A470="Модуль",IF(C470="","",COUNTIFS(Однолинейка!$AW$3:$AW$3000,"?*",Однолинейка!$AI$3:$AI$3000,C470,Однолинейка!$A$3:$A$3000,Щит_спец)),IF(A470="Клемма",IF(C470="","",IF(C470=$S$7,SUMIFS(Однолинейка!$BW$3:$BW$3000,Однолинейка!$A$3:$A$3000,Щит_спец),IF(C470=$S$8,SUMIFS(Однолинейка!$BX$3:$BX$3000,Однолинейка!$A$3:$A$3000,Щит_спец),""))),""))))</f>
        <v/>
      </c>
      <c r="O470" s="74"/>
      <c r="P470" s="38" t="str">
        <f t="shared" si="63"/>
        <v/>
      </c>
      <c r="U470" s="38" t="str">
        <f t="shared" si="64"/>
        <v/>
      </c>
      <c r="V470" s="38" t="str">
        <f t="shared" si="65"/>
        <v/>
      </c>
      <c r="W470" s="38" t="str">
        <f>IF(AND(U470&lt;&gt;"",OR($S$4="(все)",B470=$S$4),IF($S$4="(все)",COUNTIF($U$4:U470,U470),COUNTIFS($U$4:U470,U470,$B$4:B470,B470))=1),MAX($W$3:W469)+1,"")</f>
        <v/>
      </c>
      <c r="X470" s="38" t="str">
        <f t="shared" si="66"/>
        <v/>
      </c>
      <c r="Y470" s="38" t="str">
        <f>IF(AND(A470="Аппарат",C470&lt;&gt;"",OR($S$5="(все)",B470=$S$5)),MAX($Y$3:Y469)+1,"")</f>
        <v/>
      </c>
      <c r="Z470" s="38" t="str">
        <f t="shared" si="67"/>
        <v/>
      </c>
      <c r="AA470" s="38" t="str">
        <f>IF(AND(A470="Модуль",C470&lt;&gt;"",OR($S$6="(все)",B470=$S$6)),MAX($AA$3:AA469)+1,"")</f>
        <v/>
      </c>
      <c r="AB470" s="38" t="str">
        <f t="shared" si="68"/>
        <v/>
      </c>
      <c r="AC470" s="38" t="str">
        <f>IF(OR(B470="",COUNTIF($B$4:B470,B470)&gt;1),"",MAX($AC$3:AC469)+1)</f>
        <v/>
      </c>
      <c r="AD470" s="38" t="str">
        <f t="shared" si="69"/>
        <v/>
      </c>
      <c r="AE470" s="38" t="str">
        <f t="shared" si="70"/>
        <v/>
      </c>
      <c r="AF470" s="38" t="str">
        <f t="shared" si="71"/>
        <v/>
      </c>
    </row>
    <row r="471" spans="1:32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38" t="str">
        <f>IF(OR(A471="Автомат",A471="Дифавтомат"),IF(W471="","",COUNTIFS(Однолинейка!$H$3:$H$3000,U471,Однолинейка!$A$3:$A$3000,Щит_спец)),IF(A471="Аппарат",IF(C471="","",COUNTIFS(Однолинейка!$I$3:$I$3000,C471,Однолинейка!$A$3:$A$3000,Щит_спец)+COUNTIFS(Однолинейка!$J$3:$J$3000,C471,Однолинейка!$A$3:$A$3000,Щит_спец)+COUNTIFS(Однолинейка!$K$3:$K$3000,C471,Однолинейка!$A$3:$A$3000,Щит_спец)),IF(A471="Модуль",IF(C471="","",COUNTIFS(Однолинейка!$AW$3:$AW$3000,"?*",Однолинейка!$AI$3:$AI$3000,C471,Однолинейка!$A$3:$A$3000,Щит_спец)),IF(A471="Клемма",IF(C471="","",IF(C471=$S$7,SUMIFS(Однолинейка!$BW$3:$BW$3000,Однолинейка!$A$3:$A$3000,Щит_спец),IF(C471=$S$8,SUMIFS(Однолинейка!$BX$3:$BX$3000,Однолинейка!$A$3:$A$3000,Щит_спец),""))),""))))</f>
        <v/>
      </c>
      <c r="O471" s="74"/>
      <c r="P471" s="38" t="str">
        <f t="shared" si="63"/>
        <v/>
      </c>
      <c r="U471" s="38" t="str">
        <f t="shared" si="64"/>
        <v/>
      </c>
      <c r="V471" s="38" t="str">
        <f t="shared" si="65"/>
        <v/>
      </c>
      <c r="W471" s="38" t="str">
        <f>IF(AND(U471&lt;&gt;"",OR($S$4="(все)",B471=$S$4),IF($S$4="(все)",COUNTIF($U$4:U471,U471),COUNTIFS($U$4:U471,U471,$B$4:B471,B471))=1),MAX($W$3:W470)+1,"")</f>
        <v/>
      </c>
      <c r="X471" s="38" t="str">
        <f t="shared" si="66"/>
        <v/>
      </c>
      <c r="Y471" s="38" t="str">
        <f>IF(AND(A471="Аппарат",C471&lt;&gt;"",OR($S$5="(все)",B471=$S$5)),MAX($Y$3:Y470)+1,"")</f>
        <v/>
      </c>
      <c r="Z471" s="38" t="str">
        <f t="shared" si="67"/>
        <v/>
      </c>
      <c r="AA471" s="38" t="str">
        <f>IF(AND(A471="Модуль",C471&lt;&gt;"",OR($S$6="(все)",B471=$S$6)),MAX($AA$3:AA470)+1,"")</f>
        <v/>
      </c>
      <c r="AB471" s="38" t="str">
        <f t="shared" si="68"/>
        <v/>
      </c>
      <c r="AC471" s="38" t="str">
        <f>IF(OR(B471="",COUNTIF($B$4:B471,B471)&gt;1),"",MAX($AC$3:AC470)+1)</f>
        <v/>
      </c>
      <c r="AD471" s="38" t="str">
        <f t="shared" si="69"/>
        <v/>
      </c>
      <c r="AE471" s="38" t="str">
        <f t="shared" si="70"/>
        <v/>
      </c>
      <c r="AF471" s="38" t="str">
        <f t="shared" si="71"/>
        <v/>
      </c>
    </row>
    <row r="472" spans="1:32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38" t="str">
        <f>IF(OR(A472="Автомат",A472="Дифавтомат"),IF(W472="","",COUNTIFS(Однолинейка!$H$3:$H$3000,U472,Однолинейка!$A$3:$A$3000,Щит_спец)),IF(A472="Аппарат",IF(C472="","",COUNTIFS(Однолинейка!$I$3:$I$3000,C472,Однолинейка!$A$3:$A$3000,Щит_спец)+COUNTIFS(Однолинейка!$J$3:$J$3000,C472,Однолинейка!$A$3:$A$3000,Щит_спец)+COUNTIFS(Однолинейка!$K$3:$K$3000,C472,Однолинейка!$A$3:$A$3000,Щит_спец)),IF(A472="Модуль",IF(C472="","",COUNTIFS(Однолинейка!$AW$3:$AW$3000,"?*",Однолинейка!$AI$3:$AI$3000,C472,Однолинейка!$A$3:$A$3000,Щит_спец)),IF(A472="Клемма",IF(C472="","",IF(C472=$S$7,SUMIFS(Однолинейка!$BW$3:$BW$3000,Однолинейка!$A$3:$A$3000,Щит_спец),IF(C472=$S$8,SUMIFS(Однолинейка!$BX$3:$BX$3000,Однолинейка!$A$3:$A$3000,Щит_спец),""))),""))))</f>
        <v/>
      </c>
      <c r="O472" s="74"/>
      <c r="P472" s="38" t="str">
        <f t="shared" si="63"/>
        <v/>
      </c>
      <c r="U472" s="38" t="str">
        <f t="shared" si="64"/>
        <v/>
      </c>
      <c r="V472" s="38" t="str">
        <f t="shared" si="65"/>
        <v/>
      </c>
      <c r="W472" s="38" t="str">
        <f>IF(AND(U472&lt;&gt;"",OR($S$4="(все)",B472=$S$4),IF($S$4="(все)",COUNTIF($U$4:U472,U472),COUNTIFS($U$4:U472,U472,$B$4:B472,B472))=1),MAX($W$3:W471)+1,"")</f>
        <v/>
      </c>
      <c r="X472" s="38" t="str">
        <f t="shared" si="66"/>
        <v/>
      </c>
      <c r="Y472" s="38" t="str">
        <f>IF(AND(A472="Аппарат",C472&lt;&gt;"",OR($S$5="(все)",B472=$S$5)),MAX($Y$3:Y471)+1,"")</f>
        <v/>
      </c>
      <c r="Z472" s="38" t="str">
        <f t="shared" si="67"/>
        <v/>
      </c>
      <c r="AA472" s="38" t="str">
        <f>IF(AND(A472="Модуль",C472&lt;&gt;"",OR($S$6="(все)",B472=$S$6)),MAX($AA$3:AA471)+1,"")</f>
        <v/>
      </c>
      <c r="AB472" s="38" t="str">
        <f t="shared" si="68"/>
        <v/>
      </c>
      <c r="AC472" s="38" t="str">
        <f>IF(OR(B472="",COUNTIF($B$4:B472,B472)&gt;1),"",MAX($AC$3:AC471)+1)</f>
        <v/>
      </c>
      <c r="AD472" s="38" t="str">
        <f t="shared" si="69"/>
        <v/>
      </c>
      <c r="AE472" s="38" t="str">
        <f t="shared" si="70"/>
        <v/>
      </c>
      <c r="AF472" s="38" t="str">
        <f t="shared" si="71"/>
        <v/>
      </c>
    </row>
    <row r="473" spans="1:32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38" t="str">
        <f>IF(OR(A473="Автомат",A473="Дифавтомат"),IF(W473="","",COUNTIFS(Однолинейка!$H$3:$H$3000,U473,Однолинейка!$A$3:$A$3000,Щит_спец)),IF(A473="Аппарат",IF(C473="","",COUNTIFS(Однолинейка!$I$3:$I$3000,C473,Однолинейка!$A$3:$A$3000,Щит_спец)+COUNTIFS(Однолинейка!$J$3:$J$3000,C473,Однолинейка!$A$3:$A$3000,Щит_спец)+COUNTIFS(Однолинейка!$K$3:$K$3000,C473,Однолинейка!$A$3:$A$3000,Щит_спец)),IF(A473="Модуль",IF(C473="","",COUNTIFS(Однолинейка!$AW$3:$AW$3000,"?*",Однолинейка!$AI$3:$AI$3000,C473,Однолинейка!$A$3:$A$3000,Щит_спец)),IF(A473="Клемма",IF(C473="","",IF(C473=$S$7,SUMIFS(Однолинейка!$BW$3:$BW$3000,Однолинейка!$A$3:$A$3000,Щит_спец),IF(C473=$S$8,SUMIFS(Однолинейка!$BX$3:$BX$3000,Однолинейка!$A$3:$A$3000,Щит_спец),""))),""))))</f>
        <v/>
      </c>
      <c r="O473" s="74"/>
      <c r="P473" s="38" t="str">
        <f t="shared" si="63"/>
        <v/>
      </c>
      <c r="U473" s="38" t="str">
        <f t="shared" si="64"/>
        <v/>
      </c>
      <c r="V473" s="38" t="str">
        <f t="shared" si="65"/>
        <v/>
      </c>
      <c r="W473" s="38" t="str">
        <f>IF(AND(U473&lt;&gt;"",OR($S$4="(все)",B473=$S$4),IF($S$4="(все)",COUNTIF($U$4:U473,U473),COUNTIFS($U$4:U473,U473,$B$4:B473,B473))=1),MAX($W$3:W472)+1,"")</f>
        <v/>
      </c>
      <c r="X473" s="38" t="str">
        <f t="shared" si="66"/>
        <v/>
      </c>
      <c r="Y473" s="38" t="str">
        <f>IF(AND(A473="Аппарат",C473&lt;&gt;"",OR($S$5="(все)",B473=$S$5)),MAX($Y$3:Y472)+1,"")</f>
        <v/>
      </c>
      <c r="Z473" s="38" t="str">
        <f t="shared" si="67"/>
        <v/>
      </c>
      <c r="AA473" s="38" t="str">
        <f>IF(AND(A473="Модуль",C473&lt;&gt;"",OR($S$6="(все)",B473=$S$6)),MAX($AA$3:AA472)+1,"")</f>
        <v/>
      </c>
      <c r="AB473" s="38" t="str">
        <f t="shared" si="68"/>
        <v/>
      </c>
      <c r="AC473" s="38" t="str">
        <f>IF(OR(B473="",COUNTIF($B$4:B473,B473)&gt;1),"",MAX($AC$3:AC472)+1)</f>
        <v/>
      </c>
      <c r="AD473" s="38" t="str">
        <f t="shared" si="69"/>
        <v/>
      </c>
      <c r="AE473" s="38" t="str">
        <f t="shared" si="70"/>
        <v/>
      </c>
      <c r="AF473" s="38" t="str">
        <f t="shared" si="71"/>
        <v/>
      </c>
    </row>
    <row r="474" spans="1:32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38" t="str">
        <f>IF(OR(A474="Автомат",A474="Дифавтомат"),IF(W474="","",COUNTIFS(Однолинейка!$H$3:$H$3000,U474,Однолинейка!$A$3:$A$3000,Щит_спец)),IF(A474="Аппарат",IF(C474="","",COUNTIFS(Однолинейка!$I$3:$I$3000,C474,Однолинейка!$A$3:$A$3000,Щит_спец)+COUNTIFS(Однолинейка!$J$3:$J$3000,C474,Однолинейка!$A$3:$A$3000,Щит_спец)+COUNTIFS(Однолинейка!$K$3:$K$3000,C474,Однолинейка!$A$3:$A$3000,Щит_спец)),IF(A474="Модуль",IF(C474="","",COUNTIFS(Однолинейка!$AW$3:$AW$3000,"?*",Однолинейка!$AI$3:$AI$3000,C474,Однолинейка!$A$3:$A$3000,Щит_спец)),IF(A474="Клемма",IF(C474="","",IF(C474=$S$7,SUMIFS(Однолинейка!$BW$3:$BW$3000,Однолинейка!$A$3:$A$3000,Щит_спец),IF(C474=$S$8,SUMIFS(Однолинейка!$BX$3:$BX$3000,Однолинейка!$A$3:$A$3000,Щит_спец),""))),""))))</f>
        <v/>
      </c>
      <c r="O474" s="74"/>
      <c r="P474" s="38" t="str">
        <f t="shared" si="63"/>
        <v/>
      </c>
      <c r="U474" s="38" t="str">
        <f t="shared" si="64"/>
        <v/>
      </c>
      <c r="V474" s="38" t="str">
        <f t="shared" si="65"/>
        <v/>
      </c>
      <c r="W474" s="38" t="str">
        <f>IF(AND(U474&lt;&gt;"",OR($S$4="(все)",B474=$S$4),IF($S$4="(все)",COUNTIF($U$4:U474,U474),COUNTIFS($U$4:U474,U474,$B$4:B474,B474))=1),MAX($W$3:W473)+1,"")</f>
        <v/>
      </c>
      <c r="X474" s="38" t="str">
        <f t="shared" si="66"/>
        <v/>
      </c>
      <c r="Y474" s="38" t="str">
        <f>IF(AND(A474="Аппарат",C474&lt;&gt;"",OR($S$5="(все)",B474=$S$5)),MAX($Y$3:Y473)+1,"")</f>
        <v/>
      </c>
      <c r="Z474" s="38" t="str">
        <f t="shared" si="67"/>
        <v/>
      </c>
      <c r="AA474" s="38" t="str">
        <f>IF(AND(A474="Модуль",C474&lt;&gt;"",OR($S$6="(все)",B474=$S$6)),MAX($AA$3:AA473)+1,"")</f>
        <v/>
      </c>
      <c r="AB474" s="38" t="str">
        <f t="shared" si="68"/>
        <v/>
      </c>
      <c r="AC474" s="38" t="str">
        <f>IF(OR(B474="",COUNTIF($B$4:B474,B474)&gt;1),"",MAX($AC$3:AC473)+1)</f>
        <v/>
      </c>
      <c r="AD474" s="38" t="str">
        <f t="shared" si="69"/>
        <v/>
      </c>
      <c r="AE474" s="38" t="str">
        <f t="shared" si="70"/>
        <v/>
      </c>
      <c r="AF474" s="38" t="str">
        <f t="shared" si="71"/>
        <v/>
      </c>
    </row>
    <row r="475" spans="1:32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38" t="str">
        <f>IF(OR(A475="Автомат",A475="Дифавтомат"),IF(W475="","",COUNTIFS(Однолинейка!$H$3:$H$3000,U475,Однолинейка!$A$3:$A$3000,Щит_спец)),IF(A475="Аппарат",IF(C475="","",COUNTIFS(Однолинейка!$I$3:$I$3000,C475,Однолинейка!$A$3:$A$3000,Щит_спец)+COUNTIFS(Однолинейка!$J$3:$J$3000,C475,Однолинейка!$A$3:$A$3000,Щит_спец)+COUNTIFS(Однолинейка!$K$3:$K$3000,C475,Однолинейка!$A$3:$A$3000,Щит_спец)),IF(A475="Модуль",IF(C475="","",COUNTIFS(Однолинейка!$AW$3:$AW$3000,"?*",Однолинейка!$AI$3:$AI$3000,C475,Однолинейка!$A$3:$A$3000,Щит_спец)),IF(A475="Клемма",IF(C475="","",IF(C475=$S$7,SUMIFS(Однолинейка!$BW$3:$BW$3000,Однолинейка!$A$3:$A$3000,Щит_спец),IF(C475=$S$8,SUMIFS(Однолинейка!$BX$3:$BX$3000,Однолинейка!$A$3:$A$3000,Щит_спец),""))),""))))</f>
        <v/>
      </c>
      <c r="O475" s="74"/>
      <c r="P475" s="38" t="str">
        <f t="shared" si="63"/>
        <v/>
      </c>
      <c r="U475" s="38" t="str">
        <f t="shared" si="64"/>
        <v/>
      </c>
      <c r="V475" s="38" t="str">
        <f t="shared" si="65"/>
        <v/>
      </c>
      <c r="W475" s="38" t="str">
        <f>IF(AND(U475&lt;&gt;"",OR($S$4="(все)",B475=$S$4),IF($S$4="(все)",COUNTIF($U$4:U475,U475),COUNTIFS($U$4:U475,U475,$B$4:B475,B475))=1),MAX($W$3:W474)+1,"")</f>
        <v/>
      </c>
      <c r="X475" s="38" t="str">
        <f t="shared" si="66"/>
        <v/>
      </c>
      <c r="Y475" s="38" t="str">
        <f>IF(AND(A475="Аппарат",C475&lt;&gt;"",OR($S$5="(все)",B475=$S$5)),MAX($Y$3:Y474)+1,"")</f>
        <v/>
      </c>
      <c r="Z475" s="38" t="str">
        <f t="shared" si="67"/>
        <v/>
      </c>
      <c r="AA475" s="38" t="str">
        <f>IF(AND(A475="Модуль",C475&lt;&gt;"",OR($S$6="(все)",B475=$S$6)),MAX($AA$3:AA474)+1,"")</f>
        <v/>
      </c>
      <c r="AB475" s="38" t="str">
        <f t="shared" si="68"/>
        <v/>
      </c>
      <c r="AC475" s="38" t="str">
        <f>IF(OR(B475="",COUNTIF($B$4:B475,B475)&gt;1),"",MAX($AC$3:AC474)+1)</f>
        <v/>
      </c>
      <c r="AD475" s="38" t="str">
        <f t="shared" si="69"/>
        <v/>
      </c>
      <c r="AE475" s="38" t="str">
        <f t="shared" si="70"/>
        <v/>
      </c>
      <c r="AF475" s="38" t="str">
        <f t="shared" si="71"/>
        <v/>
      </c>
    </row>
    <row r="476" spans="1:32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38" t="str">
        <f>IF(OR(A476="Автомат",A476="Дифавтомат"),IF(W476="","",COUNTIFS(Однолинейка!$H$3:$H$3000,U476,Однолинейка!$A$3:$A$3000,Щит_спец)),IF(A476="Аппарат",IF(C476="","",COUNTIFS(Однолинейка!$I$3:$I$3000,C476,Однолинейка!$A$3:$A$3000,Щит_спец)+COUNTIFS(Однолинейка!$J$3:$J$3000,C476,Однолинейка!$A$3:$A$3000,Щит_спец)+COUNTIFS(Однолинейка!$K$3:$K$3000,C476,Однолинейка!$A$3:$A$3000,Щит_спец)),IF(A476="Модуль",IF(C476="","",COUNTIFS(Однолинейка!$AW$3:$AW$3000,"?*",Однолинейка!$AI$3:$AI$3000,C476,Однолинейка!$A$3:$A$3000,Щит_спец)),IF(A476="Клемма",IF(C476="","",IF(C476=$S$7,SUMIFS(Однолинейка!$BW$3:$BW$3000,Однолинейка!$A$3:$A$3000,Щит_спец),IF(C476=$S$8,SUMIFS(Однолинейка!$BX$3:$BX$3000,Однолинейка!$A$3:$A$3000,Щит_спец),""))),""))))</f>
        <v/>
      </c>
      <c r="O476" s="74"/>
      <c r="P476" s="38" t="str">
        <f t="shared" si="63"/>
        <v/>
      </c>
      <c r="U476" s="38" t="str">
        <f t="shared" si="64"/>
        <v/>
      </c>
      <c r="V476" s="38" t="str">
        <f t="shared" si="65"/>
        <v/>
      </c>
      <c r="W476" s="38" t="str">
        <f>IF(AND(U476&lt;&gt;"",OR($S$4="(все)",B476=$S$4),IF($S$4="(все)",COUNTIF($U$4:U476,U476),COUNTIFS($U$4:U476,U476,$B$4:B476,B476))=1),MAX($W$3:W475)+1,"")</f>
        <v/>
      </c>
      <c r="X476" s="38" t="str">
        <f t="shared" si="66"/>
        <v/>
      </c>
      <c r="Y476" s="38" t="str">
        <f>IF(AND(A476="Аппарат",C476&lt;&gt;"",OR($S$5="(все)",B476=$S$5)),MAX($Y$3:Y475)+1,"")</f>
        <v/>
      </c>
      <c r="Z476" s="38" t="str">
        <f t="shared" si="67"/>
        <v/>
      </c>
      <c r="AA476" s="38" t="str">
        <f>IF(AND(A476="Модуль",C476&lt;&gt;"",OR($S$6="(все)",B476=$S$6)),MAX($AA$3:AA475)+1,"")</f>
        <v/>
      </c>
      <c r="AB476" s="38" t="str">
        <f t="shared" si="68"/>
        <v/>
      </c>
      <c r="AC476" s="38" t="str">
        <f>IF(OR(B476="",COUNTIF($B$4:B476,B476)&gt;1),"",MAX($AC$3:AC475)+1)</f>
        <v/>
      </c>
      <c r="AD476" s="38" t="str">
        <f t="shared" si="69"/>
        <v/>
      </c>
      <c r="AE476" s="38" t="str">
        <f t="shared" si="70"/>
        <v/>
      </c>
      <c r="AF476" s="38" t="str">
        <f t="shared" si="71"/>
        <v/>
      </c>
    </row>
    <row r="477" spans="1:32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38" t="str">
        <f>IF(OR(A477="Автомат",A477="Дифавтомат"),IF(W477="","",COUNTIFS(Однолинейка!$H$3:$H$3000,U477,Однолинейка!$A$3:$A$3000,Щит_спец)),IF(A477="Аппарат",IF(C477="","",COUNTIFS(Однолинейка!$I$3:$I$3000,C477,Однолинейка!$A$3:$A$3000,Щит_спец)+COUNTIFS(Однолинейка!$J$3:$J$3000,C477,Однолинейка!$A$3:$A$3000,Щит_спец)+COUNTIFS(Однолинейка!$K$3:$K$3000,C477,Однолинейка!$A$3:$A$3000,Щит_спец)),IF(A477="Модуль",IF(C477="","",COUNTIFS(Однолинейка!$AW$3:$AW$3000,"?*",Однолинейка!$AI$3:$AI$3000,C477,Однолинейка!$A$3:$A$3000,Щит_спец)),IF(A477="Клемма",IF(C477="","",IF(C477=$S$7,SUMIFS(Однолинейка!$BW$3:$BW$3000,Однолинейка!$A$3:$A$3000,Щит_спец),IF(C477=$S$8,SUMIFS(Однолинейка!$BX$3:$BX$3000,Однолинейка!$A$3:$A$3000,Щит_спец),""))),""))))</f>
        <v/>
      </c>
      <c r="O477" s="74"/>
      <c r="P477" s="38" t="str">
        <f t="shared" si="63"/>
        <v/>
      </c>
      <c r="U477" s="38" t="str">
        <f t="shared" si="64"/>
        <v/>
      </c>
      <c r="V477" s="38" t="str">
        <f t="shared" si="65"/>
        <v/>
      </c>
      <c r="W477" s="38" t="str">
        <f>IF(AND(U477&lt;&gt;"",OR($S$4="(все)",B477=$S$4),IF($S$4="(все)",COUNTIF($U$4:U477,U477),COUNTIFS($U$4:U477,U477,$B$4:B477,B477))=1),MAX($W$3:W476)+1,"")</f>
        <v/>
      </c>
      <c r="X477" s="38" t="str">
        <f t="shared" si="66"/>
        <v/>
      </c>
      <c r="Y477" s="38" t="str">
        <f>IF(AND(A477="Аппарат",C477&lt;&gt;"",OR($S$5="(все)",B477=$S$5)),MAX($Y$3:Y476)+1,"")</f>
        <v/>
      </c>
      <c r="Z477" s="38" t="str">
        <f t="shared" si="67"/>
        <v/>
      </c>
      <c r="AA477" s="38" t="str">
        <f>IF(AND(A477="Модуль",C477&lt;&gt;"",OR($S$6="(все)",B477=$S$6)),MAX($AA$3:AA476)+1,"")</f>
        <v/>
      </c>
      <c r="AB477" s="38" t="str">
        <f t="shared" si="68"/>
        <v/>
      </c>
      <c r="AC477" s="38" t="str">
        <f>IF(OR(B477="",COUNTIF($B$4:B477,B477)&gt;1),"",MAX($AC$3:AC476)+1)</f>
        <v/>
      </c>
      <c r="AD477" s="38" t="str">
        <f t="shared" si="69"/>
        <v/>
      </c>
      <c r="AE477" s="38" t="str">
        <f t="shared" si="70"/>
        <v/>
      </c>
      <c r="AF477" s="38" t="str">
        <f t="shared" si="71"/>
        <v/>
      </c>
    </row>
    <row r="478" spans="1:32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38" t="str">
        <f>IF(OR(A478="Автомат",A478="Дифавтомат"),IF(W478="","",COUNTIFS(Однолинейка!$H$3:$H$3000,U478,Однолинейка!$A$3:$A$3000,Щит_спец)),IF(A478="Аппарат",IF(C478="","",COUNTIFS(Однолинейка!$I$3:$I$3000,C478,Однолинейка!$A$3:$A$3000,Щит_спец)+COUNTIFS(Однолинейка!$J$3:$J$3000,C478,Однолинейка!$A$3:$A$3000,Щит_спец)+COUNTIFS(Однолинейка!$K$3:$K$3000,C478,Однолинейка!$A$3:$A$3000,Щит_спец)),IF(A478="Модуль",IF(C478="","",COUNTIFS(Однолинейка!$AW$3:$AW$3000,"?*",Однолинейка!$AI$3:$AI$3000,C478,Однолинейка!$A$3:$A$3000,Щит_спец)),IF(A478="Клемма",IF(C478="","",IF(C478=$S$7,SUMIFS(Однолинейка!$BW$3:$BW$3000,Однолинейка!$A$3:$A$3000,Щит_спец),IF(C478=$S$8,SUMIFS(Однолинейка!$BX$3:$BX$3000,Однолинейка!$A$3:$A$3000,Щит_спец),""))),""))))</f>
        <v/>
      </c>
      <c r="O478" s="74"/>
      <c r="P478" s="38" t="str">
        <f t="shared" si="63"/>
        <v/>
      </c>
      <c r="U478" s="38" t="str">
        <f t="shared" si="64"/>
        <v/>
      </c>
      <c r="V478" s="38" t="str">
        <f t="shared" si="65"/>
        <v/>
      </c>
      <c r="W478" s="38" t="str">
        <f>IF(AND(U478&lt;&gt;"",OR($S$4="(все)",B478=$S$4),IF($S$4="(все)",COUNTIF($U$4:U478,U478),COUNTIFS($U$4:U478,U478,$B$4:B478,B478))=1),MAX($W$3:W477)+1,"")</f>
        <v/>
      </c>
      <c r="X478" s="38" t="str">
        <f t="shared" si="66"/>
        <v/>
      </c>
      <c r="Y478" s="38" t="str">
        <f>IF(AND(A478="Аппарат",C478&lt;&gt;"",OR($S$5="(все)",B478=$S$5)),MAX($Y$3:Y477)+1,"")</f>
        <v/>
      </c>
      <c r="Z478" s="38" t="str">
        <f t="shared" si="67"/>
        <v/>
      </c>
      <c r="AA478" s="38" t="str">
        <f>IF(AND(A478="Модуль",C478&lt;&gt;"",OR($S$6="(все)",B478=$S$6)),MAX($AA$3:AA477)+1,"")</f>
        <v/>
      </c>
      <c r="AB478" s="38" t="str">
        <f t="shared" si="68"/>
        <v/>
      </c>
      <c r="AC478" s="38" t="str">
        <f>IF(OR(B478="",COUNTIF($B$4:B478,B478)&gt;1),"",MAX($AC$3:AC477)+1)</f>
        <v/>
      </c>
      <c r="AD478" s="38" t="str">
        <f t="shared" si="69"/>
        <v/>
      </c>
      <c r="AE478" s="38" t="str">
        <f t="shared" si="70"/>
        <v/>
      </c>
      <c r="AF478" s="38" t="str">
        <f t="shared" si="71"/>
        <v/>
      </c>
    </row>
    <row r="479" spans="1:32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38" t="str">
        <f>IF(OR(A479="Автомат",A479="Дифавтомат"),IF(W479="","",COUNTIFS(Однолинейка!$H$3:$H$3000,U479,Однолинейка!$A$3:$A$3000,Щит_спец)),IF(A479="Аппарат",IF(C479="","",COUNTIFS(Однолинейка!$I$3:$I$3000,C479,Однолинейка!$A$3:$A$3000,Щит_спец)+COUNTIFS(Однолинейка!$J$3:$J$3000,C479,Однолинейка!$A$3:$A$3000,Щит_спец)+COUNTIFS(Однолинейка!$K$3:$K$3000,C479,Однолинейка!$A$3:$A$3000,Щит_спец)),IF(A479="Модуль",IF(C479="","",COUNTIFS(Однолинейка!$AW$3:$AW$3000,"?*",Однолинейка!$AI$3:$AI$3000,C479,Однолинейка!$A$3:$A$3000,Щит_спец)),IF(A479="Клемма",IF(C479="","",IF(C479=$S$7,SUMIFS(Однолинейка!$BW$3:$BW$3000,Однолинейка!$A$3:$A$3000,Щит_спец),IF(C479=$S$8,SUMIFS(Однолинейка!$BX$3:$BX$3000,Однолинейка!$A$3:$A$3000,Щит_спец),""))),""))))</f>
        <v/>
      </c>
      <c r="O479" s="74"/>
      <c r="P479" s="38" t="str">
        <f t="shared" si="63"/>
        <v/>
      </c>
      <c r="U479" s="38" t="str">
        <f t="shared" si="64"/>
        <v/>
      </c>
      <c r="V479" s="38" t="str">
        <f t="shared" si="65"/>
        <v/>
      </c>
      <c r="W479" s="38" t="str">
        <f>IF(AND(U479&lt;&gt;"",OR($S$4="(все)",B479=$S$4),IF($S$4="(все)",COUNTIF($U$4:U479,U479),COUNTIFS($U$4:U479,U479,$B$4:B479,B479))=1),MAX($W$3:W478)+1,"")</f>
        <v/>
      </c>
      <c r="X479" s="38" t="str">
        <f t="shared" si="66"/>
        <v/>
      </c>
      <c r="Y479" s="38" t="str">
        <f>IF(AND(A479="Аппарат",C479&lt;&gt;"",OR($S$5="(все)",B479=$S$5)),MAX($Y$3:Y478)+1,"")</f>
        <v/>
      </c>
      <c r="Z479" s="38" t="str">
        <f t="shared" si="67"/>
        <v/>
      </c>
      <c r="AA479" s="38" t="str">
        <f>IF(AND(A479="Модуль",C479&lt;&gt;"",OR($S$6="(все)",B479=$S$6)),MAX($AA$3:AA478)+1,"")</f>
        <v/>
      </c>
      <c r="AB479" s="38" t="str">
        <f t="shared" si="68"/>
        <v/>
      </c>
      <c r="AC479" s="38" t="str">
        <f>IF(OR(B479="",COUNTIF($B$4:B479,B479)&gt;1),"",MAX($AC$3:AC478)+1)</f>
        <v/>
      </c>
      <c r="AD479" s="38" t="str">
        <f t="shared" si="69"/>
        <v/>
      </c>
      <c r="AE479" s="38" t="str">
        <f t="shared" si="70"/>
        <v/>
      </c>
      <c r="AF479" s="38" t="str">
        <f t="shared" si="71"/>
        <v/>
      </c>
    </row>
    <row r="480" spans="1:32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38" t="str">
        <f>IF(OR(A480="Автомат",A480="Дифавтомат"),IF(W480="","",COUNTIFS(Однолинейка!$H$3:$H$3000,U480,Однолинейка!$A$3:$A$3000,Щит_спец)),IF(A480="Аппарат",IF(C480="","",COUNTIFS(Однолинейка!$I$3:$I$3000,C480,Однолинейка!$A$3:$A$3000,Щит_спец)+COUNTIFS(Однолинейка!$J$3:$J$3000,C480,Однолинейка!$A$3:$A$3000,Щит_спец)+COUNTIFS(Однолинейка!$K$3:$K$3000,C480,Однолинейка!$A$3:$A$3000,Щит_спец)),IF(A480="Модуль",IF(C480="","",COUNTIFS(Однолинейка!$AW$3:$AW$3000,"?*",Однолинейка!$AI$3:$AI$3000,C480,Однолинейка!$A$3:$A$3000,Щит_спец)),IF(A480="Клемма",IF(C480="","",IF(C480=$S$7,SUMIFS(Однолинейка!$BW$3:$BW$3000,Однолинейка!$A$3:$A$3000,Щит_спец),IF(C480=$S$8,SUMIFS(Однолинейка!$BX$3:$BX$3000,Однолинейка!$A$3:$A$3000,Щит_спец),""))),""))))</f>
        <v/>
      </c>
      <c r="O480" s="74"/>
      <c r="P480" s="38" t="str">
        <f t="shared" si="63"/>
        <v/>
      </c>
      <c r="U480" s="38" t="str">
        <f t="shared" si="64"/>
        <v/>
      </c>
      <c r="V480" s="38" t="str">
        <f t="shared" si="65"/>
        <v/>
      </c>
      <c r="W480" s="38" t="str">
        <f>IF(AND(U480&lt;&gt;"",OR($S$4="(все)",B480=$S$4),IF($S$4="(все)",COUNTIF($U$4:U480,U480),COUNTIFS($U$4:U480,U480,$B$4:B480,B480))=1),MAX($W$3:W479)+1,"")</f>
        <v/>
      </c>
      <c r="X480" s="38" t="str">
        <f t="shared" si="66"/>
        <v/>
      </c>
      <c r="Y480" s="38" t="str">
        <f>IF(AND(A480="Аппарат",C480&lt;&gt;"",OR($S$5="(все)",B480=$S$5)),MAX($Y$3:Y479)+1,"")</f>
        <v/>
      </c>
      <c r="Z480" s="38" t="str">
        <f t="shared" si="67"/>
        <v/>
      </c>
      <c r="AA480" s="38" t="str">
        <f>IF(AND(A480="Модуль",C480&lt;&gt;"",OR($S$6="(все)",B480=$S$6)),MAX($AA$3:AA479)+1,"")</f>
        <v/>
      </c>
      <c r="AB480" s="38" t="str">
        <f t="shared" si="68"/>
        <v/>
      </c>
      <c r="AC480" s="38" t="str">
        <f>IF(OR(B480="",COUNTIF($B$4:B480,B480)&gt;1),"",MAX($AC$3:AC479)+1)</f>
        <v/>
      </c>
      <c r="AD480" s="38" t="str">
        <f t="shared" si="69"/>
        <v/>
      </c>
      <c r="AE480" s="38" t="str">
        <f t="shared" si="70"/>
        <v/>
      </c>
      <c r="AF480" s="38" t="str">
        <f t="shared" si="71"/>
        <v/>
      </c>
    </row>
    <row r="481" spans="1:32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38" t="str">
        <f>IF(OR(A481="Автомат",A481="Дифавтомат"),IF(W481="","",COUNTIFS(Однолинейка!$H$3:$H$3000,U481,Однолинейка!$A$3:$A$3000,Щит_спец)),IF(A481="Аппарат",IF(C481="","",COUNTIFS(Однолинейка!$I$3:$I$3000,C481,Однолинейка!$A$3:$A$3000,Щит_спец)+COUNTIFS(Однолинейка!$J$3:$J$3000,C481,Однолинейка!$A$3:$A$3000,Щит_спец)+COUNTIFS(Однолинейка!$K$3:$K$3000,C481,Однолинейка!$A$3:$A$3000,Щит_спец)),IF(A481="Модуль",IF(C481="","",COUNTIFS(Однолинейка!$AW$3:$AW$3000,"?*",Однолинейка!$AI$3:$AI$3000,C481,Однолинейка!$A$3:$A$3000,Щит_спец)),IF(A481="Клемма",IF(C481="","",IF(C481=$S$7,SUMIFS(Однолинейка!$BW$3:$BW$3000,Однолинейка!$A$3:$A$3000,Щит_спец),IF(C481=$S$8,SUMIFS(Однолинейка!$BX$3:$BX$3000,Однолинейка!$A$3:$A$3000,Щит_спец),""))),""))))</f>
        <v/>
      </c>
      <c r="O481" s="74"/>
      <c r="P481" s="38" t="str">
        <f t="shared" si="63"/>
        <v/>
      </c>
      <c r="U481" s="38" t="str">
        <f t="shared" si="64"/>
        <v/>
      </c>
      <c r="V481" s="38" t="str">
        <f t="shared" si="65"/>
        <v/>
      </c>
      <c r="W481" s="38" t="str">
        <f>IF(AND(U481&lt;&gt;"",OR($S$4="(все)",B481=$S$4),IF($S$4="(все)",COUNTIF($U$4:U481,U481),COUNTIFS($U$4:U481,U481,$B$4:B481,B481))=1),MAX($W$3:W480)+1,"")</f>
        <v/>
      </c>
      <c r="X481" s="38" t="str">
        <f t="shared" si="66"/>
        <v/>
      </c>
      <c r="Y481" s="38" t="str">
        <f>IF(AND(A481="Аппарат",C481&lt;&gt;"",OR($S$5="(все)",B481=$S$5)),MAX($Y$3:Y480)+1,"")</f>
        <v/>
      </c>
      <c r="Z481" s="38" t="str">
        <f t="shared" si="67"/>
        <v/>
      </c>
      <c r="AA481" s="38" t="str">
        <f>IF(AND(A481="Модуль",C481&lt;&gt;"",OR($S$6="(все)",B481=$S$6)),MAX($AA$3:AA480)+1,"")</f>
        <v/>
      </c>
      <c r="AB481" s="38" t="str">
        <f t="shared" si="68"/>
        <v/>
      </c>
      <c r="AC481" s="38" t="str">
        <f>IF(OR(B481="",COUNTIF($B$4:B481,B481)&gt;1),"",MAX($AC$3:AC480)+1)</f>
        <v/>
      </c>
      <c r="AD481" s="38" t="str">
        <f t="shared" si="69"/>
        <v/>
      </c>
      <c r="AE481" s="38" t="str">
        <f t="shared" si="70"/>
        <v/>
      </c>
      <c r="AF481" s="38" t="str">
        <f t="shared" si="71"/>
        <v/>
      </c>
    </row>
    <row r="482" spans="1:32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38" t="str">
        <f>IF(OR(A482="Автомат",A482="Дифавтомат"),IF(W482="","",COUNTIFS(Однолинейка!$H$3:$H$3000,U482,Однолинейка!$A$3:$A$3000,Щит_спец)),IF(A482="Аппарат",IF(C482="","",COUNTIFS(Однолинейка!$I$3:$I$3000,C482,Однолинейка!$A$3:$A$3000,Щит_спец)+COUNTIFS(Однолинейка!$J$3:$J$3000,C482,Однолинейка!$A$3:$A$3000,Щит_спец)+COUNTIFS(Однолинейка!$K$3:$K$3000,C482,Однолинейка!$A$3:$A$3000,Щит_спец)),IF(A482="Модуль",IF(C482="","",COUNTIFS(Однолинейка!$AW$3:$AW$3000,"?*",Однолинейка!$AI$3:$AI$3000,C482,Однолинейка!$A$3:$A$3000,Щит_спец)),IF(A482="Клемма",IF(C482="","",IF(C482=$S$7,SUMIFS(Однолинейка!$BW$3:$BW$3000,Однолинейка!$A$3:$A$3000,Щит_спец),IF(C482=$S$8,SUMIFS(Однолинейка!$BX$3:$BX$3000,Однолинейка!$A$3:$A$3000,Щит_спец),""))),""))))</f>
        <v/>
      </c>
      <c r="O482" s="74"/>
      <c r="P482" s="38" t="str">
        <f t="shared" si="63"/>
        <v/>
      </c>
      <c r="U482" s="38" t="str">
        <f t="shared" si="64"/>
        <v/>
      </c>
      <c r="V482" s="38" t="str">
        <f t="shared" si="65"/>
        <v/>
      </c>
      <c r="W482" s="38" t="str">
        <f>IF(AND(U482&lt;&gt;"",OR($S$4="(все)",B482=$S$4),IF($S$4="(все)",COUNTIF($U$4:U482,U482),COUNTIFS($U$4:U482,U482,$B$4:B482,B482))=1),MAX($W$3:W481)+1,"")</f>
        <v/>
      </c>
      <c r="X482" s="38" t="str">
        <f t="shared" si="66"/>
        <v/>
      </c>
      <c r="Y482" s="38" t="str">
        <f>IF(AND(A482="Аппарат",C482&lt;&gt;"",OR($S$5="(все)",B482=$S$5)),MAX($Y$3:Y481)+1,"")</f>
        <v/>
      </c>
      <c r="Z482" s="38" t="str">
        <f t="shared" si="67"/>
        <v/>
      </c>
      <c r="AA482" s="38" t="str">
        <f>IF(AND(A482="Модуль",C482&lt;&gt;"",OR($S$6="(все)",B482=$S$6)),MAX($AA$3:AA481)+1,"")</f>
        <v/>
      </c>
      <c r="AB482" s="38" t="str">
        <f t="shared" si="68"/>
        <v/>
      </c>
      <c r="AC482" s="38" t="str">
        <f>IF(OR(B482="",COUNTIF($B$4:B482,B482)&gt;1),"",MAX($AC$3:AC481)+1)</f>
        <v/>
      </c>
      <c r="AD482" s="38" t="str">
        <f t="shared" si="69"/>
        <v/>
      </c>
      <c r="AE482" s="38" t="str">
        <f t="shared" si="70"/>
        <v/>
      </c>
      <c r="AF482" s="38" t="str">
        <f t="shared" si="71"/>
        <v/>
      </c>
    </row>
    <row r="483" spans="1:32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38" t="str">
        <f>IF(OR(A483="Автомат",A483="Дифавтомат"),IF(W483="","",COUNTIFS(Однолинейка!$H$3:$H$3000,U483,Однолинейка!$A$3:$A$3000,Щит_спец)),IF(A483="Аппарат",IF(C483="","",COUNTIFS(Однолинейка!$I$3:$I$3000,C483,Однолинейка!$A$3:$A$3000,Щит_спец)+COUNTIFS(Однолинейка!$J$3:$J$3000,C483,Однолинейка!$A$3:$A$3000,Щит_спец)+COUNTIFS(Однолинейка!$K$3:$K$3000,C483,Однолинейка!$A$3:$A$3000,Щит_спец)),IF(A483="Модуль",IF(C483="","",COUNTIFS(Однолинейка!$AW$3:$AW$3000,"?*",Однолинейка!$AI$3:$AI$3000,C483,Однолинейка!$A$3:$A$3000,Щит_спец)),IF(A483="Клемма",IF(C483="","",IF(C483=$S$7,SUMIFS(Однолинейка!$BW$3:$BW$3000,Однолинейка!$A$3:$A$3000,Щит_спец),IF(C483=$S$8,SUMIFS(Однолинейка!$BX$3:$BX$3000,Однолинейка!$A$3:$A$3000,Щит_спец),""))),""))))</f>
        <v/>
      </c>
      <c r="O483" s="74"/>
      <c r="P483" s="38" t="str">
        <f t="shared" si="63"/>
        <v/>
      </c>
      <c r="U483" s="38" t="str">
        <f t="shared" si="64"/>
        <v/>
      </c>
      <c r="V483" s="38" t="str">
        <f t="shared" si="65"/>
        <v/>
      </c>
      <c r="W483" s="38" t="str">
        <f>IF(AND(U483&lt;&gt;"",OR($S$4="(все)",B483=$S$4),IF($S$4="(все)",COUNTIF($U$4:U483,U483),COUNTIFS($U$4:U483,U483,$B$4:B483,B483))=1),MAX($W$3:W482)+1,"")</f>
        <v/>
      </c>
      <c r="X483" s="38" t="str">
        <f t="shared" si="66"/>
        <v/>
      </c>
      <c r="Y483" s="38" t="str">
        <f>IF(AND(A483="Аппарат",C483&lt;&gt;"",OR($S$5="(все)",B483=$S$5)),MAX($Y$3:Y482)+1,"")</f>
        <v/>
      </c>
      <c r="Z483" s="38" t="str">
        <f t="shared" si="67"/>
        <v/>
      </c>
      <c r="AA483" s="38" t="str">
        <f>IF(AND(A483="Модуль",C483&lt;&gt;"",OR($S$6="(все)",B483=$S$6)),MAX($AA$3:AA482)+1,"")</f>
        <v/>
      </c>
      <c r="AB483" s="38" t="str">
        <f t="shared" si="68"/>
        <v/>
      </c>
      <c r="AC483" s="38" t="str">
        <f>IF(OR(B483="",COUNTIF($B$4:B483,B483)&gt;1),"",MAX($AC$3:AC482)+1)</f>
        <v/>
      </c>
      <c r="AD483" s="38" t="str">
        <f t="shared" si="69"/>
        <v/>
      </c>
      <c r="AE483" s="38" t="str">
        <f t="shared" si="70"/>
        <v/>
      </c>
      <c r="AF483" s="38" t="str">
        <f t="shared" si="71"/>
        <v/>
      </c>
    </row>
    <row r="484" spans="1:32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38" t="str">
        <f>IF(OR(A484="Автомат",A484="Дифавтомат"),IF(W484="","",COUNTIFS(Однолинейка!$H$3:$H$3000,U484,Однолинейка!$A$3:$A$3000,Щит_спец)),IF(A484="Аппарат",IF(C484="","",COUNTIFS(Однолинейка!$I$3:$I$3000,C484,Однолинейка!$A$3:$A$3000,Щит_спец)+COUNTIFS(Однолинейка!$J$3:$J$3000,C484,Однолинейка!$A$3:$A$3000,Щит_спец)+COUNTIFS(Однолинейка!$K$3:$K$3000,C484,Однолинейка!$A$3:$A$3000,Щит_спец)),IF(A484="Модуль",IF(C484="","",COUNTIFS(Однолинейка!$AW$3:$AW$3000,"?*",Однолинейка!$AI$3:$AI$3000,C484,Однолинейка!$A$3:$A$3000,Щит_спец)),IF(A484="Клемма",IF(C484="","",IF(C484=$S$7,SUMIFS(Однолинейка!$BW$3:$BW$3000,Однолинейка!$A$3:$A$3000,Щит_спец),IF(C484=$S$8,SUMIFS(Однолинейка!$BX$3:$BX$3000,Однолинейка!$A$3:$A$3000,Щит_спец),""))),""))))</f>
        <v/>
      </c>
      <c r="O484" s="74"/>
      <c r="P484" s="38" t="str">
        <f t="shared" si="63"/>
        <v/>
      </c>
      <c r="U484" s="38" t="str">
        <f t="shared" si="64"/>
        <v/>
      </c>
      <c r="V484" s="38" t="str">
        <f t="shared" si="65"/>
        <v/>
      </c>
      <c r="W484" s="38" t="str">
        <f>IF(AND(U484&lt;&gt;"",OR($S$4="(все)",B484=$S$4),IF($S$4="(все)",COUNTIF($U$4:U484,U484),COUNTIFS($U$4:U484,U484,$B$4:B484,B484))=1),MAX($W$3:W483)+1,"")</f>
        <v/>
      </c>
      <c r="X484" s="38" t="str">
        <f t="shared" si="66"/>
        <v/>
      </c>
      <c r="Y484" s="38" t="str">
        <f>IF(AND(A484="Аппарат",C484&lt;&gt;"",OR($S$5="(все)",B484=$S$5)),MAX($Y$3:Y483)+1,"")</f>
        <v/>
      </c>
      <c r="Z484" s="38" t="str">
        <f t="shared" si="67"/>
        <v/>
      </c>
      <c r="AA484" s="38" t="str">
        <f>IF(AND(A484="Модуль",C484&lt;&gt;"",OR($S$6="(все)",B484=$S$6)),MAX($AA$3:AA483)+1,"")</f>
        <v/>
      </c>
      <c r="AB484" s="38" t="str">
        <f t="shared" si="68"/>
        <v/>
      </c>
      <c r="AC484" s="38" t="str">
        <f>IF(OR(B484="",COUNTIF($B$4:B484,B484)&gt;1),"",MAX($AC$3:AC483)+1)</f>
        <v/>
      </c>
      <c r="AD484" s="38" t="str">
        <f t="shared" si="69"/>
        <v/>
      </c>
      <c r="AE484" s="38" t="str">
        <f t="shared" si="70"/>
        <v/>
      </c>
      <c r="AF484" s="38" t="str">
        <f t="shared" si="71"/>
        <v/>
      </c>
    </row>
    <row r="485" spans="1:32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38" t="str">
        <f>IF(OR(A485="Автомат",A485="Дифавтомат"),IF(W485="","",COUNTIFS(Однолинейка!$H$3:$H$3000,U485,Однолинейка!$A$3:$A$3000,Щит_спец)),IF(A485="Аппарат",IF(C485="","",COUNTIFS(Однолинейка!$I$3:$I$3000,C485,Однолинейка!$A$3:$A$3000,Щит_спец)+COUNTIFS(Однолинейка!$J$3:$J$3000,C485,Однолинейка!$A$3:$A$3000,Щит_спец)+COUNTIFS(Однолинейка!$K$3:$K$3000,C485,Однолинейка!$A$3:$A$3000,Щит_спец)),IF(A485="Модуль",IF(C485="","",COUNTIFS(Однолинейка!$AW$3:$AW$3000,"?*",Однолинейка!$AI$3:$AI$3000,C485,Однолинейка!$A$3:$A$3000,Щит_спец)),IF(A485="Клемма",IF(C485="","",IF(C485=$S$7,SUMIFS(Однолинейка!$BW$3:$BW$3000,Однолинейка!$A$3:$A$3000,Щит_спец),IF(C485=$S$8,SUMIFS(Однолинейка!$BX$3:$BX$3000,Однолинейка!$A$3:$A$3000,Щит_спец),""))),""))))</f>
        <v/>
      </c>
      <c r="O485" s="74"/>
      <c r="P485" s="38" t="str">
        <f t="shared" si="63"/>
        <v/>
      </c>
      <c r="U485" s="38" t="str">
        <f t="shared" si="64"/>
        <v/>
      </c>
      <c r="V485" s="38" t="str">
        <f t="shared" si="65"/>
        <v/>
      </c>
      <c r="W485" s="38" t="str">
        <f>IF(AND(U485&lt;&gt;"",OR($S$4="(все)",B485=$S$4),IF($S$4="(все)",COUNTIF($U$4:U485,U485),COUNTIFS($U$4:U485,U485,$B$4:B485,B485))=1),MAX($W$3:W484)+1,"")</f>
        <v/>
      </c>
      <c r="X485" s="38" t="str">
        <f t="shared" si="66"/>
        <v/>
      </c>
      <c r="Y485" s="38" t="str">
        <f>IF(AND(A485="Аппарат",C485&lt;&gt;"",OR($S$5="(все)",B485=$S$5)),MAX($Y$3:Y484)+1,"")</f>
        <v/>
      </c>
      <c r="Z485" s="38" t="str">
        <f t="shared" si="67"/>
        <v/>
      </c>
      <c r="AA485" s="38" t="str">
        <f>IF(AND(A485="Модуль",C485&lt;&gt;"",OR($S$6="(все)",B485=$S$6)),MAX($AA$3:AA484)+1,"")</f>
        <v/>
      </c>
      <c r="AB485" s="38" t="str">
        <f t="shared" si="68"/>
        <v/>
      </c>
      <c r="AC485" s="38" t="str">
        <f>IF(OR(B485="",COUNTIF($B$4:B485,B485)&gt;1),"",MAX($AC$3:AC484)+1)</f>
        <v/>
      </c>
      <c r="AD485" s="38" t="str">
        <f t="shared" si="69"/>
        <v/>
      </c>
      <c r="AE485" s="38" t="str">
        <f t="shared" si="70"/>
        <v/>
      </c>
      <c r="AF485" s="38" t="str">
        <f t="shared" si="71"/>
        <v/>
      </c>
    </row>
    <row r="486" spans="1:32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38" t="str">
        <f>IF(OR(A486="Автомат",A486="Дифавтомат"),IF(W486="","",COUNTIFS(Однолинейка!$H$3:$H$3000,U486,Однолинейка!$A$3:$A$3000,Щит_спец)),IF(A486="Аппарат",IF(C486="","",COUNTIFS(Однолинейка!$I$3:$I$3000,C486,Однолинейка!$A$3:$A$3000,Щит_спец)+COUNTIFS(Однолинейка!$J$3:$J$3000,C486,Однолинейка!$A$3:$A$3000,Щит_спец)+COUNTIFS(Однолинейка!$K$3:$K$3000,C486,Однолинейка!$A$3:$A$3000,Щит_спец)),IF(A486="Модуль",IF(C486="","",COUNTIFS(Однолинейка!$AW$3:$AW$3000,"?*",Однолинейка!$AI$3:$AI$3000,C486,Однолинейка!$A$3:$A$3000,Щит_спец)),IF(A486="Клемма",IF(C486="","",IF(C486=$S$7,SUMIFS(Однолинейка!$BW$3:$BW$3000,Однолинейка!$A$3:$A$3000,Щит_спец),IF(C486=$S$8,SUMIFS(Однолинейка!$BX$3:$BX$3000,Однолинейка!$A$3:$A$3000,Щит_спец),""))),""))))</f>
        <v/>
      </c>
      <c r="O486" s="74"/>
      <c r="P486" s="38" t="str">
        <f t="shared" si="63"/>
        <v/>
      </c>
      <c r="U486" s="38" t="str">
        <f t="shared" si="64"/>
        <v/>
      </c>
      <c r="V486" s="38" t="str">
        <f t="shared" si="65"/>
        <v/>
      </c>
      <c r="W486" s="38" t="str">
        <f>IF(AND(U486&lt;&gt;"",OR($S$4="(все)",B486=$S$4),IF($S$4="(все)",COUNTIF($U$4:U486,U486),COUNTIFS($U$4:U486,U486,$B$4:B486,B486))=1),MAX($W$3:W485)+1,"")</f>
        <v/>
      </c>
      <c r="X486" s="38" t="str">
        <f t="shared" si="66"/>
        <v/>
      </c>
      <c r="Y486" s="38" t="str">
        <f>IF(AND(A486="Аппарат",C486&lt;&gt;"",OR($S$5="(все)",B486=$S$5)),MAX($Y$3:Y485)+1,"")</f>
        <v/>
      </c>
      <c r="Z486" s="38" t="str">
        <f t="shared" si="67"/>
        <v/>
      </c>
      <c r="AA486" s="38" t="str">
        <f>IF(AND(A486="Модуль",C486&lt;&gt;"",OR($S$6="(все)",B486=$S$6)),MAX($AA$3:AA485)+1,"")</f>
        <v/>
      </c>
      <c r="AB486" s="38" t="str">
        <f t="shared" si="68"/>
        <v/>
      </c>
      <c r="AC486" s="38" t="str">
        <f>IF(OR(B486="",COUNTIF($B$4:B486,B486)&gt;1),"",MAX($AC$3:AC485)+1)</f>
        <v/>
      </c>
      <c r="AD486" s="38" t="str">
        <f t="shared" si="69"/>
        <v/>
      </c>
      <c r="AE486" s="38" t="str">
        <f t="shared" si="70"/>
        <v/>
      </c>
      <c r="AF486" s="38" t="str">
        <f t="shared" si="71"/>
        <v/>
      </c>
    </row>
    <row r="487" spans="1:32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38" t="str">
        <f>IF(OR(A487="Автомат",A487="Дифавтомат"),IF(W487="","",COUNTIFS(Однолинейка!$H$3:$H$3000,U487,Однолинейка!$A$3:$A$3000,Щит_спец)),IF(A487="Аппарат",IF(C487="","",COUNTIFS(Однолинейка!$I$3:$I$3000,C487,Однолинейка!$A$3:$A$3000,Щит_спец)+COUNTIFS(Однолинейка!$J$3:$J$3000,C487,Однолинейка!$A$3:$A$3000,Щит_спец)+COUNTIFS(Однолинейка!$K$3:$K$3000,C487,Однолинейка!$A$3:$A$3000,Щит_спец)),IF(A487="Модуль",IF(C487="","",COUNTIFS(Однолинейка!$AW$3:$AW$3000,"?*",Однолинейка!$AI$3:$AI$3000,C487,Однолинейка!$A$3:$A$3000,Щит_спец)),IF(A487="Клемма",IF(C487="","",IF(C487=$S$7,SUMIFS(Однолинейка!$BW$3:$BW$3000,Однолинейка!$A$3:$A$3000,Щит_спец),IF(C487=$S$8,SUMIFS(Однолинейка!$BX$3:$BX$3000,Однолинейка!$A$3:$A$3000,Щит_спец),""))),""))))</f>
        <v/>
      </c>
      <c r="O487" s="74"/>
      <c r="P487" s="38" t="str">
        <f t="shared" si="63"/>
        <v/>
      </c>
      <c r="U487" s="38" t="str">
        <f t="shared" si="64"/>
        <v/>
      </c>
      <c r="V487" s="38" t="str">
        <f t="shared" si="65"/>
        <v/>
      </c>
      <c r="W487" s="38" t="str">
        <f>IF(AND(U487&lt;&gt;"",OR($S$4="(все)",B487=$S$4),IF($S$4="(все)",COUNTIF($U$4:U487,U487),COUNTIFS($U$4:U487,U487,$B$4:B487,B487))=1),MAX($W$3:W486)+1,"")</f>
        <v/>
      </c>
      <c r="X487" s="38" t="str">
        <f t="shared" si="66"/>
        <v/>
      </c>
      <c r="Y487" s="38" t="str">
        <f>IF(AND(A487="Аппарат",C487&lt;&gt;"",OR($S$5="(все)",B487=$S$5)),MAX($Y$3:Y486)+1,"")</f>
        <v/>
      </c>
      <c r="Z487" s="38" t="str">
        <f t="shared" si="67"/>
        <v/>
      </c>
      <c r="AA487" s="38" t="str">
        <f>IF(AND(A487="Модуль",C487&lt;&gt;"",OR($S$6="(все)",B487=$S$6)),MAX($AA$3:AA486)+1,"")</f>
        <v/>
      </c>
      <c r="AB487" s="38" t="str">
        <f t="shared" si="68"/>
        <v/>
      </c>
      <c r="AC487" s="38" t="str">
        <f>IF(OR(B487="",COUNTIF($B$4:B487,B487)&gt;1),"",MAX($AC$3:AC486)+1)</f>
        <v/>
      </c>
      <c r="AD487" s="38" t="str">
        <f t="shared" si="69"/>
        <v/>
      </c>
      <c r="AE487" s="38" t="str">
        <f t="shared" si="70"/>
        <v/>
      </c>
      <c r="AF487" s="38" t="str">
        <f t="shared" si="71"/>
        <v/>
      </c>
    </row>
    <row r="488" spans="1:32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38" t="str">
        <f>IF(OR(A488="Автомат",A488="Дифавтомат"),IF(W488="","",COUNTIFS(Однолинейка!$H$3:$H$3000,U488,Однолинейка!$A$3:$A$3000,Щит_спец)),IF(A488="Аппарат",IF(C488="","",COUNTIFS(Однолинейка!$I$3:$I$3000,C488,Однолинейка!$A$3:$A$3000,Щит_спец)+COUNTIFS(Однолинейка!$J$3:$J$3000,C488,Однолинейка!$A$3:$A$3000,Щит_спец)+COUNTIFS(Однолинейка!$K$3:$K$3000,C488,Однолинейка!$A$3:$A$3000,Щит_спец)),IF(A488="Модуль",IF(C488="","",COUNTIFS(Однолинейка!$AW$3:$AW$3000,"?*",Однолинейка!$AI$3:$AI$3000,C488,Однолинейка!$A$3:$A$3000,Щит_спец)),IF(A488="Клемма",IF(C488="","",IF(C488=$S$7,SUMIFS(Однолинейка!$BW$3:$BW$3000,Однолинейка!$A$3:$A$3000,Щит_спец),IF(C488=$S$8,SUMIFS(Однолинейка!$BX$3:$BX$3000,Однолинейка!$A$3:$A$3000,Щит_спец),""))),""))))</f>
        <v/>
      </c>
      <c r="O488" s="74"/>
      <c r="P488" s="38" t="str">
        <f t="shared" si="63"/>
        <v/>
      </c>
      <c r="U488" s="38" t="str">
        <f t="shared" si="64"/>
        <v/>
      </c>
      <c r="V488" s="38" t="str">
        <f t="shared" si="65"/>
        <v/>
      </c>
      <c r="W488" s="38" t="str">
        <f>IF(AND(U488&lt;&gt;"",OR($S$4="(все)",B488=$S$4),IF($S$4="(все)",COUNTIF($U$4:U488,U488),COUNTIFS($U$4:U488,U488,$B$4:B488,B488))=1),MAX($W$3:W487)+1,"")</f>
        <v/>
      </c>
      <c r="X488" s="38" t="str">
        <f t="shared" si="66"/>
        <v/>
      </c>
      <c r="Y488" s="38" t="str">
        <f>IF(AND(A488="Аппарат",C488&lt;&gt;"",OR($S$5="(все)",B488=$S$5)),MAX($Y$3:Y487)+1,"")</f>
        <v/>
      </c>
      <c r="Z488" s="38" t="str">
        <f t="shared" si="67"/>
        <v/>
      </c>
      <c r="AA488" s="38" t="str">
        <f>IF(AND(A488="Модуль",C488&lt;&gt;"",OR($S$6="(все)",B488=$S$6)),MAX($AA$3:AA487)+1,"")</f>
        <v/>
      </c>
      <c r="AB488" s="38" t="str">
        <f t="shared" si="68"/>
        <v/>
      </c>
      <c r="AC488" s="38" t="str">
        <f>IF(OR(B488="",COUNTIF($B$4:B488,B488)&gt;1),"",MAX($AC$3:AC487)+1)</f>
        <v/>
      </c>
      <c r="AD488" s="38" t="str">
        <f t="shared" si="69"/>
        <v/>
      </c>
      <c r="AE488" s="38" t="str">
        <f t="shared" si="70"/>
        <v/>
      </c>
      <c r="AF488" s="38" t="str">
        <f t="shared" si="71"/>
        <v/>
      </c>
    </row>
    <row r="489" spans="1:32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38" t="str">
        <f>IF(OR(A489="Автомат",A489="Дифавтомат"),IF(W489="","",COUNTIFS(Однолинейка!$H$3:$H$3000,U489,Однолинейка!$A$3:$A$3000,Щит_спец)),IF(A489="Аппарат",IF(C489="","",COUNTIFS(Однолинейка!$I$3:$I$3000,C489,Однолинейка!$A$3:$A$3000,Щит_спец)+COUNTIFS(Однолинейка!$J$3:$J$3000,C489,Однолинейка!$A$3:$A$3000,Щит_спец)+COUNTIFS(Однолинейка!$K$3:$K$3000,C489,Однолинейка!$A$3:$A$3000,Щит_спец)),IF(A489="Модуль",IF(C489="","",COUNTIFS(Однолинейка!$AW$3:$AW$3000,"?*",Однолинейка!$AI$3:$AI$3000,C489,Однолинейка!$A$3:$A$3000,Щит_спец)),IF(A489="Клемма",IF(C489="","",IF(C489=$S$7,SUMIFS(Однолинейка!$BW$3:$BW$3000,Однолинейка!$A$3:$A$3000,Щит_спец),IF(C489=$S$8,SUMIFS(Однолинейка!$BX$3:$BX$3000,Однолинейка!$A$3:$A$3000,Щит_спец),""))),""))))</f>
        <v/>
      </c>
      <c r="O489" s="74"/>
      <c r="P489" s="38" t="str">
        <f t="shared" si="63"/>
        <v/>
      </c>
      <c r="U489" s="38" t="str">
        <f t="shared" si="64"/>
        <v/>
      </c>
      <c r="V489" s="38" t="str">
        <f t="shared" si="65"/>
        <v/>
      </c>
      <c r="W489" s="38" t="str">
        <f>IF(AND(U489&lt;&gt;"",OR($S$4="(все)",B489=$S$4),IF($S$4="(все)",COUNTIF($U$4:U489,U489),COUNTIFS($U$4:U489,U489,$B$4:B489,B489))=1),MAX($W$3:W488)+1,"")</f>
        <v/>
      </c>
      <c r="X489" s="38" t="str">
        <f t="shared" si="66"/>
        <v/>
      </c>
      <c r="Y489" s="38" t="str">
        <f>IF(AND(A489="Аппарат",C489&lt;&gt;"",OR($S$5="(все)",B489=$S$5)),MAX($Y$3:Y488)+1,"")</f>
        <v/>
      </c>
      <c r="Z489" s="38" t="str">
        <f t="shared" si="67"/>
        <v/>
      </c>
      <c r="AA489" s="38" t="str">
        <f>IF(AND(A489="Модуль",C489&lt;&gt;"",OR($S$6="(все)",B489=$S$6)),MAX($AA$3:AA488)+1,"")</f>
        <v/>
      </c>
      <c r="AB489" s="38" t="str">
        <f t="shared" si="68"/>
        <v/>
      </c>
      <c r="AC489" s="38" t="str">
        <f>IF(OR(B489="",COUNTIF($B$4:B489,B489)&gt;1),"",MAX($AC$3:AC488)+1)</f>
        <v/>
      </c>
      <c r="AD489" s="38" t="str">
        <f t="shared" si="69"/>
        <v/>
      </c>
      <c r="AE489" s="38" t="str">
        <f t="shared" si="70"/>
        <v/>
      </c>
      <c r="AF489" s="38" t="str">
        <f t="shared" si="71"/>
        <v/>
      </c>
    </row>
    <row r="490" spans="1:32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38" t="str">
        <f>IF(OR(A490="Автомат",A490="Дифавтомат"),IF(W490="","",COUNTIFS(Однолинейка!$H$3:$H$3000,U490,Однолинейка!$A$3:$A$3000,Щит_спец)),IF(A490="Аппарат",IF(C490="","",COUNTIFS(Однолинейка!$I$3:$I$3000,C490,Однолинейка!$A$3:$A$3000,Щит_спец)+COUNTIFS(Однолинейка!$J$3:$J$3000,C490,Однолинейка!$A$3:$A$3000,Щит_спец)+COUNTIFS(Однолинейка!$K$3:$K$3000,C490,Однолинейка!$A$3:$A$3000,Щит_спец)),IF(A490="Модуль",IF(C490="","",COUNTIFS(Однолинейка!$AW$3:$AW$3000,"?*",Однолинейка!$AI$3:$AI$3000,C490,Однолинейка!$A$3:$A$3000,Щит_спец)),IF(A490="Клемма",IF(C490="","",IF(C490=$S$7,SUMIFS(Однолинейка!$BW$3:$BW$3000,Однолинейка!$A$3:$A$3000,Щит_спец),IF(C490=$S$8,SUMIFS(Однолинейка!$BX$3:$BX$3000,Однолинейка!$A$3:$A$3000,Щит_спец),""))),""))))</f>
        <v/>
      </c>
      <c r="O490" s="74"/>
      <c r="P490" s="38" t="str">
        <f t="shared" si="63"/>
        <v/>
      </c>
      <c r="U490" s="38" t="str">
        <f t="shared" si="64"/>
        <v/>
      </c>
      <c r="V490" s="38" t="str">
        <f t="shared" si="65"/>
        <v/>
      </c>
      <c r="W490" s="38" t="str">
        <f>IF(AND(U490&lt;&gt;"",OR($S$4="(все)",B490=$S$4),IF($S$4="(все)",COUNTIF($U$4:U490,U490),COUNTIFS($U$4:U490,U490,$B$4:B490,B490))=1),MAX($W$3:W489)+1,"")</f>
        <v/>
      </c>
      <c r="X490" s="38" t="str">
        <f t="shared" si="66"/>
        <v/>
      </c>
      <c r="Y490" s="38" t="str">
        <f>IF(AND(A490="Аппарат",C490&lt;&gt;"",OR($S$5="(все)",B490=$S$5)),MAX($Y$3:Y489)+1,"")</f>
        <v/>
      </c>
      <c r="Z490" s="38" t="str">
        <f t="shared" si="67"/>
        <v/>
      </c>
      <c r="AA490" s="38" t="str">
        <f>IF(AND(A490="Модуль",C490&lt;&gt;"",OR($S$6="(все)",B490=$S$6)),MAX($AA$3:AA489)+1,"")</f>
        <v/>
      </c>
      <c r="AB490" s="38" t="str">
        <f t="shared" si="68"/>
        <v/>
      </c>
      <c r="AC490" s="38" t="str">
        <f>IF(OR(B490="",COUNTIF($B$4:B490,B490)&gt;1),"",MAX($AC$3:AC489)+1)</f>
        <v/>
      </c>
      <c r="AD490" s="38" t="str">
        <f t="shared" si="69"/>
        <v/>
      </c>
      <c r="AE490" s="38" t="str">
        <f t="shared" si="70"/>
        <v/>
      </c>
      <c r="AF490" s="38" t="str">
        <f t="shared" si="71"/>
        <v/>
      </c>
    </row>
    <row r="491" spans="1:32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38" t="str">
        <f>IF(OR(A491="Автомат",A491="Дифавтомат"),IF(W491="","",COUNTIFS(Однолинейка!$H$3:$H$3000,U491,Однолинейка!$A$3:$A$3000,Щит_спец)),IF(A491="Аппарат",IF(C491="","",COUNTIFS(Однолинейка!$I$3:$I$3000,C491,Однолинейка!$A$3:$A$3000,Щит_спец)+COUNTIFS(Однолинейка!$J$3:$J$3000,C491,Однолинейка!$A$3:$A$3000,Щит_спец)+COUNTIFS(Однолинейка!$K$3:$K$3000,C491,Однолинейка!$A$3:$A$3000,Щит_спец)),IF(A491="Модуль",IF(C491="","",COUNTIFS(Однолинейка!$AW$3:$AW$3000,"?*",Однолинейка!$AI$3:$AI$3000,C491,Однолинейка!$A$3:$A$3000,Щит_спец)),IF(A491="Клемма",IF(C491="","",IF(C491=$S$7,SUMIFS(Однолинейка!$BW$3:$BW$3000,Однолинейка!$A$3:$A$3000,Щит_спец),IF(C491=$S$8,SUMIFS(Однолинейка!$BX$3:$BX$3000,Однолинейка!$A$3:$A$3000,Щит_спец),""))),""))))</f>
        <v/>
      </c>
      <c r="O491" s="74"/>
      <c r="P491" s="38" t="str">
        <f t="shared" si="63"/>
        <v/>
      </c>
      <c r="U491" s="38" t="str">
        <f t="shared" si="64"/>
        <v/>
      </c>
      <c r="V491" s="38" t="str">
        <f t="shared" si="65"/>
        <v/>
      </c>
      <c r="W491" s="38" t="str">
        <f>IF(AND(U491&lt;&gt;"",OR($S$4="(все)",B491=$S$4),IF($S$4="(все)",COUNTIF($U$4:U491,U491),COUNTIFS($U$4:U491,U491,$B$4:B491,B491))=1),MAX($W$3:W490)+1,"")</f>
        <v/>
      </c>
      <c r="X491" s="38" t="str">
        <f t="shared" si="66"/>
        <v/>
      </c>
      <c r="Y491" s="38" t="str">
        <f>IF(AND(A491="Аппарат",C491&lt;&gt;"",OR($S$5="(все)",B491=$S$5)),MAX($Y$3:Y490)+1,"")</f>
        <v/>
      </c>
      <c r="Z491" s="38" t="str">
        <f t="shared" si="67"/>
        <v/>
      </c>
      <c r="AA491" s="38" t="str">
        <f>IF(AND(A491="Модуль",C491&lt;&gt;"",OR($S$6="(все)",B491=$S$6)),MAX($AA$3:AA490)+1,"")</f>
        <v/>
      </c>
      <c r="AB491" s="38" t="str">
        <f t="shared" si="68"/>
        <v/>
      </c>
      <c r="AC491" s="38" t="str">
        <f>IF(OR(B491="",COUNTIF($B$4:B491,B491)&gt;1),"",MAX($AC$3:AC490)+1)</f>
        <v/>
      </c>
      <c r="AD491" s="38" t="str">
        <f t="shared" si="69"/>
        <v/>
      </c>
      <c r="AE491" s="38" t="str">
        <f t="shared" si="70"/>
        <v/>
      </c>
      <c r="AF491" s="38" t="str">
        <f t="shared" si="71"/>
        <v/>
      </c>
    </row>
    <row r="492" spans="1:32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38" t="str">
        <f>IF(OR(A492="Автомат",A492="Дифавтомат"),IF(W492="","",COUNTIFS(Однолинейка!$H$3:$H$3000,U492,Однолинейка!$A$3:$A$3000,Щит_спец)),IF(A492="Аппарат",IF(C492="","",COUNTIFS(Однолинейка!$I$3:$I$3000,C492,Однолинейка!$A$3:$A$3000,Щит_спец)+COUNTIFS(Однолинейка!$J$3:$J$3000,C492,Однолинейка!$A$3:$A$3000,Щит_спец)+COUNTIFS(Однолинейка!$K$3:$K$3000,C492,Однолинейка!$A$3:$A$3000,Щит_спец)),IF(A492="Модуль",IF(C492="","",COUNTIFS(Однолинейка!$AW$3:$AW$3000,"?*",Однолинейка!$AI$3:$AI$3000,C492,Однолинейка!$A$3:$A$3000,Щит_спец)),IF(A492="Клемма",IF(C492="","",IF(C492=$S$7,SUMIFS(Однолинейка!$BW$3:$BW$3000,Однолинейка!$A$3:$A$3000,Щит_спец),IF(C492=$S$8,SUMIFS(Однолинейка!$BX$3:$BX$3000,Однолинейка!$A$3:$A$3000,Щит_спец),""))),""))))</f>
        <v/>
      </c>
      <c r="O492" s="74"/>
      <c r="P492" s="38" t="str">
        <f t="shared" si="63"/>
        <v/>
      </c>
      <c r="U492" s="38" t="str">
        <f t="shared" si="64"/>
        <v/>
      </c>
      <c r="V492" s="38" t="str">
        <f t="shared" si="65"/>
        <v/>
      </c>
      <c r="W492" s="38" t="str">
        <f>IF(AND(U492&lt;&gt;"",OR($S$4="(все)",B492=$S$4),IF($S$4="(все)",COUNTIF($U$4:U492,U492),COUNTIFS($U$4:U492,U492,$B$4:B492,B492))=1),MAX($W$3:W491)+1,"")</f>
        <v/>
      </c>
      <c r="X492" s="38" t="str">
        <f t="shared" si="66"/>
        <v/>
      </c>
      <c r="Y492" s="38" t="str">
        <f>IF(AND(A492="Аппарат",C492&lt;&gt;"",OR($S$5="(все)",B492=$S$5)),MAX($Y$3:Y491)+1,"")</f>
        <v/>
      </c>
      <c r="Z492" s="38" t="str">
        <f t="shared" si="67"/>
        <v/>
      </c>
      <c r="AA492" s="38" t="str">
        <f>IF(AND(A492="Модуль",C492&lt;&gt;"",OR($S$6="(все)",B492=$S$6)),MAX($AA$3:AA491)+1,"")</f>
        <v/>
      </c>
      <c r="AB492" s="38" t="str">
        <f t="shared" si="68"/>
        <v/>
      </c>
      <c r="AC492" s="38" t="str">
        <f>IF(OR(B492="",COUNTIF($B$4:B492,B492)&gt;1),"",MAX($AC$3:AC491)+1)</f>
        <v/>
      </c>
      <c r="AD492" s="38" t="str">
        <f t="shared" si="69"/>
        <v/>
      </c>
      <c r="AE492" s="38" t="str">
        <f t="shared" si="70"/>
        <v/>
      </c>
      <c r="AF492" s="38" t="str">
        <f t="shared" si="71"/>
        <v/>
      </c>
    </row>
    <row r="493" spans="1:32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38" t="str">
        <f>IF(OR(A493="Автомат",A493="Дифавтомат"),IF(W493="","",COUNTIFS(Однолинейка!$H$3:$H$3000,U493,Однолинейка!$A$3:$A$3000,Щит_спец)),IF(A493="Аппарат",IF(C493="","",COUNTIFS(Однолинейка!$I$3:$I$3000,C493,Однолинейка!$A$3:$A$3000,Щит_спец)+COUNTIFS(Однолинейка!$J$3:$J$3000,C493,Однолинейка!$A$3:$A$3000,Щит_спец)+COUNTIFS(Однолинейка!$K$3:$K$3000,C493,Однолинейка!$A$3:$A$3000,Щит_спец)),IF(A493="Модуль",IF(C493="","",COUNTIFS(Однолинейка!$AW$3:$AW$3000,"?*",Однолинейка!$AI$3:$AI$3000,C493,Однолинейка!$A$3:$A$3000,Щит_спец)),IF(A493="Клемма",IF(C493="","",IF(C493=$S$7,SUMIFS(Однолинейка!$BW$3:$BW$3000,Однолинейка!$A$3:$A$3000,Щит_спец),IF(C493=$S$8,SUMIFS(Однолинейка!$BX$3:$BX$3000,Однолинейка!$A$3:$A$3000,Щит_спец),""))),""))))</f>
        <v/>
      </c>
      <c r="O493" s="74"/>
      <c r="P493" s="38" t="str">
        <f t="shared" si="63"/>
        <v/>
      </c>
      <c r="U493" s="38" t="str">
        <f t="shared" si="64"/>
        <v/>
      </c>
      <c r="V493" s="38" t="str">
        <f t="shared" si="65"/>
        <v/>
      </c>
      <c r="W493" s="38" t="str">
        <f>IF(AND(U493&lt;&gt;"",OR($S$4="(все)",B493=$S$4),IF($S$4="(все)",COUNTIF($U$4:U493,U493),COUNTIFS($U$4:U493,U493,$B$4:B493,B493))=1),MAX($W$3:W492)+1,"")</f>
        <v/>
      </c>
      <c r="X493" s="38" t="str">
        <f t="shared" si="66"/>
        <v/>
      </c>
      <c r="Y493" s="38" t="str">
        <f>IF(AND(A493="Аппарат",C493&lt;&gt;"",OR($S$5="(все)",B493=$S$5)),MAX($Y$3:Y492)+1,"")</f>
        <v/>
      </c>
      <c r="Z493" s="38" t="str">
        <f t="shared" si="67"/>
        <v/>
      </c>
      <c r="AA493" s="38" t="str">
        <f>IF(AND(A493="Модуль",C493&lt;&gt;"",OR($S$6="(все)",B493=$S$6)),MAX($AA$3:AA492)+1,"")</f>
        <v/>
      </c>
      <c r="AB493" s="38" t="str">
        <f t="shared" si="68"/>
        <v/>
      </c>
      <c r="AC493" s="38" t="str">
        <f>IF(OR(B493="",COUNTIF($B$4:B493,B493)&gt;1),"",MAX($AC$3:AC492)+1)</f>
        <v/>
      </c>
      <c r="AD493" s="38" t="str">
        <f t="shared" si="69"/>
        <v/>
      </c>
      <c r="AE493" s="38" t="str">
        <f t="shared" si="70"/>
        <v/>
      </c>
      <c r="AF493" s="38" t="str">
        <f t="shared" si="71"/>
        <v/>
      </c>
    </row>
    <row r="494" spans="1:32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38" t="str">
        <f>IF(OR(A494="Автомат",A494="Дифавтомат"),IF(W494="","",COUNTIFS(Однолинейка!$H$3:$H$3000,U494,Однолинейка!$A$3:$A$3000,Щит_спец)),IF(A494="Аппарат",IF(C494="","",COUNTIFS(Однолинейка!$I$3:$I$3000,C494,Однолинейка!$A$3:$A$3000,Щит_спец)+COUNTIFS(Однолинейка!$J$3:$J$3000,C494,Однолинейка!$A$3:$A$3000,Щит_спец)+COUNTIFS(Однолинейка!$K$3:$K$3000,C494,Однолинейка!$A$3:$A$3000,Щит_спец)),IF(A494="Модуль",IF(C494="","",COUNTIFS(Однолинейка!$AW$3:$AW$3000,"?*",Однолинейка!$AI$3:$AI$3000,C494,Однолинейка!$A$3:$A$3000,Щит_спец)),IF(A494="Клемма",IF(C494="","",IF(C494=$S$7,SUMIFS(Однолинейка!$BW$3:$BW$3000,Однолинейка!$A$3:$A$3000,Щит_спец),IF(C494=$S$8,SUMIFS(Однолинейка!$BX$3:$BX$3000,Однолинейка!$A$3:$A$3000,Щит_спец),""))),""))))</f>
        <v/>
      </c>
      <c r="O494" s="74"/>
      <c r="P494" s="38" t="str">
        <f t="shared" si="63"/>
        <v/>
      </c>
      <c r="U494" s="38" t="str">
        <f t="shared" si="64"/>
        <v/>
      </c>
      <c r="V494" s="38" t="str">
        <f t="shared" si="65"/>
        <v/>
      </c>
      <c r="W494" s="38" t="str">
        <f>IF(AND(U494&lt;&gt;"",OR($S$4="(все)",B494=$S$4),IF($S$4="(все)",COUNTIF($U$4:U494,U494),COUNTIFS($U$4:U494,U494,$B$4:B494,B494))=1),MAX($W$3:W493)+1,"")</f>
        <v/>
      </c>
      <c r="X494" s="38" t="str">
        <f t="shared" si="66"/>
        <v/>
      </c>
      <c r="Y494" s="38" t="str">
        <f>IF(AND(A494="Аппарат",C494&lt;&gt;"",OR($S$5="(все)",B494=$S$5)),MAX($Y$3:Y493)+1,"")</f>
        <v/>
      </c>
      <c r="Z494" s="38" t="str">
        <f t="shared" si="67"/>
        <v/>
      </c>
      <c r="AA494" s="38" t="str">
        <f>IF(AND(A494="Модуль",C494&lt;&gt;"",OR($S$6="(все)",B494=$S$6)),MAX($AA$3:AA493)+1,"")</f>
        <v/>
      </c>
      <c r="AB494" s="38" t="str">
        <f t="shared" si="68"/>
        <v/>
      </c>
      <c r="AC494" s="38" t="str">
        <f>IF(OR(B494="",COUNTIF($B$4:B494,B494)&gt;1),"",MAX($AC$3:AC493)+1)</f>
        <v/>
      </c>
      <c r="AD494" s="38" t="str">
        <f t="shared" si="69"/>
        <v/>
      </c>
      <c r="AE494" s="38" t="str">
        <f t="shared" si="70"/>
        <v/>
      </c>
      <c r="AF494" s="38" t="str">
        <f t="shared" si="71"/>
        <v/>
      </c>
    </row>
    <row r="495" spans="1:32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38" t="str">
        <f>IF(OR(A495="Автомат",A495="Дифавтомат"),IF(W495="","",COUNTIFS(Однолинейка!$H$3:$H$3000,U495,Однолинейка!$A$3:$A$3000,Щит_спец)),IF(A495="Аппарат",IF(C495="","",COUNTIFS(Однолинейка!$I$3:$I$3000,C495,Однолинейка!$A$3:$A$3000,Щит_спец)+COUNTIFS(Однолинейка!$J$3:$J$3000,C495,Однолинейка!$A$3:$A$3000,Щит_спец)+COUNTIFS(Однолинейка!$K$3:$K$3000,C495,Однолинейка!$A$3:$A$3000,Щит_спец)),IF(A495="Модуль",IF(C495="","",COUNTIFS(Однолинейка!$AW$3:$AW$3000,"?*",Однолинейка!$AI$3:$AI$3000,C495,Однолинейка!$A$3:$A$3000,Щит_спец)),IF(A495="Клемма",IF(C495="","",IF(C495=$S$7,SUMIFS(Однолинейка!$BW$3:$BW$3000,Однолинейка!$A$3:$A$3000,Щит_спец),IF(C495=$S$8,SUMIFS(Однолинейка!$BX$3:$BX$3000,Однолинейка!$A$3:$A$3000,Щит_спец),""))),""))))</f>
        <v/>
      </c>
      <c r="O495" s="74"/>
      <c r="P495" s="38" t="str">
        <f t="shared" si="63"/>
        <v/>
      </c>
      <c r="U495" s="38" t="str">
        <f t="shared" si="64"/>
        <v/>
      </c>
      <c r="V495" s="38" t="str">
        <f t="shared" si="65"/>
        <v/>
      </c>
      <c r="W495" s="38" t="str">
        <f>IF(AND(U495&lt;&gt;"",OR($S$4="(все)",B495=$S$4),IF($S$4="(все)",COUNTIF($U$4:U495,U495),COUNTIFS($U$4:U495,U495,$B$4:B495,B495))=1),MAX($W$3:W494)+1,"")</f>
        <v/>
      </c>
      <c r="X495" s="38" t="str">
        <f t="shared" si="66"/>
        <v/>
      </c>
      <c r="Y495" s="38" t="str">
        <f>IF(AND(A495="Аппарат",C495&lt;&gt;"",OR($S$5="(все)",B495=$S$5)),MAX($Y$3:Y494)+1,"")</f>
        <v/>
      </c>
      <c r="Z495" s="38" t="str">
        <f t="shared" si="67"/>
        <v/>
      </c>
      <c r="AA495" s="38" t="str">
        <f>IF(AND(A495="Модуль",C495&lt;&gt;"",OR($S$6="(все)",B495=$S$6)),MAX($AA$3:AA494)+1,"")</f>
        <v/>
      </c>
      <c r="AB495" s="38" t="str">
        <f t="shared" si="68"/>
        <v/>
      </c>
      <c r="AC495" s="38" t="str">
        <f>IF(OR(B495="",COUNTIF($B$4:B495,B495)&gt;1),"",MAX($AC$3:AC494)+1)</f>
        <v/>
      </c>
      <c r="AD495" s="38" t="str">
        <f t="shared" si="69"/>
        <v/>
      </c>
      <c r="AE495" s="38" t="str">
        <f t="shared" si="70"/>
        <v/>
      </c>
      <c r="AF495" s="38" t="str">
        <f t="shared" si="71"/>
        <v/>
      </c>
    </row>
    <row r="496" spans="1:32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38" t="str">
        <f>IF(OR(A496="Автомат",A496="Дифавтомат"),IF(W496="","",COUNTIFS(Однолинейка!$H$3:$H$3000,U496,Однолинейка!$A$3:$A$3000,Щит_спец)),IF(A496="Аппарат",IF(C496="","",COUNTIFS(Однолинейка!$I$3:$I$3000,C496,Однолинейка!$A$3:$A$3000,Щит_спец)+COUNTIFS(Однолинейка!$J$3:$J$3000,C496,Однолинейка!$A$3:$A$3000,Щит_спец)+COUNTIFS(Однолинейка!$K$3:$K$3000,C496,Однолинейка!$A$3:$A$3000,Щит_спец)),IF(A496="Модуль",IF(C496="","",COUNTIFS(Однолинейка!$AW$3:$AW$3000,"?*",Однолинейка!$AI$3:$AI$3000,C496,Однолинейка!$A$3:$A$3000,Щит_спец)),IF(A496="Клемма",IF(C496="","",IF(C496=$S$7,SUMIFS(Однолинейка!$BW$3:$BW$3000,Однолинейка!$A$3:$A$3000,Щит_спец),IF(C496=$S$8,SUMIFS(Однолинейка!$BX$3:$BX$3000,Однолинейка!$A$3:$A$3000,Щит_спец),""))),""))))</f>
        <v/>
      </c>
      <c r="O496" s="74"/>
      <c r="P496" s="38" t="str">
        <f t="shared" si="63"/>
        <v/>
      </c>
      <c r="U496" s="38" t="str">
        <f t="shared" si="64"/>
        <v/>
      </c>
      <c r="V496" s="38" t="str">
        <f t="shared" si="65"/>
        <v/>
      </c>
      <c r="W496" s="38" t="str">
        <f>IF(AND(U496&lt;&gt;"",OR($S$4="(все)",B496=$S$4),IF($S$4="(все)",COUNTIF($U$4:U496,U496),COUNTIFS($U$4:U496,U496,$B$4:B496,B496))=1),MAX($W$3:W495)+1,"")</f>
        <v/>
      </c>
      <c r="X496" s="38" t="str">
        <f t="shared" si="66"/>
        <v/>
      </c>
      <c r="Y496" s="38" t="str">
        <f>IF(AND(A496="Аппарат",C496&lt;&gt;"",OR($S$5="(все)",B496=$S$5)),MAX($Y$3:Y495)+1,"")</f>
        <v/>
      </c>
      <c r="Z496" s="38" t="str">
        <f t="shared" si="67"/>
        <v/>
      </c>
      <c r="AA496" s="38" t="str">
        <f>IF(AND(A496="Модуль",C496&lt;&gt;"",OR($S$6="(все)",B496=$S$6)),MAX($AA$3:AA495)+1,"")</f>
        <v/>
      </c>
      <c r="AB496" s="38" t="str">
        <f t="shared" si="68"/>
        <v/>
      </c>
      <c r="AC496" s="38" t="str">
        <f>IF(OR(B496="",COUNTIF($B$4:B496,B496)&gt;1),"",MAX($AC$3:AC495)+1)</f>
        <v/>
      </c>
      <c r="AD496" s="38" t="str">
        <f t="shared" si="69"/>
        <v/>
      </c>
      <c r="AE496" s="38" t="str">
        <f t="shared" si="70"/>
        <v/>
      </c>
      <c r="AF496" s="38" t="str">
        <f t="shared" si="71"/>
        <v/>
      </c>
    </row>
    <row r="497" spans="1:32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38" t="str">
        <f>IF(OR(A497="Автомат",A497="Дифавтомат"),IF(W497="","",COUNTIFS(Однолинейка!$H$3:$H$3000,U497,Однолинейка!$A$3:$A$3000,Щит_спец)),IF(A497="Аппарат",IF(C497="","",COUNTIFS(Однолинейка!$I$3:$I$3000,C497,Однолинейка!$A$3:$A$3000,Щит_спец)+COUNTIFS(Однолинейка!$J$3:$J$3000,C497,Однолинейка!$A$3:$A$3000,Щит_спец)+COUNTIFS(Однолинейка!$K$3:$K$3000,C497,Однолинейка!$A$3:$A$3000,Щит_спец)),IF(A497="Модуль",IF(C497="","",COUNTIFS(Однолинейка!$AW$3:$AW$3000,"?*",Однолинейка!$AI$3:$AI$3000,C497,Однолинейка!$A$3:$A$3000,Щит_спец)),IF(A497="Клемма",IF(C497="","",IF(C497=$S$7,SUMIFS(Однолинейка!$BW$3:$BW$3000,Однолинейка!$A$3:$A$3000,Щит_спец),IF(C497=$S$8,SUMIFS(Однолинейка!$BX$3:$BX$3000,Однолинейка!$A$3:$A$3000,Щит_спец),""))),""))))</f>
        <v/>
      </c>
      <c r="O497" s="74"/>
      <c r="P497" s="38" t="str">
        <f t="shared" si="63"/>
        <v/>
      </c>
      <c r="U497" s="38" t="str">
        <f t="shared" si="64"/>
        <v/>
      </c>
      <c r="V497" s="38" t="str">
        <f t="shared" si="65"/>
        <v/>
      </c>
      <c r="W497" s="38" t="str">
        <f>IF(AND(U497&lt;&gt;"",OR($S$4="(все)",B497=$S$4),IF($S$4="(все)",COUNTIF($U$4:U497,U497),COUNTIFS($U$4:U497,U497,$B$4:B497,B497))=1),MAX($W$3:W496)+1,"")</f>
        <v/>
      </c>
      <c r="X497" s="38" t="str">
        <f t="shared" si="66"/>
        <v/>
      </c>
      <c r="Y497" s="38" t="str">
        <f>IF(AND(A497="Аппарат",C497&lt;&gt;"",OR($S$5="(все)",B497=$S$5)),MAX($Y$3:Y496)+1,"")</f>
        <v/>
      </c>
      <c r="Z497" s="38" t="str">
        <f t="shared" si="67"/>
        <v/>
      </c>
      <c r="AA497" s="38" t="str">
        <f>IF(AND(A497="Модуль",C497&lt;&gt;"",OR($S$6="(все)",B497=$S$6)),MAX($AA$3:AA496)+1,"")</f>
        <v/>
      </c>
      <c r="AB497" s="38" t="str">
        <f t="shared" si="68"/>
        <v/>
      </c>
      <c r="AC497" s="38" t="str">
        <f>IF(OR(B497="",COUNTIF($B$4:B497,B497)&gt;1),"",MAX($AC$3:AC496)+1)</f>
        <v/>
      </c>
      <c r="AD497" s="38" t="str">
        <f t="shared" si="69"/>
        <v/>
      </c>
      <c r="AE497" s="38" t="str">
        <f t="shared" si="70"/>
        <v/>
      </c>
      <c r="AF497" s="38" t="str">
        <f t="shared" si="71"/>
        <v/>
      </c>
    </row>
    <row r="498" spans="1:32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38" t="str">
        <f>IF(OR(A498="Автомат",A498="Дифавтомат"),IF(W498="","",COUNTIFS(Однолинейка!$H$3:$H$3000,U498,Однолинейка!$A$3:$A$3000,Щит_спец)),IF(A498="Аппарат",IF(C498="","",COUNTIFS(Однолинейка!$I$3:$I$3000,C498,Однолинейка!$A$3:$A$3000,Щит_спец)+COUNTIFS(Однолинейка!$J$3:$J$3000,C498,Однолинейка!$A$3:$A$3000,Щит_спец)+COUNTIFS(Однолинейка!$K$3:$K$3000,C498,Однолинейка!$A$3:$A$3000,Щит_спец)),IF(A498="Модуль",IF(C498="","",COUNTIFS(Однолинейка!$AW$3:$AW$3000,"?*",Однолинейка!$AI$3:$AI$3000,C498,Однолинейка!$A$3:$A$3000,Щит_спец)),IF(A498="Клемма",IF(C498="","",IF(C498=$S$7,SUMIFS(Однолинейка!$BW$3:$BW$3000,Однолинейка!$A$3:$A$3000,Щит_спец),IF(C498=$S$8,SUMIFS(Однолинейка!$BX$3:$BX$3000,Однолинейка!$A$3:$A$3000,Щит_спец),""))),""))))</f>
        <v/>
      </c>
      <c r="O498" s="74"/>
      <c r="P498" s="38" t="str">
        <f t="shared" si="63"/>
        <v/>
      </c>
      <c r="U498" s="38" t="str">
        <f t="shared" si="64"/>
        <v/>
      </c>
      <c r="V498" s="38" t="str">
        <f t="shared" si="65"/>
        <v/>
      </c>
      <c r="W498" s="38" t="str">
        <f>IF(AND(U498&lt;&gt;"",OR($S$4="(все)",B498=$S$4),IF($S$4="(все)",COUNTIF($U$4:U498,U498),COUNTIFS($U$4:U498,U498,$B$4:B498,B498))=1),MAX($W$3:W497)+1,"")</f>
        <v/>
      </c>
      <c r="X498" s="38" t="str">
        <f t="shared" si="66"/>
        <v/>
      </c>
      <c r="Y498" s="38" t="str">
        <f>IF(AND(A498="Аппарат",C498&lt;&gt;"",OR($S$5="(все)",B498=$S$5)),MAX($Y$3:Y497)+1,"")</f>
        <v/>
      </c>
      <c r="Z498" s="38" t="str">
        <f t="shared" si="67"/>
        <v/>
      </c>
      <c r="AA498" s="38" t="str">
        <f>IF(AND(A498="Модуль",C498&lt;&gt;"",OR($S$6="(все)",B498=$S$6)),MAX($AA$3:AA497)+1,"")</f>
        <v/>
      </c>
      <c r="AB498" s="38" t="str">
        <f t="shared" si="68"/>
        <v/>
      </c>
      <c r="AC498" s="38" t="str">
        <f>IF(OR(B498="",COUNTIF($B$4:B498,B498)&gt;1),"",MAX($AC$3:AC497)+1)</f>
        <v/>
      </c>
      <c r="AD498" s="38" t="str">
        <f t="shared" si="69"/>
        <v/>
      </c>
      <c r="AE498" s="38" t="str">
        <f t="shared" si="70"/>
        <v/>
      </c>
      <c r="AF498" s="38" t="str">
        <f t="shared" si="71"/>
        <v/>
      </c>
    </row>
    <row r="499" spans="1:32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38" t="str">
        <f>IF(OR(A499="Автомат",A499="Дифавтомат"),IF(W499="","",COUNTIFS(Однолинейка!$H$3:$H$3000,U499,Однолинейка!$A$3:$A$3000,Щит_спец)),IF(A499="Аппарат",IF(C499="","",COUNTIFS(Однолинейка!$I$3:$I$3000,C499,Однолинейка!$A$3:$A$3000,Щит_спец)+COUNTIFS(Однолинейка!$J$3:$J$3000,C499,Однолинейка!$A$3:$A$3000,Щит_спец)+COUNTIFS(Однолинейка!$K$3:$K$3000,C499,Однолинейка!$A$3:$A$3000,Щит_спец)),IF(A499="Модуль",IF(C499="","",COUNTIFS(Однолинейка!$AW$3:$AW$3000,"?*",Однолинейка!$AI$3:$AI$3000,C499,Однолинейка!$A$3:$A$3000,Щит_спец)),IF(A499="Клемма",IF(C499="","",IF(C499=$S$7,SUMIFS(Однолинейка!$BW$3:$BW$3000,Однолинейка!$A$3:$A$3000,Щит_спец),IF(C499=$S$8,SUMIFS(Однолинейка!$BX$3:$BX$3000,Однолинейка!$A$3:$A$3000,Щит_спец),""))),""))))</f>
        <v/>
      </c>
      <c r="O499" s="74"/>
      <c r="P499" s="38" t="str">
        <f t="shared" si="63"/>
        <v/>
      </c>
      <c r="U499" s="38" t="str">
        <f t="shared" si="64"/>
        <v/>
      </c>
      <c r="V499" s="38" t="str">
        <f t="shared" si="65"/>
        <v/>
      </c>
      <c r="W499" s="38" t="str">
        <f>IF(AND(U499&lt;&gt;"",OR($S$4="(все)",B499=$S$4),IF($S$4="(все)",COUNTIF($U$4:U499,U499),COUNTIFS($U$4:U499,U499,$B$4:B499,B499))=1),MAX($W$3:W498)+1,"")</f>
        <v/>
      </c>
      <c r="X499" s="38" t="str">
        <f t="shared" si="66"/>
        <v/>
      </c>
      <c r="Y499" s="38" t="str">
        <f>IF(AND(A499="Аппарат",C499&lt;&gt;"",OR($S$5="(все)",B499=$S$5)),MAX($Y$3:Y498)+1,"")</f>
        <v/>
      </c>
      <c r="Z499" s="38" t="str">
        <f t="shared" si="67"/>
        <v/>
      </c>
      <c r="AA499" s="38" t="str">
        <f>IF(AND(A499="Модуль",C499&lt;&gt;"",OR($S$6="(все)",B499=$S$6)),MAX($AA$3:AA498)+1,"")</f>
        <v/>
      </c>
      <c r="AB499" s="38" t="str">
        <f t="shared" si="68"/>
        <v/>
      </c>
      <c r="AC499" s="38" t="str">
        <f>IF(OR(B499="",COUNTIF($B$4:B499,B499)&gt;1),"",MAX($AC$3:AC498)+1)</f>
        <v/>
      </c>
      <c r="AD499" s="38" t="str">
        <f t="shared" si="69"/>
        <v/>
      </c>
      <c r="AE499" s="38" t="str">
        <f t="shared" si="70"/>
        <v/>
      </c>
      <c r="AF499" s="38" t="str">
        <f t="shared" si="71"/>
        <v/>
      </c>
    </row>
    <row r="500" spans="1:32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38" t="str">
        <f>IF(OR(A500="Автомат",A500="Дифавтомат"),IF(W500="","",COUNTIFS(Однолинейка!$H$3:$H$3000,U500,Однолинейка!$A$3:$A$3000,Щит_спец)),IF(A500="Аппарат",IF(C500="","",COUNTIFS(Однолинейка!$I$3:$I$3000,C500,Однолинейка!$A$3:$A$3000,Щит_спец)+COUNTIFS(Однолинейка!$J$3:$J$3000,C500,Однолинейка!$A$3:$A$3000,Щит_спец)+COUNTIFS(Однолинейка!$K$3:$K$3000,C500,Однолинейка!$A$3:$A$3000,Щит_спец)),IF(A500="Модуль",IF(C500="","",COUNTIFS(Однолинейка!$AW$3:$AW$3000,"?*",Однолинейка!$AI$3:$AI$3000,C500,Однолинейка!$A$3:$A$3000,Щит_спец)),IF(A500="Клемма",IF(C500="","",IF(C500=$S$7,SUMIFS(Однолинейка!$BW$3:$BW$3000,Однолинейка!$A$3:$A$3000,Щит_спец),IF(C500=$S$8,SUMIFS(Однолинейка!$BX$3:$BX$3000,Однолинейка!$A$3:$A$3000,Щит_спец),""))),""))))</f>
        <v/>
      </c>
      <c r="O500" s="74"/>
      <c r="P500" s="38" t="str">
        <f t="shared" si="63"/>
        <v/>
      </c>
      <c r="U500" s="38" t="str">
        <f t="shared" si="64"/>
        <v/>
      </c>
      <c r="V500" s="38" t="str">
        <f t="shared" si="65"/>
        <v/>
      </c>
      <c r="W500" s="38" t="str">
        <f>IF(AND(U500&lt;&gt;"",OR($S$4="(все)",B500=$S$4),IF($S$4="(все)",COUNTIF($U$4:U500,U500),COUNTIFS($U$4:U500,U500,$B$4:B500,B500))=1),MAX($W$3:W499)+1,"")</f>
        <v/>
      </c>
      <c r="X500" s="38" t="str">
        <f t="shared" si="66"/>
        <v/>
      </c>
      <c r="Y500" s="38" t="str">
        <f>IF(AND(A500="Аппарат",C500&lt;&gt;"",OR($S$5="(все)",B500=$S$5)),MAX($Y$3:Y499)+1,"")</f>
        <v/>
      </c>
      <c r="Z500" s="38" t="str">
        <f t="shared" si="67"/>
        <v/>
      </c>
      <c r="AA500" s="38" t="str">
        <f>IF(AND(A500="Модуль",C500&lt;&gt;"",OR($S$6="(все)",B500=$S$6)),MAX($AA$3:AA499)+1,"")</f>
        <v/>
      </c>
      <c r="AB500" s="38" t="str">
        <f t="shared" si="68"/>
        <v/>
      </c>
      <c r="AC500" s="38" t="str">
        <f>IF(OR(B500="",COUNTIF($B$4:B500,B500)&gt;1),"",MAX($AC$3:AC499)+1)</f>
        <v/>
      </c>
      <c r="AD500" s="38" t="str">
        <f t="shared" si="69"/>
        <v/>
      </c>
      <c r="AE500" s="38" t="str">
        <f t="shared" si="70"/>
        <v/>
      </c>
      <c r="AF500" s="38" t="str">
        <f t="shared" si="71"/>
        <v/>
      </c>
    </row>
  </sheetData>
  <autoFilter ref="A3:P500" xr:uid="{00000000-0009-0000-0000-000002000000}"/>
  <conditionalFormatting sqref="P4:P500">
    <cfRule type="expression" dxfId="14" priority="2">
      <formula>N($P4)&gt;0</formula>
    </cfRule>
  </conditionalFormatting>
  <conditionalFormatting sqref="R28:R37">
    <cfRule type="expression" dxfId="13" priority="1">
      <formula>$R28&lt;&gt;""</formula>
    </cfRule>
  </conditionalFormatting>
  <dataValidations count="4">
    <dataValidation type="list" allowBlank="1" sqref="A4:A500" xr:uid="{00000000-0002-0000-0200-000000000000}">
      <formula1>$R$12:$R$25</formula1>
    </dataValidation>
    <dataValidation type="list" allowBlank="1" sqref="K4:K500" xr:uid="{00000000-0002-0000-0200-000001000000}">
      <formula1>"да,нет"</formula1>
    </dataValidation>
    <dataValidation type="list" allowBlank="1" sqref="I4:I500" xr:uid="{00000000-0002-0000-0200-000002000000}">
      <formula1>"1P,2P,3P,4P"</formula1>
    </dataValidation>
    <dataValidation type="list" allowBlank="1" sqref="S4:S6" xr:uid="{00000000-0002-0000-0200-000003000000}">
      <formula1>Список_произв</formula1>
    </dataValidation>
  </dataValidations>
  <pageMargins left="0.4" right="0.4" top="0.5" bottom="0.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4AB53-39B8-42F9-A3BB-E53E025B4A51}">
  <sheetPr codeName="Лист16">
    <tabColor rgb="FFA6A6A6"/>
  </sheetPr>
  <dimension ref="A1:S160"/>
  <sheetViews>
    <sheetView topLeftCell="B52" workbookViewId="0">
      <selection activeCell="C11" sqref="C11"/>
    </sheetView>
  </sheetViews>
  <sheetFormatPr defaultRowHeight="14.4" outlineLevelCol="1" x14ac:dyDescent="0.3"/>
  <cols>
    <col min="1" max="1" width="4" hidden="1" customWidth="1"/>
    <col min="2" max="2" width="9.6640625" customWidth="1"/>
    <col min="3" max="3" width="115.88671875" customWidth="1"/>
    <col min="4" max="6" width="20.6640625" customWidth="1"/>
    <col min="7" max="9" width="9.6640625" customWidth="1"/>
    <col min="10" max="10" width="20.6640625" customWidth="1"/>
    <col min="11" max="11" width="3" customWidth="1"/>
    <col min="12" max="12" width="40" hidden="1" customWidth="1" outlineLevel="1"/>
    <col min="13" max="19" width="11" hidden="1" customWidth="1" outlineLevel="1"/>
  </cols>
  <sheetData>
    <row r="1" spans="1:15" ht="28.2" thickBot="1" x14ac:dyDescent="0.35">
      <c r="C1" s="30" t="str">
        <f>IF(Каталог!$R$28="","ЧЕРНОВИК — считается сам, не править. Перенос в «Спецификацию»: выделите B4:J160 → Копировать → лист «Спецификация», ячейка B4 → Вставить → Значения (или кнопка/макрос «ОбновитьСпецификацию»).","ВНИМАНИЕ: в однолинейке есть позиции, которых нет в Каталоге: "&amp;Каталог!$R$28&amp;IF(Каталог!$R$29="","",", "&amp;Каталог!$R$29)&amp;IF(Каталог!$R$30="","",", "&amp;Каталог!$R$30)&amp;" — добавьте их в Каталог.")</f>
        <v>ВНИМАНИЕ: в однолинейке есть позиции, которых нет в Каталоге: 3P С630А, 3P С25А, 3P С400А — добавьте их в Каталог.</v>
      </c>
      <c r="K1" s="36" t="str">
        <f>"Щит: "&amp;Спецификация!$D$1&amp;" (выбор — «Спецификация» D1)"</f>
        <v>Щит: все (выбор — «Спецификация» D1)</v>
      </c>
    </row>
    <row r="2" spans="1:15" ht="43.8" thickBot="1" x14ac:dyDescent="0.35">
      <c r="B2" s="9" t="s">
        <v>43</v>
      </c>
      <c r="C2" s="1" t="s">
        <v>44</v>
      </c>
      <c r="D2" s="1" t="s">
        <v>45</v>
      </c>
      <c r="E2" s="1" t="s">
        <v>46</v>
      </c>
      <c r="F2" s="1" t="s">
        <v>47</v>
      </c>
      <c r="G2" s="1" t="s">
        <v>51</v>
      </c>
      <c r="H2" s="1" t="s">
        <v>48</v>
      </c>
      <c r="I2" s="1" t="s">
        <v>49</v>
      </c>
      <c r="J2" s="10" t="s">
        <v>50</v>
      </c>
      <c r="L2" s="1" t="s">
        <v>829</v>
      </c>
      <c r="M2" s="1" t="s">
        <v>48</v>
      </c>
      <c r="N2" s="1" t="s">
        <v>830</v>
      </c>
      <c r="O2" s="1" t="s">
        <v>831</v>
      </c>
    </row>
    <row r="3" spans="1:15" ht="28.8" x14ac:dyDescent="0.3">
      <c r="B3" s="28" t="s">
        <v>37</v>
      </c>
      <c r="C3" s="27" t="s">
        <v>253</v>
      </c>
      <c r="D3" s="8"/>
      <c r="E3" s="8"/>
      <c r="F3" s="8"/>
      <c r="G3" s="8"/>
      <c r="H3" s="8"/>
      <c r="I3" s="8"/>
      <c r="J3" s="8"/>
      <c r="L3" s="1" t="s">
        <v>832</v>
      </c>
    </row>
    <row r="4" spans="1:15" x14ac:dyDescent="0.3">
      <c r="A4" s="29">
        <f>IFERROR(MATCH(ROW()-3,Каталог!$AF$4:$AF$500,0),"")</f>
        <v>1</v>
      </c>
      <c r="B4" s="29" t="str">
        <f t="shared" ref="B4:B35" si="0">IF($A4="","",$B$3&amp;"."&amp;(ROW()-3))</f>
        <v>1.1</v>
      </c>
      <c r="C4" s="30" t="str">
        <f>IF($A4="","",INDEX(Каталог!$G$4:$G$500,$A4)&amp;"")</f>
        <v>Автоматический выключатель NB1-63 1P 10А 6кА х-ка C (DB)</v>
      </c>
      <c r="D4" s="33"/>
      <c r="E4" s="31" t="str">
        <f>IF($A4="","",INDEX(Каталог!$H$4:$H$500,$A4)&amp;"")</f>
        <v>179614</v>
      </c>
      <c r="F4" s="32" t="str">
        <f>IF($A4="","",INDEX(Каталог!$B$4:$B$500,$A4)&amp;"")</f>
        <v>Chint</v>
      </c>
      <c r="G4" s="32" t="str">
        <f>IF($A4="","",INDEX(Каталог!$M$4:$M$500,$A4)&amp;"")</f>
        <v>шт.</v>
      </c>
      <c r="H4" s="32">
        <f>IF($A4="","",INDEX(Каталог!$P$4:$P$500,$A4))</f>
        <v>53</v>
      </c>
      <c r="I4" s="5"/>
      <c r="J4" s="5"/>
      <c r="L4" s="30" t="str">
        <f>IFERROR(INDEX(Однолинейка!$H$3:$H$1000,MATCH(1,Однолинейка!$BM$3:$BM$1000,0)),"")</f>
        <v>3P С630А</v>
      </c>
      <c r="M4" s="32">
        <f>IF(L4="","",COUNTIF(Однолинейка!$H$3:$H$1000,L4))</f>
        <v>2</v>
      </c>
    </row>
    <row r="5" spans="1:15" x14ac:dyDescent="0.3">
      <c r="A5" s="29">
        <f>IFERROR(MATCH(ROW()-3,Каталог!$AF$4:$AF$500,0),"")</f>
        <v>2</v>
      </c>
      <c r="B5" s="29" t="str">
        <f t="shared" si="0"/>
        <v>1.2</v>
      </c>
      <c r="C5" s="30" t="str">
        <f>IF($A5="","",INDEX(Каталог!$G$4:$G$500,$A5)&amp;"")</f>
        <v>Автоматический выключатель NB1-63 1P 16А 6кА х-ка C (DB)</v>
      </c>
      <c r="D5" s="33"/>
      <c r="E5" s="31" t="str">
        <f>IF($A5="","",INDEX(Каталог!$H$4:$H$500,$A5)&amp;"")</f>
        <v>179616</v>
      </c>
      <c r="F5" s="32" t="str">
        <f>IF($A5="","",INDEX(Каталог!$B$4:$B$500,$A5)&amp;"")</f>
        <v>Chint</v>
      </c>
      <c r="G5" s="32" t="str">
        <f>IF($A5="","",INDEX(Каталог!$M$4:$M$500,$A5)&amp;"")</f>
        <v>шт.</v>
      </c>
      <c r="H5" s="32">
        <f>IF($A5="","",INDEX(Каталог!$P$4:$P$500,$A5))</f>
        <v>54</v>
      </c>
      <c r="I5" s="5"/>
      <c r="J5" s="5"/>
      <c r="L5" s="30" t="str">
        <f>IFERROR(INDEX(Однолинейка!$H$3:$H$1000,MATCH(2,Однолинейка!$BM$3:$BM$1000,0)),"")</f>
        <v>1P С10А</v>
      </c>
      <c r="M5" s="32">
        <f>IF(L5="","",COUNTIF(Однолинейка!$H$3:$H$1000,L5))</f>
        <v>53</v>
      </c>
    </row>
    <row r="6" spans="1:15" x14ac:dyDescent="0.3">
      <c r="A6" s="29">
        <f>IFERROR(MATCH(ROW()-3,Каталог!$AF$4:$AF$500,0),"")</f>
        <v>3</v>
      </c>
      <c r="B6" s="29" t="str">
        <f t="shared" si="0"/>
        <v>1.3</v>
      </c>
      <c r="C6" s="30" t="str">
        <f>IF($A6="","",INDEX(Каталог!$G$4:$G$500,$A6)&amp;"")</f>
        <v>Автоматический выключатель NB1-63 3P 20А 6кА х-ка C (DB)</v>
      </c>
      <c r="D6" s="33"/>
      <c r="E6" s="31" t="str">
        <f>IF($A6="","",INDEX(Каталог!$H$4:$H$500,$A6)&amp;"")</f>
        <v>179702</v>
      </c>
      <c r="F6" s="32" t="str">
        <f>IF($A6="","",INDEX(Каталог!$B$4:$B$500,$A6)&amp;"")</f>
        <v>Chint</v>
      </c>
      <c r="G6" s="32" t="str">
        <f>IF($A6="","",INDEX(Каталог!$M$4:$M$500,$A6)&amp;"")</f>
        <v>шт.</v>
      </c>
      <c r="H6" s="32">
        <f>IF($A6="","",INDEX(Каталог!$P$4:$P$500,$A6))</f>
        <v>6</v>
      </c>
      <c r="I6" s="5"/>
      <c r="J6" s="5"/>
      <c r="L6" s="30" t="str">
        <f>IFERROR(INDEX(Однолинейка!$H$3:$H$1000,MATCH(3,Однолинейка!$BM$3:$BM$1000,0)),"")</f>
        <v>3P С25А</v>
      </c>
      <c r="M6" s="32">
        <f>IF(L6="","",COUNTIF(Однолинейка!$H$3:$H$1000,L6))</f>
        <v>3</v>
      </c>
    </row>
    <row r="7" spans="1:15" x14ac:dyDescent="0.3">
      <c r="A7" s="29">
        <f>IFERROR(MATCH(ROW()-3,Каталог!$AF$4:$AF$500,0),"")</f>
        <v>6</v>
      </c>
      <c r="B7" s="29" t="str">
        <f t="shared" si="0"/>
        <v>1.4</v>
      </c>
      <c r="C7" s="30" t="str">
        <f>IF($A7="","",INDEX(Каталог!$G$4:$G$500,$A7)&amp;"")</f>
        <v>Дифавтомат (АВДТ) NB1L 1P+N C16 30мА тип A 6кА</v>
      </c>
      <c r="D7" s="33"/>
      <c r="E7" s="31" t="str">
        <f>IF($A7="","",INDEX(Каталог!$H$4:$H$500,$A7)&amp;"")</f>
        <v>203019</v>
      </c>
      <c r="F7" s="32" t="str">
        <f>IF($A7="","",INDEX(Каталог!$B$4:$B$500,$A7)&amp;"")</f>
        <v>Chint</v>
      </c>
      <c r="G7" s="32" t="str">
        <f>IF($A7="","",INDEX(Каталог!$M$4:$M$500,$A7)&amp;"")</f>
        <v>шт.</v>
      </c>
      <c r="H7" s="32">
        <f>IF($A7="","",INDEX(Каталог!$P$4:$P$500,$A7))</f>
        <v>139</v>
      </c>
      <c r="I7" s="5"/>
      <c r="J7" s="5"/>
      <c r="L7" s="30" t="str">
        <f>IFERROR(INDEX(Однолинейка!$H$3:$H$1000,MATCH(4,Однолинейка!$BM$3:$BM$1000,0)),"")</f>
        <v>3P С400А</v>
      </c>
      <c r="M7" s="32">
        <f>IF(L7="","",COUNTIF(Однолинейка!$H$3:$H$1000,L7))</f>
        <v>1</v>
      </c>
    </row>
    <row r="8" spans="1:15" x14ac:dyDescent="0.3">
      <c r="A8" s="29">
        <f>IFERROR(MATCH(ROW()-3,Каталог!$AF$4:$AF$500,0),"")</f>
        <v>7</v>
      </c>
      <c r="B8" s="29" t="str">
        <f t="shared" si="0"/>
        <v>1.5</v>
      </c>
      <c r="C8" s="30" t="str">
        <f>IF($A8="","",INDEX(Каталог!$G$4:$G$500,$A8)&amp;"")</f>
        <v>Дифавтомат (АВДТ) NB1L 1P+N C20 30мА тип A 6кА</v>
      </c>
      <c r="D8" s="33"/>
      <c r="E8" s="31" t="str">
        <f>IF($A8="","",INDEX(Каталог!$H$4:$H$500,$A8)&amp;"")</f>
        <v>203296</v>
      </c>
      <c r="F8" s="32" t="str">
        <f>IF($A8="","",INDEX(Каталог!$B$4:$B$500,$A8)&amp;"")</f>
        <v>Chint</v>
      </c>
      <c r="G8" s="32" t="str">
        <f>IF($A8="","",INDEX(Каталог!$M$4:$M$500,$A8)&amp;"")</f>
        <v>шт.</v>
      </c>
      <c r="H8" s="32">
        <f>IF($A8="","",INDEX(Каталог!$P$4:$P$500,$A8))</f>
        <v>3</v>
      </c>
      <c r="I8" s="5"/>
      <c r="J8" s="5"/>
      <c r="L8" s="30" t="str">
        <f>IFERROR(INDEX(Однолинейка!$H$3:$H$1000,MATCH(5,Однолинейка!$BM$3:$BM$1000,0)),"")</f>
        <v>3P С16А</v>
      </c>
      <c r="M8" s="32">
        <f>IF(L8="","",COUNTIF(Однолинейка!$H$3:$H$1000,L8))</f>
        <v>10</v>
      </c>
    </row>
    <row r="9" spans="1:15" x14ac:dyDescent="0.3">
      <c r="A9" s="29">
        <f>IFERROR(MATCH(ROW()-3,Каталог!$AF$4:$AF$500,0),"")</f>
        <v>30</v>
      </c>
      <c r="B9" s="29" t="str">
        <f t="shared" si="0"/>
        <v>1.6</v>
      </c>
      <c r="C9" s="30" t="str">
        <f>IF($A9="","",INDEX(Каталог!$G$4:$G$500,$A9)&amp;"")</f>
        <v>Клемма трёхуровневая push-in, 6 точек, 2.5 кв.мм</v>
      </c>
      <c r="D9" s="33"/>
      <c r="E9" s="31" t="str">
        <f>IF($A9="","",INDEX(Каталог!$H$4:$H$500,$A9)&amp;"")</f>
        <v>VPR-2.5-3L-GY</v>
      </c>
      <c r="F9" s="32" t="str">
        <f>IF($A9="","",INDEX(Каталог!$B$4:$B$500,$A9)&amp;"")</f>
        <v>DKC</v>
      </c>
      <c r="G9" s="32" t="str">
        <f>IF($A9="","",INDEX(Каталог!$M$4:$M$500,$A9)&amp;"")</f>
        <v>шт.</v>
      </c>
      <c r="H9" s="32">
        <f>IF($A9="","",INDEX(Каталог!$P$4:$P$500,$A9))</f>
        <v>305</v>
      </c>
      <c r="I9" s="5"/>
      <c r="J9" s="5"/>
      <c r="L9" s="30" t="str">
        <f>IFERROR(INDEX(Однолинейка!$H$3:$H$1000,MATCH(6,Однолинейка!$BM$3:$BM$1000,0)),"")</f>
        <v>3P С20А</v>
      </c>
      <c r="M9" s="32">
        <f>IF(L9="","",COUNTIF(Однолинейка!$H$3:$H$1000,L9))</f>
        <v>6</v>
      </c>
    </row>
    <row r="10" spans="1:15" x14ac:dyDescent="0.3">
      <c r="A10" s="29">
        <f>IFERROR(MATCH(ROW()-3,Каталог!$AF$4:$AF$500,0),"")</f>
        <v>31</v>
      </c>
      <c r="B10" s="29" t="str">
        <f t="shared" si="0"/>
        <v>1.7</v>
      </c>
      <c r="C10" s="30" t="str">
        <f>IF($A10="","",INDEX(Каталог!$G$4:$G$500,$A10)&amp;"")</f>
        <v>Клемма проходная push-in, 4 точки, 2.5 кв.мм, серая</v>
      </c>
      <c r="D10" s="33"/>
      <c r="E10" s="31" t="str">
        <f>IF($A10="","",INDEX(Каталог!$H$4:$H$500,$A10)&amp;"")</f>
        <v>VPR-2.5-QUATTRO-GY</v>
      </c>
      <c r="F10" s="32" t="str">
        <f>IF($A10="","",INDEX(Каталог!$B$4:$B$500,$A10)&amp;"")</f>
        <v>DKC</v>
      </c>
      <c r="G10" s="32" t="str">
        <f>IF($A10="","",INDEX(Каталог!$M$4:$M$500,$A10)&amp;"")</f>
        <v>шт.</v>
      </c>
      <c r="H10" s="32">
        <f>IF($A10="","",INDEX(Каталог!$P$4:$P$500,$A10))</f>
        <v>50</v>
      </c>
      <c r="I10" s="5"/>
      <c r="J10" s="5"/>
      <c r="L10" s="30" t="str">
        <f>IFERROR(INDEX(Однолинейка!$H$3:$H$1000,MATCH(7,Однолинейка!$BM$3:$BM$1000,0)),"")</f>
        <v>3P С6А</v>
      </c>
      <c r="M10" s="32">
        <f>IF(L10="","",COUNTIF(Однолинейка!$H$3:$H$1000,L10))</f>
        <v>3</v>
      </c>
    </row>
    <row r="11" spans="1:15" x14ac:dyDescent="0.3">
      <c r="A11" s="29" t="str">
        <f>IFERROR(MATCH(ROW()-3,Каталог!$AF$4:$AF$500,0),"")</f>
        <v/>
      </c>
      <c r="B11" s="29" t="str">
        <f t="shared" si="0"/>
        <v/>
      </c>
      <c r="C11" s="30" t="str">
        <f>IF($A11="","",INDEX(Каталог!$G$4:$G$500,$A11)&amp;"")</f>
        <v/>
      </c>
      <c r="D11" s="33"/>
      <c r="E11" s="31" t="str">
        <f>IF($A11="","",INDEX(Каталог!$H$4:$H$500,$A11)&amp;"")</f>
        <v/>
      </c>
      <c r="F11" s="32" t="str">
        <f>IF($A11="","",INDEX(Каталог!$B$4:$B$500,$A11)&amp;"")</f>
        <v/>
      </c>
      <c r="G11" s="32" t="str">
        <f>IF($A11="","",INDEX(Каталог!$M$4:$M$500,$A11)&amp;"")</f>
        <v/>
      </c>
      <c r="H11" s="32" t="str">
        <f>IF($A11="","",INDEX(Каталог!$P$4:$P$500,$A11))</f>
        <v/>
      </c>
      <c r="I11" s="5"/>
      <c r="J11" s="5"/>
      <c r="L11" s="30" t="str">
        <f>IFERROR(INDEX(Однолинейка!$H$3:$H$1000,MATCH(8,Однолинейка!$BM$3:$BM$1000,0)),"")</f>
        <v>3P С40А</v>
      </c>
      <c r="M11" s="32">
        <f>IF(L11="","",COUNTIF(Однолинейка!$H$3:$H$1000,L11))</f>
        <v>6</v>
      </c>
    </row>
    <row r="12" spans="1:15" x14ac:dyDescent="0.3">
      <c r="A12" s="29" t="str">
        <f>IFERROR(MATCH(ROW()-3,Каталог!$AF$4:$AF$500,0),"")</f>
        <v/>
      </c>
      <c r="B12" s="29" t="str">
        <f t="shared" si="0"/>
        <v/>
      </c>
      <c r="C12" s="30" t="str">
        <f>IF($A12="","",INDEX(Каталог!$G$4:$G$500,$A12)&amp;"")</f>
        <v/>
      </c>
      <c r="D12" s="33"/>
      <c r="E12" s="31" t="str">
        <f>IF($A12="","",INDEX(Каталог!$H$4:$H$500,$A12)&amp;"")</f>
        <v/>
      </c>
      <c r="F12" s="32" t="str">
        <f>IF($A12="","",INDEX(Каталог!$B$4:$B$500,$A12)&amp;"")</f>
        <v/>
      </c>
      <c r="G12" s="32" t="str">
        <f>IF($A12="","",INDEX(Каталог!$M$4:$M$500,$A12)&amp;"")</f>
        <v/>
      </c>
      <c r="H12" s="32" t="str">
        <f>IF($A12="","",INDEX(Каталог!$P$4:$P$500,$A12))</f>
        <v/>
      </c>
      <c r="I12" s="5"/>
      <c r="J12" s="5"/>
      <c r="L12" s="30" t="str">
        <f>IFERROR(INDEX(Однолинейка!$H$3:$H$1000,MATCH(9,Однолинейка!$BM$3:$BM$1000,0)),"")</f>
        <v>3P С63А</v>
      </c>
      <c r="M12" s="32">
        <f>IF(L12="","",COUNTIF(Однолинейка!$H$3:$H$1000,L12))</f>
        <v>9</v>
      </c>
    </row>
    <row r="13" spans="1:15" x14ac:dyDescent="0.3">
      <c r="A13" s="29" t="str">
        <f>IFERROR(MATCH(ROW()-3,Каталог!$AF$4:$AF$500,0),"")</f>
        <v/>
      </c>
      <c r="B13" s="29" t="str">
        <f t="shared" si="0"/>
        <v/>
      </c>
      <c r="C13" s="30" t="str">
        <f>IF($A13="","",INDEX(Каталог!$G$4:$G$500,$A13)&amp;"")</f>
        <v/>
      </c>
      <c r="D13" s="33"/>
      <c r="E13" s="31" t="str">
        <f>IF($A13="","",INDEX(Каталог!$H$4:$H$500,$A13)&amp;"")</f>
        <v/>
      </c>
      <c r="F13" s="32" t="str">
        <f>IF($A13="","",INDEX(Каталог!$B$4:$B$500,$A13)&amp;"")</f>
        <v/>
      </c>
      <c r="G13" s="32" t="str">
        <f>IF($A13="","",INDEX(Каталог!$M$4:$M$500,$A13)&amp;"")</f>
        <v/>
      </c>
      <c r="H13" s="32" t="str">
        <f>IF($A13="","",INDEX(Каталог!$P$4:$P$500,$A13))</f>
        <v/>
      </c>
      <c r="I13" s="5"/>
      <c r="J13" s="5"/>
      <c r="L13" s="30" t="str">
        <f>IFERROR(INDEX(Однолинейка!$H$3:$H$1000,MATCH(10,Однолинейка!$BM$3:$BM$1000,0)),"")</f>
        <v>1P С20А</v>
      </c>
      <c r="M13" s="32">
        <f>IF(L13="","",COUNTIF(Однолинейка!$H$3:$H$1000,L13))</f>
        <v>4</v>
      </c>
    </row>
    <row r="14" spans="1:15" x14ac:dyDescent="0.3">
      <c r="A14" s="29" t="str">
        <f>IFERROR(MATCH(ROW()-3,Каталог!$AF$4:$AF$500,0),"")</f>
        <v/>
      </c>
      <c r="B14" s="29" t="str">
        <f t="shared" si="0"/>
        <v/>
      </c>
      <c r="C14" s="30" t="str">
        <f>IF($A14="","",INDEX(Каталог!$G$4:$G$500,$A14)&amp;"")</f>
        <v/>
      </c>
      <c r="D14" s="33"/>
      <c r="E14" s="31" t="str">
        <f>IF($A14="","",INDEX(Каталог!$H$4:$H$500,$A14)&amp;"")</f>
        <v/>
      </c>
      <c r="F14" s="32" t="str">
        <f>IF($A14="","",INDEX(Каталог!$B$4:$B$500,$A14)&amp;"")</f>
        <v/>
      </c>
      <c r="G14" s="32" t="str">
        <f>IF($A14="","",INDEX(Каталог!$M$4:$M$500,$A14)&amp;"")</f>
        <v/>
      </c>
      <c r="H14" s="32" t="str">
        <f>IF($A14="","",INDEX(Каталог!$P$4:$P$500,$A14))</f>
        <v/>
      </c>
      <c r="I14" s="5"/>
      <c r="J14" s="5"/>
      <c r="L14" s="30" t="str">
        <f>IFERROR(INDEX(Однолинейка!$H$3:$H$1000,MATCH(11,Однолинейка!$BM$3:$BM$1000,0)),"")</f>
        <v>1P С16А</v>
      </c>
      <c r="M14" s="32">
        <f>IF(L14="","",COUNTIF(Однолинейка!$H$3:$H$1000,L14))</f>
        <v>54</v>
      </c>
    </row>
    <row r="15" spans="1:15" x14ac:dyDescent="0.3">
      <c r="A15" s="29" t="str">
        <f>IFERROR(MATCH(ROW()-3,Каталог!$AF$4:$AF$500,0),"")</f>
        <v/>
      </c>
      <c r="B15" s="29" t="str">
        <f t="shared" si="0"/>
        <v/>
      </c>
      <c r="C15" s="30" t="str">
        <f>IF($A15="","",INDEX(Каталог!$G$4:$G$500,$A15)&amp;"")</f>
        <v/>
      </c>
      <c r="D15" s="33"/>
      <c r="E15" s="31" t="str">
        <f>IF($A15="","",INDEX(Каталог!$H$4:$H$500,$A15)&amp;"")</f>
        <v/>
      </c>
      <c r="F15" s="32" t="str">
        <f>IF($A15="","",INDEX(Каталог!$B$4:$B$500,$A15)&amp;"")</f>
        <v/>
      </c>
      <c r="G15" s="32" t="str">
        <f>IF($A15="","",INDEX(Каталог!$M$4:$M$500,$A15)&amp;"")</f>
        <v/>
      </c>
      <c r="H15" s="32" t="str">
        <f>IF($A15="","",INDEX(Каталог!$P$4:$P$500,$A15))</f>
        <v/>
      </c>
      <c r="I15" s="5"/>
      <c r="J15" s="5"/>
      <c r="L15" s="30" t="str">
        <f>IFERROR(INDEX(Однолинейка!$H$3:$H$1000,MATCH(12,Однолинейка!$BM$3:$BM$1000,0)),"")</f>
        <v>3P С32А</v>
      </c>
      <c r="M15" s="32">
        <f>IF(L15="","",COUNTIF(Однолинейка!$H$3:$H$1000,L15))</f>
        <v>2</v>
      </c>
    </row>
    <row r="16" spans="1:15" ht="18" customHeight="1" x14ac:dyDescent="0.3">
      <c r="A16" s="29" t="str">
        <f>IFERROR(MATCH(ROW()-3,Каталог!$AF$4:$AF$500,0),"")</f>
        <v/>
      </c>
      <c r="B16" s="29" t="str">
        <f t="shared" si="0"/>
        <v/>
      </c>
      <c r="C16" s="30" t="str">
        <f>IF($A16="","",INDEX(Каталог!$G$4:$G$500,$A16)&amp;"")</f>
        <v/>
      </c>
      <c r="D16" s="33"/>
      <c r="E16" s="31" t="str">
        <f>IF($A16="","",INDEX(Каталог!$H$4:$H$500,$A16)&amp;"")</f>
        <v/>
      </c>
      <c r="F16" s="32" t="str">
        <f>IF($A16="","",INDEX(Каталог!$B$4:$B$500,$A16)&amp;"")</f>
        <v/>
      </c>
      <c r="G16" s="32" t="str">
        <f>IF($A16="","",INDEX(Каталог!$M$4:$M$500,$A16)&amp;"")</f>
        <v/>
      </c>
      <c r="H16" s="32" t="str">
        <f>IF($A16="","",INDEX(Каталог!$P$4:$P$500,$A16))</f>
        <v/>
      </c>
      <c r="I16" s="5"/>
      <c r="J16" s="5"/>
      <c r="L16" s="30" t="str">
        <f>IFERROR(INDEX(Однолинейка!$H$3:$H$1000,MATCH(13,Однолинейка!$BM$3:$BM$1000,0)),"")</f>
        <v>3P С200А</v>
      </c>
      <c r="M16" s="32">
        <f>IF(L16="","",COUNTIF(Однолинейка!$H$3:$H$1000,L16))</f>
        <v>1</v>
      </c>
    </row>
    <row r="17" spans="1:13" x14ac:dyDescent="0.3">
      <c r="A17" s="29" t="str">
        <f>IFERROR(MATCH(ROW()-3,Каталог!$AF$4:$AF$500,0),"")</f>
        <v/>
      </c>
      <c r="B17" s="29" t="str">
        <f t="shared" si="0"/>
        <v/>
      </c>
      <c r="C17" s="30" t="str">
        <f>IF($A17="","",INDEX(Каталог!$G$4:$G$500,$A17)&amp;"")</f>
        <v/>
      </c>
      <c r="D17" s="33"/>
      <c r="E17" s="31" t="str">
        <f>IF($A17="","",INDEX(Каталог!$H$4:$H$500,$A17)&amp;"")</f>
        <v/>
      </c>
      <c r="F17" s="32" t="str">
        <f>IF($A17="","",INDEX(Каталог!$B$4:$B$500,$A17)&amp;"")</f>
        <v/>
      </c>
      <c r="G17" s="32" t="str">
        <f>IF($A17="","",INDEX(Каталог!$M$4:$M$500,$A17)&amp;"")</f>
        <v/>
      </c>
      <c r="H17" s="32" t="str">
        <f>IF($A17="","",INDEX(Каталог!$P$4:$P$500,$A17))</f>
        <v/>
      </c>
      <c r="I17" s="5"/>
      <c r="J17" s="5"/>
      <c r="L17" s="30" t="str">
        <f>IFERROR(INDEX(Однолинейка!$H$3:$H$1000,MATCH(14,Однолинейка!$BM$3:$BM$1000,0)),"")</f>
        <v>1P С25А</v>
      </c>
      <c r="M17" s="32">
        <f>IF(L17="","",COUNTIF(Однолинейка!$H$3:$H$1000,L17))</f>
        <v>3</v>
      </c>
    </row>
    <row r="18" spans="1:13" x14ac:dyDescent="0.3">
      <c r="A18" s="29" t="str">
        <f>IFERROR(MATCH(ROW()-3,Каталог!$AF$4:$AF$500,0),"")</f>
        <v/>
      </c>
      <c r="B18" s="29" t="str">
        <f t="shared" si="0"/>
        <v/>
      </c>
      <c r="C18" s="30" t="str">
        <f>IF($A18="","",INDEX(Каталог!$G$4:$G$500,$A18)&amp;"")</f>
        <v/>
      </c>
      <c r="D18" s="33"/>
      <c r="E18" s="31" t="str">
        <f>IF($A18="","",INDEX(Каталог!$H$4:$H$500,$A18)&amp;"")</f>
        <v/>
      </c>
      <c r="F18" s="32" t="str">
        <f>IF($A18="","",INDEX(Каталог!$B$4:$B$500,$A18)&amp;"")</f>
        <v/>
      </c>
      <c r="G18" s="32" t="str">
        <f>IF($A18="","",INDEX(Каталог!$M$4:$M$500,$A18)&amp;"")</f>
        <v/>
      </c>
      <c r="H18" s="32" t="str">
        <f>IF($A18="","",INDEX(Каталог!$P$4:$P$500,$A18))</f>
        <v/>
      </c>
      <c r="I18" s="5"/>
      <c r="J18" s="5"/>
      <c r="L18" s="30" t="str">
        <f>IFERROR(INDEX(Однолинейка!$H$3:$H$1000,MATCH(15,Однолинейка!$BM$3:$BM$1000,0)),"")</f>
        <v>1P С6А</v>
      </c>
      <c r="M18" s="32">
        <f>IF(L18="","",COUNTIF(Однолинейка!$H$3:$H$1000,L18))</f>
        <v>26</v>
      </c>
    </row>
    <row r="19" spans="1:13" x14ac:dyDescent="0.3">
      <c r="A19" s="29" t="str">
        <f>IFERROR(MATCH(ROW()-3,Каталог!$AF$4:$AF$500,0),"")</f>
        <v/>
      </c>
      <c r="B19" s="29" t="str">
        <f t="shared" si="0"/>
        <v/>
      </c>
      <c r="C19" s="30" t="str">
        <f>IF($A19="","",INDEX(Каталог!$G$4:$G$500,$A19)&amp;"")</f>
        <v/>
      </c>
      <c r="D19" s="33"/>
      <c r="E19" s="31" t="str">
        <f>IF($A19="","",INDEX(Каталог!$H$4:$H$500,$A19)&amp;"")</f>
        <v/>
      </c>
      <c r="F19" s="32" t="str">
        <f>IF($A19="","",INDEX(Каталог!$B$4:$B$500,$A19)&amp;"")</f>
        <v/>
      </c>
      <c r="G19" s="32" t="str">
        <f>IF($A19="","",INDEX(Каталог!$M$4:$M$500,$A19)&amp;"")</f>
        <v/>
      </c>
      <c r="H19" s="32" t="str">
        <f>IF($A19="","",INDEX(Каталог!$P$4:$P$500,$A19))</f>
        <v/>
      </c>
      <c r="I19" s="5"/>
      <c r="J19" s="5"/>
      <c r="L19" s="30" t="str">
        <f>IFERROR(INDEX(Однолинейка!$H$3:$H$1000,MATCH(16,Однолинейка!$BM$3:$BM$1000,0)),"")</f>
        <v>3P С320А</v>
      </c>
      <c r="M19" s="32">
        <f>IF(L19="","",COUNTIF(Однолинейка!$H$3:$H$1000,L19))</f>
        <v>1</v>
      </c>
    </row>
    <row r="20" spans="1:13" x14ac:dyDescent="0.3">
      <c r="A20" s="29" t="str">
        <f>IFERROR(MATCH(ROW()-3,Каталог!$AF$4:$AF$500,0),"")</f>
        <v/>
      </c>
      <c r="B20" s="29" t="str">
        <f t="shared" si="0"/>
        <v/>
      </c>
      <c r="C20" s="30" t="str">
        <f>IF($A20="","",INDEX(Каталог!$G$4:$G$500,$A20)&amp;"")</f>
        <v/>
      </c>
      <c r="D20" s="33"/>
      <c r="E20" s="31" t="str">
        <f>IF($A20="","",INDEX(Каталог!$H$4:$H$500,$A20)&amp;"")</f>
        <v/>
      </c>
      <c r="F20" s="32" t="str">
        <f>IF($A20="","",INDEX(Каталог!$B$4:$B$500,$A20)&amp;"")</f>
        <v/>
      </c>
      <c r="G20" s="32" t="str">
        <f>IF($A20="","",INDEX(Каталог!$M$4:$M$500,$A20)&amp;"")</f>
        <v/>
      </c>
      <c r="H20" s="32" t="str">
        <f>IF($A20="","",INDEX(Каталог!$P$4:$P$500,$A20))</f>
        <v/>
      </c>
      <c r="I20" s="5"/>
      <c r="J20" s="5"/>
      <c r="L20" s="30" t="str">
        <f>IFERROR(INDEX(Однолинейка!$H$3:$H$1000,MATCH(17,Однолинейка!$BM$3:$BM$1000,0)),"")</f>
        <v>2P С16А 30мА</v>
      </c>
      <c r="M20" s="32">
        <f>IF(L20="","",COUNTIF(Однолинейка!$H$3:$H$1000,L20))</f>
        <v>139</v>
      </c>
    </row>
    <row r="21" spans="1:13" x14ac:dyDescent="0.3">
      <c r="A21" s="29" t="str">
        <f>IFERROR(MATCH(ROW()-3,Каталог!$AF$4:$AF$500,0),"")</f>
        <v/>
      </c>
      <c r="B21" s="29" t="str">
        <f t="shared" si="0"/>
        <v/>
      </c>
      <c r="C21" s="30" t="str">
        <f>IF($A21="","",INDEX(Каталог!$G$4:$G$500,$A21)&amp;"")</f>
        <v/>
      </c>
      <c r="D21" s="33"/>
      <c r="E21" s="31" t="str">
        <f>IF($A21="","",INDEX(Каталог!$H$4:$H$500,$A21)&amp;"")</f>
        <v/>
      </c>
      <c r="F21" s="32" t="str">
        <f>IF($A21="","",INDEX(Каталог!$B$4:$B$500,$A21)&amp;"")</f>
        <v/>
      </c>
      <c r="G21" s="32" t="str">
        <f>IF($A21="","",INDEX(Каталог!$M$4:$M$500,$A21)&amp;"")</f>
        <v/>
      </c>
      <c r="H21" s="32" t="str">
        <f>IF($A21="","",INDEX(Каталог!$P$4:$P$500,$A21))</f>
        <v/>
      </c>
      <c r="I21" s="5"/>
      <c r="J21" s="5"/>
      <c r="L21" s="30" t="str">
        <f>IFERROR(INDEX(Однолинейка!$H$3:$H$1000,MATCH(18,Однолинейка!$BM$3:$BM$1000,0)),"")</f>
        <v>2P С20А 30мА</v>
      </c>
      <c r="M21" s="32">
        <f>IF(L21="","",COUNTIF(Однолинейка!$H$3:$H$1000,L21))</f>
        <v>3</v>
      </c>
    </row>
    <row r="22" spans="1:13" x14ac:dyDescent="0.3">
      <c r="A22" s="29" t="str">
        <f>IFERROR(MATCH(ROW()-3,Каталог!$AF$4:$AF$500,0),"")</f>
        <v/>
      </c>
      <c r="B22" s="29" t="str">
        <f t="shared" si="0"/>
        <v/>
      </c>
      <c r="C22" s="30" t="str">
        <f>IF($A22="","",INDEX(Каталог!$G$4:$G$500,$A22)&amp;"")</f>
        <v/>
      </c>
      <c r="D22" s="33"/>
      <c r="E22" s="31" t="str">
        <f>IF($A22="","",INDEX(Каталог!$H$4:$H$500,$A22)&amp;"")</f>
        <v/>
      </c>
      <c r="F22" s="32" t="str">
        <f>IF($A22="","",INDEX(Каталог!$B$4:$B$500,$A22)&amp;"")</f>
        <v/>
      </c>
      <c r="G22" s="32" t="str">
        <f>IF($A22="","",INDEX(Каталог!$M$4:$M$500,$A22)&amp;"")</f>
        <v/>
      </c>
      <c r="H22" s="32" t="str">
        <f>IF($A22="","",INDEX(Каталог!$P$4:$P$500,$A22))</f>
        <v/>
      </c>
      <c r="I22" s="5"/>
      <c r="J22" s="5"/>
      <c r="L22" s="30" t="str">
        <f>IFERROR(INDEX(Однолинейка!$H$3:$H$1000,MATCH(19,Однолинейка!$BM$3:$BM$1000,0)),"")</f>
        <v>4P С16А 30мА</v>
      </c>
      <c r="M22" s="32">
        <f>IF(L22="","",COUNTIF(Однолинейка!$H$3:$H$1000,L22))</f>
        <v>1</v>
      </c>
    </row>
    <row r="23" spans="1:13" x14ac:dyDescent="0.3">
      <c r="A23" s="29" t="str">
        <f>IFERROR(MATCH(ROW()-3,Каталог!$AF$4:$AF$500,0),"")</f>
        <v/>
      </c>
      <c r="B23" s="29" t="str">
        <f t="shared" si="0"/>
        <v/>
      </c>
      <c r="C23" s="30" t="str">
        <f>IF($A23="","",INDEX(Каталог!$G$4:$G$500,$A23)&amp;"")</f>
        <v/>
      </c>
      <c r="D23" s="33"/>
      <c r="E23" s="31" t="str">
        <f>IF($A23="","",INDEX(Каталог!$H$4:$H$500,$A23)&amp;"")</f>
        <v/>
      </c>
      <c r="F23" s="32" t="str">
        <f>IF($A23="","",INDEX(Каталог!$B$4:$B$500,$A23)&amp;"")</f>
        <v/>
      </c>
      <c r="G23" s="32" t="str">
        <f>IF($A23="","",INDEX(Каталог!$M$4:$M$500,$A23)&amp;"")</f>
        <v/>
      </c>
      <c r="H23" s="32" t="str">
        <f>IF($A23="","",INDEX(Каталог!$P$4:$P$500,$A23))</f>
        <v/>
      </c>
      <c r="I23" s="5"/>
      <c r="J23" s="5"/>
      <c r="L23" s="30" t="str">
        <f>IFERROR(INDEX(Однолинейка!$H$3:$H$1000,MATCH(20,Однолинейка!$BM$3:$BM$1000,0)),"")</f>
        <v/>
      </c>
      <c r="M23" s="32" t="str">
        <f>IF(L23="","",COUNTIF(Однолинейка!$H$3:$H$1000,L23))</f>
        <v/>
      </c>
    </row>
    <row r="24" spans="1:13" x14ac:dyDescent="0.3">
      <c r="A24" s="29" t="str">
        <f>IFERROR(MATCH(ROW()-3,Каталог!$AF$4:$AF$500,0),"")</f>
        <v/>
      </c>
      <c r="B24" s="29" t="str">
        <f t="shared" si="0"/>
        <v/>
      </c>
      <c r="C24" s="30" t="str">
        <f>IF($A24="","",INDEX(Каталог!$G$4:$G$500,$A24)&amp;"")</f>
        <v/>
      </c>
      <c r="D24" s="33"/>
      <c r="E24" s="31" t="str">
        <f>IF($A24="","",INDEX(Каталог!$H$4:$H$500,$A24)&amp;"")</f>
        <v/>
      </c>
      <c r="F24" s="32" t="str">
        <f>IF($A24="","",INDEX(Каталог!$B$4:$B$500,$A24)&amp;"")</f>
        <v/>
      </c>
      <c r="G24" s="32" t="str">
        <f>IF($A24="","",INDEX(Каталог!$M$4:$M$500,$A24)&amp;"")</f>
        <v/>
      </c>
      <c r="H24" s="32" t="str">
        <f>IF($A24="","",INDEX(Каталог!$P$4:$P$500,$A24))</f>
        <v/>
      </c>
      <c r="I24" s="5"/>
      <c r="J24" s="5"/>
      <c r="L24" s="30" t="s">
        <v>833</v>
      </c>
      <c r="M24" s="32">
        <f>COUNTIF(Однолинейка!$H$3:$H$1000,"?*")</f>
        <v>327</v>
      </c>
    </row>
    <row r="25" spans="1:13" x14ac:dyDescent="0.3">
      <c r="A25" s="29" t="str">
        <f>IFERROR(MATCH(ROW()-3,Каталог!$AF$4:$AF$500,0),"")</f>
        <v/>
      </c>
      <c r="B25" s="29" t="str">
        <f t="shared" si="0"/>
        <v/>
      </c>
      <c r="C25" s="30" t="str">
        <f>IF($A25="","",INDEX(Каталог!$G$4:$G$500,$A25)&amp;"")</f>
        <v/>
      </c>
      <c r="D25" s="33"/>
      <c r="E25" s="31" t="str">
        <f>IF($A25="","",INDEX(Каталог!$H$4:$H$500,$A25)&amp;"")</f>
        <v/>
      </c>
      <c r="F25" s="32" t="str">
        <f>IF($A25="","",INDEX(Каталог!$B$4:$B$500,$A25)&amp;"")</f>
        <v/>
      </c>
      <c r="G25" s="32" t="str">
        <f>IF($A25="","",INDEX(Каталог!$M$4:$M$500,$A25)&amp;"")</f>
        <v/>
      </c>
      <c r="H25" s="32" t="str">
        <f>IF($A25="","",INDEX(Каталог!$P$4:$P$500,$A25))</f>
        <v/>
      </c>
      <c r="I25" s="5"/>
      <c r="J25" s="5"/>
    </row>
    <row r="26" spans="1:13" ht="28.8" x14ac:dyDescent="0.3">
      <c r="A26" s="29" t="str">
        <f>IFERROR(MATCH(ROW()-3,Каталог!$AF$4:$AF$500,0),"")</f>
        <v/>
      </c>
      <c r="B26" s="29" t="str">
        <f t="shared" si="0"/>
        <v/>
      </c>
      <c r="C26" s="30" t="str">
        <f>IF($A26="","",INDEX(Каталог!$G$4:$G$500,$A26)&amp;"")</f>
        <v/>
      </c>
      <c r="D26" s="33"/>
      <c r="E26" s="31" t="str">
        <f>IF($A26="","",INDEX(Каталог!$H$4:$H$500,$A26)&amp;"")</f>
        <v/>
      </c>
      <c r="F26" s="32" t="str">
        <f>IF($A26="","",INDEX(Каталог!$B$4:$B$500,$A26)&amp;"")</f>
        <v/>
      </c>
      <c r="G26" s="32" t="str">
        <f>IF($A26="","",INDEX(Каталог!$M$4:$M$500,$A26)&amp;"")</f>
        <v/>
      </c>
      <c r="H26" s="32" t="str">
        <f>IF($A26="","",INDEX(Каталог!$P$4:$P$500,$A26))</f>
        <v/>
      </c>
      <c r="I26" s="5"/>
      <c r="J26" s="5"/>
      <c r="L26" s="1" t="s">
        <v>834</v>
      </c>
    </row>
    <row r="27" spans="1:13" x14ac:dyDescent="0.3">
      <c r="A27" s="29" t="str">
        <f>IFERROR(MATCH(ROW()-3,Каталог!$AF$4:$AF$500,0),"")</f>
        <v/>
      </c>
      <c r="B27" s="29" t="str">
        <f t="shared" si="0"/>
        <v/>
      </c>
      <c r="C27" s="30" t="str">
        <f>IF($A27="","",INDEX(Каталог!$G$4:$G$500,$A27)&amp;"")</f>
        <v/>
      </c>
      <c r="D27" s="33"/>
      <c r="E27" s="31" t="str">
        <f>IF($A27="","",INDEX(Каталог!$H$4:$H$500,$A27)&amp;"")</f>
        <v/>
      </c>
      <c r="F27" s="32" t="str">
        <f>IF($A27="","",INDEX(Каталог!$B$4:$B$500,$A27)&amp;"")</f>
        <v/>
      </c>
      <c r="G27" s="32" t="str">
        <f>IF($A27="","",INDEX(Каталог!$M$4:$M$500,$A27)&amp;"")</f>
        <v/>
      </c>
      <c r="H27" s="32" t="str">
        <f>IF($A27="","",INDEX(Каталог!$P$4:$P$500,$A27))</f>
        <v/>
      </c>
      <c r="I27" s="5"/>
      <c r="J27" s="5"/>
      <c r="L27" s="30" t="str">
        <f>IFERROR(INDEX(Однолинейка!$I$3:$I$1000,MATCH(1,Однолинейка!$BN$3:$BN$1000,0)),IFERROR(INDEX(Однолинейка!$J$3:$J$1000,MATCH(1,Однолинейка!$BO$3:$BO$1000,0)),IFERROR(INDEX(Однолинейка!$K$3:$K$1000,MATCH(1,Однолинейка!$BP$3:$BP$1000,0)),"")))</f>
        <v/>
      </c>
      <c r="M27" s="32" t="str">
        <f>IF(L27="","",COUNTIF(Однолинейка!$I$3:$I$1000,L27)+COUNTIF(Однолинейка!$J$3:$J$1000,L27)+COUNTIF(Однолинейка!$K$3:$K$1000,L27))</f>
        <v/>
      </c>
    </row>
    <row r="28" spans="1:13" x14ac:dyDescent="0.3">
      <c r="A28" s="29" t="str">
        <f>IFERROR(MATCH(ROW()-3,Каталог!$AF$4:$AF$500,0),"")</f>
        <v/>
      </c>
      <c r="B28" s="29" t="str">
        <f t="shared" si="0"/>
        <v/>
      </c>
      <c r="C28" s="30" t="str">
        <f>IF($A28="","",INDEX(Каталог!$G$4:$G$500,$A28)&amp;"")</f>
        <v/>
      </c>
      <c r="D28" s="33"/>
      <c r="E28" s="31" t="str">
        <f>IF($A28="","",INDEX(Каталог!$H$4:$H$500,$A28)&amp;"")</f>
        <v/>
      </c>
      <c r="F28" s="32" t="str">
        <f>IF($A28="","",INDEX(Каталог!$B$4:$B$500,$A28)&amp;"")</f>
        <v/>
      </c>
      <c r="G28" s="32" t="str">
        <f>IF($A28="","",INDEX(Каталог!$M$4:$M$500,$A28)&amp;"")</f>
        <v/>
      </c>
      <c r="H28" s="32" t="str">
        <f>IF($A28="","",INDEX(Каталог!$P$4:$P$500,$A28))</f>
        <v/>
      </c>
      <c r="I28" s="5"/>
      <c r="J28" s="5"/>
      <c r="L28" s="30" t="str">
        <f>IFERROR(INDEX(Однолинейка!$I$3:$I$1000,MATCH(2,Однолинейка!$BN$3:$BN$1000,0)),IFERROR(INDEX(Однолинейка!$J$3:$J$1000,MATCH(2,Однолинейка!$BO$3:$BO$1000,0)),IFERROR(INDEX(Однолинейка!$K$3:$K$1000,MATCH(2,Однолинейка!$BP$3:$BP$1000,0)),"")))</f>
        <v/>
      </c>
      <c r="M28" s="32" t="str">
        <f>IF(L28="","",COUNTIF(Однолинейка!$I$3:$I$1000,L28)+COUNTIF(Однолинейка!$J$3:$J$1000,L28)+COUNTIF(Однолинейка!$K$3:$K$1000,L28))</f>
        <v/>
      </c>
    </row>
    <row r="29" spans="1:13" x14ac:dyDescent="0.3">
      <c r="A29" s="29" t="str">
        <f>IFERROR(MATCH(ROW()-3,Каталог!$AF$4:$AF$500,0),"")</f>
        <v/>
      </c>
      <c r="B29" s="29" t="str">
        <f t="shared" si="0"/>
        <v/>
      </c>
      <c r="C29" s="30" t="str">
        <f>IF($A29="","",INDEX(Каталог!$G$4:$G$500,$A29)&amp;"")</f>
        <v/>
      </c>
      <c r="D29" s="33"/>
      <c r="E29" s="31" t="str">
        <f>IF($A29="","",INDEX(Каталог!$H$4:$H$500,$A29)&amp;"")</f>
        <v/>
      </c>
      <c r="F29" s="32" t="str">
        <f>IF($A29="","",INDEX(Каталог!$B$4:$B$500,$A29)&amp;"")</f>
        <v/>
      </c>
      <c r="G29" s="32" t="str">
        <f>IF($A29="","",INDEX(Каталог!$M$4:$M$500,$A29)&amp;"")</f>
        <v/>
      </c>
      <c r="H29" s="32" t="str">
        <f>IF($A29="","",INDEX(Каталог!$P$4:$P$500,$A29))</f>
        <v/>
      </c>
      <c r="I29" s="5"/>
      <c r="J29" s="5"/>
      <c r="L29" s="30" t="str">
        <f>IFERROR(INDEX(Однолинейка!$I$3:$I$1000,MATCH(3,Однолинейка!$BN$3:$BN$1000,0)),IFERROR(INDEX(Однолинейка!$J$3:$J$1000,MATCH(3,Однолинейка!$BO$3:$BO$1000,0)),IFERROR(INDEX(Однолинейка!$K$3:$K$1000,MATCH(3,Однолинейка!$BP$3:$BP$1000,0)),"")))</f>
        <v/>
      </c>
      <c r="M29" s="32" t="str">
        <f>IF(L29="","",COUNTIF(Однолинейка!$I$3:$I$1000,L29)+COUNTIF(Однолинейка!$J$3:$J$1000,L29)+COUNTIF(Однолинейка!$K$3:$K$1000,L29))</f>
        <v/>
      </c>
    </row>
    <row r="30" spans="1:13" x14ac:dyDescent="0.3">
      <c r="A30" s="29" t="str">
        <f>IFERROR(MATCH(ROW()-3,Каталог!$AF$4:$AF$500,0),"")</f>
        <v/>
      </c>
      <c r="B30" s="29" t="str">
        <f t="shared" si="0"/>
        <v/>
      </c>
      <c r="C30" s="30" t="str">
        <f>IF($A30="","",INDEX(Каталог!$G$4:$G$500,$A30)&amp;"")</f>
        <v/>
      </c>
      <c r="D30" s="33"/>
      <c r="E30" s="31" t="str">
        <f>IF($A30="","",INDEX(Каталог!$H$4:$H$500,$A30)&amp;"")</f>
        <v/>
      </c>
      <c r="F30" s="32" t="str">
        <f>IF($A30="","",INDEX(Каталог!$B$4:$B$500,$A30)&amp;"")</f>
        <v/>
      </c>
      <c r="G30" s="32" t="str">
        <f>IF($A30="","",INDEX(Каталог!$M$4:$M$500,$A30)&amp;"")</f>
        <v/>
      </c>
      <c r="H30" s="32" t="str">
        <f>IF($A30="","",INDEX(Каталог!$P$4:$P$500,$A30))</f>
        <v/>
      </c>
      <c r="I30" s="5"/>
      <c r="J30" s="5"/>
      <c r="L30" s="30" t="str">
        <f>IFERROR(INDEX(Однолинейка!$I$3:$I$1000,MATCH(4,Однолинейка!$BN$3:$BN$1000,0)),IFERROR(INDEX(Однолинейка!$J$3:$J$1000,MATCH(4,Однолинейка!$BO$3:$BO$1000,0)),IFERROR(INDEX(Однолинейка!$K$3:$K$1000,MATCH(4,Однолинейка!$BP$3:$BP$1000,0)),"")))</f>
        <v/>
      </c>
      <c r="M30" s="32" t="str">
        <f>IF(L30="","",COUNTIF(Однолинейка!$I$3:$I$1000,L30)+COUNTIF(Однолинейка!$J$3:$J$1000,L30)+COUNTIF(Однолинейка!$K$3:$K$1000,L30))</f>
        <v/>
      </c>
    </row>
    <row r="31" spans="1:13" x14ac:dyDescent="0.3">
      <c r="A31" s="29" t="str">
        <f>IFERROR(MATCH(ROW()-3,Каталог!$AF$4:$AF$500,0),"")</f>
        <v/>
      </c>
      <c r="B31" s="29" t="str">
        <f t="shared" si="0"/>
        <v/>
      </c>
      <c r="C31" s="30" t="str">
        <f>IF($A31="","",INDEX(Каталог!$G$4:$G$500,$A31)&amp;"")</f>
        <v/>
      </c>
      <c r="D31" s="33"/>
      <c r="E31" s="31" t="str">
        <f>IF($A31="","",INDEX(Каталог!$H$4:$H$500,$A31)&amp;"")</f>
        <v/>
      </c>
      <c r="F31" s="32" t="str">
        <f>IF($A31="","",INDEX(Каталог!$B$4:$B$500,$A31)&amp;"")</f>
        <v/>
      </c>
      <c r="G31" s="32" t="str">
        <f>IF($A31="","",INDEX(Каталог!$M$4:$M$500,$A31)&amp;"")</f>
        <v/>
      </c>
      <c r="H31" s="32" t="str">
        <f>IF($A31="","",INDEX(Каталог!$P$4:$P$500,$A31))</f>
        <v/>
      </c>
      <c r="I31" s="5"/>
      <c r="J31" s="5"/>
      <c r="L31" s="30" t="str">
        <f>IFERROR(INDEX(Однолинейка!$I$3:$I$1000,MATCH(5,Однолинейка!$BN$3:$BN$1000,0)),IFERROR(INDEX(Однолинейка!$J$3:$J$1000,MATCH(5,Однолинейка!$BO$3:$BO$1000,0)),IFERROR(INDEX(Однолинейка!$K$3:$K$1000,MATCH(5,Однолинейка!$BP$3:$BP$1000,0)),"")))</f>
        <v/>
      </c>
      <c r="M31" s="32" t="str">
        <f>IF(L31="","",COUNTIF(Однолинейка!$I$3:$I$1000,L31)+COUNTIF(Однолинейка!$J$3:$J$1000,L31)+COUNTIF(Однолинейка!$K$3:$K$1000,L31))</f>
        <v/>
      </c>
    </row>
    <row r="32" spans="1:13" x14ac:dyDescent="0.3">
      <c r="A32" s="29" t="str">
        <f>IFERROR(MATCH(ROW()-3,Каталог!$AF$4:$AF$500,0),"")</f>
        <v/>
      </c>
      <c r="B32" s="29" t="str">
        <f t="shared" si="0"/>
        <v/>
      </c>
      <c r="C32" s="30" t="str">
        <f>IF($A32="","",INDEX(Каталог!$G$4:$G$500,$A32)&amp;"")</f>
        <v/>
      </c>
      <c r="D32" s="33"/>
      <c r="E32" s="31" t="str">
        <f>IF($A32="","",INDEX(Каталог!$H$4:$H$500,$A32)&amp;"")</f>
        <v/>
      </c>
      <c r="F32" s="32" t="str">
        <f>IF($A32="","",INDEX(Каталог!$B$4:$B$500,$A32)&amp;"")</f>
        <v/>
      </c>
      <c r="G32" s="32" t="str">
        <f>IF($A32="","",INDEX(Каталог!$M$4:$M$500,$A32)&amp;"")</f>
        <v/>
      </c>
      <c r="H32" s="32" t="str">
        <f>IF($A32="","",INDEX(Каталог!$P$4:$P$500,$A32))</f>
        <v/>
      </c>
      <c r="I32" s="5"/>
      <c r="J32" s="5"/>
      <c r="L32" s="30" t="str">
        <f>IFERROR(INDEX(Однолинейка!$I$3:$I$1000,MATCH(6,Однолинейка!$BN$3:$BN$1000,0)),IFERROR(INDEX(Однолинейка!$J$3:$J$1000,MATCH(6,Однолинейка!$BO$3:$BO$1000,0)),IFERROR(INDEX(Однолинейка!$K$3:$K$1000,MATCH(6,Однолинейка!$BP$3:$BP$1000,0)),"")))</f>
        <v/>
      </c>
      <c r="M32" s="32" t="str">
        <f>IF(L32="","",COUNTIF(Однолинейка!$I$3:$I$1000,L32)+COUNTIF(Однолинейка!$J$3:$J$1000,L32)+COUNTIF(Однолинейка!$K$3:$K$1000,L32))</f>
        <v/>
      </c>
    </row>
    <row r="33" spans="1:13" x14ac:dyDescent="0.3">
      <c r="A33" s="29" t="str">
        <f>IFERROR(MATCH(ROW()-3,Каталог!$AF$4:$AF$500,0),"")</f>
        <v/>
      </c>
      <c r="B33" s="29" t="str">
        <f t="shared" si="0"/>
        <v/>
      </c>
      <c r="C33" s="30" t="str">
        <f>IF($A33="","",INDEX(Каталог!$G$4:$G$500,$A33)&amp;"")</f>
        <v/>
      </c>
      <c r="D33" s="33"/>
      <c r="E33" s="31" t="str">
        <f>IF($A33="","",INDEX(Каталог!$H$4:$H$500,$A33)&amp;"")</f>
        <v/>
      </c>
      <c r="F33" s="32" t="str">
        <f>IF($A33="","",INDEX(Каталог!$B$4:$B$500,$A33)&amp;"")</f>
        <v/>
      </c>
      <c r="G33" s="32" t="str">
        <f>IF($A33="","",INDEX(Каталог!$M$4:$M$500,$A33)&amp;"")</f>
        <v/>
      </c>
      <c r="H33" s="32" t="str">
        <f>IF($A33="","",INDEX(Каталог!$P$4:$P$500,$A33))</f>
        <v/>
      </c>
      <c r="I33" s="5"/>
      <c r="J33" s="5"/>
      <c r="L33" s="30" t="str">
        <f>IFERROR(INDEX(Однолинейка!$I$3:$I$1000,MATCH(7,Однолинейка!$BN$3:$BN$1000,0)),IFERROR(INDEX(Однолинейка!$J$3:$J$1000,MATCH(7,Однолинейка!$BO$3:$BO$1000,0)),IFERROR(INDEX(Однолинейка!$K$3:$K$1000,MATCH(7,Однолинейка!$BP$3:$BP$1000,0)),"")))</f>
        <v/>
      </c>
      <c r="M33" s="32" t="str">
        <f>IF(L33="","",COUNTIF(Однолинейка!$I$3:$I$1000,L33)+COUNTIF(Однолинейка!$J$3:$J$1000,L33)+COUNTIF(Однолинейка!$K$3:$K$1000,L33))</f>
        <v/>
      </c>
    </row>
    <row r="34" spans="1:13" x14ac:dyDescent="0.3">
      <c r="A34" s="29" t="str">
        <f>IFERROR(MATCH(ROW()-3,Каталог!$AF$4:$AF$500,0),"")</f>
        <v/>
      </c>
      <c r="B34" s="29" t="str">
        <f t="shared" si="0"/>
        <v/>
      </c>
      <c r="C34" s="30" t="str">
        <f>IF($A34="","",INDEX(Каталог!$G$4:$G$500,$A34)&amp;"")</f>
        <v/>
      </c>
      <c r="D34" s="33"/>
      <c r="E34" s="31" t="str">
        <f>IF($A34="","",INDEX(Каталог!$H$4:$H$500,$A34)&amp;"")</f>
        <v/>
      </c>
      <c r="F34" s="32" t="str">
        <f>IF($A34="","",INDEX(Каталог!$B$4:$B$500,$A34)&amp;"")</f>
        <v/>
      </c>
      <c r="G34" s="32" t="str">
        <f>IF($A34="","",INDEX(Каталог!$M$4:$M$500,$A34)&amp;"")</f>
        <v/>
      </c>
      <c r="H34" s="32" t="str">
        <f>IF($A34="","",INDEX(Каталог!$P$4:$P$500,$A34))</f>
        <v/>
      </c>
      <c r="I34" s="5"/>
      <c r="J34" s="5"/>
      <c r="L34" s="30" t="str">
        <f>IFERROR(INDEX(Однолинейка!$I$3:$I$1000,MATCH(8,Однолинейка!$BN$3:$BN$1000,0)),IFERROR(INDEX(Однолинейка!$J$3:$J$1000,MATCH(8,Однолинейка!$BO$3:$BO$1000,0)),IFERROR(INDEX(Однолинейка!$K$3:$K$1000,MATCH(8,Однолинейка!$BP$3:$BP$1000,0)),"")))</f>
        <v/>
      </c>
      <c r="M34" s="32" t="str">
        <f>IF(L34="","",COUNTIF(Однолинейка!$I$3:$I$1000,L34)+COUNTIF(Однолинейка!$J$3:$J$1000,L34)+COUNTIF(Однолинейка!$K$3:$K$1000,L34))</f>
        <v/>
      </c>
    </row>
    <row r="35" spans="1:13" x14ac:dyDescent="0.3">
      <c r="A35" s="29" t="str">
        <f>IFERROR(MATCH(ROW()-3,Каталог!$AF$4:$AF$500,0),"")</f>
        <v/>
      </c>
      <c r="B35" s="29" t="str">
        <f t="shared" si="0"/>
        <v/>
      </c>
      <c r="C35" s="30" t="str">
        <f>IF($A35="","",INDEX(Каталог!$G$4:$G$500,$A35)&amp;"")</f>
        <v/>
      </c>
      <c r="D35" s="33"/>
      <c r="E35" s="31" t="str">
        <f>IF($A35="","",INDEX(Каталог!$H$4:$H$500,$A35)&amp;"")</f>
        <v/>
      </c>
      <c r="F35" s="32" t="str">
        <f>IF($A35="","",INDEX(Каталог!$B$4:$B$500,$A35)&amp;"")</f>
        <v/>
      </c>
      <c r="G35" s="32" t="str">
        <f>IF($A35="","",INDEX(Каталог!$M$4:$M$500,$A35)&amp;"")</f>
        <v/>
      </c>
      <c r="H35" s="32" t="str">
        <f>IF($A35="","",INDEX(Каталог!$P$4:$P$500,$A35))</f>
        <v/>
      </c>
      <c r="I35" s="5"/>
      <c r="J35" s="5"/>
      <c r="L35" s="30" t="str">
        <f>IFERROR(INDEX(Однолинейка!$I$3:$I$1000,MATCH(9,Однолинейка!$BN$3:$BN$1000,0)),IFERROR(INDEX(Однолинейка!$J$3:$J$1000,MATCH(9,Однолинейка!$BO$3:$BO$1000,0)),IFERROR(INDEX(Однолинейка!$K$3:$K$1000,MATCH(9,Однолинейка!$BP$3:$BP$1000,0)),"")))</f>
        <v/>
      </c>
      <c r="M35" s="32" t="str">
        <f>IF(L35="","",COUNTIF(Однолинейка!$I$3:$I$1000,L35)+COUNTIF(Однолинейка!$J$3:$J$1000,L35)+COUNTIF(Однолинейка!$K$3:$K$1000,L35))</f>
        <v/>
      </c>
    </row>
    <row r="36" spans="1:13" x14ac:dyDescent="0.3">
      <c r="A36" s="29" t="str">
        <f>IFERROR(MATCH(ROW()-3,Каталог!$AF$4:$AF$500,0),"")</f>
        <v/>
      </c>
      <c r="B36" s="29" t="str">
        <f t="shared" ref="B36:B67" si="1">IF($A36="","",$B$3&amp;"."&amp;(ROW()-3))</f>
        <v/>
      </c>
      <c r="C36" s="30" t="str">
        <f>IF($A36="","",INDEX(Каталог!$G$4:$G$500,$A36)&amp;"")</f>
        <v/>
      </c>
      <c r="D36" s="33"/>
      <c r="E36" s="31" t="str">
        <f>IF($A36="","",INDEX(Каталог!$H$4:$H$500,$A36)&amp;"")</f>
        <v/>
      </c>
      <c r="F36" s="32" t="str">
        <f>IF($A36="","",INDEX(Каталог!$B$4:$B$500,$A36)&amp;"")</f>
        <v/>
      </c>
      <c r="G36" s="32" t="str">
        <f>IF($A36="","",INDEX(Каталог!$M$4:$M$500,$A36)&amp;"")</f>
        <v/>
      </c>
      <c r="H36" s="32" t="str">
        <f>IF($A36="","",INDEX(Каталог!$P$4:$P$500,$A36))</f>
        <v/>
      </c>
      <c r="I36" s="5"/>
      <c r="J36" s="5"/>
      <c r="L36" s="30" t="str">
        <f>IFERROR(INDEX(Однолинейка!$I$3:$I$1000,MATCH(10,Однолинейка!$BN$3:$BN$1000,0)),IFERROR(INDEX(Однолинейка!$J$3:$J$1000,MATCH(10,Однолинейка!$BO$3:$BO$1000,0)),IFERROR(INDEX(Однолинейка!$K$3:$K$1000,MATCH(10,Однолинейка!$BP$3:$BP$1000,0)),"")))</f>
        <v/>
      </c>
      <c r="M36" s="32" t="str">
        <f>IF(L36="","",COUNTIF(Однолинейка!$I$3:$I$1000,L36)+COUNTIF(Однолинейка!$J$3:$J$1000,L36)+COUNTIF(Однолинейка!$K$3:$K$1000,L36))</f>
        <v/>
      </c>
    </row>
    <row r="37" spans="1:13" x14ac:dyDescent="0.3">
      <c r="A37" s="29" t="str">
        <f>IFERROR(MATCH(ROW()-3,Каталог!$AF$4:$AF$500,0),"")</f>
        <v/>
      </c>
      <c r="B37" s="29" t="str">
        <f t="shared" si="1"/>
        <v/>
      </c>
      <c r="C37" s="30" t="str">
        <f>IF($A37="","",INDEX(Каталог!$G$4:$G$500,$A37)&amp;"")</f>
        <v/>
      </c>
      <c r="D37" s="33"/>
      <c r="E37" s="31" t="str">
        <f>IF($A37="","",INDEX(Каталог!$H$4:$H$500,$A37)&amp;"")</f>
        <v/>
      </c>
      <c r="F37" s="32" t="str">
        <f>IF($A37="","",INDEX(Каталог!$B$4:$B$500,$A37)&amp;"")</f>
        <v/>
      </c>
      <c r="G37" s="32" t="str">
        <f>IF($A37="","",INDEX(Каталог!$M$4:$M$500,$A37)&amp;"")</f>
        <v/>
      </c>
      <c r="H37" s="32" t="str">
        <f>IF($A37="","",INDEX(Каталог!$P$4:$P$500,$A37))</f>
        <v/>
      </c>
      <c r="I37" s="5"/>
      <c r="J37" s="5"/>
    </row>
    <row r="38" spans="1:13" x14ac:dyDescent="0.3">
      <c r="A38" s="29" t="str">
        <f>IFERROR(MATCH(ROW()-3,Каталог!$AF$4:$AF$500,0),"")</f>
        <v/>
      </c>
      <c r="B38" s="29" t="str">
        <f t="shared" si="1"/>
        <v/>
      </c>
      <c r="C38" s="30" t="str">
        <f>IF($A38="","",INDEX(Каталог!$G$4:$G$500,$A38)&amp;"")</f>
        <v/>
      </c>
      <c r="D38" s="33"/>
      <c r="E38" s="31" t="str">
        <f>IF($A38="","",INDEX(Каталог!$H$4:$H$500,$A38)&amp;"")</f>
        <v/>
      </c>
      <c r="F38" s="32" t="str">
        <f>IF($A38="","",INDEX(Каталог!$B$4:$B$500,$A38)&amp;"")</f>
        <v/>
      </c>
      <c r="G38" s="32" t="str">
        <f>IF($A38="","",INDEX(Каталог!$M$4:$M$500,$A38)&amp;"")</f>
        <v/>
      </c>
      <c r="H38" s="32" t="str">
        <f>IF($A38="","",INDEX(Каталог!$P$4:$P$500,$A38))</f>
        <v/>
      </c>
      <c r="I38" s="5"/>
      <c r="J38" s="5"/>
      <c r="L38" s="1" t="s">
        <v>835</v>
      </c>
    </row>
    <row r="39" spans="1:13" x14ac:dyDescent="0.3">
      <c r="A39" s="29" t="str">
        <f>IFERROR(MATCH(ROW()-3,Каталог!$AF$4:$AF$500,0),"")</f>
        <v/>
      </c>
      <c r="B39" s="29" t="str">
        <f t="shared" si="1"/>
        <v/>
      </c>
      <c r="C39" s="30" t="str">
        <f>IF($A39="","",INDEX(Каталог!$G$4:$G$500,$A39)&amp;"")</f>
        <v/>
      </c>
      <c r="D39" s="33"/>
      <c r="E39" s="31" t="str">
        <f>IF($A39="","",INDEX(Каталог!$H$4:$H$500,$A39)&amp;"")</f>
        <v/>
      </c>
      <c r="F39" s="32" t="str">
        <f>IF($A39="","",INDEX(Каталог!$B$4:$B$500,$A39)&amp;"")</f>
        <v/>
      </c>
      <c r="G39" s="32" t="str">
        <f>IF($A39="","",INDEX(Каталог!$M$4:$M$500,$A39)&amp;"")</f>
        <v/>
      </c>
      <c r="H39" s="32" t="str">
        <f>IF($A39="","",INDEX(Каталог!$P$4:$P$500,$A39))</f>
        <v/>
      </c>
      <c r="I39" s="5"/>
      <c r="J39" s="5"/>
      <c r="L39" s="30" t="str">
        <f>IFERROR(INDEX(Однолинейка!$AI$3:$AI$1000,MATCH(1,Однолинейка!$BT$3:$BT$1000,0)),"")</f>
        <v/>
      </c>
      <c r="M39" s="32" t="str">
        <f>IF(L39="","",COUNTIFS(Однолинейка!$AW$3:$AW$1000,"?*",Однолинейка!$AI$3:$AI$1000,L39))</f>
        <v/>
      </c>
    </row>
    <row r="40" spans="1:13" x14ac:dyDescent="0.3">
      <c r="A40" s="29" t="str">
        <f>IFERROR(MATCH(ROW()-3,Каталог!$AF$4:$AF$500,0),"")</f>
        <v/>
      </c>
      <c r="B40" s="29" t="str">
        <f t="shared" si="1"/>
        <v/>
      </c>
      <c r="C40" s="30" t="str">
        <f>IF($A40="","",INDEX(Каталог!$G$4:$G$500,$A40)&amp;"")</f>
        <v/>
      </c>
      <c r="D40" s="33"/>
      <c r="E40" s="31" t="str">
        <f>IF($A40="","",INDEX(Каталог!$H$4:$H$500,$A40)&amp;"")</f>
        <v/>
      </c>
      <c r="F40" s="32" t="str">
        <f>IF($A40="","",INDEX(Каталог!$B$4:$B$500,$A40)&amp;"")</f>
        <v/>
      </c>
      <c r="G40" s="32" t="str">
        <f>IF($A40="","",INDEX(Каталог!$M$4:$M$500,$A40)&amp;"")</f>
        <v/>
      </c>
      <c r="H40" s="32" t="str">
        <f>IF($A40="","",INDEX(Каталог!$P$4:$P$500,$A40))</f>
        <v/>
      </c>
      <c r="I40" s="5"/>
      <c r="J40" s="5"/>
      <c r="L40" s="30" t="str">
        <f>IFERROR(INDEX(Однолинейка!$AI$3:$AI$1000,MATCH(2,Однолинейка!$BT$3:$BT$1000,0)),"")</f>
        <v/>
      </c>
      <c r="M40" s="32" t="str">
        <f>IF(L40="","",COUNTIFS(Однолинейка!$AW$3:$AW$1000,"?*",Однолинейка!$AI$3:$AI$1000,L40))</f>
        <v/>
      </c>
    </row>
    <row r="41" spans="1:13" x14ac:dyDescent="0.3">
      <c r="A41" s="29" t="str">
        <f>IFERROR(MATCH(ROW()-3,Каталог!$AF$4:$AF$500,0),"")</f>
        <v/>
      </c>
      <c r="B41" s="29" t="str">
        <f t="shared" si="1"/>
        <v/>
      </c>
      <c r="C41" s="30" t="str">
        <f>IF($A41="","",INDEX(Каталог!$G$4:$G$500,$A41)&amp;"")</f>
        <v/>
      </c>
      <c r="D41" s="33"/>
      <c r="E41" s="31" t="str">
        <f>IF($A41="","",INDEX(Каталог!$H$4:$H$500,$A41)&amp;"")</f>
        <v/>
      </c>
      <c r="F41" s="32" t="str">
        <f>IF($A41="","",INDEX(Каталог!$B$4:$B$500,$A41)&amp;"")</f>
        <v/>
      </c>
      <c r="G41" s="32" t="str">
        <f>IF($A41="","",INDEX(Каталог!$M$4:$M$500,$A41)&amp;"")</f>
        <v/>
      </c>
      <c r="H41" s="32" t="str">
        <f>IF($A41="","",INDEX(Каталог!$P$4:$P$500,$A41))</f>
        <v/>
      </c>
      <c r="I41" s="5"/>
      <c r="J41" s="5"/>
      <c r="L41" s="30" t="str">
        <f>IFERROR(INDEX(Однолинейка!$AI$3:$AI$1000,MATCH(3,Однолинейка!$BT$3:$BT$1000,0)),"")</f>
        <v/>
      </c>
      <c r="M41" s="32" t="str">
        <f>IF(L41="","",COUNTIFS(Однолинейка!$AW$3:$AW$1000,"?*",Однолинейка!$AI$3:$AI$1000,L41))</f>
        <v/>
      </c>
    </row>
    <row r="42" spans="1:13" x14ac:dyDescent="0.3">
      <c r="A42" s="29" t="str">
        <f>IFERROR(MATCH(ROW()-3,Каталог!$AF$4:$AF$500,0),"")</f>
        <v/>
      </c>
      <c r="B42" s="29" t="str">
        <f t="shared" si="1"/>
        <v/>
      </c>
      <c r="C42" s="30" t="str">
        <f>IF($A42="","",INDEX(Каталог!$G$4:$G$500,$A42)&amp;"")</f>
        <v/>
      </c>
      <c r="D42" s="33"/>
      <c r="E42" s="31" t="str">
        <f>IF($A42="","",INDEX(Каталог!$H$4:$H$500,$A42)&amp;"")</f>
        <v/>
      </c>
      <c r="F42" s="32" t="str">
        <f>IF($A42="","",INDEX(Каталог!$B$4:$B$500,$A42)&amp;"")</f>
        <v/>
      </c>
      <c r="G42" s="32" t="str">
        <f>IF($A42="","",INDEX(Каталог!$M$4:$M$500,$A42)&amp;"")</f>
        <v/>
      </c>
      <c r="H42" s="32" t="str">
        <f>IF($A42="","",INDEX(Каталог!$P$4:$P$500,$A42))</f>
        <v/>
      </c>
      <c r="I42" s="5"/>
      <c r="J42" s="5"/>
      <c r="L42" s="30" t="str">
        <f>IFERROR(INDEX(Однолинейка!$AI$3:$AI$1000,MATCH(4,Однолинейка!$BT$3:$BT$1000,0)),"")</f>
        <v/>
      </c>
      <c r="M42" s="32" t="str">
        <f>IF(L42="","",COUNTIFS(Однолинейка!$AW$3:$AW$1000,"?*",Однолинейка!$AI$3:$AI$1000,L42))</f>
        <v/>
      </c>
    </row>
    <row r="43" spans="1:13" x14ac:dyDescent="0.3">
      <c r="A43" s="29" t="str">
        <f>IFERROR(MATCH(ROW()-3,Каталог!$AF$4:$AF$500,0),"")</f>
        <v/>
      </c>
      <c r="B43" s="29" t="str">
        <f t="shared" si="1"/>
        <v/>
      </c>
      <c r="C43" s="30" t="str">
        <f>IF($A43="","",INDEX(Каталог!$G$4:$G$500,$A43)&amp;"")</f>
        <v/>
      </c>
      <c r="D43" s="33"/>
      <c r="E43" s="31" t="str">
        <f>IF($A43="","",INDEX(Каталог!$H$4:$H$500,$A43)&amp;"")</f>
        <v/>
      </c>
      <c r="F43" s="32" t="str">
        <f>IF($A43="","",INDEX(Каталог!$B$4:$B$500,$A43)&amp;"")</f>
        <v/>
      </c>
      <c r="G43" s="32" t="str">
        <f>IF($A43="","",INDEX(Каталог!$M$4:$M$500,$A43)&amp;"")</f>
        <v/>
      </c>
      <c r="H43" s="32" t="str">
        <f>IF($A43="","",INDEX(Каталог!$P$4:$P$500,$A43))</f>
        <v/>
      </c>
      <c r="I43" s="5"/>
      <c r="J43" s="5"/>
      <c r="L43" s="30" t="str">
        <f>IFERROR(INDEX(Однолинейка!$AI$3:$AI$1000,MATCH(5,Однолинейка!$BT$3:$BT$1000,0)),"")</f>
        <v/>
      </c>
      <c r="M43" s="32" t="str">
        <f>IF(L43="","",COUNTIFS(Однолинейка!$AW$3:$AW$1000,"?*",Однолинейка!$AI$3:$AI$1000,L43))</f>
        <v/>
      </c>
    </row>
    <row r="44" spans="1:13" x14ac:dyDescent="0.3">
      <c r="A44" s="29" t="str">
        <f>IFERROR(MATCH(ROW()-3,Каталог!$AF$4:$AF$500,0),"")</f>
        <v/>
      </c>
      <c r="B44" s="29" t="str">
        <f t="shared" si="1"/>
        <v/>
      </c>
      <c r="C44" s="30" t="str">
        <f>IF($A44="","",INDEX(Каталог!$G$4:$G$500,$A44)&amp;"")</f>
        <v/>
      </c>
      <c r="D44" s="33"/>
      <c r="E44" s="31" t="str">
        <f>IF($A44="","",INDEX(Каталог!$H$4:$H$500,$A44)&amp;"")</f>
        <v/>
      </c>
      <c r="F44" s="32" t="str">
        <f>IF($A44="","",INDEX(Каталог!$B$4:$B$500,$A44)&amp;"")</f>
        <v/>
      </c>
      <c r="G44" s="32" t="str">
        <f>IF($A44="","",INDEX(Каталог!$M$4:$M$500,$A44)&amp;"")</f>
        <v/>
      </c>
      <c r="H44" s="32" t="str">
        <f>IF($A44="","",INDEX(Каталог!$P$4:$P$500,$A44))</f>
        <v/>
      </c>
      <c r="I44" s="5"/>
      <c r="J44" s="5"/>
      <c r="L44" s="30" t="str">
        <f>IFERROR(INDEX(Однолинейка!$AI$3:$AI$1000,MATCH(6,Однолинейка!$BT$3:$BT$1000,0)),"")</f>
        <v/>
      </c>
      <c r="M44" s="32" t="str">
        <f>IF(L44="","",COUNTIFS(Однолинейка!$AW$3:$AW$1000,"?*",Однолинейка!$AI$3:$AI$1000,L44))</f>
        <v/>
      </c>
    </row>
    <row r="45" spans="1:13" x14ac:dyDescent="0.3">
      <c r="A45" s="29" t="str">
        <f>IFERROR(MATCH(ROW()-3,Каталог!$AF$4:$AF$500,0),"")</f>
        <v/>
      </c>
      <c r="B45" s="29" t="str">
        <f t="shared" si="1"/>
        <v/>
      </c>
      <c r="C45" s="30" t="str">
        <f>IF($A45="","",INDEX(Каталог!$G$4:$G$500,$A45)&amp;"")</f>
        <v/>
      </c>
      <c r="D45" s="33"/>
      <c r="E45" s="31" t="str">
        <f>IF($A45="","",INDEX(Каталог!$H$4:$H$500,$A45)&amp;"")</f>
        <v/>
      </c>
      <c r="F45" s="32" t="str">
        <f>IF($A45="","",INDEX(Каталог!$B$4:$B$500,$A45)&amp;"")</f>
        <v/>
      </c>
      <c r="G45" s="32" t="str">
        <f>IF($A45="","",INDEX(Каталог!$M$4:$M$500,$A45)&amp;"")</f>
        <v/>
      </c>
      <c r="H45" s="32" t="str">
        <f>IF($A45="","",INDEX(Каталог!$P$4:$P$500,$A45))</f>
        <v/>
      </c>
      <c r="I45" s="5"/>
      <c r="J45" s="5"/>
      <c r="L45" s="30" t="str">
        <f>IFERROR(INDEX(Однолинейка!$AI$3:$AI$1000,MATCH(7,Однолинейка!$BT$3:$BT$1000,0)),"")</f>
        <v/>
      </c>
      <c r="M45" s="32" t="str">
        <f>IF(L45="","",COUNTIFS(Однолинейка!$AW$3:$AW$1000,"?*",Однолинейка!$AI$3:$AI$1000,L45))</f>
        <v/>
      </c>
    </row>
    <row r="46" spans="1:13" x14ac:dyDescent="0.3">
      <c r="A46" s="29" t="str">
        <f>IFERROR(MATCH(ROW()-3,Каталог!$AF$4:$AF$500,0),"")</f>
        <v/>
      </c>
      <c r="B46" s="29" t="str">
        <f t="shared" si="1"/>
        <v/>
      </c>
      <c r="C46" s="30" t="str">
        <f>IF($A46="","",INDEX(Каталог!$G$4:$G$500,$A46)&amp;"")</f>
        <v/>
      </c>
      <c r="D46" s="33"/>
      <c r="E46" s="31" t="str">
        <f>IF($A46="","",INDEX(Каталог!$H$4:$H$500,$A46)&amp;"")</f>
        <v/>
      </c>
      <c r="F46" s="32" t="str">
        <f>IF($A46="","",INDEX(Каталог!$B$4:$B$500,$A46)&amp;"")</f>
        <v/>
      </c>
      <c r="G46" s="32" t="str">
        <f>IF($A46="","",INDEX(Каталог!$M$4:$M$500,$A46)&amp;"")</f>
        <v/>
      </c>
      <c r="H46" s="32" t="str">
        <f>IF($A46="","",INDEX(Каталог!$P$4:$P$500,$A46))</f>
        <v/>
      </c>
      <c r="I46" s="5"/>
      <c r="J46" s="5"/>
      <c r="L46" s="30" t="str">
        <f>IFERROR(INDEX(Однолинейка!$AI$3:$AI$1000,MATCH(8,Однолинейка!$BT$3:$BT$1000,0)),"")</f>
        <v/>
      </c>
      <c r="M46" s="32" t="str">
        <f>IF(L46="","",COUNTIFS(Однолинейка!$AW$3:$AW$1000,"?*",Однолинейка!$AI$3:$AI$1000,L46))</f>
        <v/>
      </c>
    </row>
    <row r="47" spans="1:13" x14ac:dyDescent="0.3">
      <c r="A47" s="29" t="str">
        <f>IFERROR(MATCH(ROW()-3,Каталог!$AF$4:$AF$500,0),"")</f>
        <v/>
      </c>
      <c r="B47" s="29" t="str">
        <f t="shared" si="1"/>
        <v/>
      </c>
      <c r="C47" s="30" t="str">
        <f>IF($A47="","",INDEX(Каталог!$G$4:$G$500,$A47)&amp;"")</f>
        <v/>
      </c>
      <c r="D47" s="33"/>
      <c r="E47" s="31" t="str">
        <f>IF($A47="","",INDEX(Каталог!$H$4:$H$500,$A47)&amp;"")</f>
        <v/>
      </c>
      <c r="F47" s="32" t="str">
        <f>IF($A47="","",INDEX(Каталог!$B$4:$B$500,$A47)&amp;"")</f>
        <v/>
      </c>
      <c r="G47" s="32" t="str">
        <f>IF($A47="","",INDEX(Каталог!$M$4:$M$500,$A47)&amp;"")</f>
        <v/>
      </c>
      <c r="H47" s="32" t="str">
        <f>IF($A47="","",INDEX(Каталог!$P$4:$P$500,$A47))</f>
        <v/>
      </c>
      <c r="I47" s="5"/>
      <c r="J47" s="5"/>
      <c r="L47" s="30" t="str">
        <f>IFERROR(INDEX(Однолинейка!$AI$3:$AI$1000,MATCH(9,Однолинейка!$BT$3:$BT$1000,0)),"")</f>
        <v/>
      </c>
      <c r="M47" s="32" t="str">
        <f>IF(L47="","",COUNTIFS(Однолинейка!$AW$3:$AW$1000,"?*",Однолинейка!$AI$3:$AI$1000,L47))</f>
        <v/>
      </c>
    </row>
    <row r="48" spans="1:13" x14ac:dyDescent="0.3">
      <c r="A48" s="29" t="str">
        <f>IFERROR(MATCH(ROW()-3,Каталог!$AF$4:$AF$500,0),"")</f>
        <v/>
      </c>
      <c r="B48" s="29" t="str">
        <f t="shared" si="1"/>
        <v/>
      </c>
      <c r="C48" s="30" t="str">
        <f>IF($A48="","",INDEX(Каталог!$G$4:$G$500,$A48)&amp;"")</f>
        <v/>
      </c>
      <c r="D48" s="33"/>
      <c r="E48" s="31" t="str">
        <f>IF($A48="","",INDEX(Каталог!$H$4:$H$500,$A48)&amp;"")</f>
        <v/>
      </c>
      <c r="F48" s="32" t="str">
        <f>IF($A48="","",INDEX(Каталог!$B$4:$B$500,$A48)&amp;"")</f>
        <v/>
      </c>
      <c r="G48" s="32" t="str">
        <f>IF($A48="","",INDEX(Каталог!$M$4:$M$500,$A48)&amp;"")</f>
        <v/>
      </c>
      <c r="H48" s="32" t="str">
        <f>IF($A48="","",INDEX(Каталог!$P$4:$P$500,$A48))</f>
        <v/>
      </c>
      <c r="I48" s="5"/>
      <c r="J48" s="5"/>
      <c r="L48" s="30" t="str">
        <f>IFERROR(INDEX(Однолинейка!$AI$3:$AI$1000,MATCH(10,Однолинейка!$BT$3:$BT$1000,0)),"")</f>
        <v/>
      </c>
      <c r="M48" s="32" t="str">
        <f>IF(L48="","",COUNTIFS(Однолинейка!$AW$3:$AW$1000,"?*",Однолинейка!$AI$3:$AI$1000,L48))</f>
        <v/>
      </c>
    </row>
    <row r="49" spans="1:15" x14ac:dyDescent="0.3">
      <c r="A49" s="29" t="str">
        <f>IFERROR(MATCH(ROW()-3,Каталог!$AF$4:$AF$500,0),"")</f>
        <v/>
      </c>
      <c r="B49" s="29" t="str">
        <f t="shared" si="1"/>
        <v/>
      </c>
      <c r="C49" s="30" t="str">
        <f>IF($A49="","",INDEX(Каталог!$G$4:$G$500,$A49)&amp;"")</f>
        <v/>
      </c>
      <c r="D49" s="33"/>
      <c r="E49" s="31" t="str">
        <f>IF($A49="","",INDEX(Каталог!$H$4:$H$500,$A49)&amp;"")</f>
        <v/>
      </c>
      <c r="F49" s="32" t="str">
        <f>IF($A49="","",INDEX(Каталог!$B$4:$B$500,$A49)&amp;"")</f>
        <v/>
      </c>
      <c r="G49" s="32" t="str">
        <f>IF($A49="","",INDEX(Каталог!$M$4:$M$500,$A49)&amp;"")</f>
        <v/>
      </c>
      <c r="H49" s="32" t="str">
        <f>IF($A49="","",INDEX(Каталог!$P$4:$P$500,$A49))</f>
        <v/>
      </c>
      <c r="I49" s="5"/>
      <c r="J49" s="5"/>
    </row>
    <row r="50" spans="1:15" ht="28.8" x14ac:dyDescent="0.3">
      <c r="A50" s="29" t="str">
        <f>IFERROR(MATCH(ROW()-3,Каталог!$AF$4:$AF$500,0),"")</f>
        <v/>
      </c>
      <c r="B50" s="29" t="str">
        <f t="shared" si="1"/>
        <v/>
      </c>
      <c r="C50" s="30" t="str">
        <f>IF($A50="","",INDEX(Каталог!$G$4:$G$500,$A50)&amp;"")</f>
        <v/>
      </c>
      <c r="D50" s="33"/>
      <c r="E50" s="31" t="str">
        <f>IF($A50="","",INDEX(Каталог!$H$4:$H$500,$A50)&amp;"")</f>
        <v/>
      </c>
      <c r="F50" s="32" t="str">
        <f>IF($A50="","",INDEX(Каталог!$B$4:$B$500,$A50)&amp;"")</f>
        <v/>
      </c>
      <c r="G50" s="32" t="str">
        <f>IF($A50="","",INDEX(Каталог!$M$4:$M$500,$A50)&amp;"")</f>
        <v/>
      </c>
      <c r="H50" s="32" t="str">
        <f>IF($A50="","",INDEX(Каталог!$P$4:$P$500,$A50))</f>
        <v/>
      </c>
      <c r="I50" s="5"/>
      <c r="J50" s="5"/>
      <c r="L50" s="1" t="s">
        <v>836</v>
      </c>
    </row>
    <row r="51" spans="1:15" x14ac:dyDescent="0.3">
      <c r="A51" s="29" t="str">
        <f>IFERROR(MATCH(ROW()-3,Каталог!$AF$4:$AF$500,0),"")</f>
        <v/>
      </c>
      <c r="B51" s="29" t="str">
        <f t="shared" si="1"/>
        <v/>
      </c>
      <c r="C51" s="30" t="str">
        <f>IF($A51="","",INDEX(Каталог!$G$4:$G$500,$A51)&amp;"")</f>
        <v/>
      </c>
      <c r="D51" s="33"/>
      <c r="E51" s="31" t="str">
        <f>IF($A51="","",INDEX(Каталог!$H$4:$H$500,$A51)&amp;"")</f>
        <v/>
      </c>
      <c r="F51" s="32" t="str">
        <f>IF($A51="","",INDEX(Каталог!$B$4:$B$500,$A51)&amp;"")</f>
        <v/>
      </c>
      <c r="G51" s="32" t="str">
        <f>IF($A51="","",INDEX(Каталог!$M$4:$M$500,$A51)&amp;"")</f>
        <v/>
      </c>
      <c r="H51" s="32" t="str">
        <f>IF($A51="","",INDEX(Каталог!$P$4:$P$500,$A51))</f>
        <v/>
      </c>
      <c r="I51" s="5"/>
      <c r="J51" s="5"/>
      <c r="L51" s="30" t="str">
        <f>IFERROR(INDEX(Однолинейка!$BQ$3:$BQ$1000,MATCH(1,Однолинейка!$BR$3:$BR$1000,0)),"")</f>
        <v>3х2,5</v>
      </c>
      <c r="M51" s="32">
        <f>IF(L51="","",COUNTIF(Однолинейка!$BQ$3:$BQ$1000,L51))</f>
        <v>194</v>
      </c>
      <c r="N51" s="32">
        <f>IF(L51="","",SUMIF(Однолинейка!$BQ$3:$BQ$1000,L51,Однолинейка!$BW$3:$BW$1000))</f>
        <v>194</v>
      </c>
      <c r="O51" s="32">
        <f>IF(L51="","",SUMIF(Однолинейка!$BQ$3:$BQ$1000,L51,Однолинейка!$BX$3:$BX$1000))</f>
        <v>0</v>
      </c>
    </row>
    <row r="52" spans="1:15" x14ac:dyDescent="0.3">
      <c r="A52" s="29" t="str">
        <f>IFERROR(MATCH(ROW()-3,Каталог!$AF$4:$AF$500,0),"")</f>
        <v/>
      </c>
      <c r="B52" s="29" t="str">
        <f t="shared" si="1"/>
        <v/>
      </c>
      <c r="C52" s="30" t="str">
        <f>IF($A52="","",INDEX(Каталог!$G$4:$G$500,$A52)&amp;"")</f>
        <v/>
      </c>
      <c r="D52" s="33"/>
      <c r="E52" s="31" t="str">
        <f>IF($A52="","",INDEX(Каталог!$H$4:$H$500,$A52)&amp;"")</f>
        <v/>
      </c>
      <c r="F52" s="32" t="str">
        <f>IF($A52="","",INDEX(Каталог!$B$4:$B$500,$A52)&amp;"")</f>
        <v/>
      </c>
      <c r="G52" s="32" t="str">
        <f>IF($A52="","",INDEX(Каталог!$M$4:$M$500,$A52)&amp;"")</f>
        <v/>
      </c>
      <c r="H52" s="32" t="str">
        <f>IF($A52="","",INDEX(Каталог!$P$4:$P$500,$A52))</f>
        <v/>
      </c>
      <c r="I52" s="5"/>
      <c r="J52" s="5"/>
      <c r="L52" s="30" t="str">
        <f>IFERROR(INDEX(Однолинейка!$BQ$3:$BQ$1000,MATCH(2,Однолинейка!$BR$3:$BR$1000,0)),"")</f>
        <v>5х6</v>
      </c>
      <c r="M52" s="32">
        <f>IF(L52="","",COUNTIF(Однолинейка!$BQ$3:$BQ$1000,L52))</f>
        <v>5</v>
      </c>
      <c r="N52" s="32">
        <f>IF(L52="","",SUMIF(Однолинейка!$BQ$3:$BQ$1000,L52,Однолинейка!$BW$3:$BW$1000))</f>
        <v>5</v>
      </c>
      <c r="O52" s="32">
        <f>IF(L52="","",SUMIF(Однолинейка!$BQ$3:$BQ$1000,L52,Однолинейка!$BX$3:$BX$1000))</f>
        <v>10</v>
      </c>
    </row>
    <row r="53" spans="1:15" x14ac:dyDescent="0.3">
      <c r="A53" s="29" t="str">
        <f>IFERROR(MATCH(ROW()-3,Каталог!$AF$4:$AF$500,0),"")</f>
        <v/>
      </c>
      <c r="B53" s="29" t="str">
        <f t="shared" si="1"/>
        <v/>
      </c>
      <c r="C53" s="30" t="str">
        <f>IF($A53="","",INDEX(Каталог!$G$4:$G$500,$A53)&amp;"")</f>
        <v/>
      </c>
      <c r="D53" s="33"/>
      <c r="E53" s="31" t="str">
        <f>IF($A53="","",INDEX(Каталог!$H$4:$H$500,$A53)&amp;"")</f>
        <v/>
      </c>
      <c r="F53" s="32" t="str">
        <f>IF($A53="","",INDEX(Каталог!$B$4:$B$500,$A53)&amp;"")</f>
        <v/>
      </c>
      <c r="G53" s="32" t="str">
        <f>IF($A53="","",INDEX(Каталог!$M$4:$M$500,$A53)&amp;"")</f>
        <v/>
      </c>
      <c r="H53" s="32" t="str">
        <f>IF($A53="","",INDEX(Каталог!$P$4:$P$500,$A53))</f>
        <v/>
      </c>
      <c r="I53" s="5"/>
      <c r="J53" s="5"/>
      <c r="L53" s="30" t="str">
        <f>IFERROR(INDEX(Однолинейка!$BQ$3:$BQ$1000,MATCH(3,Однолинейка!$BR$3:$BR$1000,0)),"")</f>
        <v>1х185</v>
      </c>
      <c r="M53" s="32">
        <f>IF(L53="","",COUNTIF(Однолинейка!$BQ$3:$BQ$1000,L53))</f>
        <v>1</v>
      </c>
      <c r="N53" s="32">
        <f>IF(L53="","",SUMIF(Однолинейка!$BQ$3:$BQ$1000,L53,Однолинейка!$BW$3:$BW$1000))</f>
        <v>1</v>
      </c>
      <c r="O53" s="32">
        <f>IF(L53="","",SUMIF(Однолинейка!$BQ$3:$BQ$1000,L53,Однолинейка!$BX$3:$BX$1000))</f>
        <v>0</v>
      </c>
    </row>
    <row r="54" spans="1:15" x14ac:dyDescent="0.3">
      <c r="A54" s="29" t="str">
        <f>IFERROR(MATCH(ROW()-3,Каталог!$AF$4:$AF$500,0),"")</f>
        <v/>
      </c>
      <c r="B54" s="29" t="str">
        <f t="shared" si="1"/>
        <v/>
      </c>
      <c r="C54" s="30" t="str">
        <f>IF($A54="","",INDEX(Каталог!$G$4:$G$500,$A54)&amp;"")</f>
        <v/>
      </c>
      <c r="D54" s="33"/>
      <c r="E54" s="31" t="str">
        <f>IF($A54="","",INDEX(Каталог!$H$4:$H$500,$A54)&amp;"")</f>
        <v/>
      </c>
      <c r="F54" s="32" t="str">
        <f>IF($A54="","",INDEX(Каталог!$B$4:$B$500,$A54)&amp;"")</f>
        <v/>
      </c>
      <c r="G54" s="32" t="str">
        <f>IF($A54="","",INDEX(Каталог!$M$4:$M$500,$A54)&amp;"")</f>
        <v/>
      </c>
      <c r="H54" s="32" t="str">
        <f>IF($A54="","",INDEX(Каталог!$P$4:$P$500,$A54))</f>
        <v/>
      </c>
      <c r="I54" s="5"/>
      <c r="J54" s="5"/>
      <c r="L54" s="30" t="str">
        <f>IFERROR(INDEX(Однолинейка!$BQ$3:$BQ$1000,MATCH(4,Однолинейка!$BR$3:$BR$1000,0)),"")</f>
        <v>5х4</v>
      </c>
      <c r="M54" s="32">
        <f>IF(L54="","",COUNTIF(Однолинейка!$BQ$3:$BQ$1000,L54))</f>
        <v>7</v>
      </c>
      <c r="N54" s="32">
        <f>IF(L54="","",SUMIF(Однолинейка!$BQ$3:$BQ$1000,L54,Однолинейка!$BW$3:$BW$1000))</f>
        <v>7</v>
      </c>
      <c r="O54" s="32">
        <f>IF(L54="","",SUMIF(Однолинейка!$BQ$3:$BQ$1000,L54,Однолинейка!$BX$3:$BX$1000))</f>
        <v>14</v>
      </c>
    </row>
    <row r="55" spans="1:15" x14ac:dyDescent="0.3">
      <c r="A55" s="29" t="str">
        <f>IFERROR(MATCH(ROW()-3,Каталог!$AF$4:$AF$500,0),"")</f>
        <v/>
      </c>
      <c r="B55" s="29" t="str">
        <f t="shared" si="1"/>
        <v/>
      </c>
      <c r="C55" s="30" t="str">
        <f>IF($A55="","",INDEX(Каталог!$G$4:$G$500,$A55)&amp;"")</f>
        <v/>
      </c>
      <c r="D55" s="33"/>
      <c r="E55" s="31" t="str">
        <f>IF($A55="","",INDEX(Каталог!$H$4:$H$500,$A55)&amp;"")</f>
        <v/>
      </c>
      <c r="F55" s="32" t="str">
        <f>IF($A55="","",INDEX(Каталог!$B$4:$B$500,$A55)&amp;"")</f>
        <v/>
      </c>
      <c r="G55" s="32" t="str">
        <f>IF($A55="","",INDEX(Каталог!$M$4:$M$500,$A55)&amp;"")</f>
        <v/>
      </c>
      <c r="H55" s="32" t="str">
        <f>IF($A55="","",INDEX(Каталог!$P$4:$P$500,$A55))</f>
        <v/>
      </c>
      <c r="I55" s="5"/>
      <c r="J55" s="5"/>
      <c r="L55" s="30" t="str">
        <f>IFERROR(INDEX(Однолинейка!$BQ$3:$BQ$1000,MATCH(5,Однолинейка!$BR$3:$BR$1000,0)),"")</f>
        <v>5х10</v>
      </c>
      <c r="M55" s="32">
        <f>IF(L55="","",COUNTIF(Однолинейка!$BQ$3:$BQ$1000,L55))</f>
        <v>2</v>
      </c>
      <c r="N55" s="32">
        <f>IF(L55="","",SUMIF(Однолинейка!$BQ$3:$BQ$1000,L55,Однолинейка!$BW$3:$BW$1000))</f>
        <v>2</v>
      </c>
      <c r="O55" s="32">
        <f>IF(L55="","",SUMIF(Однолинейка!$BQ$3:$BQ$1000,L55,Однолинейка!$BX$3:$BX$1000))</f>
        <v>4</v>
      </c>
    </row>
    <row r="56" spans="1:15" x14ac:dyDescent="0.3">
      <c r="A56" s="29" t="str">
        <f>IFERROR(MATCH(ROW()-3,Каталог!$AF$4:$AF$500,0),"")</f>
        <v/>
      </c>
      <c r="B56" s="29" t="str">
        <f t="shared" si="1"/>
        <v/>
      </c>
      <c r="C56" s="30" t="str">
        <f>IF($A56="","",INDEX(Каталог!$G$4:$G$500,$A56)&amp;"")</f>
        <v/>
      </c>
      <c r="D56" s="33"/>
      <c r="E56" s="31" t="str">
        <f>IF($A56="","",INDEX(Каталог!$H$4:$H$500,$A56)&amp;"")</f>
        <v/>
      </c>
      <c r="F56" s="32" t="str">
        <f>IF($A56="","",INDEX(Каталог!$B$4:$B$500,$A56)&amp;"")</f>
        <v/>
      </c>
      <c r="G56" s="32" t="str">
        <f>IF($A56="","",INDEX(Каталог!$M$4:$M$500,$A56)&amp;"")</f>
        <v/>
      </c>
      <c r="H56" s="32" t="str">
        <f>IF($A56="","",INDEX(Каталог!$P$4:$P$500,$A56))</f>
        <v/>
      </c>
      <c r="I56" s="5"/>
      <c r="J56" s="5"/>
      <c r="L56" s="30" t="str">
        <f>IFERROR(INDEX(Однолинейка!$BQ$3:$BQ$1000,MATCH(6,Однолинейка!$BR$3:$BR$1000,0)),"")</f>
        <v>5х16</v>
      </c>
      <c r="M56" s="32">
        <f>IF(L56="","",COUNTIF(Однолинейка!$BQ$3:$BQ$1000,L56))</f>
        <v>2</v>
      </c>
      <c r="N56" s="32">
        <f>IF(L56="","",SUMIF(Однолинейка!$BQ$3:$BQ$1000,L56,Однолинейка!$BW$3:$BW$1000))</f>
        <v>2</v>
      </c>
      <c r="O56" s="32">
        <f>IF(L56="","",SUMIF(Однолинейка!$BQ$3:$BQ$1000,L56,Однолинейка!$BX$3:$BX$1000))</f>
        <v>4</v>
      </c>
    </row>
    <row r="57" spans="1:15" x14ac:dyDescent="0.3">
      <c r="A57" s="29" t="str">
        <f>IFERROR(MATCH(ROW()-3,Каталог!$AF$4:$AF$500,0),"")</f>
        <v/>
      </c>
      <c r="B57" s="29" t="str">
        <f t="shared" si="1"/>
        <v/>
      </c>
      <c r="C57" s="30" t="str">
        <f>IF($A57="","",INDEX(Каталог!$G$4:$G$500,$A57)&amp;"")</f>
        <v/>
      </c>
      <c r="D57" s="33"/>
      <c r="E57" s="31" t="str">
        <f>IF($A57="","",INDEX(Каталог!$H$4:$H$500,$A57)&amp;"")</f>
        <v/>
      </c>
      <c r="F57" s="32" t="str">
        <f>IF($A57="","",INDEX(Каталог!$B$4:$B$500,$A57)&amp;"")</f>
        <v/>
      </c>
      <c r="G57" s="32" t="str">
        <f>IF($A57="","",INDEX(Каталог!$M$4:$M$500,$A57)&amp;"")</f>
        <v/>
      </c>
      <c r="H57" s="32" t="str">
        <f>IF($A57="","",INDEX(Каталог!$P$4:$P$500,$A57))</f>
        <v/>
      </c>
      <c r="I57" s="5"/>
      <c r="J57" s="5"/>
      <c r="L57" s="30" t="str">
        <f>IFERROR(INDEX(Однолинейка!$BQ$3:$BQ$1000,MATCH(7,Однолинейка!$BR$3:$BR$1000,0)),"")</f>
        <v>3х4</v>
      </c>
      <c r="M57" s="32">
        <f>IF(L57="","",COUNTIF(Однолинейка!$BQ$3:$BQ$1000,L57))</f>
        <v>11</v>
      </c>
      <c r="N57" s="32">
        <f>IF(L57="","",SUMIF(Однолинейка!$BQ$3:$BQ$1000,L57,Однолинейка!$BW$3:$BW$1000))</f>
        <v>11</v>
      </c>
      <c r="O57" s="32">
        <f>IF(L57="","",SUMIF(Однолинейка!$BQ$3:$BQ$1000,L57,Однолинейка!$BX$3:$BX$1000))</f>
        <v>0</v>
      </c>
    </row>
    <row r="58" spans="1:15" x14ac:dyDescent="0.3">
      <c r="A58" s="29" t="str">
        <f>IFERROR(MATCH(ROW()-3,Каталог!$AF$4:$AF$500,0),"")</f>
        <v/>
      </c>
      <c r="B58" s="29" t="str">
        <f t="shared" si="1"/>
        <v/>
      </c>
      <c r="C58" s="30" t="str">
        <f>IF($A58="","",INDEX(Каталог!$G$4:$G$500,$A58)&amp;"")</f>
        <v/>
      </c>
      <c r="D58" s="33"/>
      <c r="E58" s="31" t="str">
        <f>IF($A58="","",INDEX(Каталог!$H$4:$H$500,$A58)&amp;"")</f>
        <v/>
      </c>
      <c r="F58" s="32" t="str">
        <f>IF($A58="","",INDEX(Каталог!$B$4:$B$500,$A58)&amp;"")</f>
        <v/>
      </c>
      <c r="G58" s="32" t="str">
        <f>IF($A58="","",INDEX(Каталог!$M$4:$M$500,$A58)&amp;"")</f>
        <v/>
      </c>
      <c r="H58" s="32" t="str">
        <f>IF($A58="","",INDEX(Каталог!$P$4:$P$500,$A58))</f>
        <v/>
      </c>
      <c r="I58" s="5"/>
      <c r="J58" s="5"/>
      <c r="L58" s="30" t="str">
        <f>IFERROR(INDEX(Однолинейка!$BQ$3:$BQ$1000,MATCH(8,Однолинейка!$BR$3:$BR$1000,0)),"")</f>
        <v>1х95</v>
      </c>
      <c r="M58" s="32">
        <f>IF(L58="","",COUNTIF(Однолинейка!$BQ$3:$BQ$1000,L58))</f>
        <v>1</v>
      </c>
      <c r="N58" s="32">
        <f>IF(L58="","",SUMIF(Однолинейка!$BQ$3:$BQ$1000,L58,Однолинейка!$BW$3:$BW$1000))</f>
        <v>1</v>
      </c>
      <c r="O58" s="32">
        <f>IF(L58="","",SUMIF(Однолинейка!$BQ$3:$BQ$1000,L58,Однолинейка!$BX$3:$BX$1000))</f>
        <v>0</v>
      </c>
    </row>
    <row r="59" spans="1:15" x14ac:dyDescent="0.3">
      <c r="A59" s="29" t="str">
        <f>IFERROR(MATCH(ROW()-3,Каталог!$AF$4:$AF$500,0),"")</f>
        <v/>
      </c>
      <c r="B59" s="29" t="str">
        <f t="shared" si="1"/>
        <v/>
      </c>
      <c r="C59" s="30" t="str">
        <f>IF($A59="","",INDEX(Каталог!$G$4:$G$500,$A59)&amp;"")</f>
        <v/>
      </c>
      <c r="D59" s="33"/>
      <c r="E59" s="31" t="str">
        <f>IF($A59="","",INDEX(Каталог!$H$4:$H$500,$A59)&amp;"")</f>
        <v/>
      </c>
      <c r="F59" s="32" t="str">
        <f>IF($A59="","",INDEX(Каталог!$B$4:$B$500,$A59)&amp;"")</f>
        <v/>
      </c>
      <c r="G59" s="32" t="str">
        <f>IF($A59="","",INDEX(Каталог!$M$4:$M$500,$A59)&amp;"")</f>
        <v/>
      </c>
      <c r="H59" s="32" t="str">
        <f>IF($A59="","",INDEX(Каталог!$P$4:$P$500,$A59))</f>
        <v/>
      </c>
      <c r="I59" s="5"/>
      <c r="J59" s="5"/>
      <c r="L59" s="30" t="str">
        <f>IFERROR(INDEX(Однолинейка!$BQ$3:$BQ$1000,MATCH(9,Однолинейка!$BR$3:$BR$1000,0)),"")</f>
        <v>3х6</v>
      </c>
      <c r="M59" s="32">
        <f>IF(L59="","",COUNTIF(Однолинейка!$BQ$3:$BQ$1000,L59))</f>
        <v>3</v>
      </c>
      <c r="N59" s="32">
        <f>IF(L59="","",SUMIF(Однолинейка!$BQ$3:$BQ$1000,L59,Однолинейка!$BW$3:$BW$1000))</f>
        <v>3</v>
      </c>
      <c r="O59" s="32">
        <f>IF(L59="","",SUMIF(Однолинейка!$BQ$3:$BQ$1000,L59,Однолинейка!$BX$3:$BX$1000))</f>
        <v>0</v>
      </c>
    </row>
    <row r="60" spans="1:15" x14ac:dyDescent="0.3">
      <c r="A60" s="29" t="str">
        <f>IFERROR(MATCH(ROW()-3,Каталог!$AF$4:$AF$500,0),"")</f>
        <v/>
      </c>
      <c r="B60" s="29" t="str">
        <f t="shared" si="1"/>
        <v/>
      </c>
      <c r="C60" s="30" t="str">
        <f>IF($A60="","",INDEX(Каталог!$G$4:$G$500,$A60)&amp;"")</f>
        <v/>
      </c>
      <c r="D60" s="33"/>
      <c r="E60" s="31" t="str">
        <f>IF($A60="","",INDEX(Каталог!$H$4:$H$500,$A60)&amp;"")</f>
        <v/>
      </c>
      <c r="F60" s="32" t="str">
        <f>IF($A60="","",INDEX(Каталог!$B$4:$B$500,$A60)&amp;"")</f>
        <v/>
      </c>
      <c r="G60" s="32" t="str">
        <f>IF($A60="","",INDEX(Каталог!$M$4:$M$500,$A60)&amp;"")</f>
        <v/>
      </c>
      <c r="H60" s="32" t="str">
        <f>IF($A60="","",INDEX(Каталог!$P$4:$P$500,$A60))</f>
        <v/>
      </c>
      <c r="I60" s="5"/>
      <c r="J60" s="5"/>
      <c r="L60" s="30" t="str">
        <f>IFERROR(INDEX(Однолинейка!$BQ$3:$BQ$1000,MATCH(10,Однолинейка!$BR$3:$BR$1000,0)),"")</f>
        <v/>
      </c>
      <c r="M60" s="32" t="str">
        <f>IF(L60="","",COUNTIF(Однолинейка!$BQ$3:$BQ$1000,L60))</f>
        <v/>
      </c>
      <c r="N60" s="32" t="str">
        <f>IF(L60="","",SUMIF(Однолинейка!$BQ$3:$BQ$1000,L60,Однолинейка!$BW$3:$BW$1000))</f>
        <v/>
      </c>
      <c r="O60" s="32" t="str">
        <f>IF(L60="","",SUMIF(Однолинейка!$BQ$3:$BQ$1000,L60,Однолинейка!$BX$3:$BX$1000))</f>
        <v/>
      </c>
    </row>
    <row r="61" spans="1:15" x14ac:dyDescent="0.3">
      <c r="A61" s="29" t="str">
        <f>IFERROR(MATCH(ROW()-3,Каталог!$AF$4:$AF$500,0),"")</f>
        <v/>
      </c>
      <c r="B61" s="29" t="str">
        <f t="shared" si="1"/>
        <v/>
      </c>
      <c r="C61" s="30" t="str">
        <f>IF($A61="","",INDEX(Каталог!$G$4:$G$500,$A61)&amp;"")</f>
        <v/>
      </c>
      <c r="D61" s="33"/>
      <c r="E61" s="31" t="str">
        <f>IF($A61="","",INDEX(Каталог!$H$4:$H$500,$A61)&amp;"")</f>
        <v/>
      </c>
      <c r="F61" s="32" t="str">
        <f>IF($A61="","",INDEX(Каталог!$B$4:$B$500,$A61)&amp;"")</f>
        <v/>
      </c>
      <c r="G61" s="32" t="str">
        <f>IF($A61="","",INDEX(Каталог!$M$4:$M$500,$A61)&amp;"")</f>
        <v/>
      </c>
      <c r="H61" s="32" t="str">
        <f>IF($A61="","",INDEX(Каталог!$P$4:$P$500,$A61))</f>
        <v/>
      </c>
      <c r="I61" s="5"/>
      <c r="J61" s="5"/>
      <c r="L61" s="30" t="s">
        <v>837</v>
      </c>
      <c r="M61" s="32">
        <f>COUNTIF(Однолинейка!$AY$3:$AY$1000,1)</f>
        <v>305</v>
      </c>
    </row>
    <row r="62" spans="1:15" x14ac:dyDescent="0.3">
      <c r="A62" s="29" t="str">
        <f>IFERROR(MATCH(ROW()-3,Каталог!$AF$4:$AF$500,0),"")</f>
        <v/>
      </c>
      <c r="B62" s="29" t="str">
        <f t="shared" si="1"/>
        <v/>
      </c>
      <c r="C62" s="30" t="str">
        <f>IF($A62="","",INDEX(Каталог!$G$4:$G$500,$A62)&amp;"")</f>
        <v/>
      </c>
      <c r="D62" s="33"/>
      <c r="E62" s="31" t="str">
        <f>IF($A62="","",INDEX(Каталог!$H$4:$H$500,$A62)&amp;"")</f>
        <v/>
      </c>
      <c r="F62" s="32" t="str">
        <f>IF($A62="","",INDEX(Каталог!$B$4:$B$500,$A62)&amp;"")</f>
        <v/>
      </c>
      <c r="G62" s="32" t="str">
        <f>IF($A62="","",INDEX(Каталог!$M$4:$M$500,$A62)&amp;"")</f>
        <v/>
      </c>
      <c r="H62" s="32" t="str">
        <f>IF($A62="","",INDEX(Каталог!$P$4:$P$500,$A62))</f>
        <v/>
      </c>
      <c r="I62" s="5"/>
      <c r="J62" s="5"/>
      <c r="L62" s="30" t="s">
        <v>838</v>
      </c>
      <c r="M62" s="32">
        <f>SUM(Однолинейка!$BW$3:$BW$1000)</f>
        <v>305</v>
      </c>
    </row>
    <row r="63" spans="1:15" x14ac:dyDescent="0.3">
      <c r="A63" s="29" t="str">
        <f>IFERROR(MATCH(ROW()-3,Каталог!$AF$4:$AF$500,0),"")</f>
        <v/>
      </c>
      <c r="B63" s="29" t="str">
        <f t="shared" si="1"/>
        <v/>
      </c>
      <c r="C63" s="30" t="str">
        <f>IF($A63="","",INDEX(Каталог!$G$4:$G$500,$A63)&amp;"")</f>
        <v/>
      </c>
      <c r="D63" s="33"/>
      <c r="E63" s="31" t="str">
        <f>IF($A63="","",INDEX(Каталог!$H$4:$H$500,$A63)&amp;"")</f>
        <v/>
      </c>
      <c r="F63" s="32" t="str">
        <f>IF($A63="","",INDEX(Каталог!$B$4:$B$500,$A63)&amp;"")</f>
        <v/>
      </c>
      <c r="G63" s="32" t="str">
        <f>IF($A63="","",INDEX(Каталог!$M$4:$M$500,$A63)&amp;"")</f>
        <v/>
      </c>
      <c r="H63" s="32" t="str">
        <f>IF($A63="","",INDEX(Каталог!$P$4:$P$500,$A63))</f>
        <v/>
      </c>
      <c r="I63" s="5"/>
      <c r="J63" s="5"/>
      <c r="L63" s="30" t="s">
        <v>839</v>
      </c>
      <c r="M63" s="32">
        <f>SUM(Однолинейка!$BX$3:$BX$1000)</f>
        <v>50</v>
      </c>
    </row>
    <row r="64" spans="1:15" ht="27.6" x14ac:dyDescent="0.3">
      <c r="A64" s="29" t="str">
        <f>IFERROR(MATCH(ROW()-3,Каталог!$AF$4:$AF$500,0),"")</f>
        <v/>
      </c>
      <c r="B64" s="29" t="str">
        <f t="shared" si="1"/>
        <v/>
      </c>
      <c r="C64" s="30" t="str">
        <f>IF($A64="","",INDEX(Каталог!$G$4:$G$500,$A64)&amp;"")</f>
        <v/>
      </c>
      <c r="D64" s="33"/>
      <c r="E64" s="31" t="str">
        <f>IF($A64="","",INDEX(Каталог!$H$4:$H$500,$A64)&amp;"")</f>
        <v/>
      </c>
      <c r="F64" s="32" t="str">
        <f>IF($A64="","",INDEX(Каталог!$B$4:$B$500,$A64)&amp;"")</f>
        <v/>
      </c>
      <c r="G64" s="32" t="str">
        <f>IF($A64="","",INDEX(Каталог!$M$4:$M$500,$A64)&amp;"")</f>
        <v/>
      </c>
      <c r="H64" s="32" t="str">
        <f>IF($A64="","",INDEX(Каталог!$P$4:$P$500,$A64))</f>
        <v/>
      </c>
      <c r="I64" s="5"/>
      <c r="J64" s="5"/>
      <c r="L64" s="30" t="s">
        <v>840</v>
      </c>
    </row>
    <row r="65" spans="1:12" x14ac:dyDescent="0.3">
      <c r="A65" s="29" t="str">
        <f>IFERROR(MATCH(ROW()-3,Каталог!$AF$4:$AF$500,0),"")</f>
        <v/>
      </c>
      <c r="B65" s="29" t="str">
        <f t="shared" si="1"/>
        <v/>
      </c>
      <c r="C65" s="30" t="str">
        <f>IF($A65="","",INDEX(Каталог!$G$4:$G$500,$A65)&amp;"")</f>
        <v/>
      </c>
      <c r="D65" s="33"/>
      <c r="E65" s="31" t="str">
        <f>IF($A65="","",INDEX(Каталог!$H$4:$H$500,$A65)&amp;"")</f>
        <v/>
      </c>
      <c r="F65" s="32" t="str">
        <f>IF($A65="","",INDEX(Каталог!$B$4:$B$500,$A65)&amp;"")</f>
        <v/>
      </c>
      <c r="G65" s="32" t="str">
        <f>IF($A65="","",INDEX(Каталог!$M$4:$M$500,$A65)&amp;"")</f>
        <v/>
      </c>
      <c r="H65" s="32" t="str">
        <f>IF($A65="","",INDEX(Каталог!$P$4:$P$500,$A65))</f>
        <v/>
      </c>
      <c r="I65" s="5"/>
      <c r="J65" s="5"/>
      <c r="L65" s="30"/>
    </row>
    <row r="66" spans="1:12" x14ac:dyDescent="0.3">
      <c r="A66" s="29" t="str">
        <f>IFERROR(MATCH(ROW()-3,Каталог!$AF$4:$AF$500,0),"")</f>
        <v/>
      </c>
      <c r="B66" s="29" t="str">
        <f t="shared" si="1"/>
        <v/>
      </c>
      <c r="C66" s="30" t="str">
        <f>IF($A66="","",INDEX(Каталог!$G$4:$G$500,$A66)&amp;"")</f>
        <v/>
      </c>
      <c r="D66" s="33"/>
      <c r="E66" s="31" t="str">
        <f>IF($A66="","",INDEX(Каталог!$H$4:$H$500,$A66)&amp;"")</f>
        <v/>
      </c>
      <c r="F66" s="32" t="str">
        <f>IF($A66="","",INDEX(Каталог!$B$4:$B$500,$A66)&amp;"")</f>
        <v/>
      </c>
      <c r="G66" s="32" t="str">
        <f>IF($A66="","",INDEX(Каталог!$M$4:$M$500,$A66)&amp;"")</f>
        <v/>
      </c>
      <c r="H66" s="32" t="str">
        <f>IF($A66="","",INDEX(Каталог!$P$4:$P$500,$A66))</f>
        <v/>
      </c>
      <c r="I66" s="5"/>
      <c r="J66" s="5"/>
      <c r="L66" s="30"/>
    </row>
    <row r="67" spans="1:12" x14ac:dyDescent="0.3">
      <c r="A67" s="29" t="str">
        <f>IFERROR(MATCH(ROW()-3,Каталог!$AF$4:$AF$500,0),"")</f>
        <v/>
      </c>
      <c r="B67" s="29" t="str">
        <f t="shared" si="1"/>
        <v/>
      </c>
      <c r="C67" s="30" t="str">
        <f>IF($A67="","",INDEX(Каталог!$G$4:$G$500,$A67)&amp;"")</f>
        <v/>
      </c>
      <c r="D67" s="33"/>
      <c r="E67" s="31" t="str">
        <f>IF($A67="","",INDEX(Каталог!$H$4:$H$500,$A67)&amp;"")</f>
        <v/>
      </c>
      <c r="F67" s="32" t="str">
        <f>IF($A67="","",INDEX(Каталог!$B$4:$B$500,$A67)&amp;"")</f>
        <v/>
      </c>
      <c r="G67" s="32" t="str">
        <f>IF($A67="","",INDEX(Каталог!$M$4:$M$500,$A67)&amp;"")</f>
        <v/>
      </c>
      <c r="H67" s="32" t="str">
        <f>IF($A67="","",INDEX(Каталог!$P$4:$P$500,$A67))</f>
        <v/>
      </c>
      <c r="I67" s="5"/>
      <c r="J67" s="5"/>
    </row>
    <row r="68" spans="1:12" x14ac:dyDescent="0.3">
      <c r="A68" s="29" t="str">
        <f>IFERROR(MATCH(ROW()-3,Каталог!$AF$4:$AF$500,0),"")</f>
        <v/>
      </c>
      <c r="B68" s="29" t="str">
        <f t="shared" ref="B68:B99" si="2">IF($A68="","",$B$3&amp;"."&amp;(ROW()-3))</f>
        <v/>
      </c>
      <c r="C68" s="30" t="str">
        <f>IF($A68="","",INDEX(Каталог!$G$4:$G$500,$A68)&amp;"")</f>
        <v/>
      </c>
      <c r="D68" s="33"/>
      <c r="E68" s="31" t="str">
        <f>IF($A68="","",INDEX(Каталог!$H$4:$H$500,$A68)&amp;"")</f>
        <v/>
      </c>
      <c r="F68" s="32" t="str">
        <f>IF($A68="","",INDEX(Каталог!$B$4:$B$500,$A68)&amp;"")</f>
        <v/>
      </c>
      <c r="G68" s="32" t="str">
        <f>IF($A68="","",INDEX(Каталог!$M$4:$M$500,$A68)&amp;"")</f>
        <v/>
      </c>
      <c r="H68" s="32" t="str">
        <f>IF($A68="","",INDEX(Каталог!$P$4:$P$500,$A68))</f>
        <v/>
      </c>
      <c r="I68" s="5"/>
      <c r="J68" s="5"/>
    </row>
    <row r="69" spans="1:12" x14ac:dyDescent="0.3">
      <c r="A69" s="29" t="str">
        <f>IFERROR(MATCH(ROW()-3,Каталог!$AF$4:$AF$500,0),"")</f>
        <v/>
      </c>
      <c r="B69" s="29" t="str">
        <f t="shared" si="2"/>
        <v/>
      </c>
      <c r="C69" s="30" t="str">
        <f>IF($A69="","",INDEX(Каталог!$G$4:$G$500,$A69)&amp;"")</f>
        <v/>
      </c>
      <c r="D69" s="33"/>
      <c r="E69" s="31" t="str">
        <f>IF($A69="","",INDEX(Каталог!$H$4:$H$500,$A69)&amp;"")</f>
        <v/>
      </c>
      <c r="F69" s="32" t="str">
        <f>IF($A69="","",INDEX(Каталог!$B$4:$B$500,$A69)&amp;"")</f>
        <v/>
      </c>
      <c r="G69" s="32" t="str">
        <f>IF($A69="","",INDEX(Каталог!$M$4:$M$500,$A69)&amp;"")</f>
        <v/>
      </c>
      <c r="H69" s="32" t="str">
        <f>IF($A69="","",INDEX(Каталог!$P$4:$P$500,$A69))</f>
        <v/>
      </c>
      <c r="I69" s="5"/>
      <c r="J69" s="5"/>
    </row>
    <row r="70" spans="1:12" x14ac:dyDescent="0.3">
      <c r="A70" s="29" t="str">
        <f>IFERROR(MATCH(ROW()-3,Каталог!$AF$4:$AF$500,0),"")</f>
        <v/>
      </c>
      <c r="B70" s="29" t="str">
        <f t="shared" si="2"/>
        <v/>
      </c>
      <c r="C70" s="30" t="str">
        <f>IF($A70="","",INDEX(Каталог!$G$4:$G$500,$A70)&amp;"")</f>
        <v/>
      </c>
      <c r="D70" s="33"/>
      <c r="E70" s="31" t="str">
        <f>IF($A70="","",INDEX(Каталог!$H$4:$H$500,$A70)&amp;"")</f>
        <v/>
      </c>
      <c r="F70" s="32" t="str">
        <f>IF($A70="","",INDEX(Каталог!$B$4:$B$500,$A70)&amp;"")</f>
        <v/>
      </c>
      <c r="G70" s="32" t="str">
        <f>IF($A70="","",INDEX(Каталог!$M$4:$M$500,$A70)&amp;"")</f>
        <v/>
      </c>
      <c r="H70" s="32" t="str">
        <f>IF($A70="","",INDEX(Каталог!$P$4:$P$500,$A70))</f>
        <v/>
      </c>
      <c r="I70" s="5"/>
      <c r="J70" s="5"/>
    </row>
    <row r="71" spans="1:12" x14ac:dyDescent="0.3">
      <c r="A71" s="29" t="str">
        <f>IFERROR(MATCH(ROW()-3,Каталог!$AF$4:$AF$500,0),"")</f>
        <v/>
      </c>
      <c r="B71" s="29" t="str">
        <f t="shared" si="2"/>
        <v/>
      </c>
      <c r="C71" s="30" t="str">
        <f>IF($A71="","",INDEX(Каталог!$G$4:$G$500,$A71)&amp;"")</f>
        <v/>
      </c>
      <c r="D71" s="33"/>
      <c r="E71" s="31" t="str">
        <f>IF($A71="","",INDEX(Каталог!$H$4:$H$500,$A71)&amp;"")</f>
        <v/>
      </c>
      <c r="F71" s="32" t="str">
        <f>IF($A71="","",INDEX(Каталог!$B$4:$B$500,$A71)&amp;"")</f>
        <v/>
      </c>
      <c r="G71" s="32" t="str">
        <f>IF($A71="","",INDEX(Каталог!$M$4:$M$500,$A71)&amp;"")</f>
        <v/>
      </c>
      <c r="H71" s="32" t="str">
        <f>IF($A71="","",INDEX(Каталог!$P$4:$P$500,$A71))</f>
        <v/>
      </c>
      <c r="I71" s="5"/>
      <c r="J71" s="5"/>
    </row>
    <row r="72" spans="1:12" x14ac:dyDescent="0.3">
      <c r="A72" s="29" t="str">
        <f>IFERROR(MATCH(ROW()-3,Каталог!$AF$4:$AF$500,0),"")</f>
        <v/>
      </c>
      <c r="B72" s="29" t="str">
        <f t="shared" si="2"/>
        <v/>
      </c>
      <c r="C72" s="30" t="str">
        <f>IF($A72="","",INDEX(Каталог!$G$4:$G$500,$A72)&amp;"")</f>
        <v/>
      </c>
      <c r="D72" s="33"/>
      <c r="E72" s="31" t="str">
        <f>IF($A72="","",INDEX(Каталог!$H$4:$H$500,$A72)&amp;"")</f>
        <v/>
      </c>
      <c r="F72" s="32" t="str">
        <f>IF($A72="","",INDEX(Каталог!$B$4:$B$500,$A72)&amp;"")</f>
        <v/>
      </c>
      <c r="G72" s="32" t="str">
        <f>IF($A72="","",INDEX(Каталог!$M$4:$M$500,$A72)&amp;"")</f>
        <v/>
      </c>
      <c r="H72" s="32" t="str">
        <f>IF($A72="","",INDEX(Каталог!$P$4:$P$500,$A72))</f>
        <v/>
      </c>
      <c r="I72" s="5"/>
      <c r="J72" s="5"/>
    </row>
    <row r="73" spans="1:12" x14ac:dyDescent="0.3">
      <c r="A73" s="29" t="str">
        <f>IFERROR(MATCH(ROW()-3,Каталог!$AF$4:$AF$500,0),"")</f>
        <v/>
      </c>
      <c r="B73" s="29" t="str">
        <f t="shared" si="2"/>
        <v/>
      </c>
      <c r="C73" s="30" t="str">
        <f>IF($A73="","",INDEX(Каталог!$G$4:$G$500,$A73)&amp;"")</f>
        <v/>
      </c>
      <c r="D73" s="33"/>
      <c r="E73" s="31" t="str">
        <f>IF($A73="","",INDEX(Каталог!$H$4:$H$500,$A73)&amp;"")</f>
        <v/>
      </c>
      <c r="F73" s="32" t="str">
        <f>IF($A73="","",INDEX(Каталог!$B$4:$B$500,$A73)&amp;"")</f>
        <v/>
      </c>
      <c r="G73" s="32" t="str">
        <f>IF($A73="","",INDEX(Каталог!$M$4:$M$500,$A73)&amp;"")</f>
        <v/>
      </c>
      <c r="H73" s="32" t="str">
        <f>IF($A73="","",INDEX(Каталог!$P$4:$P$500,$A73))</f>
        <v/>
      </c>
      <c r="I73" s="5"/>
      <c r="J73" s="5"/>
    </row>
    <row r="74" spans="1:12" x14ac:dyDescent="0.3">
      <c r="A74" s="29" t="str">
        <f>IFERROR(MATCH(ROW()-3,Каталог!$AF$4:$AF$500,0),"")</f>
        <v/>
      </c>
      <c r="B74" s="29" t="str">
        <f t="shared" si="2"/>
        <v/>
      </c>
      <c r="C74" s="30" t="str">
        <f>IF($A74="","",INDEX(Каталог!$G$4:$G$500,$A74)&amp;"")</f>
        <v/>
      </c>
      <c r="D74" s="33"/>
      <c r="E74" s="31" t="str">
        <f>IF($A74="","",INDEX(Каталог!$H$4:$H$500,$A74)&amp;"")</f>
        <v/>
      </c>
      <c r="F74" s="32" t="str">
        <f>IF($A74="","",INDEX(Каталог!$B$4:$B$500,$A74)&amp;"")</f>
        <v/>
      </c>
      <c r="G74" s="32" t="str">
        <f>IF($A74="","",INDEX(Каталог!$M$4:$M$500,$A74)&amp;"")</f>
        <v/>
      </c>
      <c r="H74" s="32" t="str">
        <f>IF($A74="","",INDEX(Каталог!$P$4:$P$500,$A74))</f>
        <v/>
      </c>
      <c r="I74" s="5"/>
      <c r="J74" s="5"/>
    </row>
    <row r="75" spans="1:12" x14ac:dyDescent="0.3">
      <c r="A75" s="29" t="str">
        <f>IFERROR(MATCH(ROW()-3,Каталог!$AF$4:$AF$500,0),"")</f>
        <v/>
      </c>
      <c r="B75" s="29" t="str">
        <f t="shared" si="2"/>
        <v/>
      </c>
      <c r="C75" s="30" t="str">
        <f>IF($A75="","",INDEX(Каталог!$G$4:$G$500,$A75)&amp;"")</f>
        <v/>
      </c>
      <c r="D75" s="33"/>
      <c r="E75" s="31" t="str">
        <f>IF($A75="","",INDEX(Каталог!$H$4:$H$500,$A75)&amp;"")</f>
        <v/>
      </c>
      <c r="F75" s="32" t="str">
        <f>IF($A75="","",INDEX(Каталог!$B$4:$B$500,$A75)&amp;"")</f>
        <v/>
      </c>
      <c r="G75" s="32" t="str">
        <f>IF($A75="","",INDEX(Каталог!$M$4:$M$500,$A75)&amp;"")</f>
        <v/>
      </c>
      <c r="H75" s="32" t="str">
        <f>IF($A75="","",INDEX(Каталог!$P$4:$P$500,$A75))</f>
        <v/>
      </c>
      <c r="I75" s="5"/>
      <c r="J75" s="5"/>
    </row>
    <row r="76" spans="1:12" x14ac:dyDescent="0.3">
      <c r="A76" s="29" t="str">
        <f>IFERROR(MATCH(ROW()-3,Каталог!$AF$4:$AF$500,0),"")</f>
        <v/>
      </c>
      <c r="B76" s="29" t="str">
        <f t="shared" si="2"/>
        <v/>
      </c>
      <c r="C76" s="30" t="str">
        <f>IF($A76="","",INDEX(Каталог!$G$4:$G$500,$A76)&amp;"")</f>
        <v/>
      </c>
      <c r="D76" s="33"/>
      <c r="E76" s="31" t="str">
        <f>IF($A76="","",INDEX(Каталог!$H$4:$H$500,$A76)&amp;"")</f>
        <v/>
      </c>
      <c r="F76" s="32" t="str">
        <f>IF($A76="","",INDEX(Каталог!$B$4:$B$500,$A76)&amp;"")</f>
        <v/>
      </c>
      <c r="G76" s="32" t="str">
        <f>IF($A76="","",INDEX(Каталог!$M$4:$M$500,$A76)&amp;"")</f>
        <v/>
      </c>
      <c r="H76" s="32" t="str">
        <f>IF($A76="","",INDEX(Каталог!$P$4:$P$500,$A76))</f>
        <v/>
      </c>
      <c r="I76" s="5"/>
      <c r="J76" s="5"/>
    </row>
    <row r="77" spans="1:12" x14ac:dyDescent="0.3">
      <c r="A77" s="29" t="str">
        <f>IFERROR(MATCH(ROW()-3,Каталог!$AF$4:$AF$500,0),"")</f>
        <v/>
      </c>
      <c r="B77" s="29" t="str">
        <f t="shared" si="2"/>
        <v/>
      </c>
      <c r="C77" s="30" t="str">
        <f>IF($A77="","",INDEX(Каталог!$G$4:$G$500,$A77)&amp;"")</f>
        <v/>
      </c>
      <c r="D77" s="33"/>
      <c r="E77" s="31" t="str">
        <f>IF($A77="","",INDEX(Каталог!$H$4:$H$500,$A77)&amp;"")</f>
        <v/>
      </c>
      <c r="F77" s="32" t="str">
        <f>IF($A77="","",INDEX(Каталог!$B$4:$B$500,$A77)&amp;"")</f>
        <v/>
      </c>
      <c r="G77" s="32" t="str">
        <f>IF($A77="","",INDEX(Каталог!$M$4:$M$500,$A77)&amp;"")</f>
        <v/>
      </c>
      <c r="H77" s="32" t="str">
        <f>IF($A77="","",INDEX(Каталог!$P$4:$P$500,$A77))</f>
        <v/>
      </c>
      <c r="I77" s="5"/>
      <c r="J77" s="5"/>
    </row>
    <row r="78" spans="1:12" x14ac:dyDescent="0.3">
      <c r="A78" s="29" t="str">
        <f>IFERROR(MATCH(ROW()-3,Каталог!$AF$4:$AF$500,0),"")</f>
        <v/>
      </c>
      <c r="B78" s="29" t="str">
        <f t="shared" si="2"/>
        <v/>
      </c>
      <c r="C78" s="30" t="str">
        <f>IF($A78="","",INDEX(Каталог!$G$4:$G$500,$A78)&amp;"")</f>
        <v/>
      </c>
      <c r="D78" s="33"/>
      <c r="E78" s="31" t="str">
        <f>IF($A78="","",INDEX(Каталог!$H$4:$H$500,$A78)&amp;"")</f>
        <v/>
      </c>
      <c r="F78" s="32" t="str">
        <f>IF($A78="","",INDEX(Каталог!$B$4:$B$500,$A78)&amp;"")</f>
        <v/>
      </c>
      <c r="G78" s="32" t="str">
        <f>IF($A78="","",INDEX(Каталог!$M$4:$M$500,$A78)&amp;"")</f>
        <v/>
      </c>
      <c r="H78" s="32" t="str">
        <f>IF($A78="","",INDEX(Каталог!$P$4:$P$500,$A78))</f>
        <v/>
      </c>
      <c r="I78" s="5"/>
      <c r="J78" s="5"/>
    </row>
    <row r="79" spans="1:12" x14ac:dyDescent="0.3">
      <c r="A79" s="29" t="str">
        <f>IFERROR(MATCH(ROW()-3,Каталог!$AF$4:$AF$500,0),"")</f>
        <v/>
      </c>
      <c r="B79" s="29" t="str">
        <f t="shared" si="2"/>
        <v/>
      </c>
      <c r="C79" s="30" t="str">
        <f>IF($A79="","",INDEX(Каталог!$G$4:$G$500,$A79)&amp;"")</f>
        <v/>
      </c>
      <c r="D79" s="33"/>
      <c r="E79" s="31" t="str">
        <f>IF($A79="","",INDEX(Каталог!$H$4:$H$500,$A79)&amp;"")</f>
        <v/>
      </c>
      <c r="F79" s="32" t="str">
        <f>IF($A79="","",INDEX(Каталог!$B$4:$B$500,$A79)&amp;"")</f>
        <v/>
      </c>
      <c r="G79" s="32" t="str">
        <f>IF($A79="","",INDEX(Каталог!$M$4:$M$500,$A79)&amp;"")</f>
        <v/>
      </c>
      <c r="H79" s="32" t="str">
        <f>IF($A79="","",INDEX(Каталог!$P$4:$P$500,$A79))</f>
        <v/>
      </c>
      <c r="I79" s="5"/>
      <c r="J79" s="5"/>
    </row>
    <row r="80" spans="1:12" x14ac:dyDescent="0.3">
      <c r="A80" s="29" t="str">
        <f>IFERROR(MATCH(ROW()-3,Каталог!$AF$4:$AF$500,0),"")</f>
        <v/>
      </c>
      <c r="B80" s="29" t="str">
        <f t="shared" si="2"/>
        <v/>
      </c>
      <c r="C80" s="30" t="str">
        <f>IF($A80="","",INDEX(Каталог!$G$4:$G$500,$A80)&amp;"")</f>
        <v/>
      </c>
      <c r="D80" s="33"/>
      <c r="E80" s="31" t="str">
        <f>IF($A80="","",INDEX(Каталог!$H$4:$H$500,$A80)&amp;"")</f>
        <v/>
      </c>
      <c r="F80" s="32" t="str">
        <f>IF($A80="","",INDEX(Каталог!$B$4:$B$500,$A80)&amp;"")</f>
        <v/>
      </c>
      <c r="G80" s="32" t="str">
        <f>IF($A80="","",INDEX(Каталог!$M$4:$M$500,$A80)&amp;"")</f>
        <v/>
      </c>
      <c r="H80" s="32" t="str">
        <f>IF($A80="","",INDEX(Каталог!$P$4:$P$500,$A80))</f>
        <v/>
      </c>
      <c r="I80" s="5"/>
      <c r="J80" s="5"/>
    </row>
    <row r="81" spans="1:10" x14ac:dyDescent="0.3">
      <c r="A81" s="29" t="str">
        <f>IFERROR(MATCH(ROW()-3,Каталог!$AF$4:$AF$500,0),"")</f>
        <v/>
      </c>
      <c r="B81" s="29" t="str">
        <f t="shared" si="2"/>
        <v/>
      </c>
      <c r="C81" s="30" t="str">
        <f>IF($A81="","",INDEX(Каталог!$G$4:$G$500,$A81)&amp;"")</f>
        <v/>
      </c>
      <c r="D81" s="33"/>
      <c r="E81" s="31" t="str">
        <f>IF($A81="","",INDEX(Каталог!$H$4:$H$500,$A81)&amp;"")</f>
        <v/>
      </c>
      <c r="F81" s="32" t="str">
        <f>IF($A81="","",INDEX(Каталог!$B$4:$B$500,$A81)&amp;"")</f>
        <v/>
      </c>
      <c r="G81" s="32" t="str">
        <f>IF($A81="","",INDEX(Каталог!$M$4:$M$500,$A81)&amp;"")</f>
        <v/>
      </c>
      <c r="H81" s="32" t="str">
        <f>IF($A81="","",INDEX(Каталог!$P$4:$P$500,$A81))</f>
        <v/>
      </c>
      <c r="I81" s="5"/>
      <c r="J81" s="5"/>
    </row>
    <row r="82" spans="1:10" x14ac:dyDescent="0.3">
      <c r="A82" s="29" t="str">
        <f>IFERROR(MATCH(ROW()-3,Каталог!$AF$4:$AF$500,0),"")</f>
        <v/>
      </c>
      <c r="B82" s="29" t="str">
        <f t="shared" si="2"/>
        <v/>
      </c>
      <c r="C82" s="30" t="str">
        <f>IF($A82="","",INDEX(Каталог!$G$4:$G$500,$A82)&amp;"")</f>
        <v/>
      </c>
      <c r="D82" s="33"/>
      <c r="E82" s="31" t="str">
        <f>IF($A82="","",INDEX(Каталог!$H$4:$H$500,$A82)&amp;"")</f>
        <v/>
      </c>
      <c r="F82" s="32" t="str">
        <f>IF($A82="","",INDEX(Каталог!$B$4:$B$500,$A82)&amp;"")</f>
        <v/>
      </c>
      <c r="G82" s="32" t="str">
        <f>IF($A82="","",INDEX(Каталог!$M$4:$M$500,$A82)&amp;"")</f>
        <v/>
      </c>
      <c r="H82" s="32" t="str">
        <f>IF($A82="","",INDEX(Каталог!$P$4:$P$500,$A82))</f>
        <v/>
      </c>
      <c r="I82" s="5"/>
      <c r="J82" s="5"/>
    </row>
    <row r="83" spans="1:10" x14ac:dyDescent="0.3">
      <c r="A83" s="29" t="str">
        <f>IFERROR(MATCH(ROW()-3,Каталог!$AF$4:$AF$500,0),"")</f>
        <v/>
      </c>
      <c r="B83" s="29" t="str">
        <f t="shared" si="2"/>
        <v/>
      </c>
      <c r="C83" s="30" t="str">
        <f>IF($A83="","",INDEX(Каталог!$G$4:$G$500,$A83)&amp;"")</f>
        <v/>
      </c>
      <c r="D83" s="33"/>
      <c r="E83" s="31" t="str">
        <f>IF($A83="","",INDEX(Каталог!$H$4:$H$500,$A83)&amp;"")</f>
        <v/>
      </c>
      <c r="F83" s="32" t="str">
        <f>IF($A83="","",INDEX(Каталог!$B$4:$B$500,$A83)&amp;"")</f>
        <v/>
      </c>
      <c r="G83" s="32" t="str">
        <f>IF($A83="","",INDEX(Каталог!$M$4:$M$500,$A83)&amp;"")</f>
        <v/>
      </c>
      <c r="H83" s="32" t="str">
        <f>IF($A83="","",INDEX(Каталог!$P$4:$P$500,$A83))</f>
        <v/>
      </c>
      <c r="I83" s="5"/>
      <c r="J83" s="5"/>
    </row>
    <row r="84" spans="1:10" x14ac:dyDescent="0.3">
      <c r="A84" s="29" t="str">
        <f>IFERROR(MATCH(ROW()-3,Каталог!$AF$4:$AF$500,0),"")</f>
        <v/>
      </c>
      <c r="B84" s="29" t="str">
        <f t="shared" si="2"/>
        <v/>
      </c>
      <c r="C84" s="30" t="str">
        <f>IF($A84="","",INDEX(Каталог!$G$4:$G$500,$A84)&amp;"")</f>
        <v/>
      </c>
      <c r="D84" s="33"/>
      <c r="E84" s="31" t="str">
        <f>IF($A84="","",INDEX(Каталог!$H$4:$H$500,$A84)&amp;"")</f>
        <v/>
      </c>
      <c r="F84" s="32" t="str">
        <f>IF($A84="","",INDEX(Каталог!$B$4:$B$500,$A84)&amp;"")</f>
        <v/>
      </c>
      <c r="G84" s="32" t="str">
        <f>IF($A84="","",INDEX(Каталог!$M$4:$M$500,$A84)&amp;"")</f>
        <v/>
      </c>
      <c r="H84" s="32" t="str">
        <f>IF($A84="","",INDEX(Каталог!$P$4:$P$500,$A84))</f>
        <v/>
      </c>
      <c r="I84" s="5"/>
      <c r="J84" s="5"/>
    </row>
    <row r="85" spans="1:10" x14ac:dyDescent="0.3">
      <c r="A85" s="29" t="str">
        <f>IFERROR(MATCH(ROW()-3,Каталог!$AF$4:$AF$500,0),"")</f>
        <v/>
      </c>
      <c r="B85" s="29" t="str">
        <f t="shared" si="2"/>
        <v/>
      </c>
      <c r="C85" s="30" t="str">
        <f>IF($A85="","",INDEX(Каталог!$G$4:$G$500,$A85)&amp;"")</f>
        <v/>
      </c>
      <c r="D85" s="33"/>
      <c r="E85" s="31" t="str">
        <f>IF($A85="","",INDEX(Каталог!$H$4:$H$500,$A85)&amp;"")</f>
        <v/>
      </c>
      <c r="F85" s="32" t="str">
        <f>IF($A85="","",INDEX(Каталог!$B$4:$B$500,$A85)&amp;"")</f>
        <v/>
      </c>
      <c r="G85" s="32" t="str">
        <f>IF($A85="","",INDEX(Каталог!$M$4:$M$500,$A85)&amp;"")</f>
        <v/>
      </c>
      <c r="H85" s="32" t="str">
        <f>IF($A85="","",INDEX(Каталог!$P$4:$P$500,$A85))</f>
        <v/>
      </c>
      <c r="I85" s="5"/>
      <c r="J85" s="5"/>
    </row>
    <row r="86" spans="1:10" x14ac:dyDescent="0.3">
      <c r="A86" s="29" t="str">
        <f>IFERROR(MATCH(ROW()-3,Каталог!$AF$4:$AF$500,0),"")</f>
        <v/>
      </c>
      <c r="B86" s="29" t="str">
        <f t="shared" si="2"/>
        <v/>
      </c>
      <c r="C86" s="30" t="str">
        <f>IF($A86="","",INDEX(Каталог!$G$4:$G$500,$A86)&amp;"")</f>
        <v/>
      </c>
      <c r="D86" s="33"/>
      <c r="E86" s="31" t="str">
        <f>IF($A86="","",INDEX(Каталог!$H$4:$H$500,$A86)&amp;"")</f>
        <v/>
      </c>
      <c r="F86" s="32" t="str">
        <f>IF($A86="","",INDEX(Каталог!$B$4:$B$500,$A86)&amp;"")</f>
        <v/>
      </c>
      <c r="G86" s="32" t="str">
        <f>IF($A86="","",INDEX(Каталог!$M$4:$M$500,$A86)&amp;"")</f>
        <v/>
      </c>
      <c r="H86" s="32" t="str">
        <f>IF($A86="","",INDEX(Каталог!$P$4:$P$500,$A86))</f>
        <v/>
      </c>
      <c r="I86" s="5"/>
      <c r="J86" s="5"/>
    </row>
    <row r="87" spans="1:10" x14ac:dyDescent="0.3">
      <c r="A87" s="29" t="str">
        <f>IFERROR(MATCH(ROW()-3,Каталог!$AF$4:$AF$500,0),"")</f>
        <v/>
      </c>
      <c r="B87" s="29" t="str">
        <f t="shared" si="2"/>
        <v/>
      </c>
      <c r="C87" s="30" t="str">
        <f>IF($A87="","",INDEX(Каталог!$G$4:$G$500,$A87)&amp;"")</f>
        <v/>
      </c>
      <c r="D87" s="33"/>
      <c r="E87" s="31" t="str">
        <f>IF($A87="","",INDEX(Каталог!$H$4:$H$500,$A87)&amp;"")</f>
        <v/>
      </c>
      <c r="F87" s="32" t="str">
        <f>IF($A87="","",INDEX(Каталог!$B$4:$B$500,$A87)&amp;"")</f>
        <v/>
      </c>
      <c r="G87" s="32" t="str">
        <f>IF($A87="","",INDEX(Каталог!$M$4:$M$500,$A87)&amp;"")</f>
        <v/>
      </c>
      <c r="H87" s="32" t="str">
        <f>IF($A87="","",INDEX(Каталог!$P$4:$P$500,$A87))</f>
        <v/>
      </c>
      <c r="I87" s="5"/>
      <c r="J87" s="5"/>
    </row>
    <row r="88" spans="1:10" x14ac:dyDescent="0.3">
      <c r="A88" s="29" t="str">
        <f>IFERROR(MATCH(ROW()-3,Каталог!$AF$4:$AF$500,0),"")</f>
        <v/>
      </c>
      <c r="B88" s="29" t="str">
        <f t="shared" si="2"/>
        <v/>
      </c>
      <c r="C88" s="30" t="str">
        <f>IF($A88="","",INDEX(Каталог!$G$4:$G$500,$A88)&amp;"")</f>
        <v/>
      </c>
      <c r="D88" s="33"/>
      <c r="E88" s="31" t="str">
        <f>IF($A88="","",INDEX(Каталог!$H$4:$H$500,$A88)&amp;"")</f>
        <v/>
      </c>
      <c r="F88" s="32" t="str">
        <f>IF($A88="","",INDEX(Каталог!$B$4:$B$500,$A88)&amp;"")</f>
        <v/>
      </c>
      <c r="G88" s="32" t="str">
        <f>IF($A88="","",INDEX(Каталог!$M$4:$M$500,$A88)&amp;"")</f>
        <v/>
      </c>
      <c r="H88" s="32" t="str">
        <f>IF($A88="","",INDEX(Каталог!$P$4:$P$500,$A88))</f>
        <v/>
      </c>
      <c r="I88" s="5"/>
      <c r="J88" s="5"/>
    </row>
    <row r="89" spans="1:10" x14ac:dyDescent="0.3">
      <c r="A89" s="29" t="str">
        <f>IFERROR(MATCH(ROW()-3,Каталог!$AF$4:$AF$500,0),"")</f>
        <v/>
      </c>
      <c r="B89" s="29" t="str">
        <f t="shared" si="2"/>
        <v/>
      </c>
      <c r="C89" s="30" t="str">
        <f>IF($A89="","",INDEX(Каталог!$G$4:$G$500,$A89)&amp;"")</f>
        <v/>
      </c>
      <c r="D89" s="33"/>
      <c r="E89" s="31" t="str">
        <f>IF($A89="","",INDEX(Каталог!$H$4:$H$500,$A89)&amp;"")</f>
        <v/>
      </c>
      <c r="F89" s="32" t="str">
        <f>IF($A89="","",INDEX(Каталог!$B$4:$B$500,$A89)&amp;"")</f>
        <v/>
      </c>
      <c r="G89" s="32" t="str">
        <f>IF($A89="","",INDEX(Каталог!$M$4:$M$500,$A89)&amp;"")</f>
        <v/>
      </c>
      <c r="H89" s="32" t="str">
        <f>IF($A89="","",INDEX(Каталог!$P$4:$P$500,$A89))</f>
        <v/>
      </c>
      <c r="I89" s="5"/>
      <c r="J89" s="5"/>
    </row>
    <row r="90" spans="1:10" x14ac:dyDescent="0.3">
      <c r="A90" s="29" t="str">
        <f>IFERROR(MATCH(ROW()-3,Каталог!$AF$4:$AF$500,0),"")</f>
        <v/>
      </c>
      <c r="B90" s="29" t="str">
        <f t="shared" si="2"/>
        <v/>
      </c>
      <c r="C90" s="30" t="str">
        <f>IF($A90="","",INDEX(Каталог!$G$4:$G$500,$A90)&amp;"")</f>
        <v/>
      </c>
      <c r="D90" s="33"/>
      <c r="E90" s="31" t="str">
        <f>IF($A90="","",INDEX(Каталог!$H$4:$H$500,$A90)&amp;"")</f>
        <v/>
      </c>
      <c r="F90" s="32" t="str">
        <f>IF($A90="","",INDEX(Каталог!$B$4:$B$500,$A90)&amp;"")</f>
        <v/>
      </c>
      <c r="G90" s="32" t="str">
        <f>IF($A90="","",INDEX(Каталог!$M$4:$M$500,$A90)&amp;"")</f>
        <v/>
      </c>
      <c r="H90" s="32" t="str">
        <f>IF($A90="","",INDEX(Каталог!$P$4:$P$500,$A90))</f>
        <v/>
      </c>
      <c r="I90" s="5"/>
      <c r="J90" s="5"/>
    </row>
    <row r="91" spans="1:10" x14ac:dyDescent="0.3">
      <c r="A91" s="29" t="str">
        <f>IFERROR(MATCH(ROW()-3,Каталог!$AF$4:$AF$500,0),"")</f>
        <v/>
      </c>
      <c r="B91" s="29" t="str">
        <f t="shared" si="2"/>
        <v/>
      </c>
      <c r="C91" s="30" t="str">
        <f>IF($A91="","",INDEX(Каталог!$G$4:$G$500,$A91)&amp;"")</f>
        <v/>
      </c>
      <c r="D91" s="33"/>
      <c r="E91" s="31" t="str">
        <f>IF($A91="","",INDEX(Каталог!$H$4:$H$500,$A91)&amp;"")</f>
        <v/>
      </c>
      <c r="F91" s="32" t="str">
        <f>IF($A91="","",INDEX(Каталог!$B$4:$B$500,$A91)&amp;"")</f>
        <v/>
      </c>
      <c r="G91" s="32" t="str">
        <f>IF($A91="","",INDEX(Каталог!$M$4:$M$500,$A91)&amp;"")</f>
        <v/>
      </c>
      <c r="H91" s="32" t="str">
        <f>IF($A91="","",INDEX(Каталог!$P$4:$P$500,$A91))</f>
        <v/>
      </c>
      <c r="I91" s="5"/>
      <c r="J91" s="5"/>
    </row>
    <row r="92" spans="1:10" x14ac:dyDescent="0.3">
      <c r="A92" s="29" t="str">
        <f>IFERROR(MATCH(ROW()-3,Каталог!$AF$4:$AF$500,0),"")</f>
        <v/>
      </c>
      <c r="B92" s="29" t="str">
        <f t="shared" si="2"/>
        <v/>
      </c>
      <c r="C92" s="30" t="str">
        <f>IF($A92="","",INDEX(Каталог!$G$4:$G$500,$A92)&amp;"")</f>
        <v/>
      </c>
      <c r="D92" s="33"/>
      <c r="E92" s="31" t="str">
        <f>IF($A92="","",INDEX(Каталог!$H$4:$H$500,$A92)&amp;"")</f>
        <v/>
      </c>
      <c r="F92" s="32" t="str">
        <f>IF($A92="","",INDEX(Каталог!$B$4:$B$500,$A92)&amp;"")</f>
        <v/>
      </c>
      <c r="G92" s="32" t="str">
        <f>IF($A92="","",INDEX(Каталог!$M$4:$M$500,$A92)&amp;"")</f>
        <v/>
      </c>
      <c r="H92" s="32" t="str">
        <f>IF($A92="","",INDEX(Каталог!$P$4:$P$500,$A92))</f>
        <v/>
      </c>
      <c r="I92" s="5"/>
      <c r="J92" s="5"/>
    </row>
    <row r="93" spans="1:10" x14ac:dyDescent="0.3">
      <c r="A93" s="29" t="str">
        <f>IFERROR(MATCH(ROW()-3,Каталог!$AF$4:$AF$500,0),"")</f>
        <v/>
      </c>
      <c r="B93" s="29" t="str">
        <f t="shared" si="2"/>
        <v/>
      </c>
      <c r="C93" s="30" t="str">
        <f>IF($A93="","",INDEX(Каталог!$G$4:$G$500,$A93)&amp;"")</f>
        <v/>
      </c>
      <c r="D93" s="33"/>
      <c r="E93" s="31" t="str">
        <f>IF($A93="","",INDEX(Каталог!$H$4:$H$500,$A93)&amp;"")</f>
        <v/>
      </c>
      <c r="F93" s="32" t="str">
        <f>IF($A93="","",INDEX(Каталог!$B$4:$B$500,$A93)&amp;"")</f>
        <v/>
      </c>
      <c r="G93" s="32" t="str">
        <f>IF($A93="","",INDEX(Каталог!$M$4:$M$500,$A93)&amp;"")</f>
        <v/>
      </c>
      <c r="H93" s="32" t="str">
        <f>IF($A93="","",INDEX(Каталог!$P$4:$P$500,$A93))</f>
        <v/>
      </c>
      <c r="I93" s="5"/>
      <c r="J93" s="5"/>
    </row>
    <row r="94" spans="1:10" x14ac:dyDescent="0.3">
      <c r="A94" s="29" t="str">
        <f>IFERROR(MATCH(ROW()-3,Каталог!$AF$4:$AF$500,0),"")</f>
        <v/>
      </c>
      <c r="B94" s="29" t="str">
        <f t="shared" si="2"/>
        <v/>
      </c>
      <c r="C94" s="30" t="str">
        <f>IF($A94="","",INDEX(Каталог!$G$4:$G$500,$A94)&amp;"")</f>
        <v/>
      </c>
      <c r="D94" s="33"/>
      <c r="E94" s="31" t="str">
        <f>IF($A94="","",INDEX(Каталог!$H$4:$H$500,$A94)&amp;"")</f>
        <v/>
      </c>
      <c r="F94" s="32" t="str">
        <f>IF($A94="","",INDEX(Каталог!$B$4:$B$500,$A94)&amp;"")</f>
        <v/>
      </c>
      <c r="G94" s="32" t="str">
        <f>IF($A94="","",INDEX(Каталог!$M$4:$M$500,$A94)&amp;"")</f>
        <v/>
      </c>
      <c r="H94" s="32" t="str">
        <f>IF($A94="","",INDEX(Каталог!$P$4:$P$500,$A94))</f>
        <v/>
      </c>
      <c r="I94" s="5"/>
      <c r="J94" s="5"/>
    </row>
    <row r="95" spans="1:10" x14ac:dyDescent="0.3">
      <c r="A95" s="29" t="str">
        <f>IFERROR(MATCH(ROW()-3,Каталог!$AF$4:$AF$500,0),"")</f>
        <v/>
      </c>
      <c r="B95" s="29" t="str">
        <f t="shared" si="2"/>
        <v/>
      </c>
      <c r="C95" s="30" t="str">
        <f>IF($A95="","",INDEX(Каталог!$G$4:$G$500,$A95)&amp;"")</f>
        <v/>
      </c>
      <c r="D95" s="33"/>
      <c r="E95" s="31" t="str">
        <f>IF($A95="","",INDEX(Каталог!$H$4:$H$500,$A95)&amp;"")</f>
        <v/>
      </c>
      <c r="F95" s="32" t="str">
        <f>IF($A95="","",INDEX(Каталог!$B$4:$B$500,$A95)&amp;"")</f>
        <v/>
      </c>
      <c r="G95" s="32" t="str">
        <f>IF($A95="","",INDEX(Каталог!$M$4:$M$500,$A95)&amp;"")</f>
        <v/>
      </c>
      <c r="H95" s="32" t="str">
        <f>IF($A95="","",INDEX(Каталог!$P$4:$P$500,$A95))</f>
        <v/>
      </c>
      <c r="I95" s="5"/>
      <c r="J95" s="5"/>
    </row>
    <row r="96" spans="1:10" x14ac:dyDescent="0.3">
      <c r="A96" s="29" t="str">
        <f>IFERROR(MATCH(ROW()-3,Каталог!$AF$4:$AF$500,0),"")</f>
        <v/>
      </c>
      <c r="B96" s="29" t="str">
        <f t="shared" si="2"/>
        <v/>
      </c>
      <c r="C96" s="30" t="str">
        <f>IF($A96="","",INDEX(Каталог!$G$4:$G$500,$A96)&amp;"")</f>
        <v/>
      </c>
      <c r="D96" s="33"/>
      <c r="E96" s="31" t="str">
        <f>IF($A96="","",INDEX(Каталог!$H$4:$H$500,$A96)&amp;"")</f>
        <v/>
      </c>
      <c r="F96" s="32" t="str">
        <f>IF($A96="","",INDEX(Каталог!$B$4:$B$500,$A96)&amp;"")</f>
        <v/>
      </c>
      <c r="G96" s="32" t="str">
        <f>IF($A96="","",INDEX(Каталог!$M$4:$M$500,$A96)&amp;"")</f>
        <v/>
      </c>
      <c r="H96" s="32" t="str">
        <f>IF($A96="","",INDEX(Каталог!$P$4:$P$500,$A96))</f>
        <v/>
      </c>
      <c r="I96" s="5"/>
      <c r="J96" s="5"/>
    </row>
    <row r="97" spans="1:10" x14ac:dyDescent="0.3">
      <c r="A97" s="29" t="str">
        <f>IFERROR(MATCH(ROW()-3,Каталог!$AF$4:$AF$500,0),"")</f>
        <v/>
      </c>
      <c r="B97" s="29" t="str">
        <f t="shared" si="2"/>
        <v/>
      </c>
      <c r="C97" s="30" t="str">
        <f>IF($A97="","",INDEX(Каталог!$G$4:$G$500,$A97)&amp;"")</f>
        <v/>
      </c>
      <c r="D97" s="33"/>
      <c r="E97" s="31" t="str">
        <f>IF($A97="","",INDEX(Каталог!$H$4:$H$500,$A97)&amp;"")</f>
        <v/>
      </c>
      <c r="F97" s="32" t="str">
        <f>IF($A97="","",INDEX(Каталог!$B$4:$B$500,$A97)&amp;"")</f>
        <v/>
      </c>
      <c r="G97" s="32" t="str">
        <f>IF($A97="","",INDEX(Каталог!$M$4:$M$500,$A97)&amp;"")</f>
        <v/>
      </c>
      <c r="H97" s="32" t="str">
        <f>IF($A97="","",INDEX(Каталог!$P$4:$P$500,$A97))</f>
        <v/>
      </c>
      <c r="I97" s="5"/>
      <c r="J97" s="5"/>
    </row>
    <row r="98" spans="1:10" x14ac:dyDescent="0.3">
      <c r="A98" s="29" t="str">
        <f>IFERROR(MATCH(ROW()-3,Каталог!$AF$4:$AF$500,0),"")</f>
        <v/>
      </c>
      <c r="B98" s="29" t="str">
        <f t="shared" si="2"/>
        <v/>
      </c>
      <c r="C98" s="30" t="str">
        <f>IF($A98="","",INDEX(Каталог!$G$4:$G$500,$A98)&amp;"")</f>
        <v/>
      </c>
      <c r="D98" s="33"/>
      <c r="E98" s="31" t="str">
        <f>IF($A98="","",INDEX(Каталог!$H$4:$H$500,$A98)&amp;"")</f>
        <v/>
      </c>
      <c r="F98" s="32" t="str">
        <f>IF($A98="","",INDEX(Каталог!$B$4:$B$500,$A98)&amp;"")</f>
        <v/>
      </c>
      <c r="G98" s="32" t="str">
        <f>IF($A98="","",INDEX(Каталог!$M$4:$M$500,$A98)&amp;"")</f>
        <v/>
      </c>
      <c r="H98" s="32" t="str">
        <f>IF($A98="","",INDEX(Каталог!$P$4:$P$500,$A98))</f>
        <v/>
      </c>
      <c r="I98" s="5"/>
      <c r="J98" s="5"/>
    </row>
    <row r="99" spans="1:10" x14ac:dyDescent="0.3">
      <c r="A99" s="29" t="str">
        <f>IFERROR(MATCH(ROW()-3,Каталог!$AF$4:$AF$500,0),"")</f>
        <v/>
      </c>
      <c r="B99" s="29" t="str">
        <f t="shared" si="2"/>
        <v/>
      </c>
      <c r="C99" s="30" t="str">
        <f>IF($A99="","",INDEX(Каталог!$G$4:$G$500,$A99)&amp;"")</f>
        <v/>
      </c>
      <c r="D99" s="33"/>
      <c r="E99" s="31" t="str">
        <f>IF($A99="","",INDEX(Каталог!$H$4:$H$500,$A99)&amp;"")</f>
        <v/>
      </c>
      <c r="F99" s="32" t="str">
        <f>IF($A99="","",INDEX(Каталог!$B$4:$B$500,$A99)&amp;"")</f>
        <v/>
      </c>
      <c r="G99" s="32" t="str">
        <f>IF($A99="","",INDEX(Каталог!$M$4:$M$500,$A99)&amp;"")</f>
        <v/>
      </c>
      <c r="H99" s="32" t="str">
        <f>IF($A99="","",INDEX(Каталог!$P$4:$P$500,$A99))</f>
        <v/>
      </c>
      <c r="I99" s="5"/>
      <c r="J99" s="5"/>
    </row>
    <row r="100" spans="1:10" x14ac:dyDescent="0.3">
      <c r="A100" s="29" t="str">
        <f>IFERROR(MATCH(ROW()-3,Каталог!$AF$4:$AF$500,0),"")</f>
        <v/>
      </c>
      <c r="B100" s="29" t="str">
        <f t="shared" ref="B100:B131" si="3">IF($A100="","",$B$3&amp;"."&amp;(ROW()-3))</f>
        <v/>
      </c>
      <c r="C100" s="30" t="str">
        <f>IF($A100="","",INDEX(Каталог!$G$4:$G$500,$A100)&amp;"")</f>
        <v/>
      </c>
      <c r="D100" s="33"/>
      <c r="E100" s="31" t="str">
        <f>IF($A100="","",INDEX(Каталог!$H$4:$H$500,$A100)&amp;"")</f>
        <v/>
      </c>
      <c r="F100" s="32" t="str">
        <f>IF($A100="","",INDEX(Каталог!$B$4:$B$500,$A100)&amp;"")</f>
        <v/>
      </c>
      <c r="G100" s="32" t="str">
        <f>IF($A100="","",INDEX(Каталог!$M$4:$M$500,$A100)&amp;"")</f>
        <v/>
      </c>
      <c r="H100" s="32" t="str">
        <f>IF($A100="","",INDEX(Каталог!$P$4:$P$500,$A100))</f>
        <v/>
      </c>
      <c r="I100" s="5"/>
      <c r="J100" s="5"/>
    </row>
    <row r="101" spans="1:10" x14ac:dyDescent="0.3">
      <c r="A101" s="29" t="str">
        <f>IFERROR(MATCH(ROW()-3,Каталог!$AF$4:$AF$500,0),"")</f>
        <v/>
      </c>
      <c r="B101" s="29" t="str">
        <f t="shared" si="3"/>
        <v/>
      </c>
      <c r="C101" s="30" t="str">
        <f>IF($A101="","",INDEX(Каталог!$G$4:$G$500,$A101)&amp;"")</f>
        <v/>
      </c>
      <c r="D101" s="33"/>
      <c r="E101" s="31" t="str">
        <f>IF($A101="","",INDEX(Каталог!$H$4:$H$500,$A101)&amp;"")</f>
        <v/>
      </c>
      <c r="F101" s="32" t="str">
        <f>IF($A101="","",INDEX(Каталог!$B$4:$B$500,$A101)&amp;"")</f>
        <v/>
      </c>
      <c r="G101" s="32" t="str">
        <f>IF($A101="","",INDEX(Каталог!$M$4:$M$500,$A101)&amp;"")</f>
        <v/>
      </c>
      <c r="H101" s="32" t="str">
        <f>IF($A101="","",INDEX(Каталог!$P$4:$P$500,$A101))</f>
        <v/>
      </c>
      <c r="I101" s="5"/>
      <c r="J101" s="5"/>
    </row>
    <row r="102" spans="1:10" x14ac:dyDescent="0.3">
      <c r="A102" s="29" t="str">
        <f>IFERROR(MATCH(ROW()-3,Каталог!$AF$4:$AF$500,0),"")</f>
        <v/>
      </c>
      <c r="B102" s="29" t="str">
        <f t="shared" si="3"/>
        <v/>
      </c>
      <c r="C102" s="30" t="str">
        <f>IF($A102="","",INDEX(Каталог!$G$4:$G$500,$A102)&amp;"")</f>
        <v/>
      </c>
      <c r="D102" s="33"/>
      <c r="E102" s="31" t="str">
        <f>IF($A102="","",INDEX(Каталог!$H$4:$H$500,$A102)&amp;"")</f>
        <v/>
      </c>
      <c r="F102" s="32" t="str">
        <f>IF($A102="","",INDEX(Каталог!$B$4:$B$500,$A102)&amp;"")</f>
        <v/>
      </c>
      <c r="G102" s="32" t="str">
        <f>IF($A102="","",INDEX(Каталог!$M$4:$M$500,$A102)&amp;"")</f>
        <v/>
      </c>
      <c r="H102" s="32" t="str">
        <f>IF($A102="","",INDEX(Каталог!$P$4:$P$500,$A102))</f>
        <v/>
      </c>
      <c r="I102" s="5"/>
      <c r="J102" s="5"/>
    </row>
    <row r="103" spans="1:10" x14ac:dyDescent="0.3">
      <c r="A103" s="29" t="str">
        <f>IFERROR(MATCH(ROW()-3,Каталог!$AF$4:$AF$500,0),"")</f>
        <v/>
      </c>
      <c r="B103" s="29" t="str">
        <f t="shared" si="3"/>
        <v/>
      </c>
      <c r="C103" s="30" t="str">
        <f>IF($A103="","",INDEX(Каталог!$G$4:$G$500,$A103)&amp;"")</f>
        <v/>
      </c>
      <c r="D103" s="33"/>
      <c r="E103" s="31" t="str">
        <f>IF($A103="","",INDEX(Каталог!$H$4:$H$500,$A103)&amp;"")</f>
        <v/>
      </c>
      <c r="F103" s="32" t="str">
        <f>IF($A103="","",INDEX(Каталог!$B$4:$B$500,$A103)&amp;"")</f>
        <v/>
      </c>
      <c r="G103" s="32" t="str">
        <f>IF($A103="","",INDEX(Каталог!$M$4:$M$500,$A103)&amp;"")</f>
        <v/>
      </c>
      <c r="H103" s="32" t="str">
        <f>IF($A103="","",INDEX(Каталог!$P$4:$P$500,$A103))</f>
        <v/>
      </c>
      <c r="I103" s="5"/>
      <c r="J103" s="5"/>
    </row>
    <row r="104" spans="1:10" x14ac:dyDescent="0.3">
      <c r="A104" s="29" t="str">
        <f>IFERROR(MATCH(ROW()-3,Каталог!$AF$4:$AF$500,0),"")</f>
        <v/>
      </c>
      <c r="B104" s="29" t="str">
        <f t="shared" si="3"/>
        <v/>
      </c>
      <c r="C104" s="30" t="str">
        <f>IF($A104="","",INDEX(Каталог!$G$4:$G$500,$A104)&amp;"")</f>
        <v/>
      </c>
      <c r="D104" s="33"/>
      <c r="E104" s="31" t="str">
        <f>IF($A104="","",INDEX(Каталог!$H$4:$H$500,$A104)&amp;"")</f>
        <v/>
      </c>
      <c r="F104" s="32" t="str">
        <f>IF($A104="","",INDEX(Каталог!$B$4:$B$500,$A104)&amp;"")</f>
        <v/>
      </c>
      <c r="G104" s="32" t="str">
        <f>IF($A104="","",INDEX(Каталог!$M$4:$M$500,$A104)&amp;"")</f>
        <v/>
      </c>
      <c r="H104" s="32" t="str">
        <f>IF($A104="","",INDEX(Каталог!$P$4:$P$500,$A104))</f>
        <v/>
      </c>
      <c r="I104" s="5"/>
      <c r="J104" s="5"/>
    </row>
    <row r="105" spans="1:10" x14ac:dyDescent="0.3">
      <c r="A105" s="29" t="str">
        <f>IFERROR(MATCH(ROW()-3,Каталог!$AF$4:$AF$500,0),"")</f>
        <v/>
      </c>
      <c r="B105" s="29" t="str">
        <f t="shared" si="3"/>
        <v/>
      </c>
      <c r="C105" s="30" t="str">
        <f>IF($A105="","",INDEX(Каталог!$G$4:$G$500,$A105)&amp;"")</f>
        <v/>
      </c>
      <c r="D105" s="33"/>
      <c r="E105" s="31" t="str">
        <f>IF($A105="","",INDEX(Каталог!$H$4:$H$500,$A105)&amp;"")</f>
        <v/>
      </c>
      <c r="F105" s="32" t="str">
        <f>IF($A105="","",INDEX(Каталог!$B$4:$B$500,$A105)&amp;"")</f>
        <v/>
      </c>
      <c r="G105" s="32" t="str">
        <f>IF($A105="","",INDEX(Каталог!$M$4:$M$500,$A105)&amp;"")</f>
        <v/>
      </c>
      <c r="H105" s="32" t="str">
        <f>IF($A105="","",INDEX(Каталог!$P$4:$P$500,$A105))</f>
        <v/>
      </c>
      <c r="I105" s="5"/>
      <c r="J105" s="5"/>
    </row>
    <row r="106" spans="1:10" x14ac:dyDescent="0.3">
      <c r="A106" s="29" t="str">
        <f>IFERROR(MATCH(ROW()-3,Каталог!$AF$4:$AF$500,0),"")</f>
        <v/>
      </c>
      <c r="B106" s="29" t="str">
        <f t="shared" si="3"/>
        <v/>
      </c>
      <c r="C106" s="30" t="str">
        <f>IF($A106="","",INDEX(Каталог!$G$4:$G$500,$A106)&amp;"")</f>
        <v/>
      </c>
      <c r="D106" s="33"/>
      <c r="E106" s="31" t="str">
        <f>IF($A106="","",INDEX(Каталог!$H$4:$H$500,$A106)&amp;"")</f>
        <v/>
      </c>
      <c r="F106" s="32" t="str">
        <f>IF($A106="","",INDEX(Каталог!$B$4:$B$500,$A106)&amp;"")</f>
        <v/>
      </c>
      <c r="G106" s="32" t="str">
        <f>IF($A106="","",INDEX(Каталог!$M$4:$M$500,$A106)&amp;"")</f>
        <v/>
      </c>
      <c r="H106" s="32" t="str">
        <f>IF($A106="","",INDEX(Каталог!$P$4:$P$500,$A106))</f>
        <v/>
      </c>
      <c r="I106" s="5"/>
      <c r="J106" s="5"/>
    </row>
    <row r="107" spans="1:10" x14ac:dyDescent="0.3">
      <c r="A107" s="29" t="str">
        <f>IFERROR(MATCH(ROW()-3,Каталог!$AF$4:$AF$500,0),"")</f>
        <v/>
      </c>
      <c r="B107" s="29" t="str">
        <f t="shared" si="3"/>
        <v/>
      </c>
      <c r="C107" s="30" t="str">
        <f>IF($A107="","",INDEX(Каталог!$G$4:$G$500,$A107)&amp;"")</f>
        <v/>
      </c>
      <c r="D107" s="33"/>
      <c r="E107" s="31" t="str">
        <f>IF($A107="","",INDEX(Каталог!$H$4:$H$500,$A107)&amp;"")</f>
        <v/>
      </c>
      <c r="F107" s="32" t="str">
        <f>IF($A107="","",INDEX(Каталог!$B$4:$B$500,$A107)&amp;"")</f>
        <v/>
      </c>
      <c r="G107" s="32" t="str">
        <f>IF($A107="","",INDEX(Каталог!$M$4:$M$500,$A107)&amp;"")</f>
        <v/>
      </c>
      <c r="H107" s="32" t="str">
        <f>IF($A107="","",INDEX(Каталог!$P$4:$P$500,$A107))</f>
        <v/>
      </c>
      <c r="I107" s="5"/>
      <c r="J107" s="5"/>
    </row>
    <row r="108" spans="1:10" x14ac:dyDescent="0.3">
      <c r="A108" s="29" t="str">
        <f>IFERROR(MATCH(ROW()-3,Каталог!$AF$4:$AF$500,0),"")</f>
        <v/>
      </c>
      <c r="B108" s="29" t="str">
        <f t="shared" si="3"/>
        <v/>
      </c>
      <c r="C108" s="30" t="str">
        <f>IF($A108="","",INDEX(Каталог!$G$4:$G$500,$A108)&amp;"")</f>
        <v/>
      </c>
      <c r="D108" s="33"/>
      <c r="E108" s="31" t="str">
        <f>IF($A108="","",INDEX(Каталог!$H$4:$H$500,$A108)&amp;"")</f>
        <v/>
      </c>
      <c r="F108" s="32" t="str">
        <f>IF($A108="","",INDEX(Каталог!$B$4:$B$500,$A108)&amp;"")</f>
        <v/>
      </c>
      <c r="G108" s="32" t="str">
        <f>IF($A108="","",INDEX(Каталог!$M$4:$M$500,$A108)&amp;"")</f>
        <v/>
      </c>
      <c r="H108" s="32" t="str">
        <f>IF($A108="","",INDEX(Каталог!$P$4:$P$500,$A108))</f>
        <v/>
      </c>
      <c r="I108" s="5"/>
      <c r="J108" s="5"/>
    </row>
    <row r="109" spans="1:10" x14ac:dyDescent="0.3">
      <c r="A109" s="29" t="str">
        <f>IFERROR(MATCH(ROW()-3,Каталог!$AF$4:$AF$500,0),"")</f>
        <v/>
      </c>
      <c r="B109" s="29" t="str">
        <f t="shared" si="3"/>
        <v/>
      </c>
      <c r="C109" s="30" t="str">
        <f>IF($A109="","",INDEX(Каталог!$G$4:$G$500,$A109)&amp;"")</f>
        <v/>
      </c>
      <c r="D109" s="33"/>
      <c r="E109" s="31" t="str">
        <f>IF($A109="","",INDEX(Каталог!$H$4:$H$500,$A109)&amp;"")</f>
        <v/>
      </c>
      <c r="F109" s="32" t="str">
        <f>IF($A109="","",INDEX(Каталог!$B$4:$B$500,$A109)&amp;"")</f>
        <v/>
      </c>
      <c r="G109" s="32" t="str">
        <f>IF($A109="","",INDEX(Каталог!$M$4:$M$500,$A109)&amp;"")</f>
        <v/>
      </c>
      <c r="H109" s="32" t="str">
        <f>IF($A109="","",INDEX(Каталог!$P$4:$P$500,$A109))</f>
        <v/>
      </c>
      <c r="I109" s="5"/>
      <c r="J109" s="5"/>
    </row>
    <row r="110" spans="1:10" x14ac:dyDescent="0.3">
      <c r="A110" s="29" t="str">
        <f>IFERROR(MATCH(ROW()-3,Каталог!$AF$4:$AF$500,0),"")</f>
        <v/>
      </c>
      <c r="B110" s="29" t="str">
        <f t="shared" si="3"/>
        <v/>
      </c>
      <c r="C110" s="30" t="str">
        <f>IF($A110="","",INDEX(Каталог!$G$4:$G$500,$A110)&amp;"")</f>
        <v/>
      </c>
      <c r="D110" s="33"/>
      <c r="E110" s="31" t="str">
        <f>IF($A110="","",INDEX(Каталог!$H$4:$H$500,$A110)&amp;"")</f>
        <v/>
      </c>
      <c r="F110" s="32" t="str">
        <f>IF($A110="","",INDEX(Каталог!$B$4:$B$500,$A110)&amp;"")</f>
        <v/>
      </c>
      <c r="G110" s="32" t="str">
        <f>IF($A110="","",INDEX(Каталог!$M$4:$M$500,$A110)&amp;"")</f>
        <v/>
      </c>
      <c r="H110" s="32" t="str">
        <f>IF($A110="","",INDEX(Каталог!$P$4:$P$500,$A110))</f>
        <v/>
      </c>
      <c r="I110" s="5"/>
      <c r="J110" s="5"/>
    </row>
    <row r="111" spans="1:10" x14ac:dyDescent="0.3">
      <c r="A111" s="29" t="str">
        <f>IFERROR(MATCH(ROW()-3,Каталог!$AF$4:$AF$500,0),"")</f>
        <v/>
      </c>
      <c r="B111" s="29" t="str">
        <f t="shared" si="3"/>
        <v/>
      </c>
      <c r="C111" s="30" t="str">
        <f>IF($A111="","",INDEX(Каталог!$G$4:$G$500,$A111)&amp;"")</f>
        <v/>
      </c>
      <c r="D111" s="33"/>
      <c r="E111" s="31" t="str">
        <f>IF($A111="","",INDEX(Каталог!$H$4:$H$500,$A111)&amp;"")</f>
        <v/>
      </c>
      <c r="F111" s="32" t="str">
        <f>IF($A111="","",INDEX(Каталог!$B$4:$B$500,$A111)&amp;"")</f>
        <v/>
      </c>
      <c r="G111" s="32" t="str">
        <f>IF($A111="","",INDEX(Каталог!$M$4:$M$500,$A111)&amp;"")</f>
        <v/>
      </c>
      <c r="H111" s="32" t="str">
        <f>IF($A111="","",INDEX(Каталог!$P$4:$P$500,$A111))</f>
        <v/>
      </c>
      <c r="I111" s="5"/>
      <c r="J111" s="5"/>
    </row>
    <row r="112" spans="1:10" x14ac:dyDescent="0.3">
      <c r="A112" s="29" t="str">
        <f>IFERROR(MATCH(ROW()-3,Каталог!$AF$4:$AF$500,0),"")</f>
        <v/>
      </c>
      <c r="B112" s="29" t="str">
        <f t="shared" si="3"/>
        <v/>
      </c>
      <c r="C112" s="30" t="str">
        <f>IF($A112="","",INDEX(Каталог!$G$4:$G$500,$A112)&amp;"")</f>
        <v/>
      </c>
      <c r="D112" s="33"/>
      <c r="E112" s="31" t="str">
        <f>IF($A112="","",INDEX(Каталог!$H$4:$H$500,$A112)&amp;"")</f>
        <v/>
      </c>
      <c r="F112" s="32" t="str">
        <f>IF($A112="","",INDEX(Каталог!$B$4:$B$500,$A112)&amp;"")</f>
        <v/>
      </c>
      <c r="G112" s="32" t="str">
        <f>IF($A112="","",INDEX(Каталог!$M$4:$M$500,$A112)&amp;"")</f>
        <v/>
      </c>
      <c r="H112" s="32" t="str">
        <f>IF($A112="","",INDEX(Каталог!$P$4:$P$500,$A112))</f>
        <v/>
      </c>
      <c r="I112" s="5"/>
      <c r="J112" s="5"/>
    </row>
    <row r="113" spans="1:10" x14ac:dyDescent="0.3">
      <c r="A113" s="29" t="str">
        <f>IFERROR(MATCH(ROW()-3,Каталог!$AF$4:$AF$500,0),"")</f>
        <v/>
      </c>
      <c r="B113" s="29" t="str">
        <f t="shared" si="3"/>
        <v/>
      </c>
      <c r="C113" s="30" t="str">
        <f>IF($A113="","",INDEX(Каталог!$G$4:$G$500,$A113)&amp;"")</f>
        <v/>
      </c>
      <c r="D113" s="33"/>
      <c r="E113" s="31" t="str">
        <f>IF($A113="","",INDEX(Каталог!$H$4:$H$500,$A113)&amp;"")</f>
        <v/>
      </c>
      <c r="F113" s="32" t="str">
        <f>IF($A113="","",INDEX(Каталог!$B$4:$B$500,$A113)&amp;"")</f>
        <v/>
      </c>
      <c r="G113" s="32" t="str">
        <f>IF($A113="","",INDEX(Каталог!$M$4:$M$500,$A113)&amp;"")</f>
        <v/>
      </c>
      <c r="H113" s="32" t="str">
        <f>IF($A113="","",INDEX(Каталог!$P$4:$P$500,$A113))</f>
        <v/>
      </c>
      <c r="I113" s="5"/>
      <c r="J113" s="5"/>
    </row>
    <row r="114" spans="1:10" x14ac:dyDescent="0.3">
      <c r="A114" s="29" t="str">
        <f>IFERROR(MATCH(ROW()-3,Каталог!$AF$4:$AF$500,0),"")</f>
        <v/>
      </c>
      <c r="B114" s="29" t="str">
        <f t="shared" si="3"/>
        <v/>
      </c>
      <c r="C114" s="30" t="str">
        <f>IF($A114="","",INDEX(Каталог!$G$4:$G$500,$A114)&amp;"")</f>
        <v/>
      </c>
      <c r="D114" s="33"/>
      <c r="E114" s="31" t="str">
        <f>IF($A114="","",INDEX(Каталог!$H$4:$H$500,$A114)&amp;"")</f>
        <v/>
      </c>
      <c r="F114" s="32" t="str">
        <f>IF($A114="","",INDEX(Каталог!$B$4:$B$500,$A114)&amp;"")</f>
        <v/>
      </c>
      <c r="G114" s="32" t="str">
        <f>IF($A114="","",INDEX(Каталог!$M$4:$M$500,$A114)&amp;"")</f>
        <v/>
      </c>
      <c r="H114" s="32" t="str">
        <f>IF($A114="","",INDEX(Каталог!$P$4:$P$500,$A114))</f>
        <v/>
      </c>
      <c r="I114" s="5"/>
      <c r="J114" s="5"/>
    </row>
    <row r="115" spans="1:10" x14ac:dyDescent="0.3">
      <c r="A115" s="29" t="str">
        <f>IFERROR(MATCH(ROW()-3,Каталог!$AF$4:$AF$500,0),"")</f>
        <v/>
      </c>
      <c r="B115" s="29" t="str">
        <f t="shared" si="3"/>
        <v/>
      </c>
      <c r="C115" s="30" t="str">
        <f>IF($A115="","",INDEX(Каталог!$G$4:$G$500,$A115)&amp;"")</f>
        <v/>
      </c>
      <c r="D115" s="33"/>
      <c r="E115" s="31" t="str">
        <f>IF($A115="","",INDEX(Каталог!$H$4:$H$500,$A115)&amp;"")</f>
        <v/>
      </c>
      <c r="F115" s="32" t="str">
        <f>IF($A115="","",INDEX(Каталог!$B$4:$B$500,$A115)&amp;"")</f>
        <v/>
      </c>
      <c r="G115" s="32" t="str">
        <f>IF($A115="","",INDEX(Каталог!$M$4:$M$500,$A115)&amp;"")</f>
        <v/>
      </c>
      <c r="H115" s="32" t="str">
        <f>IF($A115="","",INDEX(Каталог!$P$4:$P$500,$A115))</f>
        <v/>
      </c>
      <c r="I115" s="5"/>
      <c r="J115" s="5"/>
    </row>
    <row r="116" spans="1:10" x14ac:dyDescent="0.3">
      <c r="A116" s="29" t="str">
        <f>IFERROR(MATCH(ROW()-3,Каталог!$AF$4:$AF$500,0),"")</f>
        <v/>
      </c>
      <c r="B116" s="29" t="str">
        <f t="shared" si="3"/>
        <v/>
      </c>
      <c r="C116" s="30" t="str">
        <f>IF($A116="","",INDEX(Каталог!$G$4:$G$500,$A116)&amp;"")</f>
        <v/>
      </c>
      <c r="D116" s="33"/>
      <c r="E116" s="31" t="str">
        <f>IF($A116="","",INDEX(Каталог!$H$4:$H$500,$A116)&amp;"")</f>
        <v/>
      </c>
      <c r="F116" s="32" t="str">
        <f>IF($A116="","",INDEX(Каталог!$B$4:$B$500,$A116)&amp;"")</f>
        <v/>
      </c>
      <c r="G116" s="32" t="str">
        <f>IF($A116="","",INDEX(Каталог!$M$4:$M$500,$A116)&amp;"")</f>
        <v/>
      </c>
      <c r="H116" s="32" t="str">
        <f>IF($A116="","",INDEX(Каталог!$P$4:$P$500,$A116))</f>
        <v/>
      </c>
      <c r="I116" s="5"/>
      <c r="J116" s="5"/>
    </row>
    <row r="117" spans="1:10" x14ac:dyDescent="0.3">
      <c r="A117" s="29" t="str">
        <f>IFERROR(MATCH(ROW()-3,Каталог!$AF$4:$AF$500,0),"")</f>
        <v/>
      </c>
      <c r="B117" s="29" t="str">
        <f t="shared" si="3"/>
        <v/>
      </c>
      <c r="C117" s="30" t="str">
        <f>IF($A117="","",INDEX(Каталог!$G$4:$G$500,$A117)&amp;"")</f>
        <v/>
      </c>
      <c r="D117" s="33"/>
      <c r="E117" s="31" t="str">
        <f>IF($A117="","",INDEX(Каталог!$H$4:$H$500,$A117)&amp;"")</f>
        <v/>
      </c>
      <c r="F117" s="32" t="str">
        <f>IF($A117="","",INDEX(Каталог!$B$4:$B$500,$A117)&amp;"")</f>
        <v/>
      </c>
      <c r="G117" s="32" t="str">
        <f>IF($A117="","",INDEX(Каталог!$M$4:$M$500,$A117)&amp;"")</f>
        <v/>
      </c>
      <c r="H117" s="32" t="str">
        <f>IF($A117="","",INDEX(Каталог!$P$4:$P$500,$A117))</f>
        <v/>
      </c>
      <c r="I117" s="5"/>
      <c r="J117" s="5"/>
    </row>
    <row r="118" spans="1:10" x14ac:dyDescent="0.3">
      <c r="A118" s="29" t="str">
        <f>IFERROR(MATCH(ROW()-3,Каталог!$AF$4:$AF$500,0),"")</f>
        <v/>
      </c>
      <c r="B118" s="29" t="str">
        <f t="shared" si="3"/>
        <v/>
      </c>
      <c r="C118" s="30" t="str">
        <f>IF($A118="","",INDEX(Каталог!$G$4:$G$500,$A118)&amp;"")</f>
        <v/>
      </c>
      <c r="D118" s="33"/>
      <c r="E118" s="31" t="str">
        <f>IF($A118="","",INDEX(Каталог!$H$4:$H$500,$A118)&amp;"")</f>
        <v/>
      </c>
      <c r="F118" s="32" t="str">
        <f>IF($A118="","",INDEX(Каталог!$B$4:$B$500,$A118)&amp;"")</f>
        <v/>
      </c>
      <c r="G118" s="32" t="str">
        <f>IF($A118="","",INDEX(Каталог!$M$4:$M$500,$A118)&amp;"")</f>
        <v/>
      </c>
      <c r="H118" s="32" t="str">
        <f>IF($A118="","",INDEX(Каталог!$P$4:$P$500,$A118))</f>
        <v/>
      </c>
      <c r="I118" s="5"/>
      <c r="J118" s="5"/>
    </row>
    <row r="119" spans="1:10" x14ac:dyDescent="0.3">
      <c r="A119" s="29" t="str">
        <f>IFERROR(MATCH(ROW()-3,Каталог!$AF$4:$AF$500,0),"")</f>
        <v/>
      </c>
      <c r="B119" s="29" t="str">
        <f t="shared" si="3"/>
        <v/>
      </c>
      <c r="C119" s="30" t="str">
        <f>IF($A119="","",INDEX(Каталог!$G$4:$G$500,$A119)&amp;"")</f>
        <v/>
      </c>
      <c r="D119" s="33"/>
      <c r="E119" s="31" t="str">
        <f>IF($A119="","",INDEX(Каталог!$H$4:$H$500,$A119)&amp;"")</f>
        <v/>
      </c>
      <c r="F119" s="32" t="str">
        <f>IF($A119="","",INDEX(Каталог!$B$4:$B$500,$A119)&amp;"")</f>
        <v/>
      </c>
      <c r="G119" s="32" t="str">
        <f>IF($A119="","",INDEX(Каталог!$M$4:$M$500,$A119)&amp;"")</f>
        <v/>
      </c>
      <c r="H119" s="32" t="str">
        <f>IF($A119="","",INDEX(Каталог!$P$4:$P$500,$A119))</f>
        <v/>
      </c>
      <c r="I119" s="5"/>
      <c r="J119" s="5"/>
    </row>
    <row r="120" spans="1:10" x14ac:dyDescent="0.3">
      <c r="A120" s="29" t="str">
        <f>IFERROR(MATCH(ROW()-3,Каталог!$AF$4:$AF$500,0),"")</f>
        <v/>
      </c>
      <c r="B120" s="29" t="str">
        <f t="shared" si="3"/>
        <v/>
      </c>
      <c r="C120" s="30" t="str">
        <f>IF($A120="","",INDEX(Каталог!$G$4:$G$500,$A120)&amp;"")</f>
        <v/>
      </c>
      <c r="D120" s="33"/>
      <c r="E120" s="31" t="str">
        <f>IF($A120="","",INDEX(Каталог!$H$4:$H$500,$A120)&amp;"")</f>
        <v/>
      </c>
      <c r="F120" s="32" t="str">
        <f>IF($A120="","",INDEX(Каталог!$B$4:$B$500,$A120)&amp;"")</f>
        <v/>
      </c>
      <c r="G120" s="32" t="str">
        <f>IF($A120="","",INDEX(Каталог!$M$4:$M$500,$A120)&amp;"")</f>
        <v/>
      </c>
      <c r="H120" s="32" t="str">
        <f>IF($A120="","",INDEX(Каталог!$P$4:$P$500,$A120))</f>
        <v/>
      </c>
      <c r="I120" s="5"/>
      <c r="J120" s="5"/>
    </row>
    <row r="121" spans="1:10" x14ac:dyDescent="0.3">
      <c r="A121" s="29" t="str">
        <f>IFERROR(MATCH(ROW()-3,Каталог!$AF$4:$AF$500,0),"")</f>
        <v/>
      </c>
      <c r="B121" s="29" t="str">
        <f t="shared" si="3"/>
        <v/>
      </c>
      <c r="C121" s="30" t="str">
        <f>IF($A121="","",INDEX(Каталог!$G$4:$G$500,$A121)&amp;"")</f>
        <v/>
      </c>
      <c r="D121" s="33"/>
      <c r="E121" s="31" t="str">
        <f>IF($A121="","",INDEX(Каталог!$H$4:$H$500,$A121)&amp;"")</f>
        <v/>
      </c>
      <c r="F121" s="32" t="str">
        <f>IF($A121="","",INDEX(Каталог!$B$4:$B$500,$A121)&amp;"")</f>
        <v/>
      </c>
      <c r="G121" s="32" t="str">
        <f>IF($A121="","",INDEX(Каталог!$M$4:$M$500,$A121)&amp;"")</f>
        <v/>
      </c>
      <c r="H121" s="32" t="str">
        <f>IF($A121="","",INDEX(Каталог!$P$4:$P$500,$A121))</f>
        <v/>
      </c>
      <c r="I121" s="5"/>
      <c r="J121" s="5"/>
    </row>
    <row r="122" spans="1:10" x14ac:dyDescent="0.3">
      <c r="A122" s="29" t="str">
        <f>IFERROR(MATCH(ROW()-3,Каталог!$AF$4:$AF$500,0),"")</f>
        <v/>
      </c>
      <c r="B122" s="29" t="str">
        <f t="shared" si="3"/>
        <v/>
      </c>
      <c r="C122" s="30" t="str">
        <f>IF($A122="","",INDEX(Каталог!$G$4:$G$500,$A122)&amp;"")</f>
        <v/>
      </c>
      <c r="D122" s="33"/>
      <c r="E122" s="31" t="str">
        <f>IF($A122="","",INDEX(Каталог!$H$4:$H$500,$A122)&amp;"")</f>
        <v/>
      </c>
      <c r="F122" s="32" t="str">
        <f>IF($A122="","",INDEX(Каталог!$B$4:$B$500,$A122)&amp;"")</f>
        <v/>
      </c>
      <c r="G122" s="32" t="str">
        <f>IF($A122="","",INDEX(Каталог!$M$4:$M$500,$A122)&amp;"")</f>
        <v/>
      </c>
      <c r="H122" s="32" t="str">
        <f>IF($A122="","",INDEX(Каталог!$P$4:$P$500,$A122))</f>
        <v/>
      </c>
      <c r="I122" s="5"/>
      <c r="J122" s="5"/>
    </row>
    <row r="123" spans="1:10" x14ac:dyDescent="0.3">
      <c r="A123" s="29" t="str">
        <f>IFERROR(MATCH(ROW()-3,Каталог!$AF$4:$AF$500,0),"")</f>
        <v/>
      </c>
      <c r="B123" s="29" t="str">
        <f t="shared" si="3"/>
        <v/>
      </c>
      <c r="C123" s="30" t="str">
        <f>IF($A123="","",INDEX(Каталог!$G$4:$G$500,$A123)&amp;"")</f>
        <v/>
      </c>
      <c r="D123" s="33"/>
      <c r="E123" s="31" t="str">
        <f>IF($A123="","",INDEX(Каталог!$H$4:$H$500,$A123)&amp;"")</f>
        <v/>
      </c>
      <c r="F123" s="32" t="str">
        <f>IF($A123="","",INDEX(Каталог!$B$4:$B$500,$A123)&amp;"")</f>
        <v/>
      </c>
      <c r="G123" s="32" t="str">
        <f>IF($A123="","",INDEX(Каталог!$M$4:$M$500,$A123)&amp;"")</f>
        <v/>
      </c>
      <c r="H123" s="32" t="str">
        <f>IF($A123="","",INDEX(Каталог!$P$4:$P$500,$A123))</f>
        <v/>
      </c>
      <c r="I123" s="5"/>
      <c r="J123" s="5"/>
    </row>
    <row r="124" spans="1:10" x14ac:dyDescent="0.3">
      <c r="A124" s="29" t="str">
        <f>IFERROR(MATCH(ROW()-3,Каталог!$AF$4:$AF$500,0),"")</f>
        <v/>
      </c>
      <c r="B124" s="29" t="str">
        <f t="shared" si="3"/>
        <v/>
      </c>
      <c r="C124" s="30" t="str">
        <f>IF($A124="","",INDEX(Каталог!$G$4:$G$500,$A124)&amp;"")</f>
        <v/>
      </c>
      <c r="D124" s="33"/>
      <c r="E124" s="31" t="str">
        <f>IF($A124="","",INDEX(Каталог!$H$4:$H$500,$A124)&amp;"")</f>
        <v/>
      </c>
      <c r="F124" s="32" t="str">
        <f>IF($A124="","",INDEX(Каталог!$B$4:$B$500,$A124)&amp;"")</f>
        <v/>
      </c>
      <c r="G124" s="32" t="str">
        <f>IF($A124="","",INDEX(Каталог!$M$4:$M$500,$A124)&amp;"")</f>
        <v/>
      </c>
      <c r="H124" s="32" t="str">
        <f>IF($A124="","",INDEX(Каталог!$P$4:$P$500,$A124))</f>
        <v/>
      </c>
      <c r="I124" s="5"/>
      <c r="J124" s="5"/>
    </row>
    <row r="125" spans="1:10" x14ac:dyDescent="0.3">
      <c r="A125" s="29" t="str">
        <f>IFERROR(MATCH(ROW()-3,Каталог!$AF$4:$AF$500,0),"")</f>
        <v/>
      </c>
      <c r="B125" s="29" t="str">
        <f t="shared" si="3"/>
        <v/>
      </c>
      <c r="C125" s="30" t="str">
        <f>IF($A125="","",INDEX(Каталог!$G$4:$G$500,$A125)&amp;"")</f>
        <v/>
      </c>
      <c r="D125" s="33"/>
      <c r="E125" s="31" t="str">
        <f>IF($A125="","",INDEX(Каталог!$H$4:$H$500,$A125)&amp;"")</f>
        <v/>
      </c>
      <c r="F125" s="32" t="str">
        <f>IF($A125="","",INDEX(Каталог!$B$4:$B$500,$A125)&amp;"")</f>
        <v/>
      </c>
      <c r="G125" s="32" t="str">
        <f>IF($A125="","",INDEX(Каталог!$M$4:$M$500,$A125)&amp;"")</f>
        <v/>
      </c>
      <c r="H125" s="32" t="str">
        <f>IF($A125="","",INDEX(Каталог!$P$4:$P$500,$A125))</f>
        <v/>
      </c>
      <c r="I125" s="5"/>
      <c r="J125" s="5"/>
    </row>
    <row r="126" spans="1:10" x14ac:dyDescent="0.3">
      <c r="A126" s="29" t="str">
        <f>IFERROR(MATCH(ROW()-3,Каталог!$AF$4:$AF$500,0),"")</f>
        <v/>
      </c>
      <c r="B126" s="29" t="str">
        <f t="shared" si="3"/>
        <v/>
      </c>
      <c r="C126" s="30" t="str">
        <f>IF($A126="","",INDEX(Каталог!$G$4:$G$500,$A126)&amp;"")</f>
        <v/>
      </c>
      <c r="D126" s="33"/>
      <c r="E126" s="31" t="str">
        <f>IF($A126="","",INDEX(Каталог!$H$4:$H$500,$A126)&amp;"")</f>
        <v/>
      </c>
      <c r="F126" s="32" t="str">
        <f>IF($A126="","",INDEX(Каталог!$B$4:$B$500,$A126)&amp;"")</f>
        <v/>
      </c>
      <c r="G126" s="32" t="str">
        <f>IF($A126="","",INDEX(Каталог!$M$4:$M$500,$A126)&amp;"")</f>
        <v/>
      </c>
      <c r="H126" s="32" t="str">
        <f>IF($A126="","",INDEX(Каталог!$P$4:$P$500,$A126))</f>
        <v/>
      </c>
      <c r="I126" s="5"/>
      <c r="J126" s="5"/>
    </row>
    <row r="127" spans="1:10" x14ac:dyDescent="0.3">
      <c r="A127" s="29" t="str">
        <f>IFERROR(MATCH(ROW()-3,Каталог!$AF$4:$AF$500,0),"")</f>
        <v/>
      </c>
      <c r="B127" s="29" t="str">
        <f t="shared" si="3"/>
        <v/>
      </c>
      <c r="C127" s="30" t="str">
        <f>IF($A127="","",INDEX(Каталог!$G$4:$G$500,$A127)&amp;"")</f>
        <v/>
      </c>
      <c r="D127" s="33"/>
      <c r="E127" s="31" t="str">
        <f>IF($A127="","",INDEX(Каталог!$H$4:$H$500,$A127)&amp;"")</f>
        <v/>
      </c>
      <c r="F127" s="32" t="str">
        <f>IF($A127="","",INDEX(Каталог!$B$4:$B$500,$A127)&amp;"")</f>
        <v/>
      </c>
      <c r="G127" s="32" t="str">
        <f>IF($A127="","",INDEX(Каталог!$M$4:$M$500,$A127)&amp;"")</f>
        <v/>
      </c>
      <c r="H127" s="32" t="str">
        <f>IF($A127="","",INDEX(Каталог!$P$4:$P$500,$A127))</f>
        <v/>
      </c>
      <c r="I127" s="5"/>
      <c r="J127" s="5"/>
    </row>
    <row r="128" spans="1:10" x14ac:dyDescent="0.3">
      <c r="A128" s="29" t="str">
        <f>IFERROR(MATCH(ROW()-3,Каталог!$AF$4:$AF$500,0),"")</f>
        <v/>
      </c>
      <c r="B128" s="29" t="str">
        <f t="shared" si="3"/>
        <v/>
      </c>
      <c r="C128" s="30" t="str">
        <f>IF($A128="","",INDEX(Каталог!$G$4:$G$500,$A128)&amp;"")</f>
        <v/>
      </c>
      <c r="D128" s="33"/>
      <c r="E128" s="31" t="str">
        <f>IF($A128="","",INDEX(Каталог!$H$4:$H$500,$A128)&amp;"")</f>
        <v/>
      </c>
      <c r="F128" s="32" t="str">
        <f>IF($A128="","",INDEX(Каталог!$B$4:$B$500,$A128)&amp;"")</f>
        <v/>
      </c>
      <c r="G128" s="32" t="str">
        <f>IF($A128="","",INDEX(Каталог!$M$4:$M$500,$A128)&amp;"")</f>
        <v/>
      </c>
      <c r="H128" s="32" t="str">
        <f>IF($A128="","",INDEX(Каталог!$P$4:$P$500,$A128))</f>
        <v/>
      </c>
      <c r="I128" s="5"/>
      <c r="J128" s="5"/>
    </row>
    <row r="129" spans="1:10" x14ac:dyDescent="0.3">
      <c r="A129" s="29" t="str">
        <f>IFERROR(MATCH(ROW()-3,Каталог!$AF$4:$AF$500,0),"")</f>
        <v/>
      </c>
      <c r="B129" s="29" t="str">
        <f t="shared" si="3"/>
        <v/>
      </c>
      <c r="C129" s="30" t="str">
        <f>IF($A129="","",INDEX(Каталог!$G$4:$G$500,$A129)&amp;"")</f>
        <v/>
      </c>
      <c r="D129" s="33"/>
      <c r="E129" s="31" t="str">
        <f>IF($A129="","",INDEX(Каталог!$H$4:$H$500,$A129)&amp;"")</f>
        <v/>
      </c>
      <c r="F129" s="32" t="str">
        <f>IF($A129="","",INDEX(Каталог!$B$4:$B$500,$A129)&amp;"")</f>
        <v/>
      </c>
      <c r="G129" s="32" t="str">
        <f>IF($A129="","",INDEX(Каталог!$M$4:$M$500,$A129)&amp;"")</f>
        <v/>
      </c>
      <c r="H129" s="32" t="str">
        <f>IF($A129="","",INDEX(Каталог!$P$4:$P$500,$A129))</f>
        <v/>
      </c>
      <c r="I129" s="5"/>
      <c r="J129" s="5"/>
    </row>
    <row r="130" spans="1:10" x14ac:dyDescent="0.3">
      <c r="A130" s="29" t="str">
        <f>IFERROR(MATCH(ROW()-3,Каталог!$AF$4:$AF$500,0),"")</f>
        <v/>
      </c>
      <c r="B130" s="29" t="str">
        <f t="shared" si="3"/>
        <v/>
      </c>
      <c r="C130" s="30" t="str">
        <f>IF($A130="","",INDEX(Каталог!$G$4:$G$500,$A130)&amp;"")</f>
        <v/>
      </c>
      <c r="D130" s="33"/>
      <c r="E130" s="31" t="str">
        <f>IF($A130="","",INDEX(Каталог!$H$4:$H$500,$A130)&amp;"")</f>
        <v/>
      </c>
      <c r="F130" s="32" t="str">
        <f>IF($A130="","",INDEX(Каталог!$B$4:$B$500,$A130)&amp;"")</f>
        <v/>
      </c>
      <c r="G130" s="32" t="str">
        <f>IF($A130="","",INDEX(Каталог!$M$4:$M$500,$A130)&amp;"")</f>
        <v/>
      </c>
      <c r="H130" s="32" t="str">
        <f>IF($A130="","",INDEX(Каталог!$P$4:$P$500,$A130))</f>
        <v/>
      </c>
      <c r="I130" s="5"/>
      <c r="J130" s="5"/>
    </row>
    <row r="131" spans="1:10" x14ac:dyDescent="0.3">
      <c r="A131" s="29" t="str">
        <f>IFERROR(MATCH(ROW()-3,Каталог!$AF$4:$AF$500,0),"")</f>
        <v/>
      </c>
      <c r="B131" s="29" t="str">
        <f t="shared" si="3"/>
        <v/>
      </c>
      <c r="C131" s="30" t="str">
        <f>IF($A131="","",INDEX(Каталог!$G$4:$G$500,$A131)&amp;"")</f>
        <v/>
      </c>
      <c r="D131" s="33"/>
      <c r="E131" s="31" t="str">
        <f>IF($A131="","",INDEX(Каталог!$H$4:$H$500,$A131)&amp;"")</f>
        <v/>
      </c>
      <c r="F131" s="32" t="str">
        <f>IF($A131="","",INDEX(Каталог!$B$4:$B$500,$A131)&amp;"")</f>
        <v/>
      </c>
      <c r="G131" s="32" t="str">
        <f>IF($A131="","",INDEX(Каталог!$M$4:$M$500,$A131)&amp;"")</f>
        <v/>
      </c>
      <c r="H131" s="32" t="str">
        <f>IF($A131="","",INDEX(Каталог!$P$4:$P$500,$A131))</f>
        <v/>
      </c>
      <c r="I131" s="5"/>
      <c r="J131" s="5"/>
    </row>
    <row r="132" spans="1:10" x14ac:dyDescent="0.3">
      <c r="A132" s="29" t="str">
        <f>IFERROR(MATCH(ROW()-3,Каталог!$AF$4:$AF$500,0),"")</f>
        <v/>
      </c>
      <c r="B132" s="29" t="str">
        <f t="shared" ref="B132:B160" si="4">IF($A132="","",$B$3&amp;"."&amp;(ROW()-3))</f>
        <v/>
      </c>
      <c r="C132" s="30" t="str">
        <f>IF($A132="","",INDEX(Каталог!$G$4:$G$500,$A132)&amp;"")</f>
        <v/>
      </c>
      <c r="D132" s="33"/>
      <c r="E132" s="31" t="str">
        <f>IF($A132="","",INDEX(Каталог!$H$4:$H$500,$A132)&amp;"")</f>
        <v/>
      </c>
      <c r="F132" s="32" t="str">
        <f>IF($A132="","",INDEX(Каталог!$B$4:$B$500,$A132)&amp;"")</f>
        <v/>
      </c>
      <c r="G132" s="32" t="str">
        <f>IF($A132="","",INDEX(Каталог!$M$4:$M$500,$A132)&amp;"")</f>
        <v/>
      </c>
      <c r="H132" s="32" t="str">
        <f>IF($A132="","",INDEX(Каталог!$P$4:$P$500,$A132))</f>
        <v/>
      </c>
      <c r="I132" s="5"/>
      <c r="J132" s="5"/>
    </row>
    <row r="133" spans="1:10" x14ac:dyDescent="0.3">
      <c r="A133" s="29" t="str">
        <f>IFERROR(MATCH(ROW()-3,Каталог!$AF$4:$AF$500,0),"")</f>
        <v/>
      </c>
      <c r="B133" s="29" t="str">
        <f t="shared" si="4"/>
        <v/>
      </c>
      <c r="C133" s="30" t="str">
        <f>IF($A133="","",INDEX(Каталог!$G$4:$G$500,$A133)&amp;"")</f>
        <v/>
      </c>
      <c r="D133" s="33"/>
      <c r="E133" s="31" t="str">
        <f>IF($A133="","",INDEX(Каталог!$H$4:$H$500,$A133)&amp;"")</f>
        <v/>
      </c>
      <c r="F133" s="32" t="str">
        <f>IF($A133="","",INDEX(Каталог!$B$4:$B$500,$A133)&amp;"")</f>
        <v/>
      </c>
      <c r="G133" s="32" t="str">
        <f>IF($A133="","",INDEX(Каталог!$M$4:$M$500,$A133)&amp;"")</f>
        <v/>
      </c>
      <c r="H133" s="32" t="str">
        <f>IF($A133="","",INDEX(Каталог!$P$4:$P$500,$A133))</f>
        <v/>
      </c>
      <c r="I133" s="5"/>
      <c r="J133" s="5"/>
    </row>
    <row r="134" spans="1:10" x14ac:dyDescent="0.3">
      <c r="A134" s="29" t="str">
        <f>IFERROR(MATCH(ROW()-3,Каталог!$AF$4:$AF$500,0),"")</f>
        <v/>
      </c>
      <c r="B134" s="29" t="str">
        <f t="shared" si="4"/>
        <v/>
      </c>
      <c r="C134" s="30" t="str">
        <f>IF($A134="","",INDEX(Каталог!$G$4:$G$500,$A134)&amp;"")</f>
        <v/>
      </c>
      <c r="D134" s="33"/>
      <c r="E134" s="31" t="str">
        <f>IF($A134="","",INDEX(Каталог!$H$4:$H$500,$A134)&amp;"")</f>
        <v/>
      </c>
      <c r="F134" s="32" t="str">
        <f>IF($A134="","",INDEX(Каталог!$B$4:$B$500,$A134)&amp;"")</f>
        <v/>
      </c>
      <c r="G134" s="32" t="str">
        <f>IF($A134="","",INDEX(Каталог!$M$4:$M$500,$A134)&amp;"")</f>
        <v/>
      </c>
      <c r="H134" s="32" t="str">
        <f>IF($A134="","",INDEX(Каталог!$P$4:$P$500,$A134))</f>
        <v/>
      </c>
      <c r="I134" s="5"/>
      <c r="J134" s="5"/>
    </row>
    <row r="135" spans="1:10" x14ac:dyDescent="0.3">
      <c r="A135" s="29" t="str">
        <f>IFERROR(MATCH(ROW()-3,Каталог!$AF$4:$AF$500,0),"")</f>
        <v/>
      </c>
      <c r="B135" s="29" t="str">
        <f t="shared" si="4"/>
        <v/>
      </c>
      <c r="C135" s="30" t="str">
        <f>IF($A135="","",INDEX(Каталог!$G$4:$G$500,$A135)&amp;"")</f>
        <v/>
      </c>
      <c r="D135" s="33"/>
      <c r="E135" s="31" t="str">
        <f>IF($A135="","",INDEX(Каталог!$H$4:$H$500,$A135)&amp;"")</f>
        <v/>
      </c>
      <c r="F135" s="32" t="str">
        <f>IF($A135="","",INDEX(Каталог!$B$4:$B$500,$A135)&amp;"")</f>
        <v/>
      </c>
      <c r="G135" s="32" t="str">
        <f>IF($A135="","",INDEX(Каталог!$M$4:$M$500,$A135)&amp;"")</f>
        <v/>
      </c>
      <c r="H135" s="32" t="str">
        <f>IF($A135="","",INDEX(Каталог!$P$4:$P$500,$A135))</f>
        <v/>
      </c>
      <c r="I135" s="5"/>
      <c r="J135" s="5"/>
    </row>
    <row r="136" spans="1:10" x14ac:dyDescent="0.3">
      <c r="A136" s="29" t="str">
        <f>IFERROR(MATCH(ROW()-3,Каталог!$AF$4:$AF$500,0),"")</f>
        <v/>
      </c>
      <c r="B136" s="29" t="str">
        <f t="shared" si="4"/>
        <v/>
      </c>
      <c r="C136" s="30" t="str">
        <f>IF($A136="","",INDEX(Каталог!$G$4:$G$500,$A136)&amp;"")</f>
        <v/>
      </c>
      <c r="D136" s="33"/>
      <c r="E136" s="31" t="str">
        <f>IF($A136="","",INDEX(Каталог!$H$4:$H$500,$A136)&amp;"")</f>
        <v/>
      </c>
      <c r="F136" s="32" t="str">
        <f>IF($A136="","",INDEX(Каталог!$B$4:$B$500,$A136)&amp;"")</f>
        <v/>
      </c>
      <c r="G136" s="32" t="str">
        <f>IF($A136="","",INDEX(Каталог!$M$4:$M$500,$A136)&amp;"")</f>
        <v/>
      </c>
      <c r="H136" s="32" t="str">
        <f>IF($A136="","",INDEX(Каталог!$P$4:$P$500,$A136))</f>
        <v/>
      </c>
      <c r="I136" s="5"/>
      <c r="J136" s="5"/>
    </row>
    <row r="137" spans="1:10" x14ac:dyDescent="0.3">
      <c r="A137" s="29" t="str">
        <f>IFERROR(MATCH(ROW()-3,Каталог!$AF$4:$AF$500,0),"")</f>
        <v/>
      </c>
      <c r="B137" s="29" t="str">
        <f t="shared" si="4"/>
        <v/>
      </c>
      <c r="C137" s="30" t="str">
        <f>IF($A137="","",INDEX(Каталог!$G$4:$G$500,$A137)&amp;"")</f>
        <v/>
      </c>
      <c r="D137" s="33"/>
      <c r="E137" s="31" t="str">
        <f>IF($A137="","",INDEX(Каталог!$H$4:$H$500,$A137)&amp;"")</f>
        <v/>
      </c>
      <c r="F137" s="32" t="str">
        <f>IF($A137="","",INDEX(Каталог!$B$4:$B$500,$A137)&amp;"")</f>
        <v/>
      </c>
      <c r="G137" s="32" t="str">
        <f>IF($A137="","",INDEX(Каталог!$M$4:$M$500,$A137)&amp;"")</f>
        <v/>
      </c>
      <c r="H137" s="32" t="str">
        <f>IF($A137="","",INDEX(Каталог!$P$4:$P$500,$A137))</f>
        <v/>
      </c>
      <c r="I137" s="5"/>
      <c r="J137" s="5"/>
    </row>
    <row r="138" spans="1:10" x14ac:dyDescent="0.3">
      <c r="A138" s="29" t="str">
        <f>IFERROR(MATCH(ROW()-3,Каталог!$AF$4:$AF$500,0),"")</f>
        <v/>
      </c>
      <c r="B138" s="29" t="str">
        <f t="shared" si="4"/>
        <v/>
      </c>
      <c r="C138" s="30" t="str">
        <f>IF($A138="","",INDEX(Каталог!$G$4:$G$500,$A138)&amp;"")</f>
        <v/>
      </c>
      <c r="D138" s="33"/>
      <c r="E138" s="31" t="str">
        <f>IF($A138="","",INDEX(Каталог!$H$4:$H$500,$A138)&amp;"")</f>
        <v/>
      </c>
      <c r="F138" s="32" t="str">
        <f>IF($A138="","",INDEX(Каталог!$B$4:$B$500,$A138)&amp;"")</f>
        <v/>
      </c>
      <c r="G138" s="32" t="str">
        <f>IF($A138="","",INDEX(Каталог!$M$4:$M$500,$A138)&amp;"")</f>
        <v/>
      </c>
      <c r="H138" s="32" t="str">
        <f>IF($A138="","",INDEX(Каталог!$P$4:$P$500,$A138))</f>
        <v/>
      </c>
      <c r="I138" s="5"/>
      <c r="J138" s="5"/>
    </row>
    <row r="139" spans="1:10" x14ac:dyDescent="0.3">
      <c r="A139" s="29" t="str">
        <f>IFERROR(MATCH(ROW()-3,Каталог!$AF$4:$AF$500,0),"")</f>
        <v/>
      </c>
      <c r="B139" s="29" t="str">
        <f t="shared" si="4"/>
        <v/>
      </c>
      <c r="C139" s="30" t="str">
        <f>IF($A139="","",INDEX(Каталог!$G$4:$G$500,$A139)&amp;"")</f>
        <v/>
      </c>
      <c r="D139" s="33"/>
      <c r="E139" s="31" t="str">
        <f>IF($A139="","",INDEX(Каталог!$H$4:$H$500,$A139)&amp;"")</f>
        <v/>
      </c>
      <c r="F139" s="32" t="str">
        <f>IF($A139="","",INDEX(Каталог!$B$4:$B$500,$A139)&amp;"")</f>
        <v/>
      </c>
      <c r="G139" s="32" t="str">
        <f>IF($A139="","",INDEX(Каталог!$M$4:$M$500,$A139)&amp;"")</f>
        <v/>
      </c>
      <c r="H139" s="32" t="str">
        <f>IF($A139="","",INDEX(Каталог!$P$4:$P$500,$A139))</f>
        <v/>
      </c>
      <c r="I139" s="5"/>
      <c r="J139" s="5"/>
    </row>
    <row r="140" spans="1:10" x14ac:dyDescent="0.3">
      <c r="A140" s="29" t="str">
        <f>IFERROR(MATCH(ROW()-3,Каталог!$AF$4:$AF$500,0),"")</f>
        <v/>
      </c>
      <c r="B140" s="29" t="str">
        <f t="shared" si="4"/>
        <v/>
      </c>
      <c r="C140" s="30" t="str">
        <f>IF($A140="","",INDEX(Каталог!$G$4:$G$500,$A140)&amp;"")</f>
        <v/>
      </c>
      <c r="D140" s="33"/>
      <c r="E140" s="31" t="str">
        <f>IF($A140="","",INDEX(Каталог!$H$4:$H$500,$A140)&amp;"")</f>
        <v/>
      </c>
      <c r="F140" s="32" t="str">
        <f>IF($A140="","",INDEX(Каталог!$B$4:$B$500,$A140)&amp;"")</f>
        <v/>
      </c>
      <c r="G140" s="32" t="str">
        <f>IF($A140="","",INDEX(Каталог!$M$4:$M$500,$A140)&amp;"")</f>
        <v/>
      </c>
      <c r="H140" s="32" t="str">
        <f>IF($A140="","",INDEX(Каталог!$P$4:$P$500,$A140))</f>
        <v/>
      </c>
      <c r="I140" s="5"/>
      <c r="J140" s="5"/>
    </row>
    <row r="141" spans="1:10" x14ac:dyDescent="0.3">
      <c r="A141" s="29" t="str">
        <f>IFERROR(MATCH(ROW()-3,Каталог!$AF$4:$AF$500,0),"")</f>
        <v/>
      </c>
      <c r="B141" s="29" t="str">
        <f t="shared" si="4"/>
        <v/>
      </c>
      <c r="C141" s="30" t="str">
        <f>IF($A141="","",INDEX(Каталог!$G$4:$G$500,$A141)&amp;"")</f>
        <v/>
      </c>
      <c r="D141" s="33"/>
      <c r="E141" s="31" t="str">
        <f>IF($A141="","",INDEX(Каталог!$H$4:$H$500,$A141)&amp;"")</f>
        <v/>
      </c>
      <c r="F141" s="32" t="str">
        <f>IF($A141="","",INDEX(Каталог!$B$4:$B$500,$A141)&amp;"")</f>
        <v/>
      </c>
      <c r="G141" s="32" t="str">
        <f>IF($A141="","",INDEX(Каталог!$M$4:$M$500,$A141)&amp;"")</f>
        <v/>
      </c>
      <c r="H141" s="32" t="str">
        <f>IF($A141="","",INDEX(Каталог!$P$4:$P$500,$A141))</f>
        <v/>
      </c>
      <c r="I141" s="5"/>
      <c r="J141" s="5"/>
    </row>
    <row r="142" spans="1:10" x14ac:dyDescent="0.3">
      <c r="A142" s="29" t="str">
        <f>IFERROR(MATCH(ROW()-3,Каталог!$AF$4:$AF$500,0),"")</f>
        <v/>
      </c>
      <c r="B142" s="29" t="str">
        <f t="shared" si="4"/>
        <v/>
      </c>
      <c r="C142" s="30" t="str">
        <f>IF($A142="","",INDEX(Каталог!$G$4:$G$500,$A142)&amp;"")</f>
        <v/>
      </c>
      <c r="D142" s="33"/>
      <c r="E142" s="31" t="str">
        <f>IF($A142="","",INDEX(Каталог!$H$4:$H$500,$A142)&amp;"")</f>
        <v/>
      </c>
      <c r="F142" s="32" t="str">
        <f>IF($A142="","",INDEX(Каталог!$B$4:$B$500,$A142)&amp;"")</f>
        <v/>
      </c>
      <c r="G142" s="32" t="str">
        <f>IF($A142="","",INDEX(Каталог!$M$4:$M$500,$A142)&amp;"")</f>
        <v/>
      </c>
      <c r="H142" s="32" t="str">
        <f>IF($A142="","",INDEX(Каталог!$P$4:$P$500,$A142))</f>
        <v/>
      </c>
      <c r="I142" s="5"/>
      <c r="J142" s="5"/>
    </row>
    <row r="143" spans="1:10" x14ac:dyDescent="0.3">
      <c r="A143" s="29" t="str">
        <f>IFERROR(MATCH(ROW()-3,Каталог!$AF$4:$AF$500,0),"")</f>
        <v/>
      </c>
      <c r="B143" s="29" t="str">
        <f t="shared" si="4"/>
        <v/>
      </c>
      <c r="C143" s="30" t="str">
        <f>IF($A143="","",INDEX(Каталог!$G$4:$G$500,$A143)&amp;"")</f>
        <v/>
      </c>
      <c r="D143" s="33"/>
      <c r="E143" s="31" t="str">
        <f>IF($A143="","",INDEX(Каталог!$H$4:$H$500,$A143)&amp;"")</f>
        <v/>
      </c>
      <c r="F143" s="32" t="str">
        <f>IF($A143="","",INDEX(Каталог!$B$4:$B$500,$A143)&amp;"")</f>
        <v/>
      </c>
      <c r="G143" s="32" t="str">
        <f>IF($A143="","",INDEX(Каталог!$M$4:$M$500,$A143)&amp;"")</f>
        <v/>
      </c>
      <c r="H143" s="32" t="str">
        <f>IF($A143="","",INDEX(Каталог!$P$4:$P$500,$A143))</f>
        <v/>
      </c>
      <c r="I143" s="5"/>
      <c r="J143" s="5"/>
    </row>
    <row r="144" spans="1:10" x14ac:dyDescent="0.3">
      <c r="A144" s="29" t="str">
        <f>IFERROR(MATCH(ROW()-3,Каталог!$AF$4:$AF$500,0),"")</f>
        <v/>
      </c>
      <c r="B144" s="29" t="str">
        <f t="shared" si="4"/>
        <v/>
      </c>
      <c r="C144" s="30" t="str">
        <f>IF($A144="","",INDEX(Каталог!$G$4:$G$500,$A144)&amp;"")</f>
        <v/>
      </c>
      <c r="D144" s="33"/>
      <c r="E144" s="31" t="str">
        <f>IF($A144="","",INDEX(Каталог!$H$4:$H$500,$A144)&amp;"")</f>
        <v/>
      </c>
      <c r="F144" s="32" t="str">
        <f>IF($A144="","",INDEX(Каталог!$B$4:$B$500,$A144)&amp;"")</f>
        <v/>
      </c>
      <c r="G144" s="32" t="str">
        <f>IF($A144="","",INDEX(Каталог!$M$4:$M$500,$A144)&amp;"")</f>
        <v/>
      </c>
      <c r="H144" s="32" t="str">
        <f>IF($A144="","",INDEX(Каталог!$P$4:$P$500,$A144))</f>
        <v/>
      </c>
      <c r="I144" s="5"/>
      <c r="J144" s="5"/>
    </row>
    <row r="145" spans="1:10" x14ac:dyDescent="0.3">
      <c r="A145" s="29" t="str">
        <f>IFERROR(MATCH(ROW()-3,Каталог!$AF$4:$AF$500,0),"")</f>
        <v/>
      </c>
      <c r="B145" s="29" t="str">
        <f t="shared" si="4"/>
        <v/>
      </c>
      <c r="C145" s="30" t="str">
        <f>IF($A145="","",INDEX(Каталог!$G$4:$G$500,$A145)&amp;"")</f>
        <v/>
      </c>
      <c r="D145" s="33"/>
      <c r="E145" s="31" t="str">
        <f>IF($A145="","",INDEX(Каталог!$H$4:$H$500,$A145)&amp;"")</f>
        <v/>
      </c>
      <c r="F145" s="32" t="str">
        <f>IF($A145="","",INDEX(Каталог!$B$4:$B$500,$A145)&amp;"")</f>
        <v/>
      </c>
      <c r="G145" s="32" t="str">
        <f>IF($A145="","",INDEX(Каталог!$M$4:$M$500,$A145)&amp;"")</f>
        <v/>
      </c>
      <c r="H145" s="32" t="str">
        <f>IF($A145="","",INDEX(Каталог!$P$4:$P$500,$A145))</f>
        <v/>
      </c>
      <c r="I145" s="5"/>
      <c r="J145" s="5"/>
    </row>
    <row r="146" spans="1:10" x14ac:dyDescent="0.3">
      <c r="A146" s="29" t="str">
        <f>IFERROR(MATCH(ROW()-3,Каталог!$AF$4:$AF$500,0),"")</f>
        <v/>
      </c>
      <c r="B146" s="29" t="str">
        <f t="shared" si="4"/>
        <v/>
      </c>
      <c r="C146" s="30" t="str">
        <f>IF($A146="","",INDEX(Каталог!$G$4:$G$500,$A146)&amp;"")</f>
        <v/>
      </c>
      <c r="D146" s="33"/>
      <c r="E146" s="31" t="str">
        <f>IF($A146="","",INDEX(Каталог!$H$4:$H$500,$A146)&amp;"")</f>
        <v/>
      </c>
      <c r="F146" s="32" t="str">
        <f>IF($A146="","",INDEX(Каталог!$B$4:$B$500,$A146)&amp;"")</f>
        <v/>
      </c>
      <c r="G146" s="32" t="str">
        <f>IF($A146="","",INDEX(Каталог!$M$4:$M$500,$A146)&amp;"")</f>
        <v/>
      </c>
      <c r="H146" s="32" t="str">
        <f>IF($A146="","",INDEX(Каталог!$P$4:$P$500,$A146))</f>
        <v/>
      </c>
      <c r="I146" s="5"/>
      <c r="J146" s="5"/>
    </row>
    <row r="147" spans="1:10" x14ac:dyDescent="0.3">
      <c r="A147" s="29" t="str">
        <f>IFERROR(MATCH(ROW()-3,Каталог!$AF$4:$AF$500,0),"")</f>
        <v/>
      </c>
      <c r="B147" s="29" t="str">
        <f t="shared" si="4"/>
        <v/>
      </c>
      <c r="C147" s="30" t="str">
        <f>IF($A147="","",INDEX(Каталог!$G$4:$G$500,$A147)&amp;"")</f>
        <v/>
      </c>
      <c r="D147" s="33"/>
      <c r="E147" s="31" t="str">
        <f>IF($A147="","",INDEX(Каталог!$H$4:$H$500,$A147)&amp;"")</f>
        <v/>
      </c>
      <c r="F147" s="32" t="str">
        <f>IF($A147="","",INDEX(Каталог!$B$4:$B$500,$A147)&amp;"")</f>
        <v/>
      </c>
      <c r="G147" s="32" t="str">
        <f>IF($A147="","",INDEX(Каталог!$M$4:$M$500,$A147)&amp;"")</f>
        <v/>
      </c>
      <c r="H147" s="32" t="str">
        <f>IF($A147="","",INDEX(Каталог!$P$4:$P$500,$A147))</f>
        <v/>
      </c>
      <c r="I147" s="5"/>
      <c r="J147" s="5"/>
    </row>
    <row r="148" spans="1:10" x14ac:dyDescent="0.3">
      <c r="A148" s="29" t="str">
        <f>IFERROR(MATCH(ROW()-3,Каталог!$AF$4:$AF$500,0),"")</f>
        <v/>
      </c>
      <c r="B148" s="29" t="str">
        <f t="shared" si="4"/>
        <v/>
      </c>
      <c r="C148" s="30" t="str">
        <f>IF($A148="","",INDEX(Каталог!$G$4:$G$500,$A148)&amp;"")</f>
        <v/>
      </c>
      <c r="D148" s="33"/>
      <c r="E148" s="31" t="str">
        <f>IF($A148="","",INDEX(Каталог!$H$4:$H$500,$A148)&amp;"")</f>
        <v/>
      </c>
      <c r="F148" s="32" t="str">
        <f>IF($A148="","",INDEX(Каталог!$B$4:$B$500,$A148)&amp;"")</f>
        <v/>
      </c>
      <c r="G148" s="32" t="str">
        <f>IF($A148="","",INDEX(Каталог!$M$4:$M$500,$A148)&amp;"")</f>
        <v/>
      </c>
      <c r="H148" s="32" t="str">
        <f>IF($A148="","",INDEX(Каталог!$P$4:$P$500,$A148))</f>
        <v/>
      </c>
      <c r="I148" s="5"/>
      <c r="J148" s="5"/>
    </row>
    <row r="149" spans="1:10" x14ac:dyDescent="0.3">
      <c r="A149" s="29" t="str">
        <f>IFERROR(MATCH(ROW()-3,Каталог!$AF$4:$AF$500,0),"")</f>
        <v/>
      </c>
      <c r="B149" s="29" t="str">
        <f t="shared" si="4"/>
        <v/>
      </c>
      <c r="C149" s="30" t="str">
        <f>IF($A149="","",INDEX(Каталог!$G$4:$G$500,$A149)&amp;"")</f>
        <v/>
      </c>
      <c r="D149" s="33"/>
      <c r="E149" s="31" t="str">
        <f>IF($A149="","",INDEX(Каталог!$H$4:$H$500,$A149)&amp;"")</f>
        <v/>
      </c>
      <c r="F149" s="32" t="str">
        <f>IF($A149="","",INDEX(Каталог!$B$4:$B$500,$A149)&amp;"")</f>
        <v/>
      </c>
      <c r="G149" s="32" t="str">
        <f>IF($A149="","",INDEX(Каталог!$M$4:$M$500,$A149)&amp;"")</f>
        <v/>
      </c>
      <c r="H149" s="32" t="str">
        <f>IF($A149="","",INDEX(Каталог!$P$4:$P$500,$A149))</f>
        <v/>
      </c>
      <c r="I149" s="5"/>
      <c r="J149" s="5"/>
    </row>
    <row r="150" spans="1:10" x14ac:dyDescent="0.3">
      <c r="A150" s="29" t="str">
        <f>IFERROR(MATCH(ROW()-3,Каталог!$AF$4:$AF$500,0),"")</f>
        <v/>
      </c>
      <c r="B150" s="29" t="str">
        <f t="shared" si="4"/>
        <v/>
      </c>
      <c r="C150" s="30" t="str">
        <f>IF($A150="","",INDEX(Каталог!$G$4:$G$500,$A150)&amp;"")</f>
        <v/>
      </c>
      <c r="D150" s="33"/>
      <c r="E150" s="31" t="str">
        <f>IF($A150="","",INDEX(Каталог!$H$4:$H$500,$A150)&amp;"")</f>
        <v/>
      </c>
      <c r="F150" s="32" t="str">
        <f>IF($A150="","",INDEX(Каталог!$B$4:$B$500,$A150)&amp;"")</f>
        <v/>
      </c>
      <c r="G150" s="32" t="str">
        <f>IF($A150="","",INDEX(Каталог!$M$4:$M$500,$A150)&amp;"")</f>
        <v/>
      </c>
      <c r="H150" s="32" t="str">
        <f>IF($A150="","",INDEX(Каталог!$P$4:$P$500,$A150))</f>
        <v/>
      </c>
      <c r="I150" s="5"/>
      <c r="J150" s="5"/>
    </row>
    <row r="151" spans="1:10" x14ac:dyDescent="0.3">
      <c r="A151" s="29" t="str">
        <f>IFERROR(MATCH(ROW()-3,Каталог!$AF$4:$AF$500,0),"")</f>
        <v/>
      </c>
      <c r="B151" s="29" t="str">
        <f t="shared" si="4"/>
        <v/>
      </c>
      <c r="C151" s="30" t="str">
        <f>IF($A151="","",INDEX(Каталог!$G$4:$G$500,$A151)&amp;"")</f>
        <v/>
      </c>
      <c r="D151" s="33"/>
      <c r="E151" s="31" t="str">
        <f>IF($A151="","",INDEX(Каталог!$H$4:$H$500,$A151)&amp;"")</f>
        <v/>
      </c>
      <c r="F151" s="32" t="str">
        <f>IF($A151="","",INDEX(Каталог!$B$4:$B$500,$A151)&amp;"")</f>
        <v/>
      </c>
      <c r="G151" s="32" t="str">
        <f>IF($A151="","",INDEX(Каталог!$M$4:$M$500,$A151)&amp;"")</f>
        <v/>
      </c>
      <c r="H151" s="32" t="str">
        <f>IF($A151="","",INDEX(Каталог!$P$4:$P$500,$A151))</f>
        <v/>
      </c>
      <c r="I151" s="5"/>
      <c r="J151" s="5"/>
    </row>
    <row r="152" spans="1:10" x14ac:dyDescent="0.3">
      <c r="A152" s="29" t="str">
        <f>IFERROR(MATCH(ROW()-3,Каталог!$AF$4:$AF$500,0),"")</f>
        <v/>
      </c>
      <c r="B152" s="29" t="str">
        <f t="shared" si="4"/>
        <v/>
      </c>
      <c r="C152" s="30" t="str">
        <f>IF($A152="","",INDEX(Каталог!$G$4:$G$500,$A152)&amp;"")</f>
        <v/>
      </c>
      <c r="D152" s="33"/>
      <c r="E152" s="31" t="str">
        <f>IF($A152="","",INDEX(Каталог!$H$4:$H$500,$A152)&amp;"")</f>
        <v/>
      </c>
      <c r="F152" s="32" t="str">
        <f>IF($A152="","",INDEX(Каталог!$B$4:$B$500,$A152)&amp;"")</f>
        <v/>
      </c>
      <c r="G152" s="32" t="str">
        <f>IF($A152="","",INDEX(Каталог!$M$4:$M$500,$A152)&amp;"")</f>
        <v/>
      </c>
      <c r="H152" s="32" t="str">
        <f>IF($A152="","",INDEX(Каталог!$P$4:$P$500,$A152))</f>
        <v/>
      </c>
      <c r="I152" s="5"/>
      <c r="J152" s="5"/>
    </row>
    <row r="153" spans="1:10" x14ac:dyDescent="0.3">
      <c r="A153" s="29" t="str">
        <f>IFERROR(MATCH(ROW()-3,Каталог!$AF$4:$AF$500,0),"")</f>
        <v/>
      </c>
      <c r="B153" s="29" t="str">
        <f t="shared" si="4"/>
        <v/>
      </c>
      <c r="C153" s="30" t="str">
        <f>IF($A153="","",INDEX(Каталог!$G$4:$G$500,$A153)&amp;"")</f>
        <v/>
      </c>
      <c r="D153" s="33"/>
      <c r="E153" s="31" t="str">
        <f>IF($A153="","",INDEX(Каталог!$H$4:$H$500,$A153)&amp;"")</f>
        <v/>
      </c>
      <c r="F153" s="32" t="str">
        <f>IF($A153="","",INDEX(Каталог!$B$4:$B$500,$A153)&amp;"")</f>
        <v/>
      </c>
      <c r="G153" s="32" t="str">
        <f>IF($A153="","",INDEX(Каталог!$M$4:$M$500,$A153)&amp;"")</f>
        <v/>
      </c>
      <c r="H153" s="32" t="str">
        <f>IF($A153="","",INDEX(Каталог!$P$4:$P$500,$A153))</f>
        <v/>
      </c>
      <c r="I153" s="5"/>
      <c r="J153" s="5"/>
    </row>
    <row r="154" spans="1:10" x14ac:dyDescent="0.3">
      <c r="A154" s="29" t="str">
        <f>IFERROR(MATCH(ROW()-3,Каталог!$AF$4:$AF$500,0),"")</f>
        <v/>
      </c>
      <c r="B154" s="29" t="str">
        <f t="shared" si="4"/>
        <v/>
      </c>
      <c r="C154" s="30" t="str">
        <f>IF($A154="","",INDEX(Каталог!$G$4:$G$500,$A154)&amp;"")</f>
        <v/>
      </c>
      <c r="D154" s="33"/>
      <c r="E154" s="31" t="str">
        <f>IF($A154="","",INDEX(Каталог!$H$4:$H$500,$A154)&amp;"")</f>
        <v/>
      </c>
      <c r="F154" s="32" t="str">
        <f>IF($A154="","",INDEX(Каталог!$B$4:$B$500,$A154)&amp;"")</f>
        <v/>
      </c>
      <c r="G154" s="32" t="str">
        <f>IF($A154="","",INDEX(Каталог!$M$4:$M$500,$A154)&amp;"")</f>
        <v/>
      </c>
      <c r="H154" s="32" t="str">
        <f>IF($A154="","",INDEX(Каталог!$P$4:$P$500,$A154))</f>
        <v/>
      </c>
      <c r="I154" s="5"/>
      <c r="J154" s="5"/>
    </row>
    <row r="155" spans="1:10" x14ac:dyDescent="0.3">
      <c r="A155" s="29" t="str">
        <f>IFERROR(MATCH(ROW()-3,Каталог!$AF$4:$AF$500,0),"")</f>
        <v/>
      </c>
      <c r="B155" s="29" t="str">
        <f t="shared" si="4"/>
        <v/>
      </c>
      <c r="C155" s="30" t="str">
        <f>IF($A155="","",INDEX(Каталог!$G$4:$G$500,$A155)&amp;"")</f>
        <v/>
      </c>
      <c r="D155" s="33"/>
      <c r="E155" s="31" t="str">
        <f>IF($A155="","",INDEX(Каталог!$H$4:$H$500,$A155)&amp;"")</f>
        <v/>
      </c>
      <c r="F155" s="32" t="str">
        <f>IF($A155="","",INDEX(Каталог!$B$4:$B$500,$A155)&amp;"")</f>
        <v/>
      </c>
      <c r="G155" s="32" t="str">
        <f>IF($A155="","",INDEX(Каталог!$M$4:$M$500,$A155)&amp;"")</f>
        <v/>
      </c>
      <c r="H155" s="32" t="str">
        <f>IF($A155="","",INDEX(Каталог!$P$4:$P$500,$A155))</f>
        <v/>
      </c>
      <c r="I155" s="5"/>
      <c r="J155" s="5"/>
    </row>
    <row r="156" spans="1:10" x14ac:dyDescent="0.3">
      <c r="A156" s="29" t="str">
        <f>IFERROR(MATCH(ROW()-3,Каталог!$AF$4:$AF$500,0),"")</f>
        <v/>
      </c>
      <c r="B156" s="29" t="str">
        <f t="shared" si="4"/>
        <v/>
      </c>
      <c r="C156" s="30" t="str">
        <f>IF($A156="","",INDEX(Каталог!$G$4:$G$500,$A156)&amp;"")</f>
        <v/>
      </c>
      <c r="D156" s="33"/>
      <c r="E156" s="31" t="str">
        <f>IF($A156="","",INDEX(Каталог!$H$4:$H$500,$A156)&amp;"")</f>
        <v/>
      </c>
      <c r="F156" s="32" t="str">
        <f>IF($A156="","",INDEX(Каталог!$B$4:$B$500,$A156)&amp;"")</f>
        <v/>
      </c>
      <c r="G156" s="32" t="str">
        <f>IF($A156="","",INDEX(Каталог!$M$4:$M$500,$A156)&amp;"")</f>
        <v/>
      </c>
      <c r="H156" s="32" t="str">
        <f>IF($A156="","",INDEX(Каталог!$P$4:$P$500,$A156))</f>
        <v/>
      </c>
      <c r="I156" s="5"/>
      <c r="J156" s="5"/>
    </row>
    <row r="157" spans="1:10" x14ac:dyDescent="0.3">
      <c r="A157" s="29" t="str">
        <f>IFERROR(MATCH(ROW()-3,Каталог!$AF$4:$AF$500,0),"")</f>
        <v/>
      </c>
      <c r="B157" s="29" t="str">
        <f t="shared" si="4"/>
        <v/>
      </c>
      <c r="C157" s="30" t="str">
        <f>IF($A157="","",INDEX(Каталог!$G$4:$G$500,$A157)&amp;"")</f>
        <v/>
      </c>
      <c r="D157" s="33"/>
      <c r="E157" s="31" t="str">
        <f>IF($A157="","",INDEX(Каталог!$H$4:$H$500,$A157)&amp;"")</f>
        <v/>
      </c>
      <c r="F157" s="32" t="str">
        <f>IF($A157="","",INDEX(Каталог!$B$4:$B$500,$A157)&amp;"")</f>
        <v/>
      </c>
      <c r="G157" s="32" t="str">
        <f>IF($A157="","",INDEX(Каталог!$M$4:$M$500,$A157)&amp;"")</f>
        <v/>
      </c>
      <c r="H157" s="32" t="str">
        <f>IF($A157="","",INDEX(Каталог!$P$4:$P$500,$A157))</f>
        <v/>
      </c>
      <c r="I157" s="5"/>
      <c r="J157" s="5"/>
    </row>
    <row r="158" spans="1:10" x14ac:dyDescent="0.3">
      <c r="A158" s="29" t="str">
        <f>IFERROR(MATCH(ROW()-3,Каталог!$AF$4:$AF$500,0),"")</f>
        <v/>
      </c>
      <c r="B158" s="29" t="str">
        <f t="shared" si="4"/>
        <v/>
      </c>
      <c r="C158" s="30" t="str">
        <f>IF($A158="","",INDEX(Каталог!$G$4:$G$500,$A158)&amp;"")</f>
        <v/>
      </c>
      <c r="D158" s="33"/>
      <c r="E158" s="31" t="str">
        <f>IF($A158="","",INDEX(Каталог!$H$4:$H$500,$A158)&amp;"")</f>
        <v/>
      </c>
      <c r="F158" s="32" t="str">
        <f>IF($A158="","",INDEX(Каталог!$B$4:$B$500,$A158)&amp;"")</f>
        <v/>
      </c>
      <c r="G158" s="32" t="str">
        <f>IF($A158="","",INDEX(Каталог!$M$4:$M$500,$A158)&amp;"")</f>
        <v/>
      </c>
      <c r="H158" s="32" t="str">
        <f>IF($A158="","",INDEX(Каталог!$P$4:$P$500,$A158))</f>
        <v/>
      </c>
      <c r="I158" s="5"/>
      <c r="J158" s="5"/>
    </row>
    <row r="159" spans="1:10" x14ac:dyDescent="0.3">
      <c r="A159" s="29" t="str">
        <f>IFERROR(MATCH(ROW()-3,Каталог!$AF$4:$AF$500,0),"")</f>
        <v/>
      </c>
      <c r="B159" s="29" t="str">
        <f t="shared" si="4"/>
        <v/>
      </c>
      <c r="C159" s="30" t="str">
        <f>IF($A159="","",INDEX(Каталог!$G$4:$G$500,$A159)&amp;"")</f>
        <v/>
      </c>
      <c r="D159" s="33"/>
      <c r="E159" s="31" t="str">
        <f>IF($A159="","",INDEX(Каталог!$H$4:$H$500,$A159)&amp;"")</f>
        <v/>
      </c>
      <c r="F159" s="32" t="str">
        <f>IF($A159="","",INDEX(Каталог!$B$4:$B$500,$A159)&amp;"")</f>
        <v/>
      </c>
      <c r="G159" s="32" t="str">
        <f>IF($A159="","",INDEX(Каталог!$M$4:$M$500,$A159)&amp;"")</f>
        <v/>
      </c>
      <c r="H159" s="32" t="str">
        <f>IF($A159="","",INDEX(Каталог!$P$4:$P$500,$A159))</f>
        <v/>
      </c>
      <c r="I159" s="5"/>
      <c r="J159" s="5"/>
    </row>
    <row r="160" spans="1:10" x14ac:dyDescent="0.3">
      <c r="A160" s="29" t="str">
        <f>IFERROR(MATCH(ROW()-3,Каталог!$AF$4:$AF$500,0),"")</f>
        <v/>
      </c>
      <c r="B160" s="29" t="str">
        <f t="shared" si="4"/>
        <v/>
      </c>
      <c r="C160" s="30" t="str">
        <f>IF($A160="","",INDEX(Каталог!$G$4:$G$500,$A160)&amp;"")</f>
        <v/>
      </c>
      <c r="D160" s="33"/>
      <c r="E160" s="31" t="str">
        <f>IF($A160="","",INDEX(Каталог!$H$4:$H$500,$A160)&amp;"")</f>
        <v/>
      </c>
      <c r="F160" s="32" t="str">
        <f>IF($A160="","",INDEX(Каталог!$B$4:$B$500,$A160)&amp;"")</f>
        <v/>
      </c>
      <c r="G160" s="32" t="str">
        <f>IF($A160="","",INDEX(Каталог!$M$4:$M$500,$A160)&amp;"")</f>
        <v/>
      </c>
      <c r="H160" s="32" t="str">
        <f>IF($A160="","",INDEX(Каталог!$P$4:$P$500,$A160))</f>
        <v/>
      </c>
      <c r="I160" s="5"/>
      <c r="J160" s="5"/>
    </row>
  </sheetData>
  <phoneticPr fontId="3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D00-000001000000}">
            <xm:f>Каталог!$R$28&lt;&gt;""</xm:f>
            <x14:dxf>
              <font>
                <b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7">
    <tabColor rgb="FFA6A6A6"/>
    <outlinePr summaryBelow="0" summaryRight="0"/>
  </sheetPr>
  <dimension ref="A1:CA1000"/>
  <sheetViews>
    <sheetView zoomScale="85" zoomScaleNormal="85" workbookViewId="0">
      <pane xSplit="3" ySplit="2" topLeftCell="D54" activePane="bottomRight" state="frozen"/>
      <selection pane="topRight"/>
      <selection pane="bottomLeft"/>
      <selection pane="bottomRight" activeCell="N64" sqref="N64"/>
    </sheetView>
  </sheetViews>
  <sheetFormatPr defaultRowHeight="14.4" outlineLevelCol="1" x14ac:dyDescent="0.3"/>
  <cols>
    <col min="1" max="3" width="6" customWidth="1"/>
    <col min="4" max="4" width="9" customWidth="1"/>
    <col min="5" max="5" width="15" customWidth="1"/>
    <col min="6" max="7" width="8" customWidth="1"/>
    <col min="8" max="8" width="15" customWidth="1"/>
    <col min="9" max="9" width="15.33203125" customWidth="1"/>
    <col min="10" max="10" width="17.88671875" customWidth="1"/>
    <col min="11" max="11" width="20.5546875" customWidth="1"/>
    <col min="12" max="12" width="12" customWidth="1"/>
    <col min="13" max="13" width="7" customWidth="1"/>
    <col min="14" max="14" width="9" customWidth="1"/>
    <col min="15" max="15" width="6" customWidth="1"/>
    <col min="16" max="16" width="14" customWidth="1"/>
    <col min="17" max="17" width="26" customWidth="1"/>
    <col min="18" max="18" width="16" customWidth="1"/>
    <col min="19" max="19" width="40" customWidth="1"/>
    <col min="20" max="21" width="7" customWidth="1"/>
    <col min="22" max="22" width="6" customWidth="1" collapsed="1"/>
    <col min="23" max="23" width="17" hidden="1" customWidth="1" outlineLevel="1"/>
    <col min="24" max="24" width="14" hidden="1" customWidth="1" outlineLevel="1"/>
    <col min="25" max="25" width="11" customWidth="1" collapsed="1"/>
    <col min="26" max="27" width="8" hidden="1" customWidth="1" outlineLevel="1"/>
    <col min="28" max="28" width="9" hidden="1" customWidth="1" outlineLevel="1"/>
    <col min="29" max="29" width="11" hidden="1" customWidth="1" outlineLevel="1"/>
    <col min="30" max="30" width="50" hidden="1" customWidth="1" outlineLevel="1"/>
    <col min="31" max="31" width="3" customWidth="1" collapsed="1"/>
    <col min="32" max="53" width="9" hidden="1" customWidth="1" outlineLevel="1"/>
    <col min="54" max="64" width="6" hidden="1" customWidth="1" outlineLevel="1"/>
    <col min="65" max="77" width="8" hidden="1" customWidth="1" outlineLevel="1"/>
    <col min="78" max="79" width="0" hidden="1" customWidth="1" outlineLevel="1"/>
  </cols>
  <sheetData>
    <row r="1" spans="1:79" ht="21.6" customHeight="1" x14ac:dyDescent="0.3">
      <c r="A1" s="102" t="s">
        <v>413</v>
      </c>
      <c r="B1" s="103"/>
      <c r="C1" s="103"/>
      <c r="D1" s="45" t="s">
        <v>414</v>
      </c>
      <c r="E1" s="106" t="s">
        <v>415</v>
      </c>
      <c r="F1" s="107"/>
      <c r="G1" s="107"/>
      <c r="H1" s="107"/>
      <c r="I1" s="108" t="s">
        <v>416</v>
      </c>
      <c r="J1" s="109"/>
      <c r="K1" s="109"/>
      <c r="L1" s="110" t="s">
        <v>417</v>
      </c>
      <c r="M1" s="111"/>
      <c r="N1" s="111"/>
      <c r="O1" s="111"/>
      <c r="P1" s="52" t="s">
        <v>418</v>
      </c>
      <c r="Q1" s="41" t="s">
        <v>419</v>
      </c>
      <c r="R1" s="102" t="s">
        <v>420</v>
      </c>
      <c r="S1" s="103"/>
      <c r="T1" s="103"/>
      <c r="U1" s="103"/>
      <c r="V1" s="103"/>
      <c r="W1" s="102" t="s">
        <v>421</v>
      </c>
      <c r="X1" s="103"/>
      <c r="Y1" s="104" t="s">
        <v>422</v>
      </c>
      <c r="Z1" s="105"/>
      <c r="AA1" s="105"/>
      <c r="AB1" s="105"/>
      <c r="AC1" s="105"/>
      <c r="AD1" s="105"/>
      <c r="AE1" s="66" t="str">
        <f>"Ошибок: "&amp;COUNTIF($BU$3:$BU$3000,2)&amp;"   Предупреждений: "&amp;COUNTIF($BU$3:$BU$3000,1)</f>
        <v>Ошибок: 5   Предупреждений: 26</v>
      </c>
      <c r="AF1" s="36" t="s">
        <v>423</v>
      </c>
      <c r="BC1" s="34" t="s">
        <v>424</v>
      </c>
    </row>
    <row r="2" spans="1:79" ht="84" customHeight="1" x14ac:dyDescent="0.3">
      <c r="A2" s="40" t="s">
        <v>4</v>
      </c>
      <c r="B2" s="43" t="s">
        <v>425</v>
      </c>
      <c r="C2" s="43" t="s">
        <v>426</v>
      </c>
      <c r="D2" s="44" t="s">
        <v>427</v>
      </c>
      <c r="E2" s="44" t="s">
        <v>428</v>
      </c>
      <c r="F2" s="46" t="s">
        <v>1778</v>
      </c>
      <c r="G2" s="48" t="s">
        <v>429</v>
      </c>
      <c r="H2" s="48" t="s">
        <v>7</v>
      </c>
      <c r="I2" s="44" t="s">
        <v>430</v>
      </c>
      <c r="J2" s="46" t="s">
        <v>431</v>
      </c>
      <c r="K2" s="46" t="s">
        <v>432</v>
      </c>
      <c r="L2" s="44" t="s">
        <v>433</v>
      </c>
      <c r="M2" s="50" t="s">
        <v>434</v>
      </c>
      <c r="N2" s="46" t="s">
        <v>435</v>
      </c>
      <c r="O2" s="50" t="s">
        <v>436</v>
      </c>
      <c r="P2" s="51" t="s">
        <v>437</v>
      </c>
      <c r="Q2" s="40" t="s">
        <v>9</v>
      </c>
      <c r="R2" s="40" t="s">
        <v>438</v>
      </c>
      <c r="S2" s="43" t="s">
        <v>6</v>
      </c>
      <c r="T2" s="43" t="s">
        <v>439</v>
      </c>
      <c r="U2" s="43" t="s">
        <v>440</v>
      </c>
      <c r="V2" s="43" t="s">
        <v>441</v>
      </c>
      <c r="W2" s="40" t="s">
        <v>7</v>
      </c>
      <c r="X2" s="43" t="s">
        <v>436</v>
      </c>
      <c r="Y2" s="44" t="s">
        <v>442</v>
      </c>
      <c r="Z2" s="60" t="s">
        <v>443</v>
      </c>
      <c r="AA2" s="60" t="s">
        <v>444</v>
      </c>
      <c r="AB2" s="60" t="s">
        <v>519</v>
      </c>
      <c r="AC2" s="60" t="s">
        <v>445</v>
      </c>
      <c r="AD2" s="60" t="s">
        <v>446</v>
      </c>
      <c r="AE2" s="60" t="s">
        <v>786</v>
      </c>
      <c r="AF2" s="35" t="s">
        <v>447</v>
      </c>
      <c r="AG2" s="35" t="s">
        <v>448</v>
      </c>
      <c r="AH2" s="35" t="s">
        <v>449</v>
      </c>
      <c r="AI2" s="35" t="s">
        <v>450</v>
      </c>
      <c r="AJ2" s="35" t="s">
        <v>451</v>
      </c>
      <c r="AK2" s="35" t="s">
        <v>452</v>
      </c>
      <c r="AL2" s="35" t="s">
        <v>453</v>
      </c>
      <c r="AM2" s="35" t="s">
        <v>454</v>
      </c>
      <c r="AN2" s="35" t="s">
        <v>455</v>
      </c>
      <c r="AO2" s="35" t="s">
        <v>456</v>
      </c>
      <c r="AP2" s="35" t="s">
        <v>457</v>
      </c>
      <c r="AQ2" s="35" t="s">
        <v>458</v>
      </c>
      <c r="AR2" s="35" t="s">
        <v>459</v>
      </c>
      <c r="AS2" s="35" t="s">
        <v>460</v>
      </c>
      <c r="AT2" s="35" t="s">
        <v>461</v>
      </c>
      <c r="AU2" s="35" t="s">
        <v>462</v>
      </c>
      <c r="AV2" s="35" t="s">
        <v>463</v>
      </c>
      <c r="AW2" s="35" t="s">
        <v>464</v>
      </c>
      <c r="AX2" s="35" t="s">
        <v>465</v>
      </c>
      <c r="AY2" s="35" t="s">
        <v>466</v>
      </c>
      <c r="AZ2" s="35" t="s">
        <v>467</v>
      </c>
      <c r="BA2" s="35" t="s">
        <v>468</v>
      </c>
      <c r="BB2" s="35" t="s">
        <v>520</v>
      </c>
      <c r="BD2" s="35" t="s">
        <v>469</v>
      </c>
      <c r="BE2" s="35" t="s">
        <v>470</v>
      </c>
      <c r="BF2" s="35" t="s">
        <v>471</v>
      </c>
      <c r="BG2" s="35" t="s">
        <v>472</v>
      </c>
      <c r="BH2" s="35" t="s">
        <v>473</v>
      </c>
      <c r="BI2" s="35" t="s">
        <v>474</v>
      </c>
      <c r="BJ2" s="35" t="s">
        <v>475</v>
      </c>
      <c r="BK2" s="35" t="s">
        <v>476</v>
      </c>
      <c r="BL2" s="35" t="s">
        <v>477</v>
      </c>
      <c r="BM2" s="35" t="s">
        <v>787</v>
      </c>
      <c r="BN2" s="35" t="s">
        <v>788</v>
      </c>
      <c r="BO2" s="35" t="s">
        <v>789</v>
      </c>
      <c r="BP2" s="35" t="s">
        <v>790</v>
      </c>
      <c r="BQ2" s="35" t="s">
        <v>791</v>
      </c>
      <c r="BR2" s="35" t="s">
        <v>792</v>
      </c>
      <c r="BS2" s="35" t="s">
        <v>793</v>
      </c>
      <c r="BT2" s="35" t="s">
        <v>794</v>
      </c>
      <c r="BU2" s="35" t="s">
        <v>795</v>
      </c>
      <c r="BV2" s="35" t="s">
        <v>796</v>
      </c>
      <c r="BW2" s="35" t="s">
        <v>797</v>
      </c>
      <c r="BX2" s="35" t="s">
        <v>798</v>
      </c>
      <c r="BY2" s="35" t="s">
        <v>799</v>
      </c>
      <c r="BZ2" t="s">
        <v>1127</v>
      </c>
      <c r="CA2" t="s">
        <v>1130</v>
      </c>
    </row>
    <row r="3" spans="1:79" x14ac:dyDescent="0.3">
      <c r="A3" s="39" t="str" cm="1">
        <f t="array" ref="A3:A329">_xlfn.LET(_xlpm.v,_xlfn._xlws.FILTER(Линии[Щит],Линии[_№ места (итог)]&lt;&gt;""),IF(_xlpm.v="","",_xlpm.v))</f>
        <v>ГРЩ-ЖД</v>
      </c>
      <c r="B3" s="42" cm="1">
        <f t="array" ref="B3:B329">_xlfn.LET(_xlpm.v,_xlfn._xlws.FILTER(Линии[_№ места (итог)],Линии[_№ места (итог)]&lt;&gt;""),IF(_xlpm.v="","",_xlpm.v))</f>
        <v>18</v>
      </c>
      <c r="C3" s="42" cm="1">
        <f t="array" ref="C3:C329">_xlfn.LET(_xlpm.v,_xlfn._xlws.FILTER(Линии[Лист схемы],Линии[_№ места (итог)]&lt;&gt;""),IF(_xlpm.v="","",_xlpm.v))</f>
        <v>2</v>
      </c>
      <c r="D3" s="75" t="str" cm="1">
        <f t="array" ref="D3:D329">_xlfn.LET(_xlpm.v,_xlfn._xlws.FILTER(Линии[Шина],Линии[_№ места (итог)]&lt;&gt;""),IF(_xlpm.v="","",_xlpm.v))</f>
        <v/>
      </c>
      <c r="E3" s="75" t="str" cm="1">
        <f t="array" ref="E3:E329">_xlfn.LET(_xlpm.v,_xlfn._xlws.FILTER(Линии[_автомат для схемы],Линии[_№ места (итог)]&lt;&gt;""),IF(_xlpm.v="","",_xlpm.v))</f>
        <v>авто</v>
      </c>
      <c r="F3" s="76" t="str" cm="1">
        <f t="array" ref="F3:F329">_xlfn.LET(_xlpm.v,_xlfn._xlws.FILTER(Линии[_мА для схемы],Линии[_№ места (итог)]&lt;&gt;""),IF(_xlpm.v="","",_xlpm.v))</f>
        <v/>
      </c>
      <c r="G3" s="47" t="str" cm="1">
        <f t="array" ref="G3:G329">_xlfn.LET(_xlpm.v,_xlfn._xlws.FILTER(Линии[QF],Линии[_№ места (итог)]&lt;&gt;""),IF(_xlpm.v="","",_xlpm.v))</f>
        <v>QF1</v>
      </c>
      <c r="H3" s="47" t="str" cm="1">
        <f t="array" ref="H3:H329">_xlfn.LET(_xlpm.v,_xlfn._xlws.FILTER(Линии[Автомат (схема)],Линии[_№ места (итог)]&lt;&gt;""),IF(_xlpm.v="","",_xlpm.v))</f>
        <v>3P С630А</v>
      </c>
      <c r="I3" s="75" t="str" cm="1">
        <f t="array" ref="I3:I329">_xlfn.LET(_xlpm.v,_xlfn._xlws.FILTER(Линии[Аппарат 1],Линии[_№ места (итог)]&lt;&gt;""),IF(_xlpm.v="","",_xlpm.v))</f>
        <v/>
      </c>
      <c r="J3" s="76" t="str" cm="1">
        <f t="array" ref="J3:J329">_xlfn.LET(_xlpm.v,_xlfn._xlws.FILTER(Линии[Аппарат 2],Линии[_№ места (итог)]&lt;&gt;""),IF(_xlpm.v="","",_xlpm.v))</f>
        <v/>
      </c>
      <c r="K3" s="76" t="str" cm="1">
        <f t="array" ref="K3:K329">_xlfn.LET(_xlpm.v,_xlfn._xlws.FILTER(Линии[Аппарат 3],Линии[_№ места (итог)]&lt;&gt;""),IF(_xlpm.v="","",_xlpm.v))</f>
        <v/>
      </c>
      <c r="L3" s="75" t="str" cm="1">
        <f t="array" ref="L3:L329">_xlfn.LET(_xlpm.v,_xlfn._xlws.FILTER(Линии[Модуль],Линии[_№ места (итог)]&lt;&gt;""),IF(_xlpm.v="","",_xlpm.v))</f>
        <v/>
      </c>
      <c r="M3" s="49" t="str" cm="1">
        <f t="array" ref="M3:M329">_xlfn.LET(_xlpm.v,_xlfn._xlws.FILTER(Линии[_Модуль (схема)],Линии[_№ места (итог)]&lt;&gt;""),IF(_xlpm.v="","",_xlpm.v))</f>
        <v/>
      </c>
      <c r="N3" s="76" t="str" cm="1">
        <f t="array" ref="N3:N329">_xlfn.LET(_xlpm.v,_xlfn._xlws.FILTER(Линии[Канал],Линии[_№ места (итог)]&lt;&gt;""),IF(_xlpm.v="","",_xlpm.v))</f>
        <v/>
      </c>
      <c r="O3" s="49" t="str" cm="1">
        <f t="array" ref="O3:O329">_xlfn.LET(_xlpm.v,_xlfn._xlws.FILTER(Линии[Канал (итог)],Линии[_№ места (итог)]&lt;&gt;""),IF(_xlpm.v="","",_xlpm.v))</f>
        <v/>
      </c>
      <c r="P3" s="77" t="str" cm="1">
        <f t="array" ref="P3:P329">_xlfn.LET(_xlpm.v,_xlfn._xlws.FILTER(Линии[Клемма (итог)],Линии[_№ места (итог)]&lt;&gt;""),IF(_xlpm.v="","",_xlpm.v))</f>
        <v/>
      </c>
      <c r="Q3" s="53" t="str" cm="1">
        <f t="array" ref="Q3:Q329">_xlfn.LET(_xlpm.v,_xlfn._xlws.FILTER(Линии[Кабель (строкой)],Линии[_№ места (итог)]&lt;&gt;""),IF(_xlpm.v="","",_xlpm.v))</f>
        <v/>
      </c>
      <c r="R3" s="54" t="str" cm="1">
        <f t="array" ref="R3:R329">_xlfn.LET(_xlpm.v,_xlfn._xlws.FILTER(Линии[Номер линии],Линии[_№ места (итог)]&lt;&gt;""),IF(_xlpm.v="","",_xlpm.v))</f>
        <v>Ввод.1</v>
      </c>
      <c r="S3" s="55" t="str" cm="1">
        <f t="array" ref="S3:S329">_xlfn.LET(_xlpm.v,_xlfn._xlws.FILTER(Линии[Наименование (итог)],Линии[_№ места (итог)]&lt;&gt;""),IF(_xlpm.v="","",_xlpm.v))</f>
        <v>Основной ввод в дом №1</v>
      </c>
      <c r="T3" s="56" cm="1">
        <f t="array" ref="T3:T329">_xlfn.LET(_xlpm.v,_xlfn._xlws.FILTER(Линии[_Р схемы],Линии[_№ места (итог)]&lt;&gt;""),IF(_xlpm.v="","",_xlpm.v))</f>
        <v>526.28100000000018</v>
      </c>
      <c r="U3" s="56" cm="1">
        <f t="array" ref="U3:U329">_xlfn.LET(_xlpm.v,_xlfn._xlws.FILTER(Линии[_Ток схемы],Линии[_№ места (итог)]&lt;&gt;""),IF(_xlpm.v="","",_xlpm.v))</f>
        <v>482.46999999999997</v>
      </c>
      <c r="V3" s="42" t="str" cm="1">
        <f t="array" ref="V3:V329">_xlfn.LET(_xlpm.v,_xlfn._xlws.FILTER(Линии[_фаза итог],Линии[_№ места (итог)]&lt;&gt;""),IF(_xlpm.v="","",_xlpm.v))</f>
        <v>L1,L2,L3</v>
      </c>
      <c r="W3" s="57" t="str" cm="1">
        <f t="array" ref="W3:W329">_xlfn.LET(_xlpm.v,_xlfn._xlws.FILTER(Линии[Проверка автомата],Линии[_№ места (итог)]&lt;&gt;""),IF(_xlpm.v="","",_xlpm.v))</f>
        <v>ok</v>
      </c>
      <c r="X3" s="58" t="str" cm="1">
        <f t="array" ref="X3:X329">_xlfn.LET(_xlpm.v,_xlfn._xlws.FILTER(Линии[Проверка канала],Линии[_№ места (итог)]&lt;&gt;""),IF(_xlpm.v="","",_xlpm.v))</f>
        <v/>
      </c>
      <c r="Y3" s="75" t="str" cm="1">
        <f t="array" ref="Y3:Y329">_xlfn.LET(_xlpm.v,_xlfn._xlws.FILTER(Линии[Режим],Линии[_№ места (итог)]&lt;&gt;""),IF(_xlpm.v="","",_xlpm.v))</f>
        <v/>
      </c>
      <c r="Z3" s="59" cm="1">
        <f t="array" ref="Z3:Z329">_xlfn.LET(_xlpm.v,_xlfn._xlws.FILTER(Линии[_ток группы],Линии[_№ места (итог)]&lt;&gt;""),IF(_xlpm.v="","",_xlpm.v))</f>
        <v>482.46261025528872</v>
      </c>
      <c r="AA3" s="61" cm="1">
        <f t="array" ref="AA3:AA329">_xlfn.LET(_xlpm.v,_xlfn._xlws.FILTER(Линии[_авто номинал],Линии[_№ места (итог)]&lt;&gt;""),IF(_xlpm.v="","",_xlpm.v))</f>
        <v>630</v>
      </c>
      <c r="AB3" s="61" t="str" cm="1">
        <f t="array" ref="AB3:AB329">_xlfn.LET(_xlpm.v,_xlfn._xlws.FILTER(Линии[_макс. автомат по кабелю],Линии[_№ места (итог)]&lt;&gt;""),IF(_xlpm.v="","",_xlpm.v))</f>
        <v/>
      </c>
      <c r="AC3" s="61" t="str" cm="1">
        <f t="array" ref="AC3:AC329">_xlfn.LET(_xlpm.v,_xlfn._xlws.FILTER(Линии[_модель (схема)],Линии[_№ места (итог)]&lt;&gt;""),IF(_xlpm.v="","",_xlpm.v))</f>
        <v/>
      </c>
      <c r="AD3" s="62" t="str" cm="1">
        <f t="array" ref="AD3:AD329">_xlfn.LET(_xlpm.v,_xlfn._xlws.FILTER(Линии[_цепь],Линии[_№ места (итог)]&lt;&gt;""),IF(_xlpm.v="","",_xlpm.v))</f>
        <v>QF1</v>
      </c>
      <c r="AE3" s="62" t="str" cm="1">
        <f t="array" ref="AE3:AE329">_xlfn.LET(_xlpm.v,_xlfn._xlws.FILTER(Линии[_статус],Линии[_№ места (итог)]&lt;&gt;""),IF(_xlpm.v="","",_xlpm.v))</f>
        <v/>
      </c>
      <c r="AF3" s="34" cm="1">
        <f t="array" ref="AF3:AF329">_xlfn.LET(_xlpm.v,_xlfn._xlws.FILTER(Линии[_гр.],Линии[_№ места (итог)]&lt;&gt;""),IF(_xlpm.v="","",_xlpm.v))</f>
        <v>1</v>
      </c>
      <c r="AG3" s="34" t="str" cm="1">
        <f t="array" ref="AG3:AG329">_xlfn.LET(_xlpm.v,_xlfn._xlws.FILTER(Линии[_QF гр.],Линии[_№ места (итог)]&lt;&gt;""),IF(_xlpm.v="","",_xlpm.v))</f>
        <v>QF1</v>
      </c>
      <c r="AH3" s="34" t="str" cm="1">
        <f t="array" ref="AH3:AH329">_xlfn.LET(_xlpm.v,_xlfn._xlws.FILTER(Линии[_модуль гр.],Линии[_№ места (итог)]&lt;&gt;""),IF(_xlpm.v="","",_xlpm.v))</f>
        <v/>
      </c>
      <c r="AI3" s="34" t="str" cm="1">
        <f t="array" ref="AI3:AI329">_xlfn.LET(_xlpm.v,_xlfn._xlws.FILTER(Линии[_модель гр.],Линии[_№ места (итог)]&lt;&gt;""),IF(_xlpm.v="","",_xlpm.v))</f>
        <v/>
      </c>
      <c r="AJ3" s="34" t="str" cm="1">
        <f t="array" ref="AJ3:AJ329">_xlfn.LET(_xlpm.v,_xlfn._xlws.FILTER(Линии[_QF нач.],Линии[_№ места (итог)]&lt;&gt;""),IF(_xlpm.v="","",_xlpm.v))</f>
        <v>QF1</v>
      </c>
      <c r="AK3" s="34" cm="1">
        <f t="array" ref="AK3:AK329">_xlfn.LET(_xlpm.v,_xlfn._xlws.FILTER(Линии[_фаз],Линии[_№ места (итог)]&lt;&gt;""),IF(_xlpm.v="","",_xlpm.v))</f>
        <v>3</v>
      </c>
      <c r="AL3" s="34" t="str" cm="1">
        <f t="array" ref="AL3:AL329">_xlfn.LET(_xlpm.v,_xlfn._xlws.FILTER(Линии[Код],Линии[_№ места (итог)]&lt;&gt;""),IF(_xlpm.v="","",_xlpm.v))</f>
        <v>Ввод</v>
      </c>
      <c r="AM3" s="34" cm="1">
        <f t="array" ref="AM3:AM329">_xlfn.LET(_xlpm.v,_xlfn._xlws.FILTER(Линии[_дифзащита по коду, мА],Линии[_№ места (итог)]&lt;&gt;""),IF(_xlpm.v="","",_xlpm.v))</f>
        <v>0</v>
      </c>
      <c r="AN3" s="34" cm="1">
        <f t="array" ref="AN3:AN329">_xlfn.LET(_xlpm.v,_xlfn._xlws.FILTER(Линии[_в кабель выше],Линии[_№ места (итог)]&lt;&gt;""),IF(_xlpm.v="","",_xlpm.v))</f>
        <v>0</v>
      </c>
      <c r="AO3" s="34" cm="1">
        <f t="array" ref="AO3:AO329">_xlfn.LET(_xlpm.v,_xlfn._xlws.FILTER(Линии[_авто номинал],Линии[_№ места (итог)]&lt;&gt;""),IF(_xlpm.v="","",_xlpm.v))</f>
        <v>630</v>
      </c>
      <c r="AP3" s="34" t="str" cm="1">
        <f t="array" ref="AP3:AP329">_xlfn.LET(_xlpm.v,_xlfn._xlws.FILTER(Линии[_макс. автомат по кабелю],Линии[_№ места (итог)]&lt;&gt;""),IF(_xlpm.v="","",_xlpm.v))</f>
        <v/>
      </c>
      <c r="AQ3" s="34" cm="1">
        <f t="array" ref="AQ3:AQ329">_xlfn.LET(_xlpm.v,_xlfn._xlws.FILTER(Линии[_номинал итог],Линии[_№ места (итог)]&lt;&gt;""),IF(_xlpm.v="","",_xlpm.v))</f>
        <v>630</v>
      </c>
      <c r="AR3" s="34" cm="1">
        <f t="array" ref="AR3:AR329">_xlfn.LET(_xlpm.v,_xlfn._xlws.FILTER(Линии[_фаз группы],Линии[_№ места (итог)]&lt;&gt;""),IF(_xlpm.v="","",_xlpm.v))</f>
        <v>3</v>
      </c>
      <c r="AS3" s="34" cm="1">
        <f t="array" ref="AS3:AS329">_xlfn.LET(_xlpm.v,_xlfn._xlws.FILTER(Линии[_дифзащита гр. (0/1)],Линии[_№ места (итог)]&lt;&gt;""),IF(_xlpm.v="","",_xlpm.v))</f>
        <v>0</v>
      </c>
      <c r="AT3" s="34" t="str" cm="1">
        <f t="array" ref="AT3:AT329">_xlfn.LET(_xlpm.v,_xlfn._xlws.FILTER(Линии[_полюса],Линии[_№ места (итог)]&lt;&gt;""),IF(_xlpm.v="","",_xlpm.v))</f>
        <v>3P</v>
      </c>
      <c r="AU3" s="34" cm="1">
        <f t="array" ref="AU3:AU329">_xlfn.LET(_xlpm.v,_xlfn._xlws.FILTER(Линии[_номинал итог],Линии[_№ места (итог)]&lt;&gt;""),IF(_xlpm.v="","",_xlpm.v))</f>
        <v>630</v>
      </c>
      <c r="AV3" s="34" t="str" cm="1">
        <f t="array" ref="AV3:AV329">_xlfn.LET(_xlpm.v,_xlfn._xlws.FILTER(Линии[_префикс],Линии[_№ места (итог)]&lt;&gt;""),IF(_xlpm.v="","",_xlpm.v))</f>
        <v/>
      </c>
      <c r="AW3" s="34" t="str" cm="1">
        <f t="array" ref="AW3:AW329">_xlfn.LET(_xlpm.v,_xlfn._xlws.FILTER(Линии[_модуль нач.],Линии[_№ места (итог)]&lt;&gt;""),IF(_xlpm.v="","",_xlpm.v))</f>
        <v/>
      </c>
      <c r="AX3" s="34" t="str" cm="1">
        <f t="array" ref="AX3:AX329">_xlfn.LET(_xlpm.v,_xlfn._xlws.FILTER(Линии[_посл. канал],Линии[_№ места (итог)]&lt;&gt;""),IF(_xlpm.v="","",_xlpm.v))</f>
        <v/>
      </c>
      <c r="AY3" s="34" cm="1">
        <f t="array" ref="AY3:AY329">_xlfn.LET(_xlpm.v,_xlfn._xlws.FILTER(Линии[_клемма],Линии[_№ места (итог)]&lt;&gt;""),IF(_xlpm.v="","",_xlpm.v))</f>
        <v>0</v>
      </c>
      <c r="AZ3" s="34" t="str" cm="1">
        <f t="array" ref="AZ3:AZ329">_xlfn.LET(_xlpm.v,_xlfn._xlws.FILTER(Линии[_аппараты гр.],Линии[_№ места (итог)]&lt;&gt;""),IF(_xlpm.v="","",_xlpm.v))</f>
        <v/>
      </c>
      <c r="BA3" s="34" cm="1">
        <f t="array" ref="BA3:BA329">_xlfn.LET(_xlpm.v,_xlfn._xlws.FILTER(Линии[_БП/тр-р],Линии[_№ места (итог)]&lt;&gt;""),IF(_xlpm.v="","",_xlpm.v))</f>
        <v>0</v>
      </c>
      <c r="BB3" s="34" cm="1">
        <f t="array" ref="BB3:BB329">_xlfn.LET(_xlpm.v,_xlfn._xlws.FILTER(Линии[_мин. по типу],Линии[_№ места (итог)]&lt;&gt;""),IF(_xlpm.v="","",_xlpm.v))</f>
        <v>0</v>
      </c>
      <c r="BD3" s="34" cm="1">
        <f t="array" ref="BD3:BD329">_xlfn.LET(_xlpm.v,_xlfn._xlws.FILTER(Линии[_draw],Линии[_№ места (итог)]&lt;&gt;""),IF(_xlpm.v="","",_xlpm.v))</f>
        <v>1</v>
      </c>
      <c r="BE3" s="34" cm="1">
        <f t="array" ref="BE3:BE329">_xlfn.LET(_xlpm.v,_xlfn._xlws.FILTER(Линии[_bus2],Линии[_№ места (итог)]&lt;&gt;""),IF(_xlpm.v="","",_xlpm.v))</f>
        <v>0</v>
      </c>
      <c r="BF3" s="34" cm="1">
        <f t="array" ref="BF3:BF329">_xlfn.LET(_xlpm.v,_xlfn._xlws.FILTER(Линии[_rcd],Линии[_№ места (итог)]&lt;&gt;""),IF(_xlpm.v="","",_xlpm.v))</f>
        <v>0</v>
      </c>
      <c r="BG3" s="34" t="str" cm="1">
        <f t="array" ref="BG3:BG329">_xlfn.LET(_xlpm.v,_xlfn._xlws.FILTER(Линии[_chtype],Линии[_№ места (итог)]&lt;&gt;""),IF(_xlpm.v="","",_xlpm.v))</f>
        <v/>
      </c>
      <c r="BH3" s="34" t="str" cm="1">
        <f t="array" ref="BH3:BH329">_xlfn.LET(_xlpm.v,_xlfn._xlws.FILTER(Линии[_dev1],Линии[_№ места (итог)]&lt;&gt;""),IF(_xlpm.v="","",_xlpm.v))</f>
        <v/>
      </c>
      <c r="BI3" s="34" t="str" cm="1">
        <f t="array" ref="BI3:BI329">_xlfn.LET(_xlpm.v,_xlfn._xlws.FILTER(Линии[_dev2],Линии[_№ места (итог)]&lt;&gt;""),IF(_xlpm.v="","",_xlpm.v))</f>
        <v/>
      </c>
      <c r="BJ3" s="34" t="str" cm="1">
        <f t="array" ref="BJ3:BJ329">_xlfn.LET(_xlpm.v,_xlfn._xlws.FILTER(Линии[_dev3],Линии[_№ места (итог)]&lt;&gt;""),IF(_xlpm.v="","",_xlpm.v))</f>
        <v/>
      </c>
      <c r="BK3" s="34" t="str" cm="1">
        <f t="array" ref="BK3:BK329">_xlfn.LET(_xlpm.v,_xlfn._xlws.FILTER(Линии[_sym],Линии[_№ места (итог)]&lt;&gt;""),IF(_xlpm.v="","",_xlpm.v))</f>
        <v>BOX</v>
      </c>
      <c r="BL3" s="34" cm="1">
        <f t="array" ref="BL3:BL329">_xlfn.LET(_xlpm.v,_xlfn._xlws.FILTER(Линии[_hasline],Линии[_№ места (итог)]&lt;&gt;""),IF(_xlpm.v="","",_xlpm.v))</f>
        <v>1</v>
      </c>
      <c r="BM3" s="34" cm="1">
        <f t="array" ref="BM3:BM329">_xlfn.LET(_xlpm.v,_xlfn._xlws.FILTER(Линии[_тип автомата №],Линии[_№ места (итог)]&lt;&gt;""),IF(_xlpm.v="","",_xlpm.v))</f>
        <v>1</v>
      </c>
      <c r="BN3" s="34" t="str" cm="1">
        <f t="array" ref="BN3:BN329">_xlfn.LET(_xlpm.v,_xlfn._xlws.FILTER(Линии[_аппарат 1 №],Линии[_№ места (итог)]&lt;&gt;""),IF(_xlpm.v="","",_xlpm.v))</f>
        <v/>
      </c>
      <c r="BO3" s="34" t="str" cm="1">
        <f t="array" ref="BO3:BO329">_xlfn.LET(_xlpm.v,_xlfn._xlws.FILTER(Линии[_аппарат 2 №],Линии[_№ места (итог)]&lt;&gt;""),IF(_xlpm.v="","",_xlpm.v))</f>
        <v/>
      </c>
      <c r="BP3" s="34" t="str" cm="1">
        <f t="array" ref="BP3:BP329">_xlfn.LET(_xlpm.v,_xlfn._xlws.FILTER(Линии[_аппарат 3 №],Линии[_№ места (итог)]&lt;&gt;""),IF(_xlpm.v="","",_xlpm.v))</f>
        <v/>
      </c>
      <c r="BQ3" s="34" t="str" cm="1">
        <f t="array" ref="BQ3:BQ329">_xlfn.LET(_xlpm.v,_xlfn._xlws.FILTER(Линии[_кабель клеммы],Линии[_№ места (итог)]&lt;&gt;""),IF(_xlpm.v="","",_xlpm.v))</f>
        <v/>
      </c>
      <c r="BR3" s="34" t="str" cm="1">
        <f t="array" ref="BR3:BR329">_xlfn.LET(_xlpm.v,_xlfn._xlws.FILTER(Линии[_вид клеммы №],Линии[_№ места (итог)]&lt;&gt;""),IF(_xlpm.v="","",_xlpm.v))</f>
        <v/>
      </c>
      <c r="BS3" s="34" t="str" cm="1">
        <f t="array" ref="BS3:BS329">_xlfn.LET(_xlpm.v,_xlfn._xlws.FILTER(Линии[_модуль №],Линии[_№ места (итог)]&lt;&gt;""),IF(_xlpm.v="","",_xlpm.v))</f>
        <v/>
      </c>
      <c r="BT3" s="34" t="str" cm="1">
        <f t="array" ref="BT3:BT329">_xlfn.LET(_xlpm.v,_xlfn._xlws.FILTER(Линии[_модель №],Линии[_№ места (итог)]&lt;&gt;""),IF(_xlpm.v="","",_xlpm.v))</f>
        <v/>
      </c>
      <c r="BU3" s="34" cm="1">
        <f t="array" ref="BU3:BU329">_xlfn.LET(_xlpm.v,_xlfn._xlws.FILTER(Линии[_уровень],Линии[_№ места (итог)]&lt;&gt;""),IF(_xlpm.v="","",_xlpm.v))</f>
        <v>0</v>
      </c>
      <c r="BV3" s="34" cm="1">
        <f t="array" ref="BV3:BV329">_xlfn.LET(_xlpm.v,_xlfn._xlws.FILTER(Линии[_№ линии],Линии[_№ места (итог)]&lt;&gt;""),IF(_xlpm.v="","",_xlpm.v))</f>
        <v>1</v>
      </c>
      <c r="BW3" s="34" cm="1">
        <f t="array" ref="BW3:BW329">_xlfn.LET(_xlpm.v,_xlfn._xlws.FILTER(Линии[_3L клемм],Линии[_№ места (итог)]&lt;&gt;""),IF(_xlpm.v="","",_xlpm.v))</f>
        <v>0</v>
      </c>
      <c r="BX3" s="34" cm="1">
        <f t="array" ref="BX3:BX329">_xlfn.LET(_xlpm.v,_xlfn._xlws.FILTER(Линии[_доп. проходных],Линии[_№ места (итог)]&lt;&gt;""),IF(_xlpm.v="","",_xlpm.v))</f>
        <v>0</v>
      </c>
      <c r="BY3" s="34" cm="1">
        <f t="array" ref="BY3:BY329">_xlfn.LET(_xlpm.v,_xlfn._xlws.FILTER(Линии[_УГО (рус)],Линии[_№ места (итог)]&lt;&gt;""),IF(_xlpm.v="","",_xlpm.v))</f>
        <v>0</v>
      </c>
      <c r="BZ3" cm="1">
        <f t="array" ref="BZ3:BZ329">_xlfn.LET(_xlpm.v,_xlfn._xlws.FILTER(Линии[_№ щита],Линии[_№ места (итог)]&lt;&gt;""),IF(_xlpm.v="","",_xlpm.v))</f>
        <v>1</v>
      </c>
      <c r="CA3" t="str" cm="1">
        <f t="array" ref="CA3:CA329">_xlfn.LET(_xlpm.v,_xlfn._xlws.FILTER(Линии[_зона],Линии[_№ места (итог)]&lt;&gt;""),IF(_xlpm.v="","",_xlpm.v))</f>
        <v>линии</v>
      </c>
    </row>
    <row r="4" spans="1:79" x14ac:dyDescent="0.3">
      <c r="A4" s="39" t="str">
        <v>ГРЩ-ЖД</v>
      </c>
      <c r="B4" s="42">
        <v>20</v>
      </c>
      <c r="C4" s="42">
        <v>2</v>
      </c>
      <c r="D4" s="75" t="str">
        <v/>
      </c>
      <c r="E4" s="75" t="str">
        <v>авто</v>
      </c>
      <c r="F4" s="76" t="str">
        <v/>
      </c>
      <c r="G4" s="47" t="str">
        <v>QF2</v>
      </c>
      <c r="H4" s="47" t="str">
        <v>3P С630А</v>
      </c>
      <c r="I4" s="75" t="str">
        <v/>
      </c>
      <c r="J4" s="76" t="str">
        <v/>
      </c>
      <c r="K4" s="76" t="str">
        <v/>
      </c>
      <c r="L4" s="75" t="str">
        <v/>
      </c>
      <c r="M4" s="49" t="str">
        <v/>
      </c>
      <c r="N4" s="76" t="str">
        <v/>
      </c>
      <c r="O4" s="49" t="str">
        <v/>
      </c>
      <c r="P4" s="77" t="str">
        <v/>
      </c>
      <c r="Q4" s="53" t="str">
        <v/>
      </c>
      <c r="R4" s="54" t="str">
        <v>Ввод.2</v>
      </c>
      <c r="S4" s="55" t="str">
        <v>Основной ввод в дом №2</v>
      </c>
      <c r="T4" s="56">
        <v>526.28100000000018</v>
      </c>
      <c r="U4" s="56">
        <v>482.46999999999997</v>
      </c>
      <c r="V4" s="42" t="str">
        <v>L1,L2,L3</v>
      </c>
      <c r="W4" s="57" t="str">
        <v>ok</v>
      </c>
      <c r="X4" s="58" t="str">
        <v/>
      </c>
      <c r="Y4" s="75" t="str">
        <v/>
      </c>
      <c r="Z4" s="59">
        <v>482.46261025528872</v>
      </c>
      <c r="AA4" s="61">
        <v>630</v>
      </c>
      <c r="AB4" s="61" t="str">
        <v/>
      </c>
      <c r="AC4" s="61" t="str">
        <v/>
      </c>
      <c r="AD4" s="62" t="str">
        <v>QF2</v>
      </c>
      <c r="AE4" s="62" t="str">
        <v/>
      </c>
      <c r="AF4" s="34">
        <v>2</v>
      </c>
      <c r="AG4" s="34" t="str">
        <v>QF2</v>
      </c>
      <c r="AH4" s="34" t="str">
        <v/>
      </c>
      <c r="AI4" s="34" t="str">
        <v/>
      </c>
      <c r="AJ4" s="34" t="str">
        <v>QF2</v>
      </c>
      <c r="AK4" s="34">
        <v>3</v>
      </c>
      <c r="AL4" s="34" t="str">
        <v>Ввод</v>
      </c>
      <c r="AM4" s="34">
        <v>0</v>
      </c>
      <c r="AN4" s="34">
        <v>0</v>
      </c>
      <c r="AO4" s="34">
        <v>630</v>
      </c>
      <c r="AP4" s="34" t="str">
        <v/>
      </c>
      <c r="AQ4" s="34">
        <v>630</v>
      </c>
      <c r="AR4" s="34">
        <v>3</v>
      </c>
      <c r="AS4" s="34">
        <v>0</v>
      </c>
      <c r="AT4" s="34" t="str">
        <v>3P</v>
      </c>
      <c r="AU4" s="34">
        <v>630</v>
      </c>
      <c r="AV4" s="34" t="str">
        <v/>
      </c>
      <c r="AW4" s="34" t="str">
        <v/>
      </c>
      <c r="AX4" s="34" t="str">
        <v/>
      </c>
      <c r="AY4" s="34">
        <v>0</v>
      </c>
      <c r="AZ4" s="34" t="str">
        <v/>
      </c>
      <c r="BA4" s="34">
        <v>0</v>
      </c>
      <c r="BB4" s="34">
        <v>0</v>
      </c>
      <c r="BD4" s="34">
        <v>1</v>
      </c>
      <c r="BE4" s="34">
        <v>0</v>
      </c>
      <c r="BF4" s="34">
        <v>0</v>
      </c>
      <c r="BG4" s="34" t="str">
        <v/>
      </c>
      <c r="BH4" s="34" t="str">
        <v/>
      </c>
      <c r="BI4" s="34" t="str">
        <v/>
      </c>
      <c r="BJ4" s="34" t="str">
        <v/>
      </c>
      <c r="BK4" s="34" t="str">
        <v>BOX</v>
      </c>
      <c r="BL4" s="34">
        <v>1</v>
      </c>
      <c r="BM4" s="34" t="str">
        <v/>
      </c>
      <c r="BN4" s="34" t="str">
        <v/>
      </c>
      <c r="BO4" s="34" t="str">
        <v/>
      </c>
      <c r="BP4" s="34" t="str">
        <v/>
      </c>
      <c r="BQ4" s="34" t="str">
        <v/>
      </c>
      <c r="BR4" s="34" t="str">
        <v/>
      </c>
      <c r="BS4" s="34" t="str">
        <v/>
      </c>
      <c r="BT4" s="34" t="str">
        <v/>
      </c>
      <c r="BU4" s="34">
        <v>0</v>
      </c>
      <c r="BV4" s="34">
        <v>2</v>
      </c>
      <c r="BW4" s="34">
        <v>0</v>
      </c>
      <c r="BX4" s="34">
        <v>0</v>
      </c>
      <c r="BY4" s="34">
        <v>0</v>
      </c>
      <c r="BZ4">
        <v>1</v>
      </c>
      <c r="CA4" t="str">
        <v>линии</v>
      </c>
    </row>
    <row r="5" spans="1:79" x14ac:dyDescent="0.3">
      <c r="A5" s="39" t="str">
        <v>ГРЩ-ЖД</v>
      </c>
      <c r="B5" s="42">
        <v>23</v>
      </c>
      <c r="C5" s="42">
        <v>2</v>
      </c>
      <c r="D5" s="75" t="str">
        <v/>
      </c>
      <c r="E5" s="75" t="str">
        <v>авто</v>
      </c>
      <c r="F5" s="76" t="str">
        <v/>
      </c>
      <c r="G5" s="47" t="str">
        <v>QF3</v>
      </c>
      <c r="H5" s="47" t="str">
        <v>1P С10А</v>
      </c>
      <c r="I5" s="75" t="str">
        <v/>
      </c>
      <c r="J5" s="76" t="str">
        <v/>
      </c>
      <c r="K5" s="76" t="str">
        <v/>
      </c>
      <c r="L5" s="75" t="str">
        <v/>
      </c>
      <c r="M5" s="49" t="str">
        <v/>
      </c>
      <c r="N5" s="76" t="str">
        <v/>
      </c>
      <c r="O5" s="49" t="str">
        <v/>
      </c>
      <c r="P5" s="77" t="str">
        <v>XT1</v>
      </c>
      <c r="Q5" s="53" t="str">
        <v>ВВГнг(А)-FRLS (3х2,5) L=15-0,41%</v>
      </c>
      <c r="R5" s="54" t="str">
        <v>ЩСПЗ-ЖД.1</v>
      </c>
      <c r="S5" s="55" t="str">
        <v>Щит системы противопожарной защиты Цокольный этаж этаж Пом. №001Т Ввод.1</v>
      </c>
      <c r="T5" s="56">
        <v>1.6</v>
      </c>
      <c r="U5" s="56">
        <v>3.65</v>
      </c>
      <c r="V5" s="42" t="str">
        <v>L2</v>
      </c>
      <c r="W5" s="57" t="str">
        <v>ok</v>
      </c>
      <c r="X5" s="58" t="str">
        <v/>
      </c>
      <c r="Y5" s="75" t="str">
        <v/>
      </c>
      <c r="Z5" s="59">
        <v>3.646422752776584</v>
      </c>
      <c r="AA5" s="61">
        <v>6</v>
      </c>
      <c r="AB5" s="61">
        <v>25</v>
      </c>
      <c r="AC5" s="61" t="str">
        <v/>
      </c>
      <c r="AD5" s="62" t="str">
        <v>QF3 → XT1</v>
      </c>
      <c r="AE5" s="62" t="str">
        <v/>
      </c>
      <c r="AF5" s="34">
        <v>3</v>
      </c>
      <c r="AG5" s="34" t="str">
        <v>QF3</v>
      </c>
      <c r="AH5" s="34" t="str">
        <v/>
      </c>
      <c r="AI5" s="34" t="str">
        <v/>
      </c>
      <c r="AJ5" s="34" t="str">
        <v>QF3</v>
      </c>
      <c r="AK5" s="34">
        <v>1</v>
      </c>
      <c r="AL5" s="34" t="str">
        <v>ЩСПЗ-ЖД</v>
      </c>
      <c r="AM5" s="34">
        <v>0</v>
      </c>
      <c r="AN5" s="34">
        <v>0</v>
      </c>
      <c r="AO5" s="34">
        <v>6</v>
      </c>
      <c r="AP5" s="34">
        <v>25</v>
      </c>
      <c r="AQ5" s="34">
        <v>10</v>
      </c>
      <c r="AR5" s="34">
        <v>1</v>
      </c>
      <c r="AS5" s="34">
        <v>0</v>
      </c>
      <c r="AT5" s="34" t="str">
        <v>1P</v>
      </c>
      <c r="AU5" s="34">
        <v>10</v>
      </c>
      <c r="AV5" s="34" t="str">
        <v/>
      </c>
      <c r="AW5" s="34" t="str">
        <v/>
      </c>
      <c r="AX5" s="34" t="str">
        <v/>
      </c>
      <c r="AY5" s="34">
        <v>1</v>
      </c>
      <c r="AZ5" s="34" t="str">
        <v/>
      </c>
      <c r="BA5" s="34">
        <v>0</v>
      </c>
      <c r="BB5" s="34">
        <v>0</v>
      </c>
      <c r="BD5" s="34">
        <v>1</v>
      </c>
      <c r="BE5" s="34">
        <v>0</v>
      </c>
      <c r="BF5" s="34">
        <v>0</v>
      </c>
      <c r="BG5" s="34" t="str">
        <v/>
      </c>
      <c r="BH5" s="34" t="str">
        <v/>
      </c>
      <c r="BI5" s="34" t="str">
        <v/>
      </c>
      <c r="BJ5" s="34" t="str">
        <v/>
      </c>
      <c r="BK5" s="34" t="str">
        <v>BOX</v>
      </c>
      <c r="BL5" s="34">
        <v>1</v>
      </c>
      <c r="BM5" s="34">
        <v>2</v>
      </c>
      <c r="BN5" s="34" t="str">
        <v/>
      </c>
      <c r="BO5" s="34" t="str">
        <v/>
      </c>
      <c r="BP5" s="34" t="str">
        <v/>
      </c>
      <c r="BQ5" s="34" t="str">
        <v>3х2,5</v>
      </c>
      <c r="BR5" s="34">
        <v>1</v>
      </c>
      <c r="BS5" s="34" t="str">
        <v/>
      </c>
      <c r="BT5" s="34" t="str">
        <v/>
      </c>
      <c r="BU5" s="34">
        <v>0</v>
      </c>
      <c r="BV5" s="34">
        <v>3</v>
      </c>
      <c r="BW5" s="34">
        <v>1</v>
      </c>
      <c r="BX5" s="34">
        <v>0</v>
      </c>
      <c r="BY5" s="34">
        <v>0</v>
      </c>
      <c r="BZ5">
        <v>1</v>
      </c>
      <c r="CA5" t="str">
        <v>линии</v>
      </c>
    </row>
    <row r="6" spans="1:79" x14ac:dyDescent="0.3">
      <c r="A6" s="39" t="str">
        <v>ГРЩ-ЖД</v>
      </c>
      <c r="B6" s="42">
        <v>24</v>
      </c>
      <c r="C6" s="42">
        <v>2</v>
      </c>
      <c r="D6" s="75" t="str">
        <v/>
      </c>
      <c r="E6" s="75" t="str">
        <v>авто</v>
      </c>
      <c r="F6" s="76" t="str">
        <v/>
      </c>
      <c r="G6" s="47" t="str">
        <v>QF4</v>
      </c>
      <c r="H6" s="47" t="str">
        <v>1P С10А</v>
      </c>
      <c r="I6" s="75" t="str">
        <v/>
      </c>
      <c r="J6" s="76" t="str">
        <v/>
      </c>
      <c r="K6" s="76" t="str">
        <v/>
      </c>
      <c r="L6" s="75" t="str">
        <v/>
      </c>
      <c r="M6" s="49" t="str">
        <v/>
      </c>
      <c r="N6" s="76" t="str">
        <v/>
      </c>
      <c r="O6" s="49" t="str">
        <v/>
      </c>
      <c r="P6" s="77" t="str">
        <v>XT2</v>
      </c>
      <c r="Q6" s="53" t="str">
        <v>ВВГнг(А)-FRLS (3х2,5) L=15-0%</v>
      </c>
      <c r="R6" s="54" t="str">
        <v>ЩСПЗ-ЖД.2</v>
      </c>
      <c r="S6" s="55" t="str">
        <v>Щит системы противопожарной защиты Цокольный этаж этаж Пом. №001Т Ввод.2</v>
      </c>
      <c r="T6" s="56">
        <v>0</v>
      </c>
      <c r="U6" s="56">
        <v>0</v>
      </c>
      <c r="V6" s="42" t="str">
        <v>L1</v>
      </c>
      <c r="W6" s="57" t="str">
        <v>ok</v>
      </c>
      <c r="X6" s="58" t="str">
        <v/>
      </c>
      <c r="Y6" s="75" t="str">
        <v/>
      </c>
      <c r="Z6" s="59">
        <v>0</v>
      </c>
      <c r="AA6" s="61">
        <v>6</v>
      </c>
      <c r="AB6" s="61">
        <v>25</v>
      </c>
      <c r="AC6" s="61" t="str">
        <v/>
      </c>
      <c r="AD6" s="62" t="str">
        <v>QF4 → XT2</v>
      </c>
      <c r="AE6" s="62" t="str">
        <v>нет мощности</v>
      </c>
      <c r="AF6" s="34">
        <v>4</v>
      </c>
      <c r="AG6" s="34" t="str">
        <v>QF4</v>
      </c>
      <c r="AH6" s="34" t="str">
        <v/>
      </c>
      <c r="AI6" s="34" t="str">
        <v/>
      </c>
      <c r="AJ6" s="34" t="str">
        <v>QF4</v>
      </c>
      <c r="AK6" s="34">
        <v>1</v>
      </c>
      <c r="AL6" s="34" t="str">
        <v>ЩСПЗ-ЖД</v>
      </c>
      <c r="AM6" s="34">
        <v>0</v>
      </c>
      <c r="AN6" s="34">
        <v>0</v>
      </c>
      <c r="AO6" s="34">
        <v>6</v>
      </c>
      <c r="AP6" s="34">
        <v>25</v>
      </c>
      <c r="AQ6" s="34">
        <v>10</v>
      </c>
      <c r="AR6" s="34">
        <v>1</v>
      </c>
      <c r="AS6" s="34">
        <v>0</v>
      </c>
      <c r="AT6" s="34" t="str">
        <v>1P</v>
      </c>
      <c r="AU6" s="34">
        <v>10</v>
      </c>
      <c r="AV6" s="34" t="str">
        <v/>
      </c>
      <c r="AW6" s="34" t="str">
        <v/>
      </c>
      <c r="AX6" s="34" t="str">
        <v/>
      </c>
      <c r="AY6" s="34">
        <v>1</v>
      </c>
      <c r="AZ6" s="34" t="str">
        <v/>
      </c>
      <c r="BA6" s="34">
        <v>0</v>
      </c>
      <c r="BB6" s="34">
        <v>0</v>
      </c>
      <c r="BD6" s="34">
        <v>1</v>
      </c>
      <c r="BE6" s="34">
        <v>0</v>
      </c>
      <c r="BF6" s="34">
        <v>0</v>
      </c>
      <c r="BG6" s="34" t="str">
        <v/>
      </c>
      <c r="BH6" s="34" t="str">
        <v/>
      </c>
      <c r="BI6" s="34" t="str">
        <v/>
      </c>
      <c r="BJ6" s="34" t="str">
        <v/>
      </c>
      <c r="BK6" s="34" t="str">
        <v>BOX</v>
      </c>
      <c r="BL6" s="34">
        <v>1</v>
      </c>
      <c r="BM6" s="34" t="str">
        <v/>
      </c>
      <c r="BN6" s="34" t="str">
        <v/>
      </c>
      <c r="BO6" s="34" t="str">
        <v/>
      </c>
      <c r="BP6" s="34" t="str">
        <v/>
      </c>
      <c r="BQ6" s="34" t="str">
        <v>3х2,5</v>
      </c>
      <c r="BR6" s="34" t="str">
        <v/>
      </c>
      <c r="BS6" s="34" t="str">
        <v/>
      </c>
      <c r="BT6" s="34" t="str">
        <v/>
      </c>
      <c r="BU6" s="34">
        <v>1</v>
      </c>
      <c r="BV6" s="34">
        <v>4</v>
      </c>
      <c r="BW6" s="34">
        <v>1</v>
      </c>
      <c r="BX6" s="34">
        <v>0</v>
      </c>
      <c r="BY6" s="34">
        <v>0</v>
      </c>
      <c r="BZ6">
        <v>1</v>
      </c>
      <c r="CA6" t="str">
        <v>линии</v>
      </c>
    </row>
    <row r="7" spans="1:79" x14ac:dyDescent="0.3">
      <c r="A7" s="39" t="str">
        <v>ГРЩ-ЖД</v>
      </c>
      <c r="B7" s="42">
        <v>35</v>
      </c>
      <c r="C7" s="42">
        <v>3</v>
      </c>
      <c r="D7" s="75" t="str">
        <v/>
      </c>
      <c r="E7" s="75" t="str">
        <v>авто</v>
      </c>
      <c r="F7" s="76" t="str">
        <v/>
      </c>
      <c r="G7" s="47" t="str">
        <v>QF5</v>
      </c>
      <c r="H7" s="47" t="str">
        <v>3P С25А</v>
      </c>
      <c r="I7" s="75" t="str">
        <v/>
      </c>
      <c r="J7" s="76" t="str">
        <v/>
      </c>
      <c r="K7" s="76" t="str">
        <v/>
      </c>
      <c r="L7" s="75" t="str">
        <v/>
      </c>
      <c r="M7" s="49" t="str">
        <v/>
      </c>
      <c r="N7" s="76" t="str">
        <v/>
      </c>
      <c r="O7" s="49" t="str">
        <v/>
      </c>
      <c r="P7" s="77" t="str">
        <v/>
      </c>
      <c r="Q7" s="53" t="str">
        <v>ВВГнг(А)-LS (5х6) L=15-0,24%</v>
      </c>
      <c r="R7" s="54" t="str">
        <v>ЩОВ-01</v>
      </c>
      <c r="S7" s="55" t="str">
        <v>Щит вентиляции ЩОВ-01 Цокольный этаж этаж Пом. №0.001Тб</v>
      </c>
      <c r="T7" s="56">
        <v>13.172999999999996</v>
      </c>
      <c r="U7" s="56">
        <v>11.93</v>
      </c>
      <c r="V7" s="42" t="str">
        <v>L1,L2,L3</v>
      </c>
      <c r="W7" s="57" t="str">
        <v>ok</v>
      </c>
      <c r="X7" s="58" t="str">
        <v/>
      </c>
      <c r="Y7" s="75" t="str">
        <v/>
      </c>
      <c r="Z7" s="59">
        <v>11.927695717539414</v>
      </c>
      <c r="AA7" s="61">
        <v>16</v>
      </c>
      <c r="AB7" s="61">
        <v>32</v>
      </c>
      <c r="AC7" s="61" t="str">
        <v/>
      </c>
      <c r="AD7" s="62" t="str">
        <v>QF5</v>
      </c>
      <c r="AE7" s="62" t="str">
        <v/>
      </c>
      <c r="AF7" s="34">
        <v>5</v>
      </c>
      <c r="AG7" s="34" t="str">
        <v>QF5</v>
      </c>
      <c r="AH7" s="34" t="str">
        <v/>
      </c>
      <c r="AI7" s="34" t="str">
        <v/>
      </c>
      <c r="AJ7" s="34" t="str">
        <v>QF5</v>
      </c>
      <c r="AK7" s="34">
        <v>3</v>
      </c>
      <c r="AL7" s="34" t="str">
        <v>ЩОВ-01</v>
      </c>
      <c r="AM7" s="34">
        <v>0</v>
      </c>
      <c r="AN7" s="34">
        <v>0</v>
      </c>
      <c r="AO7" s="34">
        <v>16</v>
      </c>
      <c r="AP7" s="34">
        <v>32</v>
      </c>
      <c r="AQ7" s="34">
        <v>25</v>
      </c>
      <c r="AR7" s="34">
        <v>3</v>
      </c>
      <c r="AS7" s="34">
        <v>0</v>
      </c>
      <c r="AT7" s="34" t="str">
        <v>3P</v>
      </c>
      <c r="AU7" s="34">
        <v>25</v>
      </c>
      <c r="AV7" s="34" t="str">
        <v/>
      </c>
      <c r="AW7" s="34" t="str">
        <v/>
      </c>
      <c r="AX7" s="34" t="str">
        <v/>
      </c>
      <c r="AY7" s="34">
        <v>1</v>
      </c>
      <c r="AZ7" s="34" t="str">
        <v/>
      </c>
      <c r="BA7" s="34">
        <v>0</v>
      </c>
      <c r="BB7" s="34">
        <v>0</v>
      </c>
      <c r="BD7" s="34">
        <v>1</v>
      </c>
      <c r="BE7" s="34">
        <v>0</v>
      </c>
      <c r="BF7" s="34">
        <v>0</v>
      </c>
      <c r="BG7" s="34" t="str">
        <v/>
      </c>
      <c r="BH7" s="34" t="str">
        <v/>
      </c>
      <c r="BI7" s="34" t="str">
        <v/>
      </c>
      <c r="BJ7" s="34" t="str">
        <v/>
      </c>
      <c r="BK7" s="34" t="str">
        <v>BOX</v>
      </c>
      <c r="BL7" s="34">
        <v>1</v>
      </c>
      <c r="BM7" s="34">
        <v>3</v>
      </c>
      <c r="BN7" s="34" t="str">
        <v/>
      </c>
      <c r="BO7" s="34" t="str">
        <v/>
      </c>
      <c r="BP7" s="34" t="str">
        <v/>
      </c>
      <c r="BQ7" s="34" t="str">
        <v>5х6</v>
      </c>
      <c r="BR7" s="34">
        <v>2</v>
      </c>
      <c r="BS7" s="34" t="str">
        <v/>
      </c>
      <c r="BT7" s="34" t="str">
        <v/>
      </c>
      <c r="BU7" s="34">
        <v>0</v>
      </c>
      <c r="BV7" s="34">
        <v>5</v>
      </c>
      <c r="BW7" s="34">
        <v>1</v>
      </c>
      <c r="BX7" s="34">
        <v>2</v>
      </c>
      <c r="BY7" s="34" t="str">
        <v/>
      </c>
      <c r="BZ7">
        <v>1</v>
      </c>
      <c r="CA7" t="str">
        <v>линии</v>
      </c>
    </row>
    <row r="8" spans="1:79" x14ac:dyDescent="0.3">
      <c r="A8" s="39" t="str">
        <v>ГРЩ-ЖД</v>
      </c>
      <c r="B8" s="42">
        <v>36</v>
      </c>
      <c r="C8" s="42">
        <v>3</v>
      </c>
      <c r="D8" s="75" t="str">
        <v/>
      </c>
      <c r="E8" s="75" t="str">
        <v>авто</v>
      </c>
      <c r="F8" s="76" t="str">
        <v/>
      </c>
      <c r="G8" s="47" t="str">
        <v>QF6</v>
      </c>
      <c r="H8" s="47" t="str">
        <v>3P С400А</v>
      </c>
      <c r="I8" s="75" t="str">
        <v/>
      </c>
      <c r="J8" s="76" t="str">
        <v/>
      </c>
      <c r="K8" s="76" t="str">
        <v/>
      </c>
      <c r="L8" s="75" t="str">
        <v/>
      </c>
      <c r="M8" s="49" t="str">
        <v/>
      </c>
      <c r="N8" s="76" t="str">
        <v/>
      </c>
      <c r="O8" s="49" t="str">
        <v/>
      </c>
      <c r="P8" s="77" t="str">
        <v>XT4</v>
      </c>
      <c r="Q8" s="53" t="str">
        <v>5хВВГнг(А)-LS  (1х185) L=58-0,64%</v>
      </c>
      <c r="R8" s="54" t="str">
        <v>ЩОВ-001</v>
      </c>
      <c r="S8" s="55" t="str">
        <v>Щит вентиляции ЩОВ-001 Подвальный этаж этаж Пом. №00.006Т</v>
      </c>
      <c r="T8" s="56">
        <v>211.22</v>
      </c>
      <c r="U8" s="56">
        <v>190.6</v>
      </c>
      <c r="V8" s="42" t="str">
        <v>L1,L2,L3</v>
      </c>
      <c r="W8" s="57" t="str">
        <v>ok</v>
      </c>
      <c r="X8" s="58" t="str">
        <v/>
      </c>
      <c r="Y8" s="75" t="str">
        <v/>
      </c>
      <c r="Z8" s="59">
        <v>190.59775761622515</v>
      </c>
      <c r="AA8" s="61">
        <v>250</v>
      </c>
      <c r="AB8" s="61">
        <v>500</v>
      </c>
      <c r="AC8" s="61" t="str">
        <v/>
      </c>
      <c r="AD8" s="62" t="str">
        <v>QF6 → XT4</v>
      </c>
      <c r="AE8" s="62" t="str">
        <v/>
      </c>
      <c r="AF8" s="34">
        <v>6</v>
      </c>
      <c r="AG8" s="34" t="str">
        <v>QF6</v>
      </c>
      <c r="AH8" s="34" t="str">
        <v/>
      </c>
      <c r="AI8" s="34" t="str">
        <v/>
      </c>
      <c r="AJ8" s="34" t="str">
        <v>QF6</v>
      </c>
      <c r="AK8" s="34">
        <v>3</v>
      </c>
      <c r="AL8" s="34" t="str">
        <v>ЩОВ-001</v>
      </c>
      <c r="AM8" s="34">
        <v>0</v>
      </c>
      <c r="AN8" s="34">
        <v>0</v>
      </c>
      <c r="AO8" s="34">
        <v>250</v>
      </c>
      <c r="AP8" s="34">
        <v>500</v>
      </c>
      <c r="AQ8" s="34">
        <v>400</v>
      </c>
      <c r="AR8" s="34">
        <v>3</v>
      </c>
      <c r="AS8" s="34">
        <v>0</v>
      </c>
      <c r="AT8" s="34" t="str">
        <v>3P</v>
      </c>
      <c r="AU8" s="34">
        <v>400</v>
      </c>
      <c r="AV8" s="34" t="str">
        <v/>
      </c>
      <c r="AW8" s="34" t="str">
        <v/>
      </c>
      <c r="AX8" s="34" t="str">
        <v/>
      </c>
      <c r="AY8" s="34">
        <v>1</v>
      </c>
      <c r="AZ8" s="34" t="str">
        <v/>
      </c>
      <c r="BA8" s="34">
        <v>0</v>
      </c>
      <c r="BB8" s="34">
        <v>0</v>
      </c>
      <c r="BD8" s="34">
        <v>1</v>
      </c>
      <c r="BE8" s="34">
        <v>0</v>
      </c>
      <c r="BF8" s="34">
        <v>0</v>
      </c>
      <c r="BG8" s="34" t="str">
        <v/>
      </c>
      <c r="BH8" s="34" t="str">
        <v/>
      </c>
      <c r="BI8" s="34" t="str">
        <v/>
      </c>
      <c r="BJ8" s="34" t="str">
        <v/>
      </c>
      <c r="BK8" s="34" t="str">
        <v>BOX</v>
      </c>
      <c r="BL8" s="34">
        <v>1</v>
      </c>
      <c r="BM8" s="34">
        <v>4</v>
      </c>
      <c r="BN8" s="34" t="str">
        <v/>
      </c>
      <c r="BO8" s="34" t="str">
        <v/>
      </c>
      <c r="BP8" s="34" t="str">
        <v/>
      </c>
      <c r="BQ8" s="34" t="str">
        <v>1х185</v>
      </c>
      <c r="BR8" s="34">
        <v>3</v>
      </c>
      <c r="BS8" s="34" t="str">
        <v/>
      </c>
      <c r="BT8" s="34" t="str">
        <v/>
      </c>
      <c r="BU8" s="34">
        <v>0</v>
      </c>
      <c r="BV8" s="34">
        <v>6</v>
      </c>
      <c r="BW8" s="34">
        <v>1</v>
      </c>
      <c r="BX8" s="34">
        <v>0</v>
      </c>
      <c r="BY8" s="34" t="str">
        <v/>
      </c>
      <c r="BZ8">
        <v>1</v>
      </c>
      <c r="CA8" t="str">
        <v>линии</v>
      </c>
    </row>
    <row r="9" spans="1:79" x14ac:dyDescent="0.3">
      <c r="A9" s="39" t="str">
        <v>ГРЩ-ЖД</v>
      </c>
      <c r="B9" s="42">
        <v>37</v>
      </c>
      <c r="C9" s="42">
        <v>3</v>
      </c>
      <c r="D9" s="75" t="str">
        <v/>
      </c>
      <c r="E9" s="75" t="str">
        <v>авто</v>
      </c>
      <c r="F9" s="76" t="str">
        <v/>
      </c>
      <c r="G9" s="47" t="str">
        <v>QF7</v>
      </c>
      <c r="H9" s="47" t="str">
        <v>3P С16А</v>
      </c>
      <c r="I9" s="75" t="str">
        <v/>
      </c>
      <c r="J9" s="76" t="str">
        <v/>
      </c>
      <c r="K9" s="76" t="str">
        <v/>
      </c>
      <c r="L9" s="75" t="str">
        <v/>
      </c>
      <c r="M9" s="49" t="str">
        <v/>
      </c>
      <c r="N9" s="76" t="str">
        <v/>
      </c>
      <c r="O9" s="49" t="str">
        <v/>
      </c>
      <c r="P9" s="77" t="str">
        <v/>
      </c>
      <c r="Q9" s="53" t="str">
        <v>ВВГнг(А)-LS (5х4) L=46-0,74%</v>
      </c>
      <c r="R9" s="54" t="str">
        <v>ЩОВ-002</v>
      </c>
      <c r="S9" s="55" t="str">
        <v>Щит вентиляции ЩОВ-002 Подвальный этаж этаж Пом. №00.003Т</v>
      </c>
      <c r="T9" s="56">
        <v>6.99</v>
      </c>
      <c r="U9" s="56">
        <v>8.1199999999999992</v>
      </c>
      <c r="V9" s="42" t="str">
        <v>L1,L2,L3</v>
      </c>
      <c r="W9" s="57" t="str">
        <v>ok</v>
      </c>
      <c r="X9" s="58" t="str">
        <v/>
      </c>
      <c r="Y9" s="75" t="str">
        <v/>
      </c>
      <c r="Z9" s="59">
        <v>8.1189881604791125</v>
      </c>
      <c r="AA9" s="61">
        <v>10</v>
      </c>
      <c r="AB9" s="61">
        <v>32</v>
      </c>
      <c r="AC9" s="61" t="str">
        <v/>
      </c>
      <c r="AD9" s="62" t="str">
        <v>QF7</v>
      </c>
      <c r="AE9" s="62" t="str">
        <v/>
      </c>
      <c r="AF9" s="34">
        <v>7</v>
      </c>
      <c r="AG9" s="34" t="str">
        <v>QF7</v>
      </c>
      <c r="AH9" s="34" t="str">
        <v/>
      </c>
      <c r="AI9" s="34" t="str">
        <v/>
      </c>
      <c r="AJ9" s="34" t="str">
        <v>QF7</v>
      </c>
      <c r="AK9" s="34">
        <v>3</v>
      </c>
      <c r="AL9" s="34" t="str">
        <v>ЩОВ-002</v>
      </c>
      <c r="AM9" s="34">
        <v>0</v>
      </c>
      <c r="AN9" s="34">
        <v>0</v>
      </c>
      <c r="AO9" s="34">
        <v>10</v>
      </c>
      <c r="AP9" s="34">
        <v>32</v>
      </c>
      <c r="AQ9" s="34">
        <v>16</v>
      </c>
      <c r="AR9" s="34">
        <v>3</v>
      </c>
      <c r="AS9" s="34">
        <v>0</v>
      </c>
      <c r="AT9" s="34" t="str">
        <v>3P</v>
      </c>
      <c r="AU9" s="34">
        <v>16</v>
      </c>
      <c r="AV9" s="34" t="str">
        <v/>
      </c>
      <c r="AW9" s="34" t="str">
        <v/>
      </c>
      <c r="AX9" s="34" t="str">
        <v/>
      </c>
      <c r="AY9" s="34">
        <v>1</v>
      </c>
      <c r="AZ9" s="34" t="str">
        <v/>
      </c>
      <c r="BA9" s="34">
        <v>0</v>
      </c>
      <c r="BB9" s="34">
        <v>0</v>
      </c>
      <c r="BD9" s="34">
        <v>1</v>
      </c>
      <c r="BE9" s="34">
        <v>0</v>
      </c>
      <c r="BF9" s="34">
        <v>0</v>
      </c>
      <c r="BG9" s="34" t="str">
        <v/>
      </c>
      <c r="BH9" s="34" t="str">
        <v/>
      </c>
      <c r="BI9" s="34" t="str">
        <v/>
      </c>
      <c r="BJ9" s="34" t="str">
        <v/>
      </c>
      <c r="BK9" s="34" t="str">
        <v>BOX</v>
      </c>
      <c r="BL9" s="34">
        <v>1</v>
      </c>
      <c r="BM9" s="34">
        <v>5</v>
      </c>
      <c r="BN9" s="34" t="str">
        <v/>
      </c>
      <c r="BO9" s="34" t="str">
        <v/>
      </c>
      <c r="BP9" s="34" t="str">
        <v/>
      </c>
      <c r="BQ9" s="34" t="str">
        <v>5х4</v>
      </c>
      <c r="BR9" s="34">
        <v>4</v>
      </c>
      <c r="BS9" s="34" t="str">
        <v/>
      </c>
      <c r="BT9" s="34" t="str">
        <v/>
      </c>
      <c r="BU9" s="34">
        <v>0</v>
      </c>
      <c r="BV9" s="34">
        <v>7</v>
      </c>
      <c r="BW9" s="34">
        <v>1</v>
      </c>
      <c r="BX9" s="34">
        <v>2</v>
      </c>
      <c r="BY9" s="34" t="str">
        <v/>
      </c>
      <c r="BZ9">
        <v>1</v>
      </c>
      <c r="CA9" t="str">
        <v>линии</v>
      </c>
    </row>
    <row r="10" spans="1:79" x14ac:dyDescent="0.3">
      <c r="A10" s="39" t="str">
        <v>ГРЩ-ЖД</v>
      </c>
      <c r="B10" s="42">
        <v>38</v>
      </c>
      <c r="C10" s="42">
        <v>3</v>
      </c>
      <c r="D10" s="75" t="str">
        <v/>
      </c>
      <c r="E10" s="75" t="str">
        <v>авто</v>
      </c>
      <c r="F10" s="76" t="str">
        <v/>
      </c>
      <c r="G10" s="47" t="str">
        <v>QF8</v>
      </c>
      <c r="H10" s="47" t="str">
        <v>3P С20А</v>
      </c>
      <c r="I10" s="75" t="str">
        <v/>
      </c>
      <c r="J10" s="76" t="str">
        <v/>
      </c>
      <c r="K10" s="76" t="str">
        <v/>
      </c>
      <c r="L10" s="75" t="str">
        <v/>
      </c>
      <c r="M10" s="49" t="str">
        <v/>
      </c>
      <c r="N10" s="76" t="str">
        <v/>
      </c>
      <c r="O10" s="49" t="str">
        <v/>
      </c>
      <c r="P10" s="77" t="str">
        <v/>
      </c>
      <c r="Q10" s="53" t="str">
        <v>ВВГнг(А)-LS (5х4) L=56-1,14%</v>
      </c>
      <c r="R10" s="54" t="str">
        <v>ЩОВ-2</v>
      </c>
      <c r="S10" s="55" t="str">
        <v>Щит вентиляции ЩОВ-2 Техэтаж этаж Пом. №3.001Т</v>
      </c>
      <c r="T10" s="56">
        <v>11.093000000000002</v>
      </c>
      <c r="U10" s="56">
        <v>10.29</v>
      </c>
      <c r="V10" s="42" t="str">
        <v>L1,L2,L3</v>
      </c>
      <c r="W10" s="57" t="str">
        <v>ok</v>
      </c>
      <c r="X10" s="58" t="str">
        <v/>
      </c>
      <c r="Y10" s="75" t="str">
        <v/>
      </c>
      <c r="Z10" s="59">
        <v>10.284051669940206</v>
      </c>
      <c r="AA10" s="61">
        <v>16</v>
      </c>
      <c r="AB10" s="61">
        <v>32</v>
      </c>
      <c r="AC10" s="61" t="str">
        <v/>
      </c>
      <c r="AD10" s="62" t="str">
        <v>QF8</v>
      </c>
      <c r="AE10" s="62" t="str">
        <v/>
      </c>
      <c r="AF10" s="34">
        <v>8</v>
      </c>
      <c r="AG10" s="34" t="str">
        <v>QF8</v>
      </c>
      <c r="AH10" s="34" t="str">
        <v/>
      </c>
      <c r="AI10" s="34" t="str">
        <v/>
      </c>
      <c r="AJ10" s="34" t="str">
        <v>QF8</v>
      </c>
      <c r="AK10" s="34">
        <v>3</v>
      </c>
      <c r="AL10" s="34" t="str">
        <v>ЩОВ-2</v>
      </c>
      <c r="AM10" s="34">
        <v>0</v>
      </c>
      <c r="AN10" s="34">
        <v>0</v>
      </c>
      <c r="AO10" s="34">
        <v>16</v>
      </c>
      <c r="AP10" s="34">
        <v>32</v>
      </c>
      <c r="AQ10" s="34">
        <v>20</v>
      </c>
      <c r="AR10" s="34">
        <v>3</v>
      </c>
      <c r="AS10" s="34">
        <v>0</v>
      </c>
      <c r="AT10" s="34" t="str">
        <v>3P</v>
      </c>
      <c r="AU10" s="34">
        <v>20</v>
      </c>
      <c r="AV10" s="34" t="str">
        <v/>
      </c>
      <c r="AW10" s="34" t="str">
        <v/>
      </c>
      <c r="AX10" s="34" t="str">
        <v/>
      </c>
      <c r="AY10" s="34">
        <v>1</v>
      </c>
      <c r="AZ10" s="34" t="str">
        <v/>
      </c>
      <c r="BA10" s="34">
        <v>0</v>
      </c>
      <c r="BB10" s="34">
        <v>0</v>
      </c>
      <c r="BD10" s="34">
        <v>1</v>
      </c>
      <c r="BE10" s="34">
        <v>0</v>
      </c>
      <c r="BF10" s="34">
        <v>0</v>
      </c>
      <c r="BG10" s="34" t="str">
        <v/>
      </c>
      <c r="BH10" s="34" t="str">
        <v/>
      </c>
      <c r="BI10" s="34" t="str">
        <v/>
      </c>
      <c r="BJ10" s="34" t="str">
        <v/>
      </c>
      <c r="BK10" s="34" t="str">
        <v>BOX</v>
      </c>
      <c r="BL10" s="34">
        <v>1</v>
      </c>
      <c r="BM10" s="34">
        <v>6</v>
      </c>
      <c r="BN10" s="34" t="str">
        <v/>
      </c>
      <c r="BO10" s="34" t="str">
        <v/>
      </c>
      <c r="BP10" s="34" t="str">
        <v/>
      </c>
      <c r="BQ10" s="34" t="str">
        <v>5х4</v>
      </c>
      <c r="BR10" s="34" t="str">
        <v/>
      </c>
      <c r="BS10" s="34" t="str">
        <v/>
      </c>
      <c r="BT10" s="34" t="str">
        <v/>
      </c>
      <c r="BU10" s="34">
        <v>0</v>
      </c>
      <c r="BV10" s="34">
        <v>8</v>
      </c>
      <c r="BW10" s="34">
        <v>1</v>
      </c>
      <c r="BX10" s="34">
        <v>2</v>
      </c>
      <c r="BY10" s="34" t="str">
        <v/>
      </c>
      <c r="BZ10">
        <v>1</v>
      </c>
      <c r="CA10" t="str">
        <v>линии</v>
      </c>
    </row>
    <row r="11" spans="1:79" x14ac:dyDescent="0.3">
      <c r="A11" s="39" t="str">
        <v>ГРЩ-ЖД</v>
      </c>
      <c r="B11" s="42">
        <v>39</v>
      </c>
      <c r="C11" s="42">
        <v>3</v>
      </c>
      <c r="D11" s="75" t="str">
        <v/>
      </c>
      <c r="E11" s="75" t="str">
        <v>авто</v>
      </c>
      <c r="F11" s="76" t="str">
        <v/>
      </c>
      <c r="G11" s="47" t="str">
        <v>QF9</v>
      </c>
      <c r="H11" s="47" t="str">
        <v>3P С6А</v>
      </c>
      <c r="I11" s="75" t="str">
        <v/>
      </c>
      <c r="J11" s="76" t="str">
        <v/>
      </c>
      <c r="K11" s="76" t="str">
        <v/>
      </c>
      <c r="L11" s="75" t="str">
        <v/>
      </c>
      <c r="M11" s="49" t="str">
        <v/>
      </c>
      <c r="N11" s="76" t="str">
        <v/>
      </c>
      <c r="O11" s="49" t="str">
        <v/>
      </c>
      <c r="P11" s="77" t="str">
        <v/>
      </c>
      <c r="Q11" s="53" t="str">
        <v/>
      </c>
      <c r="R11" s="54" t="str">
        <v>ЩО-2</v>
      </c>
      <c r="S11" s="55" t="str">
        <v>Щит освещения ЩО-2 Тех. этаж этаж Пом. №3.001</v>
      </c>
      <c r="T11" s="56">
        <v>0</v>
      </c>
      <c r="U11" s="56">
        <v>0</v>
      </c>
      <c r="V11" s="42" t="str">
        <v>L1,L2,L3</v>
      </c>
      <c r="W11" s="57" t="str">
        <v>ok</v>
      </c>
      <c r="X11" s="58" t="str">
        <v/>
      </c>
      <c r="Y11" s="75" t="str">
        <v/>
      </c>
      <c r="Z11" s="59">
        <v>0</v>
      </c>
      <c r="AA11" s="61">
        <v>6</v>
      </c>
      <c r="AB11" s="61" t="str">
        <v/>
      </c>
      <c r="AC11" s="61" t="str">
        <v/>
      </c>
      <c r="AD11" s="62" t="str">
        <v>QF9</v>
      </c>
      <c r="AE11" s="62" t="str">
        <v>нет мощности</v>
      </c>
      <c r="AF11" s="34">
        <v>9</v>
      </c>
      <c r="AG11" s="34" t="str">
        <v>QF9</v>
      </c>
      <c r="AH11" s="34" t="str">
        <v/>
      </c>
      <c r="AI11" s="34" t="str">
        <v/>
      </c>
      <c r="AJ11" s="34" t="str">
        <v>QF9</v>
      </c>
      <c r="AK11" s="34">
        <v>3</v>
      </c>
      <c r="AL11" s="34" t="str">
        <v>ЩО-2</v>
      </c>
      <c r="AM11" s="34">
        <v>0</v>
      </c>
      <c r="AN11" s="34">
        <v>0</v>
      </c>
      <c r="AO11" s="34">
        <v>6</v>
      </c>
      <c r="AP11" s="34" t="str">
        <v/>
      </c>
      <c r="AQ11" s="34">
        <v>6</v>
      </c>
      <c r="AR11" s="34">
        <v>3</v>
      </c>
      <c r="AS11" s="34">
        <v>0</v>
      </c>
      <c r="AT11" s="34" t="str">
        <v>3P</v>
      </c>
      <c r="AU11" s="34">
        <v>6</v>
      </c>
      <c r="AV11" s="34" t="str">
        <v/>
      </c>
      <c r="AW11" s="34" t="str">
        <v/>
      </c>
      <c r="AX11" s="34" t="str">
        <v/>
      </c>
      <c r="AY11" s="34">
        <v>0</v>
      </c>
      <c r="AZ11" s="34" t="str">
        <v/>
      </c>
      <c r="BA11" s="34">
        <v>0</v>
      </c>
      <c r="BB11" s="34">
        <v>0</v>
      </c>
      <c r="BD11" s="34">
        <v>1</v>
      </c>
      <c r="BE11" s="34">
        <v>0</v>
      </c>
      <c r="BF11" s="34">
        <v>0</v>
      </c>
      <c r="BG11" s="34" t="str">
        <v/>
      </c>
      <c r="BH11" s="34" t="str">
        <v/>
      </c>
      <c r="BI11" s="34" t="str">
        <v/>
      </c>
      <c r="BJ11" s="34" t="str">
        <v/>
      </c>
      <c r="BK11" s="34" t="str">
        <v>BOX</v>
      </c>
      <c r="BL11" s="34">
        <v>1</v>
      </c>
      <c r="BM11" s="34">
        <v>7</v>
      </c>
      <c r="BN11" s="34" t="str">
        <v/>
      </c>
      <c r="BO11" s="34" t="str">
        <v/>
      </c>
      <c r="BP11" s="34" t="str">
        <v/>
      </c>
      <c r="BQ11" s="34" t="str">
        <v/>
      </c>
      <c r="BR11" s="34" t="str">
        <v/>
      </c>
      <c r="BS11" s="34" t="str">
        <v/>
      </c>
      <c r="BT11" s="34" t="str">
        <v/>
      </c>
      <c r="BU11" s="34">
        <v>1</v>
      </c>
      <c r="BV11" s="34">
        <v>9</v>
      </c>
      <c r="BW11" s="34">
        <v>0</v>
      </c>
      <c r="BX11" s="34">
        <v>0</v>
      </c>
      <c r="BY11" s="34" t="str">
        <v/>
      </c>
      <c r="BZ11">
        <v>1</v>
      </c>
      <c r="CA11" t="str">
        <v>линии</v>
      </c>
    </row>
    <row r="12" spans="1:79" x14ac:dyDescent="0.3">
      <c r="A12" s="39" t="str">
        <v>ГРЩ-ЖД</v>
      </c>
      <c r="B12" s="42">
        <v>40</v>
      </c>
      <c r="C12" s="42">
        <v>3</v>
      </c>
      <c r="D12" s="75" t="str">
        <v/>
      </c>
      <c r="E12" s="75" t="str">
        <v>авто</v>
      </c>
      <c r="F12" s="76" t="str">
        <v/>
      </c>
      <c r="G12" s="47" t="str">
        <v>QF10</v>
      </c>
      <c r="H12" s="47" t="str">
        <v>3P С20А</v>
      </c>
      <c r="I12" s="75" t="str">
        <v/>
      </c>
      <c r="J12" s="76" t="str">
        <v/>
      </c>
      <c r="K12" s="76" t="str">
        <v/>
      </c>
      <c r="L12" s="75" t="str">
        <v/>
      </c>
      <c r="M12" s="49" t="str">
        <v/>
      </c>
      <c r="N12" s="76" t="str">
        <v/>
      </c>
      <c r="O12" s="49" t="str">
        <v/>
      </c>
      <c r="P12" s="77" t="str">
        <v/>
      </c>
      <c r="Q12" s="53" t="str">
        <v>ВВГнг(А)-LS (5х4) L=41-1,57%</v>
      </c>
      <c r="R12" s="54" t="str">
        <v>ЩР-001</v>
      </c>
      <c r="S12" s="55" t="str">
        <v>Щит распределительный ЩР-001 Подвальный этаж этаж Пом. №00.004Т</v>
      </c>
      <c r="T12" s="56">
        <v>11.860000000000001</v>
      </c>
      <c r="U12" s="56">
        <v>16.380000000000003</v>
      </c>
      <c r="V12" s="42" t="str">
        <v>L1,L2,L3</v>
      </c>
      <c r="W12" s="57" t="str">
        <v>ok</v>
      </c>
      <c r="X12" s="58" t="str">
        <v/>
      </c>
      <c r="Y12" s="75" t="str">
        <v/>
      </c>
      <c r="Z12" s="59">
        <v>16.378863980838116</v>
      </c>
      <c r="AA12" s="61">
        <v>20</v>
      </c>
      <c r="AB12" s="61">
        <v>32</v>
      </c>
      <c r="AC12" s="61" t="str">
        <v/>
      </c>
      <c r="AD12" s="62" t="str">
        <v>QF10</v>
      </c>
      <c r="AE12" s="62" t="str">
        <v/>
      </c>
      <c r="AF12" s="34">
        <v>10</v>
      </c>
      <c r="AG12" s="34" t="str">
        <v>QF10</v>
      </c>
      <c r="AH12" s="34" t="str">
        <v/>
      </c>
      <c r="AI12" s="34" t="str">
        <v/>
      </c>
      <c r="AJ12" s="34" t="str">
        <v>QF10</v>
      </c>
      <c r="AK12" s="34">
        <v>3</v>
      </c>
      <c r="AL12" s="34" t="str">
        <v>ЩР-001</v>
      </c>
      <c r="AM12" s="34">
        <v>0</v>
      </c>
      <c r="AN12" s="34">
        <v>0</v>
      </c>
      <c r="AO12" s="34">
        <v>20</v>
      </c>
      <c r="AP12" s="34">
        <v>32</v>
      </c>
      <c r="AQ12" s="34">
        <v>20</v>
      </c>
      <c r="AR12" s="34">
        <v>3</v>
      </c>
      <c r="AS12" s="34">
        <v>0</v>
      </c>
      <c r="AT12" s="34" t="str">
        <v>3P</v>
      </c>
      <c r="AU12" s="34">
        <v>20</v>
      </c>
      <c r="AV12" s="34" t="str">
        <v/>
      </c>
      <c r="AW12" s="34" t="str">
        <v/>
      </c>
      <c r="AX12" s="34" t="str">
        <v/>
      </c>
      <c r="AY12" s="34">
        <v>1</v>
      </c>
      <c r="AZ12" s="34" t="str">
        <v/>
      </c>
      <c r="BA12" s="34">
        <v>0</v>
      </c>
      <c r="BB12" s="34">
        <v>0</v>
      </c>
      <c r="BD12" s="34">
        <v>1</v>
      </c>
      <c r="BE12" s="34">
        <v>0</v>
      </c>
      <c r="BF12" s="34">
        <v>0</v>
      </c>
      <c r="BG12" s="34" t="str">
        <v/>
      </c>
      <c r="BH12" s="34" t="str">
        <v/>
      </c>
      <c r="BI12" s="34" t="str">
        <v/>
      </c>
      <c r="BJ12" s="34" t="str">
        <v/>
      </c>
      <c r="BK12" s="34" t="str">
        <v>BOX</v>
      </c>
      <c r="BL12" s="34">
        <v>1</v>
      </c>
      <c r="BM12" s="34" t="str">
        <v/>
      </c>
      <c r="BN12" s="34" t="str">
        <v/>
      </c>
      <c r="BO12" s="34" t="str">
        <v/>
      </c>
      <c r="BP12" s="34" t="str">
        <v/>
      </c>
      <c r="BQ12" s="34" t="str">
        <v>5х4</v>
      </c>
      <c r="BR12" s="34" t="str">
        <v/>
      </c>
      <c r="BS12" s="34" t="str">
        <v/>
      </c>
      <c r="BT12" s="34" t="str">
        <v/>
      </c>
      <c r="BU12" s="34">
        <v>0</v>
      </c>
      <c r="BV12" s="34">
        <v>10</v>
      </c>
      <c r="BW12" s="34">
        <v>1</v>
      </c>
      <c r="BX12" s="34">
        <v>2</v>
      </c>
      <c r="BY12" s="34">
        <v>0</v>
      </c>
      <c r="BZ12">
        <v>1</v>
      </c>
      <c r="CA12" t="str">
        <v>линии</v>
      </c>
    </row>
    <row r="13" spans="1:79" x14ac:dyDescent="0.3">
      <c r="A13" s="39" t="str">
        <v>ГРЩ-ЖД</v>
      </c>
      <c r="B13" s="42">
        <v>41</v>
      </c>
      <c r="C13" s="42">
        <v>3</v>
      </c>
      <c r="D13" s="75" t="str">
        <v/>
      </c>
      <c r="E13" s="75" t="str">
        <v>авто</v>
      </c>
      <c r="F13" s="76" t="str">
        <v/>
      </c>
      <c r="G13" s="47" t="str">
        <v>QF11</v>
      </c>
      <c r="H13" s="47" t="str">
        <v>3P С40А</v>
      </c>
      <c r="I13" s="75" t="str">
        <v/>
      </c>
      <c r="J13" s="76" t="str">
        <v/>
      </c>
      <c r="K13" s="76" t="str">
        <v/>
      </c>
      <c r="L13" s="75" t="str">
        <v/>
      </c>
      <c r="M13" s="49" t="str">
        <v/>
      </c>
      <c r="N13" s="76" t="str">
        <v/>
      </c>
      <c r="O13" s="49" t="str">
        <v/>
      </c>
      <c r="P13" s="77" t="str">
        <v/>
      </c>
      <c r="Q13" s="53" t="str">
        <v>ВВГнг(А)-LS (5х10) L=14-0,43%</v>
      </c>
      <c r="R13" s="54" t="str">
        <v>ЩР-01</v>
      </c>
      <c r="S13" s="55" t="str">
        <v>Щит распределительный ЩР-01 Цокольный этаж этаж Пом. №0.001Т</v>
      </c>
      <c r="T13" s="56">
        <v>24.405000000000005</v>
      </c>
      <c r="U13" s="56">
        <v>32.799999999999997</v>
      </c>
      <c r="V13" s="42" t="str">
        <v>L1,L2,L3</v>
      </c>
      <c r="W13" s="57" t="str">
        <v>ok</v>
      </c>
      <c r="X13" s="58" t="str">
        <v/>
      </c>
      <c r="Y13" s="75" t="str">
        <v/>
      </c>
      <c r="Z13" s="59">
        <v>32.798575666043085</v>
      </c>
      <c r="AA13" s="61">
        <v>40</v>
      </c>
      <c r="AB13" s="61">
        <v>50</v>
      </c>
      <c r="AC13" s="61" t="str">
        <v/>
      </c>
      <c r="AD13" s="62" t="str">
        <v>QF11</v>
      </c>
      <c r="AE13" s="62" t="str">
        <v/>
      </c>
      <c r="AF13" s="34">
        <v>11</v>
      </c>
      <c r="AG13" s="34" t="str">
        <v>QF11</v>
      </c>
      <c r="AH13" s="34" t="str">
        <v/>
      </c>
      <c r="AI13" s="34" t="str">
        <v/>
      </c>
      <c r="AJ13" s="34" t="str">
        <v>QF11</v>
      </c>
      <c r="AK13" s="34">
        <v>3</v>
      </c>
      <c r="AL13" s="34" t="str">
        <v>ЩР-01</v>
      </c>
      <c r="AM13" s="34">
        <v>0</v>
      </c>
      <c r="AN13" s="34">
        <v>0</v>
      </c>
      <c r="AO13" s="34">
        <v>40</v>
      </c>
      <c r="AP13" s="34">
        <v>50</v>
      </c>
      <c r="AQ13" s="34">
        <v>40</v>
      </c>
      <c r="AR13" s="34">
        <v>3</v>
      </c>
      <c r="AS13" s="34">
        <v>0</v>
      </c>
      <c r="AT13" s="34" t="str">
        <v>3P</v>
      </c>
      <c r="AU13" s="34">
        <v>40</v>
      </c>
      <c r="AV13" s="34" t="str">
        <v/>
      </c>
      <c r="AW13" s="34" t="str">
        <v/>
      </c>
      <c r="AX13" s="34" t="str">
        <v/>
      </c>
      <c r="AY13" s="34">
        <v>1</v>
      </c>
      <c r="AZ13" s="34" t="str">
        <v/>
      </c>
      <c r="BA13" s="34">
        <v>0</v>
      </c>
      <c r="BB13" s="34">
        <v>0</v>
      </c>
      <c r="BD13" s="34">
        <v>1</v>
      </c>
      <c r="BE13" s="34">
        <v>0</v>
      </c>
      <c r="BF13" s="34">
        <v>0</v>
      </c>
      <c r="BG13" s="34" t="str">
        <v/>
      </c>
      <c r="BH13" s="34" t="str">
        <v/>
      </c>
      <c r="BI13" s="34" t="str">
        <v/>
      </c>
      <c r="BJ13" s="34" t="str">
        <v/>
      </c>
      <c r="BK13" s="34" t="str">
        <v>BOX</v>
      </c>
      <c r="BL13" s="34">
        <v>1</v>
      </c>
      <c r="BM13" s="34">
        <v>8</v>
      </c>
      <c r="BN13" s="34" t="str">
        <v/>
      </c>
      <c r="BO13" s="34" t="str">
        <v/>
      </c>
      <c r="BP13" s="34" t="str">
        <v/>
      </c>
      <c r="BQ13" s="34" t="str">
        <v>5х10</v>
      </c>
      <c r="BR13" s="34">
        <v>5</v>
      </c>
      <c r="BS13" s="34" t="str">
        <v/>
      </c>
      <c r="BT13" s="34" t="str">
        <v/>
      </c>
      <c r="BU13" s="34">
        <v>0</v>
      </c>
      <c r="BV13" s="34">
        <v>11</v>
      </c>
      <c r="BW13" s="34">
        <v>1</v>
      </c>
      <c r="BX13" s="34">
        <v>2</v>
      </c>
      <c r="BY13" s="34">
        <v>0</v>
      </c>
      <c r="BZ13">
        <v>1</v>
      </c>
      <c r="CA13" t="str">
        <v>линии</v>
      </c>
    </row>
    <row r="14" spans="1:79" x14ac:dyDescent="0.3">
      <c r="A14" s="39" t="str">
        <v>ГРЩ-ЖД</v>
      </c>
      <c r="B14" s="42">
        <v>42</v>
      </c>
      <c r="C14" s="42">
        <v>3</v>
      </c>
      <c r="D14" s="75" t="str">
        <v/>
      </c>
      <c r="E14" s="75" t="str">
        <v>авто</v>
      </c>
      <c r="F14" s="76" t="str">
        <v/>
      </c>
      <c r="G14" s="47" t="str">
        <v>QF12</v>
      </c>
      <c r="H14" s="47" t="str">
        <v>3P С63А</v>
      </c>
      <c r="I14" s="75" t="str">
        <v/>
      </c>
      <c r="J14" s="76" t="str">
        <v/>
      </c>
      <c r="K14" s="76" t="str">
        <v/>
      </c>
      <c r="L14" s="75" t="str">
        <v/>
      </c>
      <c r="M14" s="49" t="str">
        <v/>
      </c>
      <c r="N14" s="76" t="str">
        <v/>
      </c>
      <c r="O14" s="49" t="str">
        <v/>
      </c>
      <c r="P14" s="77" t="str">
        <v/>
      </c>
      <c r="Q14" s="53" t="str">
        <v>ВВГнг(А)-LS (5х16) L=65-1,19%</v>
      </c>
      <c r="R14" s="54" t="str">
        <v>ЩР-1</v>
      </c>
      <c r="S14" s="55" t="str">
        <v>Щит распределительный ЩР-1 Первый этаж этаж Пом. №1.003Б</v>
      </c>
      <c r="T14" s="56">
        <v>34.840000000000003</v>
      </c>
      <c r="U14" s="56">
        <v>30.96</v>
      </c>
      <c r="V14" s="42" t="str">
        <v>L1,L2,L3</v>
      </c>
      <c r="W14" s="57" t="str">
        <v>ok</v>
      </c>
      <c r="X14" s="58" t="str">
        <v/>
      </c>
      <c r="Y14" s="75" t="str">
        <v/>
      </c>
      <c r="Z14" s="59">
        <v>30.958664828377682</v>
      </c>
      <c r="AA14" s="61">
        <v>40</v>
      </c>
      <c r="AB14" s="61">
        <v>63</v>
      </c>
      <c r="AC14" s="61" t="str">
        <v/>
      </c>
      <c r="AD14" s="62" t="str">
        <v>QF12</v>
      </c>
      <c r="AE14" s="62" t="str">
        <v/>
      </c>
      <c r="AF14" s="34">
        <v>12</v>
      </c>
      <c r="AG14" s="34" t="str">
        <v>QF12</v>
      </c>
      <c r="AH14" s="34" t="str">
        <v/>
      </c>
      <c r="AI14" s="34" t="str">
        <v/>
      </c>
      <c r="AJ14" s="34" t="str">
        <v>QF12</v>
      </c>
      <c r="AK14" s="34">
        <v>3</v>
      </c>
      <c r="AL14" s="34" t="str">
        <v>ЩР-1</v>
      </c>
      <c r="AM14" s="34">
        <v>0</v>
      </c>
      <c r="AN14" s="34">
        <v>0</v>
      </c>
      <c r="AO14" s="34">
        <v>40</v>
      </c>
      <c r="AP14" s="34">
        <v>63</v>
      </c>
      <c r="AQ14" s="34">
        <v>63</v>
      </c>
      <c r="AR14" s="34">
        <v>3</v>
      </c>
      <c r="AS14" s="34">
        <v>0</v>
      </c>
      <c r="AT14" s="34" t="str">
        <v>3P</v>
      </c>
      <c r="AU14" s="34">
        <v>63</v>
      </c>
      <c r="AV14" s="34" t="str">
        <v/>
      </c>
      <c r="AW14" s="34" t="str">
        <v/>
      </c>
      <c r="AX14" s="34" t="str">
        <v/>
      </c>
      <c r="AY14" s="34">
        <v>1</v>
      </c>
      <c r="AZ14" s="34" t="str">
        <v/>
      </c>
      <c r="BA14" s="34">
        <v>0</v>
      </c>
      <c r="BB14" s="34">
        <v>0</v>
      </c>
      <c r="BD14" s="34">
        <v>1</v>
      </c>
      <c r="BE14" s="34">
        <v>0</v>
      </c>
      <c r="BF14" s="34">
        <v>0</v>
      </c>
      <c r="BG14" s="34" t="str">
        <v/>
      </c>
      <c r="BH14" s="34" t="str">
        <v/>
      </c>
      <c r="BI14" s="34" t="str">
        <v/>
      </c>
      <c r="BJ14" s="34" t="str">
        <v/>
      </c>
      <c r="BK14" s="34" t="str">
        <v>BOX</v>
      </c>
      <c r="BL14" s="34">
        <v>1</v>
      </c>
      <c r="BM14" s="34">
        <v>9</v>
      </c>
      <c r="BN14" s="34" t="str">
        <v/>
      </c>
      <c r="BO14" s="34" t="str">
        <v/>
      </c>
      <c r="BP14" s="34" t="str">
        <v/>
      </c>
      <c r="BQ14" s="34" t="str">
        <v>5х16</v>
      </c>
      <c r="BR14" s="34">
        <v>6</v>
      </c>
      <c r="BS14" s="34" t="str">
        <v/>
      </c>
      <c r="BT14" s="34" t="str">
        <v/>
      </c>
      <c r="BU14" s="34">
        <v>0</v>
      </c>
      <c r="BV14" s="34">
        <v>12</v>
      </c>
      <c r="BW14" s="34">
        <v>1</v>
      </c>
      <c r="BX14" s="34">
        <v>2</v>
      </c>
      <c r="BY14" s="34">
        <v>0</v>
      </c>
      <c r="BZ14">
        <v>1</v>
      </c>
      <c r="CA14" t="str">
        <v>линии</v>
      </c>
    </row>
    <row r="15" spans="1:79" x14ac:dyDescent="0.3">
      <c r="A15" s="39" t="str">
        <v>ГРЩ-ЖД</v>
      </c>
      <c r="B15" s="42">
        <v>43</v>
      </c>
      <c r="C15" s="42">
        <v>3</v>
      </c>
      <c r="D15" s="75" t="str">
        <v/>
      </c>
      <c r="E15" s="75" t="str">
        <v>авто</v>
      </c>
      <c r="F15" s="76" t="str">
        <v/>
      </c>
      <c r="G15" s="47" t="str">
        <v>QF13</v>
      </c>
      <c r="H15" s="47" t="str">
        <v>3P С16А</v>
      </c>
      <c r="I15" s="75" t="str">
        <v/>
      </c>
      <c r="J15" s="76" t="str">
        <v/>
      </c>
      <c r="K15" s="76" t="str">
        <v/>
      </c>
      <c r="L15" s="75" t="str">
        <v/>
      </c>
      <c r="M15" s="49" t="str">
        <v/>
      </c>
      <c r="N15" s="76" t="str">
        <v/>
      </c>
      <c r="O15" s="49" t="str">
        <v/>
      </c>
      <c r="P15" s="77" t="str">
        <v/>
      </c>
      <c r="Q15" s="53" t="str">
        <v>ВВГнг(А)-LS (5х4) L=56-1,79%</v>
      </c>
      <c r="R15" s="54" t="str">
        <v>ЩР-2</v>
      </c>
      <c r="S15" s="55" t="str">
        <v>Щит распределительный ЩР-2 Техэтаж этаж Пом. №3.001Т</v>
      </c>
      <c r="T15" s="56">
        <v>9.98</v>
      </c>
      <c r="U15" s="56">
        <v>13.7</v>
      </c>
      <c r="V15" s="42" t="str">
        <v>L1,L2,L3</v>
      </c>
      <c r="W15" s="57" t="str">
        <v>ok</v>
      </c>
      <c r="X15" s="58" t="str">
        <v/>
      </c>
      <c r="Y15" s="75" t="str">
        <v/>
      </c>
      <c r="Z15" s="59">
        <v>13.694473137501861</v>
      </c>
      <c r="AA15" s="61">
        <v>16</v>
      </c>
      <c r="AB15" s="61">
        <v>32</v>
      </c>
      <c r="AC15" s="61" t="str">
        <v/>
      </c>
      <c r="AD15" s="62" t="str">
        <v>QF13</v>
      </c>
      <c r="AE15" s="62" t="str">
        <v/>
      </c>
      <c r="AF15" s="34">
        <v>13</v>
      </c>
      <c r="AG15" s="34" t="str">
        <v>QF13</v>
      </c>
      <c r="AH15" s="34" t="str">
        <v/>
      </c>
      <c r="AI15" s="34" t="str">
        <v/>
      </c>
      <c r="AJ15" s="34" t="str">
        <v>QF13</v>
      </c>
      <c r="AK15" s="34">
        <v>3</v>
      </c>
      <c r="AL15" s="34" t="str">
        <v>ЩР-2</v>
      </c>
      <c r="AM15" s="34">
        <v>0</v>
      </c>
      <c r="AN15" s="34">
        <v>0</v>
      </c>
      <c r="AO15" s="34">
        <v>16</v>
      </c>
      <c r="AP15" s="34">
        <v>32</v>
      </c>
      <c r="AQ15" s="34">
        <v>16</v>
      </c>
      <c r="AR15" s="34">
        <v>3</v>
      </c>
      <c r="AS15" s="34">
        <v>0</v>
      </c>
      <c r="AT15" s="34" t="str">
        <v>3P</v>
      </c>
      <c r="AU15" s="34">
        <v>16</v>
      </c>
      <c r="AV15" s="34" t="str">
        <v/>
      </c>
      <c r="AW15" s="34" t="str">
        <v/>
      </c>
      <c r="AX15" s="34" t="str">
        <v/>
      </c>
      <c r="AY15" s="34">
        <v>1</v>
      </c>
      <c r="AZ15" s="34" t="str">
        <v/>
      </c>
      <c r="BA15" s="34">
        <v>0</v>
      </c>
      <c r="BB15" s="34">
        <v>0</v>
      </c>
      <c r="BD15" s="34">
        <v>1</v>
      </c>
      <c r="BE15" s="34">
        <v>0</v>
      </c>
      <c r="BF15" s="34">
        <v>0</v>
      </c>
      <c r="BG15" s="34" t="str">
        <v/>
      </c>
      <c r="BH15" s="34" t="str">
        <v/>
      </c>
      <c r="BI15" s="34" t="str">
        <v/>
      </c>
      <c r="BJ15" s="34" t="str">
        <v/>
      </c>
      <c r="BK15" s="34" t="str">
        <v>BOX</v>
      </c>
      <c r="BL15" s="34">
        <v>1</v>
      </c>
      <c r="BM15" s="34" t="str">
        <v/>
      </c>
      <c r="BN15" s="34" t="str">
        <v/>
      </c>
      <c r="BO15" s="34" t="str">
        <v/>
      </c>
      <c r="BP15" s="34" t="str">
        <v/>
      </c>
      <c r="BQ15" s="34" t="str">
        <v>5х4</v>
      </c>
      <c r="BR15" s="34" t="str">
        <v/>
      </c>
      <c r="BS15" s="34" t="str">
        <v/>
      </c>
      <c r="BT15" s="34" t="str">
        <v/>
      </c>
      <c r="BU15" s="34">
        <v>0</v>
      </c>
      <c r="BV15" s="34">
        <v>13</v>
      </c>
      <c r="BW15" s="34">
        <v>1</v>
      </c>
      <c r="BX15" s="34">
        <v>2</v>
      </c>
      <c r="BY15" s="34">
        <v>0</v>
      </c>
      <c r="BZ15">
        <v>1</v>
      </c>
      <c r="CA15" t="str">
        <v>линии</v>
      </c>
    </row>
    <row r="16" spans="1:79" x14ac:dyDescent="0.3">
      <c r="A16" s="39" t="str">
        <v>ГРЩ-ЖД</v>
      </c>
      <c r="B16" s="42">
        <v>44</v>
      </c>
      <c r="C16" s="42">
        <v>3</v>
      </c>
      <c r="D16" s="75" t="str">
        <v/>
      </c>
      <c r="E16" s="75" t="str">
        <v>авто</v>
      </c>
      <c r="F16" s="76" t="str">
        <v/>
      </c>
      <c r="G16" s="47" t="str">
        <v>QF14</v>
      </c>
      <c r="H16" s="47" t="str">
        <v>3P С40А</v>
      </c>
      <c r="I16" s="75" t="str">
        <v/>
      </c>
      <c r="J16" s="76" t="str">
        <v/>
      </c>
      <c r="K16" s="76" t="str">
        <v/>
      </c>
      <c r="L16" s="75" t="str">
        <v/>
      </c>
      <c r="M16" s="49" t="str">
        <v/>
      </c>
      <c r="N16" s="76" t="str">
        <v/>
      </c>
      <c r="O16" s="49" t="str">
        <v/>
      </c>
      <c r="P16" s="77" t="str">
        <v/>
      </c>
      <c r="Q16" s="53" t="str">
        <v>ВВГнг(А)-LS (5х10) L=53-0,96%</v>
      </c>
      <c r="R16" s="54" t="str">
        <v>ЩС-Б</v>
      </c>
      <c r="S16" s="55" t="str">
        <v>Щит бассейна ЩС-Б Подвальный этаж этаж Пом. №00.002Тб</v>
      </c>
      <c r="T16" s="56">
        <v>24.990000000000002</v>
      </c>
      <c r="U16" s="56">
        <v>22.55</v>
      </c>
      <c r="V16" s="42" t="str">
        <v>L1,L2,L3</v>
      </c>
      <c r="W16" s="57" t="str">
        <v>ok</v>
      </c>
      <c r="X16" s="58" t="str">
        <v/>
      </c>
      <c r="Y16" s="75" t="str">
        <v/>
      </c>
      <c r="Z16" s="59">
        <v>22.54372379226367</v>
      </c>
      <c r="AA16" s="61">
        <v>32</v>
      </c>
      <c r="AB16" s="61">
        <v>50</v>
      </c>
      <c r="AC16" s="61" t="str">
        <v/>
      </c>
      <c r="AD16" s="62" t="str">
        <v>QF14</v>
      </c>
      <c r="AE16" s="62" t="str">
        <v/>
      </c>
      <c r="AF16" s="34">
        <v>14</v>
      </c>
      <c r="AG16" s="34" t="str">
        <v>QF14</v>
      </c>
      <c r="AH16" s="34" t="str">
        <v/>
      </c>
      <c r="AI16" s="34" t="str">
        <v/>
      </c>
      <c r="AJ16" s="34" t="str">
        <v>QF14</v>
      </c>
      <c r="AK16" s="34">
        <v>3</v>
      </c>
      <c r="AL16" s="34" t="str">
        <v>ЩС-Б</v>
      </c>
      <c r="AM16" s="34">
        <v>0</v>
      </c>
      <c r="AN16" s="34">
        <v>0</v>
      </c>
      <c r="AO16" s="34">
        <v>32</v>
      </c>
      <c r="AP16" s="34">
        <v>50</v>
      </c>
      <c r="AQ16" s="34">
        <v>40</v>
      </c>
      <c r="AR16" s="34">
        <v>3</v>
      </c>
      <c r="AS16" s="34">
        <v>0</v>
      </c>
      <c r="AT16" s="34" t="str">
        <v>3P</v>
      </c>
      <c r="AU16" s="34">
        <v>40</v>
      </c>
      <c r="AV16" s="34" t="str">
        <v/>
      </c>
      <c r="AW16" s="34" t="str">
        <v/>
      </c>
      <c r="AX16" s="34" t="str">
        <v/>
      </c>
      <c r="AY16" s="34">
        <v>1</v>
      </c>
      <c r="AZ16" s="34" t="str">
        <v/>
      </c>
      <c r="BA16" s="34">
        <v>0</v>
      </c>
      <c r="BB16" s="34">
        <v>0</v>
      </c>
      <c r="BD16" s="34">
        <v>1</v>
      </c>
      <c r="BE16" s="34">
        <v>0</v>
      </c>
      <c r="BF16" s="34">
        <v>0</v>
      </c>
      <c r="BG16" s="34" t="str">
        <v/>
      </c>
      <c r="BH16" s="34" t="str">
        <v/>
      </c>
      <c r="BI16" s="34" t="str">
        <v/>
      </c>
      <c r="BJ16" s="34" t="str">
        <v/>
      </c>
      <c r="BK16" s="34" t="str">
        <v>BOX</v>
      </c>
      <c r="BL16" s="34">
        <v>1</v>
      </c>
      <c r="BM16" s="34" t="str">
        <v/>
      </c>
      <c r="BN16" s="34" t="str">
        <v/>
      </c>
      <c r="BO16" s="34" t="str">
        <v/>
      </c>
      <c r="BP16" s="34" t="str">
        <v/>
      </c>
      <c r="BQ16" s="34" t="str">
        <v>5х10</v>
      </c>
      <c r="BR16" s="34" t="str">
        <v/>
      </c>
      <c r="BS16" s="34" t="str">
        <v/>
      </c>
      <c r="BT16" s="34" t="str">
        <v/>
      </c>
      <c r="BU16" s="34">
        <v>0</v>
      </c>
      <c r="BV16" s="34">
        <v>14</v>
      </c>
      <c r="BW16" s="34">
        <v>1</v>
      </c>
      <c r="BX16" s="34">
        <v>2</v>
      </c>
      <c r="BY16" s="34">
        <v>0</v>
      </c>
      <c r="BZ16">
        <v>1</v>
      </c>
      <c r="CA16" t="str">
        <v>линии</v>
      </c>
    </row>
    <row r="17" spans="1:79" x14ac:dyDescent="0.3">
      <c r="A17" s="39" t="str">
        <v>ГРЩ-ЖД</v>
      </c>
      <c r="B17" s="42">
        <v>45</v>
      </c>
      <c r="C17" s="42">
        <v>3</v>
      </c>
      <c r="D17" s="75" t="str">
        <v/>
      </c>
      <c r="E17" s="75" t="str">
        <v>авто</v>
      </c>
      <c r="F17" s="76" t="str">
        <v/>
      </c>
      <c r="G17" s="47" t="str">
        <v>QF15</v>
      </c>
      <c r="H17" s="47" t="str">
        <v>1P С20А</v>
      </c>
      <c r="I17" s="75" t="str">
        <v/>
      </c>
      <c r="J17" s="76" t="str">
        <v/>
      </c>
      <c r="K17" s="76" t="str">
        <v/>
      </c>
      <c r="L17" s="75" t="str">
        <v/>
      </c>
      <c r="M17" s="49" t="str">
        <v/>
      </c>
      <c r="N17" s="76" t="str">
        <v/>
      </c>
      <c r="O17" s="49" t="str">
        <v/>
      </c>
      <c r="P17" s="77" t="str">
        <v/>
      </c>
      <c r="Q17" s="53" t="str">
        <v>ВВГнг(А)-LS (3х4) L=52-2,12%</v>
      </c>
      <c r="R17" s="54" t="str">
        <v>ЩС-ВК.001</v>
      </c>
      <c r="S17" s="55" t="str">
        <v>Щит дренажных насосов ЩС-ВК.001 Подвальный этаж этаж Пом. 00.002Т</v>
      </c>
      <c r="T17" s="56">
        <v>3.8000000000000003</v>
      </c>
      <c r="U17" s="56">
        <v>10.29</v>
      </c>
      <c r="V17" s="42" t="str">
        <v>L3</v>
      </c>
      <c r="W17" s="57" t="str">
        <v>ok</v>
      </c>
      <c r="X17" s="58" t="str">
        <v/>
      </c>
      <c r="Y17" s="75" t="str">
        <v/>
      </c>
      <c r="Z17" s="59">
        <v>10.28405166994021</v>
      </c>
      <c r="AA17" s="61">
        <v>16</v>
      </c>
      <c r="AB17" s="61">
        <v>32</v>
      </c>
      <c r="AC17" s="61" t="str">
        <v/>
      </c>
      <c r="AD17" s="62" t="str">
        <v>QF15</v>
      </c>
      <c r="AE17" s="62" t="str">
        <v/>
      </c>
      <c r="AF17" s="34">
        <v>15</v>
      </c>
      <c r="AG17" s="34" t="str">
        <v>QF15</v>
      </c>
      <c r="AH17" s="34" t="str">
        <v/>
      </c>
      <c r="AI17" s="34" t="str">
        <v/>
      </c>
      <c r="AJ17" s="34" t="str">
        <v>QF15</v>
      </c>
      <c r="AK17" s="34">
        <v>1</v>
      </c>
      <c r="AL17" s="34" t="str">
        <v>ЩС-ВК</v>
      </c>
      <c r="AM17" s="34">
        <v>0</v>
      </c>
      <c r="AN17" s="34">
        <v>0</v>
      </c>
      <c r="AO17" s="34">
        <v>16</v>
      </c>
      <c r="AP17" s="34">
        <v>32</v>
      </c>
      <c r="AQ17" s="34">
        <v>20</v>
      </c>
      <c r="AR17" s="34">
        <v>1</v>
      </c>
      <c r="AS17" s="34">
        <v>0</v>
      </c>
      <c r="AT17" s="34" t="str">
        <v>1P</v>
      </c>
      <c r="AU17" s="34">
        <v>20</v>
      </c>
      <c r="AV17" s="34" t="str">
        <v/>
      </c>
      <c r="AW17" s="34" t="str">
        <v/>
      </c>
      <c r="AX17" s="34" t="str">
        <v/>
      </c>
      <c r="AY17" s="34">
        <v>1</v>
      </c>
      <c r="AZ17" s="34" t="str">
        <v/>
      </c>
      <c r="BA17" s="34">
        <v>0</v>
      </c>
      <c r="BB17" s="34">
        <v>0</v>
      </c>
      <c r="BD17" s="34">
        <v>1</v>
      </c>
      <c r="BE17" s="34">
        <v>0</v>
      </c>
      <c r="BF17" s="34">
        <v>0</v>
      </c>
      <c r="BG17" s="34" t="str">
        <v/>
      </c>
      <c r="BH17" s="34" t="str">
        <v/>
      </c>
      <c r="BI17" s="34" t="str">
        <v/>
      </c>
      <c r="BJ17" s="34" t="str">
        <v/>
      </c>
      <c r="BK17" s="34" t="str">
        <v>BOX</v>
      </c>
      <c r="BL17" s="34">
        <v>1</v>
      </c>
      <c r="BM17" s="34">
        <v>10</v>
      </c>
      <c r="BN17" s="34" t="str">
        <v/>
      </c>
      <c r="BO17" s="34" t="str">
        <v/>
      </c>
      <c r="BP17" s="34" t="str">
        <v/>
      </c>
      <c r="BQ17" s="34" t="str">
        <v>3х4</v>
      </c>
      <c r="BR17" s="34">
        <v>7</v>
      </c>
      <c r="BS17" s="34" t="str">
        <v/>
      </c>
      <c r="BT17" s="34" t="str">
        <v/>
      </c>
      <c r="BU17" s="34">
        <v>0</v>
      </c>
      <c r="BV17" s="34">
        <v>15</v>
      </c>
      <c r="BW17" s="34">
        <v>1</v>
      </c>
      <c r="BX17" s="34">
        <v>0</v>
      </c>
      <c r="BY17" s="34">
        <v>0</v>
      </c>
      <c r="BZ17">
        <v>1</v>
      </c>
      <c r="CA17" t="str">
        <v>линии</v>
      </c>
    </row>
    <row r="18" spans="1:79" x14ac:dyDescent="0.3">
      <c r="A18" s="39" t="str">
        <v>ГРЩ-ЖД</v>
      </c>
      <c r="B18" s="42">
        <v>46</v>
      </c>
      <c r="C18" s="42">
        <v>3</v>
      </c>
      <c r="D18" s="75" t="str">
        <v/>
      </c>
      <c r="E18" s="75" t="str">
        <v>авто</v>
      </c>
      <c r="F18" s="76" t="str">
        <v/>
      </c>
      <c r="G18" s="47" t="str">
        <v>QF16</v>
      </c>
      <c r="H18" s="47" t="str">
        <v>1P С16А</v>
      </c>
      <c r="I18" s="75" t="str">
        <v/>
      </c>
      <c r="J18" s="76" t="str">
        <v/>
      </c>
      <c r="K18" s="76" t="str">
        <v/>
      </c>
      <c r="L18" s="75" t="str">
        <v/>
      </c>
      <c r="M18" s="49" t="str">
        <v/>
      </c>
      <c r="N18" s="76" t="str">
        <v/>
      </c>
      <c r="O18" s="49" t="str">
        <v/>
      </c>
      <c r="P18" s="77" t="str">
        <v/>
      </c>
      <c r="Q18" s="53" t="str">
        <v>ВВГнг(А)-LS (3х4) L=51-1,84%</v>
      </c>
      <c r="R18" s="54" t="str">
        <v>ЩС-ВК.002</v>
      </c>
      <c r="S18" s="55" t="str">
        <v>Щит насосов ЩС-ВК.002 Подвальный этаж этаж Пом. №00.002Тб</v>
      </c>
      <c r="T18" s="56">
        <v>2.4</v>
      </c>
      <c r="U18" s="56">
        <v>9.1</v>
      </c>
      <c r="V18" s="42" t="str">
        <v>L3</v>
      </c>
      <c r="W18" s="57" t="str">
        <v>ok</v>
      </c>
      <c r="X18" s="58" t="str">
        <v/>
      </c>
      <c r="Y18" s="75" t="str">
        <v/>
      </c>
      <c r="Z18" s="59">
        <v>9.0932667397366043</v>
      </c>
      <c r="AA18" s="61">
        <v>16</v>
      </c>
      <c r="AB18" s="61">
        <v>32</v>
      </c>
      <c r="AC18" s="61" t="str">
        <v/>
      </c>
      <c r="AD18" s="62" t="str">
        <v>QF16</v>
      </c>
      <c r="AE18" s="62" t="str">
        <v/>
      </c>
      <c r="AF18" s="34">
        <v>16</v>
      </c>
      <c r="AG18" s="34" t="str">
        <v>QF16</v>
      </c>
      <c r="AH18" s="34" t="str">
        <v/>
      </c>
      <c r="AI18" s="34" t="str">
        <v/>
      </c>
      <c r="AJ18" s="34" t="str">
        <v>QF16</v>
      </c>
      <c r="AK18" s="34">
        <v>1</v>
      </c>
      <c r="AL18" s="34" t="str">
        <v>ЩС-ВК</v>
      </c>
      <c r="AM18" s="34">
        <v>0</v>
      </c>
      <c r="AN18" s="34">
        <v>0</v>
      </c>
      <c r="AO18" s="34">
        <v>16</v>
      </c>
      <c r="AP18" s="34">
        <v>32</v>
      </c>
      <c r="AQ18" s="34">
        <v>16</v>
      </c>
      <c r="AR18" s="34">
        <v>1</v>
      </c>
      <c r="AS18" s="34">
        <v>0</v>
      </c>
      <c r="AT18" s="34" t="str">
        <v>1P</v>
      </c>
      <c r="AU18" s="34">
        <v>16</v>
      </c>
      <c r="AV18" s="34" t="str">
        <v/>
      </c>
      <c r="AW18" s="34" t="str">
        <v/>
      </c>
      <c r="AX18" s="34" t="str">
        <v/>
      </c>
      <c r="AY18" s="34">
        <v>1</v>
      </c>
      <c r="AZ18" s="34" t="str">
        <v/>
      </c>
      <c r="BA18" s="34">
        <v>0</v>
      </c>
      <c r="BB18" s="34">
        <v>0</v>
      </c>
      <c r="BD18" s="34">
        <v>1</v>
      </c>
      <c r="BE18" s="34">
        <v>0</v>
      </c>
      <c r="BF18" s="34">
        <v>0</v>
      </c>
      <c r="BG18" s="34" t="str">
        <v/>
      </c>
      <c r="BH18" s="34" t="str">
        <v/>
      </c>
      <c r="BI18" s="34" t="str">
        <v/>
      </c>
      <c r="BJ18" s="34" t="str">
        <v/>
      </c>
      <c r="BK18" s="34" t="str">
        <v>BOX</v>
      </c>
      <c r="BL18" s="34">
        <v>1</v>
      </c>
      <c r="BM18" s="34">
        <v>11</v>
      </c>
      <c r="BN18" s="34" t="str">
        <v/>
      </c>
      <c r="BO18" s="34" t="str">
        <v/>
      </c>
      <c r="BP18" s="34" t="str">
        <v/>
      </c>
      <c r="BQ18" s="34" t="str">
        <v>3х4</v>
      </c>
      <c r="BR18" s="34" t="str">
        <v/>
      </c>
      <c r="BS18" s="34" t="str">
        <v/>
      </c>
      <c r="BT18" s="34" t="str">
        <v/>
      </c>
      <c r="BU18" s="34">
        <v>0</v>
      </c>
      <c r="BV18" s="34">
        <v>16</v>
      </c>
      <c r="BW18" s="34">
        <v>1</v>
      </c>
      <c r="BX18" s="34">
        <v>0</v>
      </c>
      <c r="BY18" s="34">
        <v>0</v>
      </c>
      <c r="BZ18">
        <v>1</v>
      </c>
      <c r="CA18" t="str">
        <v>линии</v>
      </c>
    </row>
    <row r="19" spans="1:79" x14ac:dyDescent="0.3">
      <c r="A19" s="39" t="str">
        <v>ГРЩ-ЖД</v>
      </c>
      <c r="B19" s="42">
        <v>47</v>
      </c>
      <c r="C19" s="42">
        <v>3</v>
      </c>
      <c r="D19" s="75" t="str">
        <v/>
      </c>
      <c r="E19" s="75" t="str">
        <v>авто</v>
      </c>
      <c r="F19" s="76" t="str">
        <v/>
      </c>
      <c r="G19" s="47" t="str">
        <v>QF17</v>
      </c>
      <c r="H19" s="47" t="str">
        <v>1P С20А</v>
      </c>
      <c r="I19" s="75" t="str">
        <v/>
      </c>
      <c r="J19" s="76" t="str">
        <v/>
      </c>
      <c r="K19" s="76" t="str">
        <v/>
      </c>
      <c r="L19" s="75" t="str">
        <v/>
      </c>
      <c r="M19" s="49" t="str">
        <v/>
      </c>
      <c r="N19" s="76" t="str">
        <v/>
      </c>
      <c r="O19" s="49" t="str">
        <v/>
      </c>
      <c r="P19" s="77" t="str">
        <v/>
      </c>
      <c r="Q19" s="53" t="str">
        <v>ВВГнг(А)-LS (3х4) L=53-3,44%</v>
      </c>
      <c r="R19" s="54" t="str">
        <v>ЩС-ВК.003</v>
      </c>
      <c r="S19" s="55" t="str">
        <v>Щит насосов ЩС-ВК.003 Подвальный этаж этаж Пом. №00.006Т</v>
      </c>
      <c r="T19" s="56">
        <v>4.34</v>
      </c>
      <c r="U19" s="56">
        <v>16.450000000000003</v>
      </c>
      <c r="V19" s="42" t="str">
        <v>L2</v>
      </c>
      <c r="W19" s="57" t="str">
        <v>ok</v>
      </c>
      <c r="X19" s="58" t="str">
        <v/>
      </c>
      <c r="Y19" s="75" t="str">
        <v/>
      </c>
      <c r="Z19" s="59">
        <v>16.443657354357025</v>
      </c>
      <c r="AA19" s="61">
        <v>20</v>
      </c>
      <c r="AB19" s="61">
        <v>32</v>
      </c>
      <c r="AC19" s="61" t="str">
        <v/>
      </c>
      <c r="AD19" s="62" t="str">
        <v>QF17</v>
      </c>
      <c r="AE19" s="62" t="str">
        <v/>
      </c>
      <c r="AF19" s="34">
        <v>17</v>
      </c>
      <c r="AG19" s="34" t="str">
        <v>QF17</v>
      </c>
      <c r="AH19" s="34" t="str">
        <v/>
      </c>
      <c r="AI19" s="34" t="str">
        <v/>
      </c>
      <c r="AJ19" s="34" t="str">
        <v>QF17</v>
      </c>
      <c r="AK19" s="34">
        <v>1</v>
      </c>
      <c r="AL19" s="34" t="str">
        <v>ЩС-ВК</v>
      </c>
      <c r="AM19" s="34">
        <v>0</v>
      </c>
      <c r="AN19" s="34">
        <v>0</v>
      </c>
      <c r="AO19" s="34">
        <v>20</v>
      </c>
      <c r="AP19" s="34">
        <v>32</v>
      </c>
      <c r="AQ19" s="34">
        <v>20</v>
      </c>
      <c r="AR19" s="34">
        <v>1</v>
      </c>
      <c r="AS19" s="34">
        <v>0</v>
      </c>
      <c r="AT19" s="34" t="str">
        <v>1P</v>
      </c>
      <c r="AU19" s="34">
        <v>20</v>
      </c>
      <c r="AV19" s="34" t="str">
        <v/>
      </c>
      <c r="AW19" s="34" t="str">
        <v/>
      </c>
      <c r="AX19" s="34" t="str">
        <v/>
      </c>
      <c r="AY19" s="34">
        <v>1</v>
      </c>
      <c r="AZ19" s="34" t="str">
        <v/>
      </c>
      <c r="BA19" s="34">
        <v>0</v>
      </c>
      <c r="BB19" s="34">
        <v>0</v>
      </c>
      <c r="BD19" s="34">
        <v>1</v>
      </c>
      <c r="BE19" s="34">
        <v>0</v>
      </c>
      <c r="BF19" s="34">
        <v>0</v>
      </c>
      <c r="BG19" s="34" t="str">
        <v/>
      </c>
      <c r="BH19" s="34" t="str">
        <v/>
      </c>
      <c r="BI19" s="34" t="str">
        <v/>
      </c>
      <c r="BJ19" s="34" t="str">
        <v/>
      </c>
      <c r="BK19" s="34" t="str">
        <v>BOX</v>
      </c>
      <c r="BL19" s="34">
        <v>1</v>
      </c>
      <c r="BM19" s="34" t="str">
        <v/>
      </c>
      <c r="BN19" s="34" t="str">
        <v/>
      </c>
      <c r="BO19" s="34" t="str">
        <v/>
      </c>
      <c r="BP19" s="34" t="str">
        <v/>
      </c>
      <c r="BQ19" s="34" t="str">
        <v>3х4</v>
      </c>
      <c r="BR19" s="34" t="str">
        <v/>
      </c>
      <c r="BS19" s="34" t="str">
        <v/>
      </c>
      <c r="BT19" s="34" t="str">
        <v/>
      </c>
      <c r="BU19" s="34">
        <v>0</v>
      </c>
      <c r="BV19" s="34">
        <v>17</v>
      </c>
      <c r="BW19" s="34">
        <v>1</v>
      </c>
      <c r="BX19" s="34">
        <v>0</v>
      </c>
      <c r="BY19" s="34">
        <v>0</v>
      </c>
      <c r="BZ19">
        <v>1</v>
      </c>
      <c r="CA19" t="str">
        <v>линии</v>
      </c>
    </row>
    <row r="20" spans="1:79" x14ac:dyDescent="0.3">
      <c r="A20" s="39" t="str">
        <v>ГРЩ-ЖД</v>
      </c>
      <c r="B20" s="42">
        <v>48</v>
      </c>
      <c r="C20" s="42">
        <v>3</v>
      </c>
      <c r="D20" s="75" t="str">
        <v/>
      </c>
      <c r="E20" s="75" t="str">
        <v>авто</v>
      </c>
      <c r="F20" s="76" t="str">
        <v/>
      </c>
      <c r="G20" s="47" t="str">
        <v>QF18</v>
      </c>
      <c r="H20" s="47" t="str">
        <v>3P С32А</v>
      </c>
      <c r="I20" s="75" t="str">
        <v/>
      </c>
      <c r="J20" s="76" t="str">
        <v/>
      </c>
      <c r="K20" s="76" t="str">
        <v/>
      </c>
      <c r="L20" s="75" t="str">
        <v/>
      </c>
      <c r="M20" s="49" t="str">
        <v/>
      </c>
      <c r="N20" s="76" t="str">
        <v/>
      </c>
      <c r="O20" s="49" t="str">
        <v/>
      </c>
      <c r="P20" s="77" t="str">
        <v/>
      </c>
      <c r="Q20" s="53" t="str">
        <v>ВВГнг(А)-LS (5х6) L=52-2,49%</v>
      </c>
      <c r="R20" s="54" t="str">
        <v>ЩУОВ</v>
      </c>
      <c r="S20" s="55" t="str">
        <v>Щит управления обогрева воронок ЩУОВ Тех. этаж этаж Пом. №3.001</v>
      </c>
      <c r="T20" s="56">
        <v>16.439999999999998</v>
      </c>
      <c r="U20" s="56">
        <v>30.770000000000003</v>
      </c>
      <c r="V20" s="42" t="str">
        <v>L1,L2,L3</v>
      </c>
      <c r="W20" s="57" t="str">
        <v>ok</v>
      </c>
      <c r="X20" s="58" t="str">
        <v/>
      </c>
      <c r="Y20" s="75" t="str">
        <v/>
      </c>
      <c r="Z20" s="59">
        <v>30.766691976552419</v>
      </c>
      <c r="AA20" s="61">
        <v>40</v>
      </c>
      <c r="AB20" s="61">
        <v>32</v>
      </c>
      <c r="AC20" s="61" t="str">
        <v/>
      </c>
      <c r="AD20" s="62" t="str">
        <v>QF18</v>
      </c>
      <c r="AE20" s="62" t="str">
        <v/>
      </c>
      <c r="AF20" s="34">
        <v>18</v>
      </c>
      <c r="AG20" s="34" t="str">
        <v>QF18</v>
      </c>
      <c r="AH20" s="34" t="str">
        <v/>
      </c>
      <c r="AI20" s="34" t="str">
        <v/>
      </c>
      <c r="AJ20" s="34" t="str">
        <v>QF18</v>
      </c>
      <c r="AK20" s="34">
        <v>3</v>
      </c>
      <c r="AL20" s="34" t="str">
        <v>ЩУОВ</v>
      </c>
      <c r="AM20" s="34">
        <v>0</v>
      </c>
      <c r="AN20" s="34">
        <v>0</v>
      </c>
      <c r="AO20" s="34">
        <v>40</v>
      </c>
      <c r="AP20" s="34">
        <v>32</v>
      </c>
      <c r="AQ20" s="34">
        <v>32</v>
      </c>
      <c r="AR20" s="34">
        <v>3</v>
      </c>
      <c r="AS20" s="34">
        <v>0</v>
      </c>
      <c r="AT20" s="34" t="str">
        <v>3P</v>
      </c>
      <c r="AU20" s="34">
        <v>32</v>
      </c>
      <c r="AV20" s="34" t="str">
        <v/>
      </c>
      <c r="AW20" s="34" t="str">
        <v/>
      </c>
      <c r="AX20" s="34" t="str">
        <v/>
      </c>
      <c r="AY20" s="34">
        <v>1</v>
      </c>
      <c r="AZ20" s="34" t="str">
        <v/>
      </c>
      <c r="BA20" s="34">
        <v>0</v>
      </c>
      <c r="BB20" s="34">
        <v>0</v>
      </c>
      <c r="BD20" s="34">
        <v>1</v>
      </c>
      <c r="BE20" s="34">
        <v>0</v>
      </c>
      <c r="BF20" s="34">
        <v>0</v>
      </c>
      <c r="BG20" s="34" t="str">
        <v/>
      </c>
      <c r="BH20" s="34" t="str">
        <v/>
      </c>
      <c r="BI20" s="34" t="str">
        <v/>
      </c>
      <c r="BJ20" s="34" t="str">
        <v/>
      </c>
      <c r="BK20" s="34" t="str">
        <v>BOX</v>
      </c>
      <c r="BL20" s="34">
        <v>1</v>
      </c>
      <c r="BM20" s="34">
        <v>12</v>
      </c>
      <c r="BN20" s="34" t="str">
        <v/>
      </c>
      <c r="BO20" s="34" t="str">
        <v/>
      </c>
      <c r="BP20" s="34" t="str">
        <v/>
      </c>
      <c r="BQ20" s="34" t="str">
        <v>5х6</v>
      </c>
      <c r="BR20" s="34" t="str">
        <v/>
      </c>
      <c r="BS20" s="34" t="str">
        <v/>
      </c>
      <c r="BT20" s="34" t="str">
        <v/>
      </c>
      <c r="BU20" s="34">
        <v>0</v>
      </c>
      <c r="BV20" s="34">
        <v>18</v>
      </c>
      <c r="BW20" s="34">
        <v>1</v>
      </c>
      <c r="BX20" s="34">
        <v>2</v>
      </c>
      <c r="BY20" s="34" t="str">
        <v/>
      </c>
      <c r="BZ20">
        <v>1</v>
      </c>
      <c r="CA20" t="str">
        <v>линии</v>
      </c>
    </row>
    <row r="21" spans="1:79" x14ac:dyDescent="0.3">
      <c r="A21" s="39" t="str">
        <v>ГРЩ-ЖД</v>
      </c>
      <c r="B21" s="42">
        <v>49</v>
      </c>
      <c r="C21" s="42">
        <v>3</v>
      </c>
      <c r="D21" s="75" t="str">
        <v/>
      </c>
      <c r="E21" s="75" t="str">
        <v>авто</v>
      </c>
      <c r="F21" s="76" t="str">
        <v/>
      </c>
      <c r="G21" s="47" t="str">
        <v>QF19</v>
      </c>
      <c r="H21" s="47" t="str">
        <v>3P С200А</v>
      </c>
      <c r="I21" s="75" t="str">
        <v/>
      </c>
      <c r="J21" s="76" t="str">
        <v/>
      </c>
      <c r="K21" s="76" t="str">
        <v/>
      </c>
      <c r="L21" s="75" t="str">
        <v/>
      </c>
      <c r="M21" s="49" t="str">
        <v/>
      </c>
      <c r="N21" s="76" t="str">
        <v/>
      </c>
      <c r="O21" s="49" t="str">
        <v/>
      </c>
      <c r="P21" s="77" t="str">
        <v/>
      </c>
      <c r="Q21" s="53" t="str">
        <v>5хВВГнг(А)-LS  (1х95) L=53-0,98%</v>
      </c>
      <c r="R21" s="54" t="str">
        <v>ЩР-ПК</v>
      </c>
      <c r="S21" s="55" t="str">
        <v>Щит профкухни ЩС-ПК Цокольный этаж этаж Пом. №0.0014Б</v>
      </c>
      <c r="T21" s="56">
        <v>103.95</v>
      </c>
      <c r="U21" s="56">
        <v>187.54999999999998</v>
      </c>
      <c r="V21" s="42" t="str">
        <v>L1,L2,L3</v>
      </c>
      <c r="W21" s="57" t="str">
        <v>ok</v>
      </c>
      <c r="X21" s="58" t="str">
        <v/>
      </c>
      <c r="Y21" s="75" t="str">
        <v/>
      </c>
      <c r="Z21" s="59">
        <v>187.5486265070675</v>
      </c>
      <c r="AA21" s="61">
        <v>250</v>
      </c>
      <c r="AB21" s="61">
        <v>315</v>
      </c>
      <c r="AC21" s="61" t="str">
        <v/>
      </c>
      <c r="AD21" s="62" t="str">
        <v>QF19</v>
      </c>
      <c r="AE21" s="62" t="str">
        <v/>
      </c>
      <c r="AF21" s="34">
        <v>19</v>
      </c>
      <c r="AG21" s="34" t="str">
        <v>QF19</v>
      </c>
      <c r="AH21" s="34" t="str">
        <v/>
      </c>
      <c r="AI21" s="34" t="str">
        <v/>
      </c>
      <c r="AJ21" s="34" t="str">
        <v>QF19</v>
      </c>
      <c r="AK21" s="34">
        <v>3</v>
      </c>
      <c r="AL21" s="34" t="str">
        <v>ЩР-ПК</v>
      </c>
      <c r="AM21" s="34">
        <v>0</v>
      </c>
      <c r="AN21" s="34">
        <v>0</v>
      </c>
      <c r="AO21" s="34">
        <v>250</v>
      </c>
      <c r="AP21" s="34">
        <v>315</v>
      </c>
      <c r="AQ21" s="34">
        <v>200</v>
      </c>
      <c r="AR21" s="34">
        <v>3</v>
      </c>
      <c r="AS21" s="34">
        <v>0</v>
      </c>
      <c r="AT21" s="34" t="str">
        <v>3P</v>
      </c>
      <c r="AU21" s="34">
        <v>200</v>
      </c>
      <c r="AV21" s="34" t="str">
        <v/>
      </c>
      <c r="AW21" s="34" t="str">
        <v/>
      </c>
      <c r="AX21" s="34" t="str">
        <v/>
      </c>
      <c r="AY21" s="34">
        <v>1</v>
      </c>
      <c r="AZ21" s="34" t="str">
        <v/>
      </c>
      <c r="BA21" s="34">
        <v>0</v>
      </c>
      <c r="BB21" s="34">
        <v>0</v>
      </c>
      <c r="BD21" s="34">
        <v>1</v>
      </c>
      <c r="BE21" s="34">
        <v>0</v>
      </c>
      <c r="BF21" s="34">
        <v>0</v>
      </c>
      <c r="BG21" s="34" t="str">
        <v/>
      </c>
      <c r="BH21" s="34" t="str">
        <v/>
      </c>
      <c r="BI21" s="34" t="str">
        <v/>
      </c>
      <c r="BJ21" s="34" t="str">
        <v/>
      </c>
      <c r="BK21" s="34" t="str">
        <v>BOX</v>
      </c>
      <c r="BL21" s="34">
        <v>1</v>
      </c>
      <c r="BM21" s="34">
        <v>13</v>
      </c>
      <c r="BN21" s="34" t="str">
        <v/>
      </c>
      <c r="BO21" s="34" t="str">
        <v/>
      </c>
      <c r="BP21" s="34" t="str">
        <v/>
      </c>
      <c r="BQ21" s="34" t="str">
        <v>1х95</v>
      </c>
      <c r="BR21" s="34">
        <v>8</v>
      </c>
      <c r="BS21" s="34" t="str">
        <v/>
      </c>
      <c r="BT21" s="34" t="str">
        <v/>
      </c>
      <c r="BU21" s="34">
        <v>0</v>
      </c>
      <c r="BV21" s="34">
        <v>19</v>
      </c>
      <c r="BW21" s="34">
        <v>1</v>
      </c>
      <c r="BX21" s="34">
        <v>0</v>
      </c>
      <c r="BY21" s="34">
        <v>0</v>
      </c>
      <c r="BZ21">
        <v>1</v>
      </c>
      <c r="CA21" t="str">
        <v>линии</v>
      </c>
    </row>
    <row r="22" spans="1:79" x14ac:dyDescent="0.3">
      <c r="A22" s="39" t="str">
        <v>ГРЩ-ЖД</v>
      </c>
      <c r="B22" s="42">
        <v>52</v>
      </c>
      <c r="C22" s="42">
        <v>4</v>
      </c>
      <c r="D22" s="75" t="str">
        <v/>
      </c>
      <c r="E22" s="75" t="str">
        <v>авто</v>
      </c>
      <c r="F22" s="76" t="str">
        <v/>
      </c>
      <c r="G22" s="47" t="str">
        <v>QF20</v>
      </c>
      <c r="H22" s="47" t="str">
        <v>3P С63А</v>
      </c>
      <c r="I22" s="75" t="str">
        <v/>
      </c>
      <c r="J22" s="76" t="str">
        <v/>
      </c>
      <c r="K22" s="76" t="str">
        <v/>
      </c>
      <c r="L22" s="75" t="str">
        <v/>
      </c>
      <c r="M22" s="49" t="str">
        <v/>
      </c>
      <c r="N22" s="76" t="str">
        <v/>
      </c>
      <c r="O22" s="49" t="str">
        <v/>
      </c>
      <c r="P22" s="77" t="str">
        <v>XT17</v>
      </c>
      <c r="Q22" s="53" t="str">
        <v>ВВГнг(А)-LS (5х16) L=59-2,05%</v>
      </c>
      <c r="R22" s="54" t="str">
        <v>РЩ-1</v>
      </c>
      <c r="S22" s="55" t="str">
        <v>Щит Хаммам РЩ-1  Подвальный этаж этаж Пом. №00.001Тб</v>
      </c>
      <c r="T22" s="56">
        <v>38</v>
      </c>
      <c r="U22" s="56">
        <v>68.570000000000007</v>
      </c>
      <c r="V22" s="42" t="str">
        <v>L1,L2,L3</v>
      </c>
      <c r="W22" s="57" t="str">
        <v>ПЕРЕГРУЗ</v>
      </c>
      <c r="X22" s="58" t="str">
        <v/>
      </c>
      <c r="Y22" s="75" t="str">
        <v/>
      </c>
      <c r="Z22" s="59">
        <v>68.560344466268063</v>
      </c>
      <c r="AA22" s="61">
        <v>80</v>
      </c>
      <c r="AB22" s="61">
        <v>63</v>
      </c>
      <c r="AC22" s="61" t="str">
        <v/>
      </c>
      <c r="AD22" s="62" t="str">
        <v>QF20 → XT17</v>
      </c>
      <c r="AE22" s="62" t="str">
        <v>ПЕРЕГРУЗ</v>
      </c>
      <c r="AF22" s="34">
        <v>20</v>
      </c>
      <c r="AG22" s="34" t="str">
        <v>QF20</v>
      </c>
      <c r="AH22" s="34" t="str">
        <v/>
      </c>
      <c r="AI22" s="34" t="str">
        <v/>
      </c>
      <c r="AJ22" s="34" t="str">
        <v>QF20</v>
      </c>
      <c r="AK22" s="34">
        <v>3</v>
      </c>
      <c r="AL22" s="34" t="str">
        <v>РЩ-1</v>
      </c>
      <c r="AM22" s="34">
        <v>0</v>
      </c>
      <c r="AN22" s="34">
        <v>0</v>
      </c>
      <c r="AO22" s="34">
        <v>80</v>
      </c>
      <c r="AP22" s="34">
        <v>63</v>
      </c>
      <c r="AQ22" s="34">
        <v>63</v>
      </c>
      <c r="AR22" s="34">
        <v>3</v>
      </c>
      <c r="AS22" s="34">
        <v>0</v>
      </c>
      <c r="AT22" s="34" t="str">
        <v>3P</v>
      </c>
      <c r="AU22" s="34">
        <v>63</v>
      </c>
      <c r="AV22" s="34" t="str">
        <v/>
      </c>
      <c r="AW22" s="34" t="str">
        <v/>
      </c>
      <c r="AX22" s="34" t="str">
        <v/>
      </c>
      <c r="AY22" s="34">
        <v>1</v>
      </c>
      <c r="AZ22" s="34" t="str">
        <v/>
      </c>
      <c r="BA22" s="34">
        <v>0</v>
      </c>
      <c r="BB22" s="34">
        <v>0</v>
      </c>
      <c r="BD22" s="34">
        <v>1</v>
      </c>
      <c r="BE22" s="34">
        <v>0</v>
      </c>
      <c r="BF22" s="34">
        <v>0</v>
      </c>
      <c r="BG22" s="34" t="str">
        <v/>
      </c>
      <c r="BH22" s="34" t="str">
        <v/>
      </c>
      <c r="BI22" s="34" t="str">
        <v/>
      </c>
      <c r="BJ22" s="34" t="str">
        <v/>
      </c>
      <c r="BK22" s="34" t="str">
        <v>BOX</v>
      </c>
      <c r="BL22" s="34">
        <v>1</v>
      </c>
      <c r="BM22" s="34" t="str">
        <v/>
      </c>
      <c r="BN22" s="34" t="str">
        <v/>
      </c>
      <c r="BO22" s="34" t="str">
        <v/>
      </c>
      <c r="BP22" s="34" t="str">
        <v/>
      </c>
      <c r="BQ22" s="34" t="str">
        <v>5х16</v>
      </c>
      <c r="BR22" s="34" t="str">
        <v/>
      </c>
      <c r="BS22" s="34" t="str">
        <v/>
      </c>
      <c r="BT22" s="34" t="str">
        <v/>
      </c>
      <c r="BU22" s="34">
        <v>2</v>
      </c>
      <c r="BV22" s="34">
        <v>20</v>
      </c>
      <c r="BW22" s="34">
        <v>1</v>
      </c>
      <c r="BX22" s="34">
        <v>2</v>
      </c>
      <c r="BY22" s="34" t="str">
        <v/>
      </c>
      <c r="BZ22">
        <v>1</v>
      </c>
      <c r="CA22" t="str">
        <v>линии</v>
      </c>
    </row>
    <row r="23" spans="1:79" x14ac:dyDescent="0.3">
      <c r="A23" s="39" t="str">
        <v>ГРЩ-ЖД</v>
      </c>
      <c r="B23" s="42">
        <v>53</v>
      </c>
      <c r="C23" s="42">
        <v>4</v>
      </c>
      <c r="D23" s="75" t="str">
        <v/>
      </c>
      <c r="E23" s="75" t="str">
        <v>авто</v>
      </c>
      <c r="F23" s="76" t="str">
        <v/>
      </c>
      <c r="G23" s="47" t="str">
        <v>QF21</v>
      </c>
      <c r="H23" s="47" t="str">
        <v>1P С25А</v>
      </c>
      <c r="I23" s="75" t="str">
        <v/>
      </c>
      <c r="J23" s="76" t="str">
        <v/>
      </c>
      <c r="K23" s="76" t="str">
        <v/>
      </c>
      <c r="L23" s="75" t="str">
        <v/>
      </c>
      <c r="M23" s="49" t="str">
        <v/>
      </c>
      <c r="N23" s="76" t="str">
        <v/>
      </c>
      <c r="O23" s="49" t="str">
        <v/>
      </c>
      <c r="P23" s="77" t="str">
        <v>XT18</v>
      </c>
      <c r="Q23" s="53" t="str">
        <v>ВВГнг(А)-LS (3х6) L=63-4,51%</v>
      </c>
      <c r="R23" s="54" t="str">
        <v>Э.4</v>
      </c>
      <c r="S23" s="55" t="str">
        <v>Флоатинг. Цокольный этаж этаж Пом. №023A</v>
      </c>
      <c r="T23" s="56">
        <v>5</v>
      </c>
      <c r="U23" s="56">
        <v>27.07</v>
      </c>
      <c r="V23" s="42" t="str">
        <v>L1</v>
      </c>
      <c r="W23" s="57" t="str">
        <v>ПЕРЕГРУЗ</v>
      </c>
      <c r="X23" s="58" t="str">
        <v/>
      </c>
      <c r="Y23" s="75" t="str">
        <v/>
      </c>
      <c r="Z23" s="59">
        <v>27.063293868263703</v>
      </c>
      <c r="AA23" s="61">
        <v>32</v>
      </c>
      <c r="AB23" s="61">
        <v>50</v>
      </c>
      <c r="AC23" s="61" t="str">
        <v/>
      </c>
      <c r="AD23" s="62" t="str">
        <v>QF21 → XT18</v>
      </c>
      <c r="AE23" s="62" t="str">
        <v>ПЕРЕГРУЗ; потери 4,5 % &gt; 4 %</v>
      </c>
      <c r="AF23" s="34">
        <v>21</v>
      </c>
      <c r="AG23" s="34" t="str">
        <v>QF21</v>
      </c>
      <c r="AH23" s="34" t="str">
        <v/>
      </c>
      <c r="AI23" s="34" t="str">
        <v/>
      </c>
      <c r="AJ23" s="34" t="str">
        <v>QF21</v>
      </c>
      <c r="AK23" s="34">
        <v>1</v>
      </c>
      <c r="AL23" s="34" t="str">
        <v>Э</v>
      </c>
      <c r="AM23" s="34">
        <v>0</v>
      </c>
      <c r="AN23" s="34">
        <v>0</v>
      </c>
      <c r="AO23" s="34">
        <v>32</v>
      </c>
      <c r="AP23" s="34">
        <v>50</v>
      </c>
      <c r="AQ23" s="34">
        <v>25</v>
      </c>
      <c r="AR23" s="34">
        <v>1</v>
      </c>
      <c r="AS23" s="34">
        <v>0</v>
      </c>
      <c r="AT23" s="34" t="str">
        <v>1P</v>
      </c>
      <c r="AU23" s="34">
        <v>25</v>
      </c>
      <c r="AV23" s="34" t="str">
        <v/>
      </c>
      <c r="AW23" s="34" t="str">
        <v/>
      </c>
      <c r="AX23" s="34" t="str">
        <v/>
      </c>
      <c r="AY23" s="34">
        <v>1</v>
      </c>
      <c r="AZ23" s="34" t="str">
        <v/>
      </c>
      <c r="BA23" s="34">
        <v>0</v>
      </c>
      <c r="BB23" s="34">
        <v>0</v>
      </c>
      <c r="BD23" s="34">
        <v>1</v>
      </c>
      <c r="BE23" s="34">
        <v>0</v>
      </c>
      <c r="BF23" s="34">
        <v>0</v>
      </c>
      <c r="BG23" s="34" t="str">
        <v/>
      </c>
      <c r="BH23" s="34" t="str">
        <v/>
      </c>
      <c r="BI23" s="34" t="str">
        <v/>
      </c>
      <c r="BJ23" s="34" t="str">
        <v/>
      </c>
      <c r="BK23" s="34" t="str">
        <v>BOX</v>
      </c>
      <c r="BL23" s="34">
        <v>1</v>
      </c>
      <c r="BM23" s="34">
        <v>14</v>
      </c>
      <c r="BN23" s="34" t="str">
        <v/>
      </c>
      <c r="BO23" s="34" t="str">
        <v/>
      </c>
      <c r="BP23" s="34" t="str">
        <v/>
      </c>
      <c r="BQ23" s="34" t="str">
        <v>3х6</v>
      </c>
      <c r="BR23" s="34">
        <v>9</v>
      </c>
      <c r="BS23" s="34" t="str">
        <v/>
      </c>
      <c r="BT23" s="34" t="str">
        <v/>
      </c>
      <c r="BU23" s="34">
        <v>2</v>
      </c>
      <c r="BV23" s="34">
        <v>21</v>
      </c>
      <c r="BW23" s="34">
        <v>1</v>
      </c>
      <c r="BX23" s="34">
        <v>0</v>
      </c>
      <c r="BY23" s="34">
        <v>0</v>
      </c>
      <c r="BZ23">
        <v>1</v>
      </c>
      <c r="CA23" t="str">
        <v>линии</v>
      </c>
    </row>
    <row r="24" spans="1:79" x14ac:dyDescent="0.3">
      <c r="A24" s="39" t="str">
        <v>ГРЩ-ЖД</v>
      </c>
      <c r="B24" s="42">
        <v>54</v>
      </c>
      <c r="C24" s="42">
        <v>4</v>
      </c>
      <c r="D24" s="75" t="str">
        <v/>
      </c>
      <c r="E24" s="75" t="str">
        <v>авто</v>
      </c>
      <c r="F24" s="76" t="str">
        <v/>
      </c>
      <c r="G24" s="47" t="str">
        <v>QF22</v>
      </c>
      <c r="H24" s="47" t="str">
        <v>1P С6А</v>
      </c>
      <c r="I24" s="75" t="str">
        <v/>
      </c>
      <c r="J24" s="76" t="str">
        <v/>
      </c>
      <c r="K24" s="76" t="str">
        <v/>
      </c>
      <c r="L24" s="75" t="str">
        <v/>
      </c>
      <c r="M24" s="49" t="str">
        <v/>
      </c>
      <c r="N24" s="76" t="str">
        <v/>
      </c>
      <c r="O24" s="49" t="str">
        <v/>
      </c>
      <c r="P24" s="77" t="str">
        <v/>
      </c>
      <c r="Q24" s="53" t="str">
        <v>ВВГнг(А)-LS (3х2,5) L=44-0,45%</v>
      </c>
      <c r="R24" s="54" t="str">
        <v>SEC1-21</v>
      </c>
      <c r="S24" s="55" t="str">
        <v>Щит охранной сигнализации Подвальный этаж этаж Пом. №007Т</v>
      </c>
      <c r="T24" s="56">
        <v>0.3</v>
      </c>
      <c r="U24" s="56">
        <v>1.37</v>
      </c>
      <c r="V24" s="42" t="str">
        <v>L1</v>
      </c>
      <c r="W24" s="57" t="str">
        <v>ok</v>
      </c>
      <c r="X24" s="58" t="str">
        <v/>
      </c>
      <c r="Y24" s="75" t="str">
        <v/>
      </c>
      <c r="Z24" s="59">
        <v>1.3674085322912188</v>
      </c>
      <c r="AA24" s="61">
        <v>6</v>
      </c>
      <c r="AB24" s="61">
        <v>25</v>
      </c>
      <c r="AC24" s="61" t="str">
        <v/>
      </c>
      <c r="AD24" s="62" t="str">
        <v>QF22</v>
      </c>
      <c r="AE24" s="62" t="str">
        <v/>
      </c>
      <c r="AF24" s="34">
        <v>22</v>
      </c>
      <c r="AG24" s="34" t="str">
        <v>QF22</v>
      </c>
      <c r="AH24" s="34" t="str">
        <v/>
      </c>
      <c r="AI24" s="34" t="str">
        <v/>
      </c>
      <c r="AJ24" s="34" t="str">
        <v>QF22</v>
      </c>
      <c r="AK24" s="34">
        <v>1</v>
      </c>
      <c r="AL24" s="34" t="str">
        <v>SEC1-21</v>
      </c>
      <c r="AM24" s="34">
        <v>0</v>
      </c>
      <c r="AN24" s="34">
        <v>0</v>
      </c>
      <c r="AO24" s="34">
        <v>6</v>
      </c>
      <c r="AP24" s="34">
        <v>25</v>
      </c>
      <c r="AQ24" s="34">
        <v>6</v>
      </c>
      <c r="AR24" s="34">
        <v>1</v>
      </c>
      <c r="AS24" s="34">
        <v>0</v>
      </c>
      <c r="AT24" s="34" t="str">
        <v>1P</v>
      </c>
      <c r="AU24" s="34">
        <v>6</v>
      </c>
      <c r="AV24" s="34" t="str">
        <v/>
      </c>
      <c r="AW24" s="34" t="str">
        <v/>
      </c>
      <c r="AX24" s="34" t="str">
        <v/>
      </c>
      <c r="AY24" s="34">
        <v>1</v>
      </c>
      <c r="AZ24" s="34" t="str">
        <v/>
      </c>
      <c r="BA24" s="34">
        <v>0</v>
      </c>
      <c r="BB24" s="34">
        <v>0</v>
      </c>
      <c r="BD24" s="34">
        <v>1</v>
      </c>
      <c r="BE24" s="34">
        <v>0</v>
      </c>
      <c r="BF24" s="34">
        <v>0</v>
      </c>
      <c r="BG24" s="34" t="str">
        <v/>
      </c>
      <c r="BH24" s="34" t="str">
        <v/>
      </c>
      <c r="BI24" s="34" t="str">
        <v/>
      </c>
      <c r="BJ24" s="34" t="str">
        <v/>
      </c>
      <c r="BK24" s="34" t="str">
        <v>BOX</v>
      </c>
      <c r="BL24" s="34">
        <v>1</v>
      </c>
      <c r="BM24" s="34">
        <v>15</v>
      </c>
      <c r="BN24" s="34" t="str">
        <v/>
      </c>
      <c r="BO24" s="34" t="str">
        <v/>
      </c>
      <c r="BP24" s="34" t="str">
        <v/>
      </c>
      <c r="BQ24" s="34" t="str">
        <v>3х2,5</v>
      </c>
      <c r="BR24" s="34" t="str">
        <v/>
      </c>
      <c r="BS24" s="34" t="str">
        <v/>
      </c>
      <c r="BT24" s="34" t="str">
        <v/>
      </c>
      <c r="BU24" s="34">
        <v>0</v>
      </c>
      <c r="BV24" s="34">
        <v>22</v>
      </c>
      <c r="BW24" s="34">
        <v>1</v>
      </c>
      <c r="BX24" s="34">
        <v>0</v>
      </c>
      <c r="BY24" s="34" t="str">
        <v/>
      </c>
      <c r="BZ24">
        <v>1</v>
      </c>
      <c r="CA24" t="str">
        <v>линии</v>
      </c>
    </row>
    <row r="25" spans="1:79" x14ac:dyDescent="0.3">
      <c r="A25" s="39" t="str">
        <v>ЩГП</v>
      </c>
      <c r="B25" s="42">
        <v>2</v>
      </c>
      <c r="C25" s="42">
        <v>1</v>
      </c>
      <c r="D25" s="75" t="str">
        <v/>
      </c>
      <c r="E25" s="75" t="str">
        <v>авто</v>
      </c>
      <c r="F25" s="76" t="str">
        <v/>
      </c>
      <c r="G25" s="47" t="str">
        <v/>
      </c>
      <c r="H25" s="47" t="str">
        <v>3P С40А</v>
      </c>
      <c r="I25" s="75" t="str">
        <v/>
      </c>
      <c r="J25" s="76" t="str">
        <v/>
      </c>
      <c r="K25" s="76" t="str">
        <v/>
      </c>
      <c r="L25" s="75" t="str">
        <v/>
      </c>
      <c r="M25" s="49" t="str">
        <v/>
      </c>
      <c r="N25" s="76" t="str">
        <v/>
      </c>
      <c r="O25" s="49" t="str">
        <v/>
      </c>
      <c r="P25" s="77" t="str">
        <v/>
      </c>
      <c r="Q25" s="53" t="str">
        <v/>
      </c>
      <c r="R25" s="54" t="str">
        <v>Ввод.1</v>
      </c>
      <c r="S25" s="55" t="str">
        <v>Вводной кабель шлейф 1</v>
      </c>
      <c r="T25" s="56">
        <v>0</v>
      </c>
      <c r="U25" s="56">
        <v>2.3099999999999996</v>
      </c>
      <c r="V25" s="42" t="str">
        <v>L1,L2,L3</v>
      </c>
      <c r="W25" s="57" t="str">
        <v>ok</v>
      </c>
      <c r="X25" s="58" t="str">
        <v/>
      </c>
      <c r="Y25" s="75" t="str">
        <v>вручную</v>
      </c>
      <c r="Z25" s="59">
        <v>2.3094010767585051</v>
      </c>
      <c r="AA25" s="61">
        <v>6</v>
      </c>
      <c r="AB25" s="61">
        <v>50</v>
      </c>
      <c r="AC25" s="61" t="str">
        <v/>
      </c>
      <c r="AD25" s="62" t="str">
        <v/>
      </c>
      <c r="AE25" s="62" t="str">
        <v/>
      </c>
      <c r="AF25" s="34" t="str">
        <v/>
      </c>
      <c r="AG25" s="34" t="str">
        <v/>
      </c>
      <c r="AH25" s="34" t="str">
        <v/>
      </c>
      <c r="AI25" s="34" t="str">
        <v/>
      </c>
      <c r="AJ25" s="34" t="str">
        <v/>
      </c>
      <c r="AK25" s="34">
        <v>3</v>
      </c>
      <c r="AL25" s="34" t="str">
        <v>Ввод</v>
      </c>
      <c r="AM25" s="34">
        <v>0</v>
      </c>
      <c r="AN25" s="34">
        <v>0</v>
      </c>
      <c r="AO25" s="34">
        <v>6</v>
      </c>
      <c r="AP25" s="34">
        <v>50</v>
      </c>
      <c r="AQ25" s="34">
        <v>40</v>
      </c>
      <c r="AR25" s="34">
        <v>3</v>
      </c>
      <c r="AS25" s="34">
        <v>0</v>
      </c>
      <c r="AT25" s="34" t="str">
        <v>3P</v>
      </c>
      <c r="AU25" s="34">
        <v>40</v>
      </c>
      <c r="AV25" s="34" t="str">
        <v/>
      </c>
      <c r="AW25" s="34" t="str">
        <v/>
      </c>
      <c r="AX25" s="34" t="str">
        <v/>
      </c>
      <c r="AY25" s="34">
        <v>0</v>
      </c>
      <c r="AZ25" s="34" t="str">
        <v/>
      </c>
      <c r="BA25" s="34">
        <v>0</v>
      </c>
      <c r="BB25" s="34">
        <v>0</v>
      </c>
      <c r="BD25" s="34">
        <v>0</v>
      </c>
      <c r="BE25" s="34">
        <v>0</v>
      </c>
      <c r="BF25" s="34">
        <v>0</v>
      </c>
      <c r="BG25" s="34" t="str">
        <v/>
      </c>
      <c r="BH25" s="34" t="str">
        <v/>
      </c>
      <c r="BI25" s="34" t="str">
        <v/>
      </c>
      <c r="BJ25" s="34" t="str">
        <v/>
      </c>
      <c r="BK25" s="34" t="str">
        <v>BOX</v>
      </c>
      <c r="BL25" s="34">
        <v>1</v>
      </c>
      <c r="BM25" s="34" t="str">
        <v/>
      </c>
      <c r="BN25" s="34" t="str">
        <v/>
      </c>
      <c r="BO25" s="34" t="str">
        <v/>
      </c>
      <c r="BP25" s="34" t="str">
        <v/>
      </c>
      <c r="BQ25" s="34" t="str">
        <v/>
      </c>
      <c r="BR25" s="34" t="str">
        <v/>
      </c>
      <c r="BS25" s="34" t="str">
        <v/>
      </c>
      <c r="BT25" s="34" t="str">
        <v/>
      </c>
      <c r="BU25" s="34">
        <v>0</v>
      </c>
      <c r="BV25" s="34">
        <v>24</v>
      </c>
      <c r="BW25" s="34">
        <v>0</v>
      </c>
      <c r="BX25" s="34">
        <v>0</v>
      </c>
      <c r="BY25" s="34">
        <v>0</v>
      </c>
      <c r="BZ25">
        <v>2</v>
      </c>
      <c r="CA25" t="str">
        <v>вводной узел</v>
      </c>
    </row>
    <row r="26" spans="1:79" x14ac:dyDescent="0.3">
      <c r="A26" s="39" t="str">
        <v>ЩГП</v>
      </c>
      <c r="B26" s="42">
        <v>18</v>
      </c>
      <c r="C26" s="42">
        <v>2</v>
      </c>
      <c r="D26" s="75" t="str">
        <v/>
      </c>
      <c r="E26" s="75" t="str">
        <v>авто</v>
      </c>
      <c r="F26" s="76" t="str">
        <v/>
      </c>
      <c r="G26" s="47" t="str">
        <v>QF1</v>
      </c>
      <c r="H26" s="47" t="str">
        <v>1P С6А</v>
      </c>
      <c r="I26" s="75" t="str">
        <v/>
      </c>
      <c r="J26" s="76" t="str">
        <v/>
      </c>
      <c r="K26" s="76" t="str">
        <v/>
      </c>
      <c r="L26" s="75" t="str">
        <v/>
      </c>
      <c r="M26" s="49" t="str">
        <v/>
      </c>
      <c r="N26" s="76" t="str">
        <v/>
      </c>
      <c r="O26" s="49" t="str">
        <v/>
      </c>
      <c r="P26" s="77" t="str">
        <v/>
      </c>
      <c r="Q26" s="53" t="str">
        <v/>
      </c>
      <c r="R26" s="54" t="str">
        <v>На ИБП</v>
      </c>
      <c r="S26" s="55" t="str">
        <v>Питание на ИБП</v>
      </c>
      <c r="T26" s="56">
        <v>0</v>
      </c>
      <c r="U26" s="56">
        <v>0</v>
      </c>
      <c r="V26" s="42" t="str">
        <v>L1</v>
      </c>
      <c r="W26" s="57" t="str">
        <v>ok</v>
      </c>
      <c r="X26" s="58" t="str">
        <v/>
      </c>
      <c r="Y26" s="75" t="str">
        <v/>
      </c>
      <c r="Z26" s="59">
        <v>0</v>
      </c>
      <c r="AA26" s="61">
        <v>6</v>
      </c>
      <c r="AB26" s="61" t="str">
        <v/>
      </c>
      <c r="AC26" s="61" t="str">
        <v/>
      </c>
      <c r="AD26" s="62" t="str">
        <v>QF1</v>
      </c>
      <c r="AE26" s="62" t="str">
        <v/>
      </c>
      <c r="AF26" s="34">
        <v>1</v>
      </c>
      <c r="AG26" s="34" t="str">
        <v>QF1</v>
      </c>
      <c r="AH26" s="34" t="str">
        <v/>
      </c>
      <c r="AI26" s="34" t="str">
        <v/>
      </c>
      <c r="AJ26" s="34" t="str">
        <v>QF1</v>
      </c>
      <c r="AK26" s="34">
        <v>1</v>
      </c>
      <c r="AL26" s="34" t="str">
        <v>На ИБП</v>
      </c>
      <c r="AM26" s="34">
        <v>0</v>
      </c>
      <c r="AN26" s="34">
        <v>0</v>
      </c>
      <c r="AO26" s="34">
        <v>6</v>
      </c>
      <c r="AP26" s="34" t="str">
        <v/>
      </c>
      <c r="AQ26" s="34">
        <v>6</v>
      </c>
      <c r="AR26" s="34">
        <v>1</v>
      </c>
      <c r="AS26" s="34">
        <v>0</v>
      </c>
      <c r="AT26" s="34" t="str">
        <v>1P</v>
      </c>
      <c r="AU26" s="34">
        <v>6</v>
      </c>
      <c r="AV26" s="34" t="str">
        <v/>
      </c>
      <c r="AW26" s="34" t="str">
        <v/>
      </c>
      <c r="AX26" s="34" t="str">
        <v/>
      </c>
      <c r="AY26" s="34">
        <v>0</v>
      </c>
      <c r="AZ26" s="34" t="str">
        <v/>
      </c>
      <c r="BA26" s="34">
        <v>0</v>
      </c>
      <c r="BB26" s="34">
        <v>0</v>
      </c>
      <c r="BD26" s="34">
        <v>1</v>
      </c>
      <c r="BE26" s="34">
        <v>0</v>
      </c>
      <c r="BF26" s="34">
        <v>0</v>
      </c>
      <c r="BG26" s="34" t="str">
        <v/>
      </c>
      <c r="BH26" s="34" t="str">
        <v/>
      </c>
      <c r="BI26" s="34" t="str">
        <v/>
      </c>
      <c r="BJ26" s="34" t="str">
        <v/>
      </c>
      <c r="BK26" s="34" t="str">
        <v>BOX</v>
      </c>
      <c r="BL26" s="34">
        <v>1</v>
      </c>
      <c r="BM26" s="34" t="str">
        <v/>
      </c>
      <c r="BN26" s="34" t="str">
        <v/>
      </c>
      <c r="BO26" s="34" t="str">
        <v/>
      </c>
      <c r="BP26" s="34" t="str">
        <v/>
      </c>
      <c r="BQ26" s="34" t="str">
        <v/>
      </c>
      <c r="BR26" s="34" t="str">
        <v/>
      </c>
      <c r="BS26" s="34" t="str">
        <v/>
      </c>
      <c r="BT26" s="34" t="str">
        <v/>
      </c>
      <c r="BU26" s="34">
        <v>0</v>
      </c>
      <c r="BV26" s="34">
        <v>25</v>
      </c>
      <c r="BW26" s="34">
        <v>0</v>
      </c>
      <c r="BX26" s="34">
        <v>0</v>
      </c>
      <c r="BY26" s="34">
        <v>0</v>
      </c>
      <c r="BZ26">
        <v>2</v>
      </c>
      <c r="CA26" t="str">
        <v>линии</v>
      </c>
    </row>
    <row r="27" spans="1:79" x14ac:dyDescent="0.3">
      <c r="A27" s="39" t="str">
        <v>ЩГП</v>
      </c>
      <c r="B27" s="42">
        <v>20</v>
      </c>
      <c r="C27" s="42">
        <v>2</v>
      </c>
      <c r="D27" s="75" t="str">
        <v/>
      </c>
      <c r="E27" s="75" t="str">
        <v>авто</v>
      </c>
      <c r="F27" s="76" t="str">
        <v/>
      </c>
      <c r="G27" s="47" t="str">
        <v>QF2</v>
      </c>
      <c r="H27" s="47" t="str">
        <v>1P С6А</v>
      </c>
      <c r="I27" s="75" t="str">
        <v/>
      </c>
      <c r="J27" s="76" t="str">
        <v/>
      </c>
      <c r="K27" s="76" t="str">
        <v/>
      </c>
      <c r="L27" s="75" t="str">
        <v/>
      </c>
      <c r="M27" s="49" t="str">
        <v/>
      </c>
      <c r="N27" s="76" t="str">
        <v/>
      </c>
      <c r="O27" s="49" t="str">
        <v/>
      </c>
      <c r="P27" s="77" t="str">
        <v/>
      </c>
      <c r="Q27" s="53" t="str">
        <v/>
      </c>
      <c r="R27" s="54" t="str">
        <v>От ИБП</v>
      </c>
      <c r="S27" s="55" t="str">
        <v>Питание от ИБП</v>
      </c>
      <c r="T27" s="56">
        <v>0</v>
      </c>
      <c r="U27" s="56">
        <v>0</v>
      </c>
      <c r="V27" s="42" t="str">
        <v>L1</v>
      </c>
      <c r="W27" s="57" t="str">
        <v>ok</v>
      </c>
      <c r="X27" s="58" t="str">
        <v/>
      </c>
      <c r="Y27" s="75" t="str">
        <v/>
      </c>
      <c r="Z27" s="59">
        <v>0</v>
      </c>
      <c r="AA27" s="61">
        <v>6</v>
      </c>
      <c r="AB27" s="61" t="str">
        <v/>
      </c>
      <c r="AC27" s="61" t="str">
        <v/>
      </c>
      <c r="AD27" s="62" t="str">
        <v>QF2</v>
      </c>
      <c r="AE27" s="62" t="str">
        <v/>
      </c>
      <c r="AF27" s="34">
        <v>2</v>
      </c>
      <c r="AG27" s="34" t="str">
        <v>QF2</v>
      </c>
      <c r="AH27" s="34" t="str">
        <v/>
      </c>
      <c r="AI27" s="34" t="str">
        <v/>
      </c>
      <c r="AJ27" s="34" t="str">
        <v>QF2</v>
      </c>
      <c r="AK27" s="34">
        <v>1</v>
      </c>
      <c r="AL27" s="34" t="str">
        <v>От ИБП</v>
      </c>
      <c r="AM27" s="34">
        <v>0</v>
      </c>
      <c r="AN27" s="34">
        <v>0</v>
      </c>
      <c r="AO27" s="34">
        <v>6</v>
      </c>
      <c r="AP27" s="34" t="str">
        <v/>
      </c>
      <c r="AQ27" s="34">
        <v>6</v>
      </c>
      <c r="AR27" s="34">
        <v>1</v>
      </c>
      <c r="AS27" s="34">
        <v>0</v>
      </c>
      <c r="AT27" s="34" t="str">
        <v>1P</v>
      </c>
      <c r="AU27" s="34">
        <v>6</v>
      </c>
      <c r="AV27" s="34" t="str">
        <v/>
      </c>
      <c r="AW27" s="34" t="str">
        <v/>
      </c>
      <c r="AX27" s="34" t="str">
        <v/>
      </c>
      <c r="AY27" s="34">
        <v>0</v>
      </c>
      <c r="AZ27" s="34" t="str">
        <v/>
      </c>
      <c r="BA27" s="34">
        <v>0</v>
      </c>
      <c r="BB27" s="34">
        <v>0</v>
      </c>
      <c r="BD27" s="34">
        <v>1</v>
      </c>
      <c r="BE27" s="34">
        <v>0</v>
      </c>
      <c r="BF27" s="34">
        <v>0</v>
      </c>
      <c r="BG27" s="34" t="str">
        <v/>
      </c>
      <c r="BH27" s="34" t="str">
        <v/>
      </c>
      <c r="BI27" s="34" t="str">
        <v/>
      </c>
      <c r="BJ27" s="34" t="str">
        <v/>
      </c>
      <c r="BK27" s="34" t="str">
        <v>BOX</v>
      </c>
      <c r="BL27" s="34">
        <v>1</v>
      </c>
      <c r="BM27" s="34" t="str">
        <v/>
      </c>
      <c r="BN27" s="34" t="str">
        <v/>
      </c>
      <c r="BO27" s="34" t="str">
        <v/>
      </c>
      <c r="BP27" s="34" t="str">
        <v/>
      </c>
      <c r="BQ27" s="34" t="str">
        <v/>
      </c>
      <c r="BR27" s="34" t="str">
        <v/>
      </c>
      <c r="BS27" s="34" t="str">
        <v/>
      </c>
      <c r="BT27" s="34" t="str">
        <v/>
      </c>
      <c r="BU27" s="34">
        <v>0</v>
      </c>
      <c r="BV27" s="34">
        <v>26</v>
      </c>
      <c r="BW27" s="34">
        <v>0</v>
      </c>
      <c r="BX27" s="34">
        <v>0</v>
      </c>
      <c r="BY27" s="34">
        <v>0</v>
      </c>
      <c r="BZ27">
        <v>2</v>
      </c>
      <c r="CA27" t="str">
        <v>линии</v>
      </c>
    </row>
    <row r="28" spans="1:79" x14ac:dyDescent="0.3">
      <c r="A28" s="39" t="str">
        <v>ЩГП</v>
      </c>
      <c r="B28" s="42">
        <v>23</v>
      </c>
      <c r="C28" s="42">
        <v>2</v>
      </c>
      <c r="D28" s="75" t="str">
        <v>ИБП</v>
      </c>
      <c r="E28" s="75" t="str">
        <v>авто</v>
      </c>
      <c r="F28" s="76" t="str">
        <v/>
      </c>
      <c r="G28" s="47" t="str">
        <v>QF3</v>
      </c>
      <c r="H28" s="47" t="str">
        <v>3P С6А</v>
      </c>
      <c r="I28" s="75" t="str">
        <v/>
      </c>
      <c r="J28" s="76" t="str">
        <v/>
      </c>
      <c r="K28" s="76" t="str">
        <v/>
      </c>
      <c r="L28" s="75" t="str">
        <v/>
      </c>
      <c r="M28" s="49" t="str">
        <v/>
      </c>
      <c r="N28" s="76" t="str">
        <v/>
      </c>
      <c r="O28" s="49" t="str">
        <v/>
      </c>
      <c r="P28" s="77" t="str">
        <v>XT1</v>
      </c>
      <c r="Q28" s="53" t="str">
        <v>ВВГнг(А)-LS (5х6) L=41-0,17%</v>
      </c>
      <c r="R28" s="54" t="str">
        <v>ЩО-001</v>
      </c>
      <c r="S28" s="55" t="str">
        <v>Щит освещения ЩО-2 Подвальный этаж этаж Пом. №3.001</v>
      </c>
      <c r="T28" s="56">
        <v>1.9000000000000006</v>
      </c>
      <c r="U28" s="56">
        <v>2.5599999999999996</v>
      </c>
      <c r="V28" s="42" t="str">
        <v>L1,L2,L3</v>
      </c>
      <c r="W28" s="57" t="str">
        <v>ok</v>
      </c>
      <c r="X28" s="58" t="str">
        <v/>
      </c>
      <c r="Y28" s="75" t="str">
        <v/>
      </c>
      <c r="Z28" s="59">
        <v>2.5524959269436094</v>
      </c>
      <c r="AA28" s="61">
        <v>6</v>
      </c>
      <c r="AB28" s="61">
        <v>32</v>
      </c>
      <c r="AC28" s="61" t="str">
        <v/>
      </c>
      <c r="AD28" s="62" t="str">
        <v>QF3 → XT1</v>
      </c>
      <c r="AE28" s="62" t="str">
        <v/>
      </c>
      <c r="AF28" s="34">
        <v>3</v>
      </c>
      <c r="AG28" s="34" t="str">
        <v>QF3</v>
      </c>
      <c r="AH28" s="34" t="str">
        <v/>
      </c>
      <c r="AI28" s="34" t="str">
        <v/>
      </c>
      <c r="AJ28" s="34" t="str">
        <v>QF3</v>
      </c>
      <c r="AK28" s="34">
        <v>3</v>
      </c>
      <c r="AL28" s="34" t="str">
        <v>ЩО-001</v>
      </c>
      <c r="AM28" s="34">
        <v>0</v>
      </c>
      <c r="AN28" s="34">
        <v>0</v>
      </c>
      <c r="AO28" s="34">
        <v>6</v>
      </c>
      <c r="AP28" s="34">
        <v>32</v>
      </c>
      <c r="AQ28" s="34">
        <v>6</v>
      </c>
      <c r="AR28" s="34">
        <v>3</v>
      </c>
      <c r="AS28" s="34">
        <v>0</v>
      </c>
      <c r="AT28" s="34" t="str">
        <v>3P</v>
      </c>
      <c r="AU28" s="34">
        <v>6</v>
      </c>
      <c r="AV28" s="34" t="str">
        <v/>
      </c>
      <c r="AW28" s="34" t="str">
        <v/>
      </c>
      <c r="AX28" s="34" t="str">
        <v/>
      </c>
      <c r="AY28" s="34">
        <v>1</v>
      </c>
      <c r="AZ28" s="34" t="str">
        <v/>
      </c>
      <c r="BA28" s="34">
        <v>0</v>
      </c>
      <c r="BB28" s="34">
        <v>0</v>
      </c>
      <c r="BD28" s="34">
        <v>1</v>
      </c>
      <c r="BE28" s="34">
        <v>1</v>
      </c>
      <c r="BF28" s="34">
        <v>0</v>
      </c>
      <c r="BG28" s="34" t="str">
        <v/>
      </c>
      <c r="BH28" s="34" t="str">
        <v/>
      </c>
      <c r="BI28" s="34" t="str">
        <v/>
      </c>
      <c r="BJ28" s="34" t="str">
        <v/>
      </c>
      <c r="BK28" s="34" t="str">
        <v>BOX</v>
      </c>
      <c r="BL28" s="34">
        <v>1</v>
      </c>
      <c r="BM28" s="34" t="str">
        <v/>
      </c>
      <c r="BN28" s="34" t="str">
        <v/>
      </c>
      <c r="BO28" s="34" t="str">
        <v/>
      </c>
      <c r="BP28" s="34" t="str">
        <v/>
      </c>
      <c r="BQ28" s="34" t="str">
        <v>5х6</v>
      </c>
      <c r="BR28" s="34" t="str">
        <v/>
      </c>
      <c r="BS28" s="34" t="str">
        <v/>
      </c>
      <c r="BT28" s="34" t="str">
        <v/>
      </c>
      <c r="BU28" s="34">
        <v>0</v>
      </c>
      <c r="BV28" s="34">
        <v>27</v>
      </c>
      <c r="BW28" s="34">
        <v>1</v>
      </c>
      <c r="BX28" s="34">
        <v>2</v>
      </c>
      <c r="BY28" s="34" t="str">
        <v/>
      </c>
      <c r="BZ28">
        <v>2</v>
      </c>
      <c r="CA28" t="str">
        <v>линии</v>
      </c>
    </row>
    <row r="29" spans="1:79" x14ac:dyDescent="0.3">
      <c r="A29" s="39" t="str">
        <v>ЩГП</v>
      </c>
      <c r="B29" s="42">
        <v>24</v>
      </c>
      <c r="C29" s="42">
        <v>2</v>
      </c>
      <c r="D29" s="75" t="str">
        <v>ИБП</v>
      </c>
      <c r="E29" s="75" t="str">
        <v>авто</v>
      </c>
      <c r="F29" s="76" t="str">
        <v/>
      </c>
      <c r="G29" s="47" t="str">
        <v>QF4</v>
      </c>
      <c r="H29" s="47" t="str">
        <v>3P С6А</v>
      </c>
      <c r="I29" s="75" t="str">
        <v/>
      </c>
      <c r="J29" s="76" t="str">
        <v/>
      </c>
      <c r="K29" s="76" t="str">
        <v/>
      </c>
      <c r="L29" s="75" t="str">
        <v/>
      </c>
      <c r="M29" s="49" t="str">
        <v/>
      </c>
      <c r="N29" s="76" t="str">
        <v/>
      </c>
      <c r="O29" s="49" t="str">
        <v/>
      </c>
      <c r="P29" s="77" t="str">
        <v>XT2</v>
      </c>
      <c r="Q29" s="53" t="str">
        <v>ВВГнг(А)-LS (5х6) L=15-0%</v>
      </c>
      <c r="R29" s="54" t="str">
        <v>ЩО-01</v>
      </c>
      <c r="S29" s="55" t="str">
        <v>Щит освещения ЩО-2 Цокольный этаж этаж Пом. №001Т</v>
      </c>
      <c r="T29" s="56">
        <v>0</v>
      </c>
      <c r="U29" s="56">
        <v>0</v>
      </c>
      <c r="V29" s="42" t="str">
        <v>L1,L2,L3</v>
      </c>
      <c r="W29" s="57" t="str">
        <v>ok</v>
      </c>
      <c r="X29" s="58" t="str">
        <v/>
      </c>
      <c r="Y29" s="75" t="str">
        <v/>
      </c>
      <c r="Z29" s="59">
        <v>0</v>
      </c>
      <c r="AA29" s="61">
        <v>6</v>
      </c>
      <c r="AB29" s="61">
        <v>32</v>
      </c>
      <c r="AC29" s="61" t="str">
        <v/>
      </c>
      <c r="AD29" s="62" t="str">
        <v>QF4 → XT2</v>
      </c>
      <c r="AE29" s="62" t="str">
        <v>нет мощности</v>
      </c>
      <c r="AF29" s="34">
        <v>4</v>
      </c>
      <c r="AG29" s="34" t="str">
        <v>QF4</v>
      </c>
      <c r="AH29" s="34" t="str">
        <v/>
      </c>
      <c r="AI29" s="34" t="str">
        <v/>
      </c>
      <c r="AJ29" s="34" t="str">
        <v>QF4</v>
      </c>
      <c r="AK29" s="34">
        <v>3</v>
      </c>
      <c r="AL29" s="34" t="str">
        <v>ЩО-01</v>
      </c>
      <c r="AM29" s="34">
        <v>0</v>
      </c>
      <c r="AN29" s="34">
        <v>0</v>
      </c>
      <c r="AO29" s="34">
        <v>6</v>
      </c>
      <c r="AP29" s="34">
        <v>32</v>
      </c>
      <c r="AQ29" s="34">
        <v>6</v>
      </c>
      <c r="AR29" s="34">
        <v>3</v>
      </c>
      <c r="AS29" s="34">
        <v>0</v>
      </c>
      <c r="AT29" s="34" t="str">
        <v>3P</v>
      </c>
      <c r="AU29" s="34">
        <v>6</v>
      </c>
      <c r="AV29" s="34" t="str">
        <v/>
      </c>
      <c r="AW29" s="34" t="str">
        <v/>
      </c>
      <c r="AX29" s="34" t="str">
        <v/>
      </c>
      <c r="AY29" s="34">
        <v>1</v>
      </c>
      <c r="AZ29" s="34" t="str">
        <v/>
      </c>
      <c r="BA29" s="34">
        <v>0</v>
      </c>
      <c r="BB29" s="34">
        <v>0</v>
      </c>
      <c r="BD29" s="34">
        <v>1</v>
      </c>
      <c r="BE29" s="34">
        <v>1</v>
      </c>
      <c r="BF29" s="34">
        <v>0</v>
      </c>
      <c r="BG29" s="34" t="str">
        <v/>
      </c>
      <c r="BH29" s="34" t="str">
        <v/>
      </c>
      <c r="BI29" s="34" t="str">
        <v/>
      </c>
      <c r="BJ29" s="34" t="str">
        <v/>
      </c>
      <c r="BK29" s="34" t="str">
        <v>BOX</v>
      </c>
      <c r="BL29" s="34">
        <v>1</v>
      </c>
      <c r="BM29" s="34" t="str">
        <v/>
      </c>
      <c r="BN29" s="34" t="str">
        <v/>
      </c>
      <c r="BO29" s="34" t="str">
        <v/>
      </c>
      <c r="BP29" s="34" t="str">
        <v/>
      </c>
      <c r="BQ29" s="34" t="str">
        <v>5х6</v>
      </c>
      <c r="BR29" s="34" t="str">
        <v/>
      </c>
      <c r="BS29" s="34" t="str">
        <v/>
      </c>
      <c r="BT29" s="34" t="str">
        <v/>
      </c>
      <c r="BU29" s="34">
        <v>1</v>
      </c>
      <c r="BV29" s="34">
        <v>28</v>
      </c>
      <c r="BW29" s="34">
        <v>1</v>
      </c>
      <c r="BX29" s="34">
        <v>2</v>
      </c>
      <c r="BY29" s="34" t="str">
        <v/>
      </c>
      <c r="BZ29">
        <v>2</v>
      </c>
      <c r="CA29" t="str">
        <v>линии</v>
      </c>
    </row>
    <row r="30" spans="1:79" x14ac:dyDescent="0.3">
      <c r="A30" s="39" t="str">
        <v>ЩО-001</v>
      </c>
      <c r="B30" s="42">
        <v>2</v>
      </c>
      <c r="C30" s="42">
        <v>1</v>
      </c>
      <c r="D30" s="75" t="str">
        <v/>
      </c>
      <c r="E30" s="75" t="str">
        <v>авто</v>
      </c>
      <c r="F30" s="76" t="str">
        <v/>
      </c>
      <c r="G30" s="47" t="str">
        <v/>
      </c>
      <c r="H30" s="47" t="str">
        <v>3P С40А</v>
      </c>
      <c r="I30" s="75" t="str">
        <v/>
      </c>
      <c r="J30" s="76" t="str">
        <v/>
      </c>
      <c r="K30" s="76" t="str">
        <v/>
      </c>
      <c r="L30" s="75" t="str">
        <v/>
      </c>
      <c r="M30" s="49" t="str">
        <v/>
      </c>
      <c r="N30" s="76" t="str">
        <v/>
      </c>
      <c r="O30" s="49" t="str">
        <v/>
      </c>
      <c r="P30" s="77" t="str">
        <v/>
      </c>
      <c r="Q30" s="53" t="str">
        <v/>
      </c>
      <c r="R30" s="54" t="str">
        <v>Ввод.1</v>
      </c>
      <c r="S30" s="55" t="str">
        <v>Ввод</v>
      </c>
      <c r="T30" s="56">
        <v>0</v>
      </c>
      <c r="U30" s="56">
        <v>2.5599999999999996</v>
      </c>
      <c r="V30" s="42" t="str">
        <v>L1,L2,L3</v>
      </c>
      <c r="W30" s="57" t="str">
        <v>ok</v>
      </c>
      <c r="X30" s="58" t="str">
        <v/>
      </c>
      <c r="Y30" s="75" t="str">
        <v>вручную</v>
      </c>
      <c r="Z30" s="59">
        <v>2.5524959269436094</v>
      </c>
      <c r="AA30" s="61">
        <v>6</v>
      </c>
      <c r="AB30" s="61">
        <v>50</v>
      </c>
      <c r="AC30" s="61" t="str">
        <v/>
      </c>
      <c r="AD30" s="62" t="str">
        <v/>
      </c>
      <c r="AE30" s="62" t="str">
        <v/>
      </c>
      <c r="AF30" s="34" t="str">
        <v/>
      </c>
      <c r="AG30" s="34" t="str">
        <v/>
      </c>
      <c r="AH30" s="34" t="str">
        <v/>
      </c>
      <c r="AI30" s="34" t="str">
        <v/>
      </c>
      <c r="AJ30" s="34" t="str">
        <v/>
      </c>
      <c r="AK30" s="34">
        <v>3</v>
      </c>
      <c r="AL30" s="34" t="str">
        <v>Ввод</v>
      </c>
      <c r="AM30" s="34">
        <v>0</v>
      </c>
      <c r="AN30" s="34">
        <v>0</v>
      </c>
      <c r="AO30" s="34">
        <v>6</v>
      </c>
      <c r="AP30" s="34">
        <v>50</v>
      </c>
      <c r="AQ30" s="34">
        <v>40</v>
      </c>
      <c r="AR30" s="34">
        <v>3</v>
      </c>
      <c r="AS30" s="34">
        <v>0</v>
      </c>
      <c r="AT30" s="34" t="str">
        <v>3P</v>
      </c>
      <c r="AU30" s="34">
        <v>40</v>
      </c>
      <c r="AV30" s="34" t="str">
        <v/>
      </c>
      <c r="AW30" s="34" t="str">
        <v/>
      </c>
      <c r="AX30" s="34" t="str">
        <v/>
      </c>
      <c r="AY30" s="34">
        <v>0</v>
      </c>
      <c r="AZ30" s="34" t="str">
        <v/>
      </c>
      <c r="BA30" s="34">
        <v>0</v>
      </c>
      <c r="BB30" s="34">
        <v>0</v>
      </c>
      <c r="BD30" s="34">
        <v>0</v>
      </c>
      <c r="BE30" s="34">
        <v>0</v>
      </c>
      <c r="BF30" s="34">
        <v>0</v>
      </c>
      <c r="BG30" s="34" t="str">
        <v/>
      </c>
      <c r="BH30" s="34" t="str">
        <v/>
      </c>
      <c r="BI30" s="34" t="str">
        <v/>
      </c>
      <c r="BJ30" s="34" t="str">
        <v/>
      </c>
      <c r="BK30" s="34" t="str">
        <v>BOX</v>
      </c>
      <c r="BL30" s="34">
        <v>1</v>
      </c>
      <c r="BM30" s="34" t="str">
        <v/>
      </c>
      <c r="BN30" s="34" t="str">
        <v/>
      </c>
      <c r="BO30" s="34" t="str">
        <v/>
      </c>
      <c r="BP30" s="34" t="str">
        <v/>
      </c>
      <c r="BQ30" s="34" t="str">
        <v/>
      </c>
      <c r="BR30" s="34" t="str">
        <v/>
      </c>
      <c r="BS30" s="34" t="str">
        <v/>
      </c>
      <c r="BT30" s="34" t="str">
        <v/>
      </c>
      <c r="BU30" s="34">
        <v>0</v>
      </c>
      <c r="BV30" s="34">
        <v>29</v>
      </c>
      <c r="BW30" s="34">
        <v>0</v>
      </c>
      <c r="BX30" s="34">
        <v>0</v>
      </c>
      <c r="BY30" s="34">
        <v>0</v>
      </c>
      <c r="BZ30">
        <v>3</v>
      </c>
      <c r="CA30" t="str">
        <v>вводной узел</v>
      </c>
    </row>
    <row r="31" spans="1:79" x14ac:dyDescent="0.3">
      <c r="A31" s="39" t="str">
        <v>ЩОВ-001</v>
      </c>
      <c r="B31" s="42">
        <v>2</v>
      </c>
      <c r="C31" s="42">
        <v>1</v>
      </c>
      <c r="D31" s="75" t="str">
        <v/>
      </c>
      <c r="E31" s="75" t="str">
        <v>авто</v>
      </c>
      <c r="F31" s="76" t="str">
        <v/>
      </c>
      <c r="G31" s="47" t="str">
        <v/>
      </c>
      <c r="H31" s="47" t="str">
        <v>3P С320А</v>
      </c>
      <c r="I31" s="75" t="str">
        <v/>
      </c>
      <c r="J31" s="76" t="str">
        <v/>
      </c>
      <c r="K31" s="76" t="str">
        <v/>
      </c>
      <c r="L31" s="75" t="str">
        <v/>
      </c>
      <c r="M31" s="49" t="str">
        <v/>
      </c>
      <c r="N31" s="76" t="str">
        <v/>
      </c>
      <c r="O31" s="49" t="str">
        <v/>
      </c>
      <c r="P31" s="77" t="str">
        <v/>
      </c>
      <c r="Q31" s="53" t="str">
        <v>ВВГнг(А)-LS (5х185) L=51-0,57%</v>
      </c>
      <c r="R31" s="54" t="str">
        <v>Ввод.1</v>
      </c>
      <c r="S31" s="55" t="str">
        <v>Ввод</v>
      </c>
      <c r="T31" s="56">
        <v>0</v>
      </c>
      <c r="U31" s="56">
        <v>190.6</v>
      </c>
      <c r="V31" s="42" t="str">
        <v>L1,L2,L3</v>
      </c>
      <c r="W31" s="57" t="str">
        <v>КАБЕЛЬ НЕ ЗАЩИЩЁН</v>
      </c>
      <c r="X31" s="58" t="str">
        <v/>
      </c>
      <c r="Y31" s="75" t="str">
        <v>вручную</v>
      </c>
      <c r="Z31" s="59">
        <v>190.59775761622515</v>
      </c>
      <c r="AA31" s="61">
        <v>250</v>
      </c>
      <c r="AB31" s="61">
        <v>315</v>
      </c>
      <c r="AC31" s="61" t="str">
        <v/>
      </c>
      <c r="AD31" s="62" t="str">
        <v/>
      </c>
      <c r="AE31" s="62" t="str">
        <v>КАБЕЛЬ НЕ ЗАЩИЩЁН</v>
      </c>
      <c r="AF31" s="34" t="str">
        <v/>
      </c>
      <c r="AG31" s="34" t="str">
        <v/>
      </c>
      <c r="AH31" s="34" t="str">
        <v/>
      </c>
      <c r="AI31" s="34" t="str">
        <v/>
      </c>
      <c r="AJ31" s="34" t="str">
        <v/>
      </c>
      <c r="AK31" s="34">
        <v>3</v>
      </c>
      <c r="AL31" s="34" t="str">
        <v>Ввод</v>
      </c>
      <c r="AM31" s="34">
        <v>0</v>
      </c>
      <c r="AN31" s="34">
        <v>0</v>
      </c>
      <c r="AO31" s="34">
        <v>250</v>
      </c>
      <c r="AP31" s="34">
        <v>315</v>
      </c>
      <c r="AQ31" s="34">
        <v>320</v>
      </c>
      <c r="AR31" s="34">
        <v>3</v>
      </c>
      <c r="AS31" s="34">
        <v>0</v>
      </c>
      <c r="AT31" s="34" t="str">
        <v>3P</v>
      </c>
      <c r="AU31" s="34">
        <v>320</v>
      </c>
      <c r="AV31" s="34" t="str">
        <v/>
      </c>
      <c r="AW31" s="34" t="str">
        <v/>
      </c>
      <c r="AX31" s="34" t="str">
        <v/>
      </c>
      <c r="AY31" s="34">
        <v>0</v>
      </c>
      <c r="AZ31" s="34" t="str">
        <v/>
      </c>
      <c r="BA31" s="34">
        <v>0</v>
      </c>
      <c r="BB31" s="34">
        <v>0</v>
      </c>
      <c r="BD31" s="34">
        <v>0</v>
      </c>
      <c r="BE31" s="34">
        <v>0</v>
      </c>
      <c r="BF31" s="34">
        <v>0</v>
      </c>
      <c r="BG31" s="34" t="str">
        <v/>
      </c>
      <c r="BH31" s="34" t="str">
        <v/>
      </c>
      <c r="BI31" s="34" t="str">
        <v/>
      </c>
      <c r="BJ31" s="34" t="str">
        <v/>
      </c>
      <c r="BK31" s="34" t="str">
        <v>BOX</v>
      </c>
      <c r="BL31" s="34">
        <v>1</v>
      </c>
      <c r="BM31" s="34">
        <v>16</v>
      </c>
      <c r="BN31" s="34" t="str">
        <v/>
      </c>
      <c r="BO31" s="34" t="str">
        <v/>
      </c>
      <c r="BP31" s="34" t="str">
        <v/>
      </c>
      <c r="BQ31" s="34" t="str">
        <v/>
      </c>
      <c r="BR31" s="34" t="str">
        <v/>
      </c>
      <c r="BS31" s="34" t="str">
        <v/>
      </c>
      <c r="BT31" s="34" t="str">
        <v/>
      </c>
      <c r="BU31" s="34">
        <v>2</v>
      </c>
      <c r="BV31" s="34">
        <v>51</v>
      </c>
      <c r="BW31" s="34">
        <v>0</v>
      </c>
      <c r="BX31" s="34">
        <v>0</v>
      </c>
      <c r="BY31" s="34">
        <v>0</v>
      </c>
      <c r="BZ31">
        <v>4</v>
      </c>
      <c r="CA31" t="str">
        <v>вводной узел</v>
      </c>
    </row>
    <row r="32" spans="1:79" x14ac:dyDescent="0.3">
      <c r="A32" s="39" t="str">
        <v>ЩОВ-001</v>
      </c>
      <c r="B32" s="42">
        <v>18</v>
      </c>
      <c r="C32" s="42">
        <v>2</v>
      </c>
      <c r="D32" s="75" t="str">
        <v/>
      </c>
      <c r="E32" s="75" t="str">
        <v>авто</v>
      </c>
      <c r="F32" s="76" t="str">
        <v/>
      </c>
      <c r="G32" s="47" t="str">
        <v>QF1</v>
      </c>
      <c r="H32" s="47" t="str">
        <v>1P С10А</v>
      </c>
      <c r="I32" s="75" t="str">
        <v/>
      </c>
      <c r="J32" s="76" t="str">
        <v/>
      </c>
      <c r="K32" s="76" t="str">
        <v/>
      </c>
      <c r="L32" s="75" t="str">
        <v/>
      </c>
      <c r="M32" s="49" t="str">
        <v/>
      </c>
      <c r="N32" s="76" t="str">
        <v/>
      </c>
      <c r="O32" s="49" t="str">
        <v/>
      </c>
      <c r="P32" s="77" t="str">
        <v>XT1</v>
      </c>
      <c r="Q32" s="53" t="str">
        <v>ВВГнг(А)-LS (3х1,5) L=21-0,12%</v>
      </c>
      <c r="R32" s="54" t="str">
        <v>В.3</v>
      </c>
      <c r="S32" s="55" t="str">
        <v>Вытяжная установка Пом №006T</v>
      </c>
      <c r="T32" s="56">
        <v>0.1</v>
      </c>
      <c r="U32" s="56">
        <v>0.55000000000000004</v>
      </c>
      <c r="V32" s="42" t="str">
        <v>L1</v>
      </c>
      <c r="W32" s="57" t="str">
        <v>ok</v>
      </c>
      <c r="X32" s="58" t="str">
        <v/>
      </c>
      <c r="Y32" s="75" t="str">
        <v/>
      </c>
      <c r="Z32" s="59">
        <v>0.5412658773652741</v>
      </c>
      <c r="AA32" s="61">
        <v>6</v>
      </c>
      <c r="AB32" s="61">
        <v>16</v>
      </c>
      <c r="AC32" s="61" t="str">
        <v/>
      </c>
      <c r="AD32" s="62" t="str">
        <v>QF1 → XT1</v>
      </c>
      <c r="AE32" s="62" t="str">
        <v/>
      </c>
      <c r="AF32" s="34">
        <v>1</v>
      </c>
      <c r="AG32" s="34" t="str">
        <v>QF1</v>
      </c>
      <c r="AH32" s="34" t="str">
        <v/>
      </c>
      <c r="AI32" s="34" t="str">
        <v/>
      </c>
      <c r="AJ32" s="34" t="str">
        <v>QF1</v>
      </c>
      <c r="AK32" s="34">
        <v>1</v>
      </c>
      <c r="AL32" s="34" t="str">
        <v>В</v>
      </c>
      <c r="AM32" s="34">
        <v>0</v>
      </c>
      <c r="AN32" s="34">
        <v>0</v>
      </c>
      <c r="AO32" s="34">
        <v>6</v>
      </c>
      <c r="AP32" s="34">
        <v>16</v>
      </c>
      <c r="AQ32" s="34">
        <v>10</v>
      </c>
      <c r="AR32" s="34">
        <v>1</v>
      </c>
      <c r="AS32" s="34">
        <v>0</v>
      </c>
      <c r="AT32" s="34" t="str">
        <v>1P</v>
      </c>
      <c r="AU32" s="34">
        <v>10</v>
      </c>
      <c r="AV32" s="34" t="str">
        <v/>
      </c>
      <c r="AW32" s="34" t="str">
        <v/>
      </c>
      <c r="AX32" s="34" t="str">
        <v/>
      </c>
      <c r="AY32" s="34">
        <v>1</v>
      </c>
      <c r="AZ32" s="34" t="str">
        <v/>
      </c>
      <c r="BA32" s="34">
        <v>0</v>
      </c>
      <c r="BB32" s="34">
        <v>0</v>
      </c>
      <c r="BD32" s="34">
        <v>1</v>
      </c>
      <c r="BE32" s="34">
        <v>0</v>
      </c>
      <c r="BF32" s="34">
        <v>0</v>
      </c>
      <c r="BG32" s="34" t="str">
        <v/>
      </c>
      <c r="BH32" s="34" t="str">
        <v/>
      </c>
      <c r="BI32" s="34" t="str">
        <v/>
      </c>
      <c r="BJ32" s="34" t="str">
        <v/>
      </c>
      <c r="BK32" s="34" t="str">
        <v>MOTOR</v>
      </c>
      <c r="BL32" s="34">
        <v>1</v>
      </c>
      <c r="BM32" s="34" t="str">
        <v/>
      </c>
      <c r="BN32" s="34" t="str">
        <v/>
      </c>
      <c r="BO32" s="34" t="str">
        <v/>
      </c>
      <c r="BP32" s="34" t="str">
        <v/>
      </c>
      <c r="BQ32" s="34" t="str">
        <v>3х1,5</v>
      </c>
      <c r="BR32" s="34" t="str">
        <v/>
      </c>
      <c r="BS32" s="34" t="str">
        <v/>
      </c>
      <c r="BT32" s="34" t="str">
        <v/>
      </c>
      <c r="BU32" s="34">
        <v>0</v>
      </c>
      <c r="BV32" s="34">
        <v>52</v>
      </c>
      <c r="BW32" s="34">
        <v>1</v>
      </c>
      <c r="BX32" s="34">
        <v>0</v>
      </c>
      <c r="BY32" s="34" t="str">
        <v>Привод (двигатель)</v>
      </c>
      <c r="BZ32">
        <v>4</v>
      </c>
      <c r="CA32" t="str">
        <v>линии</v>
      </c>
    </row>
    <row r="33" spans="1:79" x14ac:dyDescent="0.3">
      <c r="A33" s="39" t="str">
        <v>ЩОВ-001</v>
      </c>
      <c r="B33" s="42">
        <v>19</v>
      </c>
      <c r="C33" s="42">
        <v>2</v>
      </c>
      <c r="D33" s="75" t="str">
        <v/>
      </c>
      <c r="E33" s="75" t="str">
        <v>авто</v>
      </c>
      <c r="F33" s="76" t="str">
        <v/>
      </c>
      <c r="G33" s="47" t="str">
        <v>QF2</v>
      </c>
      <c r="H33" s="47" t="str">
        <v>1P С10А</v>
      </c>
      <c r="I33" s="75" t="str">
        <v/>
      </c>
      <c r="J33" s="76" t="str">
        <v/>
      </c>
      <c r="K33" s="76" t="str">
        <v/>
      </c>
      <c r="L33" s="75" t="str">
        <v/>
      </c>
      <c r="M33" s="49" t="str">
        <v/>
      </c>
      <c r="N33" s="76" t="str">
        <v/>
      </c>
      <c r="O33" s="49" t="str">
        <v/>
      </c>
      <c r="P33" s="77" t="str">
        <v>XT2</v>
      </c>
      <c r="Q33" s="53" t="str">
        <v>ВВГнг(А)-LS (3х1,5) L=17-0,1%</v>
      </c>
      <c r="R33" s="54" t="str">
        <v>В.9</v>
      </c>
      <c r="S33" s="55" t="str">
        <v>Вытяжная установка Пом №006T</v>
      </c>
      <c r="T33" s="56">
        <v>0.1</v>
      </c>
      <c r="U33" s="56">
        <v>0.55000000000000004</v>
      </c>
      <c r="V33" s="42" t="str">
        <v>L2</v>
      </c>
      <c r="W33" s="57" t="str">
        <v>ok</v>
      </c>
      <c r="X33" s="58" t="str">
        <v/>
      </c>
      <c r="Y33" s="75" t="str">
        <v/>
      </c>
      <c r="Z33" s="59">
        <v>0.5412658773652741</v>
      </c>
      <c r="AA33" s="61">
        <v>6</v>
      </c>
      <c r="AB33" s="61">
        <v>16</v>
      </c>
      <c r="AC33" s="61" t="str">
        <v/>
      </c>
      <c r="AD33" s="62" t="str">
        <v>QF2 → XT2</v>
      </c>
      <c r="AE33" s="62" t="str">
        <v/>
      </c>
      <c r="AF33" s="34">
        <v>2</v>
      </c>
      <c r="AG33" s="34" t="str">
        <v>QF2</v>
      </c>
      <c r="AH33" s="34" t="str">
        <v/>
      </c>
      <c r="AI33" s="34" t="str">
        <v/>
      </c>
      <c r="AJ33" s="34" t="str">
        <v>QF2</v>
      </c>
      <c r="AK33" s="34">
        <v>1</v>
      </c>
      <c r="AL33" s="34" t="str">
        <v>В</v>
      </c>
      <c r="AM33" s="34">
        <v>0</v>
      </c>
      <c r="AN33" s="34">
        <v>0</v>
      </c>
      <c r="AO33" s="34">
        <v>6</v>
      </c>
      <c r="AP33" s="34">
        <v>16</v>
      </c>
      <c r="AQ33" s="34">
        <v>10</v>
      </c>
      <c r="AR33" s="34">
        <v>1</v>
      </c>
      <c r="AS33" s="34">
        <v>0</v>
      </c>
      <c r="AT33" s="34" t="str">
        <v>1P</v>
      </c>
      <c r="AU33" s="34">
        <v>10</v>
      </c>
      <c r="AV33" s="34" t="str">
        <v/>
      </c>
      <c r="AW33" s="34" t="str">
        <v/>
      </c>
      <c r="AX33" s="34" t="str">
        <v/>
      </c>
      <c r="AY33" s="34">
        <v>1</v>
      </c>
      <c r="AZ33" s="34" t="str">
        <v/>
      </c>
      <c r="BA33" s="34">
        <v>0</v>
      </c>
      <c r="BB33" s="34">
        <v>0</v>
      </c>
      <c r="BD33" s="34">
        <v>1</v>
      </c>
      <c r="BE33" s="34">
        <v>0</v>
      </c>
      <c r="BF33" s="34">
        <v>0</v>
      </c>
      <c r="BG33" s="34" t="str">
        <v/>
      </c>
      <c r="BH33" s="34" t="str">
        <v/>
      </c>
      <c r="BI33" s="34" t="str">
        <v/>
      </c>
      <c r="BJ33" s="34" t="str">
        <v/>
      </c>
      <c r="BK33" s="34" t="str">
        <v>MOTOR</v>
      </c>
      <c r="BL33" s="34">
        <v>1</v>
      </c>
      <c r="BM33" s="34" t="str">
        <v/>
      </c>
      <c r="BN33" s="34" t="str">
        <v/>
      </c>
      <c r="BO33" s="34" t="str">
        <v/>
      </c>
      <c r="BP33" s="34" t="str">
        <v/>
      </c>
      <c r="BQ33" s="34" t="str">
        <v>3х1,5</v>
      </c>
      <c r="BR33" s="34" t="str">
        <v/>
      </c>
      <c r="BS33" s="34" t="str">
        <v/>
      </c>
      <c r="BT33" s="34" t="str">
        <v/>
      </c>
      <c r="BU33" s="34">
        <v>0</v>
      </c>
      <c r="BV33" s="34">
        <v>53</v>
      </c>
      <c r="BW33" s="34">
        <v>1</v>
      </c>
      <c r="BX33" s="34">
        <v>0</v>
      </c>
      <c r="BY33" s="34" t="str">
        <v>Привод (двигатель)</v>
      </c>
      <c r="BZ33">
        <v>4</v>
      </c>
      <c r="CA33" t="str">
        <v>линии</v>
      </c>
    </row>
    <row r="34" spans="1:79" x14ac:dyDescent="0.3">
      <c r="A34" s="39" t="str">
        <v>ЩОВ-001</v>
      </c>
      <c r="B34" s="42">
        <v>20</v>
      </c>
      <c r="C34" s="42">
        <v>2</v>
      </c>
      <c r="D34" s="75" t="str">
        <v/>
      </c>
      <c r="E34" s="75" t="str">
        <v>авто</v>
      </c>
      <c r="F34" s="76" t="str">
        <v/>
      </c>
      <c r="G34" s="47" t="str">
        <v>QF3</v>
      </c>
      <c r="H34" s="47" t="str">
        <v>1P С10А</v>
      </c>
      <c r="I34" s="75" t="str">
        <v/>
      </c>
      <c r="J34" s="76" t="str">
        <v/>
      </c>
      <c r="K34" s="76" t="str">
        <v/>
      </c>
      <c r="L34" s="75" t="str">
        <v/>
      </c>
      <c r="M34" s="49" t="str">
        <v/>
      </c>
      <c r="N34" s="76" t="str">
        <v/>
      </c>
      <c r="O34" s="49" t="str">
        <v/>
      </c>
      <c r="P34" s="77" t="str">
        <v>XT3</v>
      </c>
      <c r="Q34" s="53" t="str">
        <v>ВВГнг(А)-LS (3х1,5) L=18-0,11%</v>
      </c>
      <c r="R34" s="54" t="str">
        <v>В.11</v>
      </c>
      <c r="S34" s="55" t="str">
        <v>Вытяжная установка Подвальный этаж Пом №006T</v>
      </c>
      <c r="T34" s="56">
        <v>0.1</v>
      </c>
      <c r="U34" s="56">
        <v>0.55000000000000004</v>
      </c>
      <c r="V34" s="42" t="str">
        <v>L1</v>
      </c>
      <c r="W34" s="57" t="str">
        <v>ok</v>
      </c>
      <c r="X34" s="58" t="str">
        <v/>
      </c>
      <c r="Y34" s="75" t="str">
        <v/>
      </c>
      <c r="Z34" s="59">
        <v>0.5412658773652741</v>
      </c>
      <c r="AA34" s="61">
        <v>6</v>
      </c>
      <c r="AB34" s="61">
        <v>16</v>
      </c>
      <c r="AC34" s="61" t="str">
        <v/>
      </c>
      <c r="AD34" s="62" t="str">
        <v>QF3 → XT3</v>
      </c>
      <c r="AE34" s="62" t="str">
        <v/>
      </c>
      <c r="AF34" s="34">
        <v>3</v>
      </c>
      <c r="AG34" s="34" t="str">
        <v>QF3</v>
      </c>
      <c r="AH34" s="34" t="str">
        <v/>
      </c>
      <c r="AI34" s="34" t="str">
        <v/>
      </c>
      <c r="AJ34" s="34" t="str">
        <v>QF3</v>
      </c>
      <c r="AK34" s="34">
        <v>1</v>
      </c>
      <c r="AL34" s="34" t="str">
        <v>В</v>
      </c>
      <c r="AM34" s="34">
        <v>0</v>
      </c>
      <c r="AN34" s="34">
        <v>0</v>
      </c>
      <c r="AO34" s="34">
        <v>6</v>
      </c>
      <c r="AP34" s="34">
        <v>16</v>
      </c>
      <c r="AQ34" s="34">
        <v>10</v>
      </c>
      <c r="AR34" s="34">
        <v>1</v>
      </c>
      <c r="AS34" s="34">
        <v>0</v>
      </c>
      <c r="AT34" s="34" t="str">
        <v>1P</v>
      </c>
      <c r="AU34" s="34">
        <v>10</v>
      </c>
      <c r="AV34" s="34" t="str">
        <v/>
      </c>
      <c r="AW34" s="34" t="str">
        <v/>
      </c>
      <c r="AX34" s="34" t="str">
        <v/>
      </c>
      <c r="AY34" s="34">
        <v>1</v>
      </c>
      <c r="AZ34" s="34" t="str">
        <v/>
      </c>
      <c r="BA34" s="34">
        <v>0</v>
      </c>
      <c r="BB34" s="34">
        <v>0</v>
      </c>
      <c r="BD34" s="34">
        <v>1</v>
      </c>
      <c r="BE34" s="34">
        <v>0</v>
      </c>
      <c r="BF34" s="34">
        <v>0</v>
      </c>
      <c r="BG34" s="34" t="str">
        <v/>
      </c>
      <c r="BH34" s="34" t="str">
        <v/>
      </c>
      <c r="BI34" s="34" t="str">
        <v/>
      </c>
      <c r="BJ34" s="34" t="str">
        <v/>
      </c>
      <c r="BK34" s="34" t="str">
        <v>MOTOR</v>
      </c>
      <c r="BL34" s="34">
        <v>1</v>
      </c>
      <c r="BM34" s="34" t="str">
        <v/>
      </c>
      <c r="BN34" s="34" t="str">
        <v/>
      </c>
      <c r="BO34" s="34" t="str">
        <v/>
      </c>
      <c r="BP34" s="34" t="str">
        <v/>
      </c>
      <c r="BQ34" s="34" t="str">
        <v>3х1,5</v>
      </c>
      <c r="BR34" s="34" t="str">
        <v/>
      </c>
      <c r="BS34" s="34" t="str">
        <v/>
      </c>
      <c r="BT34" s="34" t="str">
        <v/>
      </c>
      <c r="BU34" s="34">
        <v>0</v>
      </c>
      <c r="BV34" s="34">
        <v>54</v>
      </c>
      <c r="BW34" s="34">
        <v>1</v>
      </c>
      <c r="BX34" s="34">
        <v>0</v>
      </c>
      <c r="BY34" s="34" t="str">
        <v>Привод (двигатель)</v>
      </c>
      <c r="BZ34">
        <v>4</v>
      </c>
      <c r="CA34" t="str">
        <v>линии</v>
      </c>
    </row>
    <row r="35" spans="1:79" x14ac:dyDescent="0.3">
      <c r="A35" s="39" t="str">
        <v>ЩОВ-001</v>
      </c>
      <c r="B35" s="42">
        <v>23</v>
      </c>
      <c r="C35" s="42">
        <v>2</v>
      </c>
      <c r="D35" s="75" t="str">
        <v/>
      </c>
      <c r="E35" s="75" t="str">
        <v>авто</v>
      </c>
      <c r="F35" s="76" t="str">
        <v/>
      </c>
      <c r="G35" s="47" t="str">
        <v>QF4</v>
      </c>
      <c r="H35" s="47" t="str">
        <v>1P С10А</v>
      </c>
      <c r="I35" s="75" t="str">
        <v/>
      </c>
      <c r="J35" s="76" t="str">
        <v/>
      </c>
      <c r="K35" s="76" t="str">
        <v/>
      </c>
      <c r="L35" s="75" t="str">
        <v/>
      </c>
      <c r="M35" s="49" t="str">
        <v/>
      </c>
      <c r="N35" s="76" t="str">
        <v/>
      </c>
      <c r="O35" s="49" t="str">
        <v/>
      </c>
      <c r="P35" s="77" t="str">
        <v/>
      </c>
      <c r="Q35" s="53" t="str">
        <v>ВВГнг(А)-LS (3х1,5) L=15-0,09%</v>
      </c>
      <c r="R35" s="54" t="str">
        <v>В.12</v>
      </c>
      <c r="S35" s="55" t="str">
        <v>Вытяжная установка Подвальный этаж Пом №006T</v>
      </c>
      <c r="T35" s="56">
        <v>0.1</v>
      </c>
      <c r="U35" s="56">
        <v>0.55000000000000004</v>
      </c>
      <c r="V35" s="42" t="str">
        <v>L3</v>
      </c>
      <c r="W35" s="57" t="str">
        <v>ok</v>
      </c>
      <c r="X35" s="58" t="str">
        <v/>
      </c>
      <c r="Y35" s="75" t="str">
        <v/>
      </c>
      <c r="Z35" s="59">
        <v>0.5412658773652741</v>
      </c>
      <c r="AA35" s="61">
        <v>6</v>
      </c>
      <c r="AB35" s="61">
        <v>16</v>
      </c>
      <c r="AC35" s="61" t="str">
        <v/>
      </c>
      <c r="AD35" s="62" t="str">
        <v>QF4</v>
      </c>
      <c r="AE35" s="62" t="str">
        <v/>
      </c>
      <c r="AF35" s="34">
        <v>4</v>
      </c>
      <c r="AG35" s="34" t="str">
        <v>QF4</v>
      </c>
      <c r="AH35" s="34" t="str">
        <v/>
      </c>
      <c r="AI35" s="34" t="str">
        <v/>
      </c>
      <c r="AJ35" s="34" t="str">
        <v>QF4</v>
      </c>
      <c r="AK35" s="34">
        <v>1</v>
      </c>
      <c r="AL35" s="34" t="str">
        <v>В</v>
      </c>
      <c r="AM35" s="34">
        <v>0</v>
      </c>
      <c r="AN35" s="34">
        <v>0</v>
      </c>
      <c r="AO35" s="34">
        <v>6</v>
      </c>
      <c r="AP35" s="34">
        <v>16</v>
      </c>
      <c r="AQ35" s="34">
        <v>10</v>
      </c>
      <c r="AR35" s="34">
        <v>1</v>
      </c>
      <c r="AS35" s="34">
        <v>0</v>
      </c>
      <c r="AT35" s="34" t="str">
        <v>1P</v>
      </c>
      <c r="AU35" s="34">
        <v>10</v>
      </c>
      <c r="AV35" s="34" t="str">
        <v/>
      </c>
      <c r="AW35" s="34" t="str">
        <v/>
      </c>
      <c r="AX35" s="34" t="str">
        <v/>
      </c>
      <c r="AY35" s="34">
        <v>1</v>
      </c>
      <c r="AZ35" s="34" t="str">
        <v/>
      </c>
      <c r="BA35" s="34">
        <v>0</v>
      </c>
      <c r="BB35" s="34">
        <v>0</v>
      </c>
      <c r="BD35" s="34">
        <v>1</v>
      </c>
      <c r="BE35" s="34">
        <v>0</v>
      </c>
      <c r="BF35" s="34">
        <v>0</v>
      </c>
      <c r="BG35" s="34" t="str">
        <v/>
      </c>
      <c r="BH35" s="34" t="str">
        <v/>
      </c>
      <c r="BI35" s="34" t="str">
        <v/>
      </c>
      <c r="BJ35" s="34" t="str">
        <v/>
      </c>
      <c r="BK35" s="34" t="str">
        <v>MOTOR</v>
      </c>
      <c r="BL35" s="34">
        <v>1</v>
      </c>
      <c r="BM35" s="34" t="str">
        <v/>
      </c>
      <c r="BN35" s="34" t="str">
        <v/>
      </c>
      <c r="BO35" s="34" t="str">
        <v/>
      </c>
      <c r="BP35" s="34" t="str">
        <v/>
      </c>
      <c r="BQ35" s="34" t="str">
        <v>3х1,5</v>
      </c>
      <c r="BR35" s="34" t="str">
        <v/>
      </c>
      <c r="BS35" s="34" t="str">
        <v/>
      </c>
      <c r="BT35" s="34" t="str">
        <v/>
      </c>
      <c r="BU35" s="34">
        <v>0</v>
      </c>
      <c r="BV35" s="34">
        <v>55</v>
      </c>
      <c r="BW35" s="34">
        <v>1</v>
      </c>
      <c r="BX35" s="34">
        <v>0</v>
      </c>
      <c r="BY35" s="34" t="str">
        <v>Привод (двигатель)</v>
      </c>
      <c r="BZ35">
        <v>4</v>
      </c>
      <c r="CA35" t="str">
        <v>линии</v>
      </c>
    </row>
    <row r="36" spans="1:79" x14ac:dyDescent="0.3">
      <c r="A36" s="39" t="str">
        <v>ЩОВ-001</v>
      </c>
      <c r="B36" s="42">
        <v>24</v>
      </c>
      <c r="C36" s="42">
        <v>2</v>
      </c>
      <c r="D36" s="75" t="str">
        <v/>
      </c>
      <c r="E36" s="75" t="str">
        <v>авто</v>
      </c>
      <c r="F36" s="76" t="str">
        <v/>
      </c>
      <c r="G36" s="47" t="str">
        <v>QF5</v>
      </c>
      <c r="H36" s="47" t="str">
        <v>1P С10А</v>
      </c>
      <c r="I36" s="75" t="str">
        <v/>
      </c>
      <c r="J36" s="76" t="str">
        <v/>
      </c>
      <c r="K36" s="76" t="str">
        <v/>
      </c>
      <c r="L36" s="75" t="str">
        <v/>
      </c>
      <c r="M36" s="49" t="str">
        <v/>
      </c>
      <c r="N36" s="76" t="str">
        <v/>
      </c>
      <c r="O36" s="49" t="str">
        <v/>
      </c>
      <c r="P36" s="77" t="str">
        <v>XT5</v>
      </c>
      <c r="Q36" s="53" t="str">
        <v>ВВГнг(А)-LS (3х1,5) L=16-0,1%</v>
      </c>
      <c r="R36" s="54" t="str">
        <v>В.13</v>
      </c>
      <c r="S36" s="55" t="str">
        <v>Вытяжная установка Подвальный этаж Пом №006T</v>
      </c>
      <c r="T36" s="56">
        <v>0.1</v>
      </c>
      <c r="U36" s="56">
        <v>0.55000000000000004</v>
      </c>
      <c r="V36" s="42" t="str">
        <v>L2</v>
      </c>
      <c r="W36" s="57" t="str">
        <v>ok</v>
      </c>
      <c r="X36" s="58" t="str">
        <v/>
      </c>
      <c r="Y36" s="75" t="str">
        <v/>
      </c>
      <c r="Z36" s="59">
        <v>0.5412658773652741</v>
      </c>
      <c r="AA36" s="61">
        <v>6</v>
      </c>
      <c r="AB36" s="61">
        <v>16</v>
      </c>
      <c r="AC36" s="61" t="str">
        <v/>
      </c>
      <c r="AD36" s="62" t="str">
        <v>QF5 → XT5</v>
      </c>
      <c r="AE36" s="62" t="str">
        <v/>
      </c>
      <c r="AF36" s="34">
        <v>5</v>
      </c>
      <c r="AG36" s="34" t="str">
        <v>QF5</v>
      </c>
      <c r="AH36" s="34" t="str">
        <v/>
      </c>
      <c r="AI36" s="34" t="str">
        <v/>
      </c>
      <c r="AJ36" s="34" t="str">
        <v>QF5</v>
      </c>
      <c r="AK36" s="34">
        <v>1</v>
      </c>
      <c r="AL36" s="34" t="str">
        <v>В</v>
      </c>
      <c r="AM36" s="34">
        <v>0</v>
      </c>
      <c r="AN36" s="34">
        <v>0</v>
      </c>
      <c r="AO36" s="34">
        <v>6</v>
      </c>
      <c r="AP36" s="34">
        <v>16</v>
      </c>
      <c r="AQ36" s="34">
        <v>10</v>
      </c>
      <c r="AR36" s="34">
        <v>1</v>
      </c>
      <c r="AS36" s="34">
        <v>0</v>
      </c>
      <c r="AT36" s="34" t="str">
        <v>1P</v>
      </c>
      <c r="AU36" s="34">
        <v>10</v>
      </c>
      <c r="AV36" s="34" t="str">
        <v/>
      </c>
      <c r="AW36" s="34" t="str">
        <v/>
      </c>
      <c r="AX36" s="34" t="str">
        <v/>
      </c>
      <c r="AY36" s="34">
        <v>1</v>
      </c>
      <c r="AZ36" s="34" t="str">
        <v/>
      </c>
      <c r="BA36" s="34">
        <v>0</v>
      </c>
      <c r="BB36" s="34">
        <v>0</v>
      </c>
      <c r="BD36" s="34">
        <v>1</v>
      </c>
      <c r="BE36" s="34">
        <v>0</v>
      </c>
      <c r="BF36" s="34">
        <v>0</v>
      </c>
      <c r="BG36" s="34" t="str">
        <v/>
      </c>
      <c r="BH36" s="34" t="str">
        <v/>
      </c>
      <c r="BI36" s="34" t="str">
        <v/>
      </c>
      <c r="BJ36" s="34" t="str">
        <v/>
      </c>
      <c r="BK36" s="34" t="str">
        <v>MOTOR</v>
      </c>
      <c r="BL36" s="34">
        <v>1</v>
      </c>
      <c r="BM36" s="34" t="str">
        <v/>
      </c>
      <c r="BN36" s="34" t="str">
        <v/>
      </c>
      <c r="BO36" s="34" t="str">
        <v/>
      </c>
      <c r="BP36" s="34" t="str">
        <v/>
      </c>
      <c r="BQ36" s="34" t="str">
        <v>3х1,5</v>
      </c>
      <c r="BR36" s="34" t="str">
        <v/>
      </c>
      <c r="BS36" s="34" t="str">
        <v/>
      </c>
      <c r="BT36" s="34" t="str">
        <v/>
      </c>
      <c r="BU36" s="34">
        <v>0</v>
      </c>
      <c r="BV36" s="34">
        <v>56</v>
      </c>
      <c r="BW36" s="34">
        <v>1</v>
      </c>
      <c r="BX36" s="34">
        <v>0</v>
      </c>
      <c r="BY36" s="34" t="str">
        <v>Привод (двигатель)</v>
      </c>
      <c r="BZ36">
        <v>4</v>
      </c>
      <c r="CA36" t="str">
        <v>линии</v>
      </c>
    </row>
    <row r="37" spans="1:79" x14ac:dyDescent="0.3">
      <c r="A37" s="39" t="str">
        <v>ЩОВ-001</v>
      </c>
      <c r="B37" s="42">
        <v>25</v>
      </c>
      <c r="C37" s="42">
        <v>2</v>
      </c>
      <c r="D37" s="75" t="str">
        <v/>
      </c>
      <c r="E37" s="75" t="str">
        <v>авто</v>
      </c>
      <c r="F37" s="76" t="str">
        <v/>
      </c>
      <c r="G37" s="47" t="str">
        <v>QF6</v>
      </c>
      <c r="H37" s="47" t="str">
        <v>1P С10А</v>
      </c>
      <c r="I37" s="75" t="str">
        <v/>
      </c>
      <c r="J37" s="76" t="str">
        <v/>
      </c>
      <c r="K37" s="76" t="str">
        <v/>
      </c>
      <c r="L37" s="75" t="str">
        <v/>
      </c>
      <c r="M37" s="49" t="str">
        <v/>
      </c>
      <c r="N37" s="76" t="str">
        <v/>
      </c>
      <c r="O37" s="49" t="str">
        <v/>
      </c>
      <c r="P37" s="77" t="str">
        <v/>
      </c>
      <c r="Q37" s="53" t="str">
        <v>ВВГнг(А)-LS (3х1,5) L=20-0,12%</v>
      </c>
      <c r="R37" s="54" t="str">
        <v>В.17</v>
      </c>
      <c r="S37" s="55" t="str">
        <v>Вытяжная установка Подвальный этаж Пом №006T</v>
      </c>
      <c r="T37" s="56">
        <v>0.1</v>
      </c>
      <c r="U37" s="56">
        <v>0.55000000000000004</v>
      </c>
      <c r="V37" s="42" t="str">
        <v>L1</v>
      </c>
      <c r="W37" s="57" t="str">
        <v>ok</v>
      </c>
      <c r="X37" s="58" t="str">
        <v/>
      </c>
      <c r="Y37" s="75" t="str">
        <v/>
      </c>
      <c r="Z37" s="59">
        <v>0.5412658773652741</v>
      </c>
      <c r="AA37" s="61">
        <v>6</v>
      </c>
      <c r="AB37" s="61">
        <v>16</v>
      </c>
      <c r="AC37" s="61" t="str">
        <v/>
      </c>
      <c r="AD37" s="62" t="str">
        <v>QF6</v>
      </c>
      <c r="AE37" s="62" t="str">
        <v/>
      </c>
      <c r="AF37" s="34">
        <v>6</v>
      </c>
      <c r="AG37" s="34" t="str">
        <v>QF6</v>
      </c>
      <c r="AH37" s="34" t="str">
        <v/>
      </c>
      <c r="AI37" s="34" t="str">
        <v/>
      </c>
      <c r="AJ37" s="34" t="str">
        <v>QF6</v>
      </c>
      <c r="AK37" s="34">
        <v>1</v>
      </c>
      <c r="AL37" s="34" t="str">
        <v>В</v>
      </c>
      <c r="AM37" s="34">
        <v>0</v>
      </c>
      <c r="AN37" s="34">
        <v>0</v>
      </c>
      <c r="AO37" s="34">
        <v>6</v>
      </c>
      <c r="AP37" s="34">
        <v>16</v>
      </c>
      <c r="AQ37" s="34">
        <v>10</v>
      </c>
      <c r="AR37" s="34">
        <v>1</v>
      </c>
      <c r="AS37" s="34">
        <v>0</v>
      </c>
      <c r="AT37" s="34" t="str">
        <v>1P</v>
      </c>
      <c r="AU37" s="34">
        <v>10</v>
      </c>
      <c r="AV37" s="34" t="str">
        <v/>
      </c>
      <c r="AW37" s="34" t="str">
        <v/>
      </c>
      <c r="AX37" s="34" t="str">
        <v/>
      </c>
      <c r="AY37" s="34">
        <v>1</v>
      </c>
      <c r="AZ37" s="34" t="str">
        <v/>
      </c>
      <c r="BA37" s="34">
        <v>0</v>
      </c>
      <c r="BB37" s="34">
        <v>0</v>
      </c>
      <c r="BD37" s="34">
        <v>1</v>
      </c>
      <c r="BE37" s="34">
        <v>0</v>
      </c>
      <c r="BF37" s="34">
        <v>0</v>
      </c>
      <c r="BG37" s="34" t="str">
        <v/>
      </c>
      <c r="BH37" s="34" t="str">
        <v/>
      </c>
      <c r="BI37" s="34" t="str">
        <v/>
      </c>
      <c r="BJ37" s="34" t="str">
        <v/>
      </c>
      <c r="BK37" s="34" t="str">
        <v>MOTOR</v>
      </c>
      <c r="BL37" s="34">
        <v>1</v>
      </c>
      <c r="BM37" s="34" t="str">
        <v/>
      </c>
      <c r="BN37" s="34" t="str">
        <v/>
      </c>
      <c r="BO37" s="34" t="str">
        <v/>
      </c>
      <c r="BP37" s="34" t="str">
        <v/>
      </c>
      <c r="BQ37" s="34" t="str">
        <v>3х1,5</v>
      </c>
      <c r="BR37" s="34" t="str">
        <v/>
      </c>
      <c r="BS37" s="34" t="str">
        <v/>
      </c>
      <c r="BT37" s="34" t="str">
        <v/>
      </c>
      <c r="BU37" s="34">
        <v>0</v>
      </c>
      <c r="BV37" s="34">
        <v>57</v>
      </c>
      <c r="BW37" s="34">
        <v>1</v>
      </c>
      <c r="BX37" s="34">
        <v>0</v>
      </c>
      <c r="BY37" s="34" t="str">
        <v>Привод (двигатель)</v>
      </c>
      <c r="BZ37">
        <v>4</v>
      </c>
      <c r="CA37" t="str">
        <v>линии</v>
      </c>
    </row>
    <row r="38" spans="1:79" x14ac:dyDescent="0.3">
      <c r="A38" s="39" t="str">
        <v>ЩОВ-001</v>
      </c>
      <c r="B38" s="42">
        <v>26</v>
      </c>
      <c r="C38" s="42">
        <v>2</v>
      </c>
      <c r="D38" s="75" t="str">
        <v/>
      </c>
      <c r="E38" s="75" t="str">
        <v>авто</v>
      </c>
      <c r="F38" s="76" t="str">
        <v/>
      </c>
      <c r="G38" s="47" t="str">
        <v>QF7</v>
      </c>
      <c r="H38" s="47" t="str">
        <v>1P С10А</v>
      </c>
      <c r="I38" s="75" t="str">
        <v/>
      </c>
      <c r="J38" s="76" t="str">
        <v/>
      </c>
      <c r="K38" s="76" t="str">
        <v/>
      </c>
      <c r="L38" s="75" t="str">
        <v/>
      </c>
      <c r="M38" s="49" t="str">
        <v/>
      </c>
      <c r="N38" s="76" t="str">
        <v/>
      </c>
      <c r="O38" s="49" t="str">
        <v/>
      </c>
      <c r="P38" s="77" t="str">
        <v/>
      </c>
      <c r="Q38" s="53" t="str">
        <v>ВВГнг(А)-LS (3х1,5) L=23-0,14%</v>
      </c>
      <c r="R38" s="54" t="str">
        <v>В.18</v>
      </c>
      <c r="S38" s="55" t="str">
        <v>Вытяжная установка Подвальный этаж Пом №006T</v>
      </c>
      <c r="T38" s="56">
        <v>0.1</v>
      </c>
      <c r="U38" s="56">
        <v>0.55000000000000004</v>
      </c>
      <c r="V38" s="42" t="str">
        <v>L3</v>
      </c>
      <c r="W38" s="57" t="str">
        <v>ok</v>
      </c>
      <c r="X38" s="58" t="str">
        <v/>
      </c>
      <c r="Y38" s="75" t="str">
        <v/>
      </c>
      <c r="Z38" s="59">
        <v>0.5412658773652741</v>
      </c>
      <c r="AA38" s="61">
        <v>6</v>
      </c>
      <c r="AB38" s="61">
        <v>16</v>
      </c>
      <c r="AC38" s="61" t="str">
        <v/>
      </c>
      <c r="AD38" s="62" t="str">
        <v>QF7</v>
      </c>
      <c r="AE38" s="62" t="str">
        <v/>
      </c>
      <c r="AF38" s="34">
        <v>7</v>
      </c>
      <c r="AG38" s="34" t="str">
        <v>QF7</v>
      </c>
      <c r="AH38" s="34" t="str">
        <v/>
      </c>
      <c r="AI38" s="34" t="str">
        <v/>
      </c>
      <c r="AJ38" s="34" t="str">
        <v>QF7</v>
      </c>
      <c r="AK38" s="34">
        <v>1</v>
      </c>
      <c r="AL38" s="34" t="str">
        <v>В</v>
      </c>
      <c r="AM38" s="34">
        <v>0</v>
      </c>
      <c r="AN38" s="34">
        <v>0</v>
      </c>
      <c r="AO38" s="34">
        <v>6</v>
      </c>
      <c r="AP38" s="34">
        <v>16</v>
      </c>
      <c r="AQ38" s="34">
        <v>10</v>
      </c>
      <c r="AR38" s="34">
        <v>1</v>
      </c>
      <c r="AS38" s="34">
        <v>0</v>
      </c>
      <c r="AT38" s="34" t="str">
        <v>1P</v>
      </c>
      <c r="AU38" s="34">
        <v>10</v>
      </c>
      <c r="AV38" s="34" t="str">
        <v/>
      </c>
      <c r="AW38" s="34" t="str">
        <v/>
      </c>
      <c r="AX38" s="34" t="str">
        <v/>
      </c>
      <c r="AY38" s="34">
        <v>1</v>
      </c>
      <c r="AZ38" s="34" t="str">
        <v/>
      </c>
      <c r="BA38" s="34">
        <v>0</v>
      </c>
      <c r="BB38" s="34">
        <v>0</v>
      </c>
      <c r="BD38" s="34">
        <v>1</v>
      </c>
      <c r="BE38" s="34">
        <v>0</v>
      </c>
      <c r="BF38" s="34">
        <v>0</v>
      </c>
      <c r="BG38" s="34" t="str">
        <v/>
      </c>
      <c r="BH38" s="34" t="str">
        <v/>
      </c>
      <c r="BI38" s="34" t="str">
        <v/>
      </c>
      <c r="BJ38" s="34" t="str">
        <v/>
      </c>
      <c r="BK38" s="34" t="str">
        <v>MOTOR</v>
      </c>
      <c r="BL38" s="34">
        <v>1</v>
      </c>
      <c r="BM38" s="34" t="str">
        <v/>
      </c>
      <c r="BN38" s="34" t="str">
        <v/>
      </c>
      <c r="BO38" s="34" t="str">
        <v/>
      </c>
      <c r="BP38" s="34" t="str">
        <v/>
      </c>
      <c r="BQ38" s="34" t="str">
        <v>3х1,5</v>
      </c>
      <c r="BR38" s="34" t="str">
        <v/>
      </c>
      <c r="BS38" s="34" t="str">
        <v/>
      </c>
      <c r="BT38" s="34" t="str">
        <v/>
      </c>
      <c r="BU38" s="34">
        <v>0</v>
      </c>
      <c r="BV38" s="34">
        <v>58</v>
      </c>
      <c r="BW38" s="34">
        <v>1</v>
      </c>
      <c r="BX38" s="34">
        <v>0</v>
      </c>
      <c r="BY38" s="34" t="str">
        <v>Привод (двигатель)</v>
      </c>
      <c r="BZ38">
        <v>4</v>
      </c>
      <c r="CA38" t="str">
        <v>линии</v>
      </c>
    </row>
    <row r="39" spans="1:79" x14ac:dyDescent="0.3">
      <c r="A39" s="39" t="str">
        <v>ЩОВ-001</v>
      </c>
      <c r="B39" s="42">
        <v>27</v>
      </c>
      <c r="C39" s="42">
        <v>2</v>
      </c>
      <c r="D39" s="75" t="str">
        <v/>
      </c>
      <c r="E39" s="75" t="str">
        <v>авто</v>
      </c>
      <c r="F39" s="76" t="str">
        <v/>
      </c>
      <c r="G39" s="47" t="str">
        <v>QF8</v>
      </c>
      <c r="H39" s="47" t="str">
        <v>1P С10А</v>
      </c>
      <c r="I39" s="75" t="str">
        <v/>
      </c>
      <c r="J39" s="76" t="str">
        <v/>
      </c>
      <c r="K39" s="76" t="str">
        <v/>
      </c>
      <c r="L39" s="75" t="str">
        <v/>
      </c>
      <c r="M39" s="49" t="str">
        <v/>
      </c>
      <c r="N39" s="76" t="str">
        <v/>
      </c>
      <c r="O39" s="49" t="str">
        <v/>
      </c>
      <c r="P39" s="77" t="str">
        <v/>
      </c>
      <c r="Q39" s="53" t="str">
        <v>ВВГнг(А)-LS (3х1,5) L=15-0,23%</v>
      </c>
      <c r="R39" s="54" t="str">
        <v>П.1</v>
      </c>
      <c r="S39" s="55" t="str">
        <v>Приточная установка Пом №006Т</v>
      </c>
      <c r="T39" s="56">
        <v>0.27</v>
      </c>
      <c r="U39" s="56">
        <v>1.47</v>
      </c>
      <c r="V39" s="42" t="str">
        <v>L3</v>
      </c>
      <c r="W39" s="57" t="str">
        <v>ok</v>
      </c>
      <c r="X39" s="58" t="str">
        <v/>
      </c>
      <c r="Y39" s="75" t="str">
        <v/>
      </c>
      <c r="Z39" s="59">
        <v>1.46141786888624</v>
      </c>
      <c r="AA39" s="61">
        <v>6</v>
      </c>
      <c r="AB39" s="61">
        <v>16</v>
      </c>
      <c r="AC39" s="61" t="str">
        <v/>
      </c>
      <c r="AD39" s="62" t="str">
        <v>QF8</v>
      </c>
      <c r="AE39" s="62" t="str">
        <v/>
      </c>
      <c r="AF39" s="34">
        <v>8</v>
      </c>
      <c r="AG39" s="34" t="str">
        <v>QF8</v>
      </c>
      <c r="AH39" s="34" t="str">
        <v/>
      </c>
      <c r="AI39" s="34" t="str">
        <v/>
      </c>
      <c r="AJ39" s="34" t="str">
        <v>QF8</v>
      </c>
      <c r="AK39" s="34">
        <v>1</v>
      </c>
      <c r="AL39" s="34" t="str">
        <v>П</v>
      </c>
      <c r="AM39" s="34">
        <v>0</v>
      </c>
      <c r="AN39" s="34">
        <v>0</v>
      </c>
      <c r="AO39" s="34">
        <v>6</v>
      </c>
      <c r="AP39" s="34">
        <v>16</v>
      </c>
      <c r="AQ39" s="34">
        <v>10</v>
      </c>
      <c r="AR39" s="34">
        <v>1</v>
      </c>
      <c r="AS39" s="34">
        <v>0</v>
      </c>
      <c r="AT39" s="34" t="str">
        <v>1P</v>
      </c>
      <c r="AU39" s="34">
        <v>10</v>
      </c>
      <c r="AV39" s="34" t="str">
        <v/>
      </c>
      <c r="AW39" s="34" t="str">
        <v/>
      </c>
      <c r="AX39" s="34" t="str">
        <v/>
      </c>
      <c r="AY39" s="34">
        <v>1</v>
      </c>
      <c r="AZ39" s="34" t="str">
        <v/>
      </c>
      <c r="BA39" s="34">
        <v>0</v>
      </c>
      <c r="BB39" s="34">
        <v>0</v>
      </c>
      <c r="BD39" s="34">
        <v>1</v>
      </c>
      <c r="BE39" s="34">
        <v>0</v>
      </c>
      <c r="BF39" s="34">
        <v>0</v>
      </c>
      <c r="BG39" s="34" t="str">
        <v/>
      </c>
      <c r="BH39" s="34" t="str">
        <v/>
      </c>
      <c r="BI39" s="34" t="str">
        <v/>
      </c>
      <c r="BJ39" s="34" t="str">
        <v/>
      </c>
      <c r="BK39" s="34" t="str">
        <v>MOTOR</v>
      </c>
      <c r="BL39" s="34">
        <v>1</v>
      </c>
      <c r="BM39" s="34" t="str">
        <v/>
      </c>
      <c r="BN39" s="34" t="str">
        <v/>
      </c>
      <c r="BO39" s="34" t="str">
        <v/>
      </c>
      <c r="BP39" s="34" t="str">
        <v/>
      </c>
      <c r="BQ39" s="34" t="str">
        <v>3х1,5</v>
      </c>
      <c r="BR39" s="34" t="str">
        <v/>
      </c>
      <c r="BS39" s="34" t="str">
        <v/>
      </c>
      <c r="BT39" s="34" t="str">
        <v/>
      </c>
      <c r="BU39" s="34">
        <v>0</v>
      </c>
      <c r="BV39" s="34">
        <v>59</v>
      </c>
      <c r="BW39" s="34">
        <v>1</v>
      </c>
      <c r="BX39" s="34">
        <v>0</v>
      </c>
      <c r="BY39" s="34" t="str">
        <v>Привод (двигатель)</v>
      </c>
      <c r="BZ39">
        <v>4</v>
      </c>
      <c r="CA39" t="str">
        <v>линии</v>
      </c>
    </row>
    <row r="40" spans="1:79" x14ac:dyDescent="0.3">
      <c r="A40" s="39" t="str">
        <v>ЩОВ-001</v>
      </c>
      <c r="B40" s="42">
        <v>28</v>
      </c>
      <c r="C40" s="42">
        <v>2</v>
      </c>
      <c r="D40" s="75" t="str">
        <v/>
      </c>
      <c r="E40" s="75" t="str">
        <v>авто</v>
      </c>
      <c r="F40" s="76" t="str">
        <v/>
      </c>
      <c r="G40" s="47" t="str">
        <v>QF9</v>
      </c>
      <c r="H40" s="47" t="str">
        <v>1P С10А</v>
      </c>
      <c r="I40" s="75" t="str">
        <v/>
      </c>
      <c r="J40" s="76" t="str">
        <v/>
      </c>
      <c r="K40" s="76" t="str">
        <v/>
      </c>
      <c r="L40" s="75" t="str">
        <v/>
      </c>
      <c r="M40" s="49" t="str">
        <v/>
      </c>
      <c r="N40" s="76" t="str">
        <v/>
      </c>
      <c r="O40" s="49" t="str">
        <v/>
      </c>
      <c r="P40" s="77" t="str">
        <v/>
      </c>
      <c r="Q40" s="53" t="str">
        <v>ВВГнг(А)-LS (3х1,5) L=26-0,18%</v>
      </c>
      <c r="R40" s="54" t="str">
        <v>П.2</v>
      </c>
      <c r="S40" s="55" t="str">
        <v>Приточная установка Пом №006Т</v>
      </c>
      <c r="T40" s="56">
        <v>0.12</v>
      </c>
      <c r="U40" s="56">
        <v>0.65</v>
      </c>
      <c r="V40" s="42" t="str">
        <v>L2</v>
      </c>
      <c r="W40" s="57" t="str">
        <v>ok</v>
      </c>
      <c r="X40" s="58" t="str">
        <v/>
      </c>
      <c r="Y40" s="75" t="str">
        <v/>
      </c>
      <c r="Z40" s="59">
        <v>0.64951905283832878</v>
      </c>
      <c r="AA40" s="61">
        <v>6</v>
      </c>
      <c r="AB40" s="61">
        <v>16</v>
      </c>
      <c r="AC40" s="61" t="str">
        <v/>
      </c>
      <c r="AD40" s="62" t="str">
        <v>QF9</v>
      </c>
      <c r="AE40" s="62" t="str">
        <v/>
      </c>
      <c r="AF40" s="34">
        <v>9</v>
      </c>
      <c r="AG40" s="34" t="str">
        <v>QF9</v>
      </c>
      <c r="AH40" s="34" t="str">
        <v/>
      </c>
      <c r="AI40" s="34" t="str">
        <v/>
      </c>
      <c r="AJ40" s="34" t="str">
        <v>QF9</v>
      </c>
      <c r="AK40" s="34">
        <v>1</v>
      </c>
      <c r="AL40" s="34" t="str">
        <v>П</v>
      </c>
      <c r="AM40" s="34">
        <v>0</v>
      </c>
      <c r="AN40" s="34">
        <v>0</v>
      </c>
      <c r="AO40" s="34">
        <v>6</v>
      </c>
      <c r="AP40" s="34">
        <v>16</v>
      </c>
      <c r="AQ40" s="34">
        <v>10</v>
      </c>
      <c r="AR40" s="34">
        <v>1</v>
      </c>
      <c r="AS40" s="34">
        <v>0</v>
      </c>
      <c r="AT40" s="34" t="str">
        <v>1P</v>
      </c>
      <c r="AU40" s="34">
        <v>10</v>
      </c>
      <c r="AV40" s="34" t="str">
        <v/>
      </c>
      <c r="AW40" s="34" t="str">
        <v/>
      </c>
      <c r="AX40" s="34" t="str">
        <v/>
      </c>
      <c r="AY40" s="34">
        <v>1</v>
      </c>
      <c r="AZ40" s="34" t="str">
        <v/>
      </c>
      <c r="BA40" s="34">
        <v>0</v>
      </c>
      <c r="BB40" s="34">
        <v>0</v>
      </c>
      <c r="BD40" s="34">
        <v>1</v>
      </c>
      <c r="BE40" s="34">
        <v>0</v>
      </c>
      <c r="BF40" s="34">
        <v>0</v>
      </c>
      <c r="BG40" s="34" t="str">
        <v/>
      </c>
      <c r="BH40" s="34" t="str">
        <v/>
      </c>
      <c r="BI40" s="34" t="str">
        <v/>
      </c>
      <c r="BJ40" s="34" t="str">
        <v/>
      </c>
      <c r="BK40" s="34" t="str">
        <v>MOTOR</v>
      </c>
      <c r="BL40" s="34">
        <v>1</v>
      </c>
      <c r="BM40" s="34" t="str">
        <v/>
      </c>
      <c r="BN40" s="34" t="str">
        <v/>
      </c>
      <c r="BO40" s="34" t="str">
        <v/>
      </c>
      <c r="BP40" s="34" t="str">
        <v/>
      </c>
      <c r="BQ40" s="34" t="str">
        <v>3х1,5</v>
      </c>
      <c r="BR40" s="34" t="str">
        <v/>
      </c>
      <c r="BS40" s="34" t="str">
        <v/>
      </c>
      <c r="BT40" s="34" t="str">
        <v/>
      </c>
      <c r="BU40" s="34">
        <v>0</v>
      </c>
      <c r="BV40" s="34">
        <v>60</v>
      </c>
      <c r="BW40" s="34">
        <v>1</v>
      </c>
      <c r="BX40" s="34">
        <v>0</v>
      </c>
      <c r="BY40" s="34" t="str">
        <v>Привод (двигатель)</v>
      </c>
      <c r="BZ40">
        <v>4</v>
      </c>
      <c r="CA40" t="str">
        <v>линии</v>
      </c>
    </row>
    <row r="41" spans="1:79" x14ac:dyDescent="0.3">
      <c r="A41" s="39" t="str">
        <v>ЩОВ-001</v>
      </c>
      <c r="B41" s="42">
        <v>29</v>
      </c>
      <c r="C41" s="42">
        <v>2</v>
      </c>
      <c r="D41" s="75" t="str">
        <v/>
      </c>
      <c r="E41" s="75" t="str">
        <v>авто</v>
      </c>
      <c r="F41" s="76" t="str">
        <v/>
      </c>
      <c r="G41" s="47" t="str">
        <v>QF10</v>
      </c>
      <c r="H41" s="47" t="str">
        <v>1P С10А</v>
      </c>
      <c r="I41" s="75" t="str">
        <v/>
      </c>
      <c r="J41" s="76" t="str">
        <v/>
      </c>
      <c r="K41" s="76" t="str">
        <v/>
      </c>
      <c r="L41" s="75" t="str">
        <v/>
      </c>
      <c r="M41" s="49" t="str">
        <v/>
      </c>
      <c r="N41" s="76" t="str">
        <v/>
      </c>
      <c r="O41" s="49" t="str">
        <v/>
      </c>
      <c r="P41" s="77" t="str">
        <v/>
      </c>
      <c r="Q41" s="53" t="str">
        <v>ВВГнг(А)-LS (3х1,5) L=23-1,31%</v>
      </c>
      <c r="R41" s="54" t="str">
        <v>П.4</v>
      </c>
      <c r="S41" s="55" t="str">
        <v>Приточная установка Пом №006Т</v>
      </c>
      <c r="T41" s="56">
        <v>1</v>
      </c>
      <c r="U41" s="56">
        <v>5.42</v>
      </c>
      <c r="V41" s="42" t="str">
        <v>L3</v>
      </c>
      <c r="W41" s="57" t="str">
        <v>ok</v>
      </c>
      <c r="X41" s="58" t="str">
        <v/>
      </c>
      <c r="Y41" s="75" t="str">
        <v/>
      </c>
      <c r="Z41" s="59">
        <v>5.4126587736527405</v>
      </c>
      <c r="AA41" s="61">
        <v>10</v>
      </c>
      <c r="AB41" s="61">
        <v>16</v>
      </c>
      <c r="AC41" s="61" t="str">
        <v/>
      </c>
      <c r="AD41" s="62" t="str">
        <v>QF10</v>
      </c>
      <c r="AE41" s="62" t="str">
        <v/>
      </c>
      <c r="AF41" s="34">
        <v>10</v>
      </c>
      <c r="AG41" s="34" t="str">
        <v>QF10</v>
      </c>
      <c r="AH41" s="34" t="str">
        <v/>
      </c>
      <c r="AI41" s="34" t="str">
        <v/>
      </c>
      <c r="AJ41" s="34" t="str">
        <v>QF10</v>
      </c>
      <c r="AK41" s="34">
        <v>1</v>
      </c>
      <c r="AL41" s="34" t="str">
        <v>П</v>
      </c>
      <c r="AM41" s="34">
        <v>0</v>
      </c>
      <c r="AN41" s="34">
        <v>0</v>
      </c>
      <c r="AO41" s="34">
        <v>10</v>
      </c>
      <c r="AP41" s="34">
        <v>16</v>
      </c>
      <c r="AQ41" s="34">
        <v>10</v>
      </c>
      <c r="AR41" s="34">
        <v>1</v>
      </c>
      <c r="AS41" s="34">
        <v>0</v>
      </c>
      <c r="AT41" s="34" t="str">
        <v>1P</v>
      </c>
      <c r="AU41" s="34">
        <v>10</v>
      </c>
      <c r="AV41" s="34" t="str">
        <v/>
      </c>
      <c r="AW41" s="34" t="str">
        <v/>
      </c>
      <c r="AX41" s="34" t="str">
        <v/>
      </c>
      <c r="AY41" s="34">
        <v>1</v>
      </c>
      <c r="AZ41" s="34" t="str">
        <v/>
      </c>
      <c r="BA41" s="34">
        <v>0</v>
      </c>
      <c r="BB41" s="34">
        <v>0</v>
      </c>
      <c r="BD41" s="34">
        <v>1</v>
      </c>
      <c r="BE41" s="34">
        <v>0</v>
      </c>
      <c r="BF41" s="34">
        <v>0</v>
      </c>
      <c r="BG41" s="34" t="str">
        <v/>
      </c>
      <c r="BH41" s="34" t="str">
        <v/>
      </c>
      <c r="BI41" s="34" t="str">
        <v/>
      </c>
      <c r="BJ41" s="34" t="str">
        <v/>
      </c>
      <c r="BK41" s="34" t="str">
        <v>MOTOR</v>
      </c>
      <c r="BL41" s="34">
        <v>1</v>
      </c>
      <c r="BM41" s="34" t="str">
        <v/>
      </c>
      <c r="BN41" s="34" t="str">
        <v/>
      </c>
      <c r="BO41" s="34" t="str">
        <v/>
      </c>
      <c r="BP41" s="34" t="str">
        <v/>
      </c>
      <c r="BQ41" s="34" t="str">
        <v>3х1,5</v>
      </c>
      <c r="BR41" s="34" t="str">
        <v/>
      </c>
      <c r="BS41" s="34" t="str">
        <v/>
      </c>
      <c r="BT41" s="34" t="str">
        <v/>
      </c>
      <c r="BU41" s="34">
        <v>0</v>
      </c>
      <c r="BV41" s="34">
        <v>61</v>
      </c>
      <c r="BW41" s="34">
        <v>1</v>
      </c>
      <c r="BX41" s="34">
        <v>0</v>
      </c>
      <c r="BY41" s="34" t="str">
        <v>Привод (двигатель)</v>
      </c>
      <c r="BZ41">
        <v>4</v>
      </c>
      <c r="CA41" t="str">
        <v>линии</v>
      </c>
    </row>
    <row r="42" spans="1:79" x14ac:dyDescent="0.3">
      <c r="A42" s="39" t="str">
        <v>ЩОВ-001</v>
      </c>
      <c r="B42" s="42">
        <v>30</v>
      </c>
      <c r="C42" s="42">
        <v>2</v>
      </c>
      <c r="D42" s="75" t="str">
        <v/>
      </c>
      <c r="E42" s="75" t="str">
        <v>авто</v>
      </c>
      <c r="F42" s="76" t="str">
        <v/>
      </c>
      <c r="G42" s="47" t="str">
        <v>QF11</v>
      </c>
      <c r="H42" s="47" t="str">
        <v>1P С16А</v>
      </c>
      <c r="I42" s="75" t="str">
        <v/>
      </c>
      <c r="J42" s="76" t="str">
        <v/>
      </c>
      <c r="K42" s="76" t="str">
        <v/>
      </c>
      <c r="L42" s="75" t="str">
        <v/>
      </c>
      <c r="M42" s="49" t="str">
        <v/>
      </c>
      <c r="N42" s="76" t="str">
        <v/>
      </c>
      <c r="O42" s="49" t="str">
        <v/>
      </c>
      <c r="P42" s="77" t="str">
        <v/>
      </c>
      <c r="Q42" s="53" t="str">
        <v>ВВГнг(А)-LS (3х2,5) L=27-1,93%</v>
      </c>
      <c r="R42" s="54" t="str">
        <v>ПВ.2</v>
      </c>
      <c r="S42" s="55" t="str">
        <v>Приточно-вытяжная установка Подвальный этаж Пом. №006Т</v>
      </c>
      <c r="T42" s="56">
        <v>2.1</v>
      </c>
      <c r="U42" s="56">
        <v>11.37</v>
      </c>
      <c r="V42" s="42" t="str">
        <v>L1</v>
      </c>
      <c r="W42" s="57" t="str">
        <v>ok</v>
      </c>
      <c r="X42" s="58" t="str">
        <v/>
      </c>
      <c r="Y42" s="75" t="str">
        <v/>
      </c>
      <c r="Z42" s="59">
        <v>11.366583424670756</v>
      </c>
      <c r="AA42" s="61">
        <v>16</v>
      </c>
      <c r="AB42" s="61">
        <v>25</v>
      </c>
      <c r="AC42" s="61" t="str">
        <v/>
      </c>
      <c r="AD42" s="62" t="str">
        <v>QF11</v>
      </c>
      <c r="AE42" s="62" t="str">
        <v/>
      </c>
      <c r="AF42" s="34">
        <v>11</v>
      </c>
      <c r="AG42" s="34" t="str">
        <v>QF11</v>
      </c>
      <c r="AH42" s="34" t="str">
        <v/>
      </c>
      <c r="AI42" s="34" t="str">
        <v/>
      </c>
      <c r="AJ42" s="34" t="str">
        <v>QF11</v>
      </c>
      <c r="AK42" s="34">
        <v>1</v>
      </c>
      <c r="AL42" s="34" t="str">
        <v>ПВ</v>
      </c>
      <c r="AM42" s="34">
        <v>0</v>
      </c>
      <c r="AN42" s="34">
        <v>0</v>
      </c>
      <c r="AO42" s="34">
        <v>16</v>
      </c>
      <c r="AP42" s="34">
        <v>25</v>
      </c>
      <c r="AQ42" s="34">
        <v>16</v>
      </c>
      <c r="AR42" s="34">
        <v>1</v>
      </c>
      <c r="AS42" s="34">
        <v>0</v>
      </c>
      <c r="AT42" s="34" t="str">
        <v>1P</v>
      </c>
      <c r="AU42" s="34">
        <v>16</v>
      </c>
      <c r="AV42" s="34" t="str">
        <v/>
      </c>
      <c r="AW42" s="34" t="str">
        <v/>
      </c>
      <c r="AX42" s="34" t="str">
        <v/>
      </c>
      <c r="AY42" s="34">
        <v>1</v>
      </c>
      <c r="AZ42" s="34" t="str">
        <v/>
      </c>
      <c r="BA42" s="34">
        <v>0</v>
      </c>
      <c r="BB42" s="34">
        <v>0</v>
      </c>
      <c r="BD42" s="34">
        <v>1</v>
      </c>
      <c r="BE42" s="34">
        <v>0</v>
      </c>
      <c r="BF42" s="34">
        <v>0</v>
      </c>
      <c r="BG42" s="34" t="str">
        <v/>
      </c>
      <c r="BH42" s="34" t="str">
        <v/>
      </c>
      <c r="BI42" s="34" t="str">
        <v/>
      </c>
      <c r="BJ42" s="34" t="str">
        <v/>
      </c>
      <c r="BK42" s="34" t="str">
        <v>MOTOR</v>
      </c>
      <c r="BL42" s="34">
        <v>1</v>
      </c>
      <c r="BM42" s="34" t="str">
        <v/>
      </c>
      <c r="BN42" s="34" t="str">
        <v/>
      </c>
      <c r="BO42" s="34" t="str">
        <v/>
      </c>
      <c r="BP42" s="34" t="str">
        <v/>
      </c>
      <c r="BQ42" s="34" t="str">
        <v>3х2,5</v>
      </c>
      <c r="BR42" s="34" t="str">
        <v/>
      </c>
      <c r="BS42" s="34" t="str">
        <v/>
      </c>
      <c r="BT42" s="34" t="str">
        <v/>
      </c>
      <c r="BU42" s="34">
        <v>0</v>
      </c>
      <c r="BV42" s="34">
        <v>62</v>
      </c>
      <c r="BW42" s="34">
        <v>1</v>
      </c>
      <c r="BX42" s="34">
        <v>0</v>
      </c>
      <c r="BY42" s="34" t="str">
        <v>Привод (двигатель)</v>
      </c>
      <c r="BZ42">
        <v>4</v>
      </c>
      <c r="CA42" t="str">
        <v>линии</v>
      </c>
    </row>
    <row r="43" spans="1:79" x14ac:dyDescent="0.3">
      <c r="A43" s="39" t="str">
        <v>ЩОВ-001</v>
      </c>
      <c r="B43" s="42">
        <v>31</v>
      </c>
      <c r="C43" s="42">
        <v>2</v>
      </c>
      <c r="D43" s="75" t="str">
        <v/>
      </c>
      <c r="E43" s="75" t="str">
        <v>авто</v>
      </c>
      <c r="F43" s="76" t="str">
        <v/>
      </c>
      <c r="G43" s="47" t="str">
        <v>QF12</v>
      </c>
      <c r="H43" s="47" t="str">
        <v>1P С10А</v>
      </c>
      <c r="I43" s="75" t="str">
        <v/>
      </c>
      <c r="J43" s="76" t="str">
        <v/>
      </c>
      <c r="K43" s="76" t="str">
        <v/>
      </c>
      <c r="L43" s="75" t="str">
        <v/>
      </c>
      <c r="M43" s="49" t="str">
        <v/>
      </c>
      <c r="N43" s="76" t="str">
        <v/>
      </c>
      <c r="O43" s="49" t="str">
        <v/>
      </c>
      <c r="P43" s="77" t="str">
        <v/>
      </c>
      <c r="Q43" s="53" t="str">
        <v>ВВГнг(А)-LS (3х1,5) L=28-0,58%</v>
      </c>
      <c r="R43" s="54" t="str">
        <v>ПВ.3</v>
      </c>
      <c r="S43" s="55" t="str">
        <v>Приточно-вытяжная установка Подвальный этаж Пом. №006Т</v>
      </c>
      <c r="T43" s="56">
        <v>0.36</v>
      </c>
      <c r="U43" s="56">
        <v>1.95</v>
      </c>
      <c r="V43" s="42" t="str">
        <v>L1</v>
      </c>
      <c r="W43" s="57" t="str">
        <v>ok</v>
      </c>
      <c r="X43" s="58" t="str">
        <v/>
      </c>
      <c r="Y43" s="75" t="str">
        <v/>
      </c>
      <c r="Z43" s="59">
        <v>1.9485571585149866</v>
      </c>
      <c r="AA43" s="61">
        <v>6</v>
      </c>
      <c r="AB43" s="61">
        <v>16</v>
      </c>
      <c r="AC43" s="61" t="str">
        <v/>
      </c>
      <c r="AD43" s="62" t="str">
        <v>QF12</v>
      </c>
      <c r="AE43" s="62" t="str">
        <v/>
      </c>
      <c r="AF43" s="34">
        <v>12</v>
      </c>
      <c r="AG43" s="34" t="str">
        <v>QF12</v>
      </c>
      <c r="AH43" s="34" t="str">
        <v/>
      </c>
      <c r="AI43" s="34" t="str">
        <v/>
      </c>
      <c r="AJ43" s="34" t="str">
        <v>QF12</v>
      </c>
      <c r="AK43" s="34">
        <v>1</v>
      </c>
      <c r="AL43" s="34" t="str">
        <v>ПВ</v>
      </c>
      <c r="AM43" s="34">
        <v>0</v>
      </c>
      <c r="AN43" s="34">
        <v>0</v>
      </c>
      <c r="AO43" s="34">
        <v>6</v>
      </c>
      <c r="AP43" s="34">
        <v>16</v>
      </c>
      <c r="AQ43" s="34">
        <v>10</v>
      </c>
      <c r="AR43" s="34">
        <v>1</v>
      </c>
      <c r="AS43" s="34">
        <v>0</v>
      </c>
      <c r="AT43" s="34" t="str">
        <v>1P</v>
      </c>
      <c r="AU43" s="34">
        <v>10</v>
      </c>
      <c r="AV43" s="34" t="str">
        <v/>
      </c>
      <c r="AW43" s="34" t="str">
        <v/>
      </c>
      <c r="AX43" s="34" t="str">
        <v/>
      </c>
      <c r="AY43" s="34">
        <v>1</v>
      </c>
      <c r="AZ43" s="34" t="str">
        <v/>
      </c>
      <c r="BA43" s="34">
        <v>0</v>
      </c>
      <c r="BB43" s="34">
        <v>0</v>
      </c>
      <c r="BD43" s="34">
        <v>1</v>
      </c>
      <c r="BE43" s="34">
        <v>0</v>
      </c>
      <c r="BF43" s="34">
        <v>0</v>
      </c>
      <c r="BG43" s="34" t="str">
        <v/>
      </c>
      <c r="BH43" s="34" t="str">
        <v/>
      </c>
      <c r="BI43" s="34" t="str">
        <v/>
      </c>
      <c r="BJ43" s="34" t="str">
        <v/>
      </c>
      <c r="BK43" s="34" t="str">
        <v>MOTOR</v>
      </c>
      <c r="BL43" s="34">
        <v>1</v>
      </c>
      <c r="BM43" s="34" t="str">
        <v/>
      </c>
      <c r="BN43" s="34" t="str">
        <v/>
      </c>
      <c r="BO43" s="34" t="str">
        <v/>
      </c>
      <c r="BP43" s="34" t="str">
        <v/>
      </c>
      <c r="BQ43" s="34" t="str">
        <v>3х1,5</v>
      </c>
      <c r="BR43" s="34" t="str">
        <v/>
      </c>
      <c r="BS43" s="34" t="str">
        <v/>
      </c>
      <c r="BT43" s="34" t="str">
        <v/>
      </c>
      <c r="BU43" s="34">
        <v>0</v>
      </c>
      <c r="BV43" s="34">
        <v>63</v>
      </c>
      <c r="BW43" s="34">
        <v>1</v>
      </c>
      <c r="BX43" s="34">
        <v>0</v>
      </c>
      <c r="BY43" s="34" t="str">
        <v>Привод (двигатель)</v>
      </c>
      <c r="BZ43">
        <v>4</v>
      </c>
      <c r="CA43" t="str">
        <v>линии</v>
      </c>
    </row>
    <row r="44" spans="1:79" x14ac:dyDescent="0.3">
      <c r="A44" s="39" t="str">
        <v>ЩОВ-001</v>
      </c>
      <c r="B44" s="42">
        <v>32</v>
      </c>
      <c r="C44" s="42">
        <v>2</v>
      </c>
      <c r="D44" s="75" t="str">
        <v/>
      </c>
      <c r="E44" s="75" t="str">
        <v>авто</v>
      </c>
      <c r="F44" s="76" t="str">
        <v/>
      </c>
      <c r="G44" s="47" t="str">
        <v>QF13</v>
      </c>
      <c r="H44" s="47" t="str">
        <v>1P С10А</v>
      </c>
      <c r="I44" s="75" t="str">
        <v/>
      </c>
      <c r="J44" s="76" t="str">
        <v/>
      </c>
      <c r="K44" s="76" t="str">
        <v/>
      </c>
      <c r="L44" s="75" t="str">
        <v/>
      </c>
      <c r="M44" s="49" t="str">
        <v/>
      </c>
      <c r="N44" s="76" t="str">
        <v/>
      </c>
      <c r="O44" s="49" t="str">
        <v/>
      </c>
      <c r="P44" s="77" t="str">
        <v/>
      </c>
      <c r="Q44" s="53" t="str">
        <v>ВВГнг(А)-LS (3х1,5) L=27-1,68%</v>
      </c>
      <c r="R44" s="54" t="str">
        <v>ПВ.4</v>
      </c>
      <c r="S44" s="55" t="str">
        <v>Приточно-вытяжная установка Подвальный этаж Пом. №006Т</v>
      </c>
      <c r="T44" s="56">
        <v>1.1000000000000001</v>
      </c>
      <c r="U44" s="56">
        <v>5.96</v>
      </c>
      <c r="V44" s="42" t="str">
        <v>L2</v>
      </c>
      <c r="W44" s="57" t="str">
        <v>ok</v>
      </c>
      <c r="X44" s="58" t="str">
        <v/>
      </c>
      <c r="Y44" s="75" t="str">
        <v/>
      </c>
      <c r="Z44" s="59">
        <v>5.9539246510180153</v>
      </c>
      <c r="AA44" s="61">
        <v>10</v>
      </c>
      <c r="AB44" s="61">
        <v>16</v>
      </c>
      <c r="AC44" s="61" t="str">
        <v/>
      </c>
      <c r="AD44" s="62" t="str">
        <v>QF13</v>
      </c>
      <c r="AE44" s="62" t="str">
        <v/>
      </c>
      <c r="AF44" s="34">
        <v>13</v>
      </c>
      <c r="AG44" s="34" t="str">
        <v>QF13</v>
      </c>
      <c r="AH44" s="34" t="str">
        <v/>
      </c>
      <c r="AI44" s="34" t="str">
        <v/>
      </c>
      <c r="AJ44" s="34" t="str">
        <v>QF13</v>
      </c>
      <c r="AK44" s="34">
        <v>1</v>
      </c>
      <c r="AL44" s="34" t="str">
        <v>ПВ</v>
      </c>
      <c r="AM44" s="34">
        <v>0</v>
      </c>
      <c r="AN44" s="34">
        <v>0</v>
      </c>
      <c r="AO44" s="34">
        <v>10</v>
      </c>
      <c r="AP44" s="34">
        <v>16</v>
      </c>
      <c r="AQ44" s="34">
        <v>10</v>
      </c>
      <c r="AR44" s="34">
        <v>1</v>
      </c>
      <c r="AS44" s="34">
        <v>0</v>
      </c>
      <c r="AT44" s="34" t="str">
        <v>1P</v>
      </c>
      <c r="AU44" s="34">
        <v>10</v>
      </c>
      <c r="AV44" s="34" t="str">
        <v/>
      </c>
      <c r="AW44" s="34" t="str">
        <v/>
      </c>
      <c r="AX44" s="34" t="str">
        <v/>
      </c>
      <c r="AY44" s="34">
        <v>1</v>
      </c>
      <c r="AZ44" s="34" t="str">
        <v/>
      </c>
      <c r="BA44" s="34">
        <v>0</v>
      </c>
      <c r="BB44" s="34">
        <v>0</v>
      </c>
      <c r="BD44" s="34">
        <v>1</v>
      </c>
      <c r="BE44" s="34">
        <v>0</v>
      </c>
      <c r="BF44" s="34">
        <v>0</v>
      </c>
      <c r="BG44" s="34" t="str">
        <v/>
      </c>
      <c r="BH44" s="34" t="str">
        <v/>
      </c>
      <c r="BI44" s="34" t="str">
        <v/>
      </c>
      <c r="BJ44" s="34" t="str">
        <v/>
      </c>
      <c r="BK44" s="34" t="str">
        <v>MOTOR</v>
      </c>
      <c r="BL44" s="34">
        <v>1</v>
      </c>
      <c r="BM44" s="34" t="str">
        <v/>
      </c>
      <c r="BN44" s="34" t="str">
        <v/>
      </c>
      <c r="BO44" s="34" t="str">
        <v/>
      </c>
      <c r="BP44" s="34" t="str">
        <v/>
      </c>
      <c r="BQ44" s="34" t="str">
        <v>3х1,5</v>
      </c>
      <c r="BR44" s="34" t="str">
        <v/>
      </c>
      <c r="BS44" s="34" t="str">
        <v/>
      </c>
      <c r="BT44" s="34" t="str">
        <v/>
      </c>
      <c r="BU44" s="34">
        <v>0</v>
      </c>
      <c r="BV44" s="34">
        <v>64</v>
      </c>
      <c r="BW44" s="34">
        <v>1</v>
      </c>
      <c r="BX44" s="34">
        <v>0</v>
      </c>
      <c r="BY44" s="34" t="str">
        <v>Привод (двигатель)</v>
      </c>
      <c r="BZ44">
        <v>4</v>
      </c>
      <c r="CA44" t="str">
        <v>линии</v>
      </c>
    </row>
    <row r="45" spans="1:79" x14ac:dyDescent="0.3">
      <c r="A45" s="39" t="str">
        <v>ЩОВ-001</v>
      </c>
      <c r="B45" s="42">
        <v>33</v>
      </c>
      <c r="C45" s="42">
        <v>2</v>
      </c>
      <c r="D45" s="75" t="str">
        <v/>
      </c>
      <c r="E45" s="75" t="str">
        <v>авто</v>
      </c>
      <c r="F45" s="76" t="str">
        <v/>
      </c>
      <c r="G45" s="47" t="str">
        <v>QF14</v>
      </c>
      <c r="H45" s="47" t="str">
        <v>1P С10А</v>
      </c>
      <c r="I45" s="75" t="str">
        <v/>
      </c>
      <c r="J45" s="76" t="str">
        <v/>
      </c>
      <c r="K45" s="76" t="str">
        <v/>
      </c>
      <c r="L45" s="75" t="str">
        <v/>
      </c>
      <c r="M45" s="49" t="str">
        <v/>
      </c>
      <c r="N45" s="76" t="str">
        <v/>
      </c>
      <c r="O45" s="49" t="str">
        <v/>
      </c>
      <c r="P45" s="77" t="str">
        <v/>
      </c>
      <c r="Q45" s="53" t="str">
        <v>ВВГнг(А)-LS (3х1,5) L=16-0,28%</v>
      </c>
      <c r="R45" s="54" t="str">
        <v>К.1.017А.1</v>
      </c>
      <c r="S45" s="55" t="str">
        <v>Внутренний блок кондиционера Подвальный этаж Пом. №006Т</v>
      </c>
      <c r="T45" s="56">
        <v>0.3</v>
      </c>
      <c r="U45" s="56">
        <v>1.6300000000000001</v>
      </c>
      <c r="V45" s="42" t="str">
        <v>L1</v>
      </c>
      <c r="W45" s="57" t="str">
        <v>ok</v>
      </c>
      <c r="X45" s="58" t="str">
        <v/>
      </c>
      <c r="Y45" s="75" t="str">
        <v/>
      </c>
      <c r="Z45" s="59">
        <v>1.6237976320958221</v>
      </c>
      <c r="AA45" s="61">
        <v>6</v>
      </c>
      <c r="AB45" s="61">
        <v>16</v>
      </c>
      <c r="AC45" s="61" t="str">
        <v/>
      </c>
      <c r="AD45" s="62" t="str">
        <v>QF14</v>
      </c>
      <c r="AE45" s="62" t="str">
        <v/>
      </c>
      <c r="AF45" s="34">
        <v>14</v>
      </c>
      <c r="AG45" s="34" t="str">
        <v>QF14</v>
      </c>
      <c r="AH45" s="34" t="str">
        <v/>
      </c>
      <c r="AI45" s="34" t="str">
        <v/>
      </c>
      <c r="AJ45" s="34" t="str">
        <v>QF14</v>
      </c>
      <c r="AK45" s="34">
        <v>1</v>
      </c>
      <c r="AL45" s="34" t="str">
        <v>К</v>
      </c>
      <c r="AM45" s="34">
        <v>0</v>
      </c>
      <c r="AN45" s="34">
        <v>0</v>
      </c>
      <c r="AO45" s="34">
        <v>6</v>
      </c>
      <c r="AP45" s="34">
        <v>16</v>
      </c>
      <c r="AQ45" s="34">
        <v>10</v>
      </c>
      <c r="AR45" s="34">
        <v>1</v>
      </c>
      <c r="AS45" s="34">
        <v>0</v>
      </c>
      <c r="AT45" s="34" t="str">
        <v>1P</v>
      </c>
      <c r="AU45" s="34">
        <v>10</v>
      </c>
      <c r="AV45" s="34" t="str">
        <v/>
      </c>
      <c r="AW45" s="34" t="str">
        <v/>
      </c>
      <c r="AX45" s="34" t="str">
        <v/>
      </c>
      <c r="AY45" s="34">
        <v>1</v>
      </c>
      <c r="AZ45" s="34" t="str">
        <v/>
      </c>
      <c r="BA45" s="34">
        <v>0</v>
      </c>
      <c r="BB45" s="34">
        <v>0</v>
      </c>
      <c r="BD45" s="34">
        <v>1</v>
      </c>
      <c r="BE45" s="34">
        <v>0</v>
      </c>
      <c r="BF45" s="34">
        <v>0</v>
      </c>
      <c r="BG45" s="34" t="str">
        <v/>
      </c>
      <c r="BH45" s="34" t="str">
        <v/>
      </c>
      <c r="BI45" s="34" t="str">
        <v/>
      </c>
      <c r="BJ45" s="34" t="str">
        <v/>
      </c>
      <c r="BK45" s="34" t="str">
        <v>MOTOR</v>
      </c>
      <c r="BL45" s="34">
        <v>1</v>
      </c>
      <c r="BM45" s="34" t="str">
        <v/>
      </c>
      <c r="BN45" s="34" t="str">
        <v/>
      </c>
      <c r="BO45" s="34" t="str">
        <v/>
      </c>
      <c r="BP45" s="34" t="str">
        <v/>
      </c>
      <c r="BQ45" s="34" t="str">
        <v>3х1,5</v>
      </c>
      <c r="BR45" s="34" t="str">
        <v/>
      </c>
      <c r="BS45" s="34" t="str">
        <v/>
      </c>
      <c r="BT45" s="34" t="str">
        <v/>
      </c>
      <c r="BU45" s="34">
        <v>0</v>
      </c>
      <c r="BV45" s="34">
        <v>65</v>
      </c>
      <c r="BW45" s="34">
        <v>1</v>
      </c>
      <c r="BX45" s="34">
        <v>0</v>
      </c>
      <c r="BY45" s="34" t="str">
        <v>Привод (двигатель)</v>
      </c>
      <c r="BZ45">
        <v>4</v>
      </c>
      <c r="CA45" t="str">
        <v>линии</v>
      </c>
    </row>
    <row r="46" spans="1:79" x14ac:dyDescent="0.3">
      <c r="A46" s="39" t="str">
        <v>ЩОВ-001</v>
      </c>
      <c r="B46" s="42">
        <v>34</v>
      </c>
      <c r="C46" s="42">
        <v>2</v>
      </c>
      <c r="D46" s="75" t="str">
        <v/>
      </c>
      <c r="E46" s="75" t="str">
        <v>авто</v>
      </c>
      <c r="F46" s="76" t="str">
        <v/>
      </c>
      <c r="G46" s="47" t="str">
        <v>QF15</v>
      </c>
      <c r="H46" s="47" t="str">
        <v>1P С10А</v>
      </c>
      <c r="I46" s="75" t="str">
        <v/>
      </c>
      <c r="J46" s="76" t="str">
        <v/>
      </c>
      <c r="K46" s="76" t="str">
        <v/>
      </c>
      <c r="L46" s="75" t="str">
        <v/>
      </c>
      <c r="M46" s="49" t="str">
        <v/>
      </c>
      <c r="N46" s="76" t="str">
        <v/>
      </c>
      <c r="O46" s="49" t="str">
        <v/>
      </c>
      <c r="P46" s="77" t="str">
        <v/>
      </c>
      <c r="Q46" s="53" t="str">
        <v>ВВГнг(А)-LS (3х1,5) L=16-0,28%</v>
      </c>
      <c r="R46" s="54" t="str">
        <v>К.1.021А.1</v>
      </c>
      <c r="S46" s="55" t="str">
        <v>Внутренний блок кондиционера Подвальный этаж Пом. №006Т</v>
      </c>
      <c r="T46" s="56">
        <v>0.3</v>
      </c>
      <c r="U46" s="56">
        <v>1.6300000000000001</v>
      </c>
      <c r="V46" s="42" t="str">
        <v>L1</v>
      </c>
      <c r="W46" s="57" t="str">
        <v>ok</v>
      </c>
      <c r="X46" s="58" t="str">
        <v/>
      </c>
      <c r="Y46" s="75" t="str">
        <v/>
      </c>
      <c r="Z46" s="59">
        <v>1.6237976320958221</v>
      </c>
      <c r="AA46" s="61">
        <v>6</v>
      </c>
      <c r="AB46" s="61">
        <v>16</v>
      </c>
      <c r="AC46" s="61" t="str">
        <v/>
      </c>
      <c r="AD46" s="62" t="str">
        <v>QF15</v>
      </c>
      <c r="AE46" s="62" t="str">
        <v/>
      </c>
      <c r="AF46" s="34">
        <v>15</v>
      </c>
      <c r="AG46" s="34" t="str">
        <v>QF15</v>
      </c>
      <c r="AH46" s="34" t="str">
        <v/>
      </c>
      <c r="AI46" s="34" t="str">
        <v/>
      </c>
      <c r="AJ46" s="34" t="str">
        <v>QF15</v>
      </c>
      <c r="AK46" s="34">
        <v>1</v>
      </c>
      <c r="AL46" s="34" t="str">
        <v>К</v>
      </c>
      <c r="AM46" s="34">
        <v>0</v>
      </c>
      <c r="AN46" s="34">
        <v>0</v>
      </c>
      <c r="AO46" s="34">
        <v>6</v>
      </c>
      <c r="AP46" s="34">
        <v>16</v>
      </c>
      <c r="AQ46" s="34">
        <v>10</v>
      </c>
      <c r="AR46" s="34">
        <v>1</v>
      </c>
      <c r="AS46" s="34">
        <v>0</v>
      </c>
      <c r="AT46" s="34" t="str">
        <v>1P</v>
      </c>
      <c r="AU46" s="34">
        <v>10</v>
      </c>
      <c r="AV46" s="34" t="str">
        <v/>
      </c>
      <c r="AW46" s="34" t="str">
        <v/>
      </c>
      <c r="AX46" s="34" t="str">
        <v/>
      </c>
      <c r="AY46" s="34">
        <v>1</v>
      </c>
      <c r="AZ46" s="34" t="str">
        <v/>
      </c>
      <c r="BA46" s="34">
        <v>0</v>
      </c>
      <c r="BB46" s="34">
        <v>0</v>
      </c>
      <c r="BD46" s="34">
        <v>1</v>
      </c>
      <c r="BE46" s="34">
        <v>0</v>
      </c>
      <c r="BF46" s="34">
        <v>0</v>
      </c>
      <c r="BG46" s="34" t="str">
        <v/>
      </c>
      <c r="BH46" s="34" t="str">
        <v/>
      </c>
      <c r="BI46" s="34" t="str">
        <v/>
      </c>
      <c r="BJ46" s="34" t="str">
        <v/>
      </c>
      <c r="BK46" s="34" t="str">
        <v>MOTOR</v>
      </c>
      <c r="BL46" s="34">
        <v>1</v>
      </c>
      <c r="BM46" s="34" t="str">
        <v/>
      </c>
      <c r="BN46" s="34" t="str">
        <v/>
      </c>
      <c r="BO46" s="34" t="str">
        <v/>
      </c>
      <c r="BP46" s="34" t="str">
        <v/>
      </c>
      <c r="BQ46" s="34" t="str">
        <v>3х1,5</v>
      </c>
      <c r="BR46" s="34" t="str">
        <v/>
      </c>
      <c r="BS46" s="34" t="str">
        <v/>
      </c>
      <c r="BT46" s="34" t="str">
        <v/>
      </c>
      <c r="BU46" s="34">
        <v>0</v>
      </c>
      <c r="BV46" s="34">
        <v>66</v>
      </c>
      <c r="BW46" s="34">
        <v>1</v>
      </c>
      <c r="BX46" s="34">
        <v>0</v>
      </c>
      <c r="BY46" s="34" t="str">
        <v>Привод (двигатель)</v>
      </c>
      <c r="BZ46">
        <v>4</v>
      </c>
      <c r="CA46" t="str">
        <v>линии</v>
      </c>
    </row>
    <row r="47" spans="1:79" x14ac:dyDescent="0.3">
      <c r="A47" s="39" t="str">
        <v>ЩОВ-001</v>
      </c>
      <c r="B47" s="42">
        <v>35</v>
      </c>
      <c r="C47" s="42">
        <v>3</v>
      </c>
      <c r="D47" s="75" t="str">
        <v/>
      </c>
      <c r="E47" s="75" t="str">
        <v>авто</v>
      </c>
      <c r="F47" s="76" t="str">
        <v/>
      </c>
      <c r="G47" s="47" t="str">
        <v>QF16</v>
      </c>
      <c r="H47" s="47" t="str">
        <v>1P С16А</v>
      </c>
      <c r="I47" s="75" t="str">
        <v/>
      </c>
      <c r="J47" s="76" t="str">
        <v/>
      </c>
      <c r="K47" s="76" t="str">
        <v/>
      </c>
      <c r="L47" s="75" t="str">
        <v/>
      </c>
      <c r="M47" s="49" t="str">
        <v/>
      </c>
      <c r="N47" s="76" t="str">
        <v/>
      </c>
      <c r="O47" s="49" t="str">
        <v/>
      </c>
      <c r="P47" s="77" t="str">
        <v/>
      </c>
      <c r="Q47" s="53" t="str">
        <v>ВВГнг(А)-LS (3х2,5) L=38-2,46%</v>
      </c>
      <c r="R47" s="54" t="str">
        <v>K.1</v>
      </c>
      <c r="S47" s="55" t="str">
        <v>Внешний блок кондиционирования Пом. Венткиосок</v>
      </c>
      <c r="T47" s="56">
        <v>1.9</v>
      </c>
      <c r="U47" s="56">
        <v>10.29</v>
      </c>
      <c r="V47" s="42" t="str">
        <v>L2</v>
      </c>
      <c r="W47" s="57" t="str">
        <v>ok</v>
      </c>
      <c r="X47" s="58" t="str">
        <v/>
      </c>
      <c r="Y47" s="75" t="str">
        <v/>
      </c>
      <c r="Z47" s="59">
        <v>10.284051669940206</v>
      </c>
      <c r="AA47" s="61">
        <v>16</v>
      </c>
      <c r="AB47" s="61">
        <v>25</v>
      </c>
      <c r="AC47" s="61" t="str">
        <v/>
      </c>
      <c r="AD47" s="62" t="str">
        <v>QF16</v>
      </c>
      <c r="AE47" s="62" t="str">
        <v/>
      </c>
      <c r="AF47" s="34">
        <v>16</v>
      </c>
      <c r="AG47" s="34" t="str">
        <v>QF16</v>
      </c>
      <c r="AH47" s="34" t="str">
        <v/>
      </c>
      <c r="AI47" s="34" t="str">
        <v/>
      </c>
      <c r="AJ47" s="34" t="str">
        <v>QF16</v>
      </c>
      <c r="AK47" s="34">
        <v>1</v>
      </c>
      <c r="AL47" s="34" t="str">
        <v>K</v>
      </c>
      <c r="AM47" s="34">
        <v>0</v>
      </c>
      <c r="AN47" s="34">
        <v>0</v>
      </c>
      <c r="AO47" s="34">
        <v>16</v>
      </c>
      <c r="AP47" s="34">
        <v>25</v>
      </c>
      <c r="AQ47" s="34">
        <v>16</v>
      </c>
      <c r="AR47" s="34">
        <v>1</v>
      </c>
      <c r="AS47" s="34">
        <v>0</v>
      </c>
      <c r="AT47" s="34" t="str">
        <v>1P</v>
      </c>
      <c r="AU47" s="34">
        <v>16</v>
      </c>
      <c r="AV47" s="34" t="str">
        <v/>
      </c>
      <c r="AW47" s="34" t="str">
        <v/>
      </c>
      <c r="AX47" s="34" t="str">
        <v/>
      </c>
      <c r="AY47" s="34">
        <v>1</v>
      </c>
      <c r="AZ47" s="34" t="str">
        <v/>
      </c>
      <c r="BA47" s="34">
        <v>0</v>
      </c>
      <c r="BB47" s="34">
        <v>0</v>
      </c>
      <c r="BD47" s="34">
        <v>1</v>
      </c>
      <c r="BE47" s="34">
        <v>0</v>
      </c>
      <c r="BF47" s="34">
        <v>0</v>
      </c>
      <c r="BG47" s="34" t="str">
        <v/>
      </c>
      <c r="BH47" s="34" t="str">
        <v/>
      </c>
      <c r="BI47" s="34" t="str">
        <v/>
      </c>
      <c r="BJ47" s="34" t="str">
        <v/>
      </c>
      <c r="BK47" s="34" t="str">
        <v>BOX</v>
      </c>
      <c r="BL47" s="34">
        <v>1</v>
      </c>
      <c r="BM47" s="34" t="str">
        <v/>
      </c>
      <c r="BN47" s="34" t="str">
        <v/>
      </c>
      <c r="BO47" s="34" t="str">
        <v/>
      </c>
      <c r="BP47" s="34" t="str">
        <v/>
      </c>
      <c r="BQ47" s="34" t="str">
        <v>3х2,5</v>
      </c>
      <c r="BR47" s="34" t="str">
        <v/>
      </c>
      <c r="BS47" s="34" t="str">
        <v/>
      </c>
      <c r="BT47" s="34" t="str">
        <v/>
      </c>
      <c r="BU47" s="34">
        <v>0</v>
      </c>
      <c r="BV47" s="34">
        <v>67</v>
      </c>
      <c r="BW47" s="34">
        <v>1</v>
      </c>
      <c r="BX47" s="34">
        <v>0</v>
      </c>
      <c r="BY47" s="34">
        <v>0</v>
      </c>
      <c r="BZ47">
        <v>4</v>
      </c>
      <c r="CA47" t="str">
        <v>линии</v>
      </c>
    </row>
    <row r="48" spans="1:79" x14ac:dyDescent="0.3">
      <c r="A48" s="39" t="str">
        <v>ЩОВ-001</v>
      </c>
      <c r="B48" s="42">
        <v>36</v>
      </c>
      <c r="C48" s="42">
        <v>3</v>
      </c>
      <c r="D48" s="75" t="str">
        <v/>
      </c>
      <c r="E48" s="75" t="str">
        <v>авто</v>
      </c>
      <c r="F48" s="76" t="str">
        <v/>
      </c>
      <c r="G48" s="47" t="str">
        <v>QF17</v>
      </c>
      <c r="H48" s="47" t="str">
        <v>1P С16А</v>
      </c>
      <c r="I48" s="75" t="str">
        <v/>
      </c>
      <c r="J48" s="76" t="str">
        <v/>
      </c>
      <c r="K48" s="76" t="str">
        <v/>
      </c>
      <c r="L48" s="75" t="str">
        <v/>
      </c>
      <c r="M48" s="49" t="str">
        <v/>
      </c>
      <c r="N48" s="76" t="str">
        <v/>
      </c>
      <c r="O48" s="49" t="str">
        <v/>
      </c>
      <c r="P48" s="77" t="str">
        <v/>
      </c>
      <c r="Q48" s="53" t="str">
        <v>ВВГнг(А)-LS (3х2,5) L=38-2,46%</v>
      </c>
      <c r="R48" s="54" t="str">
        <v>K.2</v>
      </c>
      <c r="S48" s="55" t="str">
        <v>Внешний блок кондиционирования Пом. Венткиосок</v>
      </c>
      <c r="T48" s="56">
        <v>1.9</v>
      </c>
      <c r="U48" s="56">
        <v>10.29</v>
      </c>
      <c r="V48" s="42" t="str">
        <v>L3</v>
      </c>
      <c r="W48" s="57" t="str">
        <v>ok</v>
      </c>
      <c r="X48" s="58" t="str">
        <v/>
      </c>
      <c r="Y48" s="75" t="str">
        <v/>
      </c>
      <c r="Z48" s="59">
        <v>10.284051669940206</v>
      </c>
      <c r="AA48" s="61">
        <v>16</v>
      </c>
      <c r="AB48" s="61">
        <v>25</v>
      </c>
      <c r="AC48" s="61" t="str">
        <v/>
      </c>
      <c r="AD48" s="62" t="str">
        <v>QF17</v>
      </c>
      <c r="AE48" s="62" t="str">
        <v/>
      </c>
      <c r="AF48" s="34">
        <v>17</v>
      </c>
      <c r="AG48" s="34" t="str">
        <v>QF17</v>
      </c>
      <c r="AH48" s="34" t="str">
        <v/>
      </c>
      <c r="AI48" s="34" t="str">
        <v/>
      </c>
      <c r="AJ48" s="34" t="str">
        <v>QF17</v>
      </c>
      <c r="AK48" s="34">
        <v>1</v>
      </c>
      <c r="AL48" s="34" t="str">
        <v>K</v>
      </c>
      <c r="AM48" s="34">
        <v>0</v>
      </c>
      <c r="AN48" s="34">
        <v>0</v>
      </c>
      <c r="AO48" s="34">
        <v>16</v>
      </c>
      <c r="AP48" s="34">
        <v>25</v>
      </c>
      <c r="AQ48" s="34">
        <v>16</v>
      </c>
      <c r="AR48" s="34">
        <v>1</v>
      </c>
      <c r="AS48" s="34">
        <v>0</v>
      </c>
      <c r="AT48" s="34" t="str">
        <v>1P</v>
      </c>
      <c r="AU48" s="34">
        <v>16</v>
      </c>
      <c r="AV48" s="34" t="str">
        <v/>
      </c>
      <c r="AW48" s="34" t="str">
        <v/>
      </c>
      <c r="AX48" s="34" t="str">
        <v/>
      </c>
      <c r="AY48" s="34">
        <v>1</v>
      </c>
      <c r="AZ48" s="34" t="str">
        <v/>
      </c>
      <c r="BA48" s="34">
        <v>0</v>
      </c>
      <c r="BB48" s="34">
        <v>0</v>
      </c>
      <c r="BD48" s="34">
        <v>1</v>
      </c>
      <c r="BE48" s="34">
        <v>0</v>
      </c>
      <c r="BF48" s="34">
        <v>0</v>
      </c>
      <c r="BG48" s="34" t="str">
        <v/>
      </c>
      <c r="BH48" s="34" t="str">
        <v/>
      </c>
      <c r="BI48" s="34" t="str">
        <v/>
      </c>
      <c r="BJ48" s="34" t="str">
        <v/>
      </c>
      <c r="BK48" s="34" t="str">
        <v>BOX</v>
      </c>
      <c r="BL48" s="34">
        <v>1</v>
      </c>
      <c r="BM48" s="34" t="str">
        <v/>
      </c>
      <c r="BN48" s="34" t="str">
        <v/>
      </c>
      <c r="BO48" s="34" t="str">
        <v/>
      </c>
      <c r="BP48" s="34" t="str">
        <v/>
      </c>
      <c r="BQ48" s="34" t="str">
        <v>3х2,5</v>
      </c>
      <c r="BR48" s="34" t="str">
        <v/>
      </c>
      <c r="BS48" s="34" t="str">
        <v/>
      </c>
      <c r="BT48" s="34" t="str">
        <v/>
      </c>
      <c r="BU48" s="34">
        <v>0</v>
      </c>
      <c r="BV48" s="34">
        <v>68</v>
      </c>
      <c r="BW48" s="34">
        <v>1</v>
      </c>
      <c r="BX48" s="34">
        <v>0</v>
      </c>
      <c r="BY48" s="34">
        <v>0</v>
      </c>
      <c r="BZ48">
        <v>4</v>
      </c>
      <c r="CA48" t="str">
        <v>линии</v>
      </c>
    </row>
    <row r="49" spans="1:79" x14ac:dyDescent="0.3">
      <c r="A49" s="39" t="str">
        <v>ЩОВ-001</v>
      </c>
      <c r="B49" s="42">
        <v>37</v>
      </c>
      <c r="C49" s="42">
        <v>3</v>
      </c>
      <c r="D49" s="75" t="str">
        <v/>
      </c>
      <c r="E49" s="75" t="str">
        <v>авто</v>
      </c>
      <c r="F49" s="76" t="str">
        <v/>
      </c>
      <c r="G49" s="47" t="str">
        <v>QF18</v>
      </c>
      <c r="H49" s="47" t="str">
        <v>1P С16А</v>
      </c>
      <c r="I49" s="75" t="str">
        <v/>
      </c>
      <c r="J49" s="76" t="str">
        <v/>
      </c>
      <c r="K49" s="76" t="str">
        <v/>
      </c>
      <c r="L49" s="75" t="str">
        <v/>
      </c>
      <c r="M49" s="49" t="str">
        <v/>
      </c>
      <c r="N49" s="76" t="str">
        <v/>
      </c>
      <c r="O49" s="49" t="str">
        <v/>
      </c>
      <c r="P49" s="77" t="str">
        <v/>
      </c>
      <c r="Q49" s="53" t="str">
        <v>ВВГнг(А)-LS (3х2,5) L=38-2,46%</v>
      </c>
      <c r="R49" s="54" t="str">
        <v>K.3</v>
      </c>
      <c r="S49" s="55" t="str">
        <v>Внешний блок кондиционирования Пом. Венткиосок</v>
      </c>
      <c r="T49" s="56">
        <v>1.9</v>
      </c>
      <c r="U49" s="56">
        <v>10.29</v>
      </c>
      <c r="V49" s="42" t="str">
        <v>L2</v>
      </c>
      <c r="W49" s="57" t="str">
        <v>ok</v>
      </c>
      <c r="X49" s="58" t="str">
        <v/>
      </c>
      <c r="Y49" s="75" t="str">
        <v/>
      </c>
      <c r="Z49" s="59">
        <v>10.284051669940206</v>
      </c>
      <c r="AA49" s="61">
        <v>16</v>
      </c>
      <c r="AB49" s="61">
        <v>25</v>
      </c>
      <c r="AC49" s="61" t="str">
        <v/>
      </c>
      <c r="AD49" s="62" t="str">
        <v>QF18</v>
      </c>
      <c r="AE49" s="62" t="str">
        <v/>
      </c>
      <c r="AF49" s="34">
        <v>18</v>
      </c>
      <c r="AG49" s="34" t="str">
        <v>QF18</v>
      </c>
      <c r="AH49" s="34" t="str">
        <v/>
      </c>
      <c r="AI49" s="34" t="str">
        <v/>
      </c>
      <c r="AJ49" s="34" t="str">
        <v>QF18</v>
      </c>
      <c r="AK49" s="34">
        <v>1</v>
      </c>
      <c r="AL49" s="34" t="str">
        <v>K</v>
      </c>
      <c r="AM49" s="34">
        <v>0</v>
      </c>
      <c r="AN49" s="34">
        <v>0</v>
      </c>
      <c r="AO49" s="34">
        <v>16</v>
      </c>
      <c r="AP49" s="34">
        <v>25</v>
      </c>
      <c r="AQ49" s="34">
        <v>16</v>
      </c>
      <c r="AR49" s="34">
        <v>1</v>
      </c>
      <c r="AS49" s="34">
        <v>0</v>
      </c>
      <c r="AT49" s="34" t="str">
        <v>1P</v>
      </c>
      <c r="AU49" s="34">
        <v>16</v>
      </c>
      <c r="AV49" s="34" t="str">
        <v/>
      </c>
      <c r="AW49" s="34" t="str">
        <v/>
      </c>
      <c r="AX49" s="34" t="str">
        <v/>
      </c>
      <c r="AY49" s="34">
        <v>1</v>
      </c>
      <c r="AZ49" s="34" t="str">
        <v/>
      </c>
      <c r="BA49" s="34">
        <v>0</v>
      </c>
      <c r="BB49" s="34">
        <v>0</v>
      </c>
      <c r="BD49" s="34">
        <v>1</v>
      </c>
      <c r="BE49" s="34">
        <v>0</v>
      </c>
      <c r="BF49" s="34">
        <v>0</v>
      </c>
      <c r="BG49" s="34" t="str">
        <v/>
      </c>
      <c r="BH49" s="34" t="str">
        <v/>
      </c>
      <c r="BI49" s="34" t="str">
        <v/>
      </c>
      <c r="BJ49" s="34" t="str">
        <v/>
      </c>
      <c r="BK49" s="34" t="str">
        <v>BOX</v>
      </c>
      <c r="BL49" s="34">
        <v>1</v>
      </c>
      <c r="BM49" s="34" t="str">
        <v/>
      </c>
      <c r="BN49" s="34" t="str">
        <v/>
      </c>
      <c r="BO49" s="34" t="str">
        <v/>
      </c>
      <c r="BP49" s="34" t="str">
        <v/>
      </c>
      <c r="BQ49" s="34" t="str">
        <v>3х2,5</v>
      </c>
      <c r="BR49" s="34" t="str">
        <v/>
      </c>
      <c r="BS49" s="34" t="str">
        <v/>
      </c>
      <c r="BT49" s="34" t="str">
        <v/>
      </c>
      <c r="BU49" s="34">
        <v>0</v>
      </c>
      <c r="BV49" s="34">
        <v>69</v>
      </c>
      <c r="BW49" s="34">
        <v>1</v>
      </c>
      <c r="BX49" s="34">
        <v>0</v>
      </c>
      <c r="BY49" s="34">
        <v>0</v>
      </c>
      <c r="BZ49">
        <v>4</v>
      </c>
      <c r="CA49" t="str">
        <v>линии</v>
      </c>
    </row>
    <row r="50" spans="1:79" x14ac:dyDescent="0.3">
      <c r="A50" s="39" t="str">
        <v>ЩОВ-001</v>
      </c>
      <c r="B50" s="42">
        <v>40</v>
      </c>
      <c r="C50" s="42">
        <v>3</v>
      </c>
      <c r="D50" s="75" t="str">
        <v/>
      </c>
      <c r="E50" s="75" t="str">
        <v>авто</v>
      </c>
      <c r="F50" s="76" t="str">
        <v/>
      </c>
      <c r="G50" s="47" t="str">
        <v>QF19</v>
      </c>
      <c r="H50" s="47" t="str">
        <v>1P С16А</v>
      </c>
      <c r="I50" s="75" t="str">
        <v/>
      </c>
      <c r="J50" s="76" t="str">
        <v/>
      </c>
      <c r="K50" s="76" t="str">
        <v/>
      </c>
      <c r="L50" s="75" t="str">
        <v/>
      </c>
      <c r="M50" s="49" t="str">
        <v/>
      </c>
      <c r="N50" s="76" t="str">
        <v/>
      </c>
      <c r="O50" s="49" t="str">
        <v/>
      </c>
      <c r="P50" s="77" t="str">
        <v>XT19</v>
      </c>
      <c r="Q50" s="53" t="str">
        <v>ВВГнг(А)-LS (3х2,5) L=38-2,46%</v>
      </c>
      <c r="R50" s="54" t="str">
        <v>K.4</v>
      </c>
      <c r="S50" s="55" t="str">
        <v>Внешний блок кондиционирования Пом. Венткиосок</v>
      </c>
      <c r="T50" s="56">
        <v>1.9</v>
      </c>
      <c r="U50" s="56">
        <v>10.29</v>
      </c>
      <c r="V50" s="42" t="str">
        <v>L3</v>
      </c>
      <c r="W50" s="57" t="str">
        <v>ok</v>
      </c>
      <c r="X50" s="58" t="str">
        <v/>
      </c>
      <c r="Y50" s="75" t="str">
        <v/>
      </c>
      <c r="Z50" s="59">
        <v>10.284051669940206</v>
      </c>
      <c r="AA50" s="61">
        <v>16</v>
      </c>
      <c r="AB50" s="61">
        <v>25</v>
      </c>
      <c r="AC50" s="61" t="str">
        <v/>
      </c>
      <c r="AD50" s="62" t="str">
        <v>QF19 → XT19</v>
      </c>
      <c r="AE50" s="62" t="str">
        <v/>
      </c>
      <c r="AF50" s="34">
        <v>19</v>
      </c>
      <c r="AG50" s="34" t="str">
        <v>QF19</v>
      </c>
      <c r="AH50" s="34" t="str">
        <v/>
      </c>
      <c r="AI50" s="34" t="str">
        <v/>
      </c>
      <c r="AJ50" s="34" t="str">
        <v>QF19</v>
      </c>
      <c r="AK50" s="34">
        <v>1</v>
      </c>
      <c r="AL50" s="34" t="str">
        <v>K</v>
      </c>
      <c r="AM50" s="34">
        <v>0</v>
      </c>
      <c r="AN50" s="34">
        <v>0</v>
      </c>
      <c r="AO50" s="34">
        <v>16</v>
      </c>
      <c r="AP50" s="34">
        <v>25</v>
      </c>
      <c r="AQ50" s="34">
        <v>16</v>
      </c>
      <c r="AR50" s="34">
        <v>1</v>
      </c>
      <c r="AS50" s="34">
        <v>0</v>
      </c>
      <c r="AT50" s="34" t="str">
        <v>1P</v>
      </c>
      <c r="AU50" s="34">
        <v>16</v>
      </c>
      <c r="AV50" s="34" t="str">
        <v/>
      </c>
      <c r="AW50" s="34" t="str">
        <v/>
      </c>
      <c r="AX50" s="34" t="str">
        <v/>
      </c>
      <c r="AY50" s="34">
        <v>1</v>
      </c>
      <c r="AZ50" s="34" t="str">
        <v/>
      </c>
      <c r="BA50" s="34">
        <v>0</v>
      </c>
      <c r="BB50" s="34">
        <v>0</v>
      </c>
      <c r="BD50" s="34">
        <v>1</v>
      </c>
      <c r="BE50" s="34">
        <v>0</v>
      </c>
      <c r="BF50" s="34">
        <v>0</v>
      </c>
      <c r="BG50" s="34" t="str">
        <v/>
      </c>
      <c r="BH50" s="34" t="str">
        <v/>
      </c>
      <c r="BI50" s="34" t="str">
        <v/>
      </c>
      <c r="BJ50" s="34" t="str">
        <v/>
      </c>
      <c r="BK50" s="34" t="str">
        <v>BOX</v>
      </c>
      <c r="BL50" s="34">
        <v>1</v>
      </c>
      <c r="BM50" s="34" t="str">
        <v/>
      </c>
      <c r="BN50" s="34" t="str">
        <v/>
      </c>
      <c r="BO50" s="34" t="str">
        <v/>
      </c>
      <c r="BP50" s="34" t="str">
        <v/>
      </c>
      <c r="BQ50" s="34" t="str">
        <v>3х2,5</v>
      </c>
      <c r="BR50" s="34" t="str">
        <v/>
      </c>
      <c r="BS50" s="34" t="str">
        <v/>
      </c>
      <c r="BT50" s="34" t="str">
        <v/>
      </c>
      <c r="BU50" s="34">
        <v>0</v>
      </c>
      <c r="BV50" s="34">
        <v>70</v>
      </c>
      <c r="BW50" s="34">
        <v>1</v>
      </c>
      <c r="BX50" s="34">
        <v>0</v>
      </c>
      <c r="BY50" s="34">
        <v>0</v>
      </c>
      <c r="BZ50">
        <v>4</v>
      </c>
      <c r="CA50" t="str">
        <v>линии</v>
      </c>
    </row>
    <row r="51" spans="1:79" x14ac:dyDescent="0.3">
      <c r="A51" s="39" t="str">
        <v>ЩОВ-001</v>
      </c>
      <c r="B51" s="42">
        <v>41</v>
      </c>
      <c r="C51" s="42">
        <v>3</v>
      </c>
      <c r="D51" s="75" t="str">
        <v/>
      </c>
      <c r="E51" s="75" t="str">
        <v>авто</v>
      </c>
      <c r="F51" s="76" t="str">
        <v/>
      </c>
      <c r="G51" s="47" t="str">
        <v>QF20</v>
      </c>
      <c r="H51" s="47" t="str">
        <v>1P С16А</v>
      </c>
      <c r="I51" s="75" t="str">
        <v/>
      </c>
      <c r="J51" s="76" t="str">
        <v/>
      </c>
      <c r="K51" s="76" t="str">
        <v/>
      </c>
      <c r="L51" s="75" t="str">
        <v/>
      </c>
      <c r="M51" s="49" t="str">
        <v/>
      </c>
      <c r="N51" s="76" t="str">
        <v/>
      </c>
      <c r="O51" s="49" t="str">
        <v/>
      </c>
      <c r="P51" s="77" t="str">
        <v>XT20</v>
      </c>
      <c r="Q51" s="53" t="str">
        <v>ВВГнг(А)-LS (3х2,5) L=35-2,27%</v>
      </c>
      <c r="R51" s="54" t="str">
        <v>K.5</v>
      </c>
      <c r="S51" s="55" t="str">
        <v>Внешний блок кондиционирования Пом. Венткиосок</v>
      </c>
      <c r="T51" s="56">
        <v>1.9</v>
      </c>
      <c r="U51" s="56">
        <v>10.29</v>
      </c>
      <c r="V51" s="42" t="str">
        <v>L1</v>
      </c>
      <c r="W51" s="57" t="str">
        <v>ok</v>
      </c>
      <c r="X51" s="58" t="str">
        <v/>
      </c>
      <c r="Y51" s="75" t="str">
        <v/>
      </c>
      <c r="Z51" s="59">
        <v>10.284051669940206</v>
      </c>
      <c r="AA51" s="61">
        <v>16</v>
      </c>
      <c r="AB51" s="61">
        <v>25</v>
      </c>
      <c r="AC51" s="61" t="str">
        <v/>
      </c>
      <c r="AD51" s="62" t="str">
        <v>QF20 → XT20</v>
      </c>
      <c r="AE51" s="62" t="str">
        <v/>
      </c>
      <c r="AF51" s="34">
        <v>20</v>
      </c>
      <c r="AG51" s="34" t="str">
        <v>QF20</v>
      </c>
      <c r="AH51" s="34" t="str">
        <v/>
      </c>
      <c r="AI51" s="34" t="str">
        <v/>
      </c>
      <c r="AJ51" s="34" t="str">
        <v>QF20</v>
      </c>
      <c r="AK51" s="34">
        <v>1</v>
      </c>
      <c r="AL51" s="34" t="str">
        <v>K</v>
      </c>
      <c r="AM51" s="34">
        <v>0</v>
      </c>
      <c r="AN51" s="34">
        <v>0</v>
      </c>
      <c r="AO51" s="34">
        <v>16</v>
      </c>
      <c r="AP51" s="34">
        <v>25</v>
      </c>
      <c r="AQ51" s="34">
        <v>16</v>
      </c>
      <c r="AR51" s="34">
        <v>1</v>
      </c>
      <c r="AS51" s="34">
        <v>0</v>
      </c>
      <c r="AT51" s="34" t="str">
        <v>1P</v>
      </c>
      <c r="AU51" s="34">
        <v>16</v>
      </c>
      <c r="AV51" s="34" t="str">
        <v/>
      </c>
      <c r="AW51" s="34" t="str">
        <v/>
      </c>
      <c r="AX51" s="34" t="str">
        <v/>
      </c>
      <c r="AY51" s="34">
        <v>1</v>
      </c>
      <c r="AZ51" s="34" t="str">
        <v/>
      </c>
      <c r="BA51" s="34">
        <v>0</v>
      </c>
      <c r="BB51" s="34">
        <v>0</v>
      </c>
      <c r="BD51" s="34">
        <v>1</v>
      </c>
      <c r="BE51" s="34">
        <v>0</v>
      </c>
      <c r="BF51" s="34">
        <v>0</v>
      </c>
      <c r="BG51" s="34" t="str">
        <v/>
      </c>
      <c r="BH51" s="34" t="str">
        <v/>
      </c>
      <c r="BI51" s="34" t="str">
        <v/>
      </c>
      <c r="BJ51" s="34" t="str">
        <v/>
      </c>
      <c r="BK51" s="34" t="str">
        <v>BOX</v>
      </c>
      <c r="BL51" s="34">
        <v>1</v>
      </c>
      <c r="BM51" s="34" t="str">
        <v/>
      </c>
      <c r="BN51" s="34" t="str">
        <v/>
      </c>
      <c r="BO51" s="34" t="str">
        <v/>
      </c>
      <c r="BP51" s="34" t="str">
        <v/>
      </c>
      <c r="BQ51" s="34" t="str">
        <v>3х2,5</v>
      </c>
      <c r="BR51" s="34" t="str">
        <v/>
      </c>
      <c r="BS51" s="34" t="str">
        <v/>
      </c>
      <c r="BT51" s="34" t="str">
        <v/>
      </c>
      <c r="BU51" s="34">
        <v>0</v>
      </c>
      <c r="BV51" s="34">
        <v>71</v>
      </c>
      <c r="BW51" s="34">
        <v>1</v>
      </c>
      <c r="BX51" s="34">
        <v>0</v>
      </c>
      <c r="BY51" s="34">
        <v>0</v>
      </c>
      <c r="BZ51">
        <v>4</v>
      </c>
      <c r="CA51" t="str">
        <v>линии</v>
      </c>
    </row>
    <row r="52" spans="1:79" x14ac:dyDescent="0.3">
      <c r="A52" s="39" t="str">
        <v>ЩОВ-001</v>
      </c>
      <c r="B52" s="42">
        <v>42</v>
      </c>
      <c r="C52" s="42">
        <v>3</v>
      </c>
      <c r="D52" s="75" t="str">
        <v/>
      </c>
      <c r="E52" s="75" t="str">
        <v>авто</v>
      </c>
      <c r="F52" s="76" t="str">
        <v/>
      </c>
      <c r="G52" s="47" t="str">
        <v>QF21</v>
      </c>
      <c r="H52" s="47" t="str">
        <v>1P С16А</v>
      </c>
      <c r="I52" s="75" t="str">
        <v/>
      </c>
      <c r="J52" s="76" t="str">
        <v/>
      </c>
      <c r="K52" s="76" t="str">
        <v/>
      </c>
      <c r="L52" s="75" t="str">
        <v/>
      </c>
      <c r="M52" s="49" t="str">
        <v/>
      </c>
      <c r="N52" s="76" t="str">
        <v/>
      </c>
      <c r="O52" s="49" t="str">
        <v/>
      </c>
      <c r="P52" s="77" t="str">
        <v/>
      </c>
      <c r="Q52" s="53" t="str">
        <v>ВВГнг(А)-LS (3х2,5) L=35-2,27%</v>
      </c>
      <c r="R52" s="54" t="str">
        <v>K.6</v>
      </c>
      <c r="S52" s="55" t="str">
        <v>Внешний блок кондиционирования Пом. Венткиосок</v>
      </c>
      <c r="T52" s="56">
        <v>1.9</v>
      </c>
      <c r="U52" s="56">
        <v>10.29</v>
      </c>
      <c r="V52" s="42" t="str">
        <v>L2</v>
      </c>
      <c r="W52" s="57" t="str">
        <v>ok</v>
      </c>
      <c r="X52" s="58" t="str">
        <v/>
      </c>
      <c r="Y52" s="75" t="str">
        <v/>
      </c>
      <c r="Z52" s="59">
        <v>10.284051669940206</v>
      </c>
      <c r="AA52" s="61">
        <v>16</v>
      </c>
      <c r="AB52" s="61">
        <v>25</v>
      </c>
      <c r="AC52" s="61" t="str">
        <v/>
      </c>
      <c r="AD52" s="62" t="str">
        <v>QF21</v>
      </c>
      <c r="AE52" s="62" t="str">
        <v/>
      </c>
      <c r="AF52" s="34">
        <v>21</v>
      </c>
      <c r="AG52" s="34" t="str">
        <v>QF21</v>
      </c>
      <c r="AH52" s="34" t="str">
        <v/>
      </c>
      <c r="AI52" s="34" t="str">
        <v/>
      </c>
      <c r="AJ52" s="34" t="str">
        <v>QF21</v>
      </c>
      <c r="AK52" s="34">
        <v>1</v>
      </c>
      <c r="AL52" s="34" t="str">
        <v>K</v>
      </c>
      <c r="AM52" s="34">
        <v>0</v>
      </c>
      <c r="AN52" s="34">
        <v>0</v>
      </c>
      <c r="AO52" s="34">
        <v>16</v>
      </c>
      <c r="AP52" s="34">
        <v>25</v>
      </c>
      <c r="AQ52" s="34">
        <v>16</v>
      </c>
      <c r="AR52" s="34">
        <v>1</v>
      </c>
      <c r="AS52" s="34">
        <v>0</v>
      </c>
      <c r="AT52" s="34" t="str">
        <v>1P</v>
      </c>
      <c r="AU52" s="34">
        <v>16</v>
      </c>
      <c r="AV52" s="34" t="str">
        <v/>
      </c>
      <c r="AW52" s="34" t="str">
        <v/>
      </c>
      <c r="AX52" s="34" t="str">
        <v/>
      </c>
      <c r="AY52" s="34">
        <v>1</v>
      </c>
      <c r="AZ52" s="34" t="str">
        <v/>
      </c>
      <c r="BA52" s="34">
        <v>0</v>
      </c>
      <c r="BB52" s="34">
        <v>0</v>
      </c>
      <c r="BD52" s="34">
        <v>1</v>
      </c>
      <c r="BE52" s="34">
        <v>0</v>
      </c>
      <c r="BF52" s="34">
        <v>0</v>
      </c>
      <c r="BG52" s="34" t="str">
        <v/>
      </c>
      <c r="BH52" s="34" t="str">
        <v/>
      </c>
      <c r="BI52" s="34" t="str">
        <v/>
      </c>
      <c r="BJ52" s="34" t="str">
        <v/>
      </c>
      <c r="BK52" s="34" t="str">
        <v>BOX</v>
      </c>
      <c r="BL52" s="34">
        <v>1</v>
      </c>
      <c r="BM52" s="34" t="str">
        <v/>
      </c>
      <c r="BN52" s="34" t="str">
        <v/>
      </c>
      <c r="BO52" s="34" t="str">
        <v/>
      </c>
      <c r="BP52" s="34" t="str">
        <v/>
      </c>
      <c r="BQ52" s="34" t="str">
        <v>3х2,5</v>
      </c>
      <c r="BR52" s="34" t="str">
        <v/>
      </c>
      <c r="BS52" s="34" t="str">
        <v/>
      </c>
      <c r="BT52" s="34" t="str">
        <v/>
      </c>
      <c r="BU52" s="34">
        <v>0</v>
      </c>
      <c r="BV52" s="34">
        <v>72</v>
      </c>
      <c r="BW52" s="34">
        <v>1</v>
      </c>
      <c r="BX52" s="34">
        <v>0</v>
      </c>
      <c r="BY52" s="34">
        <v>0</v>
      </c>
      <c r="BZ52">
        <v>4</v>
      </c>
      <c r="CA52" t="str">
        <v>линии</v>
      </c>
    </row>
    <row r="53" spans="1:79" x14ac:dyDescent="0.3">
      <c r="A53" s="39" t="str">
        <v>ЩОВ-001</v>
      </c>
      <c r="B53" s="42">
        <v>43</v>
      </c>
      <c r="C53" s="42">
        <v>3</v>
      </c>
      <c r="D53" s="75" t="str">
        <v/>
      </c>
      <c r="E53" s="75" t="str">
        <v>авто</v>
      </c>
      <c r="F53" s="76" t="str">
        <v/>
      </c>
      <c r="G53" s="47" t="str">
        <v>QF22</v>
      </c>
      <c r="H53" s="47" t="str">
        <v>1P С16А</v>
      </c>
      <c r="I53" s="75" t="str">
        <v/>
      </c>
      <c r="J53" s="76" t="str">
        <v/>
      </c>
      <c r="K53" s="76" t="str">
        <v/>
      </c>
      <c r="L53" s="75" t="str">
        <v/>
      </c>
      <c r="M53" s="49" t="str">
        <v/>
      </c>
      <c r="N53" s="76" t="str">
        <v/>
      </c>
      <c r="O53" s="49" t="str">
        <v/>
      </c>
      <c r="P53" s="77" t="str">
        <v/>
      </c>
      <c r="Q53" s="53" t="str">
        <v>ВВГнг(А)-LS (3х2,5) L=35-2,27%</v>
      </c>
      <c r="R53" s="54" t="str">
        <v>K.7</v>
      </c>
      <c r="S53" s="55" t="str">
        <v>Внешний блок кондиционирования Пом. Венткиосок</v>
      </c>
      <c r="T53" s="56">
        <v>1.9</v>
      </c>
      <c r="U53" s="56">
        <v>10.29</v>
      </c>
      <c r="V53" s="42" t="str">
        <v>L3</v>
      </c>
      <c r="W53" s="57" t="str">
        <v>ok</v>
      </c>
      <c r="X53" s="58" t="str">
        <v/>
      </c>
      <c r="Y53" s="75" t="str">
        <v/>
      </c>
      <c r="Z53" s="59">
        <v>10.284051669940206</v>
      </c>
      <c r="AA53" s="61">
        <v>16</v>
      </c>
      <c r="AB53" s="61">
        <v>25</v>
      </c>
      <c r="AC53" s="61" t="str">
        <v/>
      </c>
      <c r="AD53" s="62" t="str">
        <v>QF22</v>
      </c>
      <c r="AE53" s="62" t="str">
        <v/>
      </c>
      <c r="AF53" s="34">
        <v>22</v>
      </c>
      <c r="AG53" s="34" t="str">
        <v>QF22</v>
      </c>
      <c r="AH53" s="34" t="str">
        <v/>
      </c>
      <c r="AI53" s="34" t="str">
        <v/>
      </c>
      <c r="AJ53" s="34" t="str">
        <v>QF22</v>
      </c>
      <c r="AK53" s="34">
        <v>1</v>
      </c>
      <c r="AL53" s="34" t="str">
        <v>K</v>
      </c>
      <c r="AM53" s="34">
        <v>0</v>
      </c>
      <c r="AN53" s="34">
        <v>0</v>
      </c>
      <c r="AO53" s="34">
        <v>16</v>
      </c>
      <c r="AP53" s="34">
        <v>25</v>
      </c>
      <c r="AQ53" s="34">
        <v>16</v>
      </c>
      <c r="AR53" s="34">
        <v>1</v>
      </c>
      <c r="AS53" s="34">
        <v>0</v>
      </c>
      <c r="AT53" s="34" t="str">
        <v>1P</v>
      </c>
      <c r="AU53" s="34">
        <v>16</v>
      </c>
      <c r="AV53" s="34" t="str">
        <v/>
      </c>
      <c r="AW53" s="34" t="str">
        <v/>
      </c>
      <c r="AX53" s="34" t="str">
        <v/>
      </c>
      <c r="AY53" s="34">
        <v>1</v>
      </c>
      <c r="AZ53" s="34" t="str">
        <v/>
      </c>
      <c r="BA53" s="34">
        <v>0</v>
      </c>
      <c r="BB53" s="34">
        <v>0</v>
      </c>
      <c r="BD53" s="34">
        <v>1</v>
      </c>
      <c r="BE53" s="34">
        <v>0</v>
      </c>
      <c r="BF53" s="34">
        <v>0</v>
      </c>
      <c r="BG53" s="34" t="str">
        <v/>
      </c>
      <c r="BH53" s="34" t="str">
        <v/>
      </c>
      <c r="BI53" s="34" t="str">
        <v/>
      </c>
      <c r="BJ53" s="34" t="str">
        <v/>
      </c>
      <c r="BK53" s="34" t="str">
        <v>BOX</v>
      </c>
      <c r="BL53" s="34">
        <v>1</v>
      </c>
      <c r="BM53" s="34" t="str">
        <v/>
      </c>
      <c r="BN53" s="34" t="str">
        <v/>
      </c>
      <c r="BO53" s="34" t="str">
        <v/>
      </c>
      <c r="BP53" s="34" t="str">
        <v/>
      </c>
      <c r="BQ53" s="34" t="str">
        <v>3х2,5</v>
      </c>
      <c r="BR53" s="34" t="str">
        <v/>
      </c>
      <c r="BS53" s="34" t="str">
        <v/>
      </c>
      <c r="BT53" s="34" t="str">
        <v/>
      </c>
      <c r="BU53" s="34">
        <v>0</v>
      </c>
      <c r="BV53" s="34">
        <v>73</v>
      </c>
      <c r="BW53" s="34">
        <v>1</v>
      </c>
      <c r="BX53" s="34">
        <v>0</v>
      </c>
      <c r="BY53" s="34">
        <v>0</v>
      </c>
      <c r="BZ53">
        <v>4</v>
      </c>
      <c r="CA53" t="str">
        <v>линии</v>
      </c>
    </row>
    <row r="54" spans="1:79" x14ac:dyDescent="0.3">
      <c r="A54" s="39" t="str">
        <v>ЩОВ-001</v>
      </c>
      <c r="B54" s="42">
        <v>44</v>
      </c>
      <c r="C54" s="42">
        <v>3</v>
      </c>
      <c r="D54" s="75" t="str">
        <v/>
      </c>
      <c r="E54" s="75" t="str">
        <v>авто</v>
      </c>
      <c r="F54" s="76" t="str">
        <v/>
      </c>
      <c r="G54" s="47" t="str">
        <v>QF23</v>
      </c>
      <c r="H54" s="47" t="str">
        <v>1P С16А</v>
      </c>
      <c r="I54" s="75" t="str">
        <v/>
      </c>
      <c r="J54" s="76" t="str">
        <v/>
      </c>
      <c r="K54" s="76" t="str">
        <v/>
      </c>
      <c r="L54" s="75" t="str">
        <v/>
      </c>
      <c r="M54" s="49" t="str">
        <v/>
      </c>
      <c r="N54" s="76" t="str">
        <v/>
      </c>
      <c r="O54" s="49" t="str">
        <v/>
      </c>
      <c r="P54" s="77" t="str">
        <v/>
      </c>
      <c r="Q54" s="53" t="str">
        <v>ВВГнг(А)-LS (3х2,5) L=35-2,27%</v>
      </c>
      <c r="R54" s="54" t="str">
        <v>K.8</v>
      </c>
      <c r="S54" s="55" t="str">
        <v>Внешний блок кондиционирования Пом. Венткиосок</v>
      </c>
      <c r="T54" s="56">
        <v>1.9</v>
      </c>
      <c r="U54" s="56">
        <v>10.29</v>
      </c>
      <c r="V54" s="42" t="str">
        <v>L1</v>
      </c>
      <c r="W54" s="57" t="str">
        <v>ok</v>
      </c>
      <c r="X54" s="58" t="str">
        <v/>
      </c>
      <c r="Y54" s="75" t="str">
        <v/>
      </c>
      <c r="Z54" s="59">
        <v>10.284051669940206</v>
      </c>
      <c r="AA54" s="61">
        <v>16</v>
      </c>
      <c r="AB54" s="61">
        <v>25</v>
      </c>
      <c r="AC54" s="61" t="str">
        <v/>
      </c>
      <c r="AD54" s="62" t="str">
        <v>QF23</v>
      </c>
      <c r="AE54" s="62" t="str">
        <v/>
      </c>
      <c r="AF54" s="34">
        <v>23</v>
      </c>
      <c r="AG54" s="34" t="str">
        <v>QF23</v>
      </c>
      <c r="AH54" s="34" t="str">
        <v/>
      </c>
      <c r="AI54" s="34" t="str">
        <v/>
      </c>
      <c r="AJ54" s="34" t="str">
        <v>QF23</v>
      </c>
      <c r="AK54" s="34">
        <v>1</v>
      </c>
      <c r="AL54" s="34" t="str">
        <v>K</v>
      </c>
      <c r="AM54" s="34">
        <v>0</v>
      </c>
      <c r="AN54" s="34">
        <v>0</v>
      </c>
      <c r="AO54" s="34">
        <v>16</v>
      </c>
      <c r="AP54" s="34">
        <v>25</v>
      </c>
      <c r="AQ54" s="34">
        <v>16</v>
      </c>
      <c r="AR54" s="34">
        <v>1</v>
      </c>
      <c r="AS54" s="34">
        <v>0</v>
      </c>
      <c r="AT54" s="34" t="str">
        <v>1P</v>
      </c>
      <c r="AU54" s="34">
        <v>16</v>
      </c>
      <c r="AV54" s="34" t="str">
        <v/>
      </c>
      <c r="AW54" s="34" t="str">
        <v/>
      </c>
      <c r="AX54" s="34" t="str">
        <v/>
      </c>
      <c r="AY54" s="34">
        <v>1</v>
      </c>
      <c r="AZ54" s="34" t="str">
        <v/>
      </c>
      <c r="BA54" s="34">
        <v>0</v>
      </c>
      <c r="BB54" s="34">
        <v>0</v>
      </c>
      <c r="BD54" s="34">
        <v>1</v>
      </c>
      <c r="BE54" s="34">
        <v>0</v>
      </c>
      <c r="BF54" s="34">
        <v>0</v>
      </c>
      <c r="BG54" s="34" t="str">
        <v/>
      </c>
      <c r="BH54" s="34" t="str">
        <v/>
      </c>
      <c r="BI54" s="34" t="str">
        <v/>
      </c>
      <c r="BJ54" s="34" t="str">
        <v/>
      </c>
      <c r="BK54" s="34" t="str">
        <v>BOX</v>
      </c>
      <c r="BL54" s="34">
        <v>1</v>
      </c>
      <c r="BM54" s="34" t="str">
        <v/>
      </c>
      <c r="BN54" s="34" t="str">
        <v/>
      </c>
      <c r="BO54" s="34" t="str">
        <v/>
      </c>
      <c r="BP54" s="34" t="str">
        <v/>
      </c>
      <c r="BQ54" s="34" t="str">
        <v>3х2,5</v>
      </c>
      <c r="BR54" s="34" t="str">
        <v/>
      </c>
      <c r="BS54" s="34" t="str">
        <v/>
      </c>
      <c r="BT54" s="34" t="str">
        <v/>
      </c>
      <c r="BU54" s="34">
        <v>0</v>
      </c>
      <c r="BV54" s="34">
        <v>74</v>
      </c>
      <c r="BW54" s="34">
        <v>1</v>
      </c>
      <c r="BX54" s="34">
        <v>0</v>
      </c>
      <c r="BY54" s="34">
        <v>0</v>
      </c>
      <c r="BZ54">
        <v>4</v>
      </c>
      <c r="CA54" t="str">
        <v>линии</v>
      </c>
    </row>
    <row r="55" spans="1:79" x14ac:dyDescent="0.3">
      <c r="A55" s="39" t="str">
        <v>ЩОВ-001</v>
      </c>
      <c r="B55" s="42">
        <v>45</v>
      </c>
      <c r="C55" s="42">
        <v>3</v>
      </c>
      <c r="D55" s="75" t="str">
        <v/>
      </c>
      <c r="E55" s="75" t="str">
        <v>авто</v>
      </c>
      <c r="F55" s="76" t="str">
        <v/>
      </c>
      <c r="G55" s="47" t="str">
        <v>QF24</v>
      </c>
      <c r="H55" s="47" t="str">
        <v>1P С16А</v>
      </c>
      <c r="I55" s="75" t="str">
        <v/>
      </c>
      <c r="J55" s="76" t="str">
        <v/>
      </c>
      <c r="K55" s="76" t="str">
        <v/>
      </c>
      <c r="L55" s="75" t="str">
        <v/>
      </c>
      <c r="M55" s="49" t="str">
        <v/>
      </c>
      <c r="N55" s="76" t="str">
        <v/>
      </c>
      <c r="O55" s="49" t="str">
        <v/>
      </c>
      <c r="P55" s="77" t="str">
        <v/>
      </c>
      <c r="Q55" s="53" t="str">
        <v>ВВГнг(А)-LS (3х2,5) L=32-2,07%</v>
      </c>
      <c r="R55" s="54" t="str">
        <v>K.9</v>
      </c>
      <c r="S55" s="55" t="str">
        <v>Внешний блок кондиционирования Пом. Венткиосок</v>
      </c>
      <c r="T55" s="56">
        <v>1.9</v>
      </c>
      <c r="U55" s="56">
        <v>10.29</v>
      </c>
      <c r="V55" s="42" t="str">
        <v>L2</v>
      </c>
      <c r="W55" s="57" t="str">
        <v>ok</v>
      </c>
      <c r="X55" s="58" t="str">
        <v/>
      </c>
      <c r="Y55" s="75" t="str">
        <v/>
      </c>
      <c r="Z55" s="59">
        <v>10.284051669940206</v>
      </c>
      <c r="AA55" s="61">
        <v>16</v>
      </c>
      <c r="AB55" s="61">
        <v>25</v>
      </c>
      <c r="AC55" s="61" t="str">
        <v/>
      </c>
      <c r="AD55" s="62" t="str">
        <v>QF24</v>
      </c>
      <c r="AE55" s="62" t="str">
        <v/>
      </c>
      <c r="AF55" s="34">
        <v>24</v>
      </c>
      <c r="AG55" s="34" t="str">
        <v>QF24</v>
      </c>
      <c r="AH55" s="34" t="str">
        <v/>
      </c>
      <c r="AI55" s="34" t="str">
        <v/>
      </c>
      <c r="AJ55" s="34" t="str">
        <v>QF24</v>
      </c>
      <c r="AK55" s="34">
        <v>1</v>
      </c>
      <c r="AL55" s="34" t="str">
        <v>K</v>
      </c>
      <c r="AM55" s="34">
        <v>0</v>
      </c>
      <c r="AN55" s="34">
        <v>0</v>
      </c>
      <c r="AO55" s="34">
        <v>16</v>
      </c>
      <c r="AP55" s="34">
        <v>25</v>
      </c>
      <c r="AQ55" s="34">
        <v>16</v>
      </c>
      <c r="AR55" s="34">
        <v>1</v>
      </c>
      <c r="AS55" s="34">
        <v>0</v>
      </c>
      <c r="AT55" s="34" t="str">
        <v>1P</v>
      </c>
      <c r="AU55" s="34">
        <v>16</v>
      </c>
      <c r="AV55" s="34" t="str">
        <v/>
      </c>
      <c r="AW55" s="34" t="str">
        <v/>
      </c>
      <c r="AX55" s="34" t="str">
        <v/>
      </c>
      <c r="AY55" s="34">
        <v>1</v>
      </c>
      <c r="AZ55" s="34" t="str">
        <v/>
      </c>
      <c r="BA55" s="34">
        <v>0</v>
      </c>
      <c r="BB55" s="34">
        <v>0</v>
      </c>
      <c r="BD55" s="34">
        <v>1</v>
      </c>
      <c r="BE55" s="34">
        <v>0</v>
      </c>
      <c r="BF55" s="34">
        <v>0</v>
      </c>
      <c r="BG55" s="34" t="str">
        <v/>
      </c>
      <c r="BH55" s="34" t="str">
        <v/>
      </c>
      <c r="BI55" s="34" t="str">
        <v/>
      </c>
      <c r="BJ55" s="34" t="str">
        <v/>
      </c>
      <c r="BK55" s="34" t="str">
        <v>BOX</v>
      </c>
      <c r="BL55" s="34">
        <v>1</v>
      </c>
      <c r="BM55" s="34" t="str">
        <v/>
      </c>
      <c r="BN55" s="34" t="str">
        <v/>
      </c>
      <c r="BO55" s="34" t="str">
        <v/>
      </c>
      <c r="BP55" s="34" t="str">
        <v/>
      </c>
      <c r="BQ55" s="34" t="str">
        <v>3х2,5</v>
      </c>
      <c r="BR55" s="34" t="str">
        <v/>
      </c>
      <c r="BS55" s="34" t="str">
        <v/>
      </c>
      <c r="BT55" s="34" t="str">
        <v/>
      </c>
      <c r="BU55" s="34">
        <v>0</v>
      </c>
      <c r="BV55" s="34">
        <v>75</v>
      </c>
      <c r="BW55" s="34">
        <v>1</v>
      </c>
      <c r="BX55" s="34">
        <v>0</v>
      </c>
      <c r="BY55" s="34">
        <v>0</v>
      </c>
      <c r="BZ55">
        <v>4</v>
      </c>
      <c r="CA55" t="str">
        <v>линии</v>
      </c>
    </row>
    <row r="56" spans="1:79" x14ac:dyDescent="0.3">
      <c r="A56" s="39" t="str">
        <v>ЩОВ-001</v>
      </c>
      <c r="B56" s="42">
        <v>46</v>
      </c>
      <c r="C56" s="42">
        <v>3</v>
      </c>
      <c r="D56" s="75" t="str">
        <v/>
      </c>
      <c r="E56" s="75" t="str">
        <v>авто</v>
      </c>
      <c r="F56" s="76" t="str">
        <v/>
      </c>
      <c r="G56" s="47" t="str">
        <v>QF25</v>
      </c>
      <c r="H56" s="47" t="str">
        <v>1P С16А</v>
      </c>
      <c r="I56" s="75" t="str">
        <v/>
      </c>
      <c r="J56" s="76" t="str">
        <v/>
      </c>
      <c r="K56" s="76" t="str">
        <v/>
      </c>
      <c r="L56" s="75" t="str">
        <v/>
      </c>
      <c r="M56" s="49" t="str">
        <v/>
      </c>
      <c r="N56" s="76" t="str">
        <v/>
      </c>
      <c r="O56" s="49" t="str">
        <v/>
      </c>
      <c r="P56" s="77" t="str">
        <v/>
      </c>
      <c r="Q56" s="53" t="str">
        <v>ВВГнг(А)-LS (3х2,5) L=32-2,07%</v>
      </c>
      <c r="R56" s="54" t="str">
        <v>K.10</v>
      </c>
      <c r="S56" s="55" t="str">
        <v>Внешний блок кондиционирования Пом. Венткиосок</v>
      </c>
      <c r="T56" s="56">
        <v>1.9</v>
      </c>
      <c r="U56" s="56">
        <v>10.29</v>
      </c>
      <c r="V56" s="42" t="str">
        <v>L3</v>
      </c>
      <c r="W56" s="57" t="str">
        <v>ok</v>
      </c>
      <c r="X56" s="58" t="str">
        <v/>
      </c>
      <c r="Y56" s="75" t="str">
        <v/>
      </c>
      <c r="Z56" s="59">
        <v>10.284051669940206</v>
      </c>
      <c r="AA56" s="61">
        <v>16</v>
      </c>
      <c r="AB56" s="61">
        <v>25</v>
      </c>
      <c r="AC56" s="61" t="str">
        <v/>
      </c>
      <c r="AD56" s="62" t="str">
        <v>QF25</v>
      </c>
      <c r="AE56" s="62" t="str">
        <v/>
      </c>
      <c r="AF56" s="34">
        <v>25</v>
      </c>
      <c r="AG56" s="34" t="str">
        <v>QF25</v>
      </c>
      <c r="AH56" s="34" t="str">
        <v/>
      </c>
      <c r="AI56" s="34" t="str">
        <v/>
      </c>
      <c r="AJ56" s="34" t="str">
        <v>QF25</v>
      </c>
      <c r="AK56" s="34">
        <v>1</v>
      </c>
      <c r="AL56" s="34" t="str">
        <v>K</v>
      </c>
      <c r="AM56" s="34">
        <v>0</v>
      </c>
      <c r="AN56" s="34">
        <v>0</v>
      </c>
      <c r="AO56" s="34">
        <v>16</v>
      </c>
      <c r="AP56" s="34">
        <v>25</v>
      </c>
      <c r="AQ56" s="34">
        <v>16</v>
      </c>
      <c r="AR56" s="34">
        <v>1</v>
      </c>
      <c r="AS56" s="34">
        <v>0</v>
      </c>
      <c r="AT56" s="34" t="str">
        <v>1P</v>
      </c>
      <c r="AU56" s="34">
        <v>16</v>
      </c>
      <c r="AV56" s="34" t="str">
        <v/>
      </c>
      <c r="AW56" s="34" t="str">
        <v/>
      </c>
      <c r="AX56" s="34" t="str">
        <v/>
      </c>
      <c r="AY56" s="34">
        <v>1</v>
      </c>
      <c r="AZ56" s="34" t="str">
        <v/>
      </c>
      <c r="BA56" s="34">
        <v>0</v>
      </c>
      <c r="BB56" s="34">
        <v>0</v>
      </c>
      <c r="BD56" s="34">
        <v>1</v>
      </c>
      <c r="BE56" s="34">
        <v>0</v>
      </c>
      <c r="BF56" s="34">
        <v>0</v>
      </c>
      <c r="BG56" s="34" t="str">
        <v/>
      </c>
      <c r="BH56" s="34" t="str">
        <v/>
      </c>
      <c r="BI56" s="34" t="str">
        <v/>
      </c>
      <c r="BJ56" s="34" t="str">
        <v/>
      </c>
      <c r="BK56" s="34" t="str">
        <v>BOX</v>
      </c>
      <c r="BL56" s="34">
        <v>1</v>
      </c>
      <c r="BM56" s="34" t="str">
        <v/>
      </c>
      <c r="BN56" s="34" t="str">
        <v/>
      </c>
      <c r="BO56" s="34" t="str">
        <v/>
      </c>
      <c r="BP56" s="34" t="str">
        <v/>
      </c>
      <c r="BQ56" s="34" t="str">
        <v>3х2,5</v>
      </c>
      <c r="BR56" s="34" t="str">
        <v/>
      </c>
      <c r="BS56" s="34" t="str">
        <v/>
      </c>
      <c r="BT56" s="34" t="str">
        <v/>
      </c>
      <c r="BU56" s="34">
        <v>0</v>
      </c>
      <c r="BV56" s="34">
        <v>76</v>
      </c>
      <c r="BW56" s="34">
        <v>1</v>
      </c>
      <c r="BX56" s="34">
        <v>0</v>
      </c>
      <c r="BY56" s="34">
        <v>0</v>
      </c>
      <c r="BZ56">
        <v>4</v>
      </c>
      <c r="CA56" t="str">
        <v>линии</v>
      </c>
    </row>
    <row r="57" spans="1:79" x14ac:dyDescent="0.3">
      <c r="A57" s="39" t="str">
        <v>ЩОВ-001</v>
      </c>
      <c r="B57" s="42">
        <v>47</v>
      </c>
      <c r="C57" s="42">
        <v>3</v>
      </c>
      <c r="D57" s="75" t="str">
        <v/>
      </c>
      <c r="E57" s="75" t="str">
        <v>авто</v>
      </c>
      <c r="F57" s="76" t="str">
        <v/>
      </c>
      <c r="G57" s="47" t="str">
        <v>QF26</v>
      </c>
      <c r="H57" s="47" t="str">
        <v>1P С16А</v>
      </c>
      <c r="I57" s="75" t="str">
        <v/>
      </c>
      <c r="J57" s="76" t="str">
        <v/>
      </c>
      <c r="K57" s="76" t="str">
        <v/>
      </c>
      <c r="L57" s="75" t="str">
        <v/>
      </c>
      <c r="M57" s="49" t="str">
        <v/>
      </c>
      <c r="N57" s="76" t="str">
        <v/>
      </c>
      <c r="O57" s="49" t="str">
        <v/>
      </c>
      <c r="P57" s="77" t="str">
        <v/>
      </c>
      <c r="Q57" s="53" t="str">
        <v>ВВГнг(А)-LS (3х2,5) L=32-2,07%</v>
      </c>
      <c r="R57" s="54" t="str">
        <v>K.11</v>
      </c>
      <c r="S57" s="55" t="str">
        <v>Внешний блок кондиционирования Пом. Венткиосок</v>
      </c>
      <c r="T57" s="56">
        <v>1.9</v>
      </c>
      <c r="U57" s="56">
        <v>10.29</v>
      </c>
      <c r="V57" s="42" t="str">
        <v>L1</v>
      </c>
      <c r="W57" s="57" t="str">
        <v>ok</v>
      </c>
      <c r="X57" s="58" t="str">
        <v/>
      </c>
      <c r="Y57" s="75" t="str">
        <v/>
      </c>
      <c r="Z57" s="59">
        <v>10.284051669940206</v>
      </c>
      <c r="AA57" s="61">
        <v>16</v>
      </c>
      <c r="AB57" s="61">
        <v>25</v>
      </c>
      <c r="AC57" s="61" t="str">
        <v/>
      </c>
      <c r="AD57" s="62" t="str">
        <v>QF26</v>
      </c>
      <c r="AE57" s="62" t="str">
        <v/>
      </c>
      <c r="AF57" s="34">
        <v>26</v>
      </c>
      <c r="AG57" s="34" t="str">
        <v>QF26</v>
      </c>
      <c r="AH57" s="34" t="str">
        <v/>
      </c>
      <c r="AI57" s="34" t="str">
        <v/>
      </c>
      <c r="AJ57" s="34" t="str">
        <v>QF26</v>
      </c>
      <c r="AK57" s="34">
        <v>1</v>
      </c>
      <c r="AL57" s="34" t="str">
        <v>K</v>
      </c>
      <c r="AM57" s="34">
        <v>0</v>
      </c>
      <c r="AN57" s="34">
        <v>0</v>
      </c>
      <c r="AO57" s="34">
        <v>16</v>
      </c>
      <c r="AP57" s="34">
        <v>25</v>
      </c>
      <c r="AQ57" s="34">
        <v>16</v>
      </c>
      <c r="AR57" s="34">
        <v>1</v>
      </c>
      <c r="AS57" s="34">
        <v>0</v>
      </c>
      <c r="AT57" s="34" t="str">
        <v>1P</v>
      </c>
      <c r="AU57" s="34">
        <v>16</v>
      </c>
      <c r="AV57" s="34" t="str">
        <v/>
      </c>
      <c r="AW57" s="34" t="str">
        <v/>
      </c>
      <c r="AX57" s="34" t="str">
        <v/>
      </c>
      <c r="AY57" s="34">
        <v>1</v>
      </c>
      <c r="AZ57" s="34" t="str">
        <v/>
      </c>
      <c r="BA57" s="34">
        <v>0</v>
      </c>
      <c r="BB57" s="34">
        <v>0</v>
      </c>
      <c r="BD57" s="34">
        <v>1</v>
      </c>
      <c r="BE57" s="34">
        <v>0</v>
      </c>
      <c r="BF57" s="34">
        <v>0</v>
      </c>
      <c r="BG57" s="34" t="str">
        <v/>
      </c>
      <c r="BH57" s="34" t="str">
        <v/>
      </c>
      <c r="BI57" s="34" t="str">
        <v/>
      </c>
      <c r="BJ57" s="34" t="str">
        <v/>
      </c>
      <c r="BK57" s="34" t="str">
        <v>BOX</v>
      </c>
      <c r="BL57" s="34">
        <v>1</v>
      </c>
      <c r="BM57" s="34" t="str">
        <v/>
      </c>
      <c r="BN57" s="34" t="str">
        <v/>
      </c>
      <c r="BO57" s="34" t="str">
        <v/>
      </c>
      <c r="BP57" s="34" t="str">
        <v/>
      </c>
      <c r="BQ57" s="34" t="str">
        <v>3х2,5</v>
      </c>
      <c r="BR57" s="34" t="str">
        <v/>
      </c>
      <c r="BS57" s="34" t="str">
        <v/>
      </c>
      <c r="BT57" s="34" t="str">
        <v/>
      </c>
      <c r="BU57" s="34">
        <v>0</v>
      </c>
      <c r="BV57" s="34">
        <v>77</v>
      </c>
      <c r="BW57" s="34">
        <v>1</v>
      </c>
      <c r="BX57" s="34">
        <v>0</v>
      </c>
      <c r="BY57" s="34">
        <v>0</v>
      </c>
      <c r="BZ57">
        <v>4</v>
      </c>
      <c r="CA57" t="str">
        <v>линии</v>
      </c>
    </row>
    <row r="58" spans="1:79" x14ac:dyDescent="0.3">
      <c r="A58" s="39" t="str">
        <v>ЩОВ-001</v>
      </c>
      <c r="B58" s="42">
        <v>51</v>
      </c>
      <c r="C58" s="42">
        <v>3</v>
      </c>
      <c r="D58" s="75" t="str">
        <v/>
      </c>
      <c r="E58" s="75" t="str">
        <v>авто</v>
      </c>
      <c r="F58" s="76" t="str">
        <v/>
      </c>
      <c r="G58" s="47" t="str">
        <v>QF27</v>
      </c>
      <c r="H58" s="47" t="str">
        <v>3P С63А</v>
      </c>
      <c r="I58" s="75" t="str">
        <v/>
      </c>
      <c r="J58" s="76" t="str">
        <v/>
      </c>
      <c r="K58" s="76" t="str">
        <v/>
      </c>
      <c r="L58" s="75" t="str">
        <v/>
      </c>
      <c r="M58" s="49" t="str">
        <v/>
      </c>
      <c r="N58" s="76" t="str">
        <v/>
      </c>
      <c r="O58" s="49" t="str">
        <v/>
      </c>
      <c r="P58" s="77" t="str">
        <v/>
      </c>
      <c r="Q58" s="53" t="str">
        <v>ВВГнг(А)-LS (5х25) L=34-0,57%</v>
      </c>
      <c r="R58" s="54" t="str">
        <v>ККБ-1</v>
      </c>
      <c r="S58" s="55" t="str">
        <v>Внешний блок кондиционирования Пом. Венткиосок</v>
      </c>
      <c r="T58" s="56">
        <v>28</v>
      </c>
      <c r="U58" s="56">
        <v>50.519999999999996</v>
      </c>
      <c r="V58" s="42" t="str">
        <v>L1,L2,L3</v>
      </c>
      <c r="W58" s="57" t="str">
        <v>ok</v>
      </c>
      <c r="X58" s="58" t="str">
        <v/>
      </c>
      <c r="Y58" s="75" t="str">
        <v/>
      </c>
      <c r="Z58" s="59">
        <v>50.518148554092257</v>
      </c>
      <c r="AA58" s="61">
        <v>63</v>
      </c>
      <c r="AB58" s="61">
        <v>80</v>
      </c>
      <c r="AC58" s="61" t="str">
        <v/>
      </c>
      <c r="AD58" s="62" t="str">
        <v>QF27</v>
      </c>
      <c r="AE58" s="62" t="str">
        <v/>
      </c>
      <c r="AF58" s="34">
        <v>27</v>
      </c>
      <c r="AG58" s="34" t="str">
        <v>QF27</v>
      </c>
      <c r="AH58" s="34" t="str">
        <v/>
      </c>
      <c r="AI58" s="34" t="str">
        <v/>
      </c>
      <c r="AJ58" s="34" t="str">
        <v>QF27</v>
      </c>
      <c r="AK58" s="34">
        <v>3</v>
      </c>
      <c r="AL58" s="34" t="str">
        <v>ККБ-1</v>
      </c>
      <c r="AM58" s="34">
        <v>0</v>
      </c>
      <c r="AN58" s="34">
        <v>0</v>
      </c>
      <c r="AO58" s="34">
        <v>63</v>
      </c>
      <c r="AP58" s="34">
        <v>80</v>
      </c>
      <c r="AQ58" s="34">
        <v>63</v>
      </c>
      <c r="AR58" s="34">
        <v>3</v>
      </c>
      <c r="AS58" s="34">
        <v>0</v>
      </c>
      <c r="AT58" s="34" t="str">
        <v>3P</v>
      </c>
      <c r="AU58" s="34">
        <v>63</v>
      </c>
      <c r="AV58" s="34" t="str">
        <v/>
      </c>
      <c r="AW58" s="34" t="str">
        <v/>
      </c>
      <c r="AX58" s="34" t="str">
        <v/>
      </c>
      <c r="AY58" s="34">
        <v>1</v>
      </c>
      <c r="AZ58" s="34" t="str">
        <v/>
      </c>
      <c r="BA58" s="34">
        <v>0</v>
      </c>
      <c r="BB58" s="34">
        <v>0</v>
      </c>
      <c r="BD58" s="34">
        <v>1</v>
      </c>
      <c r="BE58" s="34">
        <v>0</v>
      </c>
      <c r="BF58" s="34">
        <v>0</v>
      </c>
      <c r="BG58" s="34" t="str">
        <v/>
      </c>
      <c r="BH58" s="34" t="str">
        <v/>
      </c>
      <c r="BI58" s="34" t="str">
        <v/>
      </c>
      <c r="BJ58" s="34" t="str">
        <v/>
      </c>
      <c r="BK58" s="34" t="str">
        <v>BOX</v>
      </c>
      <c r="BL58" s="34">
        <v>1</v>
      </c>
      <c r="BM58" s="34" t="str">
        <v/>
      </c>
      <c r="BN58" s="34" t="str">
        <v/>
      </c>
      <c r="BO58" s="34" t="str">
        <v/>
      </c>
      <c r="BP58" s="34" t="str">
        <v/>
      </c>
      <c r="BQ58" s="34" t="str">
        <v>5х25</v>
      </c>
      <c r="BR58" s="34">
        <v>12</v>
      </c>
      <c r="BS58" s="34" t="str">
        <v/>
      </c>
      <c r="BT58" s="34" t="str">
        <v/>
      </c>
      <c r="BU58" s="34">
        <v>0</v>
      </c>
      <c r="BV58" s="34">
        <v>78</v>
      </c>
      <c r="BW58" s="34">
        <v>1</v>
      </c>
      <c r="BX58" s="34">
        <v>2</v>
      </c>
      <c r="BY58" s="34" t="str">
        <v/>
      </c>
      <c r="BZ58">
        <v>4</v>
      </c>
      <c r="CA58" t="str">
        <v>линии</v>
      </c>
    </row>
    <row r="59" spans="1:79" x14ac:dyDescent="0.3">
      <c r="A59" s="39" t="str">
        <v>ЩОВ-001</v>
      </c>
      <c r="B59" s="42">
        <v>52</v>
      </c>
      <c r="C59" s="42">
        <v>4</v>
      </c>
      <c r="D59" s="75" t="str">
        <v/>
      </c>
      <c r="E59" s="75" t="str">
        <v>авто</v>
      </c>
      <c r="F59" s="76" t="str">
        <v/>
      </c>
      <c r="G59" s="47" t="str">
        <v>QF28</v>
      </c>
      <c r="H59" s="47" t="str">
        <v>3P С63А</v>
      </c>
      <c r="I59" s="75" t="str">
        <v/>
      </c>
      <c r="J59" s="76" t="str">
        <v/>
      </c>
      <c r="K59" s="76" t="str">
        <v/>
      </c>
      <c r="L59" s="75" t="str">
        <v/>
      </c>
      <c r="M59" s="49" t="str">
        <v/>
      </c>
      <c r="N59" s="76" t="str">
        <v/>
      </c>
      <c r="O59" s="49" t="str">
        <v/>
      </c>
      <c r="P59" s="77" t="str">
        <v>XT28</v>
      </c>
      <c r="Q59" s="53" t="str">
        <v>ВВГнг(А)-LS (5х25) L=37-0,62%</v>
      </c>
      <c r="R59" s="54" t="str">
        <v>ККБ-2</v>
      </c>
      <c r="S59" s="55" t="str">
        <v>Внешний блок кондиционирования Пом. Венткиосок</v>
      </c>
      <c r="T59" s="56">
        <v>28</v>
      </c>
      <c r="U59" s="56">
        <v>50.519999999999996</v>
      </c>
      <c r="V59" s="42" t="str">
        <v>L1,L2,L3</v>
      </c>
      <c r="W59" s="57" t="str">
        <v>ok</v>
      </c>
      <c r="X59" s="58" t="str">
        <v/>
      </c>
      <c r="Y59" s="75" t="str">
        <v/>
      </c>
      <c r="Z59" s="59">
        <v>50.518148554092257</v>
      </c>
      <c r="AA59" s="61">
        <v>63</v>
      </c>
      <c r="AB59" s="61">
        <v>80</v>
      </c>
      <c r="AC59" s="61" t="str">
        <v/>
      </c>
      <c r="AD59" s="62" t="str">
        <v>QF28 → XT28</v>
      </c>
      <c r="AE59" s="62" t="str">
        <v/>
      </c>
      <c r="AF59" s="34">
        <v>28</v>
      </c>
      <c r="AG59" s="34" t="str">
        <v>QF28</v>
      </c>
      <c r="AH59" s="34" t="str">
        <v/>
      </c>
      <c r="AI59" s="34" t="str">
        <v/>
      </c>
      <c r="AJ59" s="34" t="str">
        <v>QF28</v>
      </c>
      <c r="AK59" s="34">
        <v>3</v>
      </c>
      <c r="AL59" s="34" t="str">
        <v>ККБ-2</v>
      </c>
      <c r="AM59" s="34">
        <v>0</v>
      </c>
      <c r="AN59" s="34">
        <v>0</v>
      </c>
      <c r="AO59" s="34">
        <v>63</v>
      </c>
      <c r="AP59" s="34">
        <v>80</v>
      </c>
      <c r="AQ59" s="34">
        <v>63</v>
      </c>
      <c r="AR59" s="34">
        <v>3</v>
      </c>
      <c r="AS59" s="34">
        <v>0</v>
      </c>
      <c r="AT59" s="34" t="str">
        <v>3P</v>
      </c>
      <c r="AU59" s="34">
        <v>63</v>
      </c>
      <c r="AV59" s="34" t="str">
        <v/>
      </c>
      <c r="AW59" s="34" t="str">
        <v/>
      </c>
      <c r="AX59" s="34" t="str">
        <v/>
      </c>
      <c r="AY59" s="34">
        <v>1</v>
      </c>
      <c r="AZ59" s="34" t="str">
        <v/>
      </c>
      <c r="BA59" s="34">
        <v>0</v>
      </c>
      <c r="BB59" s="34">
        <v>0</v>
      </c>
      <c r="BD59" s="34">
        <v>1</v>
      </c>
      <c r="BE59" s="34">
        <v>0</v>
      </c>
      <c r="BF59" s="34">
        <v>0</v>
      </c>
      <c r="BG59" s="34" t="str">
        <v/>
      </c>
      <c r="BH59" s="34" t="str">
        <v/>
      </c>
      <c r="BI59" s="34" t="str">
        <v/>
      </c>
      <c r="BJ59" s="34" t="str">
        <v/>
      </c>
      <c r="BK59" s="34" t="str">
        <v>BOX</v>
      </c>
      <c r="BL59" s="34">
        <v>1</v>
      </c>
      <c r="BM59" s="34" t="str">
        <v/>
      </c>
      <c r="BN59" s="34" t="str">
        <v/>
      </c>
      <c r="BO59" s="34" t="str">
        <v/>
      </c>
      <c r="BP59" s="34" t="str">
        <v/>
      </c>
      <c r="BQ59" s="34" t="str">
        <v>5х25</v>
      </c>
      <c r="BR59" s="34" t="str">
        <v/>
      </c>
      <c r="BS59" s="34" t="str">
        <v/>
      </c>
      <c r="BT59" s="34" t="str">
        <v/>
      </c>
      <c r="BU59" s="34">
        <v>0</v>
      </c>
      <c r="BV59" s="34">
        <v>79</v>
      </c>
      <c r="BW59" s="34">
        <v>1</v>
      </c>
      <c r="BX59" s="34">
        <v>2</v>
      </c>
      <c r="BY59" s="34" t="str">
        <v/>
      </c>
      <c r="BZ59">
        <v>4</v>
      </c>
      <c r="CA59" t="str">
        <v>линии</v>
      </c>
    </row>
    <row r="60" spans="1:79" x14ac:dyDescent="0.3">
      <c r="A60" s="39" t="str">
        <v>ЩОВ-001</v>
      </c>
      <c r="B60" s="42">
        <v>53</v>
      </c>
      <c r="C60" s="42">
        <v>4</v>
      </c>
      <c r="D60" s="75" t="str">
        <v/>
      </c>
      <c r="E60" s="75" t="str">
        <v>авто</v>
      </c>
      <c r="F60" s="76" t="str">
        <v/>
      </c>
      <c r="G60" s="47" t="str">
        <v>QF29</v>
      </c>
      <c r="H60" s="47" t="str">
        <v>3P С63А</v>
      </c>
      <c r="I60" s="75" t="str">
        <v/>
      </c>
      <c r="J60" s="76" t="str">
        <v/>
      </c>
      <c r="K60" s="76" t="str">
        <v/>
      </c>
      <c r="L60" s="75" t="str">
        <v/>
      </c>
      <c r="M60" s="49" t="str">
        <v/>
      </c>
      <c r="N60" s="76" t="str">
        <v/>
      </c>
      <c r="O60" s="49" t="str">
        <v/>
      </c>
      <c r="P60" s="77" t="str">
        <v>XT29</v>
      </c>
      <c r="Q60" s="53" t="str">
        <v>ВВГнг(А)-LS (5х25) L=51-0,85%</v>
      </c>
      <c r="R60" s="54" t="str">
        <v>НБ-1</v>
      </c>
      <c r="S60" s="55" t="str">
        <v>Внешний блок кондиционирования Пом. Венткиосок</v>
      </c>
      <c r="T60" s="56">
        <v>27.79</v>
      </c>
      <c r="U60" s="56">
        <v>50.14</v>
      </c>
      <c r="V60" s="42" t="str">
        <v>L1,L2,L3</v>
      </c>
      <c r="W60" s="57" t="str">
        <v>ok</v>
      </c>
      <c r="X60" s="58" t="str">
        <v/>
      </c>
      <c r="Y60" s="75" t="str">
        <v/>
      </c>
      <c r="Z60" s="59">
        <v>50.139262439936559</v>
      </c>
      <c r="AA60" s="61">
        <v>63</v>
      </c>
      <c r="AB60" s="61">
        <v>80</v>
      </c>
      <c r="AC60" s="61" t="str">
        <v/>
      </c>
      <c r="AD60" s="62" t="str">
        <v>QF29 → XT29</v>
      </c>
      <c r="AE60" s="62" t="str">
        <v/>
      </c>
      <c r="AF60" s="34">
        <v>29</v>
      </c>
      <c r="AG60" s="34" t="str">
        <v>QF29</v>
      </c>
      <c r="AH60" s="34" t="str">
        <v/>
      </c>
      <c r="AI60" s="34" t="str">
        <v/>
      </c>
      <c r="AJ60" s="34" t="str">
        <v>QF29</v>
      </c>
      <c r="AK60" s="34">
        <v>3</v>
      </c>
      <c r="AL60" s="34" t="str">
        <v>НБ-1</v>
      </c>
      <c r="AM60" s="34">
        <v>0</v>
      </c>
      <c r="AN60" s="34">
        <v>0</v>
      </c>
      <c r="AO60" s="34">
        <v>63</v>
      </c>
      <c r="AP60" s="34">
        <v>80</v>
      </c>
      <c r="AQ60" s="34">
        <v>63</v>
      </c>
      <c r="AR60" s="34">
        <v>3</v>
      </c>
      <c r="AS60" s="34">
        <v>0</v>
      </c>
      <c r="AT60" s="34" t="str">
        <v>3P</v>
      </c>
      <c r="AU60" s="34">
        <v>63</v>
      </c>
      <c r="AV60" s="34" t="str">
        <v/>
      </c>
      <c r="AW60" s="34" t="str">
        <v/>
      </c>
      <c r="AX60" s="34" t="str">
        <v/>
      </c>
      <c r="AY60" s="34">
        <v>1</v>
      </c>
      <c r="AZ60" s="34" t="str">
        <v/>
      </c>
      <c r="BA60" s="34">
        <v>0</v>
      </c>
      <c r="BB60" s="34">
        <v>0</v>
      </c>
      <c r="BD60" s="34">
        <v>1</v>
      </c>
      <c r="BE60" s="34">
        <v>0</v>
      </c>
      <c r="BF60" s="34">
        <v>0</v>
      </c>
      <c r="BG60" s="34" t="str">
        <v/>
      </c>
      <c r="BH60" s="34" t="str">
        <v/>
      </c>
      <c r="BI60" s="34" t="str">
        <v/>
      </c>
      <c r="BJ60" s="34" t="str">
        <v/>
      </c>
      <c r="BK60" s="34" t="str">
        <v>MOTOR</v>
      </c>
      <c r="BL60" s="34">
        <v>1</v>
      </c>
      <c r="BM60" s="34" t="str">
        <v/>
      </c>
      <c r="BN60" s="34" t="str">
        <v/>
      </c>
      <c r="BO60" s="34" t="str">
        <v/>
      </c>
      <c r="BP60" s="34" t="str">
        <v/>
      </c>
      <c r="BQ60" s="34" t="str">
        <v>5х25</v>
      </c>
      <c r="BR60" s="34" t="str">
        <v/>
      </c>
      <c r="BS60" s="34" t="str">
        <v/>
      </c>
      <c r="BT60" s="34" t="str">
        <v/>
      </c>
      <c r="BU60" s="34">
        <v>0</v>
      </c>
      <c r="BV60" s="34">
        <v>80</v>
      </c>
      <c r="BW60" s="34">
        <v>1</v>
      </c>
      <c r="BX60" s="34">
        <v>2</v>
      </c>
      <c r="BY60" s="34" t="str">
        <v>Привод (двигатель)</v>
      </c>
      <c r="BZ60">
        <v>4</v>
      </c>
      <c r="CA60" t="str">
        <v>линии</v>
      </c>
    </row>
    <row r="61" spans="1:79" x14ac:dyDescent="0.3">
      <c r="A61" s="39" t="str">
        <v>ЩОВ-001</v>
      </c>
      <c r="B61" s="42">
        <v>61</v>
      </c>
      <c r="C61" s="42">
        <v>4</v>
      </c>
      <c r="D61" s="75" t="str">
        <v/>
      </c>
      <c r="E61" s="75" t="str">
        <v>авто</v>
      </c>
      <c r="F61" s="76" t="str">
        <v/>
      </c>
      <c r="G61" s="47" t="str">
        <v>QF30</v>
      </c>
      <c r="H61" s="47" t="str">
        <v>3P С63А</v>
      </c>
      <c r="I61" s="75" t="str">
        <v/>
      </c>
      <c r="J61" s="76" t="str">
        <v/>
      </c>
      <c r="K61" s="76" t="str">
        <v/>
      </c>
      <c r="L61" s="75" t="str">
        <v/>
      </c>
      <c r="M61" s="49" t="str">
        <v/>
      </c>
      <c r="N61" s="76" t="str">
        <v/>
      </c>
      <c r="O61" s="49" t="str">
        <v/>
      </c>
      <c r="P61" s="77" t="str">
        <v>XT30</v>
      </c>
      <c r="Q61" s="53" t="str">
        <v>ВВГнг(А)-LS (5х25) L=36-0,6%</v>
      </c>
      <c r="R61" s="54" t="str">
        <v>ККБ-3</v>
      </c>
      <c r="S61" s="55" t="str">
        <v>Внешний блок кондиционирования Пом. Венткиосок</v>
      </c>
      <c r="T61" s="56">
        <v>28</v>
      </c>
      <c r="U61" s="56">
        <v>50.519999999999996</v>
      </c>
      <c r="V61" s="42" t="str">
        <v>L1,L2,L3</v>
      </c>
      <c r="W61" s="57" t="str">
        <v>ok</v>
      </c>
      <c r="X61" s="58" t="str">
        <v/>
      </c>
      <c r="Y61" s="75" t="str">
        <v/>
      </c>
      <c r="Z61" s="59">
        <v>50.518148554092257</v>
      </c>
      <c r="AA61" s="61">
        <v>63</v>
      </c>
      <c r="AB61" s="61">
        <v>80</v>
      </c>
      <c r="AC61" s="61" t="str">
        <v/>
      </c>
      <c r="AD61" s="62" t="str">
        <v>QF30 → XT30</v>
      </c>
      <c r="AE61" s="62" t="str">
        <v/>
      </c>
      <c r="AF61" s="34">
        <v>30</v>
      </c>
      <c r="AG61" s="34" t="str">
        <v>QF30</v>
      </c>
      <c r="AH61" s="34" t="str">
        <v/>
      </c>
      <c r="AI61" s="34" t="str">
        <v/>
      </c>
      <c r="AJ61" s="34" t="str">
        <v>QF30</v>
      </c>
      <c r="AK61" s="34">
        <v>3</v>
      </c>
      <c r="AL61" s="34" t="str">
        <v>ККБ-3</v>
      </c>
      <c r="AM61" s="34">
        <v>0</v>
      </c>
      <c r="AN61" s="34">
        <v>0</v>
      </c>
      <c r="AO61" s="34">
        <v>63</v>
      </c>
      <c r="AP61" s="34">
        <v>80</v>
      </c>
      <c r="AQ61" s="34">
        <v>63</v>
      </c>
      <c r="AR61" s="34">
        <v>3</v>
      </c>
      <c r="AS61" s="34">
        <v>0</v>
      </c>
      <c r="AT61" s="34" t="str">
        <v>3P</v>
      </c>
      <c r="AU61" s="34">
        <v>63</v>
      </c>
      <c r="AV61" s="34" t="str">
        <v/>
      </c>
      <c r="AW61" s="34" t="str">
        <v/>
      </c>
      <c r="AX61" s="34" t="str">
        <v/>
      </c>
      <c r="AY61" s="34">
        <v>1</v>
      </c>
      <c r="AZ61" s="34" t="str">
        <v/>
      </c>
      <c r="BA61" s="34">
        <v>0</v>
      </c>
      <c r="BB61" s="34">
        <v>0</v>
      </c>
      <c r="BD61" s="34">
        <v>1</v>
      </c>
      <c r="BE61" s="34">
        <v>0</v>
      </c>
      <c r="BF61" s="34">
        <v>0</v>
      </c>
      <c r="BG61" s="34" t="str">
        <v/>
      </c>
      <c r="BH61" s="34" t="str">
        <v/>
      </c>
      <c r="BI61" s="34" t="str">
        <v/>
      </c>
      <c r="BJ61" s="34" t="str">
        <v/>
      </c>
      <c r="BK61" s="34" t="str">
        <v>BOX</v>
      </c>
      <c r="BL61" s="34">
        <v>1</v>
      </c>
      <c r="BM61" s="34" t="str">
        <v/>
      </c>
      <c r="BN61" s="34" t="str">
        <v/>
      </c>
      <c r="BO61" s="34" t="str">
        <v/>
      </c>
      <c r="BP61" s="34" t="str">
        <v/>
      </c>
      <c r="BQ61" s="34" t="str">
        <v>5х25</v>
      </c>
      <c r="BR61" s="34" t="str">
        <v/>
      </c>
      <c r="BS61" s="34" t="str">
        <v/>
      </c>
      <c r="BT61" s="34" t="str">
        <v/>
      </c>
      <c r="BU61" s="34">
        <v>0</v>
      </c>
      <c r="BV61" s="34">
        <v>81</v>
      </c>
      <c r="BW61" s="34">
        <v>1</v>
      </c>
      <c r="BX61" s="34">
        <v>2</v>
      </c>
      <c r="BY61" s="34" t="str">
        <v/>
      </c>
      <c r="BZ61">
        <v>4</v>
      </c>
      <c r="CA61" t="str">
        <v>линии</v>
      </c>
    </row>
    <row r="62" spans="1:79" x14ac:dyDescent="0.3">
      <c r="A62" s="39" t="str">
        <v>ЩОВ-001</v>
      </c>
      <c r="B62" s="42">
        <v>62</v>
      </c>
      <c r="C62" s="42">
        <v>4</v>
      </c>
      <c r="D62" s="75" t="str">
        <v/>
      </c>
      <c r="E62" s="75" t="str">
        <v>авто</v>
      </c>
      <c r="F62" s="76" t="str">
        <v/>
      </c>
      <c r="G62" s="47" t="str">
        <v>QF31</v>
      </c>
      <c r="H62" s="47" t="str">
        <v>3P С63А</v>
      </c>
      <c r="I62" s="75" t="str">
        <v/>
      </c>
      <c r="J62" s="76" t="str">
        <v/>
      </c>
      <c r="K62" s="76" t="str">
        <v/>
      </c>
      <c r="L62" s="75" t="str">
        <v/>
      </c>
      <c r="M62" s="49" t="str">
        <v/>
      </c>
      <c r="N62" s="76" t="str">
        <v/>
      </c>
      <c r="O62" s="49" t="str">
        <v/>
      </c>
      <c r="P62" s="77" t="str">
        <v>XT31</v>
      </c>
      <c r="Q62" s="53" t="str">
        <v>ВВГнг(А)-LS (5х25) L=40-0,67%</v>
      </c>
      <c r="R62" s="54" t="str">
        <v>ККБ-4</v>
      </c>
      <c r="S62" s="55" t="str">
        <v>Внешний блок кондиционирования Пом. Венткиосок</v>
      </c>
      <c r="T62" s="56">
        <v>28</v>
      </c>
      <c r="U62" s="56">
        <v>50.519999999999996</v>
      </c>
      <c r="V62" s="42" t="str">
        <v>L1,L2,L3</v>
      </c>
      <c r="W62" s="57" t="str">
        <v>ok</v>
      </c>
      <c r="X62" s="58" t="str">
        <v/>
      </c>
      <c r="Y62" s="75" t="str">
        <v/>
      </c>
      <c r="Z62" s="59">
        <v>50.518148554092257</v>
      </c>
      <c r="AA62" s="61">
        <v>63</v>
      </c>
      <c r="AB62" s="61">
        <v>80</v>
      </c>
      <c r="AC62" s="61" t="str">
        <v/>
      </c>
      <c r="AD62" s="62" t="str">
        <v>QF31 → XT31</v>
      </c>
      <c r="AE62" s="62" t="str">
        <v/>
      </c>
      <c r="AF62" s="34">
        <v>31</v>
      </c>
      <c r="AG62" s="34" t="str">
        <v>QF31</v>
      </c>
      <c r="AH62" s="34" t="str">
        <v/>
      </c>
      <c r="AI62" s="34" t="str">
        <v/>
      </c>
      <c r="AJ62" s="34" t="str">
        <v>QF31</v>
      </c>
      <c r="AK62" s="34">
        <v>3</v>
      </c>
      <c r="AL62" s="34" t="str">
        <v>ККБ-4</v>
      </c>
      <c r="AM62" s="34">
        <v>0</v>
      </c>
      <c r="AN62" s="34">
        <v>0</v>
      </c>
      <c r="AO62" s="34">
        <v>63</v>
      </c>
      <c r="AP62" s="34">
        <v>80</v>
      </c>
      <c r="AQ62" s="34">
        <v>63</v>
      </c>
      <c r="AR62" s="34">
        <v>3</v>
      </c>
      <c r="AS62" s="34">
        <v>0</v>
      </c>
      <c r="AT62" s="34" t="str">
        <v>3P</v>
      </c>
      <c r="AU62" s="34">
        <v>63</v>
      </c>
      <c r="AV62" s="34" t="str">
        <v/>
      </c>
      <c r="AW62" s="34" t="str">
        <v/>
      </c>
      <c r="AX62" s="34" t="str">
        <v/>
      </c>
      <c r="AY62" s="34">
        <v>1</v>
      </c>
      <c r="AZ62" s="34" t="str">
        <v/>
      </c>
      <c r="BA62" s="34">
        <v>0</v>
      </c>
      <c r="BB62" s="34">
        <v>0</v>
      </c>
      <c r="BD62" s="34">
        <v>1</v>
      </c>
      <c r="BE62" s="34">
        <v>0</v>
      </c>
      <c r="BF62" s="34">
        <v>0</v>
      </c>
      <c r="BG62" s="34" t="str">
        <v/>
      </c>
      <c r="BH62" s="34" t="str">
        <v/>
      </c>
      <c r="BI62" s="34" t="str">
        <v/>
      </c>
      <c r="BJ62" s="34" t="str">
        <v/>
      </c>
      <c r="BK62" s="34" t="str">
        <v>BOX</v>
      </c>
      <c r="BL62" s="34">
        <v>1</v>
      </c>
      <c r="BM62" s="34" t="str">
        <v/>
      </c>
      <c r="BN62" s="34" t="str">
        <v/>
      </c>
      <c r="BO62" s="34" t="str">
        <v/>
      </c>
      <c r="BP62" s="34" t="str">
        <v/>
      </c>
      <c r="BQ62" s="34" t="str">
        <v>5х25</v>
      </c>
      <c r="BR62" s="34" t="str">
        <v/>
      </c>
      <c r="BS62" s="34" t="str">
        <v/>
      </c>
      <c r="BT62" s="34" t="str">
        <v/>
      </c>
      <c r="BU62" s="34">
        <v>0</v>
      </c>
      <c r="BV62" s="34">
        <v>82</v>
      </c>
      <c r="BW62" s="34">
        <v>1</v>
      </c>
      <c r="BX62" s="34">
        <v>2</v>
      </c>
      <c r="BY62" s="34" t="str">
        <v/>
      </c>
      <c r="BZ62">
        <v>4</v>
      </c>
      <c r="CA62" t="str">
        <v>линии</v>
      </c>
    </row>
    <row r="63" spans="1:79" x14ac:dyDescent="0.3">
      <c r="A63" s="39" t="str">
        <v>ЩОВ-001</v>
      </c>
      <c r="B63" s="42">
        <v>63</v>
      </c>
      <c r="C63" s="42">
        <v>4</v>
      </c>
      <c r="D63" s="75" t="str">
        <v/>
      </c>
      <c r="E63" s="75" t="str">
        <v>авто</v>
      </c>
      <c r="F63" s="76" t="str">
        <v/>
      </c>
      <c r="G63" s="47" t="str">
        <v>QF32</v>
      </c>
      <c r="H63" s="47" t="str">
        <v>3P С63А</v>
      </c>
      <c r="I63" s="75" t="str">
        <v/>
      </c>
      <c r="J63" s="76" t="str">
        <v/>
      </c>
      <c r="K63" s="76" t="str">
        <v/>
      </c>
      <c r="L63" s="75" t="str">
        <v/>
      </c>
      <c r="M63" s="49" t="str">
        <v/>
      </c>
      <c r="N63" s="76" t="str">
        <v/>
      </c>
      <c r="O63" s="49" t="str">
        <v/>
      </c>
      <c r="P63" s="77" t="str">
        <v>XT32</v>
      </c>
      <c r="Q63" s="53" t="str">
        <v>ВВГнг(А)-LS (5х25) L=44-0,73%</v>
      </c>
      <c r="R63" s="54" t="str">
        <v>НБ-2</v>
      </c>
      <c r="S63" s="55" t="str">
        <v>Внешний блок кондиционирования Пом. Венткиосок</v>
      </c>
      <c r="T63" s="56">
        <v>27.79</v>
      </c>
      <c r="U63" s="56">
        <v>50.14</v>
      </c>
      <c r="V63" s="42" t="str">
        <v>L1,L2,L3</v>
      </c>
      <c r="W63" s="57" t="str">
        <v>ok</v>
      </c>
      <c r="X63" s="58" t="str">
        <v/>
      </c>
      <c r="Y63" s="75" t="str">
        <v/>
      </c>
      <c r="Z63" s="59">
        <v>50.139262439936559</v>
      </c>
      <c r="AA63" s="61">
        <v>63</v>
      </c>
      <c r="AB63" s="61">
        <v>80</v>
      </c>
      <c r="AC63" s="61" t="str">
        <v/>
      </c>
      <c r="AD63" s="62" t="str">
        <v>QF32 → XT32</v>
      </c>
      <c r="AE63" s="62" t="str">
        <v/>
      </c>
      <c r="AF63" s="34">
        <v>32</v>
      </c>
      <c r="AG63" s="34" t="str">
        <v>QF32</v>
      </c>
      <c r="AH63" s="34" t="str">
        <v/>
      </c>
      <c r="AI63" s="34" t="str">
        <v/>
      </c>
      <c r="AJ63" s="34" t="str">
        <v>QF32</v>
      </c>
      <c r="AK63" s="34">
        <v>3</v>
      </c>
      <c r="AL63" s="34" t="str">
        <v>НБ-2</v>
      </c>
      <c r="AM63" s="34">
        <v>0</v>
      </c>
      <c r="AN63" s="34">
        <v>0</v>
      </c>
      <c r="AO63" s="34">
        <v>63</v>
      </c>
      <c r="AP63" s="34">
        <v>80</v>
      </c>
      <c r="AQ63" s="34">
        <v>63</v>
      </c>
      <c r="AR63" s="34">
        <v>3</v>
      </c>
      <c r="AS63" s="34">
        <v>0</v>
      </c>
      <c r="AT63" s="34" t="str">
        <v>3P</v>
      </c>
      <c r="AU63" s="34">
        <v>63</v>
      </c>
      <c r="AV63" s="34" t="str">
        <v/>
      </c>
      <c r="AW63" s="34" t="str">
        <v/>
      </c>
      <c r="AX63" s="34" t="str">
        <v/>
      </c>
      <c r="AY63" s="34">
        <v>1</v>
      </c>
      <c r="AZ63" s="34" t="str">
        <v/>
      </c>
      <c r="BA63" s="34">
        <v>0</v>
      </c>
      <c r="BB63" s="34">
        <v>0</v>
      </c>
      <c r="BD63" s="34">
        <v>1</v>
      </c>
      <c r="BE63" s="34">
        <v>0</v>
      </c>
      <c r="BF63" s="34">
        <v>0</v>
      </c>
      <c r="BG63" s="34" t="str">
        <v/>
      </c>
      <c r="BH63" s="34" t="str">
        <v/>
      </c>
      <c r="BI63" s="34" t="str">
        <v/>
      </c>
      <c r="BJ63" s="34" t="str">
        <v/>
      </c>
      <c r="BK63" s="34" t="str">
        <v>MOTOR</v>
      </c>
      <c r="BL63" s="34">
        <v>1</v>
      </c>
      <c r="BM63" s="34" t="str">
        <v/>
      </c>
      <c r="BN63" s="34" t="str">
        <v/>
      </c>
      <c r="BO63" s="34" t="str">
        <v/>
      </c>
      <c r="BP63" s="34" t="str">
        <v/>
      </c>
      <c r="BQ63" s="34" t="str">
        <v>5х25</v>
      </c>
      <c r="BR63" s="34" t="str">
        <v/>
      </c>
      <c r="BS63" s="34" t="str">
        <v/>
      </c>
      <c r="BT63" s="34" t="str">
        <v/>
      </c>
      <c r="BU63" s="34">
        <v>0</v>
      </c>
      <c r="BV63" s="34">
        <v>83</v>
      </c>
      <c r="BW63" s="34">
        <v>1</v>
      </c>
      <c r="BX63" s="34">
        <v>2</v>
      </c>
      <c r="BY63" s="34" t="str">
        <v>Привод (двигатель)</v>
      </c>
      <c r="BZ63">
        <v>4</v>
      </c>
      <c r="CA63" t="str">
        <v>линии</v>
      </c>
    </row>
    <row r="64" spans="1:79" x14ac:dyDescent="0.3">
      <c r="A64" s="39" t="str">
        <v>ЩОВ-001</v>
      </c>
      <c r="B64" s="42">
        <v>64</v>
      </c>
      <c r="C64" s="42">
        <v>4</v>
      </c>
      <c r="D64" s="75" t="str">
        <v/>
      </c>
      <c r="E64" s="75" t="str">
        <v>авто</v>
      </c>
      <c r="F64" s="76" t="str">
        <v/>
      </c>
      <c r="G64" s="47" t="str">
        <v>QF33</v>
      </c>
      <c r="H64" s="47" t="str">
        <v>3P С25А</v>
      </c>
      <c r="I64" s="75" t="str">
        <v/>
      </c>
      <c r="J64" s="76" t="str">
        <v/>
      </c>
      <c r="K64" s="76" t="str">
        <v/>
      </c>
      <c r="L64" s="75" t="str">
        <v/>
      </c>
      <c r="M64" s="49" t="str">
        <v/>
      </c>
      <c r="N64" s="76" t="str">
        <v/>
      </c>
      <c r="O64" s="49" t="str">
        <v/>
      </c>
      <c r="P64" s="77" t="str">
        <v>XT33</v>
      </c>
      <c r="Q64" s="53" t="str">
        <v>ВВГнг(А)-LS (5х6) L=47-1,2%</v>
      </c>
      <c r="R64" s="54" t="str">
        <v>НБ-3</v>
      </c>
      <c r="S64" s="55" t="str">
        <v>Внешний блок кондиционирования Пом. Венткиосок</v>
      </c>
      <c r="T64" s="56">
        <v>10.69</v>
      </c>
      <c r="U64" s="56">
        <v>19.290000000000003</v>
      </c>
      <c r="V64" s="42" t="str">
        <v>L1,L2,L3</v>
      </c>
      <c r="W64" s="57" t="str">
        <v>ok</v>
      </c>
      <c r="X64" s="58" t="str">
        <v/>
      </c>
      <c r="Y64" s="75" t="str">
        <v/>
      </c>
      <c r="Z64" s="59">
        <v>19.287107430115935</v>
      </c>
      <c r="AA64" s="61">
        <v>25</v>
      </c>
      <c r="AB64" s="61">
        <v>32</v>
      </c>
      <c r="AC64" s="61" t="str">
        <v/>
      </c>
      <c r="AD64" s="62" t="str">
        <v>QF33 → XT33</v>
      </c>
      <c r="AE64" s="62" t="str">
        <v/>
      </c>
      <c r="AF64" s="34">
        <v>33</v>
      </c>
      <c r="AG64" s="34" t="str">
        <v>QF33</v>
      </c>
      <c r="AH64" s="34" t="str">
        <v/>
      </c>
      <c r="AI64" s="34" t="str">
        <v/>
      </c>
      <c r="AJ64" s="34" t="str">
        <v>QF33</v>
      </c>
      <c r="AK64" s="34">
        <v>3</v>
      </c>
      <c r="AL64" s="34" t="str">
        <v>НБ-3</v>
      </c>
      <c r="AM64" s="34">
        <v>0</v>
      </c>
      <c r="AN64" s="34">
        <v>0</v>
      </c>
      <c r="AO64" s="34">
        <v>25</v>
      </c>
      <c r="AP64" s="34">
        <v>32</v>
      </c>
      <c r="AQ64" s="34">
        <v>25</v>
      </c>
      <c r="AR64" s="34">
        <v>3</v>
      </c>
      <c r="AS64" s="34">
        <v>0</v>
      </c>
      <c r="AT64" s="34" t="str">
        <v>3P</v>
      </c>
      <c r="AU64" s="34">
        <v>25</v>
      </c>
      <c r="AV64" s="34" t="str">
        <v/>
      </c>
      <c r="AW64" s="34" t="str">
        <v/>
      </c>
      <c r="AX64" s="34" t="str">
        <v/>
      </c>
      <c r="AY64" s="34">
        <v>1</v>
      </c>
      <c r="AZ64" s="34" t="str">
        <v/>
      </c>
      <c r="BA64" s="34">
        <v>0</v>
      </c>
      <c r="BB64" s="34">
        <v>0</v>
      </c>
      <c r="BD64" s="34">
        <v>1</v>
      </c>
      <c r="BE64" s="34">
        <v>0</v>
      </c>
      <c r="BF64" s="34">
        <v>0</v>
      </c>
      <c r="BG64" s="34" t="str">
        <v/>
      </c>
      <c r="BH64" s="34" t="str">
        <v/>
      </c>
      <c r="BI64" s="34" t="str">
        <v/>
      </c>
      <c r="BJ64" s="34" t="str">
        <v/>
      </c>
      <c r="BK64" s="34" t="str">
        <v>MOTOR</v>
      </c>
      <c r="BL64" s="34">
        <v>1</v>
      </c>
      <c r="BM64" s="34" t="str">
        <v/>
      </c>
      <c r="BN64" s="34" t="str">
        <v/>
      </c>
      <c r="BO64" s="34" t="str">
        <v/>
      </c>
      <c r="BP64" s="34" t="str">
        <v/>
      </c>
      <c r="BQ64" s="34" t="str">
        <v>5х6</v>
      </c>
      <c r="BR64" s="34" t="str">
        <v/>
      </c>
      <c r="BS64" s="34" t="str">
        <v/>
      </c>
      <c r="BT64" s="34" t="str">
        <v/>
      </c>
      <c r="BU64" s="34">
        <v>0</v>
      </c>
      <c r="BV64" s="34">
        <v>84</v>
      </c>
      <c r="BW64" s="34">
        <v>1</v>
      </c>
      <c r="BX64" s="34">
        <v>2</v>
      </c>
      <c r="BY64" s="34" t="str">
        <v>Привод (двигатель)</v>
      </c>
      <c r="BZ64">
        <v>4</v>
      </c>
      <c r="CA64" t="str">
        <v>линии</v>
      </c>
    </row>
    <row r="65" spans="1:79" x14ac:dyDescent="0.3">
      <c r="A65" s="39" t="str">
        <v>ЩОВ-001</v>
      </c>
      <c r="B65" s="42">
        <v>65</v>
      </c>
      <c r="C65" s="42">
        <v>4</v>
      </c>
      <c r="D65" s="75" t="str">
        <v/>
      </c>
      <c r="E65" s="75" t="str">
        <v>авто</v>
      </c>
      <c r="F65" s="76" t="str">
        <v/>
      </c>
      <c r="G65" s="47" t="str">
        <v>QF34</v>
      </c>
      <c r="H65" s="47" t="str">
        <v>3P С16А</v>
      </c>
      <c r="I65" s="75" t="str">
        <v/>
      </c>
      <c r="J65" s="76" t="str">
        <v/>
      </c>
      <c r="K65" s="76" t="str">
        <v/>
      </c>
      <c r="L65" s="75" t="str">
        <v/>
      </c>
      <c r="M65" s="49" t="str">
        <v/>
      </c>
      <c r="N65" s="76" t="str">
        <v/>
      </c>
      <c r="O65" s="49" t="str">
        <v/>
      </c>
      <c r="P65" s="77" t="str">
        <v>XT34</v>
      </c>
      <c r="Q65" s="53" t="str">
        <v>ВВГнг(А)-LS (5х4) L=45-0,93%</v>
      </c>
      <c r="R65" s="54" t="str">
        <v>НБ-4</v>
      </c>
      <c r="S65" s="55" t="str">
        <v>Внешний блок кондиционирования Пом. Венткиосок</v>
      </c>
      <c r="T65" s="56">
        <v>5.8</v>
      </c>
      <c r="U65" s="56">
        <v>10.47</v>
      </c>
      <c r="V65" s="42" t="str">
        <v>L1,L2,L3</v>
      </c>
      <c r="W65" s="57" t="str">
        <v>ok</v>
      </c>
      <c r="X65" s="58" t="str">
        <v/>
      </c>
      <c r="Y65" s="75" t="str">
        <v/>
      </c>
      <c r="Z65" s="59">
        <v>10.464473629061967</v>
      </c>
      <c r="AA65" s="61">
        <v>16</v>
      </c>
      <c r="AB65" s="61">
        <v>32</v>
      </c>
      <c r="AC65" s="61" t="str">
        <v/>
      </c>
      <c r="AD65" s="62" t="str">
        <v>QF34 → XT34</v>
      </c>
      <c r="AE65" s="62" t="str">
        <v/>
      </c>
      <c r="AF65" s="34">
        <v>34</v>
      </c>
      <c r="AG65" s="34" t="str">
        <v>QF34</v>
      </c>
      <c r="AH65" s="34" t="str">
        <v/>
      </c>
      <c r="AI65" s="34" t="str">
        <v/>
      </c>
      <c r="AJ65" s="34" t="str">
        <v>QF34</v>
      </c>
      <c r="AK65" s="34">
        <v>3</v>
      </c>
      <c r="AL65" s="34" t="str">
        <v>НБ-4</v>
      </c>
      <c r="AM65" s="34">
        <v>0</v>
      </c>
      <c r="AN65" s="34">
        <v>0</v>
      </c>
      <c r="AO65" s="34">
        <v>16</v>
      </c>
      <c r="AP65" s="34">
        <v>32</v>
      </c>
      <c r="AQ65" s="34">
        <v>16</v>
      </c>
      <c r="AR65" s="34">
        <v>3</v>
      </c>
      <c r="AS65" s="34">
        <v>0</v>
      </c>
      <c r="AT65" s="34" t="str">
        <v>3P</v>
      </c>
      <c r="AU65" s="34">
        <v>16</v>
      </c>
      <c r="AV65" s="34" t="str">
        <v/>
      </c>
      <c r="AW65" s="34" t="str">
        <v/>
      </c>
      <c r="AX65" s="34" t="str">
        <v/>
      </c>
      <c r="AY65" s="34">
        <v>1</v>
      </c>
      <c r="AZ65" s="34" t="str">
        <v/>
      </c>
      <c r="BA65" s="34">
        <v>0</v>
      </c>
      <c r="BB65" s="34">
        <v>0</v>
      </c>
      <c r="BD65" s="34">
        <v>1</v>
      </c>
      <c r="BE65" s="34">
        <v>0</v>
      </c>
      <c r="BF65" s="34">
        <v>0</v>
      </c>
      <c r="BG65" s="34" t="str">
        <v/>
      </c>
      <c r="BH65" s="34" t="str">
        <v/>
      </c>
      <c r="BI65" s="34" t="str">
        <v/>
      </c>
      <c r="BJ65" s="34" t="str">
        <v/>
      </c>
      <c r="BK65" s="34" t="str">
        <v>MOTOR</v>
      </c>
      <c r="BL65" s="34">
        <v>1</v>
      </c>
      <c r="BM65" s="34" t="str">
        <v/>
      </c>
      <c r="BN65" s="34" t="str">
        <v/>
      </c>
      <c r="BO65" s="34" t="str">
        <v/>
      </c>
      <c r="BP65" s="34" t="str">
        <v/>
      </c>
      <c r="BQ65" s="34" t="str">
        <v>5х4</v>
      </c>
      <c r="BR65" s="34" t="str">
        <v/>
      </c>
      <c r="BS65" s="34" t="str">
        <v/>
      </c>
      <c r="BT65" s="34" t="str">
        <v/>
      </c>
      <c r="BU65" s="34">
        <v>0</v>
      </c>
      <c r="BV65" s="34">
        <v>85</v>
      </c>
      <c r="BW65" s="34">
        <v>1</v>
      </c>
      <c r="BX65" s="34">
        <v>2</v>
      </c>
      <c r="BY65" s="34" t="str">
        <v>Привод (двигатель)</v>
      </c>
      <c r="BZ65">
        <v>4</v>
      </c>
      <c r="CA65" t="str">
        <v>линии</v>
      </c>
    </row>
    <row r="66" spans="1:79" x14ac:dyDescent="0.3">
      <c r="A66" s="39" t="str">
        <v>ЩОВ-002</v>
      </c>
      <c r="B66" s="42">
        <v>2</v>
      </c>
      <c r="C66" s="42">
        <v>1</v>
      </c>
      <c r="D66" s="75" t="str">
        <v/>
      </c>
      <c r="E66" s="75" t="str">
        <v>авто</v>
      </c>
      <c r="F66" s="76" t="str">
        <v/>
      </c>
      <c r="G66" s="47" t="str">
        <v/>
      </c>
      <c r="H66" s="47" t="str">
        <v>3P С16А</v>
      </c>
      <c r="I66" s="75" t="str">
        <v/>
      </c>
      <c r="J66" s="76" t="str">
        <v/>
      </c>
      <c r="K66" s="76" t="str">
        <v/>
      </c>
      <c r="L66" s="75" t="str">
        <v/>
      </c>
      <c r="M66" s="49" t="str">
        <v/>
      </c>
      <c r="N66" s="76" t="str">
        <v/>
      </c>
      <c r="O66" s="49" t="str">
        <v/>
      </c>
      <c r="P66" s="77" t="str">
        <v/>
      </c>
      <c r="Q66" s="53" t="str">
        <v>ВВГнг(А)-LS (5х4) L=34-0,55%</v>
      </c>
      <c r="R66" s="54" t="str">
        <v>Ввод.1</v>
      </c>
      <c r="S66" s="55" t="str">
        <v>Ввод</v>
      </c>
      <c r="T66" s="56">
        <v>0</v>
      </c>
      <c r="U66" s="56">
        <v>8.1199999999999992</v>
      </c>
      <c r="V66" s="42" t="str">
        <v>L1,L2,L3</v>
      </c>
      <c r="W66" s="57" t="str">
        <v>ok</v>
      </c>
      <c r="X66" s="58" t="str">
        <v/>
      </c>
      <c r="Y66" s="75" t="str">
        <v>вручную</v>
      </c>
      <c r="Z66" s="59">
        <v>8.1189881604791125</v>
      </c>
      <c r="AA66" s="61">
        <v>10</v>
      </c>
      <c r="AB66" s="61">
        <v>32</v>
      </c>
      <c r="AC66" s="61" t="str">
        <v/>
      </c>
      <c r="AD66" s="62" t="str">
        <v/>
      </c>
      <c r="AE66" s="62" t="str">
        <v/>
      </c>
      <c r="AF66" s="34" t="str">
        <v/>
      </c>
      <c r="AG66" s="34" t="str">
        <v/>
      </c>
      <c r="AH66" s="34" t="str">
        <v/>
      </c>
      <c r="AI66" s="34" t="str">
        <v/>
      </c>
      <c r="AJ66" s="34" t="str">
        <v/>
      </c>
      <c r="AK66" s="34">
        <v>3</v>
      </c>
      <c r="AL66" s="34" t="str">
        <v>Ввод</v>
      </c>
      <c r="AM66" s="34">
        <v>0</v>
      </c>
      <c r="AN66" s="34">
        <v>0</v>
      </c>
      <c r="AO66" s="34">
        <v>10</v>
      </c>
      <c r="AP66" s="34">
        <v>32</v>
      </c>
      <c r="AQ66" s="34">
        <v>16</v>
      </c>
      <c r="AR66" s="34">
        <v>3</v>
      </c>
      <c r="AS66" s="34">
        <v>0</v>
      </c>
      <c r="AT66" s="34" t="str">
        <v>3P</v>
      </c>
      <c r="AU66" s="34">
        <v>16</v>
      </c>
      <c r="AV66" s="34" t="str">
        <v/>
      </c>
      <c r="AW66" s="34" t="str">
        <v/>
      </c>
      <c r="AX66" s="34" t="str">
        <v/>
      </c>
      <c r="AY66" s="34">
        <v>0</v>
      </c>
      <c r="AZ66" s="34" t="str">
        <v/>
      </c>
      <c r="BA66" s="34">
        <v>0</v>
      </c>
      <c r="BB66" s="34">
        <v>0</v>
      </c>
      <c r="BD66" s="34">
        <v>0</v>
      </c>
      <c r="BE66" s="34">
        <v>0</v>
      </c>
      <c r="BF66" s="34">
        <v>0</v>
      </c>
      <c r="BG66" s="34" t="str">
        <v/>
      </c>
      <c r="BH66" s="34" t="str">
        <v/>
      </c>
      <c r="BI66" s="34" t="str">
        <v/>
      </c>
      <c r="BJ66" s="34" t="str">
        <v/>
      </c>
      <c r="BK66" s="34" t="str">
        <v>BOX</v>
      </c>
      <c r="BL66" s="34">
        <v>1</v>
      </c>
      <c r="BM66" s="34" t="str">
        <v/>
      </c>
      <c r="BN66" s="34" t="str">
        <v/>
      </c>
      <c r="BO66" s="34" t="str">
        <v/>
      </c>
      <c r="BP66" s="34" t="str">
        <v/>
      </c>
      <c r="BQ66" s="34" t="str">
        <v/>
      </c>
      <c r="BR66" s="34" t="str">
        <v/>
      </c>
      <c r="BS66" s="34" t="str">
        <v/>
      </c>
      <c r="BT66" s="34" t="str">
        <v/>
      </c>
      <c r="BU66" s="34">
        <v>0</v>
      </c>
      <c r="BV66" s="34">
        <v>86</v>
      </c>
      <c r="BW66" s="34">
        <v>0</v>
      </c>
      <c r="BX66" s="34">
        <v>0</v>
      </c>
      <c r="BY66" s="34">
        <v>0</v>
      </c>
      <c r="BZ66">
        <v>5</v>
      </c>
      <c r="CA66" t="str">
        <v>вводной узел</v>
      </c>
    </row>
    <row r="67" spans="1:79" x14ac:dyDescent="0.3">
      <c r="A67" s="39" t="str">
        <v>ЩОВ-002</v>
      </c>
      <c r="B67" s="42">
        <v>35</v>
      </c>
      <c r="C67" s="42">
        <v>3</v>
      </c>
      <c r="D67" s="75" t="str">
        <v/>
      </c>
      <c r="E67" s="75" t="str">
        <v>авто</v>
      </c>
      <c r="F67" s="76" t="str">
        <v/>
      </c>
      <c r="G67" s="47" t="str">
        <v>QF1</v>
      </c>
      <c r="H67" s="47" t="str">
        <v>1P С10А</v>
      </c>
      <c r="I67" s="75" t="str">
        <v/>
      </c>
      <c r="J67" s="76" t="str">
        <v/>
      </c>
      <c r="K67" s="76" t="str">
        <v/>
      </c>
      <c r="L67" s="75" t="str">
        <v/>
      </c>
      <c r="M67" s="49" t="str">
        <v/>
      </c>
      <c r="N67" s="76" t="str">
        <v/>
      </c>
      <c r="O67" s="49" t="str">
        <v/>
      </c>
      <c r="P67" s="77" t="str">
        <v/>
      </c>
      <c r="Q67" s="53" t="str">
        <v>ВВГнг(А)-LS (3х1,5) L=23-0,72%</v>
      </c>
      <c r="R67" s="54" t="str">
        <v>В.7</v>
      </c>
      <c r="S67" s="55" t="str">
        <v>Вытяжная установка Шлейф Подвальный этаж Пом. №003Т</v>
      </c>
      <c r="T67" s="56">
        <v>0.55000000000000004</v>
      </c>
      <c r="U67" s="56">
        <v>2.98</v>
      </c>
      <c r="V67" s="42" t="str">
        <v>L1</v>
      </c>
      <c r="W67" s="57" t="str">
        <v>ok</v>
      </c>
      <c r="X67" s="58" t="str">
        <v/>
      </c>
      <c r="Y67" s="75" t="str">
        <v/>
      </c>
      <c r="Z67" s="59">
        <v>2.9769623255090076</v>
      </c>
      <c r="AA67" s="61">
        <v>6</v>
      </c>
      <c r="AB67" s="61">
        <v>16</v>
      </c>
      <c r="AC67" s="61" t="str">
        <v/>
      </c>
      <c r="AD67" s="62" t="str">
        <v>QF1</v>
      </c>
      <c r="AE67" s="62" t="str">
        <v/>
      </c>
      <c r="AF67" s="34">
        <v>1</v>
      </c>
      <c r="AG67" s="34" t="str">
        <v>QF1</v>
      </c>
      <c r="AH67" s="34" t="str">
        <v/>
      </c>
      <c r="AI67" s="34" t="str">
        <v/>
      </c>
      <c r="AJ67" s="34" t="str">
        <v>QF1</v>
      </c>
      <c r="AK67" s="34">
        <v>1</v>
      </c>
      <c r="AL67" s="34" t="str">
        <v>В</v>
      </c>
      <c r="AM67" s="34">
        <v>0</v>
      </c>
      <c r="AN67" s="34">
        <v>0</v>
      </c>
      <c r="AO67" s="34">
        <v>6</v>
      </c>
      <c r="AP67" s="34">
        <v>16</v>
      </c>
      <c r="AQ67" s="34">
        <v>10</v>
      </c>
      <c r="AR67" s="34">
        <v>1</v>
      </c>
      <c r="AS67" s="34">
        <v>0</v>
      </c>
      <c r="AT67" s="34" t="str">
        <v>1P</v>
      </c>
      <c r="AU67" s="34">
        <v>10</v>
      </c>
      <c r="AV67" s="34" t="str">
        <v/>
      </c>
      <c r="AW67" s="34" t="str">
        <v/>
      </c>
      <c r="AX67" s="34" t="str">
        <v/>
      </c>
      <c r="AY67" s="34">
        <v>1</v>
      </c>
      <c r="AZ67" s="34" t="str">
        <v/>
      </c>
      <c r="BA67" s="34">
        <v>0</v>
      </c>
      <c r="BB67" s="34">
        <v>0</v>
      </c>
      <c r="BD67" s="34">
        <v>1</v>
      </c>
      <c r="BE67" s="34">
        <v>0</v>
      </c>
      <c r="BF67" s="34">
        <v>0</v>
      </c>
      <c r="BG67" s="34" t="str">
        <v/>
      </c>
      <c r="BH67" s="34" t="str">
        <v/>
      </c>
      <c r="BI67" s="34" t="str">
        <v/>
      </c>
      <c r="BJ67" s="34" t="str">
        <v/>
      </c>
      <c r="BK67" s="34" t="str">
        <v>MOTOR</v>
      </c>
      <c r="BL67" s="34">
        <v>1</v>
      </c>
      <c r="BM67" s="34" t="str">
        <v/>
      </c>
      <c r="BN67" s="34" t="str">
        <v/>
      </c>
      <c r="BO67" s="34" t="str">
        <v/>
      </c>
      <c r="BP67" s="34" t="str">
        <v/>
      </c>
      <c r="BQ67" s="34" t="str">
        <v>3х1,5</v>
      </c>
      <c r="BR67" s="34" t="str">
        <v/>
      </c>
      <c r="BS67" s="34" t="str">
        <v/>
      </c>
      <c r="BT67" s="34" t="str">
        <v/>
      </c>
      <c r="BU67" s="34">
        <v>0</v>
      </c>
      <c r="BV67" s="34">
        <v>87</v>
      </c>
      <c r="BW67" s="34">
        <v>1</v>
      </c>
      <c r="BX67" s="34">
        <v>0</v>
      </c>
      <c r="BY67" s="34" t="str">
        <v>Привод (двигатель)</v>
      </c>
      <c r="BZ67">
        <v>5</v>
      </c>
      <c r="CA67" t="str">
        <v>линии</v>
      </c>
    </row>
    <row r="68" spans="1:79" x14ac:dyDescent="0.3">
      <c r="A68" s="39" t="str">
        <v>ЩОВ-002</v>
      </c>
      <c r="B68" s="42">
        <v>36</v>
      </c>
      <c r="C68" s="42">
        <v>3</v>
      </c>
      <c r="D68" s="75" t="str">
        <v/>
      </c>
      <c r="E68" s="75" t="str">
        <v>авто</v>
      </c>
      <c r="F68" s="76" t="str">
        <v/>
      </c>
      <c r="G68" s="47" t="str">
        <v>QF2</v>
      </c>
      <c r="H68" s="47" t="str">
        <v>1P С16А</v>
      </c>
      <c r="I68" s="75" t="str">
        <v/>
      </c>
      <c r="J68" s="76" t="str">
        <v/>
      </c>
      <c r="K68" s="76" t="str">
        <v/>
      </c>
      <c r="L68" s="75" t="str">
        <v/>
      </c>
      <c r="M68" s="49" t="str">
        <v/>
      </c>
      <c r="N68" s="76" t="str">
        <v/>
      </c>
      <c r="O68" s="49" t="str">
        <v/>
      </c>
      <c r="P68" s="77" t="str">
        <v>XT2</v>
      </c>
      <c r="Q68" s="53" t="str">
        <v>ВВГнг(А)-LS (3х2,5) L=19-1,36%</v>
      </c>
      <c r="R68" s="54" t="str">
        <v>ПВ.1</v>
      </c>
      <c r="S68" s="55" t="str">
        <v>Приточно-вытяжная установка Подвальный этаж Пом. №003Т</v>
      </c>
      <c r="T68" s="56">
        <v>2.1</v>
      </c>
      <c r="U68" s="56">
        <v>11.37</v>
      </c>
      <c r="V68" s="42" t="str">
        <v>L2</v>
      </c>
      <c r="W68" s="57" t="str">
        <v>ok</v>
      </c>
      <c r="X68" s="58" t="str">
        <v/>
      </c>
      <c r="Y68" s="75" t="str">
        <v/>
      </c>
      <c r="Z68" s="59">
        <v>11.366583424670756</v>
      </c>
      <c r="AA68" s="61">
        <v>16</v>
      </c>
      <c r="AB68" s="61">
        <v>25</v>
      </c>
      <c r="AC68" s="61" t="str">
        <v/>
      </c>
      <c r="AD68" s="62" t="str">
        <v>QF2 → XT2</v>
      </c>
      <c r="AE68" s="62" t="str">
        <v/>
      </c>
      <c r="AF68" s="34">
        <v>2</v>
      </c>
      <c r="AG68" s="34" t="str">
        <v>QF2</v>
      </c>
      <c r="AH68" s="34" t="str">
        <v/>
      </c>
      <c r="AI68" s="34" t="str">
        <v/>
      </c>
      <c r="AJ68" s="34" t="str">
        <v>QF2</v>
      </c>
      <c r="AK68" s="34">
        <v>1</v>
      </c>
      <c r="AL68" s="34" t="str">
        <v>ПВ</v>
      </c>
      <c r="AM68" s="34">
        <v>0</v>
      </c>
      <c r="AN68" s="34">
        <v>0</v>
      </c>
      <c r="AO68" s="34">
        <v>16</v>
      </c>
      <c r="AP68" s="34">
        <v>25</v>
      </c>
      <c r="AQ68" s="34">
        <v>16</v>
      </c>
      <c r="AR68" s="34">
        <v>1</v>
      </c>
      <c r="AS68" s="34">
        <v>0</v>
      </c>
      <c r="AT68" s="34" t="str">
        <v>1P</v>
      </c>
      <c r="AU68" s="34">
        <v>16</v>
      </c>
      <c r="AV68" s="34" t="str">
        <v/>
      </c>
      <c r="AW68" s="34" t="str">
        <v/>
      </c>
      <c r="AX68" s="34" t="str">
        <v/>
      </c>
      <c r="AY68" s="34">
        <v>1</v>
      </c>
      <c r="AZ68" s="34" t="str">
        <v/>
      </c>
      <c r="BA68" s="34">
        <v>0</v>
      </c>
      <c r="BB68" s="34">
        <v>0</v>
      </c>
      <c r="BD68" s="34">
        <v>1</v>
      </c>
      <c r="BE68" s="34">
        <v>0</v>
      </c>
      <c r="BF68" s="34">
        <v>0</v>
      </c>
      <c r="BG68" s="34" t="str">
        <v/>
      </c>
      <c r="BH68" s="34" t="str">
        <v/>
      </c>
      <c r="BI68" s="34" t="str">
        <v/>
      </c>
      <c r="BJ68" s="34" t="str">
        <v/>
      </c>
      <c r="BK68" s="34" t="str">
        <v>MOTOR</v>
      </c>
      <c r="BL68" s="34">
        <v>1</v>
      </c>
      <c r="BM68" s="34" t="str">
        <v/>
      </c>
      <c r="BN68" s="34" t="str">
        <v/>
      </c>
      <c r="BO68" s="34" t="str">
        <v/>
      </c>
      <c r="BP68" s="34" t="str">
        <v/>
      </c>
      <c r="BQ68" s="34" t="str">
        <v>3х2,5</v>
      </c>
      <c r="BR68" s="34" t="str">
        <v/>
      </c>
      <c r="BS68" s="34" t="str">
        <v/>
      </c>
      <c r="BT68" s="34" t="str">
        <v/>
      </c>
      <c r="BU68" s="34">
        <v>0</v>
      </c>
      <c r="BV68" s="34">
        <v>88</v>
      </c>
      <c r="BW68" s="34">
        <v>1</v>
      </c>
      <c r="BX68" s="34">
        <v>0</v>
      </c>
      <c r="BY68" s="34" t="str">
        <v>Привод (двигатель)</v>
      </c>
      <c r="BZ68">
        <v>5</v>
      </c>
      <c r="CA68" t="str">
        <v>линии</v>
      </c>
    </row>
    <row r="69" spans="1:79" x14ac:dyDescent="0.3">
      <c r="A69" s="39" t="str">
        <v>ЩОВ-002</v>
      </c>
      <c r="B69" s="42">
        <v>37</v>
      </c>
      <c r="C69" s="42">
        <v>3</v>
      </c>
      <c r="D69" s="75" t="str">
        <v/>
      </c>
      <c r="E69" s="75" t="str">
        <v>авто</v>
      </c>
      <c r="F69" s="76" t="str">
        <v/>
      </c>
      <c r="G69" s="47" t="str">
        <v>QF3</v>
      </c>
      <c r="H69" s="47" t="str">
        <v>1P С10А</v>
      </c>
      <c r="I69" s="75" t="str">
        <v/>
      </c>
      <c r="J69" s="76" t="str">
        <v/>
      </c>
      <c r="K69" s="76" t="str">
        <v/>
      </c>
      <c r="L69" s="75" t="str">
        <v/>
      </c>
      <c r="M69" s="49" t="str">
        <v/>
      </c>
      <c r="N69" s="76" t="str">
        <v/>
      </c>
      <c r="O69" s="49" t="str">
        <v/>
      </c>
      <c r="P69" s="77" t="str">
        <v/>
      </c>
      <c r="Q69" s="53" t="str">
        <v>ВВГнг(А)-LS (3х1,5) L=16-0,32%</v>
      </c>
      <c r="R69" s="54" t="str">
        <v>ПВ.К</v>
      </c>
      <c r="S69" s="55" t="str">
        <v>Приточно-вытяжная установка Подвальный этаж Пом. №003Т</v>
      </c>
      <c r="T69" s="56">
        <v>0.35</v>
      </c>
      <c r="U69" s="56">
        <v>1.9</v>
      </c>
      <c r="V69" s="42" t="str">
        <v>L1</v>
      </c>
      <c r="W69" s="57" t="str">
        <v>ok</v>
      </c>
      <c r="X69" s="58" t="str">
        <v/>
      </c>
      <c r="Y69" s="75" t="str">
        <v/>
      </c>
      <c r="Z69" s="59">
        <v>1.894430570778459</v>
      </c>
      <c r="AA69" s="61">
        <v>6</v>
      </c>
      <c r="AB69" s="61">
        <v>16</v>
      </c>
      <c r="AC69" s="61" t="str">
        <v/>
      </c>
      <c r="AD69" s="62" t="str">
        <v>QF3</v>
      </c>
      <c r="AE69" s="62" t="str">
        <v/>
      </c>
      <c r="AF69" s="34">
        <v>3</v>
      </c>
      <c r="AG69" s="34" t="str">
        <v>QF3</v>
      </c>
      <c r="AH69" s="34" t="str">
        <v/>
      </c>
      <c r="AI69" s="34" t="str">
        <v/>
      </c>
      <c r="AJ69" s="34" t="str">
        <v>QF3</v>
      </c>
      <c r="AK69" s="34">
        <v>1</v>
      </c>
      <c r="AL69" s="34" t="str">
        <v>ПВ</v>
      </c>
      <c r="AM69" s="34">
        <v>0</v>
      </c>
      <c r="AN69" s="34">
        <v>0</v>
      </c>
      <c r="AO69" s="34">
        <v>6</v>
      </c>
      <c r="AP69" s="34">
        <v>16</v>
      </c>
      <c r="AQ69" s="34">
        <v>10</v>
      </c>
      <c r="AR69" s="34">
        <v>1</v>
      </c>
      <c r="AS69" s="34">
        <v>0</v>
      </c>
      <c r="AT69" s="34" t="str">
        <v>1P</v>
      </c>
      <c r="AU69" s="34">
        <v>10</v>
      </c>
      <c r="AV69" s="34" t="str">
        <v/>
      </c>
      <c r="AW69" s="34" t="str">
        <v/>
      </c>
      <c r="AX69" s="34" t="str">
        <v/>
      </c>
      <c r="AY69" s="34">
        <v>1</v>
      </c>
      <c r="AZ69" s="34" t="str">
        <v/>
      </c>
      <c r="BA69" s="34">
        <v>0</v>
      </c>
      <c r="BB69" s="34">
        <v>0</v>
      </c>
      <c r="BD69" s="34">
        <v>1</v>
      </c>
      <c r="BE69" s="34">
        <v>0</v>
      </c>
      <c r="BF69" s="34">
        <v>0</v>
      </c>
      <c r="BG69" s="34" t="str">
        <v/>
      </c>
      <c r="BH69" s="34" t="str">
        <v/>
      </c>
      <c r="BI69" s="34" t="str">
        <v/>
      </c>
      <c r="BJ69" s="34" t="str">
        <v/>
      </c>
      <c r="BK69" s="34" t="str">
        <v>MOTOR</v>
      </c>
      <c r="BL69" s="34">
        <v>1</v>
      </c>
      <c r="BM69" s="34" t="str">
        <v/>
      </c>
      <c r="BN69" s="34" t="str">
        <v/>
      </c>
      <c r="BO69" s="34" t="str">
        <v/>
      </c>
      <c r="BP69" s="34" t="str">
        <v/>
      </c>
      <c r="BQ69" s="34" t="str">
        <v>3х1,5</v>
      </c>
      <c r="BR69" s="34" t="str">
        <v/>
      </c>
      <c r="BS69" s="34" t="str">
        <v/>
      </c>
      <c r="BT69" s="34" t="str">
        <v/>
      </c>
      <c r="BU69" s="34">
        <v>0</v>
      </c>
      <c r="BV69" s="34">
        <v>89</v>
      </c>
      <c r="BW69" s="34">
        <v>1</v>
      </c>
      <c r="BX69" s="34">
        <v>0</v>
      </c>
      <c r="BY69" s="34" t="str">
        <v>Привод (двигатель)</v>
      </c>
      <c r="BZ69">
        <v>5</v>
      </c>
      <c r="CA69" t="str">
        <v>линии</v>
      </c>
    </row>
    <row r="70" spans="1:79" x14ac:dyDescent="0.3">
      <c r="A70" s="39" t="str">
        <v>ЩОВ-002</v>
      </c>
      <c r="B70" s="42">
        <v>38</v>
      </c>
      <c r="C70" s="42">
        <v>3</v>
      </c>
      <c r="D70" s="75" t="str">
        <v/>
      </c>
      <c r="E70" s="75" t="str">
        <v>авто</v>
      </c>
      <c r="F70" s="76" t="str">
        <v/>
      </c>
      <c r="G70" s="47" t="str">
        <v>QF4</v>
      </c>
      <c r="H70" s="47" t="str">
        <v>1P С16А</v>
      </c>
      <c r="I70" s="75" t="str">
        <v/>
      </c>
      <c r="J70" s="76" t="str">
        <v/>
      </c>
      <c r="K70" s="76" t="str">
        <v/>
      </c>
      <c r="L70" s="75" t="str">
        <v/>
      </c>
      <c r="M70" s="49" t="str">
        <v/>
      </c>
      <c r="N70" s="76" t="str">
        <v/>
      </c>
      <c r="O70" s="49" t="str">
        <v/>
      </c>
      <c r="P70" s="77" t="str">
        <v/>
      </c>
      <c r="Q70" s="53" t="str">
        <v>ВВГнг(А)-LS (3х4) L=33-2,12%</v>
      </c>
      <c r="R70" s="54" t="str">
        <v>ПВ.10</v>
      </c>
      <c r="S70" s="55" t="str">
        <v>Приточно-вытяжная установка Подвальный этаж Пом. №005Т</v>
      </c>
      <c r="T70" s="56">
        <v>3</v>
      </c>
      <c r="U70" s="56">
        <v>16.240000000000002</v>
      </c>
      <c r="V70" s="42" t="str">
        <v>L3</v>
      </c>
      <c r="W70" s="57" t="str">
        <v>ПЕРЕГРУЗ</v>
      </c>
      <c r="X70" s="58" t="str">
        <v/>
      </c>
      <c r="Y70" s="75" t="str">
        <v/>
      </c>
      <c r="Z70" s="59">
        <v>16.237976320958222</v>
      </c>
      <c r="AA70" s="61">
        <v>20</v>
      </c>
      <c r="AB70" s="61">
        <v>32</v>
      </c>
      <c r="AC70" s="61" t="str">
        <v/>
      </c>
      <c r="AD70" s="62" t="str">
        <v>QF4</v>
      </c>
      <c r="AE70" s="62" t="str">
        <v>ПЕРЕГРУЗ</v>
      </c>
      <c r="AF70" s="34">
        <v>4</v>
      </c>
      <c r="AG70" s="34" t="str">
        <v>QF4</v>
      </c>
      <c r="AH70" s="34" t="str">
        <v/>
      </c>
      <c r="AI70" s="34" t="str">
        <v/>
      </c>
      <c r="AJ70" s="34" t="str">
        <v>QF4</v>
      </c>
      <c r="AK70" s="34">
        <v>1</v>
      </c>
      <c r="AL70" s="34" t="str">
        <v>ПВ</v>
      </c>
      <c r="AM70" s="34">
        <v>0</v>
      </c>
      <c r="AN70" s="34">
        <v>0</v>
      </c>
      <c r="AO70" s="34">
        <v>20</v>
      </c>
      <c r="AP70" s="34">
        <v>32</v>
      </c>
      <c r="AQ70" s="34">
        <v>16</v>
      </c>
      <c r="AR70" s="34">
        <v>1</v>
      </c>
      <c r="AS70" s="34">
        <v>0</v>
      </c>
      <c r="AT70" s="34" t="str">
        <v>1P</v>
      </c>
      <c r="AU70" s="34">
        <v>16</v>
      </c>
      <c r="AV70" s="34" t="str">
        <v/>
      </c>
      <c r="AW70" s="34" t="str">
        <v/>
      </c>
      <c r="AX70" s="34" t="str">
        <v/>
      </c>
      <c r="AY70" s="34">
        <v>1</v>
      </c>
      <c r="AZ70" s="34" t="str">
        <v/>
      </c>
      <c r="BA70" s="34">
        <v>0</v>
      </c>
      <c r="BB70" s="34">
        <v>0</v>
      </c>
      <c r="BD70" s="34">
        <v>1</v>
      </c>
      <c r="BE70" s="34">
        <v>0</v>
      </c>
      <c r="BF70" s="34">
        <v>0</v>
      </c>
      <c r="BG70" s="34" t="str">
        <v/>
      </c>
      <c r="BH70" s="34" t="str">
        <v/>
      </c>
      <c r="BI70" s="34" t="str">
        <v/>
      </c>
      <c r="BJ70" s="34" t="str">
        <v/>
      </c>
      <c r="BK70" s="34" t="str">
        <v>MOTOR</v>
      </c>
      <c r="BL70" s="34">
        <v>1</v>
      </c>
      <c r="BM70" s="34" t="str">
        <v/>
      </c>
      <c r="BN70" s="34" t="str">
        <v/>
      </c>
      <c r="BO70" s="34" t="str">
        <v/>
      </c>
      <c r="BP70" s="34" t="str">
        <v/>
      </c>
      <c r="BQ70" s="34" t="str">
        <v>3х4</v>
      </c>
      <c r="BR70" s="34" t="str">
        <v/>
      </c>
      <c r="BS70" s="34" t="str">
        <v/>
      </c>
      <c r="BT70" s="34" t="str">
        <v/>
      </c>
      <c r="BU70" s="34">
        <v>2</v>
      </c>
      <c r="BV70" s="34">
        <v>90</v>
      </c>
      <c r="BW70" s="34">
        <v>1</v>
      </c>
      <c r="BX70" s="34">
        <v>0</v>
      </c>
      <c r="BY70" s="34" t="str">
        <v>Привод (двигатель)</v>
      </c>
      <c r="BZ70">
        <v>5</v>
      </c>
      <c r="CA70" t="str">
        <v>линии</v>
      </c>
    </row>
    <row r="71" spans="1:79" x14ac:dyDescent="0.3">
      <c r="A71" s="39" t="str">
        <v>ЩОВ-002</v>
      </c>
      <c r="B71" s="42">
        <v>39</v>
      </c>
      <c r="C71" s="42">
        <v>3</v>
      </c>
      <c r="D71" s="75" t="str">
        <v/>
      </c>
      <c r="E71" s="75" t="str">
        <v>авто</v>
      </c>
      <c r="F71" s="76" t="str">
        <v/>
      </c>
      <c r="G71" s="47" t="str">
        <v>QF5</v>
      </c>
      <c r="H71" s="47" t="str">
        <v>1P С10А</v>
      </c>
      <c r="I71" s="75" t="str">
        <v/>
      </c>
      <c r="J71" s="76" t="str">
        <v/>
      </c>
      <c r="K71" s="76" t="str">
        <v/>
      </c>
      <c r="L71" s="75" t="str">
        <v/>
      </c>
      <c r="M71" s="49" t="str">
        <v/>
      </c>
      <c r="N71" s="76" t="str">
        <v/>
      </c>
      <c r="O71" s="49" t="str">
        <v/>
      </c>
      <c r="P71" s="77" t="str">
        <v/>
      </c>
      <c r="Q71" s="53" t="str">
        <v>ВВГнг(А)-LS (3х1,5) L=22-0,19%</v>
      </c>
      <c r="R71" s="54" t="str">
        <v>K.0.002A</v>
      </c>
      <c r="S71" s="55" t="str">
        <v>Внутренний блок кондиционирования Подвальный этаж Пом. №005Т</v>
      </c>
      <c r="T71" s="56">
        <v>0.151</v>
      </c>
      <c r="U71" s="56">
        <v>0.82000000000000006</v>
      </c>
      <c r="V71" s="42" t="str">
        <v>L1</v>
      </c>
      <c r="W71" s="57" t="str">
        <v>ok</v>
      </c>
      <c r="X71" s="58" t="str">
        <v/>
      </c>
      <c r="Y71" s="75" t="str">
        <v/>
      </c>
      <c r="Z71" s="59">
        <v>0.81731147482156374</v>
      </c>
      <c r="AA71" s="61">
        <v>6</v>
      </c>
      <c r="AB71" s="61">
        <v>16</v>
      </c>
      <c r="AC71" s="61" t="str">
        <v/>
      </c>
      <c r="AD71" s="62" t="str">
        <v>QF5</v>
      </c>
      <c r="AE71" s="62" t="str">
        <v/>
      </c>
      <c r="AF71" s="34">
        <v>5</v>
      </c>
      <c r="AG71" s="34" t="str">
        <v>QF5</v>
      </c>
      <c r="AH71" s="34" t="str">
        <v/>
      </c>
      <c r="AI71" s="34" t="str">
        <v/>
      </c>
      <c r="AJ71" s="34" t="str">
        <v>QF5</v>
      </c>
      <c r="AK71" s="34">
        <v>1</v>
      </c>
      <c r="AL71" s="34" t="str">
        <v>K</v>
      </c>
      <c r="AM71" s="34">
        <v>0</v>
      </c>
      <c r="AN71" s="34">
        <v>0</v>
      </c>
      <c r="AO71" s="34">
        <v>6</v>
      </c>
      <c r="AP71" s="34">
        <v>16</v>
      </c>
      <c r="AQ71" s="34">
        <v>10</v>
      </c>
      <c r="AR71" s="34">
        <v>1</v>
      </c>
      <c r="AS71" s="34">
        <v>0</v>
      </c>
      <c r="AT71" s="34" t="str">
        <v>1P</v>
      </c>
      <c r="AU71" s="34">
        <v>10</v>
      </c>
      <c r="AV71" s="34" t="str">
        <v/>
      </c>
      <c r="AW71" s="34" t="str">
        <v/>
      </c>
      <c r="AX71" s="34" t="str">
        <v/>
      </c>
      <c r="AY71" s="34">
        <v>1</v>
      </c>
      <c r="AZ71" s="34" t="str">
        <v/>
      </c>
      <c r="BA71" s="34">
        <v>0</v>
      </c>
      <c r="BB71" s="34">
        <v>0</v>
      </c>
      <c r="BD71" s="34">
        <v>1</v>
      </c>
      <c r="BE71" s="34">
        <v>0</v>
      </c>
      <c r="BF71" s="34">
        <v>0</v>
      </c>
      <c r="BG71" s="34" t="str">
        <v/>
      </c>
      <c r="BH71" s="34" t="str">
        <v/>
      </c>
      <c r="BI71" s="34" t="str">
        <v/>
      </c>
      <c r="BJ71" s="34" t="str">
        <v/>
      </c>
      <c r="BK71" s="34" t="str">
        <v>BOX</v>
      </c>
      <c r="BL71" s="34">
        <v>1</v>
      </c>
      <c r="BM71" s="34" t="str">
        <v/>
      </c>
      <c r="BN71" s="34" t="str">
        <v/>
      </c>
      <c r="BO71" s="34" t="str">
        <v/>
      </c>
      <c r="BP71" s="34" t="str">
        <v/>
      </c>
      <c r="BQ71" s="34" t="str">
        <v>3х1,5</v>
      </c>
      <c r="BR71" s="34" t="str">
        <v/>
      </c>
      <c r="BS71" s="34" t="str">
        <v/>
      </c>
      <c r="BT71" s="34" t="str">
        <v/>
      </c>
      <c r="BU71" s="34">
        <v>0</v>
      </c>
      <c r="BV71" s="34">
        <v>91</v>
      </c>
      <c r="BW71" s="34">
        <v>1</v>
      </c>
      <c r="BX71" s="34">
        <v>0</v>
      </c>
      <c r="BY71" s="34">
        <v>0</v>
      </c>
      <c r="BZ71">
        <v>5</v>
      </c>
      <c r="CA71" t="str">
        <v>линии</v>
      </c>
    </row>
    <row r="72" spans="1:79" x14ac:dyDescent="0.3">
      <c r="A72" s="39" t="str">
        <v>ЩОВ-002</v>
      </c>
      <c r="B72" s="42">
        <v>40</v>
      </c>
      <c r="C72" s="42">
        <v>3</v>
      </c>
      <c r="D72" s="75" t="str">
        <v/>
      </c>
      <c r="E72" s="75" t="str">
        <v>авто</v>
      </c>
      <c r="F72" s="76" t="str">
        <v/>
      </c>
      <c r="G72" s="47" t="str">
        <v>QF6</v>
      </c>
      <c r="H72" s="47" t="str">
        <v>1P С10А</v>
      </c>
      <c r="I72" s="75" t="str">
        <v/>
      </c>
      <c r="J72" s="76" t="str">
        <v/>
      </c>
      <c r="K72" s="76" t="str">
        <v/>
      </c>
      <c r="L72" s="75" t="str">
        <v/>
      </c>
      <c r="M72" s="49" t="str">
        <v/>
      </c>
      <c r="N72" s="76" t="str">
        <v/>
      </c>
      <c r="O72" s="49" t="str">
        <v/>
      </c>
      <c r="P72" s="77" t="str">
        <v/>
      </c>
      <c r="Q72" s="53" t="str">
        <v>ВВГнг(А)-LS (3х1,5) L=26-0,17%</v>
      </c>
      <c r="R72" s="54" t="str">
        <v>K.0.006A</v>
      </c>
      <c r="S72" s="55" t="str">
        <v>Внутренний блок кондиционирования Подвальный этаж Пом. №005Т</v>
      </c>
      <c r="T72" s="56">
        <v>0.111</v>
      </c>
      <c r="U72" s="56">
        <v>0.61</v>
      </c>
      <c r="V72" s="42" t="str">
        <v>L1</v>
      </c>
      <c r="W72" s="57" t="str">
        <v>ok</v>
      </c>
      <c r="X72" s="58" t="str">
        <v/>
      </c>
      <c r="Y72" s="75" t="str">
        <v/>
      </c>
      <c r="Z72" s="59">
        <v>0.60080512387545415</v>
      </c>
      <c r="AA72" s="61">
        <v>6</v>
      </c>
      <c r="AB72" s="61">
        <v>16</v>
      </c>
      <c r="AC72" s="61" t="str">
        <v/>
      </c>
      <c r="AD72" s="62" t="str">
        <v>QF6</v>
      </c>
      <c r="AE72" s="62" t="str">
        <v/>
      </c>
      <c r="AF72" s="34">
        <v>6</v>
      </c>
      <c r="AG72" s="34" t="str">
        <v>QF6</v>
      </c>
      <c r="AH72" s="34" t="str">
        <v/>
      </c>
      <c r="AI72" s="34" t="str">
        <v/>
      </c>
      <c r="AJ72" s="34" t="str">
        <v>QF6</v>
      </c>
      <c r="AK72" s="34">
        <v>1</v>
      </c>
      <c r="AL72" s="34" t="str">
        <v>K</v>
      </c>
      <c r="AM72" s="34">
        <v>0</v>
      </c>
      <c r="AN72" s="34">
        <v>0</v>
      </c>
      <c r="AO72" s="34">
        <v>6</v>
      </c>
      <c r="AP72" s="34">
        <v>16</v>
      </c>
      <c r="AQ72" s="34">
        <v>10</v>
      </c>
      <c r="AR72" s="34">
        <v>1</v>
      </c>
      <c r="AS72" s="34">
        <v>0</v>
      </c>
      <c r="AT72" s="34" t="str">
        <v>1P</v>
      </c>
      <c r="AU72" s="34">
        <v>10</v>
      </c>
      <c r="AV72" s="34" t="str">
        <v/>
      </c>
      <c r="AW72" s="34" t="str">
        <v/>
      </c>
      <c r="AX72" s="34" t="str">
        <v/>
      </c>
      <c r="AY72" s="34">
        <v>1</v>
      </c>
      <c r="AZ72" s="34" t="str">
        <v/>
      </c>
      <c r="BA72" s="34">
        <v>0</v>
      </c>
      <c r="BB72" s="34">
        <v>0</v>
      </c>
      <c r="BD72" s="34">
        <v>1</v>
      </c>
      <c r="BE72" s="34">
        <v>0</v>
      </c>
      <c r="BF72" s="34">
        <v>0</v>
      </c>
      <c r="BG72" s="34" t="str">
        <v/>
      </c>
      <c r="BH72" s="34" t="str">
        <v/>
      </c>
      <c r="BI72" s="34" t="str">
        <v/>
      </c>
      <c r="BJ72" s="34" t="str">
        <v/>
      </c>
      <c r="BK72" s="34" t="str">
        <v>BOX</v>
      </c>
      <c r="BL72" s="34">
        <v>1</v>
      </c>
      <c r="BM72" s="34" t="str">
        <v/>
      </c>
      <c r="BN72" s="34" t="str">
        <v/>
      </c>
      <c r="BO72" s="34" t="str">
        <v/>
      </c>
      <c r="BP72" s="34" t="str">
        <v/>
      </c>
      <c r="BQ72" s="34" t="str">
        <v>3х1,5</v>
      </c>
      <c r="BR72" s="34" t="str">
        <v/>
      </c>
      <c r="BS72" s="34" t="str">
        <v/>
      </c>
      <c r="BT72" s="34" t="str">
        <v/>
      </c>
      <c r="BU72" s="34">
        <v>0</v>
      </c>
      <c r="BV72" s="34">
        <v>92</v>
      </c>
      <c r="BW72" s="34">
        <v>1</v>
      </c>
      <c r="BX72" s="34">
        <v>0</v>
      </c>
      <c r="BY72" s="34">
        <v>0</v>
      </c>
      <c r="BZ72">
        <v>5</v>
      </c>
      <c r="CA72" t="str">
        <v>линии</v>
      </c>
    </row>
    <row r="73" spans="1:79" x14ac:dyDescent="0.3">
      <c r="A73" s="39" t="str">
        <v>ЩОВ-002</v>
      </c>
      <c r="B73" s="42">
        <v>41</v>
      </c>
      <c r="C73" s="42">
        <v>3</v>
      </c>
      <c r="D73" s="75" t="str">
        <v/>
      </c>
      <c r="E73" s="75" t="str">
        <v>авто</v>
      </c>
      <c r="F73" s="76" t="str">
        <v/>
      </c>
      <c r="G73" s="47" t="str">
        <v>QF7</v>
      </c>
      <c r="H73" s="47" t="str">
        <v>1P С10А</v>
      </c>
      <c r="I73" s="75" t="str">
        <v/>
      </c>
      <c r="J73" s="76" t="str">
        <v/>
      </c>
      <c r="K73" s="76" t="str">
        <v/>
      </c>
      <c r="L73" s="75" t="str">
        <v/>
      </c>
      <c r="M73" s="49" t="str">
        <v/>
      </c>
      <c r="N73" s="76" t="str">
        <v/>
      </c>
      <c r="O73" s="49" t="str">
        <v/>
      </c>
      <c r="P73" s="77" t="str">
        <v/>
      </c>
      <c r="Q73" s="53" t="str">
        <v>ВВГнг(А)-LS (3х1,5) L=27-0,16%</v>
      </c>
      <c r="R73" s="54" t="str">
        <v>K.00.001A</v>
      </c>
      <c r="S73" s="55" t="str">
        <v>Внутренний блок кондиционирования Подвальный этаж Пом. №005Т</v>
      </c>
      <c r="T73" s="56">
        <v>0.104</v>
      </c>
      <c r="U73" s="56">
        <v>0.57000000000000006</v>
      </c>
      <c r="V73" s="42" t="str">
        <v>L1</v>
      </c>
      <c r="W73" s="57" t="str">
        <v>ok</v>
      </c>
      <c r="X73" s="58" t="str">
        <v/>
      </c>
      <c r="Y73" s="75" t="str">
        <v/>
      </c>
      <c r="Z73" s="59">
        <v>0.56291651245988494</v>
      </c>
      <c r="AA73" s="61">
        <v>6</v>
      </c>
      <c r="AB73" s="61">
        <v>16</v>
      </c>
      <c r="AC73" s="61" t="str">
        <v/>
      </c>
      <c r="AD73" s="62" t="str">
        <v>QF7</v>
      </c>
      <c r="AE73" s="62" t="str">
        <v/>
      </c>
      <c r="AF73" s="34">
        <v>7</v>
      </c>
      <c r="AG73" s="34" t="str">
        <v>QF7</v>
      </c>
      <c r="AH73" s="34" t="str">
        <v/>
      </c>
      <c r="AI73" s="34" t="str">
        <v/>
      </c>
      <c r="AJ73" s="34" t="str">
        <v>QF7</v>
      </c>
      <c r="AK73" s="34">
        <v>1</v>
      </c>
      <c r="AL73" s="34" t="str">
        <v>K</v>
      </c>
      <c r="AM73" s="34">
        <v>0</v>
      </c>
      <c r="AN73" s="34">
        <v>0</v>
      </c>
      <c r="AO73" s="34">
        <v>6</v>
      </c>
      <c r="AP73" s="34">
        <v>16</v>
      </c>
      <c r="AQ73" s="34">
        <v>10</v>
      </c>
      <c r="AR73" s="34">
        <v>1</v>
      </c>
      <c r="AS73" s="34">
        <v>0</v>
      </c>
      <c r="AT73" s="34" t="str">
        <v>1P</v>
      </c>
      <c r="AU73" s="34">
        <v>10</v>
      </c>
      <c r="AV73" s="34" t="str">
        <v/>
      </c>
      <c r="AW73" s="34" t="str">
        <v/>
      </c>
      <c r="AX73" s="34" t="str">
        <v/>
      </c>
      <c r="AY73" s="34">
        <v>1</v>
      </c>
      <c r="AZ73" s="34" t="str">
        <v/>
      </c>
      <c r="BA73" s="34">
        <v>0</v>
      </c>
      <c r="BB73" s="34">
        <v>0</v>
      </c>
      <c r="BD73" s="34">
        <v>1</v>
      </c>
      <c r="BE73" s="34">
        <v>0</v>
      </c>
      <c r="BF73" s="34">
        <v>0</v>
      </c>
      <c r="BG73" s="34" t="str">
        <v/>
      </c>
      <c r="BH73" s="34" t="str">
        <v/>
      </c>
      <c r="BI73" s="34" t="str">
        <v/>
      </c>
      <c r="BJ73" s="34" t="str">
        <v/>
      </c>
      <c r="BK73" s="34" t="str">
        <v>BOX</v>
      </c>
      <c r="BL73" s="34">
        <v>1</v>
      </c>
      <c r="BM73" s="34" t="str">
        <v/>
      </c>
      <c r="BN73" s="34" t="str">
        <v/>
      </c>
      <c r="BO73" s="34" t="str">
        <v/>
      </c>
      <c r="BP73" s="34" t="str">
        <v/>
      </c>
      <c r="BQ73" s="34" t="str">
        <v>3х1,5</v>
      </c>
      <c r="BR73" s="34" t="str">
        <v/>
      </c>
      <c r="BS73" s="34" t="str">
        <v/>
      </c>
      <c r="BT73" s="34" t="str">
        <v/>
      </c>
      <c r="BU73" s="34">
        <v>0</v>
      </c>
      <c r="BV73" s="34">
        <v>93</v>
      </c>
      <c r="BW73" s="34">
        <v>1</v>
      </c>
      <c r="BX73" s="34">
        <v>0</v>
      </c>
      <c r="BY73" s="34">
        <v>0</v>
      </c>
      <c r="BZ73">
        <v>5</v>
      </c>
      <c r="CA73" t="str">
        <v>линии</v>
      </c>
    </row>
    <row r="74" spans="1:79" x14ac:dyDescent="0.3">
      <c r="A74" s="39" t="str">
        <v>ЩОВ-002</v>
      </c>
      <c r="B74" s="42">
        <v>42</v>
      </c>
      <c r="C74" s="42">
        <v>3</v>
      </c>
      <c r="D74" s="75" t="str">
        <v/>
      </c>
      <c r="E74" s="75" t="str">
        <v>авто</v>
      </c>
      <c r="F74" s="76" t="str">
        <v/>
      </c>
      <c r="G74" s="47" t="str">
        <v>QF8</v>
      </c>
      <c r="H74" s="47" t="str">
        <v>1P С10А</v>
      </c>
      <c r="I74" s="75" t="str">
        <v/>
      </c>
      <c r="J74" s="76" t="str">
        <v/>
      </c>
      <c r="K74" s="76" t="str">
        <v/>
      </c>
      <c r="L74" s="75" t="str">
        <v/>
      </c>
      <c r="M74" s="49" t="str">
        <v/>
      </c>
      <c r="N74" s="76" t="str">
        <v/>
      </c>
      <c r="O74" s="49" t="str">
        <v/>
      </c>
      <c r="P74" s="77" t="str">
        <v/>
      </c>
      <c r="Q74" s="53" t="str">
        <v>ВВГнг(А)-LS (3х1,5) L=32-0,19%</v>
      </c>
      <c r="R74" s="54" t="str">
        <v>K.00.004A</v>
      </c>
      <c r="S74" s="55" t="str">
        <v>Внутренний блок кондиционирования Подвальный этаж Пом. №002Б</v>
      </c>
      <c r="T74" s="56">
        <v>0.104</v>
      </c>
      <c r="U74" s="56">
        <v>0.57000000000000006</v>
      </c>
      <c r="V74" s="42" t="str">
        <v>L1</v>
      </c>
      <c r="W74" s="57" t="str">
        <v>ok</v>
      </c>
      <c r="X74" s="58" t="str">
        <v/>
      </c>
      <c r="Y74" s="75" t="str">
        <v/>
      </c>
      <c r="Z74" s="59">
        <v>0.56291651245988494</v>
      </c>
      <c r="AA74" s="61">
        <v>6</v>
      </c>
      <c r="AB74" s="61">
        <v>16</v>
      </c>
      <c r="AC74" s="61" t="str">
        <v/>
      </c>
      <c r="AD74" s="62" t="str">
        <v>QF8</v>
      </c>
      <c r="AE74" s="62" t="str">
        <v/>
      </c>
      <c r="AF74" s="34">
        <v>8</v>
      </c>
      <c r="AG74" s="34" t="str">
        <v>QF8</v>
      </c>
      <c r="AH74" s="34" t="str">
        <v/>
      </c>
      <c r="AI74" s="34" t="str">
        <v/>
      </c>
      <c r="AJ74" s="34" t="str">
        <v>QF8</v>
      </c>
      <c r="AK74" s="34">
        <v>1</v>
      </c>
      <c r="AL74" s="34" t="str">
        <v>K</v>
      </c>
      <c r="AM74" s="34">
        <v>0</v>
      </c>
      <c r="AN74" s="34">
        <v>0</v>
      </c>
      <c r="AO74" s="34">
        <v>6</v>
      </c>
      <c r="AP74" s="34">
        <v>16</v>
      </c>
      <c r="AQ74" s="34">
        <v>10</v>
      </c>
      <c r="AR74" s="34">
        <v>1</v>
      </c>
      <c r="AS74" s="34">
        <v>0</v>
      </c>
      <c r="AT74" s="34" t="str">
        <v>1P</v>
      </c>
      <c r="AU74" s="34">
        <v>10</v>
      </c>
      <c r="AV74" s="34" t="str">
        <v/>
      </c>
      <c r="AW74" s="34" t="str">
        <v/>
      </c>
      <c r="AX74" s="34" t="str">
        <v/>
      </c>
      <c r="AY74" s="34">
        <v>1</v>
      </c>
      <c r="AZ74" s="34" t="str">
        <v/>
      </c>
      <c r="BA74" s="34">
        <v>0</v>
      </c>
      <c r="BB74" s="34">
        <v>0</v>
      </c>
      <c r="BD74" s="34">
        <v>1</v>
      </c>
      <c r="BE74" s="34">
        <v>0</v>
      </c>
      <c r="BF74" s="34">
        <v>0</v>
      </c>
      <c r="BG74" s="34" t="str">
        <v/>
      </c>
      <c r="BH74" s="34" t="str">
        <v/>
      </c>
      <c r="BI74" s="34" t="str">
        <v/>
      </c>
      <c r="BJ74" s="34" t="str">
        <v/>
      </c>
      <c r="BK74" s="34" t="str">
        <v>BOX</v>
      </c>
      <c r="BL74" s="34">
        <v>1</v>
      </c>
      <c r="BM74" s="34" t="str">
        <v/>
      </c>
      <c r="BN74" s="34" t="str">
        <v/>
      </c>
      <c r="BO74" s="34" t="str">
        <v/>
      </c>
      <c r="BP74" s="34" t="str">
        <v/>
      </c>
      <c r="BQ74" s="34" t="str">
        <v>3х1,5</v>
      </c>
      <c r="BR74" s="34" t="str">
        <v/>
      </c>
      <c r="BS74" s="34" t="str">
        <v/>
      </c>
      <c r="BT74" s="34" t="str">
        <v/>
      </c>
      <c r="BU74" s="34">
        <v>0</v>
      </c>
      <c r="BV74" s="34">
        <v>94</v>
      </c>
      <c r="BW74" s="34">
        <v>1</v>
      </c>
      <c r="BX74" s="34">
        <v>0</v>
      </c>
      <c r="BY74" s="34">
        <v>0</v>
      </c>
      <c r="BZ74">
        <v>5</v>
      </c>
      <c r="CA74" t="str">
        <v>линии</v>
      </c>
    </row>
    <row r="75" spans="1:79" x14ac:dyDescent="0.3">
      <c r="A75" s="39" t="str">
        <v>ЩОВ-002</v>
      </c>
      <c r="B75" s="42">
        <v>43</v>
      </c>
      <c r="C75" s="42">
        <v>3</v>
      </c>
      <c r="D75" s="75" t="str">
        <v/>
      </c>
      <c r="E75" s="75" t="str">
        <v>авто</v>
      </c>
      <c r="F75" s="76" t="str">
        <v/>
      </c>
      <c r="G75" s="47" t="str">
        <v>QF9</v>
      </c>
      <c r="H75" s="47" t="str">
        <v>1P С10А</v>
      </c>
      <c r="I75" s="75" t="str">
        <v/>
      </c>
      <c r="J75" s="76" t="str">
        <v/>
      </c>
      <c r="K75" s="76" t="str">
        <v/>
      </c>
      <c r="L75" s="75" t="str">
        <v/>
      </c>
      <c r="M75" s="49" t="str">
        <v/>
      </c>
      <c r="N75" s="76" t="str">
        <v/>
      </c>
      <c r="O75" s="49" t="str">
        <v/>
      </c>
      <c r="P75" s="77" t="str">
        <v/>
      </c>
      <c r="Q75" s="53" t="str">
        <v>ВВГнг(А)-LS (3х1,5) L=16-0,1%</v>
      </c>
      <c r="R75" s="54" t="str">
        <v>K.00.004T.1</v>
      </c>
      <c r="S75" s="55" t="str">
        <v>Внутренний блок кондиционирования Подвальный этаж Пом. №004Т</v>
      </c>
      <c r="T75" s="56">
        <v>0.104</v>
      </c>
      <c r="U75" s="56">
        <v>0.57000000000000006</v>
      </c>
      <c r="V75" s="42" t="str">
        <v>L1</v>
      </c>
      <c r="W75" s="57" t="str">
        <v>ok</v>
      </c>
      <c r="X75" s="58" t="str">
        <v/>
      </c>
      <c r="Y75" s="75" t="str">
        <v/>
      </c>
      <c r="Z75" s="59">
        <v>0.56291651245988494</v>
      </c>
      <c r="AA75" s="61">
        <v>6</v>
      </c>
      <c r="AB75" s="61">
        <v>16</v>
      </c>
      <c r="AC75" s="61" t="str">
        <v/>
      </c>
      <c r="AD75" s="62" t="str">
        <v>QF9</v>
      </c>
      <c r="AE75" s="62" t="str">
        <v/>
      </c>
      <c r="AF75" s="34">
        <v>9</v>
      </c>
      <c r="AG75" s="34" t="str">
        <v>QF9</v>
      </c>
      <c r="AH75" s="34" t="str">
        <v/>
      </c>
      <c r="AI75" s="34" t="str">
        <v/>
      </c>
      <c r="AJ75" s="34" t="str">
        <v>QF9</v>
      </c>
      <c r="AK75" s="34">
        <v>1</v>
      </c>
      <c r="AL75" s="34" t="str">
        <v>K</v>
      </c>
      <c r="AM75" s="34">
        <v>0</v>
      </c>
      <c r="AN75" s="34">
        <v>0</v>
      </c>
      <c r="AO75" s="34">
        <v>6</v>
      </c>
      <c r="AP75" s="34">
        <v>16</v>
      </c>
      <c r="AQ75" s="34">
        <v>10</v>
      </c>
      <c r="AR75" s="34">
        <v>1</v>
      </c>
      <c r="AS75" s="34">
        <v>0</v>
      </c>
      <c r="AT75" s="34" t="str">
        <v>1P</v>
      </c>
      <c r="AU75" s="34">
        <v>10</v>
      </c>
      <c r="AV75" s="34" t="str">
        <v/>
      </c>
      <c r="AW75" s="34" t="str">
        <v/>
      </c>
      <c r="AX75" s="34" t="str">
        <v/>
      </c>
      <c r="AY75" s="34">
        <v>1</v>
      </c>
      <c r="AZ75" s="34" t="str">
        <v/>
      </c>
      <c r="BA75" s="34">
        <v>0</v>
      </c>
      <c r="BB75" s="34">
        <v>0</v>
      </c>
      <c r="BD75" s="34">
        <v>1</v>
      </c>
      <c r="BE75" s="34">
        <v>0</v>
      </c>
      <c r="BF75" s="34">
        <v>0</v>
      </c>
      <c r="BG75" s="34" t="str">
        <v/>
      </c>
      <c r="BH75" s="34" t="str">
        <v/>
      </c>
      <c r="BI75" s="34" t="str">
        <v/>
      </c>
      <c r="BJ75" s="34" t="str">
        <v/>
      </c>
      <c r="BK75" s="34" t="str">
        <v>BOX</v>
      </c>
      <c r="BL75" s="34">
        <v>1</v>
      </c>
      <c r="BM75" s="34" t="str">
        <v/>
      </c>
      <c r="BN75" s="34" t="str">
        <v/>
      </c>
      <c r="BO75" s="34" t="str">
        <v/>
      </c>
      <c r="BP75" s="34" t="str">
        <v/>
      </c>
      <c r="BQ75" s="34" t="str">
        <v>3х1,5</v>
      </c>
      <c r="BR75" s="34" t="str">
        <v/>
      </c>
      <c r="BS75" s="34" t="str">
        <v/>
      </c>
      <c r="BT75" s="34" t="str">
        <v/>
      </c>
      <c r="BU75" s="34">
        <v>0</v>
      </c>
      <c r="BV75" s="34">
        <v>95</v>
      </c>
      <c r="BW75" s="34">
        <v>1</v>
      </c>
      <c r="BX75" s="34">
        <v>0</v>
      </c>
      <c r="BY75" s="34">
        <v>0</v>
      </c>
      <c r="BZ75">
        <v>5</v>
      </c>
      <c r="CA75" t="str">
        <v>линии</v>
      </c>
    </row>
    <row r="76" spans="1:79" x14ac:dyDescent="0.3">
      <c r="A76" s="39" t="str">
        <v>ЩОВ-002</v>
      </c>
      <c r="B76" s="42">
        <v>44</v>
      </c>
      <c r="C76" s="42">
        <v>3</v>
      </c>
      <c r="D76" s="75" t="str">
        <v/>
      </c>
      <c r="E76" s="75" t="str">
        <v>авто</v>
      </c>
      <c r="F76" s="76" t="str">
        <v/>
      </c>
      <c r="G76" s="47" t="str">
        <v>QF10</v>
      </c>
      <c r="H76" s="47" t="str">
        <v>1P С10А</v>
      </c>
      <c r="I76" s="75" t="str">
        <v/>
      </c>
      <c r="J76" s="76" t="str">
        <v/>
      </c>
      <c r="K76" s="76" t="str">
        <v/>
      </c>
      <c r="L76" s="75" t="str">
        <v/>
      </c>
      <c r="M76" s="49" t="str">
        <v/>
      </c>
      <c r="N76" s="76" t="str">
        <v/>
      </c>
      <c r="O76" s="49" t="str">
        <v/>
      </c>
      <c r="P76" s="77" t="str">
        <v/>
      </c>
      <c r="Q76" s="53" t="str">
        <v>ВВГнг(А)-LS (3х1,5) L=18-0,11%</v>
      </c>
      <c r="R76" s="54" t="str">
        <v>K.00.004T.2</v>
      </c>
      <c r="S76" s="55" t="str">
        <v>Внутренний блок кондиционирования Подвальный этаж Пом. №004Т</v>
      </c>
      <c r="T76" s="56">
        <v>0.104</v>
      </c>
      <c r="U76" s="56">
        <v>0.57000000000000006</v>
      </c>
      <c r="V76" s="42" t="str">
        <v>L1</v>
      </c>
      <c r="W76" s="57" t="str">
        <v>ok</v>
      </c>
      <c r="X76" s="58" t="str">
        <v/>
      </c>
      <c r="Y76" s="75" t="str">
        <v/>
      </c>
      <c r="Z76" s="59">
        <v>0.56291651245988494</v>
      </c>
      <c r="AA76" s="61">
        <v>6</v>
      </c>
      <c r="AB76" s="61">
        <v>16</v>
      </c>
      <c r="AC76" s="61" t="str">
        <v/>
      </c>
      <c r="AD76" s="62" t="str">
        <v>QF10</v>
      </c>
      <c r="AE76" s="62" t="str">
        <v/>
      </c>
      <c r="AF76" s="34">
        <v>10</v>
      </c>
      <c r="AG76" s="34" t="str">
        <v>QF10</v>
      </c>
      <c r="AH76" s="34" t="str">
        <v/>
      </c>
      <c r="AI76" s="34" t="str">
        <v/>
      </c>
      <c r="AJ76" s="34" t="str">
        <v>QF10</v>
      </c>
      <c r="AK76" s="34">
        <v>1</v>
      </c>
      <c r="AL76" s="34" t="str">
        <v>K</v>
      </c>
      <c r="AM76" s="34">
        <v>0</v>
      </c>
      <c r="AN76" s="34">
        <v>0</v>
      </c>
      <c r="AO76" s="34">
        <v>6</v>
      </c>
      <c r="AP76" s="34">
        <v>16</v>
      </c>
      <c r="AQ76" s="34">
        <v>10</v>
      </c>
      <c r="AR76" s="34">
        <v>1</v>
      </c>
      <c r="AS76" s="34">
        <v>0</v>
      </c>
      <c r="AT76" s="34" t="str">
        <v>1P</v>
      </c>
      <c r="AU76" s="34">
        <v>10</v>
      </c>
      <c r="AV76" s="34" t="str">
        <v/>
      </c>
      <c r="AW76" s="34" t="str">
        <v/>
      </c>
      <c r="AX76" s="34" t="str">
        <v/>
      </c>
      <c r="AY76" s="34">
        <v>1</v>
      </c>
      <c r="AZ76" s="34" t="str">
        <v/>
      </c>
      <c r="BA76" s="34">
        <v>0</v>
      </c>
      <c r="BB76" s="34">
        <v>0</v>
      </c>
      <c r="BD76" s="34">
        <v>1</v>
      </c>
      <c r="BE76" s="34">
        <v>0</v>
      </c>
      <c r="BF76" s="34">
        <v>0</v>
      </c>
      <c r="BG76" s="34" t="str">
        <v/>
      </c>
      <c r="BH76" s="34" t="str">
        <v/>
      </c>
      <c r="BI76" s="34" t="str">
        <v/>
      </c>
      <c r="BJ76" s="34" t="str">
        <v/>
      </c>
      <c r="BK76" s="34" t="str">
        <v>BOX</v>
      </c>
      <c r="BL76" s="34">
        <v>1</v>
      </c>
      <c r="BM76" s="34" t="str">
        <v/>
      </c>
      <c r="BN76" s="34" t="str">
        <v/>
      </c>
      <c r="BO76" s="34" t="str">
        <v/>
      </c>
      <c r="BP76" s="34" t="str">
        <v/>
      </c>
      <c r="BQ76" s="34" t="str">
        <v>3х1,5</v>
      </c>
      <c r="BR76" s="34" t="str">
        <v/>
      </c>
      <c r="BS76" s="34" t="str">
        <v/>
      </c>
      <c r="BT76" s="34" t="str">
        <v/>
      </c>
      <c r="BU76" s="34">
        <v>0</v>
      </c>
      <c r="BV76" s="34">
        <v>96</v>
      </c>
      <c r="BW76" s="34">
        <v>1</v>
      </c>
      <c r="BX76" s="34">
        <v>0</v>
      </c>
      <c r="BY76" s="34">
        <v>0</v>
      </c>
      <c r="BZ76">
        <v>5</v>
      </c>
      <c r="CA76" t="str">
        <v>линии</v>
      </c>
    </row>
    <row r="77" spans="1:79" x14ac:dyDescent="0.3">
      <c r="A77" s="39" t="str">
        <v>ЩОВ-002</v>
      </c>
      <c r="B77" s="42">
        <v>45</v>
      </c>
      <c r="C77" s="42">
        <v>3</v>
      </c>
      <c r="D77" s="75" t="str">
        <v/>
      </c>
      <c r="E77" s="75" t="str">
        <v>авто</v>
      </c>
      <c r="F77" s="76" t="str">
        <v/>
      </c>
      <c r="G77" s="47" t="str">
        <v>QF11</v>
      </c>
      <c r="H77" s="47" t="str">
        <v>1P С10А</v>
      </c>
      <c r="I77" s="75" t="str">
        <v/>
      </c>
      <c r="J77" s="76" t="str">
        <v/>
      </c>
      <c r="K77" s="76" t="str">
        <v/>
      </c>
      <c r="L77" s="75" t="str">
        <v/>
      </c>
      <c r="M77" s="49" t="str">
        <v/>
      </c>
      <c r="N77" s="76" t="str">
        <v/>
      </c>
      <c r="O77" s="49" t="str">
        <v/>
      </c>
      <c r="P77" s="77" t="str">
        <v/>
      </c>
      <c r="Q77" s="53" t="str">
        <v>ВВГнг(А)-LS (3х1,5) L=33-0,2%</v>
      </c>
      <c r="R77" s="54" t="str">
        <v>K.00.007A</v>
      </c>
      <c r="S77" s="55" t="str">
        <v>Внутренний блок кондиционирования Подвальный этаж Пом. №002Б</v>
      </c>
      <c r="T77" s="56">
        <v>0.104</v>
      </c>
      <c r="U77" s="56">
        <v>0.57000000000000006</v>
      </c>
      <c r="V77" s="42" t="str">
        <v>L1</v>
      </c>
      <c r="W77" s="57" t="str">
        <v>ok</v>
      </c>
      <c r="X77" s="58" t="str">
        <v/>
      </c>
      <c r="Y77" s="75" t="str">
        <v/>
      </c>
      <c r="Z77" s="59">
        <v>0.56291651245988494</v>
      </c>
      <c r="AA77" s="61">
        <v>6</v>
      </c>
      <c r="AB77" s="61">
        <v>16</v>
      </c>
      <c r="AC77" s="61" t="str">
        <v/>
      </c>
      <c r="AD77" s="62" t="str">
        <v>QF11</v>
      </c>
      <c r="AE77" s="62" t="str">
        <v/>
      </c>
      <c r="AF77" s="34">
        <v>11</v>
      </c>
      <c r="AG77" s="34" t="str">
        <v>QF11</v>
      </c>
      <c r="AH77" s="34" t="str">
        <v/>
      </c>
      <c r="AI77" s="34" t="str">
        <v/>
      </c>
      <c r="AJ77" s="34" t="str">
        <v>QF11</v>
      </c>
      <c r="AK77" s="34">
        <v>1</v>
      </c>
      <c r="AL77" s="34" t="str">
        <v>K</v>
      </c>
      <c r="AM77" s="34">
        <v>0</v>
      </c>
      <c r="AN77" s="34">
        <v>0</v>
      </c>
      <c r="AO77" s="34">
        <v>6</v>
      </c>
      <c r="AP77" s="34">
        <v>16</v>
      </c>
      <c r="AQ77" s="34">
        <v>10</v>
      </c>
      <c r="AR77" s="34">
        <v>1</v>
      </c>
      <c r="AS77" s="34">
        <v>0</v>
      </c>
      <c r="AT77" s="34" t="str">
        <v>1P</v>
      </c>
      <c r="AU77" s="34">
        <v>10</v>
      </c>
      <c r="AV77" s="34" t="str">
        <v/>
      </c>
      <c r="AW77" s="34" t="str">
        <v/>
      </c>
      <c r="AX77" s="34" t="str">
        <v/>
      </c>
      <c r="AY77" s="34">
        <v>1</v>
      </c>
      <c r="AZ77" s="34" t="str">
        <v/>
      </c>
      <c r="BA77" s="34">
        <v>0</v>
      </c>
      <c r="BB77" s="34">
        <v>0</v>
      </c>
      <c r="BD77" s="34">
        <v>1</v>
      </c>
      <c r="BE77" s="34">
        <v>0</v>
      </c>
      <c r="BF77" s="34">
        <v>0</v>
      </c>
      <c r="BG77" s="34" t="str">
        <v/>
      </c>
      <c r="BH77" s="34" t="str">
        <v/>
      </c>
      <c r="BI77" s="34" t="str">
        <v/>
      </c>
      <c r="BJ77" s="34" t="str">
        <v/>
      </c>
      <c r="BK77" s="34" t="str">
        <v>BOX</v>
      </c>
      <c r="BL77" s="34">
        <v>1</v>
      </c>
      <c r="BM77" s="34" t="str">
        <v/>
      </c>
      <c r="BN77" s="34" t="str">
        <v/>
      </c>
      <c r="BO77" s="34" t="str">
        <v/>
      </c>
      <c r="BP77" s="34" t="str">
        <v/>
      </c>
      <c r="BQ77" s="34" t="str">
        <v>3х1,5</v>
      </c>
      <c r="BR77" s="34" t="str">
        <v/>
      </c>
      <c r="BS77" s="34" t="str">
        <v/>
      </c>
      <c r="BT77" s="34" t="str">
        <v/>
      </c>
      <c r="BU77" s="34">
        <v>0</v>
      </c>
      <c r="BV77" s="34">
        <v>97</v>
      </c>
      <c r="BW77" s="34">
        <v>1</v>
      </c>
      <c r="BX77" s="34">
        <v>0</v>
      </c>
      <c r="BY77" s="34">
        <v>0</v>
      </c>
      <c r="BZ77">
        <v>5</v>
      </c>
      <c r="CA77" t="str">
        <v>линии</v>
      </c>
    </row>
    <row r="78" spans="1:79" x14ac:dyDescent="0.3">
      <c r="A78" s="39" t="str">
        <v>ЩОВ-002</v>
      </c>
      <c r="B78" s="42">
        <v>46</v>
      </c>
      <c r="C78" s="42">
        <v>3</v>
      </c>
      <c r="D78" s="75" t="str">
        <v/>
      </c>
      <c r="E78" s="75" t="str">
        <v>авто</v>
      </c>
      <c r="F78" s="76" t="str">
        <v/>
      </c>
      <c r="G78" s="47" t="str">
        <v>QF12</v>
      </c>
      <c r="H78" s="47" t="str">
        <v>1P С10А</v>
      </c>
      <c r="I78" s="75" t="str">
        <v/>
      </c>
      <c r="J78" s="76" t="str">
        <v/>
      </c>
      <c r="K78" s="76" t="str">
        <v/>
      </c>
      <c r="L78" s="75" t="str">
        <v/>
      </c>
      <c r="M78" s="49" t="str">
        <v/>
      </c>
      <c r="N78" s="76" t="str">
        <v/>
      </c>
      <c r="O78" s="49" t="str">
        <v/>
      </c>
      <c r="P78" s="77" t="str">
        <v/>
      </c>
      <c r="Q78" s="53" t="str">
        <v>ВВГнг(А)-LS (3х1,5) L=28-0,17%</v>
      </c>
      <c r="R78" s="54" t="str">
        <v>K.00.007T.1</v>
      </c>
      <c r="S78" s="55" t="str">
        <v>Внутренний блок кондиционирования Подвальный этаж Пом. №007Т</v>
      </c>
      <c r="T78" s="56">
        <v>0.104</v>
      </c>
      <c r="U78" s="56">
        <v>0.57000000000000006</v>
      </c>
      <c r="V78" s="42" t="str">
        <v>L1</v>
      </c>
      <c r="W78" s="57" t="str">
        <v>ok</v>
      </c>
      <c r="X78" s="58" t="str">
        <v/>
      </c>
      <c r="Y78" s="75" t="str">
        <v/>
      </c>
      <c r="Z78" s="59">
        <v>0.56291651245988494</v>
      </c>
      <c r="AA78" s="61">
        <v>6</v>
      </c>
      <c r="AB78" s="61">
        <v>16</v>
      </c>
      <c r="AC78" s="61" t="str">
        <v/>
      </c>
      <c r="AD78" s="62" t="str">
        <v>QF12</v>
      </c>
      <c r="AE78" s="62" t="str">
        <v/>
      </c>
      <c r="AF78" s="34">
        <v>12</v>
      </c>
      <c r="AG78" s="34" t="str">
        <v>QF12</v>
      </c>
      <c r="AH78" s="34" t="str">
        <v/>
      </c>
      <c r="AI78" s="34" t="str">
        <v/>
      </c>
      <c r="AJ78" s="34" t="str">
        <v>QF12</v>
      </c>
      <c r="AK78" s="34">
        <v>1</v>
      </c>
      <c r="AL78" s="34" t="str">
        <v>K</v>
      </c>
      <c r="AM78" s="34">
        <v>0</v>
      </c>
      <c r="AN78" s="34">
        <v>0</v>
      </c>
      <c r="AO78" s="34">
        <v>6</v>
      </c>
      <c r="AP78" s="34">
        <v>16</v>
      </c>
      <c r="AQ78" s="34">
        <v>10</v>
      </c>
      <c r="AR78" s="34">
        <v>1</v>
      </c>
      <c r="AS78" s="34">
        <v>0</v>
      </c>
      <c r="AT78" s="34" t="str">
        <v>1P</v>
      </c>
      <c r="AU78" s="34">
        <v>10</v>
      </c>
      <c r="AV78" s="34" t="str">
        <v/>
      </c>
      <c r="AW78" s="34" t="str">
        <v/>
      </c>
      <c r="AX78" s="34" t="str">
        <v/>
      </c>
      <c r="AY78" s="34">
        <v>1</v>
      </c>
      <c r="AZ78" s="34" t="str">
        <v/>
      </c>
      <c r="BA78" s="34">
        <v>0</v>
      </c>
      <c r="BB78" s="34">
        <v>0</v>
      </c>
      <c r="BD78" s="34">
        <v>1</v>
      </c>
      <c r="BE78" s="34">
        <v>0</v>
      </c>
      <c r="BF78" s="34">
        <v>0</v>
      </c>
      <c r="BG78" s="34" t="str">
        <v/>
      </c>
      <c r="BH78" s="34" t="str">
        <v/>
      </c>
      <c r="BI78" s="34" t="str">
        <v/>
      </c>
      <c r="BJ78" s="34" t="str">
        <v/>
      </c>
      <c r="BK78" s="34" t="str">
        <v>BOX</v>
      </c>
      <c r="BL78" s="34">
        <v>1</v>
      </c>
      <c r="BM78" s="34" t="str">
        <v/>
      </c>
      <c r="BN78" s="34" t="str">
        <v/>
      </c>
      <c r="BO78" s="34" t="str">
        <v/>
      </c>
      <c r="BP78" s="34" t="str">
        <v/>
      </c>
      <c r="BQ78" s="34" t="str">
        <v>3х1,5</v>
      </c>
      <c r="BR78" s="34" t="str">
        <v/>
      </c>
      <c r="BS78" s="34" t="str">
        <v/>
      </c>
      <c r="BT78" s="34" t="str">
        <v/>
      </c>
      <c r="BU78" s="34">
        <v>0</v>
      </c>
      <c r="BV78" s="34">
        <v>98</v>
      </c>
      <c r="BW78" s="34">
        <v>1</v>
      </c>
      <c r="BX78" s="34">
        <v>0</v>
      </c>
      <c r="BY78" s="34">
        <v>0</v>
      </c>
      <c r="BZ78">
        <v>5</v>
      </c>
      <c r="CA78" t="str">
        <v>линии</v>
      </c>
    </row>
    <row r="79" spans="1:79" x14ac:dyDescent="0.3">
      <c r="A79" s="39" t="str">
        <v>ЩОВ-002</v>
      </c>
      <c r="B79" s="42">
        <v>47</v>
      </c>
      <c r="C79" s="42">
        <v>3</v>
      </c>
      <c r="D79" s="75" t="str">
        <v/>
      </c>
      <c r="E79" s="75" t="str">
        <v>авто</v>
      </c>
      <c r="F79" s="76" t="str">
        <v/>
      </c>
      <c r="G79" s="47" t="str">
        <v>QF13</v>
      </c>
      <c r="H79" s="47" t="str">
        <v>1P С10А</v>
      </c>
      <c r="I79" s="75" t="str">
        <v/>
      </c>
      <c r="J79" s="76" t="str">
        <v/>
      </c>
      <c r="K79" s="76" t="str">
        <v/>
      </c>
      <c r="L79" s="75" t="str">
        <v/>
      </c>
      <c r="M79" s="49" t="str">
        <v/>
      </c>
      <c r="N79" s="76" t="str">
        <v/>
      </c>
      <c r="O79" s="49" t="str">
        <v/>
      </c>
      <c r="P79" s="77" t="str">
        <v/>
      </c>
      <c r="Q79" s="53" t="str">
        <v>ВВГнг(А)-LS (3х1,5) L=27-0,16%</v>
      </c>
      <c r="R79" s="54" t="str">
        <v>K.00.007T.2</v>
      </c>
      <c r="S79" s="55" t="str">
        <v>Внутренний блок кондиционирования Подвальный этаж Пом. №007Т</v>
      </c>
      <c r="T79" s="56">
        <v>0.104</v>
      </c>
      <c r="U79" s="56">
        <v>0.57000000000000006</v>
      </c>
      <c r="V79" s="42" t="str">
        <v>L1</v>
      </c>
      <c r="W79" s="57" t="str">
        <v>ok</v>
      </c>
      <c r="X79" s="58" t="str">
        <v/>
      </c>
      <c r="Y79" s="75" t="str">
        <v/>
      </c>
      <c r="Z79" s="59">
        <v>0.56291651245988494</v>
      </c>
      <c r="AA79" s="61">
        <v>6</v>
      </c>
      <c r="AB79" s="61">
        <v>16</v>
      </c>
      <c r="AC79" s="61" t="str">
        <v/>
      </c>
      <c r="AD79" s="62" t="str">
        <v>QF13</v>
      </c>
      <c r="AE79" s="62" t="str">
        <v/>
      </c>
      <c r="AF79" s="34">
        <v>13</v>
      </c>
      <c r="AG79" s="34" t="str">
        <v>QF13</v>
      </c>
      <c r="AH79" s="34" t="str">
        <v/>
      </c>
      <c r="AI79" s="34" t="str">
        <v/>
      </c>
      <c r="AJ79" s="34" t="str">
        <v>QF13</v>
      </c>
      <c r="AK79" s="34">
        <v>1</v>
      </c>
      <c r="AL79" s="34" t="str">
        <v>K</v>
      </c>
      <c r="AM79" s="34">
        <v>0</v>
      </c>
      <c r="AN79" s="34">
        <v>0</v>
      </c>
      <c r="AO79" s="34">
        <v>6</v>
      </c>
      <c r="AP79" s="34">
        <v>16</v>
      </c>
      <c r="AQ79" s="34">
        <v>10</v>
      </c>
      <c r="AR79" s="34">
        <v>1</v>
      </c>
      <c r="AS79" s="34">
        <v>0</v>
      </c>
      <c r="AT79" s="34" t="str">
        <v>1P</v>
      </c>
      <c r="AU79" s="34">
        <v>10</v>
      </c>
      <c r="AV79" s="34" t="str">
        <v/>
      </c>
      <c r="AW79" s="34" t="str">
        <v/>
      </c>
      <c r="AX79" s="34" t="str">
        <v/>
      </c>
      <c r="AY79" s="34">
        <v>1</v>
      </c>
      <c r="AZ79" s="34" t="str">
        <v/>
      </c>
      <c r="BA79" s="34">
        <v>0</v>
      </c>
      <c r="BB79" s="34">
        <v>0</v>
      </c>
      <c r="BD79" s="34">
        <v>1</v>
      </c>
      <c r="BE79" s="34">
        <v>0</v>
      </c>
      <c r="BF79" s="34">
        <v>0</v>
      </c>
      <c r="BG79" s="34" t="str">
        <v/>
      </c>
      <c r="BH79" s="34" t="str">
        <v/>
      </c>
      <c r="BI79" s="34" t="str">
        <v/>
      </c>
      <c r="BJ79" s="34" t="str">
        <v/>
      </c>
      <c r="BK79" s="34" t="str">
        <v>BOX</v>
      </c>
      <c r="BL79" s="34">
        <v>1</v>
      </c>
      <c r="BM79" s="34" t="str">
        <v/>
      </c>
      <c r="BN79" s="34" t="str">
        <v/>
      </c>
      <c r="BO79" s="34" t="str">
        <v/>
      </c>
      <c r="BP79" s="34" t="str">
        <v/>
      </c>
      <c r="BQ79" s="34" t="str">
        <v>3х1,5</v>
      </c>
      <c r="BR79" s="34" t="str">
        <v/>
      </c>
      <c r="BS79" s="34" t="str">
        <v/>
      </c>
      <c r="BT79" s="34" t="str">
        <v/>
      </c>
      <c r="BU79" s="34">
        <v>0</v>
      </c>
      <c r="BV79" s="34">
        <v>99</v>
      </c>
      <c r="BW79" s="34">
        <v>1</v>
      </c>
      <c r="BX79" s="34">
        <v>0</v>
      </c>
      <c r="BY79" s="34">
        <v>0</v>
      </c>
      <c r="BZ79">
        <v>5</v>
      </c>
      <c r="CA79" t="str">
        <v>линии</v>
      </c>
    </row>
    <row r="80" spans="1:79" x14ac:dyDescent="0.3">
      <c r="A80" s="39" t="str">
        <v>ЩОВ-01</v>
      </c>
      <c r="B80" s="42">
        <v>2</v>
      </c>
      <c r="C80" s="42">
        <v>1</v>
      </c>
      <c r="D80" s="75" t="str">
        <v/>
      </c>
      <c r="E80" s="75" t="str">
        <v>авто</v>
      </c>
      <c r="F80" s="76" t="str">
        <v/>
      </c>
      <c r="G80" s="47" t="str">
        <v/>
      </c>
      <c r="H80" s="47" t="str">
        <v>3P С25А</v>
      </c>
      <c r="I80" s="75" t="str">
        <v/>
      </c>
      <c r="J80" s="76" t="str">
        <v/>
      </c>
      <c r="K80" s="76" t="str">
        <v/>
      </c>
      <c r="L80" s="75" t="str">
        <v/>
      </c>
      <c r="M80" s="49" t="str">
        <v/>
      </c>
      <c r="N80" s="76" t="str">
        <v/>
      </c>
      <c r="O80" s="49" t="str">
        <v/>
      </c>
      <c r="P80" s="77" t="str">
        <v/>
      </c>
      <c r="Q80" s="53" t="str">
        <v>ВВГнг(А)-LS (5х6) L=14-0,23%</v>
      </c>
      <c r="R80" s="54" t="str">
        <v>Ввод.1</v>
      </c>
      <c r="S80" s="55" t="str">
        <v>Ввод</v>
      </c>
      <c r="T80" s="56">
        <v>0</v>
      </c>
      <c r="U80" s="56">
        <v>11.93</v>
      </c>
      <c r="V80" s="42" t="str">
        <v>L1,L2,L3</v>
      </c>
      <c r="W80" s="57" t="str">
        <v>ok</v>
      </c>
      <c r="X80" s="58" t="str">
        <v/>
      </c>
      <c r="Y80" s="75" t="str">
        <v>вручную</v>
      </c>
      <c r="Z80" s="59">
        <v>11.927695717539414</v>
      </c>
      <c r="AA80" s="61">
        <v>16</v>
      </c>
      <c r="AB80" s="61">
        <v>32</v>
      </c>
      <c r="AC80" s="61" t="str">
        <v/>
      </c>
      <c r="AD80" s="62" t="str">
        <v/>
      </c>
      <c r="AE80" s="62" t="str">
        <v/>
      </c>
      <c r="AF80" s="34" t="str">
        <v/>
      </c>
      <c r="AG80" s="34" t="str">
        <v/>
      </c>
      <c r="AH80" s="34" t="str">
        <v/>
      </c>
      <c r="AI80" s="34" t="str">
        <v/>
      </c>
      <c r="AJ80" s="34" t="str">
        <v/>
      </c>
      <c r="AK80" s="34">
        <v>3</v>
      </c>
      <c r="AL80" s="34" t="str">
        <v>Ввод</v>
      </c>
      <c r="AM80" s="34">
        <v>0</v>
      </c>
      <c r="AN80" s="34">
        <v>0</v>
      </c>
      <c r="AO80" s="34">
        <v>16</v>
      </c>
      <c r="AP80" s="34">
        <v>32</v>
      </c>
      <c r="AQ80" s="34">
        <v>25</v>
      </c>
      <c r="AR80" s="34">
        <v>3</v>
      </c>
      <c r="AS80" s="34">
        <v>0</v>
      </c>
      <c r="AT80" s="34" t="str">
        <v>3P</v>
      </c>
      <c r="AU80" s="34">
        <v>25</v>
      </c>
      <c r="AV80" s="34" t="str">
        <v/>
      </c>
      <c r="AW80" s="34" t="str">
        <v/>
      </c>
      <c r="AX80" s="34" t="str">
        <v/>
      </c>
      <c r="AY80" s="34">
        <v>0</v>
      </c>
      <c r="AZ80" s="34" t="str">
        <v/>
      </c>
      <c r="BA80" s="34">
        <v>0</v>
      </c>
      <c r="BB80" s="34">
        <v>0</v>
      </c>
      <c r="BD80" s="34">
        <v>0</v>
      </c>
      <c r="BE80" s="34">
        <v>0</v>
      </c>
      <c r="BF80" s="34">
        <v>0</v>
      </c>
      <c r="BG80" s="34" t="str">
        <v/>
      </c>
      <c r="BH80" s="34" t="str">
        <v/>
      </c>
      <c r="BI80" s="34" t="str">
        <v/>
      </c>
      <c r="BJ80" s="34" t="str">
        <v/>
      </c>
      <c r="BK80" s="34" t="str">
        <v>BOX</v>
      </c>
      <c r="BL80" s="34">
        <v>1</v>
      </c>
      <c r="BM80" s="34" t="str">
        <v/>
      </c>
      <c r="BN80" s="34" t="str">
        <v/>
      </c>
      <c r="BO80" s="34" t="str">
        <v/>
      </c>
      <c r="BP80" s="34" t="str">
        <v/>
      </c>
      <c r="BQ80" s="34" t="str">
        <v/>
      </c>
      <c r="BR80" s="34" t="str">
        <v/>
      </c>
      <c r="BS80" s="34" t="str">
        <v/>
      </c>
      <c r="BT80" s="34" t="str">
        <v/>
      </c>
      <c r="BU80" s="34">
        <v>0</v>
      </c>
      <c r="BV80" s="34">
        <v>100</v>
      </c>
      <c r="BW80" s="34">
        <v>0</v>
      </c>
      <c r="BX80" s="34">
        <v>0</v>
      </c>
      <c r="BY80" s="34">
        <v>0</v>
      </c>
      <c r="BZ80">
        <v>6</v>
      </c>
      <c r="CA80" t="str">
        <v>вводной узел</v>
      </c>
    </row>
    <row r="81" spans="1:79" x14ac:dyDescent="0.3">
      <c r="A81" s="39" t="str">
        <v>ЩОВ-01</v>
      </c>
      <c r="B81" s="42">
        <v>18</v>
      </c>
      <c r="C81" s="42">
        <v>2</v>
      </c>
      <c r="D81" s="75" t="str">
        <v/>
      </c>
      <c r="E81" s="75" t="str">
        <v>авто</v>
      </c>
      <c r="F81" s="76" t="str">
        <v/>
      </c>
      <c r="G81" s="47" t="str">
        <v>QF1</v>
      </c>
      <c r="H81" s="47" t="str">
        <v>1P С10А</v>
      </c>
      <c r="I81" s="75" t="str">
        <v/>
      </c>
      <c r="J81" s="76" t="str">
        <v/>
      </c>
      <c r="K81" s="76" t="str">
        <v/>
      </c>
      <c r="L81" s="75" t="str">
        <v/>
      </c>
      <c r="M81" s="49" t="str">
        <v/>
      </c>
      <c r="N81" s="76" t="str">
        <v/>
      </c>
      <c r="O81" s="49" t="str">
        <v/>
      </c>
      <c r="P81" s="77" t="str">
        <v>XT1</v>
      </c>
      <c r="Q81" s="53" t="str">
        <v>ВВГнг(А)-LS (3х1,5) L=36-0,68%</v>
      </c>
      <c r="R81" s="54" t="str">
        <v>П.6</v>
      </c>
      <c r="S81" s="55" t="str">
        <v>Приточная установка Цокольный этаж Пом №001Тб</v>
      </c>
      <c r="T81" s="56">
        <v>0.33</v>
      </c>
      <c r="U81" s="56">
        <v>1.79</v>
      </c>
      <c r="V81" s="42" t="str">
        <v>L3</v>
      </c>
      <c r="W81" s="57" t="str">
        <v>ok</v>
      </c>
      <c r="X81" s="58" t="str">
        <v/>
      </c>
      <c r="Y81" s="75" t="str">
        <v/>
      </c>
      <c r="Z81" s="59">
        <v>1.7861773953054043</v>
      </c>
      <c r="AA81" s="61">
        <v>6</v>
      </c>
      <c r="AB81" s="61">
        <v>16</v>
      </c>
      <c r="AC81" s="61" t="str">
        <v/>
      </c>
      <c r="AD81" s="62" t="str">
        <v>QF1 → XT1</v>
      </c>
      <c r="AE81" s="62" t="str">
        <v/>
      </c>
      <c r="AF81" s="34">
        <v>1</v>
      </c>
      <c r="AG81" s="34" t="str">
        <v>QF1</v>
      </c>
      <c r="AH81" s="34" t="str">
        <v/>
      </c>
      <c r="AI81" s="34" t="str">
        <v/>
      </c>
      <c r="AJ81" s="34" t="str">
        <v>QF1</v>
      </c>
      <c r="AK81" s="34">
        <v>1</v>
      </c>
      <c r="AL81" s="34" t="str">
        <v>П</v>
      </c>
      <c r="AM81" s="34">
        <v>0</v>
      </c>
      <c r="AN81" s="34">
        <v>0</v>
      </c>
      <c r="AO81" s="34">
        <v>6</v>
      </c>
      <c r="AP81" s="34">
        <v>16</v>
      </c>
      <c r="AQ81" s="34">
        <v>10</v>
      </c>
      <c r="AR81" s="34">
        <v>1</v>
      </c>
      <c r="AS81" s="34">
        <v>0</v>
      </c>
      <c r="AT81" s="34" t="str">
        <v>1P</v>
      </c>
      <c r="AU81" s="34">
        <v>10</v>
      </c>
      <c r="AV81" s="34" t="str">
        <v/>
      </c>
      <c r="AW81" s="34" t="str">
        <v/>
      </c>
      <c r="AX81" s="34" t="str">
        <v/>
      </c>
      <c r="AY81" s="34">
        <v>1</v>
      </c>
      <c r="AZ81" s="34" t="str">
        <v/>
      </c>
      <c r="BA81" s="34">
        <v>0</v>
      </c>
      <c r="BB81" s="34">
        <v>0</v>
      </c>
      <c r="BD81" s="34">
        <v>1</v>
      </c>
      <c r="BE81" s="34">
        <v>0</v>
      </c>
      <c r="BF81" s="34">
        <v>0</v>
      </c>
      <c r="BG81" s="34" t="str">
        <v/>
      </c>
      <c r="BH81" s="34" t="str">
        <v/>
      </c>
      <c r="BI81" s="34" t="str">
        <v/>
      </c>
      <c r="BJ81" s="34" t="str">
        <v/>
      </c>
      <c r="BK81" s="34" t="str">
        <v>MOTOR</v>
      </c>
      <c r="BL81" s="34">
        <v>1</v>
      </c>
      <c r="BM81" s="34" t="str">
        <v/>
      </c>
      <c r="BN81" s="34" t="str">
        <v/>
      </c>
      <c r="BO81" s="34" t="str">
        <v/>
      </c>
      <c r="BP81" s="34" t="str">
        <v/>
      </c>
      <c r="BQ81" s="34" t="str">
        <v>3х1,5</v>
      </c>
      <c r="BR81" s="34" t="str">
        <v/>
      </c>
      <c r="BS81" s="34" t="str">
        <v/>
      </c>
      <c r="BT81" s="34" t="str">
        <v/>
      </c>
      <c r="BU81" s="34">
        <v>0</v>
      </c>
      <c r="BV81" s="34">
        <v>101</v>
      </c>
      <c r="BW81" s="34">
        <v>1</v>
      </c>
      <c r="BX81" s="34">
        <v>0</v>
      </c>
      <c r="BY81" s="34" t="str">
        <v>Привод (двигатель)</v>
      </c>
      <c r="BZ81">
        <v>6</v>
      </c>
      <c r="CA81" t="str">
        <v>линии</v>
      </c>
    </row>
    <row r="82" spans="1:79" x14ac:dyDescent="0.3">
      <c r="A82" s="39" t="str">
        <v>ЩОВ-01</v>
      </c>
      <c r="B82" s="42">
        <v>19</v>
      </c>
      <c r="C82" s="42">
        <v>2</v>
      </c>
      <c r="D82" s="75" t="str">
        <v/>
      </c>
      <c r="E82" s="75" t="str">
        <v>авто</v>
      </c>
      <c r="F82" s="76" t="str">
        <v/>
      </c>
      <c r="G82" s="47" t="str">
        <v>QF2</v>
      </c>
      <c r="H82" s="47" t="str">
        <v>3P С16А</v>
      </c>
      <c r="I82" s="75" t="str">
        <v/>
      </c>
      <c r="J82" s="76" t="str">
        <v/>
      </c>
      <c r="K82" s="76" t="str">
        <v/>
      </c>
      <c r="L82" s="75" t="str">
        <v/>
      </c>
      <c r="M82" s="49" t="str">
        <v/>
      </c>
      <c r="N82" s="76" t="str">
        <v/>
      </c>
      <c r="O82" s="49" t="str">
        <v/>
      </c>
      <c r="P82" s="77" t="str">
        <v>XT2</v>
      </c>
      <c r="Q82" s="53" t="str">
        <v>ВВГнг(А)-LS (5х2,5) L=42-1,67%</v>
      </c>
      <c r="R82" s="54" t="str">
        <v>ПВ.6</v>
      </c>
      <c r="S82" s="55" t="str">
        <v>Приточно-вытяжная установка цокольный этаж Пом №001Тб</v>
      </c>
      <c r="T82" s="56">
        <v>7</v>
      </c>
      <c r="U82" s="56">
        <v>12.629999999999999</v>
      </c>
      <c r="V82" s="42" t="str">
        <v>L1,L2,L3</v>
      </c>
      <c r="W82" s="57" t="str">
        <v>ok</v>
      </c>
      <c r="X82" s="58" t="str">
        <v/>
      </c>
      <c r="Y82" s="75" t="str">
        <v/>
      </c>
      <c r="Z82" s="59">
        <v>12.629537138523064</v>
      </c>
      <c r="AA82" s="61">
        <v>16</v>
      </c>
      <c r="AB82" s="61">
        <v>20</v>
      </c>
      <c r="AC82" s="61" t="str">
        <v/>
      </c>
      <c r="AD82" s="62" t="str">
        <v>QF2 → XT2</v>
      </c>
      <c r="AE82" s="62" t="str">
        <v/>
      </c>
      <c r="AF82" s="34">
        <v>2</v>
      </c>
      <c r="AG82" s="34" t="str">
        <v>QF2</v>
      </c>
      <c r="AH82" s="34" t="str">
        <v/>
      </c>
      <c r="AI82" s="34" t="str">
        <v/>
      </c>
      <c r="AJ82" s="34" t="str">
        <v>QF2</v>
      </c>
      <c r="AK82" s="34">
        <v>3</v>
      </c>
      <c r="AL82" s="34" t="str">
        <v>ПВ</v>
      </c>
      <c r="AM82" s="34">
        <v>0</v>
      </c>
      <c r="AN82" s="34">
        <v>0</v>
      </c>
      <c r="AO82" s="34">
        <v>16</v>
      </c>
      <c r="AP82" s="34">
        <v>20</v>
      </c>
      <c r="AQ82" s="34">
        <v>16</v>
      </c>
      <c r="AR82" s="34">
        <v>3</v>
      </c>
      <c r="AS82" s="34">
        <v>0</v>
      </c>
      <c r="AT82" s="34" t="str">
        <v>3P</v>
      </c>
      <c r="AU82" s="34">
        <v>16</v>
      </c>
      <c r="AV82" s="34" t="str">
        <v/>
      </c>
      <c r="AW82" s="34" t="str">
        <v/>
      </c>
      <c r="AX82" s="34" t="str">
        <v/>
      </c>
      <c r="AY82" s="34">
        <v>1</v>
      </c>
      <c r="AZ82" s="34" t="str">
        <v/>
      </c>
      <c r="BA82" s="34">
        <v>0</v>
      </c>
      <c r="BB82" s="34">
        <v>0</v>
      </c>
      <c r="BD82" s="34">
        <v>1</v>
      </c>
      <c r="BE82" s="34">
        <v>0</v>
      </c>
      <c r="BF82" s="34">
        <v>0</v>
      </c>
      <c r="BG82" s="34" t="str">
        <v/>
      </c>
      <c r="BH82" s="34" t="str">
        <v/>
      </c>
      <c r="BI82" s="34" t="str">
        <v/>
      </c>
      <c r="BJ82" s="34" t="str">
        <v/>
      </c>
      <c r="BK82" s="34" t="str">
        <v>MOTOR</v>
      </c>
      <c r="BL82" s="34">
        <v>1</v>
      </c>
      <c r="BM82" s="34" t="str">
        <v/>
      </c>
      <c r="BN82" s="34" t="str">
        <v/>
      </c>
      <c r="BO82" s="34" t="str">
        <v/>
      </c>
      <c r="BP82" s="34" t="str">
        <v/>
      </c>
      <c r="BQ82" s="34" t="str">
        <v>5х2,5</v>
      </c>
      <c r="BR82" s="34">
        <v>13</v>
      </c>
      <c r="BS82" s="34" t="str">
        <v/>
      </c>
      <c r="BT82" s="34" t="str">
        <v/>
      </c>
      <c r="BU82" s="34">
        <v>0</v>
      </c>
      <c r="BV82" s="34">
        <v>102</v>
      </c>
      <c r="BW82" s="34">
        <v>1</v>
      </c>
      <c r="BX82" s="34">
        <v>2</v>
      </c>
      <c r="BY82" s="34" t="str">
        <v>Привод (двигатель)</v>
      </c>
      <c r="BZ82">
        <v>6</v>
      </c>
      <c r="CA82" t="str">
        <v>линии</v>
      </c>
    </row>
    <row r="83" spans="1:79" x14ac:dyDescent="0.3">
      <c r="A83" s="39" t="str">
        <v>ЩОВ-01</v>
      </c>
      <c r="B83" s="42">
        <v>20</v>
      </c>
      <c r="C83" s="42">
        <v>2</v>
      </c>
      <c r="D83" s="75" t="str">
        <v/>
      </c>
      <c r="E83" s="75" t="str">
        <v>авто</v>
      </c>
      <c r="F83" s="76" t="str">
        <v/>
      </c>
      <c r="G83" s="47" t="str">
        <v>QF3</v>
      </c>
      <c r="H83" s="47" t="str">
        <v>1P С10А</v>
      </c>
      <c r="I83" s="75" t="str">
        <v/>
      </c>
      <c r="J83" s="76" t="str">
        <v/>
      </c>
      <c r="K83" s="76" t="str">
        <v/>
      </c>
      <c r="L83" s="75" t="str">
        <v/>
      </c>
      <c r="M83" s="49" t="str">
        <v/>
      </c>
      <c r="N83" s="76" t="str">
        <v/>
      </c>
      <c r="O83" s="49" t="str">
        <v/>
      </c>
      <c r="P83" s="77" t="str">
        <v>XT3</v>
      </c>
      <c r="Q83" s="53" t="str">
        <v>ВВГнг(А)-LS (3х1,5) L=44-1,95%</v>
      </c>
      <c r="R83" s="54" t="str">
        <v>ПВ.9</v>
      </c>
      <c r="S83" s="55" t="str">
        <v>Приточно-вытяжная установка цокольный этаж Пом №001Тб</v>
      </c>
      <c r="T83" s="56">
        <v>0.78</v>
      </c>
      <c r="U83" s="56">
        <v>4.2299999999999995</v>
      </c>
      <c r="V83" s="42" t="str">
        <v>L2</v>
      </c>
      <c r="W83" s="57" t="str">
        <v>ok</v>
      </c>
      <c r="X83" s="58" t="str">
        <v/>
      </c>
      <c r="Y83" s="75" t="str">
        <v/>
      </c>
      <c r="Z83" s="59">
        <v>4.2218738434491376</v>
      </c>
      <c r="AA83" s="61">
        <v>6</v>
      </c>
      <c r="AB83" s="61">
        <v>16</v>
      </c>
      <c r="AC83" s="61" t="str">
        <v/>
      </c>
      <c r="AD83" s="62" t="str">
        <v>QF3 → XT3</v>
      </c>
      <c r="AE83" s="62" t="str">
        <v/>
      </c>
      <c r="AF83" s="34">
        <v>3</v>
      </c>
      <c r="AG83" s="34" t="str">
        <v>QF3</v>
      </c>
      <c r="AH83" s="34" t="str">
        <v/>
      </c>
      <c r="AI83" s="34" t="str">
        <v/>
      </c>
      <c r="AJ83" s="34" t="str">
        <v>QF3</v>
      </c>
      <c r="AK83" s="34">
        <v>1</v>
      </c>
      <c r="AL83" s="34" t="str">
        <v>ПВ</v>
      </c>
      <c r="AM83" s="34">
        <v>0</v>
      </c>
      <c r="AN83" s="34">
        <v>0</v>
      </c>
      <c r="AO83" s="34">
        <v>6</v>
      </c>
      <c r="AP83" s="34">
        <v>16</v>
      </c>
      <c r="AQ83" s="34">
        <v>10</v>
      </c>
      <c r="AR83" s="34">
        <v>1</v>
      </c>
      <c r="AS83" s="34">
        <v>0</v>
      </c>
      <c r="AT83" s="34" t="str">
        <v>1P</v>
      </c>
      <c r="AU83" s="34">
        <v>10</v>
      </c>
      <c r="AV83" s="34" t="str">
        <v/>
      </c>
      <c r="AW83" s="34" t="str">
        <v/>
      </c>
      <c r="AX83" s="34" t="str">
        <v/>
      </c>
      <c r="AY83" s="34">
        <v>1</v>
      </c>
      <c r="AZ83" s="34" t="str">
        <v/>
      </c>
      <c r="BA83" s="34">
        <v>0</v>
      </c>
      <c r="BB83" s="34">
        <v>0</v>
      </c>
      <c r="BD83" s="34">
        <v>1</v>
      </c>
      <c r="BE83" s="34">
        <v>0</v>
      </c>
      <c r="BF83" s="34">
        <v>0</v>
      </c>
      <c r="BG83" s="34" t="str">
        <v/>
      </c>
      <c r="BH83" s="34" t="str">
        <v/>
      </c>
      <c r="BI83" s="34" t="str">
        <v/>
      </c>
      <c r="BJ83" s="34" t="str">
        <v/>
      </c>
      <c r="BK83" s="34" t="str">
        <v>MOTOR</v>
      </c>
      <c r="BL83" s="34">
        <v>1</v>
      </c>
      <c r="BM83" s="34" t="str">
        <v/>
      </c>
      <c r="BN83" s="34" t="str">
        <v/>
      </c>
      <c r="BO83" s="34" t="str">
        <v/>
      </c>
      <c r="BP83" s="34" t="str">
        <v/>
      </c>
      <c r="BQ83" s="34" t="str">
        <v>3х1,5</v>
      </c>
      <c r="BR83" s="34" t="str">
        <v/>
      </c>
      <c r="BS83" s="34" t="str">
        <v/>
      </c>
      <c r="BT83" s="34" t="str">
        <v/>
      </c>
      <c r="BU83" s="34">
        <v>0</v>
      </c>
      <c r="BV83" s="34">
        <v>103</v>
      </c>
      <c r="BW83" s="34">
        <v>1</v>
      </c>
      <c r="BX83" s="34">
        <v>0</v>
      </c>
      <c r="BY83" s="34" t="str">
        <v>Привод (двигатель)</v>
      </c>
      <c r="BZ83">
        <v>6</v>
      </c>
      <c r="CA83" t="str">
        <v>линии</v>
      </c>
    </row>
    <row r="84" spans="1:79" x14ac:dyDescent="0.3">
      <c r="A84" s="39" t="str">
        <v>ЩОВ-01</v>
      </c>
      <c r="B84" s="42">
        <v>21</v>
      </c>
      <c r="C84" s="42">
        <v>2</v>
      </c>
      <c r="D84" s="75" t="str">
        <v/>
      </c>
      <c r="E84" s="75" t="str">
        <v>авто</v>
      </c>
      <c r="F84" s="76" t="str">
        <v/>
      </c>
      <c r="G84" s="47" t="str">
        <v>QF4</v>
      </c>
      <c r="H84" s="47" t="str">
        <v>1P С10А</v>
      </c>
      <c r="I84" s="75" t="str">
        <v/>
      </c>
      <c r="J84" s="76" t="str">
        <v/>
      </c>
      <c r="K84" s="76" t="str">
        <v/>
      </c>
      <c r="L84" s="75" t="str">
        <v/>
      </c>
      <c r="M84" s="49" t="str">
        <v/>
      </c>
      <c r="N84" s="76" t="str">
        <v/>
      </c>
      <c r="O84" s="49" t="str">
        <v/>
      </c>
      <c r="P84" s="77" t="str">
        <v>XT4</v>
      </c>
      <c r="Q84" s="53" t="str">
        <v>ВВГнг(А)-LS (3х1,5) L=42-0,72%</v>
      </c>
      <c r="R84" s="54" t="str">
        <v>В.2</v>
      </c>
      <c r="S84" s="55" t="str">
        <v>Вытяжная установка Пом. №003Б</v>
      </c>
      <c r="T84" s="56">
        <v>0.3</v>
      </c>
      <c r="U84" s="56">
        <v>1.6300000000000001</v>
      </c>
      <c r="V84" s="42" t="str">
        <v>L2</v>
      </c>
      <c r="W84" s="57" t="str">
        <v>ok</v>
      </c>
      <c r="X84" s="58" t="str">
        <v/>
      </c>
      <c r="Y84" s="75" t="str">
        <v/>
      </c>
      <c r="Z84" s="59">
        <v>1.6237976320958221</v>
      </c>
      <c r="AA84" s="61">
        <v>6</v>
      </c>
      <c r="AB84" s="61">
        <v>16</v>
      </c>
      <c r="AC84" s="61" t="str">
        <v/>
      </c>
      <c r="AD84" s="62" t="str">
        <v>QF4 → XT4</v>
      </c>
      <c r="AE84" s="62" t="str">
        <v/>
      </c>
      <c r="AF84" s="34">
        <v>4</v>
      </c>
      <c r="AG84" s="34" t="str">
        <v>QF4</v>
      </c>
      <c r="AH84" s="34" t="str">
        <v/>
      </c>
      <c r="AI84" s="34" t="str">
        <v/>
      </c>
      <c r="AJ84" s="34" t="str">
        <v>QF4</v>
      </c>
      <c r="AK84" s="34">
        <v>1</v>
      </c>
      <c r="AL84" s="34" t="str">
        <v>В</v>
      </c>
      <c r="AM84" s="34">
        <v>0</v>
      </c>
      <c r="AN84" s="34">
        <v>0</v>
      </c>
      <c r="AO84" s="34">
        <v>6</v>
      </c>
      <c r="AP84" s="34">
        <v>16</v>
      </c>
      <c r="AQ84" s="34">
        <v>10</v>
      </c>
      <c r="AR84" s="34">
        <v>1</v>
      </c>
      <c r="AS84" s="34">
        <v>0</v>
      </c>
      <c r="AT84" s="34" t="str">
        <v>1P</v>
      </c>
      <c r="AU84" s="34">
        <v>10</v>
      </c>
      <c r="AV84" s="34" t="str">
        <v/>
      </c>
      <c r="AW84" s="34" t="str">
        <v/>
      </c>
      <c r="AX84" s="34" t="str">
        <v/>
      </c>
      <c r="AY84" s="34">
        <v>1</v>
      </c>
      <c r="AZ84" s="34" t="str">
        <v/>
      </c>
      <c r="BA84" s="34">
        <v>0</v>
      </c>
      <c r="BB84" s="34">
        <v>0</v>
      </c>
      <c r="BD84" s="34">
        <v>1</v>
      </c>
      <c r="BE84" s="34">
        <v>0</v>
      </c>
      <c r="BF84" s="34">
        <v>0</v>
      </c>
      <c r="BG84" s="34" t="str">
        <v/>
      </c>
      <c r="BH84" s="34" t="str">
        <v/>
      </c>
      <c r="BI84" s="34" t="str">
        <v/>
      </c>
      <c r="BJ84" s="34" t="str">
        <v/>
      </c>
      <c r="BK84" s="34" t="str">
        <v>MOTOR</v>
      </c>
      <c r="BL84" s="34">
        <v>1</v>
      </c>
      <c r="BM84" s="34" t="str">
        <v/>
      </c>
      <c r="BN84" s="34" t="str">
        <v/>
      </c>
      <c r="BO84" s="34" t="str">
        <v/>
      </c>
      <c r="BP84" s="34" t="str">
        <v/>
      </c>
      <c r="BQ84" s="34" t="str">
        <v>3х1,5</v>
      </c>
      <c r="BR84" s="34" t="str">
        <v/>
      </c>
      <c r="BS84" s="34" t="str">
        <v/>
      </c>
      <c r="BT84" s="34" t="str">
        <v/>
      </c>
      <c r="BU84" s="34">
        <v>0</v>
      </c>
      <c r="BV84" s="34">
        <v>104</v>
      </c>
      <c r="BW84" s="34">
        <v>1</v>
      </c>
      <c r="BX84" s="34">
        <v>0</v>
      </c>
      <c r="BY84" s="34" t="str">
        <v>Привод (двигатель)</v>
      </c>
      <c r="BZ84">
        <v>6</v>
      </c>
      <c r="CA84" t="str">
        <v>линии</v>
      </c>
    </row>
    <row r="85" spans="1:79" x14ac:dyDescent="0.3">
      <c r="A85" s="39" t="str">
        <v>ЩОВ-01</v>
      </c>
      <c r="B85" s="42">
        <v>24</v>
      </c>
      <c r="C85" s="42">
        <v>2</v>
      </c>
      <c r="D85" s="75" t="str">
        <v/>
      </c>
      <c r="E85" s="75" t="str">
        <v>авто</v>
      </c>
      <c r="F85" s="76" t="str">
        <v/>
      </c>
      <c r="G85" s="47" t="str">
        <v>QF5</v>
      </c>
      <c r="H85" s="47" t="str">
        <v>1P С10А</v>
      </c>
      <c r="I85" s="75" t="str">
        <v/>
      </c>
      <c r="J85" s="76" t="str">
        <v/>
      </c>
      <c r="K85" s="76" t="str">
        <v/>
      </c>
      <c r="L85" s="75" t="str">
        <v/>
      </c>
      <c r="M85" s="49" t="str">
        <v/>
      </c>
      <c r="N85" s="76" t="str">
        <v/>
      </c>
      <c r="O85" s="49" t="str">
        <v/>
      </c>
      <c r="P85" s="77" t="str">
        <v/>
      </c>
      <c r="Q85" s="53" t="str">
        <v>ВВГнг(А)-LS (3х1,5) L=38-0,59%</v>
      </c>
      <c r="R85" s="54" t="str">
        <v>В.10</v>
      </c>
      <c r="S85" s="55" t="str">
        <v>Вытяжная установка Пом. №019Б</v>
      </c>
      <c r="T85" s="56">
        <v>0.27</v>
      </c>
      <c r="U85" s="56">
        <v>1.47</v>
      </c>
      <c r="V85" s="42" t="str">
        <v>L2</v>
      </c>
      <c r="W85" s="57" t="str">
        <v>ok</v>
      </c>
      <c r="X85" s="58" t="str">
        <v/>
      </c>
      <c r="Y85" s="75" t="str">
        <v/>
      </c>
      <c r="Z85" s="59">
        <v>1.46141786888624</v>
      </c>
      <c r="AA85" s="61">
        <v>6</v>
      </c>
      <c r="AB85" s="61">
        <v>16</v>
      </c>
      <c r="AC85" s="61" t="str">
        <v/>
      </c>
      <c r="AD85" s="62" t="str">
        <v>QF5</v>
      </c>
      <c r="AE85" s="62" t="str">
        <v/>
      </c>
      <c r="AF85" s="34">
        <v>5</v>
      </c>
      <c r="AG85" s="34" t="str">
        <v>QF5</v>
      </c>
      <c r="AH85" s="34" t="str">
        <v/>
      </c>
      <c r="AI85" s="34" t="str">
        <v/>
      </c>
      <c r="AJ85" s="34" t="str">
        <v>QF5</v>
      </c>
      <c r="AK85" s="34">
        <v>1</v>
      </c>
      <c r="AL85" s="34" t="str">
        <v>В</v>
      </c>
      <c r="AM85" s="34">
        <v>0</v>
      </c>
      <c r="AN85" s="34">
        <v>0</v>
      </c>
      <c r="AO85" s="34">
        <v>6</v>
      </c>
      <c r="AP85" s="34">
        <v>16</v>
      </c>
      <c r="AQ85" s="34">
        <v>10</v>
      </c>
      <c r="AR85" s="34">
        <v>1</v>
      </c>
      <c r="AS85" s="34">
        <v>0</v>
      </c>
      <c r="AT85" s="34" t="str">
        <v>1P</v>
      </c>
      <c r="AU85" s="34">
        <v>10</v>
      </c>
      <c r="AV85" s="34" t="str">
        <v/>
      </c>
      <c r="AW85" s="34" t="str">
        <v/>
      </c>
      <c r="AX85" s="34" t="str">
        <v/>
      </c>
      <c r="AY85" s="34">
        <v>1</v>
      </c>
      <c r="AZ85" s="34" t="str">
        <v/>
      </c>
      <c r="BA85" s="34">
        <v>0</v>
      </c>
      <c r="BB85" s="34">
        <v>0</v>
      </c>
      <c r="BD85" s="34">
        <v>1</v>
      </c>
      <c r="BE85" s="34">
        <v>0</v>
      </c>
      <c r="BF85" s="34">
        <v>0</v>
      </c>
      <c r="BG85" s="34" t="str">
        <v/>
      </c>
      <c r="BH85" s="34" t="str">
        <v/>
      </c>
      <c r="BI85" s="34" t="str">
        <v/>
      </c>
      <c r="BJ85" s="34" t="str">
        <v/>
      </c>
      <c r="BK85" s="34" t="str">
        <v>MOTOR</v>
      </c>
      <c r="BL85" s="34">
        <v>1</v>
      </c>
      <c r="BM85" s="34" t="str">
        <v/>
      </c>
      <c r="BN85" s="34" t="str">
        <v/>
      </c>
      <c r="BO85" s="34" t="str">
        <v/>
      </c>
      <c r="BP85" s="34" t="str">
        <v/>
      </c>
      <c r="BQ85" s="34" t="str">
        <v>3х1,5</v>
      </c>
      <c r="BR85" s="34" t="str">
        <v/>
      </c>
      <c r="BS85" s="34" t="str">
        <v/>
      </c>
      <c r="BT85" s="34" t="str">
        <v/>
      </c>
      <c r="BU85" s="34">
        <v>0</v>
      </c>
      <c r="BV85" s="34">
        <v>105</v>
      </c>
      <c r="BW85" s="34">
        <v>1</v>
      </c>
      <c r="BX85" s="34">
        <v>0</v>
      </c>
      <c r="BY85" s="34" t="str">
        <v>Привод (двигатель)</v>
      </c>
      <c r="BZ85">
        <v>6</v>
      </c>
      <c r="CA85" t="str">
        <v>линии</v>
      </c>
    </row>
    <row r="86" spans="1:79" x14ac:dyDescent="0.3">
      <c r="A86" s="39" t="str">
        <v>ЩОВ-01</v>
      </c>
      <c r="B86" s="42">
        <v>25</v>
      </c>
      <c r="C86" s="42">
        <v>2</v>
      </c>
      <c r="D86" s="75" t="str">
        <v/>
      </c>
      <c r="E86" s="75" t="str">
        <v>авто</v>
      </c>
      <c r="F86" s="76" t="str">
        <v/>
      </c>
      <c r="G86" s="47" t="str">
        <v>QF6</v>
      </c>
      <c r="H86" s="47" t="str">
        <v>1P С10А</v>
      </c>
      <c r="I86" s="75" t="str">
        <v/>
      </c>
      <c r="J86" s="76" t="str">
        <v/>
      </c>
      <c r="K86" s="76" t="str">
        <v/>
      </c>
      <c r="L86" s="75" t="str">
        <v/>
      </c>
      <c r="M86" s="49" t="str">
        <v/>
      </c>
      <c r="N86" s="76" t="str">
        <v/>
      </c>
      <c r="O86" s="49" t="str">
        <v/>
      </c>
      <c r="P86" s="77" t="str">
        <v>XT6</v>
      </c>
      <c r="Q86" s="53" t="str">
        <v>ВВГнг(А)-LS (3х1,5) L=34-0,52%</v>
      </c>
      <c r="R86" s="54" t="str">
        <v>В.24</v>
      </c>
      <c r="S86" s="55" t="str">
        <v>Внутренний блок кондиционирования подвальный этаж Пом. №0001Тб</v>
      </c>
      <c r="T86" s="56">
        <v>0.27</v>
      </c>
      <c r="U86" s="56">
        <v>1.47</v>
      </c>
      <c r="V86" s="42" t="str">
        <v>L3</v>
      </c>
      <c r="W86" s="57" t="str">
        <v>ok</v>
      </c>
      <c r="X86" s="58" t="str">
        <v/>
      </c>
      <c r="Y86" s="75" t="str">
        <v/>
      </c>
      <c r="Z86" s="59">
        <v>1.46141786888624</v>
      </c>
      <c r="AA86" s="61">
        <v>6</v>
      </c>
      <c r="AB86" s="61">
        <v>16</v>
      </c>
      <c r="AC86" s="61" t="str">
        <v/>
      </c>
      <c r="AD86" s="62" t="str">
        <v>QF6 → XT6</v>
      </c>
      <c r="AE86" s="62" t="str">
        <v/>
      </c>
      <c r="AF86" s="34">
        <v>6</v>
      </c>
      <c r="AG86" s="34" t="str">
        <v>QF6</v>
      </c>
      <c r="AH86" s="34" t="str">
        <v/>
      </c>
      <c r="AI86" s="34" t="str">
        <v/>
      </c>
      <c r="AJ86" s="34" t="str">
        <v>QF6</v>
      </c>
      <c r="AK86" s="34">
        <v>1</v>
      </c>
      <c r="AL86" s="34" t="str">
        <v>В</v>
      </c>
      <c r="AM86" s="34">
        <v>0</v>
      </c>
      <c r="AN86" s="34">
        <v>0</v>
      </c>
      <c r="AO86" s="34">
        <v>6</v>
      </c>
      <c r="AP86" s="34">
        <v>16</v>
      </c>
      <c r="AQ86" s="34">
        <v>10</v>
      </c>
      <c r="AR86" s="34">
        <v>1</v>
      </c>
      <c r="AS86" s="34">
        <v>0</v>
      </c>
      <c r="AT86" s="34" t="str">
        <v>1P</v>
      </c>
      <c r="AU86" s="34">
        <v>10</v>
      </c>
      <c r="AV86" s="34" t="str">
        <v/>
      </c>
      <c r="AW86" s="34" t="str">
        <v/>
      </c>
      <c r="AX86" s="34" t="str">
        <v/>
      </c>
      <c r="AY86" s="34">
        <v>1</v>
      </c>
      <c r="AZ86" s="34" t="str">
        <v/>
      </c>
      <c r="BA86" s="34">
        <v>0</v>
      </c>
      <c r="BB86" s="34">
        <v>0</v>
      </c>
      <c r="BD86" s="34">
        <v>1</v>
      </c>
      <c r="BE86" s="34">
        <v>0</v>
      </c>
      <c r="BF86" s="34">
        <v>0</v>
      </c>
      <c r="BG86" s="34" t="str">
        <v/>
      </c>
      <c r="BH86" s="34" t="str">
        <v/>
      </c>
      <c r="BI86" s="34" t="str">
        <v/>
      </c>
      <c r="BJ86" s="34" t="str">
        <v/>
      </c>
      <c r="BK86" s="34" t="str">
        <v>MOTOR</v>
      </c>
      <c r="BL86" s="34">
        <v>1</v>
      </c>
      <c r="BM86" s="34" t="str">
        <v/>
      </c>
      <c r="BN86" s="34" t="str">
        <v/>
      </c>
      <c r="BO86" s="34" t="str">
        <v/>
      </c>
      <c r="BP86" s="34" t="str">
        <v/>
      </c>
      <c r="BQ86" s="34" t="str">
        <v>3х1,5</v>
      </c>
      <c r="BR86" s="34" t="str">
        <v/>
      </c>
      <c r="BS86" s="34" t="str">
        <v/>
      </c>
      <c r="BT86" s="34" t="str">
        <v/>
      </c>
      <c r="BU86" s="34">
        <v>0</v>
      </c>
      <c r="BV86" s="34">
        <v>106</v>
      </c>
      <c r="BW86" s="34">
        <v>1</v>
      </c>
      <c r="BX86" s="34">
        <v>0</v>
      </c>
      <c r="BY86" s="34" t="str">
        <v>Привод (двигатель)</v>
      </c>
      <c r="BZ86">
        <v>6</v>
      </c>
      <c r="CA86" t="str">
        <v>линии</v>
      </c>
    </row>
    <row r="87" spans="1:79" x14ac:dyDescent="0.3">
      <c r="A87" s="39" t="str">
        <v>ЩОВ-01</v>
      </c>
      <c r="B87" s="42">
        <v>26</v>
      </c>
      <c r="C87" s="42">
        <v>2</v>
      </c>
      <c r="D87" s="75" t="str">
        <v/>
      </c>
      <c r="E87" s="75" t="str">
        <v>авто</v>
      </c>
      <c r="F87" s="76" t="str">
        <v/>
      </c>
      <c r="G87" s="47" t="str">
        <v>QF7</v>
      </c>
      <c r="H87" s="47" t="str">
        <v>1P С10А</v>
      </c>
      <c r="I87" s="75" t="str">
        <v/>
      </c>
      <c r="J87" s="76" t="str">
        <v/>
      </c>
      <c r="K87" s="76" t="str">
        <v/>
      </c>
      <c r="L87" s="75" t="str">
        <v/>
      </c>
      <c r="M87" s="49" t="str">
        <v/>
      </c>
      <c r="N87" s="76" t="str">
        <v/>
      </c>
      <c r="O87" s="49" t="str">
        <v/>
      </c>
      <c r="P87" s="77" t="str">
        <v/>
      </c>
      <c r="Q87" s="53" t="str">
        <v>ВВГнг(А)-LS (3х1,5) L=34-0,52%</v>
      </c>
      <c r="R87" s="54" t="str">
        <v>В.25</v>
      </c>
      <c r="S87" s="55" t="str">
        <v>Внутренний блок кондиционирования подвальный этаж Пом. №01Тб</v>
      </c>
      <c r="T87" s="56">
        <v>0.27</v>
      </c>
      <c r="U87" s="56">
        <v>1.47</v>
      </c>
      <c r="V87" s="42" t="str">
        <v>L1</v>
      </c>
      <c r="W87" s="57" t="str">
        <v>ok</v>
      </c>
      <c r="X87" s="58" t="str">
        <v/>
      </c>
      <c r="Y87" s="75" t="str">
        <v/>
      </c>
      <c r="Z87" s="59">
        <v>1.46141786888624</v>
      </c>
      <c r="AA87" s="61">
        <v>6</v>
      </c>
      <c r="AB87" s="61">
        <v>16</v>
      </c>
      <c r="AC87" s="61" t="str">
        <v/>
      </c>
      <c r="AD87" s="62" t="str">
        <v>QF7</v>
      </c>
      <c r="AE87" s="62" t="str">
        <v/>
      </c>
      <c r="AF87" s="34">
        <v>7</v>
      </c>
      <c r="AG87" s="34" t="str">
        <v>QF7</v>
      </c>
      <c r="AH87" s="34" t="str">
        <v/>
      </c>
      <c r="AI87" s="34" t="str">
        <v/>
      </c>
      <c r="AJ87" s="34" t="str">
        <v>QF7</v>
      </c>
      <c r="AK87" s="34">
        <v>1</v>
      </c>
      <c r="AL87" s="34" t="str">
        <v>В</v>
      </c>
      <c r="AM87" s="34">
        <v>0</v>
      </c>
      <c r="AN87" s="34">
        <v>0</v>
      </c>
      <c r="AO87" s="34">
        <v>6</v>
      </c>
      <c r="AP87" s="34">
        <v>16</v>
      </c>
      <c r="AQ87" s="34">
        <v>10</v>
      </c>
      <c r="AR87" s="34">
        <v>1</v>
      </c>
      <c r="AS87" s="34">
        <v>0</v>
      </c>
      <c r="AT87" s="34" t="str">
        <v>1P</v>
      </c>
      <c r="AU87" s="34">
        <v>10</v>
      </c>
      <c r="AV87" s="34" t="str">
        <v/>
      </c>
      <c r="AW87" s="34" t="str">
        <v/>
      </c>
      <c r="AX87" s="34" t="str">
        <v/>
      </c>
      <c r="AY87" s="34">
        <v>1</v>
      </c>
      <c r="AZ87" s="34" t="str">
        <v/>
      </c>
      <c r="BA87" s="34">
        <v>0</v>
      </c>
      <c r="BB87" s="34">
        <v>0</v>
      </c>
      <c r="BD87" s="34">
        <v>1</v>
      </c>
      <c r="BE87" s="34">
        <v>0</v>
      </c>
      <c r="BF87" s="34">
        <v>0</v>
      </c>
      <c r="BG87" s="34" t="str">
        <v/>
      </c>
      <c r="BH87" s="34" t="str">
        <v/>
      </c>
      <c r="BI87" s="34" t="str">
        <v/>
      </c>
      <c r="BJ87" s="34" t="str">
        <v/>
      </c>
      <c r="BK87" s="34" t="str">
        <v>MOTOR</v>
      </c>
      <c r="BL87" s="34">
        <v>1</v>
      </c>
      <c r="BM87" s="34" t="str">
        <v/>
      </c>
      <c r="BN87" s="34" t="str">
        <v/>
      </c>
      <c r="BO87" s="34" t="str">
        <v/>
      </c>
      <c r="BP87" s="34" t="str">
        <v/>
      </c>
      <c r="BQ87" s="34" t="str">
        <v>3х1,5</v>
      </c>
      <c r="BR87" s="34" t="str">
        <v/>
      </c>
      <c r="BS87" s="34" t="str">
        <v/>
      </c>
      <c r="BT87" s="34" t="str">
        <v/>
      </c>
      <c r="BU87" s="34">
        <v>0</v>
      </c>
      <c r="BV87" s="34">
        <v>107</v>
      </c>
      <c r="BW87" s="34">
        <v>1</v>
      </c>
      <c r="BX87" s="34">
        <v>0</v>
      </c>
      <c r="BY87" s="34" t="str">
        <v>Привод (двигатель)</v>
      </c>
      <c r="BZ87">
        <v>6</v>
      </c>
      <c r="CA87" t="str">
        <v>линии</v>
      </c>
    </row>
    <row r="88" spans="1:79" x14ac:dyDescent="0.3">
      <c r="A88" s="39" t="str">
        <v>ЩОВ-01</v>
      </c>
      <c r="B88" s="42">
        <v>27</v>
      </c>
      <c r="C88" s="42">
        <v>2</v>
      </c>
      <c r="D88" s="75" t="str">
        <v/>
      </c>
      <c r="E88" s="75" t="str">
        <v>авто</v>
      </c>
      <c r="F88" s="76" t="str">
        <v/>
      </c>
      <c r="G88" s="47" t="str">
        <v>QF8</v>
      </c>
      <c r="H88" s="47" t="str">
        <v>1P С10А</v>
      </c>
      <c r="I88" s="75" t="str">
        <v/>
      </c>
      <c r="J88" s="76" t="str">
        <v/>
      </c>
      <c r="K88" s="76" t="str">
        <v/>
      </c>
      <c r="L88" s="75" t="str">
        <v/>
      </c>
      <c r="M88" s="49" t="str">
        <v/>
      </c>
      <c r="N88" s="76" t="str">
        <v/>
      </c>
      <c r="O88" s="49" t="str">
        <v/>
      </c>
      <c r="P88" s="77" t="str">
        <v/>
      </c>
      <c r="Q88" s="53" t="str">
        <v>ВВГнг(А)-LS (3х1,5) L=11-0,07%</v>
      </c>
      <c r="R88" s="54" t="str">
        <v>K.0.001T.1</v>
      </c>
      <c r="S88" s="55" t="str">
        <v>Внутренний блок кондиционирования цокольный этаж Пом. №001Т</v>
      </c>
      <c r="T88" s="56">
        <v>0.104</v>
      </c>
      <c r="U88" s="56">
        <v>0.57000000000000006</v>
      </c>
      <c r="V88" s="42" t="str">
        <v>L3</v>
      </c>
      <c r="W88" s="57" t="str">
        <v>ok</v>
      </c>
      <c r="X88" s="58" t="str">
        <v/>
      </c>
      <c r="Y88" s="75" t="str">
        <v/>
      </c>
      <c r="Z88" s="59">
        <v>0.56291651245988494</v>
      </c>
      <c r="AA88" s="61">
        <v>6</v>
      </c>
      <c r="AB88" s="61">
        <v>16</v>
      </c>
      <c r="AC88" s="61" t="str">
        <v/>
      </c>
      <c r="AD88" s="62" t="str">
        <v>QF8</v>
      </c>
      <c r="AE88" s="62" t="str">
        <v/>
      </c>
      <c r="AF88" s="34">
        <v>8</v>
      </c>
      <c r="AG88" s="34" t="str">
        <v>QF8</v>
      </c>
      <c r="AH88" s="34" t="str">
        <v/>
      </c>
      <c r="AI88" s="34" t="str">
        <v/>
      </c>
      <c r="AJ88" s="34" t="str">
        <v>QF8</v>
      </c>
      <c r="AK88" s="34">
        <v>1</v>
      </c>
      <c r="AL88" s="34" t="str">
        <v>K</v>
      </c>
      <c r="AM88" s="34">
        <v>0</v>
      </c>
      <c r="AN88" s="34">
        <v>0</v>
      </c>
      <c r="AO88" s="34">
        <v>6</v>
      </c>
      <c r="AP88" s="34">
        <v>16</v>
      </c>
      <c r="AQ88" s="34">
        <v>10</v>
      </c>
      <c r="AR88" s="34">
        <v>1</v>
      </c>
      <c r="AS88" s="34">
        <v>0</v>
      </c>
      <c r="AT88" s="34" t="str">
        <v>1P</v>
      </c>
      <c r="AU88" s="34">
        <v>10</v>
      </c>
      <c r="AV88" s="34" t="str">
        <v/>
      </c>
      <c r="AW88" s="34" t="str">
        <v/>
      </c>
      <c r="AX88" s="34" t="str">
        <v/>
      </c>
      <c r="AY88" s="34">
        <v>1</v>
      </c>
      <c r="AZ88" s="34" t="str">
        <v/>
      </c>
      <c r="BA88" s="34">
        <v>0</v>
      </c>
      <c r="BB88" s="34">
        <v>0</v>
      </c>
      <c r="BD88" s="34">
        <v>1</v>
      </c>
      <c r="BE88" s="34">
        <v>0</v>
      </c>
      <c r="BF88" s="34">
        <v>0</v>
      </c>
      <c r="BG88" s="34" t="str">
        <v/>
      </c>
      <c r="BH88" s="34" t="str">
        <v/>
      </c>
      <c r="BI88" s="34" t="str">
        <v/>
      </c>
      <c r="BJ88" s="34" t="str">
        <v/>
      </c>
      <c r="BK88" s="34" t="str">
        <v>BOX</v>
      </c>
      <c r="BL88" s="34">
        <v>1</v>
      </c>
      <c r="BM88" s="34" t="str">
        <v/>
      </c>
      <c r="BN88" s="34" t="str">
        <v/>
      </c>
      <c r="BO88" s="34" t="str">
        <v/>
      </c>
      <c r="BP88" s="34" t="str">
        <v/>
      </c>
      <c r="BQ88" s="34" t="str">
        <v>3х1,5</v>
      </c>
      <c r="BR88" s="34" t="str">
        <v/>
      </c>
      <c r="BS88" s="34" t="str">
        <v/>
      </c>
      <c r="BT88" s="34" t="str">
        <v/>
      </c>
      <c r="BU88" s="34">
        <v>0</v>
      </c>
      <c r="BV88" s="34">
        <v>108</v>
      </c>
      <c r="BW88" s="34">
        <v>1</v>
      </c>
      <c r="BX88" s="34">
        <v>0</v>
      </c>
      <c r="BY88" s="34">
        <v>0</v>
      </c>
      <c r="BZ88">
        <v>6</v>
      </c>
      <c r="CA88" t="str">
        <v>линии</v>
      </c>
    </row>
    <row r="89" spans="1:79" x14ac:dyDescent="0.3">
      <c r="A89" s="39" t="str">
        <v>ЩОВ-01</v>
      </c>
      <c r="B89" s="42">
        <v>28</v>
      </c>
      <c r="C89" s="42">
        <v>2</v>
      </c>
      <c r="D89" s="75" t="str">
        <v/>
      </c>
      <c r="E89" s="75" t="str">
        <v>авто</v>
      </c>
      <c r="F89" s="76" t="str">
        <v/>
      </c>
      <c r="G89" s="47" t="str">
        <v>QF9</v>
      </c>
      <c r="H89" s="47" t="str">
        <v>1P С10А</v>
      </c>
      <c r="I89" s="75" t="str">
        <v/>
      </c>
      <c r="J89" s="76" t="str">
        <v/>
      </c>
      <c r="K89" s="76" t="str">
        <v/>
      </c>
      <c r="L89" s="75" t="str">
        <v/>
      </c>
      <c r="M89" s="49" t="str">
        <v/>
      </c>
      <c r="N89" s="76" t="str">
        <v/>
      </c>
      <c r="O89" s="49" t="str">
        <v/>
      </c>
      <c r="P89" s="77" t="str">
        <v/>
      </c>
      <c r="Q89" s="53" t="str">
        <v>ВВГнг(А)-LS (3х1,5) L=12-0,08%</v>
      </c>
      <c r="R89" s="54" t="str">
        <v>K.0.001T.2</v>
      </c>
      <c r="S89" s="55" t="str">
        <v>Внутренний блок кондиционирования цокольный этаж Пом. №001Т</v>
      </c>
      <c r="T89" s="56">
        <v>0.104</v>
      </c>
      <c r="U89" s="56">
        <v>0.57000000000000006</v>
      </c>
      <c r="V89" s="42" t="str">
        <v>L2</v>
      </c>
      <c r="W89" s="57" t="str">
        <v>ok</v>
      </c>
      <c r="X89" s="58" t="str">
        <v/>
      </c>
      <c r="Y89" s="75" t="str">
        <v/>
      </c>
      <c r="Z89" s="59">
        <v>0.56291651245988494</v>
      </c>
      <c r="AA89" s="61">
        <v>6</v>
      </c>
      <c r="AB89" s="61">
        <v>16</v>
      </c>
      <c r="AC89" s="61" t="str">
        <v/>
      </c>
      <c r="AD89" s="62" t="str">
        <v>QF9</v>
      </c>
      <c r="AE89" s="62" t="str">
        <v/>
      </c>
      <c r="AF89" s="34">
        <v>9</v>
      </c>
      <c r="AG89" s="34" t="str">
        <v>QF9</v>
      </c>
      <c r="AH89" s="34" t="str">
        <v/>
      </c>
      <c r="AI89" s="34" t="str">
        <v/>
      </c>
      <c r="AJ89" s="34" t="str">
        <v>QF9</v>
      </c>
      <c r="AK89" s="34">
        <v>1</v>
      </c>
      <c r="AL89" s="34" t="str">
        <v>K</v>
      </c>
      <c r="AM89" s="34">
        <v>0</v>
      </c>
      <c r="AN89" s="34">
        <v>0</v>
      </c>
      <c r="AO89" s="34">
        <v>6</v>
      </c>
      <c r="AP89" s="34">
        <v>16</v>
      </c>
      <c r="AQ89" s="34">
        <v>10</v>
      </c>
      <c r="AR89" s="34">
        <v>1</v>
      </c>
      <c r="AS89" s="34">
        <v>0</v>
      </c>
      <c r="AT89" s="34" t="str">
        <v>1P</v>
      </c>
      <c r="AU89" s="34">
        <v>10</v>
      </c>
      <c r="AV89" s="34" t="str">
        <v/>
      </c>
      <c r="AW89" s="34" t="str">
        <v/>
      </c>
      <c r="AX89" s="34" t="str">
        <v/>
      </c>
      <c r="AY89" s="34">
        <v>1</v>
      </c>
      <c r="AZ89" s="34" t="str">
        <v/>
      </c>
      <c r="BA89" s="34">
        <v>0</v>
      </c>
      <c r="BB89" s="34">
        <v>0</v>
      </c>
      <c r="BD89" s="34">
        <v>1</v>
      </c>
      <c r="BE89" s="34">
        <v>0</v>
      </c>
      <c r="BF89" s="34">
        <v>0</v>
      </c>
      <c r="BG89" s="34" t="str">
        <v/>
      </c>
      <c r="BH89" s="34" t="str">
        <v/>
      </c>
      <c r="BI89" s="34" t="str">
        <v/>
      </c>
      <c r="BJ89" s="34" t="str">
        <v/>
      </c>
      <c r="BK89" s="34" t="str">
        <v>BOX</v>
      </c>
      <c r="BL89" s="34">
        <v>1</v>
      </c>
      <c r="BM89" s="34" t="str">
        <v/>
      </c>
      <c r="BN89" s="34" t="str">
        <v/>
      </c>
      <c r="BO89" s="34" t="str">
        <v/>
      </c>
      <c r="BP89" s="34" t="str">
        <v/>
      </c>
      <c r="BQ89" s="34" t="str">
        <v>3х1,5</v>
      </c>
      <c r="BR89" s="34" t="str">
        <v/>
      </c>
      <c r="BS89" s="34" t="str">
        <v/>
      </c>
      <c r="BT89" s="34" t="str">
        <v/>
      </c>
      <c r="BU89" s="34">
        <v>0</v>
      </c>
      <c r="BV89" s="34">
        <v>109</v>
      </c>
      <c r="BW89" s="34">
        <v>1</v>
      </c>
      <c r="BX89" s="34">
        <v>0</v>
      </c>
      <c r="BY89" s="34">
        <v>0</v>
      </c>
      <c r="BZ89">
        <v>6</v>
      </c>
      <c r="CA89" t="str">
        <v>линии</v>
      </c>
    </row>
    <row r="90" spans="1:79" x14ac:dyDescent="0.3">
      <c r="A90" s="39" t="str">
        <v>ЩОВ-01</v>
      </c>
      <c r="B90" s="42">
        <v>29</v>
      </c>
      <c r="C90" s="42">
        <v>2</v>
      </c>
      <c r="D90" s="75" t="str">
        <v/>
      </c>
      <c r="E90" s="75" t="str">
        <v>авто</v>
      </c>
      <c r="F90" s="76" t="str">
        <v/>
      </c>
      <c r="G90" s="47" t="str">
        <v>QF10</v>
      </c>
      <c r="H90" s="47" t="str">
        <v>1P С10А</v>
      </c>
      <c r="I90" s="75" t="str">
        <v/>
      </c>
      <c r="J90" s="76" t="str">
        <v/>
      </c>
      <c r="K90" s="76" t="str">
        <v/>
      </c>
      <c r="L90" s="75" t="str">
        <v/>
      </c>
      <c r="M90" s="49" t="str">
        <v/>
      </c>
      <c r="N90" s="76" t="str">
        <v/>
      </c>
      <c r="O90" s="49" t="str">
        <v/>
      </c>
      <c r="P90" s="77" t="str">
        <v/>
      </c>
      <c r="Q90" s="53" t="str">
        <v>ВВГнг(А)-LS (3х1,5) L=27-0,24%</v>
      </c>
      <c r="R90" s="54" t="str">
        <v>K.0.002T.1</v>
      </c>
      <c r="S90" s="55" t="str">
        <v>Внутренний блок кондиционирования цокольный этаж Пом. №002Т</v>
      </c>
      <c r="T90" s="56">
        <v>0.151</v>
      </c>
      <c r="U90" s="56">
        <v>0.82000000000000006</v>
      </c>
      <c r="V90" s="42" t="str">
        <v>L3</v>
      </c>
      <c r="W90" s="57" t="str">
        <v>ok</v>
      </c>
      <c r="X90" s="58" t="str">
        <v/>
      </c>
      <c r="Y90" s="75" t="str">
        <v/>
      </c>
      <c r="Z90" s="59">
        <v>0.81731147482156374</v>
      </c>
      <c r="AA90" s="61">
        <v>6</v>
      </c>
      <c r="AB90" s="61">
        <v>16</v>
      </c>
      <c r="AC90" s="61" t="str">
        <v/>
      </c>
      <c r="AD90" s="62" t="str">
        <v>QF10</v>
      </c>
      <c r="AE90" s="62" t="str">
        <v/>
      </c>
      <c r="AF90" s="34">
        <v>10</v>
      </c>
      <c r="AG90" s="34" t="str">
        <v>QF10</v>
      </c>
      <c r="AH90" s="34" t="str">
        <v/>
      </c>
      <c r="AI90" s="34" t="str">
        <v/>
      </c>
      <c r="AJ90" s="34" t="str">
        <v>QF10</v>
      </c>
      <c r="AK90" s="34">
        <v>1</v>
      </c>
      <c r="AL90" s="34" t="str">
        <v>K</v>
      </c>
      <c r="AM90" s="34">
        <v>0</v>
      </c>
      <c r="AN90" s="34">
        <v>0</v>
      </c>
      <c r="AO90" s="34">
        <v>6</v>
      </c>
      <c r="AP90" s="34">
        <v>16</v>
      </c>
      <c r="AQ90" s="34">
        <v>10</v>
      </c>
      <c r="AR90" s="34">
        <v>1</v>
      </c>
      <c r="AS90" s="34">
        <v>0</v>
      </c>
      <c r="AT90" s="34" t="str">
        <v>1P</v>
      </c>
      <c r="AU90" s="34">
        <v>10</v>
      </c>
      <c r="AV90" s="34" t="str">
        <v/>
      </c>
      <c r="AW90" s="34" t="str">
        <v/>
      </c>
      <c r="AX90" s="34" t="str">
        <v/>
      </c>
      <c r="AY90" s="34">
        <v>1</v>
      </c>
      <c r="AZ90" s="34" t="str">
        <v/>
      </c>
      <c r="BA90" s="34">
        <v>0</v>
      </c>
      <c r="BB90" s="34">
        <v>0</v>
      </c>
      <c r="BD90" s="34">
        <v>1</v>
      </c>
      <c r="BE90" s="34">
        <v>0</v>
      </c>
      <c r="BF90" s="34">
        <v>0</v>
      </c>
      <c r="BG90" s="34" t="str">
        <v/>
      </c>
      <c r="BH90" s="34" t="str">
        <v/>
      </c>
      <c r="BI90" s="34" t="str">
        <v/>
      </c>
      <c r="BJ90" s="34" t="str">
        <v/>
      </c>
      <c r="BK90" s="34" t="str">
        <v>BOX</v>
      </c>
      <c r="BL90" s="34">
        <v>1</v>
      </c>
      <c r="BM90" s="34" t="str">
        <v/>
      </c>
      <c r="BN90" s="34" t="str">
        <v/>
      </c>
      <c r="BO90" s="34" t="str">
        <v/>
      </c>
      <c r="BP90" s="34" t="str">
        <v/>
      </c>
      <c r="BQ90" s="34" t="str">
        <v>3х1,5</v>
      </c>
      <c r="BR90" s="34" t="str">
        <v/>
      </c>
      <c r="BS90" s="34" t="str">
        <v/>
      </c>
      <c r="BT90" s="34" t="str">
        <v/>
      </c>
      <c r="BU90" s="34">
        <v>0</v>
      </c>
      <c r="BV90" s="34">
        <v>110</v>
      </c>
      <c r="BW90" s="34">
        <v>1</v>
      </c>
      <c r="BX90" s="34">
        <v>0</v>
      </c>
      <c r="BY90" s="34">
        <v>0</v>
      </c>
      <c r="BZ90">
        <v>6</v>
      </c>
      <c r="CA90" t="str">
        <v>линии</v>
      </c>
    </row>
    <row r="91" spans="1:79" x14ac:dyDescent="0.3">
      <c r="A91" s="39" t="str">
        <v>ЩОВ-01</v>
      </c>
      <c r="B91" s="42">
        <v>30</v>
      </c>
      <c r="C91" s="42">
        <v>2</v>
      </c>
      <c r="D91" s="75" t="str">
        <v/>
      </c>
      <c r="E91" s="75" t="str">
        <v>авто</v>
      </c>
      <c r="F91" s="76" t="str">
        <v/>
      </c>
      <c r="G91" s="47" t="str">
        <v>QF11</v>
      </c>
      <c r="H91" s="47" t="str">
        <v>1P С10А</v>
      </c>
      <c r="I91" s="75" t="str">
        <v/>
      </c>
      <c r="J91" s="76" t="str">
        <v/>
      </c>
      <c r="K91" s="76" t="str">
        <v/>
      </c>
      <c r="L91" s="75" t="str">
        <v/>
      </c>
      <c r="M91" s="49" t="str">
        <v/>
      </c>
      <c r="N91" s="76" t="str">
        <v/>
      </c>
      <c r="O91" s="49" t="str">
        <v/>
      </c>
      <c r="P91" s="77" t="str">
        <v/>
      </c>
      <c r="Q91" s="53" t="str">
        <v>ВВГнг(А)-LS (3х1,5) L=25-0,22%</v>
      </c>
      <c r="R91" s="54" t="str">
        <v>K.0.002T.2</v>
      </c>
      <c r="S91" s="55" t="str">
        <v>Внутренний блок кондиционирования цокольный этаж Пом. №002Т</v>
      </c>
      <c r="T91" s="56">
        <v>0.151</v>
      </c>
      <c r="U91" s="56">
        <v>0.82000000000000006</v>
      </c>
      <c r="V91" s="42" t="str">
        <v>L1</v>
      </c>
      <c r="W91" s="57" t="str">
        <v>ok</v>
      </c>
      <c r="X91" s="58" t="str">
        <v/>
      </c>
      <c r="Y91" s="75" t="str">
        <v/>
      </c>
      <c r="Z91" s="59">
        <v>0.81731147482156374</v>
      </c>
      <c r="AA91" s="61">
        <v>6</v>
      </c>
      <c r="AB91" s="61">
        <v>16</v>
      </c>
      <c r="AC91" s="61" t="str">
        <v/>
      </c>
      <c r="AD91" s="62" t="str">
        <v>QF11</v>
      </c>
      <c r="AE91" s="62" t="str">
        <v/>
      </c>
      <c r="AF91" s="34">
        <v>11</v>
      </c>
      <c r="AG91" s="34" t="str">
        <v>QF11</v>
      </c>
      <c r="AH91" s="34" t="str">
        <v/>
      </c>
      <c r="AI91" s="34" t="str">
        <v/>
      </c>
      <c r="AJ91" s="34" t="str">
        <v>QF11</v>
      </c>
      <c r="AK91" s="34">
        <v>1</v>
      </c>
      <c r="AL91" s="34" t="str">
        <v>K</v>
      </c>
      <c r="AM91" s="34">
        <v>0</v>
      </c>
      <c r="AN91" s="34">
        <v>0</v>
      </c>
      <c r="AO91" s="34">
        <v>6</v>
      </c>
      <c r="AP91" s="34">
        <v>16</v>
      </c>
      <c r="AQ91" s="34">
        <v>10</v>
      </c>
      <c r="AR91" s="34">
        <v>1</v>
      </c>
      <c r="AS91" s="34">
        <v>0</v>
      </c>
      <c r="AT91" s="34" t="str">
        <v>1P</v>
      </c>
      <c r="AU91" s="34">
        <v>10</v>
      </c>
      <c r="AV91" s="34" t="str">
        <v/>
      </c>
      <c r="AW91" s="34" t="str">
        <v/>
      </c>
      <c r="AX91" s="34" t="str">
        <v/>
      </c>
      <c r="AY91" s="34">
        <v>1</v>
      </c>
      <c r="AZ91" s="34" t="str">
        <v/>
      </c>
      <c r="BA91" s="34">
        <v>0</v>
      </c>
      <c r="BB91" s="34">
        <v>0</v>
      </c>
      <c r="BD91" s="34">
        <v>1</v>
      </c>
      <c r="BE91" s="34">
        <v>0</v>
      </c>
      <c r="BF91" s="34">
        <v>0</v>
      </c>
      <c r="BG91" s="34" t="str">
        <v/>
      </c>
      <c r="BH91" s="34" t="str">
        <v/>
      </c>
      <c r="BI91" s="34" t="str">
        <v/>
      </c>
      <c r="BJ91" s="34" t="str">
        <v/>
      </c>
      <c r="BK91" s="34" t="str">
        <v>BOX</v>
      </c>
      <c r="BL91" s="34">
        <v>1</v>
      </c>
      <c r="BM91" s="34" t="str">
        <v/>
      </c>
      <c r="BN91" s="34" t="str">
        <v/>
      </c>
      <c r="BO91" s="34" t="str">
        <v/>
      </c>
      <c r="BP91" s="34" t="str">
        <v/>
      </c>
      <c r="BQ91" s="34" t="str">
        <v>3х1,5</v>
      </c>
      <c r="BR91" s="34" t="str">
        <v/>
      </c>
      <c r="BS91" s="34" t="str">
        <v/>
      </c>
      <c r="BT91" s="34" t="str">
        <v/>
      </c>
      <c r="BU91" s="34">
        <v>0</v>
      </c>
      <c r="BV91" s="34">
        <v>111</v>
      </c>
      <c r="BW91" s="34">
        <v>1</v>
      </c>
      <c r="BX91" s="34">
        <v>0</v>
      </c>
      <c r="BY91" s="34">
        <v>0</v>
      </c>
      <c r="BZ91">
        <v>6</v>
      </c>
      <c r="CA91" t="str">
        <v>линии</v>
      </c>
    </row>
    <row r="92" spans="1:79" x14ac:dyDescent="0.3">
      <c r="A92" s="39" t="str">
        <v>ЩОВ-01</v>
      </c>
      <c r="B92" s="42">
        <v>31</v>
      </c>
      <c r="C92" s="42">
        <v>2</v>
      </c>
      <c r="D92" s="75" t="str">
        <v/>
      </c>
      <c r="E92" s="75" t="str">
        <v>авто</v>
      </c>
      <c r="F92" s="76" t="str">
        <v/>
      </c>
      <c r="G92" s="47" t="str">
        <v>QF12</v>
      </c>
      <c r="H92" s="47" t="str">
        <v>1P С10А</v>
      </c>
      <c r="I92" s="75" t="str">
        <v/>
      </c>
      <c r="J92" s="76" t="str">
        <v/>
      </c>
      <c r="K92" s="76" t="str">
        <v/>
      </c>
      <c r="L92" s="75" t="str">
        <v/>
      </c>
      <c r="M92" s="49" t="str">
        <v/>
      </c>
      <c r="N92" s="76" t="str">
        <v/>
      </c>
      <c r="O92" s="49" t="str">
        <v/>
      </c>
      <c r="P92" s="77" t="str">
        <v/>
      </c>
      <c r="Q92" s="53" t="str">
        <v>ВВГнг(А)-LS (3х1,5) L=54-0,5%</v>
      </c>
      <c r="R92" s="54" t="str">
        <v>K.0.004A-K.0.005A</v>
      </c>
      <c r="S92" s="55" t="str">
        <v>Внутренний блок кондиционирования цокольный этаж Пом. №013.1Б</v>
      </c>
      <c r="T92" s="56">
        <v>0.16200000000000001</v>
      </c>
      <c r="U92" s="56">
        <v>0.88</v>
      </c>
      <c r="V92" s="42" t="str">
        <v>L3</v>
      </c>
      <c r="W92" s="57" t="str">
        <v>ok</v>
      </c>
      <c r="X92" s="58" t="str">
        <v/>
      </c>
      <c r="Y92" s="75" t="str">
        <v/>
      </c>
      <c r="Z92" s="59">
        <v>0.87685072133174402</v>
      </c>
      <c r="AA92" s="61">
        <v>6</v>
      </c>
      <c r="AB92" s="61">
        <v>16</v>
      </c>
      <c r="AC92" s="61" t="str">
        <v/>
      </c>
      <c r="AD92" s="62" t="str">
        <v>QF12</v>
      </c>
      <c r="AE92" s="62" t="str">
        <v/>
      </c>
      <c r="AF92" s="34">
        <v>12</v>
      </c>
      <c r="AG92" s="34" t="str">
        <v>QF12</v>
      </c>
      <c r="AH92" s="34" t="str">
        <v/>
      </c>
      <c r="AI92" s="34" t="str">
        <v/>
      </c>
      <c r="AJ92" s="34" t="str">
        <v>QF12</v>
      </c>
      <c r="AK92" s="34">
        <v>1</v>
      </c>
      <c r="AL92" s="34" t="str">
        <v>K</v>
      </c>
      <c r="AM92" s="34">
        <v>0</v>
      </c>
      <c r="AN92" s="34">
        <v>0</v>
      </c>
      <c r="AO92" s="34">
        <v>6</v>
      </c>
      <c r="AP92" s="34">
        <v>16</v>
      </c>
      <c r="AQ92" s="34">
        <v>10</v>
      </c>
      <c r="AR92" s="34">
        <v>1</v>
      </c>
      <c r="AS92" s="34">
        <v>0</v>
      </c>
      <c r="AT92" s="34" t="str">
        <v>1P</v>
      </c>
      <c r="AU92" s="34">
        <v>10</v>
      </c>
      <c r="AV92" s="34" t="str">
        <v/>
      </c>
      <c r="AW92" s="34" t="str">
        <v/>
      </c>
      <c r="AX92" s="34" t="str">
        <v/>
      </c>
      <c r="AY92" s="34">
        <v>1</v>
      </c>
      <c r="AZ92" s="34" t="str">
        <v/>
      </c>
      <c r="BA92" s="34">
        <v>0</v>
      </c>
      <c r="BB92" s="34">
        <v>0</v>
      </c>
      <c r="BD92" s="34">
        <v>1</v>
      </c>
      <c r="BE92" s="34">
        <v>0</v>
      </c>
      <c r="BF92" s="34">
        <v>0</v>
      </c>
      <c r="BG92" s="34" t="str">
        <v/>
      </c>
      <c r="BH92" s="34" t="str">
        <v/>
      </c>
      <c r="BI92" s="34" t="str">
        <v/>
      </c>
      <c r="BJ92" s="34" t="str">
        <v/>
      </c>
      <c r="BK92" s="34" t="str">
        <v>BOX</v>
      </c>
      <c r="BL92" s="34">
        <v>1</v>
      </c>
      <c r="BM92" s="34" t="str">
        <v/>
      </c>
      <c r="BN92" s="34" t="str">
        <v/>
      </c>
      <c r="BO92" s="34" t="str">
        <v/>
      </c>
      <c r="BP92" s="34" t="str">
        <v/>
      </c>
      <c r="BQ92" s="34" t="str">
        <v>3х1,5</v>
      </c>
      <c r="BR92" s="34" t="str">
        <v/>
      </c>
      <c r="BS92" s="34" t="str">
        <v/>
      </c>
      <c r="BT92" s="34" t="str">
        <v/>
      </c>
      <c r="BU92" s="34">
        <v>0</v>
      </c>
      <c r="BV92" s="34">
        <v>112</v>
      </c>
      <c r="BW92" s="34">
        <v>1</v>
      </c>
      <c r="BX92" s="34">
        <v>0</v>
      </c>
      <c r="BY92" s="34">
        <v>0</v>
      </c>
      <c r="BZ92">
        <v>6</v>
      </c>
      <c r="CA92" t="str">
        <v>линии</v>
      </c>
    </row>
    <row r="93" spans="1:79" x14ac:dyDescent="0.3">
      <c r="A93" s="39" t="str">
        <v>ЩОВ-01</v>
      </c>
      <c r="B93" s="42">
        <v>32</v>
      </c>
      <c r="C93" s="42">
        <v>2</v>
      </c>
      <c r="D93" s="75" t="str">
        <v/>
      </c>
      <c r="E93" s="75" t="str">
        <v>авто</v>
      </c>
      <c r="F93" s="76" t="str">
        <v/>
      </c>
      <c r="G93" s="47" t="str">
        <v>QF13</v>
      </c>
      <c r="H93" s="47" t="str">
        <v>1P С10А</v>
      </c>
      <c r="I93" s="75" t="str">
        <v/>
      </c>
      <c r="J93" s="76" t="str">
        <v/>
      </c>
      <c r="K93" s="76" t="str">
        <v/>
      </c>
      <c r="L93" s="75" t="str">
        <v/>
      </c>
      <c r="M93" s="49" t="str">
        <v/>
      </c>
      <c r="N93" s="76" t="str">
        <v/>
      </c>
      <c r="O93" s="49" t="str">
        <v/>
      </c>
      <c r="P93" s="77" t="str">
        <v/>
      </c>
      <c r="Q93" s="53" t="str">
        <v>ВВГнг(А)-LS (3х1,5) L=42-0,39%</v>
      </c>
      <c r="R93" s="54" t="str">
        <v>K.0.005Б.1</v>
      </c>
      <c r="S93" s="55" t="str">
        <v>Внутренний блок кондиционирования цокольный этаж Пом. №005Б</v>
      </c>
      <c r="T93" s="56">
        <v>0.16200000000000001</v>
      </c>
      <c r="U93" s="56">
        <v>0.88</v>
      </c>
      <c r="V93" s="42" t="str">
        <v>L1</v>
      </c>
      <c r="W93" s="57" t="str">
        <v>ok</v>
      </c>
      <c r="X93" s="58" t="str">
        <v/>
      </c>
      <c r="Y93" s="75" t="str">
        <v/>
      </c>
      <c r="Z93" s="59">
        <v>0.87685072133174402</v>
      </c>
      <c r="AA93" s="61">
        <v>6</v>
      </c>
      <c r="AB93" s="61">
        <v>16</v>
      </c>
      <c r="AC93" s="61" t="str">
        <v/>
      </c>
      <c r="AD93" s="62" t="str">
        <v>QF13</v>
      </c>
      <c r="AE93" s="62" t="str">
        <v/>
      </c>
      <c r="AF93" s="34">
        <v>13</v>
      </c>
      <c r="AG93" s="34" t="str">
        <v>QF13</v>
      </c>
      <c r="AH93" s="34" t="str">
        <v/>
      </c>
      <c r="AI93" s="34" t="str">
        <v/>
      </c>
      <c r="AJ93" s="34" t="str">
        <v>QF13</v>
      </c>
      <c r="AK93" s="34">
        <v>1</v>
      </c>
      <c r="AL93" s="34" t="str">
        <v>K</v>
      </c>
      <c r="AM93" s="34">
        <v>0</v>
      </c>
      <c r="AN93" s="34">
        <v>0</v>
      </c>
      <c r="AO93" s="34">
        <v>6</v>
      </c>
      <c r="AP93" s="34">
        <v>16</v>
      </c>
      <c r="AQ93" s="34">
        <v>10</v>
      </c>
      <c r="AR93" s="34">
        <v>1</v>
      </c>
      <c r="AS93" s="34">
        <v>0</v>
      </c>
      <c r="AT93" s="34" t="str">
        <v>1P</v>
      </c>
      <c r="AU93" s="34">
        <v>10</v>
      </c>
      <c r="AV93" s="34" t="str">
        <v/>
      </c>
      <c r="AW93" s="34" t="str">
        <v/>
      </c>
      <c r="AX93" s="34" t="str">
        <v/>
      </c>
      <c r="AY93" s="34">
        <v>1</v>
      </c>
      <c r="AZ93" s="34" t="str">
        <v/>
      </c>
      <c r="BA93" s="34">
        <v>0</v>
      </c>
      <c r="BB93" s="34">
        <v>0</v>
      </c>
      <c r="BD93" s="34">
        <v>1</v>
      </c>
      <c r="BE93" s="34">
        <v>0</v>
      </c>
      <c r="BF93" s="34">
        <v>0</v>
      </c>
      <c r="BG93" s="34" t="str">
        <v/>
      </c>
      <c r="BH93" s="34" t="str">
        <v/>
      </c>
      <c r="BI93" s="34" t="str">
        <v/>
      </c>
      <c r="BJ93" s="34" t="str">
        <v/>
      </c>
      <c r="BK93" s="34" t="str">
        <v>BOX</v>
      </c>
      <c r="BL93" s="34">
        <v>1</v>
      </c>
      <c r="BM93" s="34" t="str">
        <v/>
      </c>
      <c r="BN93" s="34" t="str">
        <v/>
      </c>
      <c r="BO93" s="34" t="str">
        <v/>
      </c>
      <c r="BP93" s="34" t="str">
        <v/>
      </c>
      <c r="BQ93" s="34" t="str">
        <v>3х1,5</v>
      </c>
      <c r="BR93" s="34" t="str">
        <v/>
      </c>
      <c r="BS93" s="34" t="str">
        <v/>
      </c>
      <c r="BT93" s="34" t="str">
        <v/>
      </c>
      <c r="BU93" s="34">
        <v>0</v>
      </c>
      <c r="BV93" s="34">
        <v>113</v>
      </c>
      <c r="BW93" s="34">
        <v>1</v>
      </c>
      <c r="BX93" s="34">
        <v>0</v>
      </c>
      <c r="BY93" s="34">
        <v>0</v>
      </c>
      <c r="BZ93">
        <v>6</v>
      </c>
      <c r="CA93" t="str">
        <v>линии</v>
      </c>
    </row>
    <row r="94" spans="1:79" x14ac:dyDescent="0.3">
      <c r="A94" s="39" t="str">
        <v>ЩОВ-01</v>
      </c>
      <c r="B94" s="42">
        <v>33</v>
      </c>
      <c r="C94" s="42">
        <v>2</v>
      </c>
      <c r="D94" s="75" t="str">
        <v/>
      </c>
      <c r="E94" s="75" t="str">
        <v>авто</v>
      </c>
      <c r="F94" s="76" t="str">
        <v/>
      </c>
      <c r="G94" s="47" t="str">
        <v>QF14</v>
      </c>
      <c r="H94" s="47" t="str">
        <v>1P С10А</v>
      </c>
      <c r="I94" s="75" t="str">
        <v/>
      </c>
      <c r="J94" s="76" t="str">
        <v/>
      </c>
      <c r="K94" s="76" t="str">
        <v/>
      </c>
      <c r="L94" s="75" t="str">
        <v/>
      </c>
      <c r="M94" s="49" t="str">
        <v/>
      </c>
      <c r="N94" s="76" t="str">
        <v/>
      </c>
      <c r="O94" s="49" t="str">
        <v/>
      </c>
      <c r="P94" s="77" t="str">
        <v/>
      </c>
      <c r="Q94" s="53" t="str">
        <v>ВВГнг(А)-LS (3х1,5) L=50-0,46%</v>
      </c>
      <c r="R94" s="54" t="str">
        <v>K.0.005Б.2</v>
      </c>
      <c r="S94" s="55" t="str">
        <v>Внутренний блок кондиционирования цокольный этаж Пом. №005Б</v>
      </c>
      <c r="T94" s="56">
        <v>0.16200000000000001</v>
      </c>
      <c r="U94" s="56">
        <v>0.88</v>
      </c>
      <c r="V94" s="42" t="str">
        <v>L2</v>
      </c>
      <c r="W94" s="57" t="str">
        <v>ok</v>
      </c>
      <c r="X94" s="58" t="str">
        <v/>
      </c>
      <c r="Y94" s="75" t="str">
        <v/>
      </c>
      <c r="Z94" s="59">
        <v>0.87685072133174402</v>
      </c>
      <c r="AA94" s="61">
        <v>6</v>
      </c>
      <c r="AB94" s="61">
        <v>16</v>
      </c>
      <c r="AC94" s="61" t="str">
        <v/>
      </c>
      <c r="AD94" s="62" t="str">
        <v>QF14</v>
      </c>
      <c r="AE94" s="62" t="str">
        <v/>
      </c>
      <c r="AF94" s="34">
        <v>14</v>
      </c>
      <c r="AG94" s="34" t="str">
        <v>QF14</v>
      </c>
      <c r="AH94" s="34" t="str">
        <v/>
      </c>
      <c r="AI94" s="34" t="str">
        <v/>
      </c>
      <c r="AJ94" s="34" t="str">
        <v>QF14</v>
      </c>
      <c r="AK94" s="34">
        <v>1</v>
      </c>
      <c r="AL94" s="34" t="str">
        <v>K</v>
      </c>
      <c r="AM94" s="34">
        <v>0</v>
      </c>
      <c r="AN94" s="34">
        <v>0</v>
      </c>
      <c r="AO94" s="34">
        <v>6</v>
      </c>
      <c r="AP94" s="34">
        <v>16</v>
      </c>
      <c r="AQ94" s="34">
        <v>10</v>
      </c>
      <c r="AR94" s="34">
        <v>1</v>
      </c>
      <c r="AS94" s="34">
        <v>0</v>
      </c>
      <c r="AT94" s="34" t="str">
        <v>1P</v>
      </c>
      <c r="AU94" s="34">
        <v>10</v>
      </c>
      <c r="AV94" s="34" t="str">
        <v/>
      </c>
      <c r="AW94" s="34" t="str">
        <v/>
      </c>
      <c r="AX94" s="34" t="str">
        <v/>
      </c>
      <c r="AY94" s="34">
        <v>1</v>
      </c>
      <c r="AZ94" s="34" t="str">
        <v/>
      </c>
      <c r="BA94" s="34">
        <v>0</v>
      </c>
      <c r="BB94" s="34">
        <v>0</v>
      </c>
      <c r="BD94" s="34">
        <v>1</v>
      </c>
      <c r="BE94" s="34">
        <v>0</v>
      </c>
      <c r="BF94" s="34">
        <v>0</v>
      </c>
      <c r="BG94" s="34" t="str">
        <v/>
      </c>
      <c r="BH94" s="34" t="str">
        <v/>
      </c>
      <c r="BI94" s="34" t="str">
        <v/>
      </c>
      <c r="BJ94" s="34" t="str">
        <v/>
      </c>
      <c r="BK94" s="34" t="str">
        <v>BOX</v>
      </c>
      <c r="BL94" s="34">
        <v>1</v>
      </c>
      <c r="BM94" s="34" t="str">
        <v/>
      </c>
      <c r="BN94" s="34" t="str">
        <v/>
      </c>
      <c r="BO94" s="34" t="str">
        <v/>
      </c>
      <c r="BP94" s="34" t="str">
        <v/>
      </c>
      <c r="BQ94" s="34" t="str">
        <v>3х1,5</v>
      </c>
      <c r="BR94" s="34" t="str">
        <v/>
      </c>
      <c r="BS94" s="34" t="str">
        <v/>
      </c>
      <c r="BT94" s="34" t="str">
        <v/>
      </c>
      <c r="BU94" s="34">
        <v>0</v>
      </c>
      <c r="BV94" s="34">
        <v>114</v>
      </c>
      <c r="BW94" s="34">
        <v>1</v>
      </c>
      <c r="BX94" s="34">
        <v>0</v>
      </c>
      <c r="BY94" s="34">
        <v>0</v>
      </c>
      <c r="BZ94">
        <v>6</v>
      </c>
      <c r="CA94" t="str">
        <v>линии</v>
      </c>
    </row>
    <row r="95" spans="1:79" x14ac:dyDescent="0.3">
      <c r="A95" s="39" t="str">
        <v>ЩОВ-01</v>
      </c>
      <c r="B95" s="42">
        <v>34</v>
      </c>
      <c r="C95" s="42">
        <v>2</v>
      </c>
      <c r="D95" s="75" t="str">
        <v/>
      </c>
      <c r="E95" s="75" t="str">
        <v>авто</v>
      </c>
      <c r="F95" s="76" t="str">
        <v/>
      </c>
      <c r="G95" s="47" t="str">
        <v>QF15</v>
      </c>
      <c r="H95" s="47" t="str">
        <v>1P С10А</v>
      </c>
      <c r="I95" s="75" t="str">
        <v/>
      </c>
      <c r="J95" s="76" t="str">
        <v/>
      </c>
      <c r="K95" s="76" t="str">
        <v/>
      </c>
      <c r="L95" s="75" t="str">
        <v/>
      </c>
      <c r="M95" s="49" t="str">
        <v/>
      </c>
      <c r="N95" s="76" t="str">
        <v/>
      </c>
      <c r="O95" s="49" t="str">
        <v/>
      </c>
      <c r="P95" s="77" t="str">
        <v/>
      </c>
      <c r="Q95" s="53" t="str">
        <v>ВВГнг(А)-LS (3х1,5) L=52-0,33%</v>
      </c>
      <c r="R95" s="54" t="str">
        <v>K.0.006A</v>
      </c>
      <c r="S95" s="55" t="str">
        <v>Внутренний блок кондиционирования цокольный этаж Пом. №014Б</v>
      </c>
      <c r="T95" s="56">
        <v>0.111</v>
      </c>
      <c r="U95" s="56">
        <v>0.61</v>
      </c>
      <c r="V95" s="42" t="str">
        <v>L3</v>
      </c>
      <c r="W95" s="57" t="str">
        <v>ok</v>
      </c>
      <c r="X95" s="58" t="str">
        <v/>
      </c>
      <c r="Y95" s="75" t="str">
        <v/>
      </c>
      <c r="Z95" s="59">
        <v>0.60080512387545415</v>
      </c>
      <c r="AA95" s="61">
        <v>6</v>
      </c>
      <c r="AB95" s="61">
        <v>16</v>
      </c>
      <c r="AC95" s="61" t="str">
        <v/>
      </c>
      <c r="AD95" s="62" t="str">
        <v>QF15</v>
      </c>
      <c r="AE95" s="62" t="str">
        <v/>
      </c>
      <c r="AF95" s="34">
        <v>15</v>
      </c>
      <c r="AG95" s="34" t="str">
        <v>QF15</v>
      </c>
      <c r="AH95" s="34" t="str">
        <v/>
      </c>
      <c r="AI95" s="34" t="str">
        <v/>
      </c>
      <c r="AJ95" s="34" t="str">
        <v>QF15</v>
      </c>
      <c r="AK95" s="34">
        <v>1</v>
      </c>
      <c r="AL95" s="34" t="str">
        <v>K</v>
      </c>
      <c r="AM95" s="34">
        <v>0</v>
      </c>
      <c r="AN95" s="34">
        <v>0</v>
      </c>
      <c r="AO95" s="34">
        <v>6</v>
      </c>
      <c r="AP95" s="34">
        <v>16</v>
      </c>
      <c r="AQ95" s="34">
        <v>10</v>
      </c>
      <c r="AR95" s="34">
        <v>1</v>
      </c>
      <c r="AS95" s="34">
        <v>0</v>
      </c>
      <c r="AT95" s="34" t="str">
        <v>1P</v>
      </c>
      <c r="AU95" s="34">
        <v>10</v>
      </c>
      <c r="AV95" s="34" t="str">
        <v/>
      </c>
      <c r="AW95" s="34" t="str">
        <v/>
      </c>
      <c r="AX95" s="34" t="str">
        <v/>
      </c>
      <c r="AY95" s="34">
        <v>1</v>
      </c>
      <c r="AZ95" s="34" t="str">
        <v/>
      </c>
      <c r="BA95" s="34">
        <v>0</v>
      </c>
      <c r="BB95" s="34">
        <v>0</v>
      </c>
      <c r="BD95" s="34">
        <v>1</v>
      </c>
      <c r="BE95" s="34">
        <v>0</v>
      </c>
      <c r="BF95" s="34">
        <v>0</v>
      </c>
      <c r="BG95" s="34" t="str">
        <v/>
      </c>
      <c r="BH95" s="34" t="str">
        <v/>
      </c>
      <c r="BI95" s="34" t="str">
        <v/>
      </c>
      <c r="BJ95" s="34" t="str">
        <v/>
      </c>
      <c r="BK95" s="34" t="str">
        <v>BOX</v>
      </c>
      <c r="BL95" s="34">
        <v>1</v>
      </c>
      <c r="BM95" s="34" t="str">
        <v/>
      </c>
      <c r="BN95" s="34" t="str">
        <v/>
      </c>
      <c r="BO95" s="34" t="str">
        <v/>
      </c>
      <c r="BP95" s="34" t="str">
        <v/>
      </c>
      <c r="BQ95" s="34" t="str">
        <v>3х1,5</v>
      </c>
      <c r="BR95" s="34" t="str">
        <v/>
      </c>
      <c r="BS95" s="34" t="str">
        <v/>
      </c>
      <c r="BT95" s="34" t="str">
        <v/>
      </c>
      <c r="BU95" s="34">
        <v>0</v>
      </c>
      <c r="BV95" s="34">
        <v>115</v>
      </c>
      <c r="BW95" s="34">
        <v>1</v>
      </c>
      <c r="BX95" s="34">
        <v>0</v>
      </c>
      <c r="BY95" s="34">
        <v>0</v>
      </c>
      <c r="BZ95">
        <v>6</v>
      </c>
      <c r="CA95" t="str">
        <v>линии</v>
      </c>
    </row>
    <row r="96" spans="1:79" x14ac:dyDescent="0.3">
      <c r="A96" s="39" t="str">
        <v>ЩОВ-01</v>
      </c>
      <c r="B96" s="42">
        <v>35</v>
      </c>
      <c r="C96" s="42">
        <v>3</v>
      </c>
      <c r="D96" s="75" t="str">
        <v/>
      </c>
      <c r="E96" s="75" t="str">
        <v>авто</v>
      </c>
      <c r="F96" s="76" t="str">
        <v/>
      </c>
      <c r="G96" s="47" t="str">
        <v>QF16</v>
      </c>
      <c r="H96" s="47" t="str">
        <v>1P С10А</v>
      </c>
      <c r="I96" s="75" t="str">
        <v/>
      </c>
      <c r="J96" s="76" t="str">
        <v/>
      </c>
      <c r="K96" s="76" t="str">
        <v/>
      </c>
      <c r="L96" s="75" t="str">
        <v/>
      </c>
      <c r="M96" s="49" t="str">
        <v/>
      </c>
      <c r="N96" s="76" t="str">
        <v/>
      </c>
      <c r="O96" s="49" t="str">
        <v/>
      </c>
      <c r="P96" s="77" t="str">
        <v/>
      </c>
      <c r="Q96" s="53" t="str">
        <v>ВВГнг(А)-LS (3х1,5) L=55-0,33%</v>
      </c>
      <c r="R96" s="54" t="str">
        <v>K.0.008A</v>
      </c>
      <c r="S96" s="55" t="str">
        <v>Внутренний блок кондиционирования цокольный этаж Пом. №014Б</v>
      </c>
      <c r="T96" s="56">
        <v>0.104</v>
      </c>
      <c r="U96" s="56">
        <v>0.57000000000000006</v>
      </c>
      <c r="V96" s="42" t="str">
        <v>L1</v>
      </c>
      <c r="W96" s="57" t="str">
        <v>ok</v>
      </c>
      <c r="X96" s="58" t="str">
        <v/>
      </c>
      <c r="Y96" s="75" t="str">
        <v/>
      </c>
      <c r="Z96" s="59">
        <v>0.56291651245988494</v>
      </c>
      <c r="AA96" s="61">
        <v>6</v>
      </c>
      <c r="AB96" s="61">
        <v>16</v>
      </c>
      <c r="AC96" s="61" t="str">
        <v/>
      </c>
      <c r="AD96" s="62" t="str">
        <v>QF16</v>
      </c>
      <c r="AE96" s="62" t="str">
        <v/>
      </c>
      <c r="AF96" s="34">
        <v>16</v>
      </c>
      <c r="AG96" s="34" t="str">
        <v>QF16</v>
      </c>
      <c r="AH96" s="34" t="str">
        <v/>
      </c>
      <c r="AI96" s="34" t="str">
        <v/>
      </c>
      <c r="AJ96" s="34" t="str">
        <v>QF16</v>
      </c>
      <c r="AK96" s="34">
        <v>1</v>
      </c>
      <c r="AL96" s="34" t="str">
        <v>K</v>
      </c>
      <c r="AM96" s="34">
        <v>0</v>
      </c>
      <c r="AN96" s="34">
        <v>0</v>
      </c>
      <c r="AO96" s="34">
        <v>6</v>
      </c>
      <c r="AP96" s="34">
        <v>16</v>
      </c>
      <c r="AQ96" s="34">
        <v>10</v>
      </c>
      <c r="AR96" s="34">
        <v>1</v>
      </c>
      <c r="AS96" s="34">
        <v>0</v>
      </c>
      <c r="AT96" s="34" t="str">
        <v>1P</v>
      </c>
      <c r="AU96" s="34">
        <v>10</v>
      </c>
      <c r="AV96" s="34" t="str">
        <v/>
      </c>
      <c r="AW96" s="34" t="str">
        <v/>
      </c>
      <c r="AX96" s="34" t="str">
        <v/>
      </c>
      <c r="AY96" s="34">
        <v>1</v>
      </c>
      <c r="AZ96" s="34" t="str">
        <v/>
      </c>
      <c r="BA96" s="34">
        <v>0</v>
      </c>
      <c r="BB96" s="34">
        <v>0</v>
      </c>
      <c r="BD96" s="34">
        <v>1</v>
      </c>
      <c r="BE96" s="34">
        <v>0</v>
      </c>
      <c r="BF96" s="34">
        <v>0</v>
      </c>
      <c r="BG96" s="34" t="str">
        <v/>
      </c>
      <c r="BH96" s="34" t="str">
        <v/>
      </c>
      <c r="BI96" s="34" t="str">
        <v/>
      </c>
      <c r="BJ96" s="34" t="str">
        <v/>
      </c>
      <c r="BK96" s="34" t="str">
        <v>BOX</v>
      </c>
      <c r="BL96" s="34">
        <v>1</v>
      </c>
      <c r="BM96" s="34" t="str">
        <v/>
      </c>
      <c r="BN96" s="34" t="str">
        <v/>
      </c>
      <c r="BO96" s="34" t="str">
        <v/>
      </c>
      <c r="BP96" s="34" t="str">
        <v/>
      </c>
      <c r="BQ96" s="34" t="str">
        <v>3х1,5</v>
      </c>
      <c r="BR96" s="34" t="str">
        <v/>
      </c>
      <c r="BS96" s="34" t="str">
        <v/>
      </c>
      <c r="BT96" s="34" t="str">
        <v/>
      </c>
      <c r="BU96" s="34">
        <v>0</v>
      </c>
      <c r="BV96" s="34">
        <v>116</v>
      </c>
      <c r="BW96" s="34">
        <v>1</v>
      </c>
      <c r="BX96" s="34">
        <v>0</v>
      </c>
      <c r="BY96" s="34">
        <v>0</v>
      </c>
      <c r="BZ96">
        <v>6</v>
      </c>
      <c r="CA96" t="str">
        <v>линии</v>
      </c>
    </row>
    <row r="97" spans="1:79" x14ac:dyDescent="0.3">
      <c r="A97" s="39" t="str">
        <v>ЩОВ-01</v>
      </c>
      <c r="B97" s="42">
        <v>36</v>
      </c>
      <c r="C97" s="42">
        <v>3</v>
      </c>
      <c r="D97" s="75" t="str">
        <v/>
      </c>
      <c r="E97" s="75" t="str">
        <v>авто</v>
      </c>
      <c r="F97" s="76" t="str">
        <v/>
      </c>
      <c r="G97" s="47" t="str">
        <v>QF17</v>
      </c>
      <c r="H97" s="47" t="str">
        <v>1P С10А</v>
      </c>
      <c r="I97" s="75" t="str">
        <v/>
      </c>
      <c r="J97" s="76" t="str">
        <v/>
      </c>
      <c r="K97" s="76" t="str">
        <v/>
      </c>
      <c r="L97" s="75" t="str">
        <v/>
      </c>
      <c r="M97" s="49" t="str">
        <v/>
      </c>
      <c r="N97" s="76" t="str">
        <v/>
      </c>
      <c r="O97" s="49" t="str">
        <v/>
      </c>
      <c r="P97" s="77" t="str">
        <v/>
      </c>
      <c r="Q97" s="53" t="str">
        <v>ВВГнг(А)-LS (3х1,5) L=38-0,24%</v>
      </c>
      <c r="R97" s="54" t="str">
        <v>K.0.012Б</v>
      </c>
      <c r="S97" s="55" t="str">
        <v>Внутренний блок кондиционирования цокольный этаж Пом. №012Б</v>
      </c>
      <c r="T97" s="56">
        <v>0.111</v>
      </c>
      <c r="U97" s="56">
        <v>0.61</v>
      </c>
      <c r="V97" s="42" t="str">
        <v>L2</v>
      </c>
      <c r="W97" s="57" t="str">
        <v>ok</v>
      </c>
      <c r="X97" s="58" t="str">
        <v/>
      </c>
      <c r="Y97" s="75" t="str">
        <v/>
      </c>
      <c r="Z97" s="59">
        <v>0.60080512387545415</v>
      </c>
      <c r="AA97" s="61">
        <v>6</v>
      </c>
      <c r="AB97" s="61">
        <v>16</v>
      </c>
      <c r="AC97" s="61" t="str">
        <v/>
      </c>
      <c r="AD97" s="62" t="str">
        <v>QF17</v>
      </c>
      <c r="AE97" s="62" t="str">
        <v/>
      </c>
      <c r="AF97" s="34">
        <v>17</v>
      </c>
      <c r="AG97" s="34" t="str">
        <v>QF17</v>
      </c>
      <c r="AH97" s="34" t="str">
        <v/>
      </c>
      <c r="AI97" s="34" t="str">
        <v/>
      </c>
      <c r="AJ97" s="34" t="str">
        <v>QF17</v>
      </c>
      <c r="AK97" s="34">
        <v>1</v>
      </c>
      <c r="AL97" s="34" t="str">
        <v>K</v>
      </c>
      <c r="AM97" s="34">
        <v>0</v>
      </c>
      <c r="AN97" s="34">
        <v>0</v>
      </c>
      <c r="AO97" s="34">
        <v>6</v>
      </c>
      <c r="AP97" s="34">
        <v>16</v>
      </c>
      <c r="AQ97" s="34">
        <v>10</v>
      </c>
      <c r="AR97" s="34">
        <v>1</v>
      </c>
      <c r="AS97" s="34">
        <v>0</v>
      </c>
      <c r="AT97" s="34" t="str">
        <v>1P</v>
      </c>
      <c r="AU97" s="34">
        <v>10</v>
      </c>
      <c r="AV97" s="34" t="str">
        <v/>
      </c>
      <c r="AW97" s="34" t="str">
        <v/>
      </c>
      <c r="AX97" s="34" t="str">
        <v/>
      </c>
      <c r="AY97" s="34">
        <v>1</v>
      </c>
      <c r="AZ97" s="34" t="str">
        <v/>
      </c>
      <c r="BA97" s="34">
        <v>0</v>
      </c>
      <c r="BB97" s="34">
        <v>0</v>
      </c>
      <c r="BD97" s="34">
        <v>1</v>
      </c>
      <c r="BE97" s="34">
        <v>0</v>
      </c>
      <c r="BF97" s="34">
        <v>0</v>
      </c>
      <c r="BG97" s="34" t="str">
        <v/>
      </c>
      <c r="BH97" s="34" t="str">
        <v/>
      </c>
      <c r="BI97" s="34" t="str">
        <v/>
      </c>
      <c r="BJ97" s="34" t="str">
        <v/>
      </c>
      <c r="BK97" s="34" t="str">
        <v>BOX</v>
      </c>
      <c r="BL97" s="34">
        <v>1</v>
      </c>
      <c r="BM97" s="34" t="str">
        <v/>
      </c>
      <c r="BN97" s="34" t="str">
        <v/>
      </c>
      <c r="BO97" s="34" t="str">
        <v/>
      </c>
      <c r="BP97" s="34" t="str">
        <v/>
      </c>
      <c r="BQ97" s="34" t="str">
        <v>3х1,5</v>
      </c>
      <c r="BR97" s="34" t="str">
        <v/>
      </c>
      <c r="BS97" s="34" t="str">
        <v/>
      </c>
      <c r="BT97" s="34" t="str">
        <v/>
      </c>
      <c r="BU97" s="34">
        <v>0</v>
      </c>
      <c r="BV97" s="34">
        <v>117</v>
      </c>
      <c r="BW97" s="34">
        <v>1</v>
      </c>
      <c r="BX97" s="34">
        <v>0</v>
      </c>
      <c r="BY97" s="34">
        <v>0</v>
      </c>
      <c r="BZ97">
        <v>6</v>
      </c>
      <c r="CA97" t="str">
        <v>линии</v>
      </c>
    </row>
    <row r="98" spans="1:79" x14ac:dyDescent="0.3">
      <c r="A98" s="39" t="str">
        <v>ЩОВ-01</v>
      </c>
      <c r="B98" s="42">
        <v>37</v>
      </c>
      <c r="C98" s="42">
        <v>3</v>
      </c>
      <c r="D98" s="75" t="str">
        <v/>
      </c>
      <c r="E98" s="75" t="str">
        <v>авто</v>
      </c>
      <c r="F98" s="76" t="str">
        <v/>
      </c>
      <c r="G98" s="47" t="str">
        <v>QF18</v>
      </c>
      <c r="H98" s="47" t="str">
        <v>1P С10А</v>
      </c>
      <c r="I98" s="75" t="str">
        <v/>
      </c>
      <c r="J98" s="76" t="str">
        <v/>
      </c>
      <c r="K98" s="76" t="str">
        <v/>
      </c>
      <c r="L98" s="75" t="str">
        <v/>
      </c>
      <c r="M98" s="49" t="str">
        <v/>
      </c>
      <c r="N98" s="76" t="str">
        <v/>
      </c>
      <c r="O98" s="49" t="str">
        <v/>
      </c>
      <c r="P98" s="77" t="str">
        <v/>
      </c>
      <c r="Q98" s="53" t="str">
        <v>ВВГнг(А)-LS (3х1,5) L=42-0,9%</v>
      </c>
      <c r="R98" s="54" t="str">
        <v>K.1.002AБ.1</v>
      </c>
      <c r="S98" s="55" t="str">
        <v>Внутренний блок кондиционирования подвальный этаж Пом. №001Т</v>
      </c>
      <c r="T98" s="56">
        <v>0.376</v>
      </c>
      <c r="U98" s="56">
        <v>2.0399999999999996</v>
      </c>
      <c r="V98" s="42" t="str">
        <v>L1</v>
      </c>
      <c r="W98" s="57" t="str">
        <v>ok</v>
      </c>
      <c r="X98" s="58" t="str">
        <v/>
      </c>
      <c r="Y98" s="75" t="str">
        <v/>
      </c>
      <c r="Z98" s="59">
        <v>2.0351596988934304</v>
      </c>
      <c r="AA98" s="61">
        <v>6</v>
      </c>
      <c r="AB98" s="61">
        <v>16</v>
      </c>
      <c r="AC98" s="61" t="str">
        <v/>
      </c>
      <c r="AD98" s="62" t="str">
        <v>QF18</v>
      </c>
      <c r="AE98" s="62" t="str">
        <v/>
      </c>
      <c r="AF98" s="34">
        <v>18</v>
      </c>
      <c r="AG98" s="34" t="str">
        <v>QF18</v>
      </c>
      <c r="AH98" s="34" t="str">
        <v/>
      </c>
      <c r="AI98" s="34" t="str">
        <v/>
      </c>
      <c r="AJ98" s="34" t="str">
        <v>QF18</v>
      </c>
      <c r="AK98" s="34">
        <v>1</v>
      </c>
      <c r="AL98" s="34" t="str">
        <v>K</v>
      </c>
      <c r="AM98" s="34">
        <v>0</v>
      </c>
      <c r="AN98" s="34">
        <v>0</v>
      </c>
      <c r="AO98" s="34">
        <v>6</v>
      </c>
      <c r="AP98" s="34">
        <v>16</v>
      </c>
      <c r="AQ98" s="34">
        <v>10</v>
      </c>
      <c r="AR98" s="34">
        <v>1</v>
      </c>
      <c r="AS98" s="34">
        <v>0</v>
      </c>
      <c r="AT98" s="34" t="str">
        <v>1P</v>
      </c>
      <c r="AU98" s="34">
        <v>10</v>
      </c>
      <c r="AV98" s="34" t="str">
        <v/>
      </c>
      <c r="AW98" s="34" t="str">
        <v/>
      </c>
      <c r="AX98" s="34" t="str">
        <v/>
      </c>
      <c r="AY98" s="34">
        <v>1</v>
      </c>
      <c r="AZ98" s="34" t="str">
        <v/>
      </c>
      <c r="BA98" s="34">
        <v>0</v>
      </c>
      <c r="BB98" s="34">
        <v>0</v>
      </c>
      <c r="BD98" s="34">
        <v>1</v>
      </c>
      <c r="BE98" s="34">
        <v>0</v>
      </c>
      <c r="BF98" s="34">
        <v>0</v>
      </c>
      <c r="BG98" s="34" t="str">
        <v/>
      </c>
      <c r="BH98" s="34" t="str">
        <v/>
      </c>
      <c r="BI98" s="34" t="str">
        <v/>
      </c>
      <c r="BJ98" s="34" t="str">
        <v/>
      </c>
      <c r="BK98" s="34" t="str">
        <v>BOX</v>
      </c>
      <c r="BL98" s="34">
        <v>1</v>
      </c>
      <c r="BM98" s="34" t="str">
        <v/>
      </c>
      <c r="BN98" s="34" t="str">
        <v/>
      </c>
      <c r="BO98" s="34" t="str">
        <v/>
      </c>
      <c r="BP98" s="34" t="str">
        <v/>
      </c>
      <c r="BQ98" s="34" t="str">
        <v>3х1,5</v>
      </c>
      <c r="BR98" s="34" t="str">
        <v/>
      </c>
      <c r="BS98" s="34" t="str">
        <v/>
      </c>
      <c r="BT98" s="34" t="str">
        <v/>
      </c>
      <c r="BU98" s="34">
        <v>0</v>
      </c>
      <c r="BV98" s="34">
        <v>118</v>
      </c>
      <c r="BW98" s="34">
        <v>1</v>
      </c>
      <c r="BX98" s="34">
        <v>0</v>
      </c>
      <c r="BY98" s="34">
        <v>0</v>
      </c>
      <c r="BZ98">
        <v>6</v>
      </c>
      <c r="CA98" t="str">
        <v>линии</v>
      </c>
    </row>
    <row r="99" spans="1:79" x14ac:dyDescent="0.3">
      <c r="A99" s="39" t="str">
        <v>ЩОВ-01</v>
      </c>
      <c r="B99" s="42">
        <v>38</v>
      </c>
      <c r="C99" s="42">
        <v>3</v>
      </c>
      <c r="D99" s="75" t="str">
        <v/>
      </c>
      <c r="E99" s="75" t="str">
        <v>авто</v>
      </c>
      <c r="F99" s="76" t="str">
        <v/>
      </c>
      <c r="G99" s="47" t="str">
        <v>QF19</v>
      </c>
      <c r="H99" s="47" t="str">
        <v>1P С10А</v>
      </c>
      <c r="I99" s="75" t="str">
        <v/>
      </c>
      <c r="J99" s="76" t="str">
        <v/>
      </c>
      <c r="K99" s="76" t="str">
        <v/>
      </c>
      <c r="L99" s="75" t="str">
        <v/>
      </c>
      <c r="M99" s="49" t="str">
        <v/>
      </c>
      <c r="N99" s="76" t="str">
        <v/>
      </c>
      <c r="O99" s="49" t="str">
        <v/>
      </c>
      <c r="P99" s="77" t="str">
        <v/>
      </c>
      <c r="Q99" s="53" t="str">
        <v>ВВГнг(А)-LS (3х1,5) L=42-0,9%</v>
      </c>
      <c r="R99" s="54" t="str">
        <v>K.1.002AБ.2</v>
      </c>
      <c r="S99" s="55" t="str">
        <v>Внутренний блок кондиционирования подвальный этаж Пом. №001Т</v>
      </c>
      <c r="T99" s="56">
        <v>0.376</v>
      </c>
      <c r="U99" s="56">
        <v>2.0399999999999996</v>
      </c>
      <c r="V99" s="42" t="str">
        <v>L3</v>
      </c>
      <c r="W99" s="57" t="str">
        <v>ok</v>
      </c>
      <c r="X99" s="58" t="str">
        <v/>
      </c>
      <c r="Y99" s="75" t="str">
        <v/>
      </c>
      <c r="Z99" s="59">
        <v>2.0351596988934304</v>
      </c>
      <c r="AA99" s="61">
        <v>6</v>
      </c>
      <c r="AB99" s="61">
        <v>16</v>
      </c>
      <c r="AC99" s="61" t="str">
        <v/>
      </c>
      <c r="AD99" s="62" t="str">
        <v>QF19</v>
      </c>
      <c r="AE99" s="62" t="str">
        <v/>
      </c>
      <c r="AF99" s="34">
        <v>19</v>
      </c>
      <c r="AG99" s="34" t="str">
        <v>QF19</v>
      </c>
      <c r="AH99" s="34" t="str">
        <v/>
      </c>
      <c r="AI99" s="34" t="str">
        <v/>
      </c>
      <c r="AJ99" s="34" t="str">
        <v>QF19</v>
      </c>
      <c r="AK99" s="34">
        <v>1</v>
      </c>
      <c r="AL99" s="34" t="str">
        <v>K</v>
      </c>
      <c r="AM99" s="34">
        <v>0</v>
      </c>
      <c r="AN99" s="34">
        <v>0</v>
      </c>
      <c r="AO99" s="34">
        <v>6</v>
      </c>
      <c r="AP99" s="34">
        <v>16</v>
      </c>
      <c r="AQ99" s="34">
        <v>10</v>
      </c>
      <c r="AR99" s="34">
        <v>1</v>
      </c>
      <c r="AS99" s="34">
        <v>0</v>
      </c>
      <c r="AT99" s="34" t="str">
        <v>1P</v>
      </c>
      <c r="AU99" s="34">
        <v>10</v>
      </c>
      <c r="AV99" s="34" t="str">
        <v/>
      </c>
      <c r="AW99" s="34" t="str">
        <v/>
      </c>
      <c r="AX99" s="34" t="str">
        <v/>
      </c>
      <c r="AY99" s="34">
        <v>1</v>
      </c>
      <c r="AZ99" s="34" t="str">
        <v/>
      </c>
      <c r="BA99" s="34">
        <v>0</v>
      </c>
      <c r="BB99" s="34">
        <v>0</v>
      </c>
      <c r="BD99" s="34">
        <v>1</v>
      </c>
      <c r="BE99" s="34">
        <v>0</v>
      </c>
      <c r="BF99" s="34">
        <v>0</v>
      </c>
      <c r="BG99" s="34" t="str">
        <v/>
      </c>
      <c r="BH99" s="34" t="str">
        <v/>
      </c>
      <c r="BI99" s="34" t="str">
        <v/>
      </c>
      <c r="BJ99" s="34" t="str">
        <v/>
      </c>
      <c r="BK99" s="34" t="str">
        <v>BOX</v>
      </c>
      <c r="BL99" s="34">
        <v>1</v>
      </c>
      <c r="BM99" s="34" t="str">
        <v/>
      </c>
      <c r="BN99" s="34" t="str">
        <v/>
      </c>
      <c r="BO99" s="34" t="str">
        <v/>
      </c>
      <c r="BP99" s="34" t="str">
        <v/>
      </c>
      <c r="BQ99" s="34" t="str">
        <v>3х1,5</v>
      </c>
      <c r="BR99" s="34" t="str">
        <v/>
      </c>
      <c r="BS99" s="34" t="str">
        <v/>
      </c>
      <c r="BT99" s="34" t="str">
        <v/>
      </c>
      <c r="BU99" s="34">
        <v>0</v>
      </c>
      <c r="BV99" s="34">
        <v>119</v>
      </c>
      <c r="BW99" s="34">
        <v>1</v>
      </c>
      <c r="BX99" s="34">
        <v>0</v>
      </c>
      <c r="BY99" s="34">
        <v>0</v>
      </c>
      <c r="BZ99">
        <v>6</v>
      </c>
      <c r="CA99" t="str">
        <v>линии</v>
      </c>
    </row>
    <row r="100" spans="1:79" x14ac:dyDescent="0.3">
      <c r="A100" s="39" t="str">
        <v>ЩОВ-01</v>
      </c>
      <c r="B100" s="42">
        <v>41</v>
      </c>
      <c r="C100" s="42">
        <v>3</v>
      </c>
      <c r="D100" s="75" t="str">
        <v/>
      </c>
      <c r="E100" s="75" t="str">
        <v>авто</v>
      </c>
      <c r="F100" s="76" t="str">
        <v/>
      </c>
      <c r="G100" s="47" t="str">
        <v>QF20</v>
      </c>
      <c r="H100" s="47" t="str">
        <v>1P С10А</v>
      </c>
      <c r="I100" s="75" t="str">
        <v/>
      </c>
      <c r="J100" s="76" t="str">
        <v/>
      </c>
      <c r="K100" s="76" t="str">
        <v/>
      </c>
      <c r="L100" s="75" t="str">
        <v/>
      </c>
      <c r="M100" s="49" t="str">
        <v/>
      </c>
      <c r="N100" s="76" t="str">
        <v/>
      </c>
      <c r="O100" s="49" t="str">
        <v/>
      </c>
      <c r="P100" s="77" t="str">
        <v>XT20</v>
      </c>
      <c r="Q100" s="53" t="str">
        <v>ВВГнг(А)-LS (3х1,5) L=41-0,39%</v>
      </c>
      <c r="R100" s="54" t="str">
        <v>K.1.006A</v>
      </c>
      <c r="S100" s="55" t="str">
        <v>Внутренний блок кондиционирования подвальный этаж Пом. №001Т</v>
      </c>
      <c r="T100" s="56">
        <v>0.16400000000000001</v>
      </c>
      <c r="U100" s="56">
        <v>0.89</v>
      </c>
      <c r="V100" s="42" t="str">
        <v>L2</v>
      </c>
      <c r="W100" s="57" t="str">
        <v>ok</v>
      </c>
      <c r="X100" s="58" t="str">
        <v/>
      </c>
      <c r="Y100" s="75" t="str">
        <v/>
      </c>
      <c r="Z100" s="59">
        <v>0.88767603887904944</v>
      </c>
      <c r="AA100" s="61">
        <v>6</v>
      </c>
      <c r="AB100" s="61">
        <v>16</v>
      </c>
      <c r="AC100" s="61" t="str">
        <v/>
      </c>
      <c r="AD100" s="62" t="str">
        <v>QF20 → XT20</v>
      </c>
      <c r="AE100" s="62" t="str">
        <v/>
      </c>
      <c r="AF100" s="34">
        <v>20</v>
      </c>
      <c r="AG100" s="34" t="str">
        <v>QF20</v>
      </c>
      <c r="AH100" s="34" t="str">
        <v/>
      </c>
      <c r="AI100" s="34" t="str">
        <v/>
      </c>
      <c r="AJ100" s="34" t="str">
        <v>QF20</v>
      </c>
      <c r="AK100" s="34">
        <v>1</v>
      </c>
      <c r="AL100" s="34" t="str">
        <v>K</v>
      </c>
      <c r="AM100" s="34">
        <v>0</v>
      </c>
      <c r="AN100" s="34">
        <v>0</v>
      </c>
      <c r="AO100" s="34">
        <v>6</v>
      </c>
      <c r="AP100" s="34">
        <v>16</v>
      </c>
      <c r="AQ100" s="34">
        <v>10</v>
      </c>
      <c r="AR100" s="34">
        <v>1</v>
      </c>
      <c r="AS100" s="34">
        <v>0</v>
      </c>
      <c r="AT100" s="34" t="str">
        <v>1P</v>
      </c>
      <c r="AU100" s="34">
        <v>10</v>
      </c>
      <c r="AV100" s="34" t="str">
        <v/>
      </c>
      <c r="AW100" s="34" t="str">
        <v/>
      </c>
      <c r="AX100" s="34" t="str">
        <v/>
      </c>
      <c r="AY100" s="34">
        <v>1</v>
      </c>
      <c r="AZ100" s="34" t="str">
        <v/>
      </c>
      <c r="BA100" s="34">
        <v>0</v>
      </c>
      <c r="BB100" s="34">
        <v>0</v>
      </c>
      <c r="BD100" s="34">
        <v>1</v>
      </c>
      <c r="BE100" s="34">
        <v>0</v>
      </c>
      <c r="BF100" s="34">
        <v>0</v>
      </c>
      <c r="BG100" s="34" t="str">
        <v/>
      </c>
      <c r="BH100" s="34" t="str">
        <v/>
      </c>
      <c r="BI100" s="34" t="str">
        <v/>
      </c>
      <c r="BJ100" s="34" t="str">
        <v/>
      </c>
      <c r="BK100" s="34" t="str">
        <v>BOX</v>
      </c>
      <c r="BL100" s="34">
        <v>1</v>
      </c>
      <c r="BM100" s="34" t="str">
        <v/>
      </c>
      <c r="BN100" s="34" t="str">
        <v/>
      </c>
      <c r="BO100" s="34" t="str">
        <v/>
      </c>
      <c r="BP100" s="34" t="str">
        <v/>
      </c>
      <c r="BQ100" s="34" t="str">
        <v>3х1,5</v>
      </c>
      <c r="BR100" s="34" t="str">
        <v/>
      </c>
      <c r="BS100" s="34" t="str">
        <v/>
      </c>
      <c r="BT100" s="34" t="str">
        <v/>
      </c>
      <c r="BU100" s="34">
        <v>0</v>
      </c>
      <c r="BV100" s="34">
        <v>120</v>
      </c>
      <c r="BW100" s="34">
        <v>1</v>
      </c>
      <c r="BX100" s="34">
        <v>0</v>
      </c>
      <c r="BY100" s="34">
        <v>0</v>
      </c>
      <c r="BZ100">
        <v>6</v>
      </c>
      <c r="CA100" t="str">
        <v>линии</v>
      </c>
    </row>
    <row r="101" spans="1:79" x14ac:dyDescent="0.3">
      <c r="A101" s="39" t="str">
        <v>ЩОВ-01</v>
      </c>
      <c r="B101" s="42">
        <v>42</v>
      </c>
      <c r="C101" s="42">
        <v>3</v>
      </c>
      <c r="D101" s="75" t="str">
        <v/>
      </c>
      <c r="E101" s="75" t="str">
        <v>авто</v>
      </c>
      <c r="F101" s="76" t="str">
        <v/>
      </c>
      <c r="G101" s="47" t="str">
        <v>QF21</v>
      </c>
      <c r="H101" s="47" t="str">
        <v>1P С10А</v>
      </c>
      <c r="I101" s="75" t="str">
        <v/>
      </c>
      <c r="J101" s="76" t="str">
        <v/>
      </c>
      <c r="K101" s="76" t="str">
        <v/>
      </c>
      <c r="L101" s="75" t="str">
        <v/>
      </c>
      <c r="M101" s="49" t="str">
        <v/>
      </c>
      <c r="N101" s="76" t="str">
        <v/>
      </c>
      <c r="O101" s="49" t="str">
        <v/>
      </c>
      <c r="P101" s="77" t="str">
        <v>XT21</v>
      </c>
      <c r="Q101" s="53" t="str">
        <v>ВВГнг(А)-LS (3х1,5) L=74-1,58%</v>
      </c>
      <c r="R101" s="54" t="str">
        <v>K.1.002Б</v>
      </c>
      <c r="S101" s="55" t="str">
        <v>Внутренний блок кондиционирования первый этаж Пом. №002Б</v>
      </c>
      <c r="T101" s="56">
        <v>0.376</v>
      </c>
      <c r="U101" s="56">
        <v>2.0399999999999996</v>
      </c>
      <c r="V101" s="42" t="str">
        <v>L1</v>
      </c>
      <c r="W101" s="57" t="str">
        <v>ok</v>
      </c>
      <c r="X101" s="58" t="str">
        <v/>
      </c>
      <c r="Y101" s="75" t="str">
        <v/>
      </c>
      <c r="Z101" s="59">
        <v>2.0351596988934304</v>
      </c>
      <c r="AA101" s="61">
        <v>6</v>
      </c>
      <c r="AB101" s="61">
        <v>16</v>
      </c>
      <c r="AC101" s="61" t="str">
        <v/>
      </c>
      <c r="AD101" s="62" t="str">
        <v>QF21 → XT21</v>
      </c>
      <c r="AE101" s="62" t="str">
        <v/>
      </c>
      <c r="AF101" s="34">
        <v>21</v>
      </c>
      <c r="AG101" s="34" t="str">
        <v>QF21</v>
      </c>
      <c r="AH101" s="34" t="str">
        <v/>
      </c>
      <c r="AI101" s="34" t="str">
        <v/>
      </c>
      <c r="AJ101" s="34" t="str">
        <v>QF21</v>
      </c>
      <c r="AK101" s="34">
        <v>1</v>
      </c>
      <c r="AL101" s="34" t="str">
        <v>K</v>
      </c>
      <c r="AM101" s="34">
        <v>0</v>
      </c>
      <c r="AN101" s="34">
        <v>0</v>
      </c>
      <c r="AO101" s="34">
        <v>6</v>
      </c>
      <c r="AP101" s="34">
        <v>16</v>
      </c>
      <c r="AQ101" s="34">
        <v>10</v>
      </c>
      <c r="AR101" s="34">
        <v>1</v>
      </c>
      <c r="AS101" s="34">
        <v>0</v>
      </c>
      <c r="AT101" s="34" t="str">
        <v>1P</v>
      </c>
      <c r="AU101" s="34">
        <v>10</v>
      </c>
      <c r="AV101" s="34" t="str">
        <v/>
      </c>
      <c r="AW101" s="34" t="str">
        <v/>
      </c>
      <c r="AX101" s="34" t="str">
        <v/>
      </c>
      <c r="AY101" s="34">
        <v>1</v>
      </c>
      <c r="AZ101" s="34" t="str">
        <v/>
      </c>
      <c r="BA101" s="34">
        <v>0</v>
      </c>
      <c r="BB101" s="34">
        <v>0</v>
      </c>
      <c r="BD101" s="34">
        <v>1</v>
      </c>
      <c r="BE101" s="34">
        <v>0</v>
      </c>
      <c r="BF101" s="34">
        <v>0</v>
      </c>
      <c r="BG101" s="34" t="str">
        <v/>
      </c>
      <c r="BH101" s="34" t="str">
        <v/>
      </c>
      <c r="BI101" s="34" t="str">
        <v/>
      </c>
      <c r="BJ101" s="34" t="str">
        <v/>
      </c>
      <c r="BK101" s="34" t="str">
        <v>BOX</v>
      </c>
      <c r="BL101" s="34">
        <v>1</v>
      </c>
      <c r="BM101" s="34" t="str">
        <v/>
      </c>
      <c r="BN101" s="34" t="str">
        <v/>
      </c>
      <c r="BO101" s="34" t="str">
        <v/>
      </c>
      <c r="BP101" s="34" t="str">
        <v/>
      </c>
      <c r="BQ101" s="34" t="str">
        <v>3х1,5</v>
      </c>
      <c r="BR101" s="34" t="str">
        <v/>
      </c>
      <c r="BS101" s="34" t="str">
        <v/>
      </c>
      <c r="BT101" s="34" t="str">
        <v/>
      </c>
      <c r="BU101" s="34">
        <v>0</v>
      </c>
      <c r="BV101" s="34">
        <v>121</v>
      </c>
      <c r="BW101" s="34">
        <v>1</v>
      </c>
      <c r="BX101" s="34">
        <v>0</v>
      </c>
      <c r="BY101" s="34">
        <v>0</v>
      </c>
      <c r="BZ101">
        <v>6</v>
      </c>
      <c r="CA101" t="str">
        <v>линии</v>
      </c>
    </row>
    <row r="102" spans="1:79" x14ac:dyDescent="0.3">
      <c r="A102" s="39" t="str">
        <v>ЩОВ-01</v>
      </c>
      <c r="B102" s="42">
        <v>43</v>
      </c>
      <c r="C102" s="42">
        <v>3</v>
      </c>
      <c r="D102" s="75" t="str">
        <v/>
      </c>
      <c r="E102" s="75" t="str">
        <v>авто</v>
      </c>
      <c r="F102" s="76" t="str">
        <v/>
      </c>
      <c r="G102" s="47" t="str">
        <v>QF22</v>
      </c>
      <c r="H102" s="47" t="str">
        <v>1P С10А</v>
      </c>
      <c r="I102" s="75" t="str">
        <v/>
      </c>
      <c r="J102" s="76" t="str">
        <v/>
      </c>
      <c r="K102" s="76" t="str">
        <v/>
      </c>
      <c r="L102" s="75" t="str">
        <v/>
      </c>
      <c r="M102" s="49" t="str">
        <v/>
      </c>
      <c r="N102" s="76" t="str">
        <v/>
      </c>
      <c r="O102" s="49" t="str">
        <v/>
      </c>
      <c r="P102" s="77" t="str">
        <v/>
      </c>
      <c r="Q102" s="53" t="str">
        <v>ВВГнг(А)-LS (3х1,5) L=74-0,69%</v>
      </c>
      <c r="R102" s="54" t="str">
        <v>K.1.007A</v>
      </c>
      <c r="S102" s="55" t="str">
        <v>Внутренний блок кондиционирования первый этаж Пом. №003Б</v>
      </c>
      <c r="T102" s="56">
        <v>0.16400000000000001</v>
      </c>
      <c r="U102" s="56">
        <v>0.89</v>
      </c>
      <c r="V102" s="42" t="str">
        <v>L3</v>
      </c>
      <c r="W102" s="57" t="str">
        <v>ok</v>
      </c>
      <c r="X102" s="58" t="str">
        <v/>
      </c>
      <c r="Y102" s="75" t="str">
        <v/>
      </c>
      <c r="Z102" s="59">
        <v>0.88767603887904944</v>
      </c>
      <c r="AA102" s="61">
        <v>6</v>
      </c>
      <c r="AB102" s="61">
        <v>16</v>
      </c>
      <c r="AC102" s="61" t="str">
        <v/>
      </c>
      <c r="AD102" s="62" t="str">
        <v>QF22</v>
      </c>
      <c r="AE102" s="62" t="str">
        <v/>
      </c>
      <c r="AF102" s="34">
        <v>22</v>
      </c>
      <c r="AG102" s="34" t="str">
        <v>QF22</v>
      </c>
      <c r="AH102" s="34" t="str">
        <v/>
      </c>
      <c r="AI102" s="34" t="str">
        <v/>
      </c>
      <c r="AJ102" s="34" t="str">
        <v>QF22</v>
      </c>
      <c r="AK102" s="34">
        <v>1</v>
      </c>
      <c r="AL102" s="34" t="str">
        <v>K</v>
      </c>
      <c r="AM102" s="34">
        <v>0</v>
      </c>
      <c r="AN102" s="34">
        <v>0</v>
      </c>
      <c r="AO102" s="34">
        <v>6</v>
      </c>
      <c r="AP102" s="34">
        <v>16</v>
      </c>
      <c r="AQ102" s="34">
        <v>10</v>
      </c>
      <c r="AR102" s="34">
        <v>1</v>
      </c>
      <c r="AS102" s="34">
        <v>0</v>
      </c>
      <c r="AT102" s="34" t="str">
        <v>1P</v>
      </c>
      <c r="AU102" s="34">
        <v>10</v>
      </c>
      <c r="AV102" s="34" t="str">
        <v/>
      </c>
      <c r="AW102" s="34" t="str">
        <v/>
      </c>
      <c r="AX102" s="34" t="str">
        <v/>
      </c>
      <c r="AY102" s="34">
        <v>1</v>
      </c>
      <c r="AZ102" s="34" t="str">
        <v/>
      </c>
      <c r="BA102" s="34">
        <v>0</v>
      </c>
      <c r="BB102" s="34">
        <v>0</v>
      </c>
      <c r="BD102" s="34">
        <v>1</v>
      </c>
      <c r="BE102" s="34">
        <v>0</v>
      </c>
      <c r="BF102" s="34">
        <v>0</v>
      </c>
      <c r="BG102" s="34" t="str">
        <v/>
      </c>
      <c r="BH102" s="34" t="str">
        <v/>
      </c>
      <c r="BI102" s="34" t="str">
        <v/>
      </c>
      <c r="BJ102" s="34" t="str">
        <v/>
      </c>
      <c r="BK102" s="34" t="str">
        <v>BOX</v>
      </c>
      <c r="BL102" s="34">
        <v>1</v>
      </c>
      <c r="BM102" s="34" t="str">
        <v/>
      </c>
      <c r="BN102" s="34" t="str">
        <v/>
      </c>
      <c r="BO102" s="34" t="str">
        <v/>
      </c>
      <c r="BP102" s="34" t="str">
        <v/>
      </c>
      <c r="BQ102" s="34" t="str">
        <v>3х1,5</v>
      </c>
      <c r="BR102" s="34" t="str">
        <v/>
      </c>
      <c r="BS102" s="34" t="str">
        <v/>
      </c>
      <c r="BT102" s="34" t="str">
        <v/>
      </c>
      <c r="BU102" s="34">
        <v>0</v>
      </c>
      <c r="BV102" s="34">
        <v>122</v>
      </c>
      <c r="BW102" s="34">
        <v>1</v>
      </c>
      <c r="BX102" s="34">
        <v>0</v>
      </c>
      <c r="BY102" s="34">
        <v>0</v>
      </c>
      <c r="BZ102">
        <v>6</v>
      </c>
      <c r="CA102" t="str">
        <v>линии</v>
      </c>
    </row>
    <row r="103" spans="1:79" x14ac:dyDescent="0.3">
      <c r="A103" s="39" t="str">
        <v>ЩОВ-01</v>
      </c>
      <c r="B103" s="42">
        <v>44</v>
      </c>
      <c r="C103" s="42">
        <v>3</v>
      </c>
      <c r="D103" s="75" t="str">
        <v/>
      </c>
      <c r="E103" s="75" t="str">
        <v>авто</v>
      </c>
      <c r="F103" s="76" t="str">
        <v/>
      </c>
      <c r="G103" s="47" t="str">
        <v>QF23</v>
      </c>
      <c r="H103" s="47" t="str">
        <v>1P С10А</v>
      </c>
      <c r="I103" s="75" t="str">
        <v/>
      </c>
      <c r="J103" s="76" t="str">
        <v/>
      </c>
      <c r="K103" s="76" t="str">
        <v/>
      </c>
      <c r="L103" s="75" t="str">
        <v/>
      </c>
      <c r="M103" s="49" t="str">
        <v/>
      </c>
      <c r="N103" s="76" t="str">
        <v/>
      </c>
      <c r="O103" s="49" t="str">
        <v/>
      </c>
      <c r="P103" s="77" t="str">
        <v/>
      </c>
      <c r="Q103" s="53" t="str">
        <v>ВВГнг(А)-LS (3х1,5) L=76-0,71%</v>
      </c>
      <c r="R103" s="54" t="str">
        <v>K.1.010A</v>
      </c>
      <c r="S103" s="55" t="str">
        <v>Внутренний блок кондиционирования первый этаж Пом. №003Б</v>
      </c>
      <c r="T103" s="56">
        <v>0.16400000000000001</v>
      </c>
      <c r="U103" s="56">
        <v>0.89</v>
      </c>
      <c r="V103" s="42" t="str">
        <v>L1</v>
      </c>
      <c r="W103" s="57" t="str">
        <v>ok</v>
      </c>
      <c r="X103" s="58" t="str">
        <v/>
      </c>
      <c r="Y103" s="75" t="str">
        <v/>
      </c>
      <c r="Z103" s="59">
        <v>0.88767603887904944</v>
      </c>
      <c r="AA103" s="61">
        <v>6</v>
      </c>
      <c r="AB103" s="61">
        <v>16</v>
      </c>
      <c r="AC103" s="61" t="str">
        <v/>
      </c>
      <c r="AD103" s="62" t="str">
        <v>QF23</v>
      </c>
      <c r="AE103" s="62" t="str">
        <v/>
      </c>
      <c r="AF103" s="34">
        <v>23</v>
      </c>
      <c r="AG103" s="34" t="str">
        <v>QF23</v>
      </c>
      <c r="AH103" s="34" t="str">
        <v/>
      </c>
      <c r="AI103" s="34" t="str">
        <v/>
      </c>
      <c r="AJ103" s="34" t="str">
        <v>QF23</v>
      </c>
      <c r="AK103" s="34">
        <v>1</v>
      </c>
      <c r="AL103" s="34" t="str">
        <v>K</v>
      </c>
      <c r="AM103" s="34">
        <v>0</v>
      </c>
      <c r="AN103" s="34">
        <v>0</v>
      </c>
      <c r="AO103" s="34">
        <v>6</v>
      </c>
      <c r="AP103" s="34">
        <v>16</v>
      </c>
      <c r="AQ103" s="34">
        <v>10</v>
      </c>
      <c r="AR103" s="34">
        <v>1</v>
      </c>
      <c r="AS103" s="34">
        <v>0</v>
      </c>
      <c r="AT103" s="34" t="str">
        <v>1P</v>
      </c>
      <c r="AU103" s="34">
        <v>10</v>
      </c>
      <c r="AV103" s="34" t="str">
        <v/>
      </c>
      <c r="AW103" s="34" t="str">
        <v/>
      </c>
      <c r="AX103" s="34" t="str">
        <v/>
      </c>
      <c r="AY103" s="34">
        <v>1</v>
      </c>
      <c r="AZ103" s="34" t="str">
        <v/>
      </c>
      <c r="BA103" s="34">
        <v>0</v>
      </c>
      <c r="BB103" s="34">
        <v>0</v>
      </c>
      <c r="BD103" s="34">
        <v>1</v>
      </c>
      <c r="BE103" s="34">
        <v>0</v>
      </c>
      <c r="BF103" s="34">
        <v>0</v>
      </c>
      <c r="BG103" s="34" t="str">
        <v/>
      </c>
      <c r="BH103" s="34" t="str">
        <v/>
      </c>
      <c r="BI103" s="34" t="str">
        <v/>
      </c>
      <c r="BJ103" s="34" t="str">
        <v/>
      </c>
      <c r="BK103" s="34" t="str">
        <v>BOX</v>
      </c>
      <c r="BL103" s="34">
        <v>1</v>
      </c>
      <c r="BM103" s="34" t="str">
        <v/>
      </c>
      <c r="BN103" s="34" t="str">
        <v/>
      </c>
      <c r="BO103" s="34" t="str">
        <v/>
      </c>
      <c r="BP103" s="34" t="str">
        <v/>
      </c>
      <c r="BQ103" s="34" t="str">
        <v>3х1,5</v>
      </c>
      <c r="BR103" s="34" t="str">
        <v/>
      </c>
      <c r="BS103" s="34" t="str">
        <v/>
      </c>
      <c r="BT103" s="34" t="str">
        <v/>
      </c>
      <c r="BU103" s="34">
        <v>0</v>
      </c>
      <c r="BV103" s="34">
        <v>123</v>
      </c>
      <c r="BW103" s="34">
        <v>1</v>
      </c>
      <c r="BX103" s="34">
        <v>0</v>
      </c>
      <c r="BY103" s="34">
        <v>0</v>
      </c>
      <c r="BZ103">
        <v>6</v>
      </c>
      <c r="CA103" t="str">
        <v>линии</v>
      </c>
    </row>
    <row r="104" spans="1:79" x14ac:dyDescent="0.3">
      <c r="A104" s="39" t="str">
        <v>ЩОВ-01</v>
      </c>
      <c r="B104" s="42">
        <v>45</v>
      </c>
      <c r="C104" s="42">
        <v>3</v>
      </c>
      <c r="D104" s="75" t="str">
        <v/>
      </c>
      <c r="E104" s="75" t="str">
        <v>авто</v>
      </c>
      <c r="F104" s="76" t="str">
        <v/>
      </c>
      <c r="G104" s="47" t="str">
        <v>QF24</v>
      </c>
      <c r="H104" s="47" t="str">
        <v>1P С10А</v>
      </c>
      <c r="I104" s="75" t="str">
        <v/>
      </c>
      <c r="J104" s="76" t="str">
        <v/>
      </c>
      <c r="K104" s="76" t="str">
        <v/>
      </c>
      <c r="L104" s="75" t="str">
        <v/>
      </c>
      <c r="M104" s="49" t="str">
        <v/>
      </c>
      <c r="N104" s="76" t="str">
        <v/>
      </c>
      <c r="O104" s="49" t="str">
        <v/>
      </c>
      <c r="P104" s="77" t="str">
        <v/>
      </c>
      <c r="Q104" s="53" t="str">
        <v>ВВГнг(А)-LS (3х1,5) L=72-0,67%</v>
      </c>
      <c r="R104" s="54" t="str">
        <v>K.1.011A</v>
      </c>
      <c r="S104" s="55" t="str">
        <v>Внутренний блок кондиционирования первый этаж Пом. №002Б</v>
      </c>
      <c r="T104" s="56">
        <v>0.16400000000000001</v>
      </c>
      <c r="U104" s="56">
        <v>0.89</v>
      </c>
      <c r="V104" s="42" t="str">
        <v>L2</v>
      </c>
      <c r="W104" s="57" t="str">
        <v>ok</v>
      </c>
      <c r="X104" s="58" t="str">
        <v/>
      </c>
      <c r="Y104" s="75" t="str">
        <v/>
      </c>
      <c r="Z104" s="59">
        <v>0.88767603887904944</v>
      </c>
      <c r="AA104" s="61">
        <v>6</v>
      </c>
      <c r="AB104" s="61">
        <v>16</v>
      </c>
      <c r="AC104" s="61" t="str">
        <v/>
      </c>
      <c r="AD104" s="62" t="str">
        <v>QF24</v>
      </c>
      <c r="AE104" s="62" t="str">
        <v/>
      </c>
      <c r="AF104" s="34">
        <v>24</v>
      </c>
      <c r="AG104" s="34" t="str">
        <v>QF24</v>
      </c>
      <c r="AH104" s="34" t="str">
        <v/>
      </c>
      <c r="AI104" s="34" t="str">
        <v/>
      </c>
      <c r="AJ104" s="34" t="str">
        <v>QF24</v>
      </c>
      <c r="AK104" s="34">
        <v>1</v>
      </c>
      <c r="AL104" s="34" t="str">
        <v>K</v>
      </c>
      <c r="AM104" s="34">
        <v>0</v>
      </c>
      <c r="AN104" s="34">
        <v>0</v>
      </c>
      <c r="AO104" s="34">
        <v>6</v>
      </c>
      <c r="AP104" s="34">
        <v>16</v>
      </c>
      <c r="AQ104" s="34">
        <v>10</v>
      </c>
      <c r="AR104" s="34">
        <v>1</v>
      </c>
      <c r="AS104" s="34">
        <v>0</v>
      </c>
      <c r="AT104" s="34" t="str">
        <v>1P</v>
      </c>
      <c r="AU104" s="34">
        <v>10</v>
      </c>
      <c r="AV104" s="34" t="str">
        <v/>
      </c>
      <c r="AW104" s="34" t="str">
        <v/>
      </c>
      <c r="AX104" s="34" t="str">
        <v/>
      </c>
      <c r="AY104" s="34">
        <v>1</v>
      </c>
      <c r="AZ104" s="34" t="str">
        <v/>
      </c>
      <c r="BA104" s="34">
        <v>0</v>
      </c>
      <c r="BB104" s="34">
        <v>0</v>
      </c>
      <c r="BD104" s="34">
        <v>1</v>
      </c>
      <c r="BE104" s="34">
        <v>0</v>
      </c>
      <c r="BF104" s="34">
        <v>0</v>
      </c>
      <c r="BG104" s="34" t="str">
        <v/>
      </c>
      <c r="BH104" s="34" t="str">
        <v/>
      </c>
      <c r="BI104" s="34" t="str">
        <v/>
      </c>
      <c r="BJ104" s="34" t="str">
        <v/>
      </c>
      <c r="BK104" s="34" t="str">
        <v>BOX</v>
      </c>
      <c r="BL104" s="34">
        <v>1</v>
      </c>
      <c r="BM104" s="34" t="str">
        <v/>
      </c>
      <c r="BN104" s="34" t="str">
        <v/>
      </c>
      <c r="BO104" s="34" t="str">
        <v/>
      </c>
      <c r="BP104" s="34" t="str">
        <v/>
      </c>
      <c r="BQ104" s="34" t="str">
        <v>3х1,5</v>
      </c>
      <c r="BR104" s="34" t="str">
        <v/>
      </c>
      <c r="BS104" s="34" t="str">
        <v/>
      </c>
      <c r="BT104" s="34" t="str">
        <v/>
      </c>
      <c r="BU104" s="34">
        <v>0</v>
      </c>
      <c r="BV104" s="34">
        <v>124</v>
      </c>
      <c r="BW104" s="34">
        <v>1</v>
      </c>
      <c r="BX104" s="34">
        <v>0</v>
      </c>
      <c r="BY104" s="34">
        <v>0</v>
      </c>
      <c r="BZ104">
        <v>6</v>
      </c>
      <c r="CA104" t="str">
        <v>линии</v>
      </c>
    </row>
    <row r="105" spans="1:79" x14ac:dyDescent="0.3">
      <c r="A105" s="39" t="str">
        <v>ЩОВ-01</v>
      </c>
      <c r="B105" s="42">
        <v>46</v>
      </c>
      <c r="C105" s="42">
        <v>3</v>
      </c>
      <c r="D105" s="75" t="str">
        <v/>
      </c>
      <c r="E105" s="75" t="str">
        <v>авто</v>
      </c>
      <c r="F105" s="76" t="str">
        <v/>
      </c>
      <c r="G105" s="47" t="str">
        <v>QF25</v>
      </c>
      <c r="H105" s="47" t="str">
        <v>1P С10А</v>
      </c>
      <c r="I105" s="75" t="str">
        <v/>
      </c>
      <c r="J105" s="76" t="str">
        <v/>
      </c>
      <c r="K105" s="76" t="str">
        <v/>
      </c>
      <c r="L105" s="75" t="str">
        <v/>
      </c>
      <c r="M105" s="49" t="str">
        <v/>
      </c>
      <c r="N105" s="76" t="str">
        <v/>
      </c>
      <c r="O105" s="49" t="str">
        <v/>
      </c>
      <c r="P105" s="77" t="str">
        <v/>
      </c>
      <c r="Q105" s="53" t="str">
        <v>ВВГнг(А)-LS (3х1,5) L=70-1,43%</v>
      </c>
      <c r="R105" s="54" t="str">
        <v>K.1.014A</v>
      </c>
      <c r="S105" s="55" t="str">
        <v>Внутренний блок кондиционирования первый этаж Пом. №002Б</v>
      </c>
      <c r="T105" s="56">
        <v>0.36</v>
      </c>
      <c r="U105" s="56">
        <v>1.95</v>
      </c>
      <c r="V105" s="42" t="str">
        <v>L1</v>
      </c>
      <c r="W105" s="57" t="str">
        <v>ok</v>
      </c>
      <c r="X105" s="58" t="str">
        <v/>
      </c>
      <c r="Y105" s="75" t="str">
        <v/>
      </c>
      <c r="Z105" s="59">
        <v>1.9485571585149866</v>
      </c>
      <c r="AA105" s="61">
        <v>6</v>
      </c>
      <c r="AB105" s="61">
        <v>16</v>
      </c>
      <c r="AC105" s="61" t="str">
        <v/>
      </c>
      <c r="AD105" s="62" t="str">
        <v>QF25</v>
      </c>
      <c r="AE105" s="62" t="str">
        <v/>
      </c>
      <c r="AF105" s="34">
        <v>25</v>
      </c>
      <c r="AG105" s="34" t="str">
        <v>QF25</v>
      </c>
      <c r="AH105" s="34" t="str">
        <v/>
      </c>
      <c r="AI105" s="34" t="str">
        <v/>
      </c>
      <c r="AJ105" s="34" t="str">
        <v>QF25</v>
      </c>
      <c r="AK105" s="34">
        <v>1</v>
      </c>
      <c r="AL105" s="34" t="str">
        <v>K</v>
      </c>
      <c r="AM105" s="34">
        <v>0</v>
      </c>
      <c r="AN105" s="34">
        <v>0</v>
      </c>
      <c r="AO105" s="34">
        <v>6</v>
      </c>
      <c r="AP105" s="34">
        <v>16</v>
      </c>
      <c r="AQ105" s="34">
        <v>10</v>
      </c>
      <c r="AR105" s="34">
        <v>1</v>
      </c>
      <c r="AS105" s="34">
        <v>0</v>
      </c>
      <c r="AT105" s="34" t="str">
        <v>1P</v>
      </c>
      <c r="AU105" s="34">
        <v>10</v>
      </c>
      <c r="AV105" s="34" t="str">
        <v/>
      </c>
      <c r="AW105" s="34" t="str">
        <v/>
      </c>
      <c r="AX105" s="34" t="str">
        <v/>
      </c>
      <c r="AY105" s="34">
        <v>1</v>
      </c>
      <c r="AZ105" s="34" t="str">
        <v/>
      </c>
      <c r="BA105" s="34">
        <v>0</v>
      </c>
      <c r="BB105" s="34">
        <v>0</v>
      </c>
      <c r="BD105" s="34">
        <v>1</v>
      </c>
      <c r="BE105" s="34">
        <v>0</v>
      </c>
      <c r="BF105" s="34">
        <v>0</v>
      </c>
      <c r="BG105" s="34" t="str">
        <v/>
      </c>
      <c r="BH105" s="34" t="str">
        <v/>
      </c>
      <c r="BI105" s="34" t="str">
        <v/>
      </c>
      <c r="BJ105" s="34" t="str">
        <v/>
      </c>
      <c r="BK105" s="34" t="str">
        <v>BOX</v>
      </c>
      <c r="BL105" s="34">
        <v>1</v>
      </c>
      <c r="BM105" s="34" t="str">
        <v/>
      </c>
      <c r="BN105" s="34" t="str">
        <v/>
      </c>
      <c r="BO105" s="34" t="str">
        <v/>
      </c>
      <c r="BP105" s="34" t="str">
        <v/>
      </c>
      <c r="BQ105" s="34" t="str">
        <v>3х1,5</v>
      </c>
      <c r="BR105" s="34" t="str">
        <v/>
      </c>
      <c r="BS105" s="34" t="str">
        <v/>
      </c>
      <c r="BT105" s="34" t="str">
        <v/>
      </c>
      <c r="BU105" s="34">
        <v>0</v>
      </c>
      <c r="BV105" s="34">
        <v>125</v>
      </c>
      <c r="BW105" s="34">
        <v>1</v>
      </c>
      <c r="BX105" s="34">
        <v>0</v>
      </c>
      <c r="BY105" s="34">
        <v>0</v>
      </c>
      <c r="BZ105">
        <v>6</v>
      </c>
      <c r="CA105" t="str">
        <v>линии</v>
      </c>
    </row>
    <row r="106" spans="1:79" x14ac:dyDescent="0.3">
      <c r="A106" s="39" t="str">
        <v>ЩОВ-01</v>
      </c>
      <c r="B106" s="42">
        <v>47</v>
      </c>
      <c r="C106" s="42">
        <v>3</v>
      </c>
      <c r="D106" s="75" t="str">
        <v/>
      </c>
      <c r="E106" s="75" t="str">
        <v>авто</v>
      </c>
      <c r="F106" s="76" t="str">
        <v/>
      </c>
      <c r="G106" s="47" t="str">
        <v>QF26</v>
      </c>
      <c r="H106" s="47" t="str">
        <v>1P С10А</v>
      </c>
      <c r="I106" s="75" t="str">
        <v/>
      </c>
      <c r="J106" s="76" t="str">
        <v/>
      </c>
      <c r="K106" s="76" t="str">
        <v/>
      </c>
      <c r="L106" s="75" t="str">
        <v/>
      </c>
      <c r="M106" s="49" t="str">
        <v/>
      </c>
      <c r="N106" s="76" t="str">
        <v/>
      </c>
      <c r="O106" s="49" t="str">
        <v/>
      </c>
      <c r="P106" s="77" t="str">
        <v/>
      </c>
      <c r="Q106" s="53" t="str">
        <v>ВВГнг(А)-LS (3х1,5) L=75-1,6%</v>
      </c>
      <c r="R106" s="54" t="str">
        <v>K.1.015A</v>
      </c>
      <c r="S106" s="55" t="str">
        <v>Внутренний блок кондиционирования первый этаж Пом. №002Б</v>
      </c>
      <c r="T106" s="56">
        <v>0.376</v>
      </c>
      <c r="U106" s="56">
        <v>2.0399999999999996</v>
      </c>
      <c r="V106" s="42" t="str">
        <v>L3</v>
      </c>
      <c r="W106" s="57" t="str">
        <v>ok</v>
      </c>
      <c r="X106" s="58" t="str">
        <v/>
      </c>
      <c r="Y106" s="75" t="str">
        <v/>
      </c>
      <c r="Z106" s="59">
        <v>2.0351596988934304</v>
      </c>
      <c r="AA106" s="61">
        <v>6</v>
      </c>
      <c r="AB106" s="61">
        <v>16</v>
      </c>
      <c r="AC106" s="61" t="str">
        <v/>
      </c>
      <c r="AD106" s="62" t="str">
        <v>QF26</v>
      </c>
      <c r="AE106" s="62" t="str">
        <v/>
      </c>
      <c r="AF106" s="34">
        <v>26</v>
      </c>
      <c r="AG106" s="34" t="str">
        <v>QF26</v>
      </c>
      <c r="AH106" s="34" t="str">
        <v/>
      </c>
      <c r="AI106" s="34" t="str">
        <v/>
      </c>
      <c r="AJ106" s="34" t="str">
        <v>QF26</v>
      </c>
      <c r="AK106" s="34">
        <v>1</v>
      </c>
      <c r="AL106" s="34" t="str">
        <v>K</v>
      </c>
      <c r="AM106" s="34">
        <v>0</v>
      </c>
      <c r="AN106" s="34">
        <v>0</v>
      </c>
      <c r="AO106" s="34">
        <v>6</v>
      </c>
      <c r="AP106" s="34">
        <v>16</v>
      </c>
      <c r="AQ106" s="34">
        <v>10</v>
      </c>
      <c r="AR106" s="34">
        <v>1</v>
      </c>
      <c r="AS106" s="34">
        <v>0</v>
      </c>
      <c r="AT106" s="34" t="str">
        <v>1P</v>
      </c>
      <c r="AU106" s="34">
        <v>10</v>
      </c>
      <c r="AV106" s="34" t="str">
        <v/>
      </c>
      <c r="AW106" s="34" t="str">
        <v/>
      </c>
      <c r="AX106" s="34" t="str">
        <v/>
      </c>
      <c r="AY106" s="34">
        <v>1</v>
      </c>
      <c r="AZ106" s="34" t="str">
        <v/>
      </c>
      <c r="BA106" s="34">
        <v>0</v>
      </c>
      <c r="BB106" s="34">
        <v>0</v>
      </c>
      <c r="BD106" s="34">
        <v>1</v>
      </c>
      <c r="BE106" s="34">
        <v>0</v>
      </c>
      <c r="BF106" s="34">
        <v>0</v>
      </c>
      <c r="BG106" s="34" t="str">
        <v/>
      </c>
      <c r="BH106" s="34" t="str">
        <v/>
      </c>
      <c r="BI106" s="34" t="str">
        <v/>
      </c>
      <c r="BJ106" s="34" t="str">
        <v/>
      </c>
      <c r="BK106" s="34" t="str">
        <v>BOX</v>
      </c>
      <c r="BL106" s="34">
        <v>1</v>
      </c>
      <c r="BM106" s="34" t="str">
        <v/>
      </c>
      <c r="BN106" s="34" t="str">
        <v/>
      </c>
      <c r="BO106" s="34" t="str">
        <v/>
      </c>
      <c r="BP106" s="34" t="str">
        <v/>
      </c>
      <c r="BQ106" s="34" t="str">
        <v>3х1,5</v>
      </c>
      <c r="BR106" s="34" t="str">
        <v/>
      </c>
      <c r="BS106" s="34" t="str">
        <v/>
      </c>
      <c r="BT106" s="34" t="str">
        <v/>
      </c>
      <c r="BU106" s="34">
        <v>0</v>
      </c>
      <c r="BV106" s="34">
        <v>126</v>
      </c>
      <c r="BW106" s="34">
        <v>1</v>
      </c>
      <c r="BX106" s="34">
        <v>0</v>
      </c>
      <c r="BY106" s="34">
        <v>0</v>
      </c>
      <c r="BZ106">
        <v>6</v>
      </c>
      <c r="CA106" t="str">
        <v>линии</v>
      </c>
    </row>
    <row r="107" spans="1:79" x14ac:dyDescent="0.3">
      <c r="A107" s="39" t="str">
        <v>ЩОВ-2</v>
      </c>
      <c r="B107" s="42">
        <v>2</v>
      </c>
      <c r="C107" s="42">
        <v>1</v>
      </c>
      <c r="D107" s="75" t="str">
        <v/>
      </c>
      <c r="E107" s="75" t="str">
        <v>авто</v>
      </c>
      <c r="F107" s="76" t="str">
        <v/>
      </c>
      <c r="G107" s="47" t="str">
        <v/>
      </c>
      <c r="H107" s="47" t="str">
        <v>3P С20А</v>
      </c>
      <c r="I107" s="75" t="str">
        <v/>
      </c>
      <c r="J107" s="76" t="str">
        <v/>
      </c>
      <c r="K107" s="76" t="str">
        <v/>
      </c>
      <c r="L107" s="75" t="str">
        <v/>
      </c>
      <c r="M107" s="49" t="str">
        <v/>
      </c>
      <c r="N107" s="76" t="str">
        <v/>
      </c>
      <c r="O107" s="49" t="str">
        <v/>
      </c>
      <c r="P107" s="77" t="str">
        <v/>
      </c>
      <c r="Q107" s="53" t="str">
        <v/>
      </c>
      <c r="R107" s="54" t="str">
        <v>Ввод</v>
      </c>
      <c r="S107" s="55" t="str">
        <v xml:space="preserve">Вводной кабель шлейф </v>
      </c>
      <c r="T107" s="56">
        <v>0</v>
      </c>
      <c r="U107" s="56">
        <v>10.29</v>
      </c>
      <c r="V107" s="42" t="str">
        <v>L1,L2,L3</v>
      </c>
      <c r="W107" s="57" t="str">
        <v>ok</v>
      </c>
      <c r="X107" s="58" t="str">
        <v/>
      </c>
      <c r="Y107" s="75" t="str">
        <v>вручную</v>
      </c>
      <c r="Z107" s="59">
        <v>10.284051669940206</v>
      </c>
      <c r="AA107" s="61">
        <v>16</v>
      </c>
      <c r="AB107" s="61">
        <v>32</v>
      </c>
      <c r="AC107" s="61" t="str">
        <v/>
      </c>
      <c r="AD107" s="62" t="str">
        <v/>
      </c>
      <c r="AE107" s="62" t="str">
        <v/>
      </c>
      <c r="AF107" s="34" t="str">
        <v/>
      </c>
      <c r="AG107" s="34" t="str">
        <v/>
      </c>
      <c r="AH107" s="34" t="str">
        <v/>
      </c>
      <c r="AI107" s="34" t="str">
        <v/>
      </c>
      <c r="AJ107" s="34" t="str">
        <v/>
      </c>
      <c r="AK107" s="34">
        <v>3</v>
      </c>
      <c r="AL107" s="34" t="str">
        <v>Ввод</v>
      </c>
      <c r="AM107" s="34">
        <v>0</v>
      </c>
      <c r="AN107" s="34">
        <v>0</v>
      </c>
      <c r="AO107" s="34">
        <v>16</v>
      </c>
      <c r="AP107" s="34">
        <v>32</v>
      </c>
      <c r="AQ107" s="34">
        <v>20</v>
      </c>
      <c r="AR107" s="34">
        <v>3</v>
      </c>
      <c r="AS107" s="34">
        <v>0</v>
      </c>
      <c r="AT107" s="34" t="str">
        <v>3P</v>
      </c>
      <c r="AU107" s="34">
        <v>20</v>
      </c>
      <c r="AV107" s="34" t="str">
        <v/>
      </c>
      <c r="AW107" s="34" t="str">
        <v/>
      </c>
      <c r="AX107" s="34" t="str">
        <v/>
      </c>
      <c r="AY107" s="34">
        <v>0</v>
      </c>
      <c r="AZ107" s="34" t="str">
        <v/>
      </c>
      <c r="BA107" s="34">
        <v>0</v>
      </c>
      <c r="BB107" s="34">
        <v>0</v>
      </c>
      <c r="BD107" s="34">
        <v>0</v>
      </c>
      <c r="BE107" s="34">
        <v>0</v>
      </c>
      <c r="BF107" s="34">
        <v>0</v>
      </c>
      <c r="BG107" s="34" t="str">
        <v/>
      </c>
      <c r="BH107" s="34" t="str">
        <v/>
      </c>
      <c r="BI107" s="34" t="str">
        <v/>
      </c>
      <c r="BJ107" s="34" t="str">
        <v/>
      </c>
      <c r="BK107" s="34" t="str">
        <v>BOX</v>
      </c>
      <c r="BL107" s="34">
        <v>1</v>
      </c>
      <c r="BM107" s="34" t="str">
        <v/>
      </c>
      <c r="BN107" s="34" t="str">
        <v/>
      </c>
      <c r="BO107" s="34" t="str">
        <v/>
      </c>
      <c r="BP107" s="34" t="str">
        <v/>
      </c>
      <c r="BQ107" s="34" t="str">
        <v/>
      </c>
      <c r="BR107" s="34" t="str">
        <v/>
      </c>
      <c r="BS107" s="34" t="str">
        <v/>
      </c>
      <c r="BT107" s="34" t="str">
        <v/>
      </c>
      <c r="BU107" s="34">
        <v>0</v>
      </c>
      <c r="BV107" s="34">
        <v>128</v>
      </c>
      <c r="BW107" s="34">
        <v>0</v>
      </c>
      <c r="BX107" s="34">
        <v>0</v>
      </c>
      <c r="BY107" s="34">
        <v>0</v>
      </c>
      <c r="BZ107">
        <v>7</v>
      </c>
      <c r="CA107" t="str">
        <v>вводной узел</v>
      </c>
    </row>
    <row r="108" spans="1:79" x14ac:dyDescent="0.3">
      <c r="A108" s="39" t="str">
        <v>ЩОВ-2</v>
      </c>
      <c r="B108" s="42">
        <v>18</v>
      </c>
      <c r="C108" s="42">
        <v>2</v>
      </c>
      <c r="D108" s="75" t="str">
        <v/>
      </c>
      <c r="E108" s="75" t="str">
        <v>авто</v>
      </c>
      <c r="F108" s="76" t="str">
        <v/>
      </c>
      <c r="G108" s="47" t="str">
        <v>QF1</v>
      </c>
      <c r="H108" s="47" t="str">
        <v>1P С6А</v>
      </c>
      <c r="I108" s="75" t="str">
        <v/>
      </c>
      <c r="J108" s="76" t="str">
        <v/>
      </c>
      <c r="K108" s="76" t="str">
        <v/>
      </c>
      <c r="L108" s="75" t="str">
        <v/>
      </c>
      <c r="M108" s="49" t="str">
        <v/>
      </c>
      <c r="N108" s="76" t="str">
        <v/>
      </c>
      <c r="O108" s="49" t="str">
        <v/>
      </c>
      <c r="P108" s="77" t="str">
        <v>XT1</v>
      </c>
      <c r="Q108" s="53" t="str">
        <v>ВВГнг(А)-LS (3х1,5) L=30-0,79%</v>
      </c>
      <c r="R108" s="54" t="str">
        <v>K.1.001A.1</v>
      </c>
      <c r="S108" s="55" t="str">
        <v>Внутренний блок кондиционирования Технический этаж Пом. №001Т</v>
      </c>
      <c r="T108" s="56">
        <v>0.46100000000000002</v>
      </c>
      <c r="U108" s="56">
        <v>2.5</v>
      </c>
      <c r="V108" s="42" t="str">
        <v>L2</v>
      </c>
      <c r="W108" s="57" t="str">
        <v>ok</v>
      </c>
      <c r="X108" s="58" t="str">
        <v/>
      </c>
      <c r="Y108" s="75" t="str">
        <v/>
      </c>
      <c r="Z108" s="59">
        <v>2.4952356946539136</v>
      </c>
      <c r="AA108" s="61">
        <v>6</v>
      </c>
      <c r="AB108" s="61">
        <v>16</v>
      </c>
      <c r="AC108" s="61" t="str">
        <v/>
      </c>
      <c r="AD108" s="62" t="str">
        <v>QF1 → XT1</v>
      </c>
      <c r="AE108" s="62" t="str">
        <v/>
      </c>
      <c r="AF108" s="34">
        <v>1</v>
      </c>
      <c r="AG108" s="34" t="str">
        <v>QF1</v>
      </c>
      <c r="AH108" s="34" t="str">
        <v/>
      </c>
      <c r="AI108" s="34" t="str">
        <v/>
      </c>
      <c r="AJ108" s="34" t="str">
        <v>QF1</v>
      </c>
      <c r="AK108" s="34">
        <v>1</v>
      </c>
      <c r="AL108" s="34" t="str">
        <v>K</v>
      </c>
      <c r="AM108" s="34">
        <v>0</v>
      </c>
      <c r="AN108" s="34">
        <v>0</v>
      </c>
      <c r="AO108" s="34">
        <v>6</v>
      </c>
      <c r="AP108" s="34">
        <v>16</v>
      </c>
      <c r="AQ108" s="34">
        <v>6</v>
      </c>
      <c r="AR108" s="34">
        <v>1</v>
      </c>
      <c r="AS108" s="34">
        <v>0</v>
      </c>
      <c r="AT108" s="34" t="str">
        <v>1P</v>
      </c>
      <c r="AU108" s="34">
        <v>6</v>
      </c>
      <c r="AV108" s="34" t="str">
        <v/>
      </c>
      <c r="AW108" s="34" t="str">
        <v/>
      </c>
      <c r="AX108" s="34" t="str">
        <v/>
      </c>
      <c r="AY108" s="34">
        <v>1</v>
      </c>
      <c r="AZ108" s="34" t="str">
        <v/>
      </c>
      <c r="BA108" s="34">
        <v>0</v>
      </c>
      <c r="BB108" s="34">
        <v>0</v>
      </c>
      <c r="BD108" s="34">
        <v>1</v>
      </c>
      <c r="BE108" s="34">
        <v>0</v>
      </c>
      <c r="BF108" s="34">
        <v>0</v>
      </c>
      <c r="BG108" s="34" t="str">
        <v/>
      </c>
      <c r="BH108" s="34" t="str">
        <v/>
      </c>
      <c r="BI108" s="34" t="str">
        <v/>
      </c>
      <c r="BJ108" s="34" t="str">
        <v/>
      </c>
      <c r="BK108" s="34" t="str">
        <v>BOX</v>
      </c>
      <c r="BL108" s="34">
        <v>1</v>
      </c>
      <c r="BM108" s="34" t="str">
        <v/>
      </c>
      <c r="BN108" s="34" t="str">
        <v/>
      </c>
      <c r="BO108" s="34" t="str">
        <v/>
      </c>
      <c r="BP108" s="34" t="str">
        <v/>
      </c>
      <c r="BQ108" s="34" t="str">
        <v>3х1,5</v>
      </c>
      <c r="BR108" s="34" t="str">
        <v/>
      </c>
      <c r="BS108" s="34" t="str">
        <v/>
      </c>
      <c r="BT108" s="34" t="str">
        <v/>
      </c>
      <c r="BU108" s="34">
        <v>0</v>
      </c>
      <c r="BV108" s="34">
        <v>129</v>
      </c>
      <c r="BW108" s="34">
        <v>1</v>
      </c>
      <c r="BX108" s="34">
        <v>0</v>
      </c>
      <c r="BY108" s="34">
        <v>0</v>
      </c>
      <c r="BZ108">
        <v>7</v>
      </c>
      <c r="CA108" t="str">
        <v>линии</v>
      </c>
    </row>
    <row r="109" spans="1:79" x14ac:dyDescent="0.3">
      <c r="A109" s="39" t="str">
        <v>ЩОВ-2</v>
      </c>
      <c r="B109" s="42">
        <v>19</v>
      </c>
      <c r="C109" s="42">
        <v>2</v>
      </c>
      <c r="D109" s="75" t="str">
        <v/>
      </c>
      <c r="E109" s="75" t="str">
        <v>авто</v>
      </c>
      <c r="F109" s="76" t="str">
        <v/>
      </c>
      <c r="G109" s="47" t="str">
        <v>QF2</v>
      </c>
      <c r="H109" s="47" t="str">
        <v>1P С6А</v>
      </c>
      <c r="I109" s="75" t="str">
        <v/>
      </c>
      <c r="J109" s="76" t="str">
        <v/>
      </c>
      <c r="K109" s="76" t="str">
        <v/>
      </c>
      <c r="L109" s="75" t="str">
        <v/>
      </c>
      <c r="M109" s="49" t="str">
        <v/>
      </c>
      <c r="N109" s="76" t="str">
        <v/>
      </c>
      <c r="O109" s="49" t="str">
        <v/>
      </c>
      <c r="P109" s="77" t="str">
        <v>XT2</v>
      </c>
      <c r="Q109" s="53" t="str">
        <v>ВВГнг(А)-LS (3х1,5) L=22-0,58%</v>
      </c>
      <c r="R109" s="54" t="str">
        <v>K.1.001A.2</v>
      </c>
      <c r="S109" s="55" t="str">
        <v>Внутренний блок кондиционирования Технический этаж Пом. №001Т</v>
      </c>
      <c r="T109" s="56">
        <v>0.46100000000000002</v>
      </c>
      <c r="U109" s="56">
        <v>2.5</v>
      </c>
      <c r="V109" s="42" t="str">
        <v>L1</v>
      </c>
      <c r="W109" s="57" t="str">
        <v>ok</v>
      </c>
      <c r="X109" s="58" t="str">
        <v/>
      </c>
      <c r="Y109" s="75" t="str">
        <v/>
      </c>
      <c r="Z109" s="59">
        <v>2.4952356946539136</v>
      </c>
      <c r="AA109" s="61">
        <v>6</v>
      </c>
      <c r="AB109" s="61">
        <v>16</v>
      </c>
      <c r="AC109" s="61" t="str">
        <v/>
      </c>
      <c r="AD109" s="62" t="str">
        <v>QF2 → XT2</v>
      </c>
      <c r="AE109" s="62" t="str">
        <v/>
      </c>
      <c r="AF109" s="34">
        <v>2</v>
      </c>
      <c r="AG109" s="34" t="str">
        <v>QF2</v>
      </c>
      <c r="AH109" s="34" t="str">
        <v/>
      </c>
      <c r="AI109" s="34" t="str">
        <v/>
      </c>
      <c r="AJ109" s="34" t="str">
        <v>QF2</v>
      </c>
      <c r="AK109" s="34">
        <v>1</v>
      </c>
      <c r="AL109" s="34" t="str">
        <v>K</v>
      </c>
      <c r="AM109" s="34">
        <v>0</v>
      </c>
      <c r="AN109" s="34">
        <v>0</v>
      </c>
      <c r="AO109" s="34">
        <v>6</v>
      </c>
      <c r="AP109" s="34">
        <v>16</v>
      </c>
      <c r="AQ109" s="34">
        <v>6</v>
      </c>
      <c r="AR109" s="34">
        <v>1</v>
      </c>
      <c r="AS109" s="34">
        <v>0</v>
      </c>
      <c r="AT109" s="34" t="str">
        <v>1P</v>
      </c>
      <c r="AU109" s="34">
        <v>6</v>
      </c>
      <c r="AV109" s="34" t="str">
        <v/>
      </c>
      <c r="AW109" s="34" t="str">
        <v/>
      </c>
      <c r="AX109" s="34" t="str">
        <v/>
      </c>
      <c r="AY109" s="34">
        <v>1</v>
      </c>
      <c r="AZ109" s="34" t="str">
        <v/>
      </c>
      <c r="BA109" s="34">
        <v>0</v>
      </c>
      <c r="BB109" s="34">
        <v>0</v>
      </c>
      <c r="BD109" s="34">
        <v>1</v>
      </c>
      <c r="BE109" s="34">
        <v>0</v>
      </c>
      <c r="BF109" s="34">
        <v>0</v>
      </c>
      <c r="BG109" s="34" t="str">
        <v/>
      </c>
      <c r="BH109" s="34" t="str">
        <v/>
      </c>
      <c r="BI109" s="34" t="str">
        <v/>
      </c>
      <c r="BJ109" s="34" t="str">
        <v/>
      </c>
      <c r="BK109" s="34" t="str">
        <v>BOX</v>
      </c>
      <c r="BL109" s="34">
        <v>1</v>
      </c>
      <c r="BM109" s="34" t="str">
        <v/>
      </c>
      <c r="BN109" s="34" t="str">
        <v/>
      </c>
      <c r="BO109" s="34" t="str">
        <v/>
      </c>
      <c r="BP109" s="34" t="str">
        <v/>
      </c>
      <c r="BQ109" s="34" t="str">
        <v>3х1,5</v>
      </c>
      <c r="BR109" s="34" t="str">
        <v/>
      </c>
      <c r="BS109" s="34" t="str">
        <v/>
      </c>
      <c r="BT109" s="34" t="str">
        <v/>
      </c>
      <c r="BU109" s="34">
        <v>0</v>
      </c>
      <c r="BV109" s="34">
        <v>130</v>
      </c>
      <c r="BW109" s="34">
        <v>1</v>
      </c>
      <c r="BX109" s="34">
        <v>0</v>
      </c>
      <c r="BY109" s="34">
        <v>0</v>
      </c>
      <c r="BZ109">
        <v>7</v>
      </c>
      <c r="CA109" t="str">
        <v>линии</v>
      </c>
    </row>
    <row r="110" spans="1:79" x14ac:dyDescent="0.3">
      <c r="A110" s="39" t="str">
        <v>ЩОВ-2</v>
      </c>
      <c r="B110" s="42">
        <v>20</v>
      </c>
      <c r="C110" s="42">
        <v>2</v>
      </c>
      <c r="D110" s="75" t="str">
        <v/>
      </c>
      <c r="E110" s="75" t="str">
        <v>авто</v>
      </c>
      <c r="F110" s="76" t="str">
        <v/>
      </c>
      <c r="G110" s="47" t="str">
        <v>QF3</v>
      </c>
      <c r="H110" s="47" t="str">
        <v>1P С6А</v>
      </c>
      <c r="I110" s="75" t="str">
        <v/>
      </c>
      <c r="J110" s="76" t="str">
        <v/>
      </c>
      <c r="K110" s="76" t="str">
        <v/>
      </c>
      <c r="L110" s="75" t="str">
        <v/>
      </c>
      <c r="M110" s="49" t="str">
        <v/>
      </c>
      <c r="N110" s="76" t="str">
        <v/>
      </c>
      <c r="O110" s="49" t="str">
        <v/>
      </c>
      <c r="P110" s="77" t="str">
        <v>XT3</v>
      </c>
      <c r="Q110" s="53" t="str">
        <v>ВВГнг(А)-LS (3х1,5) L=26-0,56%</v>
      </c>
      <c r="R110" s="54" t="str">
        <v>K.1.003A</v>
      </c>
      <c r="S110" s="55" t="str">
        <v>Внутренний блок кондиционирования Технический этаж Пом. №002Т</v>
      </c>
      <c r="T110" s="56">
        <v>0.376</v>
      </c>
      <c r="U110" s="56">
        <v>2.0399999999999996</v>
      </c>
      <c r="V110" s="42" t="str">
        <v>L2</v>
      </c>
      <c r="W110" s="57" t="str">
        <v>ok</v>
      </c>
      <c r="X110" s="58" t="str">
        <v/>
      </c>
      <c r="Y110" s="75" t="str">
        <v/>
      </c>
      <c r="Z110" s="59">
        <v>2.0351596988934304</v>
      </c>
      <c r="AA110" s="61">
        <v>6</v>
      </c>
      <c r="AB110" s="61">
        <v>16</v>
      </c>
      <c r="AC110" s="61" t="str">
        <v/>
      </c>
      <c r="AD110" s="62" t="str">
        <v>QF3 → XT3</v>
      </c>
      <c r="AE110" s="62" t="str">
        <v/>
      </c>
      <c r="AF110" s="34">
        <v>3</v>
      </c>
      <c r="AG110" s="34" t="str">
        <v>QF3</v>
      </c>
      <c r="AH110" s="34" t="str">
        <v/>
      </c>
      <c r="AI110" s="34" t="str">
        <v/>
      </c>
      <c r="AJ110" s="34" t="str">
        <v>QF3</v>
      </c>
      <c r="AK110" s="34">
        <v>1</v>
      </c>
      <c r="AL110" s="34" t="str">
        <v>K</v>
      </c>
      <c r="AM110" s="34">
        <v>0</v>
      </c>
      <c r="AN110" s="34">
        <v>0</v>
      </c>
      <c r="AO110" s="34">
        <v>6</v>
      </c>
      <c r="AP110" s="34">
        <v>16</v>
      </c>
      <c r="AQ110" s="34">
        <v>6</v>
      </c>
      <c r="AR110" s="34">
        <v>1</v>
      </c>
      <c r="AS110" s="34">
        <v>0</v>
      </c>
      <c r="AT110" s="34" t="str">
        <v>1P</v>
      </c>
      <c r="AU110" s="34">
        <v>6</v>
      </c>
      <c r="AV110" s="34" t="str">
        <v/>
      </c>
      <c r="AW110" s="34" t="str">
        <v/>
      </c>
      <c r="AX110" s="34" t="str">
        <v/>
      </c>
      <c r="AY110" s="34">
        <v>1</v>
      </c>
      <c r="AZ110" s="34" t="str">
        <v/>
      </c>
      <c r="BA110" s="34">
        <v>0</v>
      </c>
      <c r="BB110" s="34">
        <v>0</v>
      </c>
      <c r="BD110" s="34">
        <v>1</v>
      </c>
      <c r="BE110" s="34">
        <v>0</v>
      </c>
      <c r="BF110" s="34">
        <v>0</v>
      </c>
      <c r="BG110" s="34" t="str">
        <v/>
      </c>
      <c r="BH110" s="34" t="str">
        <v/>
      </c>
      <c r="BI110" s="34" t="str">
        <v/>
      </c>
      <c r="BJ110" s="34" t="str">
        <v/>
      </c>
      <c r="BK110" s="34" t="str">
        <v>BOX</v>
      </c>
      <c r="BL110" s="34">
        <v>1</v>
      </c>
      <c r="BM110" s="34" t="str">
        <v/>
      </c>
      <c r="BN110" s="34" t="str">
        <v/>
      </c>
      <c r="BO110" s="34" t="str">
        <v/>
      </c>
      <c r="BP110" s="34" t="str">
        <v/>
      </c>
      <c r="BQ110" s="34" t="str">
        <v>3х1,5</v>
      </c>
      <c r="BR110" s="34" t="str">
        <v/>
      </c>
      <c r="BS110" s="34" t="str">
        <v/>
      </c>
      <c r="BT110" s="34" t="str">
        <v/>
      </c>
      <c r="BU110" s="34">
        <v>0</v>
      </c>
      <c r="BV110" s="34">
        <v>131</v>
      </c>
      <c r="BW110" s="34">
        <v>1</v>
      </c>
      <c r="BX110" s="34">
        <v>0</v>
      </c>
      <c r="BY110" s="34">
        <v>0</v>
      </c>
      <c r="BZ110">
        <v>7</v>
      </c>
      <c r="CA110" t="str">
        <v>линии</v>
      </c>
    </row>
    <row r="111" spans="1:79" x14ac:dyDescent="0.3">
      <c r="A111" s="39" t="str">
        <v>ЩОВ-2</v>
      </c>
      <c r="B111" s="42">
        <v>21</v>
      </c>
      <c r="C111" s="42">
        <v>2</v>
      </c>
      <c r="D111" s="75" t="str">
        <v/>
      </c>
      <c r="E111" s="75" t="str">
        <v>авто</v>
      </c>
      <c r="F111" s="76" t="str">
        <v/>
      </c>
      <c r="G111" s="47" t="str">
        <v>QF4</v>
      </c>
      <c r="H111" s="47" t="str">
        <v>1P С6А</v>
      </c>
      <c r="I111" s="75" t="str">
        <v/>
      </c>
      <c r="J111" s="76" t="str">
        <v/>
      </c>
      <c r="K111" s="76" t="str">
        <v/>
      </c>
      <c r="L111" s="75" t="str">
        <v/>
      </c>
      <c r="M111" s="49" t="str">
        <v/>
      </c>
      <c r="N111" s="76" t="str">
        <v/>
      </c>
      <c r="O111" s="49" t="str">
        <v/>
      </c>
      <c r="P111" s="77" t="str">
        <v>XT4</v>
      </c>
      <c r="Q111" s="53" t="str">
        <v>ВВГнг(А)-LS (3х1,5) L=26-0,44%</v>
      </c>
      <c r="R111" s="54" t="str">
        <v>K.1.005A</v>
      </c>
      <c r="S111" s="55" t="str">
        <v>Внутренний блок кондиционирования Технический этаж Пом. №001Т</v>
      </c>
      <c r="T111" s="56">
        <v>0.29799999999999999</v>
      </c>
      <c r="U111" s="56">
        <v>1.62</v>
      </c>
      <c r="V111" s="42" t="str">
        <v>L1</v>
      </c>
      <c r="W111" s="57" t="str">
        <v>ok</v>
      </c>
      <c r="X111" s="58" t="str">
        <v/>
      </c>
      <c r="Y111" s="75" t="str">
        <v/>
      </c>
      <c r="Z111" s="59">
        <v>1.6129723145485166</v>
      </c>
      <c r="AA111" s="61">
        <v>6</v>
      </c>
      <c r="AB111" s="61">
        <v>16</v>
      </c>
      <c r="AC111" s="61" t="str">
        <v/>
      </c>
      <c r="AD111" s="62" t="str">
        <v>QF4 → XT4</v>
      </c>
      <c r="AE111" s="62" t="str">
        <v/>
      </c>
      <c r="AF111" s="34">
        <v>4</v>
      </c>
      <c r="AG111" s="34" t="str">
        <v>QF4</v>
      </c>
      <c r="AH111" s="34" t="str">
        <v/>
      </c>
      <c r="AI111" s="34" t="str">
        <v/>
      </c>
      <c r="AJ111" s="34" t="str">
        <v>QF4</v>
      </c>
      <c r="AK111" s="34">
        <v>1</v>
      </c>
      <c r="AL111" s="34" t="str">
        <v>K</v>
      </c>
      <c r="AM111" s="34">
        <v>0</v>
      </c>
      <c r="AN111" s="34">
        <v>0</v>
      </c>
      <c r="AO111" s="34">
        <v>6</v>
      </c>
      <c r="AP111" s="34">
        <v>16</v>
      </c>
      <c r="AQ111" s="34">
        <v>6</v>
      </c>
      <c r="AR111" s="34">
        <v>1</v>
      </c>
      <c r="AS111" s="34">
        <v>0</v>
      </c>
      <c r="AT111" s="34" t="str">
        <v>1P</v>
      </c>
      <c r="AU111" s="34">
        <v>6</v>
      </c>
      <c r="AV111" s="34" t="str">
        <v/>
      </c>
      <c r="AW111" s="34" t="str">
        <v/>
      </c>
      <c r="AX111" s="34" t="str">
        <v/>
      </c>
      <c r="AY111" s="34">
        <v>1</v>
      </c>
      <c r="AZ111" s="34" t="str">
        <v/>
      </c>
      <c r="BA111" s="34">
        <v>0</v>
      </c>
      <c r="BB111" s="34">
        <v>0</v>
      </c>
      <c r="BD111" s="34">
        <v>1</v>
      </c>
      <c r="BE111" s="34">
        <v>0</v>
      </c>
      <c r="BF111" s="34">
        <v>0</v>
      </c>
      <c r="BG111" s="34" t="str">
        <v/>
      </c>
      <c r="BH111" s="34" t="str">
        <v/>
      </c>
      <c r="BI111" s="34" t="str">
        <v/>
      </c>
      <c r="BJ111" s="34" t="str">
        <v/>
      </c>
      <c r="BK111" s="34" t="str">
        <v>BOX</v>
      </c>
      <c r="BL111" s="34">
        <v>1</v>
      </c>
      <c r="BM111" s="34" t="str">
        <v/>
      </c>
      <c r="BN111" s="34" t="str">
        <v/>
      </c>
      <c r="BO111" s="34" t="str">
        <v/>
      </c>
      <c r="BP111" s="34" t="str">
        <v/>
      </c>
      <c r="BQ111" s="34" t="str">
        <v>3х1,5</v>
      </c>
      <c r="BR111" s="34" t="str">
        <v/>
      </c>
      <c r="BS111" s="34" t="str">
        <v/>
      </c>
      <c r="BT111" s="34" t="str">
        <v/>
      </c>
      <c r="BU111" s="34">
        <v>0</v>
      </c>
      <c r="BV111" s="34">
        <v>132</v>
      </c>
      <c r="BW111" s="34">
        <v>1</v>
      </c>
      <c r="BX111" s="34">
        <v>0</v>
      </c>
      <c r="BY111" s="34">
        <v>0</v>
      </c>
      <c r="BZ111">
        <v>7</v>
      </c>
      <c r="CA111" t="str">
        <v>линии</v>
      </c>
    </row>
    <row r="112" spans="1:79" x14ac:dyDescent="0.3">
      <c r="A112" s="39" t="str">
        <v>ЩОВ-2</v>
      </c>
      <c r="B112" s="42">
        <v>24</v>
      </c>
      <c r="C112" s="42">
        <v>2</v>
      </c>
      <c r="D112" s="75" t="str">
        <v/>
      </c>
      <c r="E112" s="75" t="str">
        <v>авто</v>
      </c>
      <c r="F112" s="76" t="str">
        <v/>
      </c>
      <c r="G112" s="47" t="str">
        <v>QF5</v>
      </c>
      <c r="H112" s="47" t="str">
        <v>1P С6А</v>
      </c>
      <c r="I112" s="75" t="str">
        <v/>
      </c>
      <c r="J112" s="76" t="str">
        <v/>
      </c>
      <c r="K112" s="76" t="str">
        <v/>
      </c>
      <c r="L112" s="75" t="str">
        <v/>
      </c>
      <c r="M112" s="49" t="str">
        <v/>
      </c>
      <c r="N112" s="76" t="str">
        <v/>
      </c>
      <c r="O112" s="49" t="str">
        <v/>
      </c>
      <c r="P112" s="77" t="str">
        <v/>
      </c>
      <c r="Q112" s="53" t="str">
        <v>ВВГнг(А)-LS (3х1,5) L=34-0,2%</v>
      </c>
      <c r="R112" s="54" t="str">
        <v>K.2.004A</v>
      </c>
      <c r="S112" s="55" t="str">
        <v>Внутренний блок кондиционирования Технический этаж Пом. №002Т</v>
      </c>
      <c r="T112" s="56">
        <v>0.104</v>
      </c>
      <c r="U112" s="56">
        <v>0.57000000000000006</v>
      </c>
      <c r="V112" s="42" t="str">
        <v>L2</v>
      </c>
      <c r="W112" s="57" t="str">
        <v>ok</v>
      </c>
      <c r="X112" s="58" t="str">
        <v/>
      </c>
      <c r="Y112" s="75" t="str">
        <v/>
      </c>
      <c r="Z112" s="59">
        <v>0.56291651245988494</v>
      </c>
      <c r="AA112" s="61">
        <v>6</v>
      </c>
      <c r="AB112" s="61">
        <v>16</v>
      </c>
      <c r="AC112" s="61" t="str">
        <v/>
      </c>
      <c r="AD112" s="62" t="str">
        <v>QF5</v>
      </c>
      <c r="AE112" s="62" t="str">
        <v/>
      </c>
      <c r="AF112" s="34">
        <v>5</v>
      </c>
      <c r="AG112" s="34" t="str">
        <v>QF5</v>
      </c>
      <c r="AH112" s="34" t="str">
        <v/>
      </c>
      <c r="AI112" s="34" t="str">
        <v/>
      </c>
      <c r="AJ112" s="34" t="str">
        <v>QF5</v>
      </c>
      <c r="AK112" s="34">
        <v>1</v>
      </c>
      <c r="AL112" s="34" t="str">
        <v>K</v>
      </c>
      <c r="AM112" s="34">
        <v>0</v>
      </c>
      <c r="AN112" s="34">
        <v>0</v>
      </c>
      <c r="AO112" s="34">
        <v>6</v>
      </c>
      <c r="AP112" s="34">
        <v>16</v>
      </c>
      <c r="AQ112" s="34">
        <v>6</v>
      </c>
      <c r="AR112" s="34">
        <v>1</v>
      </c>
      <c r="AS112" s="34">
        <v>0</v>
      </c>
      <c r="AT112" s="34" t="str">
        <v>1P</v>
      </c>
      <c r="AU112" s="34">
        <v>6</v>
      </c>
      <c r="AV112" s="34" t="str">
        <v/>
      </c>
      <c r="AW112" s="34" t="str">
        <v/>
      </c>
      <c r="AX112" s="34" t="str">
        <v/>
      </c>
      <c r="AY112" s="34">
        <v>1</v>
      </c>
      <c r="AZ112" s="34" t="str">
        <v/>
      </c>
      <c r="BA112" s="34">
        <v>0</v>
      </c>
      <c r="BB112" s="34">
        <v>0</v>
      </c>
      <c r="BD112" s="34">
        <v>1</v>
      </c>
      <c r="BE112" s="34">
        <v>0</v>
      </c>
      <c r="BF112" s="34">
        <v>0</v>
      </c>
      <c r="BG112" s="34" t="str">
        <v/>
      </c>
      <c r="BH112" s="34" t="str">
        <v/>
      </c>
      <c r="BI112" s="34" t="str">
        <v/>
      </c>
      <c r="BJ112" s="34" t="str">
        <v/>
      </c>
      <c r="BK112" s="34" t="str">
        <v>BOX</v>
      </c>
      <c r="BL112" s="34">
        <v>1</v>
      </c>
      <c r="BM112" s="34" t="str">
        <v/>
      </c>
      <c r="BN112" s="34" t="str">
        <v/>
      </c>
      <c r="BO112" s="34" t="str">
        <v/>
      </c>
      <c r="BP112" s="34" t="str">
        <v/>
      </c>
      <c r="BQ112" s="34" t="str">
        <v>3х1,5</v>
      </c>
      <c r="BR112" s="34" t="str">
        <v/>
      </c>
      <c r="BS112" s="34" t="str">
        <v/>
      </c>
      <c r="BT112" s="34" t="str">
        <v/>
      </c>
      <c r="BU112" s="34">
        <v>0</v>
      </c>
      <c r="BV112" s="34">
        <v>133</v>
      </c>
      <c r="BW112" s="34">
        <v>1</v>
      </c>
      <c r="BX112" s="34">
        <v>0</v>
      </c>
      <c r="BY112" s="34">
        <v>0</v>
      </c>
      <c r="BZ112">
        <v>7</v>
      </c>
      <c r="CA112" t="str">
        <v>линии</v>
      </c>
    </row>
    <row r="113" spans="1:79" x14ac:dyDescent="0.3">
      <c r="A113" s="39" t="str">
        <v>ЩОВ-2</v>
      </c>
      <c r="B113" s="42">
        <v>25</v>
      </c>
      <c r="C113" s="42">
        <v>2</v>
      </c>
      <c r="D113" s="75" t="str">
        <v/>
      </c>
      <c r="E113" s="75" t="str">
        <v>авто</v>
      </c>
      <c r="F113" s="76" t="str">
        <v/>
      </c>
      <c r="G113" s="47" t="str">
        <v>QF6</v>
      </c>
      <c r="H113" s="47" t="str">
        <v>1P С6А</v>
      </c>
      <c r="I113" s="75" t="str">
        <v/>
      </c>
      <c r="J113" s="76" t="str">
        <v/>
      </c>
      <c r="K113" s="76" t="str">
        <v/>
      </c>
      <c r="L113" s="75" t="str">
        <v/>
      </c>
      <c r="M113" s="49" t="str">
        <v/>
      </c>
      <c r="N113" s="76" t="str">
        <v/>
      </c>
      <c r="O113" s="49" t="str">
        <v/>
      </c>
      <c r="P113" s="77" t="str">
        <v>XT6</v>
      </c>
      <c r="Q113" s="53" t="str">
        <v>ВВГнг(А)-LS (3х1,5) L=34-0,32%</v>
      </c>
      <c r="R113" s="54" t="str">
        <v>K.2.005A</v>
      </c>
      <c r="S113" s="55" t="str">
        <v>Внутренний блок кондиционирования Технический этаж Пом. №002Т</v>
      </c>
      <c r="T113" s="56">
        <v>0.16200000000000001</v>
      </c>
      <c r="U113" s="56">
        <v>0.88</v>
      </c>
      <c r="V113" s="42" t="str">
        <v>L2</v>
      </c>
      <c r="W113" s="57" t="str">
        <v>ok</v>
      </c>
      <c r="X113" s="58" t="str">
        <v/>
      </c>
      <c r="Y113" s="75" t="str">
        <v/>
      </c>
      <c r="Z113" s="59">
        <v>0.87685072133174402</v>
      </c>
      <c r="AA113" s="61">
        <v>6</v>
      </c>
      <c r="AB113" s="61">
        <v>16</v>
      </c>
      <c r="AC113" s="61" t="str">
        <v/>
      </c>
      <c r="AD113" s="62" t="str">
        <v>QF6 → XT6</v>
      </c>
      <c r="AE113" s="62" t="str">
        <v/>
      </c>
      <c r="AF113" s="34">
        <v>6</v>
      </c>
      <c r="AG113" s="34" t="str">
        <v>QF6</v>
      </c>
      <c r="AH113" s="34" t="str">
        <v/>
      </c>
      <c r="AI113" s="34" t="str">
        <v/>
      </c>
      <c r="AJ113" s="34" t="str">
        <v>QF6</v>
      </c>
      <c r="AK113" s="34">
        <v>1</v>
      </c>
      <c r="AL113" s="34" t="str">
        <v>K</v>
      </c>
      <c r="AM113" s="34">
        <v>0</v>
      </c>
      <c r="AN113" s="34">
        <v>0</v>
      </c>
      <c r="AO113" s="34">
        <v>6</v>
      </c>
      <c r="AP113" s="34">
        <v>16</v>
      </c>
      <c r="AQ113" s="34">
        <v>6</v>
      </c>
      <c r="AR113" s="34">
        <v>1</v>
      </c>
      <c r="AS113" s="34">
        <v>0</v>
      </c>
      <c r="AT113" s="34" t="str">
        <v>1P</v>
      </c>
      <c r="AU113" s="34">
        <v>6</v>
      </c>
      <c r="AV113" s="34" t="str">
        <v/>
      </c>
      <c r="AW113" s="34" t="str">
        <v/>
      </c>
      <c r="AX113" s="34" t="str">
        <v/>
      </c>
      <c r="AY113" s="34">
        <v>1</v>
      </c>
      <c r="AZ113" s="34" t="str">
        <v/>
      </c>
      <c r="BA113" s="34">
        <v>0</v>
      </c>
      <c r="BB113" s="34">
        <v>0</v>
      </c>
      <c r="BD113" s="34">
        <v>1</v>
      </c>
      <c r="BE113" s="34">
        <v>0</v>
      </c>
      <c r="BF113" s="34">
        <v>0</v>
      </c>
      <c r="BG113" s="34" t="str">
        <v/>
      </c>
      <c r="BH113" s="34" t="str">
        <v/>
      </c>
      <c r="BI113" s="34" t="str">
        <v/>
      </c>
      <c r="BJ113" s="34" t="str">
        <v/>
      </c>
      <c r="BK113" s="34" t="str">
        <v>BOX</v>
      </c>
      <c r="BL113" s="34">
        <v>1</v>
      </c>
      <c r="BM113" s="34" t="str">
        <v/>
      </c>
      <c r="BN113" s="34" t="str">
        <v/>
      </c>
      <c r="BO113" s="34" t="str">
        <v/>
      </c>
      <c r="BP113" s="34" t="str">
        <v/>
      </c>
      <c r="BQ113" s="34" t="str">
        <v>3х1,5</v>
      </c>
      <c r="BR113" s="34" t="str">
        <v/>
      </c>
      <c r="BS113" s="34" t="str">
        <v/>
      </c>
      <c r="BT113" s="34" t="str">
        <v/>
      </c>
      <c r="BU113" s="34">
        <v>0</v>
      </c>
      <c r="BV113" s="34">
        <v>134</v>
      </c>
      <c r="BW113" s="34">
        <v>1</v>
      </c>
      <c r="BX113" s="34">
        <v>0</v>
      </c>
      <c r="BY113" s="34">
        <v>0</v>
      </c>
      <c r="BZ113">
        <v>7</v>
      </c>
      <c r="CA113" t="str">
        <v>линии</v>
      </c>
    </row>
    <row r="114" spans="1:79" x14ac:dyDescent="0.3">
      <c r="A114" s="39" t="str">
        <v>ЩОВ-2</v>
      </c>
      <c r="B114" s="42">
        <v>26</v>
      </c>
      <c r="C114" s="42">
        <v>2</v>
      </c>
      <c r="D114" s="75" t="str">
        <v/>
      </c>
      <c r="E114" s="75" t="str">
        <v>авто</v>
      </c>
      <c r="F114" s="76" t="str">
        <v/>
      </c>
      <c r="G114" s="47" t="str">
        <v>QF7</v>
      </c>
      <c r="H114" s="47" t="str">
        <v>1P С6А</v>
      </c>
      <c r="I114" s="75" t="str">
        <v/>
      </c>
      <c r="J114" s="76" t="str">
        <v/>
      </c>
      <c r="K114" s="76" t="str">
        <v/>
      </c>
      <c r="L114" s="75" t="str">
        <v/>
      </c>
      <c r="M114" s="49" t="str">
        <v/>
      </c>
      <c r="N114" s="76" t="str">
        <v/>
      </c>
      <c r="O114" s="49" t="str">
        <v/>
      </c>
      <c r="P114" s="77" t="str">
        <v/>
      </c>
      <c r="Q114" s="53" t="str">
        <v>ВВГнг(А)-LS (3х1,5) L=23-0,14%</v>
      </c>
      <c r="R114" s="54" t="str">
        <v>K.2.008A</v>
      </c>
      <c r="S114" s="55" t="str">
        <v>Внутренний блок кондиционирования Технический этаж Пом. №002Т</v>
      </c>
      <c r="T114" s="56">
        <v>0.104</v>
      </c>
      <c r="U114" s="56">
        <v>0.57000000000000006</v>
      </c>
      <c r="V114" s="42" t="str">
        <v>L1</v>
      </c>
      <c r="W114" s="57" t="str">
        <v>ok</v>
      </c>
      <c r="X114" s="58" t="str">
        <v/>
      </c>
      <c r="Y114" s="75" t="str">
        <v/>
      </c>
      <c r="Z114" s="59">
        <v>0.56291651245988494</v>
      </c>
      <c r="AA114" s="61">
        <v>6</v>
      </c>
      <c r="AB114" s="61">
        <v>16</v>
      </c>
      <c r="AC114" s="61" t="str">
        <v/>
      </c>
      <c r="AD114" s="62" t="str">
        <v>QF7</v>
      </c>
      <c r="AE114" s="62" t="str">
        <v/>
      </c>
      <c r="AF114" s="34">
        <v>7</v>
      </c>
      <c r="AG114" s="34" t="str">
        <v>QF7</v>
      </c>
      <c r="AH114" s="34" t="str">
        <v/>
      </c>
      <c r="AI114" s="34" t="str">
        <v/>
      </c>
      <c r="AJ114" s="34" t="str">
        <v>QF7</v>
      </c>
      <c r="AK114" s="34">
        <v>1</v>
      </c>
      <c r="AL114" s="34" t="str">
        <v>K</v>
      </c>
      <c r="AM114" s="34">
        <v>0</v>
      </c>
      <c r="AN114" s="34">
        <v>0</v>
      </c>
      <c r="AO114" s="34">
        <v>6</v>
      </c>
      <c r="AP114" s="34">
        <v>16</v>
      </c>
      <c r="AQ114" s="34">
        <v>6</v>
      </c>
      <c r="AR114" s="34">
        <v>1</v>
      </c>
      <c r="AS114" s="34">
        <v>0</v>
      </c>
      <c r="AT114" s="34" t="str">
        <v>1P</v>
      </c>
      <c r="AU114" s="34">
        <v>6</v>
      </c>
      <c r="AV114" s="34" t="str">
        <v/>
      </c>
      <c r="AW114" s="34" t="str">
        <v/>
      </c>
      <c r="AX114" s="34" t="str">
        <v/>
      </c>
      <c r="AY114" s="34">
        <v>1</v>
      </c>
      <c r="AZ114" s="34" t="str">
        <v/>
      </c>
      <c r="BA114" s="34">
        <v>0</v>
      </c>
      <c r="BB114" s="34">
        <v>0</v>
      </c>
      <c r="BD114" s="34">
        <v>1</v>
      </c>
      <c r="BE114" s="34">
        <v>0</v>
      </c>
      <c r="BF114" s="34">
        <v>0</v>
      </c>
      <c r="BG114" s="34" t="str">
        <v/>
      </c>
      <c r="BH114" s="34" t="str">
        <v/>
      </c>
      <c r="BI114" s="34" t="str">
        <v/>
      </c>
      <c r="BJ114" s="34" t="str">
        <v/>
      </c>
      <c r="BK114" s="34" t="str">
        <v>BOX</v>
      </c>
      <c r="BL114" s="34">
        <v>1</v>
      </c>
      <c r="BM114" s="34" t="str">
        <v/>
      </c>
      <c r="BN114" s="34" t="str">
        <v/>
      </c>
      <c r="BO114" s="34" t="str">
        <v/>
      </c>
      <c r="BP114" s="34" t="str">
        <v/>
      </c>
      <c r="BQ114" s="34" t="str">
        <v>3х1,5</v>
      </c>
      <c r="BR114" s="34" t="str">
        <v/>
      </c>
      <c r="BS114" s="34" t="str">
        <v/>
      </c>
      <c r="BT114" s="34" t="str">
        <v/>
      </c>
      <c r="BU114" s="34">
        <v>0</v>
      </c>
      <c r="BV114" s="34">
        <v>135</v>
      </c>
      <c r="BW114" s="34">
        <v>1</v>
      </c>
      <c r="BX114" s="34">
        <v>0</v>
      </c>
      <c r="BY114" s="34">
        <v>0</v>
      </c>
      <c r="BZ114">
        <v>7</v>
      </c>
      <c r="CA114" t="str">
        <v>линии</v>
      </c>
    </row>
    <row r="115" spans="1:79" x14ac:dyDescent="0.3">
      <c r="A115" s="39" t="str">
        <v>ЩОВ-2</v>
      </c>
      <c r="B115" s="42">
        <v>27</v>
      </c>
      <c r="C115" s="42">
        <v>2</v>
      </c>
      <c r="D115" s="75" t="str">
        <v/>
      </c>
      <c r="E115" s="75" t="str">
        <v>авто</v>
      </c>
      <c r="F115" s="76" t="str">
        <v/>
      </c>
      <c r="G115" s="47" t="str">
        <v>QF8</v>
      </c>
      <c r="H115" s="47" t="str">
        <v>1P С6А</v>
      </c>
      <c r="I115" s="75" t="str">
        <v/>
      </c>
      <c r="J115" s="76" t="str">
        <v/>
      </c>
      <c r="K115" s="76" t="str">
        <v/>
      </c>
      <c r="L115" s="75" t="str">
        <v/>
      </c>
      <c r="M115" s="49" t="str">
        <v/>
      </c>
      <c r="N115" s="76" t="str">
        <v/>
      </c>
      <c r="O115" s="49" t="str">
        <v/>
      </c>
      <c r="P115" s="77" t="str">
        <v/>
      </c>
      <c r="Q115" s="53" t="str">
        <v>ВВГнг(А)-LS (3х1,5) L=22-0,21%</v>
      </c>
      <c r="R115" s="54" t="str">
        <v>K.2.009A</v>
      </c>
      <c r="S115" s="55" t="str">
        <v>Внутренний блок кондиционирования Технический этаж Пом. №002Т</v>
      </c>
      <c r="T115" s="56">
        <v>0.16200000000000001</v>
      </c>
      <c r="U115" s="56">
        <v>0.88</v>
      </c>
      <c r="V115" s="42" t="str">
        <v>L1</v>
      </c>
      <c r="W115" s="57" t="str">
        <v>ok</v>
      </c>
      <c r="X115" s="58" t="str">
        <v/>
      </c>
      <c r="Y115" s="75" t="str">
        <v/>
      </c>
      <c r="Z115" s="59">
        <v>0.87685072133174402</v>
      </c>
      <c r="AA115" s="61">
        <v>6</v>
      </c>
      <c r="AB115" s="61">
        <v>16</v>
      </c>
      <c r="AC115" s="61" t="str">
        <v/>
      </c>
      <c r="AD115" s="62" t="str">
        <v>QF8</v>
      </c>
      <c r="AE115" s="62" t="str">
        <v/>
      </c>
      <c r="AF115" s="34">
        <v>8</v>
      </c>
      <c r="AG115" s="34" t="str">
        <v>QF8</v>
      </c>
      <c r="AH115" s="34" t="str">
        <v/>
      </c>
      <c r="AI115" s="34" t="str">
        <v/>
      </c>
      <c r="AJ115" s="34" t="str">
        <v>QF8</v>
      </c>
      <c r="AK115" s="34">
        <v>1</v>
      </c>
      <c r="AL115" s="34" t="str">
        <v>K</v>
      </c>
      <c r="AM115" s="34">
        <v>0</v>
      </c>
      <c r="AN115" s="34">
        <v>0</v>
      </c>
      <c r="AO115" s="34">
        <v>6</v>
      </c>
      <c r="AP115" s="34">
        <v>16</v>
      </c>
      <c r="AQ115" s="34">
        <v>6</v>
      </c>
      <c r="AR115" s="34">
        <v>1</v>
      </c>
      <c r="AS115" s="34">
        <v>0</v>
      </c>
      <c r="AT115" s="34" t="str">
        <v>1P</v>
      </c>
      <c r="AU115" s="34">
        <v>6</v>
      </c>
      <c r="AV115" s="34" t="str">
        <v/>
      </c>
      <c r="AW115" s="34" t="str">
        <v/>
      </c>
      <c r="AX115" s="34" t="str">
        <v/>
      </c>
      <c r="AY115" s="34">
        <v>1</v>
      </c>
      <c r="AZ115" s="34" t="str">
        <v/>
      </c>
      <c r="BA115" s="34">
        <v>0</v>
      </c>
      <c r="BB115" s="34">
        <v>0</v>
      </c>
      <c r="BD115" s="34">
        <v>1</v>
      </c>
      <c r="BE115" s="34">
        <v>0</v>
      </c>
      <c r="BF115" s="34">
        <v>0</v>
      </c>
      <c r="BG115" s="34" t="str">
        <v/>
      </c>
      <c r="BH115" s="34" t="str">
        <v/>
      </c>
      <c r="BI115" s="34" t="str">
        <v/>
      </c>
      <c r="BJ115" s="34" t="str">
        <v/>
      </c>
      <c r="BK115" s="34" t="str">
        <v>BOX</v>
      </c>
      <c r="BL115" s="34">
        <v>1</v>
      </c>
      <c r="BM115" s="34" t="str">
        <v/>
      </c>
      <c r="BN115" s="34" t="str">
        <v/>
      </c>
      <c r="BO115" s="34" t="str">
        <v/>
      </c>
      <c r="BP115" s="34" t="str">
        <v/>
      </c>
      <c r="BQ115" s="34" t="str">
        <v>3х1,5</v>
      </c>
      <c r="BR115" s="34" t="str">
        <v/>
      </c>
      <c r="BS115" s="34" t="str">
        <v/>
      </c>
      <c r="BT115" s="34" t="str">
        <v/>
      </c>
      <c r="BU115" s="34">
        <v>0</v>
      </c>
      <c r="BV115" s="34">
        <v>136</v>
      </c>
      <c r="BW115" s="34">
        <v>1</v>
      </c>
      <c r="BX115" s="34">
        <v>0</v>
      </c>
      <c r="BY115" s="34">
        <v>0</v>
      </c>
      <c r="BZ115">
        <v>7</v>
      </c>
      <c r="CA115" t="str">
        <v>линии</v>
      </c>
    </row>
    <row r="116" spans="1:79" x14ac:dyDescent="0.3">
      <c r="A116" s="39" t="str">
        <v>ЩОВ-2</v>
      </c>
      <c r="B116" s="42">
        <v>28</v>
      </c>
      <c r="C116" s="42">
        <v>2</v>
      </c>
      <c r="D116" s="75" t="str">
        <v/>
      </c>
      <c r="E116" s="75" t="str">
        <v>авто</v>
      </c>
      <c r="F116" s="76" t="str">
        <v/>
      </c>
      <c r="G116" s="47" t="str">
        <v>QF9</v>
      </c>
      <c r="H116" s="47" t="str">
        <v>1P С6А</v>
      </c>
      <c r="I116" s="75" t="str">
        <v/>
      </c>
      <c r="J116" s="76" t="str">
        <v/>
      </c>
      <c r="K116" s="76" t="str">
        <v/>
      </c>
      <c r="L116" s="75" t="str">
        <v/>
      </c>
      <c r="M116" s="49" t="str">
        <v/>
      </c>
      <c r="N116" s="76" t="str">
        <v/>
      </c>
      <c r="O116" s="49" t="str">
        <v/>
      </c>
      <c r="P116" s="77" t="str">
        <v/>
      </c>
      <c r="Q116" s="53" t="str">
        <v>ВВГнг(А)-LS (3х1,5) L=19-0,24%</v>
      </c>
      <c r="R116" s="54" t="str">
        <v>K.2.014A</v>
      </c>
      <c r="S116" s="55" t="str">
        <v>Внутренний блок кондиционирования Технический этаж Пом. №002Т</v>
      </c>
      <c r="T116" s="56">
        <v>0.222</v>
      </c>
      <c r="U116" s="56">
        <v>1.21</v>
      </c>
      <c r="V116" s="42" t="str">
        <v>L1</v>
      </c>
      <c r="W116" s="57" t="str">
        <v>ok</v>
      </c>
      <c r="X116" s="58" t="str">
        <v/>
      </c>
      <c r="Y116" s="75" t="str">
        <v/>
      </c>
      <c r="Z116" s="59">
        <v>1.2016102477509083</v>
      </c>
      <c r="AA116" s="61">
        <v>6</v>
      </c>
      <c r="AB116" s="61">
        <v>16</v>
      </c>
      <c r="AC116" s="61" t="str">
        <v/>
      </c>
      <c r="AD116" s="62" t="str">
        <v>QF9</v>
      </c>
      <c r="AE116" s="62" t="str">
        <v/>
      </c>
      <c r="AF116" s="34">
        <v>9</v>
      </c>
      <c r="AG116" s="34" t="str">
        <v>QF9</v>
      </c>
      <c r="AH116" s="34" t="str">
        <v/>
      </c>
      <c r="AI116" s="34" t="str">
        <v/>
      </c>
      <c r="AJ116" s="34" t="str">
        <v>QF9</v>
      </c>
      <c r="AK116" s="34">
        <v>1</v>
      </c>
      <c r="AL116" s="34" t="str">
        <v>K</v>
      </c>
      <c r="AM116" s="34">
        <v>0</v>
      </c>
      <c r="AN116" s="34">
        <v>0</v>
      </c>
      <c r="AO116" s="34">
        <v>6</v>
      </c>
      <c r="AP116" s="34">
        <v>16</v>
      </c>
      <c r="AQ116" s="34">
        <v>6</v>
      </c>
      <c r="AR116" s="34">
        <v>1</v>
      </c>
      <c r="AS116" s="34">
        <v>0</v>
      </c>
      <c r="AT116" s="34" t="str">
        <v>1P</v>
      </c>
      <c r="AU116" s="34">
        <v>6</v>
      </c>
      <c r="AV116" s="34" t="str">
        <v/>
      </c>
      <c r="AW116" s="34" t="str">
        <v/>
      </c>
      <c r="AX116" s="34" t="str">
        <v/>
      </c>
      <c r="AY116" s="34">
        <v>1</v>
      </c>
      <c r="AZ116" s="34" t="str">
        <v/>
      </c>
      <c r="BA116" s="34">
        <v>0</v>
      </c>
      <c r="BB116" s="34">
        <v>0</v>
      </c>
      <c r="BD116" s="34">
        <v>1</v>
      </c>
      <c r="BE116" s="34">
        <v>0</v>
      </c>
      <c r="BF116" s="34">
        <v>0</v>
      </c>
      <c r="BG116" s="34" t="str">
        <v/>
      </c>
      <c r="BH116" s="34" t="str">
        <v/>
      </c>
      <c r="BI116" s="34" t="str">
        <v/>
      </c>
      <c r="BJ116" s="34" t="str">
        <v/>
      </c>
      <c r="BK116" s="34" t="str">
        <v>BOX</v>
      </c>
      <c r="BL116" s="34">
        <v>1</v>
      </c>
      <c r="BM116" s="34" t="str">
        <v/>
      </c>
      <c r="BN116" s="34" t="str">
        <v/>
      </c>
      <c r="BO116" s="34" t="str">
        <v/>
      </c>
      <c r="BP116" s="34" t="str">
        <v/>
      </c>
      <c r="BQ116" s="34" t="str">
        <v>3х1,5</v>
      </c>
      <c r="BR116" s="34" t="str">
        <v/>
      </c>
      <c r="BS116" s="34" t="str">
        <v/>
      </c>
      <c r="BT116" s="34" t="str">
        <v/>
      </c>
      <c r="BU116" s="34">
        <v>0</v>
      </c>
      <c r="BV116" s="34">
        <v>137</v>
      </c>
      <c r="BW116" s="34">
        <v>1</v>
      </c>
      <c r="BX116" s="34">
        <v>0</v>
      </c>
      <c r="BY116" s="34">
        <v>0</v>
      </c>
      <c r="BZ116">
        <v>7</v>
      </c>
      <c r="CA116" t="str">
        <v>линии</v>
      </c>
    </row>
    <row r="117" spans="1:79" x14ac:dyDescent="0.3">
      <c r="A117" s="39" t="str">
        <v>ЩОВ-2</v>
      </c>
      <c r="B117" s="42">
        <v>29</v>
      </c>
      <c r="C117" s="42">
        <v>2</v>
      </c>
      <c r="D117" s="75" t="str">
        <v/>
      </c>
      <c r="E117" s="75" t="str">
        <v>авто</v>
      </c>
      <c r="F117" s="76" t="str">
        <v/>
      </c>
      <c r="G117" s="47" t="str">
        <v>QF10</v>
      </c>
      <c r="H117" s="47" t="str">
        <v>1P С6А</v>
      </c>
      <c r="I117" s="75" t="str">
        <v/>
      </c>
      <c r="J117" s="76" t="str">
        <v/>
      </c>
      <c r="K117" s="76" t="str">
        <v/>
      </c>
      <c r="L117" s="75" t="str">
        <v/>
      </c>
      <c r="M117" s="49" t="str">
        <v/>
      </c>
      <c r="N117" s="76" t="str">
        <v/>
      </c>
      <c r="O117" s="49" t="str">
        <v/>
      </c>
      <c r="P117" s="77" t="str">
        <v/>
      </c>
      <c r="Q117" s="53" t="str">
        <v>ВВГнг(А)-LS (3х1,5) L=35-0,21%</v>
      </c>
      <c r="R117" s="54" t="str">
        <v>K.2.016A</v>
      </c>
      <c r="S117" s="55" t="str">
        <v>Внутренний блок кондиционирования Технический этаж Пом. №001Б</v>
      </c>
      <c r="T117" s="56">
        <v>0.104</v>
      </c>
      <c r="U117" s="56">
        <v>0.57000000000000006</v>
      </c>
      <c r="V117" s="42" t="str">
        <v>L1</v>
      </c>
      <c r="W117" s="57" t="str">
        <v>ok</v>
      </c>
      <c r="X117" s="58" t="str">
        <v/>
      </c>
      <c r="Y117" s="75" t="str">
        <v/>
      </c>
      <c r="Z117" s="59">
        <v>0.56291651245988494</v>
      </c>
      <c r="AA117" s="61">
        <v>6</v>
      </c>
      <c r="AB117" s="61">
        <v>16</v>
      </c>
      <c r="AC117" s="61" t="str">
        <v/>
      </c>
      <c r="AD117" s="62" t="str">
        <v>QF10</v>
      </c>
      <c r="AE117" s="62" t="str">
        <v/>
      </c>
      <c r="AF117" s="34">
        <v>10</v>
      </c>
      <c r="AG117" s="34" t="str">
        <v>QF10</v>
      </c>
      <c r="AH117" s="34" t="str">
        <v/>
      </c>
      <c r="AI117" s="34" t="str">
        <v/>
      </c>
      <c r="AJ117" s="34" t="str">
        <v>QF10</v>
      </c>
      <c r="AK117" s="34">
        <v>1</v>
      </c>
      <c r="AL117" s="34" t="str">
        <v>K</v>
      </c>
      <c r="AM117" s="34">
        <v>0</v>
      </c>
      <c r="AN117" s="34">
        <v>0</v>
      </c>
      <c r="AO117" s="34">
        <v>6</v>
      </c>
      <c r="AP117" s="34">
        <v>16</v>
      </c>
      <c r="AQ117" s="34">
        <v>6</v>
      </c>
      <c r="AR117" s="34">
        <v>1</v>
      </c>
      <c r="AS117" s="34">
        <v>0</v>
      </c>
      <c r="AT117" s="34" t="str">
        <v>1P</v>
      </c>
      <c r="AU117" s="34">
        <v>6</v>
      </c>
      <c r="AV117" s="34" t="str">
        <v/>
      </c>
      <c r="AW117" s="34" t="str">
        <v/>
      </c>
      <c r="AX117" s="34" t="str">
        <v/>
      </c>
      <c r="AY117" s="34">
        <v>1</v>
      </c>
      <c r="AZ117" s="34" t="str">
        <v/>
      </c>
      <c r="BA117" s="34">
        <v>0</v>
      </c>
      <c r="BB117" s="34">
        <v>0</v>
      </c>
      <c r="BD117" s="34">
        <v>1</v>
      </c>
      <c r="BE117" s="34">
        <v>0</v>
      </c>
      <c r="BF117" s="34">
        <v>0</v>
      </c>
      <c r="BG117" s="34" t="str">
        <v/>
      </c>
      <c r="BH117" s="34" t="str">
        <v/>
      </c>
      <c r="BI117" s="34" t="str">
        <v/>
      </c>
      <c r="BJ117" s="34" t="str">
        <v/>
      </c>
      <c r="BK117" s="34" t="str">
        <v>BOX</v>
      </c>
      <c r="BL117" s="34">
        <v>1</v>
      </c>
      <c r="BM117" s="34" t="str">
        <v/>
      </c>
      <c r="BN117" s="34" t="str">
        <v/>
      </c>
      <c r="BO117" s="34" t="str">
        <v/>
      </c>
      <c r="BP117" s="34" t="str">
        <v/>
      </c>
      <c r="BQ117" s="34" t="str">
        <v>3х1,5</v>
      </c>
      <c r="BR117" s="34" t="str">
        <v/>
      </c>
      <c r="BS117" s="34" t="str">
        <v/>
      </c>
      <c r="BT117" s="34" t="str">
        <v/>
      </c>
      <c r="BU117" s="34">
        <v>0</v>
      </c>
      <c r="BV117" s="34">
        <v>138</v>
      </c>
      <c r="BW117" s="34">
        <v>1</v>
      </c>
      <c r="BX117" s="34">
        <v>0</v>
      </c>
      <c r="BY117" s="34">
        <v>0</v>
      </c>
      <c r="BZ117">
        <v>7</v>
      </c>
      <c r="CA117" t="str">
        <v>линии</v>
      </c>
    </row>
    <row r="118" spans="1:79" x14ac:dyDescent="0.3">
      <c r="A118" s="39" t="str">
        <v>ЩОВ-2</v>
      </c>
      <c r="B118" s="42">
        <v>30</v>
      </c>
      <c r="C118" s="42">
        <v>2</v>
      </c>
      <c r="D118" s="75" t="str">
        <v/>
      </c>
      <c r="E118" s="75" t="str">
        <v>авто</v>
      </c>
      <c r="F118" s="76" t="str">
        <v/>
      </c>
      <c r="G118" s="47" t="str">
        <v>QF11</v>
      </c>
      <c r="H118" s="47" t="str">
        <v>1P С6А</v>
      </c>
      <c r="I118" s="75" t="str">
        <v/>
      </c>
      <c r="J118" s="76" t="str">
        <v/>
      </c>
      <c r="K118" s="76" t="str">
        <v/>
      </c>
      <c r="L118" s="75" t="str">
        <v/>
      </c>
      <c r="M118" s="49" t="str">
        <v/>
      </c>
      <c r="N118" s="76" t="str">
        <v/>
      </c>
      <c r="O118" s="49" t="str">
        <v/>
      </c>
      <c r="P118" s="77" t="str">
        <v/>
      </c>
      <c r="Q118" s="53" t="str">
        <v>ВВГнг(А)-LS (3х1,5) L=32-0,3%</v>
      </c>
      <c r="R118" s="54" t="str">
        <v>K.2.019A</v>
      </c>
      <c r="S118" s="55" t="str">
        <v>Внутренний блок кондиционирования Технический этаж Пом. №003Т</v>
      </c>
      <c r="T118" s="56">
        <v>0.16200000000000001</v>
      </c>
      <c r="U118" s="56">
        <v>0.88</v>
      </c>
      <c r="V118" s="42" t="str">
        <v>L1</v>
      </c>
      <c r="W118" s="57" t="str">
        <v>ok</v>
      </c>
      <c r="X118" s="58" t="str">
        <v/>
      </c>
      <c r="Y118" s="75" t="str">
        <v/>
      </c>
      <c r="Z118" s="59">
        <v>0.87685072133174402</v>
      </c>
      <c r="AA118" s="61">
        <v>6</v>
      </c>
      <c r="AB118" s="61">
        <v>16</v>
      </c>
      <c r="AC118" s="61" t="str">
        <v/>
      </c>
      <c r="AD118" s="62" t="str">
        <v>QF11</v>
      </c>
      <c r="AE118" s="62" t="str">
        <v/>
      </c>
      <c r="AF118" s="34">
        <v>11</v>
      </c>
      <c r="AG118" s="34" t="str">
        <v>QF11</v>
      </c>
      <c r="AH118" s="34" t="str">
        <v/>
      </c>
      <c r="AI118" s="34" t="str">
        <v/>
      </c>
      <c r="AJ118" s="34" t="str">
        <v>QF11</v>
      </c>
      <c r="AK118" s="34">
        <v>1</v>
      </c>
      <c r="AL118" s="34" t="str">
        <v>K</v>
      </c>
      <c r="AM118" s="34">
        <v>0</v>
      </c>
      <c r="AN118" s="34">
        <v>0</v>
      </c>
      <c r="AO118" s="34">
        <v>6</v>
      </c>
      <c r="AP118" s="34">
        <v>16</v>
      </c>
      <c r="AQ118" s="34">
        <v>6</v>
      </c>
      <c r="AR118" s="34">
        <v>1</v>
      </c>
      <c r="AS118" s="34">
        <v>0</v>
      </c>
      <c r="AT118" s="34" t="str">
        <v>1P</v>
      </c>
      <c r="AU118" s="34">
        <v>6</v>
      </c>
      <c r="AV118" s="34" t="str">
        <v/>
      </c>
      <c r="AW118" s="34" t="str">
        <v/>
      </c>
      <c r="AX118" s="34" t="str">
        <v/>
      </c>
      <c r="AY118" s="34">
        <v>1</v>
      </c>
      <c r="AZ118" s="34" t="str">
        <v/>
      </c>
      <c r="BA118" s="34">
        <v>0</v>
      </c>
      <c r="BB118" s="34">
        <v>0</v>
      </c>
      <c r="BD118" s="34">
        <v>1</v>
      </c>
      <c r="BE118" s="34">
        <v>0</v>
      </c>
      <c r="BF118" s="34">
        <v>0</v>
      </c>
      <c r="BG118" s="34" t="str">
        <v/>
      </c>
      <c r="BH118" s="34" t="str">
        <v/>
      </c>
      <c r="BI118" s="34" t="str">
        <v/>
      </c>
      <c r="BJ118" s="34" t="str">
        <v/>
      </c>
      <c r="BK118" s="34" t="str">
        <v>BOX</v>
      </c>
      <c r="BL118" s="34">
        <v>1</v>
      </c>
      <c r="BM118" s="34" t="str">
        <v/>
      </c>
      <c r="BN118" s="34" t="str">
        <v/>
      </c>
      <c r="BO118" s="34" t="str">
        <v/>
      </c>
      <c r="BP118" s="34" t="str">
        <v/>
      </c>
      <c r="BQ118" s="34" t="str">
        <v>3х1,5</v>
      </c>
      <c r="BR118" s="34" t="str">
        <v/>
      </c>
      <c r="BS118" s="34" t="str">
        <v/>
      </c>
      <c r="BT118" s="34" t="str">
        <v/>
      </c>
      <c r="BU118" s="34">
        <v>0</v>
      </c>
      <c r="BV118" s="34">
        <v>139</v>
      </c>
      <c r="BW118" s="34">
        <v>1</v>
      </c>
      <c r="BX118" s="34">
        <v>0</v>
      </c>
      <c r="BY118" s="34">
        <v>0</v>
      </c>
      <c r="BZ118">
        <v>7</v>
      </c>
      <c r="CA118" t="str">
        <v>линии</v>
      </c>
    </row>
    <row r="119" spans="1:79" x14ac:dyDescent="0.3">
      <c r="A119" s="39" t="str">
        <v>ЩОВ-2</v>
      </c>
      <c r="B119" s="42">
        <v>31</v>
      </c>
      <c r="C119" s="42">
        <v>2</v>
      </c>
      <c r="D119" s="75" t="str">
        <v/>
      </c>
      <c r="E119" s="75" t="str">
        <v>авто</v>
      </c>
      <c r="F119" s="76" t="str">
        <v/>
      </c>
      <c r="G119" s="47" t="str">
        <v>QF12</v>
      </c>
      <c r="H119" s="47" t="str">
        <v>1P С6А</v>
      </c>
      <c r="I119" s="75" t="str">
        <v/>
      </c>
      <c r="J119" s="76" t="str">
        <v/>
      </c>
      <c r="K119" s="76" t="str">
        <v/>
      </c>
      <c r="L119" s="75" t="str">
        <v/>
      </c>
      <c r="M119" s="49" t="str">
        <v/>
      </c>
      <c r="N119" s="76" t="str">
        <v/>
      </c>
      <c r="O119" s="49" t="str">
        <v/>
      </c>
      <c r="P119" s="77" t="str">
        <v/>
      </c>
      <c r="Q119" s="53" t="str">
        <v>ВВГнг(А)-LS (3х1,5) L=35-0,06%</v>
      </c>
      <c r="R119" s="54" t="str">
        <v>K.3.002Б</v>
      </c>
      <c r="S119" s="55" t="str">
        <v>Внутренний блок кондиционирования Технический этаж Пом. №003Т</v>
      </c>
      <c r="T119" s="56">
        <v>2.7E-2</v>
      </c>
      <c r="U119" s="56">
        <v>0.15000000000000002</v>
      </c>
      <c r="V119" s="42" t="str">
        <v>L2</v>
      </c>
      <c r="W119" s="57" t="str">
        <v>ok</v>
      </c>
      <c r="X119" s="58" t="str">
        <v/>
      </c>
      <c r="Y119" s="75" t="str">
        <v/>
      </c>
      <c r="Z119" s="59">
        <v>0.146141786888624</v>
      </c>
      <c r="AA119" s="61">
        <v>6</v>
      </c>
      <c r="AB119" s="61">
        <v>16</v>
      </c>
      <c r="AC119" s="61" t="str">
        <v/>
      </c>
      <c r="AD119" s="62" t="str">
        <v>QF12</v>
      </c>
      <c r="AE119" s="62" t="str">
        <v/>
      </c>
      <c r="AF119" s="34">
        <v>12</v>
      </c>
      <c r="AG119" s="34" t="str">
        <v>QF12</v>
      </c>
      <c r="AH119" s="34" t="str">
        <v/>
      </c>
      <c r="AI119" s="34" t="str">
        <v/>
      </c>
      <c r="AJ119" s="34" t="str">
        <v>QF12</v>
      </c>
      <c r="AK119" s="34">
        <v>1</v>
      </c>
      <c r="AL119" s="34" t="str">
        <v>K</v>
      </c>
      <c r="AM119" s="34">
        <v>0</v>
      </c>
      <c r="AN119" s="34">
        <v>0</v>
      </c>
      <c r="AO119" s="34">
        <v>6</v>
      </c>
      <c r="AP119" s="34">
        <v>16</v>
      </c>
      <c r="AQ119" s="34">
        <v>6</v>
      </c>
      <c r="AR119" s="34">
        <v>1</v>
      </c>
      <c r="AS119" s="34">
        <v>0</v>
      </c>
      <c r="AT119" s="34" t="str">
        <v>1P</v>
      </c>
      <c r="AU119" s="34">
        <v>6</v>
      </c>
      <c r="AV119" s="34" t="str">
        <v/>
      </c>
      <c r="AW119" s="34" t="str">
        <v/>
      </c>
      <c r="AX119" s="34" t="str">
        <v/>
      </c>
      <c r="AY119" s="34">
        <v>1</v>
      </c>
      <c r="AZ119" s="34" t="str">
        <v/>
      </c>
      <c r="BA119" s="34">
        <v>0</v>
      </c>
      <c r="BB119" s="34">
        <v>0</v>
      </c>
      <c r="BD119" s="34">
        <v>1</v>
      </c>
      <c r="BE119" s="34">
        <v>0</v>
      </c>
      <c r="BF119" s="34">
        <v>0</v>
      </c>
      <c r="BG119" s="34" t="str">
        <v/>
      </c>
      <c r="BH119" s="34" t="str">
        <v/>
      </c>
      <c r="BI119" s="34" t="str">
        <v/>
      </c>
      <c r="BJ119" s="34" t="str">
        <v/>
      </c>
      <c r="BK119" s="34" t="str">
        <v>BOX</v>
      </c>
      <c r="BL119" s="34">
        <v>1</v>
      </c>
      <c r="BM119" s="34" t="str">
        <v/>
      </c>
      <c r="BN119" s="34" t="str">
        <v/>
      </c>
      <c r="BO119" s="34" t="str">
        <v/>
      </c>
      <c r="BP119" s="34" t="str">
        <v/>
      </c>
      <c r="BQ119" s="34" t="str">
        <v>3х1,5</v>
      </c>
      <c r="BR119" s="34" t="str">
        <v/>
      </c>
      <c r="BS119" s="34" t="str">
        <v/>
      </c>
      <c r="BT119" s="34" t="str">
        <v/>
      </c>
      <c r="BU119" s="34">
        <v>0</v>
      </c>
      <c r="BV119" s="34">
        <v>140</v>
      </c>
      <c r="BW119" s="34">
        <v>1</v>
      </c>
      <c r="BX119" s="34">
        <v>0</v>
      </c>
      <c r="BY119" s="34">
        <v>0</v>
      </c>
      <c r="BZ119">
        <v>7</v>
      </c>
      <c r="CA119" t="str">
        <v>линии</v>
      </c>
    </row>
    <row r="120" spans="1:79" x14ac:dyDescent="0.3">
      <c r="A120" s="39" t="str">
        <v>ЩОВ-2</v>
      </c>
      <c r="B120" s="42">
        <v>32</v>
      </c>
      <c r="C120" s="42">
        <v>2</v>
      </c>
      <c r="D120" s="75" t="str">
        <v/>
      </c>
      <c r="E120" s="75" t="str">
        <v>авто</v>
      </c>
      <c r="F120" s="76" t="str">
        <v/>
      </c>
      <c r="G120" s="47" t="str">
        <v>QF13</v>
      </c>
      <c r="H120" s="47" t="str">
        <v>1P С6А</v>
      </c>
      <c r="I120" s="75" t="str">
        <v/>
      </c>
      <c r="J120" s="76" t="str">
        <v/>
      </c>
      <c r="K120" s="76" t="str">
        <v/>
      </c>
      <c r="L120" s="75" t="str">
        <v/>
      </c>
      <c r="M120" s="49" t="str">
        <v/>
      </c>
      <c r="N120" s="76" t="str">
        <v/>
      </c>
      <c r="O120" s="49" t="str">
        <v/>
      </c>
      <c r="P120" s="77" t="str">
        <v/>
      </c>
      <c r="Q120" s="53" t="str">
        <v>ВВГнг(А)-LS (3х1,5) L=30-0,07%</v>
      </c>
      <c r="R120" s="54" t="str">
        <v>K.3.004T.1</v>
      </c>
      <c r="S120" s="55" t="str">
        <v>Внутренний блок кондиционирования Технический этаж Пом. №004Т</v>
      </c>
      <c r="T120" s="56">
        <v>0.04</v>
      </c>
      <c r="U120" s="56">
        <v>0.22</v>
      </c>
      <c r="V120" s="42" t="str">
        <v>L2</v>
      </c>
      <c r="W120" s="57" t="str">
        <v>ok</v>
      </c>
      <c r="X120" s="58" t="str">
        <v/>
      </c>
      <c r="Y120" s="75" t="str">
        <v/>
      </c>
      <c r="Z120" s="59">
        <v>0.21650635094610962</v>
      </c>
      <c r="AA120" s="61">
        <v>6</v>
      </c>
      <c r="AB120" s="61">
        <v>16</v>
      </c>
      <c r="AC120" s="61" t="str">
        <v/>
      </c>
      <c r="AD120" s="62" t="str">
        <v>QF13</v>
      </c>
      <c r="AE120" s="62" t="str">
        <v/>
      </c>
      <c r="AF120" s="34">
        <v>13</v>
      </c>
      <c r="AG120" s="34" t="str">
        <v>QF13</v>
      </c>
      <c r="AH120" s="34" t="str">
        <v/>
      </c>
      <c r="AI120" s="34" t="str">
        <v/>
      </c>
      <c r="AJ120" s="34" t="str">
        <v>QF13</v>
      </c>
      <c r="AK120" s="34">
        <v>1</v>
      </c>
      <c r="AL120" s="34" t="str">
        <v>K</v>
      </c>
      <c r="AM120" s="34">
        <v>0</v>
      </c>
      <c r="AN120" s="34">
        <v>0</v>
      </c>
      <c r="AO120" s="34">
        <v>6</v>
      </c>
      <c r="AP120" s="34">
        <v>16</v>
      </c>
      <c r="AQ120" s="34">
        <v>6</v>
      </c>
      <c r="AR120" s="34">
        <v>1</v>
      </c>
      <c r="AS120" s="34">
        <v>0</v>
      </c>
      <c r="AT120" s="34" t="str">
        <v>1P</v>
      </c>
      <c r="AU120" s="34">
        <v>6</v>
      </c>
      <c r="AV120" s="34" t="str">
        <v/>
      </c>
      <c r="AW120" s="34" t="str">
        <v/>
      </c>
      <c r="AX120" s="34" t="str">
        <v/>
      </c>
      <c r="AY120" s="34">
        <v>1</v>
      </c>
      <c r="AZ120" s="34" t="str">
        <v/>
      </c>
      <c r="BA120" s="34">
        <v>0</v>
      </c>
      <c r="BB120" s="34">
        <v>0</v>
      </c>
      <c r="BD120" s="34">
        <v>1</v>
      </c>
      <c r="BE120" s="34">
        <v>0</v>
      </c>
      <c r="BF120" s="34">
        <v>0</v>
      </c>
      <c r="BG120" s="34" t="str">
        <v/>
      </c>
      <c r="BH120" s="34" t="str">
        <v/>
      </c>
      <c r="BI120" s="34" t="str">
        <v/>
      </c>
      <c r="BJ120" s="34" t="str">
        <v/>
      </c>
      <c r="BK120" s="34" t="str">
        <v>BOX</v>
      </c>
      <c r="BL120" s="34">
        <v>1</v>
      </c>
      <c r="BM120" s="34" t="str">
        <v/>
      </c>
      <c r="BN120" s="34" t="str">
        <v/>
      </c>
      <c r="BO120" s="34" t="str">
        <v/>
      </c>
      <c r="BP120" s="34" t="str">
        <v/>
      </c>
      <c r="BQ120" s="34" t="str">
        <v>3х1,5</v>
      </c>
      <c r="BR120" s="34" t="str">
        <v/>
      </c>
      <c r="BS120" s="34" t="str">
        <v/>
      </c>
      <c r="BT120" s="34" t="str">
        <v/>
      </c>
      <c r="BU120" s="34">
        <v>0</v>
      </c>
      <c r="BV120" s="34">
        <v>141</v>
      </c>
      <c r="BW120" s="34">
        <v>1</v>
      </c>
      <c r="BX120" s="34">
        <v>0</v>
      </c>
      <c r="BY120" s="34">
        <v>0</v>
      </c>
      <c r="BZ120">
        <v>7</v>
      </c>
      <c r="CA120" t="str">
        <v>линии</v>
      </c>
    </row>
    <row r="121" spans="1:79" x14ac:dyDescent="0.3">
      <c r="A121" s="39" t="str">
        <v>ЩОВ-2</v>
      </c>
      <c r="B121" s="42">
        <v>33</v>
      </c>
      <c r="C121" s="42">
        <v>2</v>
      </c>
      <c r="D121" s="75" t="str">
        <v/>
      </c>
      <c r="E121" s="75" t="str">
        <v>авто</v>
      </c>
      <c r="F121" s="76" t="str">
        <v/>
      </c>
      <c r="G121" s="47" t="str">
        <v>QF14</v>
      </c>
      <c r="H121" s="47" t="str">
        <v>1P С6А</v>
      </c>
      <c r="I121" s="75" t="str">
        <v/>
      </c>
      <c r="J121" s="76" t="str">
        <v/>
      </c>
      <c r="K121" s="76" t="str">
        <v/>
      </c>
      <c r="L121" s="75" t="str">
        <v/>
      </c>
      <c r="M121" s="49" t="str">
        <v/>
      </c>
      <c r="N121" s="76" t="str">
        <v/>
      </c>
      <c r="O121" s="49" t="str">
        <v/>
      </c>
      <c r="P121" s="77" t="str">
        <v/>
      </c>
      <c r="Q121" s="53" t="str">
        <v>ВВГнг(А)-LS (3х1,5) L=29-0,07%</v>
      </c>
      <c r="R121" s="54" t="str">
        <v>K.3.004T.2</v>
      </c>
      <c r="S121" s="55" t="str">
        <v>Внутренний блок кондиционирования Технический этаж Пом. №004Т</v>
      </c>
      <c r="T121" s="56">
        <v>0.04</v>
      </c>
      <c r="U121" s="56">
        <v>0.22</v>
      </c>
      <c r="V121" s="42" t="str">
        <v>L1</v>
      </c>
      <c r="W121" s="57" t="str">
        <v>ok</v>
      </c>
      <c r="X121" s="58" t="str">
        <v/>
      </c>
      <c r="Y121" s="75" t="str">
        <v/>
      </c>
      <c r="Z121" s="59">
        <v>0.21650635094610962</v>
      </c>
      <c r="AA121" s="61">
        <v>6</v>
      </c>
      <c r="AB121" s="61">
        <v>16</v>
      </c>
      <c r="AC121" s="61" t="str">
        <v/>
      </c>
      <c r="AD121" s="62" t="str">
        <v>QF14</v>
      </c>
      <c r="AE121" s="62" t="str">
        <v/>
      </c>
      <c r="AF121" s="34">
        <v>14</v>
      </c>
      <c r="AG121" s="34" t="str">
        <v>QF14</v>
      </c>
      <c r="AH121" s="34" t="str">
        <v/>
      </c>
      <c r="AI121" s="34" t="str">
        <v/>
      </c>
      <c r="AJ121" s="34" t="str">
        <v>QF14</v>
      </c>
      <c r="AK121" s="34">
        <v>1</v>
      </c>
      <c r="AL121" s="34" t="str">
        <v>K</v>
      </c>
      <c r="AM121" s="34">
        <v>0</v>
      </c>
      <c r="AN121" s="34">
        <v>0</v>
      </c>
      <c r="AO121" s="34">
        <v>6</v>
      </c>
      <c r="AP121" s="34">
        <v>16</v>
      </c>
      <c r="AQ121" s="34">
        <v>6</v>
      </c>
      <c r="AR121" s="34">
        <v>1</v>
      </c>
      <c r="AS121" s="34">
        <v>0</v>
      </c>
      <c r="AT121" s="34" t="str">
        <v>1P</v>
      </c>
      <c r="AU121" s="34">
        <v>6</v>
      </c>
      <c r="AV121" s="34" t="str">
        <v/>
      </c>
      <c r="AW121" s="34" t="str">
        <v/>
      </c>
      <c r="AX121" s="34" t="str">
        <v/>
      </c>
      <c r="AY121" s="34">
        <v>1</v>
      </c>
      <c r="AZ121" s="34" t="str">
        <v/>
      </c>
      <c r="BA121" s="34">
        <v>0</v>
      </c>
      <c r="BB121" s="34">
        <v>0</v>
      </c>
      <c r="BD121" s="34">
        <v>1</v>
      </c>
      <c r="BE121" s="34">
        <v>0</v>
      </c>
      <c r="BF121" s="34">
        <v>0</v>
      </c>
      <c r="BG121" s="34" t="str">
        <v/>
      </c>
      <c r="BH121" s="34" t="str">
        <v/>
      </c>
      <c r="BI121" s="34" t="str">
        <v/>
      </c>
      <c r="BJ121" s="34" t="str">
        <v/>
      </c>
      <c r="BK121" s="34" t="str">
        <v>BOX</v>
      </c>
      <c r="BL121" s="34">
        <v>1</v>
      </c>
      <c r="BM121" s="34" t="str">
        <v/>
      </c>
      <c r="BN121" s="34" t="str">
        <v/>
      </c>
      <c r="BO121" s="34" t="str">
        <v/>
      </c>
      <c r="BP121" s="34" t="str">
        <v/>
      </c>
      <c r="BQ121" s="34" t="str">
        <v>3х1,5</v>
      </c>
      <c r="BR121" s="34" t="str">
        <v/>
      </c>
      <c r="BS121" s="34" t="str">
        <v/>
      </c>
      <c r="BT121" s="34" t="str">
        <v/>
      </c>
      <c r="BU121" s="34">
        <v>0</v>
      </c>
      <c r="BV121" s="34">
        <v>142</v>
      </c>
      <c r="BW121" s="34">
        <v>1</v>
      </c>
      <c r="BX121" s="34">
        <v>0</v>
      </c>
      <c r="BY121" s="34">
        <v>0</v>
      </c>
      <c r="BZ121">
        <v>7</v>
      </c>
      <c r="CA121" t="str">
        <v>линии</v>
      </c>
    </row>
    <row r="122" spans="1:79" x14ac:dyDescent="0.3">
      <c r="A122" s="39" t="str">
        <v>ЩОВ-2</v>
      </c>
      <c r="B122" s="42">
        <v>34</v>
      </c>
      <c r="C122" s="42">
        <v>2</v>
      </c>
      <c r="D122" s="75" t="str">
        <v/>
      </c>
      <c r="E122" s="75" t="str">
        <v>авто</v>
      </c>
      <c r="F122" s="76" t="str">
        <v/>
      </c>
      <c r="G122" s="47" t="str">
        <v>QF15</v>
      </c>
      <c r="H122" s="47" t="str">
        <v>1P С6А</v>
      </c>
      <c r="I122" s="75" t="str">
        <v/>
      </c>
      <c r="J122" s="76" t="str">
        <v/>
      </c>
      <c r="K122" s="76" t="str">
        <v/>
      </c>
      <c r="L122" s="75" t="str">
        <v/>
      </c>
      <c r="M122" s="49" t="str">
        <v/>
      </c>
      <c r="N122" s="76" t="str">
        <v/>
      </c>
      <c r="O122" s="49" t="str">
        <v/>
      </c>
      <c r="P122" s="77" t="str">
        <v/>
      </c>
      <c r="Q122" s="53" t="str">
        <v>ВВГнг(А)-LS (3х1,5) L=17-0,26%</v>
      </c>
      <c r="R122" s="54" t="str">
        <v>В.1</v>
      </c>
      <c r="S122" s="55" t="str">
        <v>Вытяжная установка Технический этаж Пом. №001Т</v>
      </c>
      <c r="T122" s="56">
        <v>0.27</v>
      </c>
      <c r="U122" s="56">
        <v>1.47</v>
      </c>
      <c r="V122" s="42" t="str">
        <v>L1</v>
      </c>
      <c r="W122" s="57" t="str">
        <v>ok</v>
      </c>
      <c r="X122" s="58" t="str">
        <v/>
      </c>
      <c r="Y122" s="75" t="str">
        <v/>
      </c>
      <c r="Z122" s="59">
        <v>1.46141786888624</v>
      </c>
      <c r="AA122" s="61">
        <v>6</v>
      </c>
      <c r="AB122" s="61">
        <v>16</v>
      </c>
      <c r="AC122" s="61" t="str">
        <v/>
      </c>
      <c r="AD122" s="62" t="str">
        <v>QF15</v>
      </c>
      <c r="AE122" s="62" t="str">
        <v/>
      </c>
      <c r="AF122" s="34">
        <v>15</v>
      </c>
      <c r="AG122" s="34" t="str">
        <v>QF15</v>
      </c>
      <c r="AH122" s="34" t="str">
        <v/>
      </c>
      <c r="AI122" s="34" t="str">
        <v/>
      </c>
      <c r="AJ122" s="34" t="str">
        <v>QF15</v>
      </c>
      <c r="AK122" s="34">
        <v>1</v>
      </c>
      <c r="AL122" s="34" t="str">
        <v>В</v>
      </c>
      <c r="AM122" s="34">
        <v>0</v>
      </c>
      <c r="AN122" s="34">
        <v>0</v>
      </c>
      <c r="AO122" s="34">
        <v>6</v>
      </c>
      <c r="AP122" s="34">
        <v>16</v>
      </c>
      <c r="AQ122" s="34">
        <v>6</v>
      </c>
      <c r="AR122" s="34">
        <v>1</v>
      </c>
      <c r="AS122" s="34">
        <v>0</v>
      </c>
      <c r="AT122" s="34" t="str">
        <v>1P</v>
      </c>
      <c r="AU122" s="34">
        <v>6</v>
      </c>
      <c r="AV122" s="34" t="str">
        <v/>
      </c>
      <c r="AW122" s="34" t="str">
        <v/>
      </c>
      <c r="AX122" s="34" t="str">
        <v/>
      </c>
      <c r="AY122" s="34">
        <v>1</v>
      </c>
      <c r="AZ122" s="34" t="str">
        <v/>
      </c>
      <c r="BA122" s="34">
        <v>0</v>
      </c>
      <c r="BB122" s="34">
        <v>0</v>
      </c>
      <c r="BD122" s="34">
        <v>1</v>
      </c>
      <c r="BE122" s="34">
        <v>0</v>
      </c>
      <c r="BF122" s="34">
        <v>0</v>
      </c>
      <c r="BG122" s="34" t="str">
        <v/>
      </c>
      <c r="BH122" s="34" t="str">
        <v/>
      </c>
      <c r="BI122" s="34" t="str">
        <v/>
      </c>
      <c r="BJ122" s="34" t="str">
        <v/>
      </c>
      <c r="BK122" s="34" t="str">
        <v>MOTOR</v>
      </c>
      <c r="BL122" s="34">
        <v>1</v>
      </c>
      <c r="BM122" s="34" t="str">
        <v/>
      </c>
      <c r="BN122" s="34" t="str">
        <v/>
      </c>
      <c r="BO122" s="34" t="str">
        <v/>
      </c>
      <c r="BP122" s="34" t="str">
        <v/>
      </c>
      <c r="BQ122" s="34" t="str">
        <v>3х1,5</v>
      </c>
      <c r="BR122" s="34" t="str">
        <v/>
      </c>
      <c r="BS122" s="34" t="str">
        <v/>
      </c>
      <c r="BT122" s="34" t="str">
        <v/>
      </c>
      <c r="BU122" s="34">
        <v>0</v>
      </c>
      <c r="BV122" s="34">
        <v>143</v>
      </c>
      <c r="BW122" s="34">
        <v>1</v>
      </c>
      <c r="BX122" s="34">
        <v>0</v>
      </c>
      <c r="BY122" s="34" t="str">
        <v>Привод (двигатель)</v>
      </c>
      <c r="BZ122">
        <v>7</v>
      </c>
      <c r="CA122" t="str">
        <v>линии</v>
      </c>
    </row>
    <row r="123" spans="1:79" x14ac:dyDescent="0.3">
      <c r="A123" s="39" t="str">
        <v>ЩОВ-2</v>
      </c>
      <c r="B123" s="42">
        <v>35</v>
      </c>
      <c r="C123" s="42">
        <v>3</v>
      </c>
      <c r="D123" s="75" t="str">
        <v/>
      </c>
      <c r="E123" s="75" t="str">
        <v>авто</v>
      </c>
      <c r="F123" s="76" t="str">
        <v/>
      </c>
      <c r="G123" s="47" t="str">
        <v>QF16</v>
      </c>
      <c r="H123" s="47" t="str">
        <v>1P С6А</v>
      </c>
      <c r="I123" s="75" t="str">
        <v/>
      </c>
      <c r="J123" s="76" t="str">
        <v/>
      </c>
      <c r="K123" s="76" t="str">
        <v/>
      </c>
      <c r="L123" s="75" t="str">
        <v/>
      </c>
      <c r="M123" s="49" t="str">
        <v/>
      </c>
      <c r="N123" s="76" t="str">
        <v/>
      </c>
      <c r="O123" s="49" t="str">
        <v/>
      </c>
      <c r="P123" s="77" t="str">
        <v/>
      </c>
      <c r="Q123" s="53" t="str">
        <v>ВВГнг(А)-LS (3х1,5) L=20-0,31%</v>
      </c>
      <c r="R123" s="54" t="str">
        <v>В.22</v>
      </c>
      <c r="S123" s="55" t="str">
        <v>Вытяжная установка Технический этаж Пом. №001Т</v>
      </c>
      <c r="T123" s="56">
        <v>0.27</v>
      </c>
      <c r="U123" s="56">
        <v>1.47</v>
      </c>
      <c r="V123" s="42" t="str">
        <v>L2</v>
      </c>
      <c r="W123" s="57" t="str">
        <v>ok</v>
      </c>
      <c r="X123" s="58" t="str">
        <v/>
      </c>
      <c r="Y123" s="75" t="str">
        <v/>
      </c>
      <c r="Z123" s="59">
        <v>1.46141786888624</v>
      </c>
      <c r="AA123" s="61">
        <v>6</v>
      </c>
      <c r="AB123" s="61">
        <v>16</v>
      </c>
      <c r="AC123" s="61" t="str">
        <v/>
      </c>
      <c r="AD123" s="62" t="str">
        <v>QF16</v>
      </c>
      <c r="AE123" s="62" t="str">
        <v/>
      </c>
      <c r="AF123" s="34">
        <v>16</v>
      </c>
      <c r="AG123" s="34" t="str">
        <v>QF16</v>
      </c>
      <c r="AH123" s="34" t="str">
        <v/>
      </c>
      <c r="AI123" s="34" t="str">
        <v/>
      </c>
      <c r="AJ123" s="34" t="str">
        <v>QF16</v>
      </c>
      <c r="AK123" s="34">
        <v>1</v>
      </c>
      <c r="AL123" s="34" t="str">
        <v>В</v>
      </c>
      <c r="AM123" s="34">
        <v>0</v>
      </c>
      <c r="AN123" s="34">
        <v>0</v>
      </c>
      <c r="AO123" s="34">
        <v>6</v>
      </c>
      <c r="AP123" s="34">
        <v>16</v>
      </c>
      <c r="AQ123" s="34">
        <v>6</v>
      </c>
      <c r="AR123" s="34">
        <v>1</v>
      </c>
      <c r="AS123" s="34">
        <v>0</v>
      </c>
      <c r="AT123" s="34" t="str">
        <v>1P</v>
      </c>
      <c r="AU123" s="34">
        <v>6</v>
      </c>
      <c r="AV123" s="34" t="str">
        <v/>
      </c>
      <c r="AW123" s="34" t="str">
        <v/>
      </c>
      <c r="AX123" s="34" t="str">
        <v/>
      </c>
      <c r="AY123" s="34">
        <v>1</v>
      </c>
      <c r="AZ123" s="34" t="str">
        <v/>
      </c>
      <c r="BA123" s="34">
        <v>0</v>
      </c>
      <c r="BB123" s="34">
        <v>0</v>
      </c>
      <c r="BD123" s="34">
        <v>1</v>
      </c>
      <c r="BE123" s="34">
        <v>0</v>
      </c>
      <c r="BF123" s="34">
        <v>0</v>
      </c>
      <c r="BG123" s="34" t="str">
        <v/>
      </c>
      <c r="BH123" s="34" t="str">
        <v/>
      </c>
      <c r="BI123" s="34" t="str">
        <v/>
      </c>
      <c r="BJ123" s="34" t="str">
        <v/>
      </c>
      <c r="BK123" s="34" t="str">
        <v>MOTOR</v>
      </c>
      <c r="BL123" s="34">
        <v>1</v>
      </c>
      <c r="BM123" s="34" t="str">
        <v/>
      </c>
      <c r="BN123" s="34" t="str">
        <v/>
      </c>
      <c r="BO123" s="34" t="str">
        <v/>
      </c>
      <c r="BP123" s="34" t="str">
        <v/>
      </c>
      <c r="BQ123" s="34" t="str">
        <v>3х1,5</v>
      </c>
      <c r="BR123" s="34" t="str">
        <v/>
      </c>
      <c r="BS123" s="34" t="str">
        <v/>
      </c>
      <c r="BT123" s="34" t="str">
        <v/>
      </c>
      <c r="BU123" s="34">
        <v>0</v>
      </c>
      <c r="BV123" s="34">
        <v>144</v>
      </c>
      <c r="BW123" s="34">
        <v>1</v>
      </c>
      <c r="BX123" s="34">
        <v>0</v>
      </c>
      <c r="BY123" s="34" t="str">
        <v>Привод (двигатель)</v>
      </c>
      <c r="BZ123">
        <v>7</v>
      </c>
      <c r="CA123" t="str">
        <v>линии</v>
      </c>
    </row>
    <row r="124" spans="1:79" x14ac:dyDescent="0.3">
      <c r="A124" s="39" t="str">
        <v>ЩОВ-2</v>
      </c>
      <c r="B124" s="42">
        <v>36</v>
      </c>
      <c r="C124" s="42">
        <v>3</v>
      </c>
      <c r="D124" s="75" t="str">
        <v/>
      </c>
      <c r="E124" s="75" t="str">
        <v>авто</v>
      </c>
      <c r="F124" s="76" t="str">
        <v/>
      </c>
      <c r="G124" s="47" t="str">
        <v>QF17</v>
      </c>
      <c r="H124" s="47" t="str">
        <v>1P С6А</v>
      </c>
      <c r="I124" s="75" t="str">
        <v/>
      </c>
      <c r="J124" s="76" t="str">
        <v/>
      </c>
      <c r="K124" s="76" t="str">
        <v/>
      </c>
      <c r="L124" s="75" t="str">
        <v/>
      </c>
      <c r="M124" s="49" t="str">
        <v/>
      </c>
      <c r="N124" s="76" t="str">
        <v/>
      </c>
      <c r="O124" s="49" t="str">
        <v/>
      </c>
      <c r="P124" s="77" t="str">
        <v/>
      </c>
      <c r="Q124" s="53" t="str">
        <v>ВВГнг(А)-LS (3х1,5) L=34-0,52%</v>
      </c>
      <c r="R124" s="54" t="str">
        <v>В.23</v>
      </c>
      <c r="S124" s="55" t="str">
        <v>Вытяжная установка Технический этаж Пом. №001Т</v>
      </c>
      <c r="T124" s="56">
        <v>0.27</v>
      </c>
      <c r="U124" s="56">
        <v>1.47</v>
      </c>
      <c r="V124" s="42" t="str">
        <v>L1</v>
      </c>
      <c r="W124" s="57" t="str">
        <v>ok</v>
      </c>
      <c r="X124" s="58" t="str">
        <v/>
      </c>
      <c r="Y124" s="75" t="str">
        <v/>
      </c>
      <c r="Z124" s="59">
        <v>1.46141786888624</v>
      </c>
      <c r="AA124" s="61">
        <v>6</v>
      </c>
      <c r="AB124" s="61">
        <v>16</v>
      </c>
      <c r="AC124" s="61" t="str">
        <v/>
      </c>
      <c r="AD124" s="62" t="str">
        <v>QF17</v>
      </c>
      <c r="AE124" s="62" t="str">
        <v/>
      </c>
      <c r="AF124" s="34">
        <v>17</v>
      </c>
      <c r="AG124" s="34" t="str">
        <v>QF17</v>
      </c>
      <c r="AH124" s="34" t="str">
        <v/>
      </c>
      <c r="AI124" s="34" t="str">
        <v/>
      </c>
      <c r="AJ124" s="34" t="str">
        <v>QF17</v>
      </c>
      <c r="AK124" s="34">
        <v>1</v>
      </c>
      <c r="AL124" s="34" t="str">
        <v>В</v>
      </c>
      <c r="AM124" s="34">
        <v>0</v>
      </c>
      <c r="AN124" s="34">
        <v>0</v>
      </c>
      <c r="AO124" s="34">
        <v>6</v>
      </c>
      <c r="AP124" s="34">
        <v>16</v>
      </c>
      <c r="AQ124" s="34">
        <v>6</v>
      </c>
      <c r="AR124" s="34">
        <v>1</v>
      </c>
      <c r="AS124" s="34">
        <v>0</v>
      </c>
      <c r="AT124" s="34" t="str">
        <v>1P</v>
      </c>
      <c r="AU124" s="34">
        <v>6</v>
      </c>
      <c r="AV124" s="34" t="str">
        <v/>
      </c>
      <c r="AW124" s="34" t="str">
        <v/>
      </c>
      <c r="AX124" s="34" t="str">
        <v/>
      </c>
      <c r="AY124" s="34">
        <v>1</v>
      </c>
      <c r="AZ124" s="34" t="str">
        <v/>
      </c>
      <c r="BA124" s="34">
        <v>0</v>
      </c>
      <c r="BB124" s="34">
        <v>0</v>
      </c>
      <c r="BD124" s="34">
        <v>1</v>
      </c>
      <c r="BE124" s="34">
        <v>0</v>
      </c>
      <c r="BF124" s="34">
        <v>0</v>
      </c>
      <c r="BG124" s="34" t="str">
        <v/>
      </c>
      <c r="BH124" s="34" t="str">
        <v/>
      </c>
      <c r="BI124" s="34" t="str">
        <v/>
      </c>
      <c r="BJ124" s="34" t="str">
        <v/>
      </c>
      <c r="BK124" s="34" t="str">
        <v>MOTOR</v>
      </c>
      <c r="BL124" s="34">
        <v>1</v>
      </c>
      <c r="BM124" s="34" t="str">
        <v/>
      </c>
      <c r="BN124" s="34" t="str">
        <v/>
      </c>
      <c r="BO124" s="34" t="str">
        <v/>
      </c>
      <c r="BP124" s="34" t="str">
        <v/>
      </c>
      <c r="BQ124" s="34" t="str">
        <v>3х1,5</v>
      </c>
      <c r="BR124" s="34" t="str">
        <v/>
      </c>
      <c r="BS124" s="34" t="str">
        <v/>
      </c>
      <c r="BT124" s="34" t="str">
        <v/>
      </c>
      <c r="BU124" s="34">
        <v>0</v>
      </c>
      <c r="BV124" s="34">
        <v>145</v>
      </c>
      <c r="BW124" s="34">
        <v>1</v>
      </c>
      <c r="BX124" s="34">
        <v>0</v>
      </c>
      <c r="BY124" s="34" t="str">
        <v>Привод (двигатель)</v>
      </c>
      <c r="BZ124">
        <v>7</v>
      </c>
      <c r="CA124" t="str">
        <v>линии</v>
      </c>
    </row>
    <row r="125" spans="1:79" x14ac:dyDescent="0.3">
      <c r="A125" s="39" t="str">
        <v>ЩОВ-2</v>
      </c>
      <c r="B125" s="42">
        <v>37</v>
      </c>
      <c r="C125" s="42">
        <v>3</v>
      </c>
      <c r="D125" s="75" t="str">
        <v/>
      </c>
      <c r="E125" s="75" t="str">
        <v>авто</v>
      </c>
      <c r="F125" s="76" t="str">
        <v/>
      </c>
      <c r="G125" s="47" t="str">
        <v>QF18</v>
      </c>
      <c r="H125" s="47" t="str">
        <v>1P С6А</v>
      </c>
      <c r="I125" s="75" t="str">
        <v/>
      </c>
      <c r="J125" s="76" t="str">
        <v/>
      </c>
      <c r="K125" s="76" t="str">
        <v/>
      </c>
      <c r="L125" s="75" t="str">
        <v/>
      </c>
      <c r="M125" s="49" t="str">
        <v/>
      </c>
      <c r="N125" s="76" t="str">
        <v/>
      </c>
      <c r="O125" s="49" t="str">
        <v/>
      </c>
      <c r="P125" s="77" t="str">
        <v/>
      </c>
      <c r="Q125" s="53" t="str">
        <v>ВВГнг(А)-LS (3х1,5) L=17-0,26%</v>
      </c>
      <c r="R125" s="54" t="str">
        <v>В.8</v>
      </c>
      <c r="S125" s="55" t="str">
        <v>Вытяжная установка Технический этаж Пом. №001Т</v>
      </c>
      <c r="T125" s="56">
        <v>0.27</v>
      </c>
      <c r="U125" s="56">
        <v>1.47</v>
      </c>
      <c r="V125" s="42" t="str">
        <v>L1</v>
      </c>
      <c r="W125" s="57" t="str">
        <v>ok</v>
      </c>
      <c r="X125" s="58" t="str">
        <v/>
      </c>
      <c r="Y125" s="75" t="str">
        <v/>
      </c>
      <c r="Z125" s="59">
        <v>1.46141786888624</v>
      </c>
      <c r="AA125" s="61">
        <v>6</v>
      </c>
      <c r="AB125" s="61">
        <v>16</v>
      </c>
      <c r="AC125" s="61" t="str">
        <v/>
      </c>
      <c r="AD125" s="62" t="str">
        <v>QF18</v>
      </c>
      <c r="AE125" s="62" t="str">
        <v/>
      </c>
      <c r="AF125" s="34">
        <v>18</v>
      </c>
      <c r="AG125" s="34" t="str">
        <v>QF18</v>
      </c>
      <c r="AH125" s="34" t="str">
        <v/>
      </c>
      <c r="AI125" s="34" t="str">
        <v/>
      </c>
      <c r="AJ125" s="34" t="str">
        <v>QF18</v>
      </c>
      <c r="AK125" s="34">
        <v>1</v>
      </c>
      <c r="AL125" s="34" t="str">
        <v>В</v>
      </c>
      <c r="AM125" s="34">
        <v>0</v>
      </c>
      <c r="AN125" s="34">
        <v>0</v>
      </c>
      <c r="AO125" s="34">
        <v>6</v>
      </c>
      <c r="AP125" s="34">
        <v>16</v>
      </c>
      <c r="AQ125" s="34">
        <v>6</v>
      </c>
      <c r="AR125" s="34">
        <v>1</v>
      </c>
      <c r="AS125" s="34">
        <v>0</v>
      </c>
      <c r="AT125" s="34" t="str">
        <v>1P</v>
      </c>
      <c r="AU125" s="34">
        <v>6</v>
      </c>
      <c r="AV125" s="34" t="str">
        <v/>
      </c>
      <c r="AW125" s="34" t="str">
        <v/>
      </c>
      <c r="AX125" s="34" t="str">
        <v/>
      </c>
      <c r="AY125" s="34">
        <v>1</v>
      </c>
      <c r="AZ125" s="34" t="str">
        <v/>
      </c>
      <c r="BA125" s="34">
        <v>0</v>
      </c>
      <c r="BB125" s="34">
        <v>0</v>
      </c>
      <c r="BD125" s="34">
        <v>1</v>
      </c>
      <c r="BE125" s="34">
        <v>0</v>
      </c>
      <c r="BF125" s="34">
        <v>0</v>
      </c>
      <c r="BG125" s="34" t="str">
        <v/>
      </c>
      <c r="BH125" s="34" t="str">
        <v/>
      </c>
      <c r="BI125" s="34" t="str">
        <v/>
      </c>
      <c r="BJ125" s="34" t="str">
        <v/>
      </c>
      <c r="BK125" s="34" t="str">
        <v>MOTOR</v>
      </c>
      <c r="BL125" s="34">
        <v>1</v>
      </c>
      <c r="BM125" s="34" t="str">
        <v/>
      </c>
      <c r="BN125" s="34" t="str">
        <v/>
      </c>
      <c r="BO125" s="34" t="str">
        <v/>
      </c>
      <c r="BP125" s="34" t="str">
        <v/>
      </c>
      <c r="BQ125" s="34" t="str">
        <v>3х1,5</v>
      </c>
      <c r="BR125" s="34" t="str">
        <v/>
      </c>
      <c r="BS125" s="34" t="str">
        <v/>
      </c>
      <c r="BT125" s="34" t="str">
        <v/>
      </c>
      <c r="BU125" s="34">
        <v>0</v>
      </c>
      <c r="BV125" s="34">
        <v>146</v>
      </c>
      <c r="BW125" s="34">
        <v>1</v>
      </c>
      <c r="BX125" s="34">
        <v>0</v>
      </c>
      <c r="BY125" s="34" t="str">
        <v>Привод (двигатель)</v>
      </c>
      <c r="BZ125">
        <v>7</v>
      </c>
      <c r="CA125" t="str">
        <v>линии</v>
      </c>
    </row>
    <row r="126" spans="1:79" x14ac:dyDescent="0.3">
      <c r="A126" s="39" t="str">
        <v>ЩОВ-2</v>
      </c>
      <c r="B126" s="42">
        <v>38</v>
      </c>
      <c r="C126" s="42">
        <v>3</v>
      </c>
      <c r="D126" s="75" t="str">
        <v/>
      </c>
      <c r="E126" s="75" t="str">
        <v>авто</v>
      </c>
      <c r="F126" s="76" t="str">
        <v/>
      </c>
      <c r="G126" s="47" t="str">
        <v>QF19</v>
      </c>
      <c r="H126" s="47" t="str">
        <v>1P С6А</v>
      </c>
      <c r="I126" s="75" t="str">
        <v/>
      </c>
      <c r="J126" s="76" t="str">
        <v/>
      </c>
      <c r="K126" s="76" t="str">
        <v/>
      </c>
      <c r="L126" s="75" t="str">
        <v/>
      </c>
      <c r="M126" s="49" t="str">
        <v/>
      </c>
      <c r="N126" s="76" t="str">
        <v/>
      </c>
      <c r="O126" s="49" t="str">
        <v/>
      </c>
      <c r="P126" s="77" t="str">
        <v/>
      </c>
      <c r="Q126" s="53" t="str">
        <v>ВВГнг(А)-LS (3х2,5) L=23-0,1%</v>
      </c>
      <c r="R126" s="54" t="str">
        <v>П.3</v>
      </c>
      <c r="S126" s="55" t="str">
        <v>Приточная установка Технический этаж Пом. №001Т</v>
      </c>
      <c r="T126" s="56">
        <v>0.12</v>
      </c>
      <c r="U126" s="56">
        <v>0.65</v>
      </c>
      <c r="V126" s="42" t="str">
        <v>L2</v>
      </c>
      <c r="W126" s="57" t="str">
        <v>ok</v>
      </c>
      <c r="X126" s="58" t="str">
        <v/>
      </c>
      <c r="Y126" s="75" t="str">
        <v/>
      </c>
      <c r="Z126" s="59">
        <v>0.64951905283832878</v>
      </c>
      <c r="AA126" s="61">
        <v>6</v>
      </c>
      <c r="AB126" s="61">
        <v>25</v>
      </c>
      <c r="AC126" s="61" t="str">
        <v/>
      </c>
      <c r="AD126" s="62" t="str">
        <v>QF19</v>
      </c>
      <c r="AE126" s="62" t="str">
        <v/>
      </c>
      <c r="AF126" s="34">
        <v>19</v>
      </c>
      <c r="AG126" s="34" t="str">
        <v>QF19</v>
      </c>
      <c r="AH126" s="34" t="str">
        <v/>
      </c>
      <c r="AI126" s="34" t="str">
        <v/>
      </c>
      <c r="AJ126" s="34" t="str">
        <v>QF19</v>
      </c>
      <c r="AK126" s="34">
        <v>1</v>
      </c>
      <c r="AL126" s="34" t="str">
        <v>П</v>
      </c>
      <c r="AM126" s="34">
        <v>0</v>
      </c>
      <c r="AN126" s="34">
        <v>0</v>
      </c>
      <c r="AO126" s="34">
        <v>6</v>
      </c>
      <c r="AP126" s="34">
        <v>25</v>
      </c>
      <c r="AQ126" s="34">
        <v>6</v>
      </c>
      <c r="AR126" s="34">
        <v>1</v>
      </c>
      <c r="AS126" s="34">
        <v>0</v>
      </c>
      <c r="AT126" s="34" t="str">
        <v>1P</v>
      </c>
      <c r="AU126" s="34">
        <v>6</v>
      </c>
      <c r="AV126" s="34" t="str">
        <v/>
      </c>
      <c r="AW126" s="34" t="str">
        <v/>
      </c>
      <c r="AX126" s="34" t="str">
        <v/>
      </c>
      <c r="AY126" s="34">
        <v>1</v>
      </c>
      <c r="AZ126" s="34" t="str">
        <v/>
      </c>
      <c r="BA126" s="34">
        <v>0</v>
      </c>
      <c r="BB126" s="34">
        <v>0</v>
      </c>
      <c r="BD126" s="34">
        <v>1</v>
      </c>
      <c r="BE126" s="34">
        <v>0</v>
      </c>
      <c r="BF126" s="34">
        <v>0</v>
      </c>
      <c r="BG126" s="34" t="str">
        <v/>
      </c>
      <c r="BH126" s="34" t="str">
        <v/>
      </c>
      <c r="BI126" s="34" t="str">
        <v/>
      </c>
      <c r="BJ126" s="34" t="str">
        <v/>
      </c>
      <c r="BK126" s="34" t="str">
        <v>MOTOR</v>
      </c>
      <c r="BL126" s="34">
        <v>1</v>
      </c>
      <c r="BM126" s="34" t="str">
        <v/>
      </c>
      <c r="BN126" s="34" t="str">
        <v/>
      </c>
      <c r="BO126" s="34" t="str">
        <v/>
      </c>
      <c r="BP126" s="34" t="str">
        <v/>
      </c>
      <c r="BQ126" s="34" t="str">
        <v>3х2,5</v>
      </c>
      <c r="BR126" s="34" t="str">
        <v/>
      </c>
      <c r="BS126" s="34" t="str">
        <v/>
      </c>
      <c r="BT126" s="34" t="str">
        <v/>
      </c>
      <c r="BU126" s="34">
        <v>0</v>
      </c>
      <c r="BV126" s="34">
        <v>147</v>
      </c>
      <c r="BW126" s="34">
        <v>1</v>
      </c>
      <c r="BX126" s="34">
        <v>0</v>
      </c>
      <c r="BY126" s="34" t="str">
        <v>Привод (двигатель)</v>
      </c>
      <c r="BZ126">
        <v>7</v>
      </c>
      <c r="CA126" t="str">
        <v>линии</v>
      </c>
    </row>
    <row r="127" spans="1:79" x14ac:dyDescent="0.3">
      <c r="A127" s="39" t="str">
        <v>ЩОВ-2</v>
      </c>
      <c r="B127" s="42">
        <v>41</v>
      </c>
      <c r="C127" s="42">
        <v>3</v>
      </c>
      <c r="D127" s="75" t="str">
        <v/>
      </c>
      <c r="E127" s="75" t="str">
        <v>авто</v>
      </c>
      <c r="F127" s="76" t="str">
        <v/>
      </c>
      <c r="G127" s="47" t="str">
        <v>QF20</v>
      </c>
      <c r="H127" s="47" t="str">
        <v>1P С6А</v>
      </c>
      <c r="I127" s="75" t="str">
        <v/>
      </c>
      <c r="J127" s="76" t="str">
        <v/>
      </c>
      <c r="K127" s="76" t="str">
        <v/>
      </c>
      <c r="L127" s="75" t="str">
        <v/>
      </c>
      <c r="M127" s="49" t="str">
        <v/>
      </c>
      <c r="N127" s="76" t="str">
        <v/>
      </c>
      <c r="O127" s="49" t="str">
        <v/>
      </c>
      <c r="P127" s="77" t="str">
        <v>XT20</v>
      </c>
      <c r="Q127" s="53" t="str">
        <v>ВВГнг(А)-LS (3х2,5) L=35-0,33%</v>
      </c>
      <c r="R127" s="54" t="str">
        <v>П.5</v>
      </c>
      <c r="S127" s="55" t="str">
        <v>Приточная установка Технический этаж Пом. №001Т</v>
      </c>
      <c r="T127" s="56">
        <v>0.27</v>
      </c>
      <c r="U127" s="56">
        <v>1.47</v>
      </c>
      <c r="V127" s="42" t="str">
        <v>L2</v>
      </c>
      <c r="W127" s="57" t="str">
        <v>ok</v>
      </c>
      <c r="X127" s="58" t="str">
        <v/>
      </c>
      <c r="Y127" s="75" t="str">
        <v/>
      </c>
      <c r="Z127" s="59">
        <v>1.46141786888624</v>
      </c>
      <c r="AA127" s="61">
        <v>6</v>
      </c>
      <c r="AB127" s="61">
        <v>25</v>
      </c>
      <c r="AC127" s="61" t="str">
        <v/>
      </c>
      <c r="AD127" s="62" t="str">
        <v>QF20 → XT20</v>
      </c>
      <c r="AE127" s="62" t="str">
        <v/>
      </c>
      <c r="AF127" s="34">
        <v>20</v>
      </c>
      <c r="AG127" s="34" t="str">
        <v>QF20</v>
      </c>
      <c r="AH127" s="34" t="str">
        <v/>
      </c>
      <c r="AI127" s="34" t="str">
        <v/>
      </c>
      <c r="AJ127" s="34" t="str">
        <v>QF20</v>
      </c>
      <c r="AK127" s="34">
        <v>1</v>
      </c>
      <c r="AL127" s="34" t="str">
        <v>П</v>
      </c>
      <c r="AM127" s="34">
        <v>0</v>
      </c>
      <c r="AN127" s="34">
        <v>0</v>
      </c>
      <c r="AO127" s="34">
        <v>6</v>
      </c>
      <c r="AP127" s="34">
        <v>25</v>
      </c>
      <c r="AQ127" s="34">
        <v>6</v>
      </c>
      <c r="AR127" s="34">
        <v>1</v>
      </c>
      <c r="AS127" s="34">
        <v>0</v>
      </c>
      <c r="AT127" s="34" t="str">
        <v>1P</v>
      </c>
      <c r="AU127" s="34">
        <v>6</v>
      </c>
      <c r="AV127" s="34" t="str">
        <v/>
      </c>
      <c r="AW127" s="34" t="str">
        <v/>
      </c>
      <c r="AX127" s="34" t="str">
        <v/>
      </c>
      <c r="AY127" s="34">
        <v>1</v>
      </c>
      <c r="AZ127" s="34" t="str">
        <v/>
      </c>
      <c r="BA127" s="34">
        <v>0</v>
      </c>
      <c r="BB127" s="34">
        <v>0</v>
      </c>
      <c r="BD127" s="34">
        <v>1</v>
      </c>
      <c r="BE127" s="34">
        <v>0</v>
      </c>
      <c r="BF127" s="34">
        <v>0</v>
      </c>
      <c r="BG127" s="34" t="str">
        <v/>
      </c>
      <c r="BH127" s="34" t="str">
        <v/>
      </c>
      <c r="BI127" s="34" t="str">
        <v/>
      </c>
      <c r="BJ127" s="34" t="str">
        <v/>
      </c>
      <c r="BK127" s="34" t="str">
        <v>MOTOR</v>
      </c>
      <c r="BL127" s="34">
        <v>1</v>
      </c>
      <c r="BM127" s="34" t="str">
        <v/>
      </c>
      <c r="BN127" s="34" t="str">
        <v/>
      </c>
      <c r="BO127" s="34" t="str">
        <v/>
      </c>
      <c r="BP127" s="34" t="str">
        <v/>
      </c>
      <c r="BQ127" s="34" t="str">
        <v>3х2,5</v>
      </c>
      <c r="BR127" s="34" t="str">
        <v/>
      </c>
      <c r="BS127" s="34" t="str">
        <v/>
      </c>
      <c r="BT127" s="34" t="str">
        <v/>
      </c>
      <c r="BU127" s="34">
        <v>0</v>
      </c>
      <c r="BV127" s="34">
        <v>148</v>
      </c>
      <c r="BW127" s="34">
        <v>1</v>
      </c>
      <c r="BX127" s="34">
        <v>0</v>
      </c>
      <c r="BY127" s="34" t="str">
        <v>Привод (двигатель)</v>
      </c>
      <c r="BZ127">
        <v>7</v>
      </c>
      <c r="CA127" t="str">
        <v>линии</v>
      </c>
    </row>
    <row r="128" spans="1:79" x14ac:dyDescent="0.3">
      <c r="A128" s="39" t="str">
        <v>ЩОВ-2</v>
      </c>
      <c r="B128" s="42">
        <v>42</v>
      </c>
      <c r="C128" s="42">
        <v>3</v>
      </c>
      <c r="D128" s="75" t="str">
        <v/>
      </c>
      <c r="E128" s="75" t="str">
        <v>авто</v>
      </c>
      <c r="F128" s="76" t="str">
        <v/>
      </c>
      <c r="G128" s="47" t="str">
        <v>QF21</v>
      </c>
      <c r="H128" s="47" t="str">
        <v>1P С25А</v>
      </c>
      <c r="I128" s="75" t="str">
        <v/>
      </c>
      <c r="J128" s="76" t="str">
        <v/>
      </c>
      <c r="K128" s="76" t="str">
        <v/>
      </c>
      <c r="L128" s="75" t="str">
        <v/>
      </c>
      <c r="M128" s="49" t="str">
        <v/>
      </c>
      <c r="N128" s="76" t="str">
        <v/>
      </c>
      <c r="O128" s="49" t="str">
        <v/>
      </c>
      <c r="P128" s="77" t="str">
        <v>XT21</v>
      </c>
      <c r="Q128" s="53" t="str">
        <v>ВВГнг(А)-LS (3х4) L=34-2,76%</v>
      </c>
      <c r="R128" s="54" t="str">
        <v>ПВ.5</v>
      </c>
      <c r="S128" s="55" t="str">
        <v>Приточно-вытяжная установка Технический этаж Пом. №001Т</v>
      </c>
      <c r="T128" s="56">
        <v>3.8</v>
      </c>
      <c r="U128" s="56">
        <v>20.57</v>
      </c>
      <c r="V128" s="42" t="str">
        <v>L3</v>
      </c>
      <c r="W128" s="57" t="str">
        <v>ok</v>
      </c>
      <c r="X128" s="58" t="str">
        <v/>
      </c>
      <c r="Y128" s="75" t="str">
        <v/>
      </c>
      <c r="Z128" s="59">
        <v>20.568103339880413</v>
      </c>
      <c r="AA128" s="61">
        <v>25</v>
      </c>
      <c r="AB128" s="61">
        <v>32</v>
      </c>
      <c r="AC128" s="61" t="str">
        <v/>
      </c>
      <c r="AD128" s="62" t="str">
        <v>QF21 → XT21</v>
      </c>
      <c r="AE128" s="62" t="str">
        <v/>
      </c>
      <c r="AF128" s="34">
        <v>21</v>
      </c>
      <c r="AG128" s="34" t="str">
        <v>QF21</v>
      </c>
      <c r="AH128" s="34" t="str">
        <v/>
      </c>
      <c r="AI128" s="34" t="str">
        <v/>
      </c>
      <c r="AJ128" s="34" t="str">
        <v>QF21</v>
      </c>
      <c r="AK128" s="34">
        <v>1</v>
      </c>
      <c r="AL128" s="34" t="str">
        <v>ПВ</v>
      </c>
      <c r="AM128" s="34">
        <v>0</v>
      </c>
      <c r="AN128" s="34">
        <v>0</v>
      </c>
      <c r="AO128" s="34">
        <v>25</v>
      </c>
      <c r="AP128" s="34">
        <v>32</v>
      </c>
      <c r="AQ128" s="34">
        <v>25</v>
      </c>
      <c r="AR128" s="34">
        <v>1</v>
      </c>
      <c r="AS128" s="34">
        <v>0</v>
      </c>
      <c r="AT128" s="34" t="str">
        <v>1P</v>
      </c>
      <c r="AU128" s="34">
        <v>25</v>
      </c>
      <c r="AV128" s="34" t="str">
        <v/>
      </c>
      <c r="AW128" s="34" t="str">
        <v/>
      </c>
      <c r="AX128" s="34" t="str">
        <v/>
      </c>
      <c r="AY128" s="34">
        <v>1</v>
      </c>
      <c r="AZ128" s="34" t="str">
        <v/>
      </c>
      <c r="BA128" s="34">
        <v>0</v>
      </c>
      <c r="BB128" s="34">
        <v>0</v>
      </c>
      <c r="BD128" s="34">
        <v>1</v>
      </c>
      <c r="BE128" s="34">
        <v>0</v>
      </c>
      <c r="BF128" s="34">
        <v>0</v>
      </c>
      <c r="BG128" s="34" t="str">
        <v/>
      </c>
      <c r="BH128" s="34" t="str">
        <v/>
      </c>
      <c r="BI128" s="34" t="str">
        <v/>
      </c>
      <c r="BJ128" s="34" t="str">
        <v/>
      </c>
      <c r="BK128" s="34" t="str">
        <v>MOTOR</v>
      </c>
      <c r="BL128" s="34">
        <v>1</v>
      </c>
      <c r="BM128" s="34" t="str">
        <v/>
      </c>
      <c r="BN128" s="34" t="str">
        <v/>
      </c>
      <c r="BO128" s="34" t="str">
        <v/>
      </c>
      <c r="BP128" s="34" t="str">
        <v/>
      </c>
      <c r="BQ128" s="34" t="str">
        <v>3х4</v>
      </c>
      <c r="BR128" s="34" t="str">
        <v/>
      </c>
      <c r="BS128" s="34" t="str">
        <v/>
      </c>
      <c r="BT128" s="34" t="str">
        <v/>
      </c>
      <c r="BU128" s="34">
        <v>0</v>
      </c>
      <c r="BV128" s="34">
        <v>149</v>
      </c>
      <c r="BW128" s="34">
        <v>1</v>
      </c>
      <c r="BX128" s="34">
        <v>0</v>
      </c>
      <c r="BY128" s="34" t="str">
        <v>Привод (двигатель)</v>
      </c>
      <c r="BZ128">
        <v>7</v>
      </c>
      <c r="CA128" t="str">
        <v>линии</v>
      </c>
    </row>
    <row r="129" spans="1:79" x14ac:dyDescent="0.3">
      <c r="A129" s="39" t="str">
        <v>ЩОВ-2</v>
      </c>
      <c r="B129" s="42">
        <v>43</v>
      </c>
      <c r="C129" s="42">
        <v>3</v>
      </c>
      <c r="D129" s="75" t="str">
        <v/>
      </c>
      <c r="E129" s="75" t="str">
        <v>авто</v>
      </c>
      <c r="F129" s="76" t="str">
        <v/>
      </c>
      <c r="G129" s="47" t="str">
        <v>QF22</v>
      </c>
      <c r="H129" s="47" t="str">
        <v>1P С10А</v>
      </c>
      <c r="I129" s="75" t="str">
        <v/>
      </c>
      <c r="J129" s="76" t="str">
        <v/>
      </c>
      <c r="K129" s="76" t="str">
        <v/>
      </c>
      <c r="L129" s="75" t="str">
        <v/>
      </c>
      <c r="M129" s="49" t="str">
        <v/>
      </c>
      <c r="N129" s="76" t="str">
        <v/>
      </c>
      <c r="O129" s="49" t="str">
        <v/>
      </c>
      <c r="P129" s="77" t="str">
        <v/>
      </c>
      <c r="Q129" s="53" t="str">
        <v>ВВГнг(А)-LS (3х2,5) L=30-1,33%</v>
      </c>
      <c r="R129" s="54" t="str">
        <v>ПВ.7</v>
      </c>
      <c r="S129" s="55" t="str">
        <v>Приточно-вытяжная установка Технический этаж Пом. №001Т</v>
      </c>
      <c r="T129" s="56">
        <v>1.3</v>
      </c>
      <c r="U129" s="56">
        <v>7.04</v>
      </c>
      <c r="V129" s="42" t="str">
        <v>L1</v>
      </c>
      <c r="W129" s="57" t="str">
        <v>ok</v>
      </c>
      <c r="X129" s="58" t="str">
        <v/>
      </c>
      <c r="Y129" s="75" t="str">
        <v/>
      </c>
      <c r="Z129" s="59">
        <v>7.036456405748563</v>
      </c>
      <c r="AA129" s="61">
        <v>10</v>
      </c>
      <c r="AB129" s="61">
        <v>25</v>
      </c>
      <c r="AC129" s="61" t="str">
        <v/>
      </c>
      <c r="AD129" s="62" t="str">
        <v>QF22</v>
      </c>
      <c r="AE129" s="62" t="str">
        <v/>
      </c>
      <c r="AF129" s="34">
        <v>22</v>
      </c>
      <c r="AG129" s="34" t="str">
        <v>QF22</v>
      </c>
      <c r="AH129" s="34" t="str">
        <v/>
      </c>
      <c r="AI129" s="34" t="str">
        <v/>
      </c>
      <c r="AJ129" s="34" t="str">
        <v>QF22</v>
      </c>
      <c r="AK129" s="34">
        <v>1</v>
      </c>
      <c r="AL129" s="34" t="str">
        <v>ПВ</v>
      </c>
      <c r="AM129" s="34">
        <v>0</v>
      </c>
      <c r="AN129" s="34">
        <v>0</v>
      </c>
      <c r="AO129" s="34">
        <v>10</v>
      </c>
      <c r="AP129" s="34">
        <v>25</v>
      </c>
      <c r="AQ129" s="34">
        <v>10</v>
      </c>
      <c r="AR129" s="34">
        <v>1</v>
      </c>
      <c r="AS129" s="34">
        <v>0</v>
      </c>
      <c r="AT129" s="34" t="str">
        <v>1P</v>
      </c>
      <c r="AU129" s="34">
        <v>10</v>
      </c>
      <c r="AV129" s="34" t="str">
        <v/>
      </c>
      <c r="AW129" s="34" t="str">
        <v/>
      </c>
      <c r="AX129" s="34" t="str">
        <v/>
      </c>
      <c r="AY129" s="34">
        <v>1</v>
      </c>
      <c r="AZ129" s="34" t="str">
        <v/>
      </c>
      <c r="BA129" s="34">
        <v>0</v>
      </c>
      <c r="BB129" s="34">
        <v>0</v>
      </c>
      <c r="BD129" s="34">
        <v>1</v>
      </c>
      <c r="BE129" s="34">
        <v>0</v>
      </c>
      <c r="BF129" s="34">
        <v>0</v>
      </c>
      <c r="BG129" s="34" t="str">
        <v/>
      </c>
      <c r="BH129" s="34" t="str">
        <v/>
      </c>
      <c r="BI129" s="34" t="str">
        <v/>
      </c>
      <c r="BJ129" s="34" t="str">
        <v/>
      </c>
      <c r="BK129" s="34" t="str">
        <v>MOTOR</v>
      </c>
      <c r="BL129" s="34">
        <v>1</v>
      </c>
      <c r="BM129" s="34" t="str">
        <v/>
      </c>
      <c r="BN129" s="34" t="str">
        <v/>
      </c>
      <c r="BO129" s="34" t="str">
        <v/>
      </c>
      <c r="BP129" s="34" t="str">
        <v/>
      </c>
      <c r="BQ129" s="34" t="str">
        <v>3х2,5</v>
      </c>
      <c r="BR129" s="34" t="str">
        <v/>
      </c>
      <c r="BS129" s="34" t="str">
        <v/>
      </c>
      <c r="BT129" s="34" t="str">
        <v/>
      </c>
      <c r="BU129" s="34">
        <v>0</v>
      </c>
      <c r="BV129" s="34">
        <v>150</v>
      </c>
      <c r="BW129" s="34">
        <v>1</v>
      </c>
      <c r="BX129" s="34">
        <v>0</v>
      </c>
      <c r="BY129" s="34" t="str">
        <v>Привод (двигатель)</v>
      </c>
      <c r="BZ129">
        <v>7</v>
      </c>
      <c r="CA129" t="str">
        <v>линии</v>
      </c>
    </row>
    <row r="130" spans="1:79" x14ac:dyDescent="0.3">
      <c r="A130" s="39" t="str">
        <v>ЩОВ-2</v>
      </c>
      <c r="B130" s="42">
        <v>44</v>
      </c>
      <c r="C130" s="42">
        <v>3</v>
      </c>
      <c r="D130" s="75" t="str">
        <v/>
      </c>
      <c r="E130" s="75" t="str">
        <v>авто</v>
      </c>
      <c r="F130" s="76" t="str">
        <v/>
      </c>
      <c r="G130" s="47" t="str">
        <v>QF23</v>
      </c>
      <c r="H130" s="47" t="str">
        <v>1P С16А</v>
      </c>
      <c r="I130" s="75" t="str">
        <v/>
      </c>
      <c r="J130" s="76" t="str">
        <v/>
      </c>
      <c r="K130" s="76" t="str">
        <v/>
      </c>
      <c r="L130" s="75" t="str">
        <v/>
      </c>
      <c r="M130" s="49" t="str">
        <v/>
      </c>
      <c r="N130" s="76" t="str">
        <v/>
      </c>
      <c r="O130" s="49" t="str">
        <v/>
      </c>
      <c r="P130" s="77" t="str">
        <v/>
      </c>
      <c r="Q130" s="53" t="str">
        <v>ВВГнг(А)-LS (3х2,5) L=15-0,92%</v>
      </c>
      <c r="R130" s="54" t="str">
        <v>ПВ.8</v>
      </c>
      <c r="S130" s="55" t="str">
        <v>Приточно-вытяжная установка Технический этаж Пом. №001Т</v>
      </c>
      <c r="T130" s="56">
        <v>1.8</v>
      </c>
      <c r="U130" s="56">
        <v>9.75</v>
      </c>
      <c r="V130" s="42" t="str">
        <v>L2</v>
      </c>
      <c r="W130" s="57" t="str">
        <v>ok</v>
      </c>
      <c r="X130" s="58" t="str">
        <v/>
      </c>
      <c r="Y130" s="75" t="str">
        <v/>
      </c>
      <c r="Z130" s="59">
        <v>9.7427857925749333</v>
      </c>
      <c r="AA130" s="61">
        <v>16</v>
      </c>
      <c r="AB130" s="61">
        <v>25</v>
      </c>
      <c r="AC130" s="61" t="str">
        <v/>
      </c>
      <c r="AD130" s="62" t="str">
        <v>QF23</v>
      </c>
      <c r="AE130" s="62" t="str">
        <v/>
      </c>
      <c r="AF130" s="34">
        <v>23</v>
      </c>
      <c r="AG130" s="34" t="str">
        <v>QF23</v>
      </c>
      <c r="AH130" s="34" t="str">
        <v/>
      </c>
      <c r="AI130" s="34" t="str">
        <v/>
      </c>
      <c r="AJ130" s="34" t="str">
        <v>QF23</v>
      </c>
      <c r="AK130" s="34">
        <v>1</v>
      </c>
      <c r="AL130" s="34" t="str">
        <v>ПВ</v>
      </c>
      <c r="AM130" s="34">
        <v>0</v>
      </c>
      <c r="AN130" s="34">
        <v>0</v>
      </c>
      <c r="AO130" s="34">
        <v>16</v>
      </c>
      <c r="AP130" s="34">
        <v>25</v>
      </c>
      <c r="AQ130" s="34">
        <v>16</v>
      </c>
      <c r="AR130" s="34">
        <v>1</v>
      </c>
      <c r="AS130" s="34">
        <v>0</v>
      </c>
      <c r="AT130" s="34" t="str">
        <v>1P</v>
      </c>
      <c r="AU130" s="34">
        <v>16</v>
      </c>
      <c r="AV130" s="34" t="str">
        <v/>
      </c>
      <c r="AW130" s="34" t="str">
        <v/>
      </c>
      <c r="AX130" s="34" t="str">
        <v/>
      </c>
      <c r="AY130" s="34">
        <v>1</v>
      </c>
      <c r="AZ130" s="34" t="str">
        <v/>
      </c>
      <c r="BA130" s="34">
        <v>0</v>
      </c>
      <c r="BB130" s="34">
        <v>0</v>
      </c>
      <c r="BD130" s="34">
        <v>1</v>
      </c>
      <c r="BE130" s="34">
        <v>0</v>
      </c>
      <c r="BF130" s="34">
        <v>0</v>
      </c>
      <c r="BG130" s="34" t="str">
        <v/>
      </c>
      <c r="BH130" s="34" t="str">
        <v/>
      </c>
      <c r="BI130" s="34" t="str">
        <v/>
      </c>
      <c r="BJ130" s="34" t="str">
        <v/>
      </c>
      <c r="BK130" s="34" t="str">
        <v>MOTOR</v>
      </c>
      <c r="BL130" s="34">
        <v>1</v>
      </c>
      <c r="BM130" s="34" t="str">
        <v/>
      </c>
      <c r="BN130" s="34" t="str">
        <v/>
      </c>
      <c r="BO130" s="34" t="str">
        <v/>
      </c>
      <c r="BP130" s="34" t="str">
        <v/>
      </c>
      <c r="BQ130" s="34" t="str">
        <v>3х2,5</v>
      </c>
      <c r="BR130" s="34" t="str">
        <v/>
      </c>
      <c r="BS130" s="34" t="str">
        <v/>
      </c>
      <c r="BT130" s="34" t="str">
        <v/>
      </c>
      <c r="BU130" s="34">
        <v>0</v>
      </c>
      <c r="BV130" s="34">
        <v>151</v>
      </c>
      <c r="BW130" s="34">
        <v>1</v>
      </c>
      <c r="BX130" s="34">
        <v>0</v>
      </c>
      <c r="BY130" s="34" t="str">
        <v>Привод (двигатель)</v>
      </c>
      <c r="BZ130">
        <v>7</v>
      </c>
      <c r="CA130" t="str">
        <v>линии</v>
      </c>
    </row>
    <row r="131" spans="1:79" x14ac:dyDescent="0.3">
      <c r="A131" s="39" t="str">
        <v>ЩР-001</v>
      </c>
      <c r="B131" s="42">
        <v>2</v>
      </c>
      <c r="C131" s="42">
        <v>1</v>
      </c>
      <c r="D131" s="75" t="str">
        <v/>
      </c>
      <c r="E131" s="75" t="str">
        <v>авто</v>
      </c>
      <c r="F131" s="76" t="str">
        <v/>
      </c>
      <c r="G131" s="47" t="str">
        <v/>
      </c>
      <c r="H131" s="47" t="str">
        <v>3P С20А</v>
      </c>
      <c r="I131" s="75" t="str">
        <v/>
      </c>
      <c r="J131" s="76" t="str">
        <v/>
      </c>
      <c r="K131" s="76" t="str">
        <v/>
      </c>
      <c r="L131" s="75" t="str">
        <v/>
      </c>
      <c r="M131" s="49" t="str">
        <v/>
      </c>
      <c r="N131" s="76" t="str">
        <v/>
      </c>
      <c r="O131" s="49" t="str">
        <v/>
      </c>
      <c r="P131" s="77" t="str">
        <v/>
      </c>
      <c r="Q131" s="53" t="str">
        <v/>
      </c>
      <c r="R131" s="54" t="str">
        <v>Ввод.1</v>
      </c>
      <c r="S131" s="55" t="str">
        <v>Ввод</v>
      </c>
      <c r="T131" s="56">
        <v>0</v>
      </c>
      <c r="U131" s="56">
        <v>16.380000000000003</v>
      </c>
      <c r="V131" s="42" t="str">
        <v>L1,L2,L3</v>
      </c>
      <c r="W131" s="57" t="str">
        <v>ok</v>
      </c>
      <c r="X131" s="58" t="str">
        <v/>
      </c>
      <c r="Y131" s="75" t="str">
        <v>вручную</v>
      </c>
      <c r="Z131" s="59">
        <v>16.378863980838116</v>
      </c>
      <c r="AA131" s="61">
        <v>20</v>
      </c>
      <c r="AB131" s="61">
        <v>32</v>
      </c>
      <c r="AC131" s="61" t="str">
        <v/>
      </c>
      <c r="AD131" s="62" t="str">
        <v/>
      </c>
      <c r="AE131" s="62" t="str">
        <v/>
      </c>
      <c r="AF131" s="34" t="str">
        <v/>
      </c>
      <c r="AG131" s="34" t="str">
        <v/>
      </c>
      <c r="AH131" s="34" t="str">
        <v/>
      </c>
      <c r="AI131" s="34" t="str">
        <v/>
      </c>
      <c r="AJ131" s="34" t="str">
        <v/>
      </c>
      <c r="AK131" s="34">
        <v>3</v>
      </c>
      <c r="AL131" s="34" t="str">
        <v>Ввод</v>
      </c>
      <c r="AM131" s="34">
        <v>0</v>
      </c>
      <c r="AN131" s="34">
        <v>0</v>
      </c>
      <c r="AO131" s="34">
        <v>20</v>
      </c>
      <c r="AP131" s="34">
        <v>32</v>
      </c>
      <c r="AQ131" s="34">
        <v>20</v>
      </c>
      <c r="AR131" s="34">
        <v>3</v>
      </c>
      <c r="AS131" s="34">
        <v>0</v>
      </c>
      <c r="AT131" s="34" t="str">
        <v>3P</v>
      </c>
      <c r="AU131" s="34">
        <v>20</v>
      </c>
      <c r="AV131" s="34" t="str">
        <v/>
      </c>
      <c r="AW131" s="34" t="str">
        <v/>
      </c>
      <c r="AX131" s="34" t="str">
        <v/>
      </c>
      <c r="AY131" s="34">
        <v>0</v>
      </c>
      <c r="AZ131" s="34" t="str">
        <v/>
      </c>
      <c r="BA131" s="34">
        <v>0</v>
      </c>
      <c r="BB131" s="34">
        <v>0</v>
      </c>
      <c r="BD131" s="34">
        <v>0</v>
      </c>
      <c r="BE131" s="34">
        <v>0</v>
      </c>
      <c r="BF131" s="34">
        <v>0</v>
      </c>
      <c r="BG131" s="34" t="str">
        <v/>
      </c>
      <c r="BH131" s="34" t="str">
        <v/>
      </c>
      <c r="BI131" s="34" t="str">
        <v/>
      </c>
      <c r="BJ131" s="34" t="str">
        <v/>
      </c>
      <c r="BK131" s="34" t="str">
        <v>BOX</v>
      </c>
      <c r="BL131" s="34">
        <v>1</v>
      </c>
      <c r="BM131" s="34" t="str">
        <v/>
      </c>
      <c r="BN131" s="34" t="str">
        <v/>
      </c>
      <c r="BO131" s="34" t="str">
        <v/>
      </c>
      <c r="BP131" s="34" t="str">
        <v/>
      </c>
      <c r="BQ131" s="34" t="str">
        <v/>
      </c>
      <c r="BR131" s="34" t="str">
        <v/>
      </c>
      <c r="BS131" s="34" t="str">
        <v/>
      </c>
      <c r="BT131" s="34" t="str">
        <v/>
      </c>
      <c r="BU131" s="34">
        <v>0</v>
      </c>
      <c r="BV131" s="34">
        <v>152</v>
      </c>
      <c r="BW131" s="34">
        <v>0</v>
      </c>
      <c r="BX131" s="34">
        <v>0</v>
      </c>
      <c r="BY131" s="34">
        <v>0</v>
      </c>
      <c r="BZ131">
        <v>8</v>
      </c>
      <c r="CA131" t="str">
        <v>вводной узел</v>
      </c>
    </row>
    <row r="132" spans="1:79" x14ac:dyDescent="0.3">
      <c r="A132" s="39" t="str">
        <v>ЩР-001</v>
      </c>
      <c r="B132" s="42">
        <v>18</v>
      </c>
      <c r="C132" s="42">
        <v>2</v>
      </c>
      <c r="D132" s="75" t="str">
        <v/>
      </c>
      <c r="E132" s="75" t="str">
        <v>авто</v>
      </c>
      <c r="F132" s="76">
        <v>30</v>
      </c>
      <c r="G132" s="47" t="str">
        <v>QFD1</v>
      </c>
      <c r="H132" s="47" t="str">
        <v>2P С16А 30мА</v>
      </c>
      <c r="I132" s="75" t="str">
        <v/>
      </c>
      <c r="J132" s="76" t="str">
        <v/>
      </c>
      <c r="K132" s="76" t="str">
        <v/>
      </c>
      <c r="L132" s="75" t="str">
        <v/>
      </c>
      <c r="M132" s="49" t="str">
        <v/>
      </c>
      <c r="N132" s="76" t="str">
        <v/>
      </c>
      <c r="O132" s="49" t="str">
        <v/>
      </c>
      <c r="P132" s="77" t="str">
        <v>XT1</v>
      </c>
      <c r="Q132" s="53" t="str">
        <v>ВВГнг(А)-LS (3х2,5) L=126-2,82%</v>
      </c>
      <c r="R132" s="54" t="str">
        <v>R.00.001Б.1</v>
      </c>
      <c r="S132" s="55" t="str">
        <v>Розеточная группа, пом. 001Б</v>
      </c>
      <c r="T132" s="56">
        <v>0.65999999999999992</v>
      </c>
      <c r="U132" s="56">
        <v>3.01</v>
      </c>
      <c r="V132" s="42" t="str">
        <v>L3</v>
      </c>
      <c r="W132" s="57" t="str">
        <v>ok</v>
      </c>
      <c r="X132" s="58" t="str">
        <v/>
      </c>
      <c r="Y132" s="75" t="str">
        <v/>
      </c>
      <c r="Z132" s="59">
        <v>3.008298771040681</v>
      </c>
      <c r="AA132" s="61">
        <v>16</v>
      </c>
      <c r="AB132" s="61">
        <v>25</v>
      </c>
      <c r="AC132" s="61" t="str">
        <v/>
      </c>
      <c r="AD132" s="62" t="str">
        <v>QFD1 → XT1</v>
      </c>
      <c r="AE132" s="62" t="str">
        <v>потери 4,4 % &gt; 4,13 %</v>
      </c>
      <c r="AF132" s="34">
        <v>1</v>
      </c>
      <c r="AG132" s="34" t="str">
        <v>QFD1</v>
      </c>
      <c r="AH132" s="34" t="str">
        <v/>
      </c>
      <c r="AI132" s="34" t="str">
        <v/>
      </c>
      <c r="AJ132" s="34" t="str">
        <v>QFD1</v>
      </c>
      <c r="AK132" s="34">
        <v>1</v>
      </c>
      <c r="AL132" s="34" t="str">
        <v>R</v>
      </c>
      <c r="AM132" s="34">
        <v>30</v>
      </c>
      <c r="AN132" s="34">
        <v>0</v>
      </c>
      <c r="AO132" s="34">
        <v>16</v>
      </c>
      <c r="AP132" s="34">
        <v>25</v>
      </c>
      <c r="AQ132" s="34">
        <v>16</v>
      </c>
      <c r="AR132" s="34">
        <v>1</v>
      </c>
      <c r="AS132" s="34">
        <v>1</v>
      </c>
      <c r="AT132" s="34" t="str">
        <v>2P</v>
      </c>
      <c r="AU132" s="34">
        <v>16</v>
      </c>
      <c r="AV132" s="34" t="str">
        <v/>
      </c>
      <c r="AW132" s="34" t="str">
        <v/>
      </c>
      <c r="AX132" s="34" t="str">
        <v/>
      </c>
      <c r="AY132" s="34">
        <v>1</v>
      </c>
      <c r="AZ132" s="34" t="str">
        <v/>
      </c>
      <c r="BA132" s="34">
        <v>0</v>
      </c>
      <c r="BB132" s="34">
        <v>16</v>
      </c>
      <c r="BD132" s="34">
        <v>1</v>
      </c>
      <c r="BE132" s="34">
        <v>0</v>
      </c>
      <c r="BF132" s="34">
        <v>1</v>
      </c>
      <c r="BG132" s="34" t="str">
        <v/>
      </c>
      <c r="BH132" s="34" t="str">
        <v/>
      </c>
      <c r="BI132" s="34" t="str">
        <v/>
      </c>
      <c r="BJ132" s="34" t="str">
        <v/>
      </c>
      <c r="BK132" s="34" t="str">
        <v>SOCKET</v>
      </c>
      <c r="BL132" s="34">
        <v>1</v>
      </c>
      <c r="BM132" s="34">
        <v>17</v>
      </c>
      <c r="BN132" s="34" t="str">
        <v/>
      </c>
      <c r="BO132" s="34" t="str">
        <v/>
      </c>
      <c r="BP132" s="34" t="str">
        <v/>
      </c>
      <c r="BQ132" s="34" t="str">
        <v>3х2,5</v>
      </c>
      <c r="BR132" s="34" t="str">
        <v/>
      </c>
      <c r="BS132" s="34" t="str">
        <v/>
      </c>
      <c r="BT132" s="34" t="str">
        <v/>
      </c>
      <c r="BU132" s="34">
        <v>1</v>
      </c>
      <c r="BV132" s="34">
        <v>153</v>
      </c>
      <c r="BW132" s="34">
        <v>1</v>
      </c>
      <c r="BX132" s="34">
        <v>0</v>
      </c>
      <c r="BY132" s="34" t="str">
        <v>Розетка</v>
      </c>
      <c r="BZ132">
        <v>8</v>
      </c>
      <c r="CA132" t="str">
        <v>линии</v>
      </c>
    </row>
    <row r="133" spans="1:79" x14ac:dyDescent="0.3">
      <c r="A133" s="39" t="str">
        <v>ЩР-001</v>
      </c>
      <c r="B133" s="42">
        <v>19</v>
      </c>
      <c r="C133" s="42">
        <v>2</v>
      </c>
      <c r="D133" s="75" t="str">
        <v/>
      </c>
      <c r="E133" s="75" t="str">
        <v>авто</v>
      </c>
      <c r="F133" s="76">
        <v>30</v>
      </c>
      <c r="G133" s="47" t="str">
        <v>QFD2</v>
      </c>
      <c r="H133" s="47" t="str">
        <v>2P С16А 30мА</v>
      </c>
      <c r="I133" s="75" t="str">
        <v/>
      </c>
      <c r="J133" s="76" t="str">
        <v/>
      </c>
      <c r="K133" s="76" t="str">
        <v/>
      </c>
      <c r="L133" s="75" t="str">
        <v/>
      </c>
      <c r="M133" s="49" t="str">
        <v/>
      </c>
      <c r="N133" s="76" t="str">
        <v/>
      </c>
      <c r="O133" s="49" t="str">
        <v/>
      </c>
      <c r="P133" s="77" t="str">
        <v>XT2</v>
      </c>
      <c r="Q133" s="53" t="str">
        <v>ВВГнг(А)-LS (3х2,5) L=39-0,4%</v>
      </c>
      <c r="R133" s="54" t="str">
        <v>R.00.003Т.1</v>
      </c>
      <c r="S133" s="55" t="str">
        <v>Розеточная группа, пом. 003Т</v>
      </c>
      <c r="T133" s="56">
        <v>0.3</v>
      </c>
      <c r="U133" s="56">
        <v>1.37</v>
      </c>
      <c r="V133" s="42" t="str">
        <v>L2</v>
      </c>
      <c r="W133" s="57" t="str">
        <v>ok</v>
      </c>
      <c r="X133" s="58" t="str">
        <v/>
      </c>
      <c r="Y133" s="75" t="str">
        <v/>
      </c>
      <c r="Z133" s="59">
        <v>1.3674085322912188</v>
      </c>
      <c r="AA133" s="61">
        <v>16</v>
      </c>
      <c r="AB133" s="61">
        <v>25</v>
      </c>
      <c r="AC133" s="61" t="str">
        <v/>
      </c>
      <c r="AD133" s="62" t="str">
        <v>QFD2 → XT2</v>
      </c>
      <c r="AE133" s="62" t="str">
        <v/>
      </c>
      <c r="AF133" s="34">
        <v>2</v>
      </c>
      <c r="AG133" s="34" t="str">
        <v>QFD2</v>
      </c>
      <c r="AH133" s="34" t="str">
        <v/>
      </c>
      <c r="AI133" s="34" t="str">
        <v/>
      </c>
      <c r="AJ133" s="34" t="str">
        <v>QFD2</v>
      </c>
      <c r="AK133" s="34">
        <v>1</v>
      </c>
      <c r="AL133" s="34" t="str">
        <v>R</v>
      </c>
      <c r="AM133" s="34">
        <v>30</v>
      </c>
      <c r="AN133" s="34">
        <v>0</v>
      </c>
      <c r="AO133" s="34">
        <v>16</v>
      </c>
      <c r="AP133" s="34">
        <v>25</v>
      </c>
      <c r="AQ133" s="34">
        <v>16</v>
      </c>
      <c r="AR133" s="34">
        <v>1</v>
      </c>
      <c r="AS133" s="34">
        <v>1</v>
      </c>
      <c r="AT133" s="34" t="str">
        <v>2P</v>
      </c>
      <c r="AU133" s="34">
        <v>16</v>
      </c>
      <c r="AV133" s="34" t="str">
        <v/>
      </c>
      <c r="AW133" s="34" t="str">
        <v/>
      </c>
      <c r="AX133" s="34" t="str">
        <v/>
      </c>
      <c r="AY133" s="34">
        <v>1</v>
      </c>
      <c r="AZ133" s="34" t="str">
        <v/>
      </c>
      <c r="BA133" s="34">
        <v>0</v>
      </c>
      <c r="BB133" s="34">
        <v>16</v>
      </c>
      <c r="BD133" s="34">
        <v>1</v>
      </c>
      <c r="BE133" s="34">
        <v>0</v>
      </c>
      <c r="BF133" s="34">
        <v>1</v>
      </c>
      <c r="BG133" s="34" t="str">
        <v/>
      </c>
      <c r="BH133" s="34" t="str">
        <v/>
      </c>
      <c r="BI133" s="34" t="str">
        <v/>
      </c>
      <c r="BJ133" s="34" t="str">
        <v/>
      </c>
      <c r="BK133" s="34" t="str">
        <v>SOCKET</v>
      </c>
      <c r="BL133" s="34">
        <v>1</v>
      </c>
      <c r="BM133" s="34" t="str">
        <v/>
      </c>
      <c r="BN133" s="34" t="str">
        <v/>
      </c>
      <c r="BO133" s="34" t="str">
        <v/>
      </c>
      <c r="BP133" s="34" t="str">
        <v/>
      </c>
      <c r="BQ133" s="34" t="str">
        <v>3х2,5</v>
      </c>
      <c r="BR133" s="34" t="str">
        <v/>
      </c>
      <c r="BS133" s="34" t="str">
        <v/>
      </c>
      <c r="BT133" s="34" t="str">
        <v/>
      </c>
      <c r="BU133" s="34">
        <v>0</v>
      </c>
      <c r="BV133" s="34">
        <v>154</v>
      </c>
      <c r="BW133" s="34">
        <v>1</v>
      </c>
      <c r="BX133" s="34">
        <v>0</v>
      </c>
      <c r="BY133" s="34" t="str">
        <v>Розетка</v>
      </c>
      <c r="BZ133">
        <v>8</v>
      </c>
      <c r="CA133" t="str">
        <v>линии</v>
      </c>
    </row>
    <row r="134" spans="1:79" x14ac:dyDescent="0.3">
      <c r="A134" s="39" t="str">
        <v>ЩР-001</v>
      </c>
      <c r="B134" s="42">
        <v>20</v>
      </c>
      <c r="C134" s="42">
        <v>2</v>
      </c>
      <c r="D134" s="75" t="str">
        <v/>
      </c>
      <c r="E134" s="75" t="str">
        <v>авто</v>
      </c>
      <c r="F134" s="76">
        <v>30</v>
      </c>
      <c r="G134" s="47" t="str">
        <v>QFD3</v>
      </c>
      <c r="H134" s="47" t="str">
        <v>2P С16А 30мА</v>
      </c>
      <c r="I134" s="75" t="str">
        <v/>
      </c>
      <c r="J134" s="76" t="str">
        <v/>
      </c>
      <c r="K134" s="76" t="str">
        <v/>
      </c>
      <c r="L134" s="75" t="str">
        <v/>
      </c>
      <c r="M134" s="49" t="str">
        <v/>
      </c>
      <c r="N134" s="76" t="str">
        <v/>
      </c>
      <c r="O134" s="49" t="str">
        <v/>
      </c>
      <c r="P134" s="77" t="str">
        <v>XT3</v>
      </c>
      <c r="Q134" s="53" t="str">
        <v>ВВГнг(А)-LS (3х2,5) L=8-0,02%</v>
      </c>
      <c r="R134" s="54" t="str">
        <v>R.00.004Т.1</v>
      </c>
      <c r="S134" s="55" t="str">
        <v>Розеточная группа, пом. 004Т</v>
      </c>
      <c r="T134" s="56">
        <v>0.06</v>
      </c>
      <c r="U134" s="56">
        <v>0.28000000000000003</v>
      </c>
      <c r="V134" s="42" t="str">
        <v>L2</v>
      </c>
      <c r="W134" s="57" t="str">
        <v>ok</v>
      </c>
      <c r="X134" s="58" t="str">
        <v/>
      </c>
      <c r="Y134" s="75" t="str">
        <v/>
      </c>
      <c r="Z134" s="59">
        <v>0.27348170645824377</v>
      </c>
      <c r="AA134" s="61">
        <v>16</v>
      </c>
      <c r="AB134" s="61">
        <v>25</v>
      </c>
      <c r="AC134" s="61" t="str">
        <v/>
      </c>
      <c r="AD134" s="62" t="str">
        <v>QFD3 → XT3</v>
      </c>
      <c r="AE134" s="62" t="str">
        <v/>
      </c>
      <c r="AF134" s="34">
        <v>3</v>
      </c>
      <c r="AG134" s="34" t="str">
        <v>QFD3</v>
      </c>
      <c r="AH134" s="34" t="str">
        <v/>
      </c>
      <c r="AI134" s="34" t="str">
        <v/>
      </c>
      <c r="AJ134" s="34" t="str">
        <v>QFD3</v>
      </c>
      <c r="AK134" s="34">
        <v>1</v>
      </c>
      <c r="AL134" s="34" t="str">
        <v>R</v>
      </c>
      <c r="AM134" s="34">
        <v>30</v>
      </c>
      <c r="AN134" s="34">
        <v>0</v>
      </c>
      <c r="AO134" s="34">
        <v>16</v>
      </c>
      <c r="AP134" s="34">
        <v>25</v>
      </c>
      <c r="AQ134" s="34">
        <v>16</v>
      </c>
      <c r="AR134" s="34">
        <v>1</v>
      </c>
      <c r="AS134" s="34">
        <v>1</v>
      </c>
      <c r="AT134" s="34" t="str">
        <v>2P</v>
      </c>
      <c r="AU134" s="34">
        <v>16</v>
      </c>
      <c r="AV134" s="34" t="str">
        <v/>
      </c>
      <c r="AW134" s="34" t="str">
        <v/>
      </c>
      <c r="AX134" s="34" t="str">
        <v/>
      </c>
      <c r="AY134" s="34">
        <v>1</v>
      </c>
      <c r="AZ134" s="34" t="str">
        <v/>
      </c>
      <c r="BA134" s="34">
        <v>0</v>
      </c>
      <c r="BB134" s="34">
        <v>16</v>
      </c>
      <c r="BD134" s="34">
        <v>1</v>
      </c>
      <c r="BE134" s="34">
        <v>0</v>
      </c>
      <c r="BF134" s="34">
        <v>1</v>
      </c>
      <c r="BG134" s="34" t="str">
        <v/>
      </c>
      <c r="BH134" s="34" t="str">
        <v/>
      </c>
      <c r="BI134" s="34" t="str">
        <v/>
      </c>
      <c r="BJ134" s="34" t="str">
        <v/>
      </c>
      <c r="BK134" s="34" t="str">
        <v>SOCKET</v>
      </c>
      <c r="BL134" s="34">
        <v>1</v>
      </c>
      <c r="BM134" s="34" t="str">
        <v/>
      </c>
      <c r="BN134" s="34" t="str">
        <v/>
      </c>
      <c r="BO134" s="34" t="str">
        <v/>
      </c>
      <c r="BP134" s="34" t="str">
        <v/>
      </c>
      <c r="BQ134" s="34" t="str">
        <v>3х2,5</v>
      </c>
      <c r="BR134" s="34" t="str">
        <v/>
      </c>
      <c r="BS134" s="34" t="str">
        <v/>
      </c>
      <c r="BT134" s="34" t="str">
        <v/>
      </c>
      <c r="BU134" s="34">
        <v>0</v>
      </c>
      <c r="BV134" s="34">
        <v>155</v>
      </c>
      <c r="BW134" s="34">
        <v>1</v>
      </c>
      <c r="BX134" s="34">
        <v>0</v>
      </c>
      <c r="BY134" s="34" t="str">
        <v>Розетка</v>
      </c>
      <c r="BZ134">
        <v>8</v>
      </c>
      <c r="CA134" t="str">
        <v>линии</v>
      </c>
    </row>
    <row r="135" spans="1:79" x14ac:dyDescent="0.3">
      <c r="A135" s="39" t="str">
        <v>ЩР-001</v>
      </c>
      <c r="B135" s="42">
        <v>21</v>
      </c>
      <c r="C135" s="42">
        <v>2</v>
      </c>
      <c r="D135" s="75" t="str">
        <v/>
      </c>
      <c r="E135" s="75" t="str">
        <v>авто</v>
      </c>
      <c r="F135" s="76">
        <v>30</v>
      </c>
      <c r="G135" s="47" t="str">
        <v>QFD4</v>
      </c>
      <c r="H135" s="47" t="str">
        <v>2P С16А 30мА</v>
      </c>
      <c r="I135" s="75" t="str">
        <v/>
      </c>
      <c r="J135" s="76" t="str">
        <v/>
      </c>
      <c r="K135" s="76" t="str">
        <v/>
      </c>
      <c r="L135" s="75" t="str">
        <v/>
      </c>
      <c r="M135" s="49" t="str">
        <v/>
      </c>
      <c r="N135" s="76" t="str">
        <v/>
      </c>
      <c r="O135" s="49" t="str">
        <v/>
      </c>
      <c r="P135" s="77" t="str">
        <v>XT4</v>
      </c>
      <c r="Q135" s="53" t="str">
        <v>ВВГнг(А)-LS (3х2,5) L=27-0,06%</v>
      </c>
      <c r="R135" s="54" t="str">
        <v>R.00.001Тб.1</v>
      </c>
      <c r="S135" s="55" t="str">
        <v>Розеточная группа, пом. 001Тб</v>
      </c>
      <c r="T135" s="56">
        <v>0.06</v>
      </c>
      <c r="U135" s="56">
        <v>0.28000000000000003</v>
      </c>
      <c r="V135" s="42" t="str">
        <v>L2</v>
      </c>
      <c r="W135" s="57" t="str">
        <v>ok</v>
      </c>
      <c r="X135" s="58" t="str">
        <v/>
      </c>
      <c r="Y135" s="75" t="str">
        <v/>
      </c>
      <c r="Z135" s="59">
        <v>0.27348170645824377</v>
      </c>
      <c r="AA135" s="61">
        <v>16</v>
      </c>
      <c r="AB135" s="61">
        <v>25</v>
      </c>
      <c r="AC135" s="61" t="str">
        <v/>
      </c>
      <c r="AD135" s="62" t="str">
        <v>QFD4 → XT4</v>
      </c>
      <c r="AE135" s="62" t="str">
        <v/>
      </c>
      <c r="AF135" s="34">
        <v>4</v>
      </c>
      <c r="AG135" s="34" t="str">
        <v>QFD4</v>
      </c>
      <c r="AH135" s="34" t="str">
        <v/>
      </c>
      <c r="AI135" s="34" t="str">
        <v/>
      </c>
      <c r="AJ135" s="34" t="str">
        <v>QFD4</v>
      </c>
      <c r="AK135" s="34">
        <v>1</v>
      </c>
      <c r="AL135" s="34" t="str">
        <v>R</v>
      </c>
      <c r="AM135" s="34">
        <v>30</v>
      </c>
      <c r="AN135" s="34">
        <v>0</v>
      </c>
      <c r="AO135" s="34">
        <v>16</v>
      </c>
      <c r="AP135" s="34">
        <v>25</v>
      </c>
      <c r="AQ135" s="34">
        <v>16</v>
      </c>
      <c r="AR135" s="34">
        <v>1</v>
      </c>
      <c r="AS135" s="34">
        <v>1</v>
      </c>
      <c r="AT135" s="34" t="str">
        <v>2P</v>
      </c>
      <c r="AU135" s="34">
        <v>16</v>
      </c>
      <c r="AV135" s="34" t="str">
        <v/>
      </c>
      <c r="AW135" s="34" t="str">
        <v/>
      </c>
      <c r="AX135" s="34" t="str">
        <v/>
      </c>
      <c r="AY135" s="34">
        <v>1</v>
      </c>
      <c r="AZ135" s="34" t="str">
        <v/>
      </c>
      <c r="BA135" s="34">
        <v>0</v>
      </c>
      <c r="BB135" s="34">
        <v>16</v>
      </c>
      <c r="BD135" s="34">
        <v>1</v>
      </c>
      <c r="BE135" s="34">
        <v>0</v>
      </c>
      <c r="BF135" s="34">
        <v>1</v>
      </c>
      <c r="BG135" s="34" t="str">
        <v/>
      </c>
      <c r="BH135" s="34" t="str">
        <v/>
      </c>
      <c r="BI135" s="34" t="str">
        <v/>
      </c>
      <c r="BJ135" s="34" t="str">
        <v/>
      </c>
      <c r="BK135" s="34" t="str">
        <v>SOCKET</v>
      </c>
      <c r="BL135" s="34">
        <v>1</v>
      </c>
      <c r="BM135" s="34" t="str">
        <v/>
      </c>
      <c r="BN135" s="34" t="str">
        <v/>
      </c>
      <c r="BO135" s="34" t="str">
        <v/>
      </c>
      <c r="BP135" s="34" t="str">
        <v/>
      </c>
      <c r="BQ135" s="34" t="str">
        <v>3х2,5</v>
      </c>
      <c r="BR135" s="34" t="str">
        <v/>
      </c>
      <c r="BS135" s="34" t="str">
        <v/>
      </c>
      <c r="BT135" s="34" t="str">
        <v/>
      </c>
      <c r="BU135" s="34">
        <v>0</v>
      </c>
      <c r="BV135" s="34">
        <v>156</v>
      </c>
      <c r="BW135" s="34">
        <v>1</v>
      </c>
      <c r="BX135" s="34">
        <v>0</v>
      </c>
      <c r="BY135" s="34" t="str">
        <v>Розетка</v>
      </c>
      <c r="BZ135">
        <v>8</v>
      </c>
      <c r="CA135" t="str">
        <v>линии</v>
      </c>
    </row>
    <row r="136" spans="1:79" x14ac:dyDescent="0.3">
      <c r="A136" s="39" t="str">
        <v>ЩР-001</v>
      </c>
      <c r="B136" s="42">
        <v>22</v>
      </c>
      <c r="C136" s="42">
        <v>2</v>
      </c>
      <c r="D136" s="75" t="str">
        <v/>
      </c>
      <c r="E136" s="75" t="str">
        <v>авто</v>
      </c>
      <c r="F136" s="76">
        <v>30</v>
      </c>
      <c r="G136" s="47" t="str">
        <v>QFD5</v>
      </c>
      <c r="H136" s="47" t="str">
        <v>2P С16А 30мА</v>
      </c>
      <c r="I136" s="75" t="str">
        <v/>
      </c>
      <c r="J136" s="76" t="str">
        <v/>
      </c>
      <c r="K136" s="76" t="str">
        <v/>
      </c>
      <c r="L136" s="75" t="str">
        <v/>
      </c>
      <c r="M136" s="49" t="str">
        <v/>
      </c>
      <c r="N136" s="76" t="str">
        <v/>
      </c>
      <c r="O136" s="49" t="str">
        <v/>
      </c>
      <c r="P136" s="77" t="str">
        <v>XT5</v>
      </c>
      <c r="Q136" s="53" t="str">
        <v>ВВГнг(А)-LS (3х2,5) L=63-0,9%</v>
      </c>
      <c r="R136" s="54" t="str">
        <v>R.00.001Б.2</v>
      </c>
      <c r="S136" s="55" t="str">
        <v>Розеточная группа, пом. 001Б</v>
      </c>
      <c r="T136" s="56">
        <v>0.42</v>
      </c>
      <c r="U136" s="56">
        <v>1.92</v>
      </c>
      <c r="V136" s="42" t="str">
        <v>L2</v>
      </c>
      <c r="W136" s="57" t="str">
        <v>ok</v>
      </c>
      <c r="X136" s="58" t="str">
        <v/>
      </c>
      <c r="Y136" s="75" t="str">
        <v/>
      </c>
      <c r="Z136" s="59">
        <v>1.9143719452077064</v>
      </c>
      <c r="AA136" s="61">
        <v>16</v>
      </c>
      <c r="AB136" s="61">
        <v>25</v>
      </c>
      <c r="AC136" s="61" t="str">
        <v/>
      </c>
      <c r="AD136" s="62" t="str">
        <v>QFD5 → XT5</v>
      </c>
      <c r="AE136" s="62" t="str">
        <v/>
      </c>
      <c r="AF136" s="34">
        <v>5</v>
      </c>
      <c r="AG136" s="34" t="str">
        <v>QFD5</v>
      </c>
      <c r="AH136" s="34" t="str">
        <v/>
      </c>
      <c r="AI136" s="34" t="str">
        <v/>
      </c>
      <c r="AJ136" s="34" t="str">
        <v>QFD5</v>
      </c>
      <c r="AK136" s="34">
        <v>1</v>
      </c>
      <c r="AL136" s="34" t="str">
        <v>R</v>
      </c>
      <c r="AM136" s="34">
        <v>30</v>
      </c>
      <c r="AN136" s="34">
        <v>0</v>
      </c>
      <c r="AO136" s="34">
        <v>16</v>
      </c>
      <c r="AP136" s="34">
        <v>25</v>
      </c>
      <c r="AQ136" s="34">
        <v>16</v>
      </c>
      <c r="AR136" s="34">
        <v>1</v>
      </c>
      <c r="AS136" s="34">
        <v>1</v>
      </c>
      <c r="AT136" s="34" t="str">
        <v>2P</v>
      </c>
      <c r="AU136" s="34">
        <v>16</v>
      </c>
      <c r="AV136" s="34" t="str">
        <v/>
      </c>
      <c r="AW136" s="34" t="str">
        <v/>
      </c>
      <c r="AX136" s="34" t="str">
        <v/>
      </c>
      <c r="AY136" s="34">
        <v>1</v>
      </c>
      <c r="AZ136" s="34" t="str">
        <v/>
      </c>
      <c r="BA136" s="34">
        <v>0</v>
      </c>
      <c r="BB136" s="34">
        <v>16</v>
      </c>
      <c r="BD136" s="34">
        <v>1</v>
      </c>
      <c r="BE136" s="34">
        <v>0</v>
      </c>
      <c r="BF136" s="34">
        <v>1</v>
      </c>
      <c r="BG136" s="34" t="str">
        <v/>
      </c>
      <c r="BH136" s="34" t="str">
        <v/>
      </c>
      <c r="BI136" s="34" t="str">
        <v/>
      </c>
      <c r="BJ136" s="34" t="str">
        <v/>
      </c>
      <c r="BK136" s="34" t="str">
        <v>SOCKET</v>
      </c>
      <c r="BL136" s="34">
        <v>1</v>
      </c>
      <c r="BM136" s="34" t="str">
        <v/>
      </c>
      <c r="BN136" s="34" t="str">
        <v/>
      </c>
      <c r="BO136" s="34" t="str">
        <v/>
      </c>
      <c r="BP136" s="34" t="str">
        <v/>
      </c>
      <c r="BQ136" s="34" t="str">
        <v>3х2,5</v>
      </c>
      <c r="BR136" s="34" t="str">
        <v/>
      </c>
      <c r="BS136" s="34" t="str">
        <v/>
      </c>
      <c r="BT136" s="34" t="str">
        <v/>
      </c>
      <c r="BU136" s="34">
        <v>0</v>
      </c>
      <c r="BV136" s="34">
        <v>157</v>
      </c>
      <c r="BW136" s="34">
        <v>1</v>
      </c>
      <c r="BX136" s="34">
        <v>0</v>
      </c>
      <c r="BY136" s="34" t="str">
        <v>Розетка</v>
      </c>
      <c r="BZ136">
        <v>8</v>
      </c>
      <c r="CA136" t="str">
        <v>линии</v>
      </c>
    </row>
    <row r="137" spans="1:79" x14ac:dyDescent="0.3">
      <c r="A137" s="39" t="str">
        <v>ЩР-001</v>
      </c>
      <c r="B137" s="42">
        <v>23</v>
      </c>
      <c r="C137" s="42">
        <v>2</v>
      </c>
      <c r="D137" s="75" t="str">
        <v/>
      </c>
      <c r="E137" s="75" t="str">
        <v>авто</v>
      </c>
      <c r="F137" s="76">
        <v>30</v>
      </c>
      <c r="G137" s="47" t="str">
        <v>QFD6</v>
      </c>
      <c r="H137" s="47" t="str">
        <v>2P С16А 30мА</v>
      </c>
      <c r="I137" s="75" t="str">
        <v/>
      </c>
      <c r="J137" s="76" t="str">
        <v/>
      </c>
      <c r="K137" s="76" t="str">
        <v/>
      </c>
      <c r="L137" s="75" t="str">
        <v/>
      </c>
      <c r="M137" s="49" t="str">
        <v/>
      </c>
      <c r="N137" s="76" t="str">
        <v/>
      </c>
      <c r="O137" s="49" t="str">
        <v/>
      </c>
      <c r="P137" s="77" t="str">
        <v>XT6</v>
      </c>
      <c r="Q137" s="53" t="str">
        <v>ВВГнг(А)-LS (3х2,5) L=62-0,64%</v>
      </c>
      <c r="R137" s="54" t="str">
        <v>R.00.005Т.1</v>
      </c>
      <c r="S137" s="55" t="str">
        <v>Розеточная группа, пом. 005Т</v>
      </c>
      <c r="T137" s="56">
        <v>0.3</v>
      </c>
      <c r="U137" s="56">
        <v>1.37</v>
      </c>
      <c r="V137" s="42" t="str">
        <v>L1</v>
      </c>
      <c r="W137" s="57" t="str">
        <v>ok</v>
      </c>
      <c r="X137" s="58" t="str">
        <v/>
      </c>
      <c r="Y137" s="75" t="str">
        <v/>
      </c>
      <c r="Z137" s="59">
        <v>1.3674085322912188</v>
      </c>
      <c r="AA137" s="61">
        <v>16</v>
      </c>
      <c r="AB137" s="61">
        <v>25</v>
      </c>
      <c r="AC137" s="61" t="str">
        <v/>
      </c>
      <c r="AD137" s="62" t="str">
        <v>QFD6 → XT6</v>
      </c>
      <c r="AE137" s="62" t="str">
        <v/>
      </c>
      <c r="AF137" s="34">
        <v>6</v>
      </c>
      <c r="AG137" s="34" t="str">
        <v>QFD6</v>
      </c>
      <c r="AH137" s="34" t="str">
        <v/>
      </c>
      <c r="AI137" s="34" t="str">
        <v/>
      </c>
      <c r="AJ137" s="34" t="str">
        <v>QFD6</v>
      </c>
      <c r="AK137" s="34">
        <v>1</v>
      </c>
      <c r="AL137" s="34" t="str">
        <v>R</v>
      </c>
      <c r="AM137" s="34">
        <v>30</v>
      </c>
      <c r="AN137" s="34">
        <v>0</v>
      </c>
      <c r="AO137" s="34">
        <v>16</v>
      </c>
      <c r="AP137" s="34">
        <v>25</v>
      </c>
      <c r="AQ137" s="34">
        <v>16</v>
      </c>
      <c r="AR137" s="34">
        <v>1</v>
      </c>
      <c r="AS137" s="34">
        <v>1</v>
      </c>
      <c r="AT137" s="34" t="str">
        <v>2P</v>
      </c>
      <c r="AU137" s="34">
        <v>16</v>
      </c>
      <c r="AV137" s="34" t="str">
        <v/>
      </c>
      <c r="AW137" s="34" t="str">
        <v/>
      </c>
      <c r="AX137" s="34" t="str">
        <v/>
      </c>
      <c r="AY137" s="34">
        <v>1</v>
      </c>
      <c r="AZ137" s="34" t="str">
        <v/>
      </c>
      <c r="BA137" s="34">
        <v>0</v>
      </c>
      <c r="BB137" s="34">
        <v>16</v>
      </c>
      <c r="BD137" s="34">
        <v>1</v>
      </c>
      <c r="BE137" s="34">
        <v>0</v>
      </c>
      <c r="BF137" s="34">
        <v>1</v>
      </c>
      <c r="BG137" s="34" t="str">
        <v/>
      </c>
      <c r="BH137" s="34" t="str">
        <v/>
      </c>
      <c r="BI137" s="34" t="str">
        <v/>
      </c>
      <c r="BJ137" s="34" t="str">
        <v/>
      </c>
      <c r="BK137" s="34" t="str">
        <v>SOCKET</v>
      </c>
      <c r="BL137" s="34">
        <v>1</v>
      </c>
      <c r="BM137" s="34" t="str">
        <v/>
      </c>
      <c r="BN137" s="34" t="str">
        <v/>
      </c>
      <c r="BO137" s="34" t="str">
        <v/>
      </c>
      <c r="BP137" s="34" t="str">
        <v/>
      </c>
      <c r="BQ137" s="34" t="str">
        <v>3х2,5</v>
      </c>
      <c r="BR137" s="34" t="str">
        <v/>
      </c>
      <c r="BS137" s="34" t="str">
        <v/>
      </c>
      <c r="BT137" s="34" t="str">
        <v/>
      </c>
      <c r="BU137" s="34">
        <v>0</v>
      </c>
      <c r="BV137" s="34">
        <v>158</v>
      </c>
      <c r="BW137" s="34">
        <v>1</v>
      </c>
      <c r="BX137" s="34">
        <v>0</v>
      </c>
      <c r="BY137" s="34" t="str">
        <v>Розетка</v>
      </c>
      <c r="BZ137">
        <v>8</v>
      </c>
      <c r="CA137" t="str">
        <v>линии</v>
      </c>
    </row>
    <row r="138" spans="1:79" x14ac:dyDescent="0.3">
      <c r="A138" s="39" t="str">
        <v>ЩР-001</v>
      </c>
      <c r="B138" s="42">
        <v>24</v>
      </c>
      <c r="C138" s="42">
        <v>2</v>
      </c>
      <c r="D138" s="75" t="str">
        <v/>
      </c>
      <c r="E138" s="75" t="str">
        <v>авто</v>
      </c>
      <c r="F138" s="76">
        <v>30</v>
      </c>
      <c r="G138" s="47" t="str">
        <v>QFD7</v>
      </c>
      <c r="H138" s="47" t="str">
        <v>2P С16А 30мА</v>
      </c>
      <c r="I138" s="75" t="str">
        <v/>
      </c>
      <c r="J138" s="76" t="str">
        <v/>
      </c>
      <c r="K138" s="76" t="str">
        <v/>
      </c>
      <c r="L138" s="75" t="str">
        <v/>
      </c>
      <c r="M138" s="49" t="str">
        <v/>
      </c>
      <c r="N138" s="76" t="str">
        <v/>
      </c>
      <c r="O138" s="49" t="str">
        <v/>
      </c>
      <c r="P138" s="77" t="str">
        <v>XT7</v>
      </c>
      <c r="Q138" s="53" t="str">
        <v>ВВГнг(А)-LS (3х2,5) L=31-0,19%</v>
      </c>
      <c r="R138" s="54" t="str">
        <v>R.00.002Т.1</v>
      </c>
      <c r="S138" s="55" t="str">
        <v>Розеточная группа, пом. 002Т</v>
      </c>
      <c r="T138" s="56">
        <v>0.18</v>
      </c>
      <c r="U138" s="56">
        <v>0.83</v>
      </c>
      <c r="V138" s="42" t="str">
        <v>L1</v>
      </c>
      <c r="W138" s="57" t="str">
        <v>ok</v>
      </c>
      <c r="X138" s="58" t="str">
        <v/>
      </c>
      <c r="Y138" s="75" t="str">
        <v/>
      </c>
      <c r="Z138" s="59">
        <v>0.8204451193747313</v>
      </c>
      <c r="AA138" s="61">
        <v>16</v>
      </c>
      <c r="AB138" s="61">
        <v>25</v>
      </c>
      <c r="AC138" s="61" t="str">
        <v/>
      </c>
      <c r="AD138" s="62" t="str">
        <v>QFD7 → XT7</v>
      </c>
      <c r="AE138" s="62" t="str">
        <v/>
      </c>
      <c r="AF138" s="34">
        <v>7</v>
      </c>
      <c r="AG138" s="34" t="str">
        <v>QFD7</v>
      </c>
      <c r="AH138" s="34" t="str">
        <v/>
      </c>
      <c r="AI138" s="34" t="str">
        <v/>
      </c>
      <c r="AJ138" s="34" t="str">
        <v>QFD7</v>
      </c>
      <c r="AK138" s="34">
        <v>1</v>
      </c>
      <c r="AL138" s="34" t="str">
        <v>R</v>
      </c>
      <c r="AM138" s="34">
        <v>30</v>
      </c>
      <c r="AN138" s="34">
        <v>0</v>
      </c>
      <c r="AO138" s="34">
        <v>16</v>
      </c>
      <c r="AP138" s="34">
        <v>25</v>
      </c>
      <c r="AQ138" s="34">
        <v>16</v>
      </c>
      <c r="AR138" s="34">
        <v>1</v>
      </c>
      <c r="AS138" s="34">
        <v>1</v>
      </c>
      <c r="AT138" s="34" t="str">
        <v>2P</v>
      </c>
      <c r="AU138" s="34">
        <v>16</v>
      </c>
      <c r="AV138" s="34" t="str">
        <v/>
      </c>
      <c r="AW138" s="34" t="str">
        <v/>
      </c>
      <c r="AX138" s="34" t="str">
        <v/>
      </c>
      <c r="AY138" s="34">
        <v>1</v>
      </c>
      <c r="AZ138" s="34" t="str">
        <v/>
      </c>
      <c r="BA138" s="34">
        <v>0</v>
      </c>
      <c r="BB138" s="34">
        <v>16</v>
      </c>
      <c r="BD138" s="34">
        <v>1</v>
      </c>
      <c r="BE138" s="34">
        <v>0</v>
      </c>
      <c r="BF138" s="34">
        <v>1</v>
      </c>
      <c r="BG138" s="34" t="str">
        <v/>
      </c>
      <c r="BH138" s="34" t="str">
        <v/>
      </c>
      <c r="BI138" s="34" t="str">
        <v/>
      </c>
      <c r="BJ138" s="34" t="str">
        <v/>
      </c>
      <c r="BK138" s="34" t="str">
        <v>SOCKET</v>
      </c>
      <c r="BL138" s="34">
        <v>1</v>
      </c>
      <c r="BM138" s="34" t="str">
        <v/>
      </c>
      <c r="BN138" s="34" t="str">
        <v/>
      </c>
      <c r="BO138" s="34" t="str">
        <v/>
      </c>
      <c r="BP138" s="34" t="str">
        <v/>
      </c>
      <c r="BQ138" s="34" t="str">
        <v>3х2,5</v>
      </c>
      <c r="BR138" s="34" t="str">
        <v/>
      </c>
      <c r="BS138" s="34" t="str">
        <v/>
      </c>
      <c r="BT138" s="34" t="str">
        <v/>
      </c>
      <c r="BU138" s="34">
        <v>0</v>
      </c>
      <c r="BV138" s="34">
        <v>159</v>
      </c>
      <c r="BW138" s="34">
        <v>1</v>
      </c>
      <c r="BX138" s="34">
        <v>0</v>
      </c>
      <c r="BY138" s="34" t="str">
        <v>Розетка</v>
      </c>
      <c r="BZ138">
        <v>8</v>
      </c>
      <c r="CA138" t="str">
        <v>линии</v>
      </c>
    </row>
    <row r="139" spans="1:79" x14ac:dyDescent="0.3">
      <c r="A139" s="39" t="str">
        <v>ЩР-001</v>
      </c>
      <c r="B139" s="42">
        <v>25</v>
      </c>
      <c r="C139" s="42">
        <v>2</v>
      </c>
      <c r="D139" s="75" t="str">
        <v/>
      </c>
      <c r="E139" s="75" t="str">
        <v>авто</v>
      </c>
      <c r="F139" s="76">
        <v>30</v>
      </c>
      <c r="G139" s="47" t="str">
        <v>QFD8</v>
      </c>
      <c r="H139" s="47" t="str">
        <v>2P С16А 30мА</v>
      </c>
      <c r="I139" s="75" t="str">
        <v/>
      </c>
      <c r="J139" s="76" t="str">
        <v/>
      </c>
      <c r="K139" s="76" t="str">
        <v/>
      </c>
      <c r="L139" s="75" t="str">
        <v/>
      </c>
      <c r="M139" s="49" t="str">
        <v/>
      </c>
      <c r="N139" s="76" t="str">
        <v/>
      </c>
      <c r="O139" s="49" t="str">
        <v/>
      </c>
      <c r="P139" s="77" t="str">
        <v>XT8</v>
      </c>
      <c r="Q139" s="53" t="str">
        <v>ВВГнг(А)-LS (3х2,5) L=95-1,16%</v>
      </c>
      <c r="R139" s="54" t="str">
        <v>R.00.001А.1</v>
      </c>
      <c r="S139" s="55" t="str">
        <v>Розеточная группа, пом. 001А</v>
      </c>
      <c r="T139" s="56">
        <v>0.36</v>
      </c>
      <c r="U139" s="56">
        <v>1.65</v>
      </c>
      <c r="V139" s="42" t="str">
        <v>L1</v>
      </c>
      <c r="W139" s="57" t="str">
        <v>ok</v>
      </c>
      <c r="X139" s="58" t="str">
        <v/>
      </c>
      <c r="Y139" s="75" t="str">
        <v/>
      </c>
      <c r="Z139" s="59">
        <v>1.6408902387494626</v>
      </c>
      <c r="AA139" s="61">
        <v>16</v>
      </c>
      <c r="AB139" s="61">
        <v>25</v>
      </c>
      <c r="AC139" s="61" t="str">
        <v/>
      </c>
      <c r="AD139" s="62" t="str">
        <v>QFD8 → XT8</v>
      </c>
      <c r="AE139" s="62" t="str">
        <v/>
      </c>
      <c r="AF139" s="34">
        <v>8</v>
      </c>
      <c r="AG139" s="34" t="str">
        <v>QFD8</v>
      </c>
      <c r="AH139" s="34" t="str">
        <v/>
      </c>
      <c r="AI139" s="34" t="str">
        <v/>
      </c>
      <c r="AJ139" s="34" t="str">
        <v>QFD8</v>
      </c>
      <c r="AK139" s="34">
        <v>1</v>
      </c>
      <c r="AL139" s="34" t="str">
        <v>R</v>
      </c>
      <c r="AM139" s="34">
        <v>30</v>
      </c>
      <c r="AN139" s="34">
        <v>0</v>
      </c>
      <c r="AO139" s="34">
        <v>16</v>
      </c>
      <c r="AP139" s="34">
        <v>25</v>
      </c>
      <c r="AQ139" s="34">
        <v>16</v>
      </c>
      <c r="AR139" s="34">
        <v>1</v>
      </c>
      <c r="AS139" s="34">
        <v>1</v>
      </c>
      <c r="AT139" s="34" t="str">
        <v>2P</v>
      </c>
      <c r="AU139" s="34">
        <v>16</v>
      </c>
      <c r="AV139" s="34" t="str">
        <v/>
      </c>
      <c r="AW139" s="34" t="str">
        <v/>
      </c>
      <c r="AX139" s="34" t="str">
        <v/>
      </c>
      <c r="AY139" s="34">
        <v>1</v>
      </c>
      <c r="AZ139" s="34" t="str">
        <v/>
      </c>
      <c r="BA139" s="34">
        <v>0</v>
      </c>
      <c r="BB139" s="34">
        <v>16</v>
      </c>
      <c r="BD139" s="34">
        <v>1</v>
      </c>
      <c r="BE139" s="34">
        <v>0</v>
      </c>
      <c r="BF139" s="34">
        <v>1</v>
      </c>
      <c r="BG139" s="34" t="str">
        <v/>
      </c>
      <c r="BH139" s="34" t="str">
        <v/>
      </c>
      <c r="BI139" s="34" t="str">
        <v/>
      </c>
      <c r="BJ139" s="34" t="str">
        <v/>
      </c>
      <c r="BK139" s="34" t="str">
        <v>SOCKET</v>
      </c>
      <c r="BL139" s="34">
        <v>1</v>
      </c>
      <c r="BM139" s="34" t="str">
        <v/>
      </c>
      <c r="BN139" s="34" t="str">
        <v/>
      </c>
      <c r="BO139" s="34" t="str">
        <v/>
      </c>
      <c r="BP139" s="34" t="str">
        <v/>
      </c>
      <c r="BQ139" s="34" t="str">
        <v>3х2,5</v>
      </c>
      <c r="BR139" s="34" t="str">
        <v/>
      </c>
      <c r="BS139" s="34" t="str">
        <v/>
      </c>
      <c r="BT139" s="34" t="str">
        <v/>
      </c>
      <c r="BU139" s="34">
        <v>0</v>
      </c>
      <c r="BV139" s="34">
        <v>160</v>
      </c>
      <c r="BW139" s="34">
        <v>1</v>
      </c>
      <c r="BX139" s="34">
        <v>0</v>
      </c>
      <c r="BY139" s="34" t="str">
        <v>Розетка</v>
      </c>
      <c r="BZ139">
        <v>8</v>
      </c>
      <c r="CA139" t="str">
        <v>линии</v>
      </c>
    </row>
    <row r="140" spans="1:79" x14ac:dyDescent="0.3">
      <c r="A140" s="39" t="str">
        <v>ЩР-001</v>
      </c>
      <c r="B140" s="42">
        <v>26</v>
      </c>
      <c r="C140" s="42">
        <v>2</v>
      </c>
      <c r="D140" s="75" t="str">
        <v/>
      </c>
      <c r="E140" s="75" t="str">
        <v>авто</v>
      </c>
      <c r="F140" s="76">
        <v>30</v>
      </c>
      <c r="G140" s="47" t="str">
        <v>QFD9</v>
      </c>
      <c r="H140" s="47" t="str">
        <v>2P С16А 30мА</v>
      </c>
      <c r="I140" s="75" t="str">
        <v/>
      </c>
      <c r="J140" s="76" t="str">
        <v/>
      </c>
      <c r="K140" s="76" t="str">
        <v/>
      </c>
      <c r="L140" s="75" t="str">
        <v/>
      </c>
      <c r="M140" s="49" t="str">
        <v/>
      </c>
      <c r="N140" s="76" t="str">
        <v/>
      </c>
      <c r="O140" s="49" t="str">
        <v/>
      </c>
      <c r="P140" s="77" t="str">
        <v>XT9</v>
      </c>
      <c r="Q140" s="53" t="str">
        <v>ВВГнг(А)-LS (3х2,5) L=48-0,3%</v>
      </c>
      <c r="R140" s="54" t="str">
        <v>R.00.005А.1</v>
      </c>
      <c r="S140" s="55" t="str">
        <v>Розеточная группа, пом. 005А</v>
      </c>
      <c r="T140" s="56">
        <v>0.18</v>
      </c>
      <c r="U140" s="56">
        <v>0.83</v>
      </c>
      <c r="V140" s="42" t="str">
        <v>L3</v>
      </c>
      <c r="W140" s="57" t="str">
        <v>ok</v>
      </c>
      <c r="X140" s="58" t="str">
        <v/>
      </c>
      <c r="Y140" s="75" t="str">
        <v/>
      </c>
      <c r="Z140" s="59">
        <v>0.8204451193747313</v>
      </c>
      <c r="AA140" s="61">
        <v>16</v>
      </c>
      <c r="AB140" s="61">
        <v>25</v>
      </c>
      <c r="AC140" s="61" t="str">
        <v/>
      </c>
      <c r="AD140" s="62" t="str">
        <v>QFD9 → XT9</v>
      </c>
      <c r="AE140" s="62" t="str">
        <v/>
      </c>
      <c r="AF140" s="34">
        <v>9</v>
      </c>
      <c r="AG140" s="34" t="str">
        <v>QFD9</v>
      </c>
      <c r="AH140" s="34" t="str">
        <v/>
      </c>
      <c r="AI140" s="34" t="str">
        <v/>
      </c>
      <c r="AJ140" s="34" t="str">
        <v>QFD9</v>
      </c>
      <c r="AK140" s="34">
        <v>1</v>
      </c>
      <c r="AL140" s="34" t="str">
        <v>R</v>
      </c>
      <c r="AM140" s="34">
        <v>30</v>
      </c>
      <c r="AN140" s="34">
        <v>0</v>
      </c>
      <c r="AO140" s="34">
        <v>16</v>
      </c>
      <c r="AP140" s="34">
        <v>25</v>
      </c>
      <c r="AQ140" s="34">
        <v>16</v>
      </c>
      <c r="AR140" s="34">
        <v>1</v>
      </c>
      <c r="AS140" s="34">
        <v>1</v>
      </c>
      <c r="AT140" s="34" t="str">
        <v>2P</v>
      </c>
      <c r="AU140" s="34">
        <v>16</v>
      </c>
      <c r="AV140" s="34" t="str">
        <v/>
      </c>
      <c r="AW140" s="34" t="str">
        <v/>
      </c>
      <c r="AX140" s="34" t="str">
        <v/>
      </c>
      <c r="AY140" s="34">
        <v>1</v>
      </c>
      <c r="AZ140" s="34" t="str">
        <v/>
      </c>
      <c r="BA140" s="34">
        <v>0</v>
      </c>
      <c r="BB140" s="34">
        <v>16</v>
      </c>
      <c r="BD140" s="34">
        <v>1</v>
      </c>
      <c r="BE140" s="34">
        <v>0</v>
      </c>
      <c r="BF140" s="34">
        <v>1</v>
      </c>
      <c r="BG140" s="34" t="str">
        <v/>
      </c>
      <c r="BH140" s="34" t="str">
        <v/>
      </c>
      <c r="BI140" s="34" t="str">
        <v/>
      </c>
      <c r="BJ140" s="34" t="str">
        <v/>
      </c>
      <c r="BK140" s="34" t="str">
        <v>SOCKET</v>
      </c>
      <c r="BL140" s="34">
        <v>1</v>
      </c>
      <c r="BM140" s="34" t="str">
        <v/>
      </c>
      <c r="BN140" s="34" t="str">
        <v/>
      </c>
      <c r="BO140" s="34" t="str">
        <v/>
      </c>
      <c r="BP140" s="34" t="str">
        <v/>
      </c>
      <c r="BQ140" s="34" t="str">
        <v>3х2,5</v>
      </c>
      <c r="BR140" s="34" t="str">
        <v/>
      </c>
      <c r="BS140" s="34" t="str">
        <v/>
      </c>
      <c r="BT140" s="34" t="str">
        <v/>
      </c>
      <c r="BU140" s="34">
        <v>0</v>
      </c>
      <c r="BV140" s="34">
        <v>161</v>
      </c>
      <c r="BW140" s="34">
        <v>1</v>
      </c>
      <c r="BX140" s="34">
        <v>0</v>
      </c>
      <c r="BY140" s="34" t="str">
        <v>Розетка</v>
      </c>
      <c r="BZ140">
        <v>8</v>
      </c>
      <c r="CA140" t="str">
        <v>линии</v>
      </c>
    </row>
    <row r="141" spans="1:79" x14ac:dyDescent="0.3">
      <c r="A141" s="39" t="str">
        <v>ЩР-001</v>
      </c>
      <c r="B141" s="42">
        <v>29</v>
      </c>
      <c r="C141" s="42">
        <v>2</v>
      </c>
      <c r="D141" s="75" t="str">
        <v/>
      </c>
      <c r="E141" s="75" t="str">
        <v>авто</v>
      </c>
      <c r="F141" s="76">
        <v>30</v>
      </c>
      <c r="G141" s="47" t="str">
        <v>QFD10</v>
      </c>
      <c r="H141" s="47" t="str">
        <v>2P С16А 30мА</v>
      </c>
      <c r="I141" s="75" t="str">
        <v/>
      </c>
      <c r="J141" s="76" t="str">
        <v/>
      </c>
      <c r="K141" s="76" t="str">
        <v/>
      </c>
      <c r="L141" s="75" t="str">
        <v/>
      </c>
      <c r="M141" s="49" t="str">
        <v/>
      </c>
      <c r="N141" s="76" t="str">
        <v/>
      </c>
      <c r="O141" s="49" t="str">
        <v/>
      </c>
      <c r="P141" s="77" t="str">
        <v/>
      </c>
      <c r="Q141" s="53" t="str">
        <v>ВВГнг(А)-LS (3х2,5) L=83-1,02%</v>
      </c>
      <c r="R141" s="54" t="str">
        <v>R.00.004А.1</v>
      </c>
      <c r="S141" s="55" t="str">
        <v>Розеточная группа, пом. 004А</v>
      </c>
      <c r="T141" s="56">
        <v>0.36</v>
      </c>
      <c r="U141" s="56">
        <v>1.65</v>
      </c>
      <c r="V141" s="42" t="str">
        <v>L3</v>
      </c>
      <c r="W141" s="57" t="str">
        <v>ok</v>
      </c>
      <c r="X141" s="58" t="str">
        <v/>
      </c>
      <c r="Y141" s="75" t="str">
        <v/>
      </c>
      <c r="Z141" s="59">
        <v>1.6408902387494626</v>
      </c>
      <c r="AA141" s="61">
        <v>16</v>
      </c>
      <c r="AB141" s="61">
        <v>25</v>
      </c>
      <c r="AC141" s="61" t="str">
        <v/>
      </c>
      <c r="AD141" s="62" t="str">
        <v>QFD10</v>
      </c>
      <c r="AE141" s="62" t="str">
        <v/>
      </c>
      <c r="AF141" s="34">
        <v>10</v>
      </c>
      <c r="AG141" s="34" t="str">
        <v>QFD10</v>
      </c>
      <c r="AH141" s="34" t="str">
        <v/>
      </c>
      <c r="AI141" s="34" t="str">
        <v/>
      </c>
      <c r="AJ141" s="34" t="str">
        <v>QFD10</v>
      </c>
      <c r="AK141" s="34">
        <v>1</v>
      </c>
      <c r="AL141" s="34" t="str">
        <v>R</v>
      </c>
      <c r="AM141" s="34">
        <v>30</v>
      </c>
      <c r="AN141" s="34">
        <v>0</v>
      </c>
      <c r="AO141" s="34">
        <v>16</v>
      </c>
      <c r="AP141" s="34">
        <v>25</v>
      </c>
      <c r="AQ141" s="34">
        <v>16</v>
      </c>
      <c r="AR141" s="34">
        <v>1</v>
      </c>
      <c r="AS141" s="34">
        <v>1</v>
      </c>
      <c r="AT141" s="34" t="str">
        <v>2P</v>
      </c>
      <c r="AU141" s="34">
        <v>16</v>
      </c>
      <c r="AV141" s="34" t="str">
        <v/>
      </c>
      <c r="AW141" s="34" t="str">
        <v/>
      </c>
      <c r="AX141" s="34" t="str">
        <v/>
      </c>
      <c r="AY141" s="34">
        <v>1</v>
      </c>
      <c r="AZ141" s="34" t="str">
        <v/>
      </c>
      <c r="BA141" s="34">
        <v>0</v>
      </c>
      <c r="BB141" s="34">
        <v>16</v>
      </c>
      <c r="BD141" s="34">
        <v>1</v>
      </c>
      <c r="BE141" s="34">
        <v>0</v>
      </c>
      <c r="BF141" s="34">
        <v>1</v>
      </c>
      <c r="BG141" s="34" t="str">
        <v/>
      </c>
      <c r="BH141" s="34" t="str">
        <v/>
      </c>
      <c r="BI141" s="34" t="str">
        <v/>
      </c>
      <c r="BJ141" s="34" t="str">
        <v/>
      </c>
      <c r="BK141" s="34" t="str">
        <v>SOCKET</v>
      </c>
      <c r="BL141" s="34">
        <v>1</v>
      </c>
      <c r="BM141" s="34" t="str">
        <v/>
      </c>
      <c r="BN141" s="34" t="str">
        <v/>
      </c>
      <c r="BO141" s="34" t="str">
        <v/>
      </c>
      <c r="BP141" s="34" t="str">
        <v/>
      </c>
      <c r="BQ141" s="34" t="str">
        <v>3х2,5</v>
      </c>
      <c r="BR141" s="34" t="str">
        <v/>
      </c>
      <c r="BS141" s="34" t="str">
        <v/>
      </c>
      <c r="BT141" s="34" t="str">
        <v/>
      </c>
      <c r="BU141" s="34">
        <v>0</v>
      </c>
      <c r="BV141" s="34">
        <v>162</v>
      </c>
      <c r="BW141" s="34">
        <v>1</v>
      </c>
      <c r="BX141" s="34">
        <v>0</v>
      </c>
      <c r="BY141" s="34" t="str">
        <v>Розетка</v>
      </c>
      <c r="BZ141">
        <v>8</v>
      </c>
      <c r="CA141" t="str">
        <v>линии</v>
      </c>
    </row>
    <row r="142" spans="1:79" x14ac:dyDescent="0.3">
      <c r="A142" s="39" t="str">
        <v>ЩР-001</v>
      </c>
      <c r="B142" s="42">
        <v>30</v>
      </c>
      <c r="C142" s="42">
        <v>2</v>
      </c>
      <c r="D142" s="75" t="str">
        <v/>
      </c>
      <c r="E142" s="75" t="str">
        <v>авто</v>
      </c>
      <c r="F142" s="76">
        <v>30</v>
      </c>
      <c r="G142" s="47" t="str">
        <v>QFD11</v>
      </c>
      <c r="H142" s="47" t="str">
        <v>2P С16А 30мА</v>
      </c>
      <c r="I142" s="75" t="str">
        <v/>
      </c>
      <c r="J142" s="76" t="str">
        <v/>
      </c>
      <c r="K142" s="76" t="str">
        <v/>
      </c>
      <c r="L142" s="75" t="str">
        <v/>
      </c>
      <c r="M142" s="49" t="str">
        <v/>
      </c>
      <c r="N142" s="76" t="str">
        <v/>
      </c>
      <c r="O142" s="49" t="str">
        <v/>
      </c>
      <c r="P142" s="77" t="str">
        <v>XT11</v>
      </c>
      <c r="Q142" s="53" t="str">
        <v>ВВГнг(А)-LS (3х2,5) L=38-0,16%</v>
      </c>
      <c r="R142" s="54" t="str">
        <v>R.00.001А.2</v>
      </c>
      <c r="S142" s="55" t="str">
        <v>Розеточная группа, пом. 001А</v>
      </c>
      <c r="T142" s="56">
        <v>0.12</v>
      </c>
      <c r="U142" s="56">
        <v>0.55000000000000004</v>
      </c>
      <c r="V142" s="42" t="str">
        <v>L1</v>
      </c>
      <c r="W142" s="57" t="str">
        <v>ok</v>
      </c>
      <c r="X142" s="58" t="str">
        <v/>
      </c>
      <c r="Y142" s="75" t="str">
        <v/>
      </c>
      <c r="Z142" s="59">
        <v>0.54696341291648753</v>
      </c>
      <c r="AA142" s="61">
        <v>16</v>
      </c>
      <c r="AB142" s="61">
        <v>25</v>
      </c>
      <c r="AC142" s="61" t="str">
        <v/>
      </c>
      <c r="AD142" s="62" t="str">
        <v>QFD11 → XT11</v>
      </c>
      <c r="AE142" s="62" t="str">
        <v/>
      </c>
      <c r="AF142" s="34">
        <v>11</v>
      </c>
      <c r="AG142" s="34" t="str">
        <v>QFD11</v>
      </c>
      <c r="AH142" s="34" t="str">
        <v/>
      </c>
      <c r="AI142" s="34" t="str">
        <v/>
      </c>
      <c r="AJ142" s="34" t="str">
        <v>QFD11</v>
      </c>
      <c r="AK142" s="34">
        <v>1</v>
      </c>
      <c r="AL142" s="34" t="str">
        <v>R</v>
      </c>
      <c r="AM142" s="34">
        <v>30</v>
      </c>
      <c r="AN142" s="34">
        <v>0</v>
      </c>
      <c r="AO142" s="34">
        <v>16</v>
      </c>
      <c r="AP142" s="34">
        <v>25</v>
      </c>
      <c r="AQ142" s="34">
        <v>16</v>
      </c>
      <c r="AR142" s="34">
        <v>1</v>
      </c>
      <c r="AS142" s="34">
        <v>1</v>
      </c>
      <c r="AT142" s="34" t="str">
        <v>2P</v>
      </c>
      <c r="AU142" s="34">
        <v>16</v>
      </c>
      <c r="AV142" s="34" t="str">
        <v/>
      </c>
      <c r="AW142" s="34" t="str">
        <v/>
      </c>
      <c r="AX142" s="34" t="str">
        <v/>
      </c>
      <c r="AY142" s="34">
        <v>1</v>
      </c>
      <c r="AZ142" s="34" t="str">
        <v/>
      </c>
      <c r="BA142" s="34">
        <v>0</v>
      </c>
      <c r="BB142" s="34">
        <v>16</v>
      </c>
      <c r="BD142" s="34">
        <v>1</v>
      </c>
      <c r="BE142" s="34">
        <v>0</v>
      </c>
      <c r="BF142" s="34">
        <v>1</v>
      </c>
      <c r="BG142" s="34" t="str">
        <v/>
      </c>
      <c r="BH142" s="34" t="str">
        <v/>
      </c>
      <c r="BI142" s="34" t="str">
        <v/>
      </c>
      <c r="BJ142" s="34" t="str">
        <v/>
      </c>
      <c r="BK142" s="34" t="str">
        <v>SOCKET</v>
      </c>
      <c r="BL142" s="34">
        <v>1</v>
      </c>
      <c r="BM142" s="34" t="str">
        <v/>
      </c>
      <c r="BN142" s="34" t="str">
        <v/>
      </c>
      <c r="BO142" s="34" t="str">
        <v/>
      </c>
      <c r="BP142" s="34" t="str">
        <v/>
      </c>
      <c r="BQ142" s="34" t="str">
        <v>3х2,5</v>
      </c>
      <c r="BR142" s="34" t="str">
        <v/>
      </c>
      <c r="BS142" s="34" t="str">
        <v/>
      </c>
      <c r="BT142" s="34" t="str">
        <v/>
      </c>
      <c r="BU142" s="34">
        <v>0</v>
      </c>
      <c r="BV142" s="34">
        <v>163</v>
      </c>
      <c r="BW142" s="34">
        <v>1</v>
      </c>
      <c r="BX142" s="34">
        <v>0</v>
      </c>
      <c r="BY142" s="34" t="str">
        <v>Розетка</v>
      </c>
      <c r="BZ142">
        <v>8</v>
      </c>
      <c r="CA142" t="str">
        <v>линии</v>
      </c>
    </row>
    <row r="143" spans="1:79" x14ac:dyDescent="0.3">
      <c r="A143" s="39" t="str">
        <v>ЩР-001</v>
      </c>
      <c r="B143" s="42">
        <v>31</v>
      </c>
      <c r="C143" s="42">
        <v>2</v>
      </c>
      <c r="D143" s="75" t="str">
        <v/>
      </c>
      <c r="E143" s="75" t="str">
        <v>авто</v>
      </c>
      <c r="F143" s="76">
        <v>30</v>
      </c>
      <c r="G143" s="47" t="str">
        <v>QFD12</v>
      </c>
      <c r="H143" s="47" t="str">
        <v>2P С16А 30мА</v>
      </c>
      <c r="I143" s="75" t="str">
        <v/>
      </c>
      <c r="J143" s="76" t="str">
        <v/>
      </c>
      <c r="K143" s="76" t="str">
        <v/>
      </c>
      <c r="L143" s="75" t="str">
        <v/>
      </c>
      <c r="M143" s="49" t="str">
        <v/>
      </c>
      <c r="N143" s="76" t="str">
        <v/>
      </c>
      <c r="O143" s="49" t="str">
        <v/>
      </c>
      <c r="P143" s="77" t="str">
        <v/>
      </c>
      <c r="Q143" s="53" t="str">
        <v>ВВГнг(А)-LS (3х2,5) L=53-0,22%</v>
      </c>
      <c r="R143" s="54" t="str">
        <v>R.00.002.1А.1</v>
      </c>
      <c r="S143" s="55" t="str">
        <v>Розеточная группа, пом. 002</v>
      </c>
      <c r="T143" s="56">
        <v>0.12</v>
      </c>
      <c r="U143" s="56">
        <v>0.55000000000000004</v>
      </c>
      <c r="V143" s="42" t="str">
        <v>L2</v>
      </c>
      <c r="W143" s="57" t="str">
        <v>ok</v>
      </c>
      <c r="X143" s="58" t="str">
        <v/>
      </c>
      <c r="Y143" s="75" t="str">
        <v/>
      </c>
      <c r="Z143" s="59">
        <v>0.54696341291648753</v>
      </c>
      <c r="AA143" s="61">
        <v>16</v>
      </c>
      <c r="AB143" s="61">
        <v>25</v>
      </c>
      <c r="AC143" s="61" t="str">
        <v/>
      </c>
      <c r="AD143" s="62" t="str">
        <v>QFD12</v>
      </c>
      <c r="AE143" s="62" t="str">
        <v/>
      </c>
      <c r="AF143" s="34">
        <v>12</v>
      </c>
      <c r="AG143" s="34" t="str">
        <v>QFD12</v>
      </c>
      <c r="AH143" s="34" t="str">
        <v/>
      </c>
      <c r="AI143" s="34" t="str">
        <v/>
      </c>
      <c r="AJ143" s="34" t="str">
        <v>QFD12</v>
      </c>
      <c r="AK143" s="34">
        <v>1</v>
      </c>
      <c r="AL143" s="34" t="str">
        <v>R</v>
      </c>
      <c r="AM143" s="34">
        <v>30</v>
      </c>
      <c r="AN143" s="34">
        <v>0</v>
      </c>
      <c r="AO143" s="34">
        <v>16</v>
      </c>
      <c r="AP143" s="34">
        <v>25</v>
      </c>
      <c r="AQ143" s="34">
        <v>16</v>
      </c>
      <c r="AR143" s="34">
        <v>1</v>
      </c>
      <c r="AS143" s="34">
        <v>1</v>
      </c>
      <c r="AT143" s="34" t="str">
        <v>2P</v>
      </c>
      <c r="AU143" s="34">
        <v>16</v>
      </c>
      <c r="AV143" s="34" t="str">
        <v/>
      </c>
      <c r="AW143" s="34" t="str">
        <v/>
      </c>
      <c r="AX143" s="34" t="str">
        <v/>
      </c>
      <c r="AY143" s="34">
        <v>1</v>
      </c>
      <c r="AZ143" s="34" t="str">
        <v/>
      </c>
      <c r="BA143" s="34">
        <v>0</v>
      </c>
      <c r="BB143" s="34">
        <v>16</v>
      </c>
      <c r="BD143" s="34">
        <v>1</v>
      </c>
      <c r="BE143" s="34">
        <v>0</v>
      </c>
      <c r="BF143" s="34">
        <v>1</v>
      </c>
      <c r="BG143" s="34" t="str">
        <v/>
      </c>
      <c r="BH143" s="34" t="str">
        <v/>
      </c>
      <c r="BI143" s="34" t="str">
        <v/>
      </c>
      <c r="BJ143" s="34" t="str">
        <v/>
      </c>
      <c r="BK143" s="34" t="str">
        <v>SOCKET</v>
      </c>
      <c r="BL143" s="34">
        <v>1</v>
      </c>
      <c r="BM143" s="34" t="str">
        <v/>
      </c>
      <c r="BN143" s="34" t="str">
        <v/>
      </c>
      <c r="BO143" s="34" t="str">
        <v/>
      </c>
      <c r="BP143" s="34" t="str">
        <v/>
      </c>
      <c r="BQ143" s="34" t="str">
        <v>3х2,5</v>
      </c>
      <c r="BR143" s="34" t="str">
        <v/>
      </c>
      <c r="BS143" s="34" t="str">
        <v/>
      </c>
      <c r="BT143" s="34" t="str">
        <v/>
      </c>
      <c r="BU143" s="34">
        <v>0</v>
      </c>
      <c r="BV143" s="34">
        <v>164</v>
      </c>
      <c r="BW143" s="34">
        <v>1</v>
      </c>
      <c r="BX143" s="34">
        <v>0</v>
      </c>
      <c r="BY143" s="34" t="str">
        <v>Розетка</v>
      </c>
      <c r="BZ143">
        <v>8</v>
      </c>
      <c r="CA143" t="str">
        <v>линии</v>
      </c>
    </row>
    <row r="144" spans="1:79" x14ac:dyDescent="0.3">
      <c r="A144" s="39" t="str">
        <v>ЩР-001</v>
      </c>
      <c r="B144" s="42">
        <v>32</v>
      </c>
      <c r="C144" s="42">
        <v>2</v>
      </c>
      <c r="D144" s="75" t="str">
        <v/>
      </c>
      <c r="E144" s="75" t="str">
        <v>авто</v>
      </c>
      <c r="F144" s="76">
        <v>30</v>
      </c>
      <c r="G144" s="47" t="str">
        <v>QFD13</v>
      </c>
      <c r="H144" s="47" t="str">
        <v>2P С16А 30мА</v>
      </c>
      <c r="I144" s="75" t="str">
        <v/>
      </c>
      <c r="J144" s="76" t="str">
        <v/>
      </c>
      <c r="K144" s="76" t="str">
        <v/>
      </c>
      <c r="L144" s="75" t="str">
        <v/>
      </c>
      <c r="M144" s="49" t="str">
        <v/>
      </c>
      <c r="N144" s="76" t="str">
        <v/>
      </c>
      <c r="O144" s="49" t="str">
        <v/>
      </c>
      <c r="P144" s="77" t="str">
        <v/>
      </c>
      <c r="Q144" s="53" t="str">
        <v>ВВГнг(А)-LS (3х2,5) L=69-0,29%</v>
      </c>
      <c r="R144" s="54" t="str">
        <v>R.00.006T.1</v>
      </c>
      <c r="S144" s="55" t="str">
        <v>Розеточная группа, пом. 006T</v>
      </c>
      <c r="T144" s="56">
        <v>0.12</v>
      </c>
      <c r="U144" s="56">
        <v>0.55000000000000004</v>
      </c>
      <c r="V144" s="42" t="str">
        <v>L3</v>
      </c>
      <c r="W144" s="57" t="str">
        <v>ok</v>
      </c>
      <c r="X144" s="58" t="str">
        <v/>
      </c>
      <c r="Y144" s="75" t="str">
        <v/>
      </c>
      <c r="Z144" s="59">
        <v>0.54696341291648753</v>
      </c>
      <c r="AA144" s="61">
        <v>16</v>
      </c>
      <c r="AB144" s="61">
        <v>25</v>
      </c>
      <c r="AC144" s="61" t="str">
        <v/>
      </c>
      <c r="AD144" s="62" t="str">
        <v>QFD13</v>
      </c>
      <c r="AE144" s="62" t="str">
        <v/>
      </c>
      <c r="AF144" s="34">
        <v>13</v>
      </c>
      <c r="AG144" s="34" t="str">
        <v>QFD13</v>
      </c>
      <c r="AH144" s="34" t="str">
        <v/>
      </c>
      <c r="AI144" s="34" t="str">
        <v/>
      </c>
      <c r="AJ144" s="34" t="str">
        <v>QFD13</v>
      </c>
      <c r="AK144" s="34">
        <v>1</v>
      </c>
      <c r="AL144" s="34" t="str">
        <v>R</v>
      </c>
      <c r="AM144" s="34">
        <v>30</v>
      </c>
      <c r="AN144" s="34">
        <v>0</v>
      </c>
      <c r="AO144" s="34">
        <v>16</v>
      </c>
      <c r="AP144" s="34">
        <v>25</v>
      </c>
      <c r="AQ144" s="34">
        <v>16</v>
      </c>
      <c r="AR144" s="34">
        <v>1</v>
      </c>
      <c r="AS144" s="34">
        <v>1</v>
      </c>
      <c r="AT144" s="34" t="str">
        <v>2P</v>
      </c>
      <c r="AU144" s="34">
        <v>16</v>
      </c>
      <c r="AV144" s="34" t="str">
        <v/>
      </c>
      <c r="AW144" s="34" t="str">
        <v/>
      </c>
      <c r="AX144" s="34" t="str">
        <v/>
      </c>
      <c r="AY144" s="34">
        <v>1</v>
      </c>
      <c r="AZ144" s="34" t="str">
        <v/>
      </c>
      <c r="BA144" s="34">
        <v>0</v>
      </c>
      <c r="BB144" s="34">
        <v>16</v>
      </c>
      <c r="BD144" s="34">
        <v>1</v>
      </c>
      <c r="BE144" s="34">
        <v>0</v>
      </c>
      <c r="BF144" s="34">
        <v>1</v>
      </c>
      <c r="BG144" s="34" t="str">
        <v/>
      </c>
      <c r="BH144" s="34" t="str">
        <v/>
      </c>
      <c r="BI144" s="34" t="str">
        <v/>
      </c>
      <c r="BJ144" s="34" t="str">
        <v/>
      </c>
      <c r="BK144" s="34" t="str">
        <v>SOCKET</v>
      </c>
      <c r="BL144" s="34">
        <v>1</v>
      </c>
      <c r="BM144" s="34" t="str">
        <v/>
      </c>
      <c r="BN144" s="34" t="str">
        <v/>
      </c>
      <c r="BO144" s="34" t="str">
        <v/>
      </c>
      <c r="BP144" s="34" t="str">
        <v/>
      </c>
      <c r="BQ144" s="34" t="str">
        <v>3х2,5</v>
      </c>
      <c r="BR144" s="34" t="str">
        <v/>
      </c>
      <c r="BS144" s="34" t="str">
        <v/>
      </c>
      <c r="BT144" s="34" t="str">
        <v/>
      </c>
      <c r="BU144" s="34">
        <v>0</v>
      </c>
      <c r="BV144" s="34">
        <v>165</v>
      </c>
      <c r="BW144" s="34">
        <v>1</v>
      </c>
      <c r="BX144" s="34">
        <v>0</v>
      </c>
      <c r="BY144" s="34" t="str">
        <v>Розетка</v>
      </c>
      <c r="BZ144">
        <v>8</v>
      </c>
      <c r="CA144" t="str">
        <v>линии</v>
      </c>
    </row>
    <row r="145" spans="1:79" x14ac:dyDescent="0.3">
      <c r="A145" s="39" t="str">
        <v>ЩР-001</v>
      </c>
      <c r="B145" s="42">
        <v>33</v>
      </c>
      <c r="C145" s="42">
        <v>2</v>
      </c>
      <c r="D145" s="75" t="str">
        <v/>
      </c>
      <c r="E145" s="75" t="str">
        <v>авто</v>
      </c>
      <c r="F145" s="76">
        <v>30</v>
      </c>
      <c r="G145" s="47" t="str">
        <v>QFD14</v>
      </c>
      <c r="H145" s="47" t="str">
        <v>2P С16А 30мА</v>
      </c>
      <c r="I145" s="75" t="str">
        <v/>
      </c>
      <c r="J145" s="76" t="str">
        <v/>
      </c>
      <c r="K145" s="76" t="str">
        <v/>
      </c>
      <c r="L145" s="75" t="str">
        <v/>
      </c>
      <c r="M145" s="49" t="str">
        <v/>
      </c>
      <c r="N145" s="76" t="str">
        <v/>
      </c>
      <c r="O145" s="49" t="str">
        <v/>
      </c>
      <c r="P145" s="77" t="str">
        <v/>
      </c>
      <c r="Q145" s="53" t="str">
        <v>ВВГнг(А)-LS (3х2,5) L=26-0,06%</v>
      </c>
      <c r="R145" s="54" t="str">
        <v>R.00.007Т.1</v>
      </c>
      <c r="S145" s="55" t="str">
        <v>Розеточная группа, пом. 007Т</v>
      </c>
      <c r="T145" s="56">
        <v>0.06</v>
      </c>
      <c r="U145" s="56">
        <v>0.28000000000000003</v>
      </c>
      <c r="V145" s="42" t="str">
        <v>L3</v>
      </c>
      <c r="W145" s="57" t="str">
        <v>ok</v>
      </c>
      <c r="X145" s="58" t="str">
        <v/>
      </c>
      <c r="Y145" s="75" t="str">
        <v/>
      </c>
      <c r="Z145" s="59">
        <v>0.27348170645824377</v>
      </c>
      <c r="AA145" s="61">
        <v>16</v>
      </c>
      <c r="AB145" s="61">
        <v>25</v>
      </c>
      <c r="AC145" s="61" t="str">
        <v/>
      </c>
      <c r="AD145" s="62" t="str">
        <v>QFD14</v>
      </c>
      <c r="AE145" s="62" t="str">
        <v/>
      </c>
      <c r="AF145" s="34">
        <v>14</v>
      </c>
      <c r="AG145" s="34" t="str">
        <v>QFD14</v>
      </c>
      <c r="AH145" s="34" t="str">
        <v/>
      </c>
      <c r="AI145" s="34" t="str">
        <v/>
      </c>
      <c r="AJ145" s="34" t="str">
        <v>QFD14</v>
      </c>
      <c r="AK145" s="34">
        <v>1</v>
      </c>
      <c r="AL145" s="34" t="str">
        <v>R</v>
      </c>
      <c r="AM145" s="34">
        <v>30</v>
      </c>
      <c r="AN145" s="34">
        <v>0</v>
      </c>
      <c r="AO145" s="34">
        <v>16</v>
      </c>
      <c r="AP145" s="34">
        <v>25</v>
      </c>
      <c r="AQ145" s="34">
        <v>16</v>
      </c>
      <c r="AR145" s="34">
        <v>1</v>
      </c>
      <c r="AS145" s="34">
        <v>1</v>
      </c>
      <c r="AT145" s="34" t="str">
        <v>2P</v>
      </c>
      <c r="AU145" s="34">
        <v>16</v>
      </c>
      <c r="AV145" s="34" t="str">
        <v/>
      </c>
      <c r="AW145" s="34" t="str">
        <v/>
      </c>
      <c r="AX145" s="34" t="str">
        <v/>
      </c>
      <c r="AY145" s="34">
        <v>1</v>
      </c>
      <c r="AZ145" s="34" t="str">
        <v/>
      </c>
      <c r="BA145" s="34">
        <v>0</v>
      </c>
      <c r="BB145" s="34">
        <v>16</v>
      </c>
      <c r="BD145" s="34">
        <v>1</v>
      </c>
      <c r="BE145" s="34">
        <v>0</v>
      </c>
      <c r="BF145" s="34">
        <v>1</v>
      </c>
      <c r="BG145" s="34" t="str">
        <v/>
      </c>
      <c r="BH145" s="34" t="str">
        <v/>
      </c>
      <c r="BI145" s="34" t="str">
        <v/>
      </c>
      <c r="BJ145" s="34" t="str">
        <v/>
      </c>
      <c r="BK145" s="34" t="str">
        <v>SOCKET</v>
      </c>
      <c r="BL145" s="34">
        <v>1</v>
      </c>
      <c r="BM145" s="34" t="str">
        <v/>
      </c>
      <c r="BN145" s="34" t="str">
        <v/>
      </c>
      <c r="BO145" s="34" t="str">
        <v/>
      </c>
      <c r="BP145" s="34" t="str">
        <v/>
      </c>
      <c r="BQ145" s="34" t="str">
        <v>3х2,5</v>
      </c>
      <c r="BR145" s="34" t="str">
        <v/>
      </c>
      <c r="BS145" s="34" t="str">
        <v/>
      </c>
      <c r="BT145" s="34" t="str">
        <v/>
      </c>
      <c r="BU145" s="34">
        <v>0</v>
      </c>
      <c r="BV145" s="34">
        <v>166</v>
      </c>
      <c r="BW145" s="34">
        <v>1</v>
      </c>
      <c r="BX145" s="34">
        <v>0</v>
      </c>
      <c r="BY145" s="34" t="str">
        <v>Розетка</v>
      </c>
      <c r="BZ145">
        <v>8</v>
      </c>
      <c r="CA145" t="str">
        <v>линии</v>
      </c>
    </row>
    <row r="146" spans="1:79" x14ac:dyDescent="0.3">
      <c r="A146" s="39" t="str">
        <v>ЩР-001</v>
      </c>
      <c r="B146" s="42">
        <v>34</v>
      </c>
      <c r="C146" s="42">
        <v>2</v>
      </c>
      <c r="D146" s="75" t="str">
        <v/>
      </c>
      <c r="E146" s="75" t="str">
        <v>авто</v>
      </c>
      <c r="F146" s="76">
        <v>30</v>
      </c>
      <c r="G146" s="47" t="str">
        <v>QFD15</v>
      </c>
      <c r="H146" s="47" t="str">
        <v>2P С16А 30мА</v>
      </c>
      <c r="I146" s="75" t="str">
        <v/>
      </c>
      <c r="J146" s="76" t="str">
        <v/>
      </c>
      <c r="K146" s="76" t="str">
        <v/>
      </c>
      <c r="L146" s="75" t="str">
        <v/>
      </c>
      <c r="M146" s="49" t="str">
        <v/>
      </c>
      <c r="N146" s="76" t="str">
        <v/>
      </c>
      <c r="O146" s="49" t="str">
        <v/>
      </c>
      <c r="P146" s="77" t="str">
        <v/>
      </c>
      <c r="Q146" s="53" t="str">
        <v>ВВГнг(А)-LS (3х2,5) L=35-0,15%</v>
      </c>
      <c r="R146" s="54" t="str">
        <v>R.00.008T.1</v>
      </c>
      <c r="S146" s="55" t="str">
        <v>Розеточная группа, пом. 008T</v>
      </c>
      <c r="T146" s="56">
        <v>0.12</v>
      </c>
      <c r="U146" s="56">
        <v>0.55000000000000004</v>
      </c>
      <c r="V146" s="42" t="str">
        <v>L1</v>
      </c>
      <c r="W146" s="57" t="str">
        <v>ok</v>
      </c>
      <c r="X146" s="58" t="str">
        <v/>
      </c>
      <c r="Y146" s="75" t="str">
        <v/>
      </c>
      <c r="Z146" s="59">
        <v>0.54696341291648753</v>
      </c>
      <c r="AA146" s="61">
        <v>16</v>
      </c>
      <c r="AB146" s="61">
        <v>25</v>
      </c>
      <c r="AC146" s="61" t="str">
        <v/>
      </c>
      <c r="AD146" s="62" t="str">
        <v>QFD15</v>
      </c>
      <c r="AE146" s="62" t="str">
        <v/>
      </c>
      <c r="AF146" s="34">
        <v>15</v>
      </c>
      <c r="AG146" s="34" t="str">
        <v>QFD15</v>
      </c>
      <c r="AH146" s="34" t="str">
        <v/>
      </c>
      <c r="AI146" s="34" t="str">
        <v/>
      </c>
      <c r="AJ146" s="34" t="str">
        <v>QFD15</v>
      </c>
      <c r="AK146" s="34">
        <v>1</v>
      </c>
      <c r="AL146" s="34" t="str">
        <v>R</v>
      </c>
      <c r="AM146" s="34">
        <v>30</v>
      </c>
      <c r="AN146" s="34">
        <v>0</v>
      </c>
      <c r="AO146" s="34">
        <v>16</v>
      </c>
      <c r="AP146" s="34">
        <v>25</v>
      </c>
      <c r="AQ146" s="34">
        <v>16</v>
      </c>
      <c r="AR146" s="34">
        <v>1</v>
      </c>
      <c r="AS146" s="34">
        <v>1</v>
      </c>
      <c r="AT146" s="34" t="str">
        <v>2P</v>
      </c>
      <c r="AU146" s="34">
        <v>16</v>
      </c>
      <c r="AV146" s="34" t="str">
        <v/>
      </c>
      <c r="AW146" s="34" t="str">
        <v/>
      </c>
      <c r="AX146" s="34" t="str">
        <v/>
      </c>
      <c r="AY146" s="34">
        <v>1</v>
      </c>
      <c r="AZ146" s="34" t="str">
        <v/>
      </c>
      <c r="BA146" s="34">
        <v>0</v>
      </c>
      <c r="BB146" s="34">
        <v>16</v>
      </c>
      <c r="BD146" s="34">
        <v>1</v>
      </c>
      <c r="BE146" s="34">
        <v>0</v>
      </c>
      <c r="BF146" s="34">
        <v>1</v>
      </c>
      <c r="BG146" s="34" t="str">
        <v/>
      </c>
      <c r="BH146" s="34" t="str">
        <v/>
      </c>
      <c r="BI146" s="34" t="str">
        <v/>
      </c>
      <c r="BJ146" s="34" t="str">
        <v/>
      </c>
      <c r="BK146" s="34" t="str">
        <v>SOCKET</v>
      </c>
      <c r="BL146" s="34">
        <v>1</v>
      </c>
      <c r="BM146" s="34" t="str">
        <v/>
      </c>
      <c r="BN146" s="34" t="str">
        <v/>
      </c>
      <c r="BO146" s="34" t="str">
        <v/>
      </c>
      <c r="BP146" s="34" t="str">
        <v/>
      </c>
      <c r="BQ146" s="34" t="str">
        <v>3х2,5</v>
      </c>
      <c r="BR146" s="34" t="str">
        <v/>
      </c>
      <c r="BS146" s="34" t="str">
        <v/>
      </c>
      <c r="BT146" s="34" t="str">
        <v/>
      </c>
      <c r="BU146" s="34">
        <v>0</v>
      </c>
      <c r="BV146" s="34">
        <v>167</v>
      </c>
      <c r="BW146" s="34">
        <v>1</v>
      </c>
      <c r="BX146" s="34">
        <v>0</v>
      </c>
      <c r="BY146" s="34" t="str">
        <v>Розетка</v>
      </c>
      <c r="BZ146">
        <v>8</v>
      </c>
      <c r="CA146" t="str">
        <v>линии</v>
      </c>
    </row>
    <row r="147" spans="1:79" x14ac:dyDescent="0.3">
      <c r="A147" s="39" t="str">
        <v>ЩР-001</v>
      </c>
      <c r="B147" s="42">
        <v>35</v>
      </c>
      <c r="C147" s="42">
        <v>3</v>
      </c>
      <c r="D147" s="75" t="str">
        <v/>
      </c>
      <c r="E147" s="75" t="str">
        <v>авто</v>
      </c>
      <c r="F147" s="76">
        <v>30</v>
      </c>
      <c r="G147" s="47" t="str">
        <v>QFD16</v>
      </c>
      <c r="H147" s="47" t="str">
        <v>2P С16А 30мА</v>
      </c>
      <c r="I147" s="75" t="str">
        <v/>
      </c>
      <c r="J147" s="76" t="str">
        <v/>
      </c>
      <c r="K147" s="76" t="str">
        <v/>
      </c>
      <c r="L147" s="75" t="str">
        <v/>
      </c>
      <c r="M147" s="49" t="str">
        <v/>
      </c>
      <c r="N147" s="76" t="str">
        <v/>
      </c>
      <c r="O147" s="49" t="str">
        <v/>
      </c>
      <c r="P147" s="77" t="str">
        <v/>
      </c>
      <c r="Q147" s="53" t="str">
        <v>ВВГнг(А)-LS (3х2,5) L=31-0,07%</v>
      </c>
      <c r="R147" s="54" t="str">
        <v>R.00.002Tб.1</v>
      </c>
      <c r="S147" s="55" t="str">
        <v>Розеточная группа, пом. 002Tб</v>
      </c>
      <c r="T147" s="56">
        <v>0.06</v>
      </c>
      <c r="U147" s="56">
        <v>0.28000000000000003</v>
      </c>
      <c r="V147" s="42" t="str">
        <v>L1</v>
      </c>
      <c r="W147" s="57" t="str">
        <v>ok</v>
      </c>
      <c r="X147" s="58" t="str">
        <v/>
      </c>
      <c r="Y147" s="75" t="str">
        <v/>
      </c>
      <c r="Z147" s="59">
        <v>0.27348170645824377</v>
      </c>
      <c r="AA147" s="61">
        <v>16</v>
      </c>
      <c r="AB147" s="61">
        <v>25</v>
      </c>
      <c r="AC147" s="61" t="str">
        <v/>
      </c>
      <c r="AD147" s="62" t="str">
        <v>QFD16</v>
      </c>
      <c r="AE147" s="62" t="str">
        <v/>
      </c>
      <c r="AF147" s="34">
        <v>16</v>
      </c>
      <c r="AG147" s="34" t="str">
        <v>QFD16</v>
      </c>
      <c r="AH147" s="34" t="str">
        <v/>
      </c>
      <c r="AI147" s="34" t="str">
        <v/>
      </c>
      <c r="AJ147" s="34" t="str">
        <v>QFD16</v>
      </c>
      <c r="AK147" s="34">
        <v>1</v>
      </c>
      <c r="AL147" s="34" t="str">
        <v>R</v>
      </c>
      <c r="AM147" s="34">
        <v>30</v>
      </c>
      <c r="AN147" s="34">
        <v>0</v>
      </c>
      <c r="AO147" s="34">
        <v>16</v>
      </c>
      <c r="AP147" s="34">
        <v>25</v>
      </c>
      <c r="AQ147" s="34">
        <v>16</v>
      </c>
      <c r="AR147" s="34">
        <v>1</v>
      </c>
      <c r="AS147" s="34">
        <v>1</v>
      </c>
      <c r="AT147" s="34" t="str">
        <v>2P</v>
      </c>
      <c r="AU147" s="34">
        <v>16</v>
      </c>
      <c r="AV147" s="34" t="str">
        <v/>
      </c>
      <c r="AW147" s="34" t="str">
        <v/>
      </c>
      <c r="AX147" s="34" t="str">
        <v/>
      </c>
      <c r="AY147" s="34">
        <v>1</v>
      </c>
      <c r="AZ147" s="34" t="str">
        <v/>
      </c>
      <c r="BA147" s="34">
        <v>0</v>
      </c>
      <c r="BB147" s="34">
        <v>16</v>
      </c>
      <c r="BD147" s="34">
        <v>1</v>
      </c>
      <c r="BE147" s="34">
        <v>0</v>
      </c>
      <c r="BF147" s="34">
        <v>1</v>
      </c>
      <c r="BG147" s="34" t="str">
        <v/>
      </c>
      <c r="BH147" s="34" t="str">
        <v/>
      </c>
      <c r="BI147" s="34" t="str">
        <v/>
      </c>
      <c r="BJ147" s="34" t="str">
        <v/>
      </c>
      <c r="BK147" s="34" t="str">
        <v>SOCKET</v>
      </c>
      <c r="BL147" s="34">
        <v>1</v>
      </c>
      <c r="BM147" s="34" t="str">
        <v/>
      </c>
      <c r="BN147" s="34" t="str">
        <v/>
      </c>
      <c r="BO147" s="34" t="str">
        <v/>
      </c>
      <c r="BP147" s="34" t="str">
        <v/>
      </c>
      <c r="BQ147" s="34" t="str">
        <v>3х2,5</v>
      </c>
      <c r="BR147" s="34" t="str">
        <v/>
      </c>
      <c r="BS147" s="34" t="str">
        <v/>
      </c>
      <c r="BT147" s="34" t="str">
        <v/>
      </c>
      <c r="BU147" s="34">
        <v>0</v>
      </c>
      <c r="BV147" s="34">
        <v>168</v>
      </c>
      <c r="BW147" s="34">
        <v>1</v>
      </c>
      <c r="BX147" s="34">
        <v>0</v>
      </c>
      <c r="BY147" s="34" t="str">
        <v>Розетка</v>
      </c>
      <c r="BZ147">
        <v>8</v>
      </c>
      <c r="CA147" t="str">
        <v>линии</v>
      </c>
    </row>
    <row r="148" spans="1:79" x14ac:dyDescent="0.3">
      <c r="A148" s="39" t="str">
        <v>ЩР-001</v>
      </c>
      <c r="B148" s="42">
        <v>36</v>
      </c>
      <c r="C148" s="42">
        <v>3</v>
      </c>
      <c r="D148" s="75" t="str">
        <v/>
      </c>
      <c r="E148" s="75" t="str">
        <v>авто</v>
      </c>
      <c r="F148" s="76">
        <v>30</v>
      </c>
      <c r="G148" s="47" t="str">
        <v>QFD17</v>
      </c>
      <c r="H148" s="47" t="str">
        <v>2P С16А 30мА</v>
      </c>
      <c r="I148" s="75" t="str">
        <v/>
      </c>
      <c r="J148" s="76" t="str">
        <v/>
      </c>
      <c r="K148" s="76" t="str">
        <v/>
      </c>
      <c r="L148" s="75" t="str">
        <v/>
      </c>
      <c r="M148" s="49" t="str">
        <v/>
      </c>
      <c r="N148" s="76" t="str">
        <v/>
      </c>
      <c r="O148" s="49" t="str">
        <v/>
      </c>
      <c r="P148" s="77" t="str">
        <v/>
      </c>
      <c r="Q148" s="53" t="str">
        <v>ВВГнг(А)-LS (3х2,5) L=83-1,52%</v>
      </c>
      <c r="R148" s="54" t="str">
        <v>R.00.007Б.1</v>
      </c>
      <c r="S148" s="55" t="str">
        <v>Розеточная группа, пом. 007Б</v>
      </c>
      <c r="T148" s="56">
        <v>0.54</v>
      </c>
      <c r="U148" s="56">
        <v>2.4699999999999998</v>
      </c>
      <c r="V148" s="42" t="str">
        <v>L3</v>
      </c>
      <c r="W148" s="57" t="str">
        <v>ok</v>
      </c>
      <c r="X148" s="58" t="str">
        <v/>
      </c>
      <c r="Y148" s="75" t="str">
        <v/>
      </c>
      <c r="Z148" s="59">
        <v>2.4613353581241939</v>
      </c>
      <c r="AA148" s="61">
        <v>16</v>
      </c>
      <c r="AB148" s="61">
        <v>25</v>
      </c>
      <c r="AC148" s="61" t="str">
        <v/>
      </c>
      <c r="AD148" s="62" t="str">
        <v>QFD17</v>
      </c>
      <c r="AE148" s="62" t="str">
        <v/>
      </c>
      <c r="AF148" s="34">
        <v>17</v>
      </c>
      <c r="AG148" s="34" t="str">
        <v>QFD17</v>
      </c>
      <c r="AH148" s="34" t="str">
        <v/>
      </c>
      <c r="AI148" s="34" t="str">
        <v/>
      </c>
      <c r="AJ148" s="34" t="str">
        <v>QFD17</v>
      </c>
      <c r="AK148" s="34">
        <v>1</v>
      </c>
      <c r="AL148" s="34" t="str">
        <v>R</v>
      </c>
      <c r="AM148" s="34">
        <v>30</v>
      </c>
      <c r="AN148" s="34">
        <v>0</v>
      </c>
      <c r="AO148" s="34">
        <v>16</v>
      </c>
      <c r="AP148" s="34">
        <v>25</v>
      </c>
      <c r="AQ148" s="34">
        <v>16</v>
      </c>
      <c r="AR148" s="34">
        <v>1</v>
      </c>
      <c r="AS148" s="34">
        <v>1</v>
      </c>
      <c r="AT148" s="34" t="str">
        <v>2P</v>
      </c>
      <c r="AU148" s="34">
        <v>16</v>
      </c>
      <c r="AV148" s="34" t="str">
        <v/>
      </c>
      <c r="AW148" s="34" t="str">
        <v/>
      </c>
      <c r="AX148" s="34" t="str">
        <v/>
      </c>
      <c r="AY148" s="34">
        <v>1</v>
      </c>
      <c r="AZ148" s="34" t="str">
        <v/>
      </c>
      <c r="BA148" s="34">
        <v>0</v>
      </c>
      <c r="BB148" s="34">
        <v>16</v>
      </c>
      <c r="BD148" s="34">
        <v>1</v>
      </c>
      <c r="BE148" s="34">
        <v>0</v>
      </c>
      <c r="BF148" s="34">
        <v>1</v>
      </c>
      <c r="BG148" s="34" t="str">
        <v/>
      </c>
      <c r="BH148" s="34" t="str">
        <v/>
      </c>
      <c r="BI148" s="34" t="str">
        <v/>
      </c>
      <c r="BJ148" s="34" t="str">
        <v/>
      </c>
      <c r="BK148" s="34" t="str">
        <v>SOCKET</v>
      </c>
      <c r="BL148" s="34">
        <v>1</v>
      </c>
      <c r="BM148" s="34" t="str">
        <v/>
      </c>
      <c r="BN148" s="34" t="str">
        <v/>
      </c>
      <c r="BO148" s="34" t="str">
        <v/>
      </c>
      <c r="BP148" s="34" t="str">
        <v/>
      </c>
      <c r="BQ148" s="34" t="str">
        <v>3х2,5</v>
      </c>
      <c r="BR148" s="34" t="str">
        <v/>
      </c>
      <c r="BS148" s="34" t="str">
        <v/>
      </c>
      <c r="BT148" s="34" t="str">
        <v/>
      </c>
      <c r="BU148" s="34">
        <v>0</v>
      </c>
      <c r="BV148" s="34">
        <v>169</v>
      </c>
      <c r="BW148" s="34">
        <v>1</v>
      </c>
      <c r="BX148" s="34">
        <v>0</v>
      </c>
      <c r="BY148" s="34" t="str">
        <v>Розетка</v>
      </c>
      <c r="BZ148">
        <v>8</v>
      </c>
      <c r="CA148" t="str">
        <v>линии</v>
      </c>
    </row>
    <row r="149" spans="1:79" x14ac:dyDescent="0.3">
      <c r="A149" s="39" t="str">
        <v>ЩР-001</v>
      </c>
      <c r="B149" s="42">
        <v>37</v>
      </c>
      <c r="C149" s="42">
        <v>3</v>
      </c>
      <c r="D149" s="75" t="str">
        <v/>
      </c>
      <c r="E149" s="75" t="str">
        <v>авто</v>
      </c>
      <c r="F149" s="76">
        <v>30</v>
      </c>
      <c r="G149" s="47" t="str">
        <v>QFD18</v>
      </c>
      <c r="H149" s="47" t="str">
        <v>2P С16А 30мА</v>
      </c>
      <c r="I149" s="75" t="str">
        <v/>
      </c>
      <c r="J149" s="76" t="str">
        <v/>
      </c>
      <c r="K149" s="76" t="str">
        <v/>
      </c>
      <c r="L149" s="75" t="str">
        <v/>
      </c>
      <c r="M149" s="49" t="str">
        <v/>
      </c>
      <c r="N149" s="76" t="str">
        <v/>
      </c>
      <c r="O149" s="49" t="str">
        <v/>
      </c>
      <c r="P149" s="77" t="str">
        <v/>
      </c>
      <c r="Q149" s="53" t="str">
        <v>ВВГнг(А)-LS (3х2,5) L=76-1,4%</v>
      </c>
      <c r="R149" s="54" t="str">
        <v>R.00.004Б.1</v>
      </c>
      <c r="S149" s="55" t="str">
        <v>Розеточная группа, пом. 004Б</v>
      </c>
      <c r="T149" s="56">
        <v>0.54</v>
      </c>
      <c r="U149" s="56">
        <v>2.4699999999999998</v>
      </c>
      <c r="V149" s="42" t="str">
        <v>L2</v>
      </c>
      <c r="W149" s="57" t="str">
        <v>ok</v>
      </c>
      <c r="X149" s="58" t="str">
        <v/>
      </c>
      <c r="Y149" s="75" t="str">
        <v/>
      </c>
      <c r="Z149" s="59">
        <v>2.4613353581241939</v>
      </c>
      <c r="AA149" s="61">
        <v>16</v>
      </c>
      <c r="AB149" s="61">
        <v>25</v>
      </c>
      <c r="AC149" s="61" t="str">
        <v/>
      </c>
      <c r="AD149" s="62" t="str">
        <v>QFD18</v>
      </c>
      <c r="AE149" s="62" t="str">
        <v/>
      </c>
      <c r="AF149" s="34">
        <v>18</v>
      </c>
      <c r="AG149" s="34" t="str">
        <v>QFD18</v>
      </c>
      <c r="AH149" s="34" t="str">
        <v/>
      </c>
      <c r="AI149" s="34" t="str">
        <v/>
      </c>
      <c r="AJ149" s="34" t="str">
        <v>QFD18</v>
      </c>
      <c r="AK149" s="34">
        <v>1</v>
      </c>
      <c r="AL149" s="34" t="str">
        <v>R</v>
      </c>
      <c r="AM149" s="34">
        <v>30</v>
      </c>
      <c r="AN149" s="34">
        <v>0</v>
      </c>
      <c r="AO149" s="34">
        <v>16</v>
      </c>
      <c r="AP149" s="34">
        <v>25</v>
      </c>
      <c r="AQ149" s="34">
        <v>16</v>
      </c>
      <c r="AR149" s="34">
        <v>1</v>
      </c>
      <c r="AS149" s="34">
        <v>1</v>
      </c>
      <c r="AT149" s="34" t="str">
        <v>2P</v>
      </c>
      <c r="AU149" s="34">
        <v>16</v>
      </c>
      <c r="AV149" s="34" t="str">
        <v/>
      </c>
      <c r="AW149" s="34" t="str">
        <v/>
      </c>
      <c r="AX149" s="34" t="str">
        <v/>
      </c>
      <c r="AY149" s="34">
        <v>1</v>
      </c>
      <c r="AZ149" s="34" t="str">
        <v/>
      </c>
      <c r="BA149" s="34">
        <v>0</v>
      </c>
      <c r="BB149" s="34">
        <v>16</v>
      </c>
      <c r="BD149" s="34">
        <v>1</v>
      </c>
      <c r="BE149" s="34">
        <v>0</v>
      </c>
      <c r="BF149" s="34">
        <v>1</v>
      </c>
      <c r="BG149" s="34" t="str">
        <v/>
      </c>
      <c r="BH149" s="34" t="str">
        <v/>
      </c>
      <c r="BI149" s="34" t="str">
        <v/>
      </c>
      <c r="BJ149" s="34" t="str">
        <v/>
      </c>
      <c r="BK149" s="34" t="str">
        <v>SOCKET</v>
      </c>
      <c r="BL149" s="34">
        <v>1</v>
      </c>
      <c r="BM149" s="34" t="str">
        <v/>
      </c>
      <c r="BN149" s="34" t="str">
        <v/>
      </c>
      <c r="BO149" s="34" t="str">
        <v/>
      </c>
      <c r="BP149" s="34" t="str">
        <v/>
      </c>
      <c r="BQ149" s="34" t="str">
        <v>3х2,5</v>
      </c>
      <c r="BR149" s="34" t="str">
        <v/>
      </c>
      <c r="BS149" s="34" t="str">
        <v/>
      </c>
      <c r="BT149" s="34" t="str">
        <v/>
      </c>
      <c r="BU149" s="34">
        <v>0</v>
      </c>
      <c r="BV149" s="34">
        <v>170</v>
      </c>
      <c r="BW149" s="34">
        <v>1</v>
      </c>
      <c r="BX149" s="34">
        <v>0</v>
      </c>
      <c r="BY149" s="34" t="str">
        <v>Розетка</v>
      </c>
      <c r="BZ149">
        <v>8</v>
      </c>
      <c r="CA149" t="str">
        <v>линии</v>
      </c>
    </row>
    <row r="150" spans="1:79" x14ac:dyDescent="0.3">
      <c r="A150" s="39" t="str">
        <v>ЩР-001</v>
      </c>
      <c r="B150" s="42">
        <v>38</v>
      </c>
      <c r="C150" s="42">
        <v>3</v>
      </c>
      <c r="D150" s="75" t="str">
        <v/>
      </c>
      <c r="E150" s="75" t="str">
        <v>авто</v>
      </c>
      <c r="F150" s="76">
        <v>30</v>
      </c>
      <c r="G150" s="47" t="str">
        <v>QFD19</v>
      </c>
      <c r="H150" s="47" t="str">
        <v>2P С16А 30мА</v>
      </c>
      <c r="I150" s="75" t="str">
        <v/>
      </c>
      <c r="J150" s="76" t="str">
        <v/>
      </c>
      <c r="K150" s="76" t="str">
        <v/>
      </c>
      <c r="L150" s="75" t="str">
        <v/>
      </c>
      <c r="M150" s="49" t="str">
        <v/>
      </c>
      <c r="N150" s="76" t="str">
        <v/>
      </c>
      <c r="O150" s="49" t="str">
        <v/>
      </c>
      <c r="P150" s="77" t="str">
        <v/>
      </c>
      <c r="Q150" s="53" t="str">
        <v>ВВГнг(А)-LS (3х2,5) L=71-1,16%</v>
      </c>
      <c r="R150" s="54" t="str">
        <v>R.00.005Б.1</v>
      </c>
      <c r="S150" s="55" t="str">
        <v>Розеточная группа, пом. 005Б</v>
      </c>
      <c r="T150" s="56">
        <v>0.48</v>
      </c>
      <c r="U150" s="56">
        <v>2.19</v>
      </c>
      <c r="V150" s="42" t="str">
        <v>L3</v>
      </c>
      <c r="W150" s="57" t="str">
        <v>ok</v>
      </c>
      <c r="X150" s="58" t="str">
        <v/>
      </c>
      <c r="Y150" s="75" t="str">
        <v/>
      </c>
      <c r="Z150" s="59">
        <v>2.1878536516659501</v>
      </c>
      <c r="AA150" s="61">
        <v>16</v>
      </c>
      <c r="AB150" s="61">
        <v>25</v>
      </c>
      <c r="AC150" s="61" t="str">
        <v/>
      </c>
      <c r="AD150" s="62" t="str">
        <v>QFD19</v>
      </c>
      <c r="AE150" s="62" t="str">
        <v/>
      </c>
      <c r="AF150" s="34">
        <v>19</v>
      </c>
      <c r="AG150" s="34" t="str">
        <v>QFD19</v>
      </c>
      <c r="AH150" s="34" t="str">
        <v/>
      </c>
      <c r="AI150" s="34" t="str">
        <v/>
      </c>
      <c r="AJ150" s="34" t="str">
        <v>QFD19</v>
      </c>
      <c r="AK150" s="34">
        <v>1</v>
      </c>
      <c r="AL150" s="34" t="str">
        <v>R</v>
      </c>
      <c r="AM150" s="34">
        <v>30</v>
      </c>
      <c r="AN150" s="34">
        <v>0</v>
      </c>
      <c r="AO150" s="34">
        <v>16</v>
      </c>
      <c r="AP150" s="34">
        <v>25</v>
      </c>
      <c r="AQ150" s="34">
        <v>16</v>
      </c>
      <c r="AR150" s="34">
        <v>1</v>
      </c>
      <c r="AS150" s="34">
        <v>1</v>
      </c>
      <c r="AT150" s="34" t="str">
        <v>2P</v>
      </c>
      <c r="AU150" s="34">
        <v>16</v>
      </c>
      <c r="AV150" s="34" t="str">
        <v/>
      </c>
      <c r="AW150" s="34" t="str">
        <v/>
      </c>
      <c r="AX150" s="34" t="str">
        <v/>
      </c>
      <c r="AY150" s="34">
        <v>1</v>
      </c>
      <c r="AZ150" s="34" t="str">
        <v/>
      </c>
      <c r="BA150" s="34">
        <v>0</v>
      </c>
      <c r="BB150" s="34">
        <v>16</v>
      </c>
      <c r="BD150" s="34">
        <v>1</v>
      </c>
      <c r="BE150" s="34">
        <v>0</v>
      </c>
      <c r="BF150" s="34">
        <v>1</v>
      </c>
      <c r="BG150" s="34" t="str">
        <v/>
      </c>
      <c r="BH150" s="34" t="str">
        <v/>
      </c>
      <c r="BI150" s="34" t="str">
        <v/>
      </c>
      <c r="BJ150" s="34" t="str">
        <v/>
      </c>
      <c r="BK150" s="34" t="str">
        <v>SOCKET</v>
      </c>
      <c r="BL150" s="34">
        <v>1</v>
      </c>
      <c r="BM150" s="34" t="str">
        <v/>
      </c>
      <c r="BN150" s="34" t="str">
        <v/>
      </c>
      <c r="BO150" s="34" t="str">
        <v/>
      </c>
      <c r="BP150" s="34" t="str">
        <v/>
      </c>
      <c r="BQ150" s="34" t="str">
        <v>3х2,5</v>
      </c>
      <c r="BR150" s="34" t="str">
        <v/>
      </c>
      <c r="BS150" s="34" t="str">
        <v/>
      </c>
      <c r="BT150" s="34" t="str">
        <v/>
      </c>
      <c r="BU150" s="34">
        <v>0</v>
      </c>
      <c r="BV150" s="34">
        <v>171</v>
      </c>
      <c r="BW150" s="34">
        <v>1</v>
      </c>
      <c r="BX150" s="34">
        <v>0</v>
      </c>
      <c r="BY150" s="34" t="str">
        <v>Розетка</v>
      </c>
      <c r="BZ150">
        <v>8</v>
      </c>
      <c r="CA150" t="str">
        <v>линии</v>
      </c>
    </row>
    <row r="151" spans="1:79" x14ac:dyDescent="0.3">
      <c r="A151" s="39" t="str">
        <v>ЩР-001</v>
      </c>
      <c r="B151" s="42">
        <v>39</v>
      </c>
      <c r="C151" s="42">
        <v>3</v>
      </c>
      <c r="D151" s="75" t="str">
        <v/>
      </c>
      <c r="E151" s="75" t="str">
        <v>авто</v>
      </c>
      <c r="F151" s="76">
        <v>30</v>
      </c>
      <c r="G151" s="47" t="str">
        <v>QFD20</v>
      </c>
      <c r="H151" s="47" t="str">
        <v>2P С16А 30мА</v>
      </c>
      <c r="I151" s="75" t="str">
        <v/>
      </c>
      <c r="J151" s="76" t="str">
        <v/>
      </c>
      <c r="K151" s="76" t="str">
        <v/>
      </c>
      <c r="L151" s="75" t="str">
        <v/>
      </c>
      <c r="M151" s="49" t="str">
        <v/>
      </c>
      <c r="N151" s="76" t="str">
        <v/>
      </c>
      <c r="O151" s="49" t="str">
        <v/>
      </c>
      <c r="P151" s="77" t="str">
        <v/>
      </c>
      <c r="Q151" s="53" t="str">
        <v>ВВГнг(А)-LS (3х2,5) L=29-0,12%</v>
      </c>
      <c r="R151" s="54" t="str">
        <v>R.00.009Б.1</v>
      </c>
      <c r="S151" s="55" t="str">
        <v>Розеточная группа, пом. 009Б</v>
      </c>
      <c r="T151" s="56">
        <v>0.12</v>
      </c>
      <c r="U151" s="56">
        <v>0.55000000000000004</v>
      </c>
      <c r="V151" s="42" t="str">
        <v>L2</v>
      </c>
      <c r="W151" s="57" t="str">
        <v>ok</v>
      </c>
      <c r="X151" s="58" t="str">
        <v/>
      </c>
      <c r="Y151" s="75" t="str">
        <v/>
      </c>
      <c r="Z151" s="59">
        <v>0.54696341291648753</v>
      </c>
      <c r="AA151" s="61">
        <v>16</v>
      </c>
      <c r="AB151" s="61">
        <v>25</v>
      </c>
      <c r="AC151" s="61" t="str">
        <v/>
      </c>
      <c r="AD151" s="62" t="str">
        <v>QFD20</v>
      </c>
      <c r="AE151" s="62" t="str">
        <v/>
      </c>
      <c r="AF151" s="34">
        <v>20</v>
      </c>
      <c r="AG151" s="34" t="str">
        <v>QFD20</v>
      </c>
      <c r="AH151" s="34" t="str">
        <v/>
      </c>
      <c r="AI151" s="34" t="str">
        <v/>
      </c>
      <c r="AJ151" s="34" t="str">
        <v>QFD20</v>
      </c>
      <c r="AK151" s="34">
        <v>1</v>
      </c>
      <c r="AL151" s="34" t="str">
        <v>R</v>
      </c>
      <c r="AM151" s="34">
        <v>30</v>
      </c>
      <c r="AN151" s="34">
        <v>0</v>
      </c>
      <c r="AO151" s="34">
        <v>16</v>
      </c>
      <c r="AP151" s="34">
        <v>25</v>
      </c>
      <c r="AQ151" s="34">
        <v>16</v>
      </c>
      <c r="AR151" s="34">
        <v>1</v>
      </c>
      <c r="AS151" s="34">
        <v>1</v>
      </c>
      <c r="AT151" s="34" t="str">
        <v>2P</v>
      </c>
      <c r="AU151" s="34">
        <v>16</v>
      </c>
      <c r="AV151" s="34" t="str">
        <v/>
      </c>
      <c r="AW151" s="34" t="str">
        <v/>
      </c>
      <c r="AX151" s="34" t="str">
        <v/>
      </c>
      <c r="AY151" s="34">
        <v>1</v>
      </c>
      <c r="AZ151" s="34" t="str">
        <v/>
      </c>
      <c r="BA151" s="34">
        <v>0</v>
      </c>
      <c r="BB151" s="34">
        <v>16</v>
      </c>
      <c r="BD151" s="34">
        <v>1</v>
      </c>
      <c r="BE151" s="34">
        <v>0</v>
      </c>
      <c r="BF151" s="34">
        <v>1</v>
      </c>
      <c r="BG151" s="34" t="str">
        <v/>
      </c>
      <c r="BH151" s="34" t="str">
        <v/>
      </c>
      <c r="BI151" s="34" t="str">
        <v/>
      </c>
      <c r="BJ151" s="34" t="str">
        <v/>
      </c>
      <c r="BK151" s="34" t="str">
        <v>SOCKET</v>
      </c>
      <c r="BL151" s="34">
        <v>1</v>
      </c>
      <c r="BM151" s="34" t="str">
        <v/>
      </c>
      <c r="BN151" s="34" t="str">
        <v/>
      </c>
      <c r="BO151" s="34" t="str">
        <v/>
      </c>
      <c r="BP151" s="34" t="str">
        <v/>
      </c>
      <c r="BQ151" s="34" t="str">
        <v>3х2,5</v>
      </c>
      <c r="BR151" s="34" t="str">
        <v/>
      </c>
      <c r="BS151" s="34" t="str">
        <v/>
      </c>
      <c r="BT151" s="34" t="str">
        <v/>
      </c>
      <c r="BU151" s="34">
        <v>0</v>
      </c>
      <c r="BV151" s="34">
        <v>172</v>
      </c>
      <c r="BW151" s="34">
        <v>1</v>
      </c>
      <c r="BX151" s="34">
        <v>0</v>
      </c>
      <c r="BY151" s="34" t="str">
        <v>Розетка</v>
      </c>
      <c r="BZ151">
        <v>8</v>
      </c>
      <c r="CA151" t="str">
        <v>линии</v>
      </c>
    </row>
    <row r="152" spans="1:79" x14ac:dyDescent="0.3">
      <c r="A152" s="39" t="str">
        <v>ЩР-001</v>
      </c>
      <c r="B152" s="42">
        <v>40</v>
      </c>
      <c r="C152" s="42">
        <v>3</v>
      </c>
      <c r="D152" s="75" t="str">
        <v/>
      </c>
      <c r="E152" s="75" t="str">
        <v>авто</v>
      </c>
      <c r="F152" s="76">
        <v>30</v>
      </c>
      <c r="G152" s="47" t="str">
        <v>QFD21</v>
      </c>
      <c r="H152" s="47" t="str">
        <v>2P С16А 30мА</v>
      </c>
      <c r="I152" s="75" t="str">
        <v/>
      </c>
      <c r="J152" s="76" t="str">
        <v/>
      </c>
      <c r="K152" s="76" t="str">
        <v/>
      </c>
      <c r="L152" s="75" t="str">
        <v/>
      </c>
      <c r="M152" s="49" t="str">
        <v/>
      </c>
      <c r="N152" s="76" t="str">
        <v/>
      </c>
      <c r="O152" s="49" t="str">
        <v/>
      </c>
      <c r="P152" s="77" t="str">
        <v/>
      </c>
      <c r="Q152" s="53" t="str">
        <v>ВВГнг(А)-LS (3х2,5) L=30-0,13%</v>
      </c>
      <c r="R152" s="54" t="str">
        <v>R.00.006Б.1</v>
      </c>
      <c r="S152" s="55" t="str">
        <v>Розеточная группа, пом. 006Б</v>
      </c>
      <c r="T152" s="56">
        <v>0.12</v>
      </c>
      <c r="U152" s="56">
        <v>0.55000000000000004</v>
      </c>
      <c r="V152" s="42" t="str">
        <v>L3</v>
      </c>
      <c r="W152" s="57" t="str">
        <v>ok</v>
      </c>
      <c r="X152" s="58" t="str">
        <v/>
      </c>
      <c r="Y152" s="75" t="str">
        <v/>
      </c>
      <c r="Z152" s="59">
        <v>0.54696341291648753</v>
      </c>
      <c r="AA152" s="61">
        <v>16</v>
      </c>
      <c r="AB152" s="61">
        <v>25</v>
      </c>
      <c r="AC152" s="61" t="str">
        <v/>
      </c>
      <c r="AD152" s="62" t="str">
        <v>QFD21</v>
      </c>
      <c r="AE152" s="62" t="str">
        <v/>
      </c>
      <c r="AF152" s="34">
        <v>21</v>
      </c>
      <c r="AG152" s="34" t="str">
        <v>QFD21</v>
      </c>
      <c r="AH152" s="34" t="str">
        <v/>
      </c>
      <c r="AI152" s="34" t="str">
        <v/>
      </c>
      <c r="AJ152" s="34" t="str">
        <v>QFD21</v>
      </c>
      <c r="AK152" s="34">
        <v>1</v>
      </c>
      <c r="AL152" s="34" t="str">
        <v>R</v>
      </c>
      <c r="AM152" s="34">
        <v>30</v>
      </c>
      <c r="AN152" s="34">
        <v>0</v>
      </c>
      <c r="AO152" s="34">
        <v>16</v>
      </c>
      <c r="AP152" s="34">
        <v>25</v>
      </c>
      <c r="AQ152" s="34">
        <v>16</v>
      </c>
      <c r="AR152" s="34">
        <v>1</v>
      </c>
      <c r="AS152" s="34">
        <v>1</v>
      </c>
      <c r="AT152" s="34" t="str">
        <v>2P</v>
      </c>
      <c r="AU152" s="34">
        <v>16</v>
      </c>
      <c r="AV152" s="34" t="str">
        <v/>
      </c>
      <c r="AW152" s="34" t="str">
        <v/>
      </c>
      <c r="AX152" s="34" t="str">
        <v/>
      </c>
      <c r="AY152" s="34">
        <v>1</v>
      </c>
      <c r="AZ152" s="34" t="str">
        <v/>
      </c>
      <c r="BA152" s="34">
        <v>0</v>
      </c>
      <c r="BB152" s="34">
        <v>16</v>
      </c>
      <c r="BD152" s="34">
        <v>1</v>
      </c>
      <c r="BE152" s="34">
        <v>0</v>
      </c>
      <c r="BF152" s="34">
        <v>1</v>
      </c>
      <c r="BG152" s="34" t="str">
        <v/>
      </c>
      <c r="BH152" s="34" t="str">
        <v/>
      </c>
      <c r="BI152" s="34" t="str">
        <v/>
      </c>
      <c r="BJ152" s="34" t="str">
        <v/>
      </c>
      <c r="BK152" s="34" t="str">
        <v>SOCKET</v>
      </c>
      <c r="BL152" s="34">
        <v>1</v>
      </c>
      <c r="BM152" s="34" t="str">
        <v/>
      </c>
      <c r="BN152" s="34" t="str">
        <v/>
      </c>
      <c r="BO152" s="34" t="str">
        <v/>
      </c>
      <c r="BP152" s="34" t="str">
        <v/>
      </c>
      <c r="BQ152" s="34" t="str">
        <v>3х2,5</v>
      </c>
      <c r="BR152" s="34" t="str">
        <v/>
      </c>
      <c r="BS152" s="34" t="str">
        <v/>
      </c>
      <c r="BT152" s="34" t="str">
        <v/>
      </c>
      <c r="BU152" s="34">
        <v>0</v>
      </c>
      <c r="BV152" s="34">
        <v>173</v>
      </c>
      <c r="BW152" s="34">
        <v>1</v>
      </c>
      <c r="BX152" s="34">
        <v>0</v>
      </c>
      <c r="BY152" s="34" t="str">
        <v>Розетка</v>
      </c>
      <c r="BZ152">
        <v>8</v>
      </c>
      <c r="CA152" t="str">
        <v>линии</v>
      </c>
    </row>
    <row r="153" spans="1:79" x14ac:dyDescent="0.3">
      <c r="A153" s="39" t="str">
        <v>ЩР-001</v>
      </c>
      <c r="B153" s="42">
        <v>41</v>
      </c>
      <c r="C153" s="42">
        <v>3</v>
      </c>
      <c r="D153" s="75" t="str">
        <v/>
      </c>
      <c r="E153" s="75" t="str">
        <v>авто</v>
      </c>
      <c r="F153" s="76">
        <v>30</v>
      </c>
      <c r="G153" s="47" t="str">
        <v>QFD22</v>
      </c>
      <c r="H153" s="47" t="str">
        <v>2P С16А 30мА</v>
      </c>
      <c r="I153" s="75" t="str">
        <v/>
      </c>
      <c r="J153" s="76" t="str">
        <v/>
      </c>
      <c r="K153" s="76" t="str">
        <v/>
      </c>
      <c r="L153" s="75" t="str">
        <v/>
      </c>
      <c r="M153" s="49" t="str">
        <v/>
      </c>
      <c r="N153" s="76" t="str">
        <v/>
      </c>
      <c r="O153" s="49" t="str">
        <v/>
      </c>
      <c r="P153" s="77" t="str">
        <v/>
      </c>
      <c r="Q153" s="53" t="str">
        <v>ВВГнг(А)-LS (3х2,5) L=80-0,82%</v>
      </c>
      <c r="R153" s="54" t="str">
        <v>R.00.007А.1</v>
      </c>
      <c r="S153" s="55" t="str">
        <v>Розеточная группа, пом. 007А</v>
      </c>
      <c r="T153" s="56">
        <v>0.3</v>
      </c>
      <c r="U153" s="56">
        <v>1.37</v>
      </c>
      <c r="V153" s="42" t="str">
        <v>L3</v>
      </c>
      <c r="W153" s="57" t="str">
        <v>ok</v>
      </c>
      <c r="X153" s="58" t="str">
        <v/>
      </c>
      <c r="Y153" s="75" t="str">
        <v/>
      </c>
      <c r="Z153" s="59">
        <v>1.3674085322912188</v>
      </c>
      <c r="AA153" s="61">
        <v>16</v>
      </c>
      <c r="AB153" s="61">
        <v>25</v>
      </c>
      <c r="AC153" s="61" t="str">
        <v/>
      </c>
      <c r="AD153" s="62" t="str">
        <v>QFD22</v>
      </c>
      <c r="AE153" s="62" t="str">
        <v/>
      </c>
      <c r="AF153" s="34">
        <v>22</v>
      </c>
      <c r="AG153" s="34" t="str">
        <v>QFD22</v>
      </c>
      <c r="AH153" s="34" t="str">
        <v/>
      </c>
      <c r="AI153" s="34" t="str">
        <v/>
      </c>
      <c r="AJ153" s="34" t="str">
        <v>QFD22</v>
      </c>
      <c r="AK153" s="34">
        <v>1</v>
      </c>
      <c r="AL153" s="34" t="str">
        <v>R</v>
      </c>
      <c r="AM153" s="34">
        <v>30</v>
      </c>
      <c r="AN153" s="34">
        <v>0</v>
      </c>
      <c r="AO153" s="34">
        <v>16</v>
      </c>
      <c r="AP153" s="34">
        <v>25</v>
      </c>
      <c r="AQ153" s="34">
        <v>16</v>
      </c>
      <c r="AR153" s="34">
        <v>1</v>
      </c>
      <c r="AS153" s="34">
        <v>1</v>
      </c>
      <c r="AT153" s="34" t="str">
        <v>2P</v>
      </c>
      <c r="AU153" s="34">
        <v>16</v>
      </c>
      <c r="AV153" s="34" t="str">
        <v/>
      </c>
      <c r="AW153" s="34" t="str">
        <v/>
      </c>
      <c r="AX153" s="34" t="str">
        <v/>
      </c>
      <c r="AY153" s="34">
        <v>1</v>
      </c>
      <c r="AZ153" s="34" t="str">
        <v/>
      </c>
      <c r="BA153" s="34">
        <v>0</v>
      </c>
      <c r="BB153" s="34">
        <v>16</v>
      </c>
      <c r="BD153" s="34">
        <v>1</v>
      </c>
      <c r="BE153" s="34">
        <v>0</v>
      </c>
      <c r="BF153" s="34">
        <v>1</v>
      </c>
      <c r="BG153" s="34" t="str">
        <v/>
      </c>
      <c r="BH153" s="34" t="str">
        <v/>
      </c>
      <c r="BI153" s="34" t="str">
        <v/>
      </c>
      <c r="BJ153" s="34" t="str">
        <v/>
      </c>
      <c r="BK153" s="34" t="str">
        <v>SOCKET</v>
      </c>
      <c r="BL153" s="34">
        <v>1</v>
      </c>
      <c r="BM153" s="34" t="str">
        <v/>
      </c>
      <c r="BN153" s="34" t="str">
        <v/>
      </c>
      <c r="BO153" s="34" t="str">
        <v/>
      </c>
      <c r="BP153" s="34" t="str">
        <v/>
      </c>
      <c r="BQ153" s="34" t="str">
        <v>3х2,5</v>
      </c>
      <c r="BR153" s="34" t="str">
        <v/>
      </c>
      <c r="BS153" s="34" t="str">
        <v/>
      </c>
      <c r="BT153" s="34" t="str">
        <v/>
      </c>
      <c r="BU153" s="34">
        <v>0</v>
      </c>
      <c r="BV153" s="34">
        <v>174</v>
      </c>
      <c r="BW153" s="34">
        <v>1</v>
      </c>
      <c r="BX153" s="34">
        <v>0</v>
      </c>
      <c r="BY153" s="34" t="str">
        <v>Розетка</v>
      </c>
      <c r="BZ153">
        <v>8</v>
      </c>
      <c r="CA153" t="str">
        <v>линии</v>
      </c>
    </row>
    <row r="154" spans="1:79" x14ac:dyDescent="0.3">
      <c r="A154" s="39" t="str">
        <v>ЩР-001</v>
      </c>
      <c r="B154" s="42">
        <v>42</v>
      </c>
      <c r="C154" s="42">
        <v>3</v>
      </c>
      <c r="D154" s="75" t="str">
        <v/>
      </c>
      <c r="E154" s="75" t="str">
        <v>авто</v>
      </c>
      <c r="F154" s="76">
        <v>30</v>
      </c>
      <c r="G154" s="47" t="str">
        <v>QFD23</v>
      </c>
      <c r="H154" s="47" t="str">
        <v>2P С16А 30мА</v>
      </c>
      <c r="I154" s="75" t="str">
        <v/>
      </c>
      <c r="J154" s="76" t="str">
        <v/>
      </c>
      <c r="K154" s="76" t="str">
        <v/>
      </c>
      <c r="L154" s="75" t="str">
        <v/>
      </c>
      <c r="M154" s="49" t="str">
        <v/>
      </c>
      <c r="N154" s="76" t="str">
        <v/>
      </c>
      <c r="O154" s="49" t="str">
        <v/>
      </c>
      <c r="P154" s="77" t="str">
        <v/>
      </c>
      <c r="Q154" s="53" t="str">
        <v>ВВГнг(А)-LS (3х2,5) L=47-0,2%</v>
      </c>
      <c r="R154" s="54" t="str">
        <v>R.00.008А.1</v>
      </c>
      <c r="S154" s="55" t="str">
        <v>Розеточная группа, пом. 008А</v>
      </c>
      <c r="T154" s="56">
        <v>0.12</v>
      </c>
      <c r="U154" s="56">
        <v>0.55000000000000004</v>
      </c>
      <c r="V154" s="42" t="str">
        <v>L1</v>
      </c>
      <c r="W154" s="57" t="str">
        <v>ok</v>
      </c>
      <c r="X154" s="58" t="str">
        <v/>
      </c>
      <c r="Y154" s="75" t="str">
        <v/>
      </c>
      <c r="Z154" s="59">
        <v>0.54696341291648753</v>
      </c>
      <c r="AA154" s="61">
        <v>16</v>
      </c>
      <c r="AB154" s="61">
        <v>25</v>
      </c>
      <c r="AC154" s="61" t="str">
        <v/>
      </c>
      <c r="AD154" s="62" t="str">
        <v>QFD23</v>
      </c>
      <c r="AE154" s="62" t="str">
        <v/>
      </c>
      <c r="AF154" s="34">
        <v>23</v>
      </c>
      <c r="AG154" s="34" t="str">
        <v>QFD23</v>
      </c>
      <c r="AH154" s="34" t="str">
        <v/>
      </c>
      <c r="AI154" s="34" t="str">
        <v/>
      </c>
      <c r="AJ154" s="34" t="str">
        <v>QFD23</v>
      </c>
      <c r="AK154" s="34">
        <v>1</v>
      </c>
      <c r="AL154" s="34" t="str">
        <v>R</v>
      </c>
      <c r="AM154" s="34">
        <v>30</v>
      </c>
      <c r="AN154" s="34">
        <v>0</v>
      </c>
      <c r="AO154" s="34">
        <v>16</v>
      </c>
      <c r="AP154" s="34">
        <v>25</v>
      </c>
      <c r="AQ154" s="34">
        <v>16</v>
      </c>
      <c r="AR154" s="34">
        <v>1</v>
      </c>
      <c r="AS154" s="34">
        <v>1</v>
      </c>
      <c r="AT154" s="34" t="str">
        <v>2P</v>
      </c>
      <c r="AU154" s="34">
        <v>16</v>
      </c>
      <c r="AV154" s="34" t="str">
        <v/>
      </c>
      <c r="AW154" s="34" t="str">
        <v/>
      </c>
      <c r="AX154" s="34" t="str">
        <v/>
      </c>
      <c r="AY154" s="34">
        <v>1</v>
      </c>
      <c r="AZ154" s="34" t="str">
        <v/>
      </c>
      <c r="BA154" s="34">
        <v>0</v>
      </c>
      <c r="BB154" s="34">
        <v>16</v>
      </c>
      <c r="BD154" s="34">
        <v>1</v>
      </c>
      <c r="BE154" s="34">
        <v>0</v>
      </c>
      <c r="BF154" s="34">
        <v>1</v>
      </c>
      <c r="BG154" s="34" t="str">
        <v/>
      </c>
      <c r="BH154" s="34" t="str">
        <v/>
      </c>
      <c r="BI154" s="34" t="str">
        <v/>
      </c>
      <c r="BJ154" s="34" t="str">
        <v/>
      </c>
      <c r="BK154" s="34" t="str">
        <v>SOCKET</v>
      </c>
      <c r="BL154" s="34">
        <v>1</v>
      </c>
      <c r="BM154" s="34" t="str">
        <v/>
      </c>
      <c r="BN154" s="34" t="str">
        <v/>
      </c>
      <c r="BO154" s="34" t="str">
        <v/>
      </c>
      <c r="BP154" s="34" t="str">
        <v/>
      </c>
      <c r="BQ154" s="34" t="str">
        <v>3х2,5</v>
      </c>
      <c r="BR154" s="34" t="str">
        <v/>
      </c>
      <c r="BS154" s="34" t="str">
        <v/>
      </c>
      <c r="BT154" s="34" t="str">
        <v/>
      </c>
      <c r="BU154" s="34">
        <v>0</v>
      </c>
      <c r="BV154" s="34">
        <v>175</v>
      </c>
      <c r="BW154" s="34">
        <v>1</v>
      </c>
      <c r="BX154" s="34">
        <v>0</v>
      </c>
      <c r="BY154" s="34" t="str">
        <v>Розетка</v>
      </c>
      <c r="BZ154">
        <v>8</v>
      </c>
      <c r="CA154" t="str">
        <v>линии</v>
      </c>
    </row>
    <row r="155" spans="1:79" x14ac:dyDescent="0.3">
      <c r="A155" s="39" t="str">
        <v>ЩР-001</v>
      </c>
      <c r="B155" s="42">
        <v>43</v>
      </c>
      <c r="C155" s="42">
        <v>3</v>
      </c>
      <c r="D155" s="75" t="str">
        <v/>
      </c>
      <c r="E155" s="75" t="str">
        <v>авто</v>
      </c>
      <c r="F155" s="76">
        <v>30</v>
      </c>
      <c r="G155" s="47" t="str">
        <v>QFD24</v>
      </c>
      <c r="H155" s="47" t="str">
        <v>2P С16А 30мА</v>
      </c>
      <c r="I155" s="75" t="str">
        <v/>
      </c>
      <c r="J155" s="76" t="str">
        <v/>
      </c>
      <c r="K155" s="76" t="str">
        <v/>
      </c>
      <c r="L155" s="75" t="str">
        <v/>
      </c>
      <c r="M155" s="49" t="str">
        <v/>
      </c>
      <c r="N155" s="76" t="str">
        <v/>
      </c>
      <c r="O155" s="49" t="str">
        <v/>
      </c>
      <c r="P155" s="77" t="str">
        <v/>
      </c>
      <c r="Q155" s="53" t="str">
        <v>ВВГнг(А)-LS (3х2,5) L=31-0,07%</v>
      </c>
      <c r="R155" s="54" t="str">
        <v>R.00.002Б.1</v>
      </c>
      <c r="S155" s="55" t="str">
        <v>Розеточная группа, пом. 002Б</v>
      </c>
      <c r="T155" s="56">
        <v>0.06</v>
      </c>
      <c r="U155" s="56">
        <v>0.28000000000000003</v>
      </c>
      <c r="V155" s="42" t="str">
        <v>L3</v>
      </c>
      <c r="W155" s="57" t="str">
        <v>ok</v>
      </c>
      <c r="X155" s="58" t="str">
        <v/>
      </c>
      <c r="Y155" s="75" t="str">
        <v/>
      </c>
      <c r="Z155" s="59">
        <v>0.27348170645824377</v>
      </c>
      <c r="AA155" s="61">
        <v>16</v>
      </c>
      <c r="AB155" s="61">
        <v>25</v>
      </c>
      <c r="AC155" s="61" t="str">
        <v/>
      </c>
      <c r="AD155" s="62" t="str">
        <v>QFD24</v>
      </c>
      <c r="AE155" s="62" t="str">
        <v/>
      </c>
      <c r="AF155" s="34">
        <v>24</v>
      </c>
      <c r="AG155" s="34" t="str">
        <v>QFD24</v>
      </c>
      <c r="AH155" s="34" t="str">
        <v/>
      </c>
      <c r="AI155" s="34" t="str">
        <v/>
      </c>
      <c r="AJ155" s="34" t="str">
        <v>QFD24</v>
      </c>
      <c r="AK155" s="34">
        <v>1</v>
      </c>
      <c r="AL155" s="34" t="str">
        <v>R</v>
      </c>
      <c r="AM155" s="34">
        <v>30</v>
      </c>
      <c r="AN155" s="34">
        <v>0</v>
      </c>
      <c r="AO155" s="34">
        <v>16</v>
      </c>
      <c r="AP155" s="34">
        <v>25</v>
      </c>
      <c r="AQ155" s="34">
        <v>16</v>
      </c>
      <c r="AR155" s="34">
        <v>1</v>
      </c>
      <c r="AS155" s="34">
        <v>1</v>
      </c>
      <c r="AT155" s="34" t="str">
        <v>2P</v>
      </c>
      <c r="AU155" s="34">
        <v>16</v>
      </c>
      <c r="AV155" s="34" t="str">
        <v/>
      </c>
      <c r="AW155" s="34" t="str">
        <v/>
      </c>
      <c r="AX155" s="34" t="str">
        <v/>
      </c>
      <c r="AY155" s="34">
        <v>1</v>
      </c>
      <c r="AZ155" s="34" t="str">
        <v/>
      </c>
      <c r="BA155" s="34">
        <v>0</v>
      </c>
      <c r="BB155" s="34">
        <v>16</v>
      </c>
      <c r="BD155" s="34">
        <v>1</v>
      </c>
      <c r="BE155" s="34">
        <v>0</v>
      </c>
      <c r="BF155" s="34">
        <v>1</v>
      </c>
      <c r="BG155" s="34" t="str">
        <v/>
      </c>
      <c r="BH155" s="34" t="str">
        <v/>
      </c>
      <c r="BI155" s="34" t="str">
        <v/>
      </c>
      <c r="BJ155" s="34" t="str">
        <v/>
      </c>
      <c r="BK155" s="34" t="str">
        <v>SOCKET</v>
      </c>
      <c r="BL155" s="34">
        <v>1</v>
      </c>
      <c r="BM155" s="34" t="str">
        <v/>
      </c>
      <c r="BN155" s="34" t="str">
        <v/>
      </c>
      <c r="BO155" s="34" t="str">
        <v/>
      </c>
      <c r="BP155" s="34" t="str">
        <v/>
      </c>
      <c r="BQ155" s="34" t="str">
        <v>3х2,5</v>
      </c>
      <c r="BR155" s="34" t="str">
        <v/>
      </c>
      <c r="BS155" s="34" t="str">
        <v/>
      </c>
      <c r="BT155" s="34" t="str">
        <v/>
      </c>
      <c r="BU155" s="34">
        <v>0</v>
      </c>
      <c r="BV155" s="34">
        <v>176</v>
      </c>
      <c r="BW155" s="34">
        <v>1</v>
      </c>
      <c r="BX155" s="34">
        <v>0</v>
      </c>
      <c r="BY155" s="34" t="str">
        <v>Розетка</v>
      </c>
      <c r="BZ155">
        <v>8</v>
      </c>
      <c r="CA155" t="str">
        <v>линии</v>
      </c>
    </row>
    <row r="156" spans="1:79" x14ac:dyDescent="0.3">
      <c r="A156" s="39" t="str">
        <v>ЩР-001</v>
      </c>
      <c r="B156" s="42">
        <v>46</v>
      </c>
      <c r="C156" s="42">
        <v>3</v>
      </c>
      <c r="D156" s="75" t="str">
        <v/>
      </c>
      <c r="E156" s="75" t="str">
        <v>авто</v>
      </c>
      <c r="F156" s="76" t="str">
        <v/>
      </c>
      <c r="G156" s="47" t="str">
        <v>QF25</v>
      </c>
      <c r="H156" s="47" t="str">
        <v>1P С16А</v>
      </c>
      <c r="I156" s="75" t="str">
        <v/>
      </c>
      <c r="J156" s="76" t="str">
        <v/>
      </c>
      <c r="K156" s="76" t="str">
        <v/>
      </c>
      <c r="L156" s="75" t="str">
        <v/>
      </c>
      <c r="M156" s="49" t="str">
        <v/>
      </c>
      <c r="N156" s="76" t="str">
        <v/>
      </c>
      <c r="O156" s="49" t="str">
        <v/>
      </c>
      <c r="P156" s="77" t="str">
        <v>XT25</v>
      </c>
      <c r="Q156" s="53" t="str">
        <v>ВВГнг(А)-LS (3х2,5) L=36-0,74%</v>
      </c>
      <c r="R156" s="54" t="str">
        <v>ШТК-0</v>
      </c>
      <c r="S156" s="55" t="str">
        <v>Шкаф телекоммуникационный ШТК-0 Подвальный этаж Пом. №007Т</v>
      </c>
      <c r="T156" s="56">
        <v>0.6</v>
      </c>
      <c r="U156" s="56">
        <v>2.7399999999999998</v>
      </c>
      <c r="V156" s="42" t="str">
        <v>L3</v>
      </c>
      <c r="W156" s="57" t="str">
        <v>ok</v>
      </c>
      <c r="X156" s="58" t="str">
        <v/>
      </c>
      <c r="Y156" s="75" t="str">
        <v/>
      </c>
      <c r="Z156" s="59">
        <v>2.7348170645824377</v>
      </c>
      <c r="AA156" s="61">
        <v>6</v>
      </c>
      <c r="AB156" s="61">
        <v>25</v>
      </c>
      <c r="AC156" s="61" t="str">
        <v/>
      </c>
      <c r="AD156" s="62" t="str">
        <v>QF25 → XT25</v>
      </c>
      <c r="AE156" s="62" t="str">
        <v/>
      </c>
      <c r="AF156" s="34">
        <v>25</v>
      </c>
      <c r="AG156" s="34" t="str">
        <v>QF25</v>
      </c>
      <c r="AH156" s="34" t="str">
        <v/>
      </c>
      <c r="AI156" s="34" t="str">
        <v/>
      </c>
      <c r="AJ156" s="34" t="str">
        <v>QF25</v>
      </c>
      <c r="AK156" s="34">
        <v>1</v>
      </c>
      <c r="AL156" s="34" t="str">
        <v>ШТК-0</v>
      </c>
      <c r="AM156" s="34">
        <v>0</v>
      </c>
      <c r="AN156" s="34">
        <v>0</v>
      </c>
      <c r="AO156" s="34">
        <v>6</v>
      </c>
      <c r="AP156" s="34">
        <v>25</v>
      </c>
      <c r="AQ156" s="34">
        <v>16</v>
      </c>
      <c r="AR156" s="34">
        <v>1</v>
      </c>
      <c r="AS156" s="34">
        <v>0</v>
      </c>
      <c r="AT156" s="34" t="str">
        <v>1P</v>
      </c>
      <c r="AU156" s="34">
        <v>16</v>
      </c>
      <c r="AV156" s="34" t="str">
        <v/>
      </c>
      <c r="AW156" s="34" t="str">
        <v/>
      </c>
      <c r="AX156" s="34" t="str">
        <v/>
      </c>
      <c r="AY156" s="34">
        <v>1</v>
      </c>
      <c r="AZ156" s="34" t="str">
        <v/>
      </c>
      <c r="BA156" s="34">
        <v>0</v>
      </c>
      <c r="BB156" s="34">
        <v>0</v>
      </c>
      <c r="BD156" s="34">
        <v>1</v>
      </c>
      <c r="BE156" s="34">
        <v>0</v>
      </c>
      <c r="BF156" s="34">
        <v>0</v>
      </c>
      <c r="BG156" s="34" t="str">
        <v/>
      </c>
      <c r="BH156" s="34" t="str">
        <v/>
      </c>
      <c r="BI156" s="34" t="str">
        <v/>
      </c>
      <c r="BJ156" s="34" t="str">
        <v/>
      </c>
      <c r="BK156" s="34" t="str">
        <v>BOX</v>
      </c>
      <c r="BL156" s="34">
        <v>1</v>
      </c>
      <c r="BM156" s="34" t="str">
        <v/>
      </c>
      <c r="BN156" s="34" t="str">
        <v/>
      </c>
      <c r="BO156" s="34" t="str">
        <v/>
      </c>
      <c r="BP156" s="34" t="str">
        <v/>
      </c>
      <c r="BQ156" s="34" t="str">
        <v>3х2,5</v>
      </c>
      <c r="BR156" s="34" t="str">
        <v/>
      </c>
      <c r="BS156" s="34" t="str">
        <v/>
      </c>
      <c r="BT156" s="34" t="str">
        <v/>
      </c>
      <c r="BU156" s="34">
        <v>0</v>
      </c>
      <c r="BV156" s="34">
        <v>177</v>
      </c>
      <c r="BW156" s="34">
        <v>1</v>
      </c>
      <c r="BX156" s="34">
        <v>0</v>
      </c>
      <c r="BY156" s="34" t="str">
        <v/>
      </c>
      <c r="BZ156">
        <v>8</v>
      </c>
      <c r="CA156" t="str">
        <v>линии</v>
      </c>
    </row>
    <row r="157" spans="1:79" x14ac:dyDescent="0.3">
      <c r="A157" s="39" t="str">
        <v>ЩР-001</v>
      </c>
      <c r="B157" s="42">
        <v>47</v>
      </c>
      <c r="C157" s="42">
        <v>3</v>
      </c>
      <c r="D157" s="75" t="str">
        <v/>
      </c>
      <c r="E157" s="75" t="str">
        <v>авто</v>
      </c>
      <c r="F157" s="76" t="str">
        <v/>
      </c>
      <c r="G157" s="47" t="str">
        <v>QF26</v>
      </c>
      <c r="H157" s="47" t="str">
        <v>1P С16А</v>
      </c>
      <c r="I157" s="75" t="str">
        <v/>
      </c>
      <c r="J157" s="76" t="str">
        <v/>
      </c>
      <c r="K157" s="76" t="str">
        <v/>
      </c>
      <c r="L157" s="75" t="str">
        <v/>
      </c>
      <c r="M157" s="49" t="str">
        <v/>
      </c>
      <c r="N157" s="76" t="str">
        <v/>
      </c>
      <c r="O157" s="49" t="str">
        <v/>
      </c>
      <c r="P157" s="77" t="str">
        <v>XT26</v>
      </c>
      <c r="Q157" s="53" t="str">
        <v>ВВГнг(А)-LS (3х2,5) L=38-3,48%</v>
      </c>
      <c r="R157" s="54" t="str">
        <v>ШТК-ЛВС.00</v>
      </c>
      <c r="S157" s="55" t="str">
        <v>Шкаф телекоммуникационный ШТК-ЛВС.00  Подвальный этаж Пом. №007Т</v>
      </c>
      <c r="T157" s="56">
        <v>2.7</v>
      </c>
      <c r="U157" s="56">
        <v>12.31</v>
      </c>
      <c r="V157" s="42" t="str">
        <v>L1</v>
      </c>
      <c r="W157" s="57" t="str">
        <v>ok</v>
      </c>
      <c r="X157" s="58" t="str">
        <v/>
      </c>
      <c r="Y157" s="75" t="str">
        <v/>
      </c>
      <c r="Z157" s="59">
        <v>12.306676790620971</v>
      </c>
      <c r="AA157" s="61">
        <v>16</v>
      </c>
      <c r="AB157" s="61">
        <v>25</v>
      </c>
      <c r="AC157" s="61" t="str">
        <v/>
      </c>
      <c r="AD157" s="62" t="str">
        <v>QF26 → XT26</v>
      </c>
      <c r="AE157" s="62" t="str">
        <v>потери 5,1 % &gt; 4 %</v>
      </c>
      <c r="AF157" s="34">
        <v>26</v>
      </c>
      <c r="AG157" s="34" t="str">
        <v>QF26</v>
      </c>
      <c r="AH157" s="34" t="str">
        <v/>
      </c>
      <c r="AI157" s="34" t="str">
        <v/>
      </c>
      <c r="AJ157" s="34" t="str">
        <v>QF26</v>
      </c>
      <c r="AK157" s="34">
        <v>1</v>
      </c>
      <c r="AL157" s="34" t="str">
        <v>ШТК-ЛВС</v>
      </c>
      <c r="AM157" s="34">
        <v>0</v>
      </c>
      <c r="AN157" s="34">
        <v>0</v>
      </c>
      <c r="AO157" s="34">
        <v>16</v>
      </c>
      <c r="AP157" s="34">
        <v>25</v>
      </c>
      <c r="AQ157" s="34">
        <v>16</v>
      </c>
      <c r="AR157" s="34">
        <v>1</v>
      </c>
      <c r="AS157" s="34">
        <v>0</v>
      </c>
      <c r="AT157" s="34" t="str">
        <v>1P</v>
      </c>
      <c r="AU157" s="34">
        <v>16</v>
      </c>
      <c r="AV157" s="34" t="str">
        <v/>
      </c>
      <c r="AW157" s="34" t="str">
        <v/>
      </c>
      <c r="AX157" s="34" t="str">
        <v/>
      </c>
      <c r="AY157" s="34">
        <v>1</v>
      </c>
      <c r="AZ157" s="34" t="str">
        <v/>
      </c>
      <c r="BA157" s="34">
        <v>0</v>
      </c>
      <c r="BB157" s="34">
        <v>0</v>
      </c>
      <c r="BD157" s="34">
        <v>1</v>
      </c>
      <c r="BE157" s="34">
        <v>0</v>
      </c>
      <c r="BF157" s="34">
        <v>0</v>
      </c>
      <c r="BG157" s="34" t="str">
        <v/>
      </c>
      <c r="BH157" s="34" t="str">
        <v/>
      </c>
      <c r="BI157" s="34" t="str">
        <v/>
      </c>
      <c r="BJ157" s="34" t="str">
        <v/>
      </c>
      <c r="BK157" s="34" t="str">
        <v>BOX</v>
      </c>
      <c r="BL157" s="34">
        <v>1</v>
      </c>
      <c r="BM157" s="34" t="str">
        <v/>
      </c>
      <c r="BN157" s="34" t="str">
        <v/>
      </c>
      <c r="BO157" s="34" t="str">
        <v/>
      </c>
      <c r="BP157" s="34" t="str">
        <v/>
      </c>
      <c r="BQ157" s="34" t="str">
        <v>3х2,5</v>
      </c>
      <c r="BR157" s="34" t="str">
        <v/>
      </c>
      <c r="BS157" s="34" t="str">
        <v/>
      </c>
      <c r="BT157" s="34" t="str">
        <v/>
      </c>
      <c r="BU157" s="34">
        <v>1</v>
      </c>
      <c r="BV157" s="34">
        <v>178</v>
      </c>
      <c r="BW157" s="34">
        <v>1</v>
      </c>
      <c r="BX157" s="34">
        <v>0</v>
      </c>
      <c r="BY157" s="34">
        <v>0</v>
      </c>
      <c r="BZ157">
        <v>8</v>
      </c>
      <c r="CA157" t="str">
        <v>линии</v>
      </c>
    </row>
    <row r="158" spans="1:79" x14ac:dyDescent="0.3">
      <c r="A158" s="39" t="str">
        <v>ЩР-001</v>
      </c>
      <c r="B158" s="42">
        <v>48</v>
      </c>
      <c r="C158" s="42">
        <v>3</v>
      </c>
      <c r="D158" s="75" t="str">
        <v/>
      </c>
      <c r="E158" s="75" t="str">
        <v>авто</v>
      </c>
      <c r="F158" s="76" t="str">
        <v/>
      </c>
      <c r="G158" s="47" t="str">
        <v>QF27</v>
      </c>
      <c r="H158" s="47" t="str">
        <v>1P С16А</v>
      </c>
      <c r="I158" s="75" t="str">
        <v/>
      </c>
      <c r="J158" s="76" t="str">
        <v/>
      </c>
      <c r="K158" s="76" t="str">
        <v/>
      </c>
      <c r="L158" s="75" t="str">
        <v/>
      </c>
      <c r="M158" s="49" t="str">
        <v/>
      </c>
      <c r="N158" s="76" t="str">
        <v/>
      </c>
      <c r="O158" s="49" t="str">
        <v/>
      </c>
      <c r="P158" s="77" t="str">
        <v/>
      </c>
      <c r="Q158" s="53" t="str">
        <v>ВВГнг(А)-LS (3х2,5) L=39-2,65%</v>
      </c>
      <c r="R158" s="54" t="str">
        <v>ШТК-СОТ.00</v>
      </c>
      <c r="S158" s="55" t="str">
        <v>Шкаф телекоммуникационный ШТК-СОТ.00  Подвальный этаж Пом. №007Т</v>
      </c>
      <c r="T158" s="56">
        <v>2</v>
      </c>
      <c r="U158" s="56">
        <v>9.1199999999999992</v>
      </c>
      <c r="V158" s="42" t="str">
        <v>L2</v>
      </c>
      <c r="W158" s="57" t="str">
        <v>ok</v>
      </c>
      <c r="X158" s="58" t="str">
        <v/>
      </c>
      <c r="Y158" s="75" t="str">
        <v/>
      </c>
      <c r="Z158" s="59">
        <v>9.1160568819414589</v>
      </c>
      <c r="AA158" s="61">
        <v>16</v>
      </c>
      <c r="AB158" s="61">
        <v>25</v>
      </c>
      <c r="AC158" s="61" t="str">
        <v/>
      </c>
      <c r="AD158" s="62" t="str">
        <v>QF27</v>
      </c>
      <c r="AE158" s="62" t="str">
        <v>потери 4,2 % &gt; 4 %</v>
      </c>
      <c r="AF158" s="34">
        <v>27</v>
      </c>
      <c r="AG158" s="34" t="str">
        <v>QF27</v>
      </c>
      <c r="AH158" s="34" t="str">
        <v/>
      </c>
      <c r="AI158" s="34" t="str">
        <v/>
      </c>
      <c r="AJ158" s="34" t="str">
        <v>QF27</v>
      </c>
      <c r="AK158" s="34">
        <v>1</v>
      </c>
      <c r="AL158" s="34" t="str">
        <v>ШТК-СОТ</v>
      </c>
      <c r="AM158" s="34">
        <v>0</v>
      </c>
      <c r="AN158" s="34">
        <v>0</v>
      </c>
      <c r="AO158" s="34">
        <v>16</v>
      </c>
      <c r="AP158" s="34">
        <v>25</v>
      </c>
      <c r="AQ158" s="34">
        <v>16</v>
      </c>
      <c r="AR158" s="34">
        <v>1</v>
      </c>
      <c r="AS158" s="34">
        <v>0</v>
      </c>
      <c r="AT158" s="34" t="str">
        <v>1P</v>
      </c>
      <c r="AU158" s="34">
        <v>16</v>
      </c>
      <c r="AV158" s="34" t="str">
        <v/>
      </c>
      <c r="AW158" s="34" t="str">
        <v/>
      </c>
      <c r="AX158" s="34" t="str">
        <v/>
      </c>
      <c r="AY158" s="34">
        <v>1</v>
      </c>
      <c r="AZ158" s="34" t="str">
        <v/>
      </c>
      <c r="BA158" s="34">
        <v>0</v>
      </c>
      <c r="BB158" s="34">
        <v>0</v>
      </c>
      <c r="BD158" s="34">
        <v>1</v>
      </c>
      <c r="BE158" s="34">
        <v>0</v>
      </c>
      <c r="BF158" s="34">
        <v>0</v>
      </c>
      <c r="BG158" s="34" t="str">
        <v/>
      </c>
      <c r="BH158" s="34" t="str">
        <v/>
      </c>
      <c r="BI158" s="34" t="str">
        <v/>
      </c>
      <c r="BJ158" s="34" t="str">
        <v/>
      </c>
      <c r="BK158" s="34" t="str">
        <v>BOX</v>
      </c>
      <c r="BL158" s="34">
        <v>1</v>
      </c>
      <c r="BM158" s="34" t="str">
        <v/>
      </c>
      <c r="BN158" s="34" t="str">
        <v/>
      </c>
      <c r="BO158" s="34" t="str">
        <v/>
      </c>
      <c r="BP158" s="34" t="str">
        <v/>
      </c>
      <c r="BQ158" s="34" t="str">
        <v>3х2,5</v>
      </c>
      <c r="BR158" s="34" t="str">
        <v/>
      </c>
      <c r="BS158" s="34" t="str">
        <v/>
      </c>
      <c r="BT158" s="34" t="str">
        <v/>
      </c>
      <c r="BU158" s="34">
        <v>1</v>
      </c>
      <c r="BV158" s="34">
        <v>179</v>
      </c>
      <c r="BW158" s="34">
        <v>1</v>
      </c>
      <c r="BX158" s="34">
        <v>0</v>
      </c>
      <c r="BY158" s="34">
        <v>0</v>
      </c>
      <c r="BZ158">
        <v>8</v>
      </c>
      <c r="CA158" t="str">
        <v>линии</v>
      </c>
    </row>
    <row r="159" spans="1:79" x14ac:dyDescent="0.3">
      <c r="A159" s="39" t="str">
        <v>ЩР-001</v>
      </c>
      <c r="B159" s="42">
        <v>50</v>
      </c>
      <c r="C159" s="42">
        <v>3</v>
      </c>
      <c r="D159" s="75" t="str">
        <v/>
      </c>
      <c r="E159" s="75" t="str">
        <v>авто</v>
      </c>
      <c r="F159" s="76" t="str">
        <v/>
      </c>
      <c r="G159" s="47" t="str">
        <v>QF28</v>
      </c>
      <c r="H159" s="47" t="str">
        <v>1P С16А</v>
      </c>
      <c r="I159" s="75" t="str">
        <v/>
      </c>
      <c r="J159" s="76" t="str">
        <v/>
      </c>
      <c r="K159" s="76" t="str">
        <v/>
      </c>
      <c r="L159" s="75" t="str">
        <v/>
      </c>
      <c r="M159" s="49" t="str">
        <v/>
      </c>
      <c r="N159" s="76" t="str">
        <v/>
      </c>
      <c r="O159" s="49" t="str">
        <v/>
      </c>
      <c r="P159" s="77" t="str">
        <v/>
      </c>
      <c r="Q159" s="53" t="str">
        <v>ВВГнг(А)-LS (3х2,5) L=98-1%</v>
      </c>
      <c r="R159" s="54" t="str">
        <v>ЩКД-6</v>
      </c>
      <c r="S159" s="55" t="str">
        <v>Щит контроля доступа ШДК-06. Пом. Венткиосок</v>
      </c>
      <c r="T159" s="56">
        <v>0.3</v>
      </c>
      <c r="U159" s="56">
        <v>1.37</v>
      </c>
      <c r="V159" s="42" t="str">
        <v>L2</v>
      </c>
      <c r="W159" s="57" t="str">
        <v>ok</v>
      </c>
      <c r="X159" s="58" t="str">
        <v/>
      </c>
      <c r="Y159" s="75" t="str">
        <v/>
      </c>
      <c r="Z159" s="59">
        <v>1.3674085322912188</v>
      </c>
      <c r="AA159" s="61">
        <v>6</v>
      </c>
      <c r="AB159" s="61">
        <v>25</v>
      </c>
      <c r="AC159" s="61" t="str">
        <v/>
      </c>
      <c r="AD159" s="62" t="str">
        <v>QF28</v>
      </c>
      <c r="AE159" s="62" t="str">
        <v/>
      </c>
      <c r="AF159" s="34">
        <v>28</v>
      </c>
      <c r="AG159" s="34" t="str">
        <v>QF28</v>
      </c>
      <c r="AH159" s="34" t="str">
        <v/>
      </c>
      <c r="AI159" s="34" t="str">
        <v/>
      </c>
      <c r="AJ159" s="34" t="str">
        <v>QF28</v>
      </c>
      <c r="AK159" s="34">
        <v>1</v>
      </c>
      <c r="AL159" s="34" t="str">
        <v>ЩКД-6</v>
      </c>
      <c r="AM159" s="34">
        <v>0</v>
      </c>
      <c r="AN159" s="34">
        <v>0</v>
      </c>
      <c r="AO159" s="34">
        <v>6</v>
      </c>
      <c r="AP159" s="34">
        <v>25</v>
      </c>
      <c r="AQ159" s="34">
        <v>16</v>
      </c>
      <c r="AR159" s="34">
        <v>1</v>
      </c>
      <c r="AS159" s="34">
        <v>0</v>
      </c>
      <c r="AT159" s="34" t="str">
        <v>1P</v>
      </c>
      <c r="AU159" s="34">
        <v>16</v>
      </c>
      <c r="AV159" s="34" t="str">
        <v/>
      </c>
      <c r="AW159" s="34" t="str">
        <v/>
      </c>
      <c r="AX159" s="34" t="str">
        <v/>
      </c>
      <c r="AY159" s="34">
        <v>1</v>
      </c>
      <c r="AZ159" s="34" t="str">
        <v/>
      </c>
      <c r="BA159" s="34">
        <v>0</v>
      </c>
      <c r="BB159" s="34">
        <v>0</v>
      </c>
      <c r="BD159" s="34">
        <v>1</v>
      </c>
      <c r="BE159" s="34">
        <v>0</v>
      </c>
      <c r="BF159" s="34">
        <v>0</v>
      </c>
      <c r="BG159" s="34" t="str">
        <v/>
      </c>
      <c r="BH159" s="34" t="str">
        <v/>
      </c>
      <c r="BI159" s="34" t="str">
        <v/>
      </c>
      <c r="BJ159" s="34" t="str">
        <v/>
      </c>
      <c r="BK159" s="34" t="str">
        <v>BOX</v>
      </c>
      <c r="BL159" s="34">
        <v>1</v>
      </c>
      <c r="BM159" s="34" t="str">
        <v/>
      </c>
      <c r="BN159" s="34" t="str">
        <v/>
      </c>
      <c r="BO159" s="34" t="str">
        <v/>
      </c>
      <c r="BP159" s="34" t="str">
        <v/>
      </c>
      <c r="BQ159" s="34" t="str">
        <v>3х2,5</v>
      </c>
      <c r="BR159" s="34" t="str">
        <v/>
      </c>
      <c r="BS159" s="34" t="str">
        <v/>
      </c>
      <c r="BT159" s="34" t="str">
        <v/>
      </c>
      <c r="BU159" s="34">
        <v>0</v>
      </c>
      <c r="BV159" s="34">
        <v>180</v>
      </c>
      <c r="BW159" s="34">
        <v>1</v>
      </c>
      <c r="BX159" s="34">
        <v>0</v>
      </c>
      <c r="BY159" s="34" t="str">
        <v/>
      </c>
      <c r="BZ159">
        <v>8</v>
      </c>
      <c r="CA159" t="str">
        <v>линии</v>
      </c>
    </row>
    <row r="160" spans="1:79" x14ac:dyDescent="0.3">
      <c r="A160" s="39" t="str">
        <v>ЩР-001</v>
      </c>
      <c r="B160" s="42">
        <v>51</v>
      </c>
      <c r="C160" s="42">
        <v>3</v>
      </c>
      <c r="D160" s="75" t="str">
        <v/>
      </c>
      <c r="E160" s="75" t="str">
        <v>авто</v>
      </c>
      <c r="F160" s="76" t="str">
        <v/>
      </c>
      <c r="G160" s="47" t="str">
        <v>QF29</v>
      </c>
      <c r="H160" s="47" t="str">
        <v>1P С16А</v>
      </c>
      <c r="I160" s="75" t="str">
        <v/>
      </c>
      <c r="J160" s="76" t="str">
        <v/>
      </c>
      <c r="K160" s="76" t="str">
        <v/>
      </c>
      <c r="L160" s="75" t="str">
        <v/>
      </c>
      <c r="M160" s="49" t="str">
        <v/>
      </c>
      <c r="N160" s="76" t="str">
        <v/>
      </c>
      <c r="O160" s="49" t="str">
        <v/>
      </c>
      <c r="P160" s="77" t="str">
        <v/>
      </c>
      <c r="Q160" s="53" t="str">
        <v>ВВГнг(А)-LS (3х2,5) L=12-0,21%</v>
      </c>
      <c r="R160" s="54" t="str">
        <v>ЩКД-001</v>
      </c>
      <c r="S160" s="55" t="str">
        <v>Щит контроля доступа ШДК-001 Подвальный этаж Пом. №004Т</v>
      </c>
      <c r="T160" s="56">
        <v>0.5</v>
      </c>
      <c r="U160" s="56">
        <v>2.2799999999999998</v>
      </c>
      <c r="V160" s="42" t="str">
        <v>L3</v>
      </c>
      <c r="W160" s="57" t="str">
        <v>ok</v>
      </c>
      <c r="X160" s="58" t="str">
        <v/>
      </c>
      <c r="Y160" s="75" t="str">
        <v/>
      </c>
      <c r="Z160" s="59">
        <v>2.2790142204853647</v>
      </c>
      <c r="AA160" s="61">
        <v>6</v>
      </c>
      <c r="AB160" s="61">
        <v>25</v>
      </c>
      <c r="AC160" s="61" t="str">
        <v/>
      </c>
      <c r="AD160" s="62" t="str">
        <v>QF29</v>
      </c>
      <c r="AE160" s="62" t="str">
        <v/>
      </c>
      <c r="AF160" s="34">
        <v>29</v>
      </c>
      <c r="AG160" s="34" t="str">
        <v>QF29</v>
      </c>
      <c r="AH160" s="34" t="str">
        <v/>
      </c>
      <c r="AI160" s="34" t="str">
        <v/>
      </c>
      <c r="AJ160" s="34" t="str">
        <v>QF29</v>
      </c>
      <c r="AK160" s="34">
        <v>1</v>
      </c>
      <c r="AL160" s="34" t="str">
        <v>ЩКД-001</v>
      </c>
      <c r="AM160" s="34">
        <v>0</v>
      </c>
      <c r="AN160" s="34">
        <v>0</v>
      </c>
      <c r="AO160" s="34">
        <v>6</v>
      </c>
      <c r="AP160" s="34">
        <v>25</v>
      </c>
      <c r="AQ160" s="34">
        <v>16</v>
      </c>
      <c r="AR160" s="34">
        <v>1</v>
      </c>
      <c r="AS160" s="34">
        <v>0</v>
      </c>
      <c r="AT160" s="34" t="str">
        <v>1P</v>
      </c>
      <c r="AU160" s="34">
        <v>16</v>
      </c>
      <c r="AV160" s="34" t="str">
        <v/>
      </c>
      <c r="AW160" s="34" t="str">
        <v/>
      </c>
      <c r="AX160" s="34" t="str">
        <v/>
      </c>
      <c r="AY160" s="34">
        <v>1</v>
      </c>
      <c r="AZ160" s="34" t="str">
        <v/>
      </c>
      <c r="BA160" s="34">
        <v>0</v>
      </c>
      <c r="BB160" s="34">
        <v>0</v>
      </c>
      <c r="BD160" s="34">
        <v>1</v>
      </c>
      <c r="BE160" s="34">
        <v>0</v>
      </c>
      <c r="BF160" s="34">
        <v>0</v>
      </c>
      <c r="BG160" s="34" t="str">
        <v/>
      </c>
      <c r="BH160" s="34" t="str">
        <v/>
      </c>
      <c r="BI160" s="34" t="str">
        <v/>
      </c>
      <c r="BJ160" s="34" t="str">
        <v/>
      </c>
      <c r="BK160" s="34" t="str">
        <v>BOX</v>
      </c>
      <c r="BL160" s="34">
        <v>1</v>
      </c>
      <c r="BM160" s="34" t="str">
        <v/>
      </c>
      <c r="BN160" s="34" t="str">
        <v/>
      </c>
      <c r="BO160" s="34" t="str">
        <v/>
      </c>
      <c r="BP160" s="34" t="str">
        <v/>
      </c>
      <c r="BQ160" s="34" t="str">
        <v>3х2,5</v>
      </c>
      <c r="BR160" s="34" t="str">
        <v/>
      </c>
      <c r="BS160" s="34" t="str">
        <v/>
      </c>
      <c r="BT160" s="34" t="str">
        <v/>
      </c>
      <c r="BU160" s="34">
        <v>0</v>
      </c>
      <c r="BV160" s="34">
        <v>181</v>
      </c>
      <c r="BW160" s="34">
        <v>1</v>
      </c>
      <c r="BX160" s="34">
        <v>0</v>
      </c>
      <c r="BY160" s="34" t="str">
        <v/>
      </c>
      <c r="BZ160">
        <v>8</v>
      </c>
      <c r="CA160" t="str">
        <v>линии</v>
      </c>
    </row>
    <row r="161" spans="1:79" x14ac:dyDescent="0.3">
      <c r="A161" s="39" t="str">
        <v>ЩР-01</v>
      </c>
      <c r="B161" s="42">
        <v>2</v>
      </c>
      <c r="C161" s="42">
        <v>1</v>
      </c>
      <c r="D161" s="75" t="str">
        <v/>
      </c>
      <c r="E161" s="75" t="str">
        <v>авто</v>
      </c>
      <c r="F161" s="76" t="str">
        <v/>
      </c>
      <c r="G161" s="47" t="str">
        <v/>
      </c>
      <c r="H161" s="47" t="str">
        <v>3P С40А</v>
      </c>
      <c r="I161" s="75" t="str">
        <v/>
      </c>
      <c r="J161" s="76" t="str">
        <v/>
      </c>
      <c r="K161" s="76" t="str">
        <v/>
      </c>
      <c r="L161" s="75" t="str">
        <v/>
      </c>
      <c r="M161" s="49" t="str">
        <v/>
      </c>
      <c r="N161" s="76" t="str">
        <v/>
      </c>
      <c r="O161" s="49" t="str">
        <v/>
      </c>
      <c r="P161" s="77" t="str">
        <v/>
      </c>
      <c r="Q161" s="53" t="str">
        <v/>
      </c>
      <c r="R161" s="54" t="str">
        <v>Ввод.1</v>
      </c>
      <c r="S161" s="55" t="str">
        <v>Ввод</v>
      </c>
      <c r="T161" s="56">
        <v>0</v>
      </c>
      <c r="U161" s="56">
        <v>32.799999999999997</v>
      </c>
      <c r="V161" s="42" t="str">
        <v>L1,L2,L3</v>
      </c>
      <c r="W161" s="57" t="str">
        <v>ok</v>
      </c>
      <c r="X161" s="58" t="str">
        <v/>
      </c>
      <c r="Y161" s="75" t="str">
        <v>вручную</v>
      </c>
      <c r="Z161" s="59">
        <v>32.798575666043085</v>
      </c>
      <c r="AA161" s="61">
        <v>40</v>
      </c>
      <c r="AB161" s="61">
        <v>50</v>
      </c>
      <c r="AC161" s="61" t="str">
        <v/>
      </c>
      <c r="AD161" s="62" t="str">
        <v/>
      </c>
      <c r="AE161" s="62" t="str">
        <v/>
      </c>
      <c r="AF161" s="34" t="str">
        <v/>
      </c>
      <c r="AG161" s="34" t="str">
        <v/>
      </c>
      <c r="AH161" s="34" t="str">
        <v/>
      </c>
      <c r="AI161" s="34" t="str">
        <v/>
      </c>
      <c r="AJ161" s="34" t="str">
        <v/>
      </c>
      <c r="AK161" s="34">
        <v>3</v>
      </c>
      <c r="AL161" s="34" t="str">
        <v>Ввод</v>
      </c>
      <c r="AM161" s="34">
        <v>0</v>
      </c>
      <c r="AN161" s="34">
        <v>0</v>
      </c>
      <c r="AO161" s="34">
        <v>40</v>
      </c>
      <c r="AP161" s="34">
        <v>50</v>
      </c>
      <c r="AQ161" s="34">
        <v>40</v>
      </c>
      <c r="AR161" s="34">
        <v>3</v>
      </c>
      <c r="AS161" s="34">
        <v>0</v>
      </c>
      <c r="AT161" s="34" t="str">
        <v>3P</v>
      </c>
      <c r="AU161" s="34">
        <v>40</v>
      </c>
      <c r="AV161" s="34" t="str">
        <v/>
      </c>
      <c r="AW161" s="34" t="str">
        <v/>
      </c>
      <c r="AX161" s="34" t="str">
        <v/>
      </c>
      <c r="AY161" s="34">
        <v>0</v>
      </c>
      <c r="AZ161" s="34" t="str">
        <v/>
      </c>
      <c r="BA161" s="34">
        <v>0</v>
      </c>
      <c r="BB161" s="34">
        <v>0</v>
      </c>
      <c r="BD161" s="34">
        <v>0</v>
      </c>
      <c r="BE161" s="34">
        <v>0</v>
      </c>
      <c r="BF161" s="34">
        <v>0</v>
      </c>
      <c r="BG161" s="34" t="str">
        <v/>
      </c>
      <c r="BH161" s="34" t="str">
        <v/>
      </c>
      <c r="BI161" s="34" t="str">
        <v/>
      </c>
      <c r="BJ161" s="34" t="str">
        <v/>
      </c>
      <c r="BK161" s="34" t="str">
        <v>BOX</v>
      </c>
      <c r="BL161" s="34">
        <v>1</v>
      </c>
      <c r="BM161" s="34" t="str">
        <v/>
      </c>
      <c r="BN161" s="34" t="str">
        <v/>
      </c>
      <c r="BO161" s="34" t="str">
        <v/>
      </c>
      <c r="BP161" s="34" t="str">
        <v/>
      </c>
      <c r="BQ161" s="34" t="str">
        <v/>
      </c>
      <c r="BR161" s="34" t="str">
        <v/>
      </c>
      <c r="BS161" s="34" t="str">
        <v/>
      </c>
      <c r="BT161" s="34" t="str">
        <v/>
      </c>
      <c r="BU161" s="34">
        <v>0</v>
      </c>
      <c r="BV161" s="34">
        <v>182</v>
      </c>
      <c r="BW161" s="34">
        <v>0</v>
      </c>
      <c r="BX161" s="34">
        <v>0</v>
      </c>
      <c r="BY161" s="34">
        <v>0</v>
      </c>
      <c r="BZ161">
        <v>9</v>
      </c>
      <c r="CA161" t="str">
        <v>вводной узел</v>
      </c>
    </row>
    <row r="162" spans="1:79" x14ac:dyDescent="0.3">
      <c r="A162" s="39" t="str">
        <v>ЩР-01</v>
      </c>
      <c r="B162" s="42">
        <v>18</v>
      </c>
      <c r="C162" s="42">
        <v>2</v>
      </c>
      <c r="D162" s="75" t="str">
        <v/>
      </c>
      <c r="E162" s="75" t="str">
        <v>авто</v>
      </c>
      <c r="F162" s="76">
        <v>30</v>
      </c>
      <c r="G162" s="47" t="str">
        <v>QFD1</v>
      </c>
      <c r="H162" s="47" t="str">
        <v>2P С16А 30мА</v>
      </c>
      <c r="I162" s="75" t="str">
        <v/>
      </c>
      <c r="J162" s="76" t="str">
        <v/>
      </c>
      <c r="K162" s="76" t="str">
        <v/>
      </c>
      <c r="L162" s="75" t="str">
        <v/>
      </c>
      <c r="M162" s="49" t="str">
        <v/>
      </c>
      <c r="N162" s="76" t="str">
        <v/>
      </c>
      <c r="O162" s="49" t="str">
        <v/>
      </c>
      <c r="P162" s="77" t="str">
        <v>XT1</v>
      </c>
      <c r="Q162" s="53" t="str">
        <v>ВВГнг(А)-LS (3х2,5) L=38-0,16%</v>
      </c>
      <c r="R162" s="54" t="str">
        <v>R.0.002A.1</v>
      </c>
      <c r="S162" s="55" t="str">
        <v>Розеточная группа, пом. 002A</v>
      </c>
      <c r="T162" s="56">
        <v>0.12</v>
      </c>
      <c r="U162" s="56">
        <v>0.55000000000000004</v>
      </c>
      <c r="V162" s="42" t="str">
        <v>L3</v>
      </c>
      <c r="W162" s="57" t="str">
        <v>ok</v>
      </c>
      <c r="X162" s="58" t="str">
        <v/>
      </c>
      <c r="Y162" s="75" t="str">
        <v/>
      </c>
      <c r="Z162" s="59">
        <v>0.54696341291648753</v>
      </c>
      <c r="AA162" s="61">
        <v>16</v>
      </c>
      <c r="AB162" s="61">
        <v>25</v>
      </c>
      <c r="AC162" s="61" t="str">
        <v/>
      </c>
      <c r="AD162" s="62" t="str">
        <v>QFD1 → XT1</v>
      </c>
      <c r="AE162" s="62" t="str">
        <v/>
      </c>
      <c r="AF162" s="34">
        <v>1</v>
      </c>
      <c r="AG162" s="34" t="str">
        <v>QFD1</v>
      </c>
      <c r="AH162" s="34" t="str">
        <v/>
      </c>
      <c r="AI162" s="34" t="str">
        <v/>
      </c>
      <c r="AJ162" s="34" t="str">
        <v>QFD1</v>
      </c>
      <c r="AK162" s="34">
        <v>1</v>
      </c>
      <c r="AL162" s="34" t="str">
        <v>R</v>
      </c>
      <c r="AM162" s="34">
        <v>30</v>
      </c>
      <c r="AN162" s="34">
        <v>0</v>
      </c>
      <c r="AO162" s="34">
        <v>16</v>
      </c>
      <c r="AP162" s="34">
        <v>25</v>
      </c>
      <c r="AQ162" s="34">
        <v>16</v>
      </c>
      <c r="AR162" s="34">
        <v>1</v>
      </c>
      <c r="AS162" s="34">
        <v>1</v>
      </c>
      <c r="AT162" s="34" t="str">
        <v>2P</v>
      </c>
      <c r="AU162" s="34">
        <v>16</v>
      </c>
      <c r="AV162" s="34" t="str">
        <v/>
      </c>
      <c r="AW162" s="34" t="str">
        <v/>
      </c>
      <c r="AX162" s="34" t="str">
        <v/>
      </c>
      <c r="AY162" s="34">
        <v>1</v>
      </c>
      <c r="AZ162" s="34" t="str">
        <v/>
      </c>
      <c r="BA162" s="34">
        <v>0</v>
      </c>
      <c r="BB162" s="34">
        <v>16</v>
      </c>
      <c r="BD162" s="34">
        <v>1</v>
      </c>
      <c r="BE162" s="34">
        <v>0</v>
      </c>
      <c r="BF162" s="34">
        <v>1</v>
      </c>
      <c r="BG162" s="34" t="str">
        <v/>
      </c>
      <c r="BH162" s="34" t="str">
        <v/>
      </c>
      <c r="BI162" s="34" t="str">
        <v/>
      </c>
      <c r="BJ162" s="34" t="str">
        <v/>
      </c>
      <c r="BK162" s="34" t="str">
        <v>SOCKET</v>
      </c>
      <c r="BL162" s="34">
        <v>1</v>
      </c>
      <c r="BM162" s="34" t="str">
        <v/>
      </c>
      <c r="BN162" s="34" t="str">
        <v/>
      </c>
      <c r="BO162" s="34" t="str">
        <v/>
      </c>
      <c r="BP162" s="34" t="str">
        <v/>
      </c>
      <c r="BQ162" s="34" t="str">
        <v>3х2,5</v>
      </c>
      <c r="BR162" s="34" t="str">
        <v/>
      </c>
      <c r="BS162" s="34" t="str">
        <v/>
      </c>
      <c r="BT162" s="34" t="str">
        <v/>
      </c>
      <c r="BU162" s="34">
        <v>0</v>
      </c>
      <c r="BV162" s="34">
        <v>183</v>
      </c>
      <c r="BW162" s="34">
        <v>1</v>
      </c>
      <c r="BX162" s="34">
        <v>0</v>
      </c>
      <c r="BY162" s="34" t="str">
        <v>Розетка</v>
      </c>
      <c r="BZ162">
        <v>9</v>
      </c>
      <c r="CA162" t="str">
        <v>линии</v>
      </c>
    </row>
    <row r="163" spans="1:79" x14ac:dyDescent="0.3">
      <c r="A163" s="39" t="str">
        <v>ЩР-01</v>
      </c>
      <c r="B163" s="42">
        <v>19</v>
      </c>
      <c r="C163" s="42">
        <v>2</v>
      </c>
      <c r="D163" s="75" t="str">
        <v/>
      </c>
      <c r="E163" s="75" t="str">
        <v>авто</v>
      </c>
      <c r="F163" s="76">
        <v>30</v>
      </c>
      <c r="G163" s="47" t="str">
        <v>QFD2</v>
      </c>
      <c r="H163" s="47" t="str">
        <v>2P С16А 30мА</v>
      </c>
      <c r="I163" s="75" t="str">
        <v/>
      </c>
      <c r="J163" s="76" t="str">
        <v/>
      </c>
      <c r="K163" s="76" t="str">
        <v/>
      </c>
      <c r="L163" s="75" t="str">
        <v/>
      </c>
      <c r="M163" s="49" t="str">
        <v/>
      </c>
      <c r="N163" s="76" t="str">
        <v/>
      </c>
      <c r="O163" s="49" t="str">
        <v/>
      </c>
      <c r="P163" s="77" t="str">
        <v>XT2</v>
      </c>
      <c r="Q163" s="53" t="str">
        <v>ВВГнг(А)-LS (3х2,5) L=79-0,81%</v>
      </c>
      <c r="R163" s="54" t="str">
        <v>R.0.002A.2</v>
      </c>
      <c r="S163" s="55" t="str">
        <v>Розеточная группа, пом. 002A</v>
      </c>
      <c r="T163" s="56">
        <v>0.3</v>
      </c>
      <c r="U163" s="56">
        <v>1.37</v>
      </c>
      <c r="V163" s="42" t="str">
        <v>L3</v>
      </c>
      <c r="W163" s="57" t="str">
        <v>ok</v>
      </c>
      <c r="X163" s="58" t="str">
        <v/>
      </c>
      <c r="Y163" s="75" t="str">
        <v/>
      </c>
      <c r="Z163" s="59">
        <v>1.3674085322912188</v>
      </c>
      <c r="AA163" s="61">
        <v>16</v>
      </c>
      <c r="AB163" s="61">
        <v>25</v>
      </c>
      <c r="AC163" s="61" t="str">
        <v/>
      </c>
      <c r="AD163" s="62" t="str">
        <v>QFD2 → XT2</v>
      </c>
      <c r="AE163" s="62" t="str">
        <v/>
      </c>
      <c r="AF163" s="34">
        <v>2</v>
      </c>
      <c r="AG163" s="34" t="str">
        <v>QFD2</v>
      </c>
      <c r="AH163" s="34" t="str">
        <v/>
      </c>
      <c r="AI163" s="34" t="str">
        <v/>
      </c>
      <c r="AJ163" s="34" t="str">
        <v>QFD2</v>
      </c>
      <c r="AK163" s="34">
        <v>1</v>
      </c>
      <c r="AL163" s="34" t="str">
        <v>R</v>
      </c>
      <c r="AM163" s="34">
        <v>30</v>
      </c>
      <c r="AN163" s="34">
        <v>0</v>
      </c>
      <c r="AO163" s="34">
        <v>16</v>
      </c>
      <c r="AP163" s="34">
        <v>25</v>
      </c>
      <c r="AQ163" s="34">
        <v>16</v>
      </c>
      <c r="AR163" s="34">
        <v>1</v>
      </c>
      <c r="AS163" s="34">
        <v>1</v>
      </c>
      <c r="AT163" s="34" t="str">
        <v>2P</v>
      </c>
      <c r="AU163" s="34">
        <v>16</v>
      </c>
      <c r="AV163" s="34" t="str">
        <v/>
      </c>
      <c r="AW163" s="34" t="str">
        <v/>
      </c>
      <c r="AX163" s="34" t="str">
        <v/>
      </c>
      <c r="AY163" s="34">
        <v>1</v>
      </c>
      <c r="AZ163" s="34" t="str">
        <v/>
      </c>
      <c r="BA163" s="34">
        <v>0</v>
      </c>
      <c r="BB163" s="34">
        <v>16</v>
      </c>
      <c r="BD163" s="34">
        <v>1</v>
      </c>
      <c r="BE163" s="34">
        <v>0</v>
      </c>
      <c r="BF163" s="34">
        <v>1</v>
      </c>
      <c r="BG163" s="34" t="str">
        <v/>
      </c>
      <c r="BH163" s="34" t="str">
        <v/>
      </c>
      <c r="BI163" s="34" t="str">
        <v/>
      </c>
      <c r="BJ163" s="34" t="str">
        <v/>
      </c>
      <c r="BK163" s="34" t="str">
        <v>SOCKET</v>
      </c>
      <c r="BL163" s="34">
        <v>1</v>
      </c>
      <c r="BM163" s="34" t="str">
        <v/>
      </c>
      <c r="BN163" s="34" t="str">
        <v/>
      </c>
      <c r="BO163" s="34" t="str">
        <v/>
      </c>
      <c r="BP163" s="34" t="str">
        <v/>
      </c>
      <c r="BQ163" s="34" t="str">
        <v>3х2,5</v>
      </c>
      <c r="BR163" s="34" t="str">
        <v/>
      </c>
      <c r="BS163" s="34" t="str">
        <v/>
      </c>
      <c r="BT163" s="34" t="str">
        <v/>
      </c>
      <c r="BU163" s="34">
        <v>0</v>
      </c>
      <c r="BV163" s="34">
        <v>184</v>
      </c>
      <c r="BW163" s="34">
        <v>1</v>
      </c>
      <c r="BX163" s="34">
        <v>0</v>
      </c>
      <c r="BY163" s="34" t="str">
        <v>Розетка</v>
      </c>
      <c r="BZ163">
        <v>9</v>
      </c>
      <c r="CA163" t="str">
        <v>линии</v>
      </c>
    </row>
    <row r="164" spans="1:79" x14ac:dyDescent="0.3">
      <c r="A164" s="39" t="str">
        <v>ЩР-01</v>
      </c>
      <c r="B164" s="42">
        <v>20</v>
      </c>
      <c r="C164" s="42">
        <v>2</v>
      </c>
      <c r="D164" s="75" t="str">
        <v/>
      </c>
      <c r="E164" s="75" t="str">
        <v>авто</v>
      </c>
      <c r="F164" s="76">
        <v>30</v>
      </c>
      <c r="G164" s="47" t="str">
        <v>QFD3</v>
      </c>
      <c r="H164" s="47" t="str">
        <v>2P С16А 30мА</v>
      </c>
      <c r="I164" s="75" t="str">
        <v/>
      </c>
      <c r="J164" s="76" t="str">
        <v/>
      </c>
      <c r="K164" s="76" t="str">
        <v/>
      </c>
      <c r="L164" s="75" t="str">
        <v/>
      </c>
      <c r="M164" s="49" t="str">
        <v/>
      </c>
      <c r="N164" s="76" t="str">
        <v/>
      </c>
      <c r="O164" s="49" t="str">
        <v/>
      </c>
      <c r="P164" s="77" t="str">
        <v>XT3</v>
      </c>
      <c r="Q164" s="53" t="str">
        <v>ВВГнг(А)-LS (3х2,5) L=47-0,29%</v>
      </c>
      <c r="R164" s="54" t="str">
        <v>R.0.002A.3</v>
      </c>
      <c r="S164" s="55" t="str">
        <v>Розеточная группа, пом. 002A</v>
      </c>
      <c r="T164" s="56">
        <v>0.18</v>
      </c>
      <c r="U164" s="56">
        <v>0.83</v>
      </c>
      <c r="V164" s="42" t="str">
        <v>L2</v>
      </c>
      <c r="W164" s="57" t="str">
        <v>ok</v>
      </c>
      <c r="X164" s="58" t="str">
        <v/>
      </c>
      <c r="Y164" s="75" t="str">
        <v/>
      </c>
      <c r="Z164" s="59">
        <v>0.8204451193747313</v>
      </c>
      <c r="AA164" s="61">
        <v>16</v>
      </c>
      <c r="AB164" s="61">
        <v>25</v>
      </c>
      <c r="AC164" s="61" t="str">
        <v/>
      </c>
      <c r="AD164" s="62" t="str">
        <v>QFD3 → XT3</v>
      </c>
      <c r="AE164" s="62" t="str">
        <v/>
      </c>
      <c r="AF164" s="34">
        <v>3</v>
      </c>
      <c r="AG164" s="34" t="str">
        <v>QFD3</v>
      </c>
      <c r="AH164" s="34" t="str">
        <v/>
      </c>
      <c r="AI164" s="34" t="str">
        <v/>
      </c>
      <c r="AJ164" s="34" t="str">
        <v>QFD3</v>
      </c>
      <c r="AK164" s="34">
        <v>1</v>
      </c>
      <c r="AL164" s="34" t="str">
        <v>R</v>
      </c>
      <c r="AM164" s="34">
        <v>30</v>
      </c>
      <c r="AN164" s="34">
        <v>0</v>
      </c>
      <c r="AO164" s="34">
        <v>16</v>
      </c>
      <c r="AP164" s="34">
        <v>25</v>
      </c>
      <c r="AQ164" s="34">
        <v>16</v>
      </c>
      <c r="AR164" s="34">
        <v>1</v>
      </c>
      <c r="AS164" s="34">
        <v>1</v>
      </c>
      <c r="AT164" s="34" t="str">
        <v>2P</v>
      </c>
      <c r="AU164" s="34">
        <v>16</v>
      </c>
      <c r="AV164" s="34" t="str">
        <v/>
      </c>
      <c r="AW164" s="34" t="str">
        <v/>
      </c>
      <c r="AX164" s="34" t="str">
        <v/>
      </c>
      <c r="AY164" s="34">
        <v>1</v>
      </c>
      <c r="AZ164" s="34" t="str">
        <v/>
      </c>
      <c r="BA164" s="34">
        <v>0</v>
      </c>
      <c r="BB164" s="34">
        <v>16</v>
      </c>
      <c r="BD164" s="34">
        <v>1</v>
      </c>
      <c r="BE164" s="34">
        <v>0</v>
      </c>
      <c r="BF164" s="34">
        <v>1</v>
      </c>
      <c r="BG164" s="34" t="str">
        <v/>
      </c>
      <c r="BH164" s="34" t="str">
        <v/>
      </c>
      <c r="BI164" s="34" t="str">
        <v/>
      </c>
      <c r="BJ164" s="34" t="str">
        <v/>
      </c>
      <c r="BK164" s="34" t="str">
        <v>SOCKET</v>
      </c>
      <c r="BL164" s="34">
        <v>1</v>
      </c>
      <c r="BM164" s="34" t="str">
        <v/>
      </c>
      <c r="BN164" s="34" t="str">
        <v/>
      </c>
      <c r="BO164" s="34" t="str">
        <v/>
      </c>
      <c r="BP164" s="34" t="str">
        <v/>
      </c>
      <c r="BQ164" s="34" t="str">
        <v>3х2,5</v>
      </c>
      <c r="BR164" s="34" t="str">
        <v/>
      </c>
      <c r="BS164" s="34" t="str">
        <v/>
      </c>
      <c r="BT164" s="34" t="str">
        <v/>
      </c>
      <c r="BU164" s="34">
        <v>0</v>
      </c>
      <c r="BV164" s="34">
        <v>185</v>
      </c>
      <c r="BW164" s="34">
        <v>1</v>
      </c>
      <c r="BX164" s="34">
        <v>0</v>
      </c>
      <c r="BY164" s="34" t="str">
        <v>Розетка</v>
      </c>
      <c r="BZ164">
        <v>9</v>
      </c>
      <c r="CA164" t="str">
        <v>линии</v>
      </c>
    </row>
    <row r="165" spans="1:79" x14ac:dyDescent="0.3">
      <c r="A165" s="39" t="str">
        <v>ЩР-01</v>
      </c>
      <c r="B165" s="42">
        <v>21</v>
      </c>
      <c r="C165" s="42">
        <v>2</v>
      </c>
      <c r="D165" s="75" t="str">
        <v/>
      </c>
      <c r="E165" s="75" t="str">
        <v>авто</v>
      </c>
      <c r="F165" s="76">
        <v>30</v>
      </c>
      <c r="G165" s="47" t="str">
        <v>QFD4</v>
      </c>
      <c r="H165" s="47" t="str">
        <v>2P С16А 30мА</v>
      </c>
      <c r="I165" s="75" t="str">
        <v/>
      </c>
      <c r="J165" s="76" t="str">
        <v/>
      </c>
      <c r="K165" s="76" t="str">
        <v/>
      </c>
      <c r="L165" s="75" t="str">
        <v/>
      </c>
      <c r="M165" s="49" t="str">
        <v/>
      </c>
      <c r="N165" s="76" t="str">
        <v/>
      </c>
      <c r="O165" s="49" t="str">
        <v/>
      </c>
      <c r="P165" s="77" t="str">
        <v>XT4</v>
      </c>
      <c r="Q165" s="53" t="str">
        <v>ВВГнг(А)-LS (3х2,5) L=32-0,07%</v>
      </c>
      <c r="R165" s="54" t="str">
        <v>R.0.002T.1</v>
      </c>
      <c r="S165" s="55" t="str">
        <v>Розеточная группа, пом. 002T</v>
      </c>
      <c r="T165" s="56">
        <v>0.06</v>
      </c>
      <c r="U165" s="56">
        <v>0.28000000000000003</v>
      </c>
      <c r="V165" s="42" t="str">
        <v>L3</v>
      </c>
      <c r="W165" s="57" t="str">
        <v>ok</v>
      </c>
      <c r="X165" s="58" t="str">
        <v/>
      </c>
      <c r="Y165" s="75" t="str">
        <v/>
      </c>
      <c r="Z165" s="59">
        <v>0.27348170645824377</v>
      </c>
      <c r="AA165" s="61">
        <v>16</v>
      </c>
      <c r="AB165" s="61">
        <v>25</v>
      </c>
      <c r="AC165" s="61" t="str">
        <v/>
      </c>
      <c r="AD165" s="62" t="str">
        <v>QFD4 → XT4</v>
      </c>
      <c r="AE165" s="62" t="str">
        <v/>
      </c>
      <c r="AF165" s="34">
        <v>4</v>
      </c>
      <c r="AG165" s="34" t="str">
        <v>QFD4</v>
      </c>
      <c r="AH165" s="34" t="str">
        <v/>
      </c>
      <c r="AI165" s="34" t="str">
        <v/>
      </c>
      <c r="AJ165" s="34" t="str">
        <v>QFD4</v>
      </c>
      <c r="AK165" s="34">
        <v>1</v>
      </c>
      <c r="AL165" s="34" t="str">
        <v>R</v>
      </c>
      <c r="AM165" s="34">
        <v>30</v>
      </c>
      <c r="AN165" s="34">
        <v>0</v>
      </c>
      <c r="AO165" s="34">
        <v>16</v>
      </c>
      <c r="AP165" s="34">
        <v>25</v>
      </c>
      <c r="AQ165" s="34">
        <v>16</v>
      </c>
      <c r="AR165" s="34">
        <v>1</v>
      </c>
      <c r="AS165" s="34">
        <v>1</v>
      </c>
      <c r="AT165" s="34" t="str">
        <v>2P</v>
      </c>
      <c r="AU165" s="34">
        <v>16</v>
      </c>
      <c r="AV165" s="34" t="str">
        <v/>
      </c>
      <c r="AW165" s="34" t="str">
        <v/>
      </c>
      <c r="AX165" s="34" t="str">
        <v/>
      </c>
      <c r="AY165" s="34">
        <v>1</v>
      </c>
      <c r="AZ165" s="34" t="str">
        <v/>
      </c>
      <c r="BA165" s="34">
        <v>0</v>
      </c>
      <c r="BB165" s="34">
        <v>16</v>
      </c>
      <c r="BD165" s="34">
        <v>1</v>
      </c>
      <c r="BE165" s="34">
        <v>0</v>
      </c>
      <c r="BF165" s="34">
        <v>1</v>
      </c>
      <c r="BG165" s="34" t="str">
        <v/>
      </c>
      <c r="BH165" s="34" t="str">
        <v/>
      </c>
      <c r="BI165" s="34" t="str">
        <v/>
      </c>
      <c r="BJ165" s="34" t="str">
        <v/>
      </c>
      <c r="BK165" s="34" t="str">
        <v>SOCKET</v>
      </c>
      <c r="BL165" s="34">
        <v>1</v>
      </c>
      <c r="BM165" s="34" t="str">
        <v/>
      </c>
      <c r="BN165" s="34" t="str">
        <v/>
      </c>
      <c r="BO165" s="34" t="str">
        <v/>
      </c>
      <c r="BP165" s="34" t="str">
        <v/>
      </c>
      <c r="BQ165" s="34" t="str">
        <v>3х2,5</v>
      </c>
      <c r="BR165" s="34" t="str">
        <v/>
      </c>
      <c r="BS165" s="34" t="str">
        <v/>
      </c>
      <c r="BT165" s="34" t="str">
        <v/>
      </c>
      <c r="BU165" s="34">
        <v>0</v>
      </c>
      <c r="BV165" s="34">
        <v>186</v>
      </c>
      <c r="BW165" s="34">
        <v>1</v>
      </c>
      <c r="BX165" s="34">
        <v>0</v>
      </c>
      <c r="BY165" s="34" t="str">
        <v>Розетка</v>
      </c>
      <c r="BZ165">
        <v>9</v>
      </c>
      <c r="CA165" t="str">
        <v>линии</v>
      </c>
    </row>
    <row r="166" spans="1:79" x14ac:dyDescent="0.3">
      <c r="A166" s="39" t="str">
        <v>ЩР-01</v>
      </c>
      <c r="B166" s="42">
        <v>22</v>
      </c>
      <c r="C166" s="42">
        <v>2</v>
      </c>
      <c r="D166" s="75" t="str">
        <v/>
      </c>
      <c r="E166" s="75" t="str">
        <v>авто</v>
      </c>
      <c r="F166" s="76">
        <v>30</v>
      </c>
      <c r="G166" s="47" t="str">
        <v>QFD5</v>
      </c>
      <c r="H166" s="47" t="str">
        <v>2P С16А 30мА</v>
      </c>
      <c r="I166" s="75" t="str">
        <v/>
      </c>
      <c r="J166" s="76" t="str">
        <v/>
      </c>
      <c r="K166" s="76" t="str">
        <v/>
      </c>
      <c r="L166" s="75" t="str">
        <v/>
      </c>
      <c r="M166" s="49" t="str">
        <v/>
      </c>
      <c r="N166" s="76" t="str">
        <v/>
      </c>
      <c r="O166" s="49" t="str">
        <v/>
      </c>
      <c r="P166" s="77" t="str">
        <v>XT5</v>
      </c>
      <c r="Q166" s="53" t="str">
        <v>ВВГнг(А)-LS (3х2,5) L=45-0,37%</v>
      </c>
      <c r="R166" s="54" t="str">
        <v>R.0.002Б.1</v>
      </c>
      <c r="S166" s="55" t="str">
        <v>Розеточная группа, пом. 002Б</v>
      </c>
      <c r="T166" s="56">
        <v>0.24</v>
      </c>
      <c r="U166" s="56">
        <v>1.1000000000000001</v>
      </c>
      <c r="V166" s="42" t="str">
        <v>L3</v>
      </c>
      <c r="W166" s="57" t="str">
        <v>ok</v>
      </c>
      <c r="X166" s="58" t="str">
        <v/>
      </c>
      <c r="Y166" s="75" t="str">
        <v/>
      </c>
      <c r="Z166" s="59">
        <v>1.0939268258329751</v>
      </c>
      <c r="AA166" s="61">
        <v>16</v>
      </c>
      <c r="AB166" s="61">
        <v>25</v>
      </c>
      <c r="AC166" s="61" t="str">
        <v/>
      </c>
      <c r="AD166" s="62" t="str">
        <v>QFD5 → XT5</v>
      </c>
      <c r="AE166" s="62" t="str">
        <v/>
      </c>
      <c r="AF166" s="34">
        <v>5</v>
      </c>
      <c r="AG166" s="34" t="str">
        <v>QFD5</v>
      </c>
      <c r="AH166" s="34" t="str">
        <v/>
      </c>
      <c r="AI166" s="34" t="str">
        <v/>
      </c>
      <c r="AJ166" s="34" t="str">
        <v>QFD5</v>
      </c>
      <c r="AK166" s="34">
        <v>1</v>
      </c>
      <c r="AL166" s="34" t="str">
        <v>R</v>
      </c>
      <c r="AM166" s="34">
        <v>30</v>
      </c>
      <c r="AN166" s="34">
        <v>0</v>
      </c>
      <c r="AO166" s="34">
        <v>16</v>
      </c>
      <c r="AP166" s="34">
        <v>25</v>
      </c>
      <c r="AQ166" s="34">
        <v>16</v>
      </c>
      <c r="AR166" s="34">
        <v>1</v>
      </c>
      <c r="AS166" s="34">
        <v>1</v>
      </c>
      <c r="AT166" s="34" t="str">
        <v>2P</v>
      </c>
      <c r="AU166" s="34">
        <v>16</v>
      </c>
      <c r="AV166" s="34" t="str">
        <v/>
      </c>
      <c r="AW166" s="34" t="str">
        <v/>
      </c>
      <c r="AX166" s="34" t="str">
        <v/>
      </c>
      <c r="AY166" s="34">
        <v>1</v>
      </c>
      <c r="AZ166" s="34" t="str">
        <v/>
      </c>
      <c r="BA166" s="34">
        <v>0</v>
      </c>
      <c r="BB166" s="34">
        <v>16</v>
      </c>
      <c r="BD166" s="34">
        <v>1</v>
      </c>
      <c r="BE166" s="34">
        <v>0</v>
      </c>
      <c r="BF166" s="34">
        <v>1</v>
      </c>
      <c r="BG166" s="34" t="str">
        <v/>
      </c>
      <c r="BH166" s="34" t="str">
        <v/>
      </c>
      <c r="BI166" s="34" t="str">
        <v/>
      </c>
      <c r="BJ166" s="34" t="str">
        <v/>
      </c>
      <c r="BK166" s="34" t="str">
        <v>SOCKET</v>
      </c>
      <c r="BL166" s="34">
        <v>1</v>
      </c>
      <c r="BM166" s="34" t="str">
        <v/>
      </c>
      <c r="BN166" s="34" t="str">
        <v/>
      </c>
      <c r="BO166" s="34" t="str">
        <v/>
      </c>
      <c r="BP166" s="34" t="str">
        <v/>
      </c>
      <c r="BQ166" s="34" t="str">
        <v>3х2,5</v>
      </c>
      <c r="BR166" s="34" t="str">
        <v/>
      </c>
      <c r="BS166" s="34" t="str">
        <v/>
      </c>
      <c r="BT166" s="34" t="str">
        <v/>
      </c>
      <c r="BU166" s="34">
        <v>0</v>
      </c>
      <c r="BV166" s="34">
        <v>187</v>
      </c>
      <c r="BW166" s="34">
        <v>1</v>
      </c>
      <c r="BX166" s="34">
        <v>0</v>
      </c>
      <c r="BY166" s="34" t="str">
        <v>Розетка</v>
      </c>
      <c r="BZ166">
        <v>9</v>
      </c>
      <c r="CA166" t="str">
        <v>линии</v>
      </c>
    </row>
    <row r="167" spans="1:79" x14ac:dyDescent="0.3">
      <c r="A167" s="39" t="str">
        <v>ЩР-01</v>
      </c>
      <c r="B167" s="42">
        <v>23</v>
      </c>
      <c r="C167" s="42">
        <v>2</v>
      </c>
      <c r="D167" s="75" t="str">
        <v/>
      </c>
      <c r="E167" s="75" t="str">
        <v>авто</v>
      </c>
      <c r="F167" s="76">
        <v>30</v>
      </c>
      <c r="G167" s="47" t="str">
        <v>QFD6</v>
      </c>
      <c r="H167" s="47" t="str">
        <v>2P С16А 30мА</v>
      </c>
      <c r="I167" s="75" t="str">
        <v/>
      </c>
      <c r="J167" s="76" t="str">
        <v/>
      </c>
      <c r="K167" s="76" t="str">
        <v/>
      </c>
      <c r="L167" s="75" t="str">
        <v/>
      </c>
      <c r="M167" s="49" t="str">
        <v/>
      </c>
      <c r="N167" s="76" t="str">
        <v/>
      </c>
      <c r="O167" s="49" t="str">
        <v/>
      </c>
      <c r="P167" s="77" t="str">
        <v>XT6</v>
      </c>
      <c r="Q167" s="53" t="str">
        <v>ВВГнг(А)-LS (3х2,5) L=121-2,22%</v>
      </c>
      <c r="R167" s="54" t="str">
        <v>R.0.002Б.2</v>
      </c>
      <c r="S167" s="55" t="str">
        <v>Розеточная группа, пом. 002Б</v>
      </c>
      <c r="T167" s="56">
        <v>0.54</v>
      </c>
      <c r="U167" s="56">
        <v>2.4699999999999998</v>
      </c>
      <c r="V167" s="42" t="str">
        <v>L3</v>
      </c>
      <c r="W167" s="57" t="str">
        <v>ok</v>
      </c>
      <c r="X167" s="58" t="str">
        <v/>
      </c>
      <c r="Y167" s="75" t="str">
        <v/>
      </c>
      <c r="Z167" s="59">
        <v>2.4613353581241939</v>
      </c>
      <c r="AA167" s="61">
        <v>16</v>
      </c>
      <c r="AB167" s="61">
        <v>25</v>
      </c>
      <c r="AC167" s="61" t="str">
        <v/>
      </c>
      <c r="AD167" s="62" t="str">
        <v>QFD6 → XT6</v>
      </c>
      <c r="AE167" s="62" t="str">
        <v/>
      </c>
      <c r="AF167" s="34">
        <v>6</v>
      </c>
      <c r="AG167" s="34" t="str">
        <v>QFD6</v>
      </c>
      <c r="AH167" s="34" t="str">
        <v/>
      </c>
      <c r="AI167" s="34" t="str">
        <v/>
      </c>
      <c r="AJ167" s="34" t="str">
        <v>QFD6</v>
      </c>
      <c r="AK167" s="34">
        <v>1</v>
      </c>
      <c r="AL167" s="34" t="str">
        <v>R</v>
      </c>
      <c r="AM167" s="34">
        <v>30</v>
      </c>
      <c r="AN167" s="34">
        <v>0</v>
      </c>
      <c r="AO167" s="34">
        <v>16</v>
      </c>
      <c r="AP167" s="34">
        <v>25</v>
      </c>
      <c r="AQ167" s="34">
        <v>16</v>
      </c>
      <c r="AR167" s="34">
        <v>1</v>
      </c>
      <c r="AS167" s="34">
        <v>1</v>
      </c>
      <c r="AT167" s="34" t="str">
        <v>2P</v>
      </c>
      <c r="AU167" s="34">
        <v>16</v>
      </c>
      <c r="AV167" s="34" t="str">
        <v/>
      </c>
      <c r="AW167" s="34" t="str">
        <v/>
      </c>
      <c r="AX167" s="34" t="str">
        <v/>
      </c>
      <c r="AY167" s="34">
        <v>1</v>
      </c>
      <c r="AZ167" s="34" t="str">
        <v/>
      </c>
      <c r="BA167" s="34">
        <v>0</v>
      </c>
      <c r="BB167" s="34">
        <v>16</v>
      </c>
      <c r="BD167" s="34">
        <v>1</v>
      </c>
      <c r="BE167" s="34">
        <v>0</v>
      </c>
      <c r="BF167" s="34">
        <v>1</v>
      </c>
      <c r="BG167" s="34" t="str">
        <v/>
      </c>
      <c r="BH167" s="34" t="str">
        <v/>
      </c>
      <c r="BI167" s="34" t="str">
        <v/>
      </c>
      <c r="BJ167" s="34" t="str">
        <v/>
      </c>
      <c r="BK167" s="34" t="str">
        <v>SOCKET</v>
      </c>
      <c r="BL167" s="34">
        <v>1</v>
      </c>
      <c r="BM167" s="34" t="str">
        <v/>
      </c>
      <c r="BN167" s="34" t="str">
        <v/>
      </c>
      <c r="BO167" s="34" t="str">
        <v/>
      </c>
      <c r="BP167" s="34" t="str">
        <v/>
      </c>
      <c r="BQ167" s="34" t="str">
        <v>3х2,5</v>
      </c>
      <c r="BR167" s="34" t="str">
        <v/>
      </c>
      <c r="BS167" s="34" t="str">
        <v/>
      </c>
      <c r="BT167" s="34" t="str">
        <v/>
      </c>
      <c r="BU167" s="34">
        <v>0</v>
      </c>
      <c r="BV167" s="34">
        <v>188</v>
      </c>
      <c r="BW167" s="34">
        <v>1</v>
      </c>
      <c r="BX167" s="34">
        <v>0</v>
      </c>
      <c r="BY167" s="34" t="str">
        <v>Розетка</v>
      </c>
      <c r="BZ167">
        <v>9</v>
      </c>
      <c r="CA167" t="str">
        <v>линии</v>
      </c>
    </row>
    <row r="168" spans="1:79" x14ac:dyDescent="0.3">
      <c r="A168" s="39" t="str">
        <v>ЩР-01</v>
      </c>
      <c r="B168" s="42">
        <v>24</v>
      </c>
      <c r="C168" s="42">
        <v>2</v>
      </c>
      <c r="D168" s="75" t="str">
        <v/>
      </c>
      <c r="E168" s="75" t="str">
        <v>авто</v>
      </c>
      <c r="F168" s="76">
        <v>30</v>
      </c>
      <c r="G168" s="47" t="str">
        <v>QFD7</v>
      </c>
      <c r="H168" s="47" t="str">
        <v>2P С16А 30мА</v>
      </c>
      <c r="I168" s="75" t="str">
        <v/>
      </c>
      <c r="J168" s="76" t="str">
        <v/>
      </c>
      <c r="K168" s="76" t="str">
        <v/>
      </c>
      <c r="L168" s="75" t="str">
        <v/>
      </c>
      <c r="M168" s="49" t="str">
        <v/>
      </c>
      <c r="N168" s="76" t="str">
        <v/>
      </c>
      <c r="O168" s="49" t="str">
        <v/>
      </c>
      <c r="P168" s="77" t="str">
        <v>XT7</v>
      </c>
      <c r="Q168" s="53" t="str">
        <v>ВВГнг(А)-LS (3х2,5) L=77-0,79%</v>
      </c>
      <c r="R168" s="54" t="str">
        <v>R.0.003A.1</v>
      </c>
      <c r="S168" s="55" t="str">
        <v>Розеточная группа, пом. 003A</v>
      </c>
      <c r="T168" s="56">
        <v>0.3</v>
      </c>
      <c r="U168" s="56">
        <v>1.37</v>
      </c>
      <c r="V168" s="42" t="str">
        <v>L3</v>
      </c>
      <c r="W168" s="57" t="str">
        <v>ok</v>
      </c>
      <c r="X168" s="58" t="str">
        <v/>
      </c>
      <c r="Y168" s="75" t="str">
        <v/>
      </c>
      <c r="Z168" s="59">
        <v>1.3674085322912188</v>
      </c>
      <c r="AA168" s="61">
        <v>16</v>
      </c>
      <c r="AB168" s="61">
        <v>25</v>
      </c>
      <c r="AC168" s="61" t="str">
        <v/>
      </c>
      <c r="AD168" s="62" t="str">
        <v>QFD7 → XT7</v>
      </c>
      <c r="AE168" s="62" t="str">
        <v/>
      </c>
      <c r="AF168" s="34">
        <v>7</v>
      </c>
      <c r="AG168" s="34" t="str">
        <v>QFD7</v>
      </c>
      <c r="AH168" s="34" t="str">
        <v/>
      </c>
      <c r="AI168" s="34" t="str">
        <v/>
      </c>
      <c r="AJ168" s="34" t="str">
        <v>QFD7</v>
      </c>
      <c r="AK168" s="34">
        <v>1</v>
      </c>
      <c r="AL168" s="34" t="str">
        <v>R</v>
      </c>
      <c r="AM168" s="34">
        <v>30</v>
      </c>
      <c r="AN168" s="34">
        <v>0</v>
      </c>
      <c r="AO168" s="34">
        <v>16</v>
      </c>
      <c r="AP168" s="34">
        <v>25</v>
      </c>
      <c r="AQ168" s="34">
        <v>16</v>
      </c>
      <c r="AR168" s="34">
        <v>1</v>
      </c>
      <c r="AS168" s="34">
        <v>1</v>
      </c>
      <c r="AT168" s="34" t="str">
        <v>2P</v>
      </c>
      <c r="AU168" s="34">
        <v>16</v>
      </c>
      <c r="AV168" s="34" t="str">
        <v/>
      </c>
      <c r="AW168" s="34" t="str">
        <v/>
      </c>
      <c r="AX168" s="34" t="str">
        <v/>
      </c>
      <c r="AY168" s="34">
        <v>1</v>
      </c>
      <c r="AZ168" s="34" t="str">
        <v/>
      </c>
      <c r="BA168" s="34">
        <v>0</v>
      </c>
      <c r="BB168" s="34">
        <v>16</v>
      </c>
      <c r="BD168" s="34">
        <v>1</v>
      </c>
      <c r="BE168" s="34">
        <v>0</v>
      </c>
      <c r="BF168" s="34">
        <v>1</v>
      </c>
      <c r="BG168" s="34" t="str">
        <v/>
      </c>
      <c r="BH168" s="34" t="str">
        <v/>
      </c>
      <c r="BI168" s="34" t="str">
        <v/>
      </c>
      <c r="BJ168" s="34" t="str">
        <v/>
      </c>
      <c r="BK168" s="34" t="str">
        <v>SOCKET</v>
      </c>
      <c r="BL168" s="34">
        <v>1</v>
      </c>
      <c r="BM168" s="34" t="str">
        <v/>
      </c>
      <c r="BN168" s="34" t="str">
        <v/>
      </c>
      <c r="BO168" s="34" t="str">
        <v/>
      </c>
      <c r="BP168" s="34" t="str">
        <v/>
      </c>
      <c r="BQ168" s="34" t="str">
        <v>3х2,5</v>
      </c>
      <c r="BR168" s="34" t="str">
        <v/>
      </c>
      <c r="BS168" s="34" t="str">
        <v/>
      </c>
      <c r="BT168" s="34" t="str">
        <v/>
      </c>
      <c r="BU168" s="34">
        <v>0</v>
      </c>
      <c r="BV168" s="34">
        <v>189</v>
      </c>
      <c r="BW168" s="34">
        <v>1</v>
      </c>
      <c r="BX168" s="34">
        <v>0</v>
      </c>
      <c r="BY168" s="34" t="str">
        <v>Розетка</v>
      </c>
      <c r="BZ168">
        <v>9</v>
      </c>
      <c r="CA168" t="str">
        <v>линии</v>
      </c>
    </row>
    <row r="169" spans="1:79" x14ac:dyDescent="0.3">
      <c r="A169" s="39" t="str">
        <v>ЩР-01</v>
      </c>
      <c r="B169" s="42">
        <v>25</v>
      </c>
      <c r="C169" s="42">
        <v>2</v>
      </c>
      <c r="D169" s="75" t="str">
        <v/>
      </c>
      <c r="E169" s="75" t="str">
        <v>авто</v>
      </c>
      <c r="F169" s="76">
        <v>30</v>
      </c>
      <c r="G169" s="47" t="str">
        <v>QFD8</v>
      </c>
      <c r="H169" s="47" t="str">
        <v>2P С16А 30мА</v>
      </c>
      <c r="I169" s="75" t="str">
        <v/>
      </c>
      <c r="J169" s="76" t="str">
        <v/>
      </c>
      <c r="K169" s="76" t="str">
        <v/>
      </c>
      <c r="L169" s="75" t="str">
        <v/>
      </c>
      <c r="M169" s="49" t="str">
        <v/>
      </c>
      <c r="N169" s="76" t="str">
        <v/>
      </c>
      <c r="O169" s="49" t="str">
        <v/>
      </c>
      <c r="P169" s="77" t="str">
        <v>XT8</v>
      </c>
      <c r="Q169" s="53" t="str">
        <v>ВВГнг(А)-LS (3х2,5) L=69-0,43%</v>
      </c>
      <c r="R169" s="54" t="str">
        <v>R.0.003A.3</v>
      </c>
      <c r="S169" s="55" t="str">
        <v>Розеточная группа, пом. 003A</v>
      </c>
      <c r="T169" s="56">
        <v>0.18</v>
      </c>
      <c r="U169" s="56">
        <v>0.83</v>
      </c>
      <c r="V169" s="42" t="str">
        <v>L1</v>
      </c>
      <c r="W169" s="57" t="str">
        <v>ok</v>
      </c>
      <c r="X169" s="58" t="str">
        <v/>
      </c>
      <c r="Y169" s="75" t="str">
        <v/>
      </c>
      <c r="Z169" s="59">
        <v>0.8204451193747313</v>
      </c>
      <c r="AA169" s="61">
        <v>16</v>
      </c>
      <c r="AB169" s="61">
        <v>25</v>
      </c>
      <c r="AC169" s="61" t="str">
        <v/>
      </c>
      <c r="AD169" s="62" t="str">
        <v>QFD8 → XT8</v>
      </c>
      <c r="AE169" s="62" t="str">
        <v/>
      </c>
      <c r="AF169" s="34">
        <v>8</v>
      </c>
      <c r="AG169" s="34" t="str">
        <v>QFD8</v>
      </c>
      <c r="AH169" s="34" t="str">
        <v/>
      </c>
      <c r="AI169" s="34" t="str">
        <v/>
      </c>
      <c r="AJ169" s="34" t="str">
        <v>QFD8</v>
      </c>
      <c r="AK169" s="34">
        <v>1</v>
      </c>
      <c r="AL169" s="34" t="str">
        <v>R</v>
      </c>
      <c r="AM169" s="34">
        <v>30</v>
      </c>
      <c r="AN169" s="34">
        <v>0</v>
      </c>
      <c r="AO169" s="34">
        <v>16</v>
      </c>
      <c r="AP169" s="34">
        <v>25</v>
      </c>
      <c r="AQ169" s="34">
        <v>16</v>
      </c>
      <c r="AR169" s="34">
        <v>1</v>
      </c>
      <c r="AS169" s="34">
        <v>1</v>
      </c>
      <c r="AT169" s="34" t="str">
        <v>2P</v>
      </c>
      <c r="AU169" s="34">
        <v>16</v>
      </c>
      <c r="AV169" s="34" t="str">
        <v/>
      </c>
      <c r="AW169" s="34" t="str">
        <v/>
      </c>
      <c r="AX169" s="34" t="str">
        <v/>
      </c>
      <c r="AY169" s="34">
        <v>1</v>
      </c>
      <c r="AZ169" s="34" t="str">
        <v/>
      </c>
      <c r="BA169" s="34">
        <v>0</v>
      </c>
      <c r="BB169" s="34">
        <v>16</v>
      </c>
      <c r="BD169" s="34">
        <v>1</v>
      </c>
      <c r="BE169" s="34">
        <v>0</v>
      </c>
      <c r="BF169" s="34">
        <v>1</v>
      </c>
      <c r="BG169" s="34" t="str">
        <v/>
      </c>
      <c r="BH169" s="34" t="str">
        <v/>
      </c>
      <c r="BI169" s="34" t="str">
        <v/>
      </c>
      <c r="BJ169" s="34" t="str">
        <v/>
      </c>
      <c r="BK169" s="34" t="str">
        <v>SOCKET</v>
      </c>
      <c r="BL169" s="34">
        <v>1</v>
      </c>
      <c r="BM169" s="34" t="str">
        <v/>
      </c>
      <c r="BN169" s="34" t="str">
        <v/>
      </c>
      <c r="BO169" s="34" t="str">
        <v/>
      </c>
      <c r="BP169" s="34" t="str">
        <v/>
      </c>
      <c r="BQ169" s="34" t="str">
        <v>3х2,5</v>
      </c>
      <c r="BR169" s="34" t="str">
        <v/>
      </c>
      <c r="BS169" s="34" t="str">
        <v/>
      </c>
      <c r="BT169" s="34" t="str">
        <v/>
      </c>
      <c r="BU169" s="34">
        <v>0</v>
      </c>
      <c r="BV169" s="34">
        <v>190</v>
      </c>
      <c r="BW169" s="34">
        <v>1</v>
      </c>
      <c r="BX169" s="34">
        <v>0</v>
      </c>
      <c r="BY169" s="34" t="str">
        <v>Розетка</v>
      </c>
      <c r="BZ169">
        <v>9</v>
      </c>
      <c r="CA169" t="str">
        <v>линии</v>
      </c>
    </row>
    <row r="170" spans="1:79" x14ac:dyDescent="0.3">
      <c r="A170" s="39" t="str">
        <v>ЩР-01</v>
      </c>
      <c r="B170" s="42">
        <v>28</v>
      </c>
      <c r="C170" s="42">
        <v>2</v>
      </c>
      <c r="D170" s="75" t="str">
        <v/>
      </c>
      <c r="E170" s="75" t="str">
        <v>авто</v>
      </c>
      <c r="F170" s="76">
        <v>30</v>
      </c>
      <c r="G170" s="47" t="str">
        <v>QFD9</v>
      </c>
      <c r="H170" s="47" t="str">
        <v>2P С16А 30мА</v>
      </c>
      <c r="I170" s="75" t="str">
        <v/>
      </c>
      <c r="J170" s="76" t="str">
        <v/>
      </c>
      <c r="K170" s="76" t="str">
        <v/>
      </c>
      <c r="L170" s="75" t="str">
        <v/>
      </c>
      <c r="M170" s="49" t="str">
        <v/>
      </c>
      <c r="N170" s="76" t="str">
        <v/>
      </c>
      <c r="O170" s="49" t="str">
        <v/>
      </c>
      <c r="P170" s="77" t="str">
        <v/>
      </c>
      <c r="Q170" s="53" t="str">
        <v>ВВГнг(А)-LS (3х2,5) L=47-0,1%</v>
      </c>
      <c r="R170" s="54" t="str">
        <v>R.0.003Б.1</v>
      </c>
      <c r="S170" s="55" t="str">
        <v>Розеточная группа, пом. 003Б</v>
      </c>
      <c r="T170" s="56">
        <v>0.06</v>
      </c>
      <c r="U170" s="56">
        <v>0.28000000000000003</v>
      </c>
      <c r="V170" s="42" t="str">
        <v>L2</v>
      </c>
      <c r="W170" s="57" t="str">
        <v>ok</v>
      </c>
      <c r="X170" s="58" t="str">
        <v/>
      </c>
      <c r="Y170" s="75" t="str">
        <v/>
      </c>
      <c r="Z170" s="59">
        <v>0.27348170645824377</v>
      </c>
      <c r="AA170" s="61">
        <v>16</v>
      </c>
      <c r="AB170" s="61">
        <v>25</v>
      </c>
      <c r="AC170" s="61" t="str">
        <v/>
      </c>
      <c r="AD170" s="62" t="str">
        <v>QFD9</v>
      </c>
      <c r="AE170" s="62" t="str">
        <v/>
      </c>
      <c r="AF170" s="34">
        <v>9</v>
      </c>
      <c r="AG170" s="34" t="str">
        <v>QFD9</v>
      </c>
      <c r="AH170" s="34" t="str">
        <v/>
      </c>
      <c r="AI170" s="34" t="str">
        <v/>
      </c>
      <c r="AJ170" s="34" t="str">
        <v>QFD9</v>
      </c>
      <c r="AK170" s="34">
        <v>1</v>
      </c>
      <c r="AL170" s="34" t="str">
        <v>R</v>
      </c>
      <c r="AM170" s="34">
        <v>30</v>
      </c>
      <c r="AN170" s="34">
        <v>0</v>
      </c>
      <c r="AO170" s="34">
        <v>16</v>
      </c>
      <c r="AP170" s="34">
        <v>25</v>
      </c>
      <c r="AQ170" s="34">
        <v>16</v>
      </c>
      <c r="AR170" s="34">
        <v>1</v>
      </c>
      <c r="AS170" s="34">
        <v>1</v>
      </c>
      <c r="AT170" s="34" t="str">
        <v>2P</v>
      </c>
      <c r="AU170" s="34">
        <v>16</v>
      </c>
      <c r="AV170" s="34" t="str">
        <v/>
      </c>
      <c r="AW170" s="34" t="str">
        <v/>
      </c>
      <c r="AX170" s="34" t="str">
        <v/>
      </c>
      <c r="AY170" s="34">
        <v>1</v>
      </c>
      <c r="AZ170" s="34" t="str">
        <v/>
      </c>
      <c r="BA170" s="34">
        <v>0</v>
      </c>
      <c r="BB170" s="34">
        <v>16</v>
      </c>
      <c r="BD170" s="34">
        <v>1</v>
      </c>
      <c r="BE170" s="34">
        <v>0</v>
      </c>
      <c r="BF170" s="34">
        <v>1</v>
      </c>
      <c r="BG170" s="34" t="str">
        <v/>
      </c>
      <c r="BH170" s="34" t="str">
        <v/>
      </c>
      <c r="BI170" s="34" t="str">
        <v/>
      </c>
      <c r="BJ170" s="34" t="str">
        <v/>
      </c>
      <c r="BK170" s="34" t="str">
        <v>SOCKET</v>
      </c>
      <c r="BL170" s="34">
        <v>1</v>
      </c>
      <c r="BM170" s="34" t="str">
        <v/>
      </c>
      <c r="BN170" s="34" t="str">
        <v/>
      </c>
      <c r="BO170" s="34" t="str">
        <v/>
      </c>
      <c r="BP170" s="34" t="str">
        <v/>
      </c>
      <c r="BQ170" s="34" t="str">
        <v>3х2,5</v>
      </c>
      <c r="BR170" s="34" t="str">
        <v/>
      </c>
      <c r="BS170" s="34" t="str">
        <v/>
      </c>
      <c r="BT170" s="34" t="str">
        <v/>
      </c>
      <c r="BU170" s="34">
        <v>0</v>
      </c>
      <c r="BV170" s="34">
        <v>191</v>
      </c>
      <c r="BW170" s="34">
        <v>1</v>
      </c>
      <c r="BX170" s="34">
        <v>0</v>
      </c>
      <c r="BY170" s="34" t="str">
        <v>Розетка</v>
      </c>
      <c r="BZ170">
        <v>9</v>
      </c>
      <c r="CA170" t="str">
        <v>линии</v>
      </c>
    </row>
    <row r="171" spans="1:79" x14ac:dyDescent="0.3">
      <c r="A171" s="39" t="str">
        <v>ЩР-01</v>
      </c>
      <c r="B171" s="42">
        <v>29</v>
      </c>
      <c r="C171" s="42">
        <v>2</v>
      </c>
      <c r="D171" s="75" t="str">
        <v/>
      </c>
      <c r="E171" s="75" t="str">
        <v>авто</v>
      </c>
      <c r="F171" s="76">
        <v>30</v>
      </c>
      <c r="G171" s="47" t="str">
        <v>QFD10</v>
      </c>
      <c r="H171" s="47" t="str">
        <v>2P С16А 30мА</v>
      </c>
      <c r="I171" s="75" t="str">
        <v/>
      </c>
      <c r="J171" s="76" t="str">
        <v/>
      </c>
      <c r="K171" s="76" t="str">
        <v/>
      </c>
      <c r="L171" s="75" t="str">
        <v/>
      </c>
      <c r="M171" s="49" t="str">
        <v/>
      </c>
      <c r="N171" s="76" t="str">
        <v/>
      </c>
      <c r="O171" s="49" t="str">
        <v/>
      </c>
      <c r="P171" s="77" t="str">
        <v>XT10</v>
      </c>
      <c r="Q171" s="53" t="str">
        <v>ВВГнг(А)-LS (3х2,5) L=35-0,22%</v>
      </c>
      <c r="R171" s="54" t="str">
        <v>R.0.004Б.1</v>
      </c>
      <c r="S171" s="55" t="str">
        <v>Розеточная группа, пом. 004Б</v>
      </c>
      <c r="T171" s="56">
        <v>0.18</v>
      </c>
      <c r="U171" s="56">
        <v>0.83</v>
      </c>
      <c r="V171" s="42" t="str">
        <v>L3</v>
      </c>
      <c r="W171" s="57" t="str">
        <v>ok</v>
      </c>
      <c r="X171" s="58" t="str">
        <v/>
      </c>
      <c r="Y171" s="75" t="str">
        <v/>
      </c>
      <c r="Z171" s="59">
        <v>0.8204451193747313</v>
      </c>
      <c r="AA171" s="61">
        <v>16</v>
      </c>
      <c r="AB171" s="61">
        <v>25</v>
      </c>
      <c r="AC171" s="61" t="str">
        <v/>
      </c>
      <c r="AD171" s="62" t="str">
        <v>QFD10 → XT10</v>
      </c>
      <c r="AE171" s="62" t="str">
        <v/>
      </c>
      <c r="AF171" s="34">
        <v>10</v>
      </c>
      <c r="AG171" s="34" t="str">
        <v>QFD10</v>
      </c>
      <c r="AH171" s="34" t="str">
        <v/>
      </c>
      <c r="AI171" s="34" t="str">
        <v/>
      </c>
      <c r="AJ171" s="34" t="str">
        <v>QFD10</v>
      </c>
      <c r="AK171" s="34">
        <v>1</v>
      </c>
      <c r="AL171" s="34" t="str">
        <v>R</v>
      </c>
      <c r="AM171" s="34">
        <v>30</v>
      </c>
      <c r="AN171" s="34">
        <v>0</v>
      </c>
      <c r="AO171" s="34">
        <v>16</v>
      </c>
      <c r="AP171" s="34">
        <v>25</v>
      </c>
      <c r="AQ171" s="34">
        <v>16</v>
      </c>
      <c r="AR171" s="34">
        <v>1</v>
      </c>
      <c r="AS171" s="34">
        <v>1</v>
      </c>
      <c r="AT171" s="34" t="str">
        <v>2P</v>
      </c>
      <c r="AU171" s="34">
        <v>16</v>
      </c>
      <c r="AV171" s="34" t="str">
        <v/>
      </c>
      <c r="AW171" s="34" t="str">
        <v/>
      </c>
      <c r="AX171" s="34" t="str">
        <v/>
      </c>
      <c r="AY171" s="34">
        <v>1</v>
      </c>
      <c r="AZ171" s="34" t="str">
        <v/>
      </c>
      <c r="BA171" s="34">
        <v>0</v>
      </c>
      <c r="BB171" s="34">
        <v>16</v>
      </c>
      <c r="BD171" s="34">
        <v>1</v>
      </c>
      <c r="BE171" s="34">
        <v>0</v>
      </c>
      <c r="BF171" s="34">
        <v>1</v>
      </c>
      <c r="BG171" s="34" t="str">
        <v/>
      </c>
      <c r="BH171" s="34" t="str">
        <v/>
      </c>
      <c r="BI171" s="34" t="str">
        <v/>
      </c>
      <c r="BJ171" s="34" t="str">
        <v/>
      </c>
      <c r="BK171" s="34" t="str">
        <v>SOCKET</v>
      </c>
      <c r="BL171" s="34">
        <v>1</v>
      </c>
      <c r="BM171" s="34" t="str">
        <v/>
      </c>
      <c r="BN171" s="34" t="str">
        <v/>
      </c>
      <c r="BO171" s="34" t="str">
        <v/>
      </c>
      <c r="BP171" s="34" t="str">
        <v/>
      </c>
      <c r="BQ171" s="34" t="str">
        <v>3х2,5</v>
      </c>
      <c r="BR171" s="34" t="str">
        <v/>
      </c>
      <c r="BS171" s="34" t="str">
        <v/>
      </c>
      <c r="BT171" s="34" t="str">
        <v/>
      </c>
      <c r="BU171" s="34">
        <v>0</v>
      </c>
      <c r="BV171" s="34">
        <v>192</v>
      </c>
      <c r="BW171" s="34">
        <v>1</v>
      </c>
      <c r="BX171" s="34">
        <v>0</v>
      </c>
      <c r="BY171" s="34" t="str">
        <v>Розетка</v>
      </c>
      <c r="BZ171">
        <v>9</v>
      </c>
      <c r="CA171" t="str">
        <v>линии</v>
      </c>
    </row>
    <row r="172" spans="1:79" x14ac:dyDescent="0.3">
      <c r="A172" s="39" t="str">
        <v>ЩР-01</v>
      </c>
      <c r="B172" s="42">
        <v>30</v>
      </c>
      <c r="C172" s="42">
        <v>2</v>
      </c>
      <c r="D172" s="75" t="str">
        <v/>
      </c>
      <c r="E172" s="75" t="str">
        <v>авто</v>
      </c>
      <c r="F172" s="76">
        <v>30</v>
      </c>
      <c r="G172" s="47" t="str">
        <v>QFD11</v>
      </c>
      <c r="H172" s="47" t="str">
        <v>2P С16А 30мА</v>
      </c>
      <c r="I172" s="75" t="str">
        <v/>
      </c>
      <c r="J172" s="76" t="str">
        <v/>
      </c>
      <c r="K172" s="76" t="str">
        <v/>
      </c>
      <c r="L172" s="75" t="str">
        <v/>
      </c>
      <c r="M172" s="49" t="str">
        <v/>
      </c>
      <c r="N172" s="76" t="str">
        <v/>
      </c>
      <c r="O172" s="49" t="str">
        <v/>
      </c>
      <c r="P172" s="77" t="str">
        <v/>
      </c>
      <c r="Q172" s="53" t="str">
        <v>ВВГнг(А)-LS (3х2,5) L=19-1,42%</v>
      </c>
      <c r="R172" s="54" t="str">
        <v>R.0.004Б.2</v>
      </c>
      <c r="S172" s="55" t="str">
        <v>Розеточная группа Цокольный этаж Пом. №004Б Сушильная машина</v>
      </c>
      <c r="T172" s="56">
        <v>2.2000000000000002</v>
      </c>
      <c r="U172" s="56">
        <v>10.029999999999999</v>
      </c>
      <c r="V172" s="42" t="str">
        <v>L2</v>
      </c>
      <c r="W172" s="57" t="str">
        <v>ok</v>
      </c>
      <c r="X172" s="58" t="str">
        <v/>
      </c>
      <c r="Y172" s="75" t="str">
        <v/>
      </c>
      <c r="Z172" s="59">
        <v>10.027662570135606</v>
      </c>
      <c r="AA172" s="61">
        <v>16</v>
      </c>
      <c r="AB172" s="61">
        <v>25</v>
      </c>
      <c r="AC172" s="61" t="str">
        <v/>
      </c>
      <c r="AD172" s="62" t="str">
        <v>QFD11</v>
      </c>
      <c r="AE172" s="62" t="str">
        <v/>
      </c>
      <c r="AF172" s="34">
        <v>11</v>
      </c>
      <c r="AG172" s="34" t="str">
        <v>QFD11</v>
      </c>
      <c r="AH172" s="34" t="str">
        <v/>
      </c>
      <c r="AI172" s="34" t="str">
        <v/>
      </c>
      <c r="AJ172" s="34" t="str">
        <v>QFD11</v>
      </c>
      <c r="AK172" s="34">
        <v>1</v>
      </c>
      <c r="AL172" s="34" t="str">
        <v>R</v>
      </c>
      <c r="AM172" s="34">
        <v>30</v>
      </c>
      <c r="AN172" s="34">
        <v>0</v>
      </c>
      <c r="AO172" s="34">
        <v>16</v>
      </c>
      <c r="AP172" s="34">
        <v>25</v>
      </c>
      <c r="AQ172" s="34">
        <v>16</v>
      </c>
      <c r="AR172" s="34">
        <v>1</v>
      </c>
      <c r="AS172" s="34">
        <v>1</v>
      </c>
      <c r="AT172" s="34" t="str">
        <v>2P</v>
      </c>
      <c r="AU172" s="34">
        <v>16</v>
      </c>
      <c r="AV172" s="34" t="str">
        <v/>
      </c>
      <c r="AW172" s="34" t="str">
        <v/>
      </c>
      <c r="AX172" s="34" t="str">
        <v/>
      </c>
      <c r="AY172" s="34">
        <v>1</v>
      </c>
      <c r="AZ172" s="34" t="str">
        <v/>
      </c>
      <c r="BA172" s="34">
        <v>0</v>
      </c>
      <c r="BB172" s="34">
        <v>16</v>
      </c>
      <c r="BD172" s="34">
        <v>1</v>
      </c>
      <c r="BE172" s="34">
        <v>0</v>
      </c>
      <c r="BF172" s="34">
        <v>1</v>
      </c>
      <c r="BG172" s="34" t="str">
        <v/>
      </c>
      <c r="BH172" s="34" t="str">
        <v/>
      </c>
      <c r="BI172" s="34" t="str">
        <v/>
      </c>
      <c r="BJ172" s="34" t="str">
        <v/>
      </c>
      <c r="BK172" s="34" t="str">
        <v>SOCKET</v>
      </c>
      <c r="BL172" s="34">
        <v>1</v>
      </c>
      <c r="BM172" s="34" t="str">
        <v/>
      </c>
      <c r="BN172" s="34" t="str">
        <v/>
      </c>
      <c r="BO172" s="34" t="str">
        <v/>
      </c>
      <c r="BP172" s="34" t="str">
        <v/>
      </c>
      <c r="BQ172" s="34" t="str">
        <v>3х2,5</v>
      </c>
      <c r="BR172" s="34" t="str">
        <v/>
      </c>
      <c r="BS172" s="34" t="str">
        <v/>
      </c>
      <c r="BT172" s="34" t="str">
        <v/>
      </c>
      <c r="BU172" s="34">
        <v>0</v>
      </c>
      <c r="BV172" s="34">
        <v>193</v>
      </c>
      <c r="BW172" s="34">
        <v>1</v>
      </c>
      <c r="BX172" s="34">
        <v>0</v>
      </c>
      <c r="BY172" s="34" t="str">
        <v>Розетка</v>
      </c>
      <c r="BZ172">
        <v>9</v>
      </c>
      <c r="CA172" t="str">
        <v>линии</v>
      </c>
    </row>
    <row r="173" spans="1:79" x14ac:dyDescent="0.3">
      <c r="A173" s="39" t="str">
        <v>ЩР-01</v>
      </c>
      <c r="B173" s="42">
        <v>31</v>
      </c>
      <c r="C173" s="42">
        <v>2</v>
      </c>
      <c r="D173" s="75" t="str">
        <v/>
      </c>
      <c r="E173" s="75" t="str">
        <v>авто</v>
      </c>
      <c r="F173" s="76">
        <v>30</v>
      </c>
      <c r="G173" s="47" t="str">
        <v>QFD12</v>
      </c>
      <c r="H173" s="47" t="str">
        <v>2P С16А 30мА</v>
      </c>
      <c r="I173" s="75" t="str">
        <v/>
      </c>
      <c r="J173" s="76" t="str">
        <v/>
      </c>
      <c r="K173" s="76" t="str">
        <v/>
      </c>
      <c r="L173" s="75" t="str">
        <v/>
      </c>
      <c r="M173" s="49" t="str">
        <v/>
      </c>
      <c r="N173" s="76" t="str">
        <v/>
      </c>
      <c r="O173" s="49" t="str">
        <v/>
      </c>
      <c r="P173" s="77" t="str">
        <v/>
      </c>
      <c r="Q173" s="53" t="str">
        <v>ВВГнг(А)-LS (3х2,5) L=29-2,17%</v>
      </c>
      <c r="R173" s="54" t="str">
        <v>R.0.004Б.3</v>
      </c>
      <c r="S173" s="55" t="str">
        <v>Розеточная группа Цокольный этаж Пом. №004Б Стиральная машина</v>
      </c>
      <c r="T173" s="56">
        <v>2.2000000000000002</v>
      </c>
      <c r="U173" s="56">
        <v>10.029999999999999</v>
      </c>
      <c r="V173" s="42" t="str">
        <v>L3</v>
      </c>
      <c r="W173" s="57" t="str">
        <v>ok</v>
      </c>
      <c r="X173" s="58" t="str">
        <v/>
      </c>
      <c r="Y173" s="75" t="str">
        <v/>
      </c>
      <c r="Z173" s="59">
        <v>10.027662570135606</v>
      </c>
      <c r="AA173" s="61">
        <v>16</v>
      </c>
      <c r="AB173" s="61">
        <v>25</v>
      </c>
      <c r="AC173" s="61" t="str">
        <v/>
      </c>
      <c r="AD173" s="62" t="str">
        <v>QFD12</v>
      </c>
      <c r="AE173" s="62" t="str">
        <v/>
      </c>
      <c r="AF173" s="34">
        <v>12</v>
      </c>
      <c r="AG173" s="34" t="str">
        <v>QFD12</v>
      </c>
      <c r="AH173" s="34" t="str">
        <v/>
      </c>
      <c r="AI173" s="34" t="str">
        <v/>
      </c>
      <c r="AJ173" s="34" t="str">
        <v>QFD12</v>
      </c>
      <c r="AK173" s="34">
        <v>1</v>
      </c>
      <c r="AL173" s="34" t="str">
        <v>R</v>
      </c>
      <c r="AM173" s="34">
        <v>30</v>
      </c>
      <c r="AN173" s="34">
        <v>0</v>
      </c>
      <c r="AO173" s="34">
        <v>16</v>
      </c>
      <c r="AP173" s="34">
        <v>25</v>
      </c>
      <c r="AQ173" s="34">
        <v>16</v>
      </c>
      <c r="AR173" s="34">
        <v>1</v>
      </c>
      <c r="AS173" s="34">
        <v>1</v>
      </c>
      <c r="AT173" s="34" t="str">
        <v>2P</v>
      </c>
      <c r="AU173" s="34">
        <v>16</v>
      </c>
      <c r="AV173" s="34" t="str">
        <v/>
      </c>
      <c r="AW173" s="34" t="str">
        <v/>
      </c>
      <c r="AX173" s="34" t="str">
        <v/>
      </c>
      <c r="AY173" s="34">
        <v>1</v>
      </c>
      <c r="AZ173" s="34" t="str">
        <v/>
      </c>
      <c r="BA173" s="34">
        <v>0</v>
      </c>
      <c r="BB173" s="34">
        <v>16</v>
      </c>
      <c r="BD173" s="34">
        <v>1</v>
      </c>
      <c r="BE173" s="34">
        <v>0</v>
      </c>
      <c r="BF173" s="34">
        <v>1</v>
      </c>
      <c r="BG173" s="34" t="str">
        <v/>
      </c>
      <c r="BH173" s="34" t="str">
        <v/>
      </c>
      <c r="BI173" s="34" t="str">
        <v/>
      </c>
      <c r="BJ173" s="34" t="str">
        <v/>
      </c>
      <c r="BK173" s="34" t="str">
        <v>SOCKET</v>
      </c>
      <c r="BL173" s="34">
        <v>1</v>
      </c>
      <c r="BM173" s="34" t="str">
        <v/>
      </c>
      <c r="BN173" s="34" t="str">
        <v/>
      </c>
      <c r="BO173" s="34" t="str">
        <v/>
      </c>
      <c r="BP173" s="34" t="str">
        <v/>
      </c>
      <c r="BQ173" s="34" t="str">
        <v>3х2,5</v>
      </c>
      <c r="BR173" s="34" t="str">
        <v/>
      </c>
      <c r="BS173" s="34" t="str">
        <v/>
      </c>
      <c r="BT173" s="34" t="str">
        <v/>
      </c>
      <c r="BU173" s="34">
        <v>0</v>
      </c>
      <c r="BV173" s="34">
        <v>194</v>
      </c>
      <c r="BW173" s="34">
        <v>1</v>
      </c>
      <c r="BX173" s="34">
        <v>0</v>
      </c>
      <c r="BY173" s="34" t="str">
        <v>Розетка</v>
      </c>
      <c r="BZ173">
        <v>9</v>
      </c>
      <c r="CA173" t="str">
        <v>линии</v>
      </c>
    </row>
    <row r="174" spans="1:79" x14ac:dyDescent="0.3">
      <c r="A174" s="39" t="str">
        <v>ЩР-01</v>
      </c>
      <c r="B174" s="42">
        <v>32</v>
      </c>
      <c r="C174" s="42">
        <v>2</v>
      </c>
      <c r="D174" s="75" t="str">
        <v/>
      </c>
      <c r="E174" s="75" t="str">
        <v>авто</v>
      </c>
      <c r="F174" s="76">
        <v>30</v>
      </c>
      <c r="G174" s="47" t="str">
        <v>QFD13</v>
      </c>
      <c r="H174" s="47" t="str">
        <v>2P С16А 30мА</v>
      </c>
      <c r="I174" s="75" t="str">
        <v/>
      </c>
      <c r="J174" s="76" t="str">
        <v/>
      </c>
      <c r="K174" s="76" t="str">
        <v/>
      </c>
      <c r="L174" s="75" t="str">
        <v/>
      </c>
      <c r="M174" s="49" t="str">
        <v/>
      </c>
      <c r="N174" s="76" t="str">
        <v/>
      </c>
      <c r="O174" s="49" t="str">
        <v/>
      </c>
      <c r="P174" s="77" t="str">
        <v/>
      </c>
      <c r="Q174" s="53" t="str">
        <v>ВВГнг(А)-LS (3х2,5) L=61-0,38%</v>
      </c>
      <c r="R174" s="54" t="str">
        <v>R.0.006A.1</v>
      </c>
      <c r="S174" s="55" t="str">
        <v>Розеточная группа, пом. 006A</v>
      </c>
      <c r="T174" s="56">
        <v>0.18</v>
      </c>
      <c r="U174" s="56">
        <v>0.83</v>
      </c>
      <c r="V174" s="42" t="str">
        <v>L2</v>
      </c>
      <c r="W174" s="57" t="str">
        <v>ok</v>
      </c>
      <c r="X174" s="58" t="str">
        <v/>
      </c>
      <c r="Y174" s="75" t="str">
        <v/>
      </c>
      <c r="Z174" s="59">
        <v>0.8204451193747313</v>
      </c>
      <c r="AA174" s="61">
        <v>16</v>
      </c>
      <c r="AB174" s="61">
        <v>25</v>
      </c>
      <c r="AC174" s="61" t="str">
        <v/>
      </c>
      <c r="AD174" s="62" t="str">
        <v>QFD13</v>
      </c>
      <c r="AE174" s="62" t="str">
        <v/>
      </c>
      <c r="AF174" s="34">
        <v>13</v>
      </c>
      <c r="AG174" s="34" t="str">
        <v>QFD13</v>
      </c>
      <c r="AH174" s="34" t="str">
        <v/>
      </c>
      <c r="AI174" s="34" t="str">
        <v/>
      </c>
      <c r="AJ174" s="34" t="str">
        <v>QFD13</v>
      </c>
      <c r="AK174" s="34">
        <v>1</v>
      </c>
      <c r="AL174" s="34" t="str">
        <v>R</v>
      </c>
      <c r="AM174" s="34">
        <v>30</v>
      </c>
      <c r="AN174" s="34">
        <v>0</v>
      </c>
      <c r="AO174" s="34">
        <v>16</v>
      </c>
      <c r="AP174" s="34">
        <v>25</v>
      </c>
      <c r="AQ174" s="34">
        <v>16</v>
      </c>
      <c r="AR174" s="34">
        <v>1</v>
      </c>
      <c r="AS174" s="34">
        <v>1</v>
      </c>
      <c r="AT174" s="34" t="str">
        <v>2P</v>
      </c>
      <c r="AU174" s="34">
        <v>16</v>
      </c>
      <c r="AV174" s="34" t="str">
        <v/>
      </c>
      <c r="AW174" s="34" t="str">
        <v/>
      </c>
      <c r="AX174" s="34" t="str">
        <v/>
      </c>
      <c r="AY174" s="34">
        <v>1</v>
      </c>
      <c r="AZ174" s="34" t="str">
        <v/>
      </c>
      <c r="BA174" s="34">
        <v>0</v>
      </c>
      <c r="BB174" s="34">
        <v>16</v>
      </c>
      <c r="BD174" s="34">
        <v>1</v>
      </c>
      <c r="BE174" s="34">
        <v>0</v>
      </c>
      <c r="BF174" s="34">
        <v>1</v>
      </c>
      <c r="BG174" s="34" t="str">
        <v/>
      </c>
      <c r="BH174" s="34" t="str">
        <v/>
      </c>
      <c r="BI174" s="34" t="str">
        <v/>
      </c>
      <c r="BJ174" s="34" t="str">
        <v/>
      </c>
      <c r="BK174" s="34" t="str">
        <v>SOCKET</v>
      </c>
      <c r="BL174" s="34">
        <v>1</v>
      </c>
      <c r="BM174" s="34" t="str">
        <v/>
      </c>
      <c r="BN174" s="34" t="str">
        <v/>
      </c>
      <c r="BO174" s="34" t="str">
        <v/>
      </c>
      <c r="BP174" s="34" t="str">
        <v/>
      </c>
      <c r="BQ174" s="34" t="str">
        <v>3х2,5</v>
      </c>
      <c r="BR174" s="34" t="str">
        <v/>
      </c>
      <c r="BS174" s="34" t="str">
        <v/>
      </c>
      <c r="BT174" s="34" t="str">
        <v/>
      </c>
      <c r="BU174" s="34">
        <v>0</v>
      </c>
      <c r="BV174" s="34">
        <v>195</v>
      </c>
      <c r="BW174" s="34">
        <v>1</v>
      </c>
      <c r="BX174" s="34">
        <v>0</v>
      </c>
      <c r="BY174" s="34" t="str">
        <v>Розетка</v>
      </c>
      <c r="BZ174">
        <v>9</v>
      </c>
      <c r="CA174" t="str">
        <v>линии</v>
      </c>
    </row>
    <row r="175" spans="1:79" x14ac:dyDescent="0.3">
      <c r="A175" s="39" t="str">
        <v>ЩР-01</v>
      </c>
      <c r="B175" s="42">
        <v>33</v>
      </c>
      <c r="C175" s="42">
        <v>2</v>
      </c>
      <c r="D175" s="75" t="str">
        <v/>
      </c>
      <c r="E175" s="75" t="str">
        <v>авто</v>
      </c>
      <c r="F175" s="76">
        <v>30</v>
      </c>
      <c r="G175" s="47" t="str">
        <v>QFD14</v>
      </c>
      <c r="H175" s="47" t="str">
        <v>2P С16А 30мА</v>
      </c>
      <c r="I175" s="75" t="str">
        <v/>
      </c>
      <c r="J175" s="76" t="str">
        <v/>
      </c>
      <c r="K175" s="76" t="str">
        <v/>
      </c>
      <c r="L175" s="75" t="str">
        <v/>
      </c>
      <c r="M175" s="49" t="str">
        <v/>
      </c>
      <c r="N175" s="76" t="str">
        <v/>
      </c>
      <c r="O175" s="49" t="str">
        <v/>
      </c>
      <c r="P175" s="77" t="str">
        <v/>
      </c>
      <c r="Q175" s="53" t="str">
        <v>ВВГнг(А)-LS (3х2,5) L=29-0,12%</v>
      </c>
      <c r="R175" s="54" t="str">
        <v>R.0.007A.1</v>
      </c>
      <c r="S175" s="55" t="str">
        <v>Розеточная группа, пом. 007A</v>
      </c>
      <c r="T175" s="56">
        <v>0.12</v>
      </c>
      <c r="U175" s="56">
        <v>0.55000000000000004</v>
      </c>
      <c r="V175" s="42" t="str">
        <v>L2</v>
      </c>
      <c r="W175" s="57" t="str">
        <v>ok</v>
      </c>
      <c r="X175" s="58" t="str">
        <v/>
      </c>
      <c r="Y175" s="75" t="str">
        <v/>
      </c>
      <c r="Z175" s="59">
        <v>0.54696341291648753</v>
      </c>
      <c r="AA175" s="61">
        <v>16</v>
      </c>
      <c r="AB175" s="61">
        <v>25</v>
      </c>
      <c r="AC175" s="61" t="str">
        <v/>
      </c>
      <c r="AD175" s="62" t="str">
        <v>QFD14</v>
      </c>
      <c r="AE175" s="62" t="str">
        <v/>
      </c>
      <c r="AF175" s="34">
        <v>14</v>
      </c>
      <c r="AG175" s="34" t="str">
        <v>QFD14</v>
      </c>
      <c r="AH175" s="34" t="str">
        <v/>
      </c>
      <c r="AI175" s="34" t="str">
        <v/>
      </c>
      <c r="AJ175" s="34" t="str">
        <v>QFD14</v>
      </c>
      <c r="AK175" s="34">
        <v>1</v>
      </c>
      <c r="AL175" s="34" t="str">
        <v>R</v>
      </c>
      <c r="AM175" s="34">
        <v>30</v>
      </c>
      <c r="AN175" s="34">
        <v>0</v>
      </c>
      <c r="AO175" s="34">
        <v>16</v>
      </c>
      <c r="AP175" s="34">
        <v>25</v>
      </c>
      <c r="AQ175" s="34">
        <v>16</v>
      </c>
      <c r="AR175" s="34">
        <v>1</v>
      </c>
      <c r="AS175" s="34">
        <v>1</v>
      </c>
      <c r="AT175" s="34" t="str">
        <v>2P</v>
      </c>
      <c r="AU175" s="34">
        <v>16</v>
      </c>
      <c r="AV175" s="34" t="str">
        <v/>
      </c>
      <c r="AW175" s="34" t="str">
        <v/>
      </c>
      <c r="AX175" s="34" t="str">
        <v/>
      </c>
      <c r="AY175" s="34">
        <v>1</v>
      </c>
      <c r="AZ175" s="34" t="str">
        <v/>
      </c>
      <c r="BA175" s="34">
        <v>0</v>
      </c>
      <c r="BB175" s="34">
        <v>16</v>
      </c>
      <c r="BD175" s="34">
        <v>1</v>
      </c>
      <c r="BE175" s="34">
        <v>0</v>
      </c>
      <c r="BF175" s="34">
        <v>1</v>
      </c>
      <c r="BG175" s="34" t="str">
        <v/>
      </c>
      <c r="BH175" s="34" t="str">
        <v/>
      </c>
      <c r="BI175" s="34" t="str">
        <v/>
      </c>
      <c r="BJ175" s="34" t="str">
        <v/>
      </c>
      <c r="BK175" s="34" t="str">
        <v>SOCKET</v>
      </c>
      <c r="BL175" s="34">
        <v>1</v>
      </c>
      <c r="BM175" s="34" t="str">
        <v/>
      </c>
      <c r="BN175" s="34" t="str">
        <v/>
      </c>
      <c r="BO175" s="34" t="str">
        <v/>
      </c>
      <c r="BP175" s="34" t="str">
        <v/>
      </c>
      <c r="BQ175" s="34" t="str">
        <v>3х2,5</v>
      </c>
      <c r="BR175" s="34" t="str">
        <v/>
      </c>
      <c r="BS175" s="34" t="str">
        <v/>
      </c>
      <c r="BT175" s="34" t="str">
        <v/>
      </c>
      <c r="BU175" s="34">
        <v>0</v>
      </c>
      <c r="BV175" s="34">
        <v>196</v>
      </c>
      <c r="BW175" s="34">
        <v>1</v>
      </c>
      <c r="BX175" s="34">
        <v>0</v>
      </c>
      <c r="BY175" s="34" t="str">
        <v>Розетка</v>
      </c>
      <c r="BZ175">
        <v>9</v>
      </c>
      <c r="CA175" t="str">
        <v>линии</v>
      </c>
    </row>
    <row r="176" spans="1:79" x14ac:dyDescent="0.3">
      <c r="A176" s="39" t="str">
        <v>ЩР-01</v>
      </c>
      <c r="B176" s="42">
        <v>34</v>
      </c>
      <c r="C176" s="42">
        <v>2</v>
      </c>
      <c r="D176" s="75" t="str">
        <v/>
      </c>
      <c r="E176" s="75" t="str">
        <v>авто</v>
      </c>
      <c r="F176" s="76">
        <v>30</v>
      </c>
      <c r="G176" s="47" t="str">
        <v>QFD15</v>
      </c>
      <c r="H176" s="47" t="str">
        <v>2P С16А 30мА</v>
      </c>
      <c r="I176" s="75" t="str">
        <v/>
      </c>
      <c r="J176" s="76" t="str">
        <v/>
      </c>
      <c r="K176" s="76" t="str">
        <v/>
      </c>
      <c r="L176" s="75" t="str">
        <v/>
      </c>
      <c r="M176" s="49" t="str">
        <v/>
      </c>
      <c r="N176" s="76" t="str">
        <v/>
      </c>
      <c r="O176" s="49" t="str">
        <v/>
      </c>
      <c r="P176" s="77" t="str">
        <v/>
      </c>
      <c r="Q176" s="53" t="str">
        <v>ВВГнг(А)-LS (3х2,5) L=62-0,26%</v>
      </c>
      <c r="R176" s="54" t="str">
        <v>R.0.008A.1</v>
      </c>
      <c r="S176" s="55" t="str">
        <v>Розеточная группа, пом. 008A</v>
      </c>
      <c r="T176" s="56">
        <v>0.12</v>
      </c>
      <c r="U176" s="56">
        <v>0.55000000000000004</v>
      </c>
      <c r="V176" s="42" t="str">
        <v>L1</v>
      </c>
      <c r="W176" s="57" t="str">
        <v>ok</v>
      </c>
      <c r="X176" s="58" t="str">
        <v/>
      </c>
      <c r="Y176" s="75" t="str">
        <v/>
      </c>
      <c r="Z176" s="59">
        <v>0.54696341291648753</v>
      </c>
      <c r="AA176" s="61">
        <v>16</v>
      </c>
      <c r="AB176" s="61">
        <v>25</v>
      </c>
      <c r="AC176" s="61" t="str">
        <v/>
      </c>
      <c r="AD176" s="62" t="str">
        <v>QFD15</v>
      </c>
      <c r="AE176" s="62" t="str">
        <v/>
      </c>
      <c r="AF176" s="34">
        <v>15</v>
      </c>
      <c r="AG176" s="34" t="str">
        <v>QFD15</v>
      </c>
      <c r="AH176" s="34" t="str">
        <v/>
      </c>
      <c r="AI176" s="34" t="str">
        <v/>
      </c>
      <c r="AJ176" s="34" t="str">
        <v>QFD15</v>
      </c>
      <c r="AK176" s="34">
        <v>1</v>
      </c>
      <c r="AL176" s="34" t="str">
        <v>R</v>
      </c>
      <c r="AM176" s="34">
        <v>30</v>
      </c>
      <c r="AN176" s="34">
        <v>0</v>
      </c>
      <c r="AO176" s="34">
        <v>16</v>
      </c>
      <c r="AP176" s="34">
        <v>25</v>
      </c>
      <c r="AQ176" s="34">
        <v>16</v>
      </c>
      <c r="AR176" s="34">
        <v>1</v>
      </c>
      <c r="AS176" s="34">
        <v>1</v>
      </c>
      <c r="AT176" s="34" t="str">
        <v>2P</v>
      </c>
      <c r="AU176" s="34">
        <v>16</v>
      </c>
      <c r="AV176" s="34" t="str">
        <v/>
      </c>
      <c r="AW176" s="34" t="str">
        <v/>
      </c>
      <c r="AX176" s="34" t="str">
        <v/>
      </c>
      <c r="AY176" s="34">
        <v>1</v>
      </c>
      <c r="AZ176" s="34" t="str">
        <v/>
      </c>
      <c r="BA176" s="34">
        <v>0</v>
      </c>
      <c r="BB176" s="34">
        <v>16</v>
      </c>
      <c r="BD176" s="34">
        <v>1</v>
      </c>
      <c r="BE176" s="34">
        <v>0</v>
      </c>
      <c r="BF176" s="34">
        <v>1</v>
      </c>
      <c r="BG176" s="34" t="str">
        <v/>
      </c>
      <c r="BH176" s="34" t="str">
        <v/>
      </c>
      <c r="BI176" s="34" t="str">
        <v/>
      </c>
      <c r="BJ176" s="34" t="str">
        <v/>
      </c>
      <c r="BK176" s="34" t="str">
        <v>SOCKET</v>
      </c>
      <c r="BL176" s="34">
        <v>1</v>
      </c>
      <c r="BM176" s="34" t="str">
        <v/>
      </c>
      <c r="BN176" s="34" t="str">
        <v/>
      </c>
      <c r="BO176" s="34" t="str">
        <v/>
      </c>
      <c r="BP176" s="34" t="str">
        <v/>
      </c>
      <c r="BQ176" s="34" t="str">
        <v>3х2,5</v>
      </c>
      <c r="BR176" s="34" t="str">
        <v/>
      </c>
      <c r="BS176" s="34" t="str">
        <v/>
      </c>
      <c r="BT176" s="34" t="str">
        <v/>
      </c>
      <c r="BU176" s="34">
        <v>0</v>
      </c>
      <c r="BV176" s="34">
        <v>197</v>
      </c>
      <c r="BW176" s="34">
        <v>1</v>
      </c>
      <c r="BX176" s="34">
        <v>0</v>
      </c>
      <c r="BY176" s="34" t="str">
        <v>Розетка</v>
      </c>
      <c r="BZ176">
        <v>9</v>
      </c>
      <c r="CA176" t="str">
        <v>линии</v>
      </c>
    </row>
    <row r="177" spans="1:79" x14ac:dyDescent="0.3">
      <c r="A177" s="39" t="str">
        <v>ЩР-01</v>
      </c>
      <c r="B177" s="42">
        <v>35</v>
      </c>
      <c r="C177" s="42">
        <v>3</v>
      </c>
      <c r="D177" s="75" t="str">
        <v/>
      </c>
      <c r="E177" s="75" t="str">
        <v>авто</v>
      </c>
      <c r="F177" s="76">
        <v>30</v>
      </c>
      <c r="G177" s="47" t="str">
        <v>QFD16</v>
      </c>
      <c r="H177" s="47" t="str">
        <v>2P С16А 30мА</v>
      </c>
      <c r="I177" s="75" t="str">
        <v/>
      </c>
      <c r="J177" s="76" t="str">
        <v/>
      </c>
      <c r="K177" s="76" t="str">
        <v/>
      </c>
      <c r="L177" s="75" t="str">
        <v/>
      </c>
      <c r="M177" s="49" t="str">
        <v/>
      </c>
      <c r="N177" s="76" t="str">
        <v/>
      </c>
      <c r="O177" s="49" t="str">
        <v/>
      </c>
      <c r="P177" s="77" t="str">
        <v/>
      </c>
      <c r="Q177" s="53" t="str">
        <v>ВВГнг(А)-LS (3х2,5) L=64-4,77%</v>
      </c>
      <c r="R177" s="54" t="str">
        <v>R.0.008A.2</v>
      </c>
      <c r="S177" s="55" t="str">
        <v>Розеточная группа Цокольный этаж Пом. №008A Душ виши</v>
      </c>
      <c r="T177" s="56">
        <v>2.2000000000000002</v>
      </c>
      <c r="U177" s="56">
        <v>10.029999999999999</v>
      </c>
      <c r="V177" s="42" t="str">
        <v>L1</v>
      </c>
      <c r="W177" s="57" t="str">
        <v>ok</v>
      </c>
      <c r="X177" s="58" t="str">
        <v/>
      </c>
      <c r="Y177" s="75" t="str">
        <v/>
      </c>
      <c r="Z177" s="59">
        <v>10.027662570135606</v>
      </c>
      <c r="AA177" s="61">
        <v>16</v>
      </c>
      <c r="AB177" s="61">
        <v>25</v>
      </c>
      <c r="AC177" s="61" t="str">
        <v/>
      </c>
      <c r="AD177" s="62" t="str">
        <v>QFD16</v>
      </c>
      <c r="AE177" s="62" t="str">
        <v>потери 5,2 % &gt; 4 %</v>
      </c>
      <c r="AF177" s="34">
        <v>16</v>
      </c>
      <c r="AG177" s="34" t="str">
        <v>QFD16</v>
      </c>
      <c r="AH177" s="34" t="str">
        <v/>
      </c>
      <c r="AI177" s="34" t="str">
        <v/>
      </c>
      <c r="AJ177" s="34" t="str">
        <v>QFD16</v>
      </c>
      <c r="AK177" s="34">
        <v>1</v>
      </c>
      <c r="AL177" s="34" t="str">
        <v>R</v>
      </c>
      <c r="AM177" s="34">
        <v>30</v>
      </c>
      <c r="AN177" s="34">
        <v>0</v>
      </c>
      <c r="AO177" s="34">
        <v>16</v>
      </c>
      <c r="AP177" s="34">
        <v>25</v>
      </c>
      <c r="AQ177" s="34">
        <v>16</v>
      </c>
      <c r="AR177" s="34">
        <v>1</v>
      </c>
      <c r="AS177" s="34">
        <v>1</v>
      </c>
      <c r="AT177" s="34" t="str">
        <v>2P</v>
      </c>
      <c r="AU177" s="34">
        <v>16</v>
      </c>
      <c r="AV177" s="34" t="str">
        <v/>
      </c>
      <c r="AW177" s="34" t="str">
        <v/>
      </c>
      <c r="AX177" s="34" t="str">
        <v/>
      </c>
      <c r="AY177" s="34">
        <v>1</v>
      </c>
      <c r="AZ177" s="34" t="str">
        <v/>
      </c>
      <c r="BA177" s="34">
        <v>0</v>
      </c>
      <c r="BB177" s="34">
        <v>16</v>
      </c>
      <c r="BD177" s="34">
        <v>1</v>
      </c>
      <c r="BE177" s="34">
        <v>0</v>
      </c>
      <c r="BF177" s="34">
        <v>1</v>
      </c>
      <c r="BG177" s="34" t="str">
        <v/>
      </c>
      <c r="BH177" s="34" t="str">
        <v/>
      </c>
      <c r="BI177" s="34" t="str">
        <v/>
      </c>
      <c r="BJ177" s="34" t="str">
        <v/>
      </c>
      <c r="BK177" s="34" t="str">
        <v>SOCKET</v>
      </c>
      <c r="BL177" s="34">
        <v>1</v>
      </c>
      <c r="BM177" s="34" t="str">
        <v/>
      </c>
      <c r="BN177" s="34" t="str">
        <v/>
      </c>
      <c r="BO177" s="34" t="str">
        <v/>
      </c>
      <c r="BP177" s="34" t="str">
        <v/>
      </c>
      <c r="BQ177" s="34" t="str">
        <v>3х2,5</v>
      </c>
      <c r="BR177" s="34" t="str">
        <v/>
      </c>
      <c r="BS177" s="34" t="str">
        <v/>
      </c>
      <c r="BT177" s="34" t="str">
        <v/>
      </c>
      <c r="BU177" s="34">
        <v>1</v>
      </c>
      <c r="BV177" s="34">
        <v>198</v>
      </c>
      <c r="BW177" s="34">
        <v>1</v>
      </c>
      <c r="BX177" s="34">
        <v>0</v>
      </c>
      <c r="BY177" s="34" t="str">
        <v>Розетка</v>
      </c>
      <c r="BZ177">
        <v>9</v>
      </c>
      <c r="CA177" t="str">
        <v>линии</v>
      </c>
    </row>
    <row r="178" spans="1:79" x14ac:dyDescent="0.3">
      <c r="A178" s="39" t="str">
        <v>ЩР-01</v>
      </c>
      <c r="B178" s="42">
        <v>36</v>
      </c>
      <c r="C178" s="42">
        <v>3</v>
      </c>
      <c r="D178" s="75" t="str">
        <v/>
      </c>
      <c r="E178" s="75" t="str">
        <v>авто</v>
      </c>
      <c r="F178" s="76">
        <v>30</v>
      </c>
      <c r="G178" s="47" t="str">
        <v>QFD17</v>
      </c>
      <c r="H178" s="47" t="str">
        <v>2P С16А 30мА</v>
      </c>
      <c r="I178" s="75" t="str">
        <v/>
      </c>
      <c r="J178" s="76" t="str">
        <v/>
      </c>
      <c r="K178" s="76" t="str">
        <v/>
      </c>
      <c r="L178" s="75" t="str">
        <v/>
      </c>
      <c r="M178" s="49" t="str">
        <v/>
      </c>
      <c r="N178" s="76" t="str">
        <v/>
      </c>
      <c r="O178" s="49" t="str">
        <v/>
      </c>
      <c r="P178" s="77" t="str">
        <v/>
      </c>
      <c r="Q178" s="53" t="str">
        <v>ВВГнг(А)-LS (3х2,5) L=52-0,43%</v>
      </c>
      <c r="R178" s="54" t="str">
        <v>R.0.009A.1</v>
      </c>
      <c r="S178" s="55" t="str">
        <v>Розеточная группа, пом. 009A</v>
      </c>
      <c r="T178" s="56">
        <v>0.24</v>
      </c>
      <c r="U178" s="56">
        <v>1.1000000000000001</v>
      </c>
      <c r="V178" s="42" t="str">
        <v>L2</v>
      </c>
      <c r="W178" s="57" t="str">
        <v>ok</v>
      </c>
      <c r="X178" s="58" t="str">
        <v/>
      </c>
      <c r="Y178" s="75" t="str">
        <v/>
      </c>
      <c r="Z178" s="59">
        <v>1.0939268258329751</v>
      </c>
      <c r="AA178" s="61">
        <v>16</v>
      </c>
      <c r="AB178" s="61">
        <v>25</v>
      </c>
      <c r="AC178" s="61" t="str">
        <v/>
      </c>
      <c r="AD178" s="62" t="str">
        <v>QFD17</v>
      </c>
      <c r="AE178" s="62" t="str">
        <v/>
      </c>
      <c r="AF178" s="34">
        <v>17</v>
      </c>
      <c r="AG178" s="34" t="str">
        <v>QFD17</v>
      </c>
      <c r="AH178" s="34" t="str">
        <v/>
      </c>
      <c r="AI178" s="34" t="str">
        <v/>
      </c>
      <c r="AJ178" s="34" t="str">
        <v>QFD17</v>
      </c>
      <c r="AK178" s="34">
        <v>1</v>
      </c>
      <c r="AL178" s="34" t="str">
        <v>R</v>
      </c>
      <c r="AM178" s="34">
        <v>30</v>
      </c>
      <c r="AN178" s="34">
        <v>0</v>
      </c>
      <c r="AO178" s="34">
        <v>16</v>
      </c>
      <c r="AP178" s="34">
        <v>25</v>
      </c>
      <c r="AQ178" s="34">
        <v>16</v>
      </c>
      <c r="AR178" s="34">
        <v>1</v>
      </c>
      <c r="AS178" s="34">
        <v>1</v>
      </c>
      <c r="AT178" s="34" t="str">
        <v>2P</v>
      </c>
      <c r="AU178" s="34">
        <v>16</v>
      </c>
      <c r="AV178" s="34" t="str">
        <v/>
      </c>
      <c r="AW178" s="34" t="str">
        <v/>
      </c>
      <c r="AX178" s="34" t="str">
        <v/>
      </c>
      <c r="AY178" s="34">
        <v>1</v>
      </c>
      <c r="AZ178" s="34" t="str">
        <v/>
      </c>
      <c r="BA178" s="34">
        <v>0</v>
      </c>
      <c r="BB178" s="34">
        <v>16</v>
      </c>
      <c r="BD178" s="34">
        <v>1</v>
      </c>
      <c r="BE178" s="34">
        <v>0</v>
      </c>
      <c r="BF178" s="34">
        <v>1</v>
      </c>
      <c r="BG178" s="34" t="str">
        <v/>
      </c>
      <c r="BH178" s="34" t="str">
        <v/>
      </c>
      <c r="BI178" s="34" t="str">
        <v/>
      </c>
      <c r="BJ178" s="34" t="str">
        <v/>
      </c>
      <c r="BK178" s="34" t="str">
        <v>SOCKET</v>
      </c>
      <c r="BL178" s="34">
        <v>1</v>
      </c>
      <c r="BM178" s="34" t="str">
        <v/>
      </c>
      <c r="BN178" s="34" t="str">
        <v/>
      </c>
      <c r="BO178" s="34" t="str">
        <v/>
      </c>
      <c r="BP178" s="34" t="str">
        <v/>
      </c>
      <c r="BQ178" s="34" t="str">
        <v>3х2,5</v>
      </c>
      <c r="BR178" s="34" t="str">
        <v/>
      </c>
      <c r="BS178" s="34" t="str">
        <v/>
      </c>
      <c r="BT178" s="34" t="str">
        <v/>
      </c>
      <c r="BU178" s="34">
        <v>0</v>
      </c>
      <c r="BV178" s="34">
        <v>199</v>
      </c>
      <c r="BW178" s="34">
        <v>1</v>
      </c>
      <c r="BX178" s="34">
        <v>0</v>
      </c>
      <c r="BY178" s="34" t="str">
        <v>Розетка</v>
      </c>
      <c r="BZ178">
        <v>9</v>
      </c>
      <c r="CA178" t="str">
        <v>линии</v>
      </c>
    </row>
    <row r="179" spans="1:79" x14ac:dyDescent="0.3">
      <c r="A179" s="39" t="str">
        <v>ЩР-01</v>
      </c>
      <c r="B179" s="42">
        <v>37</v>
      </c>
      <c r="C179" s="42">
        <v>3</v>
      </c>
      <c r="D179" s="75" t="str">
        <v/>
      </c>
      <c r="E179" s="75" t="str">
        <v>авто</v>
      </c>
      <c r="F179" s="76">
        <v>30</v>
      </c>
      <c r="G179" s="47" t="str">
        <v>QFD18</v>
      </c>
      <c r="H179" s="47" t="str">
        <v>2P С16А 30мА</v>
      </c>
      <c r="I179" s="75" t="str">
        <v/>
      </c>
      <c r="J179" s="76" t="str">
        <v/>
      </c>
      <c r="K179" s="76" t="str">
        <v/>
      </c>
      <c r="L179" s="75" t="str">
        <v/>
      </c>
      <c r="M179" s="49" t="str">
        <v/>
      </c>
      <c r="N179" s="76" t="str">
        <v/>
      </c>
      <c r="O179" s="49" t="str">
        <v/>
      </c>
      <c r="P179" s="77" t="str">
        <v/>
      </c>
      <c r="Q179" s="53" t="str">
        <v>ВВГнг(А)-LS (3х2,5) L=59-0,72%</v>
      </c>
      <c r="R179" s="54" t="str">
        <v>R.0.009A.2</v>
      </c>
      <c r="S179" s="55" t="str">
        <v>Розеточная группа, пом. 009A</v>
      </c>
      <c r="T179" s="56">
        <v>0.36</v>
      </c>
      <c r="U179" s="56">
        <v>1.65</v>
      </c>
      <c r="V179" s="42" t="str">
        <v>L3</v>
      </c>
      <c r="W179" s="57" t="str">
        <v>ok</v>
      </c>
      <c r="X179" s="58" t="str">
        <v/>
      </c>
      <c r="Y179" s="75" t="str">
        <v/>
      </c>
      <c r="Z179" s="59">
        <v>1.6408902387494626</v>
      </c>
      <c r="AA179" s="61">
        <v>16</v>
      </c>
      <c r="AB179" s="61">
        <v>25</v>
      </c>
      <c r="AC179" s="61" t="str">
        <v/>
      </c>
      <c r="AD179" s="62" t="str">
        <v>QFD18</v>
      </c>
      <c r="AE179" s="62" t="str">
        <v/>
      </c>
      <c r="AF179" s="34">
        <v>18</v>
      </c>
      <c r="AG179" s="34" t="str">
        <v>QFD18</v>
      </c>
      <c r="AH179" s="34" t="str">
        <v/>
      </c>
      <c r="AI179" s="34" t="str">
        <v/>
      </c>
      <c r="AJ179" s="34" t="str">
        <v>QFD18</v>
      </c>
      <c r="AK179" s="34">
        <v>1</v>
      </c>
      <c r="AL179" s="34" t="str">
        <v>R</v>
      </c>
      <c r="AM179" s="34">
        <v>30</v>
      </c>
      <c r="AN179" s="34">
        <v>0</v>
      </c>
      <c r="AO179" s="34">
        <v>16</v>
      </c>
      <c r="AP179" s="34">
        <v>25</v>
      </c>
      <c r="AQ179" s="34">
        <v>16</v>
      </c>
      <c r="AR179" s="34">
        <v>1</v>
      </c>
      <c r="AS179" s="34">
        <v>1</v>
      </c>
      <c r="AT179" s="34" t="str">
        <v>2P</v>
      </c>
      <c r="AU179" s="34">
        <v>16</v>
      </c>
      <c r="AV179" s="34" t="str">
        <v/>
      </c>
      <c r="AW179" s="34" t="str">
        <v/>
      </c>
      <c r="AX179" s="34" t="str">
        <v/>
      </c>
      <c r="AY179" s="34">
        <v>1</v>
      </c>
      <c r="AZ179" s="34" t="str">
        <v/>
      </c>
      <c r="BA179" s="34">
        <v>0</v>
      </c>
      <c r="BB179" s="34">
        <v>16</v>
      </c>
      <c r="BD179" s="34">
        <v>1</v>
      </c>
      <c r="BE179" s="34">
        <v>0</v>
      </c>
      <c r="BF179" s="34">
        <v>1</v>
      </c>
      <c r="BG179" s="34" t="str">
        <v/>
      </c>
      <c r="BH179" s="34" t="str">
        <v/>
      </c>
      <c r="BI179" s="34" t="str">
        <v/>
      </c>
      <c r="BJ179" s="34" t="str">
        <v/>
      </c>
      <c r="BK179" s="34" t="str">
        <v>SOCKET</v>
      </c>
      <c r="BL179" s="34">
        <v>1</v>
      </c>
      <c r="BM179" s="34" t="str">
        <v/>
      </c>
      <c r="BN179" s="34" t="str">
        <v/>
      </c>
      <c r="BO179" s="34" t="str">
        <v/>
      </c>
      <c r="BP179" s="34" t="str">
        <v/>
      </c>
      <c r="BQ179" s="34" t="str">
        <v>3х2,5</v>
      </c>
      <c r="BR179" s="34" t="str">
        <v/>
      </c>
      <c r="BS179" s="34" t="str">
        <v/>
      </c>
      <c r="BT179" s="34" t="str">
        <v/>
      </c>
      <c r="BU179" s="34">
        <v>0</v>
      </c>
      <c r="BV179" s="34">
        <v>200</v>
      </c>
      <c r="BW179" s="34">
        <v>1</v>
      </c>
      <c r="BX179" s="34">
        <v>0</v>
      </c>
      <c r="BY179" s="34" t="str">
        <v>Розетка</v>
      </c>
      <c r="BZ179">
        <v>9</v>
      </c>
      <c r="CA179" t="str">
        <v>линии</v>
      </c>
    </row>
    <row r="180" spans="1:79" x14ac:dyDescent="0.3">
      <c r="A180" s="39" t="str">
        <v>ЩР-01</v>
      </c>
      <c r="B180" s="42">
        <v>38</v>
      </c>
      <c r="C180" s="42">
        <v>3</v>
      </c>
      <c r="D180" s="75" t="str">
        <v/>
      </c>
      <c r="E180" s="75" t="str">
        <v>авто</v>
      </c>
      <c r="F180" s="76">
        <v>30</v>
      </c>
      <c r="G180" s="47" t="str">
        <v>QFD19</v>
      </c>
      <c r="H180" s="47" t="str">
        <v>2P С16А 30мА</v>
      </c>
      <c r="I180" s="75" t="str">
        <v/>
      </c>
      <c r="J180" s="76" t="str">
        <v/>
      </c>
      <c r="K180" s="76" t="str">
        <v/>
      </c>
      <c r="L180" s="75" t="str">
        <v/>
      </c>
      <c r="M180" s="49" t="str">
        <v/>
      </c>
      <c r="N180" s="76" t="str">
        <v/>
      </c>
      <c r="O180" s="49" t="str">
        <v/>
      </c>
      <c r="P180" s="77" t="str">
        <v/>
      </c>
      <c r="Q180" s="53" t="str">
        <v>ВВГнг(А)-LS (3х2,5) L=30-0,07%</v>
      </c>
      <c r="R180" s="54" t="str">
        <v>R.0.010A.1</v>
      </c>
      <c r="S180" s="55" t="str">
        <v>Розеточная группа, пом. 010A</v>
      </c>
      <c r="T180" s="56">
        <v>0.06</v>
      </c>
      <c r="U180" s="56">
        <v>0.28000000000000003</v>
      </c>
      <c r="V180" s="42" t="str">
        <v>L3</v>
      </c>
      <c r="W180" s="57" t="str">
        <v>ok</v>
      </c>
      <c r="X180" s="58" t="str">
        <v/>
      </c>
      <c r="Y180" s="75" t="str">
        <v/>
      </c>
      <c r="Z180" s="59">
        <v>0.27348170645824377</v>
      </c>
      <c r="AA180" s="61">
        <v>16</v>
      </c>
      <c r="AB180" s="61">
        <v>25</v>
      </c>
      <c r="AC180" s="61" t="str">
        <v/>
      </c>
      <c r="AD180" s="62" t="str">
        <v>QFD19</v>
      </c>
      <c r="AE180" s="62" t="str">
        <v/>
      </c>
      <c r="AF180" s="34">
        <v>19</v>
      </c>
      <c r="AG180" s="34" t="str">
        <v>QFD19</v>
      </c>
      <c r="AH180" s="34" t="str">
        <v/>
      </c>
      <c r="AI180" s="34" t="str">
        <v/>
      </c>
      <c r="AJ180" s="34" t="str">
        <v>QFD19</v>
      </c>
      <c r="AK180" s="34">
        <v>1</v>
      </c>
      <c r="AL180" s="34" t="str">
        <v>R</v>
      </c>
      <c r="AM180" s="34">
        <v>30</v>
      </c>
      <c r="AN180" s="34">
        <v>0</v>
      </c>
      <c r="AO180" s="34">
        <v>16</v>
      </c>
      <c r="AP180" s="34">
        <v>25</v>
      </c>
      <c r="AQ180" s="34">
        <v>16</v>
      </c>
      <c r="AR180" s="34">
        <v>1</v>
      </c>
      <c r="AS180" s="34">
        <v>1</v>
      </c>
      <c r="AT180" s="34" t="str">
        <v>2P</v>
      </c>
      <c r="AU180" s="34">
        <v>16</v>
      </c>
      <c r="AV180" s="34" t="str">
        <v/>
      </c>
      <c r="AW180" s="34" t="str">
        <v/>
      </c>
      <c r="AX180" s="34" t="str">
        <v/>
      </c>
      <c r="AY180" s="34">
        <v>1</v>
      </c>
      <c r="AZ180" s="34" t="str">
        <v/>
      </c>
      <c r="BA180" s="34">
        <v>0</v>
      </c>
      <c r="BB180" s="34">
        <v>16</v>
      </c>
      <c r="BD180" s="34">
        <v>1</v>
      </c>
      <c r="BE180" s="34">
        <v>0</v>
      </c>
      <c r="BF180" s="34">
        <v>1</v>
      </c>
      <c r="BG180" s="34" t="str">
        <v/>
      </c>
      <c r="BH180" s="34" t="str">
        <v/>
      </c>
      <c r="BI180" s="34" t="str">
        <v/>
      </c>
      <c r="BJ180" s="34" t="str">
        <v/>
      </c>
      <c r="BK180" s="34" t="str">
        <v>SOCKET</v>
      </c>
      <c r="BL180" s="34">
        <v>1</v>
      </c>
      <c r="BM180" s="34" t="str">
        <v/>
      </c>
      <c r="BN180" s="34" t="str">
        <v/>
      </c>
      <c r="BO180" s="34" t="str">
        <v/>
      </c>
      <c r="BP180" s="34" t="str">
        <v/>
      </c>
      <c r="BQ180" s="34" t="str">
        <v>3х2,5</v>
      </c>
      <c r="BR180" s="34" t="str">
        <v/>
      </c>
      <c r="BS180" s="34" t="str">
        <v/>
      </c>
      <c r="BT180" s="34" t="str">
        <v/>
      </c>
      <c r="BU180" s="34">
        <v>0</v>
      </c>
      <c r="BV180" s="34">
        <v>201</v>
      </c>
      <c r="BW180" s="34">
        <v>1</v>
      </c>
      <c r="BX180" s="34">
        <v>0</v>
      </c>
      <c r="BY180" s="34" t="str">
        <v>Розетка</v>
      </c>
      <c r="BZ180">
        <v>9</v>
      </c>
      <c r="CA180" t="str">
        <v>линии</v>
      </c>
    </row>
    <row r="181" spans="1:79" x14ac:dyDescent="0.3">
      <c r="A181" s="39" t="str">
        <v>ЩР-01</v>
      </c>
      <c r="B181" s="42">
        <v>39</v>
      </c>
      <c r="C181" s="42">
        <v>3</v>
      </c>
      <c r="D181" s="75" t="str">
        <v/>
      </c>
      <c r="E181" s="75" t="str">
        <v>авто</v>
      </c>
      <c r="F181" s="76">
        <v>30</v>
      </c>
      <c r="G181" s="47" t="str">
        <v>QFD20</v>
      </c>
      <c r="H181" s="47" t="str">
        <v>2P С16А 30мА</v>
      </c>
      <c r="I181" s="75" t="str">
        <v/>
      </c>
      <c r="J181" s="76" t="str">
        <v/>
      </c>
      <c r="K181" s="76" t="str">
        <v/>
      </c>
      <c r="L181" s="75" t="str">
        <v/>
      </c>
      <c r="M181" s="49" t="str">
        <v/>
      </c>
      <c r="N181" s="76" t="str">
        <v/>
      </c>
      <c r="O181" s="49" t="str">
        <v/>
      </c>
      <c r="P181" s="77" t="str">
        <v/>
      </c>
      <c r="Q181" s="53" t="str">
        <v>ВВГнг(А)-LS (3х2,5) L=25-0,06%</v>
      </c>
      <c r="R181" s="54" t="str">
        <v>R.0.011.1A</v>
      </c>
      <c r="S181" s="55" t="str">
        <v>Розеточная группа, пом. 011</v>
      </c>
      <c r="T181" s="56">
        <v>0.06</v>
      </c>
      <c r="U181" s="56">
        <v>0.28000000000000003</v>
      </c>
      <c r="V181" s="42" t="str">
        <v>L1</v>
      </c>
      <c r="W181" s="57" t="str">
        <v>ok</v>
      </c>
      <c r="X181" s="58" t="str">
        <v/>
      </c>
      <c r="Y181" s="75" t="str">
        <v/>
      </c>
      <c r="Z181" s="59">
        <v>0.27348170645824377</v>
      </c>
      <c r="AA181" s="61">
        <v>16</v>
      </c>
      <c r="AB181" s="61">
        <v>25</v>
      </c>
      <c r="AC181" s="61" t="str">
        <v/>
      </c>
      <c r="AD181" s="62" t="str">
        <v>QFD20</v>
      </c>
      <c r="AE181" s="62" t="str">
        <v/>
      </c>
      <c r="AF181" s="34">
        <v>20</v>
      </c>
      <c r="AG181" s="34" t="str">
        <v>QFD20</v>
      </c>
      <c r="AH181" s="34" t="str">
        <v/>
      </c>
      <c r="AI181" s="34" t="str">
        <v/>
      </c>
      <c r="AJ181" s="34" t="str">
        <v>QFD20</v>
      </c>
      <c r="AK181" s="34">
        <v>1</v>
      </c>
      <c r="AL181" s="34" t="str">
        <v>R</v>
      </c>
      <c r="AM181" s="34">
        <v>30</v>
      </c>
      <c r="AN181" s="34">
        <v>0</v>
      </c>
      <c r="AO181" s="34">
        <v>16</v>
      </c>
      <c r="AP181" s="34">
        <v>25</v>
      </c>
      <c r="AQ181" s="34">
        <v>16</v>
      </c>
      <c r="AR181" s="34">
        <v>1</v>
      </c>
      <c r="AS181" s="34">
        <v>1</v>
      </c>
      <c r="AT181" s="34" t="str">
        <v>2P</v>
      </c>
      <c r="AU181" s="34">
        <v>16</v>
      </c>
      <c r="AV181" s="34" t="str">
        <v/>
      </c>
      <c r="AW181" s="34" t="str">
        <v/>
      </c>
      <c r="AX181" s="34" t="str">
        <v/>
      </c>
      <c r="AY181" s="34">
        <v>1</v>
      </c>
      <c r="AZ181" s="34" t="str">
        <v/>
      </c>
      <c r="BA181" s="34">
        <v>0</v>
      </c>
      <c r="BB181" s="34">
        <v>16</v>
      </c>
      <c r="BD181" s="34">
        <v>1</v>
      </c>
      <c r="BE181" s="34">
        <v>0</v>
      </c>
      <c r="BF181" s="34">
        <v>1</v>
      </c>
      <c r="BG181" s="34" t="str">
        <v/>
      </c>
      <c r="BH181" s="34" t="str">
        <v/>
      </c>
      <c r="BI181" s="34" t="str">
        <v/>
      </c>
      <c r="BJ181" s="34" t="str">
        <v/>
      </c>
      <c r="BK181" s="34" t="str">
        <v>SOCKET</v>
      </c>
      <c r="BL181" s="34">
        <v>1</v>
      </c>
      <c r="BM181" s="34" t="str">
        <v/>
      </c>
      <c r="BN181" s="34" t="str">
        <v/>
      </c>
      <c r="BO181" s="34" t="str">
        <v/>
      </c>
      <c r="BP181" s="34" t="str">
        <v/>
      </c>
      <c r="BQ181" s="34" t="str">
        <v>3х2,5</v>
      </c>
      <c r="BR181" s="34" t="str">
        <v/>
      </c>
      <c r="BS181" s="34" t="str">
        <v/>
      </c>
      <c r="BT181" s="34" t="str">
        <v/>
      </c>
      <c r="BU181" s="34">
        <v>0</v>
      </c>
      <c r="BV181" s="34">
        <v>202</v>
      </c>
      <c r="BW181" s="34">
        <v>1</v>
      </c>
      <c r="BX181" s="34">
        <v>0</v>
      </c>
      <c r="BY181" s="34" t="str">
        <v>Розетка</v>
      </c>
      <c r="BZ181">
        <v>9</v>
      </c>
      <c r="CA181" t="str">
        <v>линии</v>
      </c>
    </row>
    <row r="182" spans="1:79" x14ac:dyDescent="0.3">
      <c r="A182" s="39" t="str">
        <v>ЩР-01</v>
      </c>
      <c r="B182" s="42">
        <v>40</v>
      </c>
      <c r="C182" s="42">
        <v>3</v>
      </c>
      <c r="D182" s="75" t="str">
        <v/>
      </c>
      <c r="E182" s="75" t="str">
        <v>авто</v>
      </c>
      <c r="F182" s="76">
        <v>30</v>
      </c>
      <c r="G182" s="47" t="str">
        <v>QFD21</v>
      </c>
      <c r="H182" s="47" t="str">
        <v>2P С16А 30мА</v>
      </c>
      <c r="I182" s="75" t="str">
        <v/>
      </c>
      <c r="J182" s="76" t="str">
        <v/>
      </c>
      <c r="K182" s="76" t="str">
        <v/>
      </c>
      <c r="L182" s="75" t="str">
        <v/>
      </c>
      <c r="M182" s="49" t="str">
        <v/>
      </c>
      <c r="N182" s="76" t="str">
        <v/>
      </c>
      <c r="O182" s="49" t="str">
        <v/>
      </c>
      <c r="P182" s="77" t="str">
        <v/>
      </c>
      <c r="Q182" s="53" t="str">
        <v>ВВГнг(А)-LS (3х2,5) L=31-0,07%</v>
      </c>
      <c r="R182" s="54" t="str">
        <v>R.0.011Б.1</v>
      </c>
      <c r="S182" s="55" t="str">
        <v>Розеточная группа, пом. 011Б</v>
      </c>
      <c r="T182" s="56">
        <v>0.06</v>
      </c>
      <c r="U182" s="56">
        <v>0.28000000000000003</v>
      </c>
      <c r="V182" s="42" t="str">
        <v>L2</v>
      </c>
      <c r="W182" s="57" t="str">
        <v>ok</v>
      </c>
      <c r="X182" s="58" t="str">
        <v/>
      </c>
      <c r="Y182" s="75" t="str">
        <v/>
      </c>
      <c r="Z182" s="59">
        <v>0.27348170645824377</v>
      </c>
      <c r="AA182" s="61">
        <v>16</v>
      </c>
      <c r="AB182" s="61">
        <v>25</v>
      </c>
      <c r="AC182" s="61" t="str">
        <v/>
      </c>
      <c r="AD182" s="62" t="str">
        <v>QFD21</v>
      </c>
      <c r="AE182" s="62" t="str">
        <v/>
      </c>
      <c r="AF182" s="34">
        <v>21</v>
      </c>
      <c r="AG182" s="34" t="str">
        <v>QFD21</v>
      </c>
      <c r="AH182" s="34" t="str">
        <v/>
      </c>
      <c r="AI182" s="34" t="str">
        <v/>
      </c>
      <c r="AJ182" s="34" t="str">
        <v>QFD21</v>
      </c>
      <c r="AK182" s="34">
        <v>1</v>
      </c>
      <c r="AL182" s="34" t="str">
        <v>R</v>
      </c>
      <c r="AM182" s="34">
        <v>30</v>
      </c>
      <c r="AN182" s="34">
        <v>0</v>
      </c>
      <c r="AO182" s="34">
        <v>16</v>
      </c>
      <c r="AP182" s="34">
        <v>25</v>
      </c>
      <c r="AQ182" s="34">
        <v>16</v>
      </c>
      <c r="AR182" s="34">
        <v>1</v>
      </c>
      <c r="AS182" s="34">
        <v>1</v>
      </c>
      <c r="AT182" s="34" t="str">
        <v>2P</v>
      </c>
      <c r="AU182" s="34">
        <v>16</v>
      </c>
      <c r="AV182" s="34" t="str">
        <v/>
      </c>
      <c r="AW182" s="34" t="str">
        <v/>
      </c>
      <c r="AX182" s="34" t="str">
        <v/>
      </c>
      <c r="AY182" s="34">
        <v>1</v>
      </c>
      <c r="AZ182" s="34" t="str">
        <v/>
      </c>
      <c r="BA182" s="34">
        <v>0</v>
      </c>
      <c r="BB182" s="34">
        <v>16</v>
      </c>
      <c r="BD182" s="34">
        <v>1</v>
      </c>
      <c r="BE182" s="34">
        <v>0</v>
      </c>
      <c r="BF182" s="34">
        <v>1</v>
      </c>
      <c r="BG182" s="34" t="str">
        <v/>
      </c>
      <c r="BH182" s="34" t="str">
        <v/>
      </c>
      <c r="BI182" s="34" t="str">
        <v/>
      </c>
      <c r="BJ182" s="34" t="str">
        <v/>
      </c>
      <c r="BK182" s="34" t="str">
        <v>SOCKET</v>
      </c>
      <c r="BL182" s="34">
        <v>1</v>
      </c>
      <c r="BM182" s="34" t="str">
        <v/>
      </c>
      <c r="BN182" s="34" t="str">
        <v/>
      </c>
      <c r="BO182" s="34" t="str">
        <v/>
      </c>
      <c r="BP182" s="34" t="str">
        <v/>
      </c>
      <c r="BQ182" s="34" t="str">
        <v>3х2,5</v>
      </c>
      <c r="BR182" s="34" t="str">
        <v/>
      </c>
      <c r="BS182" s="34" t="str">
        <v/>
      </c>
      <c r="BT182" s="34" t="str">
        <v/>
      </c>
      <c r="BU182" s="34">
        <v>0</v>
      </c>
      <c r="BV182" s="34">
        <v>203</v>
      </c>
      <c r="BW182" s="34">
        <v>1</v>
      </c>
      <c r="BX182" s="34">
        <v>0</v>
      </c>
      <c r="BY182" s="34" t="str">
        <v>Розетка</v>
      </c>
      <c r="BZ182">
        <v>9</v>
      </c>
      <c r="CA182" t="str">
        <v>линии</v>
      </c>
    </row>
    <row r="183" spans="1:79" x14ac:dyDescent="0.3">
      <c r="A183" s="39" t="str">
        <v>ЩР-01</v>
      </c>
      <c r="B183" s="42">
        <v>41</v>
      </c>
      <c r="C183" s="42">
        <v>3</v>
      </c>
      <c r="D183" s="75" t="str">
        <v/>
      </c>
      <c r="E183" s="75" t="str">
        <v>авто</v>
      </c>
      <c r="F183" s="76">
        <v>30</v>
      </c>
      <c r="G183" s="47" t="str">
        <v>QFD22</v>
      </c>
      <c r="H183" s="47" t="str">
        <v>2P С16А 30мА</v>
      </c>
      <c r="I183" s="75" t="str">
        <v/>
      </c>
      <c r="J183" s="76" t="str">
        <v/>
      </c>
      <c r="K183" s="76" t="str">
        <v/>
      </c>
      <c r="L183" s="75" t="str">
        <v/>
      </c>
      <c r="M183" s="49" t="str">
        <v/>
      </c>
      <c r="N183" s="76" t="str">
        <v/>
      </c>
      <c r="O183" s="49" t="str">
        <v/>
      </c>
      <c r="P183" s="77" t="str">
        <v/>
      </c>
      <c r="Q183" s="53" t="str">
        <v>ВВГнг(А)-LS (3х2,5) L=79-0,81%</v>
      </c>
      <c r="R183" s="54" t="str">
        <v>R.0.012A.1</v>
      </c>
      <c r="S183" s="55" t="str">
        <v>Розеточная группа, пом. 012A</v>
      </c>
      <c r="T183" s="56">
        <v>0.3</v>
      </c>
      <c r="U183" s="56">
        <v>1.37</v>
      </c>
      <c r="V183" s="42" t="str">
        <v>L3</v>
      </c>
      <c r="W183" s="57" t="str">
        <v>ok</v>
      </c>
      <c r="X183" s="58" t="str">
        <v/>
      </c>
      <c r="Y183" s="75" t="str">
        <v/>
      </c>
      <c r="Z183" s="59">
        <v>1.3674085322912188</v>
      </c>
      <c r="AA183" s="61">
        <v>16</v>
      </c>
      <c r="AB183" s="61">
        <v>25</v>
      </c>
      <c r="AC183" s="61" t="str">
        <v/>
      </c>
      <c r="AD183" s="62" t="str">
        <v>QFD22</v>
      </c>
      <c r="AE183" s="62" t="str">
        <v/>
      </c>
      <c r="AF183" s="34">
        <v>22</v>
      </c>
      <c r="AG183" s="34" t="str">
        <v>QFD22</v>
      </c>
      <c r="AH183" s="34" t="str">
        <v/>
      </c>
      <c r="AI183" s="34" t="str">
        <v/>
      </c>
      <c r="AJ183" s="34" t="str">
        <v>QFD22</v>
      </c>
      <c r="AK183" s="34">
        <v>1</v>
      </c>
      <c r="AL183" s="34" t="str">
        <v>R</v>
      </c>
      <c r="AM183" s="34">
        <v>30</v>
      </c>
      <c r="AN183" s="34">
        <v>0</v>
      </c>
      <c r="AO183" s="34">
        <v>16</v>
      </c>
      <c r="AP183" s="34">
        <v>25</v>
      </c>
      <c r="AQ183" s="34">
        <v>16</v>
      </c>
      <c r="AR183" s="34">
        <v>1</v>
      </c>
      <c r="AS183" s="34">
        <v>1</v>
      </c>
      <c r="AT183" s="34" t="str">
        <v>2P</v>
      </c>
      <c r="AU183" s="34">
        <v>16</v>
      </c>
      <c r="AV183" s="34" t="str">
        <v/>
      </c>
      <c r="AW183" s="34" t="str">
        <v/>
      </c>
      <c r="AX183" s="34" t="str">
        <v/>
      </c>
      <c r="AY183" s="34">
        <v>1</v>
      </c>
      <c r="AZ183" s="34" t="str">
        <v/>
      </c>
      <c r="BA183" s="34">
        <v>0</v>
      </c>
      <c r="BB183" s="34">
        <v>16</v>
      </c>
      <c r="BD183" s="34">
        <v>1</v>
      </c>
      <c r="BE183" s="34">
        <v>0</v>
      </c>
      <c r="BF183" s="34">
        <v>1</v>
      </c>
      <c r="BG183" s="34" t="str">
        <v/>
      </c>
      <c r="BH183" s="34" t="str">
        <v/>
      </c>
      <c r="BI183" s="34" t="str">
        <v/>
      </c>
      <c r="BJ183" s="34" t="str">
        <v/>
      </c>
      <c r="BK183" s="34" t="str">
        <v>SOCKET</v>
      </c>
      <c r="BL183" s="34">
        <v>1</v>
      </c>
      <c r="BM183" s="34" t="str">
        <v/>
      </c>
      <c r="BN183" s="34" t="str">
        <v/>
      </c>
      <c r="BO183" s="34" t="str">
        <v/>
      </c>
      <c r="BP183" s="34" t="str">
        <v/>
      </c>
      <c r="BQ183" s="34" t="str">
        <v>3х2,5</v>
      </c>
      <c r="BR183" s="34" t="str">
        <v/>
      </c>
      <c r="BS183" s="34" t="str">
        <v/>
      </c>
      <c r="BT183" s="34" t="str">
        <v/>
      </c>
      <c r="BU183" s="34">
        <v>0</v>
      </c>
      <c r="BV183" s="34">
        <v>204</v>
      </c>
      <c r="BW183" s="34">
        <v>1</v>
      </c>
      <c r="BX183" s="34">
        <v>0</v>
      </c>
      <c r="BY183" s="34" t="str">
        <v>Розетка</v>
      </c>
      <c r="BZ183">
        <v>9</v>
      </c>
      <c r="CA183" t="str">
        <v>линии</v>
      </c>
    </row>
    <row r="184" spans="1:79" x14ac:dyDescent="0.3">
      <c r="A184" s="39" t="str">
        <v>ЩР-01</v>
      </c>
      <c r="B184" s="42">
        <v>42</v>
      </c>
      <c r="C184" s="42">
        <v>3</v>
      </c>
      <c r="D184" s="75" t="str">
        <v/>
      </c>
      <c r="E184" s="75" t="str">
        <v>авто</v>
      </c>
      <c r="F184" s="76">
        <v>30</v>
      </c>
      <c r="G184" s="47" t="str">
        <v>QFD23</v>
      </c>
      <c r="H184" s="47" t="str">
        <v>2P С16А 30мА</v>
      </c>
      <c r="I184" s="75" t="str">
        <v/>
      </c>
      <c r="J184" s="76" t="str">
        <v/>
      </c>
      <c r="K184" s="76" t="str">
        <v/>
      </c>
      <c r="L184" s="75" t="str">
        <v/>
      </c>
      <c r="M184" s="49" t="str">
        <v/>
      </c>
      <c r="N184" s="76" t="str">
        <v/>
      </c>
      <c r="O184" s="49" t="str">
        <v/>
      </c>
      <c r="P184" s="77" t="str">
        <v/>
      </c>
      <c r="Q184" s="53" t="str">
        <v>ВВГнг(А)-LS (3х2,5) L=63-0,26%</v>
      </c>
      <c r="R184" s="54" t="str">
        <v>R.0.013A.1</v>
      </c>
      <c r="S184" s="55" t="str">
        <v>Розеточная группа, пом. 013A</v>
      </c>
      <c r="T184" s="56">
        <v>0.12</v>
      </c>
      <c r="U184" s="56">
        <v>0.55000000000000004</v>
      </c>
      <c r="V184" s="42" t="str">
        <v>L3</v>
      </c>
      <c r="W184" s="57" t="str">
        <v>ok</v>
      </c>
      <c r="X184" s="58" t="str">
        <v/>
      </c>
      <c r="Y184" s="75" t="str">
        <v/>
      </c>
      <c r="Z184" s="59">
        <v>0.54696341291648753</v>
      </c>
      <c r="AA184" s="61">
        <v>16</v>
      </c>
      <c r="AB184" s="61">
        <v>25</v>
      </c>
      <c r="AC184" s="61" t="str">
        <v/>
      </c>
      <c r="AD184" s="62" t="str">
        <v>QFD23</v>
      </c>
      <c r="AE184" s="62" t="str">
        <v/>
      </c>
      <c r="AF184" s="34">
        <v>23</v>
      </c>
      <c r="AG184" s="34" t="str">
        <v>QFD23</v>
      </c>
      <c r="AH184" s="34" t="str">
        <v/>
      </c>
      <c r="AI184" s="34" t="str">
        <v/>
      </c>
      <c r="AJ184" s="34" t="str">
        <v>QFD23</v>
      </c>
      <c r="AK184" s="34">
        <v>1</v>
      </c>
      <c r="AL184" s="34" t="str">
        <v>R</v>
      </c>
      <c r="AM184" s="34">
        <v>30</v>
      </c>
      <c r="AN184" s="34">
        <v>0</v>
      </c>
      <c r="AO184" s="34">
        <v>16</v>
      </c>
      <c r="AP184" s="34">
        <v>25</v>
      </c>
      <c r="AQ184" s="34">
        <v>16</v>
      </c>
      <c r="AR184" s="34">
        <v>1</v>
      </c>
      <c r="AS184" s="34">
        <v>1</v>
      </c>
      <c r="AT184" s="34" t="str">
        <v>2P</v>
      </c>
      <c r="AU184" s="34">
        <v>16</v>
      </c>
      <c r="AV184" s="34" t="str">
        <v/>
      </c>
      <c r="AW184" s="34" t="str">
        <v/>
      </c>
      <c r="AX184" s="34" t="str">
        <v/>
      </c>
      <c r="AY184" s="34">
        <v>1</v>
      </c>
      <c r="AZ184" s="34" t="str">
        <v/>
      </c>
      <c r="BA184" s="34">
        <v>0</v>
      </c>
      <c r="BB184" s="34">
        <v>16</v>
      </c>
      <c r="BD184" s="34">
        <v>1</v>
      </c>
      <c r="BE184" s="34">
        <v>0</v>
      </c>
      <c r="BF184" s="34">
        <v>1</v>
      </c>
      <c r="BG184" s="34" t="str">
        <v/>
      </c>
      <c r="BH184" s="34" t="str">
        <v/>
      </c>
      <c r="BI184" s="34" t="str">
        <v/>
      </c>
      <c r="BJ184" s="34" t="str">
        <v/>
      </c>
      <c r="BK184" s="34" t="str">
        <v>SOCKET</v>
      </c>
      <c r="BL184" s="34">
        <v>1</v>
      </c>
      <c r="BM184" s="34" t="str">
        <v/>
      </c>
      <c r="BN184" s="34" t="str">
        <v/>
      </c>
      <c r="BO184" s="34" t="str">
        <v/>
      </c>
      <c r="BP184" s="34" t="str">
        <v/>
      </c>
      <c r="BQ184" s="34" t="str">
        <v>3х2,5</v>
      </c>
      <c r="BR184" s="34" t="str">
        <v/>
      </c>
      <c r="BS184" s="34" t="str">
        <v/>
      </c>
      <c r="BT184" s="34" t="str">
        <v/>
      </c>
      <c r="BU184" s="34">
        <v>0</v>
      </c>
      <c r="BV184" s="34">
        <v>205</v>
      </c>
      <c r="BW184" s="34">
        <v>1</v>
      </c>
      <c r="BX184" s="34">
        <v>0</v>
      </c>
      <c r="BY184" s="34" t="str">
        <v>Розетка</v>
      </c>
      <c r="BZ184">
        <v>9</v>
      </c>
      <c r="CA184" t="str">
        <v>линии</v>
      </c>
    </row>
    <row r="185" spans="1:79" x14ac:dyDescent="0.3">
      <c r="A185" s="39" t="str">
        <v>ЩР-01</v>
      </c>
      <c r="B185" s="42">
        <v>45</v>
      </c>
      <c r="C185" s="42">
        <v>3</v>
      </c>
      <c r="D185" s="75" t="str">
        <v/>
      </c>
      <c r="E185" s="75" t="str">
        <v>авто</v>
      </c>
      <c r="F185" s="76">
        <v>30</v>
      </c>
      <c r="G185" s="47" t="str">
        <v>QFD24</v>
      </c>
      <c r="H185" s="47" t="str">
        <v>2P С16А 30мА</v>
      </c>
      <c r="I185" s="75" t="str">
        <v/>
      </c>
      <c r="J185" s="76" t="str">
        <v/>
      </c>
      <c r="K185" s="76" t="str">
        <v/>
      </c>
      <c r="L185" s="75" t="str">
        <v/>
      </c>
      <c r="M185" s="49" t="str">
        <v/>
      </c>
      <c r="N185" s="76" t="str">
        <v/>
      </c>
      <c r="O185" s="49" t="str">
        <v/>
      </c>
      <c r="P185" s="77" t="str">
        <v>XT24</v>
      </c>
      <c r="Q185" s="53" t="str">
        <v>ВВГнг(А)-LS (3х2,5) L=57-0,12%</v>
      </c>
      <c r="R185" s="54" t="str">
        <v>R.0.013Б.1</v>
      </c>
      <c r="S185" s="55" t="str">
        <v>Розеточная группа, пом. 013Б</v>
      </c>
      <c r="T185" s="56">
        <v>0.06</v>
      </c>
      <c r="U185" s="56">
        <v>0.28000000000000003</v>
      </c>
      <c r="V185" s="42" t="str">
        <v>L3</v>
      </c>
      <c r="W185" s="57" t="str">
        <v>ok</v>
      </c>
      <c r="X185" s="58" t="str">
        <v/>
      </c>
      <c r="Y185" s="75" t="str">
        <v/>
      </c>
      <c r="Z185" s="59">
        <v>0.27348170645824377</v>
      </c>
      <c r="AA185" s="61">
        <v>16</v>
      </c>
      <c r="AB185" s="61">
        <v>25</v>
      </c>
      <c r="AC185" s="61" t="str">
        <v/>
      </c>
      <c r="AD185" s="62" t="str">
        <v>QFD24 → XT24</v>
      </c>
      <c r="AE185" s="62" t="str">
        <v/>
      </c>
      <c r="AF185" s="34">
        <v>24</v>
      </c>
      <c r="AG185" s="34" t="str">
        <v>QFD24</v>
      </c>
      <c r="AH185" s="34" t="str">
        <v/>
      </c>
      <c r="AI185" s="34" t="str">
        <v/>
      </c>
      <c r="AJ185" s="34" t="str">
        <v>QFD24</v>
      </c>
      <c r="AK185" s="34">
        <v>1</v>
      </c>
      <c r="AL185" s="34" t="str">
        <v>R</v>
      </c>
      <c r="AM185" s="34">
        <v>30</v>
      </c>
      <c r="AN185" s="34">
        <v>0</v>
      </c>
      <c r="AO185" s="34">
        <v>16</v>
      </c>
      <c r="AP185" s="34">
        <v>25</v>
      </c>
      <c r="AQ185" s="34">
        <v>16</v>
      </c>
      <c r="AR185" s="34">
        <v>1</v>
      </c>
      <c r="AS185" s="34">
        <v>1</v>
      </c>
      <c r="AT185" s="34" t="str">
        <v>2P</v>
      </c>
      <c r="AU185" s="34">
        <v>16</v>
      </c>
      <c r="AV185" s="34" t="str">
        <v/>
      </c>
      <c r="AW185" s="34" t="str">
        <v/>
      </c>
      <c r="AX185" s="34" t="str">
        <v/>
      </c>
      <c r="AY185" s="34">
        <v>1</v>
      </c>
      <c r="AZ185" s="34" t="str">
        <v/>
      </c>
      <c r="BA185" s="34">
        <v>0</v>
      </c>
      <c r="BB185" s="34">
        <v>16</v>
      </c>
      <c r="BD185" s="34">
        <v>1</v>
      </c>
      <c r="BE185" s="34">
        <v>0</v>
      </c>
      <c r="BF185" s="34">
        <v>1</v>
      </c>
      <c r="BG185" s="34" t="str">
        <v/>
      </c>
      <c r="BH185" s="34" t="str">
        <v/>
      </c>
      <c r="BI185" s="34" t="str">
        <v/>
      </c>
      <c r="BJ185" s="34" t="str">
        <v/>
      </c>
      <c r="BK185" s="34" t="str">
        <v>SOCKET</v>
      </c>
      <c r="BL185" s="34">
        <v>1</v>
      </c>
      <c r="BM185" s="34" t="str">
        <v/>
      </c>
      <c r="BN185" s="34" t="str">
        <v/>
      </c>
      <c r="BO185" s="34" t="str">
        <v/>
      </c>
      <c r="BP185" s="34" t="str">
        <v/>
      </c>
      <c r="BQ185" s="34" t="str">
        <v>3х2,5</v>
      </c>
      <c r="BR185" s="34" t="str">
        <v/>
      </c>
      <c r="BS185" s="34" t="str">
        <v/>
      </c>
      <c r="BT185" s="34" t="str">
        <v/>
      </c>
      <c r="BU185" s="34">
        <v>0</v>
      </c>
      <c r="BV185" s="34">
        <v>206</v>
      </c>
      <c r="BW185" s="34">
        <v>1</v>
      </c>
      <c r="BX185" s="34">
        <v>0</v>
      </c>
      <c r="BY185" s="34" t="str">
        <v>Розетка</v>
      </c>
      <c r="BZ185">
        <v>9</v>
      </c>
      <c r="CA185" t="str">
        <v>линии</v>
      </c>
    </row>
    <row r="186" spans="1:79" x14ac:dyDescent="0.3">
      <c r="A186" s="39" t="str">
        <v>ЩР-01</v>
      </c>
      <c r="B186" s="42">
        <v>46</v>
      </c>
      <c r="C186" s="42">
        <v>3</v>
      </c>
      <c r="D186" s="75" t="str">
        <v/>
      </c>
      <c r="E186" s="75" t="str">
        <v>авто</v>
      </c>
      <c r="F186" s="76">
        <v>30</v>
      </c>
      <c r="G186" s="47" t="str">
        <v>QFD25</v>
      </c>
      <c r="H186" s="47" t="str">
        <v>2P С16А 30мА</v>
      </c>
      <c r="I186" s="75" t="str">
        <v/>
      </c>
      <c r="J186" s="76" t="str">
        <v/>
      </c>
      <c r="K186" s="76" t="str">
        <v/>
      </c>
      <c r="L186" s="75" t="str">
        <v/>
      </c>
      <c r="M186" s="49" t="str">
        <v/>
      </c>
      <c r="N186" s="76" t="str">
        <v/>
      </c>
      <c r="O186" s="49" t="str">
        <v/>
      </c>
      <c r="P186" s="77" t="str">
        <v>XT25</v>
      </c>
      <c r="Q186" s="53" t="str">
        <v>ВВГнг(А)-LS (3х2,5) L=51-0,21%</v>
      </c>
      <c r="R186" s="54" t="str">
        <v>R.0.013Б.2</v>
      </c>
      <c r="S186" s="55" t="str">
        <v>Розеточная группа, пом. 013Б</v>
      </c>
      <c r="T186" s="56">
        <v>0.12</v>
      </c>
      <c r="U186" s="56">
        <v>0.55000000000000004</v>
      </c>
      <c r="V186" s="42" t="str">
        <v>L2</v>
      </c>
      <c r="W186" s="57" t="str">
        <v>ok</v>
      </c>
      <c r="X186" s="58" t="str">
        <v/>
      </c>
      <c r="Y186" s="75" t="str">
        <v/>
      </c>
      <c r="Z186" s="59">
        <v>0.54696341291648753</v>
      </c>
      <c r="AA186" s="61">
        <v>16</v>
      </c>
      <c r="AB186" s="61">
        <v>25</v>
      </c>
      <c r="AC186" s="61" t="str">
        <v/>
      </c>
      <c r="AD186" s="62" t="str">
        <v>QFD25 → XT25</v>
      </c>
      <c r="AE186" s="62" t="str">
        <v/>
      </c>
      <c r="AF186" s="34">
        <v>25</v>
      </c>
      <c r="AG186" s="34" t="str">
        <v>QFD25</v>
      </c>
      <c r="AH186" s="34" t="str">
        <v/>
      </c>
      <c r="AI186" s="34" t="str">
        <v/>
      </c>
      <c r="AJ186" s="34" t="str">
        <v>QFD25</v>
      </c>
      <c r="AK186" s="34">
        <v>1</v>
      </c>
      <c r="AL186" s="34" t="str">
        <v>R</v>
      </c>
      <c r="AM186" s="34">
        <v>30</v>
      </c>
      <c r="AN186" s="34">
        <v>0</v>
      </c>
      <c r="AO186" s="34">
        <v>16</v>
      </c>
      <c r="AP186" s="34">
        <v>25</v>
      </c>
      <c r="AQ186" s="34">
        <v>16</v>
      </c>
      <c r="AR186" s="34">
        <v>1</v>
      </c>
      <c r="AS186" s="34">
        <v>1</v>
      </c>
      <c r="AT186" s="34" t="str">
        <v>2P</v>
      </c>
      <c r="AU186" s="34">
        <v>16</v>
      </c>
      <c r="AV186" s="34" t="str">
        <v/>
      </c>
      <c r="AW186" s="34" t="str">
        <v/>
      </c>
      <c r="AX186" s="34" t="str">
        <v/>
      </c>
      <c r="AY186" s="34">
        <v>1</v>
      </c>
      <c r="AZ186" s="34" t="str">
        <v/>
      </c>
      <c r="BA186" s="34">
        <v>0</v>
      </c>
      <c r="BB186" s="34">
        <v>16</v>
      </c>
      <c r="BD186" s="34">
        <v>1</v>
      </c>
      <c r="BE186" s="34">
        <v>0</v>
      </c>
      <c r="BF186" s="34">
        <v>1</v>
      </c>
      <c r="BG186" s="34" t="str">
        <v/>
      </c>
      <c r="BH186" s="34" t="str">
        <v/>
      </c>
      <c r="BI186" s="34" t="str">
        <v/>
      </c>
      <c r="BJ186" s="34" t="str">
        <v/>
      </c>
      <c r="BK186" s="34" t="str">
        <v>SOCKET</v>
      </c>
      <c r="BL186" s="34">
        <v>1</v>
      </c>
      <c r="BM186" s="34" t="str">
        <v/>
      </c>
      <c r="BN186" s="34" t="str">
        <v/>
      </c>
      <c r="BO186" s="34" t="str">
        <v/>
      </c>
      <c r="BP186" s="34" t="str">
        <v/>
      </c>
      <c r="BQ186" s="34" t="str">
        <v>3х2,5</v>
      </c>
      <c r="BR186" s="34" t="str">
        <v/>
      </c>
      <c r="BS186" s="34" t="str">
        <v/>
      </c>
      <c r="BT186" s="34" t="str">
        <v/>
      </c>
      <c r="BU186" s="34">
        <v>0</v>
      </c>
      <c r="BV186" s="34">
        <v>207</v>
      </c>
      <c r="BW186" s="34">
        <v>1</v>
      </c>
      <c r="BX186" s="34">
        <v>0</v>
      </c>
      <c r="BY186" s="34" t="str">
        <v>Розетка</v>
      </c>
      <c r="BZ186">
        <v>9</v>
      </c>
      <c r="CA186" t="str">
        <v>линии</v>
      </c>
    </row>
    <row r="187" spans="1:79" x14ac:dyDescent="0.3">
      <c r="A187" s="39" t="str">
        <v>ЩР-01</v>
      </c>
      <c r="B187" s="42">
        <v>47</v>
      </c>
      <c r="C187" s="42">
        <v>3</v>
      </c>
      <c r="D187" s="75" t="str">
        <v/>
      </c>
      <c r="E187" s="75" t="str">
        <v>авто</v>
      </c>
      <c r="F187" s="76">
        <v>30</v>
      </c>
      <c r="G187" s="47" t="str">
        <v>QFD26</v>
      </c>
      <c r="H187" s="47" t="str">
        <v>2P С16А 30мА</v>
      </c>
      <c r="I187" s="75" t="str">
        <v/>
      </c>
      <c r="J187" s="76" t="str">
        <v/>
      </c>
      <c r="K187" s="76" t="str">
        <v/>
      </c>
      <c r="L187" s="75" t="str">
        <v/>
      </c>
      <c r="M187" s="49" t="str">
        <v/>
      </c>
      <c r="N187" s="76" t="str">
        <v/>
      </c>
      <c r="O187" s="49" t="str">
        <v/>
      </c>
      <c r="P187" s="77" t="str">
        <v/>
      </c>
      <c r="Q187" s="53" t="str">
        <v>ВВГнг(А)-LS (3х2,5) L=51-0,52%</v>
      </c>
      <c r="R187" s="54" t="str">
        <v>R.0.013Б.3</v>
      </c>
      <c r="S187" s="55" t="str">
        <v>Розеточная группа Цокольный этаж Пом. №013Б Полотенцесушитель</v>
      </c>
      <c r="T187" s="56">
        <v>0.3</v>
      </c>
      <c r="U187" s="56">
        <v>1.37</v>
      </c>
      <c r="V187" s="42" t="str">
        <v>L3</v>
      </c>
      <c r="W187" s="57" t="str">
        <v>ok</v>
      </c>
      <c r="X187" s="58" t="str">
        <v/>
      </c>
      <c r="Y187" s="75" t="str">
        <v/>
      </c>
      <c r="Z187" s="59">
        <v>1.3674085322912188</v>
      </c>
      <c r="AA187" s="61">
        <v>16</v>
      </c>
      <c r="AB187" s="61">
        <v>25</v>
      </c>
      <c r="AC187" s="61" t="str">
        <v/>
      </c>
      <c r="AD187" s="62" t="str">
        <v>QFD26</v>
      </c>
      <c r="AE187" s="62" t="str">
        <v/>
      </c>
      <c r="AF187" s="34">
        <v>26</v>
      </c>
      <c r="AG187" s="34" t="str">
        <v>QFD26</v>
      </c>
      <c r="AH187" s="34" t="str">
        <v/>
      </c>
      <c r="AI187" s="34" t="str">
        <v/>
      </c>
      <c r="AJ187" s="34" t="str">
        <v>QFD26</v>
      </c>
      <c r="AK187" s="34">
        <v>1</v>
      </c>
      <c r="AL187" s="34" t="str">
        <v>R</v>
      </c>
      <c r="AM187" s="34">
        <v>30</v>
      </c>
      <c r="AN187" s="34">
        <v>0</v>
      </c>
      <c r="AO187" s="34">
        <v>16</v>
      </c>
      <c r="AP187" s="34">
        <v>25</v>
      </c>
      <c r="AQ187" s="34">
        <v>16</v>
      </c>
      <c r="AR187" s="34">
        <v>1</v>
      </c>
      <c r="AS187" s="34">
        <v>1</v>
      </c>
      <c r="AT187" s="34" t="str">
        <v>2P</v>
      </c>
      <c r="AU187" s="34">
        <v>16</v>
      </c>
      <c r="AV187" s="34" t="str">
        <v/>
      </c>
      <c r="AW187" s="34" t="str">
        <v/>
      </c>
      <c r="AX187" s="34" t="str">
        <v/>
      </c>
      <c r="AY187" s="34">
        <v>1</v>
      </c>
      <c r="AZ187" s="34" t="str">
        <v/>
      </c>
      <c r="BA187" s="34">
        <v>0</v>
      </c>
      <c r="BB187" s="34">
        <v>16</v>
      </c>
      <c r="BD187" s="34">
        <v>1</v>
      </c>
      <c r="BE187" s="34">
        <v>0</v>
      </c>
      <c r="BF187" s="34">
        <v>1</v>
      </c>
      <c r="BG187" s="34" t="str">
        <v/>
      </c>
      <c r="BH187" s="34" t="str">
        <v/>
      </c>
      <c r="BI187" s="34" t="str">
        <v/>
      </c>
      <c r="BJ187" s="34" t="str">
        <v/>
      </c>
      <c r="BK187" s="34" t="str">
        <v>SOCKET</v>
      </c>
      <c r="BL187" s="34">
        <v>1</v>
      </c>
      <c r="BM187" s="34" t="str">
        <v/>
      </c>
      <c r="BN187" s="34" t="str">
        <v/>
      </c>
      <c r="BO187" s="34" t="str">
        <v/>
      </c>
      <c r="BP187" s="34" t="str">
        <v/>
      </c>
      <c r="BQ187" s="34" t="str">
        <v>3х2,5</v>
      </c>
      <c r="BR187" s="34" t="str">
        <v/>
      </c>
      <c r="BS187" s="34" t="str">
        <v/>
      </c>
      <c r="BT187" s="34" t="str">
        <v/>
      </c>
      <c r="BU187" s="34">
        <v>0</v>
      </c>
      <c r="BV187" s="34">
        <v>208</v>
      </c>
      <c r="BW187" s="34">
        <v>1</v>
      </c>
      <c r="BX187" s="34">
        <v>0</v>
      </c>
      <c r="BY187" s="34" t="str">
        <v>Розетка</v>
      </c>
      <c r="BZ187">
        <v>9</v>
      </c>
      <c r="CA187" t="str">
        <v>линии</v>
      </c>
    </row>
    <row r="188" spans="1:79" x14ac:dyDescent="0.3">
      <c r="A188" s="39" t="str">
        <v>ЩР-01</v>
      </c>
      <c r="B188" s="42">
        <v>48</v>
      </c>
      <c r="C188" s="42">
        <v>3</v>
      </c>
      <c r="D188" s="75" t="str">
        <v/>
      </c>
      <c r="E188" s="75" t="str">
        <v>авто</v>
      </c>
      <c r="F188" s="76">
        <v>30</v>
      </c>
      <c r="G188" s="47" t="str">
        <v>QFD27</v>
      </c>
      <c r="H188" s="47" t="str">
        <v>2P С16А 30мА</v>
      </c>
      <c r="I188" s="75" t="str">
        <v/>
      </c>
      <c r="J188" s="76" t="str">
        <v/>
      </c>
      <c r="K188" s="76" t="str">
        <v/>
      </c>
      <c r="L188" s="75" t="str">
        <v/>
      </c>
      <c r="M188" s="49" t="str">
        <v/>
      </c>
      <c r="N188" s="76" t="str">
        <v/>
      </c>
      <c r="O188" s="49" t="str">
        <v/>
      </c>
      <c r="P188" s="77" t="str">
        <v/>
      </c>
      <c r="Q188" s="53" t="str">
        <v>ВВГнг(А)-LS (3х2,5) L=58-4,33%</v>
      </c>
      <c r="R188" s="54" t="str">
        <v>R.0.013Б.4</v>
      </c>
      <c r="S188" s="55" t="str">
        <v>Розеточная группа Цокольный этаж Пом. №013Б Сушильная машина</v>
      </c>
      <c r="T188" s="56">
        <v>2.2000000000000002</v>
      </c>
      <c r="U188" s="56">
        <v>10.029999999999999</v>
      </c>
      <c r="V188" s="42" t="str">
        <v>L2</v>
      </c>
      <c r="W188" s="57" t="str">
        <v>ok</v>
      </c>
      <c r="X188" s="58" t="str">
        <v/>
      </c>
      <c r="Y188" s="75" t="str">
        <v/>
      </c>
      <c r="Z188" s="59">
        <v>10.027662570135606</v>
      </c>
      <c r="AA188" s="61">
        <v>16</v>
      </c>
      <c r="AB188" s="61">
        <v>25</v>
      </c>
      <c r="AC188" s="61" t="str">
        <v/>
      </c>
      <c r="AD188" s="62" t="str">
        <v>QFD27</v>
      </c>
      <c r="AE188" s="62" t="str">
        <v>потери 4,8 % &gt; 4 %</v>
      </c>
      <c r="AF188" s="34">
        <v>27</v>
      </c>
      <c r="AG188" s="34" t="str">
        <v>QFD27</v>
      </c>
      <c r="AH188" s="34" t="str">
        <v/>
      </c>
      <c r="AI188" s="34" t="str">
        <v/>
      </c>
      <c r="AJ188" s="34" t="str">
        <v>QFD27</v>
      </c>
      <c r="AK188" s="34">
        <v>1</v>
      </c>
      <c r="AL188" s="34" t="str">
        <v>R</v>
      </c>
      <c r="AM188" s="34">
        <v>30</v>
      </c>
      <c r="AN188" s="34">
        <v>0</v>
      </c>
      <c r="AO188" s="34">
        <v>16</v>
      </c>
      <c r="AP188" s="34">
        <v>25</v>
      </c>
      <c r="AQ188" s="34">
        <v>16</v>
      </c>
      <c r="AR188" s="34">
        <v>1</v>
      </c>
      <c r="AS188" s="34">
        <v>1</v>
      </c>
      <c r="AT188" s="34" t="str">
        <v>2P</v>
      </c>
      <c r="AU188" s="34">
        <v>16</v>
      </c>
      <c r="AV188" s="34" t="str">
        <v/>
      </c>
      <c r="AW188" s="34" t="str">
        <v/>
      </c>
      <c r="AX188" s="34" t="str">
        <v/>
      </c>
      <c r="AY188" s="34">
        <v>1</v>
      </c>
      <c r="AZ188" s="34" t="str">
        <v/>
      </c>
      <c r="BA188" s="34">
        <v>0</v>
      </c>
      <c r="BB188" s="34">
        <v>16</v>
      </c>
      <c r="BD188" s="34">
        <v>1</v>
      </c>
      <c r="BE188" s="34">
        <v>0</v>
      </c>
      <c r="BF188" s="34">
        <v>1</v>
      </c>
      <c r="BG188" s="34" t="str">
        <v/>
      </c>
      <c r="BH188" s="34" t="str">
        <v/>
      </c>
      <c r="BI188" s="34" t="str">
        <v/>
      </c>
      <c r="BJ188" s="34" t="str">
        <v/>
      </c>
      <c r="BK188" s="34" t="str">
        <v>SOCKET</v>
      </c>
      <c r="BL188" s="34">
        <v>1</v>
      </c>
      <c r="BM188" s="34" t="str">
        <v/>
      </c>
      <c r="BN188" s="34" t="str">
        <v/>
      </c>
      <c r="BO188" s="34" t="str">
        <v/>
      </c>
      <c r="BP188" s="34" t="str">
        <v/>
      </c>
      <c r="BQ188" s="34" t="str">
        <v>3х2,5</v>
      </c>
      <c r="BR188" s="34" t="str">
        <v/>
      </c>
      <c r="BS188" s="34" t="str">
        <v/>
      </c>
      <c r="BT188" s="34" t="str">
        <v/>
      </c>
      <c r="BU188" s="34">
        <v>1</v>
      </c>
      <c r="BV188" s="34">
        <v>209</v>
      </c>
      <c r="BW188" s="34">
        <v>1</v>
      </c>
      <c r="BX188" s="34">
        <v>0</v>
      </c>
      <c r="BY188" s="34" t="str">
        <v>Розетка</v>
      </c>
      <c r="BZ188">
        <v>9</v>
      </c>
      <c r="CA188" t="str">
        <v>линии</v>
      </c>
    </row>
    <row r="189" spans="1:79" x14ac:dyDescent="0.3">
      <c r="A189" s="39" t="str">
        <v>ЩР-01</v>
      </c>
      <c r="B189" s="42">
        <v>49</v>
      </c>
      <c r="C189" s="42">
        <v>3</v>
      </c>
      <c r="D189" s="75" t="str">
        <v/>
      </c>
      <c r="E189" s="75" t="str">
        <v>авто</v>
      </c>
      <c r="F189" s="76">
        <v>30</v>
      </c>
      <c r="G189" s="47" t="str">
        <v>QFD28</v>
      </c>
      <c r="H189" s="47" t="str">
        <v>2P С16А 30мА</v>
      </c>
      <c r="I189" s="75" t="str">
        <v/>
      </c>
      <c r="J189" s="76" t="str">
        <v/>
      </c>
      <c r="K189" s="76" t="str">
        <v/>
      </c>
      <c r="L189" s="75" t="str">
        <v/>
      </c>
      <c r="M189" s="49" t="str">
        <v/>
      </c>
      <c r="N189" s="76" t="str">
        <v/>
      </c>
      <c r="O189" s="49" t="str">
        <v/>
      </c>
      <c r="P189" s="77" t="str">
        <v/>
      </c>
      <c r="Q189" s="53" t="str">
        <v>ВВГнг(А)-LS (3х2,5) L=72-0,3%</v>
      </c>
      <c r="R189" s="54" t="str">
        <v>R.0.015A.1</v>
      </c>
      <c r="S189" s="55" t="str">
        <v>Розеточная группа, пом. 015A</v>
      </c>
      <c r="T189" s="56">
        <v>0.12</v>
      </c>
      <c r="U189" s="56">
        <v>0.55000000000000004</v>
      </c>
      <c r="V189" s="42" t="str">
        <v>L1</v>
      </c>
      <c r="W189" s="57" t="str">
        <v>ok</v>
      </c>
      <c r="X189" s="58" t="str">
        <v/>
      </c>
      <c r="Y189" s="75" t="str">
        <v/>
      </c>
      <c r="Z189" s="59">
        <v>0.54696341291648753</v>
      </c>
      <c r="AA189" s="61">
        <v>16</v>
      </c>
      <c r="AB189" s="61">
        <v>25</v>
      </c>
      <c r="AC189" s="61" t="str">
        <v/>
      </c>
      <c r="AD189" s="62" t="str">
        <v>QFD28</v>
      </c>
      <c r="AE189" s="62" t="str">
        <v/>
      </c>
      <c r="AF189" s="34">
        <v>28</v>
      </c>
      <c r="AG189" s="34" t="str">
        <v>QFD28</v>
      </c>
      <c r="AH189" s="34" t="str">
        <v/>
      </c>
      <c r="AI189" s="34" t="str">
        <v/>
      </c>
      <c r="AJ189" s="34" t="str">
        <v>QFD28</v>
      </c>
      <c r="AK189" s="34">
        <v>1</v>
      </c>
      <c r="AL189" s="34" t="str">
        <v>R</v>
      </c>
      <c r="AM189" s="34">
        <v>30</v>
      </c>
      <c r="AN189" s="34">
        <v>0</v>
      </c>
      <c r="AO189" s="34">
        <v>16</v>
      </c>
      <c r="AP189" s="34">
        <v>25</v>
      </c>
      <c r="AQ189" s="34">
        <v>16</v>
      </c>
      <c r="AR189" s="34">
        <v>1</v>
      </c>
      <c r="AS189" s="34">
        <v>1</v>
      </c>
      <c r="AT189" s="34" t="str">
        <v>2P</v>
      </c>
      <c r="AU189" s="34">
        <v>16</v>
      </c>
      <c r="AV189" s="34" t="str">
        <v/>
      </c>
      <c r="AW189" s="34" t="str">
        <v/>
      </c>
      <c r="AX189" s="34" t="str">
        <v/>
      </c>
      <c r="AY189" s="34">
        <v>1</v>
      </c>
      <c r="AZ189" s="34" t="str">
        <v/>
      </c>
      <c r="BA189" s="34">
        <v>0</v>
      </c>
      <c r="BB189" s="34">
        <v>16</v>
      </c>
      <c r="BD189" s="34">
        <v>1</v>
      </c>
      <c r="BE189" s="34">
        <v>0</v>
      </c>
      <c r="BF189" s="34">
        <v>1</v>
      </c>
      <c r="BG189" s="34" t="str">
        <v/>
      </c>
      <c r="BH189" s="34" t="str">
        <v/>
      </c>
      <c r="BI189" s="34" t="str">
        <v/>
      </c>
      <c r="BJ189" s="34" t="str">
        <v/>
      </c>
      <c r="BK189" s="34" t="str">
        <v>SOCKET</v>
      </c>
      <c r="BL189" s="34">
        <v>1</v>
      </c>
      <c r="BM189" s="34" t="str">
        <v/>
      </c>
      <c r="BN189" s="34" t="str">
        <v/>
      </c>
      <c r="BO189" s="34" t="str">
        <v/>
      </c>
      <c r="BP189" s="34" t="str">
        <v/>
      </c>
      <c r="BQ189" s="34" t="str">
        <v>3х2,5</v>
      </c>
      <c r="BR189" s="34" t="str">
        <v/>
      </c>
      <c r="BS189" s="34" t="str">
        <v/>
      </c>
      <c r="BT189" s="34" t="str">
        <v/>
      </c>
      <c r="BU189" s="34">
        <v>0</v>
      </c>
      <c r="BV189" s="34">
        <v>210</v>
      </c>
      <c r="BW189" s="34">
        <v>1</v>
      </c>
      <c r="BX189" s="34">
        <v>0</v>
      </c>
      <c r="BY189" s="34" t="str">
        <v>Розетка</v>
      </c>
      <c r="BZ189">
        <v>9</v>
      </c>
      <c r="CA189" t="str">
        <v>линии</v>
      </c>
    </row>
    <row r="190" spans="1:79" x14ac:dyDescent="0.3">
      <c r="A190" s="39" t="str">
        <v>ЩР-01</v>
      </c>
      <c r="B190" s="42">
        <v>50</v>
      </c>
      <c r="C190" s="42">
        <v>3</v>
      </c>
      <c r="D190" s="75" t="str">
        <v/>
      </c>
      <c r="E190" s="75" t="str">
        <v>авто</v>
      </c>
      <c r="F190" s="76">
        <v>30</v>
      </c>
      <c r="G190" s="47" t="str">
        <v>QFD29</v>
      </c>
      <c r="H190" s="47" t="str">
        <v>2P С16А 30мА</v>
      </c>
      <c r="I190" s="75" t="str">
        <v/>
      </c>
      <c r="J190" s="76" t="str">
        <v/>
      </c>
      <c r="K190" s="76" t="str">
        <v/>
      </c>
      <c r="L190" s="75" t="str">
        <v/>
      </c>
      <c r="M190" s="49" t="str">
        <v/>
      </c>
      <c r="N190" s="76" t="str">
        <v/>
      </c>
      <c r="O190" s="49" t="str">
        <v/>
      </c>
      <c r="P190" s="77" t="str">
        <v/>
      </c>
      <c r="Q190" s="53" t="str">
        <v>ВВГнг(А)-LS (3х2,5) L=84-0,69%</v>
      </c>
      <c r="R190" s="54" t="str">
        <v>R.0.017A.1</v>
      </c>
      <c r="S190" s="55" t="str">
        <v>Розеточная группа, пом. 017A</v>
      </c>
      <c r="T190" s="56">
        <v>0.24</v>
      </c>
      <c r="U190" s="56">
        <v>1.1000000000000001</v>
      </c>
      <c r="V190" s="42" t="str">
        <v>L1</v>
      </c>
      <c r="W190" s="57" t="str">
        <v>ok</v>
      </c>
      <c r="X190" s="58" t="str">
        <v/>
      </c>
      <c r="Y190" s="75" t="str">
        <v/>
      </c>
      <c r="Z190" s="59">
        <v>1.0939268258329751</v>
      </c>
      <c r="AA190" s="61">
        <v>16</v>
      </c>
      <c r="AB190" s="61">
        <v>25</v>
      </c>
      <c r="AC190" s="61" t="str">
        <v/>
      </c>
      <c r="AD190" s="62" t="str">
        <v>QFD29</v>
      </c>
      <c r="AE190" s="62" t="str">
        <v/>
      </c>
      <c r="AF190" s="34">
        <v>29</v>
      </c>
      <c r="AG190" s="34" t="str">
        <v>QFD29</v>
      </c>
      <c r="AH190" s="34" t="str">
        <v/>
      </c>
      <c r="AI190" s="34" t="str">
        <v/>
      </c>
      <c r="AJ190" s="34" t="str">
        <v>QFD29</v>
      </c>
      <c r="AK190" s="34">
        <v>1</v>
      </c>
      <c r="AL190" s="34" t="str">
        <v>R</v>
      </c>
      <c r="AM190" s="34">
        <v>30</v>
      </c>
      <c r="AN190" s="34">
        <v>0</v>
      </c>
      <c r="AO190" s="34">
        <v>16</v>
      </c>
      <c r="AP190" s="34">
        <v>25</v>
      </c>
      <c r="AQ190" s="34">
        <v>16</v>
      </c>
      <c r="AR190" s="34">
        <v>1</v>
      </c>
      <c r="AS190" s="34">
        <v>1</v>
      </c>
      <c r="AT190" s="34" t="str">
        <v>2P</v>
      </c>
      <c r="AU190" s="34">
        <v>16</v>
      </c>
      <c r="AV190" s="34" t="str">
        <v/>
      </c>
      <c r="AW190" s="34" t="str">
        <v/>
      </c>
      <c r="AX190" s="34" t="str">
        <v/>
      </c>
      <c r="AY190" s="34">
        <v>1</v>
      </c>
      <c r="AZ190" s="34" t="str">
        <v/>
      </c>
      <c r="BA190" s="34">
        <v>0</v>
      </c>
      <c r="BB190" s="34">
        <v>16</v>
      </c>
      <c r="BD190" s="34">
        <v>1</v>
      </c>
      <c r="BE190" s="34">
        <v>0</v>
      </c>
      <c r="BF190" s="34">
        <v>1</v>
      </c>
      <c r="BG190" s="34" t="str">
        <v/>
      </c>
      <c r="BH190" s="34" t="str">
        <v/>
      </c>
      <c r="BI190" s="34" t="str">
        <v/>
      </c>
      <c r="BJ190" s="34" t="str">
        <v/>
      </c>
      <c r="BK190" s="34" t="str">
        <v>SOCKET</v>
      </c>
      <c r="BL190" s="34">
        <v>1</v>
      </c>
      <c r="BM190" s="34" t="str">
        <v/>
      </c>
      <c r="BN190" s="34" t="str">
        <v/>
      </c>
      <c r="BO190" s="34" t="str">
        <v/>
      </c>
      <c r="BP190" s="34" t="str">
        <v/>
      </c>
      <c r="BQ190" s="34" t="str">
        <v>3х2,5</v>
      </c>
      <c r="BR190" s="34" t="str">
        <v/>
      </c>
      <c r="BS190" s="34" t="str">
        <v/>
      </c>
      <c r="BT190" s="34" t="str">
        <v/>
      </c>
      <c r="BU190" s="34">
        <v>0</v>
      </c>
      <c r="BV190" s="34">
        <v>211</v>
      </c>
      <c r="BW190" s="34">
        <v>1</v>
      </c>
      <c r="BX190" s="34">
        <v>0</v>
      </c>
      <c r="BY190" s="34" t="str">
        <v>Розетка</v>
      </c>
      <c r="BZ190">
        <v>9</v>
      </c>
      <c r="CA190" t="str">
        <v>линии</v>
      </c>
    </row>
    <row r="191" spans="1:79" x14ac:dyDescent="0.3">
      <c r="A191" s="39" t="str">
        <v>ЩР-01</v>
      </c>
      <c r="B191" s="42">
        <v>51</v>
      </c>
      <c r="C191" s="42">
        <v>3</v>
      </c>
      <c r="D191" s="75" t="str">
        <v/>
      </c>
      <c r="E191" s="75" t="str">
        <v>авто</v>
      </c>
      <c r="F191" s="76">
        <v>30</v>
      </c>
      <c r="G191" s="47" t="str">
        <v>QFD30</v>
      </c>
      <c r="H191" s="47" t="str">
        <v>2P С16А 30мА</v>
      </c>
      <c r="I191" s="75" t="str">
        <v/>
      </c>
      <c r="J191" s="76" t="str">
        <v/>
      </c>
      <c r="K191" s="76" t="str">
        <v/>
      </c>
      <c r="L191" s="75" t="str">
        <v/>
      </c>
      <c r="M191" s="49" t="str">
        <v/>
      </c>
      <c r="N191" s="76" t="str">
        <v/>
      </c>
      <c r="O191" s="49" t="str">
        <v/>
      </c>
      <c r="P191" s="77" t="str">
        <v/>
      </c>
      <c r="Q191" s="53" t="str">
        <v>ВВГнг(А)-LS (3х2,5) L=56-0,12%</v>
      </c>
      <c r="R191" s="54" t="str">
        <v>R.0.018A.1</v>
      </c>
      <c r="S191" s="55" t="str">
        <v>Розеточная группа, пом. 018A</v>
      </c>
      <c r="T191" s="56">
        <v>0.06</v>
      </c>
      <c r="U191" s="56">
        <v>0.28000000000000003</v>
      </c>
      <c r="V191" s="42" t="str">
        <v>L1</v>
      </c>
      <c r="W191" s="57" t="str">
        <v>ok</v>
      </c>
      <c r="X191" s="58" t="str">
        <v/>
      </c>
      <c r="Y191" s="75" t="str">
        <v/>
      </c>
      <c r="Z191" s="59">
        <v>0.27348170645824377</v>
      </c>
      <c r="AA191" s="61">
        <v>16</v>
      </c>
      <c r="AB191" s="61">
        <v>25</v>
      </c>
      <c r="AC191" s="61" t="str">
        <v/>
      </c>
      <c r="AD191" s="62" t="str">
        <v>QFD30</v>
      </c>
      <c r="AE191" s="62" t="str">
        <v/>
      </c>
      <c r="AF191" s="34">
        <v>30</v>
      </c>
      <c r="AG191" s="34" t="str">
        <v>QFD30</v>
      </c>
      <c r="AH191" s="34" t="str">
        <v/>
      </c>
      <c r="AI191" s="34" t="str">
        <v/>
      </c>
      <c r="AJ191" s="34" t="str">
        <v>QFD30</v>
      </c>
      <c r="AK191" s="34">
        <v>1</v>
      </c>
      <c r="AL191" s="34" t="str">
        <v>R</v>
      </c>
      <c r="AM191" s="34">
        <v>30</v>
      </c>
      <c r="AN191" s="34">
        <v>0</v>
      </c>
      <c r="AO191" s="34">
        <v>16</v>
      </c>
      <c r="AP191" s="34">
        <v>25</v>
      </c>
      <c r="AQ191" s="34">
        <v>16</v>
      </c>
      <c r="AR191" s="34">
        <v>1</v>
      </c>
      <c r="AS191" s="34">
        <v>1</v>
      </c>
      <c r="AT191" s="34" t="str">
        <v>2P</v>
      </c>
      <c r="AU191" s="34">
        <v>16</v>
      </c>
      <c r="AV191" s="34" t="str">
        <v/>
      </c>
      <c r="AW191" s="34" t="str">
        <v/>
      </c>
      <c r="AX191" s="34" t="str">
        <v/>
      </c>
      <c r="AY191" s="34">
        <v>1</v>
      </c>
      <c r="AZ191" s="34" t="str">
        <v/>
      </c>
      <c r="BA191" s="34">
        <v>0</v>
      </c>
      <c r="BB191" s="34">
        <v>16</v>
      </c>
      <c r="BD191" s="34">
        <v>1</v>
      </c>
      <c r="BE191" s="34">
        <v>0</v>
      </c>
      <c r="BF191" s="34">
        <v>1</v>
      </c>
      <c r="BG191" s="34" t="str">
        <v/>
      </c>
      <c r="BH191" s="34" t="str">
        <v/>
      </c>
      <c r="BI191" s="34" t="str">
        <v/>
      </c>
      <c r="BJ191" s="34" t="str">
        <v/>
      </c>
      <c r="BK191" s="34" t="str">
        <v>SOCKET</v>
      </c>
      <c r="BL191" s="34">
        <v>1</v>
      </c>
      <c r="BM191" s="34" t="str">
        <v/>
      </c>
      <c r="BN191" s="34" t="str">
        <v/>
      </c>
      <c r="BO191" s="34" t="str">
        <v/>
      </c>
      <c r="BP191" s="34" t="str">
        <v/>
      </c>
      <c r="BQ191" s="34" t="str">
        <v>3х2,5</v>
      </c>
      <c r="BR191" s="34" t="str">
        <v/>
      </c>
      <c r="BS191" s="34" t="str">
        <v/>
      </c>
      <c r="BT191" s="34" t="str">
        <v/>
      </c>
      <c r="BU191" s="34">
        <v>0</v>
      </c>
      <c r="BV191" s="34">
        <v>212</v>
      </c>
      <c r="BW191" s="34">
        <v>1</v>
      </c>
      <c r="BX191" s="34">
        <v>0</v>
      </c>
      <c r="BY191" s="34" t="str">
        <v>Розетка</v>
      </c>
      <c r="BZ191">
        <v>9</v>
      </c>
      <c r="CA191" t="str">
        <v>линии</v>
      </c>
    </row>
    <row r="192" spans="1:79" x14ac:dyDescent="0.3">
      <c r="A192" s="39" t="str">
        <v>ЩР-01</v>
      </c>
      <c r="B192" s="42">
        <v>52</v>
      </c>
      <c r="C192" s="42">
        <v>4</v>
      </c>
      <c r="D192" s="75" t="str">
        <v/>
      </c>
      <c r="E192" s="75" t="str">
        <v>авто</v>
      </c>
      <c r="F192" s="76">
        <v>30</v>
      </c>
      <c r="G192" s="47" t="str">
        <v>QFD31</v>
      </c>
      <c r="H192" s="47" t="str">
        <v>2P С16А 30мА</v>
      </c>
      <c r="I192" s="75" t="str">
        <v/>
      </c>
      <c r="J192" s="76" t="str">
        <v/>
      </c>
      <c r="K192" s="76" t="str">
        <v/>
      </c>
      <c r="L192" s="75" t="str">
        <v/>
      </c>
      <c r="M192" s="49" t="str">
        <v/>
      </c>
      <c r="N192" s="76" t="str">
        <v/>
      </c>
      <c r="O192" s="49" t="str">
        <v/>
      </c>
      <c r="P192" s="77" t="str">
        <v/>
      </c>
      <c r="Q192" s="53" t="str">
        <v>ВВГнг(А)-LS (3х2,5) L=33-0,07%</v>
      </c>
      <c r="R192" s="54" t="str">
        <v>R.0.018Б.1</v>
      </c>
      <c r="S192" s="55" t="str">
        <v>Розеточная группа, пом. 018Б</v>
      </c>
      <c r="T192" s="56">
        <v>0.06</v>
      </c>
      <c r="U192" s="56">
        <v>0.28000000000000003</v>
      </c>
      <c r="V192" s="42" t="str">
        <v>L2</v>
      </c>
      <c r="W192" s="57" t="str">
        <v>ok</v>
      </c>
      <c r="X192" s="58" t="str">
        <v/>
      </c>
      <c r="Y192" s="75" t="str">
        <v/>
      </c>
      <c r="Z192" s="59">
        <v>0.27348170645824377</v>
      </c>
      <c r="AA192" s="61">
        <v>16</v>
      </c>
      <c r="AB192" s="61">
        <v>25</v>
      </c>
      <c r="AC192" s="61" t="str">
        <v/>
      </c>
      <c r="AD192" s="62" t="str">
        <v>QFD31</v>
      </c>
      <c r="AE192" s="62" t="str">
        <v/>
      </c>
      <c r="AF192" s="34">
        <v>31</v>
      </c>
      <c r="AG192" s="34" t="str">
        <v>QFD31</v>
      </c>
      <c r="AH192" s="34" t="str">
        <v/>
      </c>
      <c r="AI192" s="34" t="str">
        <v/>
      </c>
      <c r="AJ192" s="34" t="str">
        <v>QFD31</v>
      </c>
      <c r="AK192" s="34">
        <v>1</v>
      </c>
      <c r="AL192" s="34" t="str">
        <v>R</v>
      </c>
      <c r="AM192" s="34">
        <v>30</v>
      </c>
      <c r="AN192" s="34">
        <v>0</v>
      </c>
      <c r="AO192" s="34">
        <v>16</v>
      </c>
      <c r="AP192" s="34">
        <v>25</v>
      </c>
      <c r="AQ192" s="34">
        <v>16</v>
      </c>
      <c r="AR192" s="34">
        <v>1</v>
      </c>
      <c r="AS192" s="34">
        <v>1</v>
      </c>
      <c r="AT192" s="34" t="str">
        <v>2P</v>
      </c>
      <c r="AU192" s="34">
        <v>16</v>
      </c>
      <c r="AV192" s="34" t="str">
        <v/>
      </c>
      <c r="AW192" s="34" t="str">
        <v/>
      </c>
      <c r="AX192" s="34" t="str">
        <v/>
      </c>
      <c r="AY192" s="34">
        <v>1</v>
      </c>
      <c r="AZ192" s="34" t="str">
        <v/>
      </c>
      <c r="BA192" s="34">
        <v>0</v>
      </c>
      <c r="BB192" s="34">
        <v>16</v>
      </c>
      <c r="BD192" s="34">
        <v>1</v>
      </c>
      <c r="BE192" s="34">
        <v>0</v>
      </c>
      <c r="BF192" s="34">
        <v>1</v>
      </c>
      <c r="BG192" s="34" t="str">
        <v/>
      </c>
      <c r="BH192" s="34" t="str">
        <v/>
      </c>
      <c r="BI192" s="34" t="str">
        <v/>
      </c>
      <c r="BJ192" s="34" t="str">
        <v/>
      </c>
      <c r="BK192" s="34" t="str">
        <v>SOCKET</v>
      </c>
      <c r="BL192" s="34">
        <v>1</v>
      </c>
      <c r="BM192" s="34" t="str">
        <v/>
      </c>
      <c r="BN192" s="34" t="str">
        <v/>
      </c>
      <c r="BO192" s="34" t="str">
        <v/>
      </c>
      <c r="BP192" s="34" t="str">
        <v/>
      </c>
      <c r="BQ192" s="34" t="str">
        <v>3х2,5</v>
      </c>
      <c r="BR192" s="34" t="str">
        <v/>
      </c>
      <c r="BS192" s="34" t="str">
        <v/>
      </c>
      <c r="BT192" s="34" t="str">
        <v/>
      </c>
      <c r="BU192" s="34">
        <v>0</v>
      </c>
      <c r="BV192" s="34">
        <v>213</v>
      </c>
      <c r="BW192" s="34">
        <v>1</v>
      </c>
      <c r="BX192" s="34">
        <v>0</v>
      </c>
      <c r="BY192" s="34" t="str">
        <v>Розетка</v>
      </c>
      <c r="BZ192">
        <v>9</v>
      </c>
      <c r="CA192" t="str">
        <v>линии</v>
      </c>
    </row>
    <row r="193" spans="1:79" x14ac:dyDescent="0.3">
      <c r="A193" s="39" t="str">
        <v>ЩР-01</v>
      </c>
      <c r="B193" s="42">
        <v>53</v>
      </c>
      <c r="C193" s="42">
        <v>4</v>
      </c>
      <c r="D193" s="75" t="str">
        <v/>
      </c>
      <c r="E193" s="75" t="str">
        <v>авто</v>
      </c>
      <c r="F193" s="76">
        <v>30</v>
      </c>
      <c r="G193" s="47" t="str">
        <v>QFD32</v>
      </c>
      <c r="H193" s="47" t="str">
        <v>2P С16А 30мА</v>
      </c>
      <c r="I193" s="75" t="str">
        <v/>
      </c>
      <c r="J193" s="76" t="str">
        <v/>
      </c>
      <c r="K193" s="76" t="str">
        <v/>
      </c>
      <c r="L193" s="75" t="str">
        <v/>
      </c>
      <c r="M193" s="49" t="str">
        <v/>
      </c>
      <c r="N193" s="76" t="str">
        <v/>
      </c>
      <c r="O193" s="49" t="str">
        <v/>
      </c>
      <c r="P193" s="77" t="str">
        <v/>
      </c>
      <c r="Q193" s="53" t="str">
        <v>ВВГнг(А)-LS (3х2,5) L=72-0,59%</v>
      </c>
      <c r="R193" s="54" t="str">
        <v>R.0.021A.1</v>
      </c>
      <c r="S193" s="55" t="str">
        <v>Розеточная группа, пом. 021A</v>
      </c>
      <c r="T193" s="56">
        <v>0.24</v>
      </c>
      <c r="U193" s="56">
        <v>1.1000000000000001</v>
      </c>
      <c r="V193" s="42" t="str">
        <v>L3</v>
      </c>
      <c r="W193" s="57" t="str">
        <v>ok</v>
      </c>
      <c r="X193" s="58" t="str">
        <v/>
      </c>
      <c r="Y193" s="75" t="str">
        <v/>
      </c>
      <c r="Z193" s="59">
        <v>1.0939268258329751</v>
      </c>
      <c r="AA193" s="61">
        <v>16</v>
      </c>
      <c r="AB193" s="61">
        <v>25</v>
      </c>
      <c r="AC193" s="61" t="str">
        <v/>
      </c>
      <c r="AD193" s="62" t="str">
        <v>QFD32</v>
      </c>
      <c r="AE193" s="62" t="str">
        <v/>
      </c>
      <c r="AF193" s="34">
        <v>32</v>
      </c>
      <c r="AG193" s="34" t="str">
        <v>QFD32</v>
      </c>
      <c r="AH193" s="34" t="str">
        <v/>
      </c>
      <c r="AI193" s="34" t="str">
        <v/>
      </c>
      <c r="AJ193" s="34" t="str">
        <v>QFD32</v>
      </c>
      <c r="AK193" s="34">
        <v>1</v>
      </c>
      <c r="AL193" s="34" t="str">
        <v>R</v>
      </c>
      <c r="AM193" s="34">
        <v>30</v>
      </c>
      <c r="AN193" s="34">
        <v>0</v>
      </c>
      <c r="AO193" s="34">
        <v>16</v>
      </c>
      <c r="AP193" s="34">
        <v>25</v>
      </c>
      <c r="AQ193" s="34">
        <v>16</v>
      </c>
      <c r="AR193" s="34">
        <v>1</v>
      </c>
      <c r="AS193" s="34">
        <v>1</v>
      </c>
      <c r="AT193" s="34" t="str">
        <v>2P</v>
      </c>
      <c r="AU193" s="34">
        <v>16</v>
      </c>
      <c r="AV193" s="34" t="str">
        <v/>
      </c>
      <c r="AW193" s="34" t="str">
        <v/>
      </c>
      <c r="AX193" s="34" t="str">
        <v/>
      </c>
      <c r="AY193" s="34">
        <v>1</v>
      </c>
      <c r="AZ193" s="34" t="str">
        <v/>
      </c>
      <c r="BA193" s="34">
        <v>0</v>
      </c>
      <c r="BB193" s="34">
        <v>16</v>
      </c>
      <c r="BD193" s="34">
        <v>1</v>
      </c>
      <c r="BE193" s="34">
        <v>0</v>
      </c>
      <c r="BF193" s="34">
        <v>1</v>
      </c>
      <c r="BG193" s="34" t="str">
        <v/>
      </c>
      <c r="BH193" s="34" t="str">
        <v/>
      </c>
      <c r="BI193" s="34" t="str">
        <v/>
      </c>
      <c r="BJ193" s="34" t="str">
        <v/>
      </c>
      <c r="BK193" s="34" t="str">
        <v>SOCKET</v>
      </c>
      <c r="BL193" s="34">
        <v>1</v>
      </c>
      <c r="BM193" s="34" t="str">
        <v/>
      </c>
      <c r="BN193" s="34" t="str">
        <v/>
      </c>
      <c r="BO193" s="34" t="str">
        <v/>
      </c>
      <c r="BP193" s="34" t="str">
        <v/>
      </c>
      <c r="BQ193" s="34" t="str">
        <v>3х2,5</v>
      </c>
      <c r="BR193" s="34" t="str">
        <v/>
      </c>
      <c r="BS193" s="34" t="str">
        <v/>
      </c>
      <c r="BT193" s="34" t="str">
        <v/>
      </c>
      <c r="BU193" s="34">
        <v>0</v>
      </c>
      <c r="BV193" s="34">
        <v>214</v>
      </c>
      <c r="BW193" s="34">
        <v>1</v>
      </c>
      <c r="BX193" s="34">
        <v>0</v>
      </c>
      <c r="BY193" s="34" t="str">
        <v>Розетка</v>
      </c>
      <c r="BZ193">
        <v>9</v>
      </c>
      <c r="CA193" t="str">
        <v>линии</v>
      </c>
    </row>
    <row r="194" spans="1:79" x14ac:dyDescent="0.3">
      <c r="A194" s="39" t="str">
        <v>ЩР-01</v>
      </c>
      <c r="B194" s="42">
        <v>54</v>
      </c>
      <c r="C194" s="42">
        <v>4</v>
      </c>
      <c r="D194" s="75" t="str">
        <v/>
      </c>
      <c r="E194" s="75" t="str">
        <v>авто</v>
      </c>
      <c r="F194" s="76">
        <v>30</v>
      </c>
      <c r="G194" s="47" t="str">
        <v>QFD33</v>
      </c>
      <c r="H194" s="47" t="str">
        <v>2P С16А 30мА</v>
      </c>
      <c r="I194" s="75" t="str">
        <v/>
      </c>
      <c r="J194" s="76" t="str">
        <v/>
      </c>
      <c r="K194" s="76" t="str">
        <v/>
      </c>
      <c r="L194" s="75" t="str">
        <v/>
      </c>
      <c r="M194" s="49" t="str">
        <v/>
      </c>
      <c r="N194" s="76" t="str">
        <v/>
      </c>
      <c r="O194" s="49" t="str">
        <v/>
      </c>
      <c r="P194" s="77" t="str">
        <v/>
      </c>
      <c r="Q194" s="53" t="str">
        <v>ВВГнг(А)-LS (3х2,5) L=54-0,11%</v>
      </c>
      <c r="R194" s="54" t="str">
        <v>R.0.022.1</v>
      </c>
      <c r="S194" s="55" t="str">
        <v>Розеточная группа, пом. 022</v>
      </c>
      <c r="T194" s="56">
        <v>0.06</v>
      </c>
      <c r="U194" s="56">
        <v>0.28000000000000003</v>
      </c>
      <c r="V194" s="42" t="str">
        <v>L3</v>
      </c>
      <c r="W194" s="57" t="str">
        <v>ok</v>
      </c>
      <c r="X194" s="58" t="str">
        <v/>
      </c>
      <c r="Y194" s="75" t="str">
        <v/>
      </c>
      <c r="Z194" s="59">
        <v>0.27348170645824377</v>
      </c>
      <c r="AA194" s="61">
        <v>16</v>
      </c>
      <c r="AB194" s="61">
        <v>25</v>
      </c>
      <c r="AC194" s="61" t="str">
        <v/>
      </c>
      <c r="AD194" s="62" t="str">
        <v>QFD33</v>
      </c>
      <c r="AE194" s="62" t="str">
        <v/>
      </c>
      <c r="AF194" s="34">
        <v>33</v>
      </c>
      <c r="AG194" s="34" t="str">
        <v>QFD33</v>
      </c>
      <c r="AH194" s="34" t="str">
        <v/>
      </c>
      <c r="AI194" s="34" t="str">
        <v/>
      </c>
      <c r="AJ194" s="34" t="str">
        <v>QFD33</v>
      </c>
      <c r="AK194" s="34">
        <v>1</v>
      </c>
      <c r="AL194" s="34" t="str">
        <v>R</v>
      </c>
      <c r="AM194" s="34">
        <v>30</v>
      </c>
      <c r="AN194" s="34">
        <v>0</v>
      </c>
      <c r="AO194" s="34">
        <v>16</v>
      </c>
      <c r="AP194" s="34">
        <v>25</v>
      </c>
      <c r="AQ194" s="34">
        <v>16</v>
      </c>
      <c r="AR194" s="34">
        <v>1</v>
      </c>
      <c r="AS194" s="34">
        <v>1</v>
      </c>
      <c r="AT194" s="34" t="str">
        <v>2P</v>
      </c>
      <c r="AU194" s="34">
        <v>16</v>
      </c>
      <c r="AV194" s="34" t="str">
        <v/>
      </c>
      <c r="AW194" s="34" t="str">
        <v/>
      </c>
      <c r="AX194" s="34" t="str">
        <v/>
      </c>
      <c r="AY194" s="34">
        <v>1</v>
      </c>
      <c r="AZ194" s="34" t="str">
        <v/>
      </c>
      <c r="BA194" s="34">
        <v>0</v>
      </c>
      <c r="BB194" s="34">
        <v>16</v>
      </c>
      <c r="BD194" s="34">
        <v>1</v>
      </c>
      <c r="BE194" s="34">
        <v>0</v>
      </c>
      <c r="BF194" s="34">
        <v>1</v>
      </c>
      <c r="BG194" s="34" t="str">
        <v/>
      </c>
      <c r="BH194" s="34" t="str">
        <v/>
      </c>
      <c r="BI194" s="34" t="str">
        <v/>
      </c>
      <c r="BJ194" s="34" t="str">
        <v/>
      </c>
      <c r="BK194" s="34" t="str">
        <v>SOCKET</v>
      </c>
      <c r="BL194" s="34">
        <v>1</v>
      </c>
      <c r="BM194" s="34" t="str">
        <v/>
      </c>
      <c r="BN194" s="34" t="str">
        <v/>
      </c>
      <c r="BO194" s="34" t="str">
        <v/>
      </c>
      <c r="BP194" s="34" t="str">
        <v/>
      </c>
      <c r="BQ194" s="34" t="str">
        <v>3х2,5</v>
      </c>
      <c r="BR194" s="34" t="str">
        <v/>
      </c>
      <c r="BS194" s="34" t="str">
        <v/>
      </c>
      <c r="BT194" s="34" t="str">
        <v/>
      </c>
      <c r="BU194" s="34">
        <v>0</v>
      </c>
      <c r="BV194" s="34">
        <v>215</v>
      </c>
      <c r="BW194" s="34">
        <v>1</v>
      </c>
      <c r="BX194" s="34">
        <v>0</v>
      </c>
      <c r="BY194" s="34" t="str">
        <v>Розетка</v>
      </c>
      <c r="BZ194">
        <v>9</v>
      </c>
      <c r="CA194" t="str">
        <v>линии</v>
      </c>
    </row>
    <row r="195" spans="1:79" x14ac:dyDescent="0.3">
      <c r="A195" s="39" t="str">
        <v>ЩР-01</v>
      </c>
      <c r="B195" s="42">
        <v>55</v>
      </c>
      <c r="C195" s="42">
        <v>4</v>
      </c>
      <c r="D195" s="75" t="str">
        <v/>
      </c>
      <c r="E195" s="75" t="str">
        <v>авто</v>
      </c>
      <c r="F195" s="76">
        <v>30</v>
      </c>
      <c r="G195" s="47" t="str">
        <v>QFD34</v>
      </c>
      <c r="H195" s="47" t="str">
        <v>2P С16А 30мА</v>
      </c>
      <c r="I195" s="75" t="str">
        <v/>
      </c>
      <c r="J195" s="76" t="str">
        <v/>
      </c>
      <c r="K195" s="76" t="str">
        <v/>
      </c>
      <c r="L195" s="75" t="str">
        <v/>
      </c>
      <c r="M195" s="49" t="str">
        <v/>
      </c>
      <c r="N195" s="76" t="str">
        <v/>
      </c>
      <c r="O195" s="49" t="str">
        <v/>
      </c>
      <c r="P195" s="77" t="str">
        <v/>
      </c>
      <c r="Q195" s="53" t="str">
        <v>ВВГнг(А)-LS (3х2,5) L=63-0,39%</v>
      </c>
      <c r="R195" s="54" t="str">
        <v>R.0.012A.2</v>
      </c>
      <c r="S195" s="55" t="str">
        <v>Розеточная группа, пом. 012A</v>
      </c>
      <c r="T195" s="56">
        <v>0.18</v>
      </c>
      <c r="U195" s="56">
        <v>0.83</v>
      </c>
      <c r="V195" s="42" t="str">
        <v>L1</v>
      </c>
      <c r="W195" s="57" t="str">
        <v>ok</v>
      </c>
      <c r="X195" s="58" t="str">
        <v/>
      </c>
      <c r="Y195" s="75" t="str">
        <v/>
      </c>
      <c r="Z195" s="59">
        <v>0.8204451193747313</v>
      </c>
      <c r="AA195" s="61">
        <v>16</v>
      </c>
      <c r="AB195" s="61">
        <v>25</v>
      </c>
      <c r="AC195" s="61" t="str">
        <v/>
      </c>
      <c r="AD195" s="62" t="str">
        <v>QFD34</v>
      </c>
      <c r="AE195" s="62" t="str">
        <v/>
      </c>
      <c r="AF195" s="34">
        <v>34</v>
      </c>
      <c r="AG195" s="34" t="str">
        <v>QFD34</v>
      </c>
      <c r="AH195" s="34" t="str">
        <v/>
      </c>
      <c r="AI195" s="34" t="str">
        <v/>
      </c>
      <c r="AJ195" s="34" t="str">
        <v>QFD34</v>
      </c>
      <c r="AK195" s="34">
        <v>1</v>
      </c>
      <c r="AL195" s="34" t="str">
        <v>R</v>
      </c>
      <c r="AM195" s="34">
        <v>30</v>
      </c>
      <c r="AN195" s="34">
        <v>0</v>
      </c>
      <c r="AO195" s="34">
        <v>16</v>
      </c>
      <c r="AP195" s="34">
        <v>25</v>
      </c>
      <c r="AQ195" s="34">
        <v>16</v>
      </c>
      <c r="AR195" s="34">
        <v>1</v>
      </c>
      <c r="AS195" s="34">
        <v>1</v>
      </c>
      <c r="AT195" s="34" t="str">
        <v>2P</v>
      </c>
      <c r="AU195" s="34">
        <v>16</v>
      </c>
      <c r="AV195" s="34" t="str">
        <v/>
      </c>
      <c r="AW195" s="34" t="str">
        <v/>
      </c>
      <c r="AX195" s="34" t="str">
        <v/>
      </c>
      <c r="AY195" s="34">
        <v>1</v>
      </c>
      <c r="AZ195" s="34" t="str">
        <v/>
      </c>
      <c r="BA195" s="34">
        <v>0</v>
      </c>
      <c r="BB195" s="34">
        <v>16</v>
      </c>
      <c r="BD195" s="34">
        <v>1</v>
      </c>
      <c r="BE195" s="34">
        <v>0</v>
      </c>
      <c r="BF195" s="34">
        <v>1</v>
      </c>
      <c r="BG195" s="34" t="str">
        <v/>
      </c>
      <c r="BH195" s="34" t="str">
        <v/>
      </c>
      <c r="BI195" s="34" t="str">
        <v/>
      </c>
      <c r="BJ195" s="34" t="str">
        <v/>
      </c>
      <c r="BK195" s="34" t="str">
        <v>SOCKET</v>
      </c>
      <c r="BL195" s="34">
        <v>1</v>
      </c>
      <c r="BM195" s="34" t="str">
        <v/>
      </c>
      <c r="BN195" s="34" t="str">
        <v/>
      </c>
      <c r="BO195" s="34" t="str">
        <v/>
      </c>
      <c r="BP195" s="34" t="str">
        <v/>
      </c>
      <c r="BQ195" s="34" t="str">
        <v>3х2,5</v>
      </c>
      <c r="BR195" s="34" t="str">
        <v/>
      </c>
      <c r="BS195" s="34" t="str">
        <v/>
      </c>
      <c r="BT195" s="34" t="str">
        <v/>
      </c>
      <c r="BU195" s="34">
        <v>0</v>
      </c>
      <c r="BV195" s="34">
        <v>216</v>
      </c>
      <c r="BW195" s="34">
        <v>1</v>
      </c>
      <c r="BX195" s="34">
        <v>0</v>
      </c>
      <c r="BY195" s="34" t="str">
        <v>Розетка</v>
      </c>
      <c r="BZ195">
        <v>9</v>
      </c>
      <c r="CA195" t="str">
        <v>линии</v>
      </c>
    </row>
    <row r="196" spans="1:79" x14ac:dyDescent="0.3">
      <c r="A196" s="39" t="str">
        <v>ЩР-01</v>
      </c>
      <c r="B196" s="42">
        <v>56</v>
      </c>
      <c r="C196" s="42">
        <v>4</v>
      </c>
      <c r="D196" s="75" t="str">
        <v/>
      </c>
      <c r="E196" s="75" t="str">
        <v>авто</v>
      </c>
      <c r="F196" s="76">
        <v>30</v>
      </c>
      <c r="G196" s="47" t="str">
        <v>QFD35</v>
      </c>
      <c r="H196" s="47" t="str">
        <v>2P С16А 30мА</v>
      </c>
      <c r="I196" s="75" t="str">
        <v/>
      </c>
      <c r="J196" s="76" t="str">
        <v/>
      </c>
      <c r="K196" s="76" t="str">
        <v/>
      </c>
      <c r="L196" s="75" t="str">
        <v/>
      </c>
      <c r="M196" s="49" t="str">
        <v/>
      </c>
      <c r="N196" s="76" t="str">
        <v/>
      </c>
      <c r="O196" s="49" t="str">
        <v/>
      </c>
      <c r="P196" s="77" t="str">
        <v/>
      </c>
      <c r="Q196" s="53" t="str">
        <v>ВВГнг(А)-LS (3х2,5) L=51-0,11%</v>
      </c>
      <c r="R196" s="54" t="str">
        <v>R.0.020A.1</v>
      </c>
      <c r="S196" s="55" t="str">
        <v>Розеточная группа, пом. 020A</v>
      </c>
      <c r="T196" s="56">
        <v>0.06</v>
      </c>
      <c r="U196" s="56">
        <v>0.28000000000000003</v>
      </c>
      <c r="V196" s="42" t="str">
        <v>L1</v>
      </c>
      <c r="W196" s="57" t="str">
        <v>ok</v>
      </c>
      <c r="X196" s="58" t="str">
        <v/>
      </c>
      <c r="Y196" s="75" t="str">
        <v/>
      </c>
      <c r="Z196" s="59">
        <v>0.27348170645824377</v>
      </c>
      <c r="AA196" s="61">
        <v>16</v>
      </c>
      <c r="AB196" s="61">
        <v>25</v>
      </c>
      <c r="AC196" s="61" t="str">
        <v/>
      </c>
      <c r="AD196" s="62" t="str">
        <v>QFD35</v>
      </c>
      <c r="AE196" s="62" t="str">
        <v/>
      </c>
      <c r="AF196" s="34">
        <v>35</v>
      </c>
      <c r="AG196" s="34" t="str">
        <v>QFD35</v>
      </c>
      <c r="AH196" s="34" t="str">
        <v/>
      </c>
      <c r="AI196" s="34" t="str">
        <v/>
      </c>
      <c r="AJ196" s="34" t="str">
        <v>QFD35</v>
      </c>
      <c r="AK196" s="34">
        <v>1</v>
      </c>
      <c r="AL196" s="34" t="str">
        <v>R</v>
      </c>
      <c r="AM196" s="34">
        <v>30</v>
      </c>
      <c r="AN196" s="34">
        <v>0</v>
      </c>
      <c r="AO196" s="34">
        <v>16</v>
      </c>
      <c r="AP196" s="34">
        <v>25</v>
      </c>
      <c r="AQ196" s="34">
        <v>16</v>
      </c>
      <c r="AR196" s="34">
        <v>1</v>
      </c>
      <c r="AS196" s="34">
        <v>1</v>
      </c>
      <c r="AT196" s="34" t="str">
        <v>2P</v>
      </c>
      <c r="AU196" s="34">
        <v>16</v>
      </c>
      <c r="AV196" s="34" t="str">
        <v/>
      </c>
      <c r="AW196" s="34" t="str">
        <v/>
      </c>
      <c r="AX196" s="34" t="str">
        <v/>
      </c>
      <c r="AY196" s="34">
        <v>1</v>
      </c>
      <c r="AZ196" s="34" t="str">
        <v/>
      </c>
      <c r="BA196" s="34">
        <v>0</v>
      </c>
      <c r="BB196" s="34">
        <v>16</v>
      </c>
      <c r="BD196" s="34">
        <v>1</v>
      </c>
      <c r="BE196" s="34">
        <v>0</v>
      </c>
      <c r="BF196" s="34">
        <v>1</v>
      </c>
      <c r="BG196" s="34" t="str">
        <v/>
      </c>
      <c r="BH196" s="34" t="str">
        <v/>
      </c>
      <c r="BI196" s="34" t="str">
        <v/>
      </c>
      <c r="BJ196" s="34" t="str">
        <v/>
      </c>
      <c r="BK196" s="34" t="str">
        <v>SOCKET</v>
      </c>
      <c r="BL196" s="34">
        <v>1</v>
      </c>
      <c r="BM196" s="34" t="str">
        <v/>
      </c>
      <c r="BN196" s="34" t="str">
        <v/>
      </c>
      <c r="BO196" s="34" t="str">
        <v/>
      </c>
      <c r="BP196" s="34" t="str">
        <v/>
      </c>
      <c r="BQ196" s="34" t="str">
        <v>3х2,5</v>
      </c>
      <c r="BR196" s="34" t="str">
        <v/>
      </c>
      <c r="BS196" s="34" t="str">
        <v/>
      </c>
      <c r="BT196" s="34" t="str">
        <v/>
      </c>
      <c r="BU196" s="34">
        <v>0</v>
      </c>
      <c r="BV196" s="34">
        <v>217</v>
      </c>
      <c r="BW196" s="34">
        <v>1</v>
      </c>
      <c r="BX196" s="34">
        <v>0</v>
      </c>
      <c r="BY196" s="34" t="str">
        <v>Розетка</v>
      </c>
      <c r="BZ196">
        <v>9</v>
      </c>
      <c r="CA196" t="str">
        <v>линии</v>
      </c>
    </row>
    <row r="197" spans="1:79" x14ac:dyDescent="0.3">
      <c r="A197" s="39" t="str">
        <v>ЩР-01</v>
      </c>
      <c r="B197" s="42">
        <v>62</v>
      </c>
      <c r="C197" s="42">
        <v>4</v>
      </c>
      <c r="D197" s="75" t="str">
        <v/>
      </c>
      <c r="E197" s="75" t="str">
        <v>авто</v>
      </c>
      <c r="F197" s="76" t="str">
        <v/>
      </c>
      <c r="G197" s="47" t="str">
        <v>QF36</v>
      </c>
      <c r="H197" s="47" t="str">
        <v>1P С25А</v>
      </c>
      <c r="I197" s="75" t="str">
        <v/>
      </c>
      <c r="J197" s="76" t="str">
        <v/>
      </c>
      <c r="K197" s="76" t="str">
        <v/>
      </c>
      <c r="L197" s="75" t="str">
        <v/>
      </c>
      <c r="M197" s="49" t="str">
        <v/>
      </c>
      <c r="N197" s="76" t="str">
        <v/>
      </c>
      <c r="O197" s="49" t="str">
        <v/>
      </c>
      <c r="P197" s="77" t="str">
        <v>XT36</v>
      </c>
      <c r="Q197" s="53" t="str">
        <v>ВВГнг(А)-LS (3х6) L=22-1,45%</v>
      </c>
      <c r="R197" s="54" t="str">
        <v>ШТК-1</v>
      </c>
      <c r="S197" s="55" t="str">
        <v>Шкаф телекоммуникационный ШТК-2 Цокольный этаж Пом. №002Т</v>
      </c>
      <c r="T197" s="56">
        <v>4.625</v>
      </c>
      <c r="U197" s="56">
        <v>21.09</v>
      </c>
      <c r="V197" s="42" t="str">
        <v>L1</v>
      </c>
      <c r="W197" s="57" t="str">
        <v>ok</v>
      </c>
      <c r="X197" s="58" t="str">
        <v/>
      </c>
      <c r="Y197" s="75" t="str">
        <v/>
      </c>
      <c r="Z197" s="59">
        <v>21.080881539489624</v>
      </c>
      <c r="AA197" s="61">
        <v>25</v>
      </c>
      <c r="AB197" s="61">
        <v>50</v>
      </c>
      <c r="AC197" s="61" t="str">
        <v/>
      </c>
      <c r="AD197" s="62" t="str">
        <v>QF36 → XT36</v>
      </c>
      <c r="AE197" s="62" t="str">
        <v/>
      </c>
      <c r="AF197" s="34">
        <v>36</v>
      </c>
      <c r="AG197" s="34" t="str">
        <v>QF36</v>
      </c>
      <c r="AH197" s="34" t="str">
        <v/>
      </c>
      <c r="AI197" s="34" t="str">
        <v/>
      </c>
      <c r="AJ197" s="34" t="str">
        <v>QF36</v>
      </c>
      <c r="AK197" s="34">
        <v>1</v>
      </c>
      <c r="AL197" s="34" t="str">
        <v>ШТК-1</v>
      </c>
      <c r="AM197" s="34">
        <v>0</v>
      </c>
      <c r="AN197" s="34">
        <v>0</v>
      </c>
      <c r="AO197" s="34">
        <v>25</v>
      </c>
      <c r="AP197" s="34">
        <v>50</v>
      </c>
      <c r="AQ197" s="34">
        <v>25</v>
      </c>
      <c r="AR197" s="34">
        <v>1</v>
      </c>
      <c r="AS197" s="34">
        <v>0</v>
      </c>
      <c r="AT197" s="34" t="str">
        <v>1P</v>
      </c>
      <c r="AU197" s="34">
        <v>25</v>
      </c>
      <c r="AV197" s="34" t="str">
        <v/>
      </c>
      <c r="AW197" s="34" t="str">
        <v/>
      </c>
      <c r="AX197" s="34" t="str">
        <v/>
      </c>
      <c r="AY197" s="34">
        <v>1</v>
      </c>
      <c r="AZ197" s="34" t="str">
        <v/>
      </c>
      <c r="BA197" s="34">
        <v>0</v>
      </c>
      <c r="BB197" s="34">
        <v>0</v>
      </c>
      <c r="BD197" s="34">
        <v>1</v>
      </c>
      <c r="BE197" s="34">
        <v>0</v>
      </c>
      <c r="BF197" s="34">
        <v>0</v>
      </c>
      <c r="BG197" s="34" t="str">
        <v/>
      </c>
      <c r="BH197" s="34" t="str">
        <v/>
      </c>
      <c r="BI197" s="34" t="str">
        <v/>
      </c>
      <c r="BJ197" s="34" t="str">
        <v/>
      </c>
      <c r="BK197" s="34" t="str">
        <v>BOX</v>
      </c>
      <c r="BL197" s="34">
        <v>1</v>
      </c>
      <c r="BM197" s="34" t="str">
        <v/>
      </c>
      <c r="BN197" s="34" t="str">
        <v/>
      </c>
      <c r="BO197" s="34" t="str">
        <v/>
      </c>
      <c r="BP197" s="34" t="str">
        <v/>
      </c>
      <c r="BQ197" s="34" t="str">
        <v>3х6</v>
      </c>
      <c r="BR197" s="34" t="str">
        <v/>
      </c>
      <c r="BS197" s="34" t="str">
        <v/>
      </c>
      <c r="BT197" s="34" t="str">
        <v/>
      </c>
      <c r="BU197" s="34">
        <v>0</v>
      </c>
      <c r="BV197" s="34">
        <v>218</v>
      </c>
      <c r="BW197" s="34">
        <v>1</v>
      </c>
      <c r="BX197" s="34">
        <v>0</v>
      </c>
      <c r="BY197" s="34" t="str">
        <v/>
      </c>
      <c r="BZ197">
        <v>9</v>
      </c>
      <c r="CA197" t="str">
        <v>линии</v>
      </c>
    </row>
    <row r="198" spans="1:79" x14ac:dyDescent="0.3">
      <c r="A198" s="39" t="str">
        <v>ЩР-01</v>
      </c>
      <c r="B198" s="42">
        <v>63</v>
      </c>
      <c r="C198" s="42">
        <v>4</v>
      </c>
      <c r="D198" s="75" t="str">
        <v/>
      </c>
      <c r="E198" s="75" t="str">
        <v>авто</v>
      </c>
      <c r="F198" s="76" t="str">
        <v/>
      </c>
      <c r="G198" s="47" t="str">
        <v>QF37</v>
      </c>
      <c r="H198" s="47" t="str">
        <v>1P С16А</v>
      </c>
      <c r="I198" s="75" t="str">
        <v/>
      </c>
      <c r="J198" s="76" t="str">
        <v/>
      </c>
      <c r="K198" s="76" t="str">
        <v/>
      </c>
      <c r="L198" s="75" t="str">
        <v/>
      </c>
      <c r="M198" s="49" t="str">
        <v/>
      </c>
      <c r="N198" s="76" t="str">
        <v/>
      </c>
      <c r="O198" s="49" t="str">
        <v/>
      </c>
      <c r="P198" s="77" t="str">
        <v>XT37</v>
      </c>
      <c r="Q198" s="53" t="str">
        <v>ВВГнг(А)-LS (3х2,5) L=25-2,29%</v>
      </c>
      <c r="R198" s="54" t="str">
        <v>ШТК-СОТ.0</v>
      </c>
      <c r="S198" s="55" t="str">
        <v>Шкаф телекоммуникационный ШТК-СОТ.0 Цокольный этаж Пом. №002Т</v>
      </c>
      <c r="T198" s="56">
        <v>2.7</v>
      </c>
      <c r="U198" s="56">
        <v>12.31</v>
      </c>
      <c r="V198" s="42" t="str">
        <v>L2</v>
      </c>
      <c r="W198" s="57" t="str">
        <v>ok</v>
      </c>
      <c r="X198" s="58" t="str">
        <v/>
      </c>
      <c r="Y198" s="75" t="str">
        <v/>
      </c>
      <c r="Z198" s="59">
        <v>12.306676790620971</v>
      </c>
      <c r="AA198" s="61">
        <v>16</v>
      </c>
      <c r="AB198" s="61">
        <v>25</v>
      </c>
      <c r="AC198" s="61" t="str">
        <v/>
      </c>
      <c r="AD198" s="62" t="str">
        <v>QF37 → XT37</v>
      </c>
      <c r="AE198" s="62" t="str">
        <v/>
      </c>
      <c r="AF198" s="34">
        <v>37</v>
      </c>
      <c r="AG198" s="34" t="str">
        <v>QF37</v>
      </c>
      <c r="AH198" s="34" t="str">
        <v/>
      </c>
      <c r="AI198" s="34" t="str">
        <v/>
      </c>
      <c r="AJ198" s="34" t="str">
        <v>QF37</v>
      </c>
      <c r="AK198" s="34">
        <v>1</v>
      </c>
      <c r="AL198" s="34" t="str">
        <v>ШТК-СОТ</v>
      </c>
      <c r="AM198" s="34">
        <v>0</v>
      </c>
      <c r="AN198" s="34">
        <v>0</v>
      </c>
      <c r="AO198" s="34">
        <v>16</v>
      </c>
      <c r="AP198" s="34">
        <v>25</v>
      </c>
      <c r="AQ198" s="34">
        <v>16</v>
      </c>
      <c r="AR198" s="34">
        <v>1</v>
      </c>
      <c r="AS198" s="34">
        <v>0</v>
      </c>
      <c r="AT198" s="34" t="str">
        <v>1P</v>
      </c>
      <c r="AU198" s="34">
        <v>16</v>
      </c>
      <c r="AV198" s="34" t="str">
        <v/>
      </c>
      <c r="AW198" s="34" t="str">
        <v/>
      </c>
      <c r="AX198" s="34" t="str">
        <v/>
      </c>
      <c r="AY198" s="34">
        <v>1</v>
      </c>
      <c r="AZ198" s="34" t="str">
        <v/>
      </c>
      <c r="BA198" s="34">
        <v>0</v>
      </c>
      <c r="BB198" s="34">
        <v>0</v>
      </c>
      <c r="BD198" s="34">
        <v>1</v>
      </c>
      <c r="BE198" s="34">
        <v>0</v>
      </c>
      <c r="BF198" s="34">
        <v>0</v>
      </c>
      <c r="BG198" s="34" t="str">
        <v/>
      </c>
      <c r="BH198" s="34" t="str">
        <v/>
      </c>
      <c r="BI198" s="34" t="str">
        <v/>
      </c>
      <c r="BJ198" s="34" t="str">
        <v/>
      </c>
      <c r="BK198" s="34" t="str">
        <v>BOX</v>
      </c>
      <c r="BL198" s="34">
        <v>1</v>
      </c>
      <c r="BM198" s="34" t="str">
        <v/>
      </c>
      <c r="BN198" s="34" t="str">
        <v/>
      </c>
      <c r="BO198" s="34" t="str">
        <v/>
      </c>
      <c r="BP198" s="34" t="str">
        <v/>
      </c>
      <c r="BQ198" s="34" t="str">
        <v>3х2,5</v>
      </c>
      <c r="BR198" s="34" t="str">
        <v/>
      </c>
      <c r="BS198" s="34" t="str">
        <v/>
      </c>
      <c r="BT198" s="34" t="str">
        <v/>
      </c>
      <c r="BU198" s="34">
        <v>0</v>
      </c>
      <c r="BV198" s="34">
        <v>219</v>
      </c>
      <c r="BW198" s="34">
        <v>1</v>
      </c>
      <c r="BX198" s="34">
        <v>0</v>
      </c>
      <c r="BY198" s="34">
        <v>0</v>
      </c>
      <c r="BZ198">
        <v>9</v>
      </c>
      <c r="CA198" t="str">
        <v>линии</v>
      </c>
    </row>
    <row r="199" spans="1:79" x14ac:dyDescent="0.3">
      <c r="A199" s="39" t="str">
        <v>ЩР-01</v>
      </c>
      <c r="B199" s="42">
        <v>64</v>
      </c>
      <c r="C199" s="42">
        <v>4</v>
      </c>
      <c r="D199" s="75" t="str">
        <v/>
      </c>
      <c r="E199" s="75" t="str">
        <v>авто</v>
      </c>
      <c r="F199" s="76" t="str">
        <v/>
      </c>
      <c r="G199" s="47" t="str">
        <v>QF38</v>
      </c>
      <c r="H199" s="47" t="str">
        <v>1P С16А</v>
      </c>
      <c r="I199" s="75" t="str">
        <v/>
      </c>
      <c r="J199" s="76" t="str">
        <v/>
      </c>
      <c r="K199" s="76" t="str">
        <v/>
      </c>
      <c r="L199" s="75" t="str">
        <v/>
      </c>
      <c r="M199" s="49" t="str">
        <v/>
      </c>
      <c r="N199" s="76" t="str">
        <v/>
      </c>
      <c r="O199" s="49" t="str">
        <v/>
      </c>
      <c r="P199" s="77" t="str">
        <v>XT38</v>
      </c>
      <c r="Q199" s="53" t="str">
        <v>ВВГнг(А)-LS (3х2,5) L=27-2,47%</v>
      </c>
      <c r="R199" s="54" t="str">
        <v>ШТК-ЛВС.0</v>
      </c>
      <c r="S199" s="55" t="str">
        <v>Шкаф телекоммуникационный ШТК-ЛВС.0 Цокольный этаж Пом. №002Т</v>
      </c>
      <c r="T199" s="56">
        <v>2.7</v>
      </c>
      <c r="U199" s="56">
        <v>12.31</v>
      </c>
      <c r="V199" s="42" t="str">
        <v>L3</v>
      </c>
      <c r="W199" s="57" t="str">
        <v>ok</v>
      </c>
      <c r="X199" s="58" t="str">
        <v/>
      </c>
      <c r="Y199" s="75" t="str">
        <v/>
      </c>
      <c r="Z199" s="59">
        <v>12.306676790620971</v>
      </c>
      <c r="AA199" s="61">
        <v>16</v>
      </c>
      <c r="AB199" s="61">
        <v>25</v>
      </c>
      <c r="AC199" s="61" t="str">
        <v/>
      </c>
      <c r="AD199" s="62" t="str">
        <v>QF38 → XT38</v>
      </c>
      <c r="AE199" s="62" t="str">
        <v/>
      </c>
      <c r="AF199" s="34">
        <v>38</v>
      </c>
      <c r="AG199" s="34" t="str">
        <v>QF38</v>
      </c>
      <c r="AH199" s="34" t="str">
        <v/>
      </c>
      <c r="AI199" s="34" t="str">
        <v/>
      </c>
      <c r="AJ199" s="34" t="str">
        <v>QF38</v>
      </c>
      <c r="AK199" s="34">
        <v>1</v>
      </c>
      <c r="AL199" s="34" t="str">
        <v>ШТК-ЛВС</v>
      </c>
      <c r="AM199" s="34">
        <v>0</v>
      </c>
      <c r="AN199" s="34">
        <v>0</v>
      </c>
      <c r="AO199" s="34">
        <v>16</v>
      </c>
      <c r="AP199" s="34">
        <v>25</v>
      </c>
      <c r="AQ199" s="34">
        <v>16</v>
      </c>
      <c r="AR199" s="34">
        <v>1</v>
      </c>
      <c r="AS199" s="34">
        <v>0</v>
      </c>
      <c r="AT199" s="34" t="str">
        <v>1P</v>
      </c>
      <c r="AU199" s="34">
        <v>16</v>
      </c>
      <c r="AV199" s="34" t="str">
        <v/>
      </c>
      <c r="AW199" s="34" t="str">
        <v/>
      </c>
      <c r="AX199" s="34" t="str">
        <v/>
      </c>
      <c r="AY199" s="34">
        <v>1</v>
      </c>
      <c r="AZ199" s="34" t="str">
        <v/>
      </c>
      <c r="BA199" s="34">
        <v>0</v>
      </c>
      <c r="BB199" s="34">
        <v>0</v>
      </c>
      <c r="BD199" s="34">
        <v>1</v>
      </c>
      <c r="BE199" s="34">
        <v>0</v>
      </c>
      <c r="BF199" s="34">
        <v>0</v>
      </c>
      <c r="BG199" s="34" t="str">
        <v/>
      </c>
      <c r="BH199" s="34" t="str">
        <v/>
      </c>
      <c r="BI199" s="34" t="str">
        <v/>
      </c>
      <c r="BJ199" s="34" t="str">
        <v/>
      </c>
      <c r="BK199" s="34" t="str">
        <v>BOX</v>
      </c>
      <c r="BL199" s="34">
        <v>1</v>
      </c>
      <c r="BM199" s="34" t="str">
        <v/>
      </c>
      <c r="BN199" s="34" t="str">
        <v/>
      </c>
      <c r="BO199" s="34" t="str">
        <v/>
      </c>
      <c r="BP199" s="34" t="str">
        <v/>
      </c>
      <c r="BQ199" s="34" t="str">
        <v>3х2,5</v>
      </c>
      <c r="BR199" s="34" t="str">
        <v/>
      </c>
      <c r="BS199" s="34" t="str">
        <v/>
      </c>
      <c r="BT199" s="34" t="str">
        <v/>
      </c>
      <c r="BU199" s="34">
        <v>0</v>
      </c>
      <c r="BV199" s="34">
        <v>220</v>
      </c>
      <c r="BW199" s="34">
        <v>1</v>
      </c>
      <c r="BX199" s="34">
        <v>0</v>
      </c>
      <c r="BY199" s="34">
        <v>0</v>
      </c>
      <c r="BZ199">
        <v>9</v>
      </c>
      <c r="CA199" t="str">
        <v>линии</v>
      </c>
    </row>
    <row r="200" spans="1:79" x14ac:dyDescent="0.3">
      <c r="A200" s="39" t="str">
        <v>ЩР-01</v>
      </c>
      <c r="B200" s="42">
        <v>66</v>
      </c>
      <c r="C200" s="42">
        <v>4</v>
      </c>
      <c r="D200" s="75" t="str">
        <v/>
      </c>
      <c r="E200" s="75" t="str">
        <v>авто</v>
      </c>
      <c r="F200" s="76" t="str">
        <v/>
      </c>
      <c r="G200" s="47" t="str">
        <v>QF39</v>
      </c>
      <c r="H200" s="47" t="str">
        <v>1P С16А</v>
      </c>
      <c r="I200" s="75" t="str">
        <v/>
      </c>
      <c r="J200" s="76" t="str">
        <v/>
      </c>
      <c r="K200" s="76" t="str">
        <v/>
      </c>
      <c r="L200" s="75" t="str">
        <v/>
      </c>
      <c r="M200" s="49" t="str">
        <v/>
      </c>
      <c r="N200" s="76" t="str">
        <v/>
      </c>
      <c r="O200" s="49" t="str">
        <v/>
      </c>
      <c r="P200" s="77" t="str">
        <v>XT39</v>
      </c>
      <c r="Q200" s="53" t="str">
        <v>ВВГнг(А)-LS (3х2,5) L=12-0,13%</v>
      </c>
      <c r="R200" s="54" t="str">
        <v>ЩДК-01</v>
      </c>
      <c r="S200" s="55" t="str">
        <v>Щит контроля доступа ШДК-01 Цокольный этаж Пом. №001Т</v>
      </c>
      <c r="T200" s="56">
        <v>0.3</v>
      </c>
      <c r="U200" s="56">
        <v>1.37</v>
      </c>
      <c r="V200" s="42" t="str">
        <v>L1</v>
      </c>
      <c r="W200" s="57" t="str">
        <v>ok</v>
      </c>
      <c r="X200" s="58" t="str">
        <v/>
      </c>
      <c r="Y200" s="75" t="str">
        <v/>
      </c>
      <c r="Z200" s="59">
        <v>1.3674085322912188</v>
      </c>
      <c r="AA200" s="61">
        <v>6</v>
      </c>
      <c r="AB200" s="61">
        <v>25</v>
      </c>
      <c r="AC200" s="61" t="str">
        <v/>
      </c>
      <c r="AD200" s="62" t="str">
        <v>QF39 → XT39</v>
      </c>
      <c r="AE200" s="62" t="str">
        <v/>
      </c>
      <c r="AF200" s="34">
        <v>39</v>
      </c>
      <c r="AG200" s="34" t="str">
        <v>QF39</v>
      </c>
      <c r="AH200" s="34" t="str">
        <v/>
      </c>
      <c r="AI200" s="34" t="str">
        <v/>
      </c>
      <c r="AJ200" s="34" t="str">
        <v>QF39</v>
      </c>
      <c r="AK200" s="34">
        <v>1</v>
      </c>
      <c r="AL200" s="34" t="str">
        <v>ЩДК-01</v>
      </c>
      <c r="AM200" s="34">
        <v>0</v>
      </c>
      <c r="AN200" s="34">
        <v>0</v>
      </c>
      <c r="AO200" s="34">
        <v>6</v>
      </c>
      <c r="AP200" s="34">
        <v>25</v>
      </c>
      <c r="AQ200" s="34">
        <v>16</v>
      </c>
      <c r="AR200" s="34">
        <v>1</v>
      </c>
      <c r="AS200" s="34">
        <v>0</v>
      </c>
      <c r="AT200" s="34" t="str">
        <v>1P</v>
      </c>
      <c r="AU200" s="34">
        <v>16</v>
      </c>
      <c r="AV200" s="34" t="str">
        <v/>
      </c>
      <c r="AW200" s="34" t="str">
        <v/>
      </c>
      <c r="AX200" s="34" t="str">
        <v/>
      </c>
      <c r="AY200" s="34">
        <v>1</v>
      </c>
      <c r="AZ200" s="34" t="str">
        <v/>
      </c>
      <c r="BA200" s="34">
        <v>0</v>
      </c>
      <c r="BB200" s="34">
        <v>0</v>
      </c>
      <c r="BD200" s="34">
        <v>1</v>
      </c>
      <c r="BE200" s="34">
        <v>0</v>
      </c>
      <c r="BF200" s="34">
        <v>0</v>
      </c>
      <c r="BG200" s="34" t="str">
        <v/>
      </c>
      <c r="BH200" s="34" t="str">
        <v/>
      </c>
      <c r="BI200" s="34" t="str">
        <v/>
      </c>
      <c r="BJ200" s="34" t="str">
        <v/>
      </c>
      <c r="BK200" s="34" t="str">
        <v>BOX</v>
      </c>
      <c r="BL200" s="34">
        <v>1</v>
      </c>
      <c r="BM200" s="34" t="str">
        <v/>
      </c>
      <c r="BN200" s="34" t="str">
        <v/>
      </c>
      <c r="BO200" s="34" t="str">
        <v/>
      </c>
      <c r="BP200" s="34" t="str">
        <v/>
      </c>
      <c r="BQ200" s="34" t="str">
        <v>3х2,5</v>
      </c>
      <c r="BR200" s="34" t="str">
        <v/>
      </c>
      <c r="BS200" s="34" t="str">
        <v/>
      </c>
      <c r="BT200" s="34" t="str">
        <v/>
      </c>
      <c r="BU200" s="34">
        <v>0</v>
      </c>
      <c r="BV200" s="34">
        <v>221</v>
      </c>
      <c r="BW200" s="34">
        <v>1</v>
      </c>
      <c r="BX200" s="34">
        <v>0</v>
      </c>
      <c r="BY200" s="34" t="str">
        <v/>
      </c>
      <c r="BZ200">
        <v>9</v>
      </c>
      <c r="CA200" t="str">
        <v>линии</v>
      </c>
    </row>
    <row r="201" spans="1:79" x14ac:dyDescent="0.3">
      <c r="A201" s="39" t="str">
        <v>ЩР-1</v>
      </c>
      <c r="B201" s="42">
        <v>2</v>
      </c>
      <c r="C201" s="42">
        <v>1</v>
      </c>
      <c r="D201" s="75" t="str">
        <v/>
      </c>
      <c r="E201" s="75" t="str">
        <v>авто</v>
      </c>
      <c r="F201" s="76" t="str">
        <v/>
      </c>
      <c r="G201" s="47" t="str">
        <v/>
      </c>
      <c r="H201" s="47" t="str">
        <v>3P С63А</v>
      </c>
      <c r="I201" s="75" t="str">
        <v/>
      </c>
      <c r="J201" s="76" t="str">
        <v/>
      </c>
      <c r="K201" s="76" t="str">
        <v/>
      </c>
      <c r="L201" s="75" t="str">
        <v/>
      </c>
      <c r="M201" s="49" t="str">
        <v/>
      </c>
      <c r="N201" s="76" t="str">
        <v/>
      </c>
      <c r="O201" s="49" t="str">
        <v/>
      </c>
      <c r="P201" s="77" t="str">
        <v/>
      </c>
      <c r="Q201" s="53" t="str">
        <v/>
      </c>
      <c r="R201" s="54" t="str">
        <v>Ввод.1</v>
      </c>
      <c r="S201" s="55" t="str">
        <v>Ввод</v>
      </c>
      <c r="T201" s="56">
        <v>0</v>
      </c>
      <c r="U201" s="56">
        <v>30.96</v>
      </c>
      <c r="V201" s="42" t="str">
        <v>L1,L2,L3</v>
      </c>
      <c r="W201" s="57" t="str">
        <v>ok</v>
      </c>
      <c r="X201" s="58" t="str">
        <v/>
      </c>
      <c r="Y201" s="75" t="str">
        <v>вручную</v>
      </c>
      <c r="Z201" s="59">
        <v>30.958664828377682</v>
      </c>
      <c r="AA201" s="61">
        <v>40</v>
      </c>
      <c r="AB201" s="61">
        <v>63</v>
      </c>
      <c r="AC201" s="61" t="str">
        <v/>
      </c>
      <c r="AD201" s="62" t="str">
        <v/>
      </c>
      <c r="AE201" s="62" t="str">
        <v/>
      </c>
      <c r="AF201" s="34" t="str">
        <v/>
      </c>
      <c r="AG201" s="34" t="str">
        <v/>
      </c>
      <c r="AH201" s="34" t="str">
        <v/>
      </c>
      <c r="AI201" s="34" t="str">
        <v/>
      </c>
      <c r="AJ201" s="34" t="str">
        <v/>
      </c>
      <c r="AK201" s="34">
        <v>3</v>
      </c>
      <c r="AL201" s="34" t="str">
        <v>Ввод</v>
      </c>
      <c r="AM201" s="34">
        <v>0</v>
      </c>
      <c r="AN201" s="34">
        <v>0</v>
      </c>
      <c r="AO201" s="34">
        <v>40</v>
      </c>
      <c r="AP201" s="34">
        <v>63</v>
      </c>
      <c r="AQ201" s="34">
        <v>63</v>
      </c>
      <c r="AR201" s="34">
        <v>3</v>
      </c>
      <c r="AS201" s="34">
        <v>0</v>
      </c>
      <c r="AT201" s="34" t="str">
        <v>3P</v>
      </c>
      <c r="AU201" s="34">
        <v>63</v>
      </c>
      <c r="AV201" s="34" t="str">
        <v/>
      </c>
      <c r="AW201" s="34" t="str">
        <v/>
      </c>
      <c r="AX201" s="34" t="str">
        <v/>
      </c>
      <c r="AY201" s="34">
        <v>0</v>
      </c>
      <c r="AZ201" s="34" t="str">
        <v/>
      </c>
      <c r="BA201" s="34">
        <v>0</v>
      </c>
      <c r="BB201" s="34">
        <v>0</v>
      </c>
      <c r="BD201" s="34">
        <v>0</v>
      </c>
      <c r="BE201" s="34">
        <v>0</v>
      </c>
      <c r="BF201" s="34">
        <v>0</v>
      </c>
      <c r="BG201" s="34" t="str">
        <v/>
      </c>
      <c r="BH201" s="34" t="str">
        <v/>
      </c>
      <c r="BI201" s="34" t="str">
        <v/>
      </c>
      <c r="BJ201" s="34" t="str">
        <v/>
      </c>
      <c r="BK201" s="34" t="str">
        <v>BOX</v>
      </c>
      <c r="BL201" s="34">
        <v>1</v>
      </c>
      <c r="BM201" s="34" t="str">
        <v/>
      </c>
      <c r="BN201" s="34" t="str">
        <v/>
      </c>
      <c r="BO201" s="34" t="str">
        <v/>
      </c>
      <c r="BP201" s="34" t="str">
        <v/>
      </c>
      <c r="BQ201" s="34" t="str">
        <v/>
      </c>
      <c r="BR201" s="34" t="str">
        <v/>
      </c>
      <c r="BS201" s="34" t="str">
        <v/>
      </c>
      <c r="BT201" s="34" t="str">
        <v/>
      </c>
      <c r="BU201" s="34">
        <v>0</v>
      </c>
      <c r="BV201" s="34">
        <v>222</v>
      </c>
      <c r="BW201" s="34">
        <v>0</v>
      </c>
      <c r="BX201" s="34">
        <v>0</v>
      </c>
      <c r="BY201" s="34">
        <v>0</v>
      </c>
      <c r="BZ201">
        <v>10</v>
      </c>
      <c r="CA201" t="str">
        <v>вводной узел</v>
      </c>
    </row>
    <row r="202" spans="1:79" x14ac:dyDescent="0.3">
      <c r="A202" s="39" t="str">
        <v>ЩР-1</v>
      </c>
      <c r="B202" s="42">
        <v>18</v>
      </c>
      <c r="C202" s="42">
        <v>2</v>
      </c>
      <c r="D202" s="75" t="str">
        <v/>
      </c>
      <c r="E202" s="75" t="str">
        <v>авто</v>
      </c>
      <c r="F202" s="76">
        <v>30</v>
      </c>
      <c r="G202" s="47" t="str">
        <v>QFD1</v>
      </c>
      <c r="H202" s="47" t="str">
        <v>2P С16А 30мА</v>
      </c>
      <c r="I202" s="75" t="str">
        <v/>
      </c>
      <c r="J202" s="76" t="str">
        <v/>
      </c>
      <c r="K202" s="76" t="str">
        <v/>
      </c>
      <c r="L202" s="75" t="str">
        <v/>
      </c>
      <c r="M202" s="49" t="str">
        <v/>
      </c>
      <c r="N202" s="76" t="str">
        <v/>
      </c>
      <c r="O202" s="49" t="str">
        <v/>
      </c>
      <c r="P202" s="77" t="str">
        <v>XT1</v>
      </c>
      <c r="Q202" s="53" t="str">
        <v>ВВГнг(А)-LS (3х2,5) L=81-0,99%</v>
      </c>
      <c r="R202" s="54" t="str">
        <v>R.1.001A.1</v>
      </c>
      <c r="S202" s="55" t="str">
        <v>Розеточная группа, пом. 001A</v>
      </c>
      <c r="T202" s="56">
        <v>0.36</v>
      </c>
      <c r="U202" s="56">
        <v>1.65</v>
      </c>
      <c r="V202" s="42" t="str">
        <v>L3</v>
      </c>
      <c r="W202" s="57" t="str">
        <v>ok</v>
      </c>
      <c r="X202" s="58" t="str">
        <v/>
      </c>
      <c r="Y202" s="75" t="str">
        <v/>
      </c>
      <c r="Z202" s="59">
        <v>1.6408902387494626</v>
      </c>
      <c r="AA202" s="61">
        <v>16</v>
      </c>
      <c r="AB202" s="61">
        <v>25</v>
      </c>
      <c r="AC202" s="61" t="str">
        <v/>
      </c>
      <c r="AD202" s="62" t="str">
        <v>QFD1 → XT1</v>
      </c>
      <c r="AE202" s="62" t="str">
        <v/>
      </c>
      <c r="AF202" s="34">
        <v>1</v>
      </c>
      <c r="AG202" s="34" t="str">
        <v>QFD1</v>
      </c>
      <c r="AH202" s="34" t="str">
        <v/>
      </c>
      <c r="AI202" s="34" t="str">
        <v/>
      </c>
      <c r="AJ202" s="34" t="str">
        <v>QFD1</v>
      </c>
      <c r="AK202" s="34">
        <v>1</v>
      </c>
      <c r="AL202" s="34" t="str">
        <v>R</v>
      </c>
      <c r="AM202" s="34">
        <v>30</v>
      </c>
      <c r="AN202" s="34">
        <v>0</v>
      </c>
      <c r="AO202" s="34">
        <v>16</v>
      </c>
      <c r="AP202" s="34">
        <v>25</v>
      </c>
      <c r="AQ202" s="34">
        <v>16</v>
      </c>
      <c r="AR202" s="34">
        <v>1</v>
      </c>
      <c r="AS202" s="34">
        <v>1</v>
      </c>
      <c r="AT202" s="34" t="str">
        <v>2P</v>
      </c>
      <c r="AU202" s="34">
        <v>16</v>
      </c>
      <c r="AV202" s="34" t="str">
        <v/>
      </c>
      <c r="AW202" s="34" t="str">
        <v/>
      </c>
      <c r="AX202" s="34" t="str">
        <v/>
      </c>
      <c r="AY202" s="34">
        <v>1</v>
      </c>
      <c r="AZ202" s="34" t="str">
        <v/>
      </c>
      <c r="BA202" s="34">
        <v>0</v>
      </c>
      <c r="BB202" s="34">
        <v>16</v>
      </c>
      <c r="BD202" s="34">
        <v>1</v>
      </c>
      <c r="BE202" s="34">
        <v>0</v>
      </c>
      <c r="BF202" s="34">
        <v>1</v>
      </c>
      <c r="BG202" s="34" t="str">
        <v/>
      </c>
      <c r="BH202" s="34" t="str">
        <v/>
      </c>
      <c r="BI202" s="34" t="str">
        <v/>
      </c>
      <c r="BJ202" s="34" t="str">
        <v/>
      </c>
      <c r="BK202" s="34" t="str">
        <v>SOCKET</v>
      </c>
      <c r="BL202" s="34">
        <v>1</v>
      </c>
      <c r="BM202" s="34" t="str">
        <v/>
      </c>
      <c r="BN202" s="34" t="str">
        <v/>
      </c>
      <c r="BO202" s="34" t="str">
        <v/>
      </c>
      <c r="BP202" s="34" t="str">
        <v/>
      </c>
      <c r="BQ202" s="34" t="str">
        <v>3х2,5</v>
      </c>
      <c r="BR202" s="34" t="str">
        <v/>
      </c>
      <c r="BS202" s="34" t="str">
        <v/>
      </c>
      <c r="BT202" s="34" t="str">
        <v/>
      </c>
      <c r="BU202" s="34">
        <v>0</v>
      </c>
      <c r="BV202" s="34">
        <v>223</v>
      </c>
      <c r="BW202" s="34">
        <v>1</v>
      </c>
      <c r="BX202" s="34">
        <v>0</v>
      </c>
      <c r="BY202" s="34" t="str">
        <v>Розетка</v>
      </c>
      <c r="BZ202">
        <v>10</v>
      </c>
      <c r="CA202" t="str">
        <v>линии</v>
      </c>
    </row>
    <row r="203" spans="1:79" x14ac:dyDescent="0.3">
      <c r="A203" s="39" t="str">
        <v>ЩР-1</v>
      </c>
      <c r="B203" s="42">
        <v>19</v>
      </c>
      <c r="C203" s="42">
        <v>2</v>
      </c>
      <c r="D203" s="75" t="str">
        <v/>
      </c>
      <c r="E203" s="75" t="str">
        <v>авто</v>
      </c>
      <c r="F203" s="76">
        <v>30</v>
      </c>
      <c r="G203" s="47" t="str">
        <v>QFD2</v>
      </c>
      <c r="H203" s="47" t="str">
        <v>2P С16А 30мА</v>
      </c>
      <c r="I203" s="75" t="str">
        <v/>
      </c>
      <c r="J203" s="76" t="str">
        <v/>
      </c>
      <c r="K203" s="76" t="str">
        <v/>
      </c>
      <c r="L203" s="75" t="str">
        <v/>
      </c>
      <c r="M203" s="49" t="str">
        <v/>
      </c>
      <c r="N203" s="76" t="str">
        <v/>
      </c>
      <c r="O203" s="49" t="str">
        <v/>
      </c>
      <c r="P203" s="77" t="str">
        <v>XT2</v>
      </c>
      <c r="Q203" s="53" t="str">
        <v>ВВГнг(А)-LS (3х2,5) L=73-0,3%</v>
      </c>
      <c r="R203" s="54" t="str">
        <v>R.1.001Aб.1</v>
      </c>
      <c r="S203" s="55" t="str">
        <v>Розеточная группа Первый этаж Пом. №001Aб, 002Аб</v>
      </c>
      <c r="T203" s="56">
        <v>0.12</v>
      </c>
      <c r="U203" s="56">
        <v>0.55000000000000004</v>
      </c>
      <c r="V203" s="42" t="str">
        <v>L2</v>
      </c>
      <c r="W203" s="57" t="str">
        <v>ok</v>
      </c>
      <c r="X203" s="58" t="str">
        <v/>
      </c>
      <c r="Y203" s="75" t="str">
        <v/>
      </c>
      <c r="Z203" s="59">
        <v>0.54696341291648753</v>
      </c>
      <c r="AA203" s="61">
        <v>16</v>
      </c>
      <c r="AB203" s="61">
        <v>25</v>
      </c>
      <c r="AC203" s="61" t="str">
        <v/>
      </c>
      <c r="AD203" s="62" t="str">
        <v>QFD2 → XT2</v>
      </c>
      <c r="AE203" s="62" t="str">
        <v/>
      </c>
      <c r="AF203" s="34">
        <v>2</v>
      </c>
      <c r="AG203" s="34" t="str">
        <v>QFD2</v>
      </c>
      <c r="AH203" s="34" t="str">
        <v/>
      </c>
      <c r="AI203" s="34" t="str">
        <v/>
      </c>
      <c r="AJ203" s="34" t="str">
        <v>QFD2</v>
      </c>
      <c r="AK203" s="34">
        <v>1</v>
      </c>
      <c r="AL203" s="34" t="str">
        <v>R</v>
      </c>
      <c r="AM203" s="34">
        <v>30</v>
      </c>
      <c r="AN203" s="34">
        <v>0</v>
      </c>
      <c r="AO203" s="34">
        <v>16</v>
      </c>
      <c r="AP203" s="34">
        <v>25</v>
      </c>
      <c r="AQ203" s="34">
        <v>16</v>
      </c>
      <c r="AR203" s="34">
        <v>1</v>
      </c>
      <c r="AS203" s="34">
        <v>1</v>
      </c>
      <c r="AT203" s="34" t="str">
        <v>2P</v>
      </c>
      <c r="AU203" s="34">
        <v>16</v>
      </c>
      <c r="AV203" s="34" t="str">
        <v/>
      </c>
      <c r="AW203" s="34" t="str">
        <v/>
      </c>
      <c r="AX203" s="34" t="str">
        <v/>
      </c>
      <c r="AY203" s="34">
        <v>1</v>
      </c>
      <c r="AZ203" s="34" t="str">
        <v/>
      </c>
      <c r="BA203" s="34">
        <v>0</v>
      </c>
      <c r="BB203" s="34">
        <v>16</v>
      </c>
      <c r="BD203" s="34">
        <v>1</v>
      </c>
      <c r="BE203" s="34">
        <v>0</v>
      </c>
      <c r="BF203" s="34">
        <v>1</v>
      </c>
      <c r="BG203" s="34" t="str">
        <v/>
      </c>
      <c r="BH203" s="34" t="str">
        <v/>
      </c>
      <c r="BI203" s="34" t="str">
        <v/>
      </c>
      <c r="BJ203" s="34" t="str">
        <v/>
      </c>
      <c r="BK203" s="34" t="str">
        <v>SOCKET</v>
      </c>
      <c r="BL203" s="34">
        <v>1</v>
      </c>
      <c r="BM203" s="34" t="str">
        <v/>
      </c>
      <c r="BN203" s="34" t="str">
        <v/>
      </c>
      <c r="BO203" s="34" t="str">
        <v/>
      </c>
      <c r="BP203" s="34" t="str">
        <v/>
      </c>
      <c r="BQ203" s="34" t="str">
        <v>3х2,5</v>
      </c>
      <c r="BR203" s="34" t="str">
        <v/>
      </c>
      <c r="BS203" s="34" t="str">
        <v/>
      </c>
      <c r="BT203" s="34" t="str">
        <v/>
      </c>
      <c r="BU203" s="34">
        <v>0</v>
      </c>
      <c r="BV203" s="34">
        <v>224</v>
      </c>
      <c r="BW203" s="34">
        <v>1</v>
      </c>
      <c r="BX203" s="34">
        <v>0</v>
      </c>
      <c r="BY203" s="34" t="str">
        <v>Розетка</v>
      </c>
      <c r="BZ203">
        <v>10</v>
      </c>
      <c r="CA203" t="str">
        <v>линии</v>
      </c>
    </row>
    <row r="204" spans="1:79" x14ac:dyDescent="0.3">
      <c r="A204" s="39" t="str">
        <v>ЩР-1</v>
      </c>
      <c r="B204" s="42">
        <v>20</v>
      </c>
      <c r="C204" s="42">
        <v>2</v>
      </c>
      <c r="D204" s="75" t="str">
        <v/>
      </c>
      <c r="E204" s="75" t="str">
        <v>авто</v>
      </c>
      <c r="F204" s="76">
        <v>30</v>
      </c>
      <c r="G204" s="47" t="str">
        <v>QFD3</v>
      </c>
      <c r="H204" s="47" t="str">
        <v>2P С16А 30мА</v>
      </c>
      <c r="I204" s="75" t="str">
        <v/>
      </c>
      <c r="J204" s="76" t="str">
        <v/>
      </c>
      <c r="K204" s="76" t="str">
        <v/>
      </c>
      <c r="L204" s="75" t="str">
        <v/>
      </c>
      <c r="M204" s="49" t="str">
        <v/>
      </c>
      <c r="N204" s="76" t="str">
        <v/>
      </c>
      <c r="O204" s="49" t="str">
        <v/>
      </c>
      <c r="P204" s="77" t="str">
        <v>XT3</v>
      </c>
      <c r="Q204" s="53" t="str">
        <v>ВВГнг(А)-LS (3х2,5) L=59-0,24%</v>
      </c>
      <c r="R204" s="54" t="str">
        <v>R.1.001Г.1</v>
      </c>
      <c r="S204" s="55" t="str">
        <v>Розеточная группа, пом. 001Г</v>
      </c>
      <c r="T204" s="56">
        <v>0.12</v>
      </c>
      <c r="U204" s="56">
        <v>0.55000000000000004</v>
      </c>
      <c r="V204" s="42" t="str">
        <v>L1</v>
      </c>
      <c r="W204" s="57" t="str">
        <v>ok</v>
      </c>
      <c r="X204" s="58" t="str">
        <v/>
      </c>
      <c r="Y204" s="75" t="str">
        <v/>
      </c>
      <c r="Z204" s="59">
        <v>0.54696341291648753</v>
      </c>
      <c r="AA204" s="61">
        <v>16</v>
      </c>
      <c r="AB204" s="61">
        <v>25</v>
      </c>
      <c r="AC204" s="61" t="str">
        <v/>
      </c>
      <c r="AD204" s="62" t="str">
        <v>QFD3 → XT3</v>
      </c>
      <c r="AE204" s="62" t="str">
        <v/>
      </c>
      <c r="AF204" s="34">
        <v>3</v>
      </c>
      <c r="AG204" s="34" t="str">
        <v>QFD3</v>
      </c>
      <c r="AH204" s="34" t="str">
        <v/>
      </c>
      <c r="AI204" s="34" t="str">
        <v/>
      </c>
      <c r="AJ204" s="34" t="str">
        <v>QFD3</v>
      </c>
      <c r="AK204" s="34">
        <v>1</v>
      </c>
      <c r="AL204" s="34" t="str">
        <v>R</v>
      </c>
      <c r="AM204" s="34">
        <v>30</v>
      </c>
      <c r="AN204" s="34">
        <v>0</v>
      </c>
      <c r="AO204" s="34">
        <v>16</v>
      </c>
      <c r="AP204" s="34">
        <v>25</v>
      </c>
      <c r="AQ204" s="34">
        <v>16</v>
      </c>
      <c r="AR204" s="34">
        <v>1</v>
      </c>
      <c r="AS204" s="34">
        <v>1</v>
      </c>
      <c r="AT204" s="34" t="str">
        <v>2P</v>
      </c>
      <c r="AU204" s="34">
        <v>16</v>
      </c>
      <c r="AV204" s="34" t="str">
        <v/>
      </c>
      <c r="AW204" s="34" t="str">
        <v/>
      </c>
      <c r="AX204" s="34" t="str">
        <v/>
      </c>
      <c r="AY204" s="34">
        <v>1</v>
      </c>
      <c r="AZ204" s="34" t="str">
        <v/>
      </c>
      <c r="BA204" s="34">
        <v>0</v>
      </c>
      <c r="BB204" s="34">
        <v>16</v>
      </c>
      <c r="BD204" s="34">
        <v>1</v>
      </c>
      <c r="BE204" s="34">
        <v>0</v>
      </c>
      <c r="BF204" s="34">
        <v>1</v>
      </c>
      <c r="BG204" s="34" t="str">
        <v/>
      </c>
      <c r="BH204" s="34" t="str">
        <v/>
      </c>
      <c r="BI204" s="34" t="str">
        <v/>
      </c>
      <c r="BJ204" s="34" t="str">
        <v/>
      </c>
      <c r="BK204" s="34" t="str">
        <v>SOCKET</v>
      </c>
      <c r="BL204" s="34">
        <v>1</v>
      </c>
      <c r="BM204" s="34" t="str">
        <v/>
      </c>
      <c r="BN204" s="34" t="str">
        <v/>
      </c>
      <c r="BO204" s="34" t="str">
        <v/>
      </c>
      <c r="BP204" s="34" t="str">
        <v/>
      </c>
      <c r="BQ204" s="34" t="str">
        <v>3х2,5</v>
      </c>
      <c r="BR204" s="34" t="str">
        <v/>
      </c>
      <c r="BS204" s="34" t="str">
        <v/>
      </c>
      <c r="BT204" s="34" t="str">
        <v/>
      </c>
      <c r="BU204" s="34">
        <v>0</v>
      </c>
      <c r="BV204" s="34">
        <v>225</v>
      </c>
      <c r="BW204" s="34">
        <v>1</v>
      </c>
      <c r="BX204" s="34">
        <v>0</v>
      </c>
      <c r="BY204" s="34" t="str">
        <v>Розетка</v>
      </c>
      <c r="BZ204">
        <v>10</v>
      </c>
      <c r="CA204" t="str">
        <v>линии</v>
      </c>
    </row>
    <row r="205" spans="1:79" x14ac:dyDescent="0.3">
      <c r="A205" s="39" t="str">
        <v>ЩР-1</v>
      </c>
      <c r="B205" s="42">
        <v>21</v>
      </c>
      <c r="C205" s="42">
        <v>2</v>
      </c>
      <c r="D205" s="75" t="str">
        <v/>
      </c>
      <c r="E205" s="75" t="str">
        <v>авто</v>
      </c>
      <c r="F205" s="76">
        <v>30</v>
      </c>
      <c r="G205" s="47" t="str">
        <v>QFD4</v>
      </c>
      <c r="H205" s="47" t="str">
        <v>2P С16А 30мА</v>
      </c>
      <c r="I205" s="75" t="str">
        <v/>
      </c>
      <c r="J205" s="76" t="str">
        <v/>
      </c>
      <c r="K205" s="76" t="str">
        <v/>
      </c>
      <c r="L205" s="75" t="str">
        <v/>
      </c>
      <c r="M205" s="49" t="str">
        <v/>
      </c>
      <c r="N205" s="76" t="str">
        <v/>
      </c>
      <c r="O205" s="49" t="str">
        <v/>
      </c>
      <c r="P205" s="77" t="str">
        <v>XT4</v>
      </c>
      <c r="Q205" s="53" t="str">
        <v>ВВГнг(А)-LS (3х2,5) L=66-0,41%</v>
      </c>
      <c r="R205" s="54" t="str">
        <v>R.1.002A.1</v>
      </c>
      <c r="S205" s="55" t="str">
        <v>Розеточная группа Первый этаж Пом. №002A, 023А</v>
      </c>
      <c r="T205" s="56">
        <v>0.18</v>
      </c>
      <c r="U205" s="56">
        <v>0.83</v>
      </c>
      <c r="V205" s="42" t="str">
        <v>L3</v>
      </c>
      <c r="W205" s="57" t="str">
        <v>ok</v>
      </c>
      <c r="X205" s="58" t="str">
        <v/>
      </c>
      <c r="Y205" s="75" t="str">
        <v/>
      </c>
      <c r="Z205" s="59">
        <v>0.8204451193747313</v>
      </c>
      <c r="AA205" s="61">
        <v>16</v>
      </c>
      <c r="AB205" s="61">
        <v>25</v>
      </c>
      <c r="AC205" s="61" t="str">
        <v/>
      </c>
      <c r="AD205" s="62" t="str">
        <v>QFD4 → XT4</v>
      </c>
      <c r="AE205" s="62" t="str">
        <v/>
      </c>
      <c r="AF205" s="34">
        <v>4</v>
      </c>
      <c r="AG205" s="34" t="str">
        <v>QFD4</v>
      </c>
      <c r="AH205" s="34" t="str">
        <v/>
      </c>
      <c r="AI205" s="34" t="str">
        <v/>
      </c>
      <c r="AJ205" s="34" t="str">
        <v>QFD4</v>
      </c>
      <c r="AK205" s="34">
        <v>1</v>
      </c>
      <c r="AL205" s="34" t="str">
        <v>R</v>
      </c>
      <c r="AM205" s="34">
        <v>30</v>
      </c>
      <c r="AN205" s="34">
        <v>0</v>
      </c>
      <c r="AO205" s="34">
        <v>16</v>
      </c>
      <c r="AP205" s="34">
        <v>25</v>
      </c>
      <c r="AQ205" s="34">
        <v>16</v>
      </c>
      <c r="AR205" s="34">
        <v>1</v>
      </c>
      <c r="AS205" s="34">
        <v>1</v>
      </c>
      <c r="AT205" s="34" t="str">
        <v>2P</v>
      </c>
      <c r="AU205" s="34">
        <v>16</v>
      </c>
      <c r="AV205" s="34" t="str">
        <v/>
      </c>
      <c r="AW205" s="34" t="str">
        <v/>
      </c>
      <c r="AX205" s="34" t="str">
        <v/>
      </c>
      <c r="AY205" s="34">
        <v>1</v>
      </c>
      <c r="AZ205" s="34" t="str">
        <v/>
      </c>
      <c r="BA205" s="34">
        <v>0</v>
      </c>
      <c r="BB205" s="34">
        <v>16</v>
      </c>
      <c r="BD205" s="34">
        <v>1</v>
      </c>
      <c r="BE205" s="34">
        <v>0</v>
      </c>
      <c r="BF205" s="34">
        <v>1</v>
      </c>
      <c r="BG205" s="34" t="str">
        <v/>
      </c>
      <c r="BH205" s="34" t="str">
        <v/>
      </c>
      <c r="BI205" s="34" t="str">
        <v/>
      </c>
      <c r="BJ205" s="34" t="str">
        <v/>
      </c>
      <c r="BK205" s="34" t="str">
        <v>SOCKET</v>
      </c>
      <c r="BL205" s="34">
        <v>1</v>
      </c>
      <c r="BM205" s="34" t="str">
        <v/>
      </c>
      <c r="BN205" s="34" t="str">
        <v/>
      </c>
      <c r="BO205" s="34" t="str">
        <v/>
      </c>
      <c r="BP205" s="34" t="str">
        <v/>
      </c>
      <c r="BQ205" s="34" t="str">
        <v>3х2,5</v>
      </c>
      <c r="BR205" s="34" t="str">
        <v/>
      </c>
      <c r="BS205" s="34" t="str">
        <v/>
      </c>
      <c r="BT205" s="34" t="str">
        <v/>
      </c>
      <c r="BU205" s="34">
        <v>0</v>
      </c>
      <c r="BV205" s="34">
        <v>226</v>
      </c>
      <c r="BW205" s="34">
        <v>1</v>
      </c>
      <c r="BX205" s="34">
        <v>0</v>
      </c>
      <c r="BY205" s="34" t="str">
        <v>Розетка</v>
      </c>
      <c r="BZ205">
        <v>10</v>
      </c>
      <c r="CA205" t="str">
        <v>линии</v>
      </c>
    </row>
    <row r="206" spans="1:79" x14ac:dyDescent="0.3">
      <c r="A206" s="39" t="str">
        <v>ЩР-1</v>
      </c>
      <c r="B206" s="42">
        <v>22</v>
      </c>
      <c r="C206" s="42">
        <v>2</v>
      </c>
      <c r="D206" s="75" t="str">
        <v/>
      </c>
      <c r="E206" s="75" t="str">
        <v>авто</v>
      </c>
      <c r="F206" s="76">
        <v>30</v>
      </c>
      <c r="G206" s="47" t="str">
        <v>QFD5</v>
      </c>
      <c r="H206" s="47" t="str">
        <v>2P С16А 30мА</v>
      </c>
      <c r="I206" s="75" t="str">
        <v/>
      </c>
      <c r="J206" s="76" t="str">
        <v/>
      </c>
      <c r="K206" s="76" t="str">
        <v/>
      </c>
      <c r="L206" s="75" t="str">
        <v/>
      </c>
      <c r="M206" s="49" t="str">
        <v/>
      </c>
      <c r="N206" s="76" t="str">
        <v/>
      </c>
      <c r="O206" s="49" t="str">
        <v/>
      </c>
      <c r="P206" s="77" t="str">
        <v>XT5</v>
      </c>
      <c r="Q206" s="53" t="str">
        <v>ВВГнг(А)-LS (3х2,5) L=80-0,49%</v>
      </c>
      <c r="R206" s="54" t="str">
        <v>R.1.002Aб.1</v>
      </c>
      <c r="S206" s="55" t="str">
        <v>Розеточная группа, пом. 002Aб</v>
      </c>
      <c r="T206" s="56">
        <v>0.18</v>
      </c>
      <c r="U206" s="56">
        <v>0.83</v>
      </c>
      <c r="V206" s="42" t="str">
        <v>L1</v>
      </c>
      <c r="W206" s="57" t="str">
        <v>ok</v>
      </c>
      <c r="X206" s="58" t="str">
        <v/>
      </c>
      <c r="Y206" s="75" t="str">
        <v/>
      </c>
      <c r="Z206" s="59">
        <v>0.8204451193747313</v>
      </c>
      <c r="AA206" s="61">
        <v>16</v>
      </c>
      <c r="AB206" s="61">
        <v>25</v>
      </c>
      <c r="AC206" s="61" t="str">
        <v/>
      </c>
      <c r="AD206" s="62" t="str">
        <v>QFD5 → XT5</v>
      </c>
      <c r="AE206" s="62" t="str">
        <v/>
      </c>
      <c r="AF206" s="34">
        <v>5</v>
      </c>
      <c r="AG206" s="34" t="str">
        <v>QFD5</v>
      </c>
      <c r="AH206" s="34" t="str">
        <v/>
      </c>
      <c r="AI206" s="34" t="str">
        <v/>
      </c>
      <c r="AJ206" s="34" t="str">
        <v>QFD5</v>
      </c>
      <c r="AK206" s="34">
        <v>1</v>
      </c>
      <c r="AL206" s="34" t="str">
        <v>R</v>
      </c>
      <c r="AM206" s="34">
        <v>30</v>
      </c>
      <c r="AN206" s="34">
        <v>0</v>
      </c>
      <c r="AO206" s="34">
        <v>16</v>
      </c>
      <c r="AP206" s="34">
        <v>25</v>
      </c>
      <c r="AQ206" s="34">
        <v>16</v>
      </c>
      <c r="AR206" s="34">
        <v>1</v>
      </c>
      <c r="AS206" s="34">
        <v>1</v>
      </c>
      <c r="AT206" s="34" t="str">
        <v>2P</v>
      </c>
      <c r="AU206" s="34">
        <v>16</v>
      </c>
      <c r="AV206" s="34" t="str">
        <v/>
      </c>
      <c r="AW206" s="34" t="str">
        <v/>
      </c>
      <c r="AX206" s="34" t="str">
        <v/>
      </c>
      <c r="AY206" s="34">
        <v>1</v>
      </c>
      <c r="AZ206" s="34" t="str">
        <v/>
      </c>
      <c r="BA206" s="34">
        <v>0</v>
      </c>
      <c r="BB206" s="34">
        <v>16</v>
      </c>
      <c r="BD206" s="34">
        <v>1</v>
      </c>
      <c r="BE206" s="34">
        <v>0</v>
      </c>
      <c r="BF206" s="34">
        <v>1</v>
      </c>
      <c r="BG206" s="34" t="str">
        <v/>
      </c>
      <c r="BH206" s="34" t="str">
        <v/>
      </c>
      <c r="BI206" s="34" t="str">
        <v/>
      </c>
      <c r="BJ206" s="34" t="str">
        <v/>
      </c>
      <c r="BK206" s="34" t="str">
        <v>SOCKET</v>
      </c>
      <c r="BL206" s="34">
        <v>1</v>
      </c>
      <c r="BM206" s="34" t="str">
        <v/>
      </c>
      <c r="BN206" s="34" t="str">
        <v/>
      </c>
      <c r="BO206" s="34" t="str">
        <v/>
      </c>
      <c r="BP206" s="34" t="str">
        <v/>
      </c>
      <c r="BQ206" s="34" t="str">
        <v>3х2,5</v>
      </c>
      <c r="BR206" s="34" t="str">
        <v/>
      </c>
      <c r="BS206" s="34" t="str">
        <v/>
      </c>
      <c r="BT206" s="34" t="str">
        <v/>
      </c>
      <c r="BU206" s="34">
        <v>0</v>
      </c>
      <c r="BV206" s="34">
        <v>227</v>
      </c>
      <c r="BW206" s="34">
        <v>1</v>
      </c>
      <c r="BX206" s="34">
        <v>0</v>
      </c>
      <c r="BY206" s="34" t="str">
        <v>Розетка</v>
      </c>
      <c r="BZ206">
        <v>10</v>
      </c>
      <c r="CA206" t="str">
        <v>линии</v>
      </c>
    </row>
    <row r="207" spans="1:79" x14ac:dyDescent="0.3">
      <c r="A207" s="39" t="str">
        <v>ЩР-1</v>
      </c>
      <c r="B207" s="42">
        <v>23</v>
      </c>
      <c r="C207" s="42">
        <v>2</v>
      </c>
      <c r="D207" s="75" t="str">
        <v/>
      </c>
      <c r="E207" s="75" t="str">
        <v>авто</v>
      </c>
      <c r="F207" s="76">
        <v>30</v>
      </c>
      <c r="G207" s="47" t="str">
        <v>QFD6</v>
      </c>
      <c r="H207" s="47" t="str">
        <v>2P С16А 30мА</v>
      </c>
      <c r="I207" s="75" t="str">
        <v/>
      </c>
      <c r="J207" s="76" t="str">
        <v/>
      </c>
      <c r="K207" s="76" t="str">
        <v/>
      </c>
      <c r="L207" s="75" t="str">
        <v/>
      </c>
      <c r="M207" s="49" t="str">
        <v/>
      </c>
      <c r="N207" s="76" t="str">
        <v/>
      </c>
      <c r="O207" s="49" t="str">
        <v/>
      </c>
      <c r="P207" s="77" t="str">
        <v>XT6</v>
      </c>
      <c r="Q207" s="53" t="str">
        <v>ВВГнг(А)-LS (3х2,5) L=30-0,24%</v>
      </c>
      <c r="R207" s="54" t="str">
        <v>R.1.002Б.1</v>
      </c>
      <c r="S207" s="55" t="str">
        <v>Розеточная группа Первый этаж Пом. №002Б Ледогенератор</v>
      </c>
      <c r="T207" s="56">
        <v>0.23</v>
      </c>
      <c r="U207" s="56">
        <v>1.05</v>
      </c>
      <c r="V207" s="42" t="str">
        <v>L3</v>
      </c>
      <c r="W207" s="57" t="str">
        <v>ok</v>
      </c>
      <c r="X207" s="58" t="str">
        <v/>
      </c>
      <c r="Y207" s="75" t="str">
        <v/>
      </c>
      <c r="Z207" s="59">
        <v>1.0483465414232678</v>
      </c>
      <c r="AA207" s="61">
        <v>16</v>
      </c>
      <c r="AB207" s="61">
        <v>25</v>
      </c>
      <c r="AC207" s="61" t="str">
        <v/>
      </c>
      <c r="AD207" s="62" t="str">
        <v>QFD6 → XT6</v>
      </c>
      <c r="AE207" s="62" t="str">
        <v/>
      </c>
      <c r="AF207" s="34">
        <v>6</v>
      </c>
      <c r="AG207" s="34" t="str">
        <v>QFD6</v>
      </c>
      <c r="AH207" s="34" t="str">
        <v/>
      </c>
      <c r="AI207" s="34" t="str">
        <v/>
      </c>
      <c r="AJ207" s="34" t="str">
        <v>QFD6</v>
      </c>
      <c r="AK207" s="34">
        <v>1</v>
      </c>
      <c r="AL207" s="34" t="str">
        <v>R</v>
      </c>
      <c r="AM207" s="34">
        <v>30</v>
      </c>
      <c r="AN207" s="34">
        <v>0</v>
      </c>
      <c r="AO207" s="34">
        <v>16</v>
      </c>
      <c r="AP207" s="34">
        <v>25</v>
      </c>
      <c r="AQ207" s="34">
        <v>16</v>
      </c>
      <c r="AR207" s="34">
        <v>1</v>
      </c>
      <c r="AS207" s="34">
        <v>1</v>
      </c>
      <c r="AT207" s="34" t="str">
        <v>2P</v>
      </c>
      <c r="AU207" s="34">
        <v>16</v>
      </c>
      <c r="AV207" s="34" t="str">
        <v/>
      </c>
      <c r="AW207" s="34" t="str">
        <v/>
      </c>
      <c r="AX207" s="34" t="str">
        <v/>
      </c>
      <c r="AY207" s="34">
        <v>1</v>
      </c>
      <c r="AZ207" s="34" t="str">
        <v/>
      </c>
      <c r="BA207" s="34">
        <v>0</v>
      </c>
      <c r="BB207" s="34">
        <v>16</v>
      </c>
      <c r="BD207" s="34">
        <v>1</v>
      </c>
      <c r="BE207" s="34">
        <v>0</v>
      </c>
      <c r="BF207" s="34">
        <v>1</v>
      </c>
      <c r="BG207" s="34" t="str">
        <v/>
      </c>
      <c r="BH207" s="34" t="str">
        <v/>
      </c>
      <c r="BI207" s="34" t="str">
        <v/>
      </c>
      <c r="BJ207" s="34" t="str">
        <v/>
      </c>
      <c r="BK207" s="34" t="str">
        <v>SOCKET</v>
      </c>
      <c r="BL207" s="34">
        <v>1</v>
      </c>
      <c r="BM207" s="34" t="str">
        <v/>
      </c>
      <c r="BN207" s="34" t="str">
        <v/>
      </c>
      <c r="BO207" s="34" t="str">
        <v/>
      </c>
      <c r="BP207" s="34" t="str">
        <v/>
      </c>
      <c r="BQ207" s="34" t="str">
        <v>3х2,5</v>
      </c>
      <c r="BR207" s="34" t="str">
        <v/>
      </c>
      <c r="BS207" s="34" t="str">
        <v/>
      </c>
      <c r="BT207" s="34" t="str">
        <v/>
      </c>
      <c r="BU207" s="34">
        <v>0</v>
      </c>
      <c r="BV207" s="34">
        <v>228</v>
      </c>
      <c r="BW207" s="34">
        <v>1</v>
      </c>
      <c r="BX207" s="34">
        <v>0</v>
      </c>
      <c r="BY207" s="34" t="str">
        <v>Розетка</v>
      </c>
      <c r="BZ207">
        <v>10</v>
      </c>
      <c r="CA207" t="str">
        <v>линии</v>
      </c>
    </row>
    <row r="208" spans="1:79" x14ac:dyDescent="0.3">
      <c r="A208" s="39" t="str">
        <v>ЩР-1</v>
      </c>
      <c r="B208" s="42">
        <v>24</v>
      </c>
      <c r="C208" s="42">
        <v>2</v>
      </c>
      <c r="D208" s="75" t="str">
        <v/>
      </c>
      <c r="E208" s="75" t="str">
        <v>авто</v>
      </c>
      <c r="F208" s="76">
        <v>30</v>
      </c>
      <c r="G208" s="47" t="str">
        <v>QFD7</v>
      </c>
      <c r="H208" s="47" t="str">
        <v>2P С16А 30мА</v>
      </c>
      <c r="I208" s="75" t="str">
        <v/>
      </c>
      <c r="J208" s="76" t="str">
        <v/>
      </c>
      <c r="K208" s="76" t="str">
        <v/>
      </c>
      <c r="L208" s="75" t="str">
        <v/>
      </c>
      <c r="M208" s="49" t="str">
        <v/>
      </c>
      <c r="N208" s="76" t="str">
        <v/>
      </c>
      <c r="O208" s="49" t="str">
        <v/>
      </c>
      <c r="P208" s="77" t="str">
        <v>XT7</v>
      </c>
      <c r="Q208" s="53" t="str">
        <v>ВВГнг(А)-LS (3х2,5) L=29-0,18%</v>
      </c>
      <c r="R208" s="54" t="str">
        <v>R.1.002Б.2</v>
      </c>
      <c r="S208" s="55" t="str">
        <v>Розеточная группа, пом. 002Б</v>
      </c>
      <c r="T208" s="56">
        <v>0.18</v>
      </c>
      <c r="U208" s="56">
        <v>0.83</v>
      </c>
      <c r="V208" s="42" t="str">
        <v>L3</v>
      </c>
      <c r="W208" s="57" t="str">
        <v>ok</v>
      </c>
      <c r="X208" s="58" t="str">
        <v/>
      </c>
      <c r="Y208" s="75" t="str">
        <v/>
      </c>
      <c r="Z208" s="59">
        <v>0.8204451193747313</v>
      </c>
      <c r="AA208" s="61">
        <v>16</v>
      </c>
      <c r="AB208" s="61">
        <v>25</v>
      </c>
      <c r="AC208" s="61" t="str">
        <v/>
      </c>
      <c r="AD208" s="62" t="str">
        <v>QFD7 → XT7</v>
      </c>
      <c r="AE208" s="62" t="str">
        <v/>
      </c>
      <c r="AF208" s="34">
        <v>7</v>
      </c>
      <c r="AG208" s="34" t="str">
        <v>QFD7</v>
      </c>
      <c r="AH208" s="34" t="str">
        <v/>
      </c>
      <c r="AI208" s="34" t="str">
        <v/>
      </c>
      <c r="AJ208" s="34" t="str">
        <v>QFD7</v>
      </c>
      <c r="AK208" s="34">
        <v>1</v>
      </c>
      <c r="AL208" s="34" t="str">
        <v>R</v>
      </c>
      <c r="AM208" s="34">
        <v>30</v>
      </c>
      <c r="AN208" s="34">
        <v>0</v>
      </c>
      <c r="AO208" s="34">
        <v>16</v>
      </c>
      <c r="AP208" s="34">
        <v>25</v>
      </c>
      <c r="AQ208" s="34">
        <v>16</v>
      </c>
      <c r="AR208" s="34">
        <v>1</v>
      </c>
      <c r="AS208" s="34">
        <v>1</v>
      </c>
      <c r="AT208" s="34" t="str">
        <v>2P</v>
      </c>
      <c r="AU208" s="34">
        <v>16</v>
      </c>
      <c r="AV208" s="34" t="str">
        <v/>
      </c>
      <c r="AW208" s="34" t="str">
        <v/>
      </c>
      <c r="AX208" s="34" t="str">
        <v/>
      </c>
      <c r="AY208" s="34">
        <v>1</v>
      </c>
      <c r="AZ208" s="34" t="str">
        <v/>
      </c>
      <c r="BA208" s="34">
        <v>0</v>
      </c>
      <c r="BB208" s="34">
        <v>16</v>
      </c>
      <c r="BD208" s="34">
        <v>1</v>
      </c>
      <c r="BE208" s="34">
        <v>0</v>
      </c>
      <c r="BF208" s="34">
        <v>1</v>
      </c>
      <c r="BG208" s="34" t="str">
        <v/>
      </c>
      <c r="BH208" s="34" t="str">
        <v/>
      </c>
      <c r="BI208" s="34" t="str">
        <v/>
      </c>
      <c r="BJ208" s="34" t="str">
        <v/>
      </c>
      <c r="BK208" s="34" t="str">
        <v>SOCKET</v>
      </c>
      <c r="BL208" s="34">
        <v>1</v>
      </c>
      <c r="BM208" s="34" t="str">
        <v/>
      </c>
      <c r="BN208" s="34" t="str">
        <v/>
      </c>
      <c r="BO208" s="34" t="str">
        <v/>
      </c>
      <c r="BP208" s="34" t="str">
        <v/>
      </c>
      <c r="BQ208" s="34" t="str">
        <v>3х2,5</v>
      </c>
      <c r="BR208" s="34" t="str">
        <v/>
      </c>
      <c r="BS208" s="34" t="str">
        <v/>
      </c>
      <c r="BT208" s="34" t="str">
        <v/>
      </c>
      <c r="BU208" s="34">
        <v>0</v>
      </c>
      <c r="BV208" s="34">
        <v>229</v>
      </c>
      <c r="BW208" s="34">
        <v>1</v>
      </c>
      <c r="BX208" s="34">
        <v>0</v>
      </c>
      <c r="BY208" s="34" t="str">
        <v>Розетка</v>
      </c>
      <c r="BZ208">
        <v>10</v>
      </c>
      <c r="CA208" t="str">
        <v>линии</v>
      </c>
    </row>
    <row r="209" spans="1:79" x14ac:dyDescent="0.3">
      <c r="A209" s="39" t="str">
        <v>ЩР-1</v>
      </c>
      <c r="B209" s="42">
        <v>25</v>
      </c>
      <c r="C209" s="42">
        <v>2</v>
      </c>
      <c r="D209" s="75" t="str">
        <v/>
      </c>
      <c r="E209" s="75" t="str">
        <v>авто</v>
      </c>
      <c r="F209" s="76">
        <v>30</v>
      </c>
      <c r="G209" s="47" t="str">
        <v>QFD8</v>
      </c>
      <c r="H209" s="47" t="str">
        <v>2P С16А 30мА</v>
      </c>
      <c r="I209" s="75" t="str">
        <v/>
      </c>
      <c r="J209" s="76" t="str">
        <v/>
      </c>
      <c r="K209" s="76" t="str">
        <v/>
      </c>
      <c r="L209" s="75" t="str">
        <v/>
      </c>
      <c r="M209" s="49" t="str">
        <v/>
      </c>
      <c r="N209" s="76" t="str">
        <v/>
      </c>
      <c r="O209" s="49" t="str">
        <v/>
      </c>
      <c r="P209" s="77" t="str">
        <v>XT8</v>
      </c>
      <c r="Q209" s="53" t="str">
        <v>ВВГнг(А)-LS (3х2,5) L=29-0,36%</v>
      </c>
      <c r="R209" s="54" t="str">
        <v>R.1.002Б.3</v>
      </c>
      <c r="S209" s="55" t="str">
        <v>Розеточная группа Первый этаж Пом. №002Б Ледогенератор</v>
      </c>
      <c r="T209" s="56">
        <v>0.36</v>
      </c>
      <c r="U209" s="56">
        <v>1.65</v>
      </c>
      <c r="V209" s="42" t="str">
        <v>L3</v>
      </c>
      <c r="W209" s="57" t="str">
        <v>ok</v>
      </c>
      <c r="X209" s="58" t="str">
        <v/>
      </c>
      <c r="Y209" s="75" t="str">
        <v/>
      </c>
      <c r="Z209" s="59">
        <v>1.6408902387494626</v>
      </c>
      <c r="AA209" s="61">
        <v>16</v>
      </c>
      <c r="AB209" s="61">
        <v>25</v>
      </c>
      <c r="AC209" s="61" t="str">
        <v/>
      </c>
      <c r="AD209" s="62" t="str">
        <v>QFD8 → XT8</v>
      </c>
      <c r="AE209" s="62" t="str">
        <v/>
      </c>
      <c r="AF209" s="34">
        <v>8</v>
      </c>
      <c r="AG209" s="34" t="str">
        <v>QFD8</v>
      </c>
      <c r="AH209" s="34" t="str">
        <v/>
      </c>
      <c r="AI209" s="34" t="str">
        <v/>
      </c>
      <c r="AJ209" s="34" t="str">
        <v>QFD8</v>
      </c>
      <c r="AK209" s="34">
        <v>1</v>
      </c>
      <c r="AL209" s="34" t="str">
        <v>R</v>
      </c>
      <c r="AM209" s="34">
        <v>30</v>
      </c>
      <c r="AN209" s="34">
        <v>0</v>
      </c>
      <c r="AO209" s="34">
        <v>16</v>
      </c>
      <c r="AP209" s="34">
        <v>25</v>
      </c>
      <c r="AQ209" s="34">
        <v>16</v>
      </c>
      <c r="AR209" s="34">
        <v>1</v>
      </c>
      <c r="AS209" s="34">
        <v>1</v>
      </c>
      <c r="AT209" s="34" t="str">
        <v>2P</v>
      </c>
      <c r="AU209" s="34">
        <v>16</v>
      </c>
      <c r="AV209" s="34" t="str">
        <v/>
      </c>
      <c r="AW209" s="34" t="str">
        <v/>
      </c>
      <c r="AX209" s="34" t="str">
        <v/>
      </c>
      <c r="AY209" s="34">
        <v>1</v>
      </c>
      <c r="AZ209" s="34" t="str">
        <v/>
      </c>
      <c r="BA209" s="34">
        <v>0</v>
      </c>
      <c r="BB209" s="34">
        <v>16</v>
      </c>
      <c r="BD209" s="34">
        <v>1</v>
      </c>
      <c r="BE209" s="34">
        <v>0</v>
      </c>
      <c r="BF209" s="34">
        <v>1</v>
      </c>
      <c r="BG209" s="34" t="str">
        <v/>
      </c>
      <c r="BH209" s="34" t="str">
        <v/>
      </c>
      <c r="BI209" s="34" t="str">
        <v/>
      </c>
      <c r="BJ209" s="34" t="str">
        <v/>
      </c>
      <c r="BK209" s="34" t="str">
        <v>SOCKET</v>
      </c>
      <c r="BL209" s="34">
        <v>1</v>
      </c>
      <c r="BM209" s="34" t="str">
        <v/>
      </c>
      <c r="BN209" s="34" t="str">
        <v/>
      </c>
      <c r="BO209" s="34" t="str">
        <v/>
      </c>
      <c r="BP209" s="34" t="str">
        <v/>
      </c>
      <c r="BQ209" s="34" t="str">
        <v>3х2,5</v>
      </c>
      <c r="BR209" s="34" t="str">
        <v/>
      </c>
      <c r="BS209" s="34" t="str">
        <v/>
      </c>
      <c r="BT209" s="34" t="str">
        <v/>
      </c>
      <c r="BU209" s="34">
        <v>0</v>
      </c>
      <c r="BV209" s="34">
        <v>230</v>
      </c>
      <c r="BW209" s="34">
        <v>1</v>
      </c>
      <c r="BX209" s="34">
        <v>0</v>
      </c>
      <c r="BY209" s="34" t="str">
        <v>Розетка</v>
      </c>
      <c r="BZ209">
        <v>10</v>
      </c>
      <c r="CA209" t="str">
        <v>линии</v>
      </c>
    </row>
    <row r="210" spans="1:79" x14ac:dyDescent="0.3">
      <c r="A210" s="39" t="str">
        <v>ЩР-1</v>
      </c>
      <c r="B210" s="42">
        <v>28</v>
      </c>
      <c r="C210" s="42">
        <v>2</v>
      </c>
      <c r="D210" s="75" t="str">
        <v/>
      </c>
      <c r="E210" s="75" t="str">
        <v>авто</v>
      </c>
      <c r="F210" s="76">
        <v>30</v>
      </c>
      <c r="G210" s="47" t="str">
        <v>QFD9</v>
      </c>
      <c r="H210" s="47" t="str">
        <v>2P С16А 30мА</v>
      </c>
      <c r="I210" s="75" t="str">
        <v/>
      </c>
      <c r="J210" s="76" t="str">
        <v/>
      </c>
      <c r="K210" s="76" t="str">
        <v/>
      </c>
      <c r="L210" s="75" t="str">
        <v/>
      </c>
      <c r="M210" s="49" t="str">
        <v/>
      </c>
      <c r="N210" s="76" t="str">
        <v/>
      </c>
      <c r="O210" s="49" t="str">
        <v/>
      </c>
      <c r="P210" s="77" t="str">
        <v/>
      </c>
      <c r="Q210" s="53" t="str">
        <v>ВВГнг(А)-LS (3х2,5) L=17-0,11%</v>
      </c>
      <c r="R210" s="54" t="str">
        <v>R.1.002Б.4</v>
      </c>
      <c r="S210" s="55" t="str">
        <v>Розеточная группа Первый этаж Пом. №002Б Фартук</v>
      </c>
      <c r="T210" s="56">
        <v>0.18</v>
      </c>
      <c r="U210" s="56">
        <v>0.83</v>
      </c>
      <c r="V210" s="42" t="str">
        <v>L2</v>
      </c>
      <c r="W210" s="57" t="str">
        <v>ok</v>
      </c>
      <c r="X210" s="58" t="str">
        <v/>
      </c>
      <c r="Y210" s="75" t="str">
        <v/>
      </c>
      <c r="Z210" s="59">
        <v>0.8204451193747313</v>
      </c>
      <c r="AA210" s="61">
        <v>16</v>
      </c>
      <c r="AB210" s="61">
        <v>25</v>
      </c>
      <c r="AC210" s="61" t="str">
        <v/>
      </c>
      <c r="AD210" s="62" t="str">
        <v>QFD9</v>
      </c>
      <c r="AE210" s="62" t="str">
        <v/>
      </c>
      <c r="AF210" s="34">
        <v>9</v>
      </c>
      <c r="AG210" s="34" t="str">
        <v>QFD9</v>
      </c>
      <c r="AH210" s="34" t="str">
        <v/>
      </c>
      <c r="AI210" s="34" t="str">
        <v/>
      </c>
      <c r="AJ210" s="34" t="str">
        <v>QFD9</v>
      </c>
      <c r="AK210" s="34">
        <v>1</v>
      </c>
      <c r="AL210" s="34" t="str">
        <v>R</v>
      </c>
      <c r="AM210" s="34">
        <v>30</v>
      </c>
      <c r="AN210" s="34">
        <v>0</v>
      </c>
      <c r="AO210" s="34">
        <v>16</v>
      </c>
      <c r="AP210" s="34">
        <v>25</v>
      </c>
      <c r="AQ210" s="34">
        <v>16</v>
      </c>
      <c r="AR210" s="34">
        <v>1</v>
      </c>
      <c r="AS210" s="34">
        <v>1</v>
      </c>
      <c r="AT210" s="34" t="str">
        <v>2P</v>
      </c>
      <c r="AU210" s="34">
        <v>16</v>
      </c>
      <c r="AV210" s="34" t="str">
        <v/>
      </c>
      <c r="AW210" s="34" t="str">
        <v/>
      </c>
      <c r="AX210" s="34" t="str">
        <v/>
      </c>
      <c r="AY210" s="34">
        <v>1</v>
      </c>
      <c r="AZ210" s="34" t="str">
        <v/>
      </c>
      <c r="BA210" s="34">
        <v>0</v>
      </c>
      <c r="BB210" s="34">
        <v>16</v>
      </c>
      <c r="BD210" s="34">
        <v>1</v>
      </c>
      <c r="BE210" s="34">
        <v>0</v>
      </c>
      <c r="BF210" s="34">
        <v>1</v>
      </c>
      <c r="BG210" s="34" t="str">
        <v/>
      </c>
      <c r="BH210" s="34" t="str">
        <v/>
      </c>
      <c r="BI210" s="34" t="str">
        <v/>
      </c>
      <c r="BJ210" s="34" t="str">
        <v/>
      </c>
      <c r="BK210" s="34" t="str">
        <v>SOCKET</v>
      </c>
      <c r="BL210" s="34">
        <v>1</v>
      </c>
      <c r="BM210" s="34" t="str">
        <v/>
      </c>
      <c r="BN210" s="34" t="str">
        <v/>
      </c>
      <c r="BO210" s="34" t="str">
        <v/>
      </c>
      <c r="BP210" s="34" t="str">
        <v/>
      </c>
      <c r="BQ210" s="34" t="str">
        <v>3х2,5</v>
      </c>
      <c r="BR210" s="34" t="str">
        <v/>
      </c>
      <c r="BS210" s="34" t="str">
        <v/>
      </c>
      <c r="BT210" s="34" t="str">
        <v/>
      </c>
      <c r="BU210" s="34">
        <v>0</v>
      </c>
      <c r="BV210" s="34">
        <v>231</v>
      </c>
      <c r="BW210" s="34">
        <v>1</v>
      </c>
      <c r="BX210" s="34">
        <v>0</v>
      </c>
      <c r="BY210" s="34" t="str">
        <v>Розетка</v>
      </c>
      <c r="BZ210">
        <v>10</v>
      </c>
      <c r="CA210" t="str">
        <v>линии</v>
      </c>
    </row>
    <row r="211" spans="1:79" x14ac:dyDescent="0.3">
      <c r="A211" s="39" t="str">
        <v>ЩР-1</v>
      </c>
      <c r="B211" s="42">
        <v>29</v>
      </c>
      <c r="C211" s="42">
        <v>2</v>
      </c>
      <c r="D211" s="75" t="str">
        <v/>
      </c>
      <c r="E211" s="75" t="str">
        <v>авто</v>
      </c>
      <c r="F211" s="76">
        <v>30</v>
      </c>
      <c r="G211" s="47" t="str">
        <v>QFD10</v>
      </c>
      <c r="H211" s="47" t="str">
        <v>2P С20А 30мА</v>
      </c>
      <c r="I211" s="75" t="str">
        <v/>
      </c>
      <c r="J211" s="76" t="str">
        <v/>
      </c>
      <c r="K211" s="76" t="str">
        <v/>
      </c>
      <c r="L211" s="75" t="str">
        <v/>
      </c>
      <c r="M211" s="49" t="str">
        <v/>
      </c>
      <c r="N211" s="76" t="str">
        <v/>
      </c>
      <c r="O211" s="49" t="str">
        <v/>
      </c>
      <c r="P211" s="77" t="str">
        <v>XT10</v>
      </c>
      <c r="Q211" s="53" t="str">
        <v>ВВГнг(А)-LS (3х4) L=22-1,78%</v>
      </c>
      <c r="R211" s="54" t="str">
        <v>R.1.002Б.5</v>
      </c>
      <c r="S211" s="55" t="str">
        <v>Розеточная группа Первый этаж Пом. №002Б ПММ</v>
      </c>
      <c r="T211" s="56">
        <v>3.8</v>
      </c>
      <c r="U211" s="56">
        <v>17.330000000000002</v>
      </c>
      <c r="V211" s="42" t="str">
        <v>L1</v>
      </c>
      <c r="W211" s="57" t="str">
        <v>ok</v>
      </c>
      <c r="X211" s="58" t="str">
        <v/>
      </c>
      <c r="Y211" s="75" t="str">
        <v/>
      </c>
      <c r="Z211" s="59">
        <v>17.320508075688771</v>
      </c>
      <c r="AA211" s="61">
        <v>20</v>
      </c>
      <c r="AB211" s="61">
        <v>32</v>
      </c>
      <c r="AC211" s="61" t="str">
        <v/>
      </c>
      <c r="AD211" s="62" t="str">
        <v>QFD10 → XT10</v>
      </c>
      <c r="AE211" s="62" t="str">
        <v/>
      </c>
      <c r="AF211" s="34">
        <v>10</v>
      </c>
      <c r="AG211" s="34" t="str">
        <v>QFD10</v>
      </c>
      <c r="AH211" s="34" t="str">
        <v/>
      </c>
      <c r="AI211" s="34" t="str">
        <v/>
      </c>
      <c r="AJ211" s="34" t="str">
        <v>QFD10</v>
      </c>
      <c r="AK211" s="34">
        <v>1</v>
      </c>
      <c r="AL211" s="34" t="str">
        <v>R</v>
      </c>
      <c r="AM211" s="34">
        <v>30</v>
      </c>
      <c r="AN211" s="34">
        <v>0</v>
      </c>
      <c r="AO211" s="34">
        <v>20</v>
      </c>
      <c r="AP211" s="34">
        <v>32</v>
      </c>
      <c r="AQ211" s="34">
        <v>20</v>
      </c>
      <c r="AR211" s="34">
        <v>1</v>
      </c>
      <c r="AS211" s="34">
        <v>1</v>
      </c>
      <c r="AT211" s="34" t="str">
        <v>2P</v>
      </c>
      <c r="AU211" s="34">
        <v>20</v>
      </c>
      <c r="AV211" s="34" t="str">
        <v/>
      </c>
      <c r="AW211" s="34" t="str">
        <v/>
      </c>
      <c r="AX211" s="34" t="str">
        <v/>
      </c>
      <c r="AY211" s="34">
        <v>1</v>
      </c>
      <c r="AZ211" s="34" t="str">
        <v/>
      </c>
      <c r="BA211" s="34">
        <v>0</v>
      </c>
      <c r="BB211" s="34">
        <v>16</v>
      </c>
      <c r="BD211" s="34">
        <v>1</v>
      </c>
      <c r="BE211" s="34">
        <v>0</v>
      </c>
      <c r="BF211" s="34">
        <v>1</v>
      </c>
      <c r="BG211" s="34" t="str">
        <v/>
      </c>
      <c r="BH211" s="34" t="str">
        <v/>
      </c>
      <c r="BI211" s="34" t="str">
        <v/>
      </c>
      <c r="BJ211" s="34" t="str">
        <v/>
      </c>
      <c r="BK211" s="34" t="str">
        <v>SOCKET</v>
      </c>
      <c r="BL211" s="34">
        <v>1</v>
      </c>
      <c r="BM211" s="34">
        <v>18</v>
      </c>
      <c r="BN211" s="34" t="str">
        <v/>
      </c>
      <c r="BO211" s="34" t="str">
        <v/>
      </c>
      <c r="BP211" s="34" t="str">
        <v/>
      </c>
      <c r="BQ211" s="34" t="str">
        <v>3х4</v>
      </c>
      <c r="BR211" s="34" t="str">
        <v/>
      </c>
      <c r="BS211" s="34" t="str">
        <v/>
      </c>
      <c r="BT211" s="34" t="str">
        <v/>
      </c>
      <c r="BU211" s="34">
        <v>0</v>
      </c>
      <c r="BV211" s="34">
        <v>232</v>
      </c>
      <c r="BW211" s="34">
        <v>1</v>
      </c>
      <c r="BX211" s="34">
        <v>0</v>
      </c>
      <c r="BY211" s="34" t="str">
        <v>Розетка</v>
      </c>
      <c r="BZ211">
        <v>10</v>
      </c>
      <c r="CA211" t="str">
        <v>линии</v>
      </c>
    </row>
    <row r="212" spans="1:79" x14ac:dyDescent="0.3">
      <c r="A212" s="39" t="str">
        <v>ЩР-1</v>
      </c>
      <c r="B212" s="42">
        <v>30</v>
      </c>
      <c r="C212" s="42">
        <v>2</v>
      </c>
      <c r="D212" s="75" t="str">
        <v/>
      </c>
      <c r="E212" s="75" t="str">
        <v>авто</v>
      </c>
      <c r="F212" s="76">
        <v>30</v>
      </c>
      <c r="G212" s="47" t="str">
        <v>QFD11</v>
      </c>
      <c r="H212" s="47" t="str">
        <v>2P С20А 30мА</v>
      </c>
      <c r="I212" s="75" t="str">
        <v/>
      </c>
      <c r="J212" s="76" t="str">
        <v/>
      </c>
      <c r="K212" s="76" t="str">
        <v/>
      </c>
      <c r="L212" s="75" t="str">
        <v/>
      </c>
      <c r="M212" s="49" t="str">
        <v/>
      </c>
      <c r="N212" s="76" t="str">
        <v/>
      </c>
      <c r="O212" s="49" t="str">
        <v/>
      </c>
      <c r="P212" s="77" t="str">
        <v/>
      </c>
      <c r="Q212" s="53" t="str">
        <v>ВВГнг(А)-LS (3х4) L=22-1,68%</v>
      </c>
      <c r="R212" s="54" t="str">
        <v>R.1.002Б.6</v>
      </c>
      <c r="S212" s="55" t="str">
        <v>Розеточная группа Первый этаж Пом. №002Б Стаканомоечная машина</v>
      </c>
      <c r="T212" s="56">
        <v>3.6</v>
      </c>
      <c r="U212" s="56">
        <v>16.41</v>
      </c>
      <c r="V212" s="42" t="str">
        <v>L3</v>
      </c>
      <c r="W212" s="57" t="str">
        <v>ok</v>
      </c>
      <c r="X212" s="58" t="str">
        <v/>
      </c>
      <c r="Y212" s="75" t="str">
        <v/>
      </c>
      <c r="Z212" s="59">
        <v>16.408902387494628</v>
      </c>
      <c r="AA212" s="61">
        <v>20</v>
      </c>
      <c r="AB212" s="61">
        <v>32</v>
      </c>
      <c r="AC212" s="61" t="str">
        <v/>
      </c>
      <c r="AD212" s="62" t="str">
        <v>QFD11</v>
      </c>
      <c r="AE212" s="62" t="str">
        <v/>
      </c>
      <c r="AF212" s="34">
        <v>11</v>
      </c>
      <c r="AG212" s="34" t="str">
        <v>QFD11</v>
      </c>
      <c r="AH212" s="34" t="str">
        <v/>
      </c>
      <c r="AI212" s="34" t="str">
        <v/>
      </c>
      <c r="AJ212" s="34" t="str">
        <v>QFD11</v>
      </c>
      <c r="AK212" s="34">
        <v>1</v>
      </c>
      <c r="AL212" s="34" t="str">
        <v>R</v>
      </c>
      <c r="AM212" s="34">
        <v>30</v>
      </c>
      <c r="AN212" s="34">
        <v>0</v>
      </c>
      <c r="AO212" s="34">
        <v>20</v>
      </c>
      <c r="AP212" s="34">
        <v>32</v>
      </c>
      <c r="AQ212" s="34">
        <v>20</v>
      </c>
      <c r="AR212" s="34">
        <v>1</v>
      </c>
      <c r="AS212" s="34">
        <v>1</v>
      </c>
      <c r="AT212" s="34" t="str">
        <v>2P</v>
      </c>
      <c r="AU212" s="34">
        <v>20</v>
      </c>
      <c r="AV212" s="34" t="str">
        <v/>
      </c>
      <c r="AW212" s="34" t="str">
        <v/>
      </c>
      <c r="AX212" s="34" t="str">
        <v/>
      </c>
      <c r="AY212" s="34">
        <v>1</v>
      </c>
      <c r="AZ212" s="34" t="str">
        <v/>
      </c>
      <c r="BA212" s="34">
        <v>0</v>
      </c>
      <c r="BB212" s="34">
        <v>16</v>
      </c>
      <c r="BD212" s="34">
        <v>1</v>
      </c>
      <c r="BE212" s="34">
        <v>0</v>
      </c>
      <c r="BF212" s="34">
        <v>1</v>
      </c>
      <c r="BG212" s="34" t="str">
        <v/>
      </c>
      <c r="BH212" s="34" t="str">
        <v/>
      </c>
      <c r="BI212" s="34" t="str">
        <v/>
      </c>
      <c r="BJ212" s="34" t="str">
        <v/>
      </c>
      <c r="BK212" s="34" t="str">
        <v>SOCKET</v>
      </c>
      <c r="BL212" s="34">
        <v>1</v>
      </c>
      <c r="BM212" s="34" t="str">
        <v/>
      </c>
      <c r="BN212" s="34" t="str">
        <v/>
      </c>
      <c r="BO212" s="34" t="str">
        <v/>
      </c>
      <c r="BP212" s="34" t="str">
        <v/>
      </c>
      <c r="BQ212" s="34" t="str">
        <v>3х4</v>
      </c>
      <c r="BR212" s="34" t="str">
        <v/>
      </c>
      <c r="BS212" s="34" t="str">
        <v/>
      </c>
      <c r="BT212" s="34" t="str">
        <v/>
      </c>
      <c r="BU212" s="34">
        <v>0</v>
      </c>
      <c r="BV212" s="34">
        <v>233</v>
      </c>
      <c r="BW212" s="34">
        <v>1</v>
      </c>
      <c r="BX212" s="34">
        <v>0</v>
      </c>
      <c r="BY212" s="34" t="str">
        <v>Розетка</v>
      </c>
      <c r="BZ212">
        <v>10</v>
      </c>
      <c r="CA212" t="str">
        <v>линии</v>
      </c>
    </row>
    <row r="213" spans="1:79" x14ac:dyDescent="0.3">
      <c r="A213" s="39" t="str">
        <v>ЩР-1</v>
      </c>
      <c r="B213" s="42">
        <v>31</v>
      </c>
      <c r="C213" s="42">
        <v>2</v>
      </c>
      <c r="D213" s="75" t="str">
        <v/>
      </c>
      <c r="E213" s="75" t="str">
        <v>авто</v>
      </c>
      <c r="F213" s="76">
        <v>30</v>
      </c>
      <c r="G213" s="47" t="str">
        <v>QFD12</v>
      </c>
      <c r="H213" s="47" t="str">
        <v>2P С16А 30мА</v>
      </c>
      <c r="I213" s="75" t="str">
        <v/>
      </c>
      <c r="J213" s="76" t="str">
        <v/>
      </c>
      <c r="K213" s="76" t="str">
        <v/>
      </c>
      <c r="L213" s="75" t="str">
        <v/>
      </c>
      <c r="M213" s="49" t="str">
        <v/>
      </c>
      <c r="N213" s="76" t="str">
        <v/>
      </c>
      <c r="O213" s="49" t="str">
        <v/>
      </c>
      <c r="P213" s="77" t="str">
        <v/>
      </c>
      <c r="Q213" s="53" t="str">
        <v>ВВГнг(А)-LS (3х2,5) L=22-0,05%</v>
      </c>
      <c r="R213" s="54" t="str">
        <v>R.1.002Б.7</v>
      </c>
      <c r="S213" s="55" t="str">
        <v>Розеточная группа, пом. 002Б</v>
      </c>
      <c r="T213" s="56">
        <v>0.06</v>
      </c>
      <c r="U213" s="56">
        <v>0.28000000000000003</v>
      </c>
      <c r="V213" s="42" t="str">
        <v>L3</v>
      </c>
      <c r="W213" s="57" t="str">
        <v>ok</v>
      </c>
      <c r="X213" s="58" t="str">
        <v/>
      </c>
      <c r="Y213" s="75" t="str">
        <v/>
      </c>
      <c r="Z213" s="59">
        <v>0.27348170645824377</v>
      </c>
      <c r="AA213" s="61">
        <v>16</v>
      </c>
      <c r="AB213" s="61">
        <v>25</v>
      </c>
      <c r="AC213" s="61" t="str">
        <v/>
      </c>
      <c r="AD213" s="62" t="str">
        <v>QFD12</v>
      </c>
      <c r="AE213" s="62" t="str">
        <v/>
      </c>
      <c r="AF213" s="34">
        <v>12</v>
      </c>
      <c r="AG213" s="34" t="str">
        <v>QFD12</v>
      </c>
      <c r="AH213" s="34" t="str">
        <v/>
      </c>
      <c r="AI213" s="34" t="str">
        <v/>
      </c>
      <c r="AJ213" s="34" t="str">
        <v>QFD12</v>
      </c>
      <c r="AK213" s="34">
        <v>1</v>
      </c>
      <c r="AL213" s="34" t="str">
        <v>R</v>
      </c>
      <c r="AM213" s="34">
        <v>30</v>
      </c>
      <c r="AN213" s="34">
        <v>0</v>
      </c>
      <c r="AO213" s="34">
        <v>16</v>
      </c>
      <c r="AP213" s="34">
        <v>25</v>
      </c>
      <c r="AQ213" s="34">
        <v>16</v>
      </c>
      <c r="AR213" s="34">
        <v>1</v>
      </c>
      <c r="AS213" s="34">
        <v>1</v>
      </c>
      <c r="AT213" s="34" t="str">
        <v>2P</v>
      </c>
      <c r="AU213" s="34">
        <v>16</v>
      </c>
      <c r="AV213" s="34" t="str">
        <v/>
      </c>
      <c r="AW213" s="34" t="str">
        <v/>
      </c>
      <c r="AX213" s="34" t="str">
        <v/>
      </c>
      <c r="AY213" s="34">
        <v>1</v>
      </c>
      <c r="AZ213" s="34" t="str">
        <v/>
      </c>
      <c r="BA213" s="34">
        <v>0</v>
      </c>
      <c r="BB213" s="34">
        <v>16</v>
      </c>
      <c r="BD213" s="34">
        <v>1</v>
      </c>
      <c r="BE213" s="34">
        <v>0</v>
      </c>
      <c r="BF213" s="34">
        <v>1</v>
      </c>
      <c r="BG213" s="34" t="str">
        <v/>
      </c>
      <c r="BH213" s="34" t="str">
        <v/>
      </c>
      <c r="BI213" s="34" t="str">
        <v/>
      </c>
      <c r="BJ213" s="34" t="str">
        <v/>
      </c>
      <c r="BK213" s="34" t="str">
        <v>SOCKET</v>
      </c>
      <c r="BL213" s="34">
        <v>1</v>
      </c>
      <c r="BM213" s="34" t="str">
        <v/>
      </c>
      <c r="BN213" s="34" t="str">
        <v/>
      </c>
      <c r="BO213" s="34" t="str">
        <v/>
      </c>
      <c r="BP213" s="34" t="str">
        <v/>
      </c>
      <c r="BQ213" s="34" t="str">
        <v>3х2,5</v>
      </c>
      <c r="BR213" s="34" t="str">
        <v/>
      </c>
      <c r="BS213" s="34" t="str">
        <v/>
      </c>
      <c r="BT213" s="34" t="str">
        <v/>
      </c>
      <c r="BU213" s="34">
        <v>0</v>
      </c>
      <c r="BV213" s="34">
        <v>234</v>
      </c>
      <c r="BW213" s="34">
        <v>1</v>
      </c>
      <c r="BX213" s="34">
        <v>0</v>
      </c>
      <c r="BY213" s="34" t="str">
        <v>Розетка</v>
      </c>
      <c r="BZ213">
        <v>10</v>
      </c>
      <c r="CA213" t="str">
        <v>линии</v>
      </c>
    </row>
    <row r="214" spans="1:79" x14ac:dyDescent="0.3">
      <c r="A214" s="39" t="str">
        <v>ЩР-1</v>
      </c>
      <c r="B214" s="42">
        <v>32</v>
      </c>
      <c r="C214" s="42">
        <v>2</v>
      </c>
      <c r="D214" s="75" t="str">
        <v/>
      </c>
      <c r="E214" s="75" t="str">
        <v>авто</v>
      </c>
      <c r="F214" s="76">
        <v>30</v>
      </c>
      <c r="G214" s="47" t="str">
        <v>QFD13</v>
      </c>
      <c r="H214" s="47" t="str">
        <v>2P С16А 30мА</v>
      </c>
      <c r="I214" s="75" t="str">
        <v/>
      </c>
      <c r="J214" s="76" t="str">
        <v/>
      </c>
      <c r="K214" s="76" t="str">
        <v/>
      </c>
      <c r="L214" s="75" t="str">
        <v/>
      </c>
      <c r="M214" s="49" t="str">
        <v/>
      </c>
      <c r="N214" s="76" t="str">
        <v/>
      </c>
      <c r="O214" s="49" t="str">
        <v/>
      </c>
      <c r="P214" s="77" t="str">
        <v/>
      </c>
      <c r="Q214" s="53" t="str">
        <v>ВВГнг(А)-LS (3х2,5) L=27-0,22%</v>
      </c>
      <c r="R214" s="54" t="str">
        <v>R.1.002Б.8</v>
      </c>
      <c r="S214" s="55" t="str">
        <v>Розеточная группа, пом. 002Б</v>
      </c>
      <c r="T214" s="56">
        <v>0.24</v>
      </c>
      <c r="U214" s="56">
        <v>1.1000000000000001</v>
      </c>
      <c r="V214" s="42" t="str">
        <v>L1</v>
      </c>
      <c r="W214" s="57" t="str">
        <v>ok</v>
      </c>
      <c r="X214" s="58" t="str">
        <v/>
      </c>
      <c r="Y214" s="75" t="str">
        <v/>
      </c>
      <c r="Z214" s="59">
        <v>1.0939268258329751</v>
      </c>
      <c r="AA214" s="61">
        <v>16</v>
      </c>
      <c r="AB214" s="61">
        <v>25</v>
      </c>
      <c r="AC214" s="61" t="str">
        <v/>
      </c>
      <c r="AD214" s="62" t="str">
        <v>QFD13</v>
      </c>
      <c r="AE214" s="62" t="str">
        <v/>
      </c>
      <c r="AF214" s="34">
        <v>13</v>
      </c>
      <c r="AG214" s="34" t="str">
        <v>QFD13</v>
      </c>
      <c r="AH214" s="34" t="str">
        <v/>
      </c>
      <c r="AI214" s="34" t="str">
        <v/>
      </c>
      <c r="AJ214" s="34" t="str">
        <v>QFD13</v>
      </c>
      <c r="AK214" s="34">
        <v>1</v>
      </c>
      <c r="AL214" s="34" t="str">
        <v>R</v>
      </c>
      <c r="AM214" s="34">
        <v>30</v>
      </c>
      <c r="AN214" s="34">
        <v>0</v>
      </c>
      <c r="AO214" s="34">
        <v>16</v>
      </c>
      <c r="AP214" s="34">
        <v>25</v>
      </c>
      <c r="AQ214" s="34">
        <v>16</v>
      </c>
      <c r="AR214" s="34">
        <v>1</v>
      </c>
      <c r="AS214" s="34">
        <v>1</v>
      </c>
      <c r="AT214" s="34" t="str">
        <v>2P</v>
      </c>
      <c r="AU214" s="34">
        <v>16</v>
      </c>
      <c r="AV214" s="34" t="str">
        <v/>
      </c>
      <c r="AW214" s="34" t="str">
        <v/>
      </c>
      <c r="AX214" s="34" t="str">
        <v/>
      </c>
      <c r="AY214" s="34">
        <v>1</v>
      </c>
      <c r="AZ214" s="34" t="str">
        <v/>
      </c>
      <c r="BA214" s="34">
        <v>0</v>
      </c>
      <c r="BB214" s="34">
        <v>16</v>
      </c>
      <c r="BD214" s="34">
        <v>1</v>
      </c>
      <c r="BE214" s="34">
        <v>0</v>
      </c>
      <c r="BF214" s="34">
        <v>1</v>
      </c>
      <c r="BG214" s="34" t="str">
        <v/>
      </c>
      <c r="BH214" s="34" t="str">
        <v/>
      </c>
      <c r="BI214" s="34" t="str">
        <v/>
      </c>
      <c r="BJ214" s="34" t="str">
        <v/>
      </c>
      <c r="BK214" s="34" t="str">
        <v>SOCKET</v>
      </c>
      <c r="BL214" s="34">
        <v>1</v>
      </c>
      <c r="BM214" s="34" t="str">
        <v/>
      </c>
      <c r="BN214" s="34" t="str">
        <v/>
      </c>
      <c r="BO214" s="34" t="str">
        <v/>
      </c>
      <c r="BP214" s="34" t="str">
        <v/>
      </c>
      <c r="BQ214" s="34" t="str">
        <v>3х2,5</v>
      </c>
      <c r="BR214" s="34" t="str">
        <v/>
      </c>
      <c r="BS214" s="34" t="str">
        <v/>
      </c>
      <c r="BT214" s="34" t="str">
        <v/>
      </c>
      <c r="BU214" s="34">
        <v>0</v>
      </c>
      <c r="BV214" s="34">
        <v>235</v>
      </c>
      <c r="BW214" s="34">
        <v>1</v>
      </c>
      <c r="BX214" s="34">
        <v>0</v>
      </c>
      <c r="BY214" s="34" t="str">
        <v>Розетка</v>
      </c>
      <c r="BZ214">
        <v>10</v>
      </c>
      <c r="CA214" t="str">
        <v>линии</v>
      </c>
    </row>
    <row r="215" spans="1:79" x14ac:dyDescent="0.3">
      <c r="A215" s="39" t="str">
        <v>ЩР-1</v>
      </c>
      <c r="B215" s="42">
        <v>33</v>
      </c>
      <c r="C215" s="42">
        <v>2</v>
      </c>
      <c r="D215" s="75" t="str">
        <v/>
      </c>
      <c r="E215" s="75" t="str">
        <v>авто</v>
      </c>
      <c r="F215" s="76">
        <v>30</v>
      </c>
      <c r="G215" s="47" t="str">
        <v>QFD14</v>
      </c>
      <c r="H215" s="47" t="str">
        <v>2P С16А 30мА</v>
      </c>
      <c r="I215" s="75" t="str">
        <v/>
      </c>
      <c r="J215" s="76" t="str">
        <v/>
      </c>
      <c r="K215" s="76" t="str">
        <v/>
      </c>
      <c r="L215" s="75" t="str">
        <v/>
      </c>
      <c r="M215" s="49" t="str">
        <v/>
      </c>
      <c r="N215" s="76" t="str">
        <v/>
      </c>
      <c r="O215" s="49" t="str">
        <v/>
      </c>
      <c r="P215" s="77" t="str">
        <v/>
      </c>
      <c r="Q215" s="53" t="str">
        <v>ВВГнг(А)-LS (3х2,5) L=113-0,92%</v>
      </c>
      <c r="R215" s="54" t="str">
        <v>R.1.002Г.1</v>
      </c>
      <c r="S215" s="55" t="str">
        <v>Розеточная группа, пом. 002Г</v>
      </c>
      <c r="T215" s="56">
        <v>0.24</v>
      </c>
      <c r="U215" s="56">
        <v>1.1000000000000001</v>
      </c>
      <c r="V215" s="42" t="str">
        <v>L3</v>
      </c>
      <c r="W215" s="57" t="str">
        <v>ok</v>
      </c>
      <c r="X215" s="58" t="str">
        <v/>
      </c>
      <c r="Y215" s="75" t="str">
        <v/>
      </c>
      <c r="Z215" s="59">
        <v>1.0939268258329751</v>
      </c>
      <c r="AA215" s="61">
        <v>16</v>
      </c>
      <c r="AB215" s="61">
        <v>25</v>
      </c>
      <c r="AC215" s="61" t="str">
        <v/>
      </c>
      <c r="AD215" s="62" t="str">
        <v>QFD14</v>
      </c>
      <c r="AE215" s="62" t="str">
        <v/>
      </c>
      <c r="AF215" s="34">
        <v>14</v>
      </c>
      <c r="AG215" s="34" t="str">
        <v>QFD14</v>
      </c>
      <c r="AH215" s="34" t="str">
        <v/>
      </c>
      <c r="AI215" s="34" t="str">
        <v/>
      </c>
      <c r="AJ215" s="34" t="str">
        <v>QFD14</v>
      </c>
      <c r="AK215" s="34">
        <v>1</v>
      </c>
      <c r="AL215" s="34" t="str">
        <v>R</v>
      </c>
      <c r="AM215" s="34">
        <v>30</v>
      </c>
      <c r="AN215" s="34">
        <v>0</v>
      </c>
      <c r="AO215" s="34">
        <v>16</v>
      </c>
      <c r="AP215" s="34">
        <v>25</v>
      </c>
      <c r="AQ215" s="34">
        <v>16</v>
      </c>
      <c r="AR215" s="34">
        <v>1</v>
      </c>
      <c r="AS215" s="34">
        <v>1</v>
      </c>
      <c r="AT215" s="34" t="str">
        <v>2P</v>
      </c>
      <c r="AU215" s="34">
        <v>16</v>
      </c>
      <c r="AV215" s="34" t="str">
        <v/>
      </c>
      <c r="AW215" s="34" t="str">
        <v/>
      </c>
      <c r="AX215" s="34" t="str">
        <v/>
      </c>
      <c r="AY215" s="34">
        <v>1</v>
      </c>
      <c r="AZ215" s="34" t="str">
        <v/>
      </c>
      <c r="BA215" s="34">
        <v>0</v>
      </c>
      <c r="BB215" s="34">
        <v>16</v>
      </c>
      <c r="BD215" s="34">
        <v>1</v>
      </c>
      <c r="BE215" s="34">
        <v>0</v>
      </c>
      <c r="BF215" s="34">
        <v>1</v>
      </c>
      <c r="BG215" s="34" t="str">
        <v/>
      </c>
      <c r="BH215" s="34" t="str">
        <v/>
      </c>
      <c r="BI215" s="34" t="str">
        <v/>
      </c>
      <c r="BJ215" s="34" t="str">
        <v/>
      </c>
      <c r="BK215" s="34" t="str">
        <v>SOCKET</v>
      </c>
      <c r="BL215" s="34">
        <v>1</v>
      </c>
      <c r="BM215" s="34" t="str">
        <v/>
      </c>
      <c r="BN215" s="34" t="str">
        <v/>
      </c>
      <c r="BO215" s="34" t="str">
        <v/>
      </c>
      <c r="BP215" s="34" t="str">
        <v/>
      </c>
      <c r="BQ215" s="34" t="str">
        <v>3х2,5</v>
      </c>
      <c r="BR215" s="34" t="str">
        <v/>
      </c>
      <c r="BS215" s="34" t="str">
        <v/>
      </c>
      <c r="BT215" s="34" t="str">
        <v/>
      </c>
      <c r="BU215" s="34">
        <v>0</v>
      </c>
      <c r="BV215" s="34">
        <v>236</v>
      </c>
      <c r="BW215" s="34">
        <v>1</v>
      </c>
      <c r="BX215" s="34">
        <v>0</v>
      </c>
      <c r="BY215" s="34" t="str">
        <v>Розетка</v>
      </c>
      <c r="BZ215">
        <v>10</v>
      </c>
      <c r="CA215" t="str">
        <v>линии</v>
      </c>
    </row>
    <row r="216" spans="1:79" x14ac:dyDescent="0.3">
      <c r="A216" s="39" t="str">
        <v>ЩР-1</v>
      </c>
      <c r="B216" s="42">
        <v>34</v>
      </c>
      <c r="C216" s="42">
        <v>2</v>
      </c>
      <c r="D216" s="75" t="str">
        <v/>
      </c>
      <c r="E216" s="75" t="str">
        <v>авто</v>
      </c>
      <c r="F216" s="76">
        <v>30</v>
      </c>
      <c r="G216" s="47" t="str">
        <v>QFD15</v>
      </c>
      <c r="H216" s="47" t="str">
        <v>2P С16А 30мА</v>
      </c>
      <c r="I216" s="75" t="str">
        <v/>
      </c>
      <c r="J216" s="76" t="str">
        <v/>
      </c>
      <c r="K216" s="76" t="str">
        <v/>
      </c>
      <c r="L216" s="75" t="str">
        <v/>
      </c>
      <c r="M216" s="49" t="str">
        <v/>
      </c>
      <c r="N216" s="76" t="str">
        <v/>
      </c>
      <c r="O216" s="49" t="str">
        <v/>
      </c>
      <c r="P216" s="77" t="str">
        <v/>
      </c>
      <c r="Q216" s="53" t="str">
        <v>ВВГнг(А)-LS (3х2,5) L=60-0,74%</v>
      </c>
      <c r="R216" s="54" t="str">
        <v>R.1.003A.1</v>
      </c>
      <c r="S216" s="55" t="str">
        <v>Розеточная группа, пом. 003A</v>
      </c>
      <c r="T216" s="56">
        <v>0.36</v>
      </c>
      <c r="U216" s="56">
        <v>1.65</v>
      </c>
      <c r="V216" s="42" t="str">
        <v>L2</v>
      </c>
      <c r="W216" s="57" t="str">
        <v>ok</v>
      </c>
      <c r="X216" s="58" t="str">
        <v/>
      </c>
      <c r="Y216" s="75" t="str">
        <v/>
      </c>
      <c r="Z216" s="59">
        <v>1.6408902387494626</v>
      </c>
      <c r="AA216" s="61">
        <v>16</v>
      </c>
      <c r="AB216" s="61">
        <v>25</v>
      </c>
      <c r="AC216" s="61" t="str">
        <v/>
      </c>
      <c r="AD216" s="62" t="str">
        <v>QFD15</v>
      </c>
      <c r="AE216" s="62" t="str">
        <v/>
      </c>
      <c r="AF216" s="34">
        <v>15</v>
      </c>
      <c r="AG216" s="34" t="str">
        <v>QFD15</v>
      </c>
      <c r="AH216" s="34" t="str">
        <v/>
      </c>
      <c r="AI216" s="34" t="str">
        <v/>
      </c>
      <c r="AJ216" s="34" t="str">
        <v>QFD15</v>
      </c>
      <c r="AK216" s="34">
        <v>1</v>
      </c>
      <c r="AL216" s="34" t="str">
        <v>R</v>
      </c>
      <c r="AM216" s="34">
        <v>30</v>
      </c>
      <c r="AN216" s="34">
        <v>0</v>
      </c>
      <c r="AO216" s="34">
        <v>16</v>
      </c>
      <c r="AP216" s="34">
        <v>25</v>
      </c>
      <c r="AQ216" s="34">
        <v>16</v>
      </c>
      <c r="AR216" s="34">
        <v>1</v>
      </c>
      <c r="AS216" s="34">
        <v>1</v>
      </c>
      <c r="AT216" s="34" t="str">
        <v>2P</v>
      </c>
      <c r="AU216" s="34">
        <v>16</v>
      </c>
      <c r="AV216" s="34" t="str">
        <v/>
      </c>
      <c r="AW216" s="34" t="str">
        <v/>
      </c>
      <c r="AX216" s="34" t="str">
        <v/>
      </c>
      <c r="AY216" s="34">
        <v>1</v>
      </c>
      <c r="AZ216" s="34" t="str">
        <v/>
      </c>
      <c r="BA216" s="34">
        <v>0</v>
      </c>
      <c r="BB216" s="34">
        <v>16</v>
      </c>
      <c r="BD216" s="34">
        <v>1</v>
      </c>
      <c r="BE216" s="34">
        <v>0</v>
      </c>
      <c r="BF216" s="34">
        <v>1</v>
      </c>
      <c r="BG216" s="34" t="str">
        <v/>
      </c>
      <c r="BH216" s="34" t="str">
        <v/>
      </c>
      <c r="BI216" s="34" t="str">
        <v/>
      </c>
      <c r="BJ216" s="34" t="str">
        <v/>
      </c>
      <c r="BK216" s="34" t="str">
        <v>SOCKET</v>
      </c>
      <c r="BL216" s="34">
        <v>1</v>
      </c>
      <c r="BM216" s="34" t="str">
        <v/>
      </c>
      <c r="BN216" s="34" t="str">
        <v/>
      </c>
      <c r="BO216" s="34" t="str">
        <v/>
      </c>
      <c r="BP216" s="34" t="str">
        <v/>
      </c>
      <c r="BQ216" s="34" t="str">
        <v>3х2,5</v>
      </c>
      <c r="BR216" s="34" t="str">
        <v/>
      </c>
      <c r="BS216" s="34" t="str">
        <v/>
      </c>
      <c r="BT216" s="34" t="str">
        <v/>
      </c>
      <c r="BU216" s="34">
        <v>0</v>
      </c>
      <c r="BV216" s="34">
        <v>237</v>
      </c>
      <c r="BW216" s="34">
        <v>1</v>
      </c>
      <c r="BX216" s="34">
        <v>0</v>
      </c>
      <c r="BY216" s="34" t="str">
        <v>Розетка</v>
      </c>
      <c r="BZ216">
        <v>10</v>
      </c>
      <c r="CA216" t="str">
        <v>линии</v>
      </c>
    </row>
    <row r="217" spans="1:79" x14ac:dyDescent="0.3">
      <c r="A217" s="39" t="str">
        <v>ЩР-1</v>
      </c>
      <c r="B217" s="42">
        <v>35</v>
      </c>
      <c r="C217" s="42">
        <v>3</v>
      </c>
      <c r="D217" s="75" t="str">
        <v/>
      </c>
      <c r="E217" s="75" t="str">
        <v>авто</v>
      </c>
      <c r="F217" s="76">
        <v>30</v>
      </c>
      <c r="G217" s="47" t="str">
        <v>QFD16</v>
      </c>
      <c r="H217" s="47" t="str">
        <v>2P С16А 30мА</v>
      </c>
      <c r="I217" s="75" t="str">
        <v/>
      </c>
      <c r="J217" s="76" t="str">
        <v/>
      </c>
      <c r="K217" s="76" t="str">
        <v/>
      </c>
      <c r="L217" s="75" t="str">
        <v/>
      </c>
      <c r="M217" s="49" t="str">
        <v/>
      </c>
      <c r="N217" s="76" t="str">
        <v/>
      </c>
      <c r="O217" s="49" t="str">
        <v/>
      </c>
      <c r="P217" s="77" t="str">
        <v/>
      </c>
      <c r="Q217" s="53" t="str">
        <v>ВВГнг(А)-LS (3х2,5) L=75-0,77%</v>
      </c>
      <c r="R217" s="54" t="str">
        <v>R.1.003A.2</v>
      </c>
      <c r="S217" s="55" t="str">
        <v>Розеточная группа, пом. 003A</v>
      </c>
      <c r="T217" s="56">
        <v>0.3</v>
      </c>
      <c r="U217" s="56">
        <v>1.37</v>
      </c>
      <c r="V217" s="42" t="str">
        <v>L3</v>
      </c>
      <c r="W217" s="57" t="str">
        <v>ok</v>
      </c>
      <c r="X217" s="58" t="str">
        <v/>
      </c>
      <c r="Y217" s="75" t="str">
        <v/>
      </c>
      <c r="Z217" s="59">
        <v>1.3674085322912188</v>
      </c>
      <c r="AA217" s="61">
        <v>16</v>
      </c>
      <c r="AB217" s="61">
        <v>25</v>
      </c>
      <c r="AC217" s="61" t="str">
        <v/>
      </c>
      <c r="AD217" s="62" t="str">
        <v>QFD16</v>
      </c>
      <c r="AE217" s="62" t="str">
        <v/>
      </c>
      <c r="AF217" s="34">
        <v>16</v>
      </c>
      <c r="AG217" s="34" t="str">
        <v>QFD16</v>
      </c>
      <c r="AH217" s="34" t="str">
        <v/>
      </c>
      <c r="AI217" s="34" t="str">
        <v/>
      </c>
      <c r="AJ217" s="34" t="str">
        <v>QFD16</v>
      </c>
      <c r="AK217" s="34">
        <v>1</v>
      </c>
      <c r="AL217" s="34" t="str">
        <v>R</v>
      </c>
      <c r="AM217" s="34">
        <v>30</v>
      </c>
      <c r="AN217" s="34">
        <v>0</v>
      </c>
      <c r="AO217" s="34">
        <v>16</v>
      </c>
      <c r="AP217" s="34">
        <v>25</v>
      </c>
      <c r="AQ217" s="34">
        <v>16</v>
      </c>
      <c r="AR217" s="34">
        <v>1</v>
      </c>
      <c r="AS217" s="34">
        <v>1</v>
      </c>
      <c r="AT217" s="34" t="str">
        <v>2P</v>
      </c>
      <c r="AU217" s="34">
        <v>16</v>
      </c>
      <c r="AV217" s="34" t="str">
        <v/>
      </c>
      <c r="AW217" s="34" t="str">
        <v/>
      </c>
      <c r="AX217" s="34" t="str">
        <v/>
      </c>
      <c r="AY217" s="34">
        <v>1</v>
      </c>
      <c r="AZ217" s="34" t="str">
        <v/>
      </c>
      <c r="BA217" s="34">
        <v>0</v>
      </c>
      <c r="BB217" s="34">
        <v>16</v>
      </c>
      <c r="BD217" s="34">
        <v>1</v>
      </c>
      <c r="BE217" s="34">
        <v>0</v>
      </c>
      <c r="BF217" s="34">
        <v>1</v>
      </c>
      <c r="BG217" s="34" t="str">
        <v/>
      </c>
      <c r="BH217" s="34" t="str">
        <v/>
      </c>
      <c r="BI217" s="34" t="str">
        <v/>
      </c>
      <c r="BJ217" s="34" t="str">
        <v/>
      </c>
      <c r="BK217" s="34" t="str">
        <v>SOCKET</v>
      </c>
      <c r="BL217" s="34">
        <v>1</v>
      </c>
      <c r="BM217" s="34" t="str">
        <v/>
      </c>
      <c r="BN217" s="34" t="str">
        <v/>
      </c>
      <c r="BO217" s="34" t="str">
        <v/>
      </c>
      <c r="BP217" s="34" t="str">
        <v/>
      </c>
      <c r="BQ217" s="34" t="str">
        <v>3х2,5</v>
      </c>
      <c r="BR217" s="34" t="str">
        <v/>
      </c>
      <c r="BS217" s="34" t="str">
        <v/>
      </c>
      <c r="BT217" s="34" t="str">
        <v/>
      </c>
      <c r="BU217" s="34">
        <v>0</v>
      </c>
      <c r="BV217" s="34">
        <v>238</v>
      </c>
      <c r="BW217" s="34">
        <v>1</v>
      </c>
      <c r="BX217" s="34">
        <v>0</v>
      </c>
      <c r="BY217" s="34" t="str">
        <v>Розетка</v>
      </c>
      <c r="BZ217">
        <v>10</v>
      </c>
      <c r="CA217" t="str">
        <v>линии</v>
      </c>
    </row>
    <row r="218" spans="1:79" x14ac:dyDescent="0.3">
      <c r="A218" s="39" t="str">
        <v>ЩР-1</v>
      </c>
      <c r="B218" s="42">
        <v>36</v>
      </c>
      <c r="C218" s="42">
        <v>3</v>
      </c>
      <c r="D218" s="75" t="str">
        <v/>
      </c>
      <c r="E218" s="75" t="str">
        <v>авто</v>
      </c>
      <c r="F218" s="76">
        <v>30</v>
      </c>
      <c r="G218" s="47" t="str">
        <v>QFD17</v>
      </c>
      <c r="H218" s="47" t="str">
        <v>2P С16А 30мА</v>
      </c>
      <c r="I218" s="75" t="str">
        <v/>
      </c>
      <c r="J218" s="76" t="str">
        <v/>
      </c>
      <c r="K218" s="76" t="str">
        <v/>
      </c>
      <c r="L218" s="75" t="str">
        <v/>
      </c>
      <c r="M218" s="49" t="str">
        <v/>
      </c>
      <c r="N218" s="76" t="str">
        <v/>
      </c>
      <c r="O218" s="49" t="str">
        <v/>
      </c>
      <c r="P218" s="77" t="str">
        <v/>
      </c>
      <c r="Q218" s="53" t="str">
        <v>ВВГнг(А)-LS (3х2,5) L=107-1,31%</v>
      </c>
      <c r="R218" s="54" t="str">
        <v>R.1.003A.3</v>
      </c>
      <c r="S218" s="55" t="str">
        <v>Розеточная группа, пом. 003A</v>
      </c>
      <c r="T218" s="56">
        <v>0.36</v>
      </c>
      <c r="U218" s="56">
        <v>1.65</v>
      </c>
      <c r="V218" s="42" t="str">
        <v>L1</v>
      </c>
      <c r="W218" s="57" t="str">
        <v>ok</v>
      </c>
      <c r="X218" s="58" t="str">
        <v/>
      </c>
      <c r="Y218" s="75" t="str">
        <v/>
      </c>
      <c r="Z218" s="59">
        <v>1.6408902387494626</v>
      </c>
      <c r="AA218" s="61">
        <v>16</v>
      </c>
      <c r="AB218" s="61">
        <v>25</v>
      </c>
      <c r="AC218" s="61" t="str">
        <v/>
      </c>
      <c r="AD218" s="62" t="str">
        <v>QFD17</v>
      </c>
      <c r="AE218" s="62" t="str">
        <v/>
      </c>
      <c r="AF218" s="34">
        <v>17</v>
      </c>
      <c r="AG218" s="34" t="str">
        <v>QFD17</v>
      </c>
      <c r="AH218" s="34" t="str">
        <v/>
      </c>
      <c r="AI218" s="34" t="str">
        <v/>
      </c>
      <c r="AJ218" s="34" t="str">
        <v>QFD17</v>
      </c>
      <c r="AK218" s="34">
        <v>1</v>
      </c>
      <c r="AL218" s="34" t="str">
        <v>R</v>
      </c>
      <c r="AM218" s="34">
        <v>30</v>
      </c>
      <c r="AN218" s="34">
        <v>0</v>
      </c>
      <c r="AO218" s="34">
        <v>16</v>
      </c>
      <c r="AP218" s="34">
        <v>25</v>
      </c>
      <c r="AQ218" s="34">
        <v>16</v>
      </c>
      <c r="AR218" s="34">
        <v>1</v>
      </c>
      <c r="AS218" s="34">
        <v>1</v>
      </c>
      <c r="AT218" s="34" t="str">
        <v>2P</v>
      </c>
      <c r="AU218" s="34">
        <v>16</v>
      </c>
      <c r="AV218" s="34" t="str">
        <v/>
      </c>
      <c r="AW218" s="34" t="str">
        <v/>
      </c>
      <c r="AX218" s="34" t="str">
        <v/>
      </c>
      <c r="AY218" s="34">
        <v>1</v>
      </c>
      <c r="AZ218" s="34" t="str">
        <v/>
      </c>
      <c r="BA218" s="34">
        <v>0</v>
      </c>
      <c r="BB218" s="34">
        <v>16</v>
      </c>
      <c r="BD218" s="34">
        <v>1</v>
      </c>
      <c r="BE218" s="34">
        <v>0</v>
      </c>
      <c r="BF218" s="34">
        <v>1</v>
      </c>
      <c r="BG218" s="34" t="str">
        <v/>
      </c>
      <c r="BH218" s="34" t="str">
        <v/>
      </c>
      <c r="BI218" s="34" t="str">
        <v/>
      </c>
      <c r="BJ218" s="34" t="str">
        <v/>
      </c>
      <c r="BK218" s="34" t="str">
        <v>SOCKET</v>
      </c>
      <c r="BL218" s="34">
        <v>1</v>
      </c>
      <c r="BM218" s="34" t="str">
        <v/>
      </c>
      <c r="BN218" s="34" t="str">
        <v/>
      </c>
      <c r="BO218" s="34" t="str">
        <v/>
      </c>
      <c r="BP218" s="34" t="str">
        <v/>
      </c>
      <c r="BQ218" s="34" t="str">
        <v>3х2,5</v>
      </c>
      <c r="BR218" s="34" t="str">
        <v/>
      </c>
      <c r="BS218" s="34" t="str">
        <v/>
      </c>
      <c r="BT218" s="34" t="str">
        <v/>
      </c>
      <c r="BU218" s="34">
        <v>0</v>
      </c>
      <c r="BV218" s="34">
        <v>239</v>
      </c>
      <c r="BW218" s="34">
        <v>1</v>
      </c>
      <c r="BX218" s="34">
        <v>0</v>
      </c>
      <c r="BY218" s="34" t="str">
        <v>Розетка</v>
      </c>
      <c r="BZ218">
        <v>10</v>
      </c>
      <c r="CA218" t="str">
        <v>линии</v>
      </c>
    </row>
    <row r="219" spans="1:79" x14ac:dyDescent="0.3">
      <c r="A219" s="39" t="str">
        <v>ЩР-1</v>
      </c>
      <c r="B219" s="42">
        <v>37</v>
      </c>
      <c r="C219" s="42">
        <v>3</v>
      </c>
      <c r="D219" s="75" t="str">
        <v/>
      </c>
      <c r="E219" s="75" t="str">
        <v>авто</v>
      </c>
      <c r="F219" s="76">
        <v>30</v>
      </c>
      <c r="G219" s="47" t="str">
        <v>QFD18</v>
      </c>
      <c r="H219" s="47" t="str">
        <v>2P С16А 30мА</v>
      </c>
      <c r="I219" s="75" t="str">
        <v/>
      </c>
      <c r="J219" s="76" t="str">
        <v/>
      </c>
      <c r="K219" s="76" t="str">
        <v/>
      </c>
      <c r="L219" s="75" t="str">
        <v/>
      </c>
      <c r="M219" s="49" t="str">
        <v/>
      </c>
      <c r="N219" s="76" t="str">
        <v/>
      </c>
      <c r="O219" s="49" t="str">
        <v/>
      </c>
      <c r="P219" s="77" t="str">
        <v/>
      </c>
      <c r="Q219" s="53" t="str">
        <v>ВВГнг(А)-LS (3х2,5) L=69-0,71%</v>
      </c>
      <c r="R219" s="54" t="str">
        <v>R.1.003A2</v>
      </c>
      <c r="S219" s="55" t="str">
        <v>Розеточная группа, пом. 003A2</v>
      </c>
      <c r="T219" s="56">
        <v>0.3</v>
      </c>
      <c r="U219" s="56">
        <v>1.37</v>
      </c>
      <c r="V219" s="42" t="str">
        <v>L1</v>
      </c>
      <c r="W219" s="57" t="str">
        <v>ok</v>
      </c>
      <c r="X219" s="58" t="str">
        <v/>
      </c>
      <c r="Y219" s="75" t="str">
        <v/>
      </c>
      <c r="Z219" s="59">
        <v>1.3674085322912188</v>
      </c>
      <c r="AA219" s="61">
        <v>16</v>
      </c>
      <c r="AB219" s="61">
        <v>25</v>
      </c>
      <c r="AC219" s="61" t="str">
        <v/>
      </c>
      <c r="AD219" s="62" t="str">
        <v>QFD18</v>
      </c>
      <c r="AE219" s="62" t="str">
        <v/>
      </c>
      <c r="AF219" s="34">
        <v>18</v>
      </c>
      <c r="AG219" s="34" t="str">
        <v>QFD18</v>
      </c>
      <c r="AH219" s="34" t="str">
        <v/>
      </c>
      <c r="AI219" s="34" t="str">
        <v/>
      </c>
      <c r="AJ219" s="34" t="str">
        <v>QFD18</v>
      </c>
      <c r="AK219" s="34">
        <v>1</v>
      </c>
      <c r="AL219" s="34" t="str">
        <v>R</v>
      </c>
      <c r="AM219" s="34">
        <v>30</v>
      </c>
      <c r="AN219" s="34">
        <v>0</v>
      </c>
      <c r="AO219" s="34">
        <v>16</v>
      </c>
      <c r="AP219" s="34">
        <v>25</v>
      </c>
      <c r="AQ219" s="34">
        <v>16</v>
      </c>
      <c r="AR219" s="34">
        <v>1</v>
      </c>
      <c r="AS219" s="34">
        <v>1</v>
      </c>
      <c r="AT219" s="34" t="str">
        <v>2P</v>
      </c>
      <c r="AU219" s="34">
        <v>16</v>
      </c>
      <c r="AV219" s="34" t="str">
        <v/>
      </c>
      <c r="AW219" s="34" t="str">
        <v/>
      </c>
      <c r="AX219" s="34" t="str">
        <v/>
      </c>
      <c r="AY219" s="34">
        <v>1</v>
      </c>
      <c r="AZ219" s="34" t="str">
        <v/>
      </c>
      <c r="BA219" s="34">
        <v>0</v>
      </c>
      <c r="BB219" s="34">
        <v>16</v>
      </c>
      <c r="BD219" s="34">
        <v>1</v>
      </c>
      <c r="BE219" s="34">
        <v>0</v>
      </c>
      <c r="BF219" s="34">
        <v>1</v>
      </c>
      <c r="BG219" s="34" t="str">
        <v/>
      </c>
      <c r="BH219" s="34" t="str">
        <v/>
      </c>
      <c r="BI219" s="34" t="str">
        <v/>
      </c>
      <c r="BJ219" s="34" t="str">
        <v/>
      </c>
      <c r="BK219" s="34" t="str">
        <v>SOCKET</v>
      </c>
      <c r="BL219" s="34">
        <v>1</v>
      </c>
      <c r="BM219" s="34" t="str">
        <v/>
      </c>
      <c r="BN219" s="34" t="str">
        <v/>
      </c>
      <c r="BO219" s="34" t="str">
        <v/>
      </c>
      <c r="BP219" s="34" t="str">
        <v/>
      </c>
      <c r="BQ219" s="34" t="str">
        <v>3х2,5</v>
      </c>
      <c r="BR219" s="34" t="str">
        <v/>
      </c>
      <c r="BS219" s="34" t="str">
        <v/>
      </c>
      <c r="BT219" s="34" t="str">
        <v/>
      </c>
      <c r="BU219" s="34">
        <v>0</v>
      </c>
      <c r="BV219" s="34">
        <v>240</v>
      </c>
      <c r="BW219" s="34">
        <v>1</v>
      </c>
      <c r="BX219" s="34">
        <v>0</v>
      </c>
      <c r="BY219" s="34" t="str">
        <v>Розетка</v>
      </c>
      <c r="BZ219">
        <v>10</v>
      </c>
      <c r="CA219" t="str">
        <v>линии</v>
      </c>
    </row>
    <row r="220" spans="1:79" x14ac:dyDescent="0.3">
      <c r="A220" s="39" t="str">
        <v>ЩР-1</v>
      </c>
      <c r="B220" s="42">
        <v>38</v>
      </c>
      <c r="C220" s="42">
        <v>3</v>
      </c>
      <c r="D220" s="75" t="str">
        <v/>
      </c>
      <c r="E220" s="75" t="str">
        <v>авто</v>
      </c>
      <c r="F220" s="76">
        <v>30</v>
      </c>
      <c r="G220" s="47" t="str">
        <v>QFD19</v>
      </c>
      <c r="H220" s="47" t="str">
        <v>2P С16А 30мА</v>
      </c>
      <c r="I220" s="75" t="str">
        <v/>
      </c>
      <c r="J220" s="76" t="str">
        <v/>
      </c>
      <c r="K220" s="76" t="str">
        <v/>
      </c>
      <c r="L220" s="75" t="str">
        <v/>
      </c>
      <c r="M220" s="49" t="str">
        <v/>
      </c>
      <c r="N220" s="76" t="str">
        <v/>
      </c>
      <c r="O220" s="49" t="str">
        <v/>
      </c>
      <c r="P220" s="77" t="str">
        <v/>
      </c>
      <c r="Q220" s="53" t="str">
        <v>ВВГнг(А)-LS (3х2,5) L=81-0,66%</v>
      </c>
      <c r="R220" s="54" t="str">
        <v>R.1.003Aб.1</v>
      </c>
      <c r="S220" s="55" t="str">
        <v>Розеточная группа, пом. 003Aб</v>
      </c>
      <c r="T220" s="56">
        <v>0.24</v>
      </c>
      <c r="U220" s="56">
        <v>1.1000000000000001</v>
      </c>
      <c r="V220" s="42" t="str">
        <v>L2</v>
      </c>
      <c r="W220" s="57" t="str">
        <v>ok</v>
      </c>
      <c r="X220" s="58" t="str">
        <v/>
      </c>
      <c r="Y220" s="75" t="str">
        <v/>
      </c>
      <c r="Z220" s="59">
        <v>1.0939268258329751</v>
      </c>
      <c r="AA220" s="61">
        <v>16</v>
      </c>
      <c r="AB220" s="61">
        <v>25</v>
      </c>
      <c r="AC220" s="61" t="str">
        <v/>
      </c>
      <c r="AD220" s="62" t="str">
        <v>QFD19</v>
      </c>
      <c r="AE220" s="62" t="str">
        <v/>
      </c>
      <c r="AF220" s="34">
        <v>19</v>
      </c>
      <c r="AG220" s="34" t="str">
        <v>QFD19</v>
      </c>
      <c r="AH220" s="34" t="str">
        <v/>
      </c>
      <c r="AI220" s="34" t="str">
        <v/>
      </c>
      <c r="AJ220" s="34" t="str">
        <v>QFD19</v>
      </c>
      <c r="AK220" s="34">
        <v>1</v>
      </c>
      <c r="AL220" s="34" t="str">
        <v>R</v>
      </c>
      <c r="AM220" s="34">
        <v>30</v>
      </c>
      <c r="AN220" s="34">
        <v>0</v>
      </c>
      <c r="AO220" s="34">
        <v>16</v>
      </c>
      <c r="AP220" s="34">
        <v>25</v>
      </c>
      <c r="AQ220" s="34">
        <v>16</v>
      </c>
      <c r="AR220" s="34">
        <v>1</v>
      </c>
      <c r="AS220" s="34">
        <v>1</v>
      </c>
      <c r="AT220" s="34" t="str">
        <v>2P</v>
      </c>
      <c r="AU220" s="34">
        <v>16</v>
      </c>
      <c r="AV220" s="34" t="str">
        <v/>
      </c>
      <c r="AW220" s="34" t="str">
        <v/>
      </c>
      <c r="AX220" s="34" t="str">
        <v/>
      </c>
      <c r="AY220" s="34">
        <v>1</v>
      </c>
      <c r="AZ220" s="34" t="str">
        <v/>
      </c>
      <c r="BA220" s="34">
        <v>0</v>
      </c>
      <c r="BB220" s="34">
        <v>16</v>
      </c>
      <c r="BD220" s="34">
        <v>1</v>
      </c>
      <c r="BE220" s="34">
        <v>0</v>
      </c>
      <c r="BF220" s="34">
        <v>1</v>
      </c>
      <c r="BG220" s="34" t="str">
        <v/>
      </c>
      <c r="BH220" s="34" t="str">
        <v/>
      </c>
      <c r="BI220" s="34" t="str">
        <v/>
      </c>
      <c r="BJ220" s="34" t="str">
        <v/>
      </c>
      <c r="BK220" s="34" t="str">
        <v>SOCKET</v>
      </c>
      <c r="BL220" s="34">
        <v>1</v>
      </c>
      <c r="BM220" s="34" t="str">
        <v/>
      </c>
      <c r="BN220" s="34" t="str">
        <v/>
      </c>
      <c r="BO220" s="34" t="str">
        <v/>
      </c>
      <c r="BP220" s="34" t="str">
        <v/>
      </c>
      <c r="BQ220" s="34" t="str">
        <v>3х2,5</v>
      </c>
      <c r="BR220" s="34" t="str">
        <v/>
      </c>
      <c r="BS220" s="34" t="str">
        <v/>
      </c>
      <c r="BT220" s="34" t="str">
        <v/>
      </c>
      <c r="BU220" s="34">
        <v>0</v>
      </c>
      <c r="BV220" s="34">
        <v>241</v>
      </c>
      <c r="BW220" s="34">
        <v>1</v>
      </c>
      <c r="BX220" s="34">
        <v>0</v>
      </c>
      <c r="BY220" s="34" t="str">
        <v>Розетка</v>
      </c>
      <c r="BZ220">
        <v>10</v>
      </c>
      <c r="CA220" t="str">
        <v>линии</v>
      </c>
    </row>
    <row r="221" spans="1:79" x14ac:dyDescent="0.3">
      <c r="A221" s="39" t="str">
        <v>ЩР-1</v>
      </c>
      <c r="B221" s="42">
        <v>39</v>
      </c>
      <c r="C221" s="42">
        <v>3</v>
      </c>
      <c r="D221" s="75" t="str">
        <v/>
      </c>
      <c r="E221" s="75" t="str">
        <v>авто</v>
      </c>
      <c r="F221" s="76">
        <v>30</v>
      </c>
      <c r="G221" s="47" t="str">
        <v>QFD20</v>
      </c>
      <c r="H221" s="47" t="str">
        <v>2P С16А 30мА</v>
      </c>
      <c r="I221" s="75" t="str">
        <v/>
      </c>
      <c r="J221" s="76" t="str">
        <v/>
      </c>
      <c r="K221" s="76" t="str">
        <v/>
      </c>
      <c r="L221" s="75" t="str">
        <v/>
      </c>
      <c r="M221" s="49" t="str">
        <v/>
      </c>
      <c r="N221" s="76" t="str">
        <v/>
      </c>
      <c r="O221" s="49" t="str">
        <v/>
      </c>
      <c r="P221" s="77" t="str">
        <v/>
      </c>
      <c r="Q221" s="53" t="str">
        <v>ВВГнг(А)-LS (3х2,5) L=28-0,23%</v>
      </c>
      <c r="R221" s="54" t="str">
        <v>R.1.003Б.1</v>
      </c>
      <c r="S221" s="55" t="str">
        <v>Розеточная группа, пом. 003Б</v>
      </c>
      <c r="T221" s="56">
        <v>0.24</v>
      </c>
      <c r="U221" s="56">
        <v>1.1000000000000001</v>
      </c>
      <c r="V221" s="42" t="str">
        <v>L1</v>
      </c>
      <c r="W221" s="57" t="str">
        <v>ok</v>
      </c>
      <c r="X221" s="58" t="str">
        <v/>
      </c>
      <c r="Y221" s="75" t="str">
        <v/>
      </c>
      <c r="Z221" s="59">
        <v>1.0939268258329751</v>
      </c>
      <c r="AA221" s="61">
        <v>16</v>
      </c>
      <c r="AB221" s="61">
        <v>25</v>
      </c>
      <c r="AC221" s="61" t="str">
        <v/>
      </c>
      <c r="AD221" s="62" t="str">
        <v>QFD20</v>
      </c>
      <c r="AE221" s="62" t="str">
        <v/>
      </c>
      <c r="AF221" s="34">
        <v>20</v>
      </c>
      <c r="AG221" s="34" t="str">
        <v>QFD20</v>
      </c>
      <c r="AH221" s="34" t="str">
        <v/>
      </c>
      <c r="AI221" s="34" t="str">
        <v/>
      </c>
      <c r="AJ221" s="34" t="str">
        <v>QFD20</v>
      </c>
      <c r="AK221" s="34">
        <v>1</v>
      </c>
      <c r="AL221" s="34" t="str">
        <v>R</v>
      </c>
      <c r="AM221" s="34">
        <v>30</v>
      </c>
      <c r="AN221" s="34">
        <v>0</v>
      </c>
      <c r="AO221" s="34">
        <v>16</v>
      </c>
      <c r="AP221" s="34">
        <v>25</v>
      </c>
      <c r="AQ221" s="34">
        <v>16</v>
      </c>
      <c r="AR221" s="34">
        <v>1</v>
      </c>
      <c r="AS221" s="34">
        <v>1</v>
      </c>
      <c r="AT221" s="34" t="str">
        <v>2P</v>
      </c>
      <c r="AU221" s="34">
        <v>16</v>
      </c>
      <c r="AV221" s="34" t="str">
        <v/>
      </c>
      <c r="AW221" s="34" t="str">
        <v/>
      </c>
      <c r="AX221" s="34" t="str">
        <v/>
      </c>
      <c r="AY221" s="34">
        <v>1</v>
      </c>
      <c r="AZ221" s="34" t="str">
        <v/>
      </c>
      <c r="BA221" s="34">
        <v>0</v>
      </c>
      <c r="BB221" s="34">
        <v>16</v>
      </c>
      <c r="BD221" s="34">
        <v>1</v>
      </c>
      <c r="BE221" s="34">
        <v>0</v>
      </c>
      <c r="BF221" s="34">
        <v>1</v>
      </c>
      <c r="BG221" s="34" t="str">
        <v/>
      </c>
      <c r="BH221" s="34" t="str">
        <v/>
      </c>
      <c r="BI221" s="34" t="str">
        <v/>
      </c>
      <c r="BJ221" s="34" t="str">
        <v/>
      </c>
      <c r="BK221" s="34" t="str">
        <v>SOCKET</v>
      </c>
      <c r="BL221" s="34">
        <v>1</v>
      </c>
      <c r="BM221" s="34" t="str">
        <v/>
      </c>
      <c r="BN221" s="34" t="str">
        <v/>
      </c>
      <c r="BO221" s="34" t="str">
        <v/>
      </c>
      <c r="BP221" s="34" t="str">
        <v/>
      </c>
      <c r="BQ221" s="34" t="str">
        <v>3х2,5</v>
      </c>
      <c r="BR221" s="34" t="str">
        <v/>
      </c>
      <c r="BS221" s="34" t="str">
        <v/>
      </c>
      <c r="BT221" s="34" t="str">
        <v/>
      </c>
      <c r="BU221" s="34">
        <v>0</v>
      </c>
      <c r="BV221" s="34">
        <v>242</v>
      </c>
      <c r="BW221" s="34">
        <v>1</v>
      </c>
      <c r="BX221" s="34">
        <v>0</v>
      </c>
      <c r="BY221" s="34" t="str">
        <v>Розетка</v>
      </c>
      <c r="BZ221">
        <v>10</v>
      </c>
      <c r="CA221" t="str">
        <v>линии</v>
      </c>
    </row>
    <row r="222" spans="1:79" x14ac:dyDescent="0.3">
      <c r="A222" s="39" t="str">
        <v>ЩР-1</v>
      </c>
      <c r="B222" s="42">
        <v>40</v>
      </c>
      <c r="C222" s="42">
        <v>3</v>
      </c>
      <c r="D222" s="75" t="str">
        <v/>
      </c>
      <c r="E222" s="75" t="str">
        <v>авто</v>
      </c>
      <c r="F222" s="76">
        <v>30</v>
      </c>
      <c r="G222" s="47" t="str">
        <v>QFD21</v>
      </c>
      <c r="H222" s="47" t="str">
        <v>2P С16А 30мА</v>
      </c>
      <c r="I222" s="75" t="str">
        <v/>
      </c>
      <c r="J222" s="76" t="str">
        <v/>
      </c>
      <c r="K222" s="76" t="str">
        <v/>
      </c>
      <c r="L222" s="75" t="str">
        <v/>
      </c>
      <c r="M222" s="49" t="str">
        <v/>
      </c>
      <c r="N222" s="76" t="str">
        <v/>
      </c>
      <c r="O222" s="49" t="str">
        <v/>
      </c>
      <c r="P222" s="77" t="str">
        <v/>
      </c>
      <c r="Q222" s="53" t="str">
        <v>ВВГнг(А)-LS (3х2,5) L=13-0,06%</v>
      </c>
      <c r="R222" s="54" t="str">
        <v>R.1.003Б.2</v>
      </c>
      <c r="S222" s="55" t="str">
        <v>Розеточная группа, пом. 003Б</v>
      </c>
      <c r="T222" s="56">
        <v>0.12</v>
      </c>
      <c r="U222" s="56">
        <v>0.55000000000000004</v>
      </c>
      <c r="V222" s="42" t="str">
        <v>L2</v>
      </c>
      <c r="W222" s="57" t="str">
        <v>ok</v>
      </c>
      <c r="X222" s="58" t="str">
        <v/>
      </c>
      <c r="Y222" s="75" t="str">
        <v/>
      </c>
      <c r="Z222" s="59">
        <v>0.54696341291648753</v>
      </c>
      <c r="AA222" s="61">
        <v>16</v>
      </c>
      <c r="AB222" s="61">
        <v>25</v>
      </c>
      <c r="AC222" s="61" t="str">
        <v/>
      </c>
      <c r="AD222" s="62" t="str">
        <v>QFD21</v>
      </c>
      <c r="AE222" s="62" t="str">
        <v/>
      </c>
      <c r="AF222" s="34">
        <v>21</v>
      </c>
      <c r="AG222" s="34" t="str">
        <v>QFD21</v>
      </c>
      <c r="AH222" s="34" t="str">
        <v/>
      </c>
      <c r="AI222" s="34" t="str">
        <v/>
      </c>
      <c r="AJ222" s="34" t="str">
        <v>QFD21</v>
      </c>
      <c r="AK222" s="34">
        <v>1</v>
      </c>
      <c r="AL222" s="34" t="str">
        <v>R</v>
      </c>
      <c r="AM222" s="34">
        <v>30</v>
      </c>
      <c r="AN222" s="34">
        <v>0</v>
      </c>
      <c r="AO222" s="34">
        <v>16</v>
      </c>
      <c r="AP222" s="34">
        <v>25</v>
      </c>
      <c r="AQ222" s="34">
        <v>16</v>
      </c>
      <c r="AR222" s="34">
        <v>1</v>
      </c>
      <c r="AS222" s="34">
        <v>1</v>
      </c>
      <c r="AT222" s="34" t="str">
        <v>2P</v>
      </c>
      <c r="AU222" s="34">
        <v>16</v>
      </c>
      <c r="AV222" s="34" t="str">
        <v/>
      </c>
      <c r="AW222" s="34" t="str">
        <v/>
      </c>
      <c r="AX222" s="34" t="str">
        <v/>
      </c>
      <c r="AY222" s="34">
        <v>1</v>
      </c>
      <c r="AZ222" s="34" t="str">
        <v/>
      </c>
      <c r="BA222" s="34">
        <v>0</v>
      </c>
      <c r="BB222" s="34">
        <v>16</v>
      </c>
      <c r="BD222" s="34">
        <v>1</v>
      </c>
      <c r="BE222" s="34">
        <v>0</v>
      </c>
      <c r="BF222" s="34">
        <v>1</v>
      </c>
      <c r="BG222" s="34" t="str">
        <v/>
      </c>
      <c r="BH222" s="34" t="str">
        <v/>
      </c>
      <c r="BI222" s="34" t="str">
        <v/>
      </c>
      <c r="BJ222" s="34" t="str">
        <v/>
      </c>
      <c r="BK222" s="34" t="str">
        <v>SOCKET</v>
      </c>
      <c r="BL222" s="34">
        <v>1</v>
      </c>
      <c r="BM222" s="34" t="str">
        <v/>
      </c>
      <c r="BN222" s="34" t="str">
        <v/>
      </c>
      <c r="BO222" s="34" t="str">
        <v/>
      </c>
      <c r="BP222" s="34" t="str">
        <v/>
      </c>
      <c r="BQ222" s="34" t="str">
        <v>3х2,5</v>
      </c>
      <c r="BR222" s="34" t="str">
        <v/>
      </c>
      <c r="BS222" s="34" t="str">
        <v/>
      </c>
      <c r="BT222" s="34" t="str">
        <v/>
      </c>
      <c r="BU222" s="34">
        <v>0</v>
      </c>
      <c r="BV222" s="34">
        <v>243</v>
      </c>
      <c r="BW222" s="34">
        <v>1</v>
      </c>
      <c r="BX222" s="34">
        <v>0</v>
      </c>
      <c r="BY222" s="34" t="str">
        <v>Розетка</v>
      </c>
      <c r="BZ222">
        <v>10</v>
      </c>
      <c r="CA222" t="str">
        <v>линии</v>
      </c>
    </row>
    <row r="223" spans="1:79" x14ac:dyDescent="0.3">
      <c r="A223" s="39" t="str">
        <v>ЩР-1</v>
      </c>
      <c r="B223" s="42">
        <v>41</v>
      </c>
      <c r="C223" s="42">
        <v>3</v>
      </c>
      <c r="D223" s="75" t="str">
        <v/>
      </c>
      <c r="E223" s="75" t="str">
        <v>авто</v>
      </c>
      <c r="F223" s="76">
        <v>30</v>
      </c>
      <c r="G223" s="47" t="str">
        <v>QFD22</v>
      </c>
      <c r="H223" s="47" t="str">
        <v>2P С16А 30мА</v>
      </c>
      <c r="I223" s="75" t="str">
        <v/>
      </c>
      <c r="J223" s="76" t="str">
        <v/>
      </c>
      <c r="K223" s="76" t="str">
        <v/>
      </c>
      <c r="L223" s="75" t="str">
        <v/>
      </c>
      <c r="M223" s="49" t="str">
        <v/>
      </c>
      <c r="N223" s="76" t="str">
        <v/>
      </c>
      <c r="O223" s="49" t="str">
        <v/>
      </c>
      <c r="P223" s="77" t="str">
        <v/>
      </c>
      <c r="Q223" s="53" t="str">
        <v>ВВГнг(А)-LS (3х2,5) L=32-0,07%</v>
      </c>
      <c r="R223" s="54" t="str">
        <v>R.1.003Г.1</v>
      </c>
      <c r="S223" s="55" t="str">
        <v>Розеточная группа, пом. 003Г</v>
      </c>
      <c r="T223" s="56">
        <v>0.06</v>
      </c>
      <c r="U223" s="56">
        <v>0.28000000000000003</v>
      </c>
      <c r="V223" s="42" t="str">
        <v>L2</v>
      </c>
      <c r="W223" s="57" t="str">
        <v>ok</v>
      </c>
      <c r="X223" s="58" t="str">
        <v/>
      </c>
      <c r="Y223" s="75" t="str">
        <v/>
      </c>
      <c r="Z223" s="59">
        <v>0.27348170645824377</v>
      </c>
      <c r="AA223" s="61">
        <v>16</v>
      </c>
      <c r="AB223" s="61">
        <v>25</v>
      </c>
      <c r="AC223" s="61" t="str">
        <v/>
      </c>
      <c r="AD223" s="62" t="str">
        <v>QFD22</v>
      </c>
      <c r="AE223" s="62" t="str">
        <v/>
      </c>
      <c r="AF223" s="34">
        <v>22</v>
      </c>
      <c r="AG223" s="34" t="str">
        <v>QFD22</v>
      </c>
      <c r="AH223" s="34" t="str">
        <v/>
      </c>
      <c r="AI223" s="34" t="str">
        <v/>
      </c>
      <c r="AJ223" s="34" t="str">
        <v>QFD22</v>
      </c>
      <c r="AK223" s="34">
        <v>1</v>
      </c>
      <c r="AL223" s="34" t="str">
        <v>R</v>
      </c>
      <c r="AM223" s="34">
        <v>30</v>
      </c>
      <c r="AN223" s="34">
        <v>0</v>
      </c>
      <c r="AO223" s="34">
        <v>16</v>
      </c>
      <c r="AP223" s="34">
        <v>25</v>
      </c>
      <c r="AQ223" s="34">
        <v>16</v>
      </c>
      <c r="AR223" s="34">
        <v>1</v>
      </c>
      <c r="AS223" s="34">
        <v>1</v>
      </c>
      <c r="AT223" s="34" t="str">
        <v>2P</v>
      </c>
      <c r="AU223" s="34">
        <v>16</v>
      </c>
      <c r="AV223" s="34" t="str">
        <v/>
      </c>
      <c r="AW223" s="34" t="str">
        <v/>
      </c>
      <c r="AX223" s="34" t="str">
        <v/>
      </c>
      <c r="AY223" s="34">
        <v>1</v>
      </c>
      <c r="AZ223" s="34" t="str">
        <v/>
      </c>
      <c r="BA223" s="34">
        <v>0</v>
      </c>
      <c r="BB223" s="34">
        <v>16</v>
      </c>
      <c r="BD223" s="34">
        <v>1</v>
      </c>
      <c r="BE223" s="34">
        <v>0</v>
      </c>
      <c r="BF223" s="34">
        <v>1</v>
      </c>
      <c r="BG223" s="34" t="str">
        <v/>
      </c>
      <c r="BH223" s="34" t="str">
        <v/>
      </c>
      <c r="BI223" s="34" t="str">
        <v/>
      </c>
      <c r="BJ223" s="34" t="str">
        <v/>
      </c>
      <c r="BK223" s="34" t="str">
        <v>SOCKET</v>
      </c>
      <c r="BL223" s="34">
        <v>1</v>
      </c>
      <c r="BM223" s="34" t="str">
        <v/>
      </c>
      <c r="BN223" s="34" t="str">
        <v/>
      </c>
      <c r="BO223" s="34" t="str">
        <v/>
      </c>
      <c r="BP223" s="34" t="str">
        <v/>
      </c>
      <c r="BQ223" s="34" t="str">
        <v>3х2,5</v>
      </c>
      <c r="BR223" s="34" t="str">
        <v/>
      </c>
      <c r="BS223" s="34" t="str">
        <v/>
      </c>
      <c r="BT223" s="34" t="str">
        <v/>
      </c>
      <c r="BU223" s="34">
        <v>0</v>
      </c>
      <c r="BV223" s="34">
        <v>244</v>
      </c>
      <c r="BW223" s="34">
        <v>1</v>
      </c>
      <c r="BX223" s="34">
        <v>0</v>
      </c>
      <c r="BY223" s="34" t="str">
        <v>Розетка</v>
      </c>
      <c r="BZ223">
        <v>10</v>
      </c>
      <c r="CA223" t="str">
        <v>линии</v>
      </c>
    </row>
    <row r="224" spans="1:79" x14ac:dyDescent="0.3">
      <c r="A224" s="39" t="str">
        <v>ЩР-1</v>
      </c>
      <c r="B224" s="42">
        <v>42</v>
      </c>
      <c r="C224" s="42">
        <v>3</v>
      </c>
      <c r="D224" s="75" t="str">
        <v/>
      </c>
      <c r="E224" s="75" t="str">
        <v>авто</v>
      </c>
      <c r="F224" s="76">
        <v>30</v>
      </c>
      <c r="G224" s="47" t="str">
        <v>QFD23</v>
      </c>
      <c r="H224" s="47" t="str">
        <v>2P С16А 30мА</v>
      </c>
      <c r="I224" s="75" t="str">
        <v/>
      </c>
      <c r="J224" s="76" t="str">
        <v/>
      </c>
      <c r="K224" s="76" t="str">
        <v/>
      </c>
      <c r="L224" s="75" t="str">
        <v/>
      </c>
      <c r="M224" s="49" t="str">
        <v/>
      </c>
      <c r="N224" s="76" t="str">
        <v/>
      </c>
      <c r="O224" s="49" t="str">
        <v/>
      </c>
      <c r="P224" s="77" t="str">
        <v/>
      </c>
      <c r="Q224" s="53" t="str">
        <v>ВВГнг(А)-LS (3х2,5) L=75-0,61%</v>
      </c>
      <c r="R224" s="54" t="str">
        <v>R.1.004Aб.1</v>
      </c>
      <c r="S224" s="55" t="str">
        <v>Розеточная группа, пом. 004Aб</v>
      </c>
      <c r="T224" s="56">
        <v>0.24</v>
      </c>
      <c r="U224" s="56">
        <v>1.1000000000000001</v>
      </c>
      <c r="V224" s="42" t="str">
        <v>L3</v>
      </c>
      <c r="W224" s="57" t="str">
        <v>ok</v>
      </c>
      <c r="X224" s="58" t="str">
        <v/>
      </c>
      <c r="Y224" s="75" t="str">
        <v/>
      </c>
      <c r="Z224" s="59">
        <v>1.0939268258329751</v>
      </c>
      <c r="AA224" s="61">
        <v>16</v>
      </c>
      <c r="AB224" s="61">
        <v>25</v>
      </c>
      <c r="AC224" s="61" t="str">
        <v/>
      </c>
      <c r="AD224" s="62" t="str">
        <v>QFD23</v>
      </c>
      <c r="AE224" s="62" t="str">
        <v/>
      </c>
      <c r="AF224" s="34">
        <v>23</v>
      </c>
      <c r="AG224" s="34" t="str">
        <v>QFD23</v>
      </c>
      <c r="AH224" s="34" t="str">
        <v/>
      </c>
      <c r="AI224" s="34" t="str">
        <v/>
      </c>
      <c r="AJ224" s="34" t="str">
        <v>QFD23</v>
      </c>
      <c r="AK224" s="34">
        <v>1</v>
      </c>
      <c r="AL224" s="34" t="str">
        <v>R</v>
      </c>
      <c r="AM224" s="34">
        <v>30</v>
      </c>
      <c r="AN224" s="34">
        <v>0</v>
      </c>
      <c r="AO224" s="34">
        <v>16</v>
      </c>
      <c r="AP224" s="34">
        <v>25</v>
      </c>
      <c r="AQ224" s="34">
        <v>16</v>
      </c>
      <c r="AR224" s="34">
        <v>1</v>
      </c>
      <c r="AS224" s="34">
        <v>1</v>
      </c>
      <c r="AT224" s="34" t="str">
        <v>2P</v>
      </c>
      <c r="AU224" s="34">
        <v>16</v>
      </c>
      <c r="AV224" s="34" t="str">
        <v/>
      </c>
      <c r="AW224" s="34" t="str">
        <v/>
      </c>
      <c r="AX224" s="34" t="str">
        <v/>
      </c>
      <c r="AY224" s="34">
        <v>1</v>
      </c>
      <c r="AZ224" s="34" t="str">
        <v/>
      </c>
      <c r="BA224" s="34">
        <v>0</v>
      </c>
      <c r="BB224" s="34">
        <v>16</v>
      </c>
      <c r="BD224" s="34">
        <v>1</v>
      </c>
      <c r="BE224" s="34">
        <v>0</v>
      </c>
      <c r="BF224" s="34">
        <v>1</v>
      </c>
      <c r="BG224" s="34" t="str">
        <v/>
      </c>
      <c r="BH224" s="34" t="str">
        <v/>
      </c>
      <c r="BI224" s="34" t="str">
        <v/>
      </c>
      <c r="BJ224" s="34" t="str">
        <v/>
      </c>
      <c r="BK224" s="34" t="str">
        <v>SOCKET</v>
      </c>
      <c r="BL224" s="34">
        <v>1</v>
      </c>
      <c r="BM224" s="34" t="str">
        <v/>
      </c>
      <c r="BN224" s="34" t="str">
        <v/>
      </c>
      <c r="BO224" s="34" t="str">
        <v/>
      </c>
      <c r="BP224" s="34" t="str">
        <v/>
      </c>
      <c r="BQ224" s="34" t="str">
        <v>3х2,5</v>
      </c>
      <c r="BR224" s="34" t="str">
        <v/>
      </c>
      <c r="BS224" s="34" t="str">
        <v/>
      </c>
      <c r="BT224" s="34" t="str">
        <v/>
      </c>
      <c r="BU224" s="34">
        <v>0</v>
      </c>
      <c r="BV224" s="34">
        <v>245</v>
      </c>
      <c r="BW224" s="34">
        <v>1</v>
      </c>
      <c r="BX224" s="34">
        <v>0</v>
      </c>
      <c r="BY224" s="34" t="str">
        <v>Розетка</v>
      </c>
      <c r="BZ224">
        <v>10</v>
      </c>
      <c r="CA224" t="str">
        <v>линии</v>
      </c>
    </row>
    <row r="225" spans="1:79" x14ac:dyDescent="0.3">
      <c r="A225" s="39" t="str">
        <v>ЩР-1</v>
      </c>
      <c r="B225" s="42">
        <v>45</v>
      </c>
      <c r="C225" s="42">
        <v>3</v>
      </c>
      <c r="D225" s="75" t="str">
        <v/>
      </c>
      <c r="E225" s="75" t="str">
        <v>авто</v>
      </c>
      <c r="F225" s="76">
        <v>30</v>
      </c>
      <c r="G225" s="47" t="str">
        <v>QFD24</v>
      </c>
      <c r="H225" s="47" t="str">
        <v>2P С16А 30мА</v>
      </c>
      <c r="I225" s="75" t="str">
        <v/>
      </c>
      <c r="J225" s="76" t="str">
        <v/>
      </c>
      <c r="K225" s="76" t="str">
        <v/>
      </c>
      <c r="L225" s="75" t="str">
        <v/>
      </c>
      <c r="M225" s="49" t="str">
        <v/>
      </c>
      <c r="N225" s="76" t="str">
        <v/>
      </c>
      <c r="O225" s="49" t="str">
        <v/>
      </c>
      <c r="P225" s="77" t="str">
        <v>XT24</v>
      </c>
      <c r="Q225" s="53" t="str">
        <v>ВВГнг(А)-LS (3х2,5) L=31-0,07%</v>
      </c>
      <c r="R225" s="54" t="str">
        <v>R.1.005A.1</v>
      </c>
      <c r="S225" s="55" t="str">
        <v>Розеточная группа, пом. 005A</v>
      </c>
      <c r="T225" s="56">
        <v>0.06</v>
      </c>
      <c r="U225" s="56">
        <v>0.28000000000000003</v>
      </c>
      <c r="V225" s="42" t="str">
        <v>L3</v>
      </c>
      <c r="W225" s="57" t="str">
        <v>ok</v>
      </c>
      <c r="X225" s="58" t="str">
        <v/>
      </c>
      <c r="Y225" s="75" t="str">
        <v/>
      </c>
      <c r="Z225" s="59">
        <v>0.27348170645824377</v>
      </c>
      <c r="AA225" s="61">
        <v>16</v>
      </c>
      <c r="AB225" s="61">
        <v>25</v>
      </c>
      <c r="AC225" s="61" t="str">
        <v/>
      </c>
      <c r="AD225" s="62" t="str">
        <v>QFD24 → XT24</v>
      </c>
      <c r="AE225" s="62" t="str">
        <v/>
      </c>
      <c r="AF225" s="34">
        <v>24</v>
      </c>
      <c r="AG225" s="34" t="str">
        <v>QFD24</v>
      </c>
      <c r="AH225" s="34" t="str">
        <v/>
      </c>
      <c r="AI225" s="34" t="str">
        <v/>
      </c>
      <c r="AJ225" s="34" t="str">
        <v>QFD24</v>
      </c>
      <c r="AK225" s="34">
        <v>1</v>
      </c>
      <c r="AL225" s="34" t="str">
        <v>R</v>
      </c>
      <c r="AM225" s="34">
        <v>30</v>
      </c>
      <c r="AN225" s="34">
        <v>0</v>
      </c>
      <c r="AO225" s="34">
        <v>16</v>
      </c>
      <c r="AP225" s="34">
        <v>25</v>
      </c>
      <c r="AQ225" s="34">
        <v>16</v>
      </c>
      <c r="AR225" s="34">
        <v>1</v>
      </c>
      <c r="AS225" s="34">
        <v>1</v>
      </c>
      <c r="AT225" s="34" t="str">
        <v>2P</v>
      </c>
      <c r="AU225" s="34">
        <v>16</v>
      </c>
      <c r="AV225" s="34" t="str">
        <v/>
      </c>
      <c r="AW225" s="34" t="str">
        <v/>
      </c>
      <c r="AX225" s="34" t="str">
        <v/>
      </c>
      <c r="AY225" s="34">
        <v>1</v>
      </c>
      <c r="AZ225" s="34" t="str">
        <v/>
      </c>
      <c r="BA225" s="34">
        <v>0</v>
      </c>
      <c r="BB225" s="34">
        <v>16</v>
      </c>
      <c r="BD225" s="34">
        <v>1</v>
      </c>
      <c r="BE225" s="34">
        <v>0</v>
      </c>
      <c r="BF225" s="34">
        <v>1</v>
      </c>
      <c r="BG225" s="34" t="str">
        <v/>
      </c>
      <c r="BH225" s="34" t="str">
        <v/>
      </c>
      <c r="BI225" s="34" t="str">
        <v/>
      </c>
      <c r="BJ225" s="34" t="str">
        <v/>
      </c>
      <c r="BK225" s="34" t="str">
        <v>SOCKET</v>
      </c>
      <c r="BL225" s="34">
        <v>1</v>
      </c>
      <c r="BM225" s="34" t="str">
        <v/>
      </c>
      <c r="BN225" s="34" t="str">
        <v/>
      </c>
      <c r="BO225" s="34" t="str">
        <v/>
      </c>
      <c r="BP225" s="34" t="str">
        <v/>
      </c>
      <c r="BQ225" s="34" t="str">
        <v>3х2,5</v>
      </c>
      <c r="BR225" s="34" t="str">
        <v/>
      </c>
      <c r="BS225" s="34" t="str">
        <v/>
      </c>
      <c r="BT225" s="34" t="str">
        <v/>
      </c>
      <c r="BU225" s="34">
        <v>0</v>
      </c>
      <c r="BV225" s="34">
        <v>246</v>
      </c>
      <c r="BW225" s="34">
        <v>1</v>
      </c>
      <c r="BX225" s="34">
        <v>0</v>
      </c>
      <c r="BY225" s="34" t="str">
        <v>Розетка</v>
      </c>
      <c r="BZ225">
        <v>10</v>
      </c>
      <c r="CA225" t="str">
        <v>линии</v>
      </c>
    </row>
    <row r="226" spans="1:79" x14ac:dyDescent="0.3">
      <c r="A226" s="39" t="str">
        <v>ЩР-1</v>
      </c>
      <c r="B226" s="42">
        <v>46</v>
      </c>
      <c r="C226" s="42">
        <v>3</v>
      </c>
      <c r="D226" s="75" t="str">
        <v/>
      </c>
      <c r="E226" s="75" t="str">
        <v>авто</v>
      </c>
      <c r="F226" s="76">
        <v>30</v>
      </c>
      <c r="G226" s="47" t="str">
        <v>QFD25</v>
      </c>
      <c r="H226" s="47" t="str">
        <v>2P С16А 30мА</v>
      </c>
      <c r="I226" s="75" t="str">
        <v/>
      </c>
      <c r="J226" s="76" t="str">
        <v/>
      </c>
      <c r="K226" s="76" t="str">
        <v/>
      </c>
      <c r="L226" s="75" t="str">
        <v/>
      </c>
      <c r="M226" s="49" t="str">
        <v/>
      </c>
      <c r="N226" s="76" t="str">
        <v/>
      </c>
      <c r="O226" s="49" t="str">
        <v/>
      </c>
      <c r="P226" s="77" t="str">
        <v>XT25</v>
      </c>
      <c r="Q226" s="53" t="str">
        <v>ВВГнг(А)-LS (3х2,5) L=54-0,22%</v>
      </c>
      <c r="R226" s="54" t="str">
        <v>R.1.006A.1</v>
      </c>
      <c r="S226" s="55" t="str">
        <v>Розеточная группа, пом. 006A</v>
      </c>
      <c r="T226" s="56">
        <v>0.12</v>
      </c>
      <c r="U226" s="56">
        <v>0.55000000000000004</v>
      </c>
      <c r="V226" s="42" t="str">
        <v>L2</v>
      </c>
      <c r="W226" s="57" t="str">
        <v>ok</v>
      </c>
      <c r="X226" s="58" t="str">
        <v/>
      </c>
      <c r="Y226" s="75" t="str">
        <v/>
      </c>
      <c r="Z226" s="59">
        <v>0.54696341291648753</v>
      </c>
      <c r="AA226" s="61">
        <v>16</v>
      </c>
      <c r="AB226" s="61">
        <v>25</v>
      </c>
      <c r="AC226" s="61" t="str">
        <v/>
      </c>
      <c r="AD226" s="62" t="str">
        <v>QFD25 → XT25</v>
      </c>
      <c r="AE226" s="62" t="str">
        <v/>
      </c>
      <c r="AF226" s="34">
        <v>25</v>
      </c>
      <c r="AG226" s="34" t="str">
        <v>QFD25</v>
      </c>
      <c r="AH226" s="34" t="str">
        <v/>
      </c>
      <c r="AI226" s="34" t="str">
        <v/>
      </c>
      <c r="AJ226" s="34" t="str">
        <v>QFD25</v>
      </c>
      <c r="AK226" s="34">
        <v>1</v>
      </c>
      <c r="AL226" s="34" t="str">
        <v>R</v>
      </c>
      <c r="AM226" s="34">
        <v>30</v>
      </c>
      <c r="AN226" s="34">
        <v>0</v>
      </c>
      <c r="AO226" s="34">
        <v>16</v>
      </c>
      <c r="AP226" s="34">
        <v>25</v>
      </c>
      <c r="AQ226" s="34">
        <v>16</v>
      </c>
      <c r="AR226" s="34">
        <v>1</v>
      </c>
      <c r="AS226" s="34">
        <v>1</v>
      </c>
      <c r="AT226" s="34" t="str">
        <v>2P</v>
      </c>
      <c r="AU226" s="34">
        <v>16</v>
      </c>
      <c r="AV226" s="34" t="str">
        <v/>
      </c>
      <c r="AW226" s="34" t="str">
        <v/>
      </c>
      <c r="AX226" s="34" t="str">
        <v/>
      </c>
      <c r="AY226" s="34">
        <v>1</v>
      </c>
      <c r="AZ226" s="34" t="str">
        <v/>
      </c>
      <c r="BA226" s="34">
        <v>0</v>
      </c>
      <c r="BB226" s="34">
        <v>16</v>
      </c>
      <c r="BD226" s="34">
        <v>1</v>
      </c>
      <c r="BE226" s="34">
        <v>0</v>
      </c>
      <c r="BF226" s="34">
        <v>1</v>
      </c>
      <c r="BG226" s="34" t="str">
        <v/>
      </c>
      <c r="BH226" s="34" t="str">
        <v/>
      </c>
      <c r="BI226" s="34" t="str">
        <v/>
      </c>
      <c r="BJ226" s="34" t="str">
        <v/>
      </c>
      <c r="BK226" s="34" t="str">
        <v>SOCKET</v>
      </c>
      <c r="BL226" s="34">
        <v>1</v>
      </c>
      <c r="BM226" s="34" t="str">
        <v/>
      </c>
      <c r="BN226" s="34" t="str">
        <v/>
      </c>
      <c r="BO226" s="34" t="str">
        <v/>
      </c>
      <c r="BP226" s="34" t="str">
        <v/>
      </c>
      <c r="BQ226" s="34" t="str">
        <v>3х2,5</v>
      </c>
      <c r="BR226" s="34" t="str">
        <v/>
      </c>
      <c r="BS226" s="34" t="str">
        <v/>
      </c>
      <c r="BT226" s="34" t="str">
        <v/>
      </c>
      <c r="BU226" s="34">
        <v>0</v>
      </c>
      <c r="BV226" s="34">
        <v>247</v>
      </c>
      <c r="BW226" s="34">
        <v>1</v>
      </c>
      <c r="BX226" s="34">
        <v>0</v>
      </c>
      <c r="BY226" s="34" t="str">
        <v>Розетка</v>
      </c>
      <c r="BZ226">
        <v>10</v>
      </c>
      <c r="CA226" t="str">
        <v>линии</v>
      </c>
    </row>
    <row r="227" spans="1:79" x14ac:dyDescent="0.3">
      <c r="A227" s="39" t="str">
        <v>ЩР-1</v>
      </c>
      <c r="B227" s="42">
        <v>47</v>
      </c>
      <c r="C227" s="42">
        <v>3</v>
      </c>
      <c r="D227" s="75" t="str">
        <v/>
      </c>
      <c r="E227" s="75" t="str">
        <v>авто</v>
      </c>
      <c r="F227" s="76">
        <v>30</v>
      </c>
      <c r="G227" s="47" t="str">
        <v>QFD26</v>
      </c>
      <c r="H227" s="47" t="str">
        <v>2P С16А 30мА</v>
      </c>
      <c r="I227" s="75" t="str">
        <v/>
      </c>
      <c r="J227" s="76" t="str">
        <v/>
      </c>
      <c r="K227" s="76" t="str">
        <v/>
      </c>
      <c r="L227" s="75" t="str">
        <v/>
      </c>
      <c r="M227" s="49" t="str">
        <v/>
      </c>
      <c r="N227" s="76" t="str">
        <v/>
      </c>
      <c r="O227" s="49" t="str">
        <v/>
      </c>
      <c r="P227" s="77" t="str">
        <v/>
      </c>
      <c r="Q227" s="53" t="str">
        <v>ВВГнг(А)-LS (3х2,5) L=106-0,87%</v>
      </c>
      <c r="R227" s="54" t="str">
        <v>R.1.006Aб.1</v>
      </c>
      <c r="S227" s="55" t="str">
        <v>Розеточная группа, пом. 006Aб</v>
      </c>
      <c r="T227" s="56">
        <v>0.24</v>
      </c>
      <c r="U227" s="56">
        <v>1.1000000000000001</v>
      </c>
      <c r="V227" s="42" t="str">
        <v>L2</v>
      </c>
      <c r="W227" s="57" t="str">
        <v>ok</v>
      </c>
      <c r="X227" s="58" t="str">
        <v/>
      </c>
      <c r="Y227" s="75" t="str">
        <v/>
      </c>
      <c r="Z227" s="59">
        <v>1.0939268258329751</v>
      </c>
      <c r="AA227" s="61">
        <v>16</v>
      </c>
      <c r="AB227" s="61">
        <v>25</v>
      </c>
      <c r="AC227" s="61" t="str">
        <v/>
      </c>
      <c r="AD227" s="62" t="str">
        <v>QFD26</v>
      </c>
      <c r="AE227" s="62" t="str">
        <v/>
      </c>
      <c r="AF227" s="34">
        <v>26</v>
      </c>
      <c r="AG227" s="34" t="str">
        <v>QFD26</v>
      </c>
      <c r="AH227" s="34" t="str">
        <v/>
      </c>
      <c r="AI227" s="34" t="str">
        <v/>
      </c>
      <c r="AJ227" s="34" t="str">
        <v>QFD26</v>
      </c>
      <c r="AK227" s="34">
        <v>1</v>
      </c>
      <c r="AL227" s="34" t="str">
        <v>R</v>
      </c>
      <c r="AM227" s="34">
        <v>30</v>
      </c>
      <c r="AN227" s="34">
        <v>0</v>
      </c>
      <c r="AO227" s="34">
        <v>16</v>
      </c>
      <c r="AP227" s="34">
        <v>25</v>
      </c>
      <c r="AQ227" s="34">
        <v>16</v>
      </c>
      <c r="AR227" s="34">
        <v>1</v>
      </c>
      <c r="AS227" s="34">
        <v>1</v>
      </c>
      <c r="AT227" s="34" t="str">
        <v>2P</v>
      </c>
      <c r="AU227" s="34">
        <v>16</v>
      </c>
      <c r="AV227" s="34" t="str">
        <v/>
      </c>
      <c r="AW227" s="34" t="str">
        <v/>
      </c>
      <c r="AX227" s="34" t="str">
        <v/>
      </c>
      <c r="AY227" s="34">
        <v>1</v>
      </c>
      <c r="AZ227" s="34" t="str">
        <v/>
      </c>
      <c r="BA227" s="34">
        <v>0</v>
      </c>
      <c r="BB227" s="34">
        <v>16</v>
      </c>
      <c r="BD227" s="34">
        <v>1</v>
      </c>
      <c r="BE227" s="34">
        <v>0</v>
      </c>
      <c r="BF227" s="34">
        <v>1</v>
      </c>
      <c r="BG227" s="34" t="str">
        <v/>
      </c>
      <c r="BH227" s="34" t="str">
        <v/>
      </c>
      <c r="BI227" s="34" t="str">
        <v/>
      </c>
      <c r="BJ227" s="34" t="str">
        <v/>
      </c>
      <c r="BK227" s="34" t="str">
        <v>SOCKET</v>
      </c>
      <c r="BL227" s="34">
        <v>1</v>
      </c>
      <c r="BM227" s="34" t="str">
        <v/>
      </c>
      <c r="BN227" s="34" t="str">
        <v/>
      </c>
      <c r="BO227" s="34" t="str">
        <v/>
      </c>
      <c r="BP227" s="34" t="str">
        <v/>
      </c>
      <c r="BQ227" s="34" t="str">
        <v>3х2,5</v>
      </c>
      <c r="BR227" s="34" t="str">
        <v/>
      </c>
      <c r="BS227" s="34" t="str">
        <v/>
      </c>
      <c r="BT227" s="34" t="str">
        <v/>
      </c>
      <c r="BU227" s="34">
        <v>0</v>
      </c>
      <c r="BV227" s="34">
        <v>248</v>
      </c>
      <c r="BW227" s="34">
        <v>1</v>
      </c>
      <c r="BX227" s="34">
        <v>0</v>
      </c>
      <c r="BY227" s="34" t="str">
        <v>Розетка</v>
      </c>
      <c r="BZ227">
        <v>10</v>
      </c>
      <c r="CA227" t="str">
        <v>линии</v>
      </c>
    </row>
    <row r="228" spans="1:79" x14ac:dyDescent="0.3">
      <c r="A228" s="39" t="str">
        <v>ЩР-1</v>
      </c>
      <c r="B228" s="42">
        <v>48</v>
      </c>
      <c r="C228" s="42">
        <v>3</v>
      </c>
      <c r="D228" s="75" t="str">
        <v/>
      </c>
      <c r="E228" s="75" t="str">
        <v>авто</v>
      </c>
      <c r="F228" s="76">
        <v>30</v>
      </c>
      <c r="G228" s="47" t="str">
        <v>QFD27</v>
      </c>
      <c r="H228" s="47" t="str">
        <v>2P С16А 30мА</v>
      </c>
      <c r="I228" s="75" t="str">
        <v/>
      </c>
      <c r="J228" s="76" t="str">
        <v/>
      </c>
      <c r="K228" s="76" t="str">
        <v/>
      </c>
      <c r="L228" s="75" t="str">
        <v/>
      </c>
      <c r="M228" s="49" t="str">
        <v/>
      </c>
      <c r="N228" s="76" t="str">
        <v/>
      </c>
      <c r="O228" s="49" t="str">
        <v/>
      </c>
      <c r="P228" s="77" t="str">
        <v/>
      </c>
      <c r="Q228" s="53" t="str">
        <v>ВВГнг(А)-LS (3х2,5) L=124-1,27%</v>
      </c>
      <c r="R228" s="54" t="str">
        <v>R.1.006Aб.2</v>
      </c>
      <c r="S228" s="55" t="str">
        <v>Розеточная группа, пом. 006Aб</v>
      </c>
      <c r="T228" s="56">
        <v>0.3</v>
      </c>
      <c r="U228" s="56">
        <v>1.37</v>
      </c>
      <c r="V228" s="42" t="str">
        <v>L2</v>
      </c>
      <c r="W228" s="57" t="str">
        <v>ok</v>
      </c>
      <c r="X228" s="58" t="str">
        <v/>
      </c>
      <c r="Y228" s="75" t="str">
        <v/>
      </c>
      <c r="Z228" s="59">
        <v>1.3674085322912188</v>
      </c>
      <c r="AA228" s="61">
        <v>16</v>
      </c>
      <c r="AB228" s="61">
        <v>25</v>
      </c>
      <c r="AC228" s="61" t="str">
        <v/>
      </c>
      <c r="AD228" s="62" t="str">
        <v>QFD27</v>
      </c>
      <c r="AE228" s="62" t="str">
        <v/>
      </c>
      <c r="AF228" s="34">
        <v>27</v>
      </c>
      <c r="AG228" s="34" t="str">
        <v>QFD27</v>
      </c>
      <c r="AH228" s="34" t="str">
        <v/>
      </c>
      <c r="AI228" s="34" t="str">
        <v/>
      </c>
      <c r="AJ228" s="34" t="str">
        <v>QFD27</v>
      </c>
      <c r="AK228" s="34">
        <v>1</v>
      </c>
      <c r="AL228" s="34" t="str">
        <v>R</v>
      </c>
      <c r="AM228" s="34">
        <v>30</v>
      </c>
      <c r="AN228" s="34">
        <v>0</v>
      </c>
      <c r="AO228" s="34">
        <v>16</v>
      </c>
      <c r="AP228" s="34">
        <v>25</v>
      </c>
      <c r="AQ228" s="34">
        <v>16</v>
      </c>
      <c r="AR228" s="34">
        <v>1</v>
      </c>
      <c r="AS228" s="34">
        <v>1</v>
      </c>
      <c r="AT228" s="34" t="str">
        <v>2P</v>
      </c>
      <c r="AU228" s="34">
        <v>16</v>
      </c>
      <c r="AV228" s="34" t="str">
        <v/>
      </c>
      <c r="AW228" s="34" t="str">
        <v/>
      </c>
      <c r="AX228" s="34" t="str">
        <v/>
      </c>
      <c r="AY228" s="34">
        <v>1</v>
      </c>
      <c r="AZ228" s="34" t="str">
        <v/>
      </c>
      <c r="BA228" s="34">
        <v>0</v>
      </c>
      <c r="BB228" s="34">
        <v>16</v>
      </c>
      <c r="BD228" s="34">
        <v>1</v>
      </c>
      <c r="BE228" s="34">
        <v>0</v>
      </c>
      <c r="BF228" s="34">
        <v>1</v>
      </c>
      <c r="BG228" s="34" t="str">
        <v/>
      </c>
      <c r="BH228" s="34" t="str">
        <v/>
      </c>
      <c r="BI228" s="34" t="str">
        <v/>
      </c>
      <c r="BJ228" s="34" t="str">
        <v/>
      </c>
      <c r="BK228" s="34" t="str">
        <v>SOCKET</v>
      </c>
      <c r="BL228" s="34">
        <v>1</v>
      </c>
      <c r="BM228" s="34" t="str">
        <v/>
      </c>
      <c r="BN228" s="34" t="str">
        <v/>
      </c>
      <c r="BO228" s="34" t="str">
        <v/>
      </c>
      <c r="BP228" s="34" t="str">
        <v/>
      </c>
      <c r="BQ228" s="34" t="str">
        <v>3х2,5</v>
      </c>
      <c r="BR228" s="34" t="str">
        <v/>
      </c>
      <c r="BS228" s="34" t="str">
        <v/>
      </c>
      <c r="BT228" s="34" t="str">
        <v/>
      </c>
      <c r="BU228" s="34">
        <v>0</v>
      </c>
      <c r="BV228" s="34">
        <v>249</v>
      </c>
      <c r="BW228" s="34">
        <v>1</v>
      </c>
      <c r="BX228" s="34">
        <v>0</v>
      </c>
      <c r="BY228" s="34" t="str">
        <v>Розетка</v>
      </c>
      <c r="BZ228">
        <v>10</v>
      </c>
      <c r="CA228" t="str">
        <v>линии</v>
      </c>
    </row>
    <row r="229" spans="1:79" x14ac:dyDescent="0.3">
      <c r="A229" s="39" t="str">
        <v>ЩР-1</v>
      </c>
      <c r="B229" s="42">
        <v>49</v>
      </c>
      <c r="C229" s="42">
        <v>3</v>
      </c>
      <c r="D229" s="75" t="str">
        <v/>
      </c>
      <c r="E229" s="75" t="str">
        <v>авто</v>
      </c>
      <c r="F229" s="76">
        <v>30</v>
      </c>
      <c r="G229" s="47" t="str">
        <v>QFD28</v>
      </c>
      <c r="H229" s="47" t="str">
        <v>2P С16А 30мА</v>
      </c>
      <c r="I229" s="75" t="str">
        <v/>
      </c>
      <c r="J229" s="76" t="str">
        <v/>
      </c>
      <c r="K229" s="76" t="str">
        <v/>
      </c>
      <c r="L229" s="75" t="str">
        <v/>
      </c>
      <c r="M229" s="49" t="str">
        <v/>
      </c>
      <c r="N229" s="76" t="str">
        <v/>
      </c>
      <c r="O229" s="49" t="str">
        <v/>
      </c>
      <c r="P229" s="77" t="str">
        <v/>
      </c>
      <c r="Q229" s="53" t="str">
        <v>ВВГнг(А)-LS (3х2,5) L=45-0,37%</v>
      </c>
      <c r="R229" s="54" t="str">
        <v>R.1.007A.1</v>
      </c>
      <c r="S229" s="55" t="str">
        <v>Розеточная группа, пом. 007A</v>
      </c>
      <c r="T229" s="56">
        <v>0.24</v>
      </c>
      <c r="U229" s="56">
        <v>1.1000000000000001</v>
      </c>
      <c r="V229" s="42" t="str">
        <v>L2</v>
      </c>
      <c r="W229" s="57" t="str">
        <v>ok</v>
      </c>
      <c r="X229" s="58" t="str">
        <v/>
      </c>
      <c r="Y229" s="75" t="str">
        <v/>
      </c>
      <c r="Z229" s="59">
        <v>1.0939268258329751</v>
      </c>
      <c r="AA229" s="61">
        <v>16</v>
      </c>
      <c r="AB229" s="61">
        <v>25</v>
      </c>
      <c r="AC229" s="61" t="str">
        <v/>
      </c>
      <c r="AD229" s="62" t="str">
        <v>QFD28</v>
      </c>
      <c r="AE229" s="62" t="str">
        <v/>
      </c>
      <c r="AF229" s="34">
        <v>28</v>
      </c>
      <c r="AG229" s="34" t="str">
        <v>QFD28</v>
      </c>
      <c r="AH229" s="34" t="str">
        <v/>
      </c>
      <c r="AI229" s="34" t="str">
        <v/>
      </c>
      <c r="AJ229" s="34" t="str">
        <v>QFD28</v>
      </c>
      <c r="AK229" s="34">
        <v>1</v>
      </c>
      <c r="AL229" s="34" t="str">
        <v>R</v>
      </c>
      <c r="AM229" s="34">
        <v>30</v>
      </c>
      <c r="AN229" s="34">
        <v>0</v>
      </c>
      <c r="AO229" s="34">
        <v>16</v>
      </c>
      <c r="AP229" s="34">
        <v>25</v>
      </c>
      <c r="AQ229" s="34">
        <v>16</v>
      </c>
      <c r="AR229" s="34">
        <v>1</v>
      </c>
      <c r="AS229" s="34">
        <v>1</v>
      </c>
      <c r="AT229" s="34" t="str">
        <v>2P</v>
      </c>
      <c r="AU229" s="34">
        <v>16</v>
      </c>
      <c r="AV229" s="34" t="str">
        <v/>
      </c>
      <c r="AW229" s="34" t="str">
        <v/>
      </c>
      <c r="AX229" s="34" t="str">
        <v/>
      </c>
      <c r="AY229" s="34">
        <v>1</v>
      </c>
      <c r="AZ229" s="34" t="str">
        <v/>
      </c>
      <c r="BA229" s="34">
        <v>0</v>
      </c>
      <c r="BB229" s="34">
        <v>16</v>
      </c>
      <c r="BD229" s="34">
        <v>1</v>
      </c>
      <c r="BE229" s="34">
        <v>0</v>
      </c>
      <c r="BF229" s="34">
        <v>1</v>
      </c>
      <c r="BG229" s="34" t="str">
        <v/>
      </c>
      <c r="BH229" s="34" t="str">
        <v/>
      </c>
      <c r="BI229" s="34" t="str">
        <v/>
      </c>
      <c r="BJ229" s="34" t="str">
        <v/>
      </c>
      <c r="BK229" s="34" t="str">
        <v>SOCKET</v>
      </c>
      <c r="BL229" s="34">
        <v>1</v>
      </c>
      <c r="BM229" s="34" t="str">
        <v/>
      </c>
      <c r="BN229" s="34" t="str">
        <v/>
      </c>
      <c r="BO229" s="34" t="str">
        <v/>
      </c>
      <c r="BP229" s="34" t="str">
        <v/>
      </c>
      <c r="BQ229" s="34" t="str">
        <v>3х2,5</v>
      </c>
      <c r="BR229" s="34" t="str">
        <v/>
      </c>
      <c r="BS229" s="34" t="str">
        <v/>
      </c>
      <c r="BT229" s="34" t="str">
        <v/>
      </c>
      <c r="BU229" s="34">
        <v>0</v>
      </c>
      <c r="BV229" s="34">
        <v>250</v>
      </c>
      <c r="BW229" s="34">
        <v>1</v>
      </c>
      <c r="BX229" s="34">
        <v>0</v>
      </c>
      <c r="BY229" s="34" t="str">
        <v>Розетка</v>
      </c>
      <c r="BZ229">
        <v>10</v>
      </c>
      <c r="CA229" t="str">
        <v>линии</v>
      </c>
    </row>
    <row r="230" spans="1:79" x14ac:dyDescent="0.3">
      <c r="A230" s="39" t="str">
        <v>ЩР-1</v>
      </c>
      <c r="B230" s="42">
        <v>50</v>
      </c>
      <c r="C230" s="42">
        <v>3</v>
      </c>
      <c r="D230" s="75" t="str">
        <v/>
      </c>
      <c r="E230" s="75" t="str">
        <v>авто</v>
      </c>
      <c r="F230" s="76">
        <v>30</v>
      </c>
      <c r="G230" s="47" t="str">
        <v>QFD29</v>
      </c>
      <c r="H230" s="47" t="str">
        <v>2P С16А 30мА</v>
      </c>
      <c r="I230" s="75" t="str">
        <v/>
      </c>
      <c r="J230" s="76" t="str">
        <v/>
      </c>
      <c r="K230" s="76" t="str">
        <v/>
      </c>
      <c r="L230" s="75" t="str">
        <v/>
      </c>
      <c r="M230" s="49" t="str">
        <v/>
      </c>
      <c r="N230" s="76" t="str">
        <v/>
      </c>
      <c r="O230" s="49" t="str">
        <v/>
      </c>
      <c r="P230" s="77" t="str">
        <v/>
      </c>
      <c r="Q230" s="53" t="str">
        <v>ВВГнг(А)-LS (3х2,5) L=51-0,21%</v>
      </c>
      <c r="R230" s="54" t="str">
        <v>R.1.008A.1</v>
      </c>
      <c r="S230" s="55" t="str">
        <v>Розеточная группа, пом. 008A</v>
      </c>
      <c r="T230" s="56">
        <v>0.12</v>
      </c>
      <c r="U230" s="56">
        <v>0.55000000000000004</v>
      </c>
      <c r="V230" s="42" t="str">
        <v>L3</v>
      </c>
      <c r="W230" s="57" t="str">
        <v>ok</v>
      </c>
      <c r="X230" s="58" t="str">
        <v/>
      </c>
      <c r="Y230" s="75" t="str">
        <v/>
      </c>
      <c r="Z230" s="59">
        <v>0.54696341291648753</v>
      </c>
      <c r="AA230" s="61">
        <v>16</v>
      </c>
      <c r="AB230" s="61">
        <v>25</v>
      </c>
      <c r="AC230" s="61" t="str">
        <v/>
      </c>
      <c r="AD230" s="62" t="str">
        <v>QFD29</v>
      </c>
      <c r="AE230" s="62" t="str">
        <v/>
      </c>
      <c r="AF230" s="34">
        <v>29</v>
      </c>
      <c r="AG230" s="34" t="str">
        <v>QFD29</v>
      </c>
      <c r="AH230" s="34" t="str">
        <v/>
      </c>
      <c r="AI230" s="34" t="str">
        <v/>
      </c>
      <c r="AJ230" s="34" t="str">
        <v>QFD29</v>
      </c>
      <c r="AK230" s="34">
        <v>1</v>
      </c>
      <c r="AL230" s="34" t="str">
        <v>R</v>
      </c>
      <c r="AM230" s="34">
        <v>30</v>
      </c>
      <c r="AN230" s="34">
        <v>0</v>
      </c>
      <c r="AO230" s="34">
        <v>16</v>
      </c>
      <c r="AP230" s="34">
        <v>25</v>
      </c>
      <c r="AQ230" s="34">
        <v>16</v>
      </c>
      <c r="AR230" s="34">
        <v>1</v>
      </c>
      <c r="AS230" s="34">
        <v>1</v>
      </c>
      <c r="AT230" s="34" t="str">
        <v>2P</v>
      </c>
      <c r="AU230" s="34">
        <v>16</v>
      </c>
      <c r="AV230" s="34" t="str">
        <v/>
      </c>
      <c r="AW230" s="34" t="str">
        <v/>
      </c>
      <c r="AX230" s="34" t="str">
        <v/>
      </c>
      <c r="AY230" s="34">
        <v>1</v>
      </c>
      <c r="AZ230" s="34" t="str">
        <v/>
      </c>
      <c r="BA230" s="34">
        <v>0</v>
      </c>
      <c r="BB230" s="34">
        <v>16</v>
      </c>
      <c r="BD230" s="34">
        <v>1</v>
      </c>
      <c r="BE230" s="34">
        <v>0</v>
      </c>
      <c r="BF230" s="34">
        <v>1</v>
      </c>
      <c r="BG230" s="34" t="str">
        <v/>
      </c>
      <c r="BH230" s="34" t="str">
        <v/>
      </c>
      <c r="BI230" s="34" t="str">
        <v/>
      </c>
      <c r="BJ230" s="34" t="str">
        <v/>
      </c>
      <c r="BK230" s="34" t="str">
        <v>SOCKET</v>
      </c>
      <c r="BL230" s="34">
        <v>1</v>
      </c>
      <c r="BM230" s="34" t="str">
        <v/>
      </c>
      <c r="BN230" s="34" t="str">
        <v/>
      </c>
      <c r="BO230" s="34" t="str">
        <v/>
      </c>
      <c r="BP230" s="34" t="str">
        <v/>
      </c>
      <c r="BQ230" s="34" t="str">
        <v>3х2,5</v>
      </c>
      <c r="BR230" s="34" t="str">
        <v/>
      </c>
      <c r="BS230" s="34" t="str">
        <v/>
      </c>
      <c r="BT230" s="34" t="str">
        <v/>
      </c>
      <c r="BU230" s="34">
        <v>0</v>
      </c>
      <c r="BV230" s="34">
        <v>251</v>
      </c>
      <c r="BW230" s="34">
        <v>1</v>
      </c>
      <c r="BX230" s="34">
        <v>0</v>
      </c>
      <c r="BY230" s="34" t="str">
        <v>Розетка</v>
      </c>
      <c r="BZ230">
        <v>10</v>
      </c>
      <c r="CA230" t="str">
        <v>линии</v>
      </c>
    </row>
    <row r="231" spans="1:79" x14ac:dyDescent="0.3">
      <c r="A231" s="39" t="str">
        <v>ЩР-1</v>
      </c>
      <c r="B231" s="42">
        <v>51</v>
      </c>
      <c r="C231" s="42">
        <v>3</v>
      </c>
      <c r="D231" s="75" t="str">
        <v/>
      </c>
      <c r="E231" s="75" t="str">
        <v>авто</v>
      </c>
      <c r="F231" s="76">
        <v>30</v>
      </c>
      <c r="G231" s="47" t="str">
        <v>QFD30</v>
      </c>
      <c r="H231" s="47" t="str">
        <v>2P С16А 30мА</v>
      </c>
      <c r="I231" s="75" t="str">
        <v/>
      </c>
      <c r="J231" s="76" t="str">
        <v/>
      </c>
      <c r="K231" s="76" t="str">
        <v/>
      </c>
      <c r="L231" s="75" t="str">
        <v/>
      </c>
      <c r="M231" s="49" t="str">
        <v/>
      </c>
      <c r="N231" s="76" t="str">
        <v/>
      </c>
      <c r="O231" s="49" t="str">
        <v/>
      </c>
      <c r="P231" s="77" t="str">
        <v/>
      </c>
      <c r="Q231" s="53" t="str">
        <v>ВВГнг(А)-LS (3х2,5) L=27-0,17%</v>
      </c>
      <c r="R231" s="54" t="str">
        <v>R.1.009A.1</v>
      </c>
      <c r="S231" s="55" t="str">
        <v>Розеточная группа, пом. 009A</v>
      </c>
      <c r="T231" s="56">
        <v>0.18</v>
      </c>
      <c r="U231" s="56">
        <v>0.83</v>
      </c>
      <c r="V231" s="42" t="str">
        <v>L1</v>
      </c>
      <c r="W231" s="57" t="str">
        <v>ok</v>
      </c>
      <c r="X231" s="58" t="str">
        <v/>
      </c>
      <c r="Y231" s="75" t="str">
        <v/>
      </c>
      <c r="Z231" s="59">
        <v>0.8204451193747313</v>
      </c>
      <c r="AA231" s="61">
        <v>16</v>
      </c>
      <c r="AB231" s="61">
        <v>25</v>
      </c>
      <c r="AC231" s="61" t="str">
        <v/>
      </c>
      <c r="AD231" s="62" t="str">
        <v>QFD30</v>
      </c>
      <c r="AE231" s="62" t="str">
        <v/>
      </c>
      <c r="AF231" s="34">
        <v>30</v>
      </c>
      <c r="AG231" s="34" t="str">
        <v>QFD30</v>
      </c>
      <c r="AH231" s="34" t="str">
        <v/>
      </c>
      <c r="AI231" s="34" t="str">
        <v/>
      </c>
      <c r="AJ231" s="34" t="str">
        <v>QFD30</v>
      </c>
      <c r="AK231" s="34">
        <v>1</v>
      </c>
      <c r="AL231" s="34" t="str">
        <v>R</v>
      </c>
      <c r="AM231" s="34">
        <v>30</v>
      </c>
      <c r="AN231" s="34">
        <v>0</v>
      </c>
      <c r="AO231" s="34">
        <v>16</v>
      </c>
      <c r="AP231" s="34">
        <v>25</v>
      </c>
      <c r="AQ231" s="34">
        <v>16</v>
      </c>
      <c r="AR231" s="34">
        <v>1</v>
      </c>
      <c r="AS231" s="34">
        <v>1</v>
      </c>
      <c r="AT231" s="34" t="str">
        <v>2P</v>
      </c>
      <c r="AU231" s="34">
        <v>16</v>
      </c>
      <c r="AV231" s="34" t="str">
        <v/>
      </c>
      <c r="AW231" s="34" t="str">
        <v/>
      </c>
      <c r="AX231" s="34" t="str">
        <v/>
      </c>
      <c r="AY231" s="34">
        <v>1</v>
      </c>
      <c r="AZ231" s="34" t="str">
        <v/>
      </c>
      <c r="BA231" s="34">
        <v>0</v>
      </c>
      <c r="BB231" s="34">
        <v>16</v>
      </c>
      <c r="BD231" s="34">
        <v>1</v>
      </c>
      <c r="BE231" s="34">
        <v>0</v>
      </c>
      <c r="BF231" s="34">
        <v>1</v>
      </c>
      <c r="BG231" s="34" t="str">
        <v/>
      </c>
      <c r="BH231" s="34" t="str">
        <v/>
      </c>
      <c r="BI231" s="34" t="str">
        <v/>
      </c>
      <c r="BJ231" s="34" t="str">
        <v/>
      </c>
      <c r="BK231" s="34" t="str">
        <v>SOCKET</v>
      </c>
      <c r="BL231" s="34">
        <v>1</v>
      </c>
      <c r="BM231" s="34" t="str">
        <v/>
      </c>
      <c r="BN231" s="34" t="str">
        <v/>
      </c>
      <c r="BO231" s="34" t="str">
        <v/>
      </c>
      <c r="BP231" s="34" t="str">
        <v/>
      </c>
      <c r="BQ231" s="34" t="str">
        <v>3х2,5</v>
      </c>
      <c r="BR231" s="34" t="str">
        <v/>
      </c>
      <c r="BS231" s="34" t="str">
        <v/>
      </c>
      <c r="BT231" s="34" t="str">
        <v/>
      </c>
      <c r="BU231" s="34">
        <v>0</v>
      </c>
      <c r="BV231" s="34">
        <v>252</v>
      </c>
      <c r="BW231" s="34">
        <v>1</v>
      </c>
      <c r="BX231" s="34">
        <v>0</v>
      </c>
      <c r="BY231" s="34" t="str">
        <v>Розетка</v>
      </c>
      <c r="BZ231">
        <v>10</v>
      </c>
      <c r="CA231" t="str">
        <v>линии</v>
      </c>
    </row>
    <row r="232" spans="1:79" x14ac:dyDescent="0.3">
      <c r="A232" s="39" t="str">
        <v>ЩР-1</v>
      </c>
      <c r="B232" s="42">
        <v>52</v>
      </c>
      <c r="C232" s="42">
        <v>4</v>
      </c>
      <c r="D232" s="75" t="str">
        <v/>
      </c>
      <c r="E232" s="75" t="str">
        <v>авто</v>
      </c>
      <c r="F232" s="76">
        <v>30</v>
      </c>
      <c r="G232" s="47" t="str">
        <v>QFD31</v>
      </c>
      <c r="H232" s="47" t="str">
        <v>2P С16А 30мА</v>
      </c>
      <c r="I232" s="75" t="str">
        <v/>
      </c>
      <c r="J232" s="76" t="str">
        <v/>
      </c>
      <c r="K232" s="76" t="str">
        <v/>
      </c>
      <c r="L232" s="75" t="str">
        <v/>
      </c>
      <c r="M232" s="49" t="str">
        <v/>
      </c>
      <c r="N232" s="76" t="str">
        <v/>
      </c>
      <c r="O232" s="49" t="str">
        <v/>
      </c>
      <c r="P232" s="77" t="str">
        <v/>
      </c>
      <c r="Q232" s="53" t="str">
        <v>ВВГнг(А)-LS (3х2,5) L=45-0,37%</v>
      </c>
      <c r="R232" s="54" t="str">
        <v>R.1.010A.1</v>
      </c>
      <c r="S232" s="55" t="str">
        <v>Розеточная группа, пом. 010A</v>
      </c>
      <c r="T232" s="56">
        <v>0.24</v>
      </c>
      <c r="U232" s="56">
        <v>1.1000000000000001</v>
      </c>
      <c r="V232" s="42" t="str">
        <v>L1</v>
      </c>
      <c r="W232" s="57" t="str">
        <v>ok</v>
      </c>
      <c r="X232" s="58" t="str">
        <v/>
      </c>
      <c r="Y232" s="75" t="str">
        <v/>
      </c>
      <c r="Z232" s="59">
        <v>1.0939268258329751</v>
      </c>
      <c r="AA232" s="61">
        <v>16</v>
      </c>
      <c r="AB232" s="61">
        <v>25</v>
      </c>
      <c r="AC232" s="61" t="str">
        <v/>
      </c>
      <c r="AD232" s="62" t="str">
        <v>QFD31</v>
      </c>
      <c r="AE232" s="62" t="str">
        <v/>
      </c>
      <c r="AF232" s="34">
        <v>31</v>
      </c>
      <c r="AG232" s="34" t="str">
        <v>QFD31</v>
      </c>
      <c r="AH232" s="34" t="str">
        <v/>
      </c>
      <c r="AI232" s="34" t="str">
        <v/>
      </c>
      <c r="AJ232" s="34" t="str">
        <v>QFD31</v>
      </c>
      <c r="AK232" s="34">
        <v>1</v>
      </c>
      <c r="AL232" s="34" t="str">
        <v>R</v>
      </c>
      <c r="AM232" s="34">
        <v>30</v>
      </c>
      <c r="AN232" s="34">
        <v>0</v>
      </c>
      <c r="AO232" s="34">
        <v>16</v>
      </c>
      <c r="AP232" s="34">
        <v>25</v>
      </c>
      <c r="AQ232" s="34">
        <v>16</v>
      </c>
      <c r="AR232" s="34">
        <v>1</v>
      </c>
      <c r="AS232" s="34">
        <v>1</v>
      </c>
      <c r="AT232" s="34" t="str">
        <v>2P</v>
      </c>
      <c r="AU232" s="34">
        <v>16</v>
      </c>
      <c r="AV232" s="34" t="str">
        <v/>
      </c>
      <c r="AW232" s="34" t="str">
        <v/>
      </c>
      <c r="AX232" s="34" t="str">
        <v/>
      </c>
      <c r="AY232" s="34">
        <v>1</v>
      </c>
      <c r="AZ232" s="34" t="str">
        <v/>
      </c>
      <c r="BA232" s="34">
        <v>0</v>
      </c>
      <c r="BB232" s="34">
        <v>16</v>
      </c>
      <c r="BD232" s="34">
        <v>1</v>
      </c>
      <c r="BE232" s="34">
        <v>0</v>
      </c>
      <c r="BF232" s="34">
        <v>1</v>
      </c>
      <c r="BG232" s="34" t="str">
        <v/>
      </c>
      <c r="BH232" s="34" t="str">
        <v/>
      </c>
      <c r="BI232" s="34" t="str">
        <v/>
      </c>
      <c r="BJ232" s="34" t="str">
        <v/>
      </c>
      <c r="BK232" s="34" t="str">
        <v>SOCKET</v>
      </c>
      <c r="BL232" s="34">
        <v>1</v>
      </c>
      <c r="BM232" s="34" t="str">
        <v/>
      </c>
      <c r="BN232" s="34" t="str">
        <v/>
      </c>
      <c r="BO232" s="34" t="str">
        <v/>
      </c>
      <c r="BP232" s="34" t="str">
        <v/>
      </c>
      <c r="BQ232" s="34" t="str">
        <v>3х2,5</v>
      </c>
      <c r="BR232" s="34" t="str">
        <v/>
      </c>
      <c r="BS232" s="34" t="str">
        <v/>
      </c>
      <c r="BT232" s="34" t="str">
        <v/>
      </c>
      <c r="BU232" s="34">
        <v>0</v>
      </c>
      <c r="BV232" s="34">
        <v>253</v>
      </c>
      <c r="BW232" s="34">
        <v>1</v>
      </c>
      <c r="BX232" s="34">
        <v>0</v>
      </c>
      <c r="BY232" s="34" t="str">
        <v>Розетка</v>
      </c>
      <c r="BZ232">
        <v>10</v>
      </c>
      <c r="CA232" t="str">
        <v>линии</v>
      </c>
    </row>
    <row r="233" spans="1:79" x14ac:dyDescent="0.3">
      <c r="A233" s="39" t="str">
        <v>ЩР-1</v>
      </c>
      <c r="B233" s="42">
        <v>53</v>
      </c>
      <c r="C233" s="42">
        <v>4</v>
      </c>
      <c r="D233" s="75" t="str">
        <v/>
      </c>
      <c r="E233" s="75" t="str">
        <v>авто</v>
      </c>
      <c r="F233" s="76">
        <v>30</v>
      </c>
      <c r="G233" s="47" t="str">
        <v>QFD32</v>
      </c>
      <c r="H233" s="47" t="str">
        <v>2P С16А 30мА</v>
      </c>
      <c r="I233" s="75" t="str">
        <v/>
      </c>
      <c r="J233" s="76" t="str">
        <v/>
      </c>
      <c r="K233" s="76" t="str">
        <v/>
      </c>
      <c r="L233" s="75" t="str">
        <v/>
      </c>
      <c r="M233" s="49" t="str">
        <v/>
      </c>
      <c r="N233" s="76" t="str">
        <v/>
      </c>
      <c r="O233" s="49" t="str">
        <v/>
      </c>
      <c r="P233" s="77" t="str">
        <v/>
      </c>
      <c r="Q233" s="53" t="str">
        <v>ВВГнг(А)-LS (3х2,5) L=73-1,04%</v>
      </c>
      <c r="R233" s="54" t="str">
        <v>R.1.011A.1</v>
      </c>
      <c r="S233" s="55" t="str">
        <v>Розеточная группа, пом. 011A</v>
      </c>
      <c r="T233" s="56">
        <v>0.42</v>
      </c>
      <c r="U233" s="56">
        <v>1.92</v>
      </c>
      <c r="V233" s="42" t="str">
        <v>L1</v>
      </c>
      <c r="W233" s="57" t="str">
        <v>ok</v>
      </c>
      <c r="X233" s="58" t="str">
        <v/>
      </c>
      <c r="Y233" s="75" t="str">
        <v/>
      </c>
      <c r="Z233" s="59">
        <v>1.9143719452077064</v>
      </c>
      <c r="AA233" s="61">
        <v>16</v>
      </c>
      <c r="AB233" s="61">
        <v>25</v>
      </c>
      <c r="AC233" s="61" t="str">
        <v/>
      </c>
      <c r="AD233" s="62" t="str">
        <v>QFD32</v>
      </c>
      <c r="AE233" s="62" t="str">
        <v/>
      </c>
      <c r="AF233" s="34">
        <v>32</v>
      </c>
      <c r="AG233" s="34" t="str">
        <v>QFD32</v>
      </c>
      <c r="AH233" s="34" t="str">
        <v/>
      </c>
      <c r="AI233" s="34" t="str">
        <v/>
      </c>
      <c r="AJ233" s="34" t="str">
        <v>QFD32</v>
      </c>
      <c r="AK233" s="34">
        <v>1</v>
      </c>
      <c r="AL233" s="34" t="str">
        <v>R</v>
      </c>
      <c r="AM233" s="34">
        <v>30</v>
      </c>
      <c r="AN233" s="34">
        <v>0</v>
      </c>
      <c r="AO233" s="34">
        <v>16</v>
      </c>
      <c r="AP233" s="34">
        <v>25</v>
      </c>
      <c r="AQ233" s="34">
        <v>16</v>
      </c>
      <c r="AR233" s="34">
        <v>1</v>
      </c>
      <c r="AS233" s="34">
        <v>1</v>
      </c>
      <c r="AT233" s="34" t="str">
        <v>2P</v>
      </c>
      <c r="AU233" s="34">
        <v>16</v>
      </c>
      <c r="AV233" s="34" t="str">
        <v/>
      </c>
      <c r="AW233" s="34" t="str">
        <v/>
      </c>
      <c r="AX233" s="34" t="str">
        <v/>
      </c>
      <c r="AY233" s="34">
        <v>1</v>
      </c>
      <c r="AZ233" s="34" t="str">
        <v/>
      </c>
      <c r="BA233" s="34">
        <v>0</v>
      </c>
      <c r="BB233" s="34">
        <v>16</v>
      </c>
      <c r="BD233" s="34">
        <v>1</v>
      </c>
      <c r="BE233" s="34">
        <v>0</v>
      </c>
      <c r="BF233" s="34">
        <v>1</v>
      </c>
      <c r="BG233" s="34" t="str">
        <v/>
      </c>
      <c r="BH233" s="34" t="str">
        <v/>
      </c>
      <c r="BI233" s="34" t="str">
        <v/>
      </c>
      <c r="BJ233" s="34" t="str">
        <v/>
      </c>
      <c r="BK233" s="34" t="str">
        <v>SOCKET</v>
      </c>
      <c r="BL233" s="34">
        <v>1</v>
      </c>
      <c r="BM233" s="34" t="str">
        <v/>
      </c>
      <c r="BN233" s="34" t="str">
        <v/>
      </c>
      <c r="BO233" s="34" t="str">
        <v/>
      </c>
      <c r="BP233" s="34" t="str">
        <v/>
      </c>
      <c r="BQ233" s="34" t="str">
        <v>3х2,5</v>
      </c>
      <c r="BR233" s="34" t="str">
        <v/>
      </c>
      <c r="BS233" s="34" t="str">
        <v/>
      </c>
      <c r="BT233" s="34" t="str">
        <v/>
      </c>
      <c r="BU233" s="34">
        <v>0</v>
      </c>
      <c r="BV233" s="34">
        <v>254</v>
      </c>
      <c r="BW233" s="34">
        <v>1</v>
      </c>
      <c r="BX233" s="34">
        <v>0</v>
      </c>
      <c r="BY233" s="34" t="str">
        <v>Розетка</v>
      </c>
      <c r="BZ233">
        <v>10</v>
      </c>
      <c r="CA233" t="str">
        <v>линии</v>
      </c>
    </row>
    <row r="234" spans="1:79" x14ac:dyDescent="0.3">
      <c r="A234" s="39" t="str">
        <v>ЩР-1</v>
      </c>
      <c r="B234" s="42">
        <v>54</v>
      </c>
      <c r="C234" s="42">
        <v>4</v>
      </c>
      <c r="D234" s="75" t="str">
        <v/>
      </c>
      <c r="E234" s="75" t="str">
        <v>авто</v>
      </c>
      <c r="F234" s="76">
        <v>30</v>
      </c>
      <c r="G234" s="47" t="str">
        <v>QFD33</v>
      </c>
      <c r="H234" s="47" t="str">
        <v>2P С16А 30мА</v>
      </c>
      <c r="I234" s="75" t="str">
        <v/>
      </c>
      <c r="J234" s="76" t="str">
        <v/>
      </c>
      <c r="K234" s="76" t="str">
        <v/>
      </c>
      <c r="L234" s="75" t="str">
        <v/>
      </c>
      <c r="M234" s="49" t="str">
        <v/>
      </c>
      <c r="N234" s="76" t="str">
        <v/>
      </c>
      <c r="O234" s="49" t="str">
        <v/>
      </c>
      <c r="P234" s="77" t="str">
        <v/>
      </c>
      <c r="Q234" s="53" t="str">
        <v>ВВГнг(А)-LS (3х2,5) L=32-0,07%</v>
      </c>
      <c r="R234" s="54" t="str">
        <v>R.1.012.1A.1</v>
      </c>
      <c r="S234" s="55" t="str">
        <v>Розеточная группа, пом. 012</v>
      </c>
      <c r="T234" s="56">
        <v>0.06</v>
      </c>
      <c r="U234" s="56">
        <v>0.28000000000000003</v>
      </c>
      <c r="V234" s="42" t="str">
        <v>L1</v>
      </c>
      <c r="W234" s="57" t="str">
        <v>ok</v>
      </c>
      <c r="X234" s="58" t="str">
        <v/>
      </c>
      <c r="Y234" s="75" t="str">
        <v/>
      </c>
      <c r="Z234" s="59">
        <v>0.27348170645824377</v>
      </c>
      <c r="AA234" s="61">
        <v>16</v>
      </c>
      <c r="AB234" s="61">
        <v>25</v>
      </c>
      <c r="AC234" s="61" t="str">
        <v/>
      </c>
      <c r="AD234" s="62" t="str">
        <v>QFD33</v>
      </c>
      <c r="AE234" s="62" t="str">
        <v/>
      </c>
      <c r="AF234" s="34">
        <v>33</v>
      </c>
      <c r="AG234" s="34" t="str">
        <v>QFD33</v>
      </c>
      <c r="AH234" s="34" t="str">
        <v/>
      </c>
      <c r="AI234" s="34" t="str">
        <v/>
      </c>
      <c r="AJ234" s="34" t="str">
        <v>QFD33</v>
      </c>
      <c r="AK234" s="34">
        <v>1</v>
      </c>
      <c r="AL234" s="34" t="str">
        <v>R</v>
      </c>
      <c r="AM234" s="34">
        <v>30</v>
      </c>
      <c r="AN234" s="34">
        <v>0</v>
      </c>
      <c r="AO234" s="34">
        <v>16</v>
      </c>
      <c r="AP234" s="34">
        <v>25</v>
      </c>
      <c r="AQ234" s="34">
        <v>16</v>
      </c>
      <c r="AR234" s="34">
        <v>1</v>
      </c>
      <c r="AS234" s="34">
        <v>1</v>
      </c>
      <c r="AT234" s="34" t="str">
        <v>2P</v>
      </c>
      <c r="AU234" s="34">
        <v>16</v>
      </c>
      <c r="AV234" s="34" t="str">
        <v/>
      </c>
      <c r="AW234" s="34" t="str">
        <v/>
      </c>
      <c r="AX234" s="34" t="str">
        <v/>
      </c>
      <c r="AY234" s="34">
        <v>1</v>
      </c>
      <c r="AZ234" s="34" t="str">
        <v/>
      </c>
      <c r="BA234" s="34">
        <v>0</v>
      </c>
      <c r="BB234" s="34">
        <v>16</v>
      </c>
      <c r="BD234" s="34">
        <v>1</v>
      </c>
      <c r="BE234" s="34">
        <v>0</v>
      </c>
      <c r="BF234" s="34">
        <v>1</v>
      </c>
      <c r="BG234" s="34" t="str">
        <v/>
      </c>
      <c r="BH234" s="34" t="str">
        <v/>
      </c>
      <c r="BI234" s="34" t="str">
        <v/>
      </c>
      <c r="BJ234" s="34" t="str">
        <v/>
      </c>
      <c r="BK234" s="34" t="str">
        <v>SOCKET</v>
      </c>
      <c r="BL234" s="34">
        <v>1</v>
      </c>
      <c r="BM234" s="34" t="str">
        <v/>
      </c>
      <c r="BN234" s="34" t="str">
        <v/>
      </c>
      <c r="BO234" s="34" t="str">
        <v/>
      </c>
      <c r="BP234" s="34" t="str">
        <v/>
      </c>
      <c r="BQ234" s="34" t="str">
        <v>3х2,5</v>
      </c>
      <c r="BR234" s="34" t="str">
        <v/>
      </c>
      <c r="BS234" s="34" t="str">
        <v/>
      </c>
      <c r="BT234" s="34" t="str">
        <v/>
      </c>
      <c r="BU234" s="34">
        <v>0</v>
      </c>
      <c r="BV234" s="34">
        <v>255</v>
      </c>
      <c r="BW234" s="34">
        <v>1</v>
      </c>
      <c r="BX234" s="34">
        <v>0</v>
      </c>
      <c r="BY234" s="34" t="str">
        <v>Розетка</v>
      </c>
      <c r="BZ234">
        <v>10</v>
      </c>
      <c r="CA234" t="str">
        <v>линии</v>
      </c>
    </row>
    <row r="235" spans="1:79" x14ac:dyDescent="0.3">
      <c r="A235" s="39" t="str">
        <v>ЩР-1</v>
      </c>
      <c r="B235" s="42">
        <v>55</v>
      </c>
      <c r="C235" s="42">
        <v>4</v>
      </c>
      <c r="D235" s="75" t="str">
        <v/>
      </c>
      <c r="E235" s="75" t="str">
        <v>авто</v>
      </c>
      <c r="F235" s="76">
        <v>30</v>
      </c>
      <c r="G235" s="47" t="str">
        <v>QFD34</v>
      </c>
      <c r="H235" s="47" t="str">
        <v>2P С16А 30мА</v>
      </c>
      <c r="I235" s="75" t="str">
        <v/>
      </c>
      <c r="J235" s="76" t="str">
        <v/>
      </c>
      <c r="K235" s="76" t="str">
        <v/>
      </c>
      <c r="L235" s="75" t="str">
        <v/>
      </c>
      <c r="M235" s="49" t="str">
        <v/>
      </c>
      <c r="N235" s="76" t="str">
        <v/>
      </c>
      <c r="O235" s="49" t="str">
        <v/>
      </c>
      <c r="P235" s="77" t="str">
        <v/>
      </c>
      <c r="Q235" s="53" t="str">
        <v>ВВГнг(А)-LS (3х2,5) L=38-0,08%</v>
      </c>
      <c r="R235" s="54" t="str">
        <v>R.1.013A.1</v>
      </c>
      <c r="S235" s="55" t="str">
        <v>Розеточная группа, пом. 013A</v>
      </c>
      <c r="T235" s="56">
        <v>0.06</v>
      </c>
      <c r="U235" s="56">
        <v>0.28000000000000003</v>
      </c>
      <c r="V235" s="42" t="str">
        <v>L1</v>
      </c>
      <c r="W235" s="57" t="str">
        <v>ok</v>
      </c>
      <c r="X235" s="58" t="str">
        <v/>
      </c>
      <c r="Y235" s="75" t="str">
        <v/>
      </c>
      <c r="Z235" s="59">
        <v>0.27348170645824377</v>
      </c>
      <c r="AA235" s="61">
        <v>16</v>
      </c>
      <c r="AB235" s="61">
        <v>25</v>
      </c>
      <c r="AC235" s="61" t="str">
        <v/>
      </c>
      <c r="AD235" s="62" t="str">
        <v>QFD34</v>
      </c>
      <c r="AE235" s="62" t="str">
        <v/>
      </c>
      <c r="AF235" s="34">
        <v>34</v>
      </c>
      <c r="AG235" s="34" t="str">
        <v>QFD34</v>
      </c>
      <c r="AH235" s="34" t="str">
        <v/>
      </c>
      <c r="AI235" s="34" t="str">
        <v/>
      </c>
      <c r="AJ235" s="34" t="str">
        <v>QFD34</v>
      </c>
      <c r="AK235" s="34">
        <v>1</v>
      </c>
      <c r="AL235" s="34" t="str">
        <v>R</v>
      </c>
      <c r="AM235" s="34">
        <v>30</v>
      </c>
      <c r="AN235" s="34">
        <v>0</v>
      </c>
      <c r="AO235" s="34">
        <v>16</v>
      </c>
      <c r="AP235" s="34">
        <v>25</v>
      </c>
      <c r="AQ235" s="34">
        <v>16</v>
      </c>
      <c r="AR235" s="34">
        <v>1</v>
      </c>
      <c r="AS235" s="34">
        <v>1</v>
      </c>
      <c r="AT235" s="34" t="str">
        <v>2P</v>
      </c>
      <c r="AU235" s="34">
        <v>16</v>
      </c>
      <c r="AV235" s="34" t="str">
        <v/>
      </c>
      <c r="AW235" s="34" t="str">
        <v/>
      </c>
      <c r="AX235" s="34" t="str">
        <v/>
      </c>
      <c r="AY235" s="34">
        <v>1</v>
      </c>
      <c r="AZ235" s="34" t="str">
        <v/>
      </c>
      <c r="BA235" s="34">
        <v>0</v>
      </c>
      <c r="BB235" s="34">
        <v>16</v>
      </c>
      <c r="BD235" s="34">
        <v>1</v>
      </c>
      <c r="BE235" s="34">
        <v>0</v>
      </c>
      <c r="BF235" s="34">
        <v>1</v>
      </c>
      <c r="BG235" s="34" t="str">
        <v/>
      </c>
      <c r="BH235" s="34" t="str">
        <v/>
      </c>
      <c r="BI235" s="34" t="str">
        <v/>
      </c>
      <c r="BJ235" s="34" t="str">
        <v/>
      </c>
      <c r="BK235" s="34" t="str">
        <v>SOCKET</v>
      </c>
      <c r="BL235" s="34">
        <v>1</v>
      </c>
      <c r="BM235" s="34" t="str">
        <v/>
      </c>
      <c r="BN235" s="34" t="str">
        <v/>
      </c>
      <c r="BO235" s="34" t="str">
        <v/>
      </c>
      <c r="BP235" s="34" t="str">
        <v/>
      </c>
      <c r="BQ235" s="34" t="str">
        <v>3х2,5</v>
      </c>
      <c r="BR235" s="34" t="str">
        <v/>
      </c>
      <c r="BS235" s="34" t="str">
        <v/>
      </c>
      <c r="BT235" s="34" t="str">
        <v/>
      </c>
      <c r="BU235" s="34">
        <v>0</v>
      </c>
      <c r="BV235" s="34">
        <v>256</v>
      </c>
      <c r="BW235" s="34">
        <v>1</v>
      </c>
      <c r="BX235" s="34">
        <v>0</v>
      </c>
      <c r="BY235" s="34" t="str">
        <v>Розетка</v>
      </c>
      <c r="BZ235">
        <v>10</v>
      </c>
      <c r="CA235" t="str">
        <v>линии</v>
      </c>
    </row>
    <row r="236" spans="1:79" x14ac:dyDescent="0.3">
      <c r="A236" s="39" t="str">
        <v>ЩР-1</v>
      </c>
      <c r="B236" s="42">
        <v>56</v>
      </c>
      <c r="C236" s="42">
        <v>4</v>
      </c>
      <c r="D236" s="75" t="str">
        <v/>
      </c>
      <c r="E236" s="75" t="str">
        <v>авто</v>
      </c>
      <c r="F236" s="76">
        <v>30</v>
      </c>
      <c r="G236" s="47" t="str">
        <v>QFD35</v>
      </c>
      <c r="H236" s="47" t="str">
        <v>2P С16А 30мА</v>
      </c>
      <c r="I236" s="75" t="str">
        <v/>
      </c>
      <c r="J236" s="76" t="str">
        <v/>
      </c>
      <c r="K236" s="76" t="str">
        <v/>
      </c>
      <c r="L236" s="75" t="str">
        <v/>
      </c>
      <c r="M236" s="49" t="str">
        <v/>
      </c>
      <c r="N236" s="76" t="str">
        <v/>
      </c>
      <c r="O236" s="49" t="str">
        <v/>
      </c>
      <c r="P236" s="77" t="str">
        <v/>
      </c>
      <c r="Q236" s="53" t="str">
        <v>ВВГнг(А)-LS (3х2,5) L=22-0,09%</v>
      </c>
      <c r="R236" s="54" t="str">
        <v>R.1.014A.1</v>
      </c>
      <c r="S236" s="55" t="str">
        <v>Розеточная группа, пом. 014A</v>
      </c>
      <c r="T236" s="56">
        <v>0.12</v>
      </c>
      <c r="U236" s="56">
        <v>0.55000000000000004</v>
      </c>
      <c r="V236" s="42" t="str">
        <v>L1</v>
      </c>
      <c r="W236" s="57" t="str">
        <v>ok</v>
      </c>
      <c r="X236" s="58" t="str">
        <v/>
      </c>
      <c r="Y236" s="75" t="str">
        <v/>
      </c>
      <c r="Z236" s="59">
        <v>0.54696341291648753</v>
      </c>
      <c r="AA236" s="61">
        <v>16</v>
      </c>
      <c r="AB236" s="61">
        <v>25</v>
      </c>
      <c r="AC236" s="61" t="str">
        <v/>
      </c>
      <c r="AD236" s="62" t="str">
        <v>QFD35</v>
      </c>
      <c r="AE236" s="62" t="str">
        <v/>
      </c>
      <c r="AF236" s="34">
        <v>35</v>
      </c>
      <c r="AG236" s="34" t="str">
        <v>QFD35</v>
      </c>
      <c r="AH236" s="34" t="str">
        <v/>
      </c>
      <c r="AI236" s="34" t="str">
        <v/>
      </c>
      <c r="AJ236" s="34" t="str">
        <v>QFD35</v>
      </c>
      <c r="AK236" s="34">
        <v>1</v>
      </c>
      <c r="AL236" s="34" t="str">
        <v>R</v>
      </c>
      <c r="AM236" s="34">
        <v>30</v>
      </c>
      <c r="AN236" s="34">
        <v>0</v>
      </c>
      <c r="AO236" s="34">
        <v>16</v>
      </c>
      <c r="AP236" s="34">
        <v>25</v>
      </c>
      <c r="AQ236" s="34">
        <v>16</v>
      </c>
      <c r="AR236" s="34">
        <v>1</v>
      </c>
      <c r="AS236" s="34">
        <v>1</v>
      </c>
      <c r="AT236" s="34" t="str">
        <v>2P</v>
      </c>
      <c r="AU236" s="34">
        <v>16</v>
      </c>
      <c r="AV236" s="34" t="str">
        <v/>
      </c>
      <c r="AW236" s="34" t="str">
        <v/>
      </c>
      <c r="AX236" s="34" t="str">
        <v/>
      </c>
      <c r="AY236" s="34">
        <v>1</v>
      </c>
      <c r="AZ236" s="34" t="str">
        <v/>
      </c>
      <c r="BA236" s="34">
        <v>0</v>
      </c>
      <c r="BB236" s="34">
        <v>16</v>
      </c>
      <c r="BD236" s="34">
        <v>1</v>
      </c>
      <c r="BE236" s="34">
        <v>0</v>
      </c>
      <c r="BF236" s="34">
        <v>1</v>
      </c>
      <c r="BG236" s="34" t="str">
        <v/>
      </c>
      <c r="BH236" s="34" t="str">
        <v/>
      </c>
      <c r="BI236" s="34" t="str">
        <v/>
      </c>
      <c r="BJ236" s="34" t="str">
        <v/>
      </c>
      <c r="BK236" s="34" t="str">
        <v>SOCKET</v>
      </c>
      <c r="BL236" s="34">
        <v>1</v>
      </c>
      <c r="BM236" s="34" t="str">
        <v/>
      </c>
      <c r="BN236" s="34" t="str">
        <v/>
      </c>
      <c r="BO236" s="34" t="str">
        <v/>
      </c>
      <c r="BP236" s="34" t="str">
        <v/>
      </c>
      <c r="BQ236" s="34" t="str">
        <v>3х2,5</v>
      </c>
      <c r="BR236" s="34" t="str">
        <v/>
      </c>
      <c r="BS236" s="34" t="str">
        <v/>
      </c>
      <c r="BT236" s="34" t="str">
        <v/>
      </c>
      <c r="BU236" s="34">
        <v>0</v>
      </c>
      <c r="BV236" s="34">
        <v>257</v>
      </c>
      <c r="BW236" s="34">
        <v>1</v>
      </c>
      <c r="BX236" s="34">
        <v>0</v>
      </c>
      <c r="BY236" s="34" t="str">
        <v>Розетка</v>
      </c>
      <c r="BZ236">
        <v>10</v>
      </c>
      <c r="CA236" t="str">
        <v>линии</v>
      </c>
    </row>
    <row r="237" spans="1:79" x14ac:dyDescent="0.3">
      <c r="A237" s="39" t="str">
        <v>ЩР-1</v>
      </c>
      <c r="B237" s="42">
        <v>57</v>
      </c>
      <c r="C237" s="42">
        <v>4</v>
      </c>
      <c r="D237" s="75" t="str">
        <v/>
      </c>
      <c r="E237" s="75" t="str">
        <v>авто</v>
      </c>
      <c r="F237" s="76">
        <v>30</v>
      </c>
      <c r="G237" s="47" t="str">
        <v>QFD36</v>
      </c>
      <c r="H237" s="47" t="str">
        <v>2P С16А 30мА</v>
      </c>
      <c r="I237" s="75" t="str">
        <v/>
      </c>
      <c r="J237" s="76" t="str">
        <v/>
      </c>
      <c r="K237" s="76" t="str">
        <v/>
      </c>
      <c r="L237" s="75" t="str">
        <v/>
      </c>
      <c r="M237" s="49" t="str">
        <v/>
      </c>
      <c r="N237" s="76" t="str">
        <v/>
      </c>
      <c r="O237" s="49" t="str">
        <v/>
      </c>
      <c r="P237" s="77" t="str">
        <v>XT36</v>
      </c>
      <c r="Q237" s="53" t="str">
        <v>ВВГнг(А)-LS (3х2,5) L=42-0,35%</v>
      </c>
      <c r="R237" s="54" t="str">
        <v>R.1.015A.1</v>
      </c>
      <c r="S237" s="55" t="str">
        <v>Розеточная группа, пом. 015A</v>
      </c>
      <c r="T237" s="56">
        <v>0.24</v>
      </c>
      <c r="U237" s="56">
        <v>1.1000000000000001</v>
      </c>
      <c r="V237" s="42" t="str">
        <v>L3</v>
      </c>
      <c r="W237" s="57" t="str">
        <v>ok</v>
      </c>
      <c r="X237" s="58" t="str">
        <v/>
      </c>
      <c r="Y237" s="75" t="str">
        <v/>
      </c>
      <c r="Z237" s="59">
        <v>1.0939268258329751</v>
      </c>
      <c r="AA237" s="61">
        <v>16</v>
      </c>
      <c r="AB237" s="61">
        <v>25</v>
      </c>
      <c r="AC237" s="61" t="str">
        <v/>
      </c>
      <c r="AD237" s="62" t="str">
        <v>QFD36 → XT36</v>
      </c>
      <c r="AE237" s="62" t="str">
        <v/>
      </c>
      <c r="AF237" s="34">
        <v>36</v>
      </c>
      <c r="AG237" s="34" t="str">
        <v>QFD36</v>
      </c>
      <c r="AH237" s="34" t="str">
        <v/>
      </c>
      <c r="AI237" s="34" t="str">
        <v/>
      </c>
      <c r="AJ237" s="34" t="str">
        <v>QFD36</v>
      </c>
      <c r="AK237" s="34">
        <v>1</v>
      </c>
      <c r="AL237" s="34" t="str">
        <v>R</v>
      </c>
      <c r="AM237" s="34">
        <v>30</v>
      </c>
      <c r="AN237" s="34">
        <v>0</v>
      </c>
      <c r="AO237" s="34">
        <v>16</v>
      </c>
      <c r="AP237" s="34">
        <v>25</v>
      </c>
      <c r="AQ237" s="34">
        <v>16</v>
      </c>
      <c r="AR237" s="34">
        <v>1</v>
      </c>
      <c r="AS237" s="34">
        <v>1</v>
      </c>
      <c r="AT237" s="34" t="str">
        <v>2P</v>
      </c>
      <c r="AU237" s="34">
        <v>16</v>
      </c>
      <c r="AV237" s="34" t="str">
        <v/>
      </c>
      <c r="AW237" s="34" t="str">
        <v/>
      </c>
      <c r="AX237" s="34" t="str">
        <v/>
      </c>
      <c r="AY237" s="34">
        <v>1</v>
      </c>
      <c r="AZ237" s="34" t="str">
        <v/>
      </c>
      <c r="BA237" s="34">
        <v>0</v>
      </c>
      <c r="BB237" s="34">
        <v>16</v>
      </c>
      <c r="BD237" s="34">
        <v>1</v>
      </c>
      <c r="BE237" s="34">
        <v>0</v>
      </c>
      <c r="BF237" s="34">
        <v>1</v>
      </c>
      <c r="BG237" s="34" t="str">
        <v/>
      </c>
      <c r="BH237" s="34" t="str">
        <v/>
      </c>
      <c r="BI237" s="34" t="str">
        <v/>
      </c>
      <c r="BJ237" s="34" t="str">
        <v/>
      </c>
      <c r="BK237" s="34" t="str">
        <v>SOCKET</v>
      </c>
      <c r="BL237" s="34">
        <v>1</v>
      </c>
      <c r="BM237" s="34" t="str">
        <v/>
      </c>
      <c r="BN237" s="34" t="str">
        <v/>
      </c>
      <c r="BO237" s="34" t="str">
        <v/>
      </c>
      <c r="BP237" s="34" t="str">
        <v/>
      </c>
      <c r="BQ237" s="34" t="str">
        <v>3х2,5</v>
      </c>
      <c r="BR237" s="34" t="str">
        <v/>
      </c>
      <c r="BS237" s="34" t="str">
        <v/>
      </c>
      <c r="BT237" s="34" t="str">
        <v/>
      </c>
      <c r="BU237" s="34">
        <v>0</v>
      </c>
      <c r="BV237" s="34">
        <v>258</v>
      </c>
      <c r="BW237" s="34">
        <v>1</v>
      </c>
      <c r="BX237" s="34">
        <v>0</v>
      </c>
      <c r="BY237" s="34" t="str">
        <v>Розетка</v>
      </c>
      <c r="BZ237">
        <v>10</v>
      </c>
      <c r="CA237" t="str">
        <v>линии</v>
      </c>
    </row>
    <row r="238" spans="1:79" x14ac:dyDescent="0.3">
      <c r="A238" s="39" t="str">
        <v>ЩР-1</v>
      </c>
      <c r="B238" s="42">
        <v>58</v>
      </c>
      <c r="C238" s="42">
        <v>4</v>
      </c>
      <c r="D238" s="75" t="str">
        <v/>
      </c>
      <c r="E238" s="75" t="str">
        <v>авто</v>
      </c>
      <c r="F238" s="76">
        <v>30</v>
      </c>
      <c r="G238" s="47" t="str">
        <v>QFD37</v>
      </c>
      <c r="H238" s="47" t="str">
        <v>2P С16А 30мА</v>
      </c>
      <c r="I238" s="75" t="str">
        <v/>
      </c>
      <c r="J238" s="76" t="str">
        <v/>
      </c>
      <c r="K238" s="76" t="str">
        <v/>
      </c>
      <c r="L238" s="75" t="str">
        <v/>
      </c>
      <c r="M238" s="49" t="str">
        <v/>
      </c>
      <c r="N238" s="76" t="str">
        <v/>
      </c>
      <c r="O238" s="49" t="str">
        <v/>
      </c>
      <c r="P238" s="77" t="str">
        <v>XT37</v>
      </c>
      <c r="Q238" s="53" t="str">
        <v>ВВГнг(А)-LS (3х2,5) L=63-1,03%</v>
      </c>
      <c r="R238" s="54" t="str">
        <v>R.1.016A.1</v>
      </c>
      <c r="S238" s="55" t="str">
        <v>Розеточная группа, пом. 016A</v>
      </c>
      <c r="T238" s="56">
        <v>0.48</v>
      </c>
      <c r="U238" s="56">
        <v>2.19</v>
      </c>
      <c r="V238" s="42" t="str">
        <v>L2</v>
      </c>
      <c r="W238" s="57" t="str">
        <v>ok</v>
      </c>
      <c r="X238" s="58" t="str">
        <v/>
      </c>
      <c r="Y238" s="75" t="str">
        <v/>
      </c>
      <c r="Z238" s="59">
        <v>2.1878536516659501</v>
      </c>
      <c r="AA238" s="61">
        <v>16</v>
      </c>
      <c r="AB238" s="61">
        <v>25</v>
      </c>
      <c r="AC238" s="61" t="str">
        <v/>
      </c>
      <c r="AD238" s="62" t="str">
        <v>QFD37 → XT37</v>
      </c>
      <c r="AE238" s="62" t="str">
        <v/>
      </c>
      <c r="AF238" s="34">
        <v>37</v>
      </c>
      <c r="AG238" s="34" t="str">
        <v>QFD37</v>
      </c>
      <c r="AH238" s="34" t="str">
        <v/>
      </c>
      <c r="AI238" s="34" t="str">
        <v/>
      </c>
      <c r="AJ238" s="34" t="str">
        <v>QFD37</v>
      </c>
      <c r="AK238" s="34">
        <v>1</v>
      </c>
      <c r="AL238" s="34" t="str">
        <v>R</v>
      </c>
      <c r="AM238" s="34">
        <v>30</v>
      </c>
      <c r="AN238" s="34">
        <v>0</v>
      </c>
      <c r="AO238" s="34">
        <v>16</v>
      </c>
      <c r="AP238" s="34">
        <v>25</v>
      </c>
      <c r="AQ238" s="34">
        <v>16</v>
      </c>
      <c r="AR238" s="34">
        <v>1</v>
      </c>
      <c r="AS238" s="34">
        <v>1</v>
      </c>
      <c r="AT238" s="34" t="str">
        <v>2P</v>
      </c>
      <c r="AU238" s="34">
        <v>16</v>
      </c>
      <c r="AV238" s="34" t="str">
        <v/>
      </c>
      <c r="AW238" s="34" t="str">
        <v/>
      </c>
      <c r="AX238" s="34" t="str">
        <v/>
      </c>
      <c r="AY238" s="34">
        <v>1</v>
      </c>
      <c r="AZ238" s="34" t="str">
        <v/>
      </c>
      <c r="BA238" s="34">
        <v>0</v>
      </c>
      <c r="BB238" s="34">
        <v>16</v>
      </c>
      <c r="BD238" s="34">
        <v>1</v>
      </c>
      <c r="BE238" s="34">
        <v>0</v>
      </c>
      <c r="BF238" s="34">
        <v>1</v>
      </c>
      <c r="BG238" s="34" t="str">
        <v/>
      </c>
      <c r="BH238" s="34" t="str">
        <v/>
      </c>
      <c r="BI238" s="34" t="str">
        <v/>
      </c>
      <c r="BJ238" s="34" t="str">
        <v/>
      </c>
      <c r="BK238" s="34" t="str">
        <v>SOCKET</v>
      </c>
      <c r="BL238" s="34">
        <v>1</v>
      </c>
      <c r="BM238" s="34" t="str">
        <v/>
      </c>
      <c r="BN238" s="34" t="str">
        <v/>
      </c>
      <c r="BO238" s="34" t="str">
        <v/>
      </c>
      <c r="BP238" s="34" t="str">
        <v/>
      </c>
      <c r="BQ238" s="34" t="str">
        <v>3х2,5</v>
      </c>
      <c r="BR238" s="34" t="str">
        <v/>
      </c>
      <c r="BS238" s="34" t="str">
        <v/>
      </c>
      <c r="BT238" s="34" t="str">
        <v/>
      </c>
      <c r="BU238" s="34">
        <v>0</v>
      </c>
      <c r="BV238" s="34">
        <v>259</v>
      </c>
      <c r="BW238" s="34">
        <v>1</v>
      </c>
      <c r="BX238" s="34">
        <v>0</v>
      </c>
      <c r="BY238" s="34" t="str">
        <v>Розетка</v>
      </c>
      <c r="BZ238">
        <v>10</v>
      </c>
      <c r="CA238" t="str">
        <v>линии</v>
      </c>
    </row>
    <row r="239" spans="1:79" x14ac:dyDescent="0.3">
      <c r="A239" s="39" t="str">
        <v>ЩР-1</v>
      </c>
      <c r="B239" s="42">
        <v>59</v>
      </c>
      <c r="C239" s="42">
        <v>4</v>
      </c>
      <c r="D239" s="75" t="str">
        <v/>
      </c>
      <c r="E239" s="75" t="str">
        <v>авто</v>
      </c>
      <c r="F239" s="76">
        <v>30</v>
      </c>
      <c r="G239" s="47" t="str">
        <v>QFD38</v>
      </c>
      <c r="H239" s="47" t="str">
        <v>2P С16А 30мА</v>
      </c>
      <c r="I239" s="75" t="str">
        <v/>
      </c>
      <c r="J239" s="76" t="str">
        <v/>
      </c>
      <c r="K239" s="76" t="str">
        <v/>
      </c>
      <c r="L239" s="75" t="str">
        <v/>
      </c>
      <c r="M239" s="49" t="str">
        <v/>
      </c>
      <c r="N239" s="76" t="str">
        <v/>
      </c>
      <c r="O239" s="49" t="str">
        <v/>
      </c>
      <c r="P239" s="77" t="str">
        <v>XT38</v>
      </c>
      <c r="Q239" s="53" t="str">
        <v>ВВГнг(А)-LS (3х2,5) L=59-0,48%</v>
      </c>
      <c r="R239" s="54" t="str">
        <v>R.1.017A.1</v>
      </c>
      <c r="S239" s="55" t="str">
        <v>Розеточная группа, пом. 017A</v>
      </c>
      <c r="T239" s="56">
        <v>0.24</v>
      </c>
      <c r="U239" s="56">
        <v>1.1000000000000001</v>
      </c>
      <c r="V239" s="42" t="str">
        <v>L2</v>
      </c>
      <c r="W239" s="57" t="str">
        <v>ok</v>
      </c>
      <c r="X239" s="58" t="str">
        <v/>
      </c>
      <c r="Y239" s="75" t="str">
        <v/>
      </c>
      <c r="Z239" s="59">
        <v>1.0939268258329751</v>
      </c>
      <c r="AA239" s="61">
        <v>16</v>
      </c>
      <c r="AB239" s="61">
        <v>25</v>
      </c>
      <c r="AC239" s="61" t="str">
        <v/>
      </c>
      <c r="AD239" s="62" t="str">
        <v>QFD38 → XT38</v>
      </c>
      <c r="AE239" s="62" t="str">
        <v/>
      </c>
      <c r="AF239" s="34">
        <v>38</v>
      </c>
      <c r="AG239" s="34" t="str">
        <v>QFD38</v>
      </c>
      <c r="AH239" s="34" t="str">
        <v/>
      </c>
      <c r="AI239" s="34" t="str">
        <v/>
      </c>
      <c r="AJ239" s="34" t="str">
        <v>QFD38</v>
      </c>
      <c r="AK239" s="34">
        <v>1</v>
      </c>
      <c r="AL239" s="34" t="str">
        <v>R</v>
      </c>
      <c r="AM239" s="34">
        <v>30</v>
      </c>
      <c r="AN239" s="34">
        <v>0</v>
      </c>
      <c r="AO239" s="34">
        <v>16</v>
      </c>
      <c r="AP239" s="34">
        <v>25</v>
      </c>
      <c r="AQ239" s="34">
        <v>16</v>
      </c>
      <c r="AR239" s="34">
        <v>1</v>
      </c>
      <c r="AS239" s="34">
        <v>1</v>
      </c>
      <c r="AT239" s="34" t="str">
        <v>2P</v>
      </c>
      <c r="AU239" s="34">
        <v>16</v>
      </c>
      <c r="AV239" s="34" t="str">
        <v/>
      </c>
      <c r="AW239" s="34" t="str">
        <v/>
      </c>
      <c r="AX239" s="34" t="str">
        <v/>
      </c>
      <c r="AY239" s="34">
        <v>1</v>
      </c>
      <c r="AZ239" s="34" t="str">
        <v/>
      </c>
      <c r="BA239" s="34">
        <v>0</v>
      </c>
      <c r="BB239" s="34">
        <v>16</v>
      </c>
      <c r="BD239" s="34">
        <v>1</v>
      </c>
      <c r="BE239" s="34">
        <v>0</v>
      </c>
      <c r="BF239" s="34">
        <v>1</v>
      </c>
      <c r="BG239" s="34" t="str">
        <v/>
      </c>
      <c r="BH239" s="34" t="str">
        <v/>
      </c>
      <c r="BI239" s="34" t="str">
        <v/>
      </c>
      <c r="BJ239" s="34" t="str">
        <v/>
      </c>
      <c r="BK239" s="34" t="str">
        <v>SOCKET</v>
      </c>
      <c r="BL239" s="34">
        <v>1</v>
      </c>
      <c r="BM239" s="34" t="str">
        <v/>
      </c>
      <c r="BN239" s="34" t="str">
        <v/>
      </c>
      <c r="BO239" s="34" t="str">
        <v/>
      </c>
      <c r="BP239" s="34" t="str">
        <v/>
      </c>
      <c r="BQ239" s="34" t="str">
        <v>3х2,5</v>
      </c>
      <c r="BR239" s="34" t="str">
        <v/>
      </c>
      <c r="BS239" s="34" t="str">
        <v/>
      </c>
      <c r="BT239" s="34" t="str">
        <v/>
      </c>
      <c r="BU239" s="34">
        <v>0</v>
      </c>
      <c r="BV239" s="34">
        <v>260</v>
      </c>
      <c r="BW239" s="34">
        <v>1</v>
      </c>
      <c r="BX239" s="34">
        <v>0</v>
      </c>
      <c r="BY239" s="34" t="str">
        <v>Розетка</v>
      </c>
      <c r="BZ239">
        <v>10</v>
      </c>
      <c r="CA239" t="str">
        <v>линии</v>
      </c>
    </row>
    <row r="240" spans="1:79" x14ac:dyDescent="0.3">
      <c r="A240" s="39" t="str">
        <v>ЩР-1</v>
      </c>
      <c r="B240" s="42">
        <v>62</v>
      </c>
      <c r="C240" s="42">
        <v>4</v>
      </c>
      <c r="D240" s="75" t="str">
        <v/>
      </c>
      <c r="E240" s="75" t="str">
        <v>авто</v>
      </c>
      <c r="F240" s="76">
        <v>30</v>
      </c>
      <c r="G240" s="47" t="str">
        <v>QFD39</v>
      </c>
      <c r="H240" s="47" t="str">
        <v>2P С16А 30мА</v>
      </c>
      <c r="I240" s="75" t="str">
        <v/>
      </c>
      <c r="J240" s="76" t="str">
        <v/>
      </c>
      <c r="K240" s="76" t="str">
        <v/>
      </c>
      <c r="L240" s="75" t="str">
        <v/>
      </c>
      <c r="M240" s="49" t="str">
        <v/>
      </c>
      <c r="N240" s="76" t="str">
        <v/>
      </c>
      <c r="O240" s="49" t="str">
        <v/>
      </c>
      <c r="P240" s="77" t="str">
        <v>XT39</v>
      </c>
      <c r="Q240" s="53" t="str">
        <v>ВВГнг(А)-LS (3х2,5) L=57-0,47%</v>
      </c>
      <c r="R240" s="54" t="str">
        <v>R.1.017A.2</v>
      </c>
      <c r="S240" s="55" t="str">
        <v>Розеточная группа, пом. 017A</v>
      </c>
      <c r="T240" s="56">
        <v>0.24</v>
      </c>
      <c r="U240" s="56">
        <v>1.1000000000000001</v>
      </c>
      <c r="V240" s="42" t="str">
        <v>L1</v>
      </c>
      <c r="W240" s="57" t="str">
        <v>ok</v>
      </c>
      <c r="X240" s="58" t="str">
        <v/>
      </c>
      <c r="Y240" s="75" t="str">
        <v/>
      </c>
      <c r="Z240" s="59">
        <v>1.0939268258329751</v>
      </c>
      <c r="AA240" s="61">
        <v>16</v>
      </c>
      <c r="AB240" s="61">
        <v>25</v>
      </c>
      <c r="AC240" s="61" t="str">
        <v/>
      </c>
      <c r="AD240" s="62" t="str">
        <v>QFD39 → XT39</v>
      </c>
      <c r="AE240" s="62" t="str">
        <v/>
      </c>
      <c r="AF240" s="34">
        <v>39</v>
      </c>
      <c r="AG240" s="34" t="str">
        <v>QFD39</v>
      </c>
      <c r="AH240" s="34" t="str">
        <v/>
      </c>
      <c r="AI240" s="34" t="str">
        <v/>
      </c>
      <c r="AJ240" s="34" t="str">
        <v>QFD39</v>
      </c>
      <c r="AK240" s="34">
        <v>1</v>
      </c>
      <c r="AL240" s="34" t="str">
        <v>R</v>
      </c>
      <c r="AM240" s="34">
        <v>30</v>
      </c>
      <c r="AN240" s="34">
        <v>0</v>
      </c>
      <c r="AO240" s="34">
        <v>16</v>
      </c>
      <c r="AP240" s="34">
        <v>25</v>
      </c>
      <c r="AQ240" s="34">
        <v>16</v>
      </c>
      <c r="AR240" s="34">
        <v>1</v>
      </c>
      <c r="AS240" s="34">
        <v>1</v>
      </c>
      <c r="AT240" s="34" t="str">
        <v>2P</v>
      </c>
      <c r="AU240" s="34">
        <v>16</v>
      </c>
      <c r="AV240" s="34" t="str">
        <v/>
      </c>
      <c r="AW240" s="34" t="str">
        <v/>
      </c>
      <c r="AX240" s="34" t="str">
        <v/>
      </c>
      <c r="AY240" s="34">
        <v>1</v>
      </c>
      <c r="AZ240" s="34" t="str">
        <v/>
      </c>
      <c r="BA240" s="34">
        <v>0</v>
      </c>
      <c r="BB240" s="34">
        <v>16</v>
      </c>
      <c r="BD240" s="34">
        <v>1</v>
      </c>
      <c r="BE240" s="34">
        <v>0</v>
      </c>
      <c r="BF240" s="34">
        <v>1</v>
      </c>
      <c r="BG240" s="34" t="str">
        <v/>
      </c>
      <c r="BH240" s="34" t="str">
        <v/>
      </c>
      <c r="BI240" s="34" t="str">
        <v/>
      </c>
      <c r="BJ240" s="34" t="str">
        <v/>
      </c>
      <c r="BK240" s="34" t="str">
        <v>SOCKET</v>
      </c>
      <c r="BL240" s="34">
        <v>1</v>
      </c>
      <c r="BM240" s="34" t="str">
        <v/>
      </c>
      <c r="BN240" s="34" t="str">
        <v/>
      </c>
      <c r="BO240" s="34" t="str">
        <v/>
      </c>
      <c r="BP240" s="34" t="str">
        <v/>
      </c>
      <c r="BQ240" s="34" t="str">
        <v>3х2,5</v>
      </c>
      <c r="BR240" s="34" t="str">
        <v/>
      </c>
      <c r="BS240" s="34" t="str">
        <v/>
      </c>
      <c r="BT240" s="34" t="str">
        <v/>
      </c>
      <c r="BU240" s="34">
        <v>0</v>
      </c>
      <c r="BV240" s="34">
        <v>261</v>
      </c>
      <c r="BW240" s="34">
        <v>1</v>
      </c>
      <c r="BX240" s="34">
        <v>0</v>
      </c>
      <c r="BY240" s="34" t="str">
        <v>Розетка</v>
      </c>
      <c r="BZ240">
        <v>10</v>
      </c>
      <c r="CA240" t="str">
        <v>линии</v>
      </c>
    </row>
    <row r="241" spans="1:79" x14ac:dyDescent="0.3">
      <c r="A241" s="39" t="str">
        <v>ЩР-1</v>
      </c>
      <c r="B241" s="42">
        <v>63</v>
      </c>
      <c r="C241" s="42">
        <v>4</v>
      </c>
      <c r="D241" s="75" t="str">
        <v/>
      </c>
      <c r="E241" s="75" t="str">
        <v>авто</v>
      </c>
      <c r="F241" s="76">
        <v>30</v>
      </c>
      <c r="G241" s="47" t="str">
        <v>QFD40</v>
      </c>
      <c r="H241" s="47" t="str">
        <v>2P С16А 30мА</v>
      </c>
      <c r="I241" s="75" t="str">
        <v/>
      </c>
      <c r="J241" s="76" t="str">
        <v/>
      </c>
      <c r="K241" s="76" t="str">
        <v/>
      </c>
      <c r="L241" s="75" t="str">
        <v/>
      </c>
      <c r="M241" s="49" t="str">
        <v/>
      </c>
      <c r="N241" s="76" t="str">
        <v/>
      </c>
      <c r="O241" s="49" t="str">
        <v/>
      </c>
      <c r="P241" s="77" t="str">
        <v>XT40</v>
      </c>
      <c r="Q241" s="53" t="str">
        <v>ВВГнг(А)-LS (3х2,5) L=42-0,18%</v>
      </c>
      <c r="R241" s="54" t="str">
        <v>R.1.018A.1</v>
      </c>
      <c r="S241" s="55" t="str">
        <v>Розеточная группа, пом. 018A</v>
      </c>
      <c r="T241" s="56">
        <v>0.12</v>
      </c>
      <c r="U241" s="56">
        <v>0.55000000000000004</v>
      </c>
      <c r="V241" s="42" t="str">
        <v>L2</v>
      </c>
      <c r="W241" s="57" t="str">
        <v>ok</v>
      </c>
      <c r="X241" s="58" t="str">
        <v/>
      </c>
      <c r="Y241" s="75" t="str">
        <v/>
      </c>
      <c r="Z241" s="59">
        <v>0.54696341291648753</v>
      </c>
      <c r="AA241" s="61">
        <v>16</v>
      </c>
      <c r="AB241" s="61">
        <v>25</v>
      </c>
      <c r="AC241" s="61" t="str">
        <v/>
      </c>
      <c r="AD241" s="62" t="str">
        <v>QFD40 → XT40</v>
      </c>
      <c r="AE241" s="62" t="str">
        <v/>
      </c>
      <c r="AF241" s="34">
        <v>40</v>
      </c>
      <c r="AG241" s="34" t="str">
        <v>QFD40</v>
      </c>
      <c r="AH241" s="34" t="str">
        <v/>
      </c>
      <c r="AI241" s="34" t="str">
        <v/>
      </c>
      <c r="AJ241" s="34" t="str">
        <v>QFD40</v>
      </c>
      <c r="AK241" s="34">
        <v>1</v>
      </c>
      <c r="AL241" s="34" t="str">
        <v>R</v>
      </c>
      <c r="AM241" s="34">
        <v>30</v>
      </c>
      <c r="AN241" s="34">
        <v>0</v>
      </c>
      <c r="AO241" s="34">
        <v>16</v>
      </c>
      <c r="AP241" s="34">
        <v>25</v>
      </c>
      <c r="AQ241" s="34">
        <v>16</v>
      </c>
      <c r="AR241" s="34">
        <v>1</v>
      </c>
      <c r="AS241" s="34">
        <v>1</v>
      </c>
      <c r="AT241" s="34" t="str">
        <v>2P</v>
      </c>
      <c r="AU241" s="34">
        <v>16</v>
      </c>
      <c r="AV241" s="34" t="str">
        <v/>
      </c>
      <c r="AW241" s="34" t="str">
        <v/>
      </c>
      <c r="AX241" s="34" t="str">
        <v/>
      </c>
      <c r="AY241" s="34">
        <v>1</v>
      </c>
      <c r="AZ241" s="34" t="str">
        <v/>
      </c>
      <c r="BA241" s="34">
        <v>0</v>
      </c>
      <c r="BB241" s="34">
        <v>16</v>
      </c>
      <c r="BD241" s="34">
        <v>1</v>
      </c>
      <c r="BE241" s="34">
        <v>0</v>
      </c>
      <c r="BF241" s="34">
        <v>1</v>
      </c>
      <c r="BG241" s="34" t="str">
        <v/>
      </c>
      <c r="BH241" s="34" t="str">
        <v/>
      </c>
      <c r="BI241" s="34" t="str">
        <v/>
      </c>
      <c r="BJ241" s="34" t="str">
        <v/>
      </c>
      <c r="BK241" s="34" t="str">
        <v>SOCKET</v>
      </c>
      <c r="BL241" s="34">
        <v>1</v>
      </c>
      <c r="BM241" s="34" t="str">
        <v/>
      </c>
      <c r="BN241" s="34" t="str">
        <v/>
      </c>
      <c r="BO241" s="34" t="str">
        <v/>
      </c>
      <c r="BP241" s="34" t="str">
        <v/>
      </c>
      <c r="BQ241" s="34" t="str">
        <v>3х2,5</v>
      </c>
      <c r="BR241" s="34" t="str">
        <v/>
      </c>
      <c r="BS241" s="34" t="str">
        <v/>
      </c>
      <c r="BT241" s="34" t="str">
        <v/>
      </c>
      <c r="BU241" s="34">
        <v>0</v>
      </c>
      <c r="BV241" s="34">
        <v>262</v>
      </c>
      <c r="BW241" s="34">
        <v>1</v>
      </c>
      <c r="BX241" s="34">
        <v>0</v>
      </c>
      <c r="BY241" s="34" t="str">
        <v>Розетка</v>
      </c>
      <c r="BZ241">
        <v>10</v>
      </c>
      <c r="CA241" t="str">
        <v>линии</v>
      </c>
    </row>
    <row r="242" spans="1:79" x14ac:dyDescent="0.3">
      <c r="A242" s="39" t="str">
        <v>ЩР-1</v>
      </c>
      <c r="B242" s="42">
        <v>64</v>
      </c>
      <c r="C242" s="42">
        <v>4</v>
      </c>
      <c r="D242" s="75" t="str">
        <v/>
      </c>
      <c r="E242" s="75" t="str">
        <v>авто</v>
      </c>
      <c r="F242" s="76">
        <v>30</v>
      </c>
      <c r="G242" s="47" t="str">
        <v>QFD41</v>
      </c>
      <c r="H242" s="47" t="str">
        <v>2P С16А 30мА</v>
      </c>
      <c r="I242" s="75" t="str">
        <v/>
      </c>
      <c r="J242" s="76" t="str">
        <v/>
      </c>
      <c r="K242" s="76" t="str">
        <v/>
      </c>
      <c r="L242" s="75" t="str">
        <v/>
      </c>
      <c r="M242" s="49" t="str">
        <v/>
      </c>
      <c r="N242" s="76" t="str">
        <v/>
      </c>
      <c r="O242" s="49" t="str">
        <v/>
      </c>
      <c r="P242" s="77" t="str">
        <v>XT41</v>
      </c>
      <c r="Q242" s="53" t="str">
        <v>ВВГнг(А)-LS (3х2,5) L=40-0,05%</v>
      </c>
      <c r="R242" s="54" t="str">
        <v>R.1.019A.1</v>
      </c>
      <c r="S242" s="55" t="str">
        <v>Розеточная группа Первый этаж Пом. №019A Полотенцесушитель</v>
      </c>
      <c r="T242" s="56">
        <v>0.03</v>
      </c>
      <c r="U242" s="56">
        <v>0.14000000000000001</v>
      </c>
      <c r="V242" s="42" t="str">
        <v>L2</v>
      </c>
      <c r="W242" s="57" t="str">
        <v>ok</v>
      </c>
      <c r="X242" s="58" t="str">
        <v/>
      </c>
      <c r="Y242" s="75" t="str">
        <v/>
      </c>
      <c r="Z242" s="59">
        <v>0.13674085322912188</v>
      </c>
      <c r="AA242" s="61">
        <v>16</v>
      </c>
      <c r="AB242" s="61">
        <v>25</v>
      </c>
      <c r="AC242" s="61" t="str">
        <v/>
      </c>
      <c r="AD242" s="62" t="str">
        <v>QFD41 → XT41</v>
      </c>
      <c r="AE242" s="62" t="str">
        <v/>
      </c>
      <c r="AF242" s="34">
        <v>41</v>
      </c>
      <c r="AG242" s="34" t="str">
        <v>QFD41</v>
      </c>
      <c r="AH242" s="34" t="str">
        <v/>
      </c>
      <c r="AI242" s="34" t="str">
        <v/>
      </c>
      <c r="AJ242" s="34" t="str">
        <v>QFD41</v>
      </c>
      <c r="AK242" s="34">
        <v>1</v>
      </c>
      <c r="AL242" s="34" t="str">
        <v>R</v>
      </c>
      <c r="AM242" s="34">
        <v>30</v>
      </c>
      <c r="AN242" s="34">
        <v>0</v>
      </c>
      <c r="AO242" s="34">
        <v>16</v>
      </c>
      <c r="AP242" s="34">
        <v>25</v>
      </c>
      <c r="AQ242" s="34">
        <v>16</v>
      </c>
      <c r="AR242" s="34">
        <v>1</v>
      </c>
      <c r="AS242" s="34">
        <v>1</v>
      </c>
      <c r="AT242" s="34" t="str">
        <v>2P</v>
      </c>
      <c r="AU242" s="34">
        <v>16</v>
      </c>
      <c r="AV242" s="34" t="str">
        <v/>
      </c>
      <c r="AW242" s="34" t="str">
        <v/>
      </c>
      <c r="AX242" s="34" t="str">
        <v/>
      </c>
      <c r="AY242" s="34">
        <v>1</v>
      </c>
      <c r="AZ242" s="34" t="str">
        <v/>
      </c>
      <c r="BA242" s="34">
        <v>0</v>
      </c>
      <c r="BB242" s="34">
        <v>16</v>
      </c>
      <c r="BD242" s="34">
        <v>1</v>
      </c>
      <c r="BE242" s="34">
        <v>0</v>
      </c>
      <c r="BF242" s="34">
        <v>1</v>
      </c>
      <c r="BG242" s="34" t="str">
        <v/>
      </c>
      <c r="BH242" s="34" t="str">
        <v/>
      </c>
      <c r="BI242" s="34" t="str">
        <v/>
      </c>
      <c r="BJ242" s="34" t="str">
        <v/>
      </c>
      <c r="BK242" s="34" t="str">
        <v>SOCKET</v>
      </c>
      <c r="BL242" s="34">
        <v>1</v>
      </c>
      <c r="BM242" s="34" t="str">
        <v/>
      </c>
      <c r="BN242" s="34" t="str">
        <v/>
      </c>
      <c r="BO242" s="34" t="str">
        <v/>
      </c>
      <c r="BP242" s="34" t="str">
        <v/>
      </c>
      <c r="BQ242" s="34" t="str">
        <v>3х2,5</v>
      </c>
      <c r="BR242" s="34" t="str">
        <v/>
      </c>
      <c r="BS242" s="34" t="str">
        <v/>
      </c>
      <c r="BT242" s="34" t="str">
        <v/>
      </c>
      <c r="BU242" s="34">
        <v>0</v>
      </c>
      <c r="BV242" s="34">
        <v>263</v>
      </c>
      <c r="BW242" s="34">
        <v>1</v>
      </c>
      <c r="BX242" s="34">
        <v>0</v>
      </c>
      <c r="BY242" s="34" t="str">
        <v>Розетка</v>
      </c>
      <c r="BZ242">
        <v>10</v>
      </c>
      <c r="CA242" t="str">
        <v>линии</v>
      </c>
    </row>
    <row r="243" spans="1:79" x14ac:dyDescent="0.3">
      <c r="A243" s="39" t="str">
        <v>ЩР-1</v>
      </c>
      <c r="B243" s="42">
        <v>65</v>
      </c>
      <c r="C243" s="42">
        <v>4</v>
      </c>
      <c r="D243" s="75" t="str">
        <v/>
      </c>
      <c r="E243" s="75" t="str">
        <v>авто</v>
      </c>
      <c r="F243" s="76">
        <v>30</v>
      </c>
      <c r="G243" s="47" t="str">
        <v>QFD42</v>
      </c>
      <c r="H243" s="47" t="str">
        <v>2P С16А 30мА</v>
      </c>
      <c r="I243" s="75" t="str">
        <v/>
      </c>
      <c r="J243" s="76" t="str">
        <v/>
      </c>
      <c r="K243" s="76" t="str">
        <v/>
      </c>
      <c r="L243" s="75" t="str">
        <v/>
      </c>
      <c r="M243" s="49" t="str">
        <v/>
      </c>
      <c r="N243" s="76" t="str">
        <v/>
      </c>
      <c r="O243" s="49" t="str">
        <v/>
      </c>
      <c r="P243" s="77" t="str">
        <v>XT42</v>
      </c>
      <c r="Q243" s="53" t="str">
        <v>ВВГнг(А)-LS (3х2,5) L=54-0,22%</v>
      </c>
      <c r="R243" s="54" t="str">
        <v>R.1.020A.2</v>
      </c>
      <c r="S243" s="55" t="str">
        <v>Розеточная группа, пом. 020A</v>
      </c>
      <c r="T243" s="56">
        <v>0.12</v>
      </c>
      <c r="U243" s="56">
        <v>0.55000000000000004</v>
      </c>
      <c r="V243" s="42" t="str">
        <v>L3</v>
      </c>
      <c r="W243" s="57" t="str">
        <v>ok</v>
      </c>
      <c r="X243" s="58" t="str">
        <v/>
      </c>
      <c r="Y243" s="75" t="str">
        <v/>
      </c>
      <c r="Z243" s="59">
        <v>0.54696341291648753</v>
      </c>
      <c r="AA243" s="61">
        <v>16</v>
      </c>
      <c r="AB243" s="61">
        <v>25</v>
      </c>
      <c r="AC243" s="61" t="str">
        <v/>
      </c>
      <c r="AD243" s="62" t="str">
        <v>QFD42 → XT42</v>
      </c>
      <c r="AE243" s="62" t="str">
        <v/>
      </c>
      <c r="AF243" s="34">
        <v>42</v>
      </c>
      <c r="AG243" s="34" t="str">
        <v>QFD42</v>
      </c>
      <c r="AH243" s="34" t="str">
        <v/>
      </c>
      <c r="AI243" s="34" t="str">
        <v/>
      </c>
      <c r="AJ243" s="34" t="str">
        <v>QFD42</v>
      </c>
      <c r="AK243" s="34">
        <v>1</v>
      </c>
      <c r="AL243" s="34" t="str">
        <v>R</v>
      </c>
      <c r="AM243" s="34">
        <v>30</v>
      </c>
      <c r="AN243" s="34">
        <v>0</v>
      </c>
      <c r="AO243" s="34">
        <v>16</v>
      </c>
      <c r="AP243" s="34">
        <v>25</v>
      </c>
      <c r="AQ243" s="34">
        <v>16</v>
      </c>
      <c r="AR243" s="34">
        <v>1</v>
      </c>
      <c r="AS243" s="34">
        <v>1</v>
      </c>
      <c r="AT243" s="34" t="str">
        <v>2P</v>
      </c>
      <c r="AU243" s="34">
        <v>16</v>
      </c>
      <c r="AV243" s="34" t="str">
        <v/>
      </c>
      <c r="AW243" s="34" t="str">
        <v/>
      </c>
      <c r="AX243" s="34" t="str">
        <v/>
      </c>
      <c r="AY243" s="34">
        <v>1</v>
      </c>
      <c r="AZ243" s="34" t="str">
        <v/>
      </c>
      <c r="BA243" s="34">
        <v>0</v>
      </c>
      <c r="BB243" s="34">
        <v>16</v>
      </c>
      <c r="BD243" s="34">
        <v>1</v>
      </c>
      <c r="BE243" s="34">
        <v>0</v>
      </c>
      <c r="BF243" s="34">
        <v>1</v>
      </c>
      <c r="BG243" s="34" t="str">
        <v/>
      </c>
      <c r="BH243" s="34" t="str">
        <v/>
      </c>
      <c r="BI243" s="34" t="str">
        <v/>
      </c>
      <c r="BJ243" s="34" t="str">
        <v/>
      </c>
      <c r="BK243" s="34" t="str">
        <v>SOCKET</v>
      </c>
      <c r="BL243" s="34">
        <v>1</v>
      </c>
      <c r="BM243" s="34" t="str">
        <v/>
      </c>
      <c r="BN243" s="34" t="str">
        <v/>
      </c>
      <c r="BO243" s="34" t="str">
        <v/>
      </c>
      <c r="BP243" s="34" t="str">
        <v/>
      </c>
      <c r="BQ243" s="34" t="str">
        <v>3х2,5</v>
      </c>
      <c r="BR243" s="34" t="str">
        <v/>
      </c>
      <c r="BS243" s="34" t="str">
        <v/>
      </c>
      <c r="BT243" s="34" t="str">
        <v/>
      </c>
      <c r="BU243" s="34">
        <v>0</v>
      </c>
      <c r="BV243" s="34">
        <v>264</v>
      </c>
      <c r="BW243" s="34">
        <v>1</v>
      </c>
      <c r="BX243" s="34">
        <v>0</v>
      </c>
      <c r="BY243" s="34" t="str">
        <v>Розетка</v>
      </c>
      <c r="BZ243">
        <v>10</v>
      </c>
      <c r="CA243" t="str">
        <v>линии</v>
      </c>
    </row>
    <row r="244" spans="1:79" x14ac:dyDescent="0.3">
      <c r="A244" s="39" t="str">
        <v>ЩР-1</v>
      </c>
      <c r="B244" s="42">
        <v>66</v>
      </c>
      <c r="C244" s="42">
        <v>4</v>
      </c>
      <c r="D244" s="75" t="str">
        <v/>
      </c>
      <c r="E244" s="75" t="str">
        <v>авто</v>
      </c>
      <c r="F244" s="76">
        <v>30</v>
      </c>
      <c r="G244" s="47" t="str">
        <v>QFD43</v>
      </c>
      <c r="H244" s="47" t="str">
        <v>2P С16А 30мА</v>
      </c>
      <c r="I244" s="75" t="str">
        <v/>
      </c>
      <c r="J244" s="76" t="str">
        <v/>
      </c>
      <c r="K244" s="76" t="str">
        <v/>
      </c>
      <c r="L244" s="75" t="str">
        <v/>
      </c>
      <c r="M244" s="49" t="str">
        <v/>
      </c>
      <c r="N244" s="76" t="str">
        <v/>
      </c>
      <c r="O244" s="49" t="str">
        <v/>
      </c>
      <c r="P244" s="77" t="str">
        <v>XT43</v>
      </c>
      <c r="Q244" s="53" t="str">
        <v>ВВГнг(А)-LS (3х2,5) L=39-1,99%</v>
      </c>
      <c r="R244" s="54" t="str">
        <v>R.1.021A.1</v>
      </c>
      <c r="S244" s="55" t="str">
        <v>Розеточная группа Первый этаж Пом. №021A Кофемашина</v>
      </c>
      <c r="T244" s="56">
        <v>1.5</v>
      </c>
      <c r="U244" s="56">
        <v>6.84</v>
      </c>
      <c r="V244" s="42" t="str">
        <v>L2</v>
      </c>
      <c r="W244" s="57" t="str">
        <v>ok</v>
      </c>
      <c r="X244" s="58" t="str">
        <v/>
      </c>
      <c r="Y244" s="75" t="str">
        <v/>
      </c>
      <c r="Z244" s="59">
        <v>6.8370426614560946</v>
      </c>
      <c r="AA244" s="61">
        <v>16</v>
      </c>
      <c r="AB244" s="61">
        <v>25</v>
      </c>
      <c r="AC244" s="61" t="str">
        <v/>
      </c>
      <c r="AD244" s="62" t="str">
        <v>QFD43 → XT43</v>
      </c>
      <c r="AE244" s="62" t="str">
        <v/>
      </c>
      <c r="AF244" s="34">
        <v>43</v>
      </c>
      <c r="AG244" s="34" t="str">
        <v>QFD43</v>
      </c>
      <c r="AH244" s="34" t="str">
        <v/>
      </c>
      <c r="AI244" s="34" t="str">
        <v/>
      </c>
      <c r="AJ244" s="34" t="str">
        <v>QFD43</v>
      </c>
      <c r="AK244" s="34">
        <v>1</v>
      </c>
      <c r="AL244" s="34" t="str">
        <v>R</v>
      </c>
      <c r="AM244" s="34">
        <v>30</v>
      </c>
      <c r="AN244" s="34">
        <v>0</v>
      </c>
      <c r="AO244" s="34">
        <v>16</v>
      </c>
      <c r="AP244" s="34">
        <v>25</v>
      </c>
      <c r="AQ244" s="34">
        <v>16</v>
      </c>
      <c r="AR244" s="34">
        <v>1</v>
      </c>
      <c r="AS244" s="34">
        <v>1</v>
      </c>
      <c r="AT244" s="34" t="str">
        <v>2P</v>
      </c>
      <c r="AU244" s="34">
        <v>16</v>
      </c>
      <c r="AV244" s="34" t="str">
        <v/>
      </c>
      <c r="AW244" s="34" t="str">
        <v/>
      </c>
      <c r="AX244" s="34" t="str">
        <v/>
      </c>
      <c r="AY244" s="34">
        <v>1</v>
      </c>
      <c r="AZ244" s="34" t="str">
        <v/>
      </c>
      <c r="BA244" s="34">
        <v>0</v>
      </c>
      <c r="BB244" s="34">
        <v>16</v>
      </c>
      <c r="BD244" s="34">
        <v>1</v>
      </c>
      <c r="BE244" s="34">
        <v>0</v>
      </c>
      <c r="BF244" s="34">
        <v>1</v>
      </c>
      <c r="BG244" s="34" t="str">
        <v/>
      </c>
      <c r="BH244" s="34" t="str">
        <v/>
      </c>
      <c r="BI244" s="34" t="str">
        <v/>
      </c>
      <c r="BJ244" s="34" t="str">
        <v/>
      </c>
      <c r="BK244" s="34" t="str">
        <v>SOCKET</v>
      </c>
      <c r="BL244" s="34">
        <v>1</v>
      </c>
      <c r="BM244" s="34" t="str">
        <v/>
      </c>
      <c r="BN244" s="34" t="str">
        <v/>
      </c>
      <c r="BO244" s="34" t="str">
        <v/>
      </c>
      <c r="BP244" s="34" t="str">
        <v/>
      </c>
      <c r="BQ244" s="34" t="str">
        <v>3х2,5</v>
      </c>
      <c r="BR244" s="34" t="str">
        <v/>
      </c>
      <c r="BS244" s="34" t="str">
        <v/>
      </c>
      <c r="BT244" s="34" t="str">
        <v/>
      </c>
      <c r="BU244" s="34">
        <v>0</v>
      </c>
      <c r="BV244" s="34">
        <v>265</v>
      </c>
      <c r="BW244" s="34">
        <v>1</v>
      </c>
      <c r="BX244" s="34">
        <v>0</v>
      </c>
      <c r="BY244" s="34" t="str">
        <v>Розетка</v>
      </c>
      <c r="BZ244">
        <v>10</v>
      </c>
      <c r="CA244" t="str">
        <v>линии</v>
      </c>
    </row>
    <row r="245" spans="1:79" x14ac:dyDescent="0.3">
      <c r="A245" s="39" t="str">
        <v>ЩР-1</v>
      </c>
      <c r="B245" s="42">
        <v>67</v>
      </c>
      <c r="C245" s="42">
        <v>4</v>
      </c>
      <c r="D245" s="75" t="str">
        <v/>
      </c>
      <c r="E245" s="75" t="str">
        <v>авто</v>
      </c>
      <c r="F245" s="76">
        <v>30</v>
      </c>
      <c r="G245" s="47" t="str">
        <v>QFD44</v>
      </c>
      <c r="H245" s="47" t="str">
        <v>2P С16А 30мА</v>
      </c>
      <c r="I245" s="75" t="str">
        <v/>
      </c>
      <c r="J245" s="76" t="str">
        <v/>
      </c>
      <c r="K245" s="76" t="str">
        <v/>
      </c>
      <c r="L245" s="75" t="str">
        <v/>
      </c>
      <c r="M245" s="49" t="str">
        <v/>
      </c>
      <c r="N245" s="76" t="str">
        <v/>
      </c>
      <c r="O245" s="49" t="str">
        <v/>
      </c>
      <c r="P245" s="77" t="str">
        <v>XT44</v>
      </c>
      <c r="Q245" s="53" t="str">
        <v>ВВГнг(А)-LS (3х2,5) L=42-2,85%</v>
      </c>
      <c r="R245" s="54" t="str">
        <v>R.1.021A.10</v>
      </c>
      <c r="S245" s="55" t="str">
        <v>Розеточная группа Первый этаж Пом. №021A ПММ</v>
      </c>
      <c r="T245" s="56">
        <v>2</v>
      </c>
      <c r="U245" s="56">
        <v>9.1199999999999992</v>
      </c>
      <c r="V245" s="42" t="str">
        <v>L3</v>
      </c>
      <c r="W245" s="57" t="str">
        <v>ok</v>
      </c>
      <c r="X245" s="58" t="str">
        <v/>
      </c>
      <c r="Y245" s="75" t="str">
        <v/>
      </c>
      <c r="Z245" s="59">
        <v>9.1160568819414589</v>
      </c>
      <c r="AA245" s="61">
        <v>16</v>
      </c>
      <c r="AB245" s="61">
        <v>25</v>
      </c>
      <c r="AC245" s="61" t="str">
        <v/>
      </c>
      <c r="AD245" s="62" t="str">
        <v>QFD44 → XT44</v>
      </c>
      <c r="AE245" s="62" t="str">
        <v>потери 4,0 % &gt; 4 %</v>
      </c>
      <c r="AF245" s="34">
        <v>44</v>
      </c>
      <c r="AG245" s="34" t="str">
        <v>QFD44</v>
      </c>
      <c r="AH245" s="34" t="str">
        <v/>
      </c>
      <c r="AI245" s="34" t="str">
        <v/>
      </c>
      <c r="AJ245" s="34" t="str">
        <v>QFD44</v>
      </c>
      <c r="AK245" s="34">
        <v>1</v>
      </c>
      <c r="AL245" s="34" t="str">
        <v>R</v>
      </c>
      <c r="AM245" s="34">
        <v>30</v>
      </c>
      <c r="AN245" s="34">
        <v>0</v>
      </c>
      <c r="AO245" s="34">
        <v>16</v>
      </c>
      <c r="AP245" s="34">
        <v>25</v>
      </c>
      <c r="AQ245" s="34">
        <v>16</v>
      </c>
      <c r="AR245" s="34">
        <v>1</v>
      </c>
      <c r="AS245" s="34">
        <v>1</v>
      </c>
      <c r="AT245" s="34" t="str">
        <v>2P</v>
      </c>
      <c r="AU245" s="34">
        <v>16</v>
      </c>
      <c r="AV245" s="34" t="str">
        <v/>
      </c>
      <c r="AW245" s="34" t="str">
        <v/>
      </c>
      <c r="AX245" s="34" t="str">
        <v/>
      </c>
      <c r="AY245" s="34">
        <v>1</v>
      </c>
      <c r="AZ245" s="34" t="str">
        <v/>
      </c>
      <c r="BA245" s="34">
        <v>0</v>
      </c>
      <c r="BB245" s="34">
        <v>16</v>
      </c>
      <c r="BD245" s="34">
        <v>1</v>
      </c>
      <c r="BE245" s="34">
        <v>0</v>
      </c>
      <c r="BF245" s="34">
        <v>1</v>
      </c>
      <c r="BG245" s="34" t="str">
        <v/>
      </c>
      <c r="BH245" s="34" t="str">
        <v/>
      </c>
      <c r="BI245" s="34" t="str">
        <v/>
      </c>
      <c r="BJ245" s="34" t="str">
        <v/>
      </c>
      <c r="BK245" s="34" t="str">
        <v>SOCKET</v>
      </c>
      <c r="BL245" s="34">
        <v>1</v>
      </c>
      <c r="BM245" s="34" t="str">
        <v/>
      </c>
      <c r="BN245" s="34" t="str">
        <v/>
      </c>
      <c r="BO245" s="34" t="str">
        <v/>
      </c>
      <c r="BP245" s="34" t="str">
        <v/>
      </c>
      <c r="BQ245" s="34" t="str">
        <v>3х2,5</v>
      </c>
      <c r="BR245" s="34" t="str">
        <v/>
      </c>
      <c r="BS245" s="34" t="str">
        <v/>
      </c>
      <c r="BT245" s="34" t="str">
        <v/>
      </c>
      <c r="BU245" s="34">
        <v>1</v>
      </c>
      <c r="BV245" s="34">
        <v>266</v>
      </c>
      <c r="BW245" s="34">
        <v>1</v>
      </c>
      <c r="BX245" s="34">
        <v>0</v>
      </c>
      <c r="BY245" s="34" t="str">
        <v>Розетка</v>
      </c>
      <c r="BZ245">
        <v>10</v>
      </c>
      <c r="CA245" t="str">
        <v>линии</v>
      </c>
    </row>
    <row r="246" spans="1:79" x14ac:dyDescent="0.3">
      <c r="A246" s="39" t="str">
        <v>ЩР-1</v>
      </c>
      <c r="B246" s="42">
        <v>68</v>
      </c>
      <c r="C246" s="42">
        <v>4</v>
      </c>
      <c r="D246" s="75" t="str">
        <v/>
      </c>
      <c r="E246" s="75" t="str">
        <v>авто</v>
      </c>
      <c r="F246" s="76">
        <v>30</v>
      </c>
      <c r="G246" s="47" t="str">
        <v>QFD45</v>
      </c>
      <c r="H246" s="47" t="str">
        <v>2P С16А 30мА</v>
      </c>
      <c r="I246" s="75" t="str">
        <v/>
      </c>
      <c r="J246" s="76" t="str">
        <v/>
      </c>
      <c r="K246" s="76" t="str">
        <v/>
      </c>
      <c r="L246" s="75" t="str">
        <v/>
      </c>
      <c r="M246" s="49" t="str">
        <v/>
      </c>
      <c r="N246" s="76" t="str">
        <v/>
      </c>
      <c r="O246" s="49" t="str">
        <v/>
      </c>
      <c r="P246" s="77" t="str">
        <v>XT45</v>
      </c>
      <c r="Q246" s="53" t="str">
        <v>ВВГнг(А)-LS (3х2,5) L=6-0,04%</v>
      </c>
      <c r="R246" s="54" t="str">
        <v>R.1.021A.11</v>
      </c>
      <c r="S246" s="55" t="str">
        <v>Розеточная группа, пом. 021A</v>
      </c>
      <c r="T246" s="56">
        <v>0.18</v>
      </c>
      <c r="U246" s="56">
        <v>0.83</v>
      </c>
      <c r="V246" s="42" t="str">
        <v>L3</v>
      </c>
      <c r="W246" s="57" t="str">
        <v>ok</v>
      </c>
      <c r="X246" s="58" t="str">
        <v/>
      </c>
      <c r="Y246" s="75" t="str">
        <v/>
      </c>
      <c r="Z246" s="59">
        <v>0.8204451193747313</v>
      </c>
      <c r="AA246" s="61">
        <v>16</v>
      </c>
      <c r="AB246" s="61">
        <v>25</v>
      </c>
      <c r="AC246" s="61" t="str">
        <v/>
      </c>
      <c r="AD246" s="62" t="str">
        <v>QFD45 → XT45</v>
      </c>
      <c r="AE246" s="62" t="str">
        <v/>
      </c>
      <c r="AF246" s="34">
        <v>45</v>
      </c>
      <c r="AG246" s="34" t="str">
        <v>QFD45</v>
      </c>
      <c r="AH246" s="34" t="str">
        <v/>
      </c>
      <c r="AI246" s="34" t="str">
        <v/>
      </c>
      <c r="AJ246" s="34" t="str">
        <v>QFD45</v>
      </c>
      <c r="AK246" s="34">
        <v>1</v>
      </c>
      <c r="AL246" s="34" t="str">
        <v>R</v>
      </c>
      <c r="AM246" s="34">
        <v>30</v>
      </c>
      <c r="AN246" s="34">
        <v>0</v>
      </c>
      <c r="AO246" s="34">
        <v>16</v>
      </c>
      <c r="AP246" s="34">
        <v>25</v>
      </c>
      <c r="AQ246" s="34">
        <v>16</v>
      </c>
      <c r="AR246" s="34">
        <v>1</v>
      </c>
      <c r="AS246" s="34">
        <v>1</v>
      </c>
      <c r="AT246" s="34" t="str">
        <v>2P</v>
      </c>
      <c r="AU246" s="34">
        <v>16</v>
      </c>
      <c r="AV246" s="34" t="str">
        <v/>
      </c>
      <c r="AW246" s="34" t="str">
        <v/>
      </c>
      <c r="AX246" s="34" t="str">
        <v/>
      </c>
      <c r="AY246" s="34">
        <v>1</v>
      </c>
      <c r="AZ246" s="34" t="str">
        <v/>
      </c>
      <c r="BA246" s="34">
        <v>0</v>
      </c>
      <c r="BB246" s="34">
        <v>16</v>
      </c>
      <c r="BD246" s="34">
        <v>1</v>
      </c>
      <c r="BE246" s="34">
        <v>0</v>
      </c>
      <c r="BF246" s="34">
        <v>1</v>
      </c>
      <c r="BG246" s="34" t="str">
        <v/>
      </c>
      <c r="BH246" s="34" t="str">
        <v/>
      </c>
      <c r="BI246" s="34" t="str">
        <v/>
      </c>
      <c r="BJ246" s="34" t="str">
        <v/>
      </c>
      <c r="BK246" s="34" t="str">
        <v>SOCKET</v>
      </c>
      <c r="BL246" s="34">
        <v>1</v>
      </c>
      <c r="BM246" s="34" t="str">
        <v/>
      </c>
      <c r="BN246" s="34" t="str">
        <v/>
      </c>
      <c r="BO246" s="34" t="str">
        <v/>
      </c>
      <c r="BP246" s="34" t="str">
        <v/>
      </c>
      <c r="BQ246" s="34" t="str">
        <v>3х2,5</v>
      </c>
      <c r="BR246" s="34" t="str">
        <v/>
      </c>
      <c r="BS246" s="34" t="str">
        <v/>
      </c>
      <c r="BT246" s="34" t="str">
        <v/>
      </c>
      <c r="BU246" s="34">
        <v>0</v>
      </c>
      <c r="BV246" s="34">
        <v>267</v>
      </c>
      <c r="BW246" s="34">
        <v>1</v>
      </c>
      <c r="BX246" s="34">
        <v>0</v>
      </c>
      <c r="BY246" s="34" t="str">
        <v>Розетка</v>
      </c>
      <c r="BZ246">
        <v>10</v>
      </c>
      <c r="CA246" t="str">
        <v>линии</v>
      </c>
    </row>
    <row r="247" spans="1:79" x14ac:dyDescent="0.3">
      <c r="A247" s="39" t="str">
        <v>ЩР-1</v>
      </c>
      <c r="B247" s="42">
        <v>69</v>
      </c>
      <c r="C247" s="42">
        <v>5</v>
      </c>
      <c r="D247" s="75" t="str">
        <v/>
      </c>
      <c r="E247" s="75" t="str">
        <v>авто</v>
      </c>
      <c r="F247" s="76">
        <v>30</v>
      </c>
      <c r="G247" s="47" t="str">
        <v>QFD46</v>
      </c>
      <c r="H247" s="47" t="str">
        <v>2P С20А 30мА</v>
      </c>
      <c r="I247" s="75" t="str">
        <v/>
      </c>
      <c r="J247" s="76" t="str">
        <v/>
      </c>
      <c r="K247" s="76" t="str">
        <v/>
      </c>
      <c r="L247" s="75" t="str">
        <v/>
      </c>
      <c r="M247" s="49" t="str">
        <v/>
      </c>
      <c r="N247" s="76" t="str">
        <v/>
      </c>
      <c r="O247" s="49" t="str">
        <v/>
      </c>
      <c r="P247" s="77" t="str">
        <v>XT46</v>
      </c>
      <c r="Q247" s="53" t="str">
        <v>ВВГнг(А)-LS (3х4) L=39-3,07%</v>
      </c>
      <c r="R247" s="54" t="str">
        <v>R.1.021A.2</v>
      </c>
      <c r="S247" s="55" t="str">
        <v>Розеточная группа Первый этаж Пом. №021A Духовой шкаф</v>
      </c>
      <c r="T247" s="56">
        <v>3.7</v>
      </c>
      <c r="U247" s="56">
        <v>16.87</v>
      </c>
      <c r="V247" s="42" t="str">
        <v>L2</v>
      </c>
      <c r="W247" s="57" t="str">
        <v>ok</v>
      </c>
      <c r="X247" s="58" t="str">
        <v/>
      </c>
      <c r="Y247" s="75" t="str">
        <v/>
      </c>
      <c r="Z247" s="59">
        <v>16.864705231591699</v>
      </c>
      <c r="AA247" s="61">
        <v>20</v>
      </c>
      <c r="AB247" s="61">
        <v>32</v>
      </c>
      <c r="AC247" s="61" t="str">
        <v/>
      </c>
      <c r="AD247" s="62" t="str">
        <v>QFD46 → XT46</v>
      </c>
      <c r="AE247" s="62" t="str">
        <v>потери 4,3 % &gt; 4 %</v>
      </c>
      <c r="AF247" s="34">
        <v>46</v>
      </c>
      <c r="AG247" s="34" t="str">
        <v>QFD46</v>
      </c>
      <c r="AH247" s="34" t="str">
        <v/>
      </c>
      <c r="AI247" s="34" t="str">
        <v/>
      </c>
      <c r="AJ247" s="34" t="str">
        <v>QFD46</v>
      </c>
      <c r="AK247" s="34">
        <v>1</v>
      </c>
      <c r="AL247" s="34" t="str">
        <v>R</v>
      </c>
      <c r="AM247" s="34">
        <v>30</v>
      </c>
      <c r="AN247" s="34">
        <v>0</v>
      </c>
      <c r="AO247" s="34">
        <v>20</v>
      </c>
      <c r="AP247" s="34">
        <v>32</v>
      </c>
      <c r="AQ247" s="34">
        <v>20</v>
      </c>
      <c r="AR247" s="34">
        <v>1</v>
      </c>
      <c r="AS247" s="34">
        <v>1</v>
      </c>
      <c r="AT247" s="34" t="str">
        <v>2P</v>
      </c>
      <c r="AU247" s="34">
        <v>20</v>
      </c>
      <c r="AV247" s="34" t="str">
        <v/>
      </c>
      <c r="AW247" s="34" t="str">
        <v/>
      </c>
      <c r="AX247" s="34" t="str">
        <v/>
      </c>
      <c r="AY247" s="34">
        <v>1</v>
      </c>
      <c r="AZ247" s="34" t="str">
        <v/>
      </c>
      <c r="BA247" s="34">
        <v>0</v>
      </c>
      <c r="BB247" s="34">
        <v>16</v>
      </c>
      <c r="BD247" s="34">
        <v>1</v>
      </c>
      <c r="BE247" s="34">
        <v>0</v>
      </c>
      <c r="BF247" s="34">
        <v>1</v>
      </c>
      <c r="BG247" s="34" t="str">
        <v/>
      </c>
      <c r="BH247" s="34" t="str">
        <v/>
      </c>
      <c r="BI247" s="34" t="str">
        <v/>
      </c>
      <c r="BJ247" s="34" t="str">
        <v/>
      </c>
      <c r="BK247" s="34" t="str">
        <v>SOCKET</v>
      </c>
      <c r="BL247" s="34">
        <v>1</v>
      </c>
      <c r="BM247" s="34" t="str">
        <v/>
      </c>
      <c r="BN247" s="34" t="str">
        <v/>
      </c>
      <c r="BO247" s="34" t="str">
        <v/>
      </c>
      <c r="BP247" s="34" t="str">
        <v/>
      </c>
      <c r="BQ247" s="34" t="str">
        <v>3х4</v>
      </c>
      <c r="BR247" s="34" t="str">
        <v/>
      </c>
      <c r="BS247" s="34" t="str">
        <v/>
      </c>
      <c r="BT247" s="34" t="str">
        <v/>
      </c>
      <c r="BU247" s="34">
        <v>1</v>
      </c>
      <c r="BV247" s="34">
        <v>268</v>
      </c>
      <c r="BW247" s="34">
        <v>1</v>
      </c>
      <c r="BX247" s="34">
        <v>0</v>
      </c>
      <c r="BY247" s="34" t="str">
        <v>Розетка</v>
      </c>
      <c r="BZ247">
        <v>10</v>
      </c>
      <c r="CA247" t="str">
        <v>линии</v>
      </c>
    </row>
    <row r="248" spans="1:79" x14ac:dyDescent="0.3">
      <c r="A248" s="39" t="str">
        <v>ЩР-1</v>
      </c>
      <c r="B248" s="42">
        <v>70</v>
      </c>
      <c r="C248" s="42">
        <v>5</v>
      </c>
      <c r="D248" s="75" t="str">
        <v/>
      </c>
      <c r="E248" s="75" t="str">
        <v>авто</v>
      </c>
      <c r="F248" s="76">
        <v>30</v>
      </c>
      <c r="G248" s="47" t="str">
        <v>QFD47</v>
      </c>
      <c r="H248" s="47" t="str">
        <v>2P С16А 30мА</v>
      </c>
      <c r="I248" s="75" t="str">
        <v/>
      </c>
      <c r="J248" s="76" t="str">
        <v/>
      </c>
      <c r="K248" s="76" t="str">
        <v/>
      </c>
      <c r="L248" s="75" t="str">
        <v/>
      </c>
      <c r="M248" s="49" t="str">
        <v/>
      </c>
      <c r="N248" s="76" t="str">
        <v/>
      </c>
      <c r="O248" s="49" t="str">
        <v/>
      </c>
      <c r="P248" s="77" t="str">
        <v>XT47</v>
      </c>
      <c r="Q248" s="53" t="str">
        <v>ВВГнг(А)-LS (3х2,5) L=39-2,12%</v>
      </c>
      <c r="R248" s="54" t="str">
        <v>R.1.021A.3</v>
      </c>
      <c r="S248" s="55" t="str">
        <v>Розеточная группа Первый этаж Пом. №021A Микроволновая печь</v>
      </c>
      <c r="T248" s="56">
        <v>1.6</v>
      </c>
      <c r="U248" s="56">
        <v>7.3</v>
      </c>
      <c r="V248" s="42" t="str">
        <v>L1</v>
      </c>
      <c r="W248" s="57" t="str">
        <v>ok</v>
      </c>
      <c r="X248" s="58" t="str">
        <v/>
      </c>
      <c r="Y248" s="75" t="str">
        <v/>
      </c>
      <c r="Z248" s="59">
        <v>7.292845505553168</v>
      </c>
      <c r="AA248" s="61">
        <v>16</v>
      </c>
      <c r="AB248" s="61">
        <v>25</v>
      </c>
      <c r="AC248" s="61" t="str">
        <v/>
      </c>
      <c r="AD248" s="62" t="str">
        <v>QFD47 → XT47</v>
      </c>
      <c r="AE248" s="62" t="str">
        <v/>
      </c>
      <c r="AF248" s="34">
        <v>47</v>
      </c>
      <c r="AG248" s="34" t="str">
        <v>QFD47</v>
      </c>
      <c r="AH248" s="34" t="str">
        <v/>
      </c>
      <c r="AI248" s="34" t="str">
        <v/>
      </c>
      <c r="AJ248" s="34" t="str">
        <v>QFD47</v>
      </c>
      <c r="AK248" s="34">
        <v>1</v>
      </c>
      <c r="AL248" s="34" t="str">
        <v>R</v>
      </c>
      <c r="AM248" s="34">
        <v>30</v>
      </c>
      <c r="AN248" s="34">
        <v>0</v>
      </c>
      <c r="AO248" s="34">
        <v>16</v>
      </c>
      <c r="AP248" s="34">
        <v>25</v>
      </c>
      <c r="AQ248" s="34">
        <v>16</v>
      </c>
      <c r="AR248" s="34">
        <v>1</v>
      </c>
      <c r="AS248" s="34">
        <v>1</v>
      </c>
      <c r="AT248" s="34" t="str">
        <v>2P</v>
      </c>
      <c r="AU248" s="34">
        <v>16</v>
      </c>
      <c r="AV248" s="34" t="str">
        <v/>
      </c>
      <c r="AW248" s="34" t="str">
        <v/>
      </c>
      <c r="AX248" s="34" t="str">
        <v/>
      </c>
      <c r="AY248" s="34">
        <v>1</v>
      </c>
      <c r="AZ248" s="34" t="str">
        <v/>
      </c>
      <c r="BA248" s="34">
        <v>0</v>
      </c>
      <c r="BB248" s="34">
        <v>16</v>
      </c>
      <c r="BD248" s="34">
        <v>1</v>
      </c>
      <c r="BE248" s="34">
        <v>0</v>
      </c>
      <c r="BF248" s="34">
        <v>1</v>
      </c>
      <c r="BG248" s="34" t="str">
        <v/>
      </c>
      <c r="BH248" s="34" t="str">
        <v/>
      </c>
      <c r="BI248" s="34" t="str">
        <v/>
      </c>
      <c r="BJ248" s="34" t="str">
        <v/>
      </c>
      <c r="BK248" s="34" t="str">
        <v>SOCKET</v>
      </c>
      <c r="BL248" s="34">
        <v>1</v>
      </c>
      <c r="BM248" s="34" t="str">
        <v/>
      </c>
      <c r="BN248" s="34" t="str">
        <v/>
      </c>
      <c r="BO248" s="34" t="str">
        <v/>
      </c>
      <c r="BP248" s="34" t="str">
        <v/>
      </c>
      <c r="BQ248" s="34" t="str">
        <v>3х2,5</v>
      </c>
      <c r="BR248" s="34" t="str">
        <v/>
      </c>
      <c r="BS248" s="34" t="str">
        <v/>
      </c>
      <c r="BT248" s="34" t="str">
        <v/>
      </c>
      <c r="BU248" s="34">
        <v>0</v>
      </c>
      <c r="BV248" s="34">
        <v>269</v>
      </c>
      <c r="BW248" s="34">
        <v>1</v>
      </c>
      <c r="BX248" s="34">
        <v>0</v>
      </c>
      <c r="BY248" s="34" t="str">
        <v>Розетка</v>
      </c>
      <c r="BZ248">
        <v>10</v>
      </c>
      <c r="CA248" t="str">
        <v>линии</v>
      </c>
    </row>
    <row r="249" spans="1:79" x14ac:dyDescent="0.3">
      <c r="A249" s="39" t="str">
        <v>ЩР-1</v>
      </c>
      <c r="B249" s="42">
        <v>71</v>
      </c>
      <c r="C249" s="42">
        <v>5</v>
      </c>
      <c r="D249" s="75" t="str">
        <v/>
      </c>
      <c r="E249" s="75" t="str">
        <v>авто</v>
      </c>
      <c r="F249" s="76">
        <v>30</v>
      </c>
      <c r="G249" s="47" t="str">
        <v>QFD48</v>
      </c>
      <c r="H249" s="47" t="str">
        <v>2P С16А 30мА</v>
      </c>
      <c r="I249" s="75" t="str">
        <v/>
      </c>
      <c r="J249" s="76" t="str">
        <v/>
      </c>
      <c r="K249" s="76" t="str">
        <v/>
      </c>
      <c r="L249" s="75" t="str">
        <v/>
      </c>
      <c r="M249" s="49" t="str">
        <v/>
      </c>
      <c r="N249" s="76" t="str">
        <v/>
      </c>
      <c r="O249" s="49" t="str">
        <v/>
      </c>
      <c r="P249" s="77" t="str">
        <v>XT48</v>
      </c>
      <c r="Q249" s="53" t="str">
        <v>ВВГнг(А)-LS (3х2,5) L=42-0,89%</v>
      </c>
      <c r="R249" s="54" t="str">
        <v>R.1.021A.4</v>
      </c>
      <c r="S249" s="55" t="str">
        <v>Розеточная группа Первый этаж Пом. №021A Холодильник, морозильная камера</v>
      </c>
      <c r="T249" s="56">
        <v>0.62</v>
      </c>
      <c r="U249" s="56">
        <v>2.8299999999999996</v>
      </c>
      <c r="V249" s="42" t="str">
        <v>L2</v>
      </c>
      <c r="W249" s="57" t="str">
        <v>ok</v>
      </c>
      <c r="X249" s="58" t="str">
        <v/>
      </c>
      <c r="Y249" s="75" t="str">
        <v/>
      </c>
      <c r="Z249" s="59">
        <v>2.8259776334018523</v>
      </c>
      <c r="AA249" s="61">
        <v>16</v>
      </c>
      <c r="AB249" s="61">
        <v>25</v>
      </c>
      <c r="AC249" s="61" t="str">
        <v/>
      </c>
      <c r="AD249" s="62" t="str">
        <v>QFD48 → XT48</v>
      </c>
      <c r="AE249" s="62" t="str">
        <v/>
      </c>
      <c r="AF249" s="34">
        <v>48</v>
      </c>
      <c r="AG249" s="34" t="str">
        <v>QFD48</v>
      </c>
      <c r="AH249" s="34" t="str">
        <v/>
      </c>
      <c r="AI249" s="34" t="str">
        <v/>
      </c>
      <c r="AJ249" s="34" t="str">
        <v>QFD48</v>
      </c>
      <c r="AK249" s="34">
        <v>1</v>
      </c>
      <c r="AL249" s="34" t="str">
        <v>R</v>
      </c>
      <c r="AM249" s="34">
        <v>30</v>
      </c>
      <c r="AN249" s="34">
        <v>0</v>
      </c>
      <c r="AO249" s="34">
        <v>16</v>
      </c>
      <c r="AP249" s="34">
        <v>25</v>
      </c>
      <c r="AQ249" s="34">
        <v>16</v>
      </c>
      <c r="AR249" s="34">
        <v>1</v>
      </c>
      <c r="AS249" s="34">
        <v>1</v>
      </c>
      <c r="AT249" s="34" t="str">
        <v>2P</v>
      </c>
      <c r="AU249" s="34">
        <v>16</v>
      </c>
      <c r="AV249" s="34" t="str">
        <v/>
      </c>
      <c r="AW249" s="34" t="str">
        <v/>
      </c>
      <c r="AX249" s="34" t="str">
        <v/>
      </c>
      <c r="AY249" s="34">
        <v>1</v>
      </c>
      <c r="AZ249" s="34" t="str">
        <v/>
      </c>
      <c r="BA249" s="34">
        <v>0</v>
      </c>
      <c r="BB249" s="34">
        <v>16</v>
      </c>
      <c r="BD249" s="34">
        <v>1</v>
      </c>
      <c r="BE249" s="34">
        <v>0</v>
      </c>
      <c r="BF249" s="34">
        <v>1</v>
      </c>
      <c r="BG249" s="34" t="str">
        <v/>
      </c>
      <c r="BH249" s="34" t="str">
        <v/>
      </c>
      <c r="BI249" s="34" t="str">
        <v/>
      </c>
      <c r="BJ249" s="34" t="str">
        <v/>
      </c>
      <c r="BK249" s="34" t="str">
        <v>SOCKET</v>
      </c>
      <c r="BL249" s="34">
        <v>1</v>
      </c>
      <c r="BM249" s="34" t="str">
        <v/>
      </c>
      <c r="BN249" s="34" t="str">
        <v/>
      </c>
      <c r="BO249" s="34" t="str">
        <v/>
      </c>
      <c r="BP249" s="34" t="str">
        <v/>
      </c>
      <c r="BQ249" s="34" t="str">
        <v>3х2,5</v>
      </c>
      <c r="BR249" s="34" t="str">
        <v/>
      </c>
      <c r="BS249" s="34" t="str">
        <v/>
      </c>
      <c r="BT249" s="34" t="str">
        <v/>
      </c>
      <c r="BU249" s="34">
        <v>0</v>
      </c>
      <c r="BV249" s="34">
        <v>270</v>
      </c>
      <c r="BW249" s="34">
        <v>1</v>
      </c>
      <c r="BX249" s="34">
        <v>0</v>
      </c>
      <c r="BY249" s="34" t="str">
        <v>Розетка</v>
      </c>
      <c r="BZ249">
        <v>10</v>
      </c>
      <c r="CA249" t="str">
        <v>линии</v>
      </c>
    </row>
    <row r="250" spans="1:79" x14ac:dyDescent="0.3">
      <c r="A250" s="39" t="str">
        <v>ЩР-1</v>
      </c>
      <c r="B250" s="42">
        <v>72</v>
      </c>
      <c r="C250" s="42">
        <v>5</v>
      </c>
      <c r="D250" s="75" t="str">
        <v/>
      </c>
      <c r="E250" s="75" t="str">
        <v>авто</v>
      </c>
      <c r="F250" s="76">
        <v>30</v>
      </c>
      <c r="G250" s="47" t="str">
        <v>QFD49</v>
      </c>
      <c r="H250" s="47" t="str">
        <v>2P С16А 30мА</v>
      </c>
      <c r="I250" s="75" t="str">
        <v/>
      </c>
      <c r="J250" s="76" t="str">
        <v/>
      </c>
      <c r="K250" s="76" t="str">
        <v/>
      </c>
      <c r="L250" s="75" t="str">
        <v/>
      </c>
      <c r="M250" s="49" t="str">
        <v/>
      </c>
      <c r="N250" s="76" t="str">
        <v/>
      </c>
      <c r="O250" s="49" t="str">
        <v/>
      </c>
      <c r="P250" s="77" t="str">
        <v>XT49</v>
      </c>
      <c r="Q250" s="53" t="str">
        <v>ВВГнг(А)-LS (3х2,5) L=42-0,13%</v>
      </c>
      <c r="R250" s="54" t="str">
        <v>R.1.021A.6</v>
      </c>
      <c r="S250" s="55" t="str">
        <v>Розеточная группа Первый этаж Пом. №021A Вывод для вытяжки</v>
      </c>
      <c r="T250" s="56">
        <v>0.09</v>
      </c>
      <c r="U250" s="56">
        <v>0.42</v>
      </c>
      <c r="V250" s="42" t="str">
        <v>L2</v>
      </c>
      <c r="W250" s="57" t="str">
        <v>ok</v>
      </c>
      <c r="X250" s="58" t="str">
        <v/>
      </c>
      <c r="Y250" s="75" t="str">
        <v/>
      </c>
      <c r="Z250" s="59">
        <v>0.41022255968736565</v>
      </c>
      <c r="AA250" s="61">
        <v>16</v>
      </c>
      <c r="AB250" s="61">
        <v>25</v>
      </c>
      <c r="AC250" s="61" t="str">
        <v/>
      </c>
      <c r="AD250" s="62" t="str">
        <v>QFD49 → XT49</v>
      </c>
      <c r="AE250" s="62" t="str">
        <v/>
      </c>
      <c r="AF250" s="34">
        <v>49</v>
      </c>
      <c r="AG250" s="34" t="str">
        <v>QFD49</v>
      </c>
      <c r="AH250" s="34" t="str">
        <v/>
      </c>
      <c r="AI250" s="34" t="str">
        <v/>
      </c>
      <c r="AJ250" s="34" t="str">
        <v>QFD49</v>
      </c>
      <c r="AK250" s="34">
        <v>1</v>
      </c>
      <c r="AL250" s="34" t="str">
        <v>R</v>
      </c>
      <c r="AM250" s="34">
        <v>30</v>
      </c>
      <c r="AN250" s="34">
        <v>0</v>
      </c>
      <c r="AO250" s="34">
        <v>16</v>
      </c>
      <c r="AP250" s="34">
        <v>25</v>
      </c>
      <c r="AQ250" s="34">
        <v>16</v>
      </c>
      <c r="AR250" s="34">
        <v>1</v>
      </c>
      <c r="AS250" s="34">
        <v>1</v>
      </c>
      <c r="AT250" s="34" t="str">
        <v>2P</v>
      </c>
      <c r="AU250" s="34">
        <v>16</v>
      </c>
      <c r="AV250" s="34" t="str">
        <v/>
      </c>
      <c r="AW250" s="34" t="str">
        <v/>
      </c>
      <c r="AX250" s="34" t="str">
        <v/>
      </c>
      <c r="AY250" s="34">
        <v>1</v>
      </c>
      <c r="AZ250" s="34" t="str">
        <v/>
      </c>
      <c r="BA250" s="34">
        <v>0</v>
      </c>
      <c r="BB250" s="34">
        <v>16</v>
      </c>
      <c r="BD250" s="34">
        <v>1</v>
      </c>
      <c r="BE250" s="34">
        <v>0</v>
      </c>
      <c r="BF250" s="34">
        <v>1</v>
      </c>
      <c r="BG250" s="34" t="str">
        <v/>
      </c>
      <c r="BH250" s="34" t="str">
        <v/>
      </c>
      <c r="BI250" s="34" t="str">
        <v/>
      </c>
      <c r="BJ250" s="34" t="str">
        <v/>
      </c>
      <c r="BK250" s="34" t="str">
        <v>SOCKET</v>
      </c>
      <c r="BL250" s="34">
        <v>1</v>
      </c>
      <c r="BM250" s="34" t="str">
        <v/>
      </c>
      <c r="BN250" s="34" t="str">
        <v/>
      </c>
      <c r="BO250" s="34" t="str">
        <v/>
      </c>
      <c r="BP250" s="34" t="str">
        <v/>
      </c>
      <c r="BQ250" s="34" t="str">
        <v>3х2,5</v>
      </c>
      <c r="BR250" s="34" t="str">
        <v/>
      </c>
      <c r="BS250" s="34" t="str">
        <v/>
      </c>
      <c r="BT250" s="34" t="str">
        <v/>
      </c>
      <c r="BU250" s="34">
        <v>0</v>
      </c>
      <c r="BV250" s="34">
        <v>271</v>
      </c>
      <c r="BW250" s="34">
        <v>1</v>
      </c>
      <c r="BX250" s="34">
        <v>0</v>
      </c>
      <c r="BY250" s="34" t="str">
        <v>Розетка</v>
      </c>
      <c r="BZ250">
        <v>10</v>
      </c>
      <c r="CA250" t="str">
        <v>линии</v>
      </c>
    </row>
    <row r="251" spans="1:79" x14ac:dyDescent="0.3">
      <c r="A251" s="39" t="str">
        <v>ЩР-1</v>
      </c>
      <c r="B251" s="42">
        <v>73</v>
      </c>
      <c r="C251" s="42">
        <v>5</v>
      </c>
      <c r="D251" s="75" t="str">
        <v/>
      </c>
      <c r="E251" s="75" t="str">
        <v>авто</v>
      </c>
      <c r="F251" s="76">
        <v>30</v>
      </c>
      <c r="G251" s="47" t="str">
        <v>QFD50</v>
      </c>
      <c r="H251" s="47" t="str">
        <v>4P С16А 30мА</v>
      </c>
      <c r="I251" s="75" t="str">
        <v/>
      </c>
      <c r="J251" s="76" t="str">
        <v/>
      </c>
      <c r="K251" s="76" t="str">
        <v/>
      </c>
      <c r="L251" s="75" t="str">
        <v/>
      </c>
      <c r="M251" s="49" t="str">
        <v/>
      </c>
      <c r="N251" s="76" t="str">
        <v/>
      </c>
      <c r="O251" s="49" t="str">
        <v/>
      </c>
      <c r="P251" s="77" t="str">
        <v>XT50</v>
      </c>
      <c r="Q251" s="53" t="str">
        <v>ВВГнг(А)-LS (5х4) L=42-1,1%</v>
      </c>
      <c r="R251" s="54" t="str">
        <v>R.1.021A.7</v>
      </c>
      <c r="S251" s="55" t="str">
        <v>Розеточная группа Первый этаж Пом. №021A Вывод на варочную панель</v>
      </c>
      <c r="T251" s="56">
        <v>7.36</v>
      </c>
      <c r="U251" s="56">
        <v>11.19</v>
      </c>
      <c r="V251" s="42" t="str">
        <v>L1,L2,L3</v>
      </c>
      <c r="W251" s="57" t="str">
        <v>ok</v>
      </c>
      <c r="X251" s="58" t="str">
        <v/>
      </c>
      <c r="Y251" s="75" t="str">
        <v/>
      </c>
      <c r="Z251" s="59">
        <v>11.182363108514858</v>
      </c>
      <c r="AA251" s="61">
        <v>16</v>
      </c>
      <c r="AB251" s="61">
        <v>32</v>
      </c>
      <c r="AC251" s="61" t="str">
        <v/>
      </c>
      <c r="AD251" s="62" t="str">
        <v>QFD50 → XT50</v>
      </c>
      <c r="AE251" s="62" t="str">
        <v/>
      </c>
      <c r="AF251" s="34">
        <v>50</v>
      </c>
      <c r="AG251" s="34" t="str">
        <v>QFD50</v>
      </c>
      <c r="AH251" s="34" t="str">
        <v/>
      </c>
      <c r="AI251" s="34" t="str">
        <v/>
      </c>
      <c r="AJ251" s="34" t="str">
        <v>QFD50</v>
      </c>
      <c r="AK251" s="34">
        <v>3</v>
      </c>
      <c r="AL251" s="34" t="str">
        <v>R</v>
      </c>
      <c r="AM251" s="34">
        <v>30</v>
      </c>
      <c r="AN251" s="34">
        <v>0</v>
      </c>
      <c r="AO251" s="34">
        <v>16</v>
      </c>
      <c r="AP251" s="34">
        <v>32</v>
      </c>
      <c r="AQ251" s="34">
        <v>16</v>
      </c>
      <c r="AR251" s="34">
        <v>3</v>
      </c>
      <c r="AS251" s="34">
        <v>1</v>
      </c>
      <c r="AT251" s="34" t="str">
        <v>4P</v>
      </c>
      <c r="AU251" s="34">
        <v>16</v>
      </c>
      <c r="AV251" s="34" t="str">
        <v/>
      </c>
      <c r="AW251" s="34" t="str">
        <v/>
      </c>
      <c r="AX251" s="34" t="str">
        <v/>
      </c>
      <c r="AY251" s="34">
        <v>1</v>
      </c>
      <c r="AZ251" s="34" t="str">
        <v/>
      </c>
      <c r="BA251" s="34">
        <v>0</v>
      </c>
      <c r="BB251" s="34">
        <v>16</v>
      </c>
      <c r="BD251" s="34">
        <v>1</v>
      </c>
      <c r="BE251" s="34">
        <v>0</v>
      </c>
      <c r="BF251" s="34">
        <v>1</v>
      </c>
      <c r="BG251" s="34" t="str">
        <v/>
      </c>
      <c r="BH251" s="34" t="str">
        <v/>
      </c>
      <c r="BI251" s="34" t="str">
        <v/>
      </c>
      <c r="BJ251" s="34" t="str">
        <v/>
      </c>
      <c r="BK251" s="34" t="str">
        <v>SOCKET</v>
      </c>
      <c r="BL251" s="34">
        <v>1</v>
      </c>
      <c r="BM251" s="34">
        <v>19</v>
      </c>
      <c r="BN251" s="34" t="str">
        <v/>
      </c>
      <c r="BO251" s="34" t="str">
        <v/>
      </c>
      <c r="BP251" s="34" t="str">
        <v/>
      </c>
      <c r="BQ251" s="34" t="str">
        <v>5х4</v>
      </c>
      <c r="BR251" s="34" t="str">
        <v/>
      </c>
      <c r="BS251" s="34" t="str">
        <v/>
      </c>
      <c r="BT251" s="34" t="str">
        <v/>
      </c>
      <c r="BU251" s="34">
        <v>0</v>
      </c>
      <c r="BV251" s="34">
        <v>272</v>
      </c>
      <c r="BW251" s="34">
        <v>1</v>
      </c>
      <c r="BX251" s="34">
        <v>2</v>
      </c>
      <c r="BY251" s="34" t="str">
        <v>Розетка</v>
      </c>
      <c r="BZ251">
        <v>10</v>
      </c>
      <c r="CA251" t="str">
        <v>линии</v>
      </c>
    </row>
    <row r="252" spans="1:79" x14ac:dyDescent="0.3">
      <c r="A252" s="39" t="str">
        <v>ЩР-1</v>
      </c>
      <c r="B252" s="42">
        <v>74</v>
      </c>
      <c r="C252" s="42">
        <v>5</v>
      </c>
      <c r="D252" s="75" t="str">
        <v/>
      </c>
      <c r="E252" s="75" t="str">
        <v>авто</v>
      </c>
      <c r="F252" s="76">
        <v>30</v>
      </c>
      <c r="G252" s="47" t="str">
        <v>QFD51</v>
      </c>
      <c r="H252" s="47" t="str">
        <v>2P С16А 30мА</v>
      </c>
      <c r="I252" s="75" t="str">
        <v/>
      </c>
      <c r="J252" s="76" t="str">
        <v/>
      </c>
      <c r="K252" s="76" t="str">
        <v/>
      </c>
      <c r="L252" s="75" t="str">
        <v/>
      </c>
      <c r="M252" s="49" t="str">
        <v/>
      </c>
      <c r="N252" s="76" t="str">
        <v/>
      </c>
      <c r="O252" s="49" t="str">
        <v/>
      </c>
      <c r="P252" s="77" t="str">
        <v>XT51</v>
      </c>
      <c r="Q252" s="53" t="str">
        <v>ВВГнг(А)-LS (3х2,5) L=63-0,39%</v>
      </c>
      <c r="R252" s="54" t="str">
        <v>R.1.021A.8</v>
      </c>
      <c r="S252" s="55" t="str">
        <v>Розеточная группа, пом. 021A</v>
      </c>
      <c r="T252" s="56">
        <v>0.18</v>
      </c>
      <c r="U252" s="56">
        <v>0.83</v>
      </c>
      <c r="V252" s="42" t="str">
        <v>L2</v>
      </c>
      <c r="W252" s="57" t="str">
        <v>ok</v>
      </c>
      <c r="X252" s="58" t="str">
        <v/>
      </c>
      <c r="Y252" s="75" t="str">
        <v/>
      </c>
      <c r="Z252" s="59">
        <v>0.8204451193747313</v>
      </c>
      <c r="AA252" s="61">
        <v>16</v>
      </c>
      <c r="AB252" s="61">
        <v>25</v>
      </c>
      <c r="AC252" s="61" t="str">
        <v/>
      </c>
      <c r="AD252" s="62" t="str">
        <v>QFD51 → XT51</v>
      </c>
      <c r="AE252" s="62" t="str">
        <v/>
      </c>
      <c r="AF252" s="34">
        <v>51</v>
      </c>
      <c r="AG252" s="34" t="str">
        <v>QFD51</v>
      </c>
      <c r="AH252" s="34" t="str">
        <v/>
      </c>
      <c r="AI252" s="34" t="str">
        <v/>
      </c>
      <c r="AJ252" s="34" t="str">
        <v>QFD51</v>
      </c>
      <c r="AK252" s="34">
        <v>1</v>
      </c>
      <c r="AL252" s="34" t="str">
        <v>R</v>
      </c>
      <c r="AM252" s="34">
        <v>30</v>
      </c>
      <c r="AN252" s="34">
        <v>0</v>
      </c>
      <c r="AO252" s="34">
        <v>16</v>
      </c>
      <c r="AP252" s="34">
        <v>25</v>
      </c>
      <c r="AQ252" s="34">
        <v>16</v>
      </c>
      <c r="AR252" s="34">
        <v>1</v>
      </c>
      <c r="AS252" s="34">
        <v>1</v>
      </c>
      <c r="AT252" s="34" t="str">
        <v>2P</v>
      </c>
      <c r="AU252" s="34">
        <v>16</v>
      </c>
      <c r="AV252" s="34" t="str">
        <v/>
      </c>
      <c r="AW252" s="34" t="str">
        <v/>
      </c>
      <c r="AX252" s="34" t="str">
        <v/>
      </c>
      <c r="AY252" s="34">
        <v>1</v>
      </c>
      <c r="AZ252" s="34" t="str">
        <v/>
      </c>
      <c r="BA252" s="34">
        <v>0</v>
      </c>
      <c r="BB252" s="34">
        <v>16</v>
      </c>
      <c r="BD252" s="34">
        <v>1</v>
      </c>
      <c r="BE252" s="34">
        <v>0</v>
      </c>
      <c r="BF252" s="34">
        <v>1</v>
      </c>
      <c r="BG252" s="34" t="str">
        <v/>
      </c>
      <c r="BH252" s="34" t="str">
        <v/>
      </c>
      <c r="BI252" s="34" t="str">
        <v/>
      </c>
      <c r="BJ252" s="34" t="str">
        <v/>
      </c>
      <c r="BK252" s="34" t="str">
        <v>SOCKET</v>
      </c>
      <c r="BL252" s="34">
        <v>1</v>
      </c>
      <c r="BM252" s="34" t="str">
        <v/>
      </c>
      <c r="BN252" s="34" t="str">
        <v/>
      </c>
      <c r="BO252" s="34" t="str">
        <v/>
      </c>
      <c r="BP252" s="34" t="str">
        <v/>
      </c>
      <c r="BQ252" s="34" t="str">
        <v>3х2,5</v>
      </c>
      <c r="BR252" s="34" t="str">
        <v/>
      </c>
      <c r="BS252" s="34" t="str">
        <v/>
      </c>
      <c r="BT252" s="34" t="str">
        <v/>
      </c>
      <c r="BU252" s="34">
        <v>0</v>
      </c>
      <c r="BV252" s="34">
        <v>273</v>
      </c>
      <c r="BW252" s="34">
        <v>1</v>
      </c>
      <c r="BX252" s="34">
        <v>0</v>
      </c>
      <c r="BY252" s="34" t="str">
        <v>Розетка</v>
      </c>
      <c r="BZ252">
        <v>10</v>
      </c>
      <c r="CA252" t="str">
        <v>линии</v>
      </c>
    </row>
    <row r="253" spans="1:79" x14ac:dyDescent="0.3">
      <c r="A253" s="39" t="str">
        <v>ЩР-1</v>
      </c>
      <c r="B253" s="42">
        <v>75</v>
      </c>
      <c r="C253" s="42">
        <v>5</v>
      </c>
      <c r="D253" s="75" t="str">
        <v/>
      </c>
      <c r="E253" s="75" t="str">
        <v>авто</v>
      </c>
      <c r="F253" s="76">
        <v>30</v>
      </c>
      <c r="G253" s="47" t="str">
        <v>QFD52</v>
      </c>
      <c r="H253" s="47" t="str">
        <v>2P С16А 30мА</v>
      </c>
      <c r="I253" s="75" t="str">
        <v/>
      </c>
      <c r="J253" s="76" t="str">
        <v/>
      </c>
      <c r="K253" s="76" t="str">
        <v/>
      </c>
      <c r="L253" s="75" t="str">
        <v/>
      </c>
      <c r="M253" s="49" t="str">
        <v/>
      </c>
      <c r="N253" s="76" t="str">
        <v/>
      </c>
      <c r="O253" s="49" t="str">
        <v/>
      </c>
      <c r="P253" s="77" t="str">
        <v>XT52</v>
      </c>
      <c r="Q253" s="53" t="str">
        <v>ВВГнг(А)-LS (3х2,5) L=40-0,95%</v>
      </c>
      <c r="R253" s="54" t="str">
        <v>R.1.021A.9</v>
      </c>
      <c r="S253" s="55" t="str">
        <v>Розеточная группа Первый этаж Пом. №021A Подогреватель пищи и посуды</v>
      </c>
      <c r="T253" s="56">
        <v>0.7</v>
      </c>
      <c r="U253" s="56">
        <v>3.1999999999999997</v>
      </c>
      <c r="V253" s="42" t="str">
        <v>L1</v>
      </c>
      <c r="W253" s="57" t="str">
        <v>ok</v>
      </c>
      <c r="X253" s="58" t="str">
        <v/>
      </c>
      <c r="Y253" s="75" t="str">
        <v/>
      </c>
      <c r="Z253" s="59">
        <v>3.1906199086795106</v>
      </c>
      <c r="AA253" s="61">
        <v>16</v>
      </c>
      <c r="AB253" s="61">
        <v>25</v>
      </c>
      <c r="AC253" s="61" t="str">
        <v/>
      </c>
      <c r="AD253" s="62" t="str">
        <v>QFD52 → XT52</v>
      </c>
      <c r="AE253" s="62" t="str">
        <v/>
      </c>
      <c r="AF253" s="34">
        <v>52</v>
      </c>
      <c r="AG253" s="34" t="str">
        <v>QFD52</v>
      </c>
      <c r="AH253" s="34" t="str">
        <v/>
      </c>
      <c r="AI253" s="34" t="str">
        <v/>
      </c>
      <c r="AJ253" s="34" t="str">
        <v>QFD52</v>
      </c>
      <c r="AK253" s="34">
        <v>1</v>
      </c>
      <c r="AL253" s="34" t="str">
        <v>R</v>
      </c>
      <c r="AM253" s="34">
        <v>30</v>
      </c>
      <c r="AN253" s="34">
        <v>0</v>
      </c>
      <c r="AO253" s="34">
        <v>16</v>
      </c>
      <c r="AP253" s="34">
        <v>25</v>
      </c>
      <c r="AQ253" s="34">
        <v>16</v>
      </c>
      <c r="AR253" s="34">
        <v>1</v>
      </c>
      <c r="AS253" s="34">
        <v>1</v>
      </c>
      <c r="AT253" s="34" t="str">
        <v>2P</v>
      </c>
      <c r="AU253" s="34">
        <v>16</v>
      </c>
      <c r="AV253" s="34" t="str">
        <v/>
      </c>
      <c r="AW253" s="34" t="str">
        <v/>
      </c>
      <c r="AX253" s="34" t="str">
        <v/>
      </c>
      <c r="AY253" s="34">
        <v>1</v>
      </c>
      <c r="AZ253" s="34" t="str">
        <v/>
      </c>
      <c r="BA253" s="34">
        <v>0</v>
      </c>
      <c r="BB253" s="34">
        <v>16</v>
      </c>
      <c r="BD253" s="34">
        <v>1</v>
      </c>
      <c r="BE253" s="34">
        <v>0</v>
      </c>
      <c r="BF253" s="34">
        <v>1</v>
      </c>
      <c r="BG253" s="34" t="str">
        <v/>
      </c>
      <c r="BH253" s="34" t="str">
        <v/>
      </c>
      <c r="BI253" s="34" t="str">
        <v/>
      </c>
      <c r="BJ253" s="34" t="str">
        <v/>
      </c>
      <c r="BK253" s="34" t="str">
        <v>SOCKET</v>
      </c>
      <c r="BL253" s="34">
        <v>1</v>
      </c>
      <c r="BM253" s="34" t="str">
        <v/>
      </c>
      <c r="BN253" s="34" t="str">
        <v/>
      </c>
      <c r="BO253" s="34" t="str">
        <v/>
      </c>
      <c r="BP253" s="34" t="str">
        <v/>
      </c>
      <c r="BQ253" s="34" t="str">
        <v>3х2,5</v>
      </c>
      <c r="BR253" s="34" t="str">
        <v/>
      </c>
      <c r="BS253" s="34" t="str">
        <v/>
      </c>
      <c r="BT253" s="34" t="str">
        <v/>
      </c>
      <c r="BU253" s="34">
        <v>0</v>
      </c>
      <c r="BV253" s="34">
        <v>274</v>
      </c>
      <c r="BW253" s="34">
        <v>1</v>
      </c>
      <c r="BX253" s="34">
        <v>0</v>
      </c>
      <c r="BY253" s="34" t="str">
        <v>Розетка</v>
      </c>
      <c r="BZ253">
        <v>10</v>
      </c>
      <c r="CA253" t="str">
        <v>линии</v>
      </c>
    </row>
    <row r="254" spans="1:79" x14ac:dyDescent="0.3">
      <c r="A254" s="39" t="str">
        <v>ЩР-1</v>
      </c>
      <c r="B254" s="42">
        <v>76</v>
      </c>
      <c r="C254" s="42">
        <v>5</v>
      </c>
      <c r="D254" s="75" t="str">
        <v/>
      </c>
      <c r="E254" s="75" t="str">
        <v>авто</v>
      </c>
      <c r="F254" s="76">
        <v>30</v>
      </c>
      <c r="G254" s="47" t="str">
        <v>QFD53</v>
      </c>
      <c r="H254" s="47" t="str">
        <v>2P С16А 30мА</v>
      </c>
      <c r="I254" s="75" t="str">
        <v/>
      </c>
      <c r="J254" s="76" t="str">
        <v/>
      </c>
      <c r="K254" s="76" t="str">
        <v/>
      </c>
      <c r="L254" s="75" t="str">
        <v/>
      </c>
      <c r="M254" s="49" t="str">
        <v/>
      </c>
      <c r="N254" s="76" t="str">
        <v/>
      </c>
      <c r="O254" s="49" t="str">
        <v/>
      </c>
      <c r="P254" s="77" t="str">
        <v>XT53</v>
      </c>
      <c r="Q254" s="53" t="str">
        <v>ВВГнг(А)-LS (3х2,5) L=9-0,08%</v>
      </c>
      <c r="R254" s="54" t="str">
        <v>R.1.002Б.9</v>
      </c>
      <c r="S254" s="55" t="str">
        <v>Розеточная группа Первый этаж Пом. №002Б Холодильник</v>
      </c>
      <c r="T254" s="56">
        <v>0.23</v>
      </c>
      <c r="U254" s="56">
        <v>1.05</v>
      </c>
      <c r="V254" s="42" t="str">
        <v>L2</v>
      </c>
      <c r="W254" s="57" t="str">
        <v>ok</v>
      </c>
      <c r="X254" s="58" t="str">
        <v/>
      </c>
      <c r="Y254" s="75" t="str">
        <v/>
      </c>
      <c r="Z254" s="59">
        <v>1.0483465414232678</v>
      </c>
      <c r="AA254" s="61">
        <v>16</v>
      </c>
      <c r="AB254" s="61">
        <v>25</v>
      </c>
      <c r="AC254" s="61" t="str">
        <v/>
      </c>
      <c r="AD254" s="62" t="str">
        <v>QFD53 → XT53</v>
      </c>
      <c r="AE254" s="62" t="str">
        <v/>
      </c>
      <c r="AF254" s="34">
        <v>53</v>
      </c>
      <c r="AG254" s="34" t="str">
        <v>QFD53</v>
      </c>
      <c r="AH254" s="34" t="str">
        <v/>
      </c>
      <c r="AI254" s="34" t="str">
        <v/>
      </c>
      <c r="AJ254" s="34" t="str">
        <v>QFD53</v>
      </c>
      <c r="AK254" s="34">
        <v>1</v>
      </c>
      <c r="AL254" s="34" t="str">
        <v>R</v>
      </c>
      <c r="AM254" s="34">
        <v>30</v>
      </c>
      <c r="AN254" s="34">
        <v>0</v>
      </c>
      <c r="AO254" s="34">
        <v>16</v>
      </c>
      <c r="AP254" s="34">
        <v>25</v>
      </c>
      <c r="AQ254" s="34">
        <v>16</v>
      </c>
      <c r="AR254" s="34">
        <v>1</v>
      </c>
      <c r="AS254" s="34">
        <v>1</v>
      </c>
      <c r="AT254" s="34" t="str">
        <v>2P</v>
      </c>
      <c r="AU254" s="34">
        <v>16</v>
      </c>
      <c r="AV254" s="34" t="str">
        <v/>
      </c>
      <c r="AW254" s="34" t="str">
        <v/>
      </c>
      <c r="AX254" s="34" t="str">
        <v/>
      </c>
      <c r="AY254" s="34">
        <v>1</v>
      </c>
      <c r="AZ254" s="34" t="str">
        <v/>
      </c>
      <c r="BA254" s="34">
        <v>0</v>
      </c>
      <c r="BB254" s="34">
        <v>16</v>
      </c>
      <c r="BD254" s="34">
        <v>1</v>
      </c>
      <c r="BE254" s="34">
        <v>0</v>
      </c>
      <c r="BF254" s="34">
        <v>1</v>
      </c>
      <c r="BG254" s="34" t="str">
        <v/>
      </c>
      <c r="BH254" s="34" t="str">
        <v/>
      </c>
      <c r="BI254" s="34" t="str">
        <v/>
      </c>
      <c r="BJ254" s="34" t="str">
        <v/>
      </c>
      <c r="BK254" s="34" t="str">
        <v>SOCKET</v>
      </c>
      <c r="BL254" s="34">
        <v>1</v>
      </c>
      <c r="BM254" s="34" t="str">
        <v/>
      </c>
      <c r="BN254" s="34" t="str">
        <v/>
      </c>
      <c r="BO254" s="34" t="str">
        <v/>
      </c>
      <c r="BP254" s="34" t="str">
        <v/>
      </c>
      <c r="BQ254" s="34" t="str">
        <v>3х2,5</v>
      </c>
      <c r="BR254" s="34" t="str">
        <v/>
      </c>
      <c r="BS254" s="34" t="str">
        <v/>
      </c>
      <c r="BT254" s="34" t="str">
        <v/>
      </c>
      <c r="BU254" s="34">
        <v>0</v>
      </c>
      <c r="BV254" s="34">
        <v>275</v>
      </c>
      <c r="BW254" s="34">
        <v>1</v>
      </c>
      <c r="BX254" s="34">
        <v>0</v>
      </c>
      <c r="BY254" s="34" t="str">
        <v>Розетка</v>
      </c>
      <c r="BZ254">
        <v>10</v>
      </c>
      <c r="CA254" t="str">
        <v>линии</v>
      </c>
    </row>
    <row r="255" spans="1:79" x14ac:dyDescent="0.3">
      <c r="A255" s="39" t="str">
        <v>ЩР-1</v>
      </c>
      <c r="B255" s="42">
        <v>79</v>
      </c>
      <c r="C255" s="42">
        <v>5</v>
      </c>
      <c r="D255" s="75" t="str">
        <v/>
      </c>
      <c r="E255" s="75" t="str">
        <v>авто</v>
      </c>
      <c r="F255" s="76">
        <v>30</v>
      </c>
      <c r="G255" s="47" t="str">
        <v>QFD54</v>
      </c>
      <c r="H255" s="47" t="str">
        <v>2P С16А 30мА</v>
      </c>
      <c r="I255" s="75" t="str">
        <v/>
      </c>
      <c r="J255" s="76" t="str">
        <v/>
      </c>
      <c r="K255" s="76" t="str">
        <v/>
      </c>
      <c r="L255" s="75" t="str">
        <v/>
      </c>
      <c r="M255" s="49" t="str">
        <v/>
      </c>
      <c r="N255" s="76" t="str">
        <v/>
      </c>
      <c r="O255" s="49" t="str">
        <v/>
      </c>
      <c r="P255" s="77" t="str">
        <v>XT54</v>
      </c>
      <c r="Q255" s="53" t="str">
        <v>ВВГнг(А)-LS (3х2,5) L=9-0,04%</v>
      </c>
      <c r="R255" s="54" t="str">
        <v>R.1.002Б.10</v>
      </c>
      <c r="S255" s="55" t="str">
        <v>Розеточная группа, пом. 002Б</v>
      </c>
      <c r="T255" s="56">
        <v>0.12</v>
      </c>
      <c r="U255" s="56">
        <v>0.55000000000000004</v>
      </c>
      <c r="V255" s="42" t="str">
        <v>L1</v>
      </c>
      <c r="W255" s="57" t="str">
        <v>ok</v>
      </c>
      <c r="X255" s="58" t="str">
        <v/>
      </c>
      <c r="Y255" s="75" t="str">
        <v/>
      </c>
      <c r="Z255" s="59">
        <v>0.54696341291648753</v>
      </c>
      <c r="AA255" s="61">
        <v>16</v>
      </c>
      <c r="AB255" s="61">
        <v>25</v>
      </c>
      <c r="AC255" s="61" t="str">
        <v/>
      </c>
      <c r="AD255" s="62" t="str">
        <v>QFD54 → XT54</v>
      </c>
      <c r="AE255" s="62" t="str">
        <v/>
      </c>
      <c r="AF255" s="34">
        <v>54</v>
      </c>
      <c r="AG255" s="34" t="str">
        <v>QFD54</v>
      </c>
      <c r="AH255" s="34" t="str">
        <v/>
      </c>
      <c r="AI255" s="34" t="str">
        <v/>
      </c>
      <c r="AJ255" s="34" t="str">
        <v>QFD54</v>
      </c>
      <c r="AK255" s="34">
        <v>1</v>
      </c>
      <c r="AL255" s="34" t="str">
        <v>R</v>
      </c>
      <c r="AM255" s="34">
        <v>30</v>
      </c>
      <c r="AN255" s="34">
        <v>0</v>
      </c>
      <c r="AO255" s="34">
        <v>16</v>
      </c>
      <c r="AP255" s="34">
        <v>25</v>
      </c>
      <c r="AQ255" s="34">
        <v>16</v>
      </c>
      <c r="AR255" s="34">
        <v>1</v>
      </c>
      <c r="AS255" s="34">
        <v>1</v>
      </c>
      <c r="AT255" s="34" t="str">
        <v>2P</v>
      </c>
      <c r="AU255" s="34">
        <v>16</v>
      </c>
      <c r="AV255" s="34" t="str">
        <v/>
      </c>
      <c r="AW255" s="34" t="str">
        <v/>
      </c>
      <c r="AX255" s="34" t="str">
        <v/>
      </c>
      <c r="AY255" s="34">
        <v>1</v>
      </c>
      <c r="AZ255" s="34" t="str">
        <v/>
      </c>
      <c r="BA255" s="34">
        <v>0</v>
      </c>
      <c r="BB255" s="34">
        <v>16</v>
      </c>
      <c r="BD255" s="34">
        <v>1</v>
      </c>
      <c r="BE255" s="34">
        <v>0</v>
      </c>
      <c r="BF255" s="34">
        <v>1</v>
      </c>
      <c r="BG255" s="34" t="str">
        <v/>
      </c>
      <c r="BH255" s="34" t="str">
        <v/>
      </c>
      <c r="BI255" s="34" t="str">
        <v/>
      </c>
      <c r="BJ255" s="34" t="str">
        <v/>
      </c>
      <c r="BK255" s="34" t="str">
        <v>SOCKET</v>
      </c>
      <c r="BL255" s="34">
        <v>1</v>
      </c>
      <c r="BM255" s="34" t="str">
        <v/>
      </c>
      <c r="BN255" s="34" t="str">
        <v/>
      </c>
      <c r="BO255" s="34" t="str">
        <v/>
      </c>
      <c r="BP255" s="34" t="str">
        <v/>
      </c>
      <c r="BQ255" s="34" t="str">
        <v>3х2,5</v>
      </c>
      <c r="BR255" s="34" t="str">
        <v/>
      </c>
      <c r="BS255" s="34" t="str">
        <v/>
      </c>
      <c r="BT255" s="34" t="str">
        <v/>
      </c>
      <c r="BU255" s="34">
        <v>0</v>
      </c>
      <c r="BV255" s="34">
        <v>276</v>
      </c>
      <c r="BW255" s="34">
        <v>1</v>
      </c>
      <c r="BX255" s="34">
        <v>0</v>
      </c>
      <c r="BY255" s="34" t="str">
        <v>Розетка</v>
      </c>
      <c r="BZ255">
        <v>10</v>
      </c>
      <c r="CA255" t="str">
        <v>линии</v>
      </c>
    </row>
    <row r="256" spans="1:79" x14ac:dyDescent="0.3">
      <c r="A256" s="39" t="str">
        <v>ЩР-1</v>
      </c>
      <c r="B256" s="42">
        <v>80</v>
      </c>
      <c r="C256" s="42">
        <v>5</v>
      </c>
      <c r="D256" s="75" t="str">
        <v/>
      </c>
      <c r="E256" s="75" t="str">
        <v>авто</v>
      </c>
      <c r="F256" s="76">
        <v>30</v>
      </c>
      <c r="G256" s="47" t="str">
        <v>QFD55</v>
      </c>
      <c r="H256" s="47" t="str">
        <v>2P С16А 30мА</v>
      </c>
      <c r="I256" s="75" t="str">
        <v/>
      </c>
      <c r="J256" s="76" t="str">
        <v/>
      </c>
      <c r="K256" s="76" t="str">
        <v/>
      </c>
      <c r="L256" s="75" t="str">
        <v/>
      </c>
      <c r="M256" s="49" t="str">
        <v/>
      </c>
      <c r="N256" s="76" t="str">
        <v/>
      </c>
      <c r="O256" s="49" t="str">
        <v/>
      </c>
      <c r="P256" s="77" t="str">
        <v>XT55</v>
      </c>
      <c r="Q256" s="53" t="str">
        <v>ВВГнг(А)-LS (3х2,5) L=42-0,26%</v>
      </c>
      <c r="R256" s="54" t="str">
        <v>R.1.021A.5</v>
      </c>
      <c r="S256" s="55" t="str">
        <v>Розеточная группа, пом. 021A</v>
      </c>
      <c r="T256" s="56">
        <v>0.18</v>
      </c>
      <c r="U256" s="56">
        <v>0.83</v>
      </c>
      <c r="V256" s="42" t="str">
        <v>L1</v>
      </c>
      <c r="W256" s="57" t="str">
        <v>ok</v>
      </c>
      <c r="X256" s="58" t="str">
        <v/>
      </c>
      <c r="Y256" s="75" t="str">
        <v/>
      </c>
      <c r="Z256" s="59">
        <v>0.8204451193747313</v>
      </c>
      <c r="AA256" s="61">
        <v>16</v>
      </c>
      <c r="AB256" s="61">
        <v>25</v>
      </c>
      <c r="AC256" s="61" t="str">
        <v/>
      </c>
      <c r="AD256" s="62" t="str">
        <v>QFD55 → XT55</v>
      </c>
      <c r="AE256" s="62" t="str">
        <v/>
      </c>
      <c r="AF256" s="34">
        <v>55</v>
      </c>
      <c r="AG256" s="34" t="str">
        <v>QFD55</v>
      </c>
      <c r="AH256" s="34" t="str">
        <v/>
      </c>
      <c r="AI256" s="34" t="str">
        <v/>
      </c>
      <c r="AJ256" s="34" t="str">
        <v>QFD55</v>
      </c>
      <c r="AK256" s="34">
        <v>1</v>
      </c>
      <c r="AL256" s="34" t="str">
        <v>R</v>
      </c>
      <c r="AM256" s="34">
        <v>30</v>
      </c>
      <c r="AN256" s="34">
        <v>0</v>
      </c>
      <c r="AO256" s="34">
        <v>16</v>
      </c>
      <c r="AP256" s="34">
        <v>25</v>
      </c>
      <c r="AQ256" s="34">
        <v>16</v>
      </c>
      <c r="AR256" s="34">
        <v>1</v>
      </c>
      <c r="AS256" s="34">
        <v>1</v>
      </c>
      <c r="AT256" s="34" t="str">
        <v>2P</v>
      </c>
      <c r="AU256" s="34">
        <v>16</v>
      </c>
      <c r="AV256" s="34" t="str">
        <v/>
      </c>
      <c r="AW256" s="34" t="str">
        <v/>
      </c>
      <c r="AX256" s="34" t="str">
        <v/>
      </c>
      <c r="AY256" s="34">
        <v>1</v>
      </c>
      <c r="AZ256" s="34" t="str">
        <v/>
      </c>
      <c r="BA256" s="34">
        <v>0</v>
      </c>
      <c r="BB256" s="34">
        <v>16</v>
      </c>
      <c r="BD256" s="34">
        <v>1</v>
      </c>
      <c r="BE256" s="34">
        <v>0</v>
      </c>
      <c r="BF256" s="34">
        <v>1</v>
      </c>
      <c r="BG256" s="34" t="str">
        <v/>
      </c>
      <c r="BH256" s="34" t="str">
        <v/>
      </c>
      <c r="BI256" s="34" t="str">
        <v/>
      </c>
      <c r="BJ256" s="34" t="str">
        <v/>
      </c>
      <c r="BK256" s="34" t="str">
        <v>SOCKET</v>
      </c>
      <c r="BL256" s="34">
        <v>1</v>
      </c>
      <c r="BM256" s="34" t="str">
        <v/>
      </c>
      <c r="BN256" s="34" t="str">
        <v/>
      </c>
      <c r="BO256" s="34" t="str">
        <v/>
      </c>
      <c r="BP256" s="34" t="str">
        <v/>
      </c>
      <c r="BQ256" s="34" t="str">
        <v>3х2,5</v>
      </c>
      <c r="BR256" s="34" t="str">
        <v/>
      </c>
      <c r="BS256" s="34" t="str">
        <v/>
      </c>
      <c r="BT256" s="34" t="str">
        <v/>
      </c>
      <c r="BU256" s="34">
        <v>0</v>
      </c>
      <c r="BV256" s="34">
        <v>277</v>
      </c>
      <c r="BW256" s="34">
        <v>1</v>
      </c>
      <c r="BX256" s="34">
        <v>0</v>
      </c>
      <c r="BY256" s="34" t="str">
        <v>Розетка</v>
      </c>
      <c r="BZ256">
        <v>10</v>
      </c>
      <c r="CA256" t="str">
        <v>линии</v>
      </c>
    </row>
    <row r="257" spans="1:79" x14ac:dyDescent="0.3">
      <c r="A257" s="39" t="str">
        <v>ЩР-1</v>
      </c>
      <c r="B257" s="42">
        <v>81</v>
      </c>
      <c r="C257" s="42">
        <v>5</v>
      </c>
      <c r="D257" s="75" t="str">
        <v/>
      </c>
      <c r="E257" s="75" t="str">
        <v>авто</v>
      </c>
      <c r="F257" s="76">
        <v>30</v>
      </c>
      <c r="G257" s="47" t="str">
        <v>QFD56</v>
      </c>
      <c r="H257" s="47" t="str">
        <v>2P С16А 30мА</v>
      </c>
      <c r="I257" s="75" t="str">
        <v/>
      </c>
      <c r="J257" s="76" t="str">
        <v/>
      </c>
      <c r="K257" s="76" t="str">
        <v/>
      </c>
      <c r="L257" s="75" t="str">
        <v/>
      </c>
      <c r="M257" s="49" t="str">
        <v/>
      </c>
      <c r="N257" s="76" t="str">
        <v/>
      </c>
      <c r="O257" s="49" t="str">
        <v/>
      </c>
      <c r="P257" s="77" t="str">
        <v>XT56</v>
      </c>
      <c r="Q257" s="53" t="str">
        <v>ВВГнг(А)-LS (3х2,5) L=50-0%</v>
      </c>
      <c r="R257" s="54" t="str">
        <v>R.1.020A.1</v>
      </c>
      <c r="S257" s="55" t="str">
        <v>Розеточная группа Первый этаж Пом. №020A Холодильник, морозильная камера</v>
      </c>
      <c r="T257" s="56">
        <v>0</v>
      </c>
      <c r="U257" s="56">
        <v>0</v>
      </c>
      <c r="V257" s="42" t="str">
        <v>L3</v>
      </c>
      <c r="W257" s="57" t="str">
        <v>ok</v>
      </c>
      <c r="X257" s="58" t="str">
        <v/>
      </c>
      <c r="Y257" s="75" t="str">
        <v/>
      </c>
      <c r="Z257" s="59">
        <v>0</v>
      </c>
      <c r="AA257" s="61">
        <v>16</v>
      </c>
      <c r="AB257" s="61">
        <v>25</v>
      </c>
      <c r="AC257" s="61" t="str">
        <v/>
      </c>
      <c r="AD257" s="62" t="str">
        <v>QFD56 → XT56</v>
      </c>
      <c r="AE257" s="62" t="str">
        <v>нет мощности</v>
      </c>
      <c r="AF257" s="34">
        <v>56</v>
      </c>
      <c r="AG257" s="34" t="str">
        <v>QFD56</v>
      </c>
      <c r="AH257" s="34" t="str">
        <v/>
      </c>
      <c r="AI257" s="34" t="str">
        <v/>
      </c>
      <c r="AJ257" s="34" t="str">
        <v>QFD56</v>
      </c>
      <c r="AK257" s="34">
        <v>1</v>
      </c>
      <c r="AL257" s="34" t="str">
        <v>R</v>
      </c>
      <c r="AM257" s="34">
        <v>30</v>
      </c>
      <c r="AN257" s="34">
        <v>0</v>
      </c>
      <c r="AO257" s="34">
        <v>16</v>
      </c>
      <c r="AP257" s="34">
        <v>25</v>
      </c>
      <c r="AQ257" s="34">
        <v>16</v>
      </c>
      <c r="AR257" s="34">
        <v>1</v>
      </c>
      <c r="AS257" s="34">
        <v>1</v>
      </c>
      <c r="AT257" s="34" t="str">
        <v>2P</v>
      </c>
      <c r="AU257" s="34">
        <v>16</v>
      </c>
      <c r="AV257" s="34" t="str">
        <v/>
      </c>
      <c r="AW257" s="34" t="str">
        <v/>
      </c>
      <c r="AX257" s="34" t="str">
        <v/>
      </c>
      <c r="AY257" s="34">
        <v>1</v>
      </c>
      <c r="AZ257" s="34" t="str">
        <v/>
      </c>
      <c r="BA257" s="34">
        <v>0</v>
      </c>
      <c r="BB257" s="34">
        <v>16</v>
      </c>
      <c r="BD257" s="34">
        <v>1</v>
      </c>
      <c r="BE257" s="34">
        <v>0</v>
      </c>
      <c r="BF257" s="34">
        <v>1</v>
      </c>
      <c r="BG257" s="34" t="str">
        <v/>
      </c>
      <c r="BH257" s="34" t="str">
        <v/>
      </c>
      <c r="BI257" s="34" t="str">
        <v/>
      </c>
      <c r="BJ257" s="34" t="str">
        <v/>
      </c>
      <c r="BK257" s="34" t="str">
        <v>SOCKET</v>
      </c>
      <c r="BL257" s="34">
        <v>1</v>
      </c>
      <c r="BM257" s="34" t="str">
        <v/>
      </c>
      <c r="BN257" s="34" t="str">
        <v/>
      </c>
      <c r="BO257" s="34" t="str">
        <v/>
      </c>
      <c r="BP257" s="34" t="str">
        <v/>
      </c>
      <c r="BQ257" s="34" t="str">
        <v>3х2,5</v>
      </c>
      <c r="BR257" s="34" t="str">
        <v/>
      </c>
      <c r="BS257" s="34" t="str">
        <v/>
      </c>
      <c r="BT257" s="34" t="str">
        <v/>
      </c>
      <c r="BU257" s="34">
        <v>1</v>
      </c>
      <c r="BV257" s="34">
        <v>278</v>
      </c>
      <c r="BW257" s="34">
        <v>1</v>
      </c>
      <c r="BX257" s="34">
        <v>0</v>
      </c>
      <c r="BY257" s="34" t="str">
        <v>Розетка</v>
      </c>
      <c r="BZ257">
        <v>10</v>
      </c>
      <c r="CA257" t="str">
        <v>линии</v>
      </c>
    </row>
    <row r="258" spans="1:79" x14ac:dyDescent="0.3">
      <c r="A258" s="39" t="str">
        <v>ЩР-1</v>
      </c>
      <c r="B258" s="42">
        <v>82</v>
      </c>
      <c r="C258" s="42">
        <v>5</v>
      </c>
      <c r="D258" s="75" t="str">
        <v/>
      </c>
      <c r="E258" s="75" t="str">
        <v>авто</v>
      </c>
      <c r="F258" s="76">
        <v>30</v>
      </c>
      <c r="G258" s="47" t="str">
        <v>QFD57</v>
      </c>
      <c r="H258" s="47" t="str">
        <v>2P С16А 30мА</v>
      </c>
      <c r="I258" s="75" t="str">
        <v/>
      </c>
      <c r="J258" s="76" t="str">
        <v/>
      </c>
      <c r="K258" s="76" t="str">
        <v/>
      </c>
      <c r="L258" s="75" t="str">
        <v/>
      </c>
      <c r="M258" s="49" t="str">
        <v/>
      </c>
      <c r="N258" s="76" t="str">
        <v/>
      </c>
      <c r="O258" s="49" t="str">
        <v/>
      </c>
      <c r="P258" s="77" t="str">
        <v>XT57</v>
      </c>
      <c r="Q258" s="53" t="str">
        <v>ВВГнг(А)-LS (3х2,5) L=66-0,41%</v>
      </c>
      <c r="R258" s="54" t="str">
        <v>R.1.022A.1</v>
      </c>
      <c r="S258" s="55" t="str">
        <v>Розеточная группа, пом. 022A</v>
      </c>
      <c r="T258" s="56">
        <v>0.18</v>
      </c>
      <c r="U258" s="56">
        <v>0.83</v>
      </c>
      <c r="V258" s="42" t="str">
        <v>L3</v>
      </c>
      <c r="W258" s="57" t="str">
        <v>ok</v>
      </c>
      <c r="X258" s="58" t="str">
        <v/>
      </c>
      <c r="Y258" s="75" t="str">
        <v/>
      </c>
      <c r="Z258" s="59">
        <v>0.8204451193747313</v>
      </c>
      <c r="AA258" s="61">
        <v>16</v>
      </c>
      <c r="AB258" s="61">
        <v>25</v>
      </c>
      <c r="AC258" s="61" t="str">
        <v/>
      </c>
      <c r="AD258" s="62" t="str">
        <v>QFD57 → XT57</v>
      </c>
      <c r="AE258" s="62" t="str">
        <v/>
      </c>
      <c r="AF258" s="34">
        <v>57</v>
      </c>
      <c r="AG258" s="34" t="str">
        <v>QFD57</v>
      </c>
      <c r="AH258" s="34" t="str">
        <v/>
      </c>
      <c r="AI258" s="34" t="str">
        <v/>
      </c>
      <c r="AJ258" s="34" t="str">
        <v>QFD57</v>
      </c>
      <c r="AK258" s="34">
        <v>1</v>
      </c>
      <c r="AL258" s="34" t="str">
        <v>R</v>
      </c>
      <c r="AM258" s="34">
        <v>30</v>
      </c>
      <c r="AN258" s="34">
        <v>0</v>
      </c>
      <c r="AO258" s="34">
        <v>16</v>
      </c>
      <c r="AP258" s="34">
        <v>25</v>
      </c>
      <c r="AQ258" s="34">
        <v>16</v>
      </c>
      <c r="AR258" s="34">
        <v>1</v>
      </c>
      <c r="AS258" s="34">
        <v>1</v>
      </c>
      <c r="AT258" s="34" t="str">
        <v>2P</v>
      </c>
      <c r="AU258" s="34">
        <v>16</v>
      </c>
      <c r="AV258" s="34" t="str">
        <v/>
      </c>
      <c r="AW258" s="34" t="str">
        <v/>
      </c>
      <c r="AX258" s="34" t="str">
        <v/>
      </c>
      <c r="AY258" s="34">
        <v>1</v>
      </c>
      <c r="AZ258" s="34" t="str">
        <v/>
      </c>
      <c r="BA258" s="34">
        <v>0</v>
      </c>
      <c r="BB258" s="34">
        <v>16</v>
      </c>
      <c r="BD258" s="34">
        <v>1</v>
      </c>
      <c r="BE258" s="34">
        <v>0</v>
      </c>
      <c r="BF258" s="34">
        <v>1</v>
      </c>
      <c r="BG258" s="34" t="str">
        <v/>
      </c>
      <c r="BH258" s="34" t="str">
        <v/>
      </c>
      <c r="BI258" s="34" t="str">
        <v/>
      </c>
      <c r="BJ258" s="34" t="str">
        <v/>
      </c>
      <c r="BK258" s="34" t="str">
        <v>SOCKET</v>
      </c>
      <c r="BL258" s="34">
        <v>1</v>
      </c>
      <c r="BM258" s="34" t="str">
        <v/>
      </c>
      <c r="BN258" s="34" t="str">
        <v/>
      </c>
      <c r="BO258" s="34" t="str">
        <v/>
      </c>
      <c r="BP258" s="34" t="str">
        <v/>
      </c>
      <c r="BQ258" s="34" t="str">
        <v>3х2,5</v>
      </c>
      <c r="BR258" s="34" t="str">
        <v/>
      </c>
      <c r="BS258" s="34" t="str">
        <v/>
      </c>
      <c r="BT258" s="34" t="str">
        <v/>
      </c>
      <c r="BU258" s="34">
        <v>0</v>
      </c>
      <c r="BV258" s="34">
        <v>279</v>
      </c>
      <c r="BW258" s="34">
        <v>1</v>
      </c>
      <c r="BX258" s="34">
        <v>0</v>
      </c>
      <c r="BY258" s="34" t="str">
        <v>Розетка</v>
      </c>
      <c r="BZ258">
        <v>10</v>
      </c>
      <c r="CA258" t="str">
        <v>линии</v>
      </c>
    </row>
    <row r="259" spans="1:79" x14ac:dyDescent="0.3">
      <c r="A259" s="39" t="str">
        <v>ЩР-1</v>
      </c>
      <c r="B259" s="42">
        <v>84</v>
      </c>
      <c r="C259" s="42">
        <v>5</v>
      </c>
      <c r="D259" s="75" t="str">
        <v/>
      </c>
      <c r="E259" s="75" t="str">
        <v>авто</v>
      </c>
      <c r="F259" s="76" t="str">
        <v/>
      </c>
      <c r="G259" s="47" t="str">
        <v>QF58</v>
      </c>
      <c r="H259" s="47" t="str">
        <v>1P С6А</v>
      </c>
      <c r="I259" s="75" t="str">
        <v/>
      </c>
      <c r="J259" s="76" t="str">
        <v/>
      </c>
      <c r="K259" s="76" t="str">
        <v/>
      </c>
      <c r="L259" s="75" t="str">
        <v/>
      </c>
      <c r="M259" s="49" t="str">
        <v/>
      </c>
      <c r="N259" s="76" t="str">
        <v/>
      </c>
      <c r="O259" s="49" t="str">
        <v/>
      </c>
      <c r="P259" s="77" t="str">
        <v>XT58</v>
      </c>
      <c r="Q259" s="53" t="str">
        <v>ВВГнг(А)-LS (3х2,5) L=11-0,19%</v>
      </c>
      <c r="R259" s="54" t="str">
        <v>ЩКД.1</v>
      </c>
      <c r="S259" s="55" t="str">
        <v>Щит контроля доступа ЩКД-1 Первый этаж Пом. №002Б</v>
      </c>
      <c r="T259" s="56">
        <v>0.5</v>
      </c>
      <c r="U259" s="56">
        <v>2.2799999999999998</v>
      </c>
      <c r="V259" s="42" t="str">
        <v>L3</v>
      </c>
      <c r="W259" s="57" t="str">
        <v>ok</v>
      </c>
      <c r="X259" s="58" t="str">
        <v/>
      </c>
      <c r="Y259" s="75" t="str">
        <v/>
      </c>
      <c r="Z259" s="59">
        <v>2.2790142204853647</v>
      </c>
      <c r="AA259" s="61">
        <v>6</v>
      </c>
      <c r="AB259" s="61">
        <v>25</v>
      </c>
      <c r="AC259" s="61" t="str">
        <v/>
      </c>
      <c r="AD259" s="62" t="str">
        <v>QF58 → XT58</v>
      </c>
      <c r="AE259" s="62" t="str">
        <v/>
      </c>
      <c r="AF259" s="34">
        <v>58</v>
      </c>
      <c r="AG259" s="34" t="str">
        <v>QF58</v>
      </c>
      <c r="AH259" s="34" t="str">
        <v/>
      </c>
      <c r="AI259" s="34" t="str">
        <v/>
      </c>
      <c r="AJ259" s="34" t="str">
        <v>QF58</v>
      </c>
      <c r="AK259" s="34">
        <v>1</v>
      </c>
      <c r="AL259" s="34" t="str">
        <v>ЩКД</v>
      </c>
      <c r="AM259" s="34">
        <v>0</v>
      </c>
      <c r="AN259" s="34">
        <v>0</v>
      </c>
      <c r="AO259" s="34">
        <v>6</v>
      </c>
      <c r="AP259" s="34">
        <v>25</v>
      </c>
      <c r="AQ259" s="34">
        <v>6</v>
      </c>
      <c r="AR259" s="34">
        <v>1</v>
      </c>
      <c r="AS259" s="34">
        <v>0</v>
      </c>
      <c r="AT259" s="34" t="str">
        <v>1P</v>
      </c>
      <c r="AU259" s="34">
        <v>6</v>
      </c>
      <c r="AV259" s="34" t="str">
        <v/>
      </c>
      <c r="AW259" s="34" t="str">
        <v/>
      </c>
      <c r="AX259" s="34" t="str">
        <v/>
      </c>
      <c r="AY259" s="34">
        <v>1</v>
      </c>
      <c r="AZ259" s="34" t="str">
        <v/>
      </c>
      <c r="BA259" s="34">
        <v>0</v>
      </c>
      <c r="BB259" s="34">
        <v>0</v>
      </c>
      <c r="BD259" s="34">
        <v>1</v>
      </c>
      <c r="BE259" s="34">
        <v>0</v>
      </c>
      <c r="BF259" s="34">
        <v>0</v>
      </c>
      <c r="BG259" s="34" t="str">
        <v/>
      </c>
      <c r="BH259" s="34" t="str">
        <v/>
      </c>
      <c r="BI259" s="34" t="str">
        <v/>
      </c>
      <c r="BJ259" s="34" t="str">
        <v/>
      </c>
      <c r="BK259" s="34" t="str">
        <v>BOX</v>
      </c>
      <c r="BL259" s="34">
        <v>1</v>
      </c>
      <c r="BM259" s="34" t="str">
        <v/>
      </c>
      <c r="BN259" s="34" t="str">
        <v/>
      </c>
      <c r="BO259" s="34" t="str">
        <v/>
      </c>
      <c r="BP259" s="34" t="str">
        <v/>
      </c>
      <c r="BQ259" s="34" t="str">
        <v>3х2,5</v>
      </c>
      <c r="BR259" s="34" t="str">
        <v/>
      </c>
      <c r="BS259" s="34" t="str">
        <v/>
      </c>
      <c r="BT259" s="34" t="str">
        <v/>
      </c>
      <c r="BU259" s="34">
        <v>0</v>
      </c>
      <c r="BV259" s="34">
        <v>280</v>
      </c>
      <c r="BW259" s="34">
        <v>1</v>
      </c>
      <c r="BX259" s="34">
        <v>0</v>
      </c>
      <c r="BY259" s="34">
        <v>0</v>
      </c>
      <c r="BZ259">
        <v>10</v>
      </c>
      <c r="CA259" t="str">
        <v>линии</v>
      </c>
    </row>
    <row r="260" spans="1:79" x14ac:dyDescent="0.3">
      <c r="A260" s="39" t="str">
        <v>ЩР-2</v>
      </c>
      <c r="B260" s="42">
        <v>2</v>
      </c>
      <c r="C260" s="42">
        <v>1</v>
      </c>
      <c r="D260" s="75" t="str">
        <v/>
      </c>
      <c r="E260" s="75" t="str">
        <v>авто</v>
      </c>
      <c r="F260" s="76" t="str">
        <v/>
      </c>
      <c r="G260" s="47" t="str">
        <v/>
      </c>
      <c r="H260" s="47" t="str">
        <v>3P С16А</v>
      </c>
      <c r="I260" s="75" t="str">
        <v/>
      </c>
      <c r="J260" s="76" t="str">
        <v/>
      </c>
      <c r="K260" s="76" t="str">
        <v/>
      </c>
      <c r="L260" s="75" t="str">
        <v/>
      </c>
      <c r="M260" s="49" t="str">
        <v/>
      </c>
      <c r="N260" s="76" t="str">
        <v/>
      </c>
      <c r="O260" s="49" t="str">
        <v/>
      </c>
      <c r="P260" s="77" t="str">
        <v/>
      </c>
      <c r="Q260" s="53" t="str">
        <v/>
      </c>
      <c r="R260" s="54" t="str">
        <v>Ввод.1</v>
      </c>
      <c r="S260" s="55" t="str">
        <v>Ввод</v>
      </c>
      <c r="T260" s="56">
        <v>0</v>
      </c>
      <c r="U260" s="56">
        <v>13.7</v>
      </c>
      <c r="V260" s="42" t="str">
        <v>L1,L2,L3</v>
      </c>
      <c r="W260" s="57" t="str">
        <v>ok</v>
      </c>
      <c r="X260" s="58" t="str">
        <v/>
      </c>
      <c r="Y260" s="75" t="str">
        <v>вручную</v>
      </c>
      <c r="Z260" s="59">
        <v>13.694473137501861</v>
      </c>
      <c r="AA260" s="61">
        <v>16</v>
      </c>
      <c r="AB260" s="61">
        <v>32</v>
      </c>
      <c r="AC260" s="61" t="str">
        <v/>
      </c>
      <c r="AD260" s="62" t="str">
        <v/>
      </c>
      <c r="AE260" s="62" t="str">
        <v/>
      </c>
      <c r="AF260" s="34" t="str">
        <v/>
      </c>
      <c r="AG260" s="34" t="str">
        <v/>
      </c>
      <c r="AH260" s="34" t="str">
        <v/>
      </c>
      <c r="AI260" s="34" t="str">
        <v/>
      </c>
      <c r="AJ260" s="34" t="str">
        <v/>
      </c>
      <c r="AK260" s="34">
        <v>4</v>
      </c>
      <c r="AL260" s="34" t="str">
        <v>Ввод</v>
      </c>
      <c r="AM260" s="34">
        <v>0</v>
      </c>
      <c r="AN260" s="34">
        <v>0</v>
      </c>
      <c r="AO260" s="34">
        <v>16</v>
      </c>
      <c r="AP260" s="34">
        <v>32</v>
      </c>
      <c r="AQ260" s="34">
        <v>16</v>
      </c>
      <c r="AR260" s="34">
        <v>4</v>
      </c>
      <c r="AS260" s="34">
        <v>0</v>
      </c>
      <c r="AT260" s="34" t="str">
        <v>3P</v>
      </c>
      <c r="AU260" s="34">
        <v>16</v>
      </c>
      <c r="AV260" s="34" t="str">
        <v/>
      </c>
      <c r="AW260" s="34" t="str">
        <v/>
      </c>
      <c r="AX260" s="34" t="str">
        <v/>
      </c>
      <c r="AY260" s="34">
        <v>0</v>
      </c>
      <c r="AZ260" s="34" t="str">
        <v/>
      </c>
      <c r="BA260" s="34">
        <v>0</v>
      </c>
      <c r="BB260" s="34">
        <v>0</v>
      </c>
      <c r="BD260" s="34">
        <v>0</v>
      </c>
      <c r="BE260" s="34">
        <v>0</v>
      </c>
      <c r="BF260" s="34">
        <v>0</v>
      </c>
      <c r="BG260" s="34" t="str">
        <v/>
      </c>
      <c r="BH260" s="34" t="str">
        <v/>
      </c>
      <c r="BI260" s="34" t="str">
        <v/>
      </c>
      <c r="BJ260" s="34" t="str">
        <v/>
      </c>
      <c r="BK260" s="34" t="str">
        <v>BOX</v>
      </c>
      <c r="BL260" s="34">
        <v>1</v>
      </c>
      <c r="BM260" s="34" t="str">
        <v/>
      </c>
      <c r="BN260" s="34" t="str">
        <v/>
      </c>
      <c r="BO260" s="34" t="str">
        <v/>
      </c>
      <c r="BP260" s="34" t="str">
        <v/>
      </c>
      <c r="BQ260" s="34" t="str">
        <v/>
      </c>
      <c r="BR260" s="34" t="str">
        <v/>
      </c>
      <c r="BS260" s="34" t="str">
        <v/>
      </c>
      <c r="BT260" s="34" t="str">
        <v/>
      </c>
      <c r="BU260" s="34">
        <v>0</v>
      </c>
      <c r="BV260" s="34">
        <v>281</v>
      </c>
      <c r="BW260" s="34">
        <v>0</v>
      </c>
      <c r="BX260" s="34">
        <v>0</v>
      </c>
      <c r="BY260" s="34">
        <v>0</v>
      </c>
      <c r="BZ260">
        <v>11</v>
      </c>
      <c r="CA260" t="str">
        <v>вводной узел</v>
      </c>
    </row>
    <row r="261" spans="1:79" x14ac:dyDescent="0.3">
      <c r="A261" s="39" t="str">
        <v>ЩР-2</v>
      </c>
      <c r="B261" s="42">
        <v>18</v>
      </c>
      <c r="C261" s="42">
        <v>2</v>
      </c>
      <c r="D261" s="75" t="str">
        <v/>
      </c>
      <c r="E261" s="75" t="str">
        <v>авто</v>
      </c>
      <c r="F261" s="76">
        <v>30</v>
      </c>
      <c r="G261" s="47" t="str">
        <v>QFD1</v>
      </c>
      <c r="H261" s="47" t="str">
        <v>2P С16А 30мА</v>
      </c>
      <c r="I261" s="75" t="str">
        <v/>
      </c>
      <c r="J261" s="76" t="str">
        <v/>
      </c>
      <c r="K261" s="76" t="str">
        <v/>
      </c>
      <c r="L261" s="75" t="str">
        <v/>
      </c>
      <c r="M261" s="49" t="str">
        <v/>
      </c>
      <c r="N261" s="76" t="str">
        <v/>
      </c>
      <c r="O261" s="49" t="str">
        <v/>
      </c>
      <c r="P261" s="77" t="str">
        <v>XT1</v>
      </c>
      <c r="Q261" s="53" t="str">
        <v>ВВГнг(А)-LS (3х2,5) L=54-0,33%</v>
      </c>
      <c r="R261" s="54" t="str">
        <v>R.2.002А.1</v>
      </c>
      <c r="S261" s="55" t="str">
        <v>Розеточная группа, пом. 002А</v>
      </c>
      <c r="T261" s="56">
        <v>0.18</v>
      </c>
      <c r="U261" s="56">
        <v>0.83</v>
      </c>
      <c r="V261" s="42" t="str">
        <v>L3</v>
      </c>
      <c r="W261" s="57" t="str">
        <v>ok</v>
      </c>
      <c r="X261" s="58" t="str">
        <v/>
      </c>
      <c r="Y261" s="75" t="str">
        <v/>
      </c>
      <c r="Z261" s="59">
        <v>0.8204451193747313</v>
      </c>
      <c r="AA261" s="61">
        <v>16</v>
      </c>
      <c r="AB261" s="61">
        <v>25</v>
      </c>
      <c r="AC261" s="61" t="str">
        <v/>
      </c>
      <c r="AD261" s="62" t="str">
        <v>QFD1 → XT1</v>
      </c>
      <c r="AE261" s="62" t="str">
        <v/>
      </c>
      <c r="AF261" s="34">
        <v>1</v>
      </c>
      <c r="AG261" s="34" t="str">
        <v>QFD1</v>
      </c>
      <c r="AH261" s="34" t="str">
        <v/>
      </c>
      <c r="AI261" s="34" t="str">
        <v/>
      </c>
      <c r="AJ261" s="34" t="str">
        <v>QFD1</v>
      </c>
      <c r="AK261" s="34">
        <v>1</v>
      </c>
      <c r="AL261" s="34" t="str">
        <v>R</v>
      </c>
      <c r="AM261" s="34">
        <v>30</v>
      </c>
      <c r="AN261" s="34">
        <v>0</v>
      </c>
      <c r="AO261" s="34">
        <v>16</v>
      </c>
      <c r="AP261" s="34">
        <v>25</v>
      </c>
      <c r="AQ261" s="34">
        <v>16</v>
      </c>
      <c r="AR261" s="34">
        <v>1</v>
      </c>
      <c r="AS261" s="34">
        <v>1</v>
      </c>
      <c r="AT261" s="34" t="str">
        <v>2P</v>
      </c>
      <c r="AU261" s="34">
        <v>16</v>
      </c>
      <c r="AV261" s="34" t="str">
        <v/>
      </c>
      <c r="AW261" s="34" t="str">
        <v/>
      </c>
      <c r="AX261" s="34" t="str">
        <v/>
      </c>
      <c r="AY261" s="34">
        <v>1</v>
      </c>
      <c r="AZ261" s="34" t="str">
        <v/>
      </c>
      <c r="BA261" s="34">
        <v>0</v>
      </c>
      <c r="BB261" s="34">
        <v>16</v>
      </c>
      <c r="BD261" s="34">
        <v>1</v>
      </c>
      <c r="BE261" s="34">
        <v>0</v>
      </c>
      <c r="BF261" s="34">
        <v>1</v>
      </c>
      <c r="BG261" s="34" t="str">
        <v/>
      </c>
      <c r="BH261" s="34" t="str">
        <v/>
      </c>
      <c r="BI261" s="34" t="str">
        <v/>
      </c>
      <c r="BJ261" s="34" t="str">
        <v/>
      </c>
      <c r="BK261" s="34" t="str">
        <v>SOCKET</v>
      </c>
      <c r="BL261" s="34">
        <v>1</v>
      </c>
      <c r="BM261" s="34" t="str">
        <v/>
      </c>
      <c r="BN261" s="34" t="str">
        <v/>
      </c>
      <c r="BO261" s="34" t="str">
        <v/>
      </c>
      <c r="BP261" s="34" t="str">
        <v/>
      </c>
      <c r="BQ261" s="34" t="str">
        <v>3х2,5</v>
      </c>
      <c r="BR261" s="34" t="str">
        <v/>
      </c>
      <c r="BS261" s="34" t="str">
        <v/>
      </c>
      <c r="BT261" s="34" t="str">
        <v/>
      </c>
      <c r="BU261" s="34">
        <v>0</v>
      </c>
      <c r="BV261" s="34">
        <v>282</v>
      </c>
      <c r="BW261" s="34">
        <v>1</v>
      </c>
      <c r="BX261" s="34">
        <v>0</v>
      </c>
      <c r="BY261" s="34" t="str">
        <v>Розетка</v>
      </c>
      <c r="BZ261">
        <v>11</v>
      </c>
      <c r="CA261" t="str">
        <v>линии</v>
      </c>
    </row>
    <row r="262" spans="1:79" x14ac:dyDescent="0.3">
      <c r="A262" s="39" t="str">
        <v>ЩР-2</v>
      </c>
      <c r="B262" s="42">
        <v>19</v>
      </c>
      <c r="C262" s="42">
        <v>2</v>
      </c>
      <c r="D262" s="75" t="str">
        <v/>
      </c>
      <c r="E262" s="75" t="str">
        <v>авто</v>
      </c>
      <c r="F262" s="76">
        <v>30</v>
      </c>
      <c r="G262" s="47" t="str">
        <v>QFD2</v>
      </c>
      <c r="H262" s="47" t="str">
        <v>2P С16А 30мА</v>
      </c>
      <c r="I262" s="75" t="str">
        <v/>
      </c>
      <c r="J262" s="76" t="str">
        <v/>
      </c>
      <c r="K262" s="76" t="str">
        <v/>
      </c>
      <c r="L262" s="75" t="str">
        <v/>
      </c>
      <c r="M262" s="49" t="str">
        <v/>
      </c>
      <c r="N262" s="76" t="str">
        <v/>
      </c>
      <c r="O262" s="49" t="str">
        <v/>
      </c>
      <c r="P262" s="77" t="str">
        <v>XT2</v>
      </c>
      <c r="Q262" s="53" t="str">
        <v>ВВГнг(А)-LS (3х2,5) L=62-0,38%</v>
      </c>
      <c r="R262" s="54" t="str">
        <v>R.2.003А.1</v>
      </c>
      <c r="S262" s="55" t="str">
        <v>Розеточная группа, пом. 003А</v>
      </c>
      <c r="T262" s="56">
        <v>0.18</v>
      </c>
      <c r="U262" s="56">
        <v>0.83</v>
      </c>
      <c r="V262" s="42" t="str">
        <v>L1</v>
      </c>
      <c r="W262" s="57" t="str">
        <v>ok</v>
      </c>
      <c r="X262" s="58" t="str">
        <v/>
      </c>
      <c r="Y262" s="75" t="str">
        <v/>
      </c>
      <c r="Z262" s="59">
        <v>0.8204451193747313</v>
      </c>
      <c r="AA262" s="61">
        <v>16</v>
      </c>
      <c r="AB262" s="61">
        <v>25</v>
      </c>
      <c r="AC262" s="61" t="str">
        <v/>
      </c>
      <c r="AD262" s="62" t="str">
        <v>QFD2 → XT2</v>
      </c>
      <c r="AE262" s="62" t="str">
        <v/>
      </c>
      <c r="AF262" s="34">
        <v>2</v>
      </c>
      <c r="AG262" s="34" t="str">
        <v>QFD2</v>
      </c>
      <c r="AH262" s="34" t="str">
        <v/>
      </c>
      <c r="AI262" s="34" t="str">
        <v/>
      </c>
      <c r="AJ262" s="34" t="str">
        <v>QFD2</v>
      </c>
      <c r="AK262" s="34">
        <v>1</v>
      </c>
      <c r="AL262" s="34" t="str">
        <v>R</v>
      </c>
      <c r="AM262" s="34">
        <v>30</v>
      </c>
      <c r="AN262" s="34">
        <v>0</v>
      </c>
      <c r="AO262" s="34">
        <v>16</v>
      </c>
      <c r="AP262" s="34">
        <v>25</v>
      </c>
      <c r="AQ262" s="34">
        <v>16</v>
      </c>
      <c r="AR262" s="34">
        <v>1</v>
      </c>
      <c r="AS262" s="34">
        <v>1</v>
      </c>
      <c r="AT262" s="34" t="str">
        <v>2P</v>
      </c>
      <c r="AU262" s="34">
        <v>16</v>
      </c>
      <c r="AV262" s="34" t="str">
        <v/>
      </c>
      <c r="AW262" s="34" t="str">
        <v/>
      </c>
      <c r="AX262" s="34" t="str">
        <v/>
      </c>
      <c r="AY262" s="34">
        <v>1</v>
      </c>
      <c r="AZ262" s="34" t="str">
        <v/>
      </c>
      <c r="BA262" s="34">
        <v>0</v>
      </c>
      <c r="BB262" s="34">
        <v>16</v>
      </c>
      <c r="BD262" s="34">
        <v>1</v>
      </c>
      <c r="BE262" s="34">
        <v>0</v>
      </c>
      <c r="BF262" s="34">
        <v>1</v>
      </c>
      <c r="BG262" s="34" t="str">
        <v/>
      </c>
      <c r="BH262" s="34" t="str">
        <v/>
      </c>
      <c r="BI262" s="34" t="str">
        <v/>
      </c>
      <c r="BJ262" s="34" t="str">
        <v/>
      </c>
      <c r="BK262" s="34" t="str">
        <v>SOCKET</v>
      </c>
      <c r="BL262" s="34">
        <v>1</v>
      </c>
      <c r="BM262" s="34" t="str">
        <v/>
      </c>
      <c r="BN262" s="34" t="str">
        <v/>
      </c>
      <c r="BO262" s="34" t="str">
        <v/>
      </c>
      <c r="BP262" s="34" t="str">
        <v/>
      </c>
      <c r="BQ262" s="34" t="str">
        <v>3х2,5</v>
      </c>
      <c r="BR262" s="34" t="str">
        <v/>
      </c>
      <c r="BS262" s="34" t="str">
        <v/>
      </c>
      <c r="BT262" s="34" t="str">
        <v/>
      </c>
      <c r="BU262" s="34">
        <v>0</v>
      </c>
      <c r="BV262" s="34">
        <v>283</v>
      </c>
      <c r="BW262" s="34">
        <v>1</v>
      </c>
      <c r="BX262" s="34">
        <v>0</v>
      </c>
      <c r="BY262" s="34" t="str">
        <v>Розетка</v>
      </c>
      <c r="BZ262">
        <v>11</v>
      </c>
      <c r="CA262" t="str">
        <v>линии</v>
      </c>
    </row>
    <row r="263" spans="1:79" x14ac:dyDescent="0.3">
      <c r="A263" s="39" t="str">
        <v>ЩР-2</v>
      </c>
      <c r="B263" s="42">
        <v>20</v>
      </c>
      <c r="C263" s="42">
        <v>2</v>
      </c>
      <c r="D263" s="75" t="str">
        <v/>
      </c>
      <c r="E263" s="75" t="str">
        <v>авто</v>
      </c>
      <c r="F263" s="76">
        <v>30</v>
      </c>
      <c r="G263" s="47" t="str">
        <v>QFD3</v>
      </c>
      <c r="H263" s="47" t="str">
        <v>2P С16А 30мА</v>
      </c>
      <c r="I263" s="75" t="str">
        <v/>
      </c>
      <c r="J263" s="76" t="str">
        <v/>
      </c>
      <c r="K263" s="76" t="str">
        <v/>
      </c>
      <c r="L263" s="75" t="str">
        <v/>
      </c>
      <c r="M263" s="49" t="str">
        <v/>
      </c>
      <c r="N263" s="76" t="str">
        <v/>
      </c>
      <c r="O263" s="49" t="str">
        <v/>
      </c>
      <c r="P263" s="77" t="str">
        <v>XT3</v>
      </c>
      <c r="Q263" s="53" t="str">
        <v>ВВГнг(А)-LS (3х2,5) L=57-0,58%</v>
      </c>
      <c r="R263" s="54" t="str">
        <v>R.2.005А.1</v>
      </c>
      <c r="S263" s="55" t="str">
        <v>Розеточная группа, пом. 005А</v>
      </c>
      <c r="T263" s="56">
        <v>0.3</v>
      </c>
      <c r="U263" s="56">
        <v>1.37</v>
      </c>
      <c r="V263" s="42" t="str">
        <v>L2</v>
      </c>
      <c r="W263" s="57" t="str">
        <v>ok</v>
      </c>
      <c r="X263" s="58" t="str">
        <v/>
      </c>
      <c r="Y263" s="75" t="str">
        <v/>
      </c>
      <c r="Z263" s="59">
        <v>1.3674085322912188</v>
      </c>
      <c r="AA263" s="61">
        <v>16</v>
      </c>
      <c r="AB263" s="61">
        <v>25</v>
      </c>
      <c r="AC263" s="61" t="str">
        <v/>
      </c>
      <c r="AD263" s="62" t="str">
        <v>QFD3 → XT3</v>
      </c>
      <c r="AE263" s="62" t="str">
        <v/>
      </c>
      <c r="AF263" s="34">
        <v>3</v>
      </c>
      <c r="AG263" s="34" t="str">
        <v>QFD3</v>
      </c>
      <c r="AH263" s="34" t="str">
        <v/>
      </c>
      <c r="AI263" s="34" t="str">
        <v/>
      </c>
      <c r="AJ263" s="34" t="str">
        <v>QFD3</v>
      </c>
      <c r="AK263" s="34">
        <v>1</v>
      </c>
      <c r="AL263" s="34" t="str">
        <v>R</v>
      </c>
      <c r="AM263" s="34">
        <v>30</v>
      </c>
      <c r="AN263" s="34">
        <v>0</v>
      </c>
      <c r="AO263" s="34">
        <v>16</v>
      </c>
      <c r="AP263" s="34">
        <v>25</v>
      </c>
      <c r="AQ263" s="34">
        <v>16</v>
      </c>
      <c r="AR263" s="34">
        <v>1</v>
      </c>
      <c r="AS263" s="34">
        <v>1</v>
      </c>
      <c r="AT263" s="34" t="str">
        <v>2P</v>
      </c>
      <c r="AU263" s="34">
        <v>16</v>
      </c>
      <c r="AV263" s="34" t="str">
        <v/>
      </c>
      <c r="AW263" s="34" t="str">
        <v/>
      </c>
      <c r="AX263" s="34" t="str">
        <v/>
      </c>
      <c r="AY263" s="34">
        <v>1</v>
      </c>
      <c r="AZ263" s="34" t="str">
        <v/>
      </c>
      <c r="BA263" s="34">
        <v>0</v>
      </c>
      <c r="BB263" s="34">
        <v>16</v>
      </c>
      <c r="BD263" s="34">
        <v>1</v>
      </c>
      <c r="BE263" s="34">
        <v>0</v>
      </c>
      <c r="BF263" s="34">
        <v>1</v>
      </c>
      <c r="BG263" s="34" t="str">
        <v/>
      </c>
      <c r="BH263" s="34" t="str">
        <v/>
      </c>
      <c r="BI263" s="34" t="str">
        <v/>
      </c>
      <c r="BJ263" s="34" t="str">
        <v/>
      </c>
      <c r="BK263" s="34" t="str">
        <v>SOCKET</v>
      </c>
      <c r="BL263" s="34">
        <v>1</v>
      </c>
      <c r="BM263" s="34" t="str">
        <v/>
      </c>
      <c r="BN263" s="34" t="str">
        <v/>
      </c>
      <c r="BO263" s="34" t="str">
        <v/>
      </c>
      <c r="BP263" s="34" t="str">
        <v/>
      </c>
      <c r="BQ263" s="34" t="str">
        <v>3х2,5</v>
      </c>
      <c r="BR263" s="34" t="str">
        <v/>
      </c>
      <c r="BS263" s="34" t="str">
        <v/>
      </c>
      <c r="BT263" s="34" t="str">
        <v/>
      </c>
      <c r="BU263" s="34">
        <v>0</v>
      </c>
      <c r="BV263" s="34">
        <v>284</v>
      </c>
      <c r="BW263" s="34">
        <v>1</v>
      </c>
      <c r="BX263" s="34">
        <v>0</v>
      </c>
      <c r="BY263" s="34" t="str">
        <v>Розетка</v>
      </c>
      <c r="BZ263">
        <v>11</v>
      </c>
      <c r="CA263" t="str">
        <v>линии</v>
      </c>
    </row>
    <row r="264" spans="1:79" x14ac:dyDescent="0.3">
      <c r="A264" s="39" t="str">
        <v>ЩР-2</v>
      </c>
      <c r="B264" s="42">
        <v>21</v>
      </c>
      <c r="C264" s="42">
        <v>2</v>
      </c>
      <c r="D264" s="75" t="str">
        <v/>
      </c>
      <c r="E264" s="75" t="str">
        <v>авто</v>
      </c>
      <c r="F264" s="76">
        <v>30</v>
      </c>
      <c r="G264" s="47" t="str">
        <v>QFD4</v>
      </c>
      <c r="H264" s="47" t="str">
        <v>2P С16А 30мА</v>
      </c>
      <c r="I264" s="75" t="str">
        <v/>
      </c>
      <c r="J264" s="76" t="str">
        <v/>
      </c>
      <c r="K264" s="76" t="str">
        <v/>
      </c>
      <c r="L264" s="75" t="str">
        <v/>
      </c>
      <c r="M264" s="49" t="str">
        <v/>
      </c>
      <c r="N264" s="76" t="str">
        <v/>
      </c>
      <c r="O264" s="49" t="str">
        <v/>
      </c>
      <c r="P264" s="77" t="str">
        <v>XT4</v>
      </c>
      <c r="Q264" s="53" t="str">
        <v>ВВГнг(А)-LS (3х2,5) L=43-0,35%</v>
      </c>
      <c r="R264" s="54" t="str">
        <v>R.2.005А.2</v>
      </c>
      <c r="S264" s="55" t="str">
        <v>Розеточная группа, пом. 005А</v>
      </c>
      <c r="T264" s="56">
        <v>0.24</v>
      </c>
      <c r="U264" s="56">
        <v>1.1000000000000001</v>
      </c>
      <c r="V264" s="42" t="str">
        <v>L3</v>
      </c>
      <c r="W264" s="57" t="str">
        <v>ok</v>
      </c>
      <c r="X264" s="58" t="str">
        <v/>
      </c>
      <c r="Y264" s="75" t="str">
        <v/>
      </c>
      <c r="Z264" s="59">
        <v>1.0939268258329751</v>
      </c>
      <c r="AA264" s="61">
        <v>16</v>
      </c>
      <c r="AB264" s="61">
        <v>25</v>
      </c>
      <c r="AC264" s="61" t="str">
        <v/>
      </c>
      <c r="AD264" s="62" t="str">
        <v>QFD4 → XT4</v>
      </c>
      <c r="AE264" s="62" t="str">
        <v/>
      </c>
      <c r="AF264" s="34">
        <v>4</v>
      </c>
      <c r="AG264" s="34" t="str">
        <v>QFD4</v>
      </c>
      <c r="AH264" s="34" t="str">
        <v/>
      </c>
      <c r="AI264" s="34" t="str">
        <v/>
      </c>
      <c r="AJ264" s="34" t="str">
        <v>QFD4</v>
      </c>
      <c r="AK264" s="34">
        <v>1</v>
      </c>
      <c r="AL264" s="34" t="str">
        <v>R</v>
      </c>
      <c r="AM264" s="34">
        <v>30</v>
      </c>
      <c r="AN264" s="34">
        <v>0</v>
      </c>
      <c r="AO264" s="34">
        <v>16</v>
      </c>
      <c r="AP264" s="34">
        <v>25</v>
      </c>
      <c r="AQ264" s="34">
        <v>16</v>
      </c>
      <c r="AR264" s="34">
        <v>1</v>
      </c>
      <c r="AS264" s="34">
        <v>1</v>
      </c>
      <c r="AT264" s="34" t="str">
        <v>2P</v>
      </c>
      <c r="AU264" s="34">
        <v>16</v>
      </c>
      <c r="AV264" s="34" t="str">
        <v/>
      </c>
      <c r="AW264" s="34" t="str">
        <v/>
      </c>
      <c r="AX264" s="34" t="str">
        <v/>
      </c>
      <c r="AY264" s="34">
        <v>1</v>
      </c>
      <c r="AZ264" s="34" t="str">
        <v/>
      </c>
      <c r="BA264" s="34">
        <v>0</v>
      </c>
      <c r="BB264" s="34">
        <v>16</v>
      </c>
      <c r="BD264" s="34">
        <v>1</v>
      </c>
      <c r="BE264" s="34">
        <v>0</v>
      </c>
      <c r="BF264" s="34">
        <v>1</v>
      </c>
      <c r="BG264" s="34" t="str">
        <v/>
      </c>
      <c r="BH264" s="34" t="str">
        <v/>
      </c>
      <c r="BI264" s="34" t="str">
        <v/>
      </c>
      <c r="BJ264" s="34" t="str">
        <v/>
      </c>
      <c r="BK264" s="34" t="str">
        <v>SOCKET</v>
      </c>
      <c r="BL264" s="34">
        <v>1</v>
      </c>
      <c r="BM264" s="34" t="str">
        <v/>
      </c>
      <c r="BN264" s="34" t="str">
        <v/>
      </c>
      <c r="BO264" s="34" t="str">
        <v/>
      </c>
      <c r="BP264" s="34" t="str">
        <v/>
      </c>
      <c r="BQ264" s="34" t="str">
        <v>3х2,5</v>
      </c>
      <c r="BR264" s="34" t="str">
        <v/>
      </c>
      <c r="BS264" s="34" t="str">
        <v/>
      </c>
      <c r="BT264" s="34" t="str">
        <v/>
      </c>
      <c r="BU264" s="34">
        <v>0</v>
      </c>
      <c r="BV264" s="34">
        <v>285</v>
      </c>
      <c r="BW264" s="34">
        <v>1</v>
      </c>
      <c r="BX264" s="34">
        <v>0</v>
      </c>
      <c r="BY264" s="34" t="str">
        <v>Розетка</v>
      </c>
      <c r="BZ264">
        <v>11</v>
      </c>
      <c r="CA264" t="str">
        <v>линии</v>
      </c>
    </row>
    <row r="265" spans="1:79" x14ac:dyDescent="0.3">
      <c r="A265" s="39" t="str">
        <v>ЩР-2</v>
      </c>
      <c r="B265" s="42">
        <v>22</v>
      </c>
      <c r="C265" s="42">
        <v>2</v>
      </c>
      <c r="D265" s="75" t="str">
        <v/>
      </c>
      <c r="E265" s="75" t="str">
        <v>авто</v>
      </c>
      <c r="F265" s="76">
        <v>30</v>
      </c>
      <c r="G265" s="47" t="str">
        <v>QFD5</v>
      </c>
      <c r="H265" s="47" t="str">
        <v>2P С16А 30мА</v>
      </c>
      <c r="I265" s="75" t="str">
        <v/>
      </c>
      <c r="J265" s="76" t="str">
        <v/>
      </c>
      <c r="K265" s="76" t="str">
        <v/>
      </c>
      <c r="L265" s="75" t="str">
        <v/>
      </c>
      <c r="M265" s="49" t="str">
        <v/>
      </c>
      <c r="N265" s="76" t="str">
        <v/>
      </c>
      <c r="O265" s="49" t="str">
        <v/>
      </c>
      <c r="P265" s="77" t="str">
        <v>XT5</v>
      </c>
      <c r="Q265" s="53" t="str">
        <v>ВВГнг(А)-LS (3х2,5) L=49-0,1%</v>
      </c>
      <c r="R265" s="54" t="str">
        <v>R.2.006А.1</v>
      </c>
      <c r="S265" s="55" t="str">
        <v>Розеточная группа, пом. 006А</v>
      </c>
      <c r="T265" s="56">
        <v>0.06</v>
      </c>
      <c r="U265" s="56">
        <v>0.28000000000000003</v>
      </c>
      <c r="V265" s="42" t="str">
        <v>L1</v>
      </c>
      <c r="W265" s="57" t="str">
        <v>ok</v>
      </c>
      <c r="X265" s="58" t="str">
        <v/>
      </c>
      <c r="Y265" s="75" t="str">
        <v/>
      </c>
      <c r="Z265" s="59">
        <v>0.27348170645824377</v>
      </c>
      <c r="AA265" s="61">
        <v>16</v>
      </c>
      <c r="AB265" s="61">
        <v>25</v>
      </c>
      <c r="AC265" s="61" t="str">
        <v/>
      </c>
      <c r="AD265" s="62" t="str">
        <v>QFD5 → XT5</v>
      </c>
      <c r="AE265" s="62" t="str">
        <v/>
      </c>
      <c r="AF265" s="34">
        <v>5</v>
      </c>
      <c r="AG265" s="34" t="str">
        <v>QFD5</v>
      </c>
      <c r="AH265" s="34" t="str">
        <v/>
      </c>
      <c r="AI265" s="34" t="str">
        <v/>
      </c>
      <c r="AJ265" s="34" t="str">
        <v>QFD5</v>
      </c>
      <c r="AK265" s="34">
        <v>1</v>
      </c>
      <c r="AL265" s="34" t="str">
        <v>R</v>
      </c>
      <c r="AM265" s="34">
        <v>30</v>
      </c>
      <c r="AN265" s="34">
        <v>0</v>
      </c>
      <c r="AO265" s="34">
        <v>16</v>
      </c>
      <c r="AP265" s="34">
        <v>25</v>
      </c>
      <c r="AQ265" s="34">
        <v>16</v>
      </c>
      <c r="AR265" s="34">
        <v>1</v>
      </c>
      <c r="AS265" s="34">
        <v>1</v>
      </c>
      <c r="AT265" s="34" t="str">
        <v>2P</v>
      </c>
      <c r="AU265" s="34">
        <v>16</v>
      </c>
      <c r="AV265" s="34" t="str">
        <v/>
      </c>
      <c r="AW265" s="34" t="str">
        <v/>
      </c>
      <c r="AX265" s="34" t="str">
        <v/>
      </c>
      <c r="AY265" s="34">
        <v>1</v>
      </c>
      <c r="AZ265" s="34" t="str">
        <v/>
      </c>
      <c r="BA265" s="34">
        <v>0</v>
      </c>
      <c r="BB265" s="34">
        <v>16</v>
      </c>
      <c r="BD265" s="34">
        <v>1</v>
      </c>
      <c r="BE265" s="34">
        <v>0</v>
      </c>
      <c r="BF265" s="34">
        <v>1</v>
      </c>
      <c r="BG265" s="34" t="str">
        <v/>
      </c>
      <c r="BH265" s="34" t="str">
        <v/>
      </c>
      <c r="BI265" s="34" t="str">
        <v/>
      </c>
      <c r="BJ265" s="34" t="str">
        <v/>
      </c>
      <c r="BK265" s="34" t="str">
        <v>SOCKET</v>
      </c>
      <c r="BL265" s="34">
        <v>1</v>
      </c>
      <c r="BM265" s="34" t="str">
        <v/>
      </c>
      <c r="BN265" s="34" t="str">
        <v/>
      </c>
      <c r="BO265" s="34" t="str">
        <v/>
      </c>
      <c r="BP265" s="34" t="str">
        <v/>
      </c>
      <c r="BQ265" s="34" t="str">
        <v>3х2,5</v>
      </c>
      <c r="BR265" s="34" t="str">
        <v/>
      </c>
      <c r="BS265" s="34" t="str">
        <v/>
      </c>
      <c r="BT265" s="34" t="str">
        <v/>
      </c>
      <c r="BU265" s="34">
        <v>0</v>
      </c>
      <c r="BV265" s="34">
        <v>286</v>
      </c>
      <c r="BW265" s="34">
        <v>1</v>
      </c>
      <c r="BX265" s="34">
        <v>0</v>
      </c>
      <c r="BY265" s="34" t="str">
        <v>Розетка</v>
      </c>
      <c r="BZ265">
        <v>11</v>
      </c>
      <c r="CA265" t="str">
        <v>линии</v>
      </c>
    </row>
    <row r="266" spans="1:79" x14ac:dyDescent="0.3">
      <c r="A266" s="39" t="str">
        <v>ЩР-2</v>
      </c>
      <c r="B266" s="42">
        <v>23</v>
      </c>
      <c r="C266" s="42">
        <v>2</v>
      </c>
      <c r="D266" s="75" t="str">
        <v/>
      </c>
      <c r="E266" s="75" t="str">
        <v>авто</v>
      </c>
      <c r="F266" s="76">
        <v>30</v>
      </c>
      <c r="G266" s="47" t="str">
        <v>QFD6</v>
      </c>
      <c r="H266" s="47" t="str">
        <v>2P С16А 30мА</v>
      </c>
      <c r="I266" s="75" t="str">
        <v/>
      </c>
      <c r="J266" s="76" t="str">
        <v/>
      </c>
      <c r="K266" s="76" t="str">
        <v/>
      </c>
      <c r="L266" s="75" t="str">
        <v/>
      </c>
      <c r="M266" s="49" t="str">
        <v/>
      </c>
      <c r="N266" s="76" t="str">
        <v/>
      </c>
      <c r="O266" s="49" t="str">
        <v/>
      </c>
      <c r="P266" s="77" t="str">
        <v>XT6</v>
      </c>
      <c r="Q266" s="53" t="str">
        <v>ВВГнг(А)-LS (3х2,5) L=58-0,71%</v>
      </c>
      <c r="R266" s="54" t="str">
        <v>R.2.009А.1</v>
      </c>
      <c r="S266" s="55" t="str">
        <v>Розеточная группа, пом. 009А</v>
      </c>
      <c r="T266" s="56">
        <v>0.36</v>
      </c>
      <c r="U266" s="56">
        <v>1.65</v>
      </c>
      <c r="V266" s="42" t="str">
        <v>L3</v>
      </c>
      <c r="W266" s="57" t="str">
        <v>ok</v>
      </c>
      <c r="X266" s="58" t="str">
        <v/>
      </c>
      <c r="Y266" s="75" t="str">
        <v/>
      </c>
      <c r="Z266" s="59">
        <v>1.6408902387494626</v>
      </c>
      <c r="AA266" s="61">
        <v>16</v>
      </c>
      <c r="AB266" s="61">
        <v>25</v>
      </c>
      <c r="AC266" s="61" t="str">
        <v/>
      </c>
      <c r="AD266" s="62" t="str">
        <v>QFD6 → XT6</v>
      </c>
      <c r="AE266" s="62" t="str">
        <v/>
      </c>
      <c r="AF266" s="34">
        <v>6</v>
      </c>
      <c r="AG266" s="34" t="str">
        <v>QFD6</v>
      </c>
      <c r="AH266" s="34" t="str">
        <v/>
      </c>
      <c r="AI266" s="34" t="str">
        <v/>
      </c>
      <c r="AJ266" s="34" t="str">
        <v>QFD6</v>
      </c>
      <c r="AK266" s="34">
        <v>1</v>
      </c>
      <c r="AL266" s="34" t="str">
        <v>R</v>
      </c>
      <c r="AM266" s="34">
        <v>30</v>
      </c>
      <c r="AN266" s="34">
        <v>0</v>
      </c>
      <c r="AO266" s="34">
        <v>16</v>
      </c>
      <c r="AP266" s="34">
        <v>25</v>
      </c>
      <c r="AQ266" s="34">
        <v>16</v>
      </c>
      <c r="AR266" s="34">
        <v>1</v>
      </c>
      <c r="AS266" s="34">
        <v>1</v>
      </c>
      <c r="AT266" s="34" t="str">
        <v>2P</v>
      </c>
      <c r="AU266" s="34">
        <v>16</v>
      </c>
      <c r="AV266" s="34" t="str">
        <v/>
      </c>
      <c r="AW266" s="34" t="str">
        <v/>
      </c>
      <c r="AX266" s="34" t="str">
        <v/>
      </c>
      <c r="AY266" s="34">
        <v>1</v>
      </c>
      <c r="AZ266" s="34" t="str">
        <v/>
      </c>
      <c r="BA266" s="34">
        <v>0</v>
      </c>
      <c r="BB266" s="34">
        <v>16</v>
      </c>
      <c r="BD266" s="34">
        <v>1</v>
      </c>
      <c r="BE266" s="34">
        <v>0</v>
      </c>
      <c r="BF266" s="34">
        <v>1</v>
      </c>
      <c r="BG266" s="34" t="str">
        <v/>
      </c>
      <c r="BH266" s="34" t="str">
        <v/>
      </c>
      <c r="BI266" s="34" t="str">
        <v/>
      </c>
      <c r="BJ266" s="34" t="str">
        <v/>
      </c>
      <c r="BK266" s="34" t="str">
        <v>SOCKET</v>
      </c>
      <c r="BL266" s="34">
        <v>1</v>
      </c>
      <c r="BM266" s="34" t="str">
        <v/>
      </c>
      <c r="BN266" s="34" t="str">
        <v/>
      </c>
      <c r="BO266" s="34" t="str">
        <v/>
      </c>
      <c r="BP266" s="34" t="str">
        <v/>
      </c>
      <c r="BQ266" s="34" t="str">
        <v>3х2,5</v>
      </c>
      <c r="BR266" s="34" t="str">
        <v/>
      </c>
      <c r="BS266" s="34" t="str">
        <v/>
      </c>
      <c r="BT266" s="34" t="str">
        <v/>
      </c>
      <c r="BU266" s="34">
        <v>0</v>
      </c>
      <c r="BV266" s="34">
        <v>287</v>
      </c>
      <c r="BW266" s="34">
        <v>1</v>
      </c>
      <c r="BX266" s="34">
        <v>0</v>
      </c>
      <c r="BY266" s="34" t="str">
        <v>Розетка</v>
      </c>
      <c r="BZ266">
        <v>11</v>
      </c>
      <c r="CA266" t="str">
        <v>линии</v>
      </c>
    </row>
    <row r="267" spans="1:79" x14ac:dyDescent="0.3">
      <c r="A267" s="39" t="str">
        <v>ЩР-2</v>
      </c>
      <c r="B267" s="42">
        <v>24</v>
      </c>
      <c r="C267" s="42">
        <v>2</v>
      </c>
      <c r="D267" s="75" t="str">
        <v/>
      </c>
      <c r="E267" s="75" t="str">
        <v>авто</v>
      </c>
      <c r="F267" s="76">
        <v>30</v>
      </c>
      <c r="G267" s="47" t="str">
        <v>QFD7</v>
      </c>
      <c r="H267" s="47" t="str">
        <v>2P С16А 30мА</v>
      </c>
      <c r="I267" s="75" t="str">
        <v/>
      </c>
      <c r="J267" s="76" t="str">
        <v/>
      </c>
      <c r="K267" s="76" t="str">
        <v/>
      </c>
      <c r="L267" s="75" t="str">
        <v/>
      </c>
      <c r="M267" s="49" t="str">
        <v/>
      </c>
      <c r="N267" s="76" t="str">
        <v/>
      </c>
      <c r="O267" s="49" t="str">
        <v/>
      </c>
      <c r="P267" s="77" t="str">
        <v>XT7</v>
      </c>
      <c r="Q267" s="53" t="str">
        <v>ВВГнг(А)-LS (3х2,5) L=38-0,31%</v>
      </c>
      <c r="R267" s="54" t="str">
        <v>R.2.009А.2</v>
      </c>
      <c r="S267" s="55" t="str">
        <v>Розеточная группа, пом. 009А</v>
      </c>
      <c r="T267" s="56">
        <v>0.24</v>
      </c>
      <c r="U267" s="56">
        <v>1.1000000000000001</v>
      </c>
      <c r="V267" s="42" t="str">
        <v>L2</v>
      </c>
      <c r="W267" s="57" t="str">
        <v>ok</v>
      </c>
      <c r="X267" s="58" t="str">
        <v/>
      </c>
      <c r="Y267" s="75" t="str">
        <v/>
      </c>
      <c r="Z267" s="59">
        <v>1.0939268258329751</v>
      </c>
      <c r="AA267" s="61">
        <v>16</v>
      </c>
      <c r="AB267" s="61">
        <v>25</v>
      </c>
      <c r="AC267" s="61" t="str">
        <v/>
      </c>
      <c r="AD267" s="62" t="str">
        <v>QFD7 → XT7</v>
      </c>
      <c r="AE267" s="62" t="str">
        <v/>
      </c>
      <c r="AF267" s="34">
        <v>7</v>
      </c>
      <c r="AG267" s="34" t="str">
        <v>QFD7</v>
      </c>
      <c r="AH267" s="34" t="str">
        <v/>
      </c>
      <c r="AI267" s="34" t="str">
        <v/>
      </c>
      <c r="AJ267" s="34" t="str">
        <v>QFD7</v>
      </c>
      <c r="AK267" s="34">
        <v>1</v>
      </c>
      <c r="AL267" s="34" t="str">
        <v>R</v>
      </c>
      <c r="AM267" s="34">
        <v>30</v>
      </c>
      <c r="AN267" s="34">
        <v>0</v>
      </c>
      <c r="AO267" s="34">
        <v>16</v>
      </c>
      <c r="AP267" s="34">
        <v>25</v>
      </c>
      <c r="AQ267" s="34">
        <v>16</v>
      </c>
      <c r="AR267" s="34">
        <v>1</v>
      </c>
      <c r="AS267" s="34">
        <v>1</v>
      </c>
      <c r="AT267" s="34" t="str">
        <v>2P</v>
      </c>
      <c r="AU267" s="34">
        <v>16</v>
      </c>
      <c r="AV267" s="34" t="str">
        <v/>
      </c>
      <c r="AW267" s="34" t="str">
        <v/>
      </c>
      <c r="AX267" s="34" t="str">
        <v/>
      </c>
      <c r="AY267" s="34">
        <v>1</v>
      </c>
      <c r="AZ267" s="34" t="str">
        <v/>
      </c>
      <c r="BA267" s="34">
        <v>0</v>
      </c>
      <c r="BB267" s="34">
        <v>16</v>
      </c>
      <c r="BD267" s="34">
        <v>1</v>
      </c>
      <c r="BE267" s="34">
        <v>0</v>
      </c>
      <c r="BF267" s="34">
        <v>1</v>
      </c>
      <c r="BG267" s="34" t="str">
        <v/>
      </c>
      <c r="BH267" s="34" t="str">
        <v/>
      </c>
      <c r="BI267" s="34" t="str">
        <v/>
      </c>
      <c r="BJ267" s="34" t="str">
        <v/>
      </c>
      <c r="BK267" s="34" t="str">
        <v>SOCKET</v>
      </c>
      <c r="BL267" s="34">
        <v>1</v>
      </c>
      <c r="BM267" s="34" t="str">
        <v/>
      </c>
      <c r="BN267" s="34" t="str">
        <v/>
      </c>
      <c r="BO267" s="34" t="str">
        <v/>
      </c>
      <c r="BP267" s="34" t="str">
        <v/>
      </c>
      <c r="BQ267" s="34" t="str">
        <v>3х2,5</v>
      </c>
      <c r="BR267" s="34" t="str">
        <v/>
      </c>
      <c r="BS267" s="34" t="str">
        <v/>
      </c>
      <c r="BT267" s="34" t="str">
        <v/>
      </c>
      <c r="BU267" s="34">
        <v>0</v>
      </c>
      <c r="BV267" s="34">
        <v>288</v>
      </c>
      <c r="BW267" s="34">
        <v>1</v>
      </c>
      <c r="BX267" s="34">
        <v>0</v>
      </c>
      <c r="BY267" s="34" t="str">
        <v>Розетка</v>
      </c>
      <c r="BZ267">
        <v>11</v>
      </c>
      <c r="CA267" t="str">
        <v>линии</v>
      </c>
    </row>
    <row r="268" spans="1:79" x14ac:dyDescent="0.3">
      <c r="A268" s="39" t="str">
        <v>ЩР-2</v>
      </c>
      <c r="B268" s="42">
        <v>25</v>
      </c>
      <c r="C268" s="42">
        <v>2</v>
      </c>
      <c r="D268" s="75" t="str">
        <v/>
      </c>
      <c r="E268" s="75" t="str">
        <v>авто</v>
      </c>
      <c r="F268" s="76">
        <v>30</v>
      </c>
      <c r="G268" s="47" t="str">
        <v>QFD8</v>
      </c>
      <c r="H268" s="47" t="str">
        <v>2P С16А 30мА</v>
      </c>
      <c r="I268" s="75" t="str">
        <v/>
      </c>
      <c r="J268" s="76" t="str">
        <v/>
      </c>
      <c r="K268" s="76" t="str">
        <v/>
      </c>
      <c r="L268" s="75" t="str">
        <v/>
      </c>
      <c r="M268" s="49" t="str">
        <v/>
      </c>
      <c r="N268" s="76" t="str">
        <v/>
      </c>
      <c r="O268" s="49" t="str">
        <v/>
      </c>
      <c r="P268" s="77" t="str">
        <v>XT8</v>
      </c>
      <c r="Q268" s="53" t="str">
        <v>ВВГнг(А)-LS (3х2,5) L=35-0,08%</v>
      </c>
      <c r="R268" s="54" t="str">
        <v>R.2.010А.1</v>
      </c>
      <c r="S268" s="55" t="str">
        <v>Розеточная группа, пом. 010А</v>
      </c>
      <c r="T268" s="56">
        <v>0.06</v>
      </c>
      <c r="U268" s="56">
        <v>0.28000000000000003</v>
      </c>
      <c r="V268" s="42" t="str">
        <v>L2</v>
      </c>
      <c r="W268" s="57" t="str">
        <v>ok</v>
      </c>
      <c r="X268" s="58" t="str">
        <v/>
      </c>
      <c r="Y268" s="75" t="str">
        <v/>
      </c>
      <c r="Z268" s="59">
        <v>0.27348170645824377</v>
      </c>
      <c r="AA268" s="61">
        <v>16</v>
      </c>
      <c r="AB268" s="61">
        <v>25</v>
      </c>
      <c r="AC268" s="61" t="str">
        <v/>
      </c>
      <c r="AD268" s="62" t="str">
        <v>QFD8 → XT8</v>
      </c>
      <c r="AE268" s="62" t="str">
        <v/>
      </c>
      <c r="AF268" s="34">
        <v>8</v>
      </c>
      <c r="AG268" s="34" t="str">
        <v>QFD8</v>
      </c>
      <c r="AH268" s="34" t="str">
        <v/>
      </c>
      <c r="AI268" s="34" t="str">
        <v/>
      </c>
      <c r="AJ268" s="34" t="str">
        <v>QFD8</v>
      </c>
      <c r="AK268" s="34">
        <v>1</v>
      </c>
      <c r="AL268" s="34" t="str">
        <v>R</v>
      </c>
      <c r="AM268" s="34">
        <v>30</v>
      </c>
      <c r="AN268" s="34">
        <v>0</v>
      </c>
      <c r="AO268" s="34">
        <v>16</v>
      </c>
      <c r="AP268" s="34">
        <v>25</v>
      </c>
      <c r="AQ268" s="34">
        <v>16</v>
      </c>
      <c r="AR268" s="34">
        <v>1</v>
      </c>
      <c r="AS268" s="34">
        <v>1</v>
      </c>
      <c r="AT268" s="34" t="str">
        <v>2P</v>
      </c>
      <c r="AU268" s="34">
        <v>16</v>
      </c>
      <c r="AV268" s="34" t="str">
        <v/>
      </c>
      <c r="AW268" s="34" t="str">
        <v/>
      </c>
      <c r="AX268" s="34" t="str">
        <v/>
      </c>
      <c r="AY268" s="34">
        <v>1</v>
      </c>
      <c r="AZ268" s="34" t="str">
        <v/>
      </c>
      <c r="BA268" s="34">
        <v>0</v>
      </c>
      <c r="BB268" s="34">
        <v>16</v>
      </c>
      <c r="BD268" s="34">
        <v>1</v>
      </c>
      <c r="BE268" s="34">
        <v>0</v>
      </c>
      <c r="BF268" s="34">
        <v>1</v>
      </c>
      <c r="BG268" s="34" t="str">
        <v/>
      </c>
      <c r="BH268" s="34" t="str">
        <v/>
      </c>
      <c r="BI268" s="34" t="str">
        <v/>
      </c>
      <c r="BJ268" s="34" t="str">
        <v/>
      </c>
      <c r="BK268" s="34" t="str">
        <v>SOCKET</v>
      </c>
      <c r="BL268" s="34">
        <v>1</v>
      </c>
      <c r="BM268" s="34" t="str">
        <v/>
      </c>
      <c r="BN268" s="34" t="str">
        <v/>
      </c>
      <c r="BO268" s="34" t="str">
        <v/>
      </c>
      <c r="BP268" s="34" t="str">
        <v/>
      </c>
      <c r="BQ268" s="34" t="str">
        <v>3х2,5</v>
      </c>
      <c r="BR268" s="34" t="str">
        <v/>
      </c>
      <c r="BS268" s="34" t="str">
        <v/>
      </c>
      <c r="BT268" s="34" t="str">
        <v/>
      </c>
      <c r="BU268" s="34">
        <v>0</v>
      </c>
      <c r="BV268" s="34">
        <v>289</v>
      </c>
      <c r="BW268" s="34">
        <v>1</v>
      </c>
      <c r="BX268" s="34">
        <v>0</v>
      </c>
      <c r="BY268" s="34" t="str">
        <v>Розетка</v>
      </c>
      <c r="BZ268">
        <v>11</v>
      </c>
      <c r="CA268" t="str">
        <v>линии</v>
      </c>
    </row>
    <row r="269" spans="1:79" x14ac:dyDescent="0.3">
      <c r="A269" s="39" t="str">
        <v>ЩР-2</v>
      </c>
      <c r="B269" s="42">
        <v>28</v>
      </c>
      <c r="C269" s="42">
        <v>2</v>
      </c>
      <c r="D269" s="75" t="str">
        <v/>
      </c>
      <c r="E269" s="75" t="str">
        <v>авто</v>
      </c>
      <c r="F269" s="76">
        <v>30</v>
      </c>
      <c r="G269" s="47" t="str">
        <v>QFD9</v>
      </c>
      <c r="H269" s="47" t="str">
        <v>2P С16А 30мА</v>
      </c>
      <c r="I269" s="75" t="str">
        <v/>
      </c>
      <c r="J269" s="76" t="str">
        <v/>
      </c>
      <c r="K269" s="76" t="str">
        <v/>
      </c>
      <c r="L269" s="75" t="str">
        <v/>
      </c>
      <c r="M269" s="49" t="str">
        <v/>
      </c>
      <c r="N269" s="76" t="str">
        <v/>
      </c>
      <c r="O269" s="49" t="str">
        <v/>
      </c>
      <c r="P269" s="77" t="str">
        <v/>
      </c>
      <c r="Q269" s="53" t="str">
        <v>ВВГнг(А)-LS (3х2,5) L=39-0,08%</v>
      </c>
      <c r="R269" s="54" t="str">
        <v>R.2.002Г.1</v>
      </c>
      <c r="S269" s="55" t="str">
        <v>Розеточная группа, пом. 002Г</v>
      </c>
      <c r="T269" s="56">
        <v>0.06</v>
      </c>
      <c r="U269" s="56">
        <v>0.28000000000000003</v>
      </c>
      <c r="V269" s="42" t="str">
        <v>L1</v>
      </c>
      <c r="W269" s="57" t="str">
        <v>ok</v>
      </c>
      <c r="X269" s="58" t="str">
        <v/>
      </c>
      <c r="Y269" s="75" t="str">
        <v/>
      </c>
      <c r="Z269" s="59">
        <v>0.27348170645824377</v>
      </c>
      <c r="AA269" s="61">
        <v>16</v>
      </c>
      <c r="AB269" s="61">
        <v>25</v>
      </c>
      <c r="AC269" s="61" t="str">
        <v/>
      </c>
      <c r="AD269" s="62" t="str">
        <v>QFD9</v>
      </c>
      <c r="AE269" s="62" t="str">
        <v/>
      </c>
      <c r="AF269" s="34">
        <v>9</v>
      </c>
      <c r="AG269" s="34" t="str">
        <v>QFD9</v>
      </c>
      <c r="AH269" s="34" t="str">
        <v/>
      </c>
      <c r="AI269" s="34" t="str">
        <v/>
      </c>
      <c r="AJ269" s="34" t="str">
        <v>QFD9</v>
      </c>
      <c r="AK269" s="34">
        <v>1</v>
      </c>
      <c r="AL269" s="34" t="str">
        <v>R</v>
      </c>
      <c r="AM269" s="34">
        <v>30</v>
      </c>
      <c r="AN269" s="34">
        <v>0</v>
      </c>
      <c r="AO269" s="34">
        <v>16</v>
      </c>
      <c r="AP269" s="34">
        <v>25</v>
      </c>
      <c r="AQ269" s="34">
        <v>16</v>
      </c>
      <c r="AR269" s="34">
        <v>1</v>
      </c>
      <c r="AS269" s="34">
        <v>1</v>
      </c>
      <c r="AT269" s="34" t="str">
        <v>2P</v>
      </c>
      <c r="AU269" s="34">
        <v>16</v>
      </c>
      <c r="AV269" s="34" t="str">
        <v/>
      </c>
      <c r="AW269" s="34" t="str">
        <v/>
      </c>
      <c r="AX269" s="34" t="str">
        <v/>
      </c>
      <c r="AY269" s="34">
        <v>1</v>
      </c>
      <c r="AZ269" s="34" t="str">
        <v/>
      </c>
      <c r="BA269" s="34">
        <v>0</v>
      </c>
      <c r="BB269" s="34">
        <v>16</v>
      </c>
      <c r="BD269" s="34">
        <v>1</v>
      </c>
      <c r="BE269" s="34">
        <v>0</v>
      </c>
      <c r="BF269" s="34">
        <v>1</v>
      </c>
      <c r="BG269" s="34" t="str">
        <v/>
      </c>
      <c r="BH269" s="34" t="str">
        <v/>
      </c>
      <c r="BI269" s="34" t="str">
        <v/>
      </c>
      <c r="BJ269" s="34" t="str">
        <v/>
      </c>
      <c r="BK269" s="34" t="str">
        <v>SOCKET</v>
      </c>
      <c r="BL269" s="34">
        <v>1</v>
      </c>
      <c r="BM269" s="34" t="str">
        <v/>
      </c>
      <c r="BN269" s="34" t="str">
        <v/>
      </c>
      <c r="BO269" s="34" t="str">
        <v/>
      </c>
      <c r="BP269" s="34" t="str">
        <v/>
      </c>
      <c r="BQ269" s="34" t="str">
        <v>3х2,5</v>
      </c>
      <c r="BR269" s="34" t="str">
        <v/>
      </c>
      <c r="BS269" s="34" t="str">
        <v/>
      </c>
      <c r="BT269" s="34" t="str">
        <v/>
      </c>
      <c r="BU269" s="34">
        <v>0</v>
      </c>
      <c r="BV269" s="34">
        <v>290</v>
      </c>
      <c r="BW269" s="34">
        <v>1</v>
      </c>
      <c r="BX269" s="34">
        <v>0</v>
      </c>
      <c r="BY269" s="34" t="str">
        <v>Розетка</v>
      </c>
      <c r="BZ269">
        <v>11</v>
      </c>
      <c r="CA269" t="str">
        <v>линии</v>
      </c>
    </row>
    <row r="270" spans="1:79" x14ac:dyDescent="0.3">
      <c r="A270" s="39" t="str">
        <v>ЩР-2</v>
      </c>
      <c r="B270" s="42">
        <v>29</v>
      </c>
      <c r="C270" s="42">
        <v>2</v>
      </c>
      <c r="D270" s="75" t="str">
        <v/>
      </c>
      <c r="E270" s="75" t="str">
        <v>авто</v>
      </c>
      <c r="F270" s="76">
        <v>30</v>
      </c>
      <c r="G270" s="47" t="str">
        <v>QFD10</v>
      </c>
      <c r="H270" s="47" t="str">
        <v>2P С16А 30мА</v>
      </c>
      <c r="I270" s="75" t="str">
        <v/>
      </c>
      <c r="J270" s="76" t="str">
        <v/>
      </c>
      <c r="K270" s="76" t="str">
        <v/>
      </c>
      <c r="L270" s="75" t="str">
        <v/>
      </c>
      <c r="M270" s="49" t="str">
        <v/>
      </c>
      <c r="N270" s="76" t="str">
        <v/>
      </c>
      <c r="O270" s="49" t="str">
        <v/>
      </c>
      <c r="P270" s="77" t="str">
        <v>XT10</v>
      </c>
      <c r="Q270" s="53" t="str">
        <v>ВВГнг(А)-LS (3х2,5) L=38-0,16%</v>
      </c>
      <c r="R270" s="54" t="str">
        <v>R.2.013А.1</v>
      </c>
      <c r="S270" s="55" t="str">
        <v>Розеточная группа, пом. 013А</v>
      </c>
      <c r="T270" s="56">
        <v>0.12</v>
      </c>
      <c r="U270" s="56">
        <v>0.55000000000000004</v>
      </c>
      <c r="V270" s="42" t="str">
        <v>L3</v>
      </c>
      <c r="W270" s="57" t="str">
        <v>ok</v>
      </c>
      <c r="X270" s="58" t="str">
        <v/>
      </c>
      <c r="Y270" s="75" t="str">
        <v/>
      </c>
      <c r="Z270" s="59">
        <v>0.54696341291648753</v>
      </c>
      <c r="AA270" s="61">
        <v>16</v>
      </c>
      <c r="AB270" s="61">
        <v>25</v>
      </c>
      <c r="AC270" s="61" t="str">
        <v/>
      </c>
      <c r="AD270" s="62" t="str">
        <v>QFD10 → XT10</v>
      </c>
      <c r="AE270" s="62" t="str">
        <v/>
      </c>
      <c r="AF270" s="34">
        <v>10</v>
      </c>
      <c r="AG270" s="34" t="str">
        <v>QFD10</v>
      </c>
      <c r="AH270" s="34" t="str">
        <v/>
      </c>
      <c r="AI270" s="34" t="str">
        <v/>
      </c>
      <c r="AJ270" s="34" t="str">
        <v>QFD10</v>
      </c>
      <c r="AK270" s="34">
        <v>1</v>
      </c>
      <c r="AL270" s="34" t="str">
        <v>R</v>
      </c>
      <c r="AM270" s="34">
        <v>30</v>
      </c>
      <c r="AN270" s="34">
        <v>0</v>
      </c>
      <c r="AO270" s="34">
        <v>16</v>
      </c>
      <c r="AP270" s="34">
        <v>25</v>
      </c>
      <c r="AQ270" s="34">
        <v>16</v>
      </c>
      <c r="AR270" s="34">
        <v>1</v>
      </c>
      <c r="AS270" s="34">
        <v>1</v>
      </c>
      <c r="AT270" s="34" t="str">
        <v>2P</v>
      </c>
      <c r="AU270" s="34">
        <v>16</v>
      </c>
      <c r="AV270" s="34" t="str">
        <v/>
      </c>
      <c r="AW270" s="34" t="str">
        <v/>
      </c>
      <c r="AX270" s="34" t="str">
        <v/>
      </c>
      <c r="AY270" s="34">
        <v>1</v>
      </c>
      <c r="AZ270" s="34" t="str">
        <v/>
      </c>
      <c r="BA270" s="34">
        <v>0</v>
      </c>
      <c r="BB270" s="34">
        <v>16</v>
      </c>
      <c r="BD270" s="34">
        <v>1</v>
      </c>
      <c r="BE270" s="34">
        <v>0</v>
      </c>
      <c r="BF270" s="34">
        <v>1</v>
      </c>
      <c r="BG270" s="34" t="str">
        <v/>
      </c>
      <c r="BH270" s="34" t="str">
        <v/>
      </c>
      <c r="BI270" s="34" t="str">
        <v/>
      </c>
      <c r="BJ270" s="34" t="str">
        <v/>
      </c>
      <c r="BK270" s="34" t="str">
        <v>SOCKET</v>
      </c>
      <c r="BL270" s="34">
        <v>1</v>
      </c>
      <c r="BM270" s="34" t="str">
        <v/>
      </c>
      <c r="BN270" s="34" t="str">
        <v/>
      </c>
      <c r="BO270" s="34" t="str">
        <v/>
      </c>
      <c r="BP270" s="34" t="str">
        <v/>
      </c>
      <c r="BQ270" s="34" t="str">
        <v>3х2,5</v>
      </c>
      <c r="BR270" s="34" t="str">
        <v/>
      </c>
      <c r="BS270" s="34" t="str">
        <v/>
      </c>
      <c r="BT270" s="34" t="str">
        <v/>
      </c>
      <c r="BU270" s="34">
        <v>0</v>
      </c>
      <c r="BV270" s="34">
        <v>291</v>
      </c>
      <c r="BW270" s="34">
        <v>1</v>
      </c>
      <c r="BX270" s="34">
        <v>0</v>
      </c>
      <c r="BY270" s="34" t="str">
        <v>Розетка</v>
      </c>
      <c r="BZ270">
        <v>11</v>
      </c>
      <c r="CA270" t="str">
        <v>линии</v>
      </c>
    </row>
    <row r="271" spans="1:79" x14ac:dyDescent="0.3">
      <c r="A271" s="39" t="str">
        <v>ЩР-2</v>
      </c>
      <c r="B271" s="42">
        <v>30</v>
      </c>
      <c r="C271" s="42">
        <v>2</v>
      </c>
      <c r="D271" s="75" t="str">
        <v/>
      </c>
      <c r="E271" s="75" t="str">
        <v>авто</v>
      </c>
      <c r="F271" s="76">
        <v>30</v>
      </c>
      <c r="G271" s="47" t="str">
        <v>QFD11</v>
      </c>
      <c r="H271" s="47" t="str">
        <v>2P С16А 30мА</v>
      </c>
      <c r="I271" s="75" t="str">
        <v/>
      </c>
      <c r="J271" s="76" t="str">
        <v/>
      </c>
      <c r="K271" s="76" t="str">
        <v/>
      </c>
      <c r="L271" s="75" t="str">
        <v/>
      </c>
      <c r="M271" s="49" t="str">
        <v/>
      </c>
      <c r="N271" s="76" t="str">
        <v/>
      </c>
      <c r="O271" s="49" t="str">
        <v/>
      </c>
      <c r="P271" s="77" t="str">
        <v/>
      </c>
      <c r="Q271" s="53" t="str">
        <v>ВВГнг(А)-LS (3х2,5) L=65-1,19%</v>
      </c>
      <c r="R271" s="54" t="str">
        <v>R.2.014А.1</v>
      </c>
      <c r="S271" s="55" t="str">
        <v>Розеточная группа Второй этаж Пом. №013А, 012А</v>
      </c>
      <c r="T271" s="56">
        <v>0.54</v>
      </c>
      <c r="U271" s="56">
        <v>2.4699999999999998</v>
      </c>
      <c r="V271" s="42" t="str">
        <v>L3</v>
      </c>
      <c r="W271" s="57" t="str">
        <v>ok</v>
      </c>
      <c r="X271" s="58" t="str">
        <v/>
      </c>
      <c r="Y271" s="75" t="str">
        <v/>
      </c>
      <c r="Z271" s="59">
        <v>2.4613353581241939</v>
      </c>
      <c r="AA271" s="61">
        <v>16</v>
      </c>
      <c r="AB271" s="61">
        <v>25</v>
      </c>
      <c r="AC271" s="61" t="str">
        <v/>
      </c>
      <c r="AD271" s="62" t="str">
        <v>QFD11</v>
      </c>
      <c r="AE271" s="62" t="str">
        <v/>
      </c>
      <c r="AF271" s="34">
        <v>11</v>
      </c>
      <c r="AG271" s="34" t="str">
        <v>QFD11</v>
      </c>
      <c r="AH271" s="34" t="str">
        <v/>
      </c>
      <c r="AI271" s="34" t="str">
        <v/>
      </c>
      <c r="AJ271" s="34" t="str">
        <v>QFD11</v>
      </c>
      <c r="AK271" s="34">
        <v>1</v>
      </c>
      <c r="AL271" s="34" t="str">
        <v>R</v>
      </c>
      <c r="AM271" s="34">
        <v>30</v>
      </c>
      <c r="AN271" s="34">
        <v>0</v>
      </c>
      <c r="AO271" s="34">
        <v>16</v>
      </c>
      <c r="AP271" s="34">
        <v>25</v>
      </c>
      <c r="AQ271" s="34">
        <v>16</v>
      </c>
      <c r="AR271" s="34">
        <v>1</v>
      </c>
      <c r="AS271" s="34">
        <v>1</v>
      </c>
      <c r="AT271" s="34" t="str">
        <v>2P</v>
      </c>
      <c r="AU271" s="34">
        <v>16</v>
      </c>
      <c r="AV271" s="34" t="str">
        <v/>
      </c>
      <c r="AW271" s="34" t="str">
        <v/>
      </c>
      <c r="AX271" s="34" t="str">
        <v/>
      </c>
      <c r="AY271" s="34">
        <v>1</v>
      </c>
      <c r="AZ271" s="34" t="str">
        <v/>
      </c>
      <c r="BA271" s="34">
        <v>0</v>
      </c>
      <c r="BB271" s="34">
        <v>16</v>
      </c>
      <c r="BD271" s="34">
        <v>1</v>
      </c>
      <c r="BE271" s="34">
        <v>0</v>
      </c>
      <c r="BF271" s="34">
        <v>1</v>
      </c>
      <c r="BG271" s="34" t="str">
        <v/>
      </c>
      <c r="BH271" s="34" t="str">
        <v/>
      </c>
      <c r="BI271" s="34" t="str">
        <v/>
      </c>
      <c r="BJ271" s="34" t="str">
        <v/>
      </c>
      <c r="BK271" s="34" t="str">
        <v>SOCKET</v>
      </c>
      <c r="BL271" s="34">
        <v>1</v>
      </c>
      <c r="BM271" s="34" t="str">
        <v/>
      </c>
      <c r="BN271" s="34" t="str">
        <v/>
      </c>
      <c r="BO271" s="34" t="str">
        <v/>
      </c>
      <c r="BP271" s="34" t="str">
        <v/>
      </c>
      <c r="BQ271" s="34" t="str">
        <v>3х2,5</v>
      </c>
      <c r="BR271" s="34" t="str">
        <v/>
      </c>
      <c r="BS271" s="34" t="str">
        <v/>
      </c>
      <c r="BT271" s="34" t="str">
        <v/>
      </c>
      <c r="BU271" s="34">
        <v>0</v>
      </c>
      <c r="BV271" s="34">
        <v>292</v>
      </c>
      <c r="BW271" s="34">
        <v>1</v>
      </c>
      <c r="BX271" s="34">
        <v>0</v>
      </c>
      <c r="BY271" s="34" t="str">
        <v>Розетка</v>
      </c>
      <c r="BZ271">
        <v>11</v>
      </c>
      <c r="CA271" t="str">
        <v>линии</v>
      </c>
    </row>
    <row r="272" spans="1:79" x14ac:dyDescent="0.3">
      <c r="A272" s="39" t="str">
        <v>ЩР-2</v>
      </c>
      <c r="B272" s="42">
        <v>31</v>
      </c>
      <c r="C272" s="42">
        <v>2</v>
      </c>
      <c r="D272" s="75" t="str">
        <v/>
      </c>
      <c r="E272" s="75" t="str">
        <v>авто</v>
      </c>
      <c r="F272" s="76">
        <v>30</v>
      </c>
      <c r="G272" s="47" t="str">
        <v>QFD12</v>
      </c>
      <c r="H272" s="47" t="str">
        <v>2P С16А 30мА</v>
      </c>
      <c r="I272" s="75" t="str">
        <v/>
      </c>
      <c r="J272" s="76" t="str">
        <v/>
      </c>
      <c r="K272" s="76" t="str">
        <v/>
      </c>
      <c r="L272" s="75" t="str">
        <v/>
      </c>
      <c r="M272" s="49" t="str">
        <v/>
      </c>
      <c r="N272" s="76" t="str">
        <v/>
      </c>
      <c r="O272" s="49" t="str">
        <v/>
      </c>
      <c r="P272" s="77" t="str">
        <v/>
      </c>
      <c r="Q272" s="53" t="str">
        <v>ВВГнг(А)-LS (3х2,5) L=50-0,31%</v>
      </c>
      <c r="R272" s="54" t="str">
        <v>R.2.014А.2</v>
      </c>
      <c r="S272" s="55" t="str">
        <v>Розеточная группа, пом. 014А</v>
      </c>
      <c r="T272" s="56">
        <v>0.18</v>
      </c>
      <c r="U272" s="56">
        <v>0.83</v>
      </c>
      <c r="V272" s="42" t="str">
        <v>L2</v>
      </c>
      <c r="W272" s="57" t="str">
        <v>ok</v>
      </c>
      <c r="X272" s="58" t="str">
        <v/>
      </c>
      <c r="Y272" s="75" t="str">
        <v/>
      </c>
      <c r="Z272" s="59">
        <v>0.8204451193747313</v>
      </c>
      <c r="AA272" s="61">
        <v>16</v>
      </c>
      <c r="AB272" s="61">
        <v>25</v>
      </c>
      <c r="AC272" s="61" t="str">
        <v/>
      </c>
      <c r="AD272" s="62" t="str">
        <v>QFD12</v>
      </c>
      <c r="AE272" s="62" t="str">
        <v/>
      </c>
      <c r="AF272" s="34">
        <v>12</v>
      </c>
      <c r="AG272" s="34" t="str">
        <v>QFD12</v>
      </c>
      <c r="AH272" s="34" t="str">
        <v/>
      </c>
      <c r="AI272" s="34" t="str">
        <v/>
      </c>
      <c r="AJ272" s="34" t="str">
        <v>QFD12</v>
      </c>
      <c r="AK272" s="34">
        <v>1</v>
      </c>
      <c r="AL272" s="34" t="str">
        <v>R</v>
      </c>
      <c r="AM272" s="34">
        <v>30</v>
      </c>
      <c r="AN272" s="34">
        <v>0</v>
      </c>
      <c r="AO272" s="34">
        <v>16</v>
      </c>
      <c r="AP272" s="34">
        <v>25</v>
      </c>
      <c r="AQ272" s="34">
        <v>16</v>
      </c>
      <c r="AR272" s="34">
        <v>1</v>
      </c>
      <c r="AS272" s="34">
        <v>1</v>
      </c>
      <c r="AT272" s="34" t="str">
        <v>2P</v>
      </c>
      <c r="AU272" s="34">
        <v>16</v>
      </c>
      <c r="AV272" s="34" t="str">
        <v/>
      </c>
      <c r="AW272" s="34" t="str">
        <v/>
      </c>
      <c r="AX272" s="34" t="str">
        <v/>
      </c>
      <c r="AY272" s="34">
        <v>1</v>
      </c>
      <c r="AZ272" s="34" t="str">
        <v/>
      </c>
      <c r="BA272" s="34">
        <v>0</v>
      </c>
      <c r="BB272" s="34">
        <v>16</v>
      </c>
      <c r="BD272" s="34">
        <v>1</v>
      </c>
      <c r="BE272" s="34">
        <v>0</v>
      </c>
      <c r="BF272" s="34">
        <v>1</v>
      </c>
      <c r="BG272" s="34" t="str">
        <v/>
      </c>
      <c r="BH272" s="34" t="str">
        <v/>
      </c>
      <c r="BI272" s="34" t="str">
        <v/>
      </c>
      <c r="BJ272" s="34" t="str">
        <v/>
      </c>
      <c r="BK272" s="34" t="str">
        <v>SOCKET</v>
      </c>
      <c r="BL272" s="34">
        <v>1</v>
      </c>
      <c r="BM272" s="34" t="str">
        <v/>
      </c>
      <c r="BN272" s="34" t="str">
        <v/>
      </c>
      <c r="BO272" s="34" t="str">
        <v/>
      </c>
      <c r="BP272" s="34" t="str">
        <v/>
      </c>
      <c r="BQ272" s="34" t="str">
        <v>3х2,5</v>
      </c>
      <c r="BR272" s="34" t="str">
        <v/>
      </c>
      <c r="BS272" s="34" t="str">
        <v/>
      </c>
      <c r="BT272" s="34" t="str">
        <v/>
      </c>
      <c r="BU272" s="34">
        <v>0</v>
      </c>
      <c r="BV272" s="34">
        <v>293</v>
      </c>
      <c r="BW272" s="34">
        <v>1</v>
      </c>
      <c r="BX272" s="34">
        <v>0</v>
      </c>
      <c r="BY272" s="34" t="str">
        <v>Розетка</v>
      </c>
      <c r="BZ272">
        <v>11</v>
      </c>
      <c r="CA272" t="str">
        <v>линии</v>
      </c>
    </row>
    <row r="273" spans="1:79" x14ac:dyDescent="0.3">
      <c r="A273" s="39" t="str">
        <v>ЩР-2</v>
      </c>
      <c r="B273" s="42">
        <v>32</v>
      </c>
      <c r="C273" s="42">
        <v>2</v>
      </c>
      <c r="D273" s="75" t="str">
        <v/>
      </c>
      <c r="E273" s="75" t="str">
        <v>авто</v>
      </c>
      <c r="F273" s="76">
        <v>30</v>
      </c>
      <c r="G273" s="47" t="str">
        <v>QFD13</v>
      </c>
      <c r="H273" s="47" t="str">
        <v>2P С16А 30мА</v>
      </c>
      <c r="I273" s="75" t="str">
        <v/>
      </c>
      <c r="J273" s="76" t="str">
        <v/>
      </c>
      <c r="K273" s="76" t="str">
        <v/>
      </c>
      <c r="L273" s="75" t="str">
        <v/>
      </c>
      <c r="M273" s="49" t="str">
        <v/>
      </c>
      <c r="N273" s="76" t="str">
        <v/>
      </c>
      <c r="O273" s="49" t="str">
        <v/>
      </c>
      <c r="P273" s="77" t="str">
        <v/>
      </c>
      <c r="Q273" s="53" t="str">
        <v>ВВГнг(А)-LS (3х2,5) L=39-0,16%</v>
      </c>
      <c r="R273" s="54" t="str">
        <v>R.2.015А.1</v>
      </c>
      <c r="S273" s="55" t="str">
        <v>Розеточная группа, пом. 015А</v>
      </c>
      <c r="T273" s="56">
        <v>0.12</v>
      </c>
      <c r="U273" s="56">
        <v>0.55000000000000004</v>
      </c>
      <c r="V273" s="42" t="str">
        <v>L3</v>
      </c>
      <c r="W273" s="57" t="str">
        <v>ok</v>
      </c>
      <c r="X273" s="58" t="str">
        <v/>
      </c>
      <c r="Y273" s="75" t="str">
        <v/>
      </c>
      <c r="Z273" s="59">
        <v>0.54696341291648753</v>
      </c>
      <c r="AA273" s="61">
        <v>16</v>
      </c>
      <c r="AB273" s="61">
        <v>25</v>
      </c>
      <c r="AC273" s="61" t="str">
        <v/>
      </c>
      <c r="AD273" s="62" t="str">
        <v>QFD13</v>
      </c>
      <c r="AE273" s="62" t="str">
        <v/>
      </c>
      <c r="AF273" s="34">
        <v>13</v>
      </c>
      <c r="AG273" s="34" t="str">
        <v>QFD13</v>
      </c>
      <c r="AH273" s="34" t="str">
        <v/>
      </c>
      <c r="AI273" s="34" t="str">
        <v/>
      </c>
      <c r="AJ273" s="34" t="str">
        <v>QFD13</v>
      </c>
      <c r="AK273" s="34">
        <v>1</v>
      </c>
      <c r="AL273" s="34" t="str">
        <v>R</v>
      </c>
      <c r="AM273" s="34">
        <v>30</v>
      </c>
      <c r="AN273" s="34">
        <v>0</v>
      </c>
      <c r="AO273" s="34">
        <v>16</v>
      </c>
      <c r="AP273" s="34">
        <v>25</v>
      </c>
      <c r="AQ273" s="34">
        <v>16</v>
      </c>
      <c r="AR273" s="34">
        <v>1</v>
      </c>
      <c r="AS273" s="34">
        <v>1</v>
      </c>
      <c r="AT273" s="34" t="str">
        <v>2P</v>
      </c>
      <c r="AU273" s="34">
        <v>16</v>
      </c>
      <c r="AV273" s="34" t="str">
        <v/>
      </c>
      <c r="AW273" s="34" t="str">
        <v/>
      </c>
      <c r="AX273" s="34" t="str">
        <v/>
      </c>
      <c r="AY273" s="34">
        <v>1</v>
      </c>
      <c r="AZ273" s="34" t="str">
        <v/>
      </c>
      <c r="BA273" s="34">
        <v>0</v>
      </c>
      <c r="BB273" s="34">
        <v>16</v>
      </c>
      <c r="BD273" s="34">
        <v>1</v>
      </c>
      <c r="BE273" s="34">
        <v>0</v>
      </c>
      <c r="BF273" s="34">
        <v>1</v>
      </c>
      <c r="BG273" s="34" t="str">
        <v/>
      </c>
      <c r="BH273" s="34" t="str">
        <v/>
      </c>
      <c r="BI273" s="34" t="str">
        <v/>
      </c>
      <c r="BJ273" s="34" t="str">
        <v/>
      </c>
      <c r="BK273" s="34" t="str">
        <v>SOCKET</v>
      </c>
      <c r="BL273" s="34">
        <v>1</v>
      </c>
      <c r="BM273" s="34" t="str">
        <v/>
      </c>
      <c r="BN273" s="34" t="str">
        <v/>
      </c>
      <c r="BO273" s="34" t="str">
        <v/>
      </c>
      <c r="BP273" s="34" t="str">
        <v/>
      </c>
      <c r="BQ273" s="34" t="str">
        <v>3х2,5</v>
      </c>
      <c r="BR273" s="34" t="str">
        <v/>
      </c>
      <c r="BS273" s="34" t="str">
        <v/>
      </c>
      <c r="BT273" s="34" t="str">
        <v/>
      </c>
      <c r="BU273" s="34">
        <v>0</v>
      </c>
      <c r="BV273" s="34">
        <v>294</v>
      </c>
      <c r="BW273" s="34">
        <v>1</v>
      </c>
      <c r="BX273" s="34">
        <v>0</v>
      </c>
      <c r="BY273" s="34" t="str">
        <v>Розетка</v>
      </c>
      <c r="BZ273">
        <v>11</v>
      </c>
      <c r="CA273" t="str">
        <v>линии</v>
      </c>
    </row>
    <row r="274" spans="1:79" x14ac:dyDescent="0.3">
      <c r="A274" s="39" t="str">
        <v>ЩР-2</v>
      </c>
      <c r="B274" s="42">
        <v>33</v>
      </c>
      <c r="C274" s="42">
        <v>2</v>
      </c>
      <c r="D274" s="75" t="str">
        <v/>
      </c>
      <c r="E274" s="75" t="str">
        <v>авто</v>
      </c>
      <c r="F274" s="76">
        <v>30</v>
      </c>
      <c r="G274" s="47" t="str">
        <v>QFD14</v>
      </c>
      <c r="H274" s="47" t="str">
        <v>2P С16А 30мА</v>
      </c>
      <c r="I274" s="75" t="str">
        <v/>
      </c>
      <c r="J274" s="76" t="str">
        <v/>
      </c>
      <c r="K274" s="76" t="str">
        <v/>
      </c>
      <c r="L274" s="75" t="str">
        <v/>
      </c>
      <c r="M274" s="49" t="str">
        <v/>
      </c>
      <c r="N274" s="76" t="str">
        <v/>
      </c>
      <c r="O274" s="49" t="str">
        <v/>
      </c>
      <c r="P274" s="77" t="str">
        <v/>
      </c>
      <c r="Q274" s="53" t="str">
        <v>ВВГнг(А)-LS (3х2,5) L=34-0,07%</v>
      </c>
      <c r="R274" s="54" t="str">
        <v>R.2.016А.1</v>
      </c>
      <c r="S274" s="55" t="str">
        <v>Розеточная группа, пом. 016А</v>
      </c>
      <c r="T274" s="56">
        <v>0.06</v>
      </c>
      <c r="U274" s="56">
        <v>0.28000000000000003</v>
      </c>
      <c r="V274" s="42" t="str">
        <v>L2</v>
      </c>
      <c r="W274" s="57" t="str">
        <v>ok</v>
      </c>
      <c r="X274" s="58" t="str">
        <v/>
      </c>
      <c r="Y274" s="75" t="str">
        <v/>
      </c>
      <c r="Z274" s="59">
        <v>0.27348170645824377</v>
      </c>
      <c r="AA274" s="61">
        <v>16</v>
      </c>
      <c r="AB274" s="61">
        <v>25</v>
      </c>
      <c r="AC274" s="61" t="str">
        <v/>
      </c>
      <c r="AD274" s="62" t="str">
        <v>QFD14</v>
      </c>
      <c r="AE274" s="62" t="str">
        <v/>
      </c>
      <c r="AF274" s="34">
        <v>14</v>
      </c>
      <c r="AG274" s="34" t="str">
        <v>QFD14</v>
      </c>
      <c r="AH274" s="34" t="str">
        <v/>
      </c>
      <c r="AI274" s="34" t="str">
        <v/>
      </c>
      <c r="AJ274" s="34" t="str">
        <v>QFD14</v>
      </c>
      <c r="AK274" s="34">
        <v>1</v>
      </c>
      <c r="AL274" s="34" t="str">
        <v>R</v>
      </c>
      <c r="AM274" s="34">
        <v>30</v>
      </c>
      <c r="AN274" s="34">
        <v>0</v>
      </c>
      <c r="AO274" s="34">
        <v>16</v>
      </c>
      <c r="AP274" s="34">
        <v>25</v>
      </c>
      <c r="AQ274" s="34">
        <v>16</v>
      </c>
      <c r="AR274" s="34">
        <v>1</v>
      </c>
      <c r="AS274" s="34">
        <v>1</v>
      </c>
      <c r="AT274" s="34" t="str">
        <v>2P</v>
      </c>
      <c r="AU274" s="34">
        <v>16</v>
      </c>
      <c r="AV274" s="34" t="str">
        <v/>
      </c>
      <c r="AW274" s="34" t="str">
        <v/>
      </c>
      <c r="AX274" s="34" t="str">
        <v/>
      </c>
      <c r="AY274" s="34">
        <v>1</v>
      </c>
      <c r="AZ274" s="34" t="str">
        <v/>
      </c>
      <c r="BA274" s="34">
        <v>0</v>
      </c>
      <c r="BB274" s="34">
        <v>16</v>
      </c>
      <c r="BD274" s="34">
        <v>1</v>
      </c>
      <c r="BE274" s="34">
        <v>0</v>
      </c>
      <c r="BF274" s="34">
        <v>1</v>
      </c>
      <c r="BG274" s="34" t="str">
        <v/>
      </c>
      <c r="BH274" s="34" t="str">
        <v/>
      </c>
      <c r="BI274" s="34" t="str">
        <v/>
      </c>
      <c r="BJ274" s="34" t="str">
        <v/>
      </c>
      <c r="BK274" s="34" t="str">
        <v>SOCKET</v>
      </c>
      <c r="BL274" s="34">
        <v>1</v>
      </c>
      <c r="BM274" s="34" t="str">
        <v/>
      </c>
      <c r="BN274" s="34" t="str">
        <v/>
      </c>
      <c r="BO274" s="34" t="str">
        <v/>
      </c>
      <c r="BP274" s="34" t="str">
        <v/>
      </c>
      <c r="BQ274" s="34" t="str">
        <v>3х2,5</v>
      </c>
      <c r="BR274" s="34" t="str">
        <v/>
      </c>
      <c r="BS274" s="34" t="str">
        <v/>
      </c>
      <c r="BT274" s="34" t="str">
        <v/>
      </c>
      <c r="BU274" s="34">
        <v>0</v>
      </c>
      <c r="BV274" s="34">
        <v>295</v>
      </c>
      <c r="BW274" s="34">
        <v>1</v>
      </c>
      <c r="BX274" s="34">
        <v>0</v>
      </c>
      <c r="BY274" s="34" t="str">
        <v>Розетка</v>
      </c>
      <c r="BZ274">
        <v>11</v>
      </c>
      <c r="CA274" t="str">
        <v>линии</v>
      </c>
    </row>
    <row r="275" spans="1:79" x14ac:dyDescent="0.3">
      <c r="A275" s="39" t="str">
        <v>ЩР-2</v>
      </c>
      <c r="B275" s="42">
        <v>34</v>
      </c>
      <c r="C275" s="42">
        <v>2</v>
      </c>
      <c r="D275" s="75" t="str">
        <v/>
      </c>
      <c r="E275" s="75" t="str">
        <v>авто</v>
      </c>
      <c r="F275" s="76">
        <v>30</v>
      </c>
      <c r="G275" s="47" t="str">
        <v>QFD15</v>
      </c>
      <c r="H275" s="47" t="str">
        <v>2P С16А 30мА</v>
      </c>
      <c r="I275" s="75" t="str">
        <v/>
      </c>
      <c r="J275" s="76" t="str">
        <v/>
      </c>
      <c r="K275" s="76" t="str">
        <v/>
      </c>
      <c r="L275" s="75" t="str">
        <v/>
      </c>
      <c r="M275" s="49" t="str">
        <v/>
      </c>
      <c r="N275" s="76" t="str">
        <v/>
      </c>
      <c r="O275" s="49" t="str">
        <v/>
      </c>
      <c r="P275" s="77" t="str">
        <v/>
      </c>
      <c r="Q275" s="53" t="str">
        <v>ВВГнг(А)-LS (3х2,5) L=54-0,77%</v>
      </c>
      <c r="R275" s="54" t="str">
        <v>R.2.017А.1</v>
      </c>
      <c r="S275" s="55" t="str">
        <v>Розеточная группа, пом. 017А</v>
      </c>
      <c r="T275" s="56">
        <v>0.42</v>
      </c>
      <c r="U275" s="56">
        <v>1.92</v>
      </c>
      <c r="V275" s="42" t="str">
        <v>L2</v>
      </c>
      <c r="W275" s="57" t="str">
        <v>ok</v>
      </c>
      <c r="X275" s="58" t="str">
        <v/>
      </c>
      <c r="Y275" s="75" t="str">
        <v/>
      </c>
      <c r="Z275" s="59">
        <v>1.9143719452077064</v>
      </c>
      <c r="AA275" s="61">
        <v>16</v>
      </c>
      <c r="AB275" s="61">
        <v>25</v>
      </c>
      <c r="AC275" s="61" t="str">
        <v/>
      </c>
      <c r="AD275" s="62" t="str">
        <v>QFD15</v>
      </c>
      <c r="AE275" s="62" t="str">
        <v/>
      </c>
      <c r="AF275" s="34">
        <v>15</v>
      </c>
      <c r="AG275" s="34" t="str">
        <v>QFD15</v>
      </c>
      <c r="AH275" s="34" t="str">
        <v/>
      </c>
      <c r="AI275" s="34" t="str">
        <v/>
      </c>
      <c r="AJ275" s="34" t="str">
        <v>QFD15</v>
      </c>
      <c r="AK275" s="34">
        <v>1</v>
      </c>
      <c r="AL275" s="34" t="str">
        <v>R</v>
      </c>
      <c r="AM275" s="34">
        <v>30</v>
      </c>
      <c r="AN275" s="34">
        <v>0</v>
      </c>
      <c r="AO275" s="34">
        <v>16</v>
      </c>
      <c r="AP275" s="34">
        <v>25</v>
      </c>
      <c r="AQ275" s="34">
        <v>16</v>
      </c>
      <c r="AR275" s="34">
        <v>1</v>
      </c>
      <c r="AS275" s="34">
        <v>1</v>
      </c>
      <c r="AT275" s="34" t="str">
        <v>2P</v>
      </c>
      <c r="AU275" s="34">
        <v>16</v>
      </c>
      <c r="AV275" s="34" t="str">
        <v/>
      </c>
      <c r="AW275" s="34" t="str">
        <v/>
      </c>
      <c r="AX275" s="34" t="str">
        <v/>
      </c>
      <c r="AY275" s="34">
        <v>1</v>
      </c>
      <c r="AZ275" s="34" t="str">
        <v/>
      </c>
      <c r="BA275" s="34">
        <v>0</v>
      </c>
      <c r="BB275" s="34">
        <v>16</v>
      </c>
      <c r="BD275" s="34">
        <v>1</v>
      </c>
      <c r="BE275" s="34">
        <v>0</v>
      </c>
      <c r="BF275" s="34">
        <v>1</v>
      </c>
      <c r="BG275" s="34" t="str">
        <v/>
      </c>
      <c r="BH275" s="34" t="str">
        <v/>
      </c>
      <c r="BI275" s="34" t="str">
        <v/>
      </c>
      <c r="BJ275" s="34" t="str">
        <v/>
      </c>
      <c r="BK275" s="34" t="str">
        <v>SOCKET</v>
      </c>
      <c r="BL275" s="34">
        <v>1</v>
      </c>
      <c r="BM275" s="34" t="str">
        <v/>
      </c>
      <c r="BN275" s="34" t="str">
        <v/>
      </c>
      <c r="BO275" s="34" t="str">
        <v/>
      </c>
      <c r="BP275" s="34" t="str">
        <v/>
      </c>
      <c r="BQ275" s="34" t="str">
        <v>3х2,5</v>
      </c>
      <c r="BR275" s="34" t="str">
        <v/>
      </c>
      <c r="BS275" s="34" t="str">
        <v/>
      </c>
      <c r="BT275" s="34" t="str">
        <v/>
      </c>
      <c r="BU275" s="34">
        <v>0</v>
      </c>
      <c r="BV275" s="34">
        <v>296</v>
      </c>
      <c r="BW275" s="34">
        <v>1</v>
      </c>
      <c r="BX275" s="34">
        <v>0</v>
      </c>
      <c r="BY275" s="34" t="str">
        <v>Розетка</v>
      </c>
      <c r="BZ275">
        <v>11</v>
      </c>
      <c r="CA275" t="str">
        <v>линии</v>
      </c>
    </row>
    <row r="276" spans="1:79" x14ac:dyDescent="0.3">
      <c r="A276" s="39" t="str">
        <v>ЩР-2</v>
      </c>
      <c r="B276" s="42">
        <v>35</v>
      </c>
      <c r="C276" s="42">
        <v>3</v>
      </c>
      <c r="D276" s="75" t="str">
        <v/>
      </c>
      <c r="E276" s="75" t="str">
        <v>авто</v>
      </c>
      <c r="F276" s="76">
        <v>30</v>
      </c>
      <c r="G276" s="47" t="str">
        <v>QFD16</v>
      </c>
      <c r="H276" s="47" t="str">
        <v>2P С16А 30мА</v>
      </c>
      <c r="I276" s="75" t="str">
        <v/>
      </c>
      <c r="J276" s="76" t="str">
        <v/>
      </c>
      <c r="K276" s="76" t="str">
        <v/>
      </c>
      <c r="L276" s="75" t="str">
        <v/>
      </c>
      <c r="M276" s="49" t="str">
        <v/>
      </c>
      <c r="N276" s="76" t="str">
        <v/>
      </c>
      <c r="O276" s="49" t="str">
        <v/>
      </c>
      <c r="P276" s="77" t="str">
        <v/>
      </c>
      <c r="Q276" s="53" t="str">
        <v>ВВГнг(А)-LS (3х2,5) L=55-0,45%</v>
      </c>
      <c r="R276" s="54" t="str">
        <v>R.2.019А.1</v>
      </c>
      <c r="S276" s="55" t="str">
        <v>Розеточная группа, пом. 019А</v>
      </c>
      <c r="T276" s="56">
        <v>0.24</v>
      </c>
      <c r="U276" s="56">
        <v>1.1000000000000001</v>
      </c>
      <c r="V276" s="42" t="str">
        <v>L3</v>
      </c>
      <c r="W276" s="57" t="str">
        <v>ok</v>
      </c>
      <c r="X276" s="58" t="str">
        <v/>
      </c>
      <c r="Y276" s="75" t="str">
        <v/>
      </c>
      <c r="Z276" s="59">
        <v>1.0939268258329751</v>
      </c>
      <c r="AA276" s="61">
        <v>16</v>
      </c>
      <c r="AB276" s="61">
        <v>25</v>
      </c>
      <c r="AC276" s="61" t="str">
        <v/>
      </c>
      <c r="AD276" s="62" t="str">
        <v>QFD16</v>
      </c>
      <c r="AE276" s="62" t="str">
        <v/>
      </c>
      <c r="AF276" s="34">
        <v>16</v>
      </c>
      <c r="AG276" s="34" t="str">
        <v>QFD16</v>
      </c>
      <c r="AH276" s="34" t="str">
        <v/>
      </c>
      <c r="AI276" s="34" t="str">
        <v/>
      </c>
      <c r="AJ276" s="34" t="str">
        <v>QFD16</v>
      </c>
      <c r="AK276" s="34">
        <v>1</v>
      </c>
      <c r="AL276" s="34" t="str">
        <v>R</v>
      </c>
      <c r="AM276" s="34">
        <v>30</v>
      </c>
      <c r="AN276" s="34">
        <v>0</v>
      </c>
      <c r="AO276" s="34">
        <v>16</v>
      </c>
      <c r="AP276" s="34">
        <v>25</v>
      </c>
      <c r="AQ276" s="34">
        <v>16</v>
      </c>
      <c r="AR276" s="34">
        <v>1</v>
      </c>
      <c r="AS276" s="34">
        <v>1</v>
      </c>
      <c r="AT276" s="34" t="str">
        <v>2P</v>
      </c>
      <c r="AU276" s="34">
        <v>16</v>
      </c>
      <c r="AV276" s="34" t="str">
        <v/>
      </c>
      <c r="AW276" s="34" t="str">
        <v/>
      </c>
      <c r="AX276" s="34" t="str">
        <v/>
      </c>
      <c r="AY276" s="34">
        <v>1</v>
      </c>
      <c r="AZ276" s="34" t="str">
        <v/>
      </c>
      <c r="BA276" s="34">
        <v>0</v>
      </c>
      <c r="BB276" s="34">
        <v>16</v>
      </c>
      <c r="BD276" s="34">
        <v>1</v>
      </c>
      <c r="BE276" s="34">
        <v>0</v>
      </c>
      <c r="BF276" s="34">
        <v>1</v>
      </c>
      <c r="BG276" s="34" t="str">
        <v/>
      </c>
      <c r="BH276" s="34" t="str">
        <v/>
      </c>
      <c r="BI276" s="34" t="str">
        <v/>
      </c>
      <c r="BJ276" s="34" t="str">
        <v/>
      </c>
      <c r="BK276" s="34" t="str">
        <v>SOCKET</v>
      </c>
      <c r="BL276" s="34">
        <v>1</v>
      </c>
      <c r="BM276" s="34" t="str">
        <v/>
      </c>
      <c r="BN276" s="34" t="str">
        <v/>
      </c>
      <c r="BO276" s="34" t="str">
        <v/>
      </c>
      <c r="BP276" s="34" t="str">
        <v/>
      </c>
      <c r="BQ276" s="34" t="str">
        <v>3х2,5</v>
      </c>
      <c r="BR276" s="34" t="str">
        <v/>
      </c>
      <c r="BS276" s="34" t="str">
        <v/>
      </c>
      <c r="BT276" s="34" t="str">
        <v/>
      </c>
      <c r="BU276" s="34">
        <v>0</v>
      </c>
      <c r="BV276" s="34">
        <v>297</v>
      </c>
      <c r="BW276" s="34">
        <v>1</v>
      </c>
      <c r="BX276" s="34">
        <v>0</v>
      </c>
      <c r="BY276" s="34" t="str">
        <v>Розетка</v>
      </c>
      <c r="BZ276">
        <v>11</v>
      </c>
      <c r="CA276" t="str">
        <v>линии</v>
      </c>
    </row>
    <row r="277" spans="1:79" x14ac:dyDescent="0.3">
      <c r="A277" s="39" t="str">
        <v>ЩР-2</v>
      </c>
      <c r="B277" s="42">
        <v>36</v>
      </c>
      <c r="C277" s="42">
        <v>3</v>
      </c>
      <c r="D277" s="75" t="str">
        <v/>
      </c>
      <c r="E277" s="75" t="str">
        <v>авто</v>
      </c>
      <c r="F277" s="76">
        <v>30</v>
      </c>
      <c r="G277" s="47" t="str">
        <v>QFD17</v>
      </c>
      <c r="H277" s="47" t="str">
        <v>2P С16А 30мА</v>
      </c>
      <c r="I277" s="75" t="str">
        <v/>
      </c>
      <c r="J277" s="76" t="str">
        <v/>
      </c>
      <c r="K277" s="76" t="str">
        <v/>
      </c>
      <c r="L277" s="75" t="str">
        <v/>
      </c>
      <c r="M277" s="49" t="str">
        <v/>
      </c>
      <c r="N277" s="76" t="str">
        <v/>
      </c>
      <c r="O277" s="49" t="str">
        <v/>
      </c>
      <c r="P277" s="77" t="str">
        <v/>
      </c>
      <c r="Q277" s="53" t="str">
        <v>ВВГнг(А)-LS (3х2,5) L=88-1,97%</v>
      </c>
      <c r="R277" s="54" t="str">
        <v>R.2.019А.2</v>
      </c>
      <c r="S277" s="55" t="str">
        <v>Розеточная группа, пом. 019А</v>
      </c>
      <c r="T277" s="56">
        <v>0.65999999999999992</v>
      </c>
      <c r="U277" s="56">
        <v>3.01</v>
      </c>
      <c r="V277" s="42" t="str">
        <v>L3</v>
      </c>
      <c r="W277" s="57" t="str">
        <v>ok</v>
      </c>
      <c r="X277" s="58" t="str">
        <v/>
      </c>
      <c r="Y277" s="75" t="str">
        <v/>
      </c>
      <c r="Z277" s="59">
        <v>3.008298771040681</v>
      </c>
      <c r="AA277" s="61">
        <v>16</v>
      </c>
      <c r="AB277" s="61">
        <v>25</v>
      </c>
      <c r="AC277" s="61" t="str">
        <v/>
      </c>
      <c r="AD277" s="62" t="str">
        <v>QFD17</v>
      </c>
      <c r="AE277" s="62" t="str">
        <v/>
      </c>
      <c r="AF277" s="34">
        <v>17</v>
      </c>
      <c r="AG277" s="34" t="str">
        <v>QFD17</v>
      </c>
      <c r="AH277" s="34" t="str">
        <v/>
      </c>
      <c r="AI277" s="34" t="str">
        <v/>
      </c>
      <c r="AJ277" s="34" t="str">
        <v>QFD17</v>
      </c>
      <c r="AK277" s="34">
        <v>1</v>
      </c>
      <c r="AL277" s="34" t="str">
        <v>R</v>
      </c>
      <c r="AM277" s="34">
        <v>30</v>
      </c>
      <c r="AN277" s="34">
        <v>0</v>
      </c>
      <c r="AO277" s="34">
        <v>16</v>
      </c>
      <c r="AP277" s="34">
        <v>25</v>
      </c>
      <c r="AQ277" s="34">
        <v>16</v>
      </c>
      <c r="AR277" s="34">
        <v>1</v>
      </c>
      <c r="AS277" s="34">
        <v>1</v>
      </c>
      <c r="AT277" s="34" t="str">
        <v>2P</v>
      </c>
      <c r="AU277" s="34">
        <v>16</v>
      </c>
      <c r="AV277" s="34" t="str">
        <v/>
      </c>
      <c r="AW277" s="34" t="str">
        <v/>
      </c>
      <c r="AX277" s="34" t="str">
        <v/>
      </c>
      <c r="AY277" s="34">
        <v>1</v>
      </c>
      <c r="AZ277" s="34" t="str">
        <v/>
      </c>
      <c r="BA277" s="34">
        <v>0</v>
      </c>
      <c r="BB277" s="34">
        <v>16</v>
      </c>
      <c r="BD277" s="34">
        <v>1</v>
      </c>
      <c r="BE277" s="34">
        <v>0</v>
      </c>
      <c r="BF277" s="34">
        <v>1</v>
      </c>
      <c r="BG277" s="34" t="str">
        <v/>
      </c>
      <c r="BH277" s="34" t="str">
        <v/>
      </c>
      <c r="BI277" s="34" t="str">
        <v/>
      </c>
      <c r="BJ277" s="34" t="str">
        <v/>
      </c>
      <c r="BK277" s="34" t="str">
        <v>SOCKET</v>
      </c>
      <c r="BL277" s="34">
        <v>1</v>
      </c>
      <c r="BM277" s="34" t="str">
        <v/>
      </c>
      <c r="BN277" s="34" t="str">
        <v/>
      </c>
      <c r="BO277" s="34" t="str">
        <v/>
      </c>
      <c r="BP277" s="34" t="str">
        <v/>
      </c>
      <c r="BQ277" s="34" t="str">
        <v>3х2,5</v>
      </c>
      <c r="BR277" s="34" t="str">
        <v/>
      </c>
      <c r="BS277" s="34" t="str">
        <v/>
      </c>
      <c r="BT277" s="34" t="str">
        <v/>
      </c>
      <c r="BU277" s="34">
        <v>0</v>
      </c>
      <c r="BV277" s="34">
        <v>298</v>
      </c>
      <c r="BW277" s="34">
        <v>1</v>
      </c>
      <c r="BX277" s="34">
        <v>0</v>
      </c>
      <c r="BY277" s="34" t="str">
        <v>Розетка</v>
      </c>
      <c r="BZ277">
        <v>11</v>
      </c>
      <c r="CA277" t="str">
        <v>линии</v>
      </c>
    </row>
    <row r="278" spans="1:79" x14ac:dyDescent="0.3">
      <c r="A278" s="39" t="str">
        <v>ЩР-2</v>
      </c>
      <c r="B278" s="42">
        <v>37</v>
      </c>
      <c r="C278" s="42">
        <v>3</v>
      </c>
      <c r="D278" s="75" t="str">
        <v/>
      </c>
      <c r="E278" s="75" t="str">
        <v>авто</v>
      </c>
      <c r="F278" s="76">
        <v>30</v>
      </c>
      <c r="G278" s="47" t="str">
        <v>QFD18</v>
      </c>
      <c r="H278" s="47" t="str">
        <v>2P С16А 30мА</v>
      </c>
      <c r="I278" s="75" t="str">
        <v/>
      </c>
      <c r="J278" s="76" t="str">
        <v/>
      </c>
      <c r="K278" s="76" t="str">
        <v/>
      </c>
      <c r="L278" s="75" t="str">
        <v/>
      </c>
      <c r="M278" s="49" t="str">
        <v/>
      </c>
      <c r="N278" s="76" t="str">
        <v/>
      </c>
      <c r="O278" s="49" t="str">
        <v/>
      </c>
      <c r="P278" s="77" t="str">
        <v/>
      </c>
      <c r="Q278" s="53" t="str">
        <v>ВВГнг(А)-LS (3х2,5) L=63-0,39%</v>
      </c>
      <c r="R278" s="54" t="str">
        <v>R.2.020А.1</v>
      </c>
      <c r="S278" s="55" t="str">
        <v>Розеточная группа, пом. 020А</v>
      </c>
      <c r="T278" s="56">
        <v>0.18</v>
      </c>
      <c r="U278" s="56">
        <v>0.83</v>
      </c>
      <c r="V278" s="42" t="str">
        <v>L3</v>
      </c>
      <c r="W278" s="57" t="str">
        <v>ok</v>
      </c>
      <c r="X278" s="58" t="str">
        <v/>
      </c>
      <c r="Y278" s="75" t="str">
        <v/>
      </c>
      <c r="Z278" s="59">
        <v>0.8204451193747313</v>
      </c>
      <c r="AA278" s="61">
        <v>16</v>
      </c>
      <c r="AB278" s="61">
        <v>25</v>
      </c>
      <c r="AC278" s="61" t="str">
        <v/>
      </c>
      <c r="AD278" s="62" t="str">
        <v>QFD18</v>
      </c>
      <c r="AE278" s="62" t="str">
        <v/>
      </c>
      <c r="AF278" s="34">
        <v>18</v>
      </c>
      <c r="AG278" s="34" t="str">
        <v>QFD18</v>
      </c>
      <c r="AH278" s="34" t="str">
        <v/>
      </c>
      <c r="AI278" s="34" t="str">
        <v/>
      </c>
      <c r="AJ278" s="34" t="str">
        <v>QFD18</v>
      </c>
      <c r="AK278" s="34">
        <v>1</v>
      </c>
      <c r="AL278" s="34" t="str">
        <v>R</v>
      </c>
      <c r="AM278" s="34">
        <v>30</v>
      </c>
      <c r="AN278" s="34">
        <v>0</v>
      </c>
      <c r="AO278" s="34">
        <v>16</v>
      </c>
      <c r="AP278" s="34">
        <v>25</v>
      </c>
      <c r="AQ278" s="34">
        <v>16</v>
      </c>
      <c r="AR278" s="34">
        <v>1</v>
      </c>
      <c r="AS278" s="34">
        <v>1</v>
      </c>
      <c r="AT278" s="34" t="str">
        <v>2P</v>
      </c>
      <c r="AU278" s="34">
        <v>16</v>
      </c>
      <c r="AV278" s="34" t="str">
        <v/>
      </c>
      <c r="AW278" s="34" t="str">
        <v/>
      </c>
      <c r="AX278" s="34" t="str">
        <v/>
      </c>
      <c r="AY278" s="34">
        <v>1</v>
      </c>
      <c r="AZ278" s="34" t="str">
        <v/>
      </c>
      <c r="BA278" s="34">
        <v>0</v>
      </c>
      <c r="BB278" s="34">
        <v>16</v>
      </c>
      <c r="BD278" s="34">
        <v>1</v>
      </c>
      <c r="BE278" s="34">
        <v>0</v>
      </c>
      <c r="BF278" s="34">
        <v>1</v>
      </c>
      <c r="BG278" s="34" t="str">
        <v/>
      </c>
      <c r="BH278" s="34" t="str">
        <v/>
      </c>
      <c r="BI278" s="34" t="str">
        <v/>
      </c>
      <c r="BJ278" s="34" t="str">
        <v/>
      </c>
      <c r="BK278" s="34" t="str">
        <v>SOCKET</v>
      </c>
      <c r="BL278" s="34">
        <v>1</v>
      </c>
      <c r="BM278" s="34" t="str">
        <v/>
      </c>
      <c r="BN278" s="34" t="str">
        <v/>
      </c>
      <c r="BO278" s="34" t="str">
        <v/>
      </c>
      <c r="BP278" s="34" t="str">
        <v/>
      </c>
      <c r="BQ278" s="34" t="str">
        <v>3х2,5</v>
      </c>
      <c r="BR278" s="34" t="str">
        <v/>
      </c>
      <c r="BS278" s="34" t="str">
        <v/>
      </c>
      <c r="BT278" s="34" t="str">
        <v/>
      </c>
      <c r="BU278" s="34">
        <v>0</v>
      </c>
      <c r="BV278" s="34">
        <v>299</v>
      </c>
      <c r="BW278" s="34">
        <v>1</v>
      </c>
      <c r="BX278" s="34">
        <v>0</v>
      </c>
      <c r="BY278" s="34" t="str">
        <v>Розетка</v>
      </c>
      <c r="BZ278">
        <v>11</v>
      </c>
      <c r="CA278" t="str">
        <v>линии</v>
      </c>
    </row>
    <row r="279" spans="1:79" x14ac:dyDescent="0.3">
      <c r="A279" s="39" t="str">
        <v>ЩР-2</v>
      </c>
      <c r="B279" s="42">
        <v>38</v>
      </c>
      <c r="C279" s="42">
        <v>3</v>
      </c>
      <c r="D279" s="75" t="str">
        <v/>
      </c>
      <c r="E279" s="75" t="str">
        <v>авто</v>
      </c>
      <c r="F279" s="76">
        <v>30</v>
      </c>
      <c r="G279" s="47" t="str">
        <v>QFD19</v>
      </c>
      <c r="H279" s="47" t="str">
        <v>2P С16А 30мА</v>
      </c>
      <c r="I279" s="75" t="str">
        <v/>
      </c>
      <c r="J279" s="76" t="str">
        <v/>
      </c>
      <c r="K279" s="76" t="str">
        <v/>
      </c>
      <c r="L279" s="75" t="str">
        <v/>
      </c>
      <c r="M279" s="49" t="str">
        <v/>
      </c>
      <c r="N279" s="76" t="str">
        <v/>
      </c>
      <c r="O279" s="49" t="str">
        <v/>
      </c>
      <c r="P279" s="77" t="str">
        <v/>
      </c>
      <c r="Q279" s="53" t="str">
        <v>ВВГнг(А)-LS (3х2,5) L=44-0,36%</v>
      </c>
      <c r="R279" s="54" t="str">
        <v>R.2.022Б.1</v>
      </c>
      <c r="S279" s="55" t="str">
        <v>Розеточная группа, пом. 022Б</v>
      </c>
      <c r="T279" s="56">
        <v>0.24</v>
      </c>
      <c r="U279" s="56">
        <v>1.1000000000000001</v>
      </c>
      <c r="V279" s="42" t="str">
        <v>L2</v>
      </c>
      <c r="W279" s="57" t="str">
        <v>ok</v>
      </c>
      <c r="X279" s="58" t="str">
        <v/>
      </c>
      <c r="Y279" s="75" t="str">
        <v/>
      </c>
      <c r="Z279" s="59">
        <v>1.0939268258329751</v>
      </c>
      <c r="AA279" s="61">
        <v>16</v>
      </c>
      <c r="AB279" s="61">
        <v>25</v>
      </c>
      <c r="AC279" s="61" t="str">
        <v/>
      </c>
      <c r="AD279" s="62" t="str">
        <v>QFD19</v>
      </c>
      <c r="AE279" s="62" t="str">
        <v/>
      </c>
      <c r="AF279" s="34">
        <v>19</v>
      </c>
      <c r="AG279" s="34" t="str">
        <v>QFD19</v>
      </c>
      <c r="AH279" s="34" t="str">
        <v/>
      </c>
      <c r="AI279" s="34" t="str">
        <v/>
      </c>
      <c r="AJ279" s="34" t="str">
        <v>QFD19</v>
      </c>
      <c r="AK279" s="34">
        <v>1</v>
      </c>
      <c r="AL279" s="34" t="str">
        <v>R</v>
      </c>
      <c r="AM279" s="34">
        <v>30</v>
      </c>
      <c r="AN279" s="34">
        <v>0</v>
      </c>
      <c r="AO279" s="34">
        <v>16</v>
      </c>
      <c r="AP279" s="34">
        <v>25</v>
      </c>
      <c r="AQ279" s="34">
        <v>16</v>
      </c>
      <c r="AR279" s="34">
        <v>1</v>
      </c>
      <c r="AS279" s="34">
        <v>1</v>
      </c>
      <c r="AT279" s="34" t="str">
        <v>2P</v>
      </c>
      <c r="AU279" s="34">
        <v>16</v>
      </c>
      <c r="AV279" s="34" t="str">
        <v/>
      </c>
      <c r="AW279" s="34" t="str">
        <v/>
      </c>
      <c r="AX279" s="34" t="str">
        <v/>
      </c>
      <c r="AY279" s="34">
        <v>1</v>
      </c>
      <c r="AZ279" s="34" t="str">
        <v/>
      </c>
      <c r="BA279" s="34">
        <v>0</v>
      </c>
      <c r="BB279" s="34">
        <v>16</v>
      </c>
      <c r="BD279" s="34">
        <v>1</v>
      </c>
      <c r="BE279" s="34">
        <v>0</v>
      </c>
      <c r="BF279" s="34">
        <v>1</v>
      </c>
      <c r="BG279" s="34" t="str">
        <v/>
      </c>
      <c r="BH279" s="34" t="str">
        <v/>
      </c>
      <c r="BI279" s="34" t="str">
        <v/>
      </c>
      <c r="BJ279" s="34" t="str">
        <v/>
      </c>
      <c r="BK279" s="34" t="str">
        <v>SOCKET</v>
      </c>
      <c r="BL279" s="34">
        <v>1</v>
      </c>
      <c r="BM279" s="34" t="str">
        <v/>
      </c>
      <c r="BN279" s="34" t="str">
        <v/>
      </c>
      <c r="BO279" s="34" t="str">
        <v/>
      </c>
      <c r="BP279" s="34" t="str">
        <v/>
      </c>
      <c r="BQ279" s="34" t="str">
        <v>3х2,5</v>
      </c>
      <c r="BR279" s="34" t="str">
        <v/>
      </c>
      <c r="BS279" s="34" t="str">
        <v/>
      </c>
      <c r="BT279" s="34" t="str">
        <v/>
      </c>
      <c r="BU279" s="34">
        <v>0</v>
      </c>
      <c r="BV279" s="34">
        <v>300</v>
      </c>
      <c r="BW279" s="34">
        <v>1</v>
      </c>
      <c r="BX279" s="34">
        <v>0</v>
      </c>
      <c r="BY279" s="34" t="str">
        <v>Розетка</v>
      </c>
      <c r="BZ279">
        <v>11</v>
      </c>
      <c r="CA279" t="str">
        <v>линии</v>
      </c>
    </row>
    <row r="280" spans="1:79" x14ac:dyDescent="0.3">
      <c r="A280" s="39" t="str">
        <v>ЩР-2</v>
      </c>
      <c r="B280" s="42">
        <v>39</v>
      </c>
      <c r="C280" s="42">
        <v>3</v>
      </c>
      <c r="D280" s="75" t="str">
        <v/>
      </c>
      <c r="E280" s="75" t="str">
        <v>авто</v>
      </c>
      <c r="F280" s="76">
        <v>30</v>
      </c>
      <c r="G280" s="47" t="str">
        <v>QFD20</v>
      </c>
      <c r="H280" s="47" t="str">
        <v>2P С16А 30мА</v>
      </c>
      <c r="I280" s="75" t="str">
        <v/>
      </c>
      <c r="J280" s="76" t="str">
        <v/>
      </c>
      <c r="K280" s="76" t="str">
        <v/>
      </c>
      <c r="L280" s="75" t="str">
        <v/>
      </c>
      <c r="M280" s="49" t="str">
        <v/>
      </c>
      <c r="N280" s="76" t="str">
        <v/>
      </c>
      <c r="O280" s="49" t="str">
        <v/>
      </c>
      <c r="P280" s="77" t="str">
        <v/>
      </c>
      <c r="Q280" s="53" t="str">
        <v>ВВГнг(А)-LS (3х2,5) L=87-0,54%</v>
      </c>
      <c r="R280" s="54" t="str">
        <v>R.2.001.1</v>
      </c>
      <c r="S280" s="55" t="str">
        <v>Розеточная группа, пом. 001</v>
      </c>
      <c r="T280" s="56">
        <v>0.18</v>
      </c>
      <c r="U280" s="56">
        <v>0.83</v>
      </c>
      <c r="V280" s="42" t="str">
        <v>L1</v>
      </c>
      <c r="W280" s="57" t="str">
        <v>ok</v>
      </c>
      <c r="X280" s="58" t="str">
        <v/>
      </c>
      <c r="Y280" s="75" t="str">
        <v/>
      </c>
      <c r="Z280" s="59">
        <v>0.8204451193747313</v>
      </c>
      <c r="AA280" s="61">
        <v>16</v>
      </c>
      <c r="AB280" s="61">
        <v>25</v>
      </c>
      <c r="AC280" s="61" t="str">
        <v/>
      </c>
      <c r="AD280" s="62" t="str">
        <v>QFD20</v>
      </c>
      <c r="AE280" s="62" t="str">
        <v/>
      </c>
      <c r="AF280" s="34">
        <v>20</v>
      </c>
      <c r="AG280" s="34" t="str">
        <v>QFD20</v>
      </c>
      <c r="AH280" s="34" t="str">
        <v/>
      </c>
      <c r="AI280" s="34" t="str">
        <v/>
      </c>
      <c r="AJ280" s="34" t="str">
        <v>QFD20</v>
      </c>
      <c r="AK280" s="34">
        <v>1</v>
      </c>
      <c r="AL280" s="34" t="str">
        <v>R</v>
      </c>
      <c r="AM280" s="34">
        <v>30</v>
      </c>
      <c r="AN280" s="34">
        <v>0</v>
      </c>
      <c r="AO280" s="34">
        <v>16</v>
      </c>
      <c r="AP280" s="34">
        <v>25</v>
      </c>
      <c r="AQ280" s="34">
        <v>16</v>
      </c>
      <c r="AR280" s="34">
        <v>1</v>
      </c>
      <c r="AS280" s="34">
        <v>1</v>
      </c>
      <c r="AT280" s="34" t="str">
        <v>2P</v>
      </c>
      <c r="AU280" s="34">
        <v>16</v>
      </c>
      <c r="AV280" s="34" t="str">
        <v/>
      </c>
      <c r="AW280" s="34" t="str">
        <v/>
      </c>
      <c r="AX280" s="34" t="str">
        <v/>
      </c>
      <c r="AY280" s="34">
        <v>1</v>
      </c>
      <c r="AZ280" s="34" t="str">
        <v/>
      </c>
      <c r="BA280" s="34">
        <v>0</v>
      </c>
      <c r="BB280" s="34">
        <v>16</v>
      </c>
      <c r="BD280" s="34">
        <v>1</v>
      </c>
      <c r="BE280" s="34">
        <v>0</v>
      </c>
      <c r="BF280" s="34">
        <v>1</v>
      </c>
      <c r="BG280" s="34" t="str">
        <v/>
      </c>
      <c r="BH280" s="34" t="str">
        <v/>
      </c>
      <c r="BI280" s="34" t="str">
        <v/>
      </c>
      <c r="BJ280" s="34" t="str">
        <v/>
      </c>
      <c r="BK280" s="34" t="str">
        <v>SOCKET</v>
      </c>
      <c r="BL280" s="34">
        <v>1</v>
      </c>
      <c r="BM280" s="34" t="str">
        <v/>
      </c>
      <c r="BN280" s="34" t="str">
        <v/>
      </c>
      <c r="BO280" s="34" t="str">
        <v/>
      </c>
      <c r="BP280" s="34" t="str">
        <v/>
      </c>
      <c r="BQ280" s="34" t="str">
        <v>3х2,5</v>
      </c>
      <c r="BR280" s="34" t="str">
        <v/>
      </c>
      <c r="BS280" s="34" t="str">
        <v/>
      </c>
      <c r="BT280" s="34" t="str">
        <v/>
      </c>
      <c r="BU280" s="34">
        <v>0</v>
      </c>
      <c r="BV280" s="34">
        <v>301</v>
      </c>
      <c r="BW280" s="34">
        <v>1</v>
      </c>
      <c r="BX280" s="34">
        <v>0</v>
      </c>
      <c r="BY280" s="34" t="str">
        <v>Розетка</v>
      </c>
      <c r="BZ280">
        <v>11</v>
      </c>
      <c r="CA280" t="str">
        <v>линии</v>
      </c>
    </row>
    <row r="281" spans="1:79" x14ac:dyDescent="0.3">
      <c r="A281" s="39" t="str">
        <v>ЩР-2</v>
      </c>
      <c r="B281" s="42">
        <v>40</v>
      </c>
      <c r="C281" s="42">
        <v>3</v>
      </c>
      <c r="D281" s="75" t="str">
        <v/>
      </c>
      <c r="E281" s="75" t="str">
        <v>авто</v>
      </c>
      <c r="F281" s="76">
        <v>30</v>
      </c>
      <c r="G281" s="47" t="str">
        <v>QFD21</v>
      </c>
      <c r="H281" s="47" t="str">
        <v>2P С16А 30мА</v>
      </c>
      <c r="I281" s="75" t="str">
        <v/>
      </c>
      <c r="J281" s="76" t="str">
        <v/>
      </c>
      <c r="K281" s="76" t="str">
        <v/>
      </c>
      <c r="L281" s="75" t="str">
        <v/>
      </c>
      <c r="M281" s="49" t="str">
        <v/>
      </c>
      <c r="N281" s="76" t="str">
        <v/>
      </c>
      <c r="O281" s="49" t="str">
        <v/>
      </c>
      <c r="P281" s="77" t="str">
        <v/>
      </c>
      <c r="Q281" s="53" t="str">
        <v>ВВГнг(А)-LS (3х2,5) L=47-0,2%</v>
      </c>
      <c r="R281" s="54" t="str">
        <v>R.2.003Г.1</v>
      </c>
      <c r="S281" s="55" t="str">
        <v>Розеточная группа, пом. 003Г</v>
      </c>
      <c r="T281" s="56">
        <v>0.12</v>
      </c>
      <c r="U281" s="56">
        <v>0.55000000000000004</v>
      </c>
      <c r="V281" s="42" t="str">
        <v>L1</v>
      </c>
      <c r="W281" s="57" t="str">
        <v>ok</v>
      </c>
      <c r="X281" s="58" t="str">
        <v/>
      </c>
      <c r="Y281" s="75" t="str">
        <v/>
      </c>
      <c r="Z281" s="59">
        <v>0.54696341291648753</v>
      </c>
      <c r="AA281" s="61">
        <v>16</v>
      </c>
      <c r="AB281" s="61">
        <v>25</v>
      </c>
      <c r="AC281" s="61" t="str">
        <v/>
      </c>
      <c r="AD281" s="62" t="str">
        <v>QFD21</v>
      </c>
      <c r="AE281" s="62" t="str">
        <v/>
      </c>
      <c r="AF281" s="34">
        <v>21</v>
      </c>
      <c r="AG281" s="34" t="str">
        <v>QFD21</v>
      </c>
      <c r="AH281" s="34" t="str">
        <v/>
      </c>
      <c r="AI281" s="34" t="str">
        <v/>
      </c>
      <c r="AJ281" s="34" t="str">
        <v>QFD21</v>
      </c>
      <c r="AK281" s="34">
        <v>1</v>
      </c>
      <c r="AL281" s="34" t="str">
        <v>R</v>
      </c>
      <c r="AM281" s="34">
        <v>30</v>
      </c>
      <c r="AN281" s="34">
        <v>0</v>
      </c>
      <c r="AO281" s="34">
        <v>16</v>
      </c>
      <c r="AP281" s="34">
        <v>25</v>
      </c>
      <c r="AQ281" s="34">
        <v>16</v>
      </c>
      <c r="AR281" s="34">
        <v>1</v>
      </c>
      <c r="AS281" s="34">
        <v>1</v>
      </c>
      <c r="AT281" s="34" t="str">
        <v>2P</v>
      </c>
      <c r="AU281" s="34">
        <v>16</v>
      </c>
      <c r="AV281" s="34" t="str">
        <v/>
      </c>
      <c r="AW281" s="34" t="str">
        <v/>
      </c>
      <c r="AX281" s="34" t="str">
        <v/>
      </c>
      <c r="AY281" s="34">
        <v>1</v>
      </c>
      <c r="AZ281" s="34" t="str">
        <v/>
      </c>
      <c r="BA281" s="34">
        <v>0</v>
      </c>
      <c r="BB281" s="34">
        <v>16</v>
      </c>
      <c r="BD281" s="34">
        <v>1</v>
      </c>
      <c r="BE281" s="34">
        <v>0</v>
      </c>
      <c r="BF281" s="34">
        <v>1</v>
      </c>
      <c r="BG281" s="34" t="str">
        <v/>
      </c>
      <c r="BH281" s="34" t="str">
        <v/>
      </c>
      <c r="BI281" s="34" t="str">
        <v/>
      </c>
      <c r="BJ281" s="34" t="str">
        <v/>
      </c>
      <c r="BK281" s="34" t="str">
        <v>SOCKET</v>
      </c>
      <c r="BL281" s="34">
        <v>1</v>
      </c>
      <c r="BM281" s="34" t="str">
        <v/>
      </c>
      <c r="BN281" s="34" t="str">
        <v/>
      </c>
      <c r="BO281" s="34" t="str">
        <v/>
      </c>
      <c r="BP281" s="34" t="str">
        <v/>
      </c>
      <c r="BQ281" s="34" t="str">
        <v>3х2,5</v>
      </c>
      <c r="BR281" s="34" t="str">
        <v/>
      </c>
      <c r="BS281" s="34" t="str">
        <v/>
      </c>
      <c r="BT281" s="34" t="str">
        <v/>
      </c>
      <c r="BU281" s="34">
        <v>0</v>
      </c>
      <c r="BV281" s="34">
        <v>302</v>
      </c>
      <c r="BW281" s="34">
        <v>1</v>
      </c>
      <c r="BX281" s="34">
        <v>0</v>
      </c>
      <c r="BY281" s="34" t="str">
        <v>Розетка</v>
      </c>
      <c r="BZ281">
        <v>11</v>
      </c>
      <c r="CA281" t="str">
        <v>линии</v>
      </c>
    </row>
    <row r="282" spans="1:79" x14ac:dyDescent="0.3">
      <c r="A282" s="39" t="str">
        <v>ЩР-2</v>
      </c>
      <c r="B282" s="42">
        <v>41</v>
      </c>
      <c r="C282" s="42">
        <v>3</v>
      </c>
      <c r="D282" s="75" t="str">
        <v/>
      </c>
      <c r="E282" s="75" t="str">
        <v>авто</v>
      </c>
      <c r="F282" s="76">
        <v>30</v>
      </c>
      <c r="G282" s="47" t="str">
        <v>QFD22</v>
      </c>
      <c r="H282" s="47" t="str">
        <v>2P С16А 30мА</v>
      </c>
      <c r="I282" s="75" t="str">
        <v/>
      </c>
      <c r="J282" s="76" t="str">
        <v/>
      </c>
      <c r="K282" s="76" t="str">
        <v/>
      </c>
      <c r="L282" s="75" t="str">
        <v/>
      </c>
      <c r="M282" s="49" t="str">
        <v/>
      </c>
      <c r="N282" s="76" t="str">
        <v/>
      </c>
      <c r="O282" s="49" t="str">
        <v/>
      </c>
      <c r="P282" s="77" t="str">
        <v/>
      </c>
      <c r="Q282" s="53" t="str">
        <v>ВВГнг(А)-LS (3х2,5) L=40-0,17%</v>
      </c>
      <c r="R282" s="54" t="str">
        <v>R.2.005А.3</v>
      </c>
      <c r="S282" s="55" t="str">
        <v>Розеточная группа, пом. 005А</v>
      </c>
      <c r="T282" s="56">
        <v>0.12</v>
      </c>
      <c r="U282" s="56">
        <v>0.55000000000000004</v>
      </c>
      <c r="V282" s="42" t="str">
        <v>L2</v>
      </c>
      <c r="W282" s="57" t="str">
        <v>ok</v>
      </c>
      <c r="X282" s="58" t="str">
        <v/>
      </c>
      <c r="Y282" s="75" t="str">
        <v/>
      </c>
      <c r="Z282" s="59">
        <v>0.54696341291648753</v>
      </c>
      <c r="AA282" s="61">
        <v>16</v>
      </c>
      <c r="AB282" s="61">
        <v>25</v>
      </c>
      <c r="AC282" s="61" t="str">
        <v/>
      </c>
      <c r="AD282" s="62" t="str">
        <v>QFD22</v>
      </c>
      <c r="AE282" s="62" t="str">
        <v/>
      </c>
      <c r="AF282" s="34">
        <v>22</v>
      </c>
      <c r="AG282" s="34" t="str">
        <v>QFD22</v>
      </c>
      <c r="AH282" s="34" t="str">
        <v/>
      </c>
      <c r="AI282" s="34" t="str">
        <v/>
      </c>
      <c r="AJ282" s="34" t="str">
        <v>QFD22</v>
      </c>
      <c r="AK282" s="34">
        <v>1</v>
      </c>
      <c r="AL282" s="34" t="str">
        <v>R</v>
      </c>
      <c r="AM282" s="34">
        <v>30</v>
      </c>
      <c r="AN282" s="34">
        <v>0</v>
      </c>
      <c r="AO282" s="34">
        <v>16</v>
      </c>
      <c r="AP282" s="34">
        <v>25</v>
      </c>
      <c r="AQ282" s="34">
        <v>16</v>
      </c>
      <c r="AR282" s="34">
        <v>1</v>
      </c>
      <c r="AS282" s="34">
        <v>1</v>
      </c>
      <c r="AT282" s="34" t="str">
        <v>2P</v>
      </c>
      <c r="AU282" s="34">
        <v>16</v>
      </c>
      <c r="AV282" s="34" t="str">
        <v/>
      </c>
      <c r="AW282" s="34" t="str">
        <v/>
      </c>
      <c r="AX282" s="34" t="str">
        <v/>
      </c>
      <c r="AY282" s="34">
        <v>1</v>
      </c>
      <c r="AZ282" s="34" t="str">
        <v/>
      </c>
      <c r="BA282" s="34">
        <v>0</v>
      </c>
      <c r="BB282" s="34">
        <v>16</v>
      </c>
      <c r="BD282" s="34">
        <v>1</v>
      </c>
      <c r="BE282" s="34">
        <v>0</v>
      </c>
      <c r="BF282" s="34">
        <v>1</v>
      </c>
      <c r="BG282" s="34" t="str">
        <v/>
      </c>
      <c r="BH282" s="34" t="str">
        <v/>
      </c>
      <c r="BI282" s="34" t="str">
        <v/>
      </c>
      <c r="BJ282" s="34" t="str">
        <v/>
      </c>
      <c r="BK282" s="34" t="str">
        <v>SOCKET</v>
      </c>
      <c r="BL282" s="34">
        <v>1</v>
      </c>
      <c r="BM282" s="34" t="str">
        <v/>
      </c>
      <c r="BN282" s="34" t="str">
        <v/>
      </c>
      <c r="BO282" s="34" t="str">
        <v/>
      </c>
      <c r="BP282" s="34" t="str">
        <v/>
      </c>
      <c r="BQ282" s="34" t="str">
        <v>3х2,5</v>
      </c>
      <c r="BR282" s="34" t="str">
        <v/>
      </c>
      <c r="BS282" s="34" t="str">
        <v/>
      </c>
      <c r="BT282" s="34" t="str">
        <v/>
      </c>
      <c r="BU282" s="34">
        <v>0</v>
      </c>
      <c r="BV282" s="34">
        <v>303</v>
      </c>
      <c r="BW282" s="34">
        <v>1</v>
      </c>
      <c r="BX282" s="34">
        <v>0</v>
      </c>
      <c r="BY282" s="34" t="str">
        <v>Розетка</v>
      </c>
      <c r="BZ282">
        <v>11</v>
      </c>
      <c r="CA282" t="str">
        <v>линии</v>
      </c>
    </row>
    <row r="283" spans="1:79" x14ac:dyDescent="0.3">
      <c r="A283" s="39" t="str">
        <v>ЩР-2</v>
      </c>
      <c r="B283" s="42">
        <v>42</v>
      </c>
      <c r="C283" s="42">
        <v>3</v>
      </c>
      <c r="D283" s="75" t="str">
        <v/>
      </c>
      <c r="E283" s="75" t="str">
        <v>авто</v>
      </c>
      <c r="F283" s="76">
        <v>30</v>
      </c>
      <c r="G283" s="47" t="str">
        <v>QFD23</v>
      </c>
      <c r="H283" s="47" t="str">
        <v>2P С16А 30мА</v>
      </c>
      <c r="I283" s="75" t="str">
        <v/>
      </c>
      <c r="J283" s="76" t="str">
        <v/>
      </c>
      <c r="K283" s="76" t="str">
        <v/>
      </c>
      <c r="L283" s="75" t="str">
        <v/>
      </c>
      <c r="M283" s="49" t="str">
        <v/>
      </c>
      <c r="N283" s="76" t="str">
        <v/>
      </c>
      <c r="O283" s="49" t="str">
        <v/>
      </c>
      <c r="P283" s="77" t="str">
        <v/>
      </c>
      <c r="Q283" s="53" t="str">
        <v>ВВГнг(А)-LS (3х2,5) L=35-0,08%</v>
      </c>
      <c r="R283" s="54" t="str">
        <v>R.2.009А.3</v>
      </c>
      <c r="S283" s="55" t="str">
        <v>Розеточная группа, пом. 009А</v>
      </c>
      <c r="T283" s="56">
        <v>0.06</v>
      </c>
      <c r="U283" s="56">
        <v>0.28000000000000003</v>
      </c>
      <c r="V283" s="42" t="str">
        <v>L3</v>
      </c>
      <c r="W283" s="57" t="str">
        <v>ok</v>
      </c>
      <c r="X283" s="58" t="str">
        <v/>
      </c>
      <c r="Y283" s="75" t="str">
        <v/>
      </c>
      <c r="Z283" s="59">
        <v>0.27348170645824377</v>
      </c>
      <c r="AA283" s="61">
        <v>16</v>
      </c>
      <c r="AB283" s="61">
        <v>25</v>
      </c>
      <c r="AC283" s="61" t="str">
        <v/>
      </c>
      <c r="AD283" s="62" t="str">
        <v>QFD23</v>
      </c>
      <c r="AE283" s="62" t="str">
        <v/>
      </c>
      <c r="AF283" s="34">
        <v>23</v>
      </c>
      <c r="AG283" s="34" t="str">
        <v>QFD23</v>
      </c>
      <c r="AH283" s="34" t="str">
        <v/>
      </c>
      <c r="AI283" s="34" t="str">
        <v/>
      </c>
      <c r="AJ283" s="34" t="str">
        <v>QFD23</v>
      </c>
      <c r="AK283" s="34">
        <v>1</v>
      </c>
      <c r="AL283" s="34" t="str">
        <v>R</v>
      </c>
      <c r="AM283" s="34">
        <v>30</v>
      </c>
      <c r="AN283" s="34">
        <v>0</v>
      </c>
      <c r="AO283" s="34">
        <v>16</v>
      </c>
      <c r="AP283" s="34">
        <v>25</v>
      </c>
      <c r="AQ283" s="34">
        <v>16</v>
      </c>
      <c r="AR283" s="34">
        <v>1</v>
      </c>
      <c r="AS283" s="34">
        <v>1</v>
      </c>
      <c r="AT283" s="34" t="str">
        <v>2P</v>
      </c>
      <c r="AU283" s="34">
        <v>16</v>
      </c>
      <c r="AV283" s="34" t="str">
        <v/>
      </c>
      <c r="AW283" s="34" t="str">
        <v/>
      </c>
      <c r="AX283" s="34" t="str">
        <v/>
      </c>
      <c r="AY283" s="34">
        <v>1</v>
      </c>
      <c r="AZ283" s="34" t="str">
        <v/>
      </c>
      <c r="BA283" s="34">
        <v>0</v>
      </c>
      <c r="BB283" s="34">
        <v>16</v>
      </c>
      <c r="BD283" s="34">
        <v>1</v>
      </c>
      <c r="BE283" s="34">
        <v>0</v>
      </c>
      <c r="BF283" s="34">
        <v>1</v>
      </c>
      <c r="BG283" s="34" t="str">
        <v/>
      </c>
      <c r="BH283" s="34" t="str">
        <v/>
      </c>
      <c r="BI283" s="34" t="str">
        <v/>
      </c>
      <c r="BJ283" s="34" t="str">
        <v/>
      </c>
      <c r="BK283" s="34" t="str">
        <v>SOCKET</v>
      </c>
      <c r="BL283" s="34">
        <v>1</v>
      </c>
      <c r="BM283" s="34" t="str">
        <v/>
      </c>
      <c r="BN283" s="34" t="str">
        <v/>
      </c>
      <c r="BO283" s="34" t="str">
        <v/>
      </c>
      <c r="BP283" s="34" t="str">
        <v/>
      </c>
      <c r="BQ283" s="34" t="str">
        <v>3х2,5</v>
      </c>
      <c r="BR283" s="34" t="str">
        <v/>
      </c>
      <c r="BS283" s="34" t="str">
        <v/>
      </c>
      <c r="BT283" s="34" t="str">
        <v/>
      </c>
      <c r="BU283" s="34">
        <v>0</v>
      </c>
      <c r="BV283" s="34">
        <v>304</v>
      </c>
      <c r="BW283" s="34">
        <v>1</v>
      </c>
      <c r="BX283" s="34">
        <v>0</v>
      </c>
      <c r="BY283" s="34" t="str">
        <v>Розетка</v>
      </c>
      <c r="BZ283">
        <v>11</v>
      </c>
      <c r="CA283" t="str">
        <v>линии</v>
      </c>
    </row>
    <row r="284" spans="1:79" x14ac:dyDescent="0.3">
      <c r="A284" s="39" t="str">
        <v>ЩР-2</v>
      </c>
      <c r="B284" s="42">
        <v>45</v>
      </c>
      <c r="C284" s="42">
        <v>3</v>
      </c>
      <c r="D284" s="75" t="str">
        <v/>
      </c>
      <c r="E284" s="75" t="str">
        <v>авто</v>
      </c>
      <c r="F284" s="76">
        <v>30</v>
      </c>
      <c r="G284" s="47" t="str">
        <v>QFD24</v>
      </c>
      <c r="H284" s="47" t="str">
        <v>2P С16А 30мА</v>
      </c>
      <c r="I284" s="75" t="str">
        <v/>
      </c>
      <c r="J284" s="76" t="str">
        <v/>
      </c>
      <c r="K284" s="76" t="str">
        <v/>
      </c>
      <c r="L284" s="75" t="str">
        <v/>
      </c>
      <c r="M284" s="49" t="str">
        <v/>
      </c>
      <c r="N284" s="76" t="str">
        <v/>
      </c>
      <c r="O284" s="49" t="str">
        <v/>
      </c>
      <c r="P284" s="77" t="str">
        <v>XT24</v>
      </c>
      <c r="Q284" s="53" t="str">
        <v>ВВГнг(А)-LS (3х2,5) L=59-0,24%</v>
      </c>
      <c r="R284" s="54" t="str">
        <v>R.2.020А.2</v>
      </c>
      <c r="S284" s="55" t="str">
        <v>Розеточная группа, пом. 020А</v>
      </c>
      <c r="T284" s="56">
        <v>0.12</v>
      </c>
      <c r="U284" s="56">
        <v>0.55000000000000004</v>
      </c>
      <c r="V284" s="42" t="str">
        <v>L3</v>
      </c>
      <c r="W284" s="57" t="str">
        <v>ok</v>
      </c>
      <c r="X284" s="58" t="str">
        <v/>
      </c>
      <c r="Y284" s="75" t="str">
        <v/>
      </c>
      <c r="Z284" s="59">
        <v>0.54696341291648753</v>
      </c>
      <c r="AA284" s="61">
        <v>16</v>
      </c>
      <c r="AB284" s="61">
        <v>25</v>
      </c>
      <c r="AC284" s="61" t="str">
        <v/>
      </c>
      <c r="AD284" s="62" t="str">
        <v>QFD24 → XT24</v>
      </c>
      <c r="AE284" s="62" t="str">
        <v/>
      </c>
      <c r="AF284" s="34">
        <v>24</v>
      </c>
      <c r="AG284" s="34" t="str">
        <v>QFD24</v>
      </c>
      <c r="AH284" s="34" t="str">
        <v/>
      </c>
      <c r="AI284" s="34" t="str">
        <v/>
      </c>
      <c r="AJ284" s="34" t="str">
        <v>QFD24</v>
      </c>
      <c r="AK284" s="34">
        <v>1</v>
      </c>
      <c r="AL284" s="34" t="str">
        <v>R</v>
      </c>
      <c r="AM284" s="34">
        <v>30</v>
      </c>
      <c r="AN284" s="34">
        <v>0</v>
      </c>
      <c r="AO284" s="34">
        <v>16</v>
      </c>
      <c r="AP284" s="34">
        <v>25</v>
      </c>
      <c r="AQ284" s="34">
        <v>16</v>
      </c>
      <c r="AR284" s="34">
        <v>1</v>
      </c>
      <c r="AS284" s="34">
        <v>1</v>
      </c>
      <c r="AT284" s="34" t="str">
        <v>2P</v>
      </c>
      <c r="AU284" s="34">
        <v>16</v>
      </c>
      <c r="AV284" s="34" t="str">
        <v/>
      </c>
      <c r="AW284" s="34" t="str">
        <v/>
      </c>
      <c r="AX284" s="34" t="str">
        <v/>
      </c>
      <c r="AY284" s="34">
        <v>1</v>
      </c>
      <c r="AZ284" s="34" t="str">
        <v/>
      </c>
      <c r="BA284" s="34">
        <v>0</v>
      </c>
      <c r="BB284" s="34">
        <v>16</v>
      </c>
      <c r="BD284" s="34">
        <v>1</v>
      </c>
      <c r="BE284" s="34">
        <v>0</v>
      </c>
      <c r="BF284" s="34">
        <v>1</v>
      </c>
      <c r="BG284" s="34" t="str">
        <v/>
      </c>
      <c r="BH284" s="34" t="str">
        <v/>
      </c>
      <c r="BI284" s="34" t="str">
        <v/>
      </c>
      <c r="BJ284" s="34" t="str">
        <v/>
      </c>
      <c r="BK284" s="34" t="str">
        <v>SOCKET</v>
      </c>
      <c r="BL284" s="34">
        <v>1</v>
      </c>
      <c r="BM284" s="34" t="str">
        <v/>
      </c>
      <c r="BN284" s="34" t="str">
        <v/>
      </c>
      <c r="BO284" s="34" t="str">
        <v/>
      </c>
      <c r="BP284" s="34" t="str">
        <v/>
      </c>
      <c r="BQ284" s="34" t="str">
        <v>3х2,5</v>
      </c>
      <c r="BR284" s="34" t="str">
        <v/>
      </c>
      <c r="BS284" s="34" t="str">
        <v/>
      </c>
      <c r="BT284" s="34" t="str">
        <v/>
      </c>
      <c r="BU284" s="34">
        <v>0</v>
      </c>
      <c r="BV284" s="34">
        <v>305</v>
      </c>
      <c r="BW284" s="34">
        <v>1</v>
      </c>
      <c r="BX284" s="34">
        <v>0</v>
      </c>
      <c r="BY284" s="34" t="str">
        <v>Розетка</v>
      </c>
      <c r="BZ284">
        <v>11</v>
      </c>
      <c r="CA284" t="str">
        <v>линии</v>
      </c>
    </row>
    <row r="285" spans="1:79" x14ac:dyDescent="0.3">
      <c r="A285" s="39" t="str">
        <v>ЩР-2</v>
      </c>
      <c r="B285" s="42">
        <v>46</v>
      </c>
      <c r="C285" s="42">
        <v>3</v>
      </c>
      <c r="D285" s="75" t="str">
        <v/>
      </c>
      <c r="E285" s="75" t="str">
        <v>авто</v>
      </c>
      <c r="F285" s="76">
        <v>30</v>
      </c>
      <c r="G285" s="47" t="str">
        <v>QFD25</v>
      </c>
      <c r="H285" s="47" t="str">
        <v>2P С16А 30мА</v>
      </c>
      <c r="I285" s="75" t="str">
        <v/>
      </c>
      <c r="J285" s="76" t="str">
        <v/>
      </c>
      <c r="K285" s="76" t="str">
        <v/>
      </c>
      <c r="L285" s="75" t="str">
        <v/>
      </c>
      <c r="M285" s="49" t="str">
        <v/>
      </c>
      <c r="N285" s="76" t="str">
        <v/>
      </c>
      <c r="O285" s="49" t="str">
        <v/>
      </c>
      <c r="P285" s="77" t="str">
        <v>XT25</v>
      </c>
      <c r="Q285" s="53" t="str">
        <v>ВВГнг(А)-LS (3х2,5) L=22-0,05%</v>
      </c>
      <c r="R285" s="54" t="str">
        <v>R.3.001T.1</v>
      </c>
      <c r="S285" s="55" t="str">
        <v>Розеточная группа, пом. 001T</v>
      </c>
      <c r="T285" s="56">
        <v>0.06</v>
      </c>
      <c r="U285" s="56">
        <v>0.28000000000000003</v>
      </c>
      <c r="V285" s="42" t="str">
        <v>L1</v>
      </c>
      <c r="W285" s="57" t="str">
        <v>ok</v>
      </c>
      <c r="X285" s="58" t="str">
        <v/>
      </c>
      <c r="Y285" s="75" t="str">
        <v/>
      </c>
      <c r="Z285" s="59">
        <v>0.27348170645824377</v>
      </c>
      <c r="AA285" s="61">
        <v>16</v>
      </c>
      <c r="AB285" s="61">
        <v>25</v>
      </c>
      <c r="AC285" s="61" t="str">
        <v/>
      </c>
      <c r="AD285" s="62" t="str">
        <v>QFD25 → XT25</v>
      </c>
      <c r="AE285" s="62" t="str">
        <v/>
      </c>
      <c r="AF285" s="34">
        <v>25</v>
      </c>
      <c r="AG285" s="34" t="str">
        <v>QFD25</v>
      </c>
      <c r="AH285" s="34" t="str">
        <v/>
      </c>
      <c r="AI285" s="34" t="str">
        <v/>
      </c>
      <c r="AJ285" s="34" t="str">
        <v>QFD25</v>
      </c>
      <c r="AK285" s="34">
        <v>1</v>
      </c>
      <c r="AL285" s="34" t="str">
        <v>R</v>
      </c>
      <c r="AM285" s="34">
        <v>30</v>
      </c>
      <c r="AN285" s="34">
        <v>0</v>
      </c>
      <c r="AO285" s="34">
        <v>16</v>
      </c>
      <c r="AP285" s="34">
        <v>25</v>
      </c>
      <c r="AQ285" s="34">
        <v>16</v>
      </c>
      <c r="AR285" s="34">
        <v>1</v>
      </c>
      <c r="AS285" s="34">
        <v>1</v>
      </c>
      <c r="AT285" s="34" t="str">
        <v>2P</v>
      </c>
      <c r="AU285" s="34">
        <v>16</v>
      </c>
      <c r="AV285" s="34" t="str">
        <v/>
      </c>
      <c r="AW285" s="34" t="str">
        <v/>
      </c>
      <c r="AX285" s="34" t="str">
        <v/>
      </c>
      <c r="AY285" s="34">
        <v>1</v>
      </c>
      <c r="AZ285" s="34" t="str">
        <v/>
      </c>
      <c r="BA285" s="34">
        <v>0</v>
      </c>
      <c r="BB285" s="34">
        <v>16</v>
      </c>
      <c r="BD285" s="34">
        <v>1</v>
      </c>
      <c r="BE285" s="34">
        <v>0</v>
      </c>
      <c r="BF285" s="34">
        <v>1</v>
      </c>
      <c r="BG285" s="34" t="str">
        <v/>
      </c>
      <c r="BH285" s="34" t="str">
        <v/>
      </c>
      <c r="BI285" s="34" t="str">
        <v/>
      </c>
      <c r="BJ285" s="34" t="str">
        <v/>
      </c>
      <c r="BK285" s="34" t="str">
        <v>SOCKET</v>
      </c>
      <c r="BL285" s="34">
        <v>1</v>
      </c>
      <c r="BM285" s="34" t="str">
        <v/>
      </c>
      <c r="BN285" s="34" t="str">
        <v/>
      </c>
      <c r="BO285" s="34" t="str">
        <v/>
      </c>
      <c r="BP285" s="34" t="str">
        <v/>
      </c>
      <c r="BQ285" s="34" t="str">
        <v>3х2,5</v>
      </c>
      <c r="BR285" s="34" t="str">
        <v/>
      </c>
      <c r="BS285" s="34" t="str">
        <v/>
      </c>
      <c r="BT285" s="34" t="str">
        <v/>
      </c>
      <c r="BU285" s="34">
        <v>0</v>
      </c>
      <c r="BV285" s="34">
        <v>306</v>
      </c>
      <c r="BW285" s="34">
        <v>1</v>
      </c>
      <c r="BX285" s="34">
        <v>0</v>
      </c>
      <c r="BY285" s="34" t="str">
        <v>Розетка</v>
      </c>
      <c r="BZ285">
        <v>11</v>
      </c>
      <c r="CA285" t="str">
        <v>линии</v>
      </c>
    </row>
    <row r="286" spans="1:79" x14ac:dyDescent="0.3">
      <c r="A286" s="39" t="str">
        <v>ЩР-2</v>
      </c>
      <c r="B286" s="42">
        <v>47</v>
      </c>
      <c r="C286" s="42">
        <v>3</v>
      </c>
      <c r="D286" s="75" t="str">
        <v/>
      </c>
      <c r="E286" s="75" t="str">
        <v>авто</v>
      </c>
      <c r="F286" s="76">
        <v>30</v>
      </c>
      <c r="G286" s="47" t="str">
        <v>QFD26</v>
      </c>
      <c r="H286" s="47" t="str">
        <v>2P С16А 30мА</v>
      </c>
      <c r="I286" s="75" t="str">
        <v/>
      </c>
      <c r="J286" s="76" t="str">
        <v/>
      </c>
      <c r="K286" s="76" t="str">
        <v/>
      </c>
      <c r="L286" s="75" t="str">
        <v/>
      </c>
      <c r="M286" s="49" t="str">
        <v/>
      </c>
      <c r="N286" s="76" t="str">
        <v/>
      </c>
      <c r="O286" s="49" t="str">
        <v/>
      </c>
      <c r="P286" s="77" t="str">
        <v/>
      </c>
      <c r="Q286" s="53" t="str">
        <v>ВВГнг(А)-LS (3х2,5) L=41-0,25%</v>
      </c>
      <c r="R286" s="54" t="str">
        <v>R.3.001Б.1</v>
      </c>
      <c r="S286" s="55" t="str">
        <v>Розеточная группа, пом. 001Б</v>
      </c>
      <c r="T286" s="56">
        <v>0.18</v>
      </c>
      <c r="U286" s="56">
        <v>0.83</v>
      </c>
      <c r="V286" s="42" t="str">
        <v>L2</v>
      </c>
      <c r="W286" s="57" t="str">
        <v>ok</v>
      </c>
      <c r="X286" s="58" t="str">
        <v/>
      </c>
      <c r="Y286" s="75" t="str">
        <v/>
      </c>
      <c r="Z286" s="59">
        <v>0.8204451193747313</v>
      </c>
      <c r="AA286" s="61">
        <v>16</v>
      </c>
      <c r="AB286" s="61">
        <v>25</v>
      </c>
      <c r="AC286" s="61" t="str">
        <v/>
      </c>
      <c r="AD286" s="62" t="str">
        <v>QFD26</v>
      </c>
      <c r="AE286" s="62" t="str">
        <v/>
      </c>
      <c r="AF286" s="34">
        <v>26</v>
      </c>
      <c r="AG286" s="34" t="str">
        <v>QFD26</v>
      </c>
      <c r="AH286" s="34" t="str">
        <v/>
      </c>
      <c r="AI286" s="34" t="str">
        <v/>
      </c>
      <c r="AJ286" s="34" t="str">
        <v>QFD26</v>
      </c>
      <c r="AK286" s="34">
        <v>1</v>
      </c>
      <c r="AL286" s="34" t="str">
        <v>R</v>
      </c>
      <c r="AM286" s="34">
        <v>30</v>
      </c>
      <c r="AN286" s="34">
        <v>0</v>
      </c>
      <c r="AO286" s="34">
        <v>16</v>
      </c>
      <c r="AP286" s="34">
        <v>25</v>
      </c>
      <c r="AQ286" s="34">
        <v>16</v>
      </c>
      <c r="AR286" s="34">
        <v>1</v>
      </c>
      <c r="AS286" s="34">
        <v>1</v>
      </c>
      <c r="AT286" s="34" t="str">
        <v>2P</v>
      </c>
      <c r="AU286" s="34">
        <v>16</v>
      </c>
      <c r="AV286" s="34" t="str">
        <v/>
      </c>
      <c r="AW286" s="34" t="str">
        <v/>
      </c>
      <c r="AX286" s="34" t="str">
        <v/>
      </c>
      <c r="AY286" s="34">
        <v>1</v>
      </c>
      <c r="AZ286" s="34" t="str">
        <v/>
      </c>
      <c r="BA286" s="34">
        <v>0</v>
      </c>
      <c r="BB286" s="34">
        <v>16</v>
      </c>
      <c r="BD286" s="34">
        <v>1</v>
      </c>
      <c r="BE286" s="34">
        <v>0</v>
      </c>
      <c r="BF286" s="34">
        <v>1</v>
      </c>
      <c r="BG286" s="34" t="str">
        <v/>
      </c>
      <c r="BH286" s="34" t="str">
        <v/>
      </c>
      <c r="BI286" s="34" t="str">
        <v/>
      </c>
      <c r="BJ286" s="34" t="str">
        <v/>
      </c>
      <c r="BK286" s="34" t="str">
        <v>SOCKET</v>
      </c>
      <c r="BL286" s="34">
        <v>1</v>
      </c>
      <c r="BM286" s="34" t="str">
        <v/>
      </c>
      <c r="BN286" s="34" t="str">
        <v/>
      </c>
      <c r="BO286" s="34" t="str">
        <v/>
      </c>
      <c r="BP286" s="34" t="str">
        <v/>
      </c>
      <c r="BQ286" s="34" t="str">
        <v>3х2,5</v>
      </c>
      <c r="BR286" s="34" t="str">
        <v/>
      </c>
      <c r="BS286" s="34" t="str">
        <v/>
      </c>
      <c r="BT286" s="34" t="str">
        <v/>
      </c>
      <c r="BU286" s="34">
        <v>0</v>
      </c>
      <c r="BV286" s="34">
        <v>307</v>
      </c>
      <c r="BW286" s="34">
        <v>1</v>
      </c>
      <c r="BX286" s="34">
        <v>0</v>
      </c>
      <c r="BY286" s="34" t="str">
        <v>Розетка</v>
      </c>
      <c r="BZ286">
        <v>11</v>
      </c>
      <c r="CA286" t="str">
        <v>линии</v>
      </c>
    </row>
    <row r="287" spans="1:79" x14ac:dyDescent="0.3">
      <c r="A287" s="39" t="str">
        <v>ЩР-2</v>
      </c>
      <c r="B287" s="42">
        <v>49</v>
      </c>
      <c r="C287" s="42">
        <v>3</v>
      </c>
      <c r="D287" s="75" t="str">
        <v/>
      </c>
      <c r="E287" s="75" t="str">
        <v>авто</v>
      </c>
      <c r="F287" s="76" t="str">
        <v/>
      </c>
      <c r="G287" s="47" t="str">
        <v>QF27</v>
      </c>
      <c r="H287" s="47" t="str">
        <v>1P С16А</v>
      </c>
      <c r="I287" s="75" t="str">
        <v/>
      </c>
      <c r="J287" s="76" t="str">
        <v/>
      </c>
      <c r="K287" s="76" t="str">
        <v/>
      </c>
      <c r="L287" s="75" t="str">
        <v/>
      </c>
      <c r="M287" s="49" t="str">
        <v/>
      </c>
      <c r="N287" s="76" t="str">
        <v/>
      </c>
      <c r="O287" s="49" t="str">
        <v/>
      </c>
      <c r="P287" s="77" t="str">
        <v/>
      </c>
      <c r="Q287" s="53" t="str">
        <v>ВВГнг(А)-LS (3х2,5) L=38-1,94%</v>
      </c>
      <c r="R287" s="54" t="str">
        <v>ШТК-2</v>
      </c>
      <c r="S287" s="55" t="str">
        <v>Шкаф телекоммуникационный ШТК-2  Тех. Этаж Пом №004T</v>
      </c>
      <c r="T287" s="56">
        <v>1.5</v>
      </c>
      <c r="U287" s="56">
        <v>6.84</v>
      </c>
      <c r="V287" s="42" t="str">
        <v>L2</v>
      </c>
      <c r="W287" s="57" t="str">
        <v>ok</v>
      </c>
      <c r="X287" s="58" t="str">
        <v/>
      </c>
      <c r="Y287" s="75" t="str">
        <v/>
      </c>
      <c r="Z287" s="59">
        <v>6.8370426614560946</v>
      </c>
      <c r="AA287" s="61">
        <v>10</v>
      </c>
      <c r="AB287" s="61">
        <v>25</v>
      </c>
      <c r="AC287" s="61" t="str">
        <v/>
      </c>
      <c r="AD287" s="62" t="str">
        <v>QF27</v>
      </c>
      <c r="AE287" s="62" t="str">
        <v/>
      </c>
      <c r="AF287" s="34">
        <v>27</v>
      </c>
      <c r="AG287" s="34" t="str">
        <v>QF27</v>
      </c>
      <c r="AH287" s="34" t="str">
        <v/>
      </c>
      <c r="AI287" s="34" t="str">
        <v/>
      </c>
      <c r="AJ287" s="34" t="str">
        <v>QF27</v>
      </c>
      <c r="AK287" s="34">
        <v>1</v>
      </c>
      <c r="AL287" s="34" t="str">
        <v>ШТК-2</v>
      </c>
      <c r="AM287" s="34">
        <v>0</v>
      </c>
      <c r="AN287" s="34">
        <v>0</v>
      </c>
      <c r="AO287" s="34">
        <v>10</v>
      </c>
      <c r="AP287" s="34">
        <v>25</v>
      </c>
      <c r="AQ287" s="34">
        <v>16</v>
      </c>
      <c r="AR287" s="34">
        <v>1</v>
      </c>
      <c r="AS287" s="34">
        <v>0</v>
      </c>
      <c r="AT287" s="34" t="str">
        <v>1P</v>
      </c>
      <c r="AU287" s="34">
        <v>16</v>
      </c>
      <c r="AV287" s="34" t="str">
        <v/>
      </c>
      <c r="AW287" s="34" t="str">
        <v/>
      </c>
      <c r="AX287" s="34" t="str">
        <v/>
      </c>
      <c r="AY287" s="34">
        <v>1</v>
      </c>
      <c r="AZ287" s="34" t="str">
        <v/>
      </c>
      <c r="BA287" s="34">
        <v>0</v>
      </c>
      <c r="BB287" s="34">
        <v>0</v>
      </c>
      <c r="BD287" s="34">
        <v>1</v>
      </c>
      <c r="BE287" s="34">
        <v>0</v>
      </c>
      <c r="BF287" s="34">
        <v>0</v>
      </c>
      <c r="BG287" s="34" t="str">
        <v/>
      </c>
      <c r="BH287" s="34" t="str">
        <v/>
      </c>
      <c r="BI287" s="34" t="str">
        <v/>
      </c>
      <c r="BJ287" s="34" t="str">
        <v/>
      </c>
      <c r="BK287" s="34" t="str">
        <v>BOX</v>
      </c>
      <c r="BL287" s="34">
        <v>1</v>
      </c>
      <c r="BM287" s="34" t="str">
        <v/>
      </c>
      <c r="BN287" s="34" t="str">
        <v/>
      </c>
      <c r="BO287" s="34" t="str">
        <v/>
      </c>
      <c r="BP287" s="34" t="str">
        <v/>
      </c>
      <c r="BQ287" s="34" t="str">
        <v>3х2,5</v>
      </c>
      <c r="BR287" s="34" t="str">
        <v/>
      </c>
      <c r="BS287" s="34" t="str">
        <v/>
      </c>
      <c r="BT287" s="34" t="str">
        <v/>
      </c>
      <c r="BU287" s="34">
        <v>0</v>
      </c>
      <c r="BV287" s="34">
        <v>308</v>
      </c>
      <c r="BW287" s="34">
        <v>1</v>
      </c>
      <c r="BX287" s="34">
        <v>0</v>
      </c>
      <c r="BY287" s="34" t="str">
        <v/>
      </c>
      <c r="BZ287">
        <v>11</v>
      </c>
      <c r="CA287" t="str">
        <v>линии</v>
      </c>
    </row>
    <row r="288" spans="1:79" x14ac:dyDescent="0.3">
      <c r="A288" s="39" t="str">
        <v>ЩР-2</v>
      </c>
      <c r="B288" s="42">
        <v>50</v>
      </c>
      <c r="C288" s="42">
        <v>3</v>
      </c>
      <c r="D288" s="75" t="str">
        <v/>
      </c>
      <c r="E288" s="75" t="str">
        <v>авто</v>
      </c>
      <c r="F288" s="76" t="str">
        <v/>
      </c>
      <c r="G288" s="47" t="str">
        <v>QF28</v>
      </c>
      <c r="H288" s="47" t="str">
        <v>1P С16А</v>
      </c>
      <c r="I288" s="75" t="str">
        <v/>
      </c>
      <c r="J288" s="76" t="str">
        <v/>
      </c>
      <c r="K288" s="76" t="str">
        <v/>
      </c>
      <c r="L288" s="75" t="str">
        <v/>
      </c>
      <c r="M288" s="49" t="str">
        <v/>
      </c>
      <c r="N288" s="76" t="str">
        <v/>
      </c>
      <c r="O288" s="49" t="str">
        <v/>
      </c>
      <c r="P288" s="77" t="str">
        <v/>
      </c>
      <c r="Q288" s="53" t="str">
        <v>ВВГнг(А)-LS (3х2,5) L=39-3,57%</v>
      </c>
      <c r="R288" s="54" t="str">
        <v>ШТК-ЛВС.3</v>
      </c>
      <c r="S288" s="55" t="str">
        <v>Шкаф телекоммуникационный ШТК-2  Тех. Этаж Пом №004T</v>
      </c>
      <c r="T288" s="56">
        <v>2.7</v>
      </c>
      <c r="U288" s="56">
        <v>12.31</v>
      </c>
      <c r="V288" s="42" t="str">
        <v>L1</v>
      </c>
      <c r="W288" s="57" t="str">
        <v>ok</v>
      </c>
      <c r="X288" s="58" t="str">
        <v/>
      </c>
      <c r="Y288" s="75" t="str">
        <v/>
      </c>
      <c r="Z288" s="59">
        <v>12.306676790620971</v>
      </c>
      <c r="AA288" s="61">
        <v>16</v>
      </c>
      <c r="AB288" s="61">
        <v>25</v>
      </c>
      <c r="AC288" s="61" t="str">
        <v/>
      </c>
      <c r="AD288" s="62" t="str">
        <v>QF28</v>
      </c>
      <c r="AE288" s="62" t="str">
        <v>потери 5,4 % &gt; 4 %</v>
      </c>
      <c r="AF288" s="34">
        <v>28</v>
      </c>
      <c r="AG288" s="34" t="str">
        <v>QF28</v>
      </c>
      <c r="AH288" s="34" t="str">
        <v/>
      </c>
      <c r="AI288" s="34" t="str">
        <v/>
      </c>
      <c r="AJ288" s="34" t="str">
        <v>QF28</v>
      </c>
      <c r="AK288" s="34">
        <v>1</v>
      </c>
      <c r="AL288" s="34" t="str">
        <v>ШТК-ЛВС</v>
      </c>
      <c r="AM288" s="34">
        <v>0</v>
      </c>
      <c r="AN288" s="34">
        <v>0</v>
      </c>
      <c r="AO288" s="34">
        <v>16</v>
      </c>
      <c r="AP288" s="34">
        <v>25</v>
      </c>
      <c r="AQ288" s="34">
        <v>16</v>
      </c>
      <c r="AR288" s="34">
        <v>1</v>
      </c>
      <c r="AS288" s="34">
        <v>0</v>
      </c>
      <c r="AT288" s="34" t="str">
        <v>1P</v>
      </c>
      <c r="AU288" s="34">
        <v>16</v>
      </c>
      <c r="AV288" s="34" t="str">
        <v/>
      </c>
      <c r="AW288" s="34" t="str">
        <v/>
      </c>
      <c r="AX288" s="34" t="str">
        <v/>
      </c>
      <c r="AY288" s="34">
        <v>1</v>
      </c>
      <c r="AZ288" s="34" t="str">
        <v/>
      </c>
      <c r="BA288" s="34">
        <v>0</v>
      </c>
      <c r="BB288" s="34">
        <v>0</v>
      </c>
      <c r="BD288" s="34">
        <v>1</v>
      </c>
      <c r="BE288" s="34">
        <v>0</v>
      </c>
      <c r="BF288" s="34">
        <v>0</v>
      </c>
      <c r="BG288" s="34" t="str">
        <v/>
      </c>
      <c r="BH288" s="34" t="str">
        <v/>
      </c>
      <c r="BI288" s="34" t="str">
        <v/>
      </c>
      <c r="BJ288" s="34" t="str">
        <v/>
      </c>
      <c r="BK288" s="34" t="str">
        <v>BOX</v>
      </c>
      <c r="BL288" s="34">
        <v>1</v>
      </c>
      <c r="BM288" s="34" t="str">
        <v/>
      </c>
      <c r="BN288" s="34" t="str">
        <v/>
      </c>
      <c r="BO288" s="34" t="str">
        <v/>
      </c>
      <c r="BP288" s="34" t="str">
        <v/>
      </c>
      <c r="BQ288" s="34" t="str">
        <v>3х2,5</v>
      </c>
      <c r="BR288" s="34" t="str">
        <v/>
      </c>
      <c r="BS288" s="34" t="str">
        <v/>
      </c>
      <c r="BT288" s="34" t="str">
        <v/>
      </c>
      <c r="BU288" s="34">
        <v>1</v>
      </c>
      <c r="BV288" s="34">
        <v>309</v>
      </c>
      <c r="BW288" s="34">
        <v>1</v>
      </c>
      <c r="BX288" s="34">
        <v>0</v>
      </c>
      <c r="BY288" s="34">
        <v>0</v>
      </c>
      <c r="BZ288">
        <v>11</v>
      </c>
      <c r="CA288" t="str">
        <v>линии</v>
      </c>
    </row>
    <row r="289" spans="1:79" x14ac:dyDescent="0.3">
      <c r="A289" s="39" t="str">
        <v>ЩР-2</v>
      </c>
      <c r="B289" s="42">
        <v>52</v>
      </c>
      <c r="C289" s="42">
        <v>4</v>
      </c>
      <c r="D289" s="75" t="str">
        <v/>
      </c>
      <c r="E289" s="75" t="str">
        <v>авто</v>
      </c>
      <c r="F289" s="76" t="str">
        <v/>
      </c>
      <c r="G289" s="47" t="str">
        <v>QF29</v>
      </c>
      <c r="H289" s="47" t="str">
        <v>1P С16А</v>
      </c>
      <c r="I289" s="75" t="str">
        <v/>
      </c>
      <c r="J289" s="76" t="str">
        <v/>
      </c>
      <c r="K289" s="76" t="str">
        <v/>
      </c>
      <c r="L289" s="75" t="str">
        <v/>
      </c>
      <c r="M289" s="49" t="str">
        <v/>
      </c>
      <c r="N289" s="76" t="str">
        <v/>
      </c>
      <c r="O289" s="49" t="str">
        <v/>
      </c>
      <c r="P289" s="77" t="str">
        <v/>
      </c>
      <c r="Q289" s="53" t="str">
        <v>ВВГнг(А)-LS (3х2,5) L=8-0,14%</v>
      </c>
      <c r="R289" s="54" t="str">
        <v>ШКД.3</v>
      </c>
      <c r="S289" s="55" t="str">
        <v>Щит контроля доступа ЩКД-2  Тех. Этаж Пом №001T</v>
      </c>
      <c r="T289" s="56">
        <v>0.5</v>
      </c>
      <c r="U289" s="56">
        <v>2.2799999999999998</v>
      </c>
      <c r="V289" s="42" t="str">
        <v>L3</v>
      </c>
      <c r="W289" s="57" t="str">
        <v>ok</v>
      </c>
      <c r="X289" s="58" t="str">
        <v/>
      </c>
      <c r="Y289" s="75" t="str">
        <v/>
      </c>
      <c r="Z289" s="59">
        <v>2.2790142204853647</v>
      </c>
      <c r="AA289" s="61">
        <v>6</v>
      </c>
      <c r="AB289" s="61">
        <v>25</v>
      </c>
      <c r="AC289" s="61" t="str">
        <v/>
      </c>
      <c r="AD289" s="62" t="str">
        <v>QF29</v>
      </c>
      <c r="AE289" s="62" t="str">
        <v/>
      </c>
      <c r="AF289" s="34">
        <v>29</v>
      </c>
      <c r="AG289" s="34" t="str">
        <v>QF29</v>
      </c>
      <c r="AH289" s="34" t="str">
        <v/>
      </c>
      <c r="AI289" s="34" t="str">
        <v/>
      </c>
      <c r="AJ289" s="34" t="str">
        <v>QF29</v>
      </c>
      <c r="AK289" s="34">
        <v>1</v>
      </c>
      <c r="AL289" s="34" t="str">
        <v>ШКД</v>
      </c>
      <c r="AM289" s="34">
        <v>0</v>
      </c>
      <c r="AN289" s="34">
        <v>0</v>
      </c>
      <c r="AO289" s="34">
        <v>6</v>
      </c>
      <c r="AP289" s="34">
        <v>25</v>
      </c>
      <c r="AQ289" s="34">
        <v>16</v>
      </c>
      <c r="AR289" s="34">
        <v>1</v>
      </c>
      <c r="AS289" s="34">
        <v>0</v>
      </c>
      <c r="AT289" s="34" t="str">
        <v>1P</v>
      </c>
      <c r="AU289" s="34">
        <v>16</v>
      </c>
      <c r="AV289" s="34" t="str">
        <v/>
      </c>
      <c r="AW289" s="34" t="str">
        <v/>
      </c>
      <c r="AX289" s="34" t="str">
        <v/>
      </c>
      <c r="AY289" s="34">
        <v>1</v>
      </c>
      <c r="AZ289" s="34" t="str">
        <v/>
      </c>
      <c r="BA289" s="34">
        <v>0</v>
      </c>
      <c r="BB289" s="34">
        <v>0</v>
      </c>
      <c r="BD289" s="34">
        <v>1</v>
      </c>
      <c r="BE289" s="34">
        <v>0</v>
      </c>
      <c r="BF289" s="34">
        <v>0</v>
      </c>
      <c r="BG289" s="34" t="str">
        <v/>
      </c>
      <c r="BH289" s="34" t="str">
        <v/>
      </c>
      <c r="BI289" s="34" t="str">
        <v/>
      </c>
      <c r="BJ289" s="34" t="str">
        <v/>
      </c>
      <c r="BK289" s="34" t="str">
        <v>BOX</v>
      </c>
      <c r="BL289" s="34">
        <v>1</v>
      </c>
      <c r="BM289" s="34" t="str">
        <v/>
      </c>
      <c r="BN289" s="34" t="str">
        <v/>
      </c>
      <c r="BO289" s="34" t="str">
        <v/>
      </c>
      <c r="BP289" s="34" t="str">
        <v/>
      </c>
      <c r="BQ289" s="34" t="str">
        <v>3х2,5</v>
      </c>
      <c r="BR289" s="34" t="str">
        <v/>
      </c>
      <c r="BS289" s="34" t="str">
        <v/>
      </c>
      <c r="BT289" s="34" t="str">
        <v/>
      </c>
      <c r="BU289" s="34">
        <v>0</v>
      </c>
      <c r="BV289" s="34">
        <v>310</v>
      </c>
      <c r="BW289" s="34">
        <v>1</v>
      </c>
      <c r="BX289" s="34">
        <v>0</v>
      </c>
      <c r="BY289" s="34" t="str">
        <v/>
      </c>
      <c r="BZ289">
        <v>11</v>
      </c>
      <c r="CA289" t="str">
        <v>линии</v>
      </c>
    </row>
    <row r="290" spans="1:79" x14ac:dyDescent="0.3">
      <c r="A290" s="39" t="str">
        <v>ЩС-Б</v>
      </c>
      <c r="B290" s="42">
        <v>2</v>
      </c>
      <c r="C290" s="42">
        <v>1</v>
      </c>
      <c r="D290" s="75" t="str">
        <v/>
      </c>
      <c r="E290" s="75" t="str">
        <v>авто</v>
      </c>
      <c r="F290" s="76" t="str">
        <v/>
      </c>
      <c r="G290" s="47" t="str">
        <v/>
      </c>
      <c r="H290" s="47" t="str">
        <v>3P С40А</v>
      </c>
      <c r="I290" s="75" t="str">
        <v/>
      </c>
      <c r="J290" s="76" t="str">
        <v/>
      </c>
      <c r="K290" s="76" t="str">
        <v/>
      </c>
      <c r="L290" s="75" t="str">
        <v/>
      </c>
      <c r="M290" s="49" t="str">
        <v/>
      </c>
      <c r="N290" s="76" t="str">
        <v/>
      </c>
      <c r="O290" s="49" t="str">
        <v/>
      </c>
      <c r="P290" s="77" t="str">
        <v/>
      </c>
      <c r="Q290" s="53" t="str">
        <v/>
      </c>
      <c r="R290" s="54" t="str">
        <v>Ввод.1</v>
      </c>
      <c r="S290" s="55" t="str">
        <v>Вводной кабель шлейф 1</v>
      </c>
      <c r="T290" s="56">
        <v>0</v>
      </c>
      <c r="U290" s="56">
        <v>22.55</v>
      </c>
      <c r="V290" s="42" t="str">
        <v>L1,L2,L3</v>
      </c>
      <c r="W290" s="57" t="str">
        <v>ok</v>
      </c>
      <c r="X290" s="58" t="str">
        <v/>
      </c>
      <c r="Y290" s="75" t="str">
        <v>вручную</v>
      </c>
      <c r="Z290" s="59">
        <v>22.54372379226367</v>
      </c>
      <c r="AA290" s="61">
        <v>32</v>
      </c>
      <c r="AB290" s="61">
        <v>50</v>
      </c>
      <c r="AC290" s="61" t="str">
        <v/>
      </c>
      <c r="AD290" s="62" t="str">
        <v/>
      </c>
      <c r="AE290" s="62" t="str">
        <v/>
      </c>
      <c r="AF290" s="34" t="str">
        <v/>
      </c>
      <c r="AG290" s="34" t="str">
        <v/>
      </c>
      <c r="AH290" s="34" t="str">
        <v/>
      </c>
      <c r="AI290" s="34" t="str">
        <v/>
      </c>
      <c r="AJ290" s="34" t="str">
        <v/>
      </c>
      <c r="AK290" s="34">
        <v>3</v>
      </c>
      <c r="AL290" s="34" t="str">
        <v>Ввод</v>
      </c>
      <c r="AM290" s="34">
        <v>0</v>
      </c>
      <c r="AN290" s="34">
        <v>0</v>
      </c>
      <c r="AO290" s="34">
        <v>32</v>
      </c>
      <c r="AP290" s="34">
        <v>50</v>
      </c>
      <c r="AQ290" s="34">
        <v>40</v>
      </c>
      <c r="AR290" s="34">
        <v>3</v>
      </c>
      <c r="AS290" s="34">
        <v>0</v>
      </c>
      <c r="AT290" s="34" t="str">
        <v>3P</v>
      </c>
      <c r="AU290" s="34">
        <v>40</v>
      </c>
      <c r="AV290" s="34" t="str">
        <v/>
      </c>
      <c r="AW290" s="34" t="str">
        <v/>
      </c>
      <c r="AX290" s="34" t="str">
        <v/>
      </c>
      <c r="AY290" s="34">
        <v>0</v>
      </c>
      <c r="AZ290" s="34" t="str">
        <v/>
      </c>
      <c r="BA290" s="34">
        <v>0</v>
      </c>
      <c r="BB290" s="34">
        <v>0</v>
      </c>
      <c r="BD290" s="34">
        <v>0</v>
      </c>
      <c r="BE290" s="34">
        <v>0</v>
      </c>
      <c r="BF290" s="34">
        <v>0</v>
      </c>
      <c r="BG290" s="34" t="str">
        <v/>
      </c>
      <c r="BH290" s="34" t="str">
        <v/>
      </c>
      <c r="BI290" s="34" t="str">
        <v/>
      </c>
      <c r="BJ290" s="34" t="str">
        <v/>
      </c>
      <c r="BK290" s="34" t="str">
        <v>BOX</v>
      </c>
      <c r="BL290" s="34">
        <v>1</v>
      </c>
      <c r="BM290" s="34" t="str">
        <v/>
      </c>
      <c r="BN290" s="34" t="str">
        <v/>
      </c>
      <c r="BO290" s="34" t="str">
        <v/>
      </c>
      <c r="BP290" s="34" t="str">
        <v/>
      </c>
      <c r="BQ290" s="34" t="str">
        <v/>
      </c>
      <c r="BR290" s="34" t="str">
        <v/>
      </c>
      <c r="BS290" s="34" t="str">
        <v/>
      </c>
      <c r="BT290" s="34" t="str">
        <v/>
      </c>
      <c r="BU290" s="34">
        <v>0</v>
      </c>
      <c r="BV290" s="34">
        <v>311</v>
      </c>
      <c r="BW290" s="34">
        <v>0</v>
      </c>
      <c r="BX290" s="34">
        <v>0</v>
      </c>
      <c r="BY290" s="34">
        <v>0</v>
      </c>
      <c r="BZ290">
        <v>12</v>
      </c>
      <c r="CA290" t="str">
        <v>вводной узел</v>
      </c>
    </row>
    <row r="291" spans="1:79" x14ac:dyDescent="0.3">
      <c r="A291" s="39" t="str">
        <v>ЩС-Б</v>
      </c>
      <c r="B291" s="42">
        <v>18</v>
      </c>
      <c r="C291" s="42">
        <v>2</v>
      </c>
      <c r="D291" s="75" t="str">
        <v/>
      </c>
      <c r="E291" s="75" t="str">
        <v>авто</v>
      </c>
      <c r="F291" s="76" t="str">
        <v/>
      </c>
      <c r="G291" s="47" t="str">
        <v>QF1</v>
      </c>
      <c r="H291" s="47" t="str">
        <v>3P С20А</v>
      </c>
      <c r="I291" s="75" t="str">
        <v/>
      </c>
      <c r="J291" s="76" t="str">
        <v/>
      </c>
      <c r="K291" s="76" t="str">
        <v/>
      </c>
      <c r="L291" s="75" t="str">
        <v/>
      </c>
      <c r="M291" s="49" t="str">
        <v/>
      </c>
      <c r="N291" s="76" t="str">
        <v/>
      </c>
      <c r="O291" s="49" t="str">
        <v/>
      </c>
      <c r="P291" s="77" t="str">
        <v>XT1</v>
      </c>
      <c r="Q291" s="53" t="str">
        <v>ВВГнг(А)-LS (5х4) L=21-0,94%</v>
      </c>
      <c r="R291" s="54" t="str">
        <v>Э.1</v>
      </c>
      <c r="S291" s="55" t="str">
        <v>Управляющий электрощит бассейна Подвальный этаж Пом. 002Тб</v>
      </c>
      <c r="T291" s="56">
        <v>12.45</v>
      </c>
      <c r="U291" s="56">
        <v>22.470000000000002</v>
      </c>
      <c r="V291" s="42" t="str">
        <v>L1,L2,L3</v>
      </c>
      <c r="W291" s="57" t="str">
        <v>ПЕРЕГРУЗ</v>
      </c>
      <c r="X291" s="58" t="str">
        <v/>
      </c>
      <c r="Y291" s="75" t="str">
        <v/>
      </c>
      <c r="Z291" s="59">
        <v>22.462533910658877</v>
      </c>
      <c r="AA291" s="61">
        <v>25</v>
      </c>
      <c r="AB291" s="61">
        <v>32</v>
      </c>
      <c r="AC291" s="61" t="str">
        <v/>
      </c>
      <c r="AD291" s="62" t="str">
        <v>QF1 → XT1</v>
      </c>
      <c r="AE291" s="62" t="str">
        <v>ПЕРЕГРУЗ</v>
      </c>
      <c r="AF291" s="34">
        <v>1</v>
      </c>
      <c r="AG291" s="34" t="str">
        <v>QF1</v>
      </c>
      <c r="AH291" s="34" t="str">
        <v/>
      </c>
      <c r="AI291" s="34" t="str">
        <v/>
      </c>
      <c r="AJ291" s="34" t="str">
        <v>QF1</v>
      </c>
      <c r="AK291" s="34">
        <v>3</v>
      </c>
      <c r="AL291" s="34" t="str">
        <v>Э</v>
      </c>
      <c r="AM291" s="34">
        <v>0</v>
      </c>
      <c r="AN291" s="34">
        <v>0</v>
      </c>
      <c r="AO291" s="34">
        <v>25</v>
      </c>
      <c r="AP291" s="34">
        <v>32</v>
      </c>
      <c r="AQ291" s="34">
        <v>20</v>
      </c>
      <c r="AR291" s="34">
        <v>3</v>
      </c>
      <c r="AS291" s="34">
        <v>0</v>
      </c>
      <c r="AT291" s="34" t="str">
        <v>3P</v>
      </c>
      <c r="AU291" s="34">
        <v>20</v>
      </c>
      <c r="AV291" s="34" t="str">
        <v/>
      </c>
      <c r="AW291" s="34" t="str">
        <v/>
      </c>
      <c r="AX291" s="34" t="str">
        <v/>
      </c>
      <c r="AY291" s="34">
        <v>1</v>
      </c>
      <c r="AZ291" s="34" t="str">
        <v/>
      </c>
      <c r="BA291" s="34">
        <v>0</v>
      </c>
      <c r="BB291" s="34">
        <v>0</v>
      </c>
      <c r="BD291" s="34">
        <v>1</v>
      </c>
      <c r="BE291" s="34">
        <v>0</v>
      </c>
      <c r="BF291" s="34">
        <v>0</v>
      </c>
      <c r="BG291" s="34" t="str">
        <v/>
      </c>
      <c r="BH291" s="34" t="str">
        <v/>
      </c>
      <c r="BI291" s="34" t="str">
        <v/>
      </c>
      <c r="BJ291" s="34" t="str">
        <v/>
      </c>
      <c r="BK291" s="34" t="str">
        <v>BOX</v>
      </c>
      <c r="BL291" s="34">
        <v>1</v>
      </c>
      <c r="BM291" s="34" t="str">
        <v/>
      </c>
      <c r="BN291" s="34" t="str">
        <v/>
      </c>
      <c r="BO291" s="34" t="str">
        <v/>
      </c>
      <c r="BP291" s="34" t="str">
        <v/>
      </c>
      <c r="BQ291" s="34" t="str">
        <v>5х4</v>
      </c>
      <c r="BR291" s="34" t="str">
        <v/>
      </c>
      <c r="BS291" s="34" t="str">
        <v/>
      </c>
      <c r="BT291" s="34" t="str">
        <v/>
      </c>
      <c r="BU291" s="34">
        <v>2</v>
      </c>
      <c r="BV291" s="34">
        <v>312</v>
      </c>
      <c r="BW291" s="34">
        <v>1</v>
      </c>
      <c r="BX291" s="34">
        <v>2</v>
      </c>
      <c r="BY291" s="34">
        <v>0</v>
      </c>
      <c r="BZ291">
        <v>12</v>
      </c>
      <c r="CA291" t="str">
        <v>линии</v>
      </c>
    </row>
    <row r="292" spans="1:79" x14ac:dyDescent="0.3">
      <c r="A292" s="39" t="str">
        <v>ЩС-Б</v>
      </c>
      <c r="B292" s="42">
        <v>19</v>
      </c>
      <c r="C292" s="42">
        <v>2</v>
      </c>
      <c r="D292" s="75" t="str">
        <v/>
      </c>
      <c r="E292" s="75" t="str">
        <v>авто</v>
      </c>
      <c r="F292" s="76" t="str">
        <v/>
      </c>
      <c r="G292" s="47" t="str">
        <v>QF2</v>
      </c>
      <c r="H292" s="47" t="str">
        <v>3P С16А</v>
      </c>
      <c r="I292" s="75" t="str">
        <v/>
      </c>
      <c r="J292" s="76" t="str">
        <v/>
      </c>
      <c r="K292" s="76" t="str">
        <v/>
      </c>
      <c r="L292" s="75" t="str">
        <v/>
      </c>
      <c r="M292" s="49" t="str">
        <v/>
      </c>
      <c r="N292" s="76" t="str">
        <v/>
      </c>
      <c r="O292" s="49" t="str">
        <v/>
      </c>
      <c r="P292" s="77" t="str">
        <v>XT2</v>
      </c>
      <c r="Q292" s="53" t="str">
        <v>ВВГнг(А)-LS (5х2,5) L=40-1,06%</v>
      </c>
      <c r="R292" s="54" t="str">
        <v>Э.2</v>
      </c>
      <c r="S292" s="55" t="str">
        <v>Горячая купель Подвальный этаж Пом. 002Тб</v>
      </c>
      <c r="T292" s="56">
        <v>4.6500000000000004</v>
      </c>
      <c r="U292" s="56">
        <v>8.39</v>
      </c>
      <c r="V292" s="42" t="str">
        <v>L1,L2,L3</v>
      </c>
      <c r="W292" s="57" t="str">
        <v>ok</v>
      </c>
      <c r="X292" s="58" t="str">
        <v/>
      </c>
      <c r="Y292" s="75" t="str">
        <v/>
      </c>
      <c r="Z292" s="59">
        <v>8.3896210991617508</v>
      </c>
      <c r="AA292" s="61">
        <v>10</v>
      </c>
      <c r="AB292" s="61">
        <v>20</v>
      </c>
      <c r="AC292" s="61" t="str">
        <v/>
      </c>
      <c r="AD292" s="62" t="str">
        <v>QF2 → XT2</v>
      </c>
      <c r="AE292" s="62" t="str">
        <v/>
      </c>
      <c r="AF292" s="34">
        <v>2</v>
      </c>
      <c r="AG292" s="34" t="str">
        <v>QF2</v>
      </c>
      <c r="AH292" s="34" t="str">
        <v/>
      </c>
      <c r="AI292" s="34" t="str">
        <v/>
      </c>
      <c r="AJ292" s="34" t="str">
        <v>QF2</v>
      </c>
      <c r="AK292" s="34">
        <v>3</v>
      </c>
      <c r="AL292" s="34" t="str">
        <v>Э</v>
      </c>
      <c r="AM292" s="34">
        <v>0</v>
      </c>
      <c r="AN292" s="34">
        <v>0</v>
      </c>
      <c r="AO292" s="34">
        <v>10</v>
      </c>
      <c r="AP292" s="34">
        <v>20</v>
      </c>
      <c r="AQ292" s="34">
        <v>16</v>
      </c>
      <c r="AR292" s="34">
        <v>3</v>
      </c>
      <c r="AS292" s="34">
        <v>0</v>
      </c>
      <c r="AT292" s="34" t="str">
        <v>3P</v>
      </c>
      <c r="AU292" s="34">
        <v>16</v>
      </c>
      <c r="AV292" s="34" t="str">
        <v/>
      </c>
      <c r="AW292" s="34" t="str">
        <v/>
      </c>
      <c r="AX292" s="34" t="str">
        <v/>
      </c>
      <c r="AY292" s="34">
        <v>1</v>
      </c>
      <c r="AZ292" s="34" t="str">
        <v/>
      </c>
      <c r="BA292" s="34">
        <v>0</v>
      </c>
      <c r="BB292" s="34">
        <v>0</v>
      </c>
      <c r="BD292" s="34">
        <v>1</v>
      </c>
      <c r="BE292" s="34">
        <v>0</v>
      </c>
      <c r="BF292" s="34">
        <v>0</v>
      </c>
      <c r="BG292" s="34" t="str">
        <v/>
      </c>
      <c r="BH292" s="34" t="str">
        <v/>
      </c>
      <c r="BI292" s="34" t="str">
        <v/>
      </c>
      <c r="BJ292" s="34" t="str">
        <v/>
      </c>
      <c r="BK292" s="34" t="str">
        <v>BOX</v>
      </c>
      <c r="BL292" s="34">
        <v>1</v>
      </c>
      <c r="BM292" s="34" t="str">
        <v/>
      </c>
      <c r="BN292" s="34" t="str">
        <v/>
      </c>
      <c r="BO292" s="34" t="str">
        <v/>
      </c>
      <c r="BP292" s="34" t="str">
        <v/>
      </c>
      <c r="BQ292" s="34" t="str">
        <v>5х2,5</v>
      </c>
      <c r="BR292" s="34" t="str">
        <v/>
      </c>
      <c r="BS292" s="34" t="str">
        <v/>
      </c>
      <c r="BT292" s="34" t="str">
        <v/>
      </c>
      <c r="BU292" s="34">
        <v>0</v>
      </c>
      <c r="BV292" s="34">
        <v>313</v>
      </c>
      <c r="BW292" s="34">
        <v>1</v>
      </c>
      <c r="BX292" s="34">
        <v>2</v>
      </c>
      <c r="BY292" s="34">
        <v>0</v>
      </c>
      <c r="BZ292">
        <v>12</v>
      </c>
      <c r="CA292" t="str">
        <v>линии</v>
      </c>
    </row>
    <row r="293" spans="1:79" x14ac:dyDescent="0.3">
      <c r="A293" s="39" t="str">
        <v>ЩС-Б</v>
      </c>
      <c r="B293" s="42">
        <v>20</v>
      </c>
      <c r="C293" s="42">
        <v>2</v>
      </c>
      <c r="D293" s="75" t="str">
        <v/>
      </c>
      <c r="E293" s="75" t="str">
        <v>авто</v>
      </c>
      <c r="F293" s="76" t="str">
        <v/>
      </c>
      <c r="G293" s="47" t="str">
        <v>QF3</v>
      </c>
      <c r="H293" s="47" t="str">
        <v>3P С16А</v>
      </c>
      <c r="I293" s="75" t="str">
        <v/>
      </c>
      <c r="J293" s="76" t="str">
        <v/>
      </c>
      <c r="K293" s="76" t="str">
        <v/>
      </c>
      <c r="L293" s="75" t="str">
        <v/>
      </c>
      <c r="M293" s="49" t="str">
        <v/>
      </c>
      <c r="N293" s="76" t="str">
        <v/>
      </c>
      <c r="O293" s="49" t="str">
        <v/>
      </c>
      <c r="P293" s="77" t="str">
        <v>XT3</v>
      </c>
      <c r="Q293" s="53" t="str">
        <v>ВВГнг(А)-LS (5х2,5) L=30-1,35%</v>
      </c>
      <c r="R293" s="54" t="str">
        <v>Э.3</v>
      </c>
      <c r="S293" s="55" t="str">
        <v>Холодная купель Подвальный этаж Пом. 002Тб</v>
      </c>
      <c r="T293" s="56">
        <v>7.89</v>
      </c>
      <c r="U293" s="56">
        <v>14.24</v>
      </c>
      <c r="V293" s="42" t="str">
        <v>L1,L2,L3</v>
      </c>
      <c r="W293" s="57" t="str">
        <v>ok</v>
      </c>
      <c r="X293" s="58" t="str">
        <v/>
      </c>
      <c r="Y293" s="75" t="str">
        <v/>
      </c>
      <c r="Z293" s="59">
        <v>14.23529257470671</v>
      </c>
      <c r="AA293" s="61">
        <v>16</v>
      </c>
      <c r="AB293" s="61">
        <v>20</v>
      </c>
      <c r="AC293" s="61" t="str">
        <v/>
      </c>
      <c r="AD293" s="62" t="str">
        <v>QF3 → XT3</v>
      </c>
      <c r="AE293" s="62" t="str">
        <v/>
      </c>
      <c r="AF293" s="34">
        <v>3</v>
      </c>
      <c r="AG293" s="34" t="str">
        <v>QF3</v>
      </c>
      <c r="AH293" s="34" t="str">
        <v/>
      </c>
      <c r="AI293" s="34" t="str">
        <v/>
      </c>
      <c r="AJ293" s="34" t="str">
        <v>QF3</v>
      </c>
      <c r="AK293" s="34">
        <v>3</v>
      </c>
      <c r="AL293" s="34" t="str">
        <v>Э</v>
      </c>
      <c r="AM293" s="34">
        <v>0</v>
      </c>
      <c r="AN293" s="34">
        <v>0</v>
      </c>
      <c r="AO293" s="34">
        <v>16</v>
      </c>
      <c r="AP293" s="34">
        <v>20</v>
      </c>
      <c r="AQ293" s="34">
        <v>16</v>
      </c>
      <c r="AR293" s="34">
        <v>3</v>
      </c>
      <c r="AS293" s="34">
        <v>0</v>
      </c>
      <c r="AT293" s="34" t="str">
        <v>3P</v>
      </c>
      <c r="AU293" s="34">
        <v>16</v>
      </c>
      <c r="AV293" s="34" t="str">
        <v/>
      </c>
      <c r="AW293" s="34" t="str">
        <v/>
      </c>
      <c r="AX293" s="34" t="str">
        <v/>
      </c>
      <c r="AY293" s="34">
        <v>1</v>
      </c>
      <c r="AZ293" s="34" t="str">
        <v/>
      </c>
      <c r="BA293" s="34">
        <v>0</v>
      </c>
      <c r="BB293" s="34">
        <v>0</v>
      </c>
      <c r="BD293" s="34">
        <v>1</v>
      </c>
      <c r="BE293" s="34">
        <v>0</v>
      </c>
      <c r="BF293" s="34">
        <v>0</v>
      </c>
      <c r="BG293" s="34" t="str">
        <v/>
      </c>
      <c r="BH293" s="34" t="str">
        <v/>
      </c>
      <c r="BI293" s="34" t="str">
        <v/>
      </c>
      <c r="BJ293" s="34" t="str">
        <v/>
      </c>
      <c r="BK293" s="34" t="str">
        <v>BOX</v>
      </c>
      <c r="BL293" s="34">
        <v>1</v>
      </c>
      <c r="BM293" s="34" t="str">
        <v/>
      </c>
      <c r="BN293" s="34" t="str">
        <v/>
      </c>
      <c r="BO293" s="34" t="str">
        <v/>
      </c>
      <c r="BP293" s="34" t="str">
        <v/>
      </c>
      <c r="BQ293" s="34" t="str">
        <v>5х2,5</v>
      </c>
      <c r="BR293" s="34" t="str">
        <v/>
      </c>
      <c r="BS293" s="34" t="str">
        <v/>
      </c>
      <c r="BT293" s="34" t="str">
        <v/>
      </c>
      <c r="BU293" s="34">
        <v>0</v>
      </c>
      <c r="BV293" s="34">
        <v>314</v>
      </c>
      <c r="BW293" s="34">
        <v>1</v>
      </c>
      <c r="BX293" s="34">
        <v>2</v>
      </c>
      <c r="BY293" s="34">
        <v>0</v>
      </c>
      <c r="BZ293">
        <v>12</v>
      </c>
      <c r="CA293" t="str">
        <v>линии</v>
      </c>
    </row>
    <row r="294" spans="1:79" x14ac:dyDescent="0.3">
      <c r="A294" s="39" t="str">
        <v>ЩС-ВК.001</v>
      </c>
      <c r="B294" s="42">
        <v>2</v>
      </c>
      <c r="C294" s="42">
        <v>1</v>
      </c>
      <c r="D294" s="75" t="str">
        <v/>
      </c>
      <c r="E294" s="75" t="str">
        <v>авто</v>
      </c>
      <c r="F294" s="76" t="str">
        <v/>
      </c>
      <c r="G294" s="47" t="str">
        <v/>
      </c>
      <c r="H294" s="47" t="str">
        <v>1P С20А</v>
      </c>
      <c r="I294" s="75" t="str">
        <v/>
      </c>
      <c r="J294" s="76" t="str">
        <v/>
      </c>
      <c r="K294" s="76" t="str">
        <v/>
      </c>
      <c r="L294" s="75" t="str">
        <v/>
      </c>
      <c r="M294" s="49" t="str">
        <v/>
      </c>
      <c r="N294" s="76" t="str">
        <v/>
      </c>
      <c r="O294" s="49" t="str">
        <v/>
      </c>
      <c r="P294" s="77" t="str">
        <v/>
      </c>
      <c r="Q294" s="53" t="str">
        <v/>
      </c>
      <c r="R294" s="54" t="str">
        <v>Ввод.1</v>
      </c>
      <c r="S294" s="55" t="str">
        <v>Вводной кабель шлейф 1</v>
      </c>
      <c r="T294" s="56">
        <v>0</v>
      </c>
      <c r="U294" s="56">
        <v>10.29</v>
      </c>
      <c r="V294" s="42" t="str">
        <v>L2</v>
      </c>
      <c r="W294" s="57" t="str">
        <v>ok</v>
      </c>
      <c r="X294" s="58" t="str">
        <v/>
      </c>
      <c r="Y294" s="75" t="str">
        <v>вручную</v>
      </c>
      <c r="Z294" s="59">
        <v>10.28405166994021</v>
      </c>
      <c r="AA294" s="61">
        <v>16</v>
      </c>
      <c r="AB294" s="61">
        <v>32</v>
      </c>
      <c r="AC294" s="61" t="str">
        <v/>
      </c>
      <c r="AD294" s="62" t="str">
        <v/>
      </c>
      <c r="AE294" s="62" t="str">
        <v>потери 4,2 % &gt; 4 %</v>
      </c>
      <c r="AF294" s="34" t="str">
        <v/>
      </c>
      <c r="AG294" s="34" t="str">
        <v/>
      </c>
      <c r="AH294" s="34" t="str">
        <v/>
      </c>
      <c r="AI294" s="34" t="str">
        <v/>
      </c>
      <c r="AJ294" s="34" t="str">
        <v/>
      </c>
      <c r="AK294" s="34">
        <v>1</v>
      </c>
      <c r="AL294" s="34" t="str">
        <v>Ввод</v>
      </c>
      <c r="AM294" s="34">
        <v>0</v>
      </c>
      <c r="AN294" s="34">
        <v>0</v>
      </c>
      <c r="AO294" s="34">
        <v>16</v>
      </c>
      <c r="AP294" s="34">
        <v>32</v>
      </c>
      <c r="AQ294" s="34">
        <v>20</v>
      </c>
      <c r="AR294" s="34">
        <v>1</v>
      </c>
      <c r="AS294" s="34">
        <v>0</v>
      </c>
      <c r="AT294" s="34" t="str">
        <v>1P</v>
      </c>
      <c r="AU294" s="34">
        <v>20</v>
      </c>
      <c r="AV294" s="34" t="str">
        <v/>
      </c>
      <c r="AW294" s="34" t="str">
        <v/>
      </c>
      <c r="AX294" s="34" t="str">
        <v/>
      </c>
      <c r="AY294" s="34">
        <v>0</v>
      </c>
      <c r="AZ294" s="34" t="str">
        <v/>
      </c>
      <c r="BA294" s="34">
        <v>0</v>
      </c>
      <c r="BB294" s="34">
        <v>0</v>
      </c>
      <c r="BD294" s="34">
        <v>0</v>
      </c>
      <c r="BE294" s="34">
        <v>0</v>
      </c>
      <c r="BF294" s="34">
        <v>0</v>
      </c>
      <c r="BG294" s="34" t="str">
        <v/>
      </c>
      <c r="BH294" s="34" t="str">
        <v/>
      </c>
      <c r="BI294" s="34" t="str">
        <v/>
      </c>
      <c r="BJ294" s="34" t="str">
        <v/>
      </c>
      <c r="BK294" s="34" t="str">
        <v>BOX</v>
      </c>
      <c r="BL294" s="34">
        <v>1</v>
      </c>
      <c r="BM294" s="34" t="str">
        <v/>
      </c>
      <c r="BN294" s="34" t="str">
        <v/>
      </c>
      <c r="BO294" s="34" t="str">
        <v/>
      </c>
      <c r="BP294" s="34" t="str">
        <v/>
      </c>
      <c r="BQ294" s="34" t="str">
        <v/>
      </c>
      <c r="BR294" s="34" t="str">
        <v/>
      </c>
      <c r="BS294" s="34" t="str">
        <v/>
      </c>
      <c r="BT294" s="34" t="str">
        <v/>
      </c>
      <c r="BU294" s="34">
        <v>1</v>
      </c>
      <c r="BV294" s="34">
        <v>315</v>
      </c>
      <c r="BW294" s="34">
        <v>0</v>
      </c>
      <c r="BX294" s="34">
        <v>0</v>
      </c>
      <c r="BY294" s="34">
        <v>0</v>
      </c>
      <c r="BZ294">
        <v>13</v>
      </c>
      <c r="CA294" t="str">
        <v>вводной узел</v>
      </c>
    </row>
    <row r="295" spans="1:79" x14ac:dyDescent="0.3">
      <c r="A295" s="39" t="str">
        <v>ЩС-ВК.001</v>
      </c>
      <c r="B295" s="42">
        <v>18</v>
      </c>
      <c r="C295" s="42">
        <v>2</v>
      </c>
      <c r="D295" s="75" t="str">
        <v/>
      </c>
      <c r="E295" s="75" t="str">
        <v>авто</v>
      </c>
      <c r="F295" s="76" t="str">
        <v/>
      </c>
      <c r="G295" s="47" t="str">
        <v>QF1</v>
      </c>
      <c r="H295" s="47" t="str">
        <v>1P С16А</v>
      </c>
      <c r="I295" s="75" t="str">
        <v/>
      </c>
      <c r="J295" s="76" t="str">
        <v/>
      </c>
      <c r="K295" s="76" t="str">
        <v/>
      </c>
      <c r="L295" s="75" t="str">
        <v/>
      </c>
      <c r="M295" s="49" t="str">
        <v/>
      </c>
      <c r="N295" s="76" t="str">
        <v/>
      </c>
      <c r="O295" s="49" t="str">
        <v/>
      </c>
      <c r="P295" s="77" t="str">
        <v>XT1</v>
      </c>
      <c r="Q295" s="53" t="str">
        <v>ВВГнг(А)-LS (3х2,5) L=21-0,43%</v>
      </c>
      <c r="R295" s="54" t="str">
        <v>НВК.00.003Т.2</v>
      </c>
      <c r="S295" s="55" t="str">
        <v>Насос дренажный, пом. 003Т</v>
      </c>
      <c r="T295" s="56">
        <v>0.6</v>
      </c>
      <c r="U295" s="56">
        <v>3.25</v>
      </c>
      <c r="V295" s="42" t="str">
        <v>L1</v>
      </c>
      <c r="W295" s="57" t="str">
        <v>ok</v>
      </c>
      <c r="X295" s="58" t="str">
        <v/>
      </c>
      <c r="Y295" s="75" t="str">
        <v/>
      </c>
      <c r="Z295" s="59">
        <v>3.2475952641916441</v>
      </c>
      <c r="AA295" s="61">
        <v>6</v>
      </c>
      <c r="AB295" s="61">
        <v>25</v>
      </c>
      <c r="AC295" s="61" t="str">
        <v/>
      </c>
      <c r="AD295" s="62" t="str">
        <v>QF1 → XT1</v>
      </c>
      <c r="AE295" s="62" t="str">
        <v/>
      </c>
      <c r="AF295" s="34">
        <v>1</v>
      </c>
      <c r="AG295" s="34" t="str">
        <v>QF1</v>
      </c>
      <c r="AH295" s="34" t="str">
        <v/>
      </c>
      <c r="AI295" s="34" t="str">
        <v/>
      </c>
      <c r="AJ295" s="34" t="str">
        <v>QF1</v>
      </c>
      <c r="AK295" s="34">
        <v>1</v>
      </c>
      <c r="AL295" s="34" t="str">
        <v>НВК</v>
      </c>
      <c r="AM295" s="34">
        <v>0</v>
      </c>
      <c r="AN295" s="34">
        <v>0</v>
      </c>
      <c r="AO295" s="34">
        <v>6</v>
      </c>
      <c r="AP295" s="34">
        <v>25</v>
      </c>
      <c r="AQ295" s="34">
        <v>16</v>
      </c>
      <c r="AR295" s="34">
        <v>1</v>
      </c>
      <c r="AS295" s="34">
        <v>0</v>
      </c>
      <c r="AT295" s="34" t="str">
        <v>1P</v>
      </c>
      <c r="AU295" s="34">
        <v>16</v>
      </c>
      <c r="AV295" s="34" t="str">
        <v/>
      </c>
      <c r="AW295" s="34" t="str">
        <v/>
      </c>
      <c r="AX295" s="34" t="str">
        <v/>
      </c>
      <c r="AY295" s="34">
        <v>1</v>
      </c>
      <c r="AZ295" s="34" t="str">
        <v/>
      </c>
      <c r="BA295" s="34">
        <v>0</v>
      </c>
      <c r="BB295" s="34">
        <v>0</v>
      </c>
      <c r="BD295" s="34">
        <v>1</v>
      </c>
      <c r="BE295" s="34">
        <v>0</v>
      </c>
      <c r="BF295" s="34">
        <v>0</v>
      </c>
      <c r="BG295" s="34" t="str">
        <v/>
      </c>
      <c r="BH295" s="34" t="str">
        <v/>
      </c>
      <c r="BI295" s="34" t="str">
        <v/>
      </c>
      <c r="BJ295" s="34" t="str">
        <v/>
      </c>
      <c r="BK295" s="34" t="str">
        <v>BOX</v>
      </c>
      <c r="BL295" s="34">
        <v>1</v>
      </c>
      <c r="BM295" s="34" t="str">
        <v/>
      </c>
      <c r="BN295" s="34" t="str">
        <v/>
      </c>
      <c r="BO295" s="34" t="str">
        <v/>
      </c>
      <c r="BP295" s="34" t="str">
        <v/>
      </c>
      <c r="BQ295" s="34" t="str">
        <v>3х2,5</v>
      </c>
      <c r="BR295" s="34" t="str">
        <v/>
      </c>
      <c r="BS295" s="34" t="str">
        <v/>
      </c>
      <c r="BT295" s="34" t="str">
        <v/>
      </c>
      <c r="BU295" s="34">
        <v>0</v>
      </c>
      <c r="BV295" s="34">
        <v>316</v>
      </c>
      <c r="BW295" s="34">
        <v>1</v>
      </c>
      <c r="BX295" s="34">
        <v>0</v>
      </c>
      <c r="BY295" s="34">
        <v>0</v>
      </c>
      <c r="BZ295">
        <v>13</v>
      </c>
      <c r="CA295" t="str">
        <v>линии</v>
      </c>
    </row>
    <row r="296" spans="1:79" x14ac:dyDescent="0.3">
      <c r="A296" s="39" t="str">
        <v>ЩС-ВК.001</v>
      </c>
      <c r="B296" s="42">
        <v>19</v>
      </c>
      <c r="C296" s="42">
        <v>2</v>
      </c>
      <c r="D296" s="75" t="str">
        <v/>
      </c>
      <c r="E296" s="75" t="str">
        <v>авто</v>
      </c>
      <c r="F296" s="76" t="str">
        <v/>
      </c>
      <c r="G296" s="47" t="str">
        <v>QF2</v>
      </c>
      <c r="H296" s="47" t="str">
        <v>1P С16А</v>
      </c>
      <c r="I296" s="75" t="str">
        <v/>
      </c>
      <c r="J296" s="76" t="str">
        <v/>
      </c>
      <c r="K296" s="76" t="str">
        <v/>
      </c>
      <c r="L296" s="75" t="str">
        <v/>
      </c>
      <c r="M296" s="49" t="str">
        <v/>
      </c>
      <c r="N296" s="76" t="str">
        <v/>
      </c>
      <c r="O296" s="49" t="str">
        <v/>
      </c>
      <c r="P296" s="77" t="str">
        <v>XT2</v>
      </c>
      <c r="Q296" s="53" t="str">
        <v>ВВГнг(А)-LS (3х2,5) L=21-0,43%</v>
      </c>
      <c r="R296" s="54" t="str">
        <v>НВК.00.003Т.1</v>
      </c>
      <c r="S296" s="55" t="str">
        <v>Насос дренажный, пом. 003Т</v>
      </c>
      <c r="T296" s="56">
        <v>0.6</v>
      </c>
      <c r="U296" s="56">
        <v>3.25</v>
      </c>
      <c r="V296" s="42" t="str">
        <v>L1</v>
      </c>
      <c r="W296" s="57" t="str">
        <v>ok</v>
      </c>
      <c r="X296" s="58" t="str">
        <v/>
      </c>
      <c r="Y296" s="75" t="str">
        <v/>
      </c>
      <c r="Z296" s="59">
        <v>3.2475952641916441</v>
      </c>
      <c r="AA296" s="61">
        <v>6</v>
      </c>
      <c r="AB296" s="61">
        <v>25</v>
      </c>
      <c r="AC296" s="61" t="str">
        <v/>
      </c>
      <c r="AD296" s="62" t="str">
        <v>QF2 → XT2</v>
      </c>
      <c r="AE296" s="62" t="str">
        <v/>
      </c>
      <c r="AF296" s="34">
        <v>2</v>
      </c>
      <c r="AG296" s="34" t="str">
        <v>QF2</v>
      </c>
      <c r="AH296" s="34" t="str">
        <v/>
      </c>
      <c r="AI296" s="34" t="str">
        <v/>
      </c>
      <c r="AJ296" s="34" t="str">
        <v>QF2</v>
      </c>
      <c r="AK296" s="34">
        <v>1</v>
      </c>
      <c r="AL296" s="34" t="str">
        <v>НВК</v>
      </c>
      <c r="AM296" s="34">
        <v>0</v>
      </c>
      <c r="AN296" s="34">
        <v>0</v>
      </c>
      <c r="AO296" s="34">
        <v>6</v>
      </c>
      <c r="AP296" s="34">
        <v>25</v>
      </c>
      <c r="AQ296" s="34">
        <v>16</v>
      </c>
      <c r="AR296" s="34">
        <v>1</v>
      </c>
      <c r="AS296" s="34">
        <v>0</v>
      </c>
      <c r="AT296" s="34" t="str">
        <v>1P</v>
      </c>
      <c r="AU296" s="34">
        <v>16</v>
      </c>
      <c r="AV296" s="34" t="str">
        <v/>
      </c>
      <c r="AW296" s="34" t="str">
        <v/>
      </c>
      <c r="AX296" s="34" t="str">
        <v/>
      </c>
      <c r="AY296" s="34">
        <v>1</v>
      </c>
      <c r="AZ296" s="34" t="str">
        <v/>
      </c>
      <c r="BA296" s="34">
        <v>0</v>
      </c>
      <c r="BB296" s="34">
        <v>0</v>
      </c>
      <c r="BD296" s="34">
        <v>1</v>
      </c>
      <c r="BE296" s="34">
        <v>0</v>
      </c>
      <c r="BF296" s="34">
        <v>0</v>
      </c>
      <c r="BG296" s="34" t="str">
        <v/>
      </c>
      <c r="BH296" s="34" t="str">
        <v/>
      </c>
      <c r="BI296" s="34" t="str">
        <v/>
      </c>
      <c r="BJ296" s="34" t="str">
        <v/>
      </c>
      <c r="BK296" s="34" t="str">
        <v>BOX</v>
      </c>
      <c r="BL296" s="34">
        <v>1</v>
      </c>
      <c r="BM296" s="34" t="str">
        <v/>
      </c>
      <c r="BN296" s="34" t="str">
        <v/>
      </c>
      <c r="BO296" s="34" t="str">
        <v/>
      </c>
      <c r="BP296" s="34" t="str">
        <v/>
      </c>
      <c r="BQ296" s="34" t="str">
        <v>3х2,5</v>
      </c>
      <c r="BR296" s="34" t="str">
        <v/>
      </c>
      <c r="BS296" s="34" t="str">
        <v/>
      </c>
      <c r="BT296" s="34" t="str">
        <v/>
      </c>
      <c r="BU296" s="34">
        <v>0</v>
      </c>
      <c r="BV296" s="34">
        <v>317</v>
      </c>
      <c r="BW296" s="34">
        <v>1</v>
      </c>
      <c r="BX296" s="34">
        <v>0</v>
      </c>
      <c r="BY296" s="34">
        <v>0</v>
      </c>
      <c r="BZ296">
        <v>13</v>
      </c>
      <c r="CA296" t="str">
        <v>линии</v>
      </c>
    </row>
    <row r="297" spans="1:79" x14ac:dyDescent="0.3">
      <c r="A297" s="39" t="str">
        <v>ЩС-ВК.001</v>
      </c>
      <c r="B297" s="42">
        <v>20</v>
      </c>
      <c r="C297" s="42">
        <v>2</v>
      </c>
      <c r="D297" s="75" t="str">
        <v/>
      </c>
      <c r="E297" s="75" t="str">
        <v>авто</v>
      </c>
      <c r="F297" s="76" t="str">
        <v/>
      </c>
      <c r="G297" s="47" t="str">
        <v>QF3</v>
      </c>
      <c r="H297" s="47" t="str">
        <v>1P С16А</v>
      </c>
      <c r="I297" s="75" t="str">
        <v/>
      </c>
      <c r="J297" s="76" t="str">
        <v/>
      </c>
      <c r="K297" s="76" t="str">
        <v/>
      </c>
      <c r="L297" s="75" t="str">
        <v/>
      </c>
      <c r="M297" s="49" t="str">
        <v/>
      </c>
      <c r="N297" s="76" t="str">
        <v/>
      </c>
      <c r="O297" s="49" t="str">
        <v/>
      </c>
      <c r="P297" s="77" t="str">
        <v>XT3</v>
      </c>
      <c r="Q297" s="53" t="str">
        <v>ВВГнг(А)-LS (3х2,5) L=22-0,45%</v>
      </c>
      <c r="R297" s="54" t="str">
        <v>НВК.00.005Т.4</v>
      </c>
      <c r="S297" s="55" t="str">
        <v>Насос дренажный, пом. 005Т</v>
      </c>
      <c r="T297" s="56">
        <v>0.6</v>
      </c>
      <c r="U297" s="56">
        <v>3.25</v>
      </c>
      <c r="V297" s="42" t="str">
        <v>L1</v>
      </c>
      <c r="W297" s="57" t="str">
        <v>ok</v>
      </c>
      <c r="X297" s="58" t="str">
        <v/>
      </c>
      <c r="Y297" s="75" t="str">
        <v/>
      </c>
      <c r="Z297" s="59">
        <v>3.2475952641916441</v>
      </c>
      <c r="AA297" s="61">
        <v>6</v>
      </c>
      <c r="AB297" s="61">
        <v>25</v>
      </c>
      <c r="AC297" s="61" t="str">
        <v/>
      </c>
      <c r="AD297" s="62" t="str">
        <v>QF3 → XT3</v>
      </c>
      <c r="AE297" s="62" t="str">
        <v/>
      </c>
      <c r="AF297" s="34">
        <v>3</v>
      </c>
      <c r="AG297" s="34" t="str">
        <v>QF3</v>
      </c>
      <c r="AH297" s="34" t="str">
        <v/>
      </c>
      <c r="AI297" s="34" t="str">
        <v/>
      </c>
      <c r="AJ297" s="34" t="str">
        <v>QF3</v>
      </c>
      <c r="AK297" s="34">
        <v>1</v>
      </c>
      <c r="AL297" s="34" t="str">
        <v>НВК</v>
      </c>
      <c r="AM297" s="34">
        <v>0</v>
      </c>
      <c r="AN297" s="34">
        <v>0</v>
      </c>
      <c r="AO297" s="34">
        <v>6</v>
      </c>
      <c r="AP297" s="34">
        <v>25</v>
      </c>
      <c r="AQ297" s="34">
        <v>16</v>
      </c>
      <c r="AR297" s="34">
        <v>1</v>
      </c>
      <c r="AS297" s="34">
        <v>0</v>
      </c>
      <c r="AT297" s="34" t="str">
        <v>1P</v>
      </c>
      <c r="AU297" s="34">
        <v>16</v>
      </c>
      <c r="AV297" s="34" t="str">
        <v/>
      </c>
      <c r="AW297" s="34" t="str">
        <v/>
      </c>
      <c r="AX297" s="34" t="str">
        <v/>
      </c>
      <c r="AY297" s="34">
        <v>1</v>
      </c>
      <c r="AZ297" s="34" t="str">
        <v/>
      </c>
      <c r="BA297" s="34">
        <v>0</v>
      </c>
      <c r="BB297" s="34">
        <v>0</v>
      </c>
      <c r="BD297" s="34">
        <v>1</v>
      </c>
      <c r="BE297" s="34">
        <v>0</v>
      </c>
      <c r="BF297" s="34">
        <v>0</v>
      </c>
      <c r="BG297" s="34" t="str">
        <v/>
      </c>
      <c r="BH297" s="34" t="str">
        <v/>
      </c>
      <c r="BI297" s="34" t="str">
        <v/>
      </c>
      <c r="BJ297" s="34" t="str">
        <v/>
      </c>
      <c r="BK297" s="34" t="str">
        <v>BOX</v>
      </c>
      <c r="BL297" s="34">
        <v>1</v>
      </c>
      <c r="BM297" s="34" t="str">
        <v/>
      </c>
      <c r="BN297" s="34" t="str">
        <v/>
      </c>
      <c r="BO297" s="34" t="str">
        <v/>
      </c>
      <c r="BP297" s="34" t="str">
        <v/>
      </c>
      <c r="BQ297" s="34" t="str">
        <v>3х2,5</v>
      </c>
      <c r="BR297" s="34" t="str">
        <v/>
      </c>
      <c r="BS297" s="34" t="str">
        <v/>
      </c>
      <c r="BT297" s="34" t="str">
        <v/>
      </c>
      <c r="BU297" s="34">
        <v>0</v>
      </c>
      <c r="BV297" s="34">
        <v>318</v>
      </c>
      <c r="BW297" s="34">
        <v>1</v>
      </c>
      <c r="BX297" s="34">
        <v>0</v>
      </c>
      <c r="BY297" s="34">
        <v>0</v>
      </c>
      <c r="BZ297">
        <v>13</v>
      </c>
      <c r="CA297" t="str">
        <v>линии</v>
      </c>
    </row>
    <row r="298" spans="1:79" x14ac:dyDescent="0.3">
      <c r="A298" s="39" t="str">
        <v>ЩС-ВК.001</v>
      </c>
      <c r="B298" s="42">
        <v>21</v>
      </c>
      <c r="C298" s="42">
        <v>2</v>
      </c>
      <c r="D298" s="75" t="str">
        <v/>
      </c>
      <c r="E298" s="75" t="str">
        <v>авто</v>
      </c>
      <c r="F298" s="76" t="str">
        <v/>
      </c>
      <c r="G298" s="47" t="str">
        <v>QF4</v>
      </c>
      <c r="H298" s="47" t="str">
        <v>1P С16А</v>
      </c>
      <c r="I298" s="75" t="str">
        <v/>
      </c>
      <c r="J298" s="76" t="str">
        <v/>
      </c>
      <c r="K298" s="76" t="str">
        <v/>
      </c>
      <c r="L298" s="75" t="str">
        <v/>
      </c>
      <c r="M298" s="49" t="str">
        <v/>
      </c>
      <c r="N298" s="76" t="str">
        <v/>
      </c>
      <c r="O298" s="49" t="str">
        <v/>
      </c>
      <c r="P298" s="77" t="str">
        <v>XT4</v>
      </c>
      <c r="Q298" s="53" t="str">
        <v>ВВГнг(А)-LS (3х2,5) L=22-0,45%</v>
      </c>
      <c r="R298" s="54" t="str">
        <v>НВК.00.005Т.3</v>
      </c>
      <c r="S298" s="55" t="str">
        <v>Насос дренажный, пом. 005Т</v>
      </c>
      <c r="T298" s="56">
        <v>0.6</v>
      </c>
      <c r="U298" s="56">
        <v>3.25</v>
      </c>
      <c r="V298" s="42" t="str">
        <v>L1</v>
      </c>
      <c r="W298" s="57" t="str">
        <v>ok</v>
      </c>
      <c r="X298" s="58" t="str">
        <v/>
      </c>
      <c r="Y298" s="75" t="str">
        <v/>
      </c>
      <c r="Z298" s="59">
        <v>3.2475952641916441</v>
      </c>
      <c r="AA298" s="61">
        <v>6</v>
      </c>
      <c r="AB298" s="61">
        <v>25</v>
      </c>
      <c r="AC298" s="61" t="str">
        <v/>
      </c>
      <c r="AD298" s="62" t="str">
        <v>QF4 → XT4</v>
      </c>
      <c r="AE298" s="62" t="str">
        <v/>
      </c>
      <c r="AF298" s="34">
        <v>4</v>
      </c>
      <c r="AG298" s="34" t="str">
        <v>QF4</v>
      </c>
      <c r="AH298" s="34" t="str">
        <v/>
      </c>
      <c r="AI298" s="34" t="str">
        <v/>
      </c>
      <c r="AJ298" s="34" t="str">
        <v>QF4</v>
      </c>
      <c r="AK298" s="34">
        <v>1</v>
      </c>
      <c r="AL298" s="34" t="str">
        <v>НВК</v>
      </c>
      <c r="AM298" s="34">
        <v>0</v>
      </c>
      <c r="AN298" s="34">
        <v>0</v>
      </c>
      <c r="AO298" s="34">
        <v>6</v>
      </c>
      <c r="AP298" s="34">
        <v>25</v>
      </c>
      <c r="AQ298" s="34">
        <v>16</v>
      </c>
      <c r="AR298" s="34">
        <v>1</v>
      </c>
      <c r="AS298" s="34">
        <v>0</v>
      </c>
      <c r="AT298" s="34" t="str">
        <v>1P</v>
      </c>
      <c r="AU298" s="34">
        <v>16</v>
      </c>
      <c r="AV298" s="34" t="str">
        <v/>
      </c>
      <c r="AW298" s="34" t="str">
        <v/>
      </c>
      <c r="AX298" s="34" t="str">
        <v/>
      </c>
      <c r="AY298" s="34">
        <v>1</v>
      </c>
      <c r="AZ298" s="34" t="str">
        <v/>
      </c>
      <c r="BA298" s="34">
        <v>0</v>
      </c>
      <c r="BB298" s="34">
        <v>0</v>
      </c>
      <c r="BD298" s="34">
        <v>1</v>
      </c>
      <c r="BE298" s="34">
        <v>0</v>
      </c>
      <c r="BF298" s="34">
        <v>0</v>
      </c>
      <c r="BG298" s="34" t="str">
        <v/>
      </c>
      <c r="BH298" s="34" t="str">
        <v/>
      </c>
      <c r="BI298" s="34" t="str">
        <v/>
      </c>
      <c r="BJ298" s="34" t="str">
        <v/>
      </c>
      <c r="BK298" s="34" t="str">
        <v>BOX</v>
      </c>
      <c r="BL298" s="34">
        <v>1</v>
      </c>
      <c r="BM298" s="34" t="str">
        <v/>
      </c>
      <c r="BN298" s="34" t="str">
        <v/>
      </c>
      <c r="BO298" s="34" t="str">
        <v/>
      </c>
      <c r="BP298" s="34" t="str">
        <v/>
      </c>
      <c r="BQ298" s="34" t="str">
        <v>3х2,5</v>
      </c>
      <c r="BR298" s="34" t="str">
        <v/>
      </c>
      <c r="BS298" s="34" t="str">
        <v/>
      </c>
      <c r="BT298" s="34" t="str">
        <v/>
      </c>
      <c r="BU298" s="34">
        <v>0</v>
      </c>
      <c r="BV298" s="34">
        <v>319</v>
      </c>
      <c r="BW298" s="34">
        <v>1</v>
      </c>
      <c r="BX298" s="34">
        <v>0</v>
      </c>
      <c r="BY298" s="34">
        <v>0</v>
      </c>
      <c r="BZ298">
        <v>13</v>
      </c>
      <c r="CA298" t="str">
        <v>линии</v>
      </c>
    </row>
    <row r="299" spans="1:79" x14ac:dyDescent="0.3">
      <c r="A299" s="39" t="str">
        <v>ЩС-ВК.001</v>
      </c>
      <c r="B299" s="42">
        <v>22</v>
      </c>
      <c r="C299" s="42">
        <v>2</v>
      </c>
      <c r="D299" s="75" t="str">
        <v/>
      </c>
      <c r="E299" s="75" t="str">
        <v>авто</v>
      </c>
      <c r="F299" s="76" t="str">
        <v/>
      </c>
      <c r="G299" s="47" t="str">
        <v>QF5</v>
      </c>
      <c r="H299" s="47" t="str">
        <v>1P С16А</v>
      </c>
      <c r="I299" s="75" t="str">
        <v/>
      </c>
      <c r="J299" s="76" t="str">
        <v/>
      </c>
      <c r="K299" s="76" t="str">
        <v/>
      </c>
      <c r="L299" s="75" t="str">
        <v/>
      </c>
      <c r="M299" s="49" t="str">
        <v/>
      </c>
      <c r="N299" s="76" t="str">
        <v/>
      </c>
      <c r="O299" s="49" t="str">
        <v/>
      </c>
      <c r="P299" s="77" t="str">
        <v>XT5</v>
      </c>
      <c r="Q299" s="53" t="str">
        <v>ВВГнг(А)-LS (3х2,5) L=14-0,29%</v>
      </c>
      <c r="R299" s="54" t="str">
        <v>НВК.00.005Т.1</v>
      </c>
      <c r="S299" s="55" t="str">
        <v>Насос дренажный, пом. 005Т</v>
      </c>
      <c r="T299" s="56">
        <v>0.6</v>
      </c>
      <c r="U299" s="56">
        <v>3.25</v>
      </c>
      <c r="V299" s="42" t="str">
        <v>L1</v>
      </c>
      <c r="W299" s="57" t="str">
        <v>ok</v>
      </c>
      <c r="X299" s="58" t="str">
        <v/>
      </c>
      <c r="Y299" s="75" t="str">
        <v/>
      </c>
      <c r="Z299" s="59">
        <v>3.2475952641916441</v>
      </c>
      <c r="AA299" s="61">
        <v>6</v>
      </c>
      <c r="AB299" s="61">
        <v>25</v>
      </c>
      <c r="AC299" s="61" t="str">
        <v/>
      </c>
      <c r="AD299" s="62" t="str">
        <v>QF5 → XT5</v>
      </c>
      <c r="AE299" s="62" t="str">
        <v/>
      </c>
      <c r="AF299" s="34">
        <v>5</v>
      </c>
      <c r="AG299" s="34" t="str">
        <v>QF5</v>
      </c>
      <c r="AH299" s="34" t="str">
        <v/>
      </c>
      <c r="AI299" s="34" t="str">
        <v/>
      </c>
      <c r="AJ299" s="34" t="str">
        <v>QF5</v>
      </c>
      <c r="AK299" s="34">
        <v>1</v>
      </c>
      <c r="AL299" s="34" t="str">
        <v>НВК</v>
      </c>
      <c r="AM299" s="34">
        <v>0</v>
      </c>
      <c r="AN299" s="34">
        <v>0</v>
      </c>
      <c r="AO299" s="34">
        <v>6</v>
      </c>
      <c r="AP299" s="34">
        <v>25</v>
      </c>
      <c r="AQ299" s="34">
        <v>16</v>
      </c>
      <c r="AR299" s="34">
        <v>1</v>
      </c>
      <c r="AS299" s="34">
        <v>0</v>
      </c>
      <c r="AT299" s="34" t="str">
        <v>1P</v>
      </c>
      <c r="AU299" s="34">
        <v>16</v>
      </c>
      <c r="AV299" s="34" t="str">
        <v/>
      </c>
      <c r="AW299" s="34" t="str">
        <v/>
      </c>
      <c r="AX299" s="34" t="str">
        <v/>
      </c>
      <c r="AY299" s="34">
        <v>1</v>
      </c>
      <c r="AZ299" s="34" t="str">
        <v/>
      </c>
      <c r="BA299" s="34">
        <v>0</v>
      </c>
      <c r="BB299" s="34">
        <v>0</v>
      </c>
      <c r="BD299" s="34">
        <v>1</v>
      </c>
      <c r="BE299" s="34">
        <v>0</v>
      </c>
      <c r="BF299" s="34">
        <v>0</v>
      </c>
      <c r="BG299" s="34" t="str">
        <v/>
      </c>
      <c r="BH299" s="34" t="str">
        <v/>
      </c>
      <c r="BI299" s="34" t="str">
        <v/>
      </c>
      <c r="BJ299" s="34" t="str">
        <v/>
      </c>
      <c r="BK299" s="34" t="str">
        <v>BOX</v>
      </c>
      <c r="BL299" s="34">
        <v>1</v>
      </c>
      <c r="BM299" s="34" t="str">
        <v/>
      </c>
      <c r="BN299" s="34" t="str">
        <v/>
      </c>
      <c r="BO299" s="34" t="str">
        <v/>
      </c>
      <c r="BP299" s="34" t="str">
        <v/>
      </c>
      <c r="BQ299" s="34" t="str">
        <v>3х2,5</v>
      </c>
      <c r="BR299" s="34" t="str">
        <v/>
      </c>
      <c r="BS299" s="34" t="str">
        <v/>
      </c>
      <c r="BT299" s="34" t="str">
        <v/>
      </c>
      <c r="BU299" s="34">
        <v>0</v>
      </c>
      <c r="BV299" s="34">
        <v>320</v>
      </c>
      <c r="BW299" s="34">
        <v>1</v>
      </c>
      <c r="BX299" s="34">
        <v>0</v>
      </c>
      <c r="BY299" s="34">
        <v>0</v>
      </c>
      <c r="BZ299">
        <v>13</v>
      </c>
      <c r="CA299" t="str">
        <v>линии</v>
      </c>
    </row>
    <row r="300" spans="1:79" x14ac:dyDescent="0.3">
      <c r="A300" s="39" t="str">
        <v>ЩС-ВК.001</v>
      </c>
      <c r="B300" s="42">
        <v>23</v>
      </c>
      <c r="C300" s="42">
        <v>2</v>
      </c>
      <c r="D300" s="75" t="str">
        <v/>
      </c>
      <c r="E300" s="75" t="str">
        <v>авто</v>
      </c>
      <c r="F300" s="76" t="str">
        <v/>
      </c>
      <c r="G300" s="47" t="str">
        <v>QF6</v>
      </c>
      <c r="H300" s="47" t="str">
        <v>1P С16А</v>
      </c>
      <c r="I300" s="75" t="str">
        <v/>
      </c>
      <c r="J300" s="76" t="str">
        <v/>
      </c>
      <c r="K300" s="76" t="str">
        <v/>
      </c>
      <c r="L300" s="75" t="str">
        <v/>
      </c>
      <c r="M300" s="49" t="str">
        <v/>
      </c>
      <c r="N300" s="76" t="str">
        <v/>
      </c>
      <c r="O300" s="49" t="str">
        <v/>
      </c>
      <c r="P300" s="77" t="str">
        <v>XT6</v>
      </c>
      <c r="Q300" s="53" t="str">
        <v>ВВГнг(А)-LS (3х2,5) L=14-0,29%</v>
      </c>
      <c r="R300" s="54" t="str">
        <v>НВК.00.005Т.2</v>
      </c>
      <c r="S300" s="55" t="str">
        <v>Насос дренажный, пом. 005Т</v>
      </c>
      <c r="T300" s="56">
        <v>0.6</v>
      </c>
      <c r="U300" s="56">
        <v>3.25</v>
      </c>
      <c r="V300" s="42" t="str">
        <v>L1</v>
      </c>
      <c r="W300" s="57" t="str">
        <v>ok</v>
      </c>
      <c r="X300" s="58" t="str">
        <v/>
      </c>
      <c r="Y300" s="75" t="str">
        <v/>
      </c>
      <c r="Z300" s="59">
        <v>3.2475952641916441</v>
      </c>
      <c r="AA300" s="61">
        <v>6</v>
      </c>
      <c r="AB300" s="61">
        <v>25</v>
      </c>
      <c r="AC300" s="61" t="str">
        <v/>
      </c>
      <c r="AD300" s="62" t="str">
        <v>QF6 → XT6</v>
      </c>
      <c r="AE300" s="62" t="str">
        <v/>
      </c>
      <c r="AF300" s="34">
        <v>6</v>
      </c>
      <c r="AG300" s="34" t="str">
        <v>QF6</v>
      </c>
      <c r="AH300" s="34" t="str">
        <v/>
      </c>
      <c r="AI300" s="34" t="str">
        <v/>
      </c>
      <c r="AJ300" s="34" t="str">
        <v>QF6</v>
      </c>
      <c r="AK300" s="34">
        <v>1</v>
      </c>
      <c r="AL300" s="34" t="str">
        <v>НВК</v>
      </c>
      <c r="AM300" s="34">
        <v>0</v>
      </c>
      <c r="AN300" s="34">
        <v>0</v>
      </c>
      <c r="AO300" s="34">
        <v>6</v>
      </c>
      <c r="AP300" s="34">
        <v>25</v>
      </c>
      <c r="AQ300" s="34">
        <v>16</v>
      </c>
      <c r="AR300" s="34">
        <v>1</v>
      </c>
      <c r="AS300" s="34">
        <v>0</v>
      </c>
      <c r="AT300" s="34" t="str">
        <v>1P</v>
      </c>
      <c r="AU300" s="34">
        <v>16</v>
      </c>
      <c r="AV300" s="34" t="str">
        <v/>
      </c>
      <c r="AW300" s="34" t="str">
        <v/>
      </c>
      <c r="AX300" s="34" t="str">
        <v/>
      </c>
      <c r="AY300" s="34">
        <v>1</v>
      </c>
      <c r="AZ300" s="34" t="str">
        <v/>
      </c>
      <c r="BA300" s="34">
        <v>0</v>
      </c>
      <c r="BB300" s="34">
        <v>0</v>
      </c>
      <c r="BD300" s="34">
        <v>1</v>
      </c>
      <c r="BE300" s="34">
        <v>0</v>
      </c>
      <c r="BF300" s="34">
        <v>0</v>
      </c>
      <c r="BG300" s="34" t="str">
        <v/>
      </c>
      <c r="BH300" s="34" t="str">
        <v/>
      </c>
      <c r="BI300" s="34" t="str">
        <v/>
      </c>
      <c r="BJ300" s="34" t="str">
        <v/>
      </c>
      <c r="BK300" s="34" t="str">
        <v>BOX</v>
      </c>
      <c r="BL300" s="34">
        <v>1</v>
      </c>
      <c r="BM300" s="34" t="str">
        <v/>
      </c>
      <c r="BN300" s="34" t="str">
        <v/>
      </c>
      <c r="BO300" s="34" t="str">
        <v/>
      </c>
      <c r="BP300" s="34" t="str">
        <v/>
      </c>
      <c r="BQ300" s="34" t="str">
        <v>3х2,5</v>
      </c>
      <c r="BR300" s="34" t="str">
        <v/>
      </c>
      <c r="BS300" s="34" t="str">
        <v/>
      </c>
      <c r="BT300" s="34" t="str">
        <v/>
      </c>
      <c r="BU300" s="34">
        <v>0</v>
      </c>
      <c r="BV300" s="34">
        <v>321</v>
      </c>
      <c r="BW300" s="34">
        <v>1</v>
      </c>
      <c r="BX300" s="34">
        <v>0</v>
      </c>
      <c r="BY300" s="34">
        <v>0</v>
      </c>
      <c r="BZ300">
        <v>13</v>
      </c>
      <c r="CA300" t="str">
        <v>линии</v>
      </c>
    </row>
    <row r="301" spans="1:79" x14ac:dyDescent="0.3">
      <c r="A301" s="39" t="str">
        <v>ЩС-ВК.001</v>
      </c>
      <c r="B301" s="42">
        <v>24</v>
      </c>
      <c r="C301" s="42">
        <v>2</v>
      </c>
      <c r="D301" s="75" t="str">
        <v/>
      </c>
      <c r="E301" s="75" t="str">
        <v>авто</v>
      </c>
      <c r="F301" s="76" t="str">
        <v/>
      </c>
      <c r="G301" s="47" t="str">
        <v>QF7</v>
      </c>
      <c r="H301" s="47" t="str">
        <v>1P С16А</v>
      </c>
      <c r="I301" s="75" t="str">
        <v/>
      </c>
      <c r="J301" s="76" t="str">
        <v/>
      </c>
      <c r="K301" s="76" t="str">
        <v/>
      </c>
      <c r="L301" s="75" t="str">
        <v/>
      </c>
      <c r="M301" s="49" t="str">
        <v/>
      </c>
      <c r="N301" s="76" t="str">
        <v/>
      </c>
      <c r="O301" s="49" t="str">
        <v/>
      </c>
      <c r="P301" s="77" t="str">
        <v>XT7</v>
      </c>
      <c r="Q301" s="53" t="str">
        <v>ВВГнг(А)-LS (3х2,5) L=22-0,15%</v>
      </c>
      <c r="R301" s="54" t="str">
        <v>НВК.00.002Т.1</v>
      </c>
      <c r="S301" s="55" t="str">
        <v>циркуляционный насос Подвальный этаж Пом. №002Т</v>
      </c>
      <c r="T301" s="56">
        <v>0.2</v>
      </c>
      <c r="U301" s="56">
        <v>1.0900000000000001</v>
      </c>
      <c r="V301" s="42" t="str">
        <v>L1</v>
      </c>
      <c r="W301" s="57" t="str">
        <v>ok</v>
      </c>
      <c r="X301" s="58" t="str">
        <v/>
      </c>
      <c r="Y301" s="75" t="str">
        <v/>
      </c>
      <c r="Z301" s="59">
        <v>1.0825317547305482</v>
      </c>
      <c r="AA301" s="61">
        <v>6</v>
      </c>
      <c r="AB301" s="61">
        <v>25</v>
      </c>
      <c r="AC301" s="61" t="str">
        <v/>
      </c>
      <c r="AD301" s="62" t="str">
        <v>QF7 → XT7</v>
      </c>
      <c r="AE301" s="62" t="str">
        <v/>
      </c>
      <c r="AF301" s="34">
        <v>7</v>
      </c>
      <c r="AG301" s="34" t="str">
        <v>QF7</v>
      </c>
      <c r="AH301" s="34" t="str">
        <v/>
      </c>
      <c r="AI301" s="34" t="str">
        <v/>
      </c>
      <c r="AJ301" s="34" t="str">
        <v>QF7</v>
      </c>
      <c r="AK301" s="34">
        <v>1</v>
      </c>
      <c r="AL301" s="34" t="str">
        <v>НВК</v>
      </c>
      <c r="AM301" s="34">
        <v>0</v>
      </c>
      <c r="AN301" s="34">
        <v>0</v>
      </c>
      <c r="AO301" s="34">
        <v>6</v>
      </c>
      <c r="AP301" s="34">
        <v>25</v>
      </c>
      <c r="AQ301" s="34">
        <v>16</v>
      </c>
      <c r="AR301" s="34">
        <v>1</v>
      </c>
      <c r="AS301" s="34">
        <v>0</v>
      </c>
      <c r="AT301" s="34" t="str">
        <v>1P</v>
      </c>
      <c r="AU301" s="34">
        <v>16</v>
      </c>
      <c r="AV301" s="34" t="str">
        <v/>
      </c>
      <c r="AW301" s="34" t="str">
        <v/>
      </c>
      <c r="AX301" s="34" t="str">
        <v/>
      </c>
      <c r="AY301" s="34">
        <v>1</v>
      </c>
      <c r="AZ301" s="34" t="str">
        <v/>
      </c>
      <c r="BA301" s="34">
        <v>0</v>
      </c>
      <c r="BB301" s="34">
        <v>0</v>
      </c>
      <c r="BD301" s="34">
        <v>1</v>
      </c>
      <c r="BE301" s="34">
        <v>0</v>
      </c>
      <c r="BF301" s="34">
        <v>0</v>
      </c>
      <c r="BG301" s="34" t="str">
        <v/>
      </c>
      <c r="BH301" s="34" t="str">
        <v/>
      </c>
      <c r="BI301" s="34" t="str">
        <v/>
      </c>
      <c r="BJ301" s="34" t="str">
        <v/>
      </c>
      <c r="BK301" s="34" t="str">
        <v>BOX</v>
      </c>
      <c r="BL301" s="34">
        <v>1</v>
      </c>
      <c r="BM301" s="34" t="str">
        <v/>
      </c>
      <c r="BN301" s="34" t="str">
        <v/>
      </c>
      <c r="BO301" s="34" t="str">
        <v/>
      </c>
      <c r="BP301" s="34" t="str">
        <v/>
      </c>
      <c r="BQ301" s="34" t="str">
        <v>3х2,5</v>
      </c>
      <c r="BR301" s="34" t="str">
        <v/>
      </c>
      <c r="BS301" s="34" t="str">
        <v/>
      </c>
      <c r="BT301" s="34" t="str">
        <v/>
      </c>
      <c r="BU301" s="34">
        <v>0</v>
      </c>
      <c r="BV301" s="34">
        <v>322</v>
      </c>
      <c r="BW301" s="34">
        <v>1</v>
      </c>
      <c r="BX301" s="34">
        <v>0</v>
      </c>
      <c r="BY301" s="34">
        <v>0</v>
      </c>
      <c r="BZ301">
        <v>13</v>
      </c>
      <c r="CA301" t="str">
        <v>линии</v>
      </c>
    </row>
    <row r="302" spans="1:79" x14ac:dyDescent="0.3">
      <c r="A302" s="39" t="str">
        <v>ЩС-ВК.002</v>
      </c>
      <c r="B302" s="42">
        <v>2</v>
      </c>
      <c r="C302" s="42">
        <v>1</v>
      </c>
      <c r="D302" s="75" t="str">
        <v/>
      </c>
      <c r="E302" s="75" t="str">
        <v>авто</v>
      </c>
      <c r="F302" s="76" t="str">
        <v/>
      </c>
      <c r="G302" s="47" t="str">
        <v/>
      </c>
      <c r="H302" s="47" t="str">
        <v>1P С20А</v>
      </c>
      <c r="I302" s="75" t="str">
        <v/>
      </c>
      <c r="J302" s="76" t="str">
        <v/>
      </c>
      <c r="K302" s="76" t="str">
        <v/>
      </c>
      <c r="L302" s="75" t="str">
        <v/>
      </c>
      <c r="M302" s="49" t="str">
        <v/>
      </c>
      <c r="N302" s="76" t="str">
        <v/>
      </c>
      <c r="O302" s="49" t="str">
        <v/>
      </c>
      <c r="P302" s="77" t="str">
        <v/>
      </c>
      <c r="Q302" s="53" t="str">
        <v/>
      </c>
      <c r="R302" s="54" t="str">
        <v>Ввод.1</v>
      </c>
      <c r="S302" s="55" t="str">
        <v>Вводной кабель шлейф 1</v>
      </c>
      <c r="T302" s="56">
        <v>0</v>
      </c>
      <c r="U302" s="56">
        <v>9.1</v>
      </c>
      <c r="V302" s="42" t="str">
        <v>L2</v>
      </c>
      <c r="W302" s="57" t="str">
        <v>ok</v>
      </c>
      <c r="X302" s="58" t="str">
        <v/>
      </c>
      <c r="Y302" s="75" t="str">
        <v>вручную</v>
      </c>
      <c r="Z302" s="59">
        <v>9.0932667397366043</v>
      </c>
      <c r="AA302" s="61">
        <v>16</v>
      </c>
      <c r="AB302" s="61">
        <v>32</v>
      </c>
      <c r="AC302" s="61" t="str">
        <v/>
      </c>
      <c r="AD302" s="62" t="str">
        <v/>
      </c>
      <c r="AE302" s="62" t="str">
        <v/>
      </c>
      <c r="AF302" s="34" t="str">
        <v/>
      </c>
      <c r="AG302" s="34" t="str">
        <v/>
      </c>
      <c r="AH302" s="34" t="str">
        <v/>
      </c>
      <c r="AI302" s="34" t="str">
        <v/>
      </c>
      <c r="AJ302" s="34" t="str">
        <v/>
      </c>
      <c r="AK302" s="34">
        <v>1</v>
      </c>
      <c r="AL302" s="34" t="str">
        <v>Ввод</v>
      </c>
      <c r="AM302" s="34">
        <v>0</v>
      </c>
      <c r="AN302" s="34">
        <v>0</v>
      </c>
      <c r="AO302" s="34">
        <v>16</v>
      </c>
      <c r="AP302" s="34">
        <v>32</v>
      </c>
      <c r="AQ302" s="34">
        <v>20</v>
      </c>
      <c r="AR302" s="34">
        <v>1</v>
      </c>
      <c r="AS302" s="34">
        <v>0</v>
      </c>
      <c r="AT302" s="34" t="str">
        <v>1P</v>
      </c>
      <c r="AU302" s="34">
        <v>20</v>
      </c>
      <c r="AV302" s="34" t="str">
        <v/>
      </c>
      <c r="AW302" s="34" t="str">
        <v/>
      </c>
      <c r="AX302" s="34" t="str">
        <v/>
      </c>
      <c r="AY302" s="34">
        <v>0</v>
      </c>
      <c r="AZ302" s="34" t="str">
        <v/>
      </c>
      <c r="BA302" s="34">
        <v>0</v>
      </c>
      <c r="BB302" s="34">
        <v>0</v>
      </c>
      <c r="BD302" s="34">
        <v>0</v>
      </c>
      <c r="BE302" s="34">
        <v>0</v>
      </c>
      <c r="BF302" s="34">
        <v>0</v>
      </c>
      <c r="BG302" s="34" t="str">
        <v/>
      </c>
      <c r="BH302" s="34" t="str">
        <v/>
      </c>
      <c r="BI302" s="34" t="str">
        <v/>
      </c>
      <c r="BJ302" s="34" t="str">
        <v/>
      </c>
      <c r="BK302" s="34" t="str">
        <v>BOX</v>
      </c>
      <c r="BL302" s="34">
        <v>1</v>
      </c>
      <c r="BM302" s="34" t="str">
        <v/>
      </c>
      <c r="BN302" s="34" t="str">
        <v/>
      </c>
      <c r="BO302" s="34" t="str">
        <v/>
      </c>
      <c r="BP302" s="34" t="str">
        <v/>
      </c>
      <c r="BQ302" s="34" t="str">
        <v/>
      </c>
      <c r="BR302" s="34" t="str">
        <v/>
      </c>
      <c r="BS302" s="34" t="str">
        <v/>
      </c>
      <c r="BT302" s="34" t="str">
        <v/>
      </c>
      <c r="BU302" s="34">
        <v>0</v>
      </c>
      <c r="BV302" s="34">
        <v>323</v>
      </c>
      <c r="BW302" s="34">
        <v>0</v>
      </c>
      <c r="BX302" s="34">
        <v>0</v>
      </c>
      <c r="BY302" s="34">
        <v>0</v>
      </c>
      <c r="BZ302">
        <v>14</v>
      </c>
      <c r="CA302" t="str">
        <v>вводной узел</v>
      </c>
    </row>
    <row r="303" spans="1:79" x14ac:dyDescent="0.3">
      <c r="A303" s="39" t="str">
        <v>ЩС-ВК.002</v>
      </c>
      <c r="B303" s="42">
        <v>18</v>
      </c>
      <c r="C303" s="42">
        <v>2</v>
      </c>
      <c r="D303" s="75" t="str">
        <v/>
      </c>
      <c r="E303" s="75" t="str">
        <v>авто</v>
      </c>
      <c r="F303" s="76" t="str">
        <v/>
      </c>
      <c r="G303" s="47" t="str">
        <v>QF1</v>
      </c>
      <c r="H303" s="47" t="str">
        <v>1P С16А</v>
      </c>
      <c r="I303" s="75" t="str">
        <v/>
      </c>
      <c r="J303" s="76" t="str">
        <v/>
      </c>
      <c r="K303" s="76" t="str">
        <v/>
      </c>
      <c r="L303" s="75" t="str">
        <v/>
      </c>
      <c r="M303" s="49" t="str">
        <v/>
      </c>
      <c r="N303" s="76" t="str">
        <v/>
      </c>
      <c r="O303" s="49" t="str">
        <v/>
      </c>
      <c r="P303" s="77" t="str">
        <v>XT1</v>
      </c>
      <c r="Q303" s="53" t="str">
        <v>ВВГнг(А)-LS (3х2,5) L=37-0,76%</v>
      </c>
      <c r="R303" s="54" t="str">
        <v>НВК.00.002Тб.3</v>
      </c>
      <c r="S303" s="55" t="str">
        <v>Насос дренажный, пом. 002Тб</v>
      </c>
      <c r="T303" s="56">
        <v>0.6</v>
      </c>
      <c r="U303" s="56">
        <v>3.25</v>
      </c>
      <c r="V303" s="42" t="str">
        <v>L1</v>
      </c>
      <c r="W303" s="57" t="str">
        <v>ok</v>
      </c>
      <c r="X303" s="58" t="str">
        <v/>
      </c>
      <c r="Y303" s="75" t="str">
        <v/>
      </c>
      <c r="Z303" s="59">
        <v>3.2475952641916441</v>
      </c>
      <c r="AA303" s="61">
        <v>6</v>
      </c>
      <c r="AB303" s="61">
        <v>25</v>
      </c>
      <c r="AC303" s="61" t="str">
        <v/>
      </c>
      <c r="AD303" s="62" t="str">
        <v>QF1 → XT1</v>
      </c>
      <c r="AE303" s="62" t="str">
        <v/>
      </c>
      <c r="AF303" s="34">
        <v>1</v>
      </c>
      <c r="AG303" s="34" t="str">
        <v>QF1</v>
      </c>
      <c r="AH303" s="34" t="str">
        <v/>
      </c>
      <c r="AI303" s="34" t="str">
        <v/>
      </c>
      <c r="AJ303" s="34" t="str">
        <v>QF1</v>
      </c>
      <c r="AK303" s="34">
        <v>1</v>
      </c>
      <c r="AL303" s="34" t="str">
        <v>НВК</v>
      </c>
      <c r="AM303" s="34">
        <v>0</v>
      </c>
      <c r="AN303" s="34">
        <v>0</v>
      </c>
      <c r="AO303" s="34">
        <v>6</v>
      </c>
      <c r="AP303" s="34">
        <v>25</v>
      </c>
      <c r="AQ303" s="34">
        <v>16</v>
      </c>
      <c r="AR303" s="34">
        <v>1</v>
      </c>
      <c r="AS303" s="34">
        <v>0</v>
      </c>
      <c r="AT303" s="34" t="str">
        <v>1P</v>
      </c>
      <c r="AU303" s="34">
        <v>16</v>
      </c>
      <c r="AV303" s="34" t="str">
        <v/>
      </c>
      <c r="AW303" s="34" t="str">
        <v/>
      </c>
      <c r="AX303" s="34" t="str">
        <v/>
      </c>
      <c r="AY303" s="34">
        <v>1</v>
      </c>
      <c r="AZ303" s="34" t="str">
        <v/>
      </c>
      <c r="BA303" s="34">
        <v>0</v>
      </c>
      <c r="BB303" s="34">
        <v>0</v>
      </c>
      <c r="BD303" s="34">
        <v>1</v>
      </c>
      <c r="BE303" s="34">
        <v>0</v>
      </c>
      <c r="BF303" s="34">
        <v>0</v>
      </c>
      <c r="BG303" s="34" t="str">
        <v/>
      </c>
      <c r="BH303" s="34" t="str">
        <v/>
      </c>
      <c r="BI303" s="34" t="str">
        <v/>
      </c>
      <c r="BJ303" s="34" t="str">
        <v/>
      </c>
      <c r="BK303" s="34" t="str">
        <v>BOX</v>
      </c>
      <c r="BL303" s="34">
        <v>1</v>
      </c>
      <c r="BM303" s="34" t="str">
        <v/>
      </c>
      <c r="BN303" s="34" t="str">
        <v/>
      </c>
      <c r="BO303" s="34" t="str">
        <v/>
      </c>
      <c r="BP303" s="34" t="str">
        <v/>
      </c>
      <c r="BQ303" s="34" t="str">
        <v>3х2,5</v>
      </c>
      <c r="BR303" s="34" t="str">
        <v/>
      </c>
      <c r="BS303" s="34" t="str">
        <v/>
      </c>
      <c r="BT303" s="34" t="str">
        <v/>
      </c>
      <c r="BU303" s="34">
        <v>0</v>
      </c>
      <c r="BV303" s="34">
        <v>324</v>
      </c>
      <c r="BW303" s="34">
        <v>1</v>
      </c>
      <c r="BX303" s="34">
        <v>0</v>
      </c>
      <c r="BY303" s="34">
        <v>0</v>
      </c>
      <c r="BZ303">
        <v>14</v>
      </c>
      <c r="CA303" t="str">
        <v>линии</v>
      </c>
    </row>
    <row r="304" spans="1:79" x14ac:dyDescent="0.3">
      <c r="A304" s="39" t="str">
        <v>ЩС-ВК.002</v>
      </c>
      <c r="B304" s="42">
        <v>19</v>
      </c>
      <c r="C304" s="42">
        <v>2</v>
      </c>
      <c r="D304" s="75" t="str">
        <v/>
      </c>
      <c r="E304" s="75" t="str">
        <v>авто</v>
      </c>
      <c r="F304" s="76" t="str">
        <v/>
      </c>
      <c r="G304" s="47" t="str">
        <v>QF2</v>
      </c>
      <c r="H304" s="47" t="str">
        <v>1P С16А</v>
      </c>
      <c r="I304" s="75" t="str">
        <v/>
      </c>
      <c r="J304" s="76" t="str">
        <v/>
      </c>
      <c r="K304" s="76" t="str">
        <v/>
      </c>
      <c r="L304" s="75" t="str">
        <v/>
      </c>
      <c r="M304" s="49" t="str">
        <v/>
      </c>
      <c r="N304" s="76" t="str">
        <v/>
      </c>
      <c r="O304" s="49" t="str">
        <v/>
      </c>
      <c r="P304" s="77" t="str">
        <v>XT2</v>
      </c>
      <c r="Q304" s="53" t="str">
        <v>ВВГнг(А)-LS (3х2,5) L=36-0,74%</v>
      </c>
      <c r="R304" s="54" t="str">
        <v>НВК.00.002Тб.4</v>
      </c>
      <c r="S304" s="55" t="str">
        <v>Насос дренажный, пом. 002Тб</v>
      </c>
      <c r="T304" s="56">
        <v>0.6</v>
      </c>
      <c r="U304" s="56">
        <v>3.25</v>
      </c>
      <c r="V304" s="42" t="str">
        <v>L1</v>
      </c>
      <c r="W304" s="57" t="str">
        <v>ok</v>
      </c>
      <c r="X304" s="58" t="str">
        <v/>
      </c>
      <c r="Y304" s="75" t="str">
        <v/>
      </c>
      <c r="Z304" s="59">
        <v>3.2475952641916441</v>
      </c>
      <c r="AA304" s="61">
        <v>6</v>
      </c>
      <c r="AB304" s="61">
        <v>25</v>
      </c>
      <c r="AC304" s="61" t="str">
        <v/>
      </c>
      <c r="AD304" s="62" t="str">
        <v>QF2 → XT2</v>
      </c>
      <c r="AE304" s="62" t="str">
        <v/>
      </c>
      <c r="AF304" s="34">
        <v>2</v>
      </c>
      <c r="AG304" s="34" t="str">
        <v>QF2</v>
      </c>
      <c r="AH304" s="34" t="str">
        <v/>
      </c>
      <c r="AI304" s="34" t="str">
        <v/>
      </c>
      <c r="AJ304" s="34" t="str">
        <v>QF2</v>
      </c>
      <c r="AK304" s="34">
        <v>1</v>
      </c>
      <c r="AL304" s="34" t="str">
        <v>НВК</v>
      </c>
      <c r="AM304" s="34">
        <v>0</v>
      </c>
      <c r="AN304" s="34">
        <v>0</v>
      </c>
      <c r="AO304" s="34">
        <v>6</v>
      </c>
      <c r="AP304" s="34">
        <v>25</v>
      </c>
      <c r="AQ304" s="34">
        <v>16</v>
      </c>
      <c r="AR304" s="34">
        <v>1</v>
      </c>
      <c r="AS304" s="34">
        <v>0</v>
      </c>
      <c r="AT304" s="34" t="str">
        <v>1P</v>
      </c>
      <c r="AU304" s="34">
        <v>16</v>
      </c>
      <c r="AV304" s="34" t="str">
        <v/>
      </c>
      <c r="AW304" s="34" t="str">
        <v/>
      </c>
      <c r="AX304" s="34" t="str">
        <v/>
      </c>
      <c r="AY304" s="34">
        <v>1</v>
      </c>
      <c r="AZ304" s="34" t="str">
        <v/>
      </c>
      <c r="BA304" s="34">
        <v>0</v>
      </c>
      <c r="BB304" s="34">
        <v>0</v>
      </c>
      <c r="BD304" s="34">
        <v>1</v>
      </c>
      <c r="BE304" s="34">
        <v>0</v>
      </c>
      <c r="BF304" s="34">
        <v>0</v>
      </c>
      <c r="BG304" s="34" t="str">
        <v/>
      </c>
      <c r="BH304" s="34" t="str">
        <v/>
      </c>
      <c r="BI304" s="34" t="str">
        <v/>
      </c>
      <c r="BJ304" s="34" t="str">
        <v/>
      </c>
      <c r="BK304" s="34" t="str">
        <v>BOX</v>
      </c>
      <c r="BL304" s="34">
        <v>1</v>
      </c>
      <c r="BM304" s="34" t="str">
        <v/>
      </c>
      <c r="BN304" s="34" t="str">
        <v/>
      </c>
      <c r="BO304" s="34" t="str">
        <v/>
      </c>
      <c r="BP304" s="34" t="str">
        <v/>
      </c>
      <c r="BQ304" s="34" t="str">
        <v>3х2,5</v>
      </c>
      <c r="BR304" s="34" t="str">
        <v/>
      </c>
      <c r="BS304" s="34" t="str">
        <v/>
      </c>
      <c r="BT304" s="34" t="str">
        <v/>
      </c>
      <c r="BU304" s="34">
        <v>0</v>
      </c>
      <c r="BV304" s="34">
        <v>325</v>
      </c>
      <c r="BW304" s="34">
        <v>1</v>
      </c>
      <c r="BX304" s="34">
        <v>0</v>
      </c>
      <c r="BY304" s="34">
        <v>0</v>
      </c>
      <c r="BZ304">
        <v>14</v>
      </c>
      <c r="CA304" t="str">
        <v>линии</v>
      </c>
    </row>
    <row r="305" spans="1:79" x14ac:dyDescent="0.3">
      <c r="A305" s="39" t="str">
        <v>ЩС-ВК.002</v>
      </c>
      <c r="B305" s="42">
        <v>20</v>
      </c>
      <c r="C305" s="42">
        <v>2</v>
      </c>
      <c r="D305" s="75" t="str">
        <v/>
      </c>
      <c r="E305" s="75" t="str">
        <v>авто</v>
      </c>
      <c r="F305" s="76" t="str">
        <v/>
      </c>
      <c r="G305" s="47" t="str">
        <v>QF3</v>
      </c>
      <c r="H305" s="47" t="str">
        <v>1P С16А</v>
      </c>
      <c r="I305" s="75" t="str">
        <v/>
      </c>
      <c r="J305" s="76" t="str">
        <v/>
      </c>
      <c r="K305" s="76" t="str">
        <v/>
      </c>
      <c r="L305" s="75" t="str">
        <v/>
      </c>
      <c r="M305" s="49" t="str">
        <v/>
      </c>
      <c r="N305" s="76" t="str">
        <v/>
      </c>
      <c r="O305" s="49" t="str">
        <v/>
      </c>
      <c r="P305" s="77" t="str">
        <v>XT3</v>
      </c>
      <c r="Q305" s="53" t="str">
        <v>ВВГнг(А)-LS (3х2,5) L=13-0,27%</v>
      </c>
      <c r="R305" s="54" t="str">
        <v>НВК.00.002Тб.2</v>
      </c>
      <c r="S305" s="55" t="str">
        <v>Насос дренажный, пом. 002Тб</v>
      </c>
      <c r="T305" s="56">
        <v>0.6</v>
      </c>
      <c r="U305" s="56">
        <v>3.25</v>
      </c>
      <c r="V305" s="42" t="str">
        <v>L1</v>
      </c>
      <c r="W305" s="57" t="str">
        <v>ok</v>
      </c>
      <c r="X305" s="58" t="str">
        <v/>
      </c>
      <c r="Y305" s="75" t="str">
        <v/>
      </c>
      <c r="Z305" s="59">
        <v>3.2475952641916441</v>
      </c>
      <c r="AA305" s="61">
        <v>6</v>
      </c>
      <c r="AB305" s="61">
        <v>25</v>
      </c>
      <c r="AC305" s="61" t="str">
        <v/>
      </c>
      <c r="AD305" s="62" t="str">
        <v>QF3 → XT3</v>
      </c>
      <c r="AE305" s="62" t="str">
        <v/>
      </c>
      <c r="AF305" s="34">
        <v>3</v>
      </c>
      <c r="AG305" s="34" t="str">
        <v>QF3</v>
      </c>
      <c r="AH305" s="34" t="str">
        <v/>
      </c>
      <c r="AI305" s="34" t="str">
        <v/>
      </c>
      <c r="AJ305" s="34" t="str">
        <v>QF3</v>
      </c>
      <c r="AK305" s="34">
        <v>1</v>
      </c>
      <c r="AL305" s="34" t="str">
        <v>НВК</v>
      </c>
      <c r="AM305" s="34">
        <v>0</v>
      </c>
      <c r="AN305" s="34">
        <v>0</v>
      </c>
      <c r="AO305" s="34">
        <v>6</v>
      </c>
      <c r="AP305" s="34">
        <v>25</v>
      </c>
      <c r="AQ305" s="34">
        <v>16</v>
      </c>
      <c r="AR305" s="34">
        <v>1</v>
      </c>
      <c r="AS305" s="34">
        <v>0</v>
      </c>
      <c r="AT305" s="34" t="str">
        <v>1P</v>
      </c>
      <c r="AU305" s="34">
        <v>16</v>
      </c>
      <c r="AV305" s="34" t="str">
        <v/>
      </c>
      <c r="AW305" s="34" t="str">
        <v/>
      </c>
      <c r="AX305" s="34" t="str">
        <v/>
      </c>
      <c r="AY305" s="34">
        <v>1</v>
      </c>
      <c r="AZ305" s="34" t="str">
        <v/>
      </c>
      <c r="BA305" s="34">
        <v>0</v>
      </c>
      <c r="BB305" s="34">
        <v>0</v>
      </c>
      <c r="BD305" s="34">
        <v>1</v>
      </c>
      <c r="BE305" s="34">
        <v>0</v>
      </c>
      <c r="BF305" s="34">
        <v>0</v>
      </c>
      <c r="BG305" s="34" t="str">
        <v/>
      </c>
      <c r="BH305" s="34" t="str">
        <v/>
      </c>
      <c r="BI305" s="34" t="str">
        <v/>
      </c>
      <c r="BJ305" s="34" t="str">
        <v/>
      </c>
      <c r="BK305" s="34" t="str">
        <v>BOX</v>
      </c>
      <c r="BL305" s="34">
        <v>1</v>
      </c>
      <c r="BM305" s="34" t="str">
        <v/>
      </c>
      <c r="BN305" s="34" t="str">
        <v/>
      </c>
      <c r="BO305" s="34" t="str">
        <v/>
      </c>
      <c r="BP305" s="34" t="str">
        <v/>
      </c>
      <c r="BQ305" s="34" t="str">
        <v>3х2,5</v>
      </c>
      <c r="BR305" s="34" t="str">
        <v/>
      </c>
      <c r="BS305" s="34" t="str">
        <v/>
      </c>
      <c r="BT305" s="34" t="str">
        <v/>
      </c>
      <c r="BU305" s="34">
        <v>0</v>
      </c>
      <c r="BV305" s="34">
        <v>326</v>
      </c>
      <c r="BW305" s="34">
        <v>1</v>
      </c>
      <c r="BX305" s="34">
        <v>0</v>
      </c>
      <c r="BY305" s="34">
        <v>0</v>
      </c>
      <c r="BZ305">
        <v>14</v>
      </c>
      <c r="CA305" t="str">
        <v>линии</v>
      </c>
    </row>
    <row r="306" spans="1:79" x14ac:dyDescent="0.3">
      <c r="A306" s="39" t="str">
        <v>ЩС-ВК.002</v>
      </c>
      <c r="B306" s="42">
        <v>21</v>
      </c>
      <c r="C306" s="42">
        <v>2</v>
      </c>
      <c r="D306" s="75" t="str">
        <v/>
      </c>
      <c r="E306" s="75" t="str">
        <v>авто</v>
      </c>
      <c r="F306" s="76" t="str">
        <v/>
      </c>
      <c r="G306" s="47" t="str">
        <v>QF4</v>
      </c>
      <c r="H306" s="47" t="str">
        <v>1P С16А</v>
      </c>
      <c r="I306" s="75" t="str">
        <v/>
      </c>
      <c r="J306" s="76" t="str">
        <v/>
      </c>
      <c r="K306" s="76" t="str">
        <v/>
      </c>
      <c r="L306" s="75" t="str">
        <v/>
      </c>
      <c r="M306" s="49" t="str">
        <v/>
      </c>
      <c r="N306" s="76" t="str">
        <v/>
      </c>
      <c r="O306" s="49" t="str">
        <v/>
      </c>
      <c r="P306" s="77" t="str">
        <v>XT4</v>
      </c>
      <c r="Q306" s="53" t="str">
        <v>ВВГнг(А)-LS (3х2,5) L=13-0,27%</v>
      </c>
      <c r="R306" s="54" t="str">
        <v>НВК.00.002Тб.1</v>
      </c>
      <c r="S306" s="55" t="str">
        <v>Насос дренажный, пом. 002Тб</v>
      </c>
      <c r="T306" s="56">
        <v>0.6</v>
      </c>
      <c r="U306" s="56">
        <v>3.25</v>
      </c>
      <c r="V306" s="42" t="str">
        <v>L1</v>
      </c>
      <c r="W306" s="57" t="str">
        <v>ok</v>
      </c>
      <c r="X306" s="58" t="str">
        <v/>
      </c>
      <c r="Y306" s="75" t="str">
        <v/>
      </c>
      <c r="Z306" s="59">
        <v>3.2475952641916441</v>
      </c>
      <c r="AA306" s="61">
        <v>6</v>
      </c>
      <c r="AB306" s="61">
        <v>25</v>
      </c>
      <c r="AC306" s="61" t="str">
        <v/>
      </c>
      <c r="AD306" s="62" t="str">
        <v>QF4 → XT4</v>
      </c>
      <c r="AE306" s="62" t="str">
        <v/>
      </c>
      <c r="AF306" s="34">
        <v>4</v>
      </c>
      <c r="AG306" s="34" t="str">
        <v>QF4</v>
      </c>
      <c r="AH306" s="34" t="str">
        <v/>
      </c>
      <c r="AI306" s="34" t="str">
        <v/>
      </c>
      <c r="AJ306" s="34" t="str">
        <v>QF4</v>
      </c>
      <c r="AK306" s="34">
        <v>1</v>
      </c>
      <c r="AL306" s="34" t="str">
        <v>НВК</v>
      </c>
      <c r="AM306" s="34">
        <v>0</v>
      </c>
      <c r="AN306" s="34">
        <v>0</v>
      </c>
      <c r="AO306" s="34">
        <v>6</v>
      </c>
      <c r="AP306" s="34">
        <v>25</v>
      </c>
      <c r="AQ306" s="34">
        <v>16</v>
      </c>
      <c r="AR306" s="34">
        <v>1</v>
      </c>
      <c r="AS306" s="34">
        <v>0</v>
      </c>
      <c r="AT306" s="34" t="str">
        <v>1P</v>
      </c>
      <c r="AU306" s="34">
        <v>16</v>
      </c>
      <c r="AV306" s="34" t="str">
        <v/>
      </c>
      <c r="AW306" s="34" t="str">
        <v/>
      </c>
      <c r="AX306" s="34" t="str">
        <v/>
      </c>
      <c r="AY306" s="34">
        <v>1</v>
      </c>
      <c r="AZ306" s="34" t="str">
        <v/>
      </c>
      <c r="BA306" s="34">
        <v>0</v>
      </c>
      <c r="BB306" s="34">
        <v>0</v>
      </c>
      <c r="BD306" s="34">
        <v>1</v>
      </c>
      <c r="BE306" s="34">
        <v>0</v>
      </c>
      <c r="BF306" s="34">
        <v>0</v>
      </c>
      <c r="BG306" s="34" t="str">
        <v/>
      </c>
      <c r="BH306" s="34" t="str">
        <v/>
      </c>
      <c r="BI306" s="34" t="str">
        <v/>
      </c>
      <c r="BJ306" s="34" t="str">
        <v/>
      </c>
      <c r="BK306" s="34" t="str">
        <v>BOX</v>
      </c>
      <c r="BL306" s="34">
        <v>1</v>
      </c>
      <c r="BM306" s="34" t="str">
        <v/>
      </c>
      <c r="BN306" s="34" t="str">
        <v/>
      </c>
      <c r="BO306" s="34" t="str">
        <v/>
      </c>
      <c r="BP306" s="34" t="str">
        <v/>
      </c>
      <c r="BQ306" s="34" t="str">
        <v>3х2,5</v>
      </c>
      <c r="BR306" s="34" t="str">
        <v/>
      </c>
      <c r="BS306" s="34" t="str">
        <v/>
      </c>
      <c r="BT306" s="34" t="str">
        <v/>
      </c>
      <c r="BU306" s="34">
        <v>0</v>
      </c>
      <c r="BV306" s="34">
        <v>327</v>
      </c>
      <c r="BW306" s="34">
        <v>1</v>
      </c>
      <c r="BX306" s="34">
        <v>0</v>
      </c>
      <c r="BY306" s="34">
        <v>0</v>
      </c>
      <c r="BZ306">
        <v>14</v>
      </c>
      <c r="CA306" t="str">
        <v>линии</v>
      </c>
    </row>
    <row r="307" spans="1:79" x14ac:dyDescent="0.3">
      <c r="A307" s="39" t="str">
        <v>ЩС-ВК.003</v>
      </c>
      <c r="B307" s="42">
        <v>2</v>
      </c>
      <c r="C307" s="42">
        <v>1</v>
      </c>
      <c r="D307" s="75" t="str">
        <v/>
      </c>
      <c r="E307" s="75" t="str">
        <v>авто</v>
      </c>
      <c r="F307" s="76" t="str">
        <v/>
      </c>
      <c r="G307" s="47" t="str">
        <v/>
      </c>
      <c r="H307" s="47" t="str">
        <v>3P С20А</v>
      </c>
      <c r="I307" s="75" t="str">
        <v/>
      </c>
      <c r="J307" s="76" t="str">
        <v/>
      </c>
      <c r="K307" s="76" t="str">
        <v/>
      </c>
      <c r="L307" s="75" t="str">
        <v/>
      </c>
      <c r="M307" s="49" t="str">
        <v/>
      </c>
      <c r="N307" s="76" t="str">
        <v/>
      </c>
      <c r="O307" s="49" t="str">
        <v/>
      </c>
      <c r="P307" s="77" t="str">
        <v/>
      </c>
      <c r="Q307" s="53" t="str">
        <v/>
      </c>
      <c r="R307" s="54" t="str">
        <v>Ввод.1</v>
      </c>
      <c r="S307" s="55" t="str">
        <v>Вводной кабель шлейф 1</v>
      </c>
      <c r="T307" s="56">
        <v>0</v>
      </c>
      <c r="U307" s="56">
        <v>16.450000000000003</v>
      </c>
      <c r="V307" s="42" t="str">
        <v>L1,L2,L3</v>
      </c>
      <c r="W307" s="57" t="str">
        <v>ok</v>
      </c>
      <c r="X307" s="58" t="str">
        <v/>
      </c>
      <c r="Y307" s="75" t="str">
        <v>вручную</v>
      </c>
      <c r="Z307" s="59">
        <v>16.443657354357025</v>
      </c>
      <c r="AA307" s="61">
        <v>20</v>
      </c>
      <c r="AB307" s="61">
        <v>32</v>
      </c>
      <c r="AC307" s="61" t="str">
        <v/>
      </c>
      <c r="AD307" s="62" t="str">
        <v/>
      </c>
      <c r="AE307" s="62" t="str">
        <v>потери 5,2 % &gt; 4 %</v>
      </c>
      <c r="AF307" s="34" t="str">
        <v/>
      </c>
      <c r="AG307" s="34" t="str">
        <v/>
      </c>
      <c r="AH307" s="34" t="str">
        <v/>
      </c>
      <c r="AI307" s="34" t="str">
        <v/>
      </c>
      <c r="AJ307" s="34" t="str">
        <v/>
      </c>
      <c r="AK307" s="34">
        <v>3</v>
      </c>
      <c r="AL307" s="34" t="str">
        <v>Ввод</v>
      </c>
      <c r="AM307" s="34">
        <v>0</v>
      </c>
      <c r="AN307" s="34">
        <v>0</v>
      </c>
      <c r="AO307" s="34">
        <v>20</v>
      </c>
      <c r="AP307" s="34">
        <v>32</v>
      </c>
      <c r="AQ307" s="34">
        <v>20</v>
      </c>
      <c r="AR307" s="34">
        <v>3</v>
      </c>
      <c r="AS307" s="34">
        <v>0</v>
      </c>
      <c r="AT307" s="34" t="str">
        <v>3P</v>
      </c>
      <c r="AU307" s="34">
        <v>20</v>
      </c>
      <c r="AV307" s="34" t="str">
        <v/>
      </c>
      <c r="AW307" s="34" t="str">
        <v/>
      </c>
      <c r="AX307" s="34" t="str">
        <v/>
      </c>
      <c r="AY307" s="34">
        <v>0</v>
      </c>
      <c r="AZ307" s="34" t="str">
        <v/>
      </c>
      <c r="BA307" s="34">
        <v>0</v>
      </c>
      <c r="BB307" s="34">
        <v>0</v>
      </c>
      <c r="BD307" s="34">
        <v>0</v>
      </c>
      <c r="BE307" s="34">
        <v>0</v>
      </c>
      <c r="BF307" s="34">
        <v>0</v>
      </c>
      <c r="BG307" s="34" t="str">
        <v/>
      </c>
      <c r="BH307" s="34" t="str">
        <v/>
      </c>
      <c r="BI307" s="34" t="str">
        <v/>
      </c>
      <c r="BJ307" s="34" t="str">
        <v/>
      </c>
      <c r="BK307" s="34" t="str">
        <v>BOX</v>
      </c>
      <c r="BL307" s="34">
        <v>1</v>
      </c>
      <c r="BM307" s="34" t="str">
        <v/>
      </c>
      <c r="BN307" s="34" t="str">
        <v/>
      </c>
      <c r="BO307" s="34" t="str">
        <v/>
      </c>
      <c r="BP307" s="34" t="str">
        <v/>
      </c>
      <c r="BQ307" s="34" t="str">
        <v/>
      </c>
      <c r="BR307" s="34" t="str">
        <v/>
      </c>
      <c r="BS307" s="34" t="str">
        <v/>
      </c>
      <c r="BT307" s="34" t="str">
        <v/>
      </c>
      <c r="BU307" s="34">
        <v>1</v>
      </c>
      <c r="BV307" s="34">
        <v>328</v>
      </c>
      <c r="BW307" s="34">
        <v>0</v>
      </c>
      <c r="BX307" s="34">
        <v>0</v>
      </c>
      <c r="BY307" s="34">
        <v>0</v>
      </c>
      <c r="BZ307">
        <v>15</v>
      </c>
      <c r="CA307" t="str">
        <v>вводной узел</v>
      </c>
    </row>
    <row r="308" spans="1:79" x14ac:dyDescent="0.3">
      <c r="A308" s="39" t="str">
        <v>ЩС-ВК.003</v>
      </c>
      <c r="B308" s="42">
        <v>18</v>
      </c>
      <c r="C308" s="42">
        <v>2</v>
      </c>
      <c r="D308" s="75" t="str">
        <v/>
      </c>
      <c r="E308" s="75" t="str">
        <v>авто</v>
      </c>
      <c r="F308" s="76" t="str">
        <v/>
      </c>
      <c r="G308" s="47" t="str">
        <v>QF1</v>
      </c>
      <c r="H308" s="47" t="str">
        <v>1P С16А</v>
      </c>
      <c r="I308" s="75" t="str">
        <v/>
      </c>
      <c r="J308" s="76" t="str">
        <v/>
      </c>
      <c r="K308" s="76" t="str">
        <v/>
      </c>
      <c r="L308" s="75" t="str">
        <v/>
      </c>
      <c r="M308" s="49" t="str">
        <v/>
      </c>
      <c r="N308" s="76" t="str">
        <v/>
      </c>
      <c r="O308" s="49" t="str">
        <v/>
      </c>
      <c r="P308" s="77" t="str">
        <v>XT1</v>
      </c>
      <c r="Q308" s="53" t="str">
        <v>ВВГнг(А)-LS (3х2,5) L=16-0,33%</v>
      </c>
      <c r="R308" s="54" t="str">
        <v>НВК.00.006Т.2</v>
      </c>
      <c r="S308" s="55" t="str">
        <v>Насос дренажный, пом. 006Т</v>
      </c>
      <c r="T308" s="56">
        <v>0.6</v>
      </c>
      <c r="U308" s="56">
        <v>3.25</v>
      </c>
      <c r="V308" s="42" t="str">
        <v>L3</v>
      </c>
      <c r="W308" s="57" t="str">
        <v>ok</v>
      </c>
      <c r="X308" s="58" t="str">
        <v/>
      </c>
      <c r="Y308" s="75" t="str">
        <v/>
      </c>
      <c r="Z308" s="59">
        <v>3.2475952641916441</v>
      </c>
      <c r="AA308" s="61">
        <v>6</v>
      </c>
      <c r="AB308" s="61">
        <v>25</v>
      </c>
      <c r="AC308" s="61" t="str">
        <v/>
      </c>
      <c r="AD308" s="62" t="str">
        <v>QF1 → XT1</v>
      </c>
      <c r="AE308" s="62" t="str">
        <v/>
      </c>
      <c r="AF308" s="34">
        <v>1</v>
      </c>
      <c r="AG308" s="34" t="str">
        <v>QF1</v>
      </c>
      <c r="AH308" s="34" t="str">
        <v/>
      </c>
      <c r="AI308" s="34" t="str">
        <v/>
      </c>
      <c r="AJ308" s="34" t="str">
        <v>QF1</v>
      </c>
      <c r="AK308" s="34">
        <v>1</v>
      </c>
      <c r="AL308" s="34" t="str">
        <v>НВК</v>
      </c>
      <c r="AM308" s="34">
        <v>0</v>
      </c>
      <c r="AN308" s="34">
        <v>0</v>
      </c>
      <c r="AO308" s="34">
        <v>6</v>
      </c>
      <c r="AP308" s="34">
        <v>25</v>
      </c>
      <c r="AQ308" s="34">
        <v>16</v>
      </c>
      <c r="AR308" s="34">
        <v>1</v>
      </c>
      <c r="AS308" s="34">
        <v>0</v>
      </c>
      <c r="AT308" s="34" t="str">
        <v>1P</v>
      </c>
      <c r="AU308" s="34">
        <v>16</v>
      </c>
      <c r="AV308" s="34" t="str">
        <v/>
      </c>
      <c r="AW308" s="34" t="str">
        <v/>
      </c>
      <c r="AX308" s="34" t="str">
        <v/>
      </c>
      <c r="AY308" s="34">
        <v>1</v>
      </c>
      <c r="AZ308" s="34" t="str">
        <v/>
      </c>
      <c r="BA308" s="34">
        <v>0</v>
      </c>
      <c r="BB308" s="34">
        <v>0</v>
      </c>
      <c r="BD308" s="34">
        <v>1</v>
      </c>
      <c r="BE308" s="34">
        <v>0</v>
      </c>
      <c r="BF308" s="34">
        <v>0</v>
      </c>
      <c r="BG308" s="34" t="str">
        <v/>
      </c>
      <c r="BH308" s="34" t="str">
        <v/>
      </c>
      <c r="BI308" s="34" t="str">
        <v/>
      </c>
      <c r="BJ308" s="34" t="str">
        <v/>
      </c>
      <c r="BK308" s="34" t="str">
        <v>BOX</v>
      </c>
      <c r="BL308" s="34">
        <v>1</v>
      </c>
      <c r="BM308" s="34" t="str">
        <v/>
      </c>
      <c r="BN308" s="34" t="str">
        <v/>
      </c>
      <c r="BO308" s="34" t="str">
        <v/>
      </c>
      <c r="BP308" s="34" t="str">
        <v/>
      </c>
      <c r="BQ308" s="34" t="str">
        <v>3х2,5</v>
      </c>
      <c r="BR308" s="34" t="str">
        <v/>
      </c>
      <c r="BS308" s="34" t="str">
        <v/>
      </c>
      <c r="BT308" s="34" t="str">
        <v/>
      </c>
      <c r="BU308" s="34">
        <v>0</v>
      </c>
      <c r="BV308" s="34">
        <v>329</v>
      </c>
      <c r="BW308" s="34">
        <v>1</v>
      </c>
      <c r="BX308" s="34">
        <v>0</v>
      </c>
      <c r="BY308" s="34">
        <v>0</v>
      </c>
      <c r="BZ308">
        <v>15</v>
      </c>
      <c r="CA308" t="str">
        <v>линии</v>
      </c>
    </row>
    <row r="309" spans="1:79" x14ac:dyDescent="0.3">
      <c r="A309" s="39" t="str">
        <v>ЩС-ВК.003</v>
      </c>
      <c r="B309" s="42">
        <v>19</v>
      </c>
      <c r="C309" s="42">
        <v>2</v>
      </c>
      <c r="D309" s="75" t="str">
        <v/>
      </c>
      <c r="E309" s="75" t="str">
        <v>авто</v>
      </c>
      <c r="F309" s="76" t="str">
        <v/>
      </c>
      <c r="G309" s="47" t="str">
        <v>QF2</v>
      </c>
      <c r="H309" s="47" t="str">
        <v>1P С16А</v>
      </c>
      <c r="I309" s="75" t="str">
        <v/>
      </c>
      <c r="J309" s="76" t="str">
        <v/>
      </c>
      <c r="K309" s="76" t="str">
        <v/>
      </c>
      <c r="L309" s="75" t="str">
        <v/>
      </c>
      <c r="M309" s="49" t="str">
        <v/>
      </c>
      <c r="N309" s="76" t="str">
        <v/>
      </c>
      <c r="O309" s="49" t="str">
        <v/>
      </c>
      <c r="P309" s="77" t="str">
        <v>XT2</v>
      </c>
      <c r="Q309" s="53" t="str">
        <v>ВВГнг(А)-LS (3х2,5) L=15-0,31%</v>
      </c>
      <c r="R309" s="54" t="str">
        <v>НВК.00.006Т.1</v>
      </c>
      <c r="S309" s="55" t="str">
        <v>Насос дренажный, пом. 006Т</v>
      </c>
      <c r="T309" s="56">
        <v>0.6</v>
      </c>
      <c r="U309" s="56">
        <v>3.25</v>
      </c>
      <c r="V309" s="42" t="str">
        <v>L3</v>
      </c>
      <c r="W309" s="57" t="str">
        <v>ok</v>
      </c>
      <c r="X309" s="58" t="str">
        <v/>
      </c>
      <c r="Y309" s="75" t="str">
        <v/>
      </c>
      <c r="Z309" s="59">
        <v>3.2475952641916441</v>
      </c>
      <c r="AA309" s="61">
        <v>6</v>
      </c>
      <c r="AB309" s="61">
        <v>25</v>
      </c>
      <c r="AC309" s="61" t="str">
        <v/>
      </c>
      <c r="AD309" s="62" t="str">
        <v>QF2 → XT2</v>
      </c>
      <c r="AE309" s="62" t="str">
        <v/>
      </c>
      <c r="AF309" s="34">
        <v>2</v>
      </c>
      <c r="AG309" s="34" t="str">
        <v>QF2</v>
      </c>
      <c r="AH309" s="34" t="str">
        <v/>
      </c>
      <c r="AI309" s="34" t="str">
        <v/>
      </c>
      <c r="AJ309" s="34" t="str">
        <v>QF2</v>
      </c>
      <c r="AK309" s="34">
        <v>1</v>
      </c>
      <c r="AL309" s="34" t="str">
        <v>НВК</v>
      </c>
      <c r="AM309" s="34">
        <v>0</v>
      </c>
      <c r="AN309" s="34">
        <v>0</v>
      </c>
      <c r="AO309" s="34">
        <v>6</v>
      </c>
      <c r="AP309" s="34">
        <v>25</v>
      </c>
      <c r="AQ309" s="34">
        <v>16</v>
      </c>
      <c r="AR309" s="34">
        <v>1</v>
      </c>
      <c r="AS309" s="34">
        <v>0</v>
      </c>
      <c r="AT309" s="34" t="str">
        <v>1P</v>
      </c>
      <c r="AU309" s="34">
        <v>16</v>
      </c>
      <c r="AV309" s="34" t="str">
        <v/>
      </c>
      <c r="AW309" s="34" t="str">
        <v/>
      </c>
      <c r="AX309" s="34" t="str">
        <v/>
      </c>
      <c r="AY309" s="34">
        <v>1</v>
      </c>
      <c r="AZ309" s="34" t="str">
        <v/>
      </c>
      <c r="BA309" s="34">
        <v>0</v>
      </c>
      <c r="BB309" s="34">
        <v>0</v>
      </c>
      <c r="BD309" s="34">
        <v>1</v>
      </c>
      <c r="BE309" s="34">
        <v>0</v>
      </c>
      <c r="BF309" s="34">
        <v>0</v>
      </c>
      <c r="BG309" s="34" t="str">
        <v/>
      </c>
      <c r="BH309" s="34" t="str">
        <v/>
      </c>
      <c r="BI309" s="34" t="str">
        <v/>
      </c>
      <c r="BJ309" s="34" t="str">
        <v/>
      </c>
      <c r="BK309" s="34" t="str">
        <v>BOX</v>
      </c>
      <c r="BL309" s="34">
        <v>1</v>
      </c>
      <c r="BM309" s="34" t="str">
        <v/>
      </c>
      <c r="BN309" s="34" t="str">
        <v/>
      </c>
      <c r="BO309" s="34" t="str">
        <v/>
      </c>
      <c r="BP309" s="34" t="str">
        <v/>
      </c>
      <c r="BQ309" s="34" t="str">
        <v>3х2,5</v>
      </c>
      <c r="BR309" s="34" t="str">
        <v/>
      </c>
      <c r="BS309" s="34" t="str">
        <v/>
      </c>
      <c r="BT309" s="34" t="str">
        <v/>
      </c>
      <c r="BU309" s="34">
        <v>0</v>
      </c>
      <c r="BV309" s="34">
        <v>330</v>
      </c>
      <c r="BW309" s="34">
        <v>1</v>
      </c>
      <c r="BX309" s="34">
        <v>0</v>
      </c>
      <c r="BY309" s="34">
        <v>0</v>
      </c>
      <c r="BZ309">
        <v>15</v>
      </c>
      <c r="CA309" t="str">
        <v>линии</v>
      </c>
    </row>
    <row r="310" spans="1:79" x14ac:dyDescent="0.3">
      <c r="A310" s="39" t="str">
        <v>ЩС-ВК.003</v>
      </c>
      <c r="B310" s="42">
        <v>20</v>
      </c>
      <c r="C310" s="42">
        <v>2</v>
      </c>
      <c r="D310" s="75" t="str">
        <v/>
      </c>
      <c r="E310" s="75" t="str">
        <v>авто</v>
      </c>
      <c r="F310" s="76" t="str">
        <v/>
      </c>
      <c r="G310" s="47" t="str">
        <v>QF3</v>
      </c>
      <c r="H310" s="47" t="str">
        <v>1P С16А</v>
      </c>
      <c r="I310" s="75" t="str">
        <v/>
      </c>
      <c r="J310" s="76" t="str">
        <v/>
      </c>
      <c r="K310" s="76" t="str">
        <v/>
      </c>
      <c r="L310" s="75" t="str">
        <v/>
      </c>
      <c r="M310" s="49" t="str">
        <v/>
      </c>
      <c r="N310" s="76" t="str">
        <v/>
      </c>
      <c r="O310" s="49" t="str">
        <v/>
      </c>
      <c r="P310" s="77" t="str">
        <v>XT3</v>
      </c>
      <c r="Q310" s="53" t="str">
        <v>ВВГнг(А)-LS (3х2,5) L=12-1,03%</v>
      </c>
      <c r="R310" s="54" t="str">
        <v>ЖУ.1</v>
      </c>
      <c r="S310" s="55" t="str">
        <v>Жироулавливатель Подвальный этаж Пом. №006Т</v>
      </c>
      <c r="T310" s="56">
        <v>2.5</v>
      </c>
      <c r="U310" s="56">
        <v>13.54</v>
      </c>
      <c r="V310" s="42" t="str">
        <v>L3</v>
      </c>
      <c r="W310" s="57" t="str">
        <v>ok</v>
      </c>
      <c r="X310" s="58" t="str">
        <v/>
      </c>
      <c r="Y310" s="75" t="str">
        <v/>
      </c>
      <c r="Z310" s="59">
        <v>13.531646934131851</v>
      </c>
      <c r="AA310" s="61">
        <v>16</v>
      </c>
      <c r="AB310" s="61">
        <v>25</v>
      </c>
      <c r="AC310" s="61" t="str">
        <v/>
      </c>
      <c r="AD310" s="62" t="str">
        <v>QF3 → XT3</v>
      </c>
      <c r="AE310" s="62" t="str">
        <v>потери 4,5 % &gt; 4 %</v>
      </c>
      <c r="AF310" s="34">
        <v>3</v>
      </c>
      <c r="AG310" s="34" t="str">
        <v>QF3</v>
      </c>
      <c r="AH310" s="34" t="str">
        <v/>
      </c>
      <c r="AI310" s="34" t="str">
        <v/>
      </c>
      <c r="AJ310" s="34" t="str">
        <v>QF3</v>
      </c>
      <c r="AK310" s="34">
        <v>1</v>
      </c>
      <c r="AL310" s="34" t="str">
        <v>ЖУ</v>
      </c>
      <c r="AM310" s="34">
        <v>0</v>
      </c>
      <c r="AN310" s="34">
        <v>0</v>
      </c>
      <c r="AO310" s="34">
        <v>16</v>
      </c>
      <c r="AP310" s="34">
        <v>25</v>
      </c>
      <c r="AQ310" s="34">
        <v>16</v>
      </c>
      <c r="AR310" s="34">
        <v>1</v>
      </c>
      <c r="AS310" s="34">
        <v>0</v>
      </c>
      <c r="AT310" s="34" t="str">
        <v>1P</v>
      </c>
      <c r="AU310" s="34">
        <v>16</v>
      </c>
      <c r="AV310" s="34" t="str">
        <v/>
      </c>
      <c r="AW310" s="34" t="str">
        <v/>
      </c>
      <c r="AX310" s="34" t="str">
        <v/>
      </c>
      <c r="AY310" s="34">
        <v>1</v>
      </c>
      <c r="AZ310" s="34" t="str">
        <v/>
      </c>
      <c r="BA310" s="34">
        <v>0</v>
      </c>
      <c r="BB310" s="34">
        <v>0</v>
      </c>
      <c r="BD310" s="34">
        <v>1</v>
      </c>
      <c r="BE310" s="34">
        <v>0</v>
      </c>
      <c r="BF310" s="34">
        <v>0</v>
      </c>
      <c r="BG310" s="34" t="str">
        <v/>
      </c>
      <c r="BH310" s="34" t="str">
        <v/>
      </c>
      <c r="BI310" s="34" t="str">
        <v/>
      </c>
      <c r="BJ310" s="34" t="str">
        <v/>
      </c>
      <c r="BK310" s="34" t="str">
        <v>BOX</v>
      </c>
      <c r="BL310" s="34">
        <v>1</v>
      </c>
      <c r="BM310" s="34" t="str">
        <v/>
      </c>
      <c r="BN310" s="34" t="str">
        <v/>
      </c>
      <c r="BO310" s="34" t="str">
        <v/>
      </c>
      <c r="BP310" s="34" t="str">
        <v/>
      </c>
      <c r="BQ310" s="34" t="str">
        <v>3х2,5</v>
      </c>
      <c r="BR310" s="34" t="str">
        <v/>
      </c>
      <c r="BS310" s="34" t="str">
        <v/>
      </c>
      <c r="BT310" s="34" t="str">
        <v/>
      </c>
      <c r="BU310" s="34">
        <v>1</v>
      </c>
      <c r="BV310" s="34">
        <v>331</v>
      </c>
      <c r="BW310" s="34">
        <v>1</v>
      </c>
      <c r="BX310" s="34">
        <v>0</v>
      </c>
      <c r="BY310" s="34">
        <v>0</v>
      </c>
      <c r="BZ310">
        <v>15</v>
      </c>
      <c r="CA310" t="str">
        <v>линии</v>
      </c>
    </row>
    <row r="311" spans="1:79" x14ac:dyDescent="0.3">
      <c r="A311" s="39" t="str">
        <v>ЩС-ВК.003</v>
      </c>
      <c r="B311" s="42">
        <v>21</v>
      </c>
      <c r="C311" s="42">
        <v>2</v>
      </c>
      <c r="D311" s="75" t="str">
        <v/>
      </c>
      <c r="E311" s="75" t="str">
        <v>авто</v>
      </c>
      <c r="F311" s="76">
        <v>30</v>
      </c>
      <c r="G311" s="47" t="str">
        <v>QFD4</v>
      </c>
      <c r="H311" s="47" t="str">
        <v>2P С16А 30мА</v>
      </c>
      <c r="I311" s="75" t="str">
        <v/>
      </c>
      <c r="J311" s="76" t="str">
        <v/>
      </c>
      <c r="K311" s="76" t="str">
        <v/>
      </c>
      <c r="L311" s="75" t="str">
        <v/>
      </c>
      <c r="M311" s="49" t="str">
        <v/>
      </c>
      <c r="N311" s="76" t="str">
        <v/>
      </c>
      <c r="O311" s="49" t="str">
        <v/>
      </c>
      <c r="P311" s="77" t="str">
        <v>XT4</v>
      </c>
      <c r="Q311" s="53" t="str">
        <v>ВВГнг(А)-LS (3х2,5) L=31-0,68%</v>
      </c>
      <c r="R311" s="54" t="str">
        <v>R.00.002Б.3</v>
      </c>
      <c r="S311" s="55" t="str">
        <v>Сололифт Подвальный этаж Пом. №002Б</v>
      </c>
      <c r="T311" s="56">
        <v>0.64</v>
      </c>
      <c r="U311" s="56">
        <v>3.4699999999999998</v>
      </c>
      <c r="V311" s="42" t="str">
        <v>L3</v>
      </c>
      <c r="W311" s="57" t="str">
        <v>ok</v>
      </c>
      <c r="X311" s="58" t="str">
        <v/>
      </c>
      <c r="Y311" s="75" t="str">
        <v/>
      </c>
      <c r="Z311" s="59">
        <v>3.4641016151377539</v>
      </c>
      <c r="AA311" s="61">
        <v>16</v>
      </c>
      <c r="AB311" s="61">
        <v>25</v>
      </c>
      <c r="AC311" s="61" t="str">
        <v/>
      </c>
      <c r="AD311" s="62" t="str">
        <v>QFD4 → XT4</v>
      </c>
      <c r="AE311" s="62" t="str">
        <v>потери 4,1 % &gt; 4 %</v>
      </c>
      <c r="AF311" s="34">
        <v>4</v>
      </c>
      <c r="AG311" s="34" t="str">
        <v>QFD4</v>
      </c>
      <c r="AH311" s="34" t="str">
        <v/>
      </c>
      <c r="AI311" s="34" t="str">
        <v/>
      </c>
      <c r="AJ311" s="34" t="str">
        <v>QFD4</v>
      </c>
      <c r="AK311" s="34">
        <v>1</v>
      </c>
      <c r="AL311" s="34" t="str">
        <v>R</v>
      </c>
      <c r="AM311" s="34">
        <v>30</v>
      </c>
      <c r="AN311" s="34">
        <v>0</v>
      </c>
      <c r="AO311" s="34">
        <v>16</v>
      </c>
      <c r="AP311" s="34">
        <v>25</v>
      </c>
      <c r="AQ311" s="34">
        <v>16</v>
      </c>
      <c r="AR311" s="34">
        <v>1</v>
      </c>
      <c r="AS311" s="34">
        <v>1</v>
      </c>
      <c r="AT311" s="34" t="str">
        <v>2P</v>
      </c>
      <c r="AU311" s="34">
        <v>16</v>
      </c>
      <c r="AV311" s="34" t="str">
        <v/>
      </c>
      <c r="AW311" s="34" t="str">
        <v/>
      </c>
      <c r="AX311" s="34" t="str">
        <v/>
      </c>
      <c r="AY311" s="34">
        <v>1</v>
      </c>
      <c r="AZ311" s="34" t="str">
        <v/>
      </c>
      <c r="BA311" s="34">
        <v>0</v>
      </c>
      <c r="BB311" s="34">
        <v>16</v>
      </c>
      <c r="BD311" s="34">
        <v>1</v>
      </c>
      <c r="BE311" s="34">
        <v>0</v>
      </c>
      <c r="BF311" s="34">
        <v>1</v>
      </c>
      <c r="BG311" s="34" t="str">
        <v/>
      </c>
      <c r="BH311" s="34" t="str">
        <v/>
      </c>
      <c r="BI311" s="34" t="str">
        <v/>
      </c>
      <c r="BJ311" s="34" t="str">
        <v/>
      </c>
      <c r="BK311" s="34" t="str">
        <v>SOCKET</v>
      </c>
      <c r="BL311" s="34">
        <v>1</v>
      </c>
      <c r="BM311" s="34" t="str">
        <v/>
      </c>
      <c r="BN311" s="34" t="str">
        <v/>
      </c>
      <c r="BO311" s="34" t="str">
        <v/>
      </c>
      <c r="BP311" s="34" t="str">
        <v/>
      </c>
      <c r="BQ311" s="34" t="str">
        <v>3х2,5</v>
      </c>
      <c r="BR311" s="34" t="str">
        <v/>
      </c>
      <c r="BS311" s="34" t="str">
        <v/>
      </c>
      <c r="BT311" s="34" t="str">
        <v/>
      </c>
      <c r="BU311" s="34">
        <v>1</v>
      </c>
      <c r="BV311" s="34">
        <v>332</v>
      </c>
      <c r="BW311" s="34">
        <v>1</v>
      </c>
      <c r="BX311" s="34">
        <v>0</v>
      </c>
      <c r="BY311" s="34" t="str">
        <v>Розетка</v>
      </c>
      <c r="BZ311">
        <v>15</v>
      </c>
      <c r="CA311" t="str">
        <v>линии</v>
      </c>
    </row>
    <row r="312" spans="1:79" x14ac:dyDescent="0.3">
      <c r="A312" s="39" t="str">
        <v>ЩСПЗ-ЖД</v>
      </c>
      <c r="B312" s="42">
        <v>2</v>
      </c>
      <c r="C312" s="42">
        <v>1</v>
      </c>
      <c r="D312" s="75" t="str">
        <v/>
      </c>
      <c r="E312" s="75" t="str">
        <v>авто</v>
      </c>
      <c r="F312" s="76" t="str">
        <v/>
      </c>
      <c r="G312" s="47" t="str">
        <v/>
      </c>
      <c r="H312" s="47" t="str">
        <v>3P С16А</v>
      </c>
      <c r="I312" s="75" t="str">
        <v/>
      </c>
      <c r="J312" s="76" t="str">
        <v/>
      </c>
      <c r="K312" s="76" t="str">
        <v/>
      </c>
      <c r="L312" s="75" t="str">
        <v/>
      </c>
      <c r="M312" s="49" t="str">
        <v/>
      </c>
      <c r="N312" s="76" t="str">
        <v/>
      </c>
      <c r="O312" s="49" t="str">
        <v/>
      </c>
      <c r="P312" s="77" t="str">
        <v/>
      </c>
      <c r="Q312" s="53" t="str">
        <v>ВВГнг(А)-FRLS (5х2,5) L=16-0,22%</v>
      </c>
      <c r="R312" s="54" t="str">
        <v>Ввод.1</v>
      </c>
      <c r="S312" s="55" t="str">
        <v>Вводной кабель №1</v>
      </c>
      <c r="T312" s="56">
        <v>0</v>
      </c>
      <c r="U312" s="56">
        <v>3.65</v>
      </c>
      <c r="V312" s="42" t="str">
        <v>L1,L2,L3</v>
      </c>
      <c r="W312" s="57" t="str">
        <v>ok</v>
      </c>
      <c r="X312" s="58" t="str">
        <v/>
      </c>
      <c r="Y312" s="75" t="str">
        <v>вручную</v>
      </c>
      <c r="Z312" s="59">
        <v>3.646422752776584</v>
      </c>
      <c r="AA312" s="61">
        <v>6</v>
      </c>
      <c r="AB312" s="61">
        <v>20</v>
      </c>
      <c r="AC312" s="61" t="str">
        <v/>
      </c>
      <c r="AD312" s="62" t="str">
        <v/>
      </c>
      <c r="AE312" s="62" t="str">
        <v/>
      </c>
      <c r="AF312" s="34" t="str">
        <v/>
      </c>
      <c r="AG312" s="34" t="str">
        <v/>
      </c>
      <c r="AH312" s="34" t="str">
        <v/>
      </c>
      <c r="AI312" s="34" t="str">
        <v/>
      </c>
      <c r="AJ312" s="34" t="str">
        <v/>
      </c>
      <c r="AK312" s="34">
        <v>3</v>
      </c>
      <c r="AL312" s="34" t="str">
        <v>Ввод</v>
      </c>
      <c r="AM312" s="34">
        <v>0</v>
      </c>
      <c r="AN312" s="34">
        <v>0</v>
      </c>
      <c r="AO312" s="34">
        <v>6</v>
      </c>
      <c r="AP312" s="34">
        <v>20</v>
      </c>
      <c r="AQ312" s="34">
        <v>16</v>
      </c>
      <c r="AR312" s="34">
        <v>3</v>
      </c>
      <c r="AS312" s="34">
        <v>0</v>
      </c>
      <c r="AT312" s="34" t="str">
        <v>3P</v>
      </c>
      <c r="AU312" s="34">
        <v>16</v>
      </c>
      <c r="AV312" s="34" t="str">
        <v/>
      </c>
      <c r="AW312" s="34" t="str">
        <v/>
      </c>
      <c r="AX312" s="34" t="str">
        <v/>
      </c>
      <c r="AY312" s="34">
        <v>0</v>
      </c>
      <c r="AZ312" s="34" t="str">
        <v/>
      </c>
      <c r="BA312" s="34">
        <v>0</v>
      </c>
      <c r="BB312" s="34">
        <v>0</v>
      </c>
      <c r="BD312" s="34">
        <v>0</v>
      </c>
      <c r="BE312" s="34">
        <v>0</v>
      </c>
      <c r="BF312" s="34">
        <v>0</v>
      </c>
      <c r="BG312" s="34" t="str">
        <v/>
      </c>
      <c r="BH312" s="34" t="str">
        <v/>
      </c>
      <c r="BI312" s="34" t="str">
        <v/>
      </c>
      <c r="BJ312" s="34" t="str">
        <v/>
      </c>
      <c r="BK312" s="34" t="str">
        <v>BOX</v>
      </c>
      <c r="BL312" s="34">
        <v>1</v>
      </c>
      <c r="BM312" s="34" t="str">
        <v/>
      </c>
      <c r="BN312" s="34" t="str">
        <v/>
      </c>
      <c r="BO312" s="34" t="str">
        <v/>
      </c>
      <c r="BP312" s="34" t="str">
        <v/>
      </c>
      <c r="BQ312" s="34" t="str">
        <v/>
      </c>
      <c r="BR312" s="34" t="str">
        <v/>
      </c>
      <c r="BS312" s="34" t="str">
        <v/>
      </c>
      <c r="BT312" s="34" t="str">
        <v/>
      </c>
      <c r="BU312" s="34">
        <v>0</v>
      </c>
      <c r="BV312" s="34">
        <v>333</v>
      </c>
      <c r="BW312" s="34">
        <v>0</v>
      </c>
      <c r="BX312" s="34">
        <v>0</v>
      </c>
      <c r="BY312" s="34">
        <v>0</v>
      </c>
      <c r="BZ312">
        <v>16</v>
      </c>
      <c r="CA312" t="str">
        <v>вводной узел</v>
      </c>
    </row>
    <row r="313" spans="1:79" x14ac:dyDescent="0.3">
      <c r="A313" s="39" t="str">
        <v>ЩСПЗ-ЖД</v>
      </c>
      <c r="B313" s="42">
        <v>3</v>
      </c>
      <c r="C313" s="42">
        <v>1</v>
      </c>
      <c r="D313" s="75" t="str">
        <v/>
      </c>
      <c r="E313" s="75" t="str">
        <v>авто</v>
      </c>
      <c r="F313" s="76" t="str">
        <v/>
      </c>
      <c r="G313" s="47" t="str">
        <v/>
      </c>
      <c r="H313" s="47" t="str">
        <v>3P С16А</v>
      </c>
      <c r="I313" s="75" t="str">
        <v/>
      </c>
      <c r="J313" s="76" t="str">
        <v/>
      </c>
      <c r="K313" s="76" t="str">
        <v/>
      </c>
      <c r="L313" s="75" t="str">
        <v/>
      </c>
      <c r="M313" s="49" t="str">
        <v/>
      </c>
      <c r="N313" s="76" t="str">
        <v/>
      </c>
      <c r="O313" s="49" t="str">
        <v/>
      </c>
      <c r="P313" s="77" t="str">
        <v/>
      </c>
      <c r="Q313" s="53" t="str">
        <v>ВВГнг(А)-FRLS (5х2,5) L=16-0,22%</v>
      </c>
      <c r="R313" s="54" t="str">
        <v>Ввод.2</v>
      </c>
      <c r="S313" s="55" t="str">
        <v>Вводной кабель №2</v>
      </c>
      <c r="T313" s="56">
        <v>0</v>
      </c>
      <c r="U313" s="56">
        <v>3.65</v>
      </c>
      <c r="V313" s="42" t="str">
        <v>L1,L2,L3</v>
      </c>
      <c r="W313" s="57" t="str">
        <v>ok</v>
      </c>
      <c r="X313" s="58" t="str">
        <v/>
      </c>
      <c r="Y313" s="75" t="str">
        <v>вручную</v>
      </c>
      <c r="Z313" s="59">
        <v>3.646422752776584</v>
      </c>
      <c r="AA313" s="61">
        <v>6</v>
      </c>
      <c r="AB313" s="61">
        <v>20</v>
      </c>
      <c r="AC313" s="61" t="str">
        <v/>
      </c>
      <c r="AD313" s="62" t="str">
        <v/>
      </c>
      <c r="AE313" s="62" t="str">
        <v/>
      </c>
      <c r="AF313" s="34" t="str">
        <v/>
      </c>
      <c r="AG313" s="34" t="str">
        <v/>
      </c>
      <c r="AH313" s="34" t="str">
        <v/>
      </c>
      <c r="AI313" s="34" t="str">
        <v/>
      </c>
      <c r="AJ313" s="34" t="str">
        <v/>
      </c>
      <c r="AK313" s="34">
        <v>3</v>
      </c>
      <c r="AL313" s="34" t="str">
        <v>Ввод</v>
      </c>
      <c r="AM313" s="34">
        <v>0</v>
      </c>
      <c r="AN313" s="34">
        <v>0</v>
      </c>
      <c r="AO313" s="34">
        <v>6</v>
      </c>
      <c r="AP313" s="34">
        <v>20</v>
      </c>
      <c r="AQ313" s="34">
        <v>16</v>
      </c>
      <c r="AR313" s="34">
        <v>3</v>
      </c>
      <c r="AS313" s="34">
        <v>0</v>
      </c>
      <c r="AT313" s="34" t="str">
        <v>3P</v>
      </c>
      <c r="AU313" s="34">
        <v>16</v>
      </c>
      <c r="AV313" s="34" t="str">
        <v/>
      </c>
      <c r="AW313" s="34" t="str">
        <v/>
      </c>
      <c r="AX313" s="34" t="str">
        <v/>
      </c>
      <c r="AY313" s="34">
        <v>0</v>
      </c>
      <c r="AZ313" s="34" t="str">
        <v/>
      </c>
      <c r="BA313" s="34">
        <v>0</v>
      </c>
      <c r="BB313" s="34">
        <v>0</v>
      </c>
      <c r="BD313" s="34">
        <v>0</v>
      </c>
      <c r="BE313" s="34">
        <v>0</v>
      </c>
      <c r="BF313" s="34">
        <v>0</v>
      </c>
      <c r="BG313" s="34" t="str">
        <v/>
      </c>
      <c r="BH313" s="34" t="str">
        <v/>
      </c>
      <c r="BI313" s="34" t="str">
        <v/>
      </c>
      <c r="BJ313" s="34" t="str">
        <v/>
      </c>
      <c r="BK313" s="34" t="str">
        <v>BOX</v>
      </c>
      <c r="BL313" s="34">
        <v>1</v>
      </c>
      <c r="BM313" s="34" t="str">
        <v/>
      </c>
      <c r="BN313" s="34" t="str">
        <v/>
      </c>
      <c r="BO313" s="34" t="str">
        <v/>
      </c>
      <c r="BP313" s="34" t="str">
        <v/>
      </c>
      <c r="BQ313" s="34" t="str">
        <v/>
      </c>
      <c r="BR313" s="34" t="str">
        <v/>
      </c>
      <c r="BS313" s="34" t="str">
        <v/>
      </c>
      <c r="BT313" s="34" t="str">
        <v/>
      </c>
      <c r="BU313" s="34">
        <v>0</v>
      </c>
      <c r="BV313" s="34">
        <v>334</v>
      </c>
      <c r="BW313" s="34">
        <v>0</v>
      </c>
      <c r="BX313" s="34">
        <v>0</v>
      </c>
      <c r="BY313" s="34">
        <v>0</v>
      </c>
      <c r="BZ313">
        <v>16</v>
      </c>
      <c r="CA313" t="str">
        <v>вводной узел</v>
      </c>
    </row>
    <row r="314" spans="1:79" x14ac:dyDescent="0.3">
      <c r="A314" s="39" t="str">
        <v>ЩСПЗ-ЖД</v>
      </c>
      <c r="B314" s="42">
        <v>18</v>
      </c>
      <c r="C314" s="42">
        <v>2</v>
      </c>
      <c r="D314" s="75" t="str">
        <v/>
      </c>
      <c r="E314" s="75" t="str">
        <v>авто</v>
      </c>
      <c r="F314" s="76" t="str">
        <v/>
      </c>
      <c r="G314" s="47" t="str">
        <v>QF1</v>
      </c>
      <c r="H314" s="47" t="str">
        <v>1P С16А</v>
      </c>
      <c r="I314" s="75" t="str">
        <v/>
      </c>
      <c r="J314" s="76" t="str">
        <v/>
      </c>
      <c r="K314" s="76" t="str">
        <v/>
      </c>
      <c r="L314" s="75" t="str">
        <v/>
      </c>
      <c r="M314" s="49" t="str">
        <v/>
      </c>
      <c r="N314" s="76" t="str">
        <v/>
      </c>
      <c r="O314" s="49" t="str">
        <v/>
      </c>
      <c r="P314" s="77" t="str">
        <v>XT1</v>
      </c>
      <c r="Q314" s="53" t="str">
        <v>ВВГнг(А)-FRLS (3х2,5) L=46-0,63%</v>
      </c>
      <c r="R314" s="54" t="str">
        <v>FCP1-2</v>
      </c>
      <c r="S314" s="55" t="str">
        <v>шкаф пожарной сигнализации  Подвальный этаж Пом. №007Т</v>
      </c>
      <c r="T314" s="56">
        <v>0.4</v>
      </c>
      <c r="U314" s="56">
        <v>1.83</v>
      </c>
      <c r="V314" s="42" t="str">
        <v>L1</v>
      </c>
      <c r="W314" s="57" t="str">
        <v>ok</v>
      </c>
      <c r="X314" s="58" t="str">
        <v/>
      </c>
      <c r="Y314" s="75" t="str">
        <v/>
      </c>
      <c r="Z314" s="59">
        <v>1.823211376388292</v>
      </c>
      <c r="AA314" s="61">
        <v>6</v>
      </c>
      <c r="AB314" s="61">
        <v>25</v>
      </c>
      <c r="AC314" s="61" t="str">
        <v/>
      </c>
      <c r="AD314" s="62" t="str">
        <v>QF1 → XT1</v>
      </c>
      <c r="AE314" s="62" t="str">
        <v/>
      </c>
      <c r="AF314" s="34">
        <v>1</v>
      </c>
      <c r="AG314" s="34" t="str">
        <v>QF1</v>
      </c>
      <c r="AH314" s="34" t="str">
        <v/>
      </c>
      <c r="AI314" s="34" t="str">
        <v/>
      </c>
      <c r="AJ314" s="34" t="str">
        <v>QF1</v>
      </c>
      <c r="AK314" s="34">
        <v>1</v>
      </c>
      <c r="AL314" s="34" t="str">
        <v>FCP1-2</v>
      </c>
      <c r="AM314" s="34">
        <v>0</v>
      </c>
      <c r="AN314" s="34">
        <v>0</v>
      </c>
      <c r="AO314" s="34">
        <v>6</v>
      </c>
      <c r="AP314" s="34">
        <v>25</v>
      </c>
      <c r="AQ314" s="34">
        <v>16</v>
      </c>
      <c r="AR314" s="34">
        <v>1</v>
      </c>
      <c r="AS314" s="34">
        <v>0</v>
      </c>
      <c r="AT314" s="34" t="str">
        <v>1P</v>
      </c>
      <c r="AU314" s="34">
        <v>16</v>
      </c>
      <c r="AV314" s="34" t="str">
        <v/>
      </c>
      <c r="AW314" s="34" t="str">
        <v/>
      </c>
      <c r="AX314" s="34" t="str">
        <v/>
      </c>
      <c r="AY314" s="34">
        <v>1</v>
      </c>
      <c r="AZ314" s="34" t="str">
        <v/>
      </c>
      <c r="BA314" s="34">
        <v>0</v>
      </c>
      <c r="BB314" s="34">
        <v>0</v>
      </c>
      <c r="BD314" s="34">
        <v>1</v>
      </c>
      <c r="BE314" s="34">
        <v>0</v>
      </c>
      <c r="BF314" s="34">
        <v>0</v>
      </c>
      <c r="BG314" s="34" t="str">
        <v/>
      </c>
      <c r="BH314" s="34" t="str">
        <v/>
      </c>
      <c r="BI314" s="34" t="str">
        <v/>
      </c>
      <c r="BJ314" s="34" t="str">
        <v/>
      </c>
      <c r="BK314" s="34" t="str">
        <v>BOX</v>
      </c>
      <c r="BL314" s="34">
        <v>1</v>
      </c>
      <c r="BM314" s="34" t="str">
        <v/>
      </c>
      <c r="BN314" s="34" t="str">
        <v/>
      </c>
      <c r="BO314" s="34" t="str">
        <v/>
      </c>
      <c r="BP314" s="34" t="str">
        <v/>
      </c>
      <c r="BQ314" s="34" t="str">
        <v>3х2,5</v>
      </c>
      <c r="BR314" s="34" t="str">
        <v/>
      </c>
      <c r="BS314" s="34" t="str">
        <v/>
      </c>
      <c r="BT314" s="34" t="str">
        <v/>
      </c>
      <c r="BU314" s="34">
        <v>0</v>
      </c>
      <c r="BV314" s="34">
        <v>335</v>
      </c>
      <c r="BW314" s="34">
        <v>1</v>
      </c>
      <c r="BX314" s="34">
        <v>0</v>
      </c>
      <c r="BY314" s="34" t="str">
        <v/>
      </c>
      <c r="BZ314">
        <v>16</v>
      </c>
      <c r="CA314" t="str">
        <v>линии</v>
      </c>
    </row>
    <row r="315" spans="1:79" x14ac:dyDescent="0.3">
      <c r="A315" s="39" t="str">
        <v>ЩСПЗ-ЖД</v>
      </c>
      <c r="B315" s="42">
        <v>19</v>
      </c>
      <c r="C315" s="42">
        <v>2</v>
      </c>
      <c r="D315" s="75" t="str">
        <v/>
      </c>
      <c r="E315" s="75" t="str">
        <v>авто</v>
      </c>
      <c r="F315" s="76" t="str">
        <v/>
      </c>
      <c r="G315" s="47" t="str">
        <v>QF2</v>
      </c>
      <c r="H315" s="47" t="str">
        <v>1P С16А</v>
      </c>
      <c r="I315" s="75" t="str">
        <v/>
      </c>
      <c r="J315" s="76" t="str">
        <v/>
      </c>
      <c r="K315" s="76" t="str">
        <v/>
      </c>
      <c r="L315" s="75" t="str">
        <v/>
      </c>
      <c r="M315" s="49" t="str">
        <v/>
      </c>
      <c r="N315" s="76" t="str">
        <v/>
      </c>
      <c r="O315" s="49" t="str">
        <v/>
      </c>
      <c r="P315" s="77" t="str">
        <v>XT2</v>
      </c>
      <c r="Q315" s="53" t="str">
        <v>ВВГнг(А)-FRLS (3х2,5) L=31-0,43%</v>
      </c>
      <c r="R315" s="54" t="str">
        <v>ENC1-11</v>
      </c>
      <c r="S315" s="55" t="str">
        <v>шкаф системы оповещения и управления эвакуацией Цокольный этаж Пом. №002Т</v>
      </c>
      <c r="T315" s="56">
        <v>0.4</v>
      </c>
      <c r="U315" s="56">
        <v>1.83</v>
      </c>
      <c r="V315" s="42" t="str">
        <v>L2</v>
      </c>
      <c r="W315" s="57" t="str">
        <v>ok</v>
      </c>
      <c r="X315" s="58" t="str">
        <v/>
      </c>
      <c r="Y315" s="75" t="str">
        <v/>
      </c>
      <c r="Z315" s="59">
        <v>1.823211376388292</v>
      </c>
      <c r="AA315" s="61">
        <v>6</v>
      </c>
      <c r="AB315" s="61">
        <v>25</v>
      </c>
      <c r="AC315" s="61" t="str">
        <v/>
      </c>
      <c r="AD315" s="62" t="str">
        <v>QF2 → XT2</v>
      </c>
      <c r="AE315" s="62" t="str">
        <v/>
      </c>
      <c r="AF315" s="34">
        <v>2</v>
      </c>
      <c r="AG315" s="34" t="str">
        <v>QF2</v>
      </c>
      <c r="AH315" s="34" t="str">
        <v/>
      </c>
      <c r="AI315" s="34" t="str">
        <v/>
      </c>
      <c r="AJ315" s="34" t="str">
        <v>QF2</v>
      </c>
      <c r="AK315" s="34">
        <v>1</v>
      </c>
      <c r="AL315" s="34" t="str">
        <v>ENC1-11</v>
      </c>
      <c r="AM315" s="34">
        <v>0</v>
      </c>
      <c r="AN315" s="34">
        <v>0</v>
      </c>
      <c r="AO315" s="34">
        <v>6</v>
      </c>
      <c r="AP315" s="34">
        <v>25</v>
      </c>
      <c r="AQ315" s="34">
        <v>16</v>
      </c>
      <c r="AR315" s="34">
        <v>1</v>
      </c>
      <c r="AS315" s="34">
        <v>0</v>
      </c>
      <c r="AT315" s="34" t="str">
        <v>1P</v>
      </c>
      <c r="AU315" s="34">
        <v>16</v>
      </c>
      <c r="AV315" s="34" t="str">
        <v/>
      </c>
      <c r="AW315" s="34" t="str">
        <v/>
      </c>
      <c r="AX315" s="34" t="str">
        <v/>
      </c>
      <c r="AY315" s="34">
        <v>1</v>
      </c>
      <c r="AZ315" s="34" t="str">
        <v/>
      </c>
      <c r="BA315" s="34">
        <v>0</v>
      </c>
      <c r="BB315" s="34">
        <v>0</v>
      </c>
      <c r="BD315" s="34">
        <v>1</v>
      </c>
      <c r="BE315" s="34">
        <v>0</v>
      </c>
      <c r="BF315" s="34">
        <v>0</v>
      </c>
      <c r="BG315" s="34" t="str">
        <v/>
      </c>
      <c r="BH315" s="34" t="str">
        <v/>
      </c>
      <c r="BI315" s="34" t="str">
        <v/>
      </c>
      <c r="BJ315" s="34" t="str">
        <v/>
      </c>
      <c r="BK315" s="34" t="str">
        <v>BOX</v>
      </c>
      <c r="BL315" s="34">
        <v>1</v>
      </c>
      <c r="BM315" s="34" t="str">
        <v/>
      </c>
      <c r="BN315" s="34" t="str">
        <v/>
      </c>
      <c r="BO315" s="34" t="str">
        <v/>
      </c>
      <c r="BP315" s="34" t="str">
        <v/>
      </c>
      <c r="BQ315" s="34" t="str">
        <v>3х2,5</v>
      </c>
      <c r="BR315" s="34" t="str">
        <v/>
      </c>
      <c r="BS315" s="34" t="str">
        <v/>
      </c>
      <c r="BT315" s="34" t="str">
        <v/>
      </c>
      <c r="BU315" s="34">
        <v>0</v>
      </c>
      <c r="BV315" s="34">
        <v>336</v>
      </c>
      <c r="BW315" s="34">
        <v>1</v>
      </c>
      <c r="BX315" s="34">
        <v>0</v>
      </c>
      <c r="BY315" s="34" t="str">
        <v/>
      </c>
      <c r="BZ315">
        <v>16</v>
      </c>
      <c r="CA315" t="str">
        <v>линии</v>
      </c>
    </row>
    <row r="316" spans="1:79" x14ac:dyDescent="0.3">
      <c r="A316" s="39" t="str">
        <v>ЩСПЗ-ЖД</v>
      </c>
      <c r="B316" s="42">
        <v>20</v>
      </c>
      <c r="C316" s="42">
        <v>2</v>
      </c>
      <c r="D316" s="75" t="str">
        <v/>
      </c>
      <c r="E316" s="75" t="str">
        <v>авто</v>
      </c>
      <c r="F316" s="76" t="str">
        <v/>
      </c>
      <c r="G316" s="47" t="str">
        <v>QF3</v>
      </c>
      <c r="H316" s="47" t="str">
        <v>1P С16А</v>
      </c>
      <c r="I316" s="75" t="str">
        <v/>
      </c>
      <c r="J316" s="76" t="str">
        <v/>
      </c>
      <c r="K316" s="76" t="str">
        <v/>
      </c>
      <c r="L316" s="75" t="str">
        <v/>
      </c>
      <c r="M316" s="49" t="str">
        <v/>
      </c>
      <c r="N316" s="76" t="str">
        <v/>
      </c>
      <c r="O316" s="49" t="str">
        <v/>
      </c>
      <c r="P316" s="77" t="str">
        <v>XT3</v>
      </c>
      <c r="Q316" s="53" t="str">
        <v>ВВГнг(А)-FRLS (3х2,5) L=31-0,43%</v>
      </c>
      <c r="R316" s="54" t="str">
        <v>FCP1-1</v>
      </c>
      <c r="S316" s="55" t="str">
        <v>шкаф пожарной сигнализации Цокольный этаж Пом. №002Т</v>
      </c>
      <c r="T316" s="56">
        <v>0.4</v>
      </c>
      <c r="U316" s="56">
        <v>1.83</v>
      </c>
      <c r="V316" s="42" t="str">
        <v>L3</v>
      </c>
      <c r="W316" s="57" t="str">
        <v>ok</v>
      </c>
      <c r="X316" s="58" t="str">
        <v/>
      </c>
      <c r="Y316" s="75" t="str">
        <v/>
      </c>
      <c r="Z316" s="59">
        <v>1.823211376388292</v>
      </c>
      <c r="AA316" s="61">
        <v>6</v>
      </c>
      <c r="AB316" s="61">
        <v>25</v>
      </c>
      <c r="AC316" s="61" t="str">
        <v/>
      </c>
      <c r="AD316" s="62" t="str">
        <v>QF3 → XT3</v>
      </c>
      <c r="AE316" s="62" t="str">
        <v/>
      </c>
      <c r="AF316" s="34">
        <v>3</v>
      </c>
      <c r="AG316" s="34" t="str">
        <v>QF3</v>
      </c>
      <c r="AH316" s="34" t="str">
        <v/>
      </c>
      <c r="AI316" s="34" t="str">
        <v/>
      </c>
      <c r="AJ316" s="34" t="str">
        <v>QF3</v>
      </c>
      <c r="AK316" s="34">
        <v>1</v>
      </c>
      <c r="AL316" s="34" t="str">
        <v>FCP1-1</v>
      </c>
      <c r="AM316" s="34">
        <v>0</v>
      </c>
      <c r="AN316" s="34">
        <v>0</v>
      </c>
      <c r="AO316" s="34">
        <v>6</v>
      </c>
      <c r="AP316" s="34">
        <v>25</v>
      </c>
      <c r="AQ316" s="34">
        <v>16</v>
      </c>
      <c r="AR316" s="34">
        <v>1</v>
      </c>
      <c r="AS316" s="34">
        <v>0</v>
      </c>
      <c r="AT316" s="34" t="str">
        <v>1P</v>
      </c>
      <c r="AU316" s="34">
        <v>16</v>
      </c>
      <c r="AV316" s="34" t="str">
        <v/>
      </c>
      <c r="AW316" s="34" t="str">
        <v/>
      </c>
      <c r="AX316" s="34" t="str">
        <v/>
      </c>
      <c r="AY316" s="34">
        <v>1</v>
      </c>
      <c r="AZ316" s="34" t="str">
        <v/>
      </c>
      <c r="BA316" s="34">
        <v>0</v>
      </c>
      <c r="BB316" s="34">
        <v>0</v>
      </c>
      <c r="BD316" s="34">
        <v>1</v>
      </c>
      <c r="BE316" s="34">
        <v>0</v>
      </c>
      <c r="BF316" s="34">
        <v>0</v>
      </c>
      <c r="BG316" s="34" t="str">
        <v/>
      </c>
      <c r="BH316" s="34" t="str">
        <v/>
      </c>
      <c r="BI316" s="34" t="str">
        <v/>
      </c>
      <c r="BJ316" s="34" t="str">
        <v/>
      </c>
      <c r="BK316" s="34" t="str">
        <v>BOX</v>
      </c>
      <c r="BL316" s="34">
        <v>1</v>
      </c>
      <c r="BM316" s="34" t="str">
        <v/>
      </c>
      <c r="BN316" s="34" t="str">
        <v/>
      </c>
      <c r="BO316" s="34" t="str">
        <v/>
      </c>
      <c r="BP316" s="34" t="str">
        <v/>
      </c>
      <c r="BQ316" s="34" t="str">
        <v>3х2,5</v>
      </c>
      <c r="BR316" s="34" t="str">
        <v/>
      </c>
      <c r="BS316" s="34" t="str">
        <v/>
      </c>
      <c r="BT316" s="34" t="str">
        <v/>
      </c>
      <c r="BU316" s="34">
        <v>0</v>
      </c>
      <c r="BV316" s="34">
        <v>337</v>
      </c>
      <c r="BW316" s="34">
        <v>1</v>
      </c>
      <c r="BX316" s="34">
        <v>0</v>
      </c>
      <c r="BY316" s="34" t="str">
        <v/>
      </c>
      <c r="BZ316">
        <v>16</v>
      </c>
      <c r="CA316" t="str">
        <v>линии</v>
      </c>
    </row>
    <row r="317" spans="1:79" x14ac:dyDescent="0.3">
      <c r="A317" s="39" t="str">
        <v>ЩСПЗ-ЖД</v>
      </c>
      <c r="B317" s="42">
        <v>21</v>
      </c>
      <c r="C317" s="42">
        <v>2</v>
      </c>
      <c r="D317" s="75" t="str">
        <v/>
      </c>
      <c r="E317" s="75" t="str">
        <v>авто</v>
      </c>
      <c r="F317" s="76" t="str">
        <v/>
      </c>
      <c r="G317" s="47" t="str">
        <v>QF4</v>
      </c>
      <c r="H317" s="47" t="str">
        <v>1P С16А</v>
      </c>
      <c r="I317" s="75" t="str">
        <v/>
      </c>
      <c r="J317" s="76" t="str">
        <v/>
      </c>
      <c r="K317" s="76" t="str">
        <v/>
      </c>
      <c r="L317" s="75" t="str">
        <v/>
      </c>
      <c r="M317" s="49" t="str">
        <v/>
      </c>
      <c r="N317" s="76" t="str">
        <v/>
      </c>
      <c r="O317" s="49" t="str">
        <v/>
      </c>
      <c r="P317" s="77" t="str">
        <v>XT4</v>
      </c>
      <c r="Q317" s="53" t="str">
        <v>ВВГнг(А)-FRLS (3х2,5) L=80-1,09%</v>
      </c>
      <c r="R317" s="54" t="str">
        <v>FCP13</v>
      </c>
      <c r="S317" s="55" t="str">
        <v>шкаф пожарной сигнализации Тех. этаж Пом. №004Т</v>
      </c>
      <c r="T317" s="56">
        <v>0.4</v>
      </c>
      <c r="U317" s="56">
        <v>1.83</v>
      </c>
      <c r="V317" s="42" t="str">
        <v>L1</v>
      </c>
      <c r="W317" s="57" t="str">
        <v>ok</v>
      </c>
      <c r="X317" s="58" t="str">
        <v/>
      </c>
      <c r="Y317" s="75" t="str">
        <v/>
      </c>
      <c r="Z317" s="59">
        <v>1.823211376388292</v>
      </c>
      <c r="AA317" s="61">
        <v>6</v>
      </c>
      <c r="AB317" s="61">
        <v>25</v>
      </c>
      <c r="AC317" s="61" t="str">
        <v/>
      </c>
      <c r="AD317" s="62" t="str">
        <v>QF4 → XT4</v>
      </c>
      <c r="AE317" s="62" t="str">
        <v/>
      </c>
      <c r="AF317" s="34">
        <v>4</v>
      </c>
      <c r="AG317" s="34" t="str">
        <v>QF4</v>
      </c>
      <c r="AH317" s="34" t="str">
        <v/>
      </c>
      <c r="AI317" s="34" t="str">
        <v/>
      </c>
      <c r="AJ317" s="34" t="str">
        <v>QF4</v>
      </c>
      <c r="AK317" s="34">
        <v>1</v>
      </c>
      <c r="AL317" s="34" t="str">
        <v>FCP13</v>
      </c>
      <c r="AM317" s="34">
        <v>0</v>
      </c>
      <c r="AN317" s="34">
        <v>0</v>
      </c>
      <c r="AO317" s="34">
        <v>6</v>
      </c>
      <c r="AP317" s="34">
        <v>25</v>
      </c>
      <c r="AQ317" s="34">
        <v>16</v>
      </c>
      <c r="AR317" s="34">
        <v>1</v>
      </c>
      <c r="AS317" s="34">
        <v>0</v>
      </c>
      <c r="AT317" s="34" t="str">
        <v>1P</v>
      </c>
      <c r="AU317" s="34">
        <v>16</v>
      </c>
      <c r="AV317" s="34" t="str">
        <v/>
      </c>
      <c r="AW317" s="34" t="str">
        <v/>
      </c>
      <c r="AX317" s="34" t="str">
        <v/>
      </c>
      <c r="AY317" s="34">
        <v>1</v>
      </c>
      <c r="AZ317" s="34" t="str">
        <v/>
      </c>
      <c r="BA317" s="34">
        <v>0</v>
      </c>
      <c r="BB317" s="34">
        <v>0</v>
      </c>
      <c r="BD317" s="34">
        <v>1</v>
      </c>
      <c r="BE317" s="34">
        <v>0</v>
      </c>
      <c r="BF317" s="34">
        <v>0</v>
      </c>
      <c r="BG317" s="34" t="str">
        <v/>
      </c>
      <c r="BH317" s="34" t="str">
        <v/>
      </c>
      <c r="BI317" s="34" t="str">
        <v/>
      </c>
      <c r="BJ317" s="34" t="str">
        <v/>
      </c>
      <c r="BK317" s="34" t="str">
        <v>BOX</v>
      </c>
      <c r="BL317" s="34">
        <v>1</v>
      </c>
      <c r="BM317" s="34" t="str">
        <v/>
      </c>
      <c r="BN317" s="34" t="str">
        <v/>
      </c>
      <c r="BO317" s="34" t="str">
        <v/>
      </c>
      <c r="BP317" s="34" t="str">
        <v/>
      </c>
      <c r="BQ317" s="34" t="str">
        <v>3х2,5</v>
      </c>
      <c r="BR317" s="34" t="str">
        <v/>
      </c>
      <c r="BS317" s="34" t="str">
        <v/>
      </c>
      <c r="BT317" s="34" t="str">
        <v/>
      </c>
      <c r="BU317" s="34">
        <v>0</v>
      </c>
      <c r="BV317" s="34">
        <v>338</v>
      </c>
      <c r="BW317" s="34">
        <v>1</v>
      </c>
      <c r="BX317" s="34">
        <v>0</v>
      </c>
      <c r="BY317" s="34" t="str">
        <v/>
      </c>
      <c r="BZ317">
        <v>16</v>
      </c>
      <c r="CA317" t="str">
        <v>линии</v>
      </c>
    </row>
    <row r="318" spans="1:79" x14ac:dyDescent="0.3">
      <c r="A318" s="39" t="str">
        <v>ЩУОВ</v>
      </c>
      <c r="B318" s="42">
        <v>2</v>
      </c>
      <c r="C318" s="42">
        <v>1</v>
      </c>
      <c r="D318" s="75" t="str">
        <v/>
      </c>
      <c r="E318" s="75" t="str">
        <v>авто</v>
      </c>
      <c r="F318" s="76" t="str">
        <v/>
      </c>
      <c r="G318" s="47" t="str">
        <v/>
      </c>
      <c r="H318" s="47" t="str">
        <v>3P С32А</v>
      </c>
      <c r="I318" s="75" t="str">
        <v/>
      </c>
      <c r="J318" s="76" t="str">
        <v/>
      </c>
      <c r="K318" s="76" t="str">
        <v/>
      </c>
      <c r="L318" s="75" t="str">
        <v/>
      </c>
      <c r="M318" s="49" t="str">
        <v/>
      </c>
      <c r="N318" s="76" t="str">
        <v/>
      </c>
      <c r="O318" s="49" t="str">
        <v/>
      </c>
      <c r="P318" s="77" t="str">
        <v/>
      </c>
      <c r="Q318" s="53" t="str">
        <v/>
      </c>
      <c r="R318" s="54" t="str">
        <v>Ввод.1</v>
      </c>
      <c r="S318" s="55" t="str">
        <v>Вводной кабель шлейф 1</v>
      </c>
      <c r="T318" s="56">
        <v>0</v>
      </c>
      <c r="U318" s="56">
        <v>30.770000000000003</v>
      </c>
      <c r="V318" s="42" t="str">
        <v>L1,L2,L3</v>
      </c>
      <c r="W318" s="57" t="str">
        <v>ok</v>
      </c>
      <c r="X318" s="58" t="str">
        <v/>
      </c>
      <c r="Y318" s="75" t="str">
        <v>вручную</v>
      </c>
      <c r="Z318" s="59">
        <v>30.766691976552419</v>
      </c>
      <c r="AA318" s="61">
        <v>40</v>
      </c>
      <c r="AB318" s="61">
        <v>32</v>
      </c>
      <c r="AC318" s="61" t="str">
        <v/>
      </c>
      <c r="AD318" s="62" t="str">
        <v/>
      </c>
      <c r="AE318" s="62" t="str">
        <v>потери 4,9 % &gt; 4 %</v>
      </c>
      <c r="AF318" s="34" t="str">
        <v/>
      </c>
      <c r="AG318" s="34" t="str">
        <v/>
      </c>
      <c r="AH318" s="34" t="str">
        <v/>
      </c>
      <c r="AI318" s="34" t="str">
        <v/>
      </c>
      <c r="AJ318" s="34" t="str">
        <v/>
      </c>
      <c r="AK318" s="34">
        <v>3</v>
      </c>
      <c r="AL318" s="34" t="str">
        <v>Ввод</v>
      </c>
      <c r="AM318" s="34">
        <v>0</v>
      </c>
      <c r="AN318" s="34">
        <v>0</v>
      </c>
      <c r="AO318" s="34">
        <v>40</v>
      </c>
      <c r="AP318" s="34">
        <v>32</v>
      </c>
      <c r="AQ318" s="34">
        <v>32</v>
      </c>
      <c r="AR318" s="34">
        <v>3</v>
      </c>
      <c r="AS318" s="34">
        <v>0</v>
      </c>
      <c r="AT318" s="34" t="str">
        <v>3P</v>
      </c>
      <c r="AU318" s="34">
        <v>32</v>
      </c>
      <c r="AV318" s="34" t="str">
        <v/>
      </c>
      <c r="AW318" s="34" t="str">
        <v/>
      </c>
      <c r="AX318" s="34" t="str">
        <v/>
      </c>
      <c r="AY318" s="34">
        <v>0</v>
      </c>
      <c r="AZ318" s="34" t="str">
        <v/>
      </c>
      <c r="BA318" s="34">
        <v>0</v>
      </c>
      <c r="BB318" s="34">
        <v>0</v>
      </c>
      <c r="BD318" s="34">
        <v>0</v>
      </c>
      <c r="BE318" s="34">
        <v>0</v>
      </c>
      <c r="BF318" s="34">
        <v>0</v>
      </c>
      <c r="BG318" s="34" t="str">
        <v/>
      </c>
      <c r="BH318" s="34" t="str">
        <v/>
      </c>
      <c r="BI318" s="34" t="str">
        <v/>
      </c>
      <c r="BJ318" s="34" t="str">
        <v/>
      </c>
      <c r="BK318" s="34" t="str">
        <v>BOX</v>
      </c>
      <c r="BL318" s="34">
        <v>1</v>
      </c>
      <c r="BM318" s="34" t="str">
        <v/>
      </c>
      <c r="BN318" s="34" t="str">
        <v/>
      </c>
      <c r="BO318" s="34" t="str">
        <v/>
      </c>
      <c r="BP318" s="34" t="str">
        <v/>
      </c>
      <c r="BQ318" s="34" t="str">
        <v/>
      </c>
      <c r="BR318" s="34" t="str">
        <v/>
      </c>
      <c r="BS318" s="34" t="str">
        <v/>
      </c>
      <c r="BT318" s="34" t="str">
        <v/>
      </c>
      <c r="BU318" s="34">
        <v>1</v>
      </c>
      <c r="BV318" s="34">
        <v>339</v>
      </c>
      <c r="BW318" s="34">
        <v>0</v>
      </c>
      <c r="BX318" s="34">
        <v>0</v>
      </c>
      <c r="BY318" s="34">
        <v>0</v>
      </c>
      <c r="BZ318">
        <v>17</v>
      </c>
      <c r="CA318" t="str">
        <v>вводной узел</v>
      </c>
    </row>
    <row r="319" spans="1:79" x14ac:dyDescent="0.3">
      <c r="A319" s="39" t="str">
        <v>ЩУОВ</v>
      </c>
      <c r="B319" s="42">
        <v>18</v>
      </c>
      <c r="C319" s="42">
        <v>2</v>
      </c>
      <c r="D319" s="75" t="str">
        <v/>
      </c>
      <c r="E319" s="75" t="str">
        <v>авто</v>
      </c>
      <c r="F319" s="76" t="str">
        <v/>
      </c>
      <c r="G319" s="47" t="str">
        <v>QF1</v>
      </c>
      <c r="H319" s="47" t="str">
        <v>1P С6А</v>
      </c>
      <c r="I319" s="75" t="str">
        <v/>
      </c>
      <c r="J319" s="76" t="str">
        <v/>
      </c>
      <c r="K319" s="76" t="str">
        <v/>
      </c>
      <c r="L319" s="75" t="str">
        <v/>
      </c>
      <c r="M319" s="49" t="str">
        <v/>
      </c>
      <c r="N319" s="76" t="str">
        <v/>
      </c>
      <c r="O319" s="49" t="str">
        <v/>
      </c>
      <c r="P319" s="77" t="str">
        <v>XT1</v>
      </c>
      <c r="Q319" s="53" t="str">
        <v>МКЭШнг(A)-LS (2х0,75) L=24-0%</v>
      </c>
      <c r="R319" s="54" t="str">
        <v>DW.1</v>
      </c>
      <c r="S319" s="55" t="str">
        <v/>
      </c>
      <c r="T319" s="56">
        <v>0</v>
      </c>
      <c r="U319" s="56">
        <v>0</v>
      </c>
      <c r="V319" s="42" t="str">
        <v>L2</v>
      </c>
      <c r="W319" s="57" t="str">
        <v>ok</v>
      </c>
      <c r="X319" s="58" t="str">
        <v/>
      </c>
      <c r="Y319" s="75" t="str">
        <v/>
      </c>
      <c r="Z319" s="59">
        <v>0</v>
      </c>
      <c r="AA319" s="61">
        <v>6</v>
      </c>
      <c r="AB319" s="61" t="str">
        <v/>
      </c>
      <c r="AC319" s="61" t="str">
        <v/>
      </c>
      <c r="AD319" s="62" t="str">
        <v>QF1 → XT1</v>
      </c>
      <c r="AE319" s="62" t="str">
        <v>нет мощности</v>
      </c>
      <c r="AF319" s="34">
        <v>1</v>
      </c>
      <c r="AG319" s="34" t="str">
        <v>QF1</v>
      </c>
      <c r="AH319" s="34" t="str">
        <v/>
      </c>
      <c r="AI319" s="34" t="str">
        <v/>
      </c>
      <c r="AJ319" s="34" t="str">
        <v>QF1</v>
      </c>
      <c r="AK319" s="34">
        <v>1</v>
      </c>
      <c r="AL319" s="34" t="str">
        <v>DW</v>
      </c>
      <c r="AM319" s="34">
        <v>0</v>
      </c>
      <c r="AN319" s="34">
        <v>0</v>
      </c>
      <c r="AO319" s="34">
        <v>6</v>
      </c>
      <c r="AP319" s="34" t="str">
        <v/>
      </c>
      <c r="AQ319" s="34">
        <v>6</v>
      </c>
      <c r="AR319" s="34">
        <v>1</v>
      </c>
      <c r="AS319" s="34">
        <v>0</v>
      </c>
      <c r="AT319" s="34" t="str">
        <v>1P</v>
      </c>
      <c r="AU319" s="34">
        <v>6</v>
      </c>
      <c r="AV319" s="34" t="str">
        <v/>
      </c>
      <c r="AW319" s="34" t="str">
        <v/>
      </c>
      <c r="AX319" s="34" t="str">
        <v/>
      </c>
      <c r="AY319" s="34">
        <v>1</v>
      </c>
      <c r="AZ319" s="34" t="str">
        <v/>
      </c>
      <c r="BA319" s="34">
        <v>0</v>
      </c>
      <c r="BB319" s="34">
        <v>0</v>
      </c>
      <c r="BD319" s="34">
        <v>1</v>
      </c>
      <c r="BE319" s="34">
        <v>0</v>
      </c>
      <c r="BF319" s="34">
        <v>0</v>
      </c>
      <c r="BG319" s="34" t="str">
        <v/>
      </c>
      <c r="BH319" s="34" t="str">
        <v/>
      </c>
      <c r="BI319" s="34" t="str">
        <v/>
      </c>
      <c r="BJ319" s="34" t="str">
        <v/>
      </c>
      <c r="BK319" s="34" t="str">
        <v>BOX</v>
      </c>
      <c r="BL319" s="34">
        <v>1</v>
      </c>
      <c r="BM319" s="34" t="str">
        <v/>
      </c>
      <c r="BN319" s="34" t="str">
        <v/>
      </c>
      <c r="BO319" s="34" t="str">
        <v/>
      </c>
      <c r="BP319" s="34" t="str">
        <v/>
      </c>
      <c r="BQ319" s="34" t="str">
        <v>2х0,75</v>
      </c>
      <c r="BR319" s="34">
        <v>14</v>
      </c>
      <c r="BS319" s="34" t="str">
        <v/>
      </c>
      <c r="BT319" s="34" t="str">
        <v/>
      </c>
      <c r="BU319" s="34">
        <v>1</v>
      </c>
      <c r="BV319" s="34">
        <v>340</v>
      </c>
      <c r="BW319" s="34">
        <v>1</v>
      </c>
      <c r="BX319" s="34">
        <v>0</v>
      </c>
      <c r="BY319" s="34" t="str">
        <v/>
      </c>
      <c r="BZ319">
        <v>17</v>
      </c>
      <c r="CA319" t="str">
        <v>линии</v>
      </c>
    </row>
    <row r="320" spans="1:79" x14ac:dyDescent="0.3">
      <c r="A320" s="39" t="str">
        <v>ЩУОВ</v>
      </c>
      <c r="B320" s="42">
        <v>19</v>
      </c>
      <c r="C320" s="42">
        <v>2</v>
      </c>
      <c r="D320" s="75" t="str">
        <v/>
      </c>
      <c r="E320" s="75" t="str">
        <v>авто</v>
      </c>
      <c r="F320" s="76" t="str">
        <v/>
      </c>
      <c r="G320" s="47" t="str">
        <v>QF2</v>
      </c>
      <c r="H320" s="47" t="str">
        <v>1P С6А</v>
      </c>
      <c r="I320" s="75" t="str">
        <v/>
      </c>
      <c r="J320" s="76" t="str">
        <v/>
      </c>
      <c r="K320" s="76" t="str">
        <v/>
      </c>
      <c r="L320" s="75" t="str">
        <v/>
      </c>
      <c r="M320" s="49" t="str">
        <v/>
      </c>
      <c r="N320" s="76" t="str">
        <v/>
      </c>
      <c r="O320" s="49" t="str">
        <v/>
      </c>
      <c r="P320" s="77" t="str">
        <v>XT2</v>
      </c>
      <c r="Q320" s="53" t="str">
        <v>МКЭШнг(A)-LS (2х0,75) L=19-0%</v>
      </c>
      <c r="R320" s="54" t="str">
        <v>DT.1</v>
      </c>
      <c r="S320" s="55" t="str">
        <v/>
      </c>
      <c r="T320" s="56">
        <v>0</v>
      </c>
      <c r="U320" s="56">
        <v>0</v>
      </c>
      <c r="V320" s="42" t="str">
        <v>L2</v>
      </c>
      <c r="W320" s="57" t="str">
        <v>ok</v>
      </c>
      <c r="X320" s="58" t="str">
        <v/>
      </c>
      <c r="Y320" s="75" t="str">
        <v/>
      </c>
      <c r="Z320" s="59">
        <v>0</v>
      </c>
      <c r="AA320" s="61">
        <v>6</v>
      </c>
      <c r="AB320" s="61" t="str">
        <v/>
      </c>
      <c r="AC320" s="61" t="str">
        <v/>
      </c>
      <c r="AD320" s="62" t="str">
        <v>QF2 → XT2</v>
      </c>
      <c r="AE320" s="62" t="str">
        <v>нет мощности</v>
      </c>
      <c r="AF320" s="34">
        <v>2</v>
      </c>
      <c r="AG320" s="34" t="str">
        <v>QF2</v>
      </c>
      <c r="AH320" s="34" t="str">
        <v/>
      </c>
      <c r="AI320" s="34" t="str">
        <v/>
      </c>
      <c r="AJ320" s="34" t="str">
        <v>QF2</v>
      </c>
      <c r="AK320" s="34">
        <v>1</v>
      </c>
      <c r="AL320" s="34" t="str">
        <v>DT</v>
      </c>
      <c r="AM320" s="34">
        <v>0</v>
      </c>
      <c r="AN320" s="34">
        <v>0</v>
      </c>
      <c r="AO320" s="34">
        <v>6</v>
      </c>
      <c r="AP320" s="34" t="str">
        <v/>
      </c>
      <c r="AQ320" s="34">
        <v>6</v>
      </c>
      <c r="AR320" s="34">
        <v>1</v>
      </c>
      <c r="AS320" s="34">
        <v>0</v>
      </c>
      <c r="AT320" s="34" t="str">
        <v>1P</v>
      </c>
      <c r="AU320" s="34">
        <v>6</v>
      </c>
      <c r="AV320" s="34" t="str">
        <v/>
      </c>
      <c r="AW320" s="34" t="str">
        <v/>
      </c>
      <c r="AX320" s="34" t="str">
        <v/>
      </c>
      <c r="AY320" s="34">
        <v>1</v>
      </c>
      <c r="AZ320" s="34" t="str">
        <v/>
      </c>
      <c r="BA320" s="34">
        <v>0</v>
      </c>
      <c r="BB320" s="34">
        <v>0</v>
      </c>
      <c r="BD320" s="34">
        <v>1</v>
      </c>
      <c r="BE320" s="34">
        <v>0</v>
      </c>
      <c r="BF320" s="34">
        <v>0</v>
      </c>
      <c r="BG320" s="34" t="str">
        <v/>
      </c>
      <c r="BH320" s="34" t="str">
        <v/>
      </c>
      <c r="BI320" s="34" t="str">
        <v/>
      </c>
      <c r="BJ320" s="34" t="str">
        <v/>
      </c>
      <c r="BK320" s="34" t="str">
        <v>BOX</v>
      </c>
      <c r="BL320" s="34">
        <v>1</v>
      </c>
      <c r="BM320" s="34" t="str">
        <v/>
      </c>
      <c r="BN320" s="34" t="str">
        <v/>
      </c>
      <c r="BO320" s="34" t="str">
        <v/>
      </c>
      <c r="BP320" s="34" t="str">
        <v/>
      </c>
      <c r="BQ320" s="34" t="str">
        <v>2х0,75</v>
      </c>
      <c r="BR320" s="34" t="str">
        <v/>
      </c>
      <c r="BS320" s="34" t="str">
        <v/>
      </c>
      <c r="BT320" s="34" t="str">
        <v/>
      </c>
      <c r="BU320" s="34">
        <v>1</v>
      </c>
      <c r="BV320" s="34">
        <v>341</v>
      </c>
      <c r="BW320" s="34">
        <v>1</v>
      </c>
      <c r="BX320" s="34">
        <v>0</v>
      </c>
      <c r="BY320" s="34" t="str">
        <v/>
      </c>
      <c r="BZ320">
        <v>17</v>
      </c>
      <c r="CA320" t="str">
        <v>линии</v>
      </c>
    </row>
    <row r="321" spans="1:79" x14ac:dyDescent="0.3">
      <c r="A321" s="39" t="str">
        <v>ЩУОВ</v>
      </c>
      <c r="B321" s="42">
        <v>26</v>
      </c>
      <c r="C321" s="42">
        <v>2</v>
      </c>
      <c r="D321" s="75" t="str">
        <v/>
      </c>
      <c r="E321" s="75" t="str">
        <v>авто</v>
      </c>
      <c r="F321" s="76" t="str">
        <v/>
      </c>
      <c r="G321" s="47" t="str">
        <v>QF3</v>
      </c>
      <c r="H321" s="47" t="str">
        <v>1P С16А</v>
      </c>
      <c r="I321" s="75" t="str">
        <v/>
      </c>
      <c r="J321" s="76" t="str">
        <v/>
      </c>
      <c r="K321" s="76" t="str">
        <v/>
      </c>
      <c r="L321" s="75" t="str">
        <v/>
      </c>
      <c r="M321" s="49" t="str">
        <v/>
      </c>
      <c r="N321" s="76" t="str">
        <v/>
      </c>
      <c r="O321" s="49" t="str">
        <v/>
      </c>
      <c r="P321" s="77" t="str">
        <v/>
      </c>
      <c r="Q321" s="53" t="str">
        <v>ВВГнг(А)-LS (3х4) L=95-4,78%</v>
      </c>
      <c r="R321" s="54" t="str">
        <v>OV.2.002Г.1</v>
      </c>
      <c r="S321" s="55" t="str">
        <v/>
      </c>
      <c r="T321" s="56">
        <v>2.37</v>
      </c>
      <c r="U321" s="56">
        <v>10.81</v>
      </c>
      <c r="V321" s="42" t="str">
        <v>L1</v>
      </c>
      <c r="W321" s="57" t="str">
        <v>ok</v>
      </c>
      <c r="X321" s="58" t="str">
        <v/>
      </c>
      <c r="Y321" s="75" t="str">
        <v/>
      </c>
      <c r="Z321" s="59">
        <v>10.80252740510063</v>
      </c>
      <c r="AA321" s="61">
        <v>16</v>
      </c>
      <c r="AB321" s="61">
        <v>32</v>
      </c>
      <c r="AC321" s="61" t="str">
        <v/>
      </c>
      <c r="AD321" s="62" t="str">
        <v>QF3</v>
      </c>
      <c r="AE321" s="62" t="str">
        <v>потери 7,3 % &gt; 4 %</v>
      </c>
      <c r="AF321" s="34">
        <v>3</v>
      </c>
      <c r="AG321" s="34" t="str">
        <v>QF3</v>
      </c>
      <c r="AH321" s="34" t="str">
        <v/>
      </c>
      <c r="AI321" s="34" t="str">
        <v/>
      </c>
      <c r="AJ321" s="34" t="str">
        <v>QF3</v>
      </c>
      <c r="AK321" s="34">
        <v>1</v>
      </c>
      <c r="AL321" s="34" t="str">
        <v>OV</v>
      </c>
      <c r="AM321" s="34">
        <v>0</v>
      </c>
      <c r="AN321" s="34">
        <v>0</v>
      </c>
      <c r="AO321" s="34">
        <v>16</v>
      </c>
      <c r="AP321" s="34">
        <v>32</v>
      </c>
      <c r="AQ321" s="34">
        <v>16</v>
      </c>
      <c r="AR321" s="34">
        <v>1</v>
      </c>
      <c r="AS321" s="34">
        <v>0</v>
      </c>
      <c r="AT321" s="34" t="str">
        <v>1P</v>
      </c>
      <c r="AU321" s="34">
        <v>16</v>
      </c>
      <c r="AV321" s="34" t="str">
        <v/>
      </c>
      <c r="AW321" s="34" t="str">
        <v/>
      </c>
      <c r="AX321" s="34" t="str">
        <v/>
      </c>
      <c r="AY321" s="34">
        <v>1</v>
      </c>
      <c r="AZ321" s="34" t="str">
        <v/>
      </c>
      <c r="BA321" s="34">
        <v>0</v>
      </c>
      <c r="BB321" s="34">
        <v>0</v>
      </c>
      <c r="BD321" s="34">
        <v>1</v>
      </c>
      <c r="BE321" s="34">
        <v>0</v>
      </c>
      <c r="BF321" s="34">
        <v>0</v>
      </c>
      <c r="BG321" s="34" t="str">
        <v/>
      </c>
      <c r="BH321" s="34" t="str">
        <v/>
      </c>
      <c r="BI321" s="34" t="str">
        <v/>
      </c>
      <c r="BJ321" s="34" t="str">
        <v/>
      </c>
      <c r="BK321" s="34" t="str">
        <v>BOX</v>
      </c>
      <c r="BL321" s="34">
        <v>1</v>
      </c>
      <c r="BM321" s="34" t="str">
        <v/>
      </c>
      <c r="BN321" s="34" t="str">
        <v/>
      </c>
      <c r="BO321" s="34" t="str">
        <v/>
      </c>
      <c r="BP321" s="34" t="str">
        <v/>
      </c>
      <c r="BQ321" s="34" t="str">
        <v>3х4</v>
      </c>
      <c r="BR321" s="34" t="str">
        <v/>
      </c>
      <c r="BS321" s="34" t="str">
        <v/>
      </c>
      <c r="BT321" s="34" t="str">
        <v/>
      </c>
      <c r="BU321" s="34">
        <v>1</v>
      </c>
      <c r="BV321" s="34">
        <v>342</v>
      </c>
      <c r="BW321" s="34">
        <v>1</v>
      </c>
      <c r="BX321" s="34">
        <v>0</v>
      </c>
      <c r="BY321" s="34" t="str">
        <v/>
      </c>
      <c r="BZ321">
        <v>17</v>
      </c>
      <c r="CA321" t="str">
        <v>линии</v>
      </c>
    </row>
    <row r="322" spans="1:79" x14ac:dyDescent="0.3">
      <c r="A322" s="39" t="str">
        <v>ЩУОВ</v>
      </c>
      <c r="B322" s="42">
        <v>27</v>
      </c>
      <c r="C322" s="42">
        <v>2</v>
      </c>
      <c r="D322" s="75" t="str">
        <v/>
      </c>
      <c r="E322" s="75" t="str">
        <v>авто</v>
      </c>
      <c r="F322" s="76" t="str">
        <v/>
      </c>
      <c r="G322" s="47" t="str">
        <v>QF4</v>
      </c>
      <c r="H322" s="47" t="str">
        <v>1P С16А</v>
      </c>
      <c r="I322" s="75" t="str">
        <v/>
      </c>
      <c r="J322" s="76" t="str">
        <v/>
      </c>
      <c r="K322" s="76" t="str">
        <v/>
      </c>
      <c r="L322" s="75" t="str">
        <v/>
      </c>
      <c r="M322" s="49" t="str">
        <v/>
      </c>
      <c r="N322" s="76" t="str">
        <v/>
      </c>
      <c r="O322" s="49" t="str">
        <v/>
      </c>
      <c r="P322" s="77" t="str">
        <v>XT4</v>
      </c>
      <c r="Q322" s="53" t="str">
        <v>ВВГнг(А)-LS (3х2,5) L=44-1,44%</v>
      </c>
      <c r="R322" s="54" t="str">
        <v>OV.2.003Г.1</v>
      </c>
      <c r="S322" s="55" t="str">
        <v/>
      </c>
      <c r="T322" s="56">
        <v>0.96</v>
      </c>
      <c r="U322" s="56">
        <v>4.38</v>
      </c>
      <c r="V322" s="42" t="str">
        <v>L2</v>
      </c>
      <c r="W322" s="57" t="str">
        <v>ok</v>
      </c>
      <c r="X322" s="58" t="str">
        <v/>
      </c>
      <c r="Y322" s="75" t="str">
        <v/>
      </c>
      <c r="Z322" s="59">
        <v>4.3757073033319003</v>
      </c>
      <c r="AA322" s="61">
        <v>6</v>
      </c>
      <c r="AB322" s="61">
        <v>25</v>
      </c>
      <c r="AC322" s="61" t="str">
        <v/>
      </c>
      <c r="AD322" s="62" t="str">
        <v>QF4 → XT4</v>
      </c>
      <c r="AE322" s="62" t="str">
        <v/>
      </c>
      <c r="AF322" s="34">
        <v>4</v>
      </c>
      <c r="AG322" s="34" t="str">
        <v>QF4</v>
      </c>
      <c r="AH322" s="34" t="str">
        <v/>
      </c>
      <c r="AI322" s="34" t="str">
        <v/>
      </c>
      <c r="AJ322" s="34" t="str">
        <v>QF4</v>
      </c>
      <c r="AK322" s="34">
        <v>1</v>
      </c>
      <c r="AL322" s="34" t="str">
        <v>OV</v>
      </c>
      <c r="AM322" s="34">
        <v>0</v>
      </c>
      <c r="AN322" s="34">
        <v>0</v>
      </c>
      <c r="AO322" s="34">
        <v>6</v>
      </c>
      <c r="AP322" s="34">
        <v>25</v>
      </c>
      <c r="AQ322" s="34">
        <v>16</v>
      </c>
      <c r="AR322" s="34">
        <v>1</v>
      </c>
      <c r="AS322" s="34">
        <v>0</v>
      </c>
      <c r="AT322" s="34" t="str">
        <v>1P</v>
      </c>
      <c r="AU322" s="34">
        <v>16</v>
      </c>
      <c r="AV322" s="34" t="str">
        <v/>
      </c>
      <c r="AW322" s="34" t="str">
        <v/>
      </c>
      <c r="AX322" s="34" t="str">
        <v/>
      </c>
      <c r="AY322" s="34">
        <v>1</v>
      </c>
      <c r="AZ322" s="34" t="str">
        <v/>
      </c>
      <c r="BA322" s="34">
        <v>0</v>
      </c>
      <c r="BB322" s="34">
        <v>0</v>
      </c>
      <c r="BD322" s="34">
        <v>1</v>
      </c>
      <c r="BE322" s="34">
        <v>0</v>
      </c>
      <c r="BF322" s="34">
        <v>0</v>
      </c>
      <c r="BG322" s="34" t="str">
        <v/>
      </c>
      <c r="BH322" s="34" t="str">
        <v/>
      </c>
      <c r="BI322" s="34" t="str">
        <v/>
      </c>
      <c r="BJ322" s="34" t="str">
        <v/>
      </c>
      <c r="BK322" s="34" t="str">
        <v>BOX</v>
      </c>
      <c r="BL322" s="34">
        <v>1</v>
      </c>
      <c r="BM322" s="34" t="str">
        <v/>
      </c>
      <c r="BN322" s="34" t="str">
        <v/>
      </c>
      <c r="BO322" s="34" t="str">
        <v/>
      </c>
      <c r="BP322" s="34" t="str">
        <v/>
      </c>
      <c r="BQ322" s="34" t="str">
        <v>3х2,5</v>
      </c>
      <c r="BR322" s="34" t="str">
        <v/>
      </c>
      <c r="BS322" s="34" t="str">
        <v/>
      </c>
      <c r="BT322" s="34" t="str">
        <v/>
      </c>
      <c r="BU322" s="34">
        <v>0</v>
      </c>
      <c r="BV322" s="34">
        <v>343</v>
      </c>
      <c r="BW322" s="34">
        <v>1</v>
      </c>
      <c r="BX322" s="34">
        <v>0</v>
      </c>
      <c r="BY322" s="34" t="str">
        <v/>
      </c>
      <c r="BZ322">
        <v>17</v>
      </c>
      <c r="CA322" t="str">
        <v>линии</v>
      </c>
    </row>
    <row r="323" spans="1:79" x14ac:dyDescent="0.3">
      <c r="A323" s="39" t="str">
        <v>ЩУОВ</v>
      </c>
      <c r="B323" s="42">
        <v>28</v>
      </c>
      <c r="C323" s="42">
        <v>2</v>
      </c>
      <c r="D323" s="75" t="str">
        <v/>
      </c>
      <c r="E323" s="75" t="str">
        <v>авто</v>
      </c>
      <c r="F323" s="76" t="str">
        <v/>
      </c>
      <c r="G323" s="47" t="str">
        <v>QF5</v>
      </c>
      <c r="H323" s="47" t="str">
        <v>1P С16А</v>
      </c>
      <c r="I323" s="75" t="str">
        <v/>
      </c>
      <c r="J323" s="76" t="str">
        <v/>
      </c>
      <c r="K323" s="76" t="str">
        <v/>
      </c>
      <c r="L323" s="75" t="str">
        <v/>
      </c>
      <c r="M323" s="49" t="str">
        <v/>
      </c>
      <c r="N323" s="76" t="str">
        <v/>
      </c>
      <c r="O323" s="49" t="str">
        <v/>
      </c>
      <c r="P323" s="77" t="str">
        <v/>
      </c>
      <c r="Q323" s="53" t="str">
        <v>ВВГнг(А)-LS (3х6) L=97-3,51%</v>
      </c>
      <c r="R323" s="54" t="str">
        <v>OV.2.1.1</v>
      </c>
      <c r="S323" s="55" t="str">
        <v>Обогревл ливнестоков Кровля бассейна</v>
      </c>
      <c r="T323" s="56">
        <v>2.5499999999999998</v>
      </c>
      <c r="U323" s="56">
        <v>11.629999999999999</v>
      </c>
      <c r="V323" s="42" t="str">
        <v>L1</v>
      </c>
      <c r="W323" s="57" t="str">
        <v>ok</v>
      </c>
      <c r="X323" s="58" t="str">
        <v/>
      </c>
      <c r="Y323" s="75" t="str">
        <v/>
      </c>
      <c r="Z323" s="59">
        <v>11.62297252447536</v>
      </c>
      <c r="AA323" s="61">
        <v>16</v>
      </c>
      <c r="AB323" s="61">
        <v>50</v>
      </c>
      <c r="AC323" s="61" t="str">
        <v/>
      </c>
      <c r="AD323" s="62" t="str">
        <v>QF5</v>
      </c>
      <c r="AE323" s="62" t="str">
        <v>потери 6,0 % &gt; 4 %</v>
      </c>
      <c r="AF323" s="34">
        <v>5</v>
      </c>
      <c r="AG323" s="34" t="str">
        <v>QF5</v>
      </c>
      <c r="AH323" s="34" t="str">
        <v/>
      </c>
      <c r="AI323" s="34" t="str">
        <v/>
      </c>
      <c r="AJ323" s="34" t="str">
        <v>QF5</v>
      </c>
      <c r="AK323" s="34">
        <v>1</v>
      </c>
      <c r="AL323" s="34" t="str">
        <v>OV</v>
      </c>
      <c r="AM323" s="34">
        <v>0</v>
      </c>
      <c r="AN323" s="34">
        <v>0</v>
      </c>
      <c r="AO323" s="34">
        <v>16</v>
      </c>
      <c r="AP323" s="34">
        <v>50</v>
      </c>
      <c r="AQ323" s="34">
        <v>16</v>
      </c>
      <c r="AR323" s="34">
        <v>1</v>
      </c>
      <c r="AS323" s="34">
        <v>0</v>
      </c>
      <c r="AT323" s="34" t="str">
        <v>1P</v>
      </c>
      <c r="AU323" s="34">
        <v>16</v>
      </c>
      <c r="AV323" s="34" t="str">
        <v/>
      </c>
      <c r="AW323" s="34" t="str">
        <v/>
      </c>
      <c r="AX323" s="34" t="str">
        <v/>
      </c>
      <c r="AY323" s="34">
        <v>1</v>
      </c>
      <c r="AZ323" s="34" t="str">
        <v/>
      </c>
      <c r="BA323" s="34">
        <v>0</v>
      </c>
      <c r="BB323" s="34">
        <v>0</v>
      </c>
      <c r="BD323" s="34">
        <v>1</v>
      </c>
      <c r="BE323" s="34">
        <v>0</v>
      </c>
      <c r="BF323" s="34">
        <v>0</v>
      </c>
      <c r="BG323" s="34" t="str">
        <v/>
      </c>
      <c r="BH323" s="34" t="str">
        <v/>
      </c>
      <c r="BI323" s="34" t="str">
        <v/>
      </c>
      <c r="BJ323" s="34" t="str">
        <v/>
      </c>
      <c r="BK323" s="34" t="str">
        <v>BOX</v>
      </c>
      <c r="BL323" s="34">
        <v>1</v>
      </c>
      <c r="BM323" s="34" t="str">
        <v/>
      </c>
      <c r="BN323" s="34" t="str">
        <v/>
      </c>
      <c r="BO323" s="34" t="str">
        <v/>
      </c>
      <c r="BP323" s="34" t="str">
        <v/>
      </c>
      <c r="BQ323" s="34" t="str">
        <v>3х6</v>
      </c>
      <c r="BR323" s="34" t="str">
        <v/>
      </c>
      <c r="BS323" s="34" t="str">
        <v/>
      </c>
      <c r="BT323" s="34" t="str">
        <v/>
      </c>
      <c r="BU323" s="34">
        <v>1</v>
      </c>
      <c r="BV323" s="34">
        <v>344</v>
      </c>
      <c r="BW323" s="34">
        <v>1</v>
      </c>
      <c r="BX323" s="34">
        <v>0</v>
      </c>
      <c r="BY323" s="34" t="str">
        <v/>
      </c>
      <c r="BZ323">
        <v>17</v>
      </c>
      <c r="CA323" t="str">
        <v>линии</v>
      </c>
    </row>
    <row r="324" spans="1:79" x14ac:dyDescent="0.3">
      <c r="A324" s="39" t="str">
        <v>ЩУОВ</v>
      </c>
      <c r="B324" s="42">
        <v>29</v>
      </c>
      <c r="C324" s="42">
        <v>2</v>
      </c>
      <c r="D324" s="75" t="str">
        <v/>
      </c>
      <c r="E324" s="75" t="str">
        <v>авто</v>
      </c>
      <c r="F324" s="76" t="str">
        <v/>
      </c>
      <c r="G324" s="47" t="str">
        <v>QF6</v>
      </c>
      <c r="H324" s="47" t="str">
        <v>1P С16А</v>
      </c>
      <c r="I324" s="75" t="str">
        <v/>
      </c>
      <c r="J324" s="76" t="str">
        <v/>
      </c>
      <c r="K324" s="76" t="str">
        <v/>
      </c>
      <c r="L324" s="75" t="str">
        <v/>
      </c>
      <c r="M324" s="49" t="str">
        <v/>
      </c>
      <c r="N324" s="76" t="str">
        <v/>
      </c>
      <c r="O324" s="49" t="str">
        <v/>
      </c>
      <c r="P324" s="77" t="str">
        <v/>
      </c>
      <c r="Q324" s="53" t="str">
        <v>ВВГнг(А)-LS (3х4) L=84-3,64%</v>
      </c>
      <c r="R324" s="54" t="str">
        <v>OV.2.1.2</v>
      </c>
      <c r="S324" s="55" t="str">
        <v>Обогревл ливнестоков Второй этаж</v>
      </c>
      <c r="T324" s="56">
        <v>2.04</v>
      </c>
      <c r="U324" s="56">
        <v>9.2999999999999989</v>
      </c>
      <c r="V324" s="42" t="str">
        <v>L3</v>
      </c>
      <c r="W324" s="57" t="str">
        <v>ok</v>
      </c>
      <c r="X324" s="58" t="str">
        <v/>
      </c>
      <c r="Y324" s="75" t="str">
        <v/>
      </c>
      <c r="Z324" s="59">
        <v>9.298378019580289</v>
      </c>
      <c r="AA324" s="61">
        <v>16</v>
      </c>
      <c r="AB324" s="61">
        <v>32</v>
      </c>
      <c r="AC324" s="61" t="str">
        <v/>
      </c>
      <c r="AD324" s="62" t="str">
        <v>QF6</v>
      </c>
      <c r="AE324" s="62" t="str">
        <v>потери 6,1 % &gt; 4 %</v>
      </c>
      <c r="AF324" s="34">
        <v>6</v>
      </c>
      <c r="AG324" s="34" t="str">
        <v>QF6</v>
      </c>
      <c r="AH324" s="34" t="str">
        <v/>
      </c>
      <c r="AI324" s="34" t="str">
        <v/>
      </c>
      <c r="AJ324" s="34" t="str">
        <v>QF6</v>
      </c>
      <c r="AK324" s="34">
        <v>1</v>
      </c>
      <c r="AL324" s="34" t="str">
        <v>OV</v>
      </c>
      <c r="AM324" s="34">
        <v>0</v>
      </c>
      <c r="AN324" s="34">
        <v>0</v>
      </c>
      <c r="AO324" s="34">
        <v>16</v>
      </c>
      <c r="AP324" s="34">
        <v>32</v>
      </c>
      <c r="AQ324" s="34">
        <v>16</v>
      </c>
      <c r="AR324" s="34">
        <v>1</v>
      </c>
      <c r="AS324" s="34">
        <v>0</v>
      </c>
      <c r="AT324" s="34" t="str">
        <v>1P</v>
      </c>
      <c r="AU324" s="34">
        <v>16</v>
      </c>
      <c r="AV324" s="34" t="str">
        <v/>
      </c>
      <c r="AW324" s="34" t="str">
        <v/>
      </c>
      <c r="AX324" s="34" t="str">
        <v/>
      </c>
      <c r="AY324" s="34">
        <v>1</v>
      </c>
      <c r="AZ324" s="34" t="str">
        <v/>
      </c>
      <c r="BA324" s="34">
        <v>0</v>
      </c>
      <c r="BB324" s="34">
        <v>0</v>
      </c>
      <c r="BD324" s="34">
        <v>1</v>
      </c>
      <c r="BE324" s="34">
        <v>0</v>
      </c>
      <c r="BF324" s="34">
        <v>0</v>
      </c>
      <c r="BG324" s="34" t="str">
        <v/>
      </c>
      <c r="BH324" s="34" t="str">
        <v/>
      </c>
      <c r="BI324" s="34" t="str">
        <v/>
      </c>
      <c r="BJ324" s="34" t="str">
        <v/>
      </c>
      <c r="BK324" s="34" t="str">
        <v>BOX</v>
      </c>
      <c r="BL324" s="34">
        <v>1</v>
      </c>
      <c r="BM324" s="34" t="str">
        <v/>
      </c>
      <c r="BN324" s="34" t="str">
        <v/>
      </c>
      <c r="BO324" s="34" t="str">
        <v/>
      </c>
      <c r="BP324" s="34" t="str">
        <v/>
      </c>
      <c r="BQ324" s="34" t="str">
        <v>3х4</v>
      </c>
      <c r="BR324" s="34" t="str">
        <v/>
      </c>
      <c r="BS324" s="34" t="str">
        <v/>
      </c>
      <c r="BT324" s="34" t="str">
        <v/>
      </c>
      <c r="BU324" s="34">
        <v>1</v>
      </c>
      <c r="BV324" s="34">
        <v>345</v>
      </c>
      <c r="BW324" s="34">
        <v>1</v>
      </c>
      <c r="BX324" s="34">
        <v>0</v>
      </c>
      <c r="BY324" s="34" t="str">
        <v/>
      </c>
      <c r="BZ324">
        <v>17</v>
      </c>
      <c r="CA324" t="str">
        <v>линии</v>
      </c>
    </row>
    <row r="325" spans="1:79" x14ac:dyDescent="0.3">
      <c r="A325" s="39" t="str">
        <v>ЩУОВ</v>
      </c>
      <c r="B325" s="42">
        <v>30</v>
      </c>
      <c r="C325" s="42">
        <v>2</v>
      </c>
      <c r="D325" s="75" t="str">
        <v/>
      </c>
      <c r="E325" s="75" t="str">
        <v>авто</v>
      </c>
      <c r="F325" s="76" t="str">
        <v/>
      </c>
      <c r="G325" s="47" t="str">
        <v>QF7</v>
      </c>
      <c r="H325" s="47" t="str">
        <v>1P С16А</v>
      </c>
      <c r="I325" s="75" t="str">
        <v/>
      </c>
      <c r="J325" s="76" t="str">
        <v/>
      </c>
      <c r="K325" s="76" t="str">
        <v/>
      </c>
      <c r="L325" s="75" t="str">
        <v/>
      </c>
      <c r="M325" s="49" t="str">
        <v/>
      </c>
      <c r="N325" s="76" t="str">
        <v/>
      </c>
      <c r="O325" s="49" t="str">
        <v/>
      </c>
      <c r="P325" s="77" t="str">
        <v/>
      </c>
      <c r="Q325" s="53" t="str">
        <v>ВВГнг(А)-LS (3х2,5) L=44-0,99%</v>
      </c>
      <c r="R325" s="54" t="str">
        <v>OV.2.1.3</v>
      </c>
      <c r="S325" s="55" t="str">
        <v>Обогревл ливнестоков Второй этаж</v>
      </c>
      <c r="T325" s="56">
        <v>0.66</v>
      </c>
      <c r="U325" s="56">
        <v>3.01</v>
      </c>
      <c r="V325" s="42" t="str">
        <v>L3</v>
      </c>
      <c r="W325" s="57" t="str">
        <v>ok</v>
      </c>
      <c r="X325" s="58" t="str">
        <v/>
      </c>
      <c r="Y325" s="75" t="str">
        <v/>
      </c>
      <c r="Z325" s="59">
        <v>3.0082987710406814</v>
      </c>
      <c r="AA325" s="61">
        <v>6</v>
      </c>
      <c r="AB325" s="61">
        <v>25</v>
      </c>
      <c r="AC325" s="61" t="str">
        <v/>
      </c>
      <c r="AD325" s="62" t="str">
        <v>QF7</v>
      </c>
      <c r="AE325" s="62" t="str">
        <v/>
      </c>
      <c r="AF325" s="34">
        <v>7</v>
      </c>
      <c r="AG325" s="34" t="str">
        <v>QF7</v>
      </c>
      <c r="AH325" s="34" t="str">
        <v/>
      </c>
      <c r="AI325" s="34" t="str">
        <v/>
      </c>
      <c r="AJ325" s="34" t="str">
        <v>QF7</v>
      </c>
      <c r="AK325" s="34">
        <v>1</v>
      </c>
      <c r="AL325" s="34" t="str">
        <v>OV</v>
      </c>
      <c r="AM325" s="34">
        <v>0</v>
      </c>
      <c r="AN325" s="34">
        <v>0</v>
      </c>
      <c r="AO325" s="34">
        <v>6</v>
      </c>
      <c r="AP325" s="34">
        <v>25</v>
      </c>
      <c r="AQ325" s="34">
        <v>16</v>
      </c>
      <c r="AR325" s="34">
        <v>1</v>
      </c>
      <c r="AS325" s="34">
        <v>0</v>
      </c>
      <c r="AT325" s="34" t="str">
        <v>1P</v>
      </c>
      <c r="AU325" s="34">
        <v>16</v>
      </c>
      <c r="AV325" s="34" t="str">
        <v/>
      </c>
      <c r="AW325" s="34" t="str">
        <v/>
      </c>
      <c r="AX325" s="34" t="str">
        <v/>
      </c>
      <c r="AY325" s="34">
        <v>1</v>
      </c>
      <c r="AZ325" s="34" t="str">
        <v/>
      </c>
      <c r="BA325" s="34">
        <v>0</v>
      </c>
      <c r="BB325" s="34">
        <v>0</v>
      </c>
      <c r="BD325" s="34">
        <v>1</v>
      </c>
      <c r="BE325" s="34">
        <v>0</v>
      </c>
      <c r="BF325" s="34">
        <v>0</v>
      </c>
      <c r="BG325" s="34" t="str">
        <v/>
      </c>
      <c r="BH325" s="34" t="str">
        <v/>
      </c>
      <c r="BI325" s="34" t="str">
        <v/>
      </c>
      <c r="BJ325" s="34" t="str">
        <v/>
      </c>
      <c r="BK325" s="34" t="str">
        <v>BOX</v>
      </c>
      <c r="BL325" s="34">
        <v>1</v>
      </c>
      <c r="BM325" s="34" t="str">
        <v/>
      </c>
      <c r="BN325" s="34" t="str">
        <v/>
      </c>
      <c r="BO325" s="34" t="str">
        <v/>
      </c>
      <c r="BP325" s="34" t="str">
        <v/>
      </c>
      <c r="BQ325" s="34" t="str">
        <v>3х2,5</v>
      </c>
      <c r="BR325" s="34" t="str">
        <v/>
      </c>
      <c r="BS325" s="34" t="str">
        <v/>
      </c>
      <c r="BT325" s="34" t="str">
        <v/>
      </c>
      <c r="BU325" s="34">
        <v>0</v>
      </c>
      <c r="BV325" s="34">
        <v>346</v>
      </c>
      <c r="BW325" s="34">
        <v>1</v>
      </c>
      <c r="BX325" s="34">
        <v>0</v>
      </c>
      <c r="BY325" s="34" t="str">
        <v/>
      </c>
      <c r="BZ325">
        <v>17</v>
      </c>
      <c r="CA325" t="str">
        <v>линии</v>
      </c>
    </row>
    <row r="326" spans="1:79" x14ac:dyDescent="0.3">
      <c r="A326" s="39" t="str">
        <v>ЩУОВ</v>
      </c>
      <c r="B326" s="42">
        <v>31</v>
      </c>
      <c r="C326" s="42">
        <v>2</v>
      </c>
      <c r="D326" s="75" t="str">
        <v/>
      </c>
      <c r="E326" s="75" t="str">
        <v>авто</v>
      </c>
      <c r="F326" s="76" t="str">
        <v/>
      </c>
      <c r="G326" s="47" t="str">
        <v>QF8</v>
      </c>
      <c r="H326" s="47" t="str">
        <v>1P С16А</v>
      </c>
      <c r="I326" s="75" t="str">
        <v/>
      </c>
      <c r="J326" s="76" t="str">
        <v/>
      </c>
      <c r="K326" s="76" t="str">
        <v/>
      </c>
      <c r="L326" s="75" t="str">
        <v/>
      </c>
      <c r="M326" s="49" t="str">
        <v/>
      </c>
      <c r="N326" s="76" t="str">
        <v/>
      </c>
      <c r="O326" s="49" t="str">
        <v/>
      </c>
      <c r="P326" s="77" t="str">
        <v/>
      </c>
      <c r="Q326" s="53" t="str">
        <v>ВВГнг(А)-LS (3х2,5) L=40-2,61%</v>
      </c>
      <c r="R326" s="54" t="str">
        <v>OV.4.1.1</v>
      </c>
      <c r="S326" s="55" t="str">
        <v>Обогревл ливнестоков Кровля</v>
      </c>
      <c r="T326" s="56">
        <v>1.92</v>
      </c>
      <c r="U326" s="56">
        <v>8.76</v>
      </c>
      <c r="V326" s="42" t="str">
        <v>L3</v>
      </c>
      <c r="W326" s="57" t="str">
        <v>ok</v>
      </c>
      <c r="X326" s="58" t="str">
        <v/>
      </c>
      <c r="Y326" s="75" t="str">
        <v/>
      </c>
      <c r="Z326" s="59">
        <v>8.7514146066638006</v>
      </c>
      <c r="AA326" s="61">
        <v>10</v>
      </c>
      <c r="AB326" s="61">
        <v>25</v>
      </c>
      <c r="AC326" s="61" t="str">
        <v/>
      </c>
      <c r="AD326" s="62" t="str">
        <v>QF8</v>
      </c>
      <c r="AE326" s="62" t="str">
        <v>потери 5,1 % &gt; 4 %</v>
      </c>
      <c r="AF326" s="34">
        <v>8</v>
      </c>
      <c r="AG326" s="34" t="str">
        <v>QF8</v>
      </c>
      <c r="AH326" s="34" t="str">
        <v/>
      </c>
      <c r="AI326" s="34" t="str">
        <v/>
      </c>
      <c r="AJ326" s="34" t="str">
        <v>QF8</v>
      </c>
      <c r="AK326" s="34">
        <v>1</v>
      </c>
      <c r="AL326" s="34" t="str">
        <v>OV</v>
      </c>
      <c r="AM326" s="34">
        <v>0</v>
      </c>
      <c r="AN326" s="34">
        <v>0</v>
      </c>
      <c r="AO326" s="34">
        <v>10</v>
      </c>
      <c r="AP326" s="34">
        <v>25</v>
      </c>
      <c r="AQ326" s="34">
        <v>16</v>
      </c>
      <c r="AR326" s="34">
        <v>1</v>
      </c>
      <c r="AS326" s="34">
        <v>0</v>
      </c>
      <c r="AT326" s="34" t="str">
        <v>1P</v>
      </c>
      <c r="AU326" s="34">
        <v>16</v>
      </c>
      <c r="AV326" s="34" t="str">
        <v/>
      </c>
      <c r="AW326" s="34" t="str">
        <v/>
      </c>
      <c r="AX326" s="34" t="str">
        <v/>
      </c>
      <c r="AY326" s="34">
        <v>1</v>
      </c>
      <c r="AZ326" s="34" t="str">
        <v/>
      </c>
      <c r="BA326" s="34">
        <v>0</v>
      </c>
      <c r="BB326" s="34">
        <v>0</v>
      </c>
      <c r="BD326" s="34">
        <v>1</v>
      </c>
      <c r="BE326" s="34">
        <v>0</v>
      </c>
      <c r="BF326" s="34">
        <v>0</v>
      </c>
      <c r="BG326" s="34" t="str">
        <v/>
      </c>
      <c r="BH326" s="34" t="str">
        <v/>
      </c>
      <c r="BI326" s="34" t="str">
        <v/>
      </c>
      <c r="BJ326" s="34" t="str">
        <v/>
      </c>
      <c r="BK326" s="34" t="str">
        <v>BOX</v>
      </c>
      <c r="BL326" s="34">
        <v>1</v>
      </c>
      <c r="BM326" s="34" t="str">
        <v/>
      </c>
      <c r="BN326" s="34" t="str">
        <v/>
      </c>
      <c r="BO326" s="34" t="str">
        <v/>
      </c>
      <c r="BP326" s="34" t="str">
        <v/>
      </c>
      <c r="BQ326" s="34" t="str">
        <v>3х2,5</v>
      </c>
      <c r="BR326" s="34" t="str">
        <v/>
      </c>
      <c r="BS326" s="34" t="str">
        <v/>
      </c>
      <c r="BT326" s="34" t="str">
        <v/>
      </c>
      <c r="BU326" s="34">
        <v>1</v>
      </c>
      <c r="BV326" s="34">
        <v>347</v>
      </c>
      <c r="BW326" s="34">
        <v>1</v>
      </c>
      <c r="BX326" s="34">
        <v>0</v>
      </c>
      <c r="BY326" s="34" t="str">
        <v/>
      </c>
      <c r="BZ326">
        <v>17</v>
      </c>
      <c r="CA326" t="str">
        <v>линии</v>
      </c>
    </row>
    <row r="327" spans="1:79" x14ac:dyDescent="0.3">
      <c r="A327" s="39" t="str">
        <v>ЩУОВ</v>
      </c>
      <c r="B327" s="42">
        <v>32</v>
      </c>
      <c r="C327" s="42">
        <v>2</v>
      </c>
      <c r="D327" s="75" t="str">
        <v/>
      </c>
      <c r="E327" s="75" t="str">
        <v>авто</v>
      </c>
      <c r="F327" s="76" t="str">
        <v/>
      </c>
      <c r="G327" s="47" t="str">
        <v>QF9</v>
      </c>
      <c r="H327" s="47" t="str">
        <v>1P С16А</v>
      </c>
      <c r="I327" s="75" t="str">
        <v/>
      </c>
      <c r="J327" s="76" t="str">
        <v/>
      </c>
      <c r="K327" s="76" t="str">
        <v/>
      </c>
      <c r="L327" s="75" t="str">
        <v/>
      </c>
      <c r="M327" s="49" t="str">
        <v/>
      </c>
      <c r="N327" s="76" t="str">
        <v/>
      </c>
      <c r="O327" s="49" t="str">
        <v/>
      </c>
      <c r="P327" s="77" t="str">
        <v/>
      </c>
      <c r="Q327" s="53" t="str">
        <v>ВВГнг(А)-LS (3х2,5) L=50-3,1%</v>
      </c>
      <c r="R327" s="54" t="str">
        <v>OV.4.1.2</v>
      </c>
      <c r="S327" s="55" t="str">
        <v>Обогревл ливнестоков Кровля</v>
      </c>
      <c r="T327" s="56">
        <v>1.83</v>
      </c>
      <c r="U327" s="56">
        <v>8.35</v>
      </c>
      <c r="V327" s="42" t="str">
        <v>L1</v>
      </c>
      <c r="W327" s="57" t="str">
        <v>ok</v>
      </c>
      <c r="X327" s="58" t="str">
        <v/>
      </c>
      <c r="Y327" s="75" t="str">
        <v/>
      </c>
      <c r="Z327" s="59">
        <v>8.3411920469764347</v>
      </c>
      <c r="AA327" s="61">
        <v>10</v>
      </c>
      <c r="AB327" s="61">
        <v>25</v>
      </c>
      <c r="AC327" s="61" t="str">
        <v/>
      </c>
      <c r="AD327" s="62" t="str">
        <v>QF9</v>
      </c>
      <c r="AE327" s="62" t="str">
        <v>потери 5,6 % &gt; 4 %</v>
      </c>
      <c r="AF327" s="34">
        <v>9</v>
      </c>
      <c r="AG327" s="34" t="str">
        <v>QF9</v>
      </c>
      <c r="AH327" s="34" t="str">
        <v/>
      </c>
      <c r="AI327" s="34" t="str">
        <v/>
      </c>
      <c r="AJ327" s="34" t="str">
        <v>QF9</v>
      </c>
      <c r="AK327" s="34">
        <v>1</v>
      </c>
      <c r="AL327" s="34" t="str">
        <v>OV</v>
      </c>
      <c r="AM327" s="34">
        <v>0</v>
      </c>
      <c r="AN327" s="34">
        <v>0</v>
      </c>
      <c r="AO327" s="34">
        <v>10</v>
      </c>
      <c r="AP327" s="34">
        <v>25</v>
      </c>
      <c r="AQ327" s="34">
        <v>16</v>
      </c>
      <c r="AR327" s="34">
        <v>1</v>
      </c>
      <c r="AS327" s="34">
        <v>0</v>
      </c>
      <c r="AT327" s="34" t="str">
        <v>1P</v>
      </c>
      <c r="AU327" s="34">
        <v>16</v>
      </c>
      <c r="AV327" s="34" t="str">
        <v/>
      </c>
      <c r="AW327" s="34" t="str">
        <v/>
      </c>
      <c r="AX327" s="34" t="str">
        <v/>
      </c>
      <c r="AY327" s="34">
        <v>1</v>
      </c>
      <c r="AZ327" s="34" t="str">
        <v/>
      </c>
      <c r="BA327" s="34">
        <v>0</v>
      </c>
      <c r="BB327" s="34">
        <v>0</v>
      </c>
      <c r="BD327" s="34">
        <v>1</v>
      </c>
      <c r="BE327" s="34">
        <v>0</v>
      </c>
      <c r="BF327" s="34">
        <v>0</v>
      </c>
      <c r="BG327" s="34" t="str">
        <v/>
      </c>
      <c r="BH327" s="34" t="str">
        <v/>
      </c>
      <c r="BI327" s="34" t="str">
        <v/>
      </c>
      <c r="BJ327" s="34" t="str">
        <v/>
      </c>
      <c r="BK327" s="34" t="str">
        <v>BOX</v>
      </c>
      <c r="BL327" s="34">
        <v>1</v>
      </c>
      <c r="BM327" s="34" t="str">
        <v/>
      </c>
      <c r="BN327" s="34" t="str">
        <v/>
      </c>
      <c r="BO327" s="34" t="str">
        <v/>
      </c>
      <c r="BP327" s="34" t="str">
        <v/>
      </c>
      <c r="BQ327" s="34" t="str">
        <v>3х2,5</v>
      </c>
      <c r="BR327" s="34" t="str">
        <v/>
      </c>
      <c r="BS327" s="34" t="str">
        <v/>
      </c>
      <c r="BT327" s="34" t="str">
        <v/>
      </c>
      <c r="BU327" s="34">
        <v>1</v>
      </c>
      <c r="BV327" s="34">
        <v>348</v>
      </c>
      <c r="BW327" s="34">
        <v>1</v>
      </c>
      <c r="BX327" s="34">
        <v>0</v>
      </c>
      <c r="BY327" s="34" t="str">
        <v/>
      </c>
      <c r="BZ327">
        <v>17</v>
      </c>
      <c r="CA327" t="str">
        <v>линии</v>
      </c>
    </row>
    <row r="328" spans="1:79" x14ac:dyDescent="0.3">
      <c r="A328" s="39" t="str">
        <v>ЩУОВ</v>
      </c>
      <c r="B328" s="42">
        <v>33</v>
      </c>
      <c r="C328" s="42">
        <v>2</v>
      </c>
      <c r="D328" s="75" t="str">
        <v/>
      </c>
      <c r="E328" s="75" t="str">
        <v>авто</v>
      </c>
      <c r="F328" s="76" t="str">
        <v/>
      </c>
      <c r="G328" s="47" t="str">
        <v>QF10</v>
      </c>
      <c r="H328" s="47" t="str">
        <v>1P С16А</v>
      </c>
      <c r="I328" s="75" t="str">
        <v/>
      </c>
      <c r="J328" s="76" t="str">
        <v/>
      </c>
      <c r="K328" s="76" t="str">
        <v/>
      </c>
      <c r="L328" s="75" t="str">
        <v/>
      </c>
      <c r="M328" s="49" t="str">
        <v/>
      </c>
      <c r="N328" s="76" t="str">
        <v/>
      </c>
      <c r="O328" s="49" t="str">
        <v/>
      </c>
      <c r="P328" s="77" t="str">
        <v/>
      </c>
      <c r="Q328" s="53" t="str">
        <v>ВВГнг(А)-LS (3х4) L=83-3,44%</v>
      </c>
      <c r="R328" s="54" t="str">
        <v>OV.4.1.3</v>
      </c>
      <c r="S328" s="55" t="str">
        <v>Обогревл ливнестоков Кровля</v>
      </c>
      <c r="T328" s="56">
        <v>1.95</v>
      </c>
      <c r="U328" s="56">
        <v>8.89</v>
      </c>
      <c r="V328" s="42" t="str">
        <v>L2</v>
      </c>
      <c r="W328" s="57" t="str">
        <v>ok</v>
      </c>
      <c r="X328" s="58" t="str">
        <v/>
      </c>
      <c r="Y328" s="75" t="str">
        <v/>
      </c>
      <c r="Z328" s="59">
        <v>8.8881554598929231</v>
      </c>
      <c r="AA328" s="61">
        <v>10</v>
      </c>
      <c r="AB328" s="61">
        <v>32</v>
      </c>
      <c r="AC328" s="61" t="str">
        <v/>
      </c>
      <c r="AD328" s="62" t="str">
        <v>QF10</v>
      </c>
      <c r="AE328" s="62" t="str">
        <v>потери 5,9 % &gt; 4 %</v>
      </c>
      <c r="AF328" s="34">
        <v>10</v>
      </c>
      <c r="AG328" s="34" t="str">
        <v>QF10</v>
      </c>
      <c r="AH328" s="34" t="str">
        <v/>
      </c>
      <c r="AI328" s="34" t="str">
        <v/>
      </c>
      <c r="AJ328" s="34" t="str">
        <v>QF10</v>
      </c>
      <c r="AK328" s="34">
        <v>1</v>
      </c>
      <c r="AL328" s="34" t="str">
        <v>OV</v>
      </c>
      <c r="AM328" s="34">
        <v>0</v>
      </c>
      <c r="AN328" s="34">
        <v>0</v>
      </c>
      <c r="AO328" s="34">
        <v>10</v>
      </c>
      <c r="AP328" s="34">
        <v>32</v>
      </c>
      <c r="AQ328" s="34">
        <v>16</v>
      </c>
      <c r="AR328" s="34">
        <v>1</v>
      </c>
      <c r="AS328" s="34">
        <v>0</v>
      </c>
      <c r="AT328" s="34" t="str">
        <v>1P</v>
      </c>
      <c r="AU328" s="34">
        <v>16</v>
      </c>
      <c r="AV328" s="34" t="str">
        <v/>
      </c>
      <c r="AW328" s="34" t="str">
        <v/>
      </c>
      <c r="AX328" s="34" t="str">
        <v/>
      </c>
      <c r="AY328" s="34">
        <v>1</v>
      </c>
      <c r="AZ328" s="34" t="str">
        <v/>
      </c>
      <c r="BA328" s="34">
        <v>0</v>
      </c>
      <c r="BB328" s="34">
        <v>0</v>
      </c>
      <c r="BD328" s="34">
        <v>1</v>
      </c>
      <c r="BE328" s="34">
        <v>0</v>
      </c>
      <c r="BF328" s="34">
        <v>0</v>
      </c>
      <c r="BG328" s="34" t="str">
        <v/>
      </c>
      <c r="BH328" s="34" t="str">
        <v/>
      </c>
      <c r="BI328" s="34" t="str">
        <v/>
      </c>
      <c r="BJ328" s="34" t="str">
        <v/>
      </c>
      <c r="BK328" s="34" t="str">
        <v>BOX</v>
      </c>
      <c r="BL328" s="34">
        <v>1</v>
      </c>
      <c r="BM328" s="34" t="str">
        <v/>
      </c>
      <c r="BN328" s="34" t="str">
        <v/>
      </c>
      <c r="BO328" s="34" t="str">
        <v/>
      </c>
      <c r="BP328" s="34" t="str">
        <v/>
      </c>
      <c r="BQ328" s="34" t="str">
        <v>3х4</v>
      </c>
      <c r="BR328" s="34" t="str">
        <v/>
      </c>
      <c r="BS328" s="34" t="str">
        <v/>
      </c>
      <c r="BT328" s="34" t="str">
        <v/>
      </c>
      <c r="BU328" s="34">
        <v>1</v>
      </c>
      <c r="BV328" s="34">
        <v>349</v>
      </c>
      <c r="BW328" s="34">
        <v>1</v>
      </c>
      <c r="BX328" s="34">
        <v>0</v>
      </c>
      <c r="BY328" s="34" t="str">
        <v/>
      </c>
      <c r="BZ328">
        <v>17</v>
      </c>
      <c r="CA328" t="str">
        <v>линии</v>
      </c>
    </row>
    <row r="329" spans="1:79" x14ac:dyDescent="0.3">
      <c r="A329" s="39" t="str">
        <v>ЩУОВ</v>
      </c>
      <c r="B329" s="42">
        <v>34</v>
      </c>
      <c r="C329" s="42">
        <v>2</v>
      </c>
      <c r="D329" s="75" t="str">
        <v/>
      </c>
      <c r="E329" s="75" t="str">
        <v>авто</v>
      </c>
      <c r="F329" s="76" t="str">
        <v/>
      </c>
      <c r="G329" s="47" t="str">
        <v>QF11</v>
      </c>
      <c r="H329" s="47" t="str">
        <v>1P С16А</v>
      </c>
      <c r="I329" s="75" t="str">
        <v/>
      </c>
      <c r="J329" s="76" t="str">
        <v/>
      </c>
      <c r="K329" s="76" t="str">
        <v/>
      </c>
      <c r="L329" s="75" t="str">
        <v/>
      </c>
      <c r="M329" s="49" t="str">
        <v/>
      </c>
      <c r="N329" s="76" t="str">
        <v/>
      </c>
      <c r="O329" s="49" t="str">
        <v/>
      </c>
      <c r="P329" s="77" t="str">
        <v/>
      </c>
      <c r="Q329" s="53" t="str">
        <v>ВВГнг(А)-LS (3х2,5) L=66-4,83%</v>
      </c>
      <c r="R329" s="54" t="str">
        <v>OV.4.1.4</v>
      </c>
      <c r="S329" s="55" t="str">
        <v>Обогревл ливнестоков Кровля</v>
      </c>
      <c r="T329" s="56">
        <v>2.16</v>
      </c>
      <c r="U329" s="56">
        <v>9.85</v>
      </c>
      <c r="V329" s="42" t="str">
        <v>L2</v>
      </c>
      <c r="W329" s="57" t="str">
        <v>ok</v>
      </c>
      <c r="X329" s="58" t="str">
        <v/>
      </c>
      <c r="Y329" s="75" t="str">
        <v/>
      </c>
      <c r="Z329" s="59">
        <v>9.8453414324967756</v>
      </c>
      <c r="AA329" s="61">
        <v>16</v>
      </c>
      <c r="AB329" s="61">
        <v>25</v>
      </c>
      <c r="AC329" s="61" t="str">
        <v/>
      </c>
      <c r="AD329" s="62" t="str">
        <v>QF11</v>
      </c>
      <c r="AE329" s="62" t="str">
        <v>потери 7,3 % &gt; 4 %</v>
      </c>
      <c r="AF329" s="34">
        <v>11</v>
      </c>
      <c r="AG329" s="34" t="str">
        <v>QF11</v>
      </c>
      <c r="AH329" s="34" t="str">
        <v/>
      </c>
      <c r="AI329" s="34" t="str">
        <v/>
      </c>
      <c r="AJ329" s="34" t="str">
        <v>QF11</v>
      </c>
      <c r="AK329" s="34">
        <v>1</v>
      </c>
      <c r="AL329" s="34" t="str">
        <v>OV</v>
      </c>
      <c r="AM329" s="34">
        <v>0</v>
      </c>
      <c r="AN329" s="34">
        <v>0</v>
      </c>
      <c r="AO329" s="34">
        <v>16</v>
      </c>
      <c r="AP329" s="34">
        <v>25</v>
      </c>
      <c r="AQ329" s="34">
        <v>16</v>
      </c>
      <c r="AR329" s="34">
        <v>1</v>
      </c>
      <c r="AS329" s="34">
        <v>0</v>
      </c>
      <c r="AT329" s="34" t="str">
        <v>1P</v>
      </c>
      <c r="AU329" s="34">
        <v>16</v>
      </c>
      <c r="AV329" s="34" t="str">
        <v/>
      </c>
      <c r="AW329" s="34" t="str">
        <v/>
      </c>
      <c r="AX329" s="34" t="str">
        <v/>
      </c>
      <c r="AY329" s="34">
        <v>1</v>
      </c>
      <c r="AZ329" s="34" t="str">
        <v/>
      </c>
      <c r="BA329" s="34">
        <v>0</v>
      </c>
      <c r="BB329" s="34">
        <v>0</v>
      </c>
      <c r="BD329" s="34">
        <v>1</v>
      </c>
      <c r="BE329" s="34">
        <v>0</v>
      </c>
      <c r="BF329" s="34">
        <v>0</v>
      </c>
      <c r="BG329" s="34" t="str">
        <v/>
      </c>
      <c r="BH329" s="34" t="str">
        <v/>
      </c>
      <c r="BI329" s="34" t="str">
        <v/>
      </c>
      <c r="BJ329" s="34" t="str">
        <v/>
      </c>
      <c r="BK329" s="34" t="str">
        <v>BOX</v>
      </c>
      <c r="BL329" s="34">
        <v>1</v>
      </c>
      <c r="BM329" s="34" t="str">
        <v/>
      </c>
      <c r="BN329" s="34" t="str">
        <v/>
      </c>
      <c r="BO329" s="34" t="str">
        <v/>
      </c>
      <c r="BP329" s="34" t="str">
        <v/>
      </c>
      <c r="BQ329" s="34" t="str">
        <v>3х2,5</v>
      </c>
      <c r="BR329" s="34" t="str">
        <v/>
      </c>
      <c r="BS329" s="34" t="str">
        <v/>
      </c>
      <c r="BT329" s="34" t="str">
        <v/>
      </c>
      <c r="BU329" s="34">
        <v>1</v>
      </c>
      <c r="BV329" s="34">
        <v>350</v>
      </c>
      <c r="BW329" s="34">
        <v>1</v>
      </c>
      <c r="BX329" s="34">
        <v>0</v>
      </c>
      <c r="BY329" s="34" t="str">
        <v/>
      </c>
      <c r="BZ329">
        <v>17</v>
      </c>
      <c r="CA329" t="str">
        <v>линии</v>
      </c>
    </row>
    <row r="330" spans="1:79" x14ac:dyDescent="0.3">
      <c r="A330" s="39"/>
      <c r="B330" s="42"/>
      <c r="C330" s="42"/>
      <c r="D330" s="75"/>
      <c r="E330" s="75"/>
      <c r="F330" s="76"/>
      <c r="G330" s="47"/>
      <c r="H330" s="47"/>
      <c r="I330" s="75"/>
      <c r="J330" s="76"/>
      <c r="K330" s="76"/>
      <c r="L330" s="75"/>
      <c r="M330" s="49"/>
      <c r="N330" s="76"/>
      <c r="O330" s="49"/>
      <c r="P330" s="77"/>
      <c r="Q330" s="53"/>
      <c r="R330" s="54"/>
      <c r="S330" s="55"/>
      <c r="T330" s="56"/>
      <c r="U330" s="56"/>
      <c r="V330" s="42"/>
      <c r="W330" s="57"/>
      <c r="X330" s="58"/>
      <c r="Y330" s="75"/>
      <c r="Z330" s="59"/>
      <c r="AA330" s="61"/>
      <c r="AB330" s="61"/>
      <c r="AC330" s="61"/>
      <c r="AD330" s="62"/>
      <c r="AE330" s="62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</row>
    <row r="331" spans="1:79" x14ac:dyDescent="0.3">
      <c r="A331" s="39"/>
      <c r="B331" s="42"/>
      <c r="C331" s="42"/>
      <c r="D331" s="75"/>
      <c r="E331" s="75"/>
      <c r="F331" s="76"/>
      <c r="G331" s="47"/>
      <c r="H331" s="47"/>
      <c r="I331" s="75"/>
      <c r="J331" s="76"/>
      <c r="K331" s="76"/>
      <c r="L331" s="75"/>
      <c r="M331" s="49"/>
      <c r="N331" s="76"/>
      <c r="O331" s="49"/>
      <c r="P331" s="77"/>
      <c r="Q331" s="53"/>
      <c r="R331" s="54"/>
      <c r="S331" s="55"/>
      <c r="T331" s="56"/>
      <c r="U331" s="56"/>
      <c r="V331" s="42"/>
      <c r="W331" s="57"/>
      <c r="X331" s="58"/>
      <c r="Y331" s="75"/>
      <c r="Z331" s="59"/>
      <c r="AA331" s="61"/>
      <c r="AB331" s="61"/>
      <c r="AC331" s="61"/>
      <c r="AD331" s="62"/>
      <c r="AE331" s="62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</row>
    <row r="332" spans="1:79" x14ac:dyDescent="0.3">
      <c r="A332" s="39"/>
      <c r="B332" s="42"/>
      <c r="C332" s="42"/>
      <c r="D332" s="75"/>
      <c r="E332" s="75"/>
      <c r="F332" s="76"/>
      <c r="G332" s="47"/>
      <c r="H332" s="47"/>
      <c r="I332" s="75"/>
      <c r="J332" s="76"/>
      <c r="K332" s="76"/>
      <c r="L332" s="75"/>
      <c r="M332" s="49"/>
      <c r="N332" s="76"/>
      <c r="O332" s="49"/>
      <c r="P332" s="77"/>
      <c r="Q332" s="53"/>
      <c r="R332" s="54"/>
      <c r="S332" s="55"/>
      <c r="T332" s="56"/>
      <c r="U332" s="56"/>
      <c r="V332" s="42"/>
      <c r="W332" s="57"/>
      <c r="X332" s="58"/>
      <c r="Y332" s="75"/>
      <c r="Z332" s="59"/>
      <c r="AA332" s="61"/>
      <c r="AB332" s="61"/>
      <c r="AC332" s="61"/>
      <c r="AD332" s="62"/>
      <c r="AE332" s="62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</row>
    <row r="333" spans="1:79" x14ac:dyDescent="0.3">
      <c r="A333" s="39"/>
      <c r="B333" s="42"/>
      <c r="C333" s="42"/>
      <c r="D333" s="75"/>
      <c r="E333" s="75"/>
      <c r="F333" s="76"/>
      <c r="G333" s="47"/>
      <c r="H333" s="47"/>
      <c r="I333" s="75"/>
      <c r="J333" s="76"/>
      <c r="K333" s="76"/>
      <c r="L333" s="75"/>
      <c r="M333" s="49"/>
      <c r="N333" s="76"/>
      <c r="O333" s="49"/>
      <c r="P333" s="77"/>
      <c r="Q333" s="53"/>
      <c r="R333" s="54"/>
      <c r="S333" s="55"/>
      <c r="T333" s="56"/>
      <c r="U333" s="56"/>
      <c r="V333" s="42"/>
      <c r="W333" s="57"/>
      <c r="X333" s="58"/>
      <c r="Y333" s="75"/>
      <c r="Z333" s="59"/>
      <c r="AA333" s="61"/>
      <c r="AB333" s="61"/>
      <c r="AC333" s="61"/>
      <c r="AD333" s="62"/>
      <c r="AE333" s="62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</row>
    <row r="334" spans="1:79" x14ac:dyDescent="0.3">
      <c r="A334" s="39"/>
      <c r="B334" s="42"/>
      <c r="C334" s="42"/>
      <c r="D334" s="75"/>
      <c r="E334" s="75"/>
      <c r="F334" s="76"/>
      <c r="G334" s="47"/>
      <c r="H334" s="47"/>
      <c r="I334" s="75"/>
      <c r="J334" s="76"/>
      <c r="K334" s="76"/>
      <c r="L334" s="75"/>
      <c r="M334" s="49"/>
      <c r="N334" s="76"/>
      <c r="O334" s="49"/>
      <c r="P334" s="77"/>
      <c r="Q334" s="53"/>
      <c r="R334" s="54"/>
      <c r="S334" s="55"/>
      <c r="T334" s="56"/>
      <c r="U334" s="56"/>
      <c r="V334" s="42"/>
      <c r="W334" s="57"/>
      <c r="X334" s="58"/>
      <c r="Y334" s="75"/>
      <c r="Z334" s="59"/>
      <c r="AA334" s="61"/>
      <c r="AB334" s="61"/>
      <c r="AC334" s="61"/>
      <c r="AD334" s="62"/>
      <c r="AE334" s="62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</row>
    <row r="335" spans="1:79" x14ac:dyDescent="0.3">
      <c r="A335" s="39"/>
      <c r="B335" s="42"/>
      <c r="C335" s="42"/>
      <c r="D335" s="75"/>
      <c r="E335" s="75"/>
      <c r="F335" s="76"/>
      <c r="G335" s="47"/>
      <c r="H335" s="47"/>
      <c r="I335" s="75"/>
      <c r="J335" s="76"/>
      <c r="K335" s="76"/>
      <c r="L335" s="75"/>
      <c r="M335" s="49"/>
      <c r="N335" s="76"/>
      <c r="O335" s="49"/>
      <c r="P335" s="77"/>
      <c r="Q335" s="53"/>
      <c r="R335" s="54"/>
      <c r="S335" s="55"/>
      <c r="T335" s="56"/>
      <c r="U335" s="56"/>
      <c r="V335" s="42"/>
      <c r="W335" s="57"/>
      <c r="X335" s="58"/>
      <c r="Y335" s="75"/>
      <c r="Z335" s="59"/>
      <c r="AA335" s="61"/>
      <c r="AB335" s="61"/>
      <c r="AC335" s="61"/>
      <c r="AD335" s="62"/>
      <c r="AE335" s="62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</row>
    <row r="336" spans="1:79" x14ac:dyDescent="0.3">
      <c r="A336" s="39"/>
      <c r="B336" s="42"/>
      <c r="C336" s="42"/>
      <c r="D336" s="75"/>
      <c r="E336" s="75"/>
      <c r="F336" s="76"/>
      <c r="G336" s="47"/>
      <c r="H336" s="47"/>
      <c r="I336" s="75"/>
      <c r="J336" s="76"/>
      <c r="K336" s="76"/>
      <c r="L336" s="75"/>
      <c r="M336" s="49"/>
      <c r="N336" s="76"/>
      <c r="O336" s="49"/>
      <c r="P336" s="77"/>
      <c r="Q336" s="53"/>
      <c r="R336" s="54"/>
      <c r="S336" s="55"/>
      <c r="T336" s="56"/>
      <c r="U336" s="56"/>
      <c r="V336" s="42"/>
      <c r="W336" s="57"/>
      <c r="X336" s="58"/>
      <c r="Y336" s="75"/>
      <c r="Z336" s="59"/>
      <c r="AA336" s="61"/>
      <c r="AB336" s="61"/>
      <c r="AC336" s="61"/>
      <c r="AD336" s="62"/>
      <c r="AE336" s="62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</row>
    <row r="337" spans="1:77" x14ac:dyDescent="0.3">
      <c r="A337" s="39"/>
      <c r="B337" s="42"/>
      <c r="C337" s="42"/>
      <c r="D337" s="75"/>
      <c r="E337" s="75"/>
      <c r="F337" s="76"/>
      <c r="G337" s="47"/>
      <c r="H337" s="47"/>
      <c r="I337" s="75"/>
      <c r="J337" s="76"/>
      <c r="K337" s="76"/>
      <c r="L337" s="75"/>
      <c r="M337" s="49"/>
      <c r="N337" s="76"/>
      <c r="O337" s="49"/>
      <c r="P337" s="77"/>
      <c r="Q337" s="53"/>
      <c r="R337" s="54"/>
      <c r="S337" s="55"/>
      <c r="T337" s="56"/>
      <c r="U337" s="56"/>
      <c r="V337" s="42"/>
      <c r="W337" s="57"/>
      <c r="X337" s="58"/>
      <c r="Y337" s="75"/>
      <c r="Z337" s="59"/>
      <c r="AA337" s="61"/>
      <c r="AB337" s="61"/>
      <c r="AC337" s="61"/>
      <c r="AD337" s="62"/>
      <c r="AE337" s="62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</row>
    <row r="338" spans="1:77" x14ac:dyDescent="0.3">
      <c r="A338" s="39"/>
      <c r="B338" s="42"/>
      <c r="C338" s="42"/>
      <c r="D338" s="75"/>
      <c r="E338" s="75"/>
      <c r="F338" s="76"/>
      <c r="G338" s="47"/>
      <c r="H338" s="47"/>
      <c r="I338" s="75"/>
      <c r="J338" s="76"/>
      <c r="K338" s="76"/>
      <c r="L338" s="75"/>
      <c r="M338" s="49"/>
      <c r="N338" s="76"/>
      <c r="O338" s="49"/>
      <c r="P338" s="77"/>
      <c r="Q338" s="53"/>
      <c r="R338" s="54"/>
      <c r="S338" s="55"/>
      <c r="T338" s="56"/>
      <c r="U338" s="56"/>
      <c r="V338" s="42"/>
      <c r="W338" s="57"/>
      <c r="X338" s="58"/>
      <c r="Y338" s="75"/>
      <c r="Z338" s="59"/>
      <c r="AA338" s="61"/>
      <c r="AB338" s="61"/>
      <c r="AC338" s="61"/>
      <c r="AD338" s="62"/>
      <c r="AE338" s="62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</row>
    <row r="339" spans="1:77" x14ac:dyDescent="0.3">
      <c r="A339" s="39"/>
      <c r="B339" s="42"/>
      <c r="C339" s="42"/>
      <c r="D339" s="75"/>
      <c r="E339" s="75"/>
      <c r="F339" s="76"/>
      <c r="G339" s="47"/>
      <c r="H339" s="47"/>
      <c r="I339" s="75"/>
      <c r="J339" s="76"/>
      <c r="K339" s="76"/>
      <c r="L339" s="75"/>
      <c r="M339" s="49"/>
      <c r="N339" s="76"/>
      <c r="O339" s="49"/>
      <c r="P339" s="77"/>
      <c r="Q339" s="53"/>
      <c r="R339" s="54"/>
      <c r="S339" s="55"/>
      <c r="T339" s="56"/>
      <c r="U339" s="56"/>
      <c r="V339" s="42"/>
      <c r="W339" s="57"/>
      <c r="X339" s="58"/>
      <c r="Y339" s="75"/>
      <c r="Z339" s="59"/>
      <c r="AA339" s="61"/>
      <c r="AB339" s="61"/>
      <c r="AC339" s="61"/>
      <c r="AD339" s="62"/>
      <c r="AE339" s="62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</row>
    <row r="340" spans="1:77" x14ac:dyDescent="0.3">
      <c r="A340" s="39"/>
      <c r="B340" s="42"/>
      <c r="C340" s="42"/>
      <c r="D340" s="75"/>
      <c r="E340" s="75"/>
      <c r="F340" s="76"/>
      <c r="G340" s="47"/>
      <c r="H340" s="47"/>
      <c r="I340" s="75"/>
      <c r="J340" s="76"/>
      <c r="K340" s="76"/>
      <c r="L340" s="75"/>
      <c r="M340" s="49"/>
      <c r="N340" s="76"/>
      <c r="O340" s="49"/>
      <c r="P340" s="77"/>
      <c r="Q340" s="53"/>
      <c r="R340" s="54"/>
      <c r="S340" s="55"/>
      <c r="T340" s="56"/>
      <c r="U340" s="56"/>
      <c r="V340" s="42"/>
      <c r="W340" s="57"/>
      <c r="X340" s="58"/>
      <c r="Y340" s="75"/>
      <c r="Z340" s="59"/>
      <c r="AA340" s="61"/>
      <c r="AB340" s="61"/>
      <c r="AC340" s="61"/>
      <c r="AD340" s="62"/>
      <c r="AE340" s="62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</row>
    <row r="341" spans="1:77" x14ac:dyDescent="0.3">
      <c r="A341" s="39"/>
      <c r="B341" s="42"/>
      <c r="C341" s="42"/>
      <c r="D341" s="75"/>
      <c r="E341" s="75"/>
      <c r="F341" s="76"/>
      <c r="G341" s="47"/>
      <c r="H341" s="47"/>
      <c r="I341" s="75"/>
      <c r="J341" s="76"/>
      <c r="K341" s="76"/>
      <c r="L341" s="75"/>
      <c r="M341" s="49"/>
      <c r="N341" s="76"/>
      <c r="O341" s="49"/>
      <c r="P341" s="77"/>
      <c r="Q341" s="53"/>
      <c r="R341" s="54"/>
      <c r="S341" s="55"/>
      <c r="T341" s="56"/>
      <c r="U341" s="56"/>
      <c r="V341" s="42"/>
      <c r="W341" s="57"/>
      <c r="X341" s="58"/>
      <c r="Y341" s="75"/>
      <c r="Z341" s="59"/>
      <c r="AA341" s="61"/>
      <c r="AB341" s="61"/>
      <c r="AC341" s="61"/>
      <c r="AD341" s="62"/>
      <c r="AE341" s="62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</row>
    <row r="342" spans="1:77" x14ac:dyDescent="0.3">
      <c r="A342" s="39"/>
      <c r="B342" s="42"/>
      <c r="C342" s="42"/>
      <c r="D342" s="75"/>
      <c r="E342" s="75"/>
      <c r="F342" s="76"/>
      <c r="G342" s="47"/>
      <c r="H342" s="47"/>
      <c r="I342" s="75"/>
      <c r="J342" s="76"/>
      <c r="K342" s="76"/>
      <c r="L342" s="75"/>
      <c r="M342" s="49"/>
      <c r="N342" s="76"/>
      <c r="O342" s="49"/>
      <c r="P342" s="77"/>
      <c r="Q342" s="53"/>
      <c r="R342" s="54"/>
      <c r="S342" s="55"/>
      <c r="T342" s="56"/>
      <c r="U342" s="56"/>
      <c r="V342" s="42"/>
      <c r="W342" s="57"/>
      <c r="X342" s="58"/>
      <c r="Y342" s="75"/>
      <c r="Z342" s="59"/>
      <c r="AA342" s="61"/>
      <c r="AB342" s="61"/>
      <c r="AC342" s="61"/>
      <c r="AD342" s="62"/>
      <c r="AE342" s="62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</row>
    <row r="343" spans="1:77" x14ac:dyDescent="0.3">
      <c r="A343" s="39"/>
      <c r="B343" s="42"/>
      <c r="C343" s="42"/>
      <c r="D343" s="75"/>
      <c r="E343" s="75"/>
      <c r="F343" s="76"/>
      <c r="G343" s="47"/>
      <c r="H343" s="47"/>
      <c r="I343" s="75"/>
      <c r="J343" s="76"/>
      <c r="K343" s="76"/>
      <c r="L343" s="75"/>
      <c r="M343" s="49"/>
      <c r="N343" s="76"/>
      <c r="O343" s="49"/>
      <c r="P343" s="77"/>
      <c r="Q343" s="53"/>
      <c r="R343" s="54"/>
      <c r="S343" s="55"/>
      <c r="T343" s="56"/>
      <c r="U343" s="56"/>
      <c r="V343" s="42"/>
      <c r="W343" s="57"/>
      <c r="X343" s="58"/>
      <c r="Y343" s="75"/>
      <c r="Z343" s="59"/>
      <c r="AA343" s="61"/>
      <c r="AB343" s="61"/>
      <c r="AC343" s="61"/>
      <c r="AD343" s="62"/>
      <c r="AE343" s="62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</row>
    <row r="344" spans="1:77" x14ac:dyDescent="0.3">
      <c r="A344" s="39"/>
      <c r="B344" s="42"/>
      <c r="C344" s="42"/>
      <c r="D344" s="75"/>
      <c r="E344" s="75"/>
      <c r="F344" s="76"/>
      <c r="G344" s="47"/>
      <c r="H344" s="47"/>
      <c r="I344" s="75"/>
      <c r="J344" s="76"/>
      <c r="K344" s="76"/>
      <c r="L344" s="75"/>
      <c r="M344" s="49"/>
      <c r="N344" s="76"/>
      <c r="O344" s="49"/>
      <c r="P344" s="77"/>
      <c r="Q344" s="53"/>
      <c r="R344" s="54"/>
      <c r="S344" s="55"/>
      <c r="T344" s="56"/>
      <c r="U344" s="56"/>
      <c r="V344" s="42"/>
      <c r="W344" s="57"/>
      <c r="X344" s="58"/>
      <c r="Y344" s="75"/>
      <c r="Z344" s="59"/>
      <c r="AA344" s="61"/>
      <c r="AB344" s="61"/>
      <c r="AC344" s="61"/>
      <c r="AD344" s="62"/>
      <c r="AE344" s="62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</row>
    <row r="345" spans="1:77" x14ac:dyDescent="0.3">
      <c r="A345" s="39"/>
      <c r="B345" s="42"/>
      <c r="C345" s="42"/>
      <c r="D345" s="75"/>
      <c r="E345" s="75"/>
      <c r="F345" s="76"/>
      <c r="G345" s="47"/>
      <c r="H345" s="47"/>
      <c r="I345" s="75"/>
      <c r="J345" s="76"/>
      <c r="K345" s="76"/>
      <c r="L345" s="75"/>
      <c r="M345" s="49"/>
      <c r="N345" s="76"/>
      <c r="O345" s="49"/>
      <c r="P345" s="77"/>
      <c r="Q345" s="53"/>
      <c r="R345" s="54"/>
      <c r="S345" s="55"/>
      <c r="T345" s="56"/>
      <c r="U345" s="56"/>
      <c r="V345" s="42"/>
      <c r="W345" s="57"/>
      <c r="X345" s="58"/>
      <c r="Y345" s="75"/>
      <c r="Z345" s="59"/>
      <c r="AA345" s="61"/>
      <c r="AB345" s="61"/>
      <c r="AC345" s="61"/>
      <c r="AD345" s="62"/>
      <c r="AE345" s="62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</row>
    <row r="346" spans="1:77" x14ac:dyDescent="0.3">
      <c r="A346" s="39"/>
      <c r="B346" s="42"/>
      <c r="C346" s="42"/>
      <c r="D346" s="75"/>
      <c r="E346" s="75"/>
      <c r="F346" s="76"/>
      <c r="G346" s="47"/>
      <c r="H346" s="47"/>
      <c r="I346" s="75"/>
      <c r="J346" s="76"/>
      <c r="K346" s="76"/>
      <c r="L346" s="75"/>
      <c r="M346" s="49"/>
      <c r="N346" s="76"/>
      <c r="O346" s="49"/>
      <c r="P346" s="77"/>
      <c r="Q346" s="53"/>
      <c r="R346" s="54"/>
      <c r="S346" s="55"/>
      <c r="T346" s="56"/>
      <c r="U346" s="56"/>
      <c r="V346" s="42"/>
      <c r="W346" s="57"/>
      <c r="X346" s="58"/>
      <c r="Y346" s="75"/>
      <c r="Z346" s="59"/>
      <c r="AA346" s="61"/>
      <c r="AB346" s="61"/>
      <c r="AC346" s="61"/>
      <c r="AD346" s="62"/>
      <c r="AE346" s="62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</row>
    <row r="347" spans="1:77" x14ac:dyDescent="0.3">
      <c r="A347" s="39"/>
      <c r="B347" s="42"/>
      <c r="C347" s="42"/>
      <c r="D347" s="75"/>
      <c r="E347" s="75"/>
      <c r="F347" s="76"/>
      <c r="G347" s="47"/>
      <c r="H347" s="47"/>
      <c r="I347" s="75"/>
      <c r="J347" s="76"/>
      <c r="K347" s="76"/>
      <c r="L347" s="75"/>
      <c r="M347" s="49"/>
      <c r="N347" s="76"/>
      <c r="O347" s="49"/>
      <c r="P347" s="77"/>
      <c r="Q347" s="53"/>
      <c r="R347" s="54"/>
      <c r="S347" s="55"/>
      <c r="T347" s="56"/>
      <c r="U347" s="56"/>
      <c r="V347" s="42"/>
      <c r="W347" s="57"/>
      <c r="X347" s="58"/>
      <c r="Y347" s="75"/>
      <c r="Z347" s="59"/>
      <c r="AA347" s="61"/>
      <c r="AB347" s="61"/>
      <c r="AC347" s="61"/>
      <c r="AD347" s="62"/>
      <c r="AE347" s="62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</row>
    <row r="348" spans="1:77" x14ac:dyDescent="0.3">
      <c r="A348" s="39"/>
      <c r="B348" s="42"/>
      <c r="C348" s="42"/>
      <c r="D348" s="75"/>
      <c r="E348" s="75"/>
      <c r="F348" s="76"/>
      <c r="G348" s="47"/>
      <c r="H348" s="47"/>
      <c r="I348" s="75"/>
      <c r="J348" s="76"/>
      <c r="K348" s="76"/>
      <c r="L348" s="75"/>
      <c r="M348" s="49"/>
      <c r="N348" s="76"/>
      <c r="O348" s="49"/>
      <c r="P348" s="77"/>
      <c r="Q348" s="53"/>
      <c r="R348" s="54"/>
      <c r="S348" s="55"/>
      <c r="T348" s="56"/>
      <c r="U348" s="56"/>
      <c r="V348" s="42"/>
      <c r="W348" s="57"/>
      <c r="X348" s="58"/>
      <c r="Y348" s="75"/>
      <c r="Z348" s="59"/>
      <c r="AA348" s="61"/>
      <c r="AB348" s="61"/>
      <c r="AC348" s="61"/>
      <c r="AD348" s="62"/>
      <c r="AE348" s="62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</row>
    <row r="349" spans="1:77" x14ac:dyDescent="0.3">
      <c r="A349" s="39"/>
      <c r="B349" s="42"/>
      <c r="C349" s="42"/>
      <c r="D349" s="75"/>
      <c r="E349" s="75"/>
      <c r="F349" s="76"/>
      <c r="G349" s="47"/>
      <c r="H349" s="47"/>
      <c r="I349" s="75"/>
      <c r="J349" s="76"/>
      <c r="K349" s="76"/>
      <c r="L349" s="75"/>
      <c r="M349" s="49"/>
      <c r="N349" s="76"/>
      <c r="O349" s="49"/>
      <c r="P349" s="77"/>
      <c r="Q349" s="53"/>
      <c r="R349" s="54"/>
      <c r="S349" s="55"/>
      <c r="T349" s="56"/>
      <c r="U349" s="56"/>
      <c r="V349" s="42"/>
      <c r="W349" s="57"/>
      <c r="X349" s="58"/>
      <c r="Y349" s="75"/>
      <c r="Z349" s="59"/>
      <c r="AA349" s="61"/>
      <c r="AB349" s="61"/>
      <c r="AC349" s="61"/>
      <c r="AD349" s="62"/>
      <c r="AE349" s="62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</row>
    <row r="350" spans="1:77" x14ac:dyDescent="0.3">
      <c r="A350" s="39"/>
      <c r="B350" s="42"/>
      <c r="C350" s="42"/>
      <c r="D350" s="75"/>
      <c r="E350" s="75"/>
      <c r="F350" s="76"/>
      <c r="G350" s="47"/>
      <c r="H350" s="47"/>
      <c r="I350" s="75"/>
      <c r="J350" s="76"/>
      <c r="K350" s="76"/>
      <c r="L350" s="75"/>
      <c r="M350" s="49"/>
      <c r="N350" s="76"/>
      <c r="O350" s="49"/>
      <c r="P350" s="77"/>
      <c r="Q350" s="53"/>
      <c r="R350" s="54"/>
      <c r="S350" s="55"/>
      <c r="T350" s="56"/>
      <c r="U350" s="56"/>
      <c r="V350" s="42"/>
      <c r="W350" s="57"/>
      <c r="X350" s="58"/>
      <c r="Y350" s="75"/>
      <c r="Z350" s="59"/>
      <c r="AA350" s="61"/>
      <c r="AB350" s="61"/>
      <c r="AC350" s="61"/>
      <c r="AD350" s="62"/>
      <c r="AE350" s="62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</row>
    <row r="351" spans="1:77" x14ac:dyDescent="0.3">
      <c r="A351" s="39"/>
      <c r="B351" s="42"/>
      <c r="C351" s="42"/>
      <c r="D351" s="75"/>
      <c r="E351" s="75"/>
      <c r="F351" s="76"/>
      <c r="G351" s="47"/>
      <c r="H351" s="47"/>
      <c r="I351" s="75"/>
      <c r="J351" s="76"/>
      <c r="K351" s="76"/>
      <c r="L351" s="75"/>
      <c r="M351" s="49"/>
      <c r="N351" s="76"/>
      <c r="O351" s="49"/>
      <c r="P351" s="77"/>
      <c r="Q351" s="53"/>
      <c r="R351" s="54"/>
      <c r="S351" s="55"/>
      <c r="T351" s="56"/>
      <c r="U351" s="56"/>
      <c r="V351" s="42"/>
      <c r="W351" s="57"/>
      <c r="X351" s="58"/>
      <c r="Y351" s="75"/>
      <c r="Z351" s="59"/>
      <c r="AA351" s="61"/>
      <c r="AB351" s="61"/>
      <c r="AC351" s="61"/>
      <c r="AD351" s="62"/>
      <c r="AE351" s="62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</row>
    <row r="352" spans="1:77" x14ac:dyDescent="0.3">
      <c r="A352" s="39"/>
      <c r="B352" s="42"/>
      <c r="C352" s="42"/>
      <c r="D352" s="75"/>
      <c r="E352" s="75"/>
      <c r="F352" s="76"/>
      <c r="G352" s="47"/>
      <c r="H352" s="47"/>
      <c r="I352" s="75"/>
      <c r="J352" s="76"/>
      <c r="K352" s="76"/>
      <c r="L352" s="75"/>
      <c r="M352" s="49"/>
      <c r="N352" s="76"/>
      <c r="O352" s="49"/>
      <c r="P352" s="77"/>
      <c r="Q352" s="53"/>
      <c r="R352" s="54"/>
      <c r="S352" s="55"/>
      <c r="T352" s="56"/>
      <c r="U352" s="56"/>
      <c r="V352" s="42"/>
      <c r="W352" s="57"/>
      <c r="X352" s="58"/>
      <c r="Y352" s="75"/>
      <c r="Z352" s="59"/>
      <c r="AA352" s="61"/>
      <c r="AB352" s="61"/>
      <c r="AC352" s="61"/>
      <c r="AD352" s="62"/>
      <c r="AE352" s="62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</row>
    <row r="353" spans="1:77" x14ac:dyDescent="0.3">
      <c r="A353" s="39"/>
      <c r="B353" s="42"/>
      <c r="C353" s="42"/>
      <c r="D353" s="75"/>
      <c r="E353" s="75"/>
      <c r="F353" s="76"/>
      <c r="G353" s="47"/>
      <c r="H353" s="47"/>
      <c r="I353" s="75"/>
      <c r="J353" s="76"/>
      <c r="K353" s="76"/>
      <c r="L353" s="75"/>
      <c r="M353" s="49"/>
      <c r="N353" s="76"/>
      <c r="O353" s="49"/>
      <c r="P353" s="77"/>
      <c r="Q353" s="53"/>
      <c r="R353" s="54"/>
      <c r="S353" s="55"/>
      <c r="T353" s="56"/>
      <c r="U353" s="56"/>
      <c r="V353" s="42"/>
      <c r="W353" s="57"/>
      <c r="X353" s="58"/>
      <c r="Y353" s="75"/>
      <c r="Z353" s="59"/>
      <c r="AA353" s="61"/>
      <c r="AB353" s="61"/>
      <c r="AC353" s="61"/>
      <c r="AD353" s="62"/>
      <c r="AE353" s="62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</row>
    <row r="354" spans="1:77" x14ac:dyDescent="0.3">
      <c r="A354" s="39"/>
      <c r="B354" s="42"/>
      <c r="C354" s="42"/>
      <c r="D354" s="75"/>
      <c r="E354" s="75"/>
      <c r="F354" s="76"/>
      <c r="G354" s="47"/>
      <c r="H354" s="47"/>
      <c r="I354" s="75"/>
      <c r="J354" s="76"/>
      <c r="K354" s="76"/>
      <c r="L354" s="75"/>
      <c r="M354" s="49"/>
      <c r="N354" s="76"/>
      <c r="O354" s="49"/>
      <c r="P354" s="77"/>
      <c r="Q354" s="53"/>
      <c r="R354" s="54"/>
      <c r="S354" s="55"/>
      <c r="T354" s="56"/>
      <c r="U354" s="56"/>
      <c r="V354" s="42"/>
      <c r="W354" s="57"/>
      <c r="X354" s="58"/>
      <c r="Y354" s="75"/>
      <c r="Z354" s="59"/>
      <c r="AA354" s="61"/>
      <c r="AB354" s="61"/>
      <c r="AC354" s="61"/>
      <c r="AD354" s="62"/>
      <c r="AE354" s="62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</row>
    <row r="355" spans="1:77" x14ac:dyDescent="0.3">
      <c r="A355" s="39"/>
      <c r="B355" s="42"/>
      <c r="C355" s="42"/>
      <c r="D355" s="75"/>
      <c r="E355" s="75"/>
      <c r="F355" s="76"/>
      <c r="G355" s="47"/>
      <c r="H355" s="47"/>
      <c r="I355" s="75"/>
      <c r="J355" s="76"/>
      <c r="K355" s="76"/>
      <c r="L355" s="75"/>
      <c r="M355" s="49"/>
      <c r="N355" s="76"/>
      <c r="O355" s="49"/>
      <c r="P355" s="77"/>
      <c r="Q355" s="53"/>
      <c r="R355" s="54"/>
      <c r="S355" s="55"/>
      <c r="T355" s="56"/>
      <c r="U355" s="56"/>
      <c r="V355" s="42"/>
      <c r="W355" s="57"/>
      <c r="X355" s="58"/>
      <c r="Y355" s="75"/>
      <c r="Z355" s="59"/>
      <c r="AA355" s="61"/>
      <c r="AB355" s="61"/>
      <c r="AC355" s="61"/>
      <c r="AD355" s="62"/>
      <c r="AE355" s="62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</row>
    <row r="356" spans="1:77" x14ac:dyDescent="0.3">
      <c r="A356" s="39"/>
      <c r="B356" s="42"/>
      <c r="C356" s="42"/>
      <c r="D356" s="75"/>
      <c r="E356" s="75"/>
      <c r="F356" s="76"/>
      <c r="G356" s="47"/>
      <c r="H356" s="47"/>
      <c r="I356" s="75"/>
      <c r="J356" s="76"/>
      <c r="K356" s="76"/>
      <c r="L356" s="75"/>
      <c r="M356" s="49"/>
      <c r="N356" s="76"/>
      <c r="O356" s="49"/>
      <c r="P356" s="77"/>
      <c r="Q356" s="53"/>
      <c r="R356" s="54"/>
      <c r="S356" s="55"/>
      <c r="T356" s="56"/>
      <c r="U356" s="56"/>
      <c r="V356" s="42"/>
      <c r="W356" s="57"/>
      <c r="X356" s="58"/>
      <c r="Y356" s="75"/>
      <c r="Z356" s="59"/>
      <c r="AA356" s="61"/>
      <c r="AB356" s="61"/>
      <c r="AC356" s="61"/>
      <c r="AD356" s="62"/>
      <c r="AE356" s="62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</row>
    <row r="357" spans="1:77" x14ac:dyDescent="0.3">
      <c r="A357" s="39"/>
      <c r="B357" s="42"/>
      <c r="C357" s="42"/>
      <c r="D357" s="75"/>
      <c r="E357" s="75"/>
      <c r="F357" s="76"/>
      <c r="G357" s="47"/>
      <c r="H357" s="47"/>
      <c r="I357" s="75"/>
      <c r="J357" s="76"/>
      <c r="K357" s="76"/>
      <c r="L357" s="75"/>
      <c r="M357" s="49"/>
      <c r="N357" s="76"/>
      <c r="O357" s="49"/>
      <c r="P357" s="77"/>
      <c r="Q357" s="53"/>
      <c r="R357" s="54"/>
      <c r="S357" s="55"/>
      <c r="T357" s="56"/>
      <c r="U357" s="56"/>
      <c r="V357" s="42"/>
      <c r="W357" s="57"/>
      <c r="X357" s="58"/>
      <c r="Y357" s="75"/>
      <c r="Z357" s="59"/>
      <c r="AA357" s="61"/>
      <c r="AB357" s="61"/>
      <c r="AC357" s="61"/>
      <c r="AD357" s="62"/>
      <c r="AE357" s="62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</row>
    <row r="358" spans="1:77" x14ac:dyDescent="0.3">
      <c r="A358" s="39"/>
      <c r="B358" s="42"/>
      <c r="C358" s="42"/>
      <c r="D358" s="75"/>
      <c r="E358" s="75"/>
      <c r="F358" s="76"/>
      <c r="G358" s="47"/>
      <c r="H358" s="47"/>
      <c r="I358" s="75"/>
      <c r="J358" s="76"/>
      <c r="K358" s="76"/>
      <c r="L358" s="75"/>
      <c r="M358" s="49"/>
      <c r="N358" s="76"/>
      <c r="O358" s="49"/>
      <c r="P358" s="77"/>
      <c r="Q358" s="53"/>
      <c r="R358" s="54"/>
      <c r="S358" s="55"/>
      <c r="T358" s="56"/>
      <c r="U358" s="56"/>
      <c r="V358" s="42"/>
      <c r="W358" s="57"/>
      <c r="X358" s="58"/>
      <c r="Y358" s="75"/>
      <c r="Z358" s="59"/>
      <c r="AA358" s="61"/>
      <c r="AB358" s="61"/>
      <c r="AC358" s="61"/>
      <c r="AD358" s="62"/>
      <c r="AE358" s="62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</row>
    <row r="359" spans="1:77" x14ac:dyDescent="0.3">
      <c r="A359" s="39"/>
      <c r="B359" s="42"/>
      <c r="C359" s="42"/>
      <c r="D359" s="75"/>
      <c r="E359" s="75"/>
      <c r="F359" s="76"/>
      <c r="G359" s="47"/>
      <c r="H359" s="47"/>
      <c r="I359" s="75"/>
      <c r="J359" s="76"/>
      <c r="K359" s="76"/>
      <c r="L359" s="75"/>
      <c r="M359" s="49"/>
      <c r="N359" s="76"/>
      <c r="O359" s="49"/>
      <c r="P359" s="77"/>
      <c r="Q359" s="53"/>
      <c r="R359" s="54"/>
      <c r="S359" s="55"/>
      <c r="T359" s="56"/>
      <c r="U359" s="56"/>
      <c r="V359" s="42"/>
      <c r="W359" s="57"/>
      <c r="X359" s="58"/>
      <c r="Y359" s="75"/>
      <c r="Z359" s="59"/>
      <c r="AA359" s="61"/>
      <c r="AB359" s="61"/>
      <c r="AC359" s="61"/>
      <c r="AD359" s="62"/>
      <c r="AE359" s="62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</row>
    <row r="360" spans="1:77" x14ac:dyDescent="0.3">
      <c r="A360" s="39"/>
      <c r="B360" s="42"/>
      <c r="C360" s="42"/>
      <c r="D360" s="75"/>
      <c r="E360" s="75"/>
      <c r="F360" s="76"/>
      <c r="G360" s="47"/>
      <c r="H360" s="47"/>
      <c r="I360" s="75"/>
      <c r="J360" s="76"/>
      <c r="K360" s="76"/>
      <c r="L360" s="75"/>
      <c r="M360" s="49"/>
      <c r="N360" s="76"/>
      <c r="O360" s="49"/>
      <c r="P360" s="77"/>
      <c r="Q360" s="53"/>
      <c r="R360" s="54"/>
      <c r="S360" s="55"/>
      <c r="T360" s="56"/>
      <c r="U360" s="56"/>
      <c r="V360" s="42"/>
      <c r="W360" s="57"/>
      <c r="X360" s="58"/>
      <c r="Y360" s="75"/>
      <c r="Z360" s="59"/>
      <c r="AA360" s="61"/>
      <c r="AB360" s="61"/>
      <c r="AC360" s="61"/>
      <c r="AD360" s="62"/>
      <c r="AE360" s="62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</row>
    <row r="361" spans="1:77" x14ac:dyDescent="0.3">
      <c r="A361" s="39"/>
      <c r="B361" s="42"/>
      <c r="C361" s="42"/>
      <c r="D361" s="75"/>
      <c r="E361" s="75"/>
      <c r="F361" s="76"/>
      <c r="G361" s="47"/>
      <c r="H361" s="47"/>
      <c r="I361" s="75"/>
      <c r="J361" s="76"/>
      <c r="K361" s="76"/>
      <c r="L361" s="75"/>
      <c r="M361" s="49"/>
      <c r="N361" s="76"/>
      <c r="O361" s="49"/>
      <c r="P361" s="77"/>
      <c r="Q361" s="53"/>
      <c r="R361" s="54"/>
      <c r="S361" s="55"/>
      <c r="T361" s="56"/>
      <c r="U361" s="56"/>
      <c r="V361" s="42"/>
      <c r="W361" s="57"/>
      <c r="X361" s="58"/>
      <c r="Y361" s="75"/>
      <c r="Z361" s="59"/>
      <c r="AA361" s="61"/>
      <c r="AB361" s="61"/>
      <c r="AC361" s="61"/>
      <c r="AD361" s="62"/>
      <c r="AE361" s="62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</row>
    <row r="362" spans="1:77" x14ac:dyDescent="0.3">
      <c r="A362" s="39"/>
      <c r="B362" s="42"/>
      <c r="C362" s="42"/>
      <c r="D362" s="75"/>
      <c r="E362" s="75"/>
      <c r="F362" s="76"/>
      <c r="G362" s="47"/>
      <c r="H362" s="47"/>
      <c r="I362" s="75"/>
      <c r="J362" s="76"/>
      <c r="K362" s="76"/>
      <c r="L362" s="75"/>
      <c r="M362" s="49"/>
      <c r="N362" s="76"/>
      <c r="O362" s="49"/>
      <c r="P362" s="77"/>
      <c r="Q362" s="53"/>
      <c r="R362" s="54"/>
      <c r="S362" s="55"/>
      <c r="T362" s="56"/>
      <c r="U362" s="56"/>
      <c r="V362" s="42"/>
      <c r="W362" s="57"/>
      <c r="X362" s="58"/>
      <c r="Y362" s="75"/>
      <c r="Z362" s="59"/>
      <c r="AA362" s="61"/>
      <c r="AB362" s="61"/>
      <c r="AC362" s="61"/>
      <c r="AD362" s="62"/>
      <c r="AE362" s="62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</row>
    <row r="363" spans="1:77" x14ac:dyDescent="0.3">
      <c r="A363" s="39"/>
      <c r="B363" s="42"/>
      <c r="C363" s="42"/>
      <c r="D363" s="75"/>
      <c r="E363" s="75"/>
      <c r="F363" s="76"/>
      <c r="G363" s="47"/>
      <c r="H363" s="47"/>
      <c r="I363" s="75"/>
      <c r="J363" s="76"/>
      <c r="K363" s="76"/>
      <c r="L363" s="75"/>
      <c r="M363" s="49"/>
      <c r="N363" s="76"/>
      <c r="O363" s="49"/>
      <c r="P363" s="77"/>
      <c r="Q363" s="53"/>
      <c r="R363" s="54"/>
      <c r="S363" s="55"/>
      <c r="T363" s="56"/>
      <c r="U363" s="56"/>
      <c r="V363" s="42"/>
      <c r="W363" s="57"/>
      <c r="X363" s="58"/>
      <c r="Y363" s="75"/>
      <c r="Z363" s="59"/>
      <c r="AA363" s="61"/>
      <c r="AB363" s="61"/>
      <c r="AC363" s="61"/>
      <c r="AD363" s="62"/>
      <c r="AE363" s="62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</row>
    <row r="364" spans="1:77" x14ac:dyDescent="0.3">
      <c r="A364" s="39"/>
      <c r="B364" s="42"/>
      <c r="C364" s="42"/>
      <c r="D364" s="75"/>
      <c r="E364" s="75"/>
      <c r="F364" s="76"/>
      <c r="G364" s="47"/>
      <c r="H364" s="47"/>
      <c r="I364" s="75"/>
      <c r="J364" s="76"/>
      <c r="K364" s="76"/>
      <c r="L364" s="75"/>
      <c r="M364" s="49"/>
      <c r="N364" s="76"/>
      <c r="O364" s="49"/>
      <c r="P364" s="77"/>
      <c r="Q364" s="53"/>
      <c r="R364" s="54"/>
      <c r="S364" s="55"/>
      <c r="T364" s="56"/>
      <c r="U364" s="56"/>
      <c r="V364" s="42"/>
      <c r="W364" s="57"/>
      <c r="X364" s="58"/>
      <c r="Y364" s="75"/>
      <c r="Z364" s="59"/>
      <c r="AA364" s="61"/>
      <c r="AB364" s="61"/>
      <c r="AC364" s="61"/>
      <c r="AD364" s="62"/>
      <c r="AE364" s="62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</row>
    <row r="365" spans="1:77" x14ac:dyDescent="0.3">
      <c r="A365" s="39"/>
      <c r="B365" s="42"/>
      <c r="C365" s="42"/>
      <c r="D365" s="75"/>
      <c r="E365" s="75"/>
      <c r="F365" s="76"/>
      <c r="G365" s="47"/>
      <c r="H365" s="47"/>
      <c r="I365" s="75"/>
      <c r="J365" s="76"/>
      <c r="K365" s="76"/>
      <c r="L365" s="75"/>
      <c r="M365" s="49"/>
      <c r="N365" s="76"/>
      <c r="O365" s="49"/>
      <c r="P365" s="77"/>
      <c r="Q365" s="53"/>
      <c r="R365" s="54"/>
      <c r="S365" s="55"/>
      <c r="T365" s="56"/>
      <c r="U365" s="56"/>
      <c r="V365" s="42"/>
      <c r="W365" s="57"/>
      <c r="X365" s="58"/>
      <c r="Y365" s="75"/>
      <c r="Z365" s="59"/>
      <c r="AA365" s="61"/>
      <c r="AB365" s="61"/>
      <c r="AC365" s="61"/>
      <c r="AD365" s="62"/>
      <c r="AE365" s="62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</row>
    <row r="366" spans="1:77" x14ac:dyDescent="0.3">
      <c r="A366" s="39"/>
      <c r="B366" s="42"/>
      <c r="C366" s="42"/>
      <c r="D366" s="75"/>
      <c r="E366" s="75"/>
      <c r="F366" s="76"/>
      <c r="G366" s="47"/>
      <c r="H366" s="47"/>
      <c r="I366" s="75"/>
      <c r="J366" s="76"/>
      <c r="K366" s="76"/>
      <c r="L366" s="75"/>
      <c r="M366" s="49"/>
      <c r="N366" s="76"/>
      <c r="O366" s="49"/>
      <c r="P366" s="77"/>
      <c r="Q366" s="53"/>
      <c r="R366" s="54"/>
      <c r="S366" s="55"/>
      <c r="T366" s="56"/>
      <c r="U366" s="56"/>
      <c r="V366" s="42"/>
      <c r="W366" s="57"/>
      <c r="X366" s="58"/>
      <c r="Y366" s="75"/>
      <c r="Z366" s="59"/>
      <c r="AA366" s="61"/>
      <c r="AB366" s="61"/>
      <c r="AC366" s="61"/>
      <c r="AD366" s="62"/>
      <c r="AE366" s="62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</row>
    <row r="367" spans="1:77" x14ac:dyDescent="0.3">
      <c r="A367" s="39"/>
      <c r="B367" s="42"/>
      <c r="C367" s="42"/>
      <c r="D367" s="75"/>
      <c r="E367" s="75"/>
      <c r="F367" s="76"/>
      <c r="G367" s="47"/>
      <c r="H367" s="47"/>
      <c r="I367" s="75"/>
      <c r="J367" s="76"/>
      <c r="K367" s="76"/>
      <c r="L367" s="75"/>
      <c r="M367" s="49"/>
      <c r="N367" s="76"/>
      <c r="O367" s="49"/>
      <c r="P367" s="77"/>
      <c r="Q367" s="53"/>
      <c r="R367" s="54"/>
      <c r="S367" s="55"/>
      <c r="T367" s="56"/>
      <c r="U367" s="56"/>
      <c r="V367" s="42"/>
      <c r="W367" s="57"/>
      <c r="X367" s="58"/>
      <c r="Y367" s="75"/>
      <c r="Z367" s="59"/>
      <c r="AA367" s="61"/>
      <c r="AB367" s="61"/>
      <c r="AC367" s="61"/>
      <c r="AD367" s="62"/>
      <c r="AE367" s="62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</row>
    <row r="368" spans="1:77" x14ac:dyDescent="0.3">
      <c r="A368" s="39"/>
      <c r="B368" s="42"/>
      <c r="C368" s="42"/>
      <c r="D368" s="75"/>
      <c r="E368" s="75"/>
      <c r="F368" s="76"/>
      <c r="G368" s="47"/>
      <c r="H368" s="47"/>
      <c r="I368" s="75"/>
      <c r="J368" s="76"/>
      <c r="K368" s="76"/>
      <c r="L368" s="75"/>
      <c r="M368" s="49"/>
      <c r="N368" s="76"/>
      <c r="O368" s="49"/>
      <c r="P368" s="77"/>
      <c r="Q368" s="53"/>
      <c r="R368" s="54"/>
      <c r="S368" s="55"/>
      <c r="T368" s="56"/>
      <c r="U368" s="56"/>
      <c r="V368" s="42"/>
      <c r="W368" s="57"/>
      <c r="X368" s="58"/>
      <c r="Y368" s="75"/>
      <c r="Z368" s="59"/>
      <c r="AA368" s="61"/>
      <c r="AB368" s="61"/>
      <c r="AC368" s="61"/>
      <c r="AD368" s="62"/>
      <c r="AE368" s="62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</row>
    <row r="369" spans="1:77" x14ac:dyDescent="0.3">
      <c r="A369" s="39"/>
      <c r="B369" s="42"/>
      <c r="C369" s="42"/>
      <c r="D369" s="75"/>
      <c r="E369" s="75"/>
      <c r="F369" s="76"/>
      <c r="G369" s="47"/>
      <c r="H369" s="47"/>
      <c r="I369" s="75"/>
      <c r="J369" s="76"/>
      <c r="K369" s="76"/>
      <c r="L369" s="75"/>
      <c r="M369" s="49"/>
      <c r="N369" s="76"/>
      <c r="O369" s="49"/>
      <c r="P369" s="77"/>
      <c r="Q369" s="53"/>
      <c r="R369" s="54"/>
      <c r="S369" s="55"/>
      <c r="T369" s="56"/>
      <c r="U369" s="56"/>
      <c r="V369" s="42"/>
      <c r="W369" s="57"/>
      <c r="X369" s="58"/>
      <c r="Y369" s="75"/>
      <c r="Z369" s="59"/>
      <c r="AA369" s="61"/>
      <c r="AB369" s="61"/>
      <c r="AC369" s="61"/>
      <c r="AD369" s="62"/>
      <c r="AE369" s="62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</row>
    <row r="370" spans="1:77" x14ac:dyDescent="0.3">
      <c r="A370" s="39"/>
      <c r="B370" s="42"/>
      <c r="C370" s="42"/>
      <c r="D370" s="75"/>
      <c r="E370" s="75"/>
      <c r="F370" s="76"/>
      <c r="G370" s="47"/>
      <c r="H370" s="47"/>
      <c r="I370" s="75"/>
      <c r="J370" s="76"/>
      <c r="K370" s="76"/>
      <c r="L370" s="75"/>
      <c r="M370" s="49"/>
      <c r="N370" s="76"/>
      <c r="O370" s="49"/>
      <c r="P370" s="77"/>
      <c r="Q370" s="53"/>
      <c r="R370" s="54"/>
      <c r="S370" s="55"/>
      <c r="T370" s="56"/>
      <c r="U370" s="56"/>
      <c r="V370" s="42"/>
      <c r="W370" s="57"/>
      <c r="X370" s="58"/>
      <c r="Y370" s="75"/>
      <c r="Z370" s="59"/>
      <c r="AA370" s="61"/>
      <c r="AB370" s="61"/>
      <c r="AC370" s="61"/>
      <c r="AD370" s="62"/>
      <c r="AE370" s="62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</row>
    <row r="371" spans="1:77" x14ac:dyDescent="0.3">
      <c r="A371" s="39"/>
      <c r="B371" s="42"/>
      <c r="C371" s="42"/>
      <c r="D371" s="75"/>
      <c r="E371" s="75"/>
      <c r="F371" s="76"/>
      <c r="G371" s="47"/>
      <c r="H371" s="47"/>
      <c r="I371" s="75"/>
      <c r="J371" s="76"/>
      <c r="K371" s="76"/>
      <c r="L371" s="75"/>
      <c r="M371" s="49"/>
      <c r="N371" s="76"/>
      <c r="O371" s="49"/>
      <c r="P371" s="77"/>
      <c r="Q371" s="53"/>
      <c r="R371" s="54"/>
      <c r="S371" s="55"/>
      <c r="T371" s="56"/>
      <c r="U371" s="56"/>
      <c r="V371" s="42"/>
      <c r="W371" s="57"/>
      <c r="X371" s="58"/>
      <c r="Y371" s="75"/>
      <c r="Z371" s="59"/>
      <c r="AA371" s="61"/>
      <c r="AB371" s="61"/>
      <c r="AC371" s="61"/>
      <c r="AD371" s="62"/>
      <c r="AE371" s="62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</row>
    <row r="372" spans="1:77" x14ac:dyDescent="0.3">
      <c r="A372" s="39"/>
      <c r="B372" s="42"/>
      <c r="C372" s="42"/>
      <c r="D372" s="75"/>
      <c r="E372" s="75"/>
      <c r="F372" s="76"/>
      <c r="G372" s="47"/>
      <c r="H372" s="47"/>
      <c r="I372" s="75"/>
      <c r="J372" s="76"/>
      <c r="K372" s="76"/>
      <c r="L372" s="75"/>
      <c r="M372" s="49"/>
      <c r="N372" s="76"/>
      <c r="O372" s="49"/>
      <c r="P372" s="77"/>
      <c r="Q372" s="53"/>
      <c r="R372" s="54"/>
      <c r="S372" s="55"/>
      <c r="T372" s="56"/>
      <c r="U372" s="56"/>
      <c r="V372" s="42"/>
      <c r="W372" s="57"/>
      <c r="X372" s="58"/>
      <c r="Y372" s="75"/>
      <c r="Z372" s="59"/>
      <c r="AA372" s="61"/>
      <c r="AB372" s="61"/>
      <c r="AC372" s="61"/>
      <c r="AD372" s="62"/>
      <c r="AE372" s="62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</row>
    <row r="373" spans="1:77" x14ac:dyDescent="0.3">
      <c r="A373" s="39"/>
      <c r="B373" s="42"/>
      <c r="C373" s="42"/>
      <c r="D373" s="75"/>
      <c r="E373" s="75"/>
      <c r="F373" s="76"/>
      <c r="G373" s="47"/>
      <c r="H373" s="47"/>
      <c r="I373" s="75"/>
      <c r="J373" s="76"/>
      <c r="K373" s="76"/>
      <c r="L373" s="75"/>
      <c r="M373" s="49"/>
      <c r="N373" s="76"/>
      <c r="O373" s="49"/>
      <c r="P373" s="77"/>
      <c r="Q373" s="53"/>
      <c r="R373" s="54"/>
      <c r="S373" s="55"/>
      <c r="T373" s="56"/>
      <c r="U373" s="56"/>
      <c r="V373" s="42"/>
      <c r="W373" s="57"/>
      <c r="X373" s="58"/>
      <c r="Y373" s="75"/>
      <c r="Z373" s="59"/>
      <c r="AA373" s="61"/>
      <c r="AB373" s="61"/>
      <c r="AC373" s="61"/>
      <c r="AD373" s="62"/>
      <c r="AE373" s="62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</row>
    <row r="374" spans="1:77" x14ac:dyDescent="0.3">
      <c r="A374" s="39"/>
      <c r="B374" s="42"/>
      <c r="C374" s="42"/>
      <c r="D374" s="75"/>
      <c r="E374" s="75"/>
      <c r="F374" s="76"/>
      <c r="G374" s="47"/>
      <c r="H374" s="47"/>
      <c r="I374" s="75"/>
      <c r="J374" s="76"/>
      <c r="K374" s="76"/>
      <c r="L374" s="75"/>
      <c r="M374" s="49"/>
      <c r="N374" s="76"/>
      <c r="O374" s="49"/>
      <c r="P374" s="77"/>
      <c r="Q374" s="53"/>
      <c r="R374" s="54"/>
      <c r="S374" s="55"/>
      <c r="T374" s="56"/>
      <c r="U374" s="56"/>
      <c r="V374" s="42"/>
      <c r="W374" s="57"/>
      <c r="X374" s="58"/>
      <c r="Y374" s="75"/>
      <c r="Z374" s="59"/>
      <c r="AA374" s="61"/>
      <c r="AB374" s="61"/>
      <c r="AC374" s="61"/>
      <c r="AD374" s="62"/>
      <c r="AE374" s="62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</row>
    <row r="375" spans="1:77" x14ac:dyDescent="0.3">
      <c r="A375" s="39"/>
      <c r="B375" s="42"/>
      <c r="C375" s="42"/>
      <c r="D375" s="75"/>
      <c r="E375" s="75"/>
      <c r="F375" s="76"/>
      <c r="G375" s="47"/>
      <c r="H375" s="47"/>
      <c r="I375" s="75"/>
      <c r="J375" s="76"/>
      <c r="K375" s="76"/>
      <c r="L375" s="75"/>
      <c r="M375" s="49"/>
      <c r="N375" s="76"/>
      <c r="O375" s="49"/>
      <c r="P375" s="77"/>
      <c r="Q375" s="53"/>
      <c r="R375" s="54"/>
      <c r="S375" s="55"/>
      <c r="T375" s="56"/>
      <c r="U375" s="56"/>
      <c r="V375" s="42"/>
      <c r="W375" s="57"/>
      <c r="X375" s="58"/>
      <c r="Y375" s="75"/>
      <c r="Z375" s="59"/>
      <c r="AA375" s="61"/>
      <c r="AB375" s="61"/>
      <c r="AC375" s="61"/>
      <c r="AD375" s="62"/>
      <c r="AE375" s="62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</row>
    <row r="376" spans="1:77" x14ac:dyDescent="0.3">
      <c r="A376" s="39"/>
      <c r="B376" s="42"/>
      <c r="C376" s="42"/>
      <c r="D376" s="75"/>
      <c r="E376" s="75"/>
      <c r="F376" s="76"/>
      <c r="G376" s="47"/>
      <c r="H376" s="47"/>
      <c r="I376" s="75"/>
      <c r="J376" s="76"/>
      <c r="K376" s="76"/>
      <c r="L376" s="75"/>
      <c r="M376" s="49"/>
      <c r="N376" s="76"/>
      <c r="O376" s="49"/>
      <c r="P376" s="77"/>
      <c r="Q376" s="53"/>
      <c r="R376" s="54"/>
      <c r="S376" s="55"/>
      <c r="T376" s="56"/>
      <c r="U376" s="56"/>
      <c r="V376" s="42"/>
      <c r="W376" s="57"/>
      <c r="X376" s="58"/>
      <c r="Y376" s="75"/>
      <c r="Z376" s="59"/>
      <c r="AA376" s="61"/>
      <c r="AB376" s="61"/>
      <c r="AC376" s="61"/>
      <c r="AD376" s="62"/>
      <c r="AE376" s="62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</row>
    <row r="377" spans="1:77" x14ac:dyDescent="0.3">
      <c r="A377" s="39"/>
      <c r="B377" s="42"/>
      <c r="C377" s="42"/>
      <c r="D377" s="75"/>
      <c r="E377" s="75"/>
      <c r="F377" s="76"/>
      <c r="G377" s="47"/>
      <c r="H377" s="47"/>
      <c r="I377" s="75"/>
      <c r="J377" s="76"/>
      <c r="K377" s="76"/>
      <c r="L377" s="75"/>
      <c r="M377" s="49"/>
      <c r="N377" s="76"/>
      <c r="O377" s="49"/>
      <c r="P377" s="77"/>
      <c r="Q377" s="53"/>
      <c r="R377" s="54"/>
      <c r="S377" s="55"/>
      <c r="T377" s="56"/>
      <c r="U377" s="56"/>
      <c r="V377" s="42"/>
      <c r="W377" s="57"/>
      <c r="X377" s="58"/>
      <c r="Y377" s="75"/>
      <c r="Z377" s="59"/>
      <c r="AA377" s="61"/>
      <c r="AB377" s="61"/>
      <c r="AC377" s="61"/>
      <c r="AD377" s="62"/>
      <c r="AE377" s="62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</row>
    <row r="378" spans="1:77" x14ac:dyDescent="0.3">
      <c r="A378" s="39"/>
      <c r="B378" s="42"/>
      <c r="C378" s="42"/>
      <c r="D378" s="75"/>
      <c r="E378" s="75"/>
      <c r="F378" s="76"/>
      <c r="G378" s="47"/>
      <c r="H378" s="47"/>
      <c r="I378" s="75"/>
      <c r="J378" s="76"/>
      <c r="K378" s="76"/>
      <c r="L378" s="75"/>
      <c r="M378" s="49"/>
      <c r="N378" s="76"/>
      <c r="O378" s="49"/>
      <c r="P378" s="77"/>
      <c r="Q378" s="53"/>
      <c r="R378" s="54"/>
      <c r="S378" s="55"/>
      <c r="T378" s="56"/>
      <c r="U378" s="56"/>
      <c r="V378" s="42"/>
      <c r="W378" s="57"/>
      <c r="X378" s="58"/>
      <c r="Y378" s="75"/>
      <c r="Z378" s="59"/>
      <c r="AA378" s="61"/>
      <c r="AB378" s="61"/>
      <c r="AC378" s="61"/>
      <c r="AD378" s="62"/>
      <c r="AE378" s="62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</row>
    <row r="379" spans="1:77" x14ac:dyDescent="0.3">
      <c r="A379" s="39"/>
      <c r="B379" s="42"/>
      <c r="C379" s="42"/>
      <c r="D379" s="75"/>
      <c r="E379" s="75"/>
      <c r="F379" s="76"/>
      <c r="G379" s="47"/>
      <c r="H379" s="47"/>
      <c r="I379" s="75"/>
      <c r="J379" s="76"/>
      <c r="K379" s="76"/>
      <c r="L379" s="75"/>
      <c r="M379" s="49"/>
      <c r="N379" s="76"/>
      <c r="O379" s="49"/>
      <c r="P379" s="77"/>
      <c r="Q379" s="53"/>
      <c r="R379" s="54"/>
      <c r="S379" s="55"/>
      <c r="T379" s="56"/>
      <c r="U379" s="56"/>
      <c r="V379" s="42"/>
      <c r="W379" s="57"/>
      <c r="X379" s="58"/>
      <c r="Y379" s="75"/>
      <c r="Z379" s="59"/>
      <c r="AA379" s="61"/>
      <c r="AB379" s="61"/>
      <c r="AC379" s="61"/>
      <c r="AD379" s="62"/>
      <c r="AE379" s="62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</row>
    <row r="380" spans="1:77" x14ac:dyDescent="0.3">
      <c r="A380" s="39"/>
      <c r="B380" s="42"/>
      <c r="C380" s="42"/>
      <c r="D380" s="75"/>
      <c r="E380" s="75"/>
      <c r="F380" s="76"/>
      <c r="G380" s="47"/>
      <c r="H380" s="47"/>
      <c r="I380" s="75"/>
      <c r="J380" s="76"/>
      <c r="K380" s="76"/>
      <c r="L380" s="75"/>
      <c r="M380" s="49"/>
      <c r="N380" s="76"/>
      <c r="O380" s="49"/>
      <c r="P380" s="77"/>
      <c r="Q380" s="53"/>
      <c r="R380" s="54"/>
      <c r="S380" s="55"/>
      <c r="T380" s="56"/>
      <c r="U380" s="56"/>
      <c r="V380" s="42"/>
      <c r="W380" s="57"/>
      <c r="X380" s="58"/>
      <c r="Y380" s="75"/>
      <c r="Z380" s="59"/>
      <c r="AA380" s="61"/>
      <c r="AB380" s="61"/>
      <c r="AC380" s="61"/>
      <c r="AD380" s="62"/>
      <c r="AE380" s="62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</row>
    <row r="381" spans="1:77" x14ac:dyDescent="0.3">
      <c r="A381" s="39"/>
      <c r="B381" s="42"/>
      <c r="C381" s="42"/>
      <c r="D381" s="75"/>
      <c r="E381" s="75"/>
      <c r="F381" s="76"/>
      <c r="G381" s="47"/>
      <c r="H381" s="47"/>
      <c r="I381" s="75"/>
      <c r="J381" s="76"/>
      <c r="K381" s="76"/>
      <c r="L381" s="75"/>
      <c r="M381" s="49"/>
      <c r="N381" s="76"/>
      <c r="O381" s="49"/>
      <c r="P381" s="77"/>
      <c r="Q381" s="53"/>
      <c r="R381" s="54"/>
      <c r="S381" s="55"/>
      <c r="T381" s="56"/>
      <c r="U381" s="56"/>
      <c r="V381" s="42"/>
      <c r="W381" s="57"/>
      <c r="X381" s="58"/>
      <c r="Y381" s="75"/>
      <c r="Z381" s="59"/>
      <c r="AA381" s="61"/>
      <c r="AB381" s="61"/>
      <c r="AC381" s="61"/>
      <c r="AD381" s="62"/>
      <c r="AE381" s="62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</row>
    <row r="382" spans="1:77" x14ac:dyDescent="0.3">
      <c r="A382" s="39"/>
      <c r="B382" s="42"/>
      <c r="C382" s="42"/>
      <c r="D382" s="75"/>
      <c r="E382" s="75"/>
      <c r="F382" s="76"/>
      <c r="G382" s="47"/>
      <c r="H382" s="47"/>
      <c r="I382" s="75"/>
      <c r="J382" s="76"/>
      <c r="K382" s="76"/>
      <c r="L382" s="75"/>
      <c r="M382" s="49"/>
      <c r="N382" s="76"/>
      <c r="O382" s="49"/>
      <c r="P382" s="77"/>
      <c r="Q382" s="53"/>
      <c r="R382" s="54"/>
      <c r="S382" s="55"/>
      <c r="T382" s="56"/>
      <c r="U382" s="56"/>
      <c r="V382" s="42"/>
      <c r="W382" s="57"/>
      <c r="X382" s="58"/>
      <c r="Y382" s="75"/>
      <c r="Z382" s="59"/>
      <c r="AA382" s="61"/>
      <c r="AB382" s="61"/>
      <c r="AC382" s="61"/>
      <c r="AD382" s="62"/>
      <c r="AE382" s="62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</row>
    <row r="383" spans="1:77" x14ac:dyDescent="0.3">
      <c r="A383" s="39"/>
      <c r="B383" s="42"/>
      <c r="C383" s="42"/>
      <c r="D383" s="75"/>
      <c r="E383" s="75"/>
      <c r="F383" s="76"/>
      <c r="G383" s="47"/>
      <c r="H383" s="47"/>
      <c r="I383" s="75"/>
      <c r="J383" s="76"/>
      <c r="K383" s="76"/>
      <c r="L383" s="75"/>
      <c r="M383" s="49"/>
      <c r="N383" s="76"/>
      <c r="O383" s="49"/>
      <c r="P383" s="77"/>
      <c r="Q383" s="53"/>
      <c r="R383" s="54"/>
      <c r="S383" s="55"/>
      <c r="T383" s="56"/>
      <c r="U383" s="56"/>
      <c r="V383" s="42"/>
      <c r="W383" s="57"/>
      <c r="X383" s="58"/>
      <c r="Y383" s="75"/>
      <c r="Z383" s="59"/>
      <c r="AA383" s="61"/>
      <c r="AB383" s="61"/>
      <c r="AC383" s="61"/>
      <c r="AD383" s="62"/>
      <c r="AE383" s="62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</row>
    <row r="384" spans="1:77" x14ac:dyDescent="0.3">
      <c r="A384" s="39"/>
      <c r="B384" s="42"/>
      <c r="C384" s="42"/>
      <c r="D384" s="75"/>
      <c r="E384" s="75"/>
      <c r="F384" s="76"/>
      <c r="G384" s="47"/>
      <c r="H384" s="47"/>
      <c r="I384" s="75"/>
      <c r="J384" s="76"/>
      <c r="K384" s="76"/>
      <c r="L384" s="75"/>
      <c r="M384" s="49"/>
      <c r="N384" s="76"/>
      <c r="O384" s="49"/>
      <c r="P384" s="77"/>
      <c r="Q384" s="53"/>
      <c r="R384" s="54"/>
      <c r="S384" s="55"/>
      <c r="T384" s="56"/>
      <c r="U384" s="56"/>
      <c r="V384" s="42"/>
      <c r="W384" s="57"/>
      <c r="X384" s="58"/>
      <c r="Y384" s="75"/>
      <c r="Z384" s="59"/>
      <c r="AA384" s="61"/>
      <c r="AB384" s="61"/>
      <c r="AC384" s="61"/>
      <c r="AD384" s="62"/>
      <c r="AE384" s="62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</row>
    <row r="385" spans="1:77" x14ac:dyDescent="0.3">
      <c r="A385" s="39"/>
      <c r="B385" s="42"/>
      <c r="C385" s="42"/>
      <c r="D385" s="75"/>
      <c r="E385" s="75"/>
      <c r="F385" s="76"/>
      <c r="G385" s="47"/>
      <c r="H385" s="47"/>
      <c r="I385" s="75"/>
      <c r="J385" s="76"/>
      <c r="K385" s="76"/>
      <c r="L385" s="75"/>
      <c r="M385" s="49"/>
      <c r="N385" s="76"/>
      <c r="O385" s="49"/>
      <c r="P385" s="77"/>
      <c r="Q385" s="53"/>
      <c r="R385" s="54"/>
      <c r="S385" s="55"/>
      <c r="T385" s="56"/>
      <c r="U385" s="56"/>
      <c r="V385" s="42"/>
      <c r="W385" s="57"/>
      <c r="X385" s="58"/>
      <c r="Y385" s="75"/>
      <c r="Z385" s="59"/>
      <c r="AA385" s="61"/>
      <c r="AB385" s="61"/>
      <c r="AC385" s="61"/>
      <c r="AD385" s="62"/>
      <c r="AE385" s="62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</row>
    <row r="386" spans="1:77" x14ac:dyDescent="0.3">
      <c r="A386" s="39"/>
      <c r="B386" s="42"/>
      <c r="C386" s="42"/>
      <c r="D386" s="75"/>
      <c r="E386" s="75"/>
      <c r="F386" s="76"/>
      <c r="G386" s="47"/>
      <c r="H386" s="47"/>
      <c r="I386" s="75"/>
      <c r="J386" s="76"/>
      <c r="K386" s="76"/>
      <c r="L386" s="75"/>
      <c r="M386" s="49"/>
      <c r="N386" s="76"/>
      <c r="O386" s="49"/>
      <c r="P386" s="77"/>
      <c r="Q386" s="53"/>
      <c r="R386" s="54"/>
      <c r="S386" s="55"/>
      <c r="T386" s="56"/>
      <c r="U386" s="56"/>
      <c r="V386" s="42"/>
      <c r="W386" s="57"/>
      <c r="X386" s="58"/>
      <c r="Y386" s="75"/>
      <c r="Z386" s="59"/>
      <c r="AA386" s="61"/>
      <c r="AB386" s="61"/>
      <c r="AC386" s="61"/>
      <c r="AD386" s="62"/>
      <c r="AE386" s="62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</row>
    <row r="387" spans="1:77" x14ac:dyDescent="0.3">
      <c r="A387" s="39"/>
      <c r="B387" s="42"/>
      <c r="C387" s="42"/>
      <c r="D387" s="75"/>
      <c r="E387" s="75"/>
      <c r="F387" s="76"/>
      <c r="G387" s="47"/>
      <c r="H387" s="47"/>
      <c r="I387" s="75"/>
      <c r="J387" s="76"/>
      <c r="K387" s="76"/>
      <c r="L387" s="75"/>
      <c r="M387" s="49"/>
      <c r="N387" s="76"/>
      <c r="O387" s="49"/>
      <c r="P387" s="77"/>
      <c r="Q387" s="53"/>
      <c r="R387" s="54"/>
      <c r="S387" s="55"/>
      <c r="T387" s="56"/>
      <c r="U387" s="56"/>
      <c r="V387" s="42"/>
      <c r="W387" s="57"/>
      <c r="X387" s="58"/>
      <c r="Y387" s="75"/>
      <c r="Z387" s="59"/>
      <c r="AA387" s="61"/>
      <c r="AB387" s="61"/>
      <c r="AC387" s="61"/>
      <c r="AD387" s="62"/>
      <c r="AE387" s="62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</row>
    <row r="388" spans="1:77" x14ac:dyDescent="0.3">
      <c r="A388" s="39"/>
      <c r="B388" s="42"/>
      <c r="C388" s="42"/>
      <c r="D388" s="75"/>
      <c r="E388" s="75"/>
      <c r="F388" s="76"/>
      <c r="G388" s="47"/>
      <c r="H388" s="47"/>
      <c r="I388" s="75"/>
      <c r="J388" s="76"/>
      <c r="K388" s="76"/>
      <c r="L388" s="75"/>
      <c r="M388" s="49"/>
      <c r="N388" s="76"/>
      <c r="O388" s="49"/>
      <c r="P388" s="77"/>
      <c r="Q388" s="53"/>
      <c r="R388" s="54"/>
      <c r="S388" s="55"/>
      <c r="T388" s="56"/>
      <c r="U388" s="56"/>
      <c r="V388" s="42"/>
      <c r="W388" s="57"/>
      <c r="X388" s="58"/>
      <c r="Y388" s="75"/>
      <c r="Z388" s="59"/>
      <c r="AA388" s="61"/>
      <c r="AB388" s="61"/>
      <c r="AC388" s="61"/>
      <c r="AD388" s="62"/>
      <c r="AE388" s="62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</row>
    <row r="389" spans="1:77" x14ac:dyDescent="0.3">
      <c r="A389" s="39"/>
      <c r="B389" s="42"/>
      <c r="C389" s="42"/>
      <c r="D389" s="75"/>
      <c r="E389" s="75"/>
      <c r="F389" s="76"/>
      <c r="G389" s="47"/>
      <c r="H389" s="47"/>
      <c r="I389" s="75"/>
      <c r="J389" s="76"/>
      <c r="K389" s="76"/>
      <c r="L389" s="75"/>
      <c r="M389" s="49"/>
      <c r="N389" s="76"/>
      <c r="O389" s="49"/>
      <c r="P389" s="77"/>
      <c r="Q389" s="53"/>
      <c r="R389" s="54"/>
      <c r="S389" s="55"/>
      <c r="T389" s="56"/>
      <c r="U389" s="56"/>
      <c r="V389" s="42"/>
      <c r="W389" s="57"/>
      <c r="X389" s="58"/>
      <c r="Y389" s="75"/>
      <c r="Z389" s="59"/>
      <c r="AA389" s="61"/>
      <c r="AB389" s="61"/>
      <c r="AC389" s="61"/>
      <c r="AD389" s="62"/>
      <c r="AE389" s="62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</row>
    <row r="390" spans="1:77" x14ac:dyDescent="0.3">
      <c r="A390" s="39"/>
      <c r="B390" s="42"/>
      <c r="C390" s="42"/>
      <c r="D390" s="75"/>
      <c r="E390" s="75"/>
      <c r="F390" s="76"/>
      <c r="G390" s="47"/>
      <c r="H390" s="47"/>
      <c r="I390" s="75"/>
      <c r="J390" s="76"/>
      <c r="K390" s="76"/>
      <c r="L390" s="75"/>
      <c r="M390" s="49"/>
      <c r="N390" s="76"/>
      <c r="O390" s="49"/>
      <c r="P390" s="77"/>
      <c r="Q390" s="53"/>
      <c r="R390" s="54"/>
      <c r="S390" s="55"/>
      <c r="T390" s="56"/>
      <c r="U390" s="56"/>
      <c r="V390" s="42"/>
      <c r="W390" s="57"/>
      <c r="X390" s="58"/>
      <c r="Y390" s="75"/>
      <c r="Z390" s="59"/>
      <c r="AA390" s="61"/>
      <c r="AB390" s="61"/>
      <c r="AC390" s="61"/>
      <c r="AD390" s="62"/>
      <c r="AE390" s="62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</row>
    <row r="391" spans="1:77" x14ac:dyDescent="0.3">
      <c r="A391" s="39"/>
      <c r="B391" s="42"/>
      <c r="C391" s="42"/>
      <c r="D391" s="75"/>
      <c r="E391" s="75"/>
      <c r="F391" s="76"/>
      <c r="G391" s="47"/>
      <c r="H391" s="47"/>
      <c r="I391" s="75"/>
      <c r="J391" s="76"/>
      <c r="K391" s="76"/>
      <c r="L391" s="75"/>
      <c r="M391" s="49"/>
      <c r="N391" s="76"/>
      <c r="O391" s="49"/>
      <c r="P391" s="77"/>
      <c r="Q391" s="53"/>
      <c r="R391" s="54"/>
      <c r="S391" s="55"/>
      <c r="T391" s="56"/>
      <c r="U391" s="56"/>
      <c r="V391" s="42"/>
      <c r="W391" s="57"/>
      <c r="X391" s="58"/>
      <c r="Y391" s="75"/>
      <c r="Z391" s="59"/>
      <c r="AA391" s="61"/>
      <c r="AB391" s="61"/>
      <c r="AC391" s="61"/>
      <c r="AD391" s="62"/>
      <c r="AE391" s="62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</row>
    <row r="392" spans="1:77" x14ac:dyDescent="0.3">
      <c r="A392" s="39"/>
      <c r="B392" s="42"/>
      <c r="C392" s="42"/>
      <c r="D392" s="75"/>
      <c r="E392" s="75"/>
      <c r="F392" s="76"/>
      <c r="G392" s="47"/>
      <c r="H392" s="47"/>
      <c r="I392" s="75"/>
      <c r="J392" s="76"/>
      <c r="K392" s="76"/>
      <c r="L392" s="75"/>
      <c r="M392" s="49"/>
      <c r="N392" s="76"/>
      <c r="O392" s="49"/>
      <c r="P392" s="77"/>
      <c r="Q392" s="53"/>
      <c r="R392" s="54"/>
      <c r="S392" s="55"/>
      <c r="T392" s="56"/>
      <c r="U392" s="56"/>
      <c r="V392" s="42"/>
      <c r="W392" s="57"/>
      <c r="X392" s="58"/>
      <c r="Y392" s="75"/>
      <c r="Z392" s="59"/>
      <c r="AA392" s="61"/>
      <c r="AB392" s="61"/>
      <c r="AC392" s="61"/>
      <c r="AD392" s="62"/>
      <c r="AE392" s="62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</row>
    <row r="393" spans="1:77" x14ac:dyDescent="0.3">
      <c r="A393" s="39"/>
      <c r="B393" s="42"/>
      <c r="C393" s="42"/>
      <c r="D393" s="75"/>
      <c r="E393" s="75"/>
      <c r="F393" s="76"/>
      <c r="G393" s="47"/>
      <c r="H393" s="47"/>
      <c r="I393" s="75"/>
      <c r="J393" s="76"/>
      <c r="K393" s="76"/>
      <c r="L393" s="75"/>
      <c r="M393" s="49"/>
      <c r="N393" s="76"/>
      <c r="O393" s="49"/>
      <c r="P393" s="77"/>
      <c r="Q393" s="53"/>
      <c r="R393" s="54"/>
      <c r="S393" s="55"/>
      <c r="T393" s="56"/>
      <c r="U393" s="56"/>
      <c r="V393" s="42"/>
      <c r="W393" s="57"/>
      <c r="X393" s="58"/>
      <c r="Y393" s="75"/>
      <c r="Z393" s="59"/>
      <c r="AA393" s="61"/>
      <c r="AB393" s="61"/>
      <c r="AC393" s="61"/>
      <c r="AD393" s="62"/>
      <c r="AE393" s="62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</row>
    <row r="394" spans="1:77" x14ac:dyDescent="0.3">
      <c r="A394" s="39"/>
      <c r="B394" s="42"/>
      <c r="C394" s="42"/>
      <c r="D394" s="75"/>
      <c r="E394" s="75"/>
      <c r="F394" s="76"/>
      <c r="G394" s="47"/>
      <c r="H394" s="47"/>
      <c r="I394" s="75"/>
      <c r="J394" s="76"/>
      <c r="K394" s="76"/>
      <c r="L394" s="75"/>
      <c r="M394" s="49"/>
      <c r="N394" s="76"/>
      <c r="O394" s="49"/>
      <c r="P394" s="77"/>
      <c r="Q394" s="53"/>
      <c r="R394" s="54"/>
      <c r="S394" s="55"/>
      <c r="T394" s="56"/>
      <c r="U394" s="56"/>
      <c r="V394" s="42"/>
      <c r="W394" s="57"/>
      <c r="X394" s="58"/>
      <c r="Y394" s="75"/>
      <c r="Z394" s="59"/>
      <c r="AA394" s="61"/>
      <c r="AB394" s="61"/>
      <c r="AC394" s="61"/>
      <c r="AD394" s="62"/>
      <c r="AE394" s="62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</row>
    <row r="395" spans="1:77" x14ac:dyDescent="0.3">
      <c r="A395" s="39"/>
      <c r="B395" s="42"/>
      <c r="C395" s="42"/>
      <c r="D395" s="75"/>
      <c r="E395" s="75"/>
      <c r="F395" s="76"/>
      <c r="G395" s="47"/>
      <c r="H395" s="47"/>
      <c r="I395" s="75"/>
      <c r="J395" s="76"/>
      <c r="K395" s="76"/>
      <c r="L395" s="75"/>
      <c r="M395" s="49"/>
      <c r="N395" s="76"/>
      <c r="O395" s="49"/>
      <c r="P395" s="77"/>
      <c r="Q395" s="53"/>
      <c r="R395" s="54"/>
      <c r="S395" s="55"/>
      <c r="T395" s="56"/>
      <c r="U395" s="56"/>
      <c r="V395" s="42"/>
      <c r="W395" s="57"/>
      <c r="X395" s="58"/>
      <c r="Y395" s="75"/>
      <c r="Z395" s="59"/>
      <c r="AA395" s="61"/>
      <c r="AB395" s="61"/>
      <c r="AC395" s="61"/>
      <c r="AD395" s="62"/>
      <c r="AE395" s="62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</row>
    <row r="396" spans="1:77" x14ac:dyDescent="0.3">
      <c r="A396" s="39"/>
      <c r="B396" s="42"/>
      <c r="C396" s="42"/>
      <c r="D396" s="75"/>
      <c r="E396" s="75"/>
      <c r="F396" s="76"/>
      <c r="G396" s="47"/>
      <c r="H396" s="47"/>
      <c r="I396" s="75"/>
      <c r="J396" s="76"/>
      <c r="K396" s="76"/>
      <c r="L396" s="75"/>
      <c r="M396" s="49"/>
      <c r="N396" s="76"/>
      <c r="O396" s="49"/>
      <c r="P396" s="77"/>
      <c r="Q396" s="53"/>
      <c r="R396" s="54"/>
      <c r="S396" s="55"/>
      <c r="T396" s="56"/>
      <c r="U396" s="56"/>
      <c r="V396" s="42"/>
      <c r="W396" s="57"/>
      <c r="X396" s="58"/>
      <c r="Y396" s="75"/>
      <c r="Z396" s="59"/>
      <c r="AA396" s="61"/>
      <c r="AB396" s="61"/>
      <c r="AC396" s="61"/>
      <c r="AD396" s="62"/>
      <c r="AE396" s="62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</row>
    <row r="397" spans="1:77" x14ac:dyDescent="0.3">
      <c r="A397" s="39"/>
      <c r="B397" s="42"/>
      <c r="C397" s="42"/>
      <c r="D397" s="75"/>
      <c r="E397" s="75"/>
      <c r="F397" s="76"/>
      <c r="G397" s="47"/>
      <c r="H397" s="47"/>
      <c r="I397" s="75"/>
      <c r="J397" s="76"/>
      <c r="K397" s="76"/>
      <c r="L397" s="75"/>
      <c r="M397" s="49"/>
      <c r="N397" s="76"/>
      <c r="O397" s="49"/>
      <c r="P397" s="77"/>
      <c r="Q397" s="53"/>
      <c r="R397" s="54"/>
      <c r="S397" s="55"/>
      <c r="T397" s="56"/>
      <c r="U397" s="56"/>
      <c r="V397" s="42"/>
      <c r="W397" s="57"/>
      <c r="X397" s="58"/>
      <c r="Y397" s="75"/>
      <c r="Z397" s="59"/>
      <c r="AA397" s="61"/>
      <c r="AB397" s="61"/>
      <c r="AC397" s="61"/>
      <c r="AD397" s="62"/>
      <c r="AE397" s="62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</row>
    <row r="398" spans="1:77" x14ac:dyDescent="0.3">
      <c r="A398" s="39"/>
      <c r="B398" s="42"/>
      <c r="C398" s="42"/>
      <c r="D398" s="75"/>
      <c r="E398" s="75"/>
      <c r="F398" s="76"/>
      <c r="G398" s="47"/>
      <c r="H398" s="47"/>
      <c r="I398" s="75"/>
      <c r="J398" s="76"/>
      <c r="K398" s="76"/>
      <c r="L398" s="75"/>
      <c r="M398" s="49"/>
      <c r="N398" s="76"/>
      <c r="O398" s="49"/>
      <c r="P398" s="77"/>
      <c r="Q398" s="53"/>
      <c r="R398" s="54"/>
      <c r="S398" s="55"/>
      <c r="T398" s="56"/>
      <c r="U398" s="56"/>
      <c r="V398" s="42"/>
      <c r="W398" s="57"/>
      <c r="X398" s="58"/>
      <c r="Y398" s="75"/>
      <c r="Z398" s="59"/>
      <c r="AA398" s="61"/>
      <c r="AB398" s="61"/>
      <c r="AC398" s="61"/>
      <c r="AD398" s="62"/>
      <c r="AE398" s="62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</row>
    <row r="399" spans="1:77" x14ac:dyDescent="0.3">
      <c r="A399" s="39"/>
      <c r="B399" s="42"/>
      <c r="C399" s="42"/>
      <c r="D399" s="75"/>
      <c r="E399" s="75"/>
      <c r="F399" s="76"/>
      <c r="G399" s="47"/>
      <c r="H399" s="47"/>
      <c r="I399" s="75"/>
      <c r="J399" s="76"/>
      <c r="K399" s="76"/>
      <c r="L399" s="75"/>
      <c r="M399" s="49"/>
      <c r="N399" s="76"/>
      <c r="O399" s="49"/>
      <c r="P399" s="77"/>
      <c r="Q399" s="53"/>
      <c r="R399" s="54"/>
      <c r="S399" s="55"/>
      <c r="T399" s="56"/>
      <c r="U399" s="56"/>
      <c r="V399" s="42"/>
      <c r="W399" s="57"/>
      <c r="X399" s="58"/>
      <c r="Y399" s="75"/>
      <c r="Z399" s="59"/>
      <c r="AA399" s="61"/>
      <c r="AB399" s="61"/>
      <c r="AC399" s="61"/>
      <c r="AD399" s="62"/>
      <c r="AE399" s="62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</row>
    <row r="400" spans="1:77" x14ac:dyDescent="0.3">
      <c r="A400" s="39"/>
      <c r="B400" s="42"/>
      <c r="C400" s="42"/>
      <c r="D400" s="75"/>
      <c r="E400" s="75"/>
      <c r="F400" s="76"/>
      <c r="G400" s="47"/>
      <c r="H400" s="47"/>
      <c r="I400" s="75"/>
      <c r="J400" s="76"/>
      <c r="K400" s="76"/>
      <c r="L400" s="75"/>
      <c r="M400" s="49"/>
      <c r="N400" s="76"/>
      <c r="O400" s="49"/>
      <c r="P400" s="77"/>
      <c r="Q400" s="53"/>
      <c r="R400" s="54"/>
      <c r="S400" s="55"/>
      <c r="T400" s="56"/>
      <c r="U400" s="56"/>
      <c r="V400" s="42"/>
      <c r="W400" s="57"/>
      <c r="X400" s="58"/>
      <c r="Y400" s="75"/>
      <c r="Z400" s="59"/>
      <c r="AA400" s="61"/>
      <c r="AB400" s="61"/>
      <c r="AC400" s="61"/>
      <c r="AD400" s="62"/>
      <c r="AE400" s="62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</row>
    <row r="401" spans="1:77" x14ac:dyDescent="0.3">
      <c r="A401" s="39"/>
      <c r="B401" s="42"/>
      <c r="C401" s="42"/>
      <c r="D401" s="75"/>
      <c r="E401" s="75"/>
      <c r="F401" s="76"/>
      <c r="G401" s="47"/>
      <c r="H401" s="47"/>
      <c r="I401" s="75"/>
      <c r="J401" s="76"/>
      <c r="K401" s="76"/>
      <c r="L401" s="75"/>
      <c r="M401" s="49"/>
      <c r="N401" s="76"/>
      <c r="O401" s="49"/>
      <c r="P401" s="77"/>
      <c r="Q401" s="53"/>
      <c r="R401" s="54"/>
      <c r="S401" s="55"/>
      <c r="T401" s="56"/>
      <c r="U401" s="56"/>
      <c r="V401" s="42"/>
      <c r="W401" s="57"/>
      <c r="X401" s="58"/>
      <c r="Y401" s="75"/>
      <c r="Z401" s="59"/>
      <c r="AA401" s="61"/>
      <c r="AB401" s="61"/>
      <c r="AC401" s="61"/>
      <c r="AD401" s="62"/>
      <c r="AE401" s="62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</row>
    <row r="402" spans="1:77" x14ac:dyDescent="0.3">
      <c r="A402" s="39"/>
      <c r="B402" s="42"/>
      <c r="C402" s="42"/>
      <c r="D402" s="75"/>
      <c r="E402" s="75"/>
      <c r="F402" s="76"/>
      <c r="G402" s="47"/>
      <c r="H402" s="47"/>
      <c r="I402" s="75"/>
      <c r="J402" s="76"/>
      <c r="K402" s="76"/>
      <c r="L402" s="75"/>
      <c r="M402" s="49"/>
      <c r="N402" s="76"/>
      <c r="O402" s="49"/>
      <c r="P402" s="77"/>
      <c r="Q402" s="53"/>
      <c r="R402" s="54"/>
      <c r="S402" s="55"/>
      <c r="T402" s="56"/>
      <c r="U402" s="56"/>
      <c r="V402" s="42"/>
      <c r="W402" s="57"/>
      <c r="X402" s="58"/>
      <c r="Y402" s="75"/>
      <c r="Z402" s="59"/>
      <c r="AA402" s="61"/>
      <c r="AB402" s="61"/>
      <c r="AC402" s="61"/>
      <c r="AD402" s="62"/>
      <c r="AE402" s="62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</row>
    <row r="403" spans="1:77" x14ac:dyDescent="0.3">
      <c r="A403" s="39"/>
      <c r="B403" s="42"/>
      <c r="C403" s="42"/>
      <c r="D403" s="75"/>
      <c r="E403" s="75"/>
      <c r="F403" s="76"/>
      <c r="G403" s="47"/>
      <c r="H403" s="47"/>
      <c r="I403" s="75"/>
      <c r="J403" s="76"/>
      <c r="K403" s="76"/>
      <c r="L403" s="75"/>
      <c r="M403" s="49"/>
      <c r="N403" s="76"/>
      <c r="O403" s="49"/>
      <c r="P403" s="77"/>
      <c r="Q403" s="53"/>
      <c r="R403" s="54"/>
      <c r="S403" s="55"/>
      <c r="T403" s="56"/>
      <c r="U403" s="56"/>
      <c r="V403" s="42"/>
      <c r="W403" s="57"/>
      <c r="X403" s="58"/>
      <c r="Y403" s="75"/>
      <c r="Z403" s="59"/>
      <c r="AA403" s="61"/>
      <c r="AB403" s="61"/>
      <c r="AC403" s="61"/>
      <c r="AD403" s="62"/>
      <c r="AE403" s="62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</row>
    <row r="404" spans="1:77" x14ac:dyDescent="0.3">
      <c r="A404" s="39"/>
      <c r="B404" s="42"/>
      <c r="C404" s="42"/>
      <c r="D404" s="75"/>
      <c r="E404" s="75"/>
      <c r="F404" s="76"/>
      <c r="G404" s="47"/>
      <c r="H404" s="47"/>
      <c r="I404" s="75"/>
      <c r="J404" s="76"/>
      <c r="K404" s="76"/>
      <c r="L404" s="75"/>
      <c r="M404" s="49"/>
      <c r="N404" s="76"/>
      <c r="O404" s="49"/>
      <c r="P404" s="77"/>
      <c r="Q404" s="53"/>
      <c r="R404" s="54"/>
      <c r="S404" s="55"/>
      <c r="T404" s="56"/>
      <c r="U404" s="56"/>
      <c r="V404" s="42"/>
      <c r="W404" s="57"/>
      <c r="X404" s="58"/>
      <c r="Y404" s="75"/>
      <c r="Z404" s="59"/>
      <c r="AA404" s="61"/>
      <c r="AB404" s="61"/>
      <c r="AC404" s="61"/>
      <c r="AD404" s="62"/>
      <c r="AE404" s="62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</row>
    <row r="405" spans="1:77" x14ac:dyDescent="0.3">
      <c r="A405" s="39"/>
      <c r="B405" s="42"/>
      <c r="C405" s="42"/>
      <c r="D405" s="75"/>
      <c r="E405" s="75"/>
      <c r="F405" s="76"/>
      <c r="G405" s="47"/>
      <c r="H405" s="47"/>
      <c r="I405" s="75"/>
      <c r="J405" s="76"/>
      <c r="K405" s="76"/>
      <c r="L405" s="75"/>
      <c r="M405" s="49"/>
      <c r="N405" s="76"/>
      <c r="O405" s="49"/>
      <c r="P405" s="77"/>
      <c r="Q405" s="53"/>
      <c r="R405" s="54"/>
      <c r="S405" s="55"/>
      <c r="T405" s="56"/>
      <c r="U405" s="56"/>
      <c r="V405" s="42"/>
      <c r="W405" s="57"/>
      <c r="X405" s="58"/>
      <c r="Y405" s="75"/>
      <c r="Z405" s="59"/>
      <c r="AA405" s="61"/>
      <c r="AB405" s="61"/>
      <c r="AC405" s="61"/>
      <c r="AD405" s="62"/>
      <c r="AE405" s="62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</row>
    <row r="406" spans="1:77" x14ac:dyDescent="0.3">
      <c r="A406" s="39"/>
      <c r="B406" s="42"/>
      <c r="C406" s="42"/>
      <c r="D406" s="75"/>
      <c r="E406" s="75"/>
      <c r="F406" s="76"/>
      <c r="G406" s="47"/>
      <c r="H406" s="47"/>
      <c r="I406" s="75"/>
      <c r="J406" s="76"/>
      <c r="K406" s="76"/>
      <c r="L406" s="75"/>
      <c r="M406" s="49"/>
      <c r="N406" s="76"/>
      <c r="O406" s="49"/>
      <c r="P406" s="77"/>
      <c r="Q406" s="53"/>
      <c r="R406" s="54"/>
      <c r="S406" s="55"/>
      <c r="T406" s="56"/>
      <c r="U406" s="56"/>
      <c r="V406" s="42"/>
      <c r="W406" s="57"/>
      <c r="X406" s="58"/>
      <c r="Y406" s="75"/>
      <c r="Z406" s="59"/>
      <c r="AA406" s="61"/>
      <c r="AB406" s="61"/>
      <c r="AC406" s="61"/>
      <c r="AD406" s="62"/>
      <c r="AE406" s="62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</row>
    <row r="407" spans="1:77" x14ac:dyDescent="0.3">
      <c r="A407" s="39"/>
      <c r="B407" s="42"/>
      <c r="C407" s="42"/>
      <c r="D407" s="75"/>
      <c r="E407" s="75"/>
      <c r="F407" s="76"/>
      <c r="G407" s="47"/>
      <c r="H407" s="47"/>
      <c r="I407" s="75"/>
      <c r="J407" s="76"/>
      <c r="K407" s="76"/>
      <c r="L407" s="75"/>
      <c r="M407" s="49"/>
      <c r="N407" s="76"/>
      <c r="O407" s="49"/>
      <c r="P407" s="77"/>
      <c r="Q407" s="53"/>
      <c r="R407" s="54"/>
      <c r="S407" s="55"/>
      <c r="T407" s="56"/>
      <c r="U407" s="56"/>
      <c r="V407" s="42"/>
      <c r="W407" s="57"/>
      <c r="X407" s="58"/>
      <c r="Y407" s="75"/>
      <c r="Z407" s="59"/>
      <c r="AA407" s="61"/>
      <c r="AB407" s="61"/>
      <c r="AC407" s="61"/>
      <c r="AD407" s="62"/>
      <c r="AE407" s="62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</row>
    <row r="408" spans="1:77" x14ac:dyDescent="0.3">
      <c r="A408" s="39"/>
      <c r="B408" s="42"/>
      <c r="C408" s="42"/>
      <c r="D408" s="75"/>
      <c r="E408" s="75"/>
      <c r="F408" s="76"/>
      <c r="G408" s="47"/>
      <c r="H408" s="47"/>
      <c r="I408" s="75"/>
      <c r="J408" s="76"/>
      <c r="K408" s="76"/>
      <c r="L408" s="75"/>
      <c r="M408" s="49"/>
      <c r="N408" s="76"/>
      <c r="O408" s="49"/>
      <c r="P408" s="77"/>
      <c r="Q408" s="53"/>
      <c r="R408" s="54"/>
      <c r="S408" s="55"/>
      <c r="T408" s="56"/>
      <c r="U408" s="56"/>
      <c r="V408" s="42"/>
      <c r="W408" s="57"/>
      <c r="X408" s="58"/>
      <c r="Y408" s="75"/>
      <c r="Z408" s="59"/>
      <c r="AA408" s="61"/>
      <c r="AB408" s="61"/>
      <c r="AC408" s="61"/>
      <c r="AD408" s="62"/>
      <c r="AE408" s="62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</row>
    <row r="409" spans="1:77" x14ac:dyDescent="0.3">
      <c r="A409" s="39"/>
      <c r="B409" s="42"/>
      <c r="C409" s="42"/>
      <c r="D409" s="75"/>
      <c r="E409" s="75"/>
      <c r="F409" s="76"/>
      <c r="G409" s="47"/>
      <c r="H409" s="47"/>
      <c r="I409" s="75"/>
      <c r="J409" s="76"/>
      <c r="K409" s="76"/>
      <c r="L409" s="75"/>
      <c r="M409" s="49"/>
      <c r="N409" s="76"/>
      <c r="O409" s="49"/>
      <c r="P409" s="77"/>
      <c r="Q409" s="53"/>
      <c r="R409" s="54"/>
      <c r="S409" s="55"/>
      <c r="T409" s="56"/>
      <c r="U409" s="56"/>
      <c r="V409" s="42"/>
      <c r="W409" s="57"/>
      <c r="X409" s="58"/>
      <c r="Y409" s="75"/>
      <c r="Z409" s="59"/>
      <c r="AA409" s="61"/>
      <c r="AB409" s="61"/>
      <c r="AC409" s="61"/>
      <c r="AD409" s="62"/>
      <c r="AE409" s="62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</row>
    <row r="410" spans="1:77" x14ac:dyDescent="0.3">
      <c r="A410" s="39"/>
      <c r="B410" s="42"/>
      <c r="C410" s="42"/>
      <c r="D410" s="75"/>
      <c r="E410" s="75"/>
      <c r="F410" s="76"/>
      <c r="G410" s="47"/>
      <c r="H410" s="47"/>
      <c r="I410" s="75"/>
      <c r="J410" s="76"/>
      <c r="K410" s="76"/>
      <c r="L410" s="75"/>
      <c r="M410" s="49"/>
      <c r="N410" s="76"/>
      <c r="O410" s="49"/>
      <c r="P410" s="77"/>
      <c r="Q410" s="53"/>
      <c r="R410" s="54"/>
      <c r="S410" s="55"/>
      <c r="T410" s="56"/>
      <c r="U410" s="56"/>
      <c r="V410" s="42"/>
      <c r="W410" s="57"/>
      <c r="X410" s="58"/>
      <c r="Y410" s="75"/>
      <c r="Z410" s="59"/>
      <c r="AA410" s="61"/>
      <c r="AB410" s="61"/>
      <c r="AC410" s="61"/>
      <c r="AD410" s="62"/>
      <c r="AE410" s="62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</row>
    <row r="411" spans="1:77" x14ac:dyDescent="0.3">
      <c r="A411" s="39"/>
      <c r="B411" s="42"/>
      <c r="C411" s="42"/>
      <c r="D411" s="75"/>
      <c r="E411" s="75"/>
      <c r="F411" s="76"/>
      <c r="G411" s="47"/>
      <c r="H411" s="47"/>
      <c r="I411" s="75"/>
      <c r="J411" s="76"/>
      <c r="K411" s="76"/>
      <c r="L411" s="75"/>
      <c r="M411" s="49"/>
      <c r="N411" s="76"/>
      <c r="O411" s="49"/>
      <c r="P411" s="77"/>
      <c r="Q411" s="53"/>
      <c r="R411" s="54"/>
      <c r="S411" s="55"/>
      <c r="T411" s="56"/>
      <c r="U411" s="56"/>
      <c r="V411" s="42"/>
      <c r="W411" s="57"/>
      <c r="X411" s="58"/>
      <c r="Y411" s="75"/>
      <c r="Z411" s="59"/>
      <c r="AA411" s="61"/>
      <c r="AB411" s="61"/>
      <c r="AC411" s="61"/>
      <c r="AD411" s="62"/>
      <c r="AE411" s="62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</row>
    <row r="412" spans="1:77" x14ac:dyDescent="0.3">
      <c r="A412" s="39"/>
      <c r="B412" s="42"/>
      <c r="C412" s="42"/>
      <c r="D412" s="75"/>
      <c r="E412" s="75"/>
      <c r="F412" s="76"/>
      <c r="G412" s="47"/>
      <c r="H412" s="47"/>
      <c r="I412" s="75"/>
      <c r="J412" s="76"/>
      <c r="K412" s="76"/>
      <c r="L412" s="75"/>
      <c r="M412" s="49"/>
      <c r="N412" s="76"/>
      <c r="O412" s="49"/>
      <c r="P412" s="77"/>
      <c r="Q412" s="53"/>
      <c r="R412" s="54"/>
      <c r="S412" s="55"/>
      <c r="T412" s="56"/>
      <c r="U412" s="56"/>
      <c r="V412" s="42"/>
      <c r="W412" s="57"/>
      <c r="X412" s="58"/>
      <c r="Y412" s="75"/>
      <c r="Z412" s="59"/>
      <c r="AA412" s="61"/>
      <c r="AB412" s="61"/>
      <c r="AC412" s="61"/>
      <c r="AD412" s="62"/>
      <c r="AE412" s="62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</row>
    <row r="413" spans="1:77" x14ac:dyDescent="0.3">
      <c r="A413" s="39"/>
      <c r="B413" s="42"/>
      <c r="C413" s="42"/>
      <c r="D413" s="75"/>
      <c r="E413" s="75"/>
      <c r="F413" s="76"/>
      <c r="G413" s="47"/>
      <c r="H413" s="47"/>
      <c r="I413" s="75"/>
      <c r="J413" s="76"/>
      <c r="K413" s="76"/>
      <c r="L413" s="75"/>
      <c r="M413" s="49"/>
      <c r="N413" s="76"/>
      <c r="O413" s="49"/>
      <c r="P413" s="77"/>
      <c r="Q413" s="53"/>
      <c r="R413" s="54"/>
      <c r="S413" s="55"/>
      <c r="T413" s="56"/>
      <c r="U413" s="56"/>
      <c r="V413" s="42"/>
      <c r="W413" s="57"/>
      <c r="X413" s="58"/>
      <c r="Y413" s="75"/>
      <c r="Z413" s="59"/>
      <c r="AA413" s="61"/>
      <c r="AB413" s="61"/>
      <c r="AC413" s="61"/>
      <c r="AD413" s="62"/>
      <c r="AE413" s="62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</row>
    <row r="414" spans="1:77" x14ac:dyDescent="0.3">
      <c r="A414" s="39"/>
      <c r="B414" s="42"/>
      <c r="C414" s="42"/>
      <c r="D414" s="75"/>
      <c r="E414" s="75"/>
      <c r="F414" s="76"/>
      <c r="G414" s="47"/>
      <c r="H414" s="47"/>
      <c r="I414" s="75"/>
      <c r="J414" s="76"/>
      <c r="K414" s="76"/>
      <c r="L414" s="75"/>
      <c r="M414" s="49"/>
      <c r="N414" s="76"/>
      <c r="O414" s="49"/>
      <c r="P414" s="77"/>
      <c r="Q414" s="53"/>
      <c r="R414" s="54"/>
      <c r="S414" s="55"/>
      <c r="T414" s="56"/>
      <c r="U414" s="56"/>
      <c r="V414" s="42"/>
      <c r="W414" s="57"/>
      <c r="X414" s="58"/>
      <c r="Y414" s="75"/>
      <c r="Z414" s="59"/>
      <c r="AA414" s="61"/>
      <c r="AB414" s="61"/>
      <c r="AC414" s="61"/>
      <c r="AD414" s="62"/>
      <c r="AE414" s="62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</row>
    <row r="415" spans="1:77" x14ac:dyDescent="0.3">
      <c r="A415" s="39"/>
      <c r="B415" s="42"/>
      <c r="C415" s="42"/>
      <c r="D415" s="75"/>
      <c r="E415" s="75"/>
      <c r="F415" s="76"/>
      <c r="G415" s="47"/>
      <c r="H415" s="47"/>
      <c r="I415" s="75"/>
      <c r="J415" s="76"/>
      <c r="K415" s="76"/>
      <c r="L415" s="75"/>
      <c r="M415" s="49"/>
      <c r="N415" s="76"/>
      <c r="O415" s="49"/>
      <c r="P415" s="77"/>
      <c r="Q415" s="53"/>
      <c r="R415" s="54"/>
      <c r="S415" s="55"/>
      <c r="T415" s="56"/>
      <c r="U415" s="56"/>
      <c r="V415" s="42"/>
      <c r="W415" s="57"/>
      <c r="X415" s="58"/>
      <c r="Y415" s="75"/>
      <c r="Z415" s="59"/>
      <c r="AA415" s="61"/>
      <c r="AB415" s="61"/>
      <c r="AC415" s="61"/>
      <c r="AD415" s="62"/>
      <c r="AE415" s="62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</row>
    <row r="416" spans="1:77" x14ac:dyDescent="0.3">
      <c r="A416" s="39"/>
      <c r="B416" s="42"/>
      <c r="C416" s="42"/>
      <c r="D416" s="75"/>
      <c r="E416" s="75"/>
      <c r="F416" s="76"/>
      <c r="G416" s="47"/>
      <c r="H416" s="47"/>
      <c r="I416" s="75"/>
      <c r="J416" s="76"/>
      <c r="K416" s="76"/>
      <c r="L416" s="75"/>
      <c r="M416" s="49"/>
      <c r="N416" s="76"/>
      <c r="O416" s="49"/>
      <c r="P416" s="77"/>
      <c r="Q416" s="53"/>
      <c r="R416" s="54"/>
      <c r="S416" s="55"/>
      <c r="T416" s="56"/>
      <c r="U416" s="56"/>
      <c r="V416" s="42"/>
      <c r="W416" s="57"/>
      <c r="X416" s="58"/>
      <c r="Y416" s="75"/>
      <c r="Z416" s="59"/>
      <c r="AA416" s="61"/>
      <c r="AB416" s="61"/>
      <c r="AC416" s="61"/>
      <c r="AD416" s="62"/>
      <c r="AE416" s="62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</row>
    <row r="417" spans="1:77" x14ac:dyDescent="0.3">
      <c r="A417" s="39"/>
      <c r="B417" s="42"/>
      <c r="C417" s="42"/>
      <c r="D417" s="75"/>
      <c r="E417" s="75"/>
      <c r="F417" s="76"/>
      <c r="G417" s="47"/>
      <c r="H417" s="47"/>
      <c r="I417" s="75"/>
      <c r="J417" s="76"/>
      <c r="K417" s="76"/>
      <c r="L417" s="75"/>
      <c r="M417" s="49"/>
      <c r="N417" s="76"/>
      <c r="O417" s="49"/>
      <c r="P417" s="77"/>
      <c r="Q417" s="53"/>
      <c r="R417" s="54"/>
      <c r="S417" s="55"/>
      <c r="T417" s="56"/>
      <c r="U417" s="56"/>
      <c r="V417" s="42"/>
      <c r="W417" s="57"/>
      <c r="X417" s="58"/>
      <c r="Y417" s="75"/>
      <c r="Z417" s="59"/>
      <c r="AA417" s="61"/>
      <c r="AB417" s="61"/>
      <c r="AC417" s="61"/>
      <c r="AD417" s="62"/>
      <c r="AE417" s="62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</row>
    <row r="418" spans="1:77" x14ac:dyDescent="0.3">
      <c r="A418" s="39"/>
      <c r="B418" s="42"/>
      <c r="C418" s="42"/>
      <c r="D418" s="75"/>
      <c r="E418" s="75"/>
      <c r="F418" s="76"/>
      <c r="G418" s="47"/>
      <c r="H418" s="47"/>
      <c r="I418" s="75"/>
      <c r="J418" s="76"/>
      <c r="K418" s="76"/>
      <c r="L418" s="75"/>
      <c r="M418" s="49"/>
      <c r="N418" s="76"/>
      <c r="O418" s="49"/>
      <c r="P418" s="77"/>
      <c r="Q418" s="53"/>
      <c r="R418" s="54"/>
      <c r="S418" s="55"/>
      <c r="T418" s="56"/>
      <c r="U418" s="56"/>
      <c r="V418" s="42"/>
      <c r="W418" s="57"/>
      <c r="X418" s="58"/>
      <c r="Y418" s="75"/>
      <c r="Z418" s="59"/>
      <c r="AA418" s="61"/>
      <c r="AB418" s="61"/>
      <c r="AC418" s="61"/>
      <c r="AD418" s="62"/>
      <c r="AE418" s="62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</row>
    <row r="419" spans="1:77" x14ac:dyDescent="0.3">
      <c r="A419" s="39"/>
      <c r="B419" s="42"/>
      <c r="C419" s="42"/>
      <c r="D419" s="75"/>
      <c r="E419" s="75"/>
      <c r="F419" s="76"/>
      <c r="G419" s="47"/>
      <c r="H419" s="47"/>
      <c r="I419" s="75"/>
      <c r="J419" s="76"/>
      <c r="K419" s="76"/>
      <c r="L419" s="75"/>
      <c r="M419" s="49"/>
      <c r="N419" s="76"/>
      <c r="O419" s="49"/>
      <c r="P419" s="77"/>
      <c r="Q419" s="53"/>
      <c r="R419" s="54"/>
      <c r="S419" s="55"/>
      <c r="T419" s="56"/>
      <c r="U419" s="56"/>
      <c r="V419" s="42"/>
      <c r="W419" s="57"/>
      <c r="X419" s="58"/>
      <c r="Y419" s="75"/>
      <c r="Z419" s="59"/>
      <c r="AA419" s="61"/>
      <c r="AB419" s="61"/>
      <c r="AC419" s="61"/>
      <c r="AD419" s="62"/>
      <c r="AE419" s="62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</row>
    <row r="420" spans="1:77" x14ac:dyDescent="0.3">
      <c r="A420" s="39"/>
      <c r="B420" s="42"/>
      <c r="C420" s="42"/>
      <c r="D420" s="75"/>
      <c r="E420" s="75"/>
      <c r="F420" s="76"/>
      <c r="G420" s="47"/>
      <c r="H420" s="47"/>
      <c r="I420" s="75"/>
      <c r="J420" s="76"/>
      <c r="K420" s="76"/>
      <c r="L420" s="75"/>
      <c r="M420" s="49"/>
      <c r="N420" s="76"/>
      <c r="O420" s="49"/>
      <c r="P420" s="77"/>
      <c r="Q420" s="53"/>
      <c r="R420" s="54"/>
      <c r="S420" s="55"/>
      <c r="T420" s="56"/>
      <c r="U420" s="56"/>
      <c r="V420" s="42"/>
      <c r="W420" s="57"/>
      <c r="X420" s="58"/>
      <c r="Y420" s="75"/>
      <c r="Z420" s="59"/>
      <c r="AA420" s="61"/>
      <c r="AB420" s="61"/>
      <c r="AC420" s="61"/>
      <c r="AD420" s="62"/>
      <c r="AE420" s="62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</row>
    <row r="421" spans="1:77" x14ac:dyDescent="0.3">
      <c r="A421" s="39"/>
      <c r="B421" s="42"/>
      <c r="C421" s="42"/>
      <c r="D421" s="75"/>
      <c r="E421" s="75"/>
      <c r="F421" s="76"/>
      <c r="G421" s="47"/>
      <c r="H421" s="47"/>
      <c r="I421" s="75"/>
      <c r="J421" s="76"/>
      <c r="K421" s="76"/>
      <c r="L421" s="75"/>
      <c r="M421" s="49"/>
      <c r="N421" s="76"/>
      <c r="O421" s="49"/>
      <c r="P421" s="77"/>
      <c r="Q421" s="53"/>
      <c r="R421" s="54"/>
      <c r="S421" s="55"/>
      <c r="T421" s="56"/>
      <c r="U421" s="56"/>
      <c r="V421" s="42"/>
      <c r="W421" s="57"/>
      <c r="X421" s="58"/>
      <c r="Y421" s="75"/>
      <c r="Z421" s="59"/>
      <c r="AA421" s="61"/>
      <c r="AB421" s="61"/>
      <c r="AC421" s="61"/>
      <c r="AD421" s="62"/>
      <c r="AE421" s="62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</row>
    <row r="422" spans="1:77" x14ac:dyDescent="0.3">
      <c r="A422" s="39"/>
      <c r="B422" s="42"/>
      <c r="C422" s="42"/>
      <c r="D422" s="75"/>
      <c r="E422" s="75"/>
      <c r="F422" s="76"/>
      <c r="G422" s="47"/>
      <c r="H422" s="47"/>
      <c r="I422" s="75"/>
      <c r="J422" s="76"/>
      <c r="K422" s="76"/>
      <c r="L422" s="75"/>
      <c r="M422" s="49"/>
      <c r="N422" s="76"/>
      <c r="O422" s="49"/>
      <c r="P422" s="77"/>
      <c r="Q422" s="53"/>
      <c r="R422" s="54"/>
      <c r="S422" s="55"/>
      <c r="T422" s="56"/>
      <c r="U422" s="56"/>
      <c r="V422" s="42"/>
      <c r="W422" s="57"/>
      <c r="X422" s="58"/>
      <c r="Y422" s="75"/>
      <c r="Z422" s="59"/>
      <c r="AA422" s="61"/>
      <c r="AB422" s="61"/>
      <c r="AC422" s="61"/>
      <c r="AD422" s="62"/>
      <c r="AE422" s="62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</row>
    <row r="423" spans="1:77" x14ac:dyDescent="0.3">
      <c r="A423" s="39"/>
      <c r="B423" s="42"/>
      <c r="C423" s="42"/>
      <c r="D423" s="75"/>
      <c r="E423" s="75"/>
      <c r="F423" s="76"/>
      <c r="G423" s="47"/>
      <c r="H423" s="47"/>
      <c r="I423" s="75"/>
      <c r="J423" s="76"/>
      <c r="K423" s="76"/>
      <c r="L423" s="75"/>
      <c r="M423" s="49"/>
      <c r="N423" s="76"/>
      <c r="O423" s="49"/>
      <c r="P423" s="77"/>
      <c r="Q423" s="53"/>
      <c r="R423" s="54"/>
      <c r="S423" s="55"/>
      <c r="T423" s="56"/>
      <c r="U423" s="56"/>
      <c r="V423" s="42"/>
      <c r="W423" s="57"/>
      <c r="X423" s="58"/>
      <c r="Y423" s="75"/>
      <c r="Z423" s="59"/>
      <c r="AA423" s="61"/>
      <c r="AB423" s="61"/>
      <c r="AC423" s="61"/>
      <c r="AD423" s="62"/>
      <c r="AE423" s="62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</row>
    <row r="424" spans="1:77" x14ac:dyDescent="0.3">
      <c r="A424" s="39"/>
      <c r="B424" s="42"/>
      <c r="C424" s="42"/>
      <c r="D424" s="75"/>
      <c r="E424" s="75"/>
      <c r="F424" s="76"/>
      <c r="G424" s="47"/>
      <c r="H424" s="47"/>
      <c r="I424" s="75"/>
      <c r="J424" s="76"/>
      <c r="K424" s="76"/>
      <c r="L424" s="75"/>
      <c r="M424" s="49"/>
      <c r="N424" s="76"/>
      <c r="O424" s="49"/>
      <c r="P424" s="77"/>
      <c r="Q424" s="53"/>
      <c r="R424" s="54"/>
      <c r="S424" s="55"/>
      <c r="T424" s="56"/>
      <c r="U424" s="56"/>
      <c r="V424" s="42"/>
      <c r="W424" s="57"/>
      <c r="X424" s="58"/>
      <c r="Y424" s="75"/>
      <c r="Z424" s="59"/>
      <c r="AA424" s="61"/>
      <c r="AB424" s="61"/>
      <c r="AC424" s="61"/>
      <c r="AD424" s="62"/>
      <c r="AE424" s="62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</row>
    <row r="425" spans="1:77" x14ac:dyDescent="0.3">
      <c r="A425" s="39"/>
      <c r="B425" s="42"/>
      <c r="C425" s="42"/>
      <c r="D425" s="75"/>
      <c r="E425" s="75"/>
      <c r="F425" s="76"/>
      <c r="G425" s="47"/>
      <c r="H425" s="47"/>
      <c r="I425" s="75"/>
      <c r="J425" s="76"/>
      <c r="K425" s="76"/>
      <c r="L425" s="75"/>
      <c r="M425" s="49"/>
      <c r="N425" s="76"/>
      <c r="O425" s="49"/>
      <c r="P425" s="77"/>
      <c r="Q425" s="53"/>
      <c r="R425" s="54"/>
      <c r="S425" s="55"/>
      <c r="T425" s="56"/>
      <c r="U425" s="56"/>
      <c r="V425" s="42"/>
      <c r="W425" s="57"/>
      <c r="X425" s="58"/>
      <c r="Y425" s="75"/>
      <c r="Z425" s="59"/>
      <c r="AA425" s="61"/>
      <c r="AB425" s="61"/>
      <c r="AC425" s="61"/>
      <c r="AD425" s="62"/>
      <c r="AE425" s="62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</row>
    <row r="426" spans="1:77" x14ac:dyDescent="0.3">
      <c r="A426" s="39"/>
      <c r="B426" s="42"/>
      <c r="C426" s="42"/>
      <c r="D426" s="75"/>
      <c r="E426" s="75"/>
      <c r="F426" s="76"/>
      <c r="G426" s="47"/>
      <c r="H426" s="47"/>
      <c r="I426" s="75"/>
      <c r="J426" s="76"/>
      <c r="K426" s="76"/>
      <c r="L426" s="75"/>
      <c r="M426" s="49"/>
      <c r="N426" s="76"/>
      <c r="O426" s="49"/>
      <c r="P426" s="77"/>
      <c r="Q426" s="53"/>
      <c r="R426" s="54"/>
      <c r="S426" s="55"/>
      <c r="T426" s="56"/>
      <c r="U426" s="56"/>
      <c r="V426" s="42"/>
      <c r="W426" s="57"/>
      <c r="X426" s="58"/>
      <c r="Y426" s="75"/>
      <c r="Z426" s="59"/>
      <c r="AA426" s="61"/>
      <c r="AB426" s="61"/>
      <c r="AC426" s="61"/>
      <c r="AD426" s="62"/>
      <c r="AE426" s="62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</row>
    <row r="427" spans="1:77" x14ac:dyDescent="0.3">
      <c r="A427" s="39"/>
      <c r="B427" s="42"/>
      <c r="C427" s="42"/>
      <c r="D427" s="75"/>
      <c r="E427" s="75"/>
      <c r="F427" s="76"/>
      <c r="G427" s="47"/>
      <c r="H427" s="47"/>
      <c r="I427" s="75"/>
      <c r="J427" s="76"/>
      <c r="K427" s="76"/>
      <c r="L427" s="75"/>
      <c r="M427" s="49"/>
      <c r="N427" s="76"/>
      <c r="O427" s="49"/>
      <c r="P427" s="77"/>
      <c r="Q427" s="53"/>
      <c r="R427" s="54"/>
      <c r="S427" s="55"/>
      <c r="T427" s="56"/>
      <c r="U427" s="56"/>
      <c r="V427" s="42"/>
      <c r="W427" s="57"/>
      <c r="X427" s="58"/>
      <c r="Y427" s="75"/>
      <c r="Z427" s="59"/>
      <c r="AA427" s="61"/>
      <c r="AB427" s="61"/>
      <c r="AC427" s="61"/>
      <c r="AD427" s="62"/>
      <c r="AE427" s="62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</row>
    <row r="428" spans="1:77" x14ac:dyDescent="0.3">
      <c r="A428" s="39"/>
      <c r="B428" s="42"/>
      <c r="C428" s="42"/>
      <c r="D428" s="75"/>
      <c r="E428" s="75"/>
      <c r="F428" s="76"/>
      <c r="G428" s="47"/>
      <c r="H428" s="47"/>
      <c r="I428" s="75"/>
      <c r="J428" s="76"/>
      <c r="K428" s="76"/>
      <c r="L428" s="75"/>
      <c r="M428" s="49"/>
      <c r="N428" s="76"/>
      <c r="O428" s="49"/>
      <c r="P428" s="77"/>
      <c r="Q428" s="53"/>
      <c r="R428" s="54"/>
      <c r="S428" s="55"/>
      <c r="T428" s="56"/>
      <c r="U428" s="56"/>
      <c r="V428" s="42"/>
      <c r="W428" s="57"/>
      <c r="X428" s="58"/>
      <c r="Y428" s="75"/>
      <c r="Z428" s="59"/>
      <c r="AA428" s="61"/>
      <c r="AB428" s="61"/>
      <c r="AC428" s="61"/>
      <c r="AD428" s="62"/>
      <c r="AE428" s="62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</row>
    <row r="429" spans="1:77" x14ac:dyDescent="0.3">
      <c r="A429" s="39"/>
      <c r="B429" s="42"/>
      <c r="C429" s="42"/>
      <c r="D429" s="75"/>
      <c r="E429" s="75"/>
      <c r="F429" s="76"/>
      <c r="G429" s="47"/>
      <c r="H429" s="47"/>
      <c r="I429" s="75"/>
      <c r="J429" s="76"/>
      <c r="K429" s="76"/>
      <c r="L429" s="75"/>
      <c r="M429" s="49"/>
      <c r="N429" s="76"/>
      <c r="O429" s="49"/>
      <c r="P429" s="77"/>
      <c r="Q429" s="53"/>
      <c r="R429" s="54"/>
      <c r="S429" s="55"/>
      <c r="T429" s="56"/>
      <c r="U429" s="56"/>
      <c r="V429" s="42"/>
      <c r="W429" s="57"/>
      <c r="X429" s="58"/>
      <c r="Y429" s="75"/>
      <c r="Z429" s="59"/>
      <c r="AA429" s="61"/>
      <c r="AB429" s="61"/>
      <c r="AC429" s="61"/>
      <c r="AD429" s="62"/>
      <c r="AE429" s="62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</row>
    <row r="430" spans="1:77" x14ac:dyDescent="0.3">
      <c r="A430" s="39"/>
      <c r="B430" s="42"/>
      <c r="C430" s="42"/>
      <c r="D430" s="75"/>
      <c r="E430" s="75"/>
      <c r="F430" s="76"/>
      <c r="G430" s="47"/>
      <c r="H430" s="47"/>
      <c r="I430" s="75"/>
      <c r="J430" s="76"/>
      <c r="K430" s="76"/>
      <c r="L430" s="75"/>
      <c r="M430" s="49"/>
      <c r="N430" s="76"/>
      <c r="O430" s="49"/>
      <c r="P430" s="77"/>
      <c r="Q430" s="53"/>
      <c r="R430" s="54"/>
      <c r="S430" s="55"/>
      <c r="T430" s="56"/>
      <c r="U430" s="56"/>
      <c r="V430" s="42"/>
      <c r="W430" s="57"/>
      <c r="X430" s="58"/>
      <c r="Y430" s="75"/>
      <c r="Z430" s="59"/>
      <c r="AA430" s="61"/>
      <c r="AB430" s="61"/>
      <c r="AC430" s="61"/>
      <c r="AD430" s="62"/>
      <c r="AE430" s="62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</row>
    <row r="431" spans="1:77" x14ac:dyDescent="0.3">
      <c r="A431" s="39"/>
      <c r="B431" s="42"/>
      <c r="C431" s="42"/>
      <c r="D431" s="75"/>
      <c r="E431" s="75"/>
      <c r="F431" s="76"/>
      <c r="G431" s="47"/>
      <c r="H431" s="47"/>
      <c r="I431" s="75"/>
      <c r="J431" s="76"/>
      <c r="K431" s="76"/>
      <c r="L431" s="75"/>
      <c r="M431" s="49"/>
      <c r="N431" s="76"/>
      <c r="O431" s="49"/>
      <c r="P431" s="77"/>
      <c r="Q431" s="53"/>
      <c r="R431" s="54"/>
      <c r="S431" s="55"/>
      <c r="T431" s="56"/>
      <c r="U431" s="56"/>
      <c r="V431" s="42"/>
      <c r="W431" s="57"/>
      <c r="X431" s="58"/>
      <c r="Y431" s="75"/>
      <c r="Z431" s="59"/>
      <c r="AA431" s="61"/>
      <c r="AB431" s="61"/>
      <c r="AC431" s="61"/>
      <c r="AD431" s="62"/>
      <c r="AE431" s="62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</row>
    <row r="432" spans="1:77" x14ac:dyDescent="0.3">
      <c r="A432" s="39"/>
      <c r="B432" s="42"/>
      <c r="C432" s="42"/>
      <c r="D432" s="75"/>
      <c r="E432" s="75"/>
      <c r="F432" s="76"/>
      <c r="G432" s="47"/>
      <c r="H432" s="47"/>
      <c r="I432" s="75"/>
      <c r="J432" s="76"/>
      <c r="K432" s="76"/>
      <c r="L432" s="75"/>
      <c r="M432" s="49"/>
      <c r="N432" s="76"/>
      <c r="O432" s="49"/>
      <c r="P432" s="77"/>
      <c r="Q432" s="53"/>
      <c r="R432" s="54"/>
      <c r="S432" s="55"/>
      <c r="T432" s="56"/>
      <c r="U432" s="56"/>
      <c r="V432" s="42"/>
      <c r="W432" s="57"/>
      <c r="X432" s="58"/>
      <c r="Y432" s="75"/>
      <c r="Z432" s="59"/>
      <c r="AA432" s="61"/>
      <c r="AB432" s="61"/>
      <c r="AC432" s="61"/>
      <c r="AD432" s="62"/>
      <c r="AE432" s="62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</row>
    <row r="433" spans="1:77" x14ac:dyDescent="0.3">
      <c r="A433" s="39"/>
      <c r="B433" s="42"/>
      <c r="C433" s="42"/>
      <c r="D433" s="75"/>
      <c r="E433" s="75"/>
      <c r="F433" s="76"/>
      <c r="G433" s="47"/>
      <c r="H433" s="47"/>
      <c r="I433" s="75"/>
      <c r="J433" s="76"/>
      <c r="K433" s="76"/>
      <c r="L433" s="75"/>
      <c r="M433" s="49"/>
      <c r="N433" s="76"/>
      <c r="O433" s="49"/>
      <c r="P433" s="77"/>
      <c r="Q433" s="53"/>
      <c r="R433" s="54"/>
      <c r="S433" s="55"/>
      <c r="T433" s="56"/>
      <c r="U433" s="56"/>
      <c r="V433" s="42"/>
      <c r="W433" s="57"/>
      <c r="X433" s="58"/>
      <c r="Y433" s="75"/>
      <c r="Z433" s="59"/>
      <c r="AA433" s="61"/>
      <c r="AB433" s="61"/>
      <c r="AC433" s="61"/>
      <c r="AD433" s="62"/>
      <c r="AE433" s="62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</row>
    <row r="434" spans="1:77" x14ac:dyDescent="0.3">
      <c r="A434" s="39"/>
      <c r="B434" s="42"/>
      <c r="C434" s="42"/>
      <c r="D434" s="75"/>
      <c r="E434" s="75"/>
      <c r="F434" s="76"/>
      <c r="G434" s="47"/>
      <c r="H434" s="47"/>
      <c r="I434" s="75"/>
      <c r="J434" s="76"/>
      <c r="K434" s="76"/>
      <c r="L434" s="75"/>
      <c r="M434" s="49"/>
      <c r="N434" s="76"/>
      <c r="O434" s="49"/>
      <c r="P434" s="77"/>
      <c r="Q434" s="53"/>
      <c r="R434" s="54"/>
      <c r="S434" s="55"/>
      <c r="T434" s="56"/>
      <c r="U434" s="56"/>
      <c r="V434" s="42"/>
      <c r="W434" s="57"/>
      <c r="X434" s="58"/>
      <c r="Y434" s="75"/>
      <c r="Z434" s="59"/>
      <c r="AA434" s="61"/>
      <c r="AB434" s="61"/>
      <c r="AC434" s="61"/>
      <c r="AD434" s="62"/>
      <c r="AE434" s="62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</row>
    <row r="435" spans="1:77" x14ac:dyDescent="0.3">
      <c r="A435" s="39"/>
      <c r="B435" s="42"/>
      <c r="C435" s="42"/>
      <c r="D435" s="75"/>
      <c r="E435" s="75"/>
      <c r="F435" s="76"/>
      <c r="G435" s="47"/>
      <c r="H435" s="47"/>
      <c r="I435" s="75"/>
      <c r="J435" s="76"/>
      <c r="K435" s="76"/>
      <c r="L435" s="75"/>
      <c r="M435" s="49"/>
      <c r="N435" s="76"/>
      <c r="O435" s="49"/>
      <c r="P435" s="77"/>
      <c r="Q435" s="53"/>
      <c r="R435" s="54"/>
      <c r="S435" s="55"/>
      <c r="T435" s="56"/>
      <c r="U435" s="56"/>
      <c r="V435" s="42"/>
      <c r="W435" s="57"/>
      <c r="X435" s="58"/>
      <c r="Y435" s="75"/>
      <c r="Z435" s="59"/>
      <c r="AA435" s="61"/>
      <c r="AB435" s="61"/>
      <c r="AC435" s="61"/>
      <c r="AD435" s="62"/>
      <c r="AE435" s="62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</row>
    <row r="436" spans="1:77" x14ac:dyDescent="0.3">
      <c r="A436" s="39"/>
      <c r="B436" s="42"/>
      <c r="C436" s="42"/>
      <c r="D436" s="75"/>
      <c r="E436" s="75"/>
      <c r="F436" s="76"/>
      <c r="G436" s="47"/>
      <c r="H436" s="47"/>
      <c r="I436" s="75"/>
      <c r="J436" s="76"/>
      <c r="K436" s="76"/>
      <c r="L436" s="75"/>
      <c r="M436" s="49"/>
      <c r="N436" s="76"/>
      <c r="O436" s="49"/>
      <c r="P436" s="77"/>
      <c r="Q436" s="53"/>
      <c r="R436" s="54"/>
      <c r="S436" s="55"/>
      <c r="T436" s="56"/>
      <c r="U436" s="56"/>
      <c r="V436" s="42"/>
      <c r="W436" s="57"/>
      <c r="X436" s="58"/>
      <c r="Y436" s="75"/>
      <c r="Z436" s="59"/>
      <c r="AA436" s="61"/>
      <c r="AB436" s="61"/>
      <c r="AC436" s="61"/>
      <c r="AD436" s="62"/>
      <c r="AE436" s="62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</row>
    <row r="437" spans="1:77" x14ac:dyDescent="0.3">
      <c r="A437" s="39"/>
      <c r="B437" s="42"/>
      <c r="C437" s="42"/>
      <c r="D437" s="75"/>
      <c r="E437" s="75"/>
      <c r="F437" s="76"/>
      <c r="G437" s="47"/>
      <c r="H437" s="47"/>
      <c r="I437" s="75"/>
      <c r="J437" s="76"/>
      <c r="K437" s="76"/>
      <c r="L437" s="75"/>
      <c r="M437" s="49"/>
      <c r="N437" s="76"/>
      <c r="O437" s="49"/>
      <c r="P437" s="77"/>
      <c r="Q437" s="53"/>
      <c r="R437" s="54"/>
      <c r="S437" s="55"/>
      <c r="T437" s="56"/>
      <c r="U437" s="56"/>
      <c r="V437" s="42"/>
      <c r="W437" s="57"/>
      <c r="X437" s="58"/>
      <c r="Y437" s="75"/>
      <c r="Z437" s="59"/>
      <c r="AA437" s="61"/>
      <c r="AB437" s="61"/>
      <c r="AC437" s="61"/>
      <c r="AD437" s="62"/>
      <c r="AE437" s="62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</row>
    <row r="438" spans="1:77" x14ac:dyDescent="0.3">
      <c r="A438" s="39"/>
      <c r="B438" s="42"/>
      <c r="C438" s="42"/>
      <c r="D438" s="75"/>
      <c r="E438" s="75"/>
      <c r="F438" s="76"/>
      <c r="G438" s="47"/>
      <c r="H438" s="47"/>
      <c r="I438" s="75"/>
      <c r="J438" s="76"/>
      <c r="K438" s="76"/>
      <c r="L438" s="75"/>
      <c r="M438" s="49"/>
      <c r="N438" s="76"/>
      <c r="O438" s="49"/>
      <c r="P438" s="77"/>
      <c r="Q438" s="53"/>
      <c r="R438" s="54"/>
      <c r="S438" s="55"/>
      <c r="T438" s="56"/>
      <c r="U438" s="56"/>
      <c r="V438" s="42"/>
      <c r="W438" s="57"/>
      <c r="X438" s="58"/>
      <c r="Y438" s="75"/>
      <c r="Z438" s="59"/>
      <c r="AA438" s="61"/>
      <c r="AB438" s="61"/>
      <c r="AC438" s="61"/>
      <c r="AD438" s="62"/>
      <c r="AE438" s="62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</row>
    <row r="439" spans="1:77" x14ac:dyDescent="0.3">
      <c r="A439" s="39"/>
      <c r="B439" s="42"/>
      <c r="C439" s="42"/>
      <c r="D439" s="75"/>
      <c r="E439" s="75"/>
      <c r="F439" s="76"/>
      <c r="G439" s="47"/>
      <c r="H439" s="47"/>
      <c r="I439" s="75"/>
      <c r="J439" s="76"/>
      <c r="K439" s="76"/>
      <c r="L439" s="75"/>
      <c r="M439" s="49"/>
      <c r="N439" s="76"/>
      <c r="O439" s="49"/>
      <c r="P439" s="77"/>
      <c r="Q439" s="53"/>
      <c r="R439" s="54"/>
      <c r="S439" s="55"/>
      <c r="T439" s="56"/>
      <c r="U439" s="56"/>
      <c r="V439" s="42"/>
      <c r="W439" s="57"/>
      <c r="X439" s="58"/>
      <c r="Y439" s="75"/>
      <c r="Z439" s="59"/>
      <c r="AA439" s="61"/>
      <c r="AB439" s="61"/>
      <c r="AC439" s="61"/>
      <c r="AD439" s="62"/>
      <c r="AE439" s="62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</row>
    <row r="440" spans="1:77" x14ac:dyDescent="0.3">
      <c r="A440" s="39"/>
      <c r="B440" s="42"/>
      <c r="C440" s="42"/>
      <c r="D440" s="75"/>
      <c r="E440" s="75"/>
      <c r="F440" s="76"/>
      <c r="G440" s="47"/>
      <c r="H440" s="47"/>
      <c r="I440" s="75"/>
      <c r="J440" s="76"/>
      <c r="K440" s="76"/>
      <c r="L440" s="75"/>
      <c r="M440" s="49"/>
      <c r="N440" s="76"/>
      <c r="O440" s="49"/>
      <c r="P440" s="77"/>
      <c r="Q440" s="53"/>
      <c r="R440" s="54"/>
      <c r="S440" s="55"/>
      <c r="T440" s="56"/>
      <c r="U440" s="56"/>
      <c r="V440" s="42"/>
      <c r="W440" s="57"/>
      <c r="X440" s="58"/>
      <c r="Y440" s="75"/>
      <c r="Z440" s="59"/>
      <c r="AA440" s="61"/>
      <c r="AB440" s="61"/>
      <c r="AC440" s="61"/>
      <c r="AD440" s="62"/>
      <c r="AE440" s="62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</row>
    <row r="441" spans="1:77" x14ac:dyDescent="0.3">
      <c r="A441" s="39"/>
      <c r="B441" s="42"/>
      <c r="C441" s="42"/>
      <c r="D441" s="75"/>
      <c r="E441" s="75"/>
      <c r="F441" s="76"/>
      <c r="G441" s="47"/>
      <c r="H441" s="47"/>
      <c r="I441" s="75"/>
      <c r="J441" s="76"/>
      <c r="K441" s="76"/>
      <c r="L441" s="75"/>
      <c r="M441" s="49"/>
      <c r="N441" s="76"/>
      <c r="O441" s="49"/>
      <c r="P441" s="77"/>
      <c r="Q441" s="53"/>
      <c r="R441" s="54"/>
      <c r="S441" s="55"/>
      <c r="T441" s="56"/>
      <c r="U441" s="56"/>
      <c r="V441" s="42"/>
      <c r="W441" s="57"/>
      <c r="X441" s="58"/>
      <c r="Y441" s="75"/>
      <c r="Z441" s="59"/>
      <c r="AA441" s="61"/>
      <c r="AB441" s="61"/>
      <c r="AC441" s="61"/>
      <c r="AD441" s="62"/>
      <c r="AE441" s="62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</row>
    <row r="442" spans="1:77" x14ac:dyDescent="0.3">
      <c r="A442" s="39"/>
      <c r="B442" s="42"/>
      <c r="C442" s="42"/>
      <c r="D442" s="75"/>
      <c r="E442" s="75"/>
      <c r="F442" s="76"/>
      <c r="G442" s="47"/>
      <c r="H442" s="47"/>
      <c r="I442" s="75"/>
      <c r="J442" s="76"/>
      <c r="K442" s="76"/>
      <c r="L442" s="75"/>
      <c r="M442" s="49"/>
      <c r="N442" s="76"/>
      <c r="O442" s="49"/>
      <c r="P442" s="77"/>
      <c r="Q442" s="53"/>
      <c r="R442" s="54"/>
      <c r="S442" s="55"/>
      <c r="T442" s="56"/>
      <c r="U442" s="56"/>
      <c r="V442" s="42"/>
      <c r="W442" s="57"/>
      <c r="X442" s="58"/>
      <c r="Y442" s="75"/>
      <c r="Z442" s="59"/>
      <c r="AA442" s="61"/>
      <c r="AB442" s="61"/>
      <c r="AC442" s="61"/>
      <c r="AD442" s="62"/>
      <c r="AE442" s="62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</row>
    <row r="443" spans="1:77" x14ac:dyDescent="0.3">
      <c r="A443" s="39"/>
      <c r="B443" s="42"/>
      <c r="C443" s="42"/>
      <c r="D443" s="75"/>
      <c r="E443" s="75"/>
      <c r="F443" s="76"/>
      <c r="G443" s="47"/>
      <c r="H443" s="47"/>
      <c r="I443" s="75"/>
      <c r="J443" s="76"/>
      <c r="K443" s="76"/>
      <c r="L443" s="75"/>
      <c r="M443" s="49"/>
      <c r="N443" s="76"/>
      <c r="O443" s="49"/>
      <c r="P443" s="77"/>
      <c r="Q443" s="53"/>
      <c r="R443" s="54"/>
      <c r="S443" s="55"/>
      <c r="T443" s="56"/>
      <c r="U443" s="56"/>
      <c r="V443" s="42"/>
      <c r="W443" s="57"/>
      <c r="X443" s="58"/>
      <c r="Y443" s="75"/>
      <c r="Z443" s="59"/>
      <c r="AA443" s="61"/>
      <c r="AB443" s="61"/>
      <c r="AC443" s="61"/>
      <c r="AD443" s="62"/>
      <c r="AE443" s="62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</row>
    <row r="444" spans="1:77" x14ac:dyDescent="0.3">
      <c r="A444" s="39"/>
      <c r="B444" s="42"/>
      <c r="C444" s="42"/>
      <c r="D444" s="75"/>
      <c r="E444" s="75"/>
      <c r="F444" s="76"/>
      <c r="G444" s="47"/>
      <c r="H444" s="47"/>
      <c r="I444" s="75"/>
      <c r="J444" s="76"/>
      <c r="K444" s="76"/>
      <c r="L444" s="75"/>
      <c r="M444" s="49"/>
      <c r="N444" s="76"/>
      <c r="O444" s="49"/>
      <c r="P444" s="77"/>
      <c r="Q444" s="53"/>
      <c r="R444" s="54"/>
      <c r="S444" s="55"/>
      <c r="T444" s="56"/>
      <c r="U444" s="56"/>
      <c r="V444" s="42"/>
      <c r="W444" s="57"/>
      <c r="X444" s="58"/>
      <c r="Y444" s="75"/>
      <c r="Z444" s="59"/>
      <c r="AA444" s="61"/>
      <c r="AB444" s="61"/>
      <c r="AC444" s="61"/>
      <c r="AD444" s="62"/>
      <c r="AE444" s="62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</row>
    <row r="445" spans="1:77" x14ac:dyDescent="0.3">
      <c r="A445" s="39"/>
      <c r="B445" s="42"/>
      <c r="C445" s="42"/>
      <c r="D445" s="75"/>
      <c r="E445" s="75"/>
      <c r="F445" s="76"/>
      <c r="G445" s="47"/>
      <c r="H445" s="47"/>
      <c r="I445" s="75"/>
      <c r="J445" s="76"/>
      <c r="K445" s="76"/>
      <c r="L445" s="75"/>
      <c r="M445" s="49"/>
      <c r="N445" s="76"/>
      <c r="O445" s="49"/>
      <c r="P445" s="77"/>
      <c r="Q445" s="53"/>
      <c r="R445" s="54"/>
      <c r="S445" s="55"/>
      <c r="T445" s="56"/>
      <c r="U445" s="56"/>
      <c r="V445" s="42"/>
      <c r="W445" s="57"/>
      <c r="X445" s="58"/>
      <c r="Y445" s="75"/>
      <c r="Z445" s="59"/>
      <c r="AA445" s="61"/>
      <c r="AB445" s="61"/>
      <c r="AC445" s="61"/>
      <c r="AD445" s="62"/>
      <c r="AE445" s="62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</row>
    <row r="446" spans="1:77" x14ac:dyDescent="0.3">
      <c r="A446" s="39"/>
      <c r="B446" s="42"/>
      <c r="C446" s="42"/>
      <c r="D446" s="75"/>
      <c r="E446" s="75"/>
      <c r="F446" s="76"/>
      <c r="G446" s="47"/>
      <c r="H446" s="47"/>
      <c r="I446" s="75"/>
      <c r="J446" s="76"/>
      <c r="K446" s="76"/>
      <c r="L446" s="75"/>
      <c r="M446" s="49"/>
      <c r="N446" s="76"/>
      <c r="O446" s="49"/>
      <c r="P446" s="77"/>
      <c r="Q446" s="53"/>
      <c r="R446" s="54"/>
      <c r="S446" s="55"/>
      <c r="T446" s="56"/>
      <c r="U446" s="56"/>
      <c r="V446" s="42"/>
      <c r="W446" s="57"/>
      <c r="X446" s="58"/>
      <c r="Y446" s="75"/>
      <c r="Z446" s="59"/>
      <c r="AA446" s="61"/>
      <c r="AB446" s="61"/>
      <c r="AC446" s="61"/>
      <c r="AD446" s="62"/>
      <c r="AE446" s="62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</row>
    <row r="447" spans="1:77" x14ac:dyDescent="0.3">
      <c r="A447" s="39"/>
      <c r="B447" s="42"/>
      <c r="C447" s="42"/>
      <c r="D447" s="75"/>
      <c r="E447" s="75"/>
      <c r="F447" s="76"/>
      <c r="G447" s="47"/>
      <c r="H447" s="47"/>
      <c r="I447" s="75"/>
      <c r="J447" s="76"/>
      <c r="K447" s="76"/>
      <c r="L447" s="75"/>
      <c r="M447" s="49"/>
      <c r="N447" s="76"/>
      <c r="O447" s="49"/>
      <c r="P447" s="77"/>
      <c r="Q447" s="53"/>
      <c r="R447" s="54"/>
      <c r="S447" s="55"/>
      <c r="T447" s="56"/>
      <c r="U447" s="56"/>
      <c r="V447" s="42"/>
      <c r="W447" s="57"/>
      <c r="X447" s="58"/>
      <c r="Y447" s="75"/>
      <c r="Z447" s="59"/>
      <c r="AA447" s="61"/>
      <c r="AB447" s="61"/>
      <c r="AC447" s="61"/>
      <c r="AD447" s="62"/>
      <c r="AE447" s="62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</row>
    <row r="448" spans="1:77" x14ac:dyDescent="0.3">
      <c r="A448" s="39"/>
      <c r="B448" s="42"/>
      <c r="C448" s="42"/>
      <c r="D448" s="75"/>
      <c r="E448" s="75"/>
      <c r="F448" s="76"/>
      <c r="G448" s="47"/>
      <c r="H448" s="47"/>
      <c r="I448" s="75"/>
      <c r="J448" s="76"/>
      <c r="K448" s="76"/>
      <c r="L448" s="75"/>
      <c r="M448" s="49"/>
      <c r="N448" s="76"/>
      <c r="O448" s="49"/>
      <c r="P448" s="77"/>
      <c r="Q448" s="53"/>
      <c r="R448" s="54"/>
      <c r="S448" s="55"/>
      <c r="T448" s="56"/>
      <c r="U448" s="56"/>
      <c r="V448" s="42"/>
      <c r="W448" s="57"/>
      <c r="X448" s="58"/>
      <c r="Y448" s="75"/>
      <c r="Z448" s="59"/>
      <c r="AA448" s="61"/>
      <c r="AB448" s="61"/>
      <c r="AC448" s="61"/>
      <c r="AD448" s="62"/>
      <c r="AE448" s="62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</row>
    <row r="449" spans="1:77" x14ac:dyDescent="0.3">
      <c r="A449" s="39"/>
      <c r="B449" s="42"/>
      <c r="C449" s="42"/>
      <c r="D449" s="75"/>
      <c r="E449" s="75"/>
      <c r="F449" s="76"/>
      <c r="G449" s="47"/>
      <c r="H449" s="47"/>
      <c r="I449" s="75"/>
      <c r="J449" s="76"/>
      <c r="K449" s="76"/>
      <c r="L449" s="75"/>
      <c r="M449" s="49"/>
      <c r="N449" s="76"/>
      <c r="O449" s="49"/>
      <c r="P449" s="77"/>
      <c r="Q449" s="53"/>
      <c r="R449" s="54"/>
      <c r="S449" s="55"/>
      <c r="T449" s="56"/>
      <c r="U449" s="56"/>
      <c r="V449" s="42"/>
      <c r="W449" s="57"/>
      <c r="X449" s="58"/>
      <c r="Y449" s="75"/>
      <c r="Z449" s="59"/>
      <c r="AA449" s="61"/>
      <c r="AB449" s="61"/>
      <c r="AC449" s="61"/>
      <c r="AD449" s="62"/>
      <c r="AE449" s="62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</row>
    <row r="450" spans="1:77" x14ac:dyDescent="0.3">
      <c r="A450" s="39"/>
      <c r="B450" s="42"/>
      <c r="C450" s="42"/>
      <c r="D450" s="75"/>
      <c r="E450" s="75"/>
      <c r="F450" s="76"/>
      <c r="G450" s="47"/>
      <c r="H450" s="47"/>
      <c r="I450" s="75"/>
      <c r="J450" s="76"/>
      <c r="K450" s="76"/>
      <c r="L450" s="75"/>
      <c r="M450" s="49"/>
      <c r="N450" s="76"/>
      <c r="O450" s="49"/>
      <c r="P450" s="77"/>
      <c r="Q450" s="53"/>
      <c r="R450" s="54"/>
      <c r="S450" s="55"/>
      <c r="T450" s="56"/>
      <c r="U450" s="56"/>
      <c r="V450" s="42"/>
      <c r="W450" s="57"/>
      <c r="X450" s="58"/>
      <c r="Y450" s="75"/>
      <c r="Z450" s="59"/>
      <c r="AA450" s="61"/>
      <c r="AB450" s="61"/>
      <c r="AC450" s="61"/>
      <c r="AD450" s="62"/>
      <c r="AE450" s="62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</row>
    <row r="451" spans="1:77" x14ac:dyDescent="0.3">
      <c r="A451" s="39"/>
      <c r="B451" s="42"/>
      <c r="C451" s="42"/>
      <c r="D451" s="75"/>
      <c r="E451" s="75"/>
      <c r="F451" s="76"/>
      <c r="G451" s="47"/>
      <c r="H451" s="47"/>
      <c r="I451" s="75"/>
      <c r="J451" s="76"/>
      <c r="K451" s="76"/>
      <c r="L451" s="75"/>
      <c r="M451" s="49"/>
      <c r="N451" s="76"/>
      <c r="O451" s="49"/>
      <c r="P451" s="77"/>
      <c r="Q451" s="53"/>
      <c r="R451" s="54"/>
      <c r="S451" s="55"/>
      <c r="T451" s="56"/>
      <c r="U451" s="56"/>
      <c r="V451" s="42"/>
      <c r="W451" s="57"/>
      <c r="X451" s="58"/>
      <c r="Y451" s="75"/>
      <c r="Z451" s="59"/>
      <c r="AA451" s="61"/>
      <c r="AB451" s="61"/>
      <c r="AC451" s="61"/>
      <c r="AD451" s="62"/>
      <c r="AE451" s="62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</row>
    <row r="452" spans="1:77" x14ac:dyDescent="0.3">
      <c r="A452" s="39"/>
      <c r="B452" s="42"/>
      <c r="C452" s="42"/>
      <c r="D452" s="75"/>
      <c r="E452" s="75"/>
      <c r="F452" s="76"/>
      <c r="G452" s="47"/>
      <c r="H452" s="47"/>
      <c r="I452" s="75"/>
      <c r="J452" s="76"/>
      <c r="K452" s="76"/>
      <c r="L452" s="75"/>
      <c r="M452" s="49"/>
      <c r="N452" s="76"/>
      <c r="O452" s="49"/>
      <c r="P452" s="77"/>
      <c r="Q452" s="53"/>
      <c r="R452" s="54"/>
      <c r="S452" s="55"/>
      <c r="T452" s="56"/>
      <c r="U452" s="56"/>
      <c r="V452" s="42"/>
      <c r="W452" s="57"/>
      <c r="X452" s="58"/>
      <c r="Y452" s="75"/>
      <c r="Z452" s="59"/>
      <c r="AA452" s="61"/>
      <c r="AB452" s="61"/>
      <c r="AC452" s="61"/>
      <c r="AD452" s="62"/>
      <c r="AE452" s="62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</row>
    <row r="453" spans="1:77" x14ac:dyDescent="0.3">
      <c r="A453" s="39"/>
      <c r="B453" s="42"/>
      <c r="C453" s="42"/>
      <c r="D453" s="75"/>
      <c r="E453" s="75"/>
      <c r="F453" s="76"/>
      <c r="G453" s="47"/>
      <c r="H453" s="47"/>
      <c r="I453" s="75"/>
      <c r="J453" s="76"/>
      <c r="K453" s="76"/>
      <c r="L453" s="75"/>
      <c r="M453" s="49"/>
      <c r="N453" s="76"/>
      <c r="O453" s="49"/>
      <c r="P453" s="77"/>
      <c r="Q453" s="53"/>
      <c r="R453" s="54"/>
      <c r="S453" s="55"/>
      <c r="T453" s="56"/>
      <c r="U453" s="56"/>
      <c r="V453" s="42"/>
      <c r="W453" s="57"/>
      <c r="X453" s="58"/>
      <c r="Y453" s="75"/>
      <c r="Z453" s="59"/>
      <c r="AA453" s="61"/>
      <c r="AB453" s="61"/>
      <c r="AC453" s="61"/>
      <c r="AD453" s="62"/>
      <c r="AE453" s="62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</row>
    <row r="454" spans="1:77" x14ac:dyDescent="0.3">
      <c r="A454" s="39"/>
      <c r="B454" s="42"/>
      <c r="C454" s="42"/>
      <c r="D454" s="75"/>
      <c r="E454" s="75"/>
      <c r="F454" s="76"/>
      <c r="G454" s="47"/>
      <c r="H454" s="47"/>
      <c r="I454" s="75"/>
      <c r="J454" s="76"/>
      <c r="K454" s="76"/>
      <c r="L454" s="75"/>
      <c r="M454" s="49"/>
      <c r="N454" s="76"/>
      <c r="O454" s="49"/>
      <c r="P454" s="77"/>
      <c r="Q454" s="53"/>
      <c r="R454" s="54"/>
      <c r="S454" s="55"/>
      <c r="T454" s="56"/>
      <c r="U454" s="56"/>
      <c r="V454" s="42"/>
      <c r="W454" s="57"/>
      <c r="X454" s="58"/>
      <c r="Y454" s="75"/>
      <c r="Z454" s="59"/>
      <c r="AA454" s="61"/>
      <c r="AB454" s="61"/>
      <c r="AC454" s="61"/>
      <c r="AD454" s="62"/>
      <c r="AE454" s="62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</row>
    <row r="455" spans="1:77" x14ac:dyDescent="0.3">
      <c r="A455" s="39"/>
      <c r="B455" s="42"/>
      <c r="C455" s="42"/>
      <c r="D455" s="75"/>
      <c r="E455" s="75"/>
      <c r="F455" s="76"/>
      <c r="G455" s="47"/>
      <c r="H455" s="47"/>
      <c r="I455" s="75"/>
      <c r="J455" s="76"/>
      <c r="K455" s="76"/>
      <c r="L455" s="75"/>
      <c r="M455" s="49"/>
      <c r="N455" s="76"/>
      <c r="O455" s="49"/>
      <c r="P455" s="77"/>
      <c r="Q455" s="53"/>
      <c r="R455" s="54"/>
      <c r="S455" s="55"/>
      <c r="T455" s="56"/>
      <c r="U455" s="56"/>
      <c r="V455" s="42"/>
      <c r="W455" s="57"/>
      <c r="X455" s="58"/>
      <c r="Y455" s="75"/>
      <c r="Z455" s="59"/>
      <c r="AA455" s="61"/>
      <c r="AB455" s="61"/>
      <c r="AC455" s="61"/>
      <c r="AD455" s="62"/>
      <c r="AE455" s="62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</row>
    <row r="456" spans="1:77" x14ac:dyDescent="0.3">
      <c r="A456" s="39"/>
      <c r="B456" s="42"/>
      <c r="C456" s="42"/>
      <c r="D456" s="75"/>
      <c r="E456" s="75"/>
      <c r="F456" s="76"/>
      <c r="G456" s="47"/>
      <c r="H456" s="47"/>
      <c r="I456" s="75"/>
      <c r="J456" s="76"/>
      <c r="K456" s="76"/>
      <c r="L456" s="75"/>
      <c r="M456" s="49"/>
      <c r="N456" s="76"/>
      <c r="O456" s="49"/>
      <c r="P456" s="77"/>
      <c r="Q456" s="53"/>
      <c r="R456" s="54"/>
      <c r="S456" s="55"/>
      <c r="T456" s="56"/>
      <c r="U456" s="56"/>
      <c r="V456" s="42"/>
      <c r="W456" s="57"/>
      <c r="X456" s="58"/>
      <c r="Y456" s="75"/>
      <c r="Z456" s="59"/>
      <c r="AA456" s="61"/>
      <c r="AB456" s="61"/>
      <c r="AC456" s="61"/>
      <c r="AD456" s="62"/>
      <c r="AE456" s="62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</row>
    <row r="457" spans="1:77" x14ac:dyDescent="0.3">
      <c r="A457" s="39"/>
      <c r="B457" s="42"/>
      <c r="C457" s="42"/>
      <c r="D457" s="75"/>
      <c r="E457" s="75"/>
      <c r="F457" s="76"/>
      <c r="G457" s="47"/>
      <c r="H457" s="47"/>
      <c r="I457" s="75"/>
      <c r="J457" s="76"/>
      <c r="K457" s="76"/>
      <c r="L457" s="75"/>
      <c r="M457" s="49"/>
      <c r="N457" s="76"/>
      <c r="O457" s="49"/>
      <c r="P457" s="77"/>
      <c r="Q457" s="53"/>
      <c r="R457" s="54"/>
      <c r="S457" s="55"/>
      <c r="T457" s="56"/>
      <c r="U457" s="56"/>
      <c r="V457" s="42"/>
      <c r="W457" s="57"/>
      <c r="X457" s="58"/>
      <c r="Y457" s="75"/>
      <c r="Z457" s="59"/>
      <c r="AA457" s="61"/>
      <c r="AB457" s="61"/>
      <c r="AC457" s="61"/>
      <c r="AD457" s="62"/>
      <c r="AE457" s="62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</row>
    <row r="458" spans="1:77" x14ac:dyDescent="0.3">
      <c r="A458" s="39"/>
      <c r="B458" s="42"/>
      <c r="C458" s="42"/>
      <c r="D458" s="75"/>
      <c r="E458" s="75"/>
      <c r="F458" s="76"/>
      <c r="G458" s="47"/>
      <c r="H458" s="47"/>
      <c r="I458" s="75"/>
      <c r="J458" s="76"/>
      <c r="K458" s="76"/>
      <c r="L458" s="75"/>
      <c r="M458" s="49"/>
      <c r="N458" s="76"/>
      <c r="O458" s="49"/>
      <c r="P458" s="77"/>
      <c r="Q458" s="53"/>
      <c r="R458" s="54"/>
      <c r="S458" s="55"/>
      <c r="T458" s="56"/>
      <c r="U458" s="56"/>
      <c r="V458" s="42"/>
      <c r="W458" s="57"/>
      <c r="X458" s="58"/>
      <c r="Y458" s="75"/>
      <c r="Z458" s="59"/>
      <c r="AA458" s="61"/>
      <c r="AB458" s="61"/>
      <c r="AC458" s="61"/>
      <c r="AD458" s="62"/>
      <c r="AE458" s="62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</row>
    <row r="459" spans="1:77" x14ac:dyDescent="0.3">
      <c r="A459" s="39"/>
      <c r="B459" s="42"/>
      <c r="C459" s="42"/>
      <c r="D459" s="75"/>
      <c r="E459" s="75"/>
      <c r="F459" s="76"/>
      <c r="G459" s="47"/>
      <c r="H459" s="47"/>
      <c r="I459" s="75"/>
      <c r="J459" s="76"/>
      <c r="K459" s="76"/>
      <c r="L459" s="75"/>
      <c r="M459" s="49"/>
      <c r="N459" s="76"/>
      <c r="O459" s="49"/>
      <c r="P459" s="77"/>
      <c r="Q459" s="53"/>
      <c r="R459" s="54"/>
      <c r="S459" s="55"/>
      <c r="T459" s="56"/>
      <c r="U459" s="56"/>
      <c r="V459" s="42"/>
      <c r="W459" s="57"/>
      <c r="X459" s="58"/>
      <c r="Y459" s="75"/>
      <c r="Z459" s="59"/>
      <c r="AA459" s="61"/>
      <c r="AB459" s="61"/>
      <c r="AC459" s="61"/>
      <c r="AD459" s="62"/>
      <c r="AE459" s="62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</row>
    <row r="460" spans="1:77" x14ac:dyDescent="0.3">
      <c r="A460" s="39"/>
      <c r="B460" s="42"/>
      <c r="C460" s="42"/>
      <c r="D460" s="75"/>
      <c r="E460" s="75"/>
      <c r="F460" s="76"/>
      <c r="G460" s="47"/>
      <c r="H460" s="47"/>
      <c r="I460" s="75"/>
      <c r="J460" s="76"/>
      <c r="K460" s="76"/>
      <c r="L460" s="75"/>
      <c r="M460" s="49"/>
      <c r="N460" s="76"/>
      <c r="O460" s="49"/>
      <c r="P460" s="77"/>
      <c r="Q460" s="53"/>
      <c r="R460" s="54"/>
      <c r="S460" s="55"/>
      <c r="T460" s="56"/>
      <c r="U460" s="56"/>
      <c r="V460" s="42"/>
      <c r="W460" s="57"/>
      <c r="X460" s="58"/>
      <c r="Y460" s="75"/>
      <c r="Z460" s="59"/>
      <c r="AA460" s="61"/>
      <c r="AB460" s="61"/>
      <c r="AC460" s="61"/>
      <c r="AD460" s="62"/>
      <c r="AE460" s="62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</row>
    <row r="461" spans="1:77" x14ac:dyDescent="0.3">
      <c r="A461" s="39"/>
      <c r="B461" s="42"/>
      <c r="C461" s="42"/>
      <c r="D461" s="75"/>
      <c r="E461" s="75"/>
      <c r="F461" s="76"/>
      <c r="G461" s="47"/>
      <c r="H461" s="47"/>
      <c r="I461" s="75"/>
      <c r="J461" s="76"/>
      <c r="K461" s="76"/>
      <c r="L461" s="75"/>
      <c r="M461" s="49"/>
      <c r="N461" s="76"/>
      <c r="O461" s="49"/>
      <c r="P461" s="77"/>
      <c r="Q461" s="53"/>
      <c r="R461" s="54"/>
      <c r="S461" s="55"/>
      <c r="T461" s="56"/>
      <c r="U461" s="56"/>
      <c r="V461" s="42"/>
      <c r="W461" s="57"/>
      <c r="X461" s="58"/>
      <c r="Y461" s="75"/>
      <c r="Z461" s="59"/>
      <c r="AA461" s="61"/>
      <c r="AB461" s="61"/>
      <c r="AC461" s="61"/>
      <c r="AD461" s="62"/>
      <c r="AE461" s="62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</row>
    <row r="462" spans="1:77" x14ac:dyDescent="0.3">
      <c r="A462" s="39"/>
      <c r="B462" s="42"/>
      <c r="C462" s="42"/>
      <c r="D462" s="75"/>
      <c r="E462" s="75"/>
      <c r="F462" s="76"/>
      <c r="G462" s="47"/>
      <c r="H462" s="47"/>
      <c r="I462" s="75"/>
      <c r="J462" s="76"/>
      <c r="K462" s="76"/>
      <c r="L462" s="75"/>
      <c r="M462" s="49"/>
      <c r="N462" s="76"/>
      <c r="O462" s="49"/>
      <c r="P462" s="77"/>
      <c r="Q462" s="53"/>
      <c r="R462" s="54"/>
      <c r="S462" s="55"/>
      <c r="T462" s="56"/>
      <c r="U462" s="56"/>
      <c r="V462" s="42"/>
      <c r="W462" s="57"/>
      <c r="X462" s="58"/>
      <c r="Y462" s="75"/>
      <c r="Z462" s="59"/>
      <c r="AA462" s="61"/>
      <c r="AB462" s="61"/>
      <c r="AC462" s="61"/>
      <c r="AD462" s="62"/>
      <c r="AE462" s="62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</row>
    <row r="463" spans="1:77" x14ac:dyDescent="0.3">
      <c r="A463" s="39"/>
      <c r="B463" s="42"/>
      <c r="C463" s="42"/>
      <c r="D463" s="75"/>
      <c r="E463" s="75"/>
      <c r="F463" s="76"/>
      <c r="G463" s="47"/>
      <c r="H463" s="47"/>
      <c r="I463" s="75"/>
      <c r="J463" s="76"/>
      <c r="K463" s="76"/>
      <c r="L463" s="75"/>
      <c r="M463" s="49"/>
      <c r="N463" s="76"/>
      <c r="O463" s="49"/>
      <c r="P463" s="77"/>
      <c r="Q463" s="53"/>
      <c r="R463" s="54"/>
      <c r="S463" s="55"/>
      <c r="T463" s="56"/>
      <c r="U463" s="56"/>
      <c r="V463" s="42"/>
      <c r="W463" s="57"/>
      <c r="X463" s="58"/>
      <c r="Y463" s="75"/>
      <c r="Z463" s="59"/>
      <c r="AA463" s="61"/>
      <c r="AB463" s="61"/>
      <c r="AC463" s="61"/>
      <c r="AD463" s="62"/>
      <c r="AE463" s="62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</row>
    <row r="464" spans="1:77" x14ac:dyDescent="0.3">
      <c r="A464" s="39"/>
      <c r="B464" s="42"/>
      <c r="C464" s="42"/>
      <c r="D464" s="75"/>
      <c r="E464" s="75"/>
      <c r="F464" s="76"/>
      <c r="G464" s="47"/>
      <c r="H464" s="47"/>
      <c r="I464" s="75"/>
      <c r="J464" s="76"/>
      <c r="K464" s="76"/>
      <c r="L464" s="75"/>
      <c r="M464" s="49"/>
      <c r="N464" s="76"/>
      <c r="O464" s="49"/>
      <c r="P464" s="77"/>
      <c r="Q464" s="53"/>
      <c r="R464" s="54"/>
      <c r="S464" s="55"/>
      <c r="T464" s="56"/>
      <c r="U464" s="56"/>
      <c r="V464" s="42"/>
      <c r="W464" s="57"/>
      <c r="X464" s="58"/>
      <c r="Y464" s="75"/>
      <c r="Z464" s="59"/>
      <c r="AA464" s="61"/>
      <c r="AB464" s="61"/>
      <c r="AC464" s="61"/>
      <c r="AD464" s="62"/>
      <c r="AE464" s="62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</row>
    <row r="465" spans="1:77" x14ac:dyDescent="0.3">
      <c r="A465" s="39"/>
      <c r="B465" s="42"/>
      <c r="C465" s="42"/>
      <c r="D465" s="75"/>
      <c r="E465" s="75"/>
      <c r="F465" s="76"/>
      <c r="G465" s="47"/>
      <c r="H465" s="47"/>
      <c r="I465" s="75"/>
      <c r="J465" s="76"/>
      <c r="K465" s="76"/>
      <c r="L465" s="75"/>
      <c r="M465" s="49"/>
      <c r="N465" s="76"/>
      <c r="O465" s="49"/>
      <c r="P465" s="77"/>
      <c r="Q465" s="53"/>
      <c r="R465" s="54"/>
      <c r="S465" s="55"/>
      <c r="T465" s="56"/>
      <c r="U465" s="56"/>
      <c r="V465" s="42"/>
      <c r="W465" s="57"/>
      <c r="X465" s="58"/>
      <c r="Y465" s="75"/>
      <c r="Z465" s="59"/>
      <c r="AA465" s="61"/>
      <c r="AB465" s="61"/>
      <c r="AC465" s="61"/>
      <c r="AD465" s="62"/>
      <c r="AE465" s="62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</row>
    <row r="466" spans="1:77" x14ac:dyDescent="0.3">
      <c r="A466" s="39"/>
      <c r="B466" s="42"/>
      <c r="C466" s="42"/>
      <c r="D466" s="75"/>
      <c r="E466" s="75"/>
      <c r="F466" s="76"/>
      <c r="G466" s="47"/>
      <c r="H466" s="47"/>
      <c r="I466" s="75"/>
      <c r="J466" s="76"/>
      <c r="K466" s="76"/>
      <c r="L466" s="75"/>
      <c r="M466" s="49"/>
      <c r="N466" s="76"/>
      <c r="O466" s="49"/>
      <c r="P466" s="77"/>
      <c r="Q466" s="53"/>
      <c r="R466" s="54"/>
      <c r="S466" s="55"/>
      <c r="T466" s="56"/>
      <c r="U466" s="56"/>
      <c r="V466" s="42"/>
      <c r="W466" s="57"/>
      <c r="X466" s="58"/>
      <c r="Y466" s="75"/>
      <c r="Z466" s="59"/>
      <c r="AA466" s="61"/>
      <c r="AB466" s="61"/>
      <c r="AC466" s="61"/>
      <c r="AD466" s="62"/>
      <c r="AE466" s="62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</row>
    <row r="467" spans="1:77" x14ac:dyDescent="0.3">
      <c r="A467" s="39"/>
      <c r="B467" s="42"/>
      <c r="C467" s="42"/>
      <c r="D467" s="75"/>
      <c r="E467" s="75"/>
      <c r="F467" s="76"/>
      <c r="G467" s="47"/>
      <c r="H467" s="47"/>
      <c r="I467" s="75"/>
      <c r="J467" s="76"/>
      <c r="K467" s="76"/>
      <c r="L467" s="75"/>
      <c r="M467" s="49"/>
      <c r="N467" s="76"/>
      <c r="O467" s="49"/>
      <c r="P467" s="77"/>
      <c r="Q467" s="53"/>
      <c r="R467" s="54"/>
      <c r="S467" s="55"/>
      <c r="T467" s="56"/>
      <c r="U467" s="56"/>
      <c r="V467" s="42"/>
      <c r="W467" s="57"/>
      <c r="X467" s="58"/>
      <c r="Y467" s="75"/>
      <c r="Z467" s="59"/>
      <c r="AA467" s="61"/>
      <c r="AB467" s="61"/>
      <c r="AC467" s="61"/>
      <c r="AD467" s="62"/>
      <c r="AE467" s="62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</row>
    <row r="468" spans="1:77" x14ac:dyDescent="0.3">
      <c r="A468" s="39"/>
      <c r="B468" s="42"/>
      <c r="C468" s="42"/>
      <c r="D468" s="75"/>
      <c r="E468" s="75"/>
      <c r="F468" s="76"/>
      <c r="G468" s="47"/>
      <c r="H468" s="47"/>
      <c r="I468" s="75"/>
      <c r="J468" s="76"/>
      <c r="K468" s="76"/>
      <c r="L468" s="75"/>
      <c r="M468" s="49"/>
      <c r="N468" s="76"/>
      <c r="O468" s="49"/>
      <c r="P468" s="77"/>
      <c r="Q468" s="53"/>
      <c r="R468" s="54"/>
      <c r="S468" s="55"/>
      <c r="T468" s="56"/>
      <c r="U468" s="56"/>
      <c r="V468" s="42"/>
      <c r="W468" s="57"/>
      <c r="X468" s="58"/>
      <c r="Y468" s="75"/>
      <c r="Z468" s="59"/>
      <c r="AA468" s="61"/>
      <c r="AB468" s="61"/>
      <c r="AC468" s="61"/>
      <c r="AD468" s="62"/>
      <c r="AE468" s="62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</row>
    <row r="469" spans="1:77" x14ac:dyDescent="0.3">
      <c r="A469" s="39"/>
      <c r="B469" s="42"/>
      <c r="C469" s="42"/>
      <c r="D469" s="75"/>
      <c r="E469" s="75"/>
      <c r="F469" s="76"/>
      <c r="G469" s="47"/>
      <c r="H469" s="47"/>
      <c r="I469" s="75"/>
      <c r="J469" s="76"/>
      <c r="K469" s="76"/>
      <c r="L469" s="75"/>
      <c r="M469" s="49"/>
      <c r="N469" s="76"/>
      <c r="O469" s="49"/>
      <c r="P469" s="77"/>
      <c r="Q469" s="53"/>
      <c r="R469" s="54"/>
      <c r="S469" s="55"/>
      <c r="T469" s="56"/>
      <c r="U469" s="56"/>
      <c r="V469" s="42"/>
      <c r="W469" s="57"/>
      <c r="X469" s="58"/>
      <c r="Y469" s="75"/>
      <c r="Z469" s="59"/>
      <c r="AA469" s="61"/>
      <c r="AB469" s="61"/>
      <c r="AC469" s="61"/>
      <c r="AD469" s="62"/>
      <c r="AE469" s="62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</row>
    <row r="470" spans="1:77" x14ac:dyDescent="0.3">
      <c r="A470" s="39"/>
      <c r="B470" s="42"/>
      <c r="C470" s="42"/>
      <c r="D470" s="75"/>
      <c r="E470" s="75"/>
      <c r="F470" s="76"/>
      <c r="G470" s="47"/>
      <c r="H470" s="47"/>
      <c r="I470" s="75"/>
      <c r="J470" s="76"/>
      <c r="K470" s="76"/>
      <c r="L470" s="75"/>
      <c r="M470" s="49"/>
      <c r="N470" s="76"/>
      <c r="O470" s="49"/>
      <c r="P470" s="77"/>
      <c r="Q470" s="53"/>
      <c r="R470" s="54"/>
      <c r="S470" s="55"/>
      <c r="T470" s="56"/>
      <c r="U470" s="56"/>
      <c r="V470" s="42"/>
      <c r="W470" s="57"/>
      <c r="X470" s="58"/>
      <c r="Y470" s="75"/>
      <c r="Z470" s="59"/>
      <c r="AA470" s="61"/>
      <c r="AB470" s="61"/>
      <c r="AC470" s="61"/>
      <c r="AD470" s="62"/>
      <c r="AE470" s="62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</row>
    <row r="471" spans="1:77" x14ac:dyDescent="0.3">
      <c r="A471" s="39"/>
      <c r="B471" s="42"/>
      <c r="C471" s="42"/>
      <c r="D471" s="75"/>
      <c r="E471" s="75"/>
      <c r="F471" s="76"/>
      <c r="G471" s="47"/>
      <c r="H471" s="47"/>
      <c r="I471" s="75"/>
      <c r="J471" s="76"/>
      <c r="K471" s="76"/>
      <c r="L471" s="75"/>
      <c r="M471" s="49"/>
      <c r="N471" s="76"/>
      <c r="O471" s="49"/>
      <c r="P471" s="77"/>
      <c r="Q471" s="53"/>
      <c r="R471" s="54"/>
      <c r="S471" s="55"/>
      <c r="T471" s="56"/>
      <c r="U471" s="56"/>
      <c r="V471" s="42"/>
      <c r="W471" s="57"/>
      <c r="X471" s="58"/>
      <c r="Y471" s="75"/>
      <c r="Z471" s="59"/>
      <c r="AA471" s="61"/>
      <c r="AB471" s="61"/>
      <c r="AC471" s="61"/>
      <c r="AD471" s="62"/>
      <c r="AE471" s="62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</row>
    <row r="472" spans="1:77" x14ac:dyDescent="0.3">
      <c r="A472" s="39"/>
      <c r="B472" s="42"/>
      <c r="C472" s="42"/>
      <c r="D472" s="75"/>
      <c r="E472" s="75"/>
      <c r="F472" s="76"/>
      <c r="G472" s="47"/>
      <c r="H472" s="47"/>
      <c r="I472" s="75"/>
      <c r="J472" s="76"/>
      <c r="K472" s="76"/>
      <c r="L472" s="75"/>
      <c r="M472" s="49"/>
      <c r="N472" s="76"/>
      <c r="O472" s="49"/>
      <c r="P472" s="77"/>
      <c r="Q472" s="53"/>
      <c r="R472" s="54"/>
      <c r="S472" s="55"/>
      <c r="T472" s="56"/>
      <c r="U472" s="56"/>
      <c r="V472" s="42"/>
      <c r="W472" s="57"/>
      <c r="X472" s="58"/>
      <c r="Y472" s="75"/>
      <c r="Z472" s="59"/>
      <c r="AA472" s="61"/>
      <c r="AB472" s="61"/>
      <c r="AC472" s="61"/>
      <c r="AD472" s="62"/>
      <c r="AE472" s="62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</row>
    <row r="473" spans="1:77" x14ac:dyDescent="0.3">
      <c r="A473" s="39"/>
      <c r="B473" s="42"/>
      <c r="C473" s="42"/>
      <c r="D473" s="75"/>
      <c r="E473" s="75"/>
      <c r="F473" s="76"/>
      <c r="G473" s="47"/>
      <c r="H473" s="47"/>
      <c r="I473" s="75"/>
      <c r="J473" s="76"/>
      <c r="K473" s="76"/>
      <c r="L473" s="75"/>
      <c r="M473" s="49"/>
      <c r="N473" s="76"/>
      <c r="O473" s="49"/>
      <c r="P473" s="77"/>
      <c r="Q473" s="53"/>
      <c r="R473" s="54"/>
      <c r="S473" s="55"/>
      <c r="T473" s="56"/>
      <c r="U473" s="56"/>
      <c r="V473" s="42"/>
      <c r="W473" s="57"/>
      <c r="X473" s="58"/>
      <c r="Y473" s="75"/>
      <c r="Z473" s="59"/>
      <c r="AA473" s="61"/>
      <c r="AB473" s="61"/>
      <c r="AC473" s="61"/>
      <c r="AD473" s="62"/>
      <c r="AE473" s="62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</row>
    <row r="474" spans="1:77" x14ac:dyDescent="0.3">
      <c r="A474" s="39"/>
      <c r="B474" s="42"/>
      <c r="C474" s="42"/>
      <c r="D474" s="75"/>
      <c r="E474" s="75"/>
      <c r="F474" s="76"/>
      <c r="G474" s="47"/>
      <c r="H474" s="47"/>
      <c r="I474" s="75"/>
      <c r="J474" s="76"/>
      <c r="K474" s="76"/>
      <c r="L474" s="75"/>
      <c r="M474" s="49"/>
      <c r="N474" s="76"/>
      <c r="O474" s="49"/>
      <c r="P474" s="77"/>
      <c r="Q474" s="53"/>
      <c r="R474" s="54"/>
      <c r="S474" s="55"/>
      <c r="T474" s="56"/>
      <c r="U474" s="56"/>
      <c r="V474" s="42"/>
      <c r="W474" s="57"/>
      <c r="X474" s="58"/>
      <c r="Y474" s="75"/>
      <c r="Z474" s="59"/>
      <c r="AA474" s="61"/>
      <c r="AB474" s="61"/>
      <c r="AC474" s="61"/>
      <c r="AD474" s="62"/>
      <c r="AE474" s="62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</row>
    <row r="475" spans="1:77" x14ac:dyDescent="0.3">
      <c r="A475" s="39"/>
      <c r="B475" s="42"/>
      <c r="C475" s="42"/>
      <c r="D475" s="75"/>
      <c r="E475" s="75"/>
      <c r="F475" s="76"/>
      <c r="G475" s="47"/>
      <c r="H475" s="47"/>
      <c r="I475" s="75"/>
      <c r="J475" s="76"/>
      <c r="K475" s="76"/>
      <c r="L475" s="75"/>
      <c r="M475" s="49"/>
      <c r="N475" s="76"/>
      <c r="O475" s="49"/>
      <c r="P475" s="77"/>
      <c r="Q475" s="53"/>
      <c r="R475" s="54"/>
      <c r="S475" s="55"/>
      <c r="T475" s="56"/>
      <c r="U475" s="56"/>
      <c r="V475" s="42"/>
      <c r="W475" s="57"/>
      <c r="X475" s="58"/>
      <c r="Y475" s="75"/>
      <c r="Z475" s="59"/>
      <c r="AA475" s="61"/>
      <c r="AB475" s="61"/>
      <c r="AC475" s="61"/>
      <c r="AD475" s="62"/>
      <c r="AE475" s="62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</row>
    <row r="476" spans="1:77" x14ac:dyDescent="0.3">
      <c r="A476" s="39"/>
      <c r="B476" s="42"/>
      <c r="C476" s="42"/>
      <c r="D476" s="75"/>
      <c r="E476" s="75"/>
      <c r="F476" s="76"/>
      <c r="G476" s="47"/>
      <c r="H476" s="47"/>
      <c r="I476" s="75"/>
      <c r="J476" s="76"/>
      <c r="K476" s="76"/>
      <c r="L476" s="75"/>
      <c r="M476" s="49"/>
      <c r="N476" s="76"/>
      <c r="O476" s="49"/>
      <c r="P476" s="77"/>
      <c r="Q476" s="53"/>
      <c r="R476" s="54"/>
      <c r="S476" s="55"/>
      <c r="T476" s="56"/>
      <c r="U476" s="56"/>
      <c r="V476" s="42"/>
      <c r="W476" s="57"/>
      <c r="X476" s="58"/>
      <c r="Y476" s="75"/>
      <c r="Z476" s="59"/>
      <c r="AA476" s="61"/>
      <c r="AB476" s="61"/>
      <c r="AC476" s="61"/>
      <c r="AD476" s="62"/>
      <c r="AE476" s="62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</row>
    <row r="477" spans="1:77" x14ac:dyDescent="0.3">
      <c r="A477" s="39"/>
      <c r="B477" s="42"/>
      <c r="C477" s="42"/>
      <c r="D477" s="75"/>
      <c r="E477" s="75"/>
      <c r="F477" s="76"/>
      <c r="G477" s="47"/>
      <c r="H477" s="47"/>
      <c r="I477" s="75"/>
      <c r="J477" s="76"/>
      <c r="K477" s="76"/>
      <c r="L477" s="75"/>
      <c r="M477" s="49"/>
      <c r="N477" s="76"/>
      <c r="O477" s="49"/>
      <c r="P477" s="77"/>
      <c r="Q477" s="53"/>
      <c r="R477" s="54"/>
      <c r="S477" s="55"/>
      <c r="T477" s="56"/>
      <c r="U477" s="56"/>
      <c r="V477" s="42"/>
      <c r="W477" s="57"/>
      <c r="X477" s="58"/>
      <c r="Y477" s="75"/>
      <c r="Z477" s="59"/>
      <c r="AA477" s="61"/>
      <c r="AB477" s="61"/>
      <c r="AC477" s="61"/>
      <c r="AD477" s="62"/>
      <c r="AE477" s="62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</row>
    <row r="478" spans="1:77" x14ac:dyDescent="0.3">
      <c r="A478" s="39"/>
      <c r="B478" s="42"/>
      <c r="C478" s="42"/>
      <c r="D478" s="75"/>
      <c r="E478" s="75"/>
      <c r="F478" s="76"/>
      <c r="G478" s="47"/>
      <c r="H478" s="47"/>
      <c r="I478" s="75"/>
      <c r="J478" s="76"/>
      <c r="K478" s="76"/>
      <c r="L478" s="75"/>
      <c r="M478" s="49"/>
      <c r="N478" s="76"/>
      <c r="O478" s="49"/>
      <c r="P478" s="77"/>
      <c r="Q478" s="53"/>
      <c r="R478" s="54"/>
      <c r="S478" s="55"/>
      <c r="T478" s="56"/>
      <c r="U478" s="56"/>
      <c r="V478" s="42"/>
      <c r="W478" s="57"/>
      <c r="X478" s="58"/>
      <c r="Y478" s="75"/>
      <c r="Z478" s="59"/>
      <c r="AA478" s="61"/>
      <c r="AB478" s="61"/>
      <c r="AC478" s="61"/>
      <c r="AD478" s="62"/>
      <c r="AE478" s="62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</row>
    <row r="479" spans="1:77" x14ac:dyDescent="0.3">
      <c r="A479" s="39"/>
      <c r="B479" s="42"/>
      <c r="C479" s="42"/>
      <c r="D479" s="75"/>
      <c r="E479" s="75"/>
      <c r="F479" s="76"/>
      <c r="G479" s="47"/>
      <c r="H479" s="47"/>
      <c r="I479" s="75"/>
      <c r="J479" s="76"/>
      <c r="K479" s="76"/>
      <c r="L479" s="75"/>
      <c r="M479" s="49"/>
      <c r="N479" s="76"/>
      <c r="O479" s="49"/>
      <c r="P479" s="77"/>
      <c r="Q479" s="53"/>
      <c r="R479" s="54"/>
      <c r="S479" s="55"/>
      <c r="T479" s="56"/>
      <c r="U479" s="56"/>
      <c r="V479" s="42"/>
      <c r="W479" s="57"/>
      <c r="X479" s="58"/>
      <c r="Y479" s="75"/>
      <c r="Z479" s="59"/>
      <c r="AA479" s="61"/>
      <c r="AB479" s="61"/>
      <c r="AC479" s="61"/>
      <c r="AD479" s="62"/>
      <c r="AE479" s="62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</row>
    <row r="480" spans="1:77" x14ac:dyDescent="0.3">
      <c r="A480" s="39"/>
      <c r="B480" s="42"/>
      <c r="C480" s="42"/>
      <c r="D480" s="75"/>
      <c r="E480" s="75"/>
      <c r="F480" s="76"/>
      <c r="G480" s="47"/>
      <c r="H480" s="47"/>
      <c r="I480" s="75"/>
      <c r="J480" s="76"/>
      <c r="K480" s="76"/>
      <c r="L480" s="75"/>
      <c r="M480" s="49"/>
      <c r="N480" s="76"/>
      <c r="O480" s="49"/>
      <c r="P480" s="77"/>
      <c r="Q480" s="53"/>
      <c r="R480" s="54"/>
      <c r="S480" s="55"/>
      <c r="T480" s="56"/>
      <c r="U480" s="56"/>
      <c r="V480" s="42"/>
      <c r="W480" s="57"/>
      <c r="X480" s="58"/>
      <c r="Y480" s="75"/>
      <c r="Z480" s="59"/>
      <c r="AA480" s="61"/>
      <c r="AB480" s="61"/>
      <c r="AC480" s="61"/>
      <c r="AD480" s="62"/>
      <c r="AE480" s="62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</row>
    <row r="481" spans="1:77" x14ac:dyDescent="0.3">
      <c r="A481" s="39"/>
      <c r="B481" s="42"/>
      <c r="C481" s="42"/>
      <c r="D481" s="75"/>
      <c r="E481" s="75"/>
      <c r="F481" s="76"/>
      <c r="G481" s="47"/>
      <c r="H481" s="47"/>
      <c r="I481" s="75"/>
      <c r="J481" s="76"/>
      <c r="K481" s="76"/>
      <c r="L481" s="75"/>
      <c r="M481" s="49"/>
      <c r="N481" s="76"/>
      <c r="O481" s="49"/>
      <c r="P481" s="77"/>
      <c r="Q481" s="53"/>
      <c r="R481" s="54"/>
      <c r="S481" s="55"/>
      <c r="T481" s="56"/>
      <c r="U481" s="56"/>
      <c r="V481" s="42"/>
      <c r="W481" s="57"/>
      <c r="X481" s="58"/>
      <c r="Y481" s="75"/>
      <c r="Z481" s="59"/>
      <c r="AA481" s="61"/>
      <c r="AB481" s="61"/>
      <c r="AC481" s="61"/>
      <c r="AD481" s="62"/>
      <c r="AE481" s="62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</row>
    <row r="482" spans="1:77" x14ac:dyDescent="0.3">
      <c r="A482" s="39"/>
      <c r="B482" s="42"/>
      <c r="C482" s="42"/>
      <c r="D482" s="75"/>
      <c r="E482" s="75"/>
      <c r="F482" s="76"/>
      <c r="G482" s="47"/>
      <c r="H482" s="47"/>
      <c r="I482" s="75"/>
      <c r="J482" s="76"/>
      <c r="K482" s="76"/>
      <c r="L482" s="75"/>
      <c r="M482" s="49"/>
      <c r="N482" s="76"/>
      <c r="O482" s="49"/>
      <c r="P482" s="77"/>
      <c r="Q482" s="53"/>
      <c r="R482" s="54"/>
      <c r="S482" s="55"/>
      <c r="T482" s="56"/>
      <c r="U482" s="56"/>
      <c r="V482" s="42"/>
      <c r="W482" s="57"/>
      <c r="X482" s="58"/>
      <c r="Y482" s="75"/>
      <c r="Z482" s="59"/>
      <c r="AA482" s="61"/>
      <c r="AB482" s="61"/>
      <c r="AC482" s="61"/>
      <c r="AD482" s="62"/>
      <c r="AE482" s="62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</row>
    <row r="483" spans="1:77" x14ac:dyDescent="0.3">
      <c r="A483" s="39"/>
      <c r="B483" s="42"/>
      <c r="C483" s="42"/>
      <c r="D483" s="75"/>
      <c r="E483" s="75"/>
      <c r="F483" s="76"/>
      <c r="G483" s="47"/>
      <c r="H483" s="47"/>
      <c r="I483" s="75"/>
      <c r="J483" s="76"/>
      <c r="K483" s="76"/>
      <c r="L483" s="75"/>
      <c r="M483" s="49"/>
      <c r="N483" s="76"/>
      <c r="O483" s="49"/>
      <c r="P483" s="77"/>
      <c r="Q483" s="53"/>
      <c r="R483" s="54"/>
      <c r="S483" s="55"/>
      <c r="T483" s="56"/>
      <c r="U483" s="56"/>
      <c r="V483" s="42"/>
      <c r="W483" s="57"/>
      <c r="X483" s="58"/>
      <c r="Y483" s="75"/>
      <c r="Z483" s="59"/>
      <c r="AA483" s="61"/>
      <c r="AB483" s="61"/>
      <c r="AC483" s="61"/>
      <c r="AD483" s="62"/>
      <c r="AE483" s="62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</row>
    <row r="484" spans="1:77" x14ac:dyDescent="0.3">
      <c r="A484" s="39"/>
      <c r="B484" s="42"/>
      <c r="C484" s="42"/>
      <c r="D484" s="75"/>
      <c r="E484" s="75"/>
      <c r="F484" s="76"/>
      <c r="G484" s="47"/>
      <c r="H484" s="47"/>
      <c r="I484" s="75"/>
      <c r="J484" s="76"/>
      <c r="K484" s="76"/>
      <c r="L484" s="75"/>
      <c r="M484" s="49"/>
      <c r="N484" s="76"/>
      <c r="O484" s="49"/>
      <c r="P484" s="77"/>
      <c r="Q484" s="53"/>
      <c r="R484" s="54"/>
      <c r="S484" s="55"/>
      <c r="T484" s="56"/>
      <c r="U484" s="56"/>
      <c r="V484" s="42"/>
      <c r="W484" s="57"/>
      <c r="X484" s="58"/>
      <c r="Y484" s="75"/>
      <c r="Z484" s="59"/>
      <c r="AA484" s="61"/>
      <c r="AB484" s="61"/>
      <c r="AC484" s="61"/>
      <c r="AD484" s="62"/>
      <c r="AE484" s="62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</row>
    <row r="485" spans="1:77" x14ac:dyDescent="0.3">
      <c r="A485" s="39"/>
      <c r="B485" s="42"/>
      <c r="C485" s="42"/>
      <c r="D485" s="75"/>
      <c r="E485" s="75"/>
      <c r="F485" s="76"/>
      <c r="G485" s="47"/>
      <c r="H485" s="47"/>
      <c r="I485" s="75"/>
      <c r="J485" s="76"/>
      <c r="K485" s="76"/>
      <c r="L485" s="75"/>
      <c r="M485" s="49"/>
      <c r="N485" s="76"/>
      <c r="O485" s="49"/>
      <c r="P485" s="77"/>
      <c r="Q485" s="53"/>
      <c r="R485" s="54"/>
      <c r="S485" s="55"/>
      <c r="T485" s="56"/>
      <c r="U485" s="56"/>
      <c r="V485" s="42"/>
      <c r="W485" s="57"/>
      <c r="X485" s="58"/>
      <c r="Y485" s="75"/>
      <c r="Z485" s="59"/>
      <c r="AA485" s="61"/>
      <c r="AB485" s="61"/>
      <c r="AC485" s="61"/>
      <c r="AD485" s="62"/>
      <c r="AE485" s="62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</row>
    <row r="486" spans="1:77" x14ac:dyDescent="0.3">
      <c r="A486" s="39"/>
      <c r="B486" s="42"/>
      <c r="C486" s="42"/>
      <c r="D486" s="75"/>
      <c r="E486" s="75"/>
      <c r="F486" s="76"/>
      <c r="G486" s="47"/>
      <c r="H486" s="47"/>
      <c r="I486" s="75"/>
      <c r="J486" s="76"/>
      <c r="K486" s="76"/>
      <c r="L486" s="75"/>
      <c r="M486" s="49"/>
      <c r="N486" s="76"/>
      <c r="O486" s="49"/>
      <c r="P486" s="77"/>
      <c r="Q486" s="53"/>
      <c r="R486" s="54"/>
      <c r="S486" s="55"/>
      <c r="T486" s="56"/>
      <c r="U486" s="56"/>
      <c r="V486" s="42"/>
      <c r="W486" s="57"/>
      <c r="X486" s="58"/>
      <c r="Y486" s="75"/>
      <c r="Z486" s="59"/>
      <c r="AA486" s="61"/>
      <c r="AB486" s="61"/>
      <c r="AC486" s="61"/>
      <c r="AD486" s="62"/>
      <c r="AE486" s="62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</row>
    <row r="487" spans="1:77" x14ac:dyDescent="0.3">
      <c r="A487" s="39"/>
      <c r="B487" s="42"/>
      <c r="C487" s="42"/>
      <c r="D487" s="75"/>
      <c r="E487" s="75"/>
      <c r="F487" s="76"/>
      <c r="G487" s="47"/>
      <c r="H487" s="47"/>
      <c r="I487" s="75"/>
      <c r="J487" s="76"/>
      <c r="K487" s="76"/>
      <c r="L487" s="75"/>
      <c r="M487" s="49"/>
      <c r="N487" s="76"/>
      <c r="O487" s="49"/>
      <c r="P487" s="77"/>
      <c r="Q487" s="53"/>
      <c r="R487" s="54"/>
      <c r="S487" s="55"/>
      <c r="T487" s="56"/>
      <c r="U487" s="56"/>
      <c r="V487" s="42"/>
      <c r="W487" s="57"/>
      <c r="X487" s="58"/>
      <c r="Y487" s="75"/>
      <c r="Z487" s="59"/>
      <c r="AA487" s="61"/>
      <c r="AB487" s="61"/>
      <c r="AC487" s="61"/>
      <c r="AD487" s="62"/>
      <c r="AE487" s="62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</row>
    <row r="488" spans="1:77" x14ac:dyDescent="0.3">
      <c r="A488" s="39"/>
      <c r="B488" s="42"/>
      <c r="C488" s="42"/>
      <c r="D488" s="75"/>
      <c r="E488" s="75"/>
      <c r="F488" s="76"/>
      <c r="G488" s="47"/>
      <c r="H488" s="47"/>
      <c r="I488" s="75"/>
      <c r="J488" s="76"/>
      <c r="K488" s="76"/>
      <c r="L488" s="75"/>
      <c r="M488" s="49"/>
      <c r="N488" s="76"/>
      <c r="O488" s="49"/>
      <c r="P488" s="77"/>
      <c r="Q488" s="53"/>
      <c r="R488" s="54"/>
      <c r="S488" s="55"/>
      <c r="T488" s="56"/>
      <c r="U488" s="56"/>
      <c r="V488" s="42"/>
      <c r="W488" s="57"/>
      <c r="X488" s="58"/>
      <c r="Y488" s="75"/>
      <c r="Z488" s="59"/>
      <c r="AA488" s="61"/>
      <c r="AB488" s="61"/>
      <c r="AC488" s="61"/>
      <c r="AD488" s="62"/>
      <c r="AE488" s="62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</row>
    <row r="489" spans="1:77" x14ac:dyDescent="0.3">
      <c r="A489" s="39"/>
      <c r="B489" s="42"/>
      <c r="C489" s="42"/>
      <c r="D489" s="75"/>
      <c r="E489" s="75"/>
      <c r="F489" s="76"/>
      <c r="G489" s="47"/>
      <c r="H489" s="47"/>
      <c r="I489" s="75"/>
      <c r="J489" s="76"/>
      <c r="K489" s="76"/>
      <c r="L489" s="75"/>
      <c r="M489" s="49"/>
      <c r="N489" s="76"/>
      <c r="O489" s="49"/>
      <c r="P489" s="77"/>
      <c r="Q489" s="53"/>
      <c r="R489" s="54"/>
      <c r="S489" s="55"/>
      <c r="T489" s="56"/>
      <c r="U489" s="56"/>
      <c r="V489" s="42"/>
      <c r="W489" s="57"/>
      <c r="X489" s="58"/>
      <c r="Y489" s="75"/>
      <c r="Z489" s="59"/>
      <c r="AA489" s="61"/>
      <c r="AB489" s="61"/>
      <c r="AC489" s="61"/>
      <c r="AD489" s="62"/>
      <c r="AE489" s="62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</row>
    <row r="490" spans="1:77" x14ac:dyDescent="0.3">
      <c r="A490" s="39"/>
      <c r="B490" s="42"/>
      <c r="C490" s="42"/>
      <c r="D490" s="75"/>
      <c r="E490" s="75"/>
      <c r="F490" s="76"/>
      <c r="G490" s="47"/>
      <c r="H490" s="47"/>
      <c r="I490" s="75"/>
      <c r="J490" s="76"/>
      <c r="K490" s="76"/>
      <c r="L490" s="75"/>
      <c r="M490" s="49"/>
      <c r="N490" s="76"/>
      <c r="O490" s="49"/>
      <c r="P490" s="77"/>
      <c r="Q490" s="53"/>
      <c r="R490" s="54"/>
      <c r="S490" s="55"/>
      <c r="T490" s="56"/>
      <c r="U490" s="56"/>
      <c r="V490" s="42"/>
      <c r="W490" s="57"/>
      <c r="X490" s="58"/>
      <c r="Y490" s="75"/>
      <c r="Z490" s="59"/>
      <c r="AA490" s="61"/>
      <c r="AB490" s="61"/>
      <c r="AC490" s="61"/>
      <c r="AD490" s="62"/>
      <c r="AE490" s="62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</row>
    <row r="491" spans="1:77" x14ac:dyDescent="0.3">
      <c r="A491" s="39"/>
      <c r="B491" s="42"/>
      <c r="C491" s="42"/>
      <c r="D491" s="75"/>
      <c r="E491" s="75"/>
      <c r="F491" s="76"/>
      <c r="G491" s="47"/>
      <c r="H491" s="47"/>
      <c r="I491" s="75"/>
      <c r="J491" s="76"/>
      <c r="K491" s="76"/>
      <c r="L491" s="75"/>
      <c r="M491" s="49"/>
      <c r="N491" s="76"/>
      <c r="O491" s="49"/>
      <c r="P491" s="77"/>
      <c r="Q491" s="53"/>
      <c r="R491" s="54"/>
      <c r="S491" s="55"/>
      <c r="T491" s="56"/>
      <c r="U491" s="56"/>
      <c r="V491" s="42"/>
      <c r="W491" s="57"/>
      <c r="X491" s="58"/>
      <c r="Y491" s="75"/>
      <c r="Z491" s="59"/>
      <c r="AA491" s="61"/>
      <c r="AB491" s="61"/>
      <c r="AC491" s="61"/>
      <c r="AD491" s="62"/>
      <c r="AE491" s="62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</row>
    <row r="492" spans="1:77" x14ac:dyDescent="0.3">
      <c r="A492" s="39"/>
      <c r="B492" s="42"/>
      <c r="C492" s="42"/>
      <c r="D492" s="75"/>
      <c r="E492" s="75"/>
      <c r="F492" s="76"/>
      <c r="G492" s="47"/>
      <c r="H492" s="47"/>
      <c r="I492" s="75"/>
      <c r="J492" s="76"/>
      <c r="K492" s="76"/>
      <c r="L492" s="75"/>
      <c r="M492" s="49"/>
      <c r="N492" s="76"/>
      <c r="O492" s="49"/>
      <c r="P492" s="77"/>
      <c r="Q492" s="53"/>
      <c r="R492" s="54"/>
      <c r="S492" s="55"/>
      <c r="T492" s="56"/>
      <c r="U492" s="56"/>
      <c r="V492" s="42"/>
      <c r="W492" s="57"/>
      <c r="X492" s="58"/>
      <c r="Y492" s="75"/>
      <c r="Z492" s="59"/>
      <c r="AA492" s="61"/>
      <c r="AB492" s="61"/>
      <c r="AC492" s="61"/>
      <c r="AD492" s="62"/>
      <c r="AE492" s="62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</row>
    <row r="493" spans="1:77" x14ac:dyDescent="0.3">
      <c r="A493" s="39"/>
      <c r="B493" s="42"/>
      <c r="C493" s="42"/>
      <c r="D493" s="75"/>
      <c r="E493" s="75"/>
      <c r="F493" s="76"/>
      <c r="G493" s="47"/>
      <c r="H493" s="47"/>
      <c r="I493" s="75"/>
      <c r="J493" s="76"/>
      <c r="K493" s="76"/>
      <c r="L493" s="75"/>
      <c r="M493" s="49"/>
      <c r="N493" s="76"/>
      <c r="O493" s="49"/>
      <c r="P493" s="77"/>
      <c r="Q493" s="53"/>
      <c r="R493" s="54"/>
      <c r="S493" s="55"/>
      <c r="T493" s="56"/>
      <c r="U493" s="56"/>
      <c r="V493" s="42"/>
      <c r="W493" s="57"/>
      <c r="X493" s="58"/>
      <c r="Y493" s="75"/>
      <c r="Z493" s="59"/>
      <c r="AA493" s="61"/>
      <c r="AB493" s="61"/>
      <c r="AC493" s="61"/>
      <c r="AD493" s="62"/>
      <c r="AE493" s="62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</row>
    <row r="494" spans="1:77" x14ac:dyDescent="0.3">
      <c r="A494" s="39"/>
      <c r="B494" s="42"/>
      <c r="C494" s="42"/>
      <c r="D494" s="75"/>
      <c r="E494" s="75"/>
      <c r="F494" s="76"/>
      <c r="G494" s="47"/>
      <c r="H494" s="47"/>
      <c r="I494" s="75"/>
      <c r="J494" s="76"/>
      <c r="K494" s="76"/>
      <c r="L494" s="75"/>
      <c r="M494" s="49"/>
      <c r="N494" s="76"/>
      <c r="O494" s="49"/>
      <c r="P494" s="77"/>
      <c r="Q494" s="53"/>
      <c r="R494" s="54"/>
      <c r="S494" s="55"/>
      <c r="T494" s="56"/>
      <c r="U494" s="56"/>
      <c r="V494" s="42"/>
      <c r="W494" s="57"/>
      <c r="X494" s="58"/>
      <c r="Y494" s="75"/>
      <c r="Z494" s="59"/>
      <c r="AA494" s="61"/>
      <c r="AB494" s="61"/>
      <c r="AC494" s="61"/>
      <c r="AD494" s="62"/>
      <c r="AE494" s="62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</row>
    <row r="495" spans="1:77" x14ac:dyDescent="0.3">
      <c r="A495" s="39"/>
      <c r="B495" s="42"/>
      <c r="C495" s="42"/>
      <c r="D495" s="75"/>
      <c r="E495" s="75"/>
      <c r="F495" s="76"/>
      <c r="G495" s="47"/>
      <c r="H495" s="47"/>
      <c r="I495" s="75"/>
      <c r="J495" s="76"/>
      <c r="K495" s="76"/>
      <c r="L495" s="75"/>
      <c r="M495" s="49"/>
      <c r="N495" s="76"/>
      <c r="O495" s="49"/>
      <c r="P495" s="77"/>
      <c r="Q495" s="53"/>
      <c r="R495" s="54"/>
      <c r="S495" s="55"/>
      <c r="T495" s="56"/>
      <c r="U495" s="56"/>
      <c r="V495" s="42"/>
      <c r="W495" s="57"/>
      <c r="X495" s="58"/>
      <c r="Y495" s="75"/>
      <c r="Z495" s="59"/>
      <c r="AA495" s="61"/>
      <c r="AB495" s="61"/>
      <c r="AC495" s="61"/>
      <c r="AD495" s="62"/>
      <c r="AE495" s="62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</row>
    <row r="496" spans="1:77" x14ac:dyDescent="0.3">
      <c r="A496" s="39"/>
      <c r="B496" s="42"/>
      <c r="C496" s="42"/>
      <c r="D496" s="75"/>
      <c r="E496" s="75"/>
      <c r="F496" s="76"/>
      <c r="G496" s="47"/>
      <c r="H496" s="47"/>
      <c r="I496" s="75"/>
      <c r="J496" s="76"/>
      <c r="K496" s="76"/>
      <c r="L496" s="75"/>
      <c r="M496" s="49"/>
      <c r="N496" s="76"/>
      <c r="O496" s="49"/>
      <c r="P496" s="77"/>
      <c r="Q496" s="53"/>
      <c r="R496" s="54"/>
      <c r="S496" s="55"/>
      <c r="T496" s="56"/>
      <c r="U496" s="56"/>
      <c r="V496" s="42"/>
      <c r="W496" s="57"/>
      <c r="X496" s="58"/>
      <c r="Y496" s="75"/>
      <c r="Z496" s="59"/>
      <c r="AA496" s="61"/>
      <c r="AB496" s="61"/>
      <c r="AC496" s="61"/>
      <c r="AD496" s="62"/>
      <c r="AE496" s="62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</row>
    <row r="497" spans="1:77" x14ac:dyDescent="0.3">
      <c r="A497" s="39"/>
      <c r="B497" s="42"/>
      <c r="C497" s="42"/>
      <c r="D497" s="75"/>
      <c r="E497" s="75"/>
      <c r="F497" s="76"/>
      <c r="G497" s="47"/>
      <c r="H497" s="47"/>
      <c r="I497" s="75"/>
      <c r="J497" s="76"/>
      <c r="K497" s="76"/>
      <c r="L497" s="75"/>
      <c r="M497" s="49"/>
      <c r="N497" s="76"/>
      <c r="O497" s="49"/>
      <c r="P497" s="77"/>
      <c r="Q497" s="53"/>
      <c r="R497" s="54"/>
      <c r="S497" s="55"/>
      <c r="T497" s="56"/>
      <c r="U497" s="56"/>
      <c r="V497" s="42"/>
      <c r="W497" s="57"/>
      <c r="X497" s="58"/>
      <c r="Y497" s="75"/>
      <c r="Z497" s="59"/>
      <c r="AA497" s="61"/>
      <c r="AB497" s="61"/>
      <c r="AC497" s="61"/>
      <c r="AD497" s="62"/>
      <c r="AE497" s="62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</row>
    <row r="498" spans="1:77" x14ac:dyDescent="0.3">
      <c r="A498" s="39"/>
      <c r="B498" s="42"/>
      <c r="C498" s="42"/>
      <c r="D498" s="75"/>
      <c r="E498" s="75"/>
      <c r="F498" s="76"/>
      <c r="G498" s="47"/>
      <c r="H498" s="47"/>
      <c r="I498" s="75"/>
      <c r="J498" s="76"/>
      <c r="K498" s="76"/>
      <c r="L498" s="75"/>
      <c r="M498" s="49"/>
      <c r="N498" s="76"/>
      <c r="O498" s="49"/>
      <c r="P498" s="77"/>
      <c r="Q498" s="53"/>
      <c r="R498" s="54"/>
      <c r="S498" s="55"/>
      <c r="T498" s="56"/>
      <c r="U498" s="56"/>
      <c r="V498" s="42"/>
      <c r="W498" s="57"/>
      <c r="X498" s="58"/>
      <c r="Y498" s="75"/>
      <c r="Z498" s="59"/>
      <c r="AA498" s="61"/>
      <c r="AB498" s="61"/>
      <c r="AC498" s="61"/>
      <c r="AD498" s="62"/>
      <c r="AE498" s="62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</row>
    <row r="499" spans="1:77" x14ac:dyDescent="0.3">
      <c r="A499" s="39"/>
      <c r="B499" s="42"/>
      <c r="C499" s="42"/>
      <c r="D499" s="75"/>
      <c r="E499" s="75"/>
      <c r="F499" s="76"/>
      <c r="G499" s="47"/>
      <c r="H499" s="47"/>
      <c r="I499" s="75"/>
      <c r="J499" s="76"/>
      <c r="K499" s="76"/>
      <c r="L499" s="75"/>
      <c r="M499" s="49"/>
      <c r="N499" s="76"/>
      <c r="O499" s="49"/>
      <c r="P499" s="77"/>
      <c r="Q499" s="53"/>
      <c r="R499" s="54"/>
      <c r="S499" s="55"/>
      <c r="T499" s="56"/>
      <c r="U499" s="56"/>
      <c r="V499" s="42"/>
      <c r="W499" s="57"/>
      <c r="X499" s="58"/>
      <c r="Y499" s="75"/>
      <c r="Z499" s="59"/>
      <c r="AA499" s="61"/>
      <c r="AB499" s="61"/>
      <c r="AC499" s="61"/>
      <c r="AD499" s="62"/>
      <c r="AE499" s="62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</row>
    <row r="500" spans="1:77" x14ac:dyDescent="0.3">
      <c r="A500" s="39"/>
      <c r="B500" s="42"/>
      <c r="C500" s="42"/>
      <c r="D500" s="75"/>
      <c r="E500" s="75"/>
      <c r="F500" s="76"/>
      <c r="G500" s="47"/>
      <c r="H500" s="47"/>
      <c r="I500" s="75"/>
      <c r="J500" s="76"/>
      <c r="K500" s="76"/>
      <c r="L500" s="75"/>
      <c r="M500" s="49"/>
      <c r="N500" s="76"/>
      <c r="O500" s="49"/>
      <c r="P500" s="77"/>
      <c r="Q500" s="53"/>
      <c r="R500" s="54"/>
      <c r="S500" s="55"/>
      <c r="T500" s="56"/>
      <c r="U500" s="56"/>
      <c r="V500" s="42"/>
      <c r="W500" s="57"/>
      <c r="X500" s="58"/>
      <c r="Y500" s="75"/>
      <c r="Z500" s="59"/>
      <c r="AA500" s="61"/>
      <c r="AB500" s="61"/>
      <c r="AC500" s="61"/>
      <c r="AD500" s="62"/>
      <c r="AE500" s="62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</row>
    <row r="501" spans="1:77" x14ac:dyDescent="0.3">
      <c r="A501" s="39"/>
      <c r="B501" s="42"/>
      <c r="C501" s="42"/>
      <c r="D501" s="75"/>
      <c r="E501" s="75"/>
      <c r="F501" s="76"/>
      <c r="G501" s="47"/>
      <c r="H501" s="47"/>
      <c r="I501" s="75"/>
      <c r="J501" s="76"/>
      <c r="K501" s="76"/>
      <c r="L501" s="75"/>
      <c r="M501" s="49"/>
      <c r="N501" s="76"/>
      <c r="O501" s="49"/>
      <c r="P501" s="77"/>
      <c r="Q501" s="53"/>
      <c r="R501" s="54"/>
      <c r="S501" s="55"/>
      <c r="T501" s="56"/>
      <c r="U501" s="56"/>
      <c r="V501" s="42"/>
      <c r="W501" s="57"/>
      <c r="X501" s="58"/>
      <c r="Y501" s="75"/>
      <c r="Z501" s="59"/>
      <c r="AA501" s="61"/>
      <c r="AB501" s="61"/>
      <c r="AC501" s="61"/>
      <c r="AD501" s="62"/>
      <c r="AE501" s="62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</row>
    <row r="502" spans="1:77" x14ac:dyDescent="0.3">
      <c r="A502" s="39"/>
      <c r="B502" s="42"/>
      <c r="C502" s="42"/>
      <c r="D502" s="75"/>
      <c r="E502" s="75"/>
      <c r="F502" s="76"/>
      <c r="G502" s="47"/>
      <c r="H502" s="47"/>
      <c r="I502" s="75"/>
      <c r="J502" s="76"/>
      <c r="K502" s="76"/>
      <c r="L502" s="75"/>
      <c r="M502" s="49"/>
      <c r="N502" s="76"/>
      <c r="O502" s="49"/>
      <c r="P502" s="77"/>
      <c r="Q502" s="53"/>
      <c r="R502" s="54"/>
      <c r="S502" s="55"/>
      <c r="T502" s="56"/>
      <c r="U502" s="56"/>
      <c r="V502" s="42"/>
      <c r="W502" s="57"/>
      <c r="X502" s="58"/>
      <c r="Y502" s="75"/>
      <c r="Z502" s="59"/>
      <c r="AA502" s="61"/>
      <c r="AB502" s="61"/>
      <c r="AC502" s="61"/>
      <c r="AD502" s="62"/>
      <c r="AE502" s="62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</row>
    <row r="503" spans="1:77" x14ac:dyDescent="0.3">
      <c r="A503" s="39"/>
      <c r="B503" s="42"/>
      <c r="C503" s="42"/>
      <c r="D503" s="75"/>
      <c r="E503" s="75"/>
      <c r="F503" s="76"/>
      <c r="G503" s="47"/>
      <c r="H503" s="47"/>
      <c r="I503" s="75"/>
      <c r="J503" s="76"/>
      <c r="K503" s="76"/>
      <c r="L503" s="75"/>
      <c r="M503" s="49"/>
      <c r="N503" s="76"/>
      <c r="O503" s="49"/>
      <c r="P503" s="77"/>
      <c r="Q503" s="53"/>
      <c r="R503" s="54"/>
      <c r="S503" s="55"/>
      <c r="T503" s="56"/>
      <c r="U503" s="56"/>
      <c r="V503" s="42"/>
      <c r="W503" s="57"/>
      <c r="X503" s="58"/>
      <c r="Y503" s="75"/>
      <c r="Z503" s="59"/>
      <c r="AA503" s="61"/>
      <c r="AB503" s="61"/>
      <c r="AC503" s="61"/>
      <c r="AD503" s="62"/>
      <c r="AE503" s="62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</row>
    <row r="504" spans="1:77" x14ac:dyDescent="0.3">
      <c r="A504" s="39"/>
      <c r="B504" s="42"/>
      <c r="C504" s="42"/>
      <c r="D504" s="75"/>
      <c r="E504" s="75"/>
      <c r="F504" s="76"/>
      <c r="G504" s="47"/>
      <c r="H504" s="47"/>
      <c r="I504" s="75"/>
      <c r="J504" s="76"/>
      <c r="K504" s="76"/>
      <c r="L504" s="75"/>
      <c r="M504" s="49"/>
      <c r="N504" s="76"/>
      <c r="O504" s="49"/>
      <c r="P504" s="77"/>
      <c r="Q504" s="53"/>
      <c r="R504" s="54"/>
      <c r="S504" s="55"/>
      <c r="T504" s="56"/>
      <c r="U504" s="56"/>
      <c r="V504" s="42"/>
      <c r="W504" s="57"/>
      <c r="X504" s="58"/>
      <c r="Y504" s="75"/>
      <c r="Z504" s="59"/>
      <c r="AA504" s="61"/>
      <c r="AB504" s="61"/>
      <c r="AC504" s="61"/>
      <c r="AD504" s="62"/>
      <c r="AE504" s="62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</row>
    <row r="505" spans="1:77" x14ac:dyDescent="0.3">
      <c r="A505" s="39"/>
      <c r="B505" s="42"/>
      <c r="C505" s="42"/>
      <c r="D505" s="75"/>
      <c r="E505" s="75"/>
      <c r="F505" s="76"/>
      <c r="G505" s="47"/>
      <c r="H505" s="47"/>
      <c r="I505" s="75"/>
      <c r="J505" s="76"/>
      <c r="K505" s="76"/>
      <c r="L505" s="75"/>
      <c r="M505" s="49"/>
      <c r="N505" s="76"/>
      <c r="O505" s="49"/>
      <c r="P505" s="77"/>
      <c r="Q505" s="53"/>
      <c r="R505" s="54"/>
      <c r="S505" s="55"/>
      <c r="T505" s="56"/>
      <c r="U505" s="56"/>
      <c r="V505" s="42"/>
      <c r="W505" s="57"/>
      <c r="X505" s="58"/>
      <c r="Y505" s="75"/>
      <c r="Z505" s="59"/>
      <c r="AA505" s="61"/>
      <c r="AB505" s="61"/>
      <c r="AC505" s="61"/>
      <c r="AD505" s="62"/>
      <c r="AE505" s="62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</row>
    <row r="506" spans="1:77" x14ac:dyDescent="0.3">
      <c r="A506" s="39"/>
      <c r="B506" s="42"/>
      <c r="C506" s="42"/>
      <c r="D506" s="75"/>
      <c r="E506" s="75"/>
      <c r="F506" s="76"/>
      <c r="G506" s="47"/>
      <c r="H506" s="47"/>
      <c r="I506" s="75"/>
      <c r="J506" s="76"/>
      <c r="K506" s="76"/>
      <c r="L506" s="75"/>
      <c r="M506" s="49"/>
      <c r="N506" s="76"/>
      <c r="O506" s="49"/>
      <c r="P506" s="77"/>
      <c r="Q506" s="53"/>
      <c r="R506" s="54"/>
      <c r="S506" s="55"/>
      <c r="T506" s="56"/>
      <c r="U506" s="56"/>
      <c r="V506" s="42"/>
      <c r="W506" s="57"/>
      <c r="X506" s="58"/>
      <c r="Y506" s="75"/>
      <c r="Z506" s="59"/>
      <c r="AA506" s="61"/>
      <c r="AB506" s="61"/>
      <c r="AC506" s="61"/>
      <c r="AD506" s="62"/>
      <c r="AE506" s="62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</row>
    <row r="507" spans="1:77" x14ac:dyDescent="0.3">
      <c r="A507" s="39"/>
      <c r="B507" s="42"/>
      <c r="C507" s="42"/>
      <c r="D507" s="75"/>
      <c r="E507" s="75"/>
      <c r="F507" s="76"/>
      <c r="G507" s="47"/>
      <c r="H507" s="47"/>
      <c r="I507" s="75"/>
      <c r="J507" s="76"/>
      <c r="K507" s="76"/>
      <c r="L507" s="75"/>
      <c r="M507" s="49"/>
      <c r="N507" s="76"/>
      <c r="O507" s="49"/>
      <c r="P507" s="77"/>
      <c r="Q507" s="53"/>
      <c r="R507" s="54"/>
      <c r="S507" s="55"/>
      <c r="T507" s="56"/>
      <c r="U507" s="56"/>
      <c r="V507" s="42"/>
      <c r="W507" s="57"/>
      <c r="X507" s="58"/>
      <c r="Y507" s="75"/>
      <c r="Z507" s="59"/>
      <c r="AA507" s="61"/>
      <c r="AB507" s="61"/>
      <c r="AC507" s="61"/>
      <c r="AD507" s="62"/>
      <c r="AE507" s="62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</row>
    <row r="508" spans="1:77" x14ac:dyDescent="0.3">
      <c r="A508" s="39"/>
      <c r="B508" s="42"/>
      <c r="C508" s="42"/>
      <c r="D508" s="75"/>
      <c r="E508" s="75"/>
      <c r="F508" s="76"/>
      <c r="G508" s="47"/>
      <c r="H508" s="47"/>
      <c r="I508" s="75"/>
      <c r="J508" s="76"/>
      <c r="K508" s="76"/>
      <c r="L508" s="75"/>
      <c r="M508" s="49"/>
      <c r="N508" s="76"/>
      <c r="O508" s="49"/>
      <c r="P508" s="77"/>
      <c r="Q508" s="53"/>
      <c r="R508" s="54"/>
      <c r="S508" s="55"/>
      <c r="T508" s="56"/>
      <c r="U508" s="56"/>
      <c r="V508" s="42"/>
      <c r="W508" s="57"/>
      <c r="X508" s="58"/>
      <c r="Y508" s="75"/>
      <c r="Z508" s="59"/>
      <c r="AA508" s="61"/>
      <c r="AB508" s="61"/>
      <c r="AC508" s="61"/>
      <c r="AD508" s="62"/>
      <c r="AE508" s="62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</row>
    <row r="509" spans="1:77" x14ac:dyDescent="0.3">
      <c r="A509" s="39"/>
      <c r="B509" s="42"/>
      <c r="C509" s="42"/>
      <c r="D509" s="75"/>
      <c r="E509" s="75"/>
      <c r="F509" s="76"/>
      <c r="G509" s="47"/>
      <c r="H509" s="47"/>
      <c r="I509" s="75"/>
      <c r="J509" s="76"/>
      <c r="K509" s="76"/>
      <c r="L509" s="75"/>
      <c r="M509" s="49"/>
      <c r="N509" s="76"/>
      <c r="O509" s="49"/>
      <c r="P509" s="77"/>
      <c r="Q509" s="53"/>
      <c r="R509" s="54"/>
      <c r="S509" s="55"/>
      <c r="T509" s="56"/>
      <c r="U509" s="56"/>
      <c r="V509" s="42"/>
      <c r="W509" s="57"/>
      <c r="X509" s="58"/>
      <c r="Y509" s="75"/>
      <c r="Z509" s="59"/>
      <c r="AA509" s="61"/>
      <c r="AB509" s="61"/>
      <c r="AC509" s="61"/>
      <c r="AD509" s="62"/>
      <c r="AE509" s="62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</row>
    <row r="510" spans="1:77" x14ac:dyDescent="0.3">
      <c r="A510" s="39"/>
      <c r="B510" s="42"/>
      <c r="C510" s="42"/>
      <c r="D510" s="75"/>
      <c r="E510" s="75"/>
      <c r="F510" s="76"/>
      <c r="G510" s="47"/>
      <c r="H510" s="47"/>
      <c r="I510" s="75"/>
      <c r="J510" s="76"/>
      <c r="K510" s="76"/>
      <c r="L510" s="75"/>
      <c r="M510" s="49"/>
      <c r="N510" s="76"/>
      <c r="O510" s="49"/>
      <c r="P510" s="77"/>
      <c r="Q510" s="53"/>
      <c r="R510" s="54"/>
      <c r="S510" s="55"/>
      <c r="T510" s="56"/>
      <c r="U510" s="56"/>
      <c r="V510" s="42"/>
      <c r="W510" s="57"/>
      <c r="X510" s="58"/>
      <c r="Y510" s="75"/>
      <c r="Z510" s="59"/>
      <c r="AA510" s="61"/>
      <c r="AB510" s="61"/>
      <c r="AC510" s="61"/>
      <c r="AD510" s="62"/>
      <c r="AE510" s="62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</row>
    <row r="511" spans="1:77" x14ac:dyDescent="0.3">
      <c r="A511" s="39"/>
      <c r="B511" s="42"/>
      <c r="C511" s="42"/>
      <c r="D511" s="75"/>
      <c r="E511" s="75"/>
      <c r="F511" s="76"/>
      <c r="G511" s="47"/>
      <c r="H511" s="47"/>
      <c r="I511" s="75"/>
      <c r="J511" s="76"/>
      <c r="K511" s="76"/>
      <c r="L511" s="75"/>
      <c r="M511" s="49"/>
      <c r="N511" s="76"/>
      <c r="O511" s="49"/>
      <c r="P511" s="77"/>
      <c r="Q511" s="53"/>
      <c r="R511" s="54"/>
      <c r="S511" s="55"/>
      <c r="T511" s="56"/>
      <c r="U511" s="56"/>
      <c r="V511" s="42"/>
      <c r="W511" s="57"/>
      <c r="X511" s="58"/>
      <c r="Y511" s="75"/>
      <c r="Z511" s="59"/>
      <c r="AA511" s="61"/>
      <c r="AB511" s="61"/>
      <c r="AC511" s="61"/>
      <c r="AD511" s="62"/>
      <c r="AE511" s="62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</row>
    <row r="512" spans="1:77" x14ac:dyDescent="0.3">
      <c r="A512" s="39"/>
      <c r="B512" s="42"/>
      <c r="C512" s="42"/>
      <c r="D512" s="75"/>
      <c r="E512" s="75"/>
      <c r="F512" s="76"/>
      <c r="G512" s="47"/>
      <c r="H512" s="47"/>
      <c r="I512" s="75"/>
      <c r="J512" s="76"/>
      <c r="K512" s="76"/>
      <c r="L512" s="75"/>
      <c r="M512" s="49"/>
      <c r="N512" s="76"/>
      <c r="O512" s="49"/>
      <c r="P512" s="77"/>
      <c r="Q512" s="53"/>
      <c r="R512" s="54"/>
      <c r="S512" s="55"/>
      <c r="T512" s="56"/>
      <c r="U512" s="56"/>
      <c r="V512" s="42"/>
      <c r="W512" s="57"/>
      <c r="X512" s="58"/>
      <c r="Y512" s="75"/>
      <c r="Z512" s="59"/>
      <c r="AA512" s="61"/>
      <c r="AB512" s="61"/>
      <c r="AC512" s="61"/>
      <c r="AD512" s="62"/>
      <c r="AE512" s="62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</row>
    <row r="513" spans="1:77" x14ac:dyDescent="0.3">
      <c r="A513" s="39"/>
      <c r="B513" s="42"/>
      <c r="C513" s="42"/>
      <c r="D513" s="75"/>
      <c r="E513" s="75"/>
      <c r="F513" s="76"/>
      <c r="G513" s="47"/>
      <c r="H513" s="47"/>
      <c r="I513" s="75"/>
      <c r="J513" s="76"/>
      <c r="K513" s="76"/>
      <c r="L513" s="75"/>
      <c r="M513" s="49"/>
      <c r="N513" s="76"/>
      <c r="O513" s="49"/>
      <c r="P513" s="77"/>
      <c r="Q513" s="53"/>
      <c r="R513" s="54"/>
      <c r="S513" s="55"/>
      <c r="T513" s="56"/>
      <c r="U513" s="56"/>
      <c r="V513" s="42"/>
      <c r="W513" s="57"/>
      <c r="X513" s="58"/>
      <c r="Y513" s="75"/>
      <c r="Z513" s="59"/>
      <c r="AA513" s="61"/>
      <c r="AB513" s="61"/>
      <c r="AC513" s="61"/>
      <c r="AD513" s="62"/>
      <c r="AE513" s="62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</row>
    <row r="514" spans="1:77" x14ac:dyDescent="0.3">
      <c r="A514" s="39"/>
      <c r="B514" s="42"/>
      <c r="C514" s="42"/>
      <c r="D514" s="75"/>
      <c r="E514" s="75"/>
      <c r="F514" s="76"/>
      <c r="G514" s="47"/>
      <c r="H514" s="47"/>
      <c r="I514" s="75"/>
      <c r="J514" s="76"/>
      <c r="K514" s="76"/>
      <c r="L514" s="75"/>
      <c r="M514" s="49"/>
      <c r="N514" s="76"/>
      <c r="O514" s="49"/>
      <c r="P514" s="77"/>
      <c r="Q514" s="53"/>
      <c r="R514" s="54"/>
      <c r="S514" s="55"/>
      <c r="T514" s="56"/>
      <c r="U514" s="56"/>
      <c r="V514" s="42"/>
      <c r="W514" s="57"/>
      <c r="X514" s="58"/>
      <c r="Y514" s="75"/>
      <c r="Z514" s="59"/>
      <c r="AA514" s="61"/>
      <c r="AB514" s="61"/>
      <c r="AC514" s="61"/>
      <c r="AD514" s="62"/>
      <c r="AE514" s="62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</row>
    <row r="515" spans="1:77" x14ac:dyDescent="0.3">
      <c r="A515" s="39"/>
      <c r="B515" s="42"/>
      <c r="C515" s="42"/>
      <c r="D515" s="75"/>
      <c r="E515" s="75"/>
      <c r="F515" s="76"/>
      <c r="G515" s="47"/>
      <c r="H515" s="47"/>
      <c r="I515" s="75"/>
      <c r="J515" s="76"/>
      <c r="K515" s="76"/>
      <c r="L515" s="75"/>
      <c r="M515" s="49"/>
      <c r="N515" s="76"/>
      <c r="O515" s="49"/>
      <c r="P515" s="77"/>
      <c r="Q515" s="53"/>
      <c r="R515" s="54"/>
      <c r="S515" s="55"/>
      <c r="T515" s="56"/>
      <c r="U515" s="56"/>
      <c r="V515" s="42"/>
      <c r="W515" s="57"/>
      <c r="X515" s="58"/>
      <c r="Y515" s="75"/>
      <c r="Z515" s="59"/>
      <c r="AA515" s="61"/>
      <c r="AB515" s="61"/>
      <c r="AC515" s="61"/>
      <c r="AD515" s="62"/>
      <c r="AE515" s="62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</row>
    <row r="516" spans="1:77" x14ac:dyDescent="0.3">
      <c r="A516" s="39"/>
      <c r="B516" s="42"/>
      <c r="C516" s="42"/>
      <c r="D516" s="75"/>
      <c r="E516" s="75"/>
      <c r="F516" s="76"/>
      <c r="G516" s="47"/>
      <c r="H516" s="47"/>
      <c r="I516" s="75"/>
      <c r="J516" s="76"/>
      <c r="K516" s="76"/>
      <c r="L516" s="75"/>
      <c r="M516" s="49"/>
      <c r="N516" s="76"/>
      <c r="O516" s="49"/>
      <c r="P516" s="77"/>
      <c r="Q516" s="53"/>
      <c r="R516" s="54"/>
      <c r="S516" s="55"/>
      <c r="T516" s="56"/>
      <c r="U516" s="56"/>
      <c r="V516" s="42"/>
      <c r="W516" s="57"/>
      <c r="X516" s="58"/>
      <c r="Y516" s="75"/>
      <c r="Z516" s="59"/>
      <c r="AA516" s="61"/>
      <c r="AB516" s="61"/>
      <c r="AC516" s="61"/>
      <c r="AD516" s="62"/>
      <c r="AE516" s="62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</row>
    <row r="517" spans="1:77" x14ac:dyDescent="0.3">
      <c r="A517" s="39"/>
      <c r="B517" s="42"/>
      <c r="C517" s="42"/>
      <c r="D517" s="75"/>
      <c r="E517" s="75"/>
      <c r="F517" s="76"/>
      <c r="G517" s="47"/>
      <c r="H517" s="47"/>
      <c r="I517" s="75"/>
      <c r="J517" s="76"/>
      <c r="K517" s="76"/>
      <c r="L517" s="75"/>
      <c r="M517" s="49"/>
      <c r="N517" s="76"/>
      <c r="O517" s="49"/>
      <c r="P517" s="77"/>
      <c r="Q517" s="53"/>
      <c r="R517" s="54"/>
      <c r="S517" s="55"/>
      <c r="T517" s="56"/>
      <c r="U517" s="56"/>
      <c r="V517" s="42"/>
      <c r="W517" s="57"/>
      <c r="X517" s="58"/>
      <c r="Y517" s="75"/>
      <c r="Z517" s="59"/>
      <c r="AA517" s="61"/>
      <c r="AB517" s="61"/>
      <c r="AC517" s="61"/>
      <c r="AD517" s="62"/>
      <c r="AE517" s="62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</row>
    <row r="518" spans="1:77" x14ac:dyDescent="0.3">
      <c r="A518" s="39"/>
      <c r="B518" s="42"/>
      <c r="C518" s="42"/>
      <c r="D518" s="75"/>
      <c r="E518" s="75"/>
      <c r="F518" s="76"/>
      <c r="G518" s="47"/>
      <c r="H518" s="47"/>
      <c r="I518" s="75"/>
      <c r="J518" s="76"/>
      <c r="K518" s="76"/>
      <c r="L518" s="75"/>
      <c r="M518" s="49"/>
      <c r="N518" s="76"/>
      <c r="O518" s="49"/>
      <c r="P518" s="77"/>
      <c r="Q518" s="53"/>
      <c r="R518" s="54"/>
      <c r="S518" s="55"/>
      <c r="T518" s="56"/>
      <c r="U518" s="56"/>
      <c r="V518" s="42"/>
      <c r="W518" s="57"/>
      <c r="X518" s="58"/>
      <c r="Y518" s="75"/>
      <c r="Z518" s="59"/>
      <c r="AA518" s="61"/>
      <c r="AB518" s="61"/>
      <c r="AC518" s="61"/>
      <c r="AD518" s="62"/>
      <c r="AE518" s="62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</row>
    <row r="519" spans="1:77" x14ac:dyDescent="0.3">
      <c r="A519" s="39"/>
      <c r="B519" s="42"/>
      <c r="C519" s="42"/>
      <c r="D519" s="75"/>
      <c r="E519" s="75"/>
      <c r="F519" s="76"/>
      <c r="G519" s="47"/>
      <c r="H519" s="47"/>
      <c r="I519" s="75"/>
      <c r="J519" s="76"/>
      <c r="K519" s="76"/>
      <c r="L519" s="75"/>
      <c r="M519" s="49"/>
      <c r="N519" s="76"/>
      <c r="O519" s="49"/>
      <c r="P519" s="77"/>
      <c r="Q519" s="53"/>
      <c r="R519" s="54"/>
      <c r="S519" s="55"/>
      <c r="T519" s="56"/>
      <c r="U519" s="56"/>
      <c r="V519" s="42"/>
      <c r="W519" s="57"/>
      <c r="X519" s="58"/>
      <c r="Y519" s="75"/>
      <c r="Z519" s="59"/>
      <c r="AA519" s="61"/>
      <c r="AB519" s="61"/>
      <c r="AC519" s="61"/>
      <c r="AD519" s="62"/>
      <c r="AE519" s="62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</row>
    <row r="520" spans="1:77" x14ac:dyDescent="0.3">
      <c r="A520" s="39"/>
      <c r="B520" s="42"/>
      <c r="C520" s="42"/>
      <c r="D520" s="75"/>
      <c r="E520" s="75"/>
      <c r="F520" s="76"/>
      <c r="G520" s="47"/>
      <c r="H520" s="47"/>
      <c r="I520" s="75"/>
      <c r="J520" s="76"/>
      <c r="K520" s="76"/>
      <c r="L520" s="75"/>
      <c r="M520" s="49"/>
      <c r="N520" s="76"/>
      <c r="O520" s="49"/>
      <c r="P520" s="77"/>
      <c r="Q520" s="53"/>
      <c r="R520" s="54"/>
      <c r="S520" s="55"/>
      <c r="T520" s="56"/>
      <c r="U520" s="56"/>
      <c r="V520" s="42"/>
      <c r="W520" s="57"/>
      <c r="X520" s="58"/>
      <c r="Y520" s="75"/>
      <c r="Z520" s="59"/>
      <c r="AA520" s="61"/>
      <c r="AB520" s="61"/>
      <c r="AC520" s="61"/>
      <c r="AD520" s="62"/>
      <c r="AE520" s="62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</row>
    <row r="521" spans="1:77" x14ac:dyDescent="0.3">
      <c r="A521" s="39"/>
      <c r="B521" s="42"/>
      <c r="C521" s="42"/>
      <c r="D521" s="75"/>
      <c r="E521" s="75"/>
      <c r="F521" s="76"/>
      <c r="G521" s="47"/>
      <c r="H521" s="47"/>
      <c r="I521" s="75"/>
      <c r="J521" s="76"/>
      <c r="K521" s="76"/>
      <c r="L521" s="75"/>
      <c r="M521" s="49"/>
      <c r="N521" s="76"/>
      <c r="O521" s="49"/>
      <c r="P521" s="77"/>
      <c r="Q521" s="53"/>
      <c r="R521" s="54"/>
      <c r="S521" s="55"/>
      <c r="T521" s="56"/>
      <c r="U521" s="56"/>
      <c r="V521" s="42"/>
      <c r="W521" s="57"/>
      <c r="X521" s="58"/>
      <c r="Y521" s="75"/>
      <c r="Z521" s="59"/>
      <c r="AA521" s="61"/>
      <c r="AB521" s="61"/>
      <c r="AC521" s="61"/>
      <c r="AD521" s="62"/>
      <c r="AE521" s="62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</row>
    <row r="522" spans="1:77" x14ac:dyDescent="0.3">
      <c r="A522" s="39"/>
      <c r="B522" s="42"/>
      <c r="C522" s="42"/>
      <c r="D522" s="75"/>
      <c r="E522" s="75"/>
      <c r="F522" s="76"/>
      <c r="G522" s="47"/>
      <c r="H522" s="47"/>
      <c r="I522" s="75"/>
      <c r="J522" s="76"/>
      <c r="K522" s="76"/>
      <c r="L522" s="75"/>
      <c r="M522" s="49"/>
      <c r="N522" s="76"/>
      <c r="O522" s="49"/>
      <c r="P522" s="77"/>
      <c r="Q522" s="53"/>
      <c r="R522" s="54"/>
      <c r="S522" s="55"/>
      <c r="T522" s="56"/>
      <c r="U522" s="56"/>
      <c r="V522" s="42"/>
      <c r="W522" s="57"/>
      <c r="X522" s="58"/>
      <c r="Y522" s="75"/>
      <c r="Z522" s="59"/>
      <c r="AA522" s="61"/>
      <c r="AB522" s="61"/>
      <c r="AC522" s="61"/>
      <c r="AD522" s="62"/>
      <c r="AE522" s="62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</row>
    <row r="523" spans="1:77" x14ac:dyDescent="0.3">
      <c r="A523" s="39"/>
      <c r="B523" s="42"/>
      <c r="C523" s="42"/>
      <c r="D523" s="75"/>
      <c r="E523" s="75"/>
      <c r="F523" s="76"/>
      <c r="G523" s="47"/>
      <c r="H523" s="47"/>
      <c r="I523" s="75"/>
      <c r="J523" s="76"/>
      <c r="K523" s="76"/>
      <c r="L523" s="75"/>
      <c r="M523" s="49"/>
      <c r="N523" s="76"/>
      <c r="O523" s="49"/>
      <c r="P523" s="77"/>
      <c r="Q523" s="53"/>
      <c r="R523" s="54"/>
      <c r="S523" s="55"/>
      <c r="T523" s="56"/>
      <c r="U523" s="56"/>
      <c r="V523" s="42"/>
      <c r="W523" s="57"/>
      <c r="X523" s="58"/>
      <c r="Y523" s="75"/>
      <c r="Z523" s="59"/>
      <c r="AA523" s="61"/>
      <c r="AB523" s="61"/>
      <c r="AC523" s="61"/>
      <c r="AD523" s="62"/>
      <c r="AE523" s="62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</row>
    <row r="524" spans="1:77" x14ac:dyDescent="0.3">
      <c r="A524" s="39"/>
      <c r="B524" s="42"/>
      <c r="C524" s="42"/>
      <c r="D524" s="75"/>
      <c r="E524" s="75"/>
      <c r="F524" s="76"/>
      <c r="G524" s="47"/>
      <c r="H524" s="47"/>
      <c r="I524" s="75"/>
      <c r="J524" s="76"/>
      <c r="K524" s="76"/>
      <c r="L524" s="75"/>
      <c r="M524" s="49"/>
      <c r="N524" s="76"/>
      <c r="O524" s="49"/>
      <c r="P524" s="77"/>
      <c r="Q524" s="53"/>
      <c r="R524" s="54"/>
      <c r="S524" s="55"/>
      <c r="T524" s="56"/>
      <c r="U524" s="56"/>
      <c r="V524" s="42"/>
      <c r="W524" s="57"/>
      <c r="X524" s="58"/>
      <c r="Y524" s="75"/>
      <c r="Z524" s="59"/>
      <c r="AA524" s="61"/>
      <c r="AB524" s="61"/>
      <c r="AC524" s="61"/>
      <c r="AD524" s="62"/>
      <c r="AE524" s="62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</row>
    <row r="525" spans="1:77" x14ac:dyDescent="0.3">
      <c r="A525" s="39"/>
      <c r="B525" s="42"/>
      <c r="C525" s="42"/>
      <c r="D525" s="75"/>
      <c r="E525" s="75"/>
      <c r="F525" s="76"/>
      <c r="G525" s="47"/>
      <c r="H525" s="47"/>
      <c r="I525" s="75"/>
      <c r="J525" s="76"/>
      <c r="K525" s="76"/>
      <c r="L525" s="75"/>
      <c r="M525" s="49"/>
      <c r="N525" s="76"/>
      <c r="O525" s="49"/>
      <c r="P525" s="77"/>
      <c r="Q525" s="53"/>
      <c r="R525" s="54"/>
      <c r="S525" s="55"/>
      <c r="T525" s="56"/>
      <c r="U525" s="56"/>
      <c r="V525" s="42"/>
      <c r="W525" s="57"/>
      <c r="X525" s="58"/>
      <c r="Y525" s="75"/>
      <c r="Z525" s="59"/>
      <c r="AA525" s="61"/>
      <c r="AB525" s="61"/>
      <c r="AC525" s="61"/>
      <c r="AD525" s="62"/>
      <c r="AE525" s="62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</row>
    <row r="526" spans="1:77" x14ac:dyDescent="0.3">
      <c r="A526" s="39"/>
      <c r="B526" s="42"/>
      <c r="C526" s="42"/>
      <c r="D526" s="75"/>
      <c r="E526" s="75"/>
      <c r="F526" s="76"/>
      <c r="G526" s="47"/>
      <c r="H526" s="47"/>
      <c r="I526" s="75"/>
      <c r="J526" s="76"/>
      <c r="K526" s="76"/>
      <c r="L526" s="75"/>
      <c r="M526" s="49"/>
      <c r="N526" s="76"/>
      <c r="O526" s="49"/>
      <c r="P526" s="77"/>
      <c r="Q526" s="53"/>
      <c r="R526" s="54"/>
      <c r="S526" s="55"/>
      <c r="T526" s="56"/>
      <c r="U526" s="56"/>
      <c r="V526" s="42"/>
      <c r="W526" s="57"/>
      <c r="X526" s="58"/>
      <c r="Y526" s="75"/>
      <c r="Z526" s="59"/>
      <c r="AA526" s="61"/>
      <c r="AB526" s="61"/>
      <c r="AC526" s="61"/>
      <c r="AD526" s="62"/>
      <c r="AE526" s="62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</row>
    <row r="527" spans="1:77" x14ac:dyDescent="0.3">
      <c r="A527" s="39"/>
      <c r="B527" s="42"/>
      <c r="C527" s="42"/>
      <c r="D527" s="75"/>
      <c r="E527" s="75"/>
      <c r="F527" s="76"/>
      <c r="G527" s="47"/>
      <c r="H527" s="47"/>
      <c r="I527" s="75"/>
      <c r="J527" s="76"/>
      <c r="K527" s="76"/>
      <c r="L527" s="75"/>
      <c r="M527" s="49"/>
      <c r="N527" s="76"/>
      <c r="O527" s="49"/>
      <c r="P527" s="77"/>
      <c r="Q527" s="53"/>
      <c r="R527" s="54"/>
      <c r="S527" s="55"/>
      <c r="T527" s="56"/>
      <c r="U527" s="56"/>
      <c r="V527" s="42"/>
      <c r="W527" s="57"/>
      <c r="X527" s="58"/>
      <c r="Y527" s="75"/>
      <c r="Z527" s="59"/>
      <c r="AA527" s="61"/>
      <c r="AB527" s="61"/>
      <c r="AC527" s="61"/>
      <c r="AD527" s="62"/>
      <c r="AE527" s="62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</row>
    <row r="528" spans="1:77" x14ac:dyDescent="0.3">
      <c r="A528" s="39"/>
      <c r="B528" s="42"/>
      <c r="C528" s="42"/>
      <c r="D528" s="75"/>
      <c r="E528" s="75"/>
      <c r="F528" s="76"/>
      <c r="G528" s="47"/>
      <c r="H528" s="47"/>
      <c r="I528" s="75"/>
      <c r="J528" s="76"/>
      <c r="K528" s="76"/>
      <c r="L528" s="75"/>
      <c r="M528" s="49"/>
      <c r="N528" s="76"/>
      <c r="O528" s="49"/>
      <c r="P528" s="77"/>
      <c r="Q528" s="53"/>
      <c r="R528" s="54"/>
      <c r="S528" s="55"/>
      <c r="T528" s="56"/>
      <c r="U528" s="56"/>
      <c r="V528" s="42"/>
      <c r="W528" s="57"/>
      <c r="X528" s="58"/>
      <c r="Y528" s="75"/>
      <c r="Z528" s="59"/>
      <c r="AA528" s="61"/>
      <c r="AB528" s="61"/>
      <c r="AC528" s="61"/>
      <c r="AD528" s="62"/>
      <c r="AE528" s="62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</row>
    <row r="529" spans="1:77" x14ac:dyDescent="0.3">
      <c r="A529" s="39"/>
      <c r="B529" s="42"/>
      <c r="C529" s="42"/>
      <c r="D529" s="75"/>
      <c r="E529" s="75"/>
      <c r="F529" s="76"/>
      <c r="G529" s="47"/>
      <c r="H529" s="47"/>
      <c r="I529" s="75"/>
      <c r="J529" s="76"/>
      <c r="K529" s="76"/>
      <c r="L529" s="75"/>
      <c r="M529" s="49"/>
      <c r="N529" s="76"/>
      <c r="O529" s="49"/>
      <c r="P529" s="77"/>
      <c r="Q529" s="53"/>
      <c r="R529" s="54"/>
      <c r="S529" s="55"/>
      <c r="T529" s="56"/>
      <c r="U529" s="56"/>
      <c r="V529" s="42"/>
      <c r="W529" s="57"/>
      <c r="X529" s="58"/>
      <c r="Y529" s="75"/>
      <c r="Z529" s="59"/>
      <c r="AA529" s="61"/>
      <c r="AB529" s="61"/>
      <c r="AC529" s="61"/>
      <c r="AD529" s="62"/>
      <c r="AE529" s="62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</row>
    <row r="530" spans="1:77" x14ac:dyDescent="0.3">
      <c r="A530" s="39"/>
      <c r="B530" s="42"/>
      <c r="C530" s="42"/>
      <c r="D530" s="75"/>
      <c r="E530" s="75"/>
      <c r="F530" s="76"/>
      <c r="G530" s="47"/>
      <c r="H530" s="47"/>
      <c r="I530" s="75"/>
      <c r="J530" s="76"/>
      <c r="K530" s="76"/>
      <c r="L530" s="75"/>
      <c r="M530" s="49"/>
      <c r="N530" s="76"/>
      <c r="O530" s="49"/>
      <c r="P530" s="77"/>
      <c r="Q530" s="53"/>
      <c r="R530" s="54"/>
      <c r="S530" s="55"/>
      <c r="T530" s="56"/>
      <c r="U530" s="56"/>
      <c r="V530" s="42"/>
      <c r="W530" s="57"/>
      <c r="X530" s="58"/>
      <c r="Y530" s="75"/>
      <c r="Z530" s="59"/>
      <c r="AA530" s="61"/>
      <c r="AB530" s="61"/>
      <c r="AC530" s="61"/>
      <c r="AD530" s="62"/>
      <c r="AE530" s="62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</row>
    <row r="531" spans="1:77" x14ac:dyDescent="0.3">
      <c r="A531" s="39"/>
      <c r="B531" s="42"/>
      <c r="C531" s="42"/>
      <c r="D531" s="75"/>
      <c r="E531" s="75"/>
      <c r="F531" s="76"/>
      <c r="G531" s="47"/>
      <c r="H531" s="47"/>
      <c r="I531" s="75"/>
      <c r="J531" s="76"/>
      <c r="K531" s="76"/>
      <c r="L531" s="75"/>
      <c r="M531" s="49"/>
      <c r="N531" s="76"/>
      <c r="O531" s="49"/>
      <c r="P531" s="77"/>
      <c r="Q531" s="53"/>
      <c r="R531" s="54"/>
      <c r="S531" s="55"/>
      <c r="T531" s="56"/>
      <c r="U531" s="56"/>
      <c r="V531" s="42"/>
      <c r="W531" s="57"/>
      <c r="X531" s="58"/>
      <c r="Y531" s="75"/>
      <c r="Z531" s="59"/>
      <c r="AA531" s="61"/>
      <c r="AB531" s="61"/>
      <c r="AC531" s="61"/>
      <c r="AD531" s="62"/>
      <c r="AE531" s="62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</row>
    <row r="532" spans="1:77" x14ac:dyDescent="0.3">
      <c r="A532" s="39"/>
      <c r="B532" s="42"/>
      <c r="C532" s="42"/>
      <c r="D532" s="75"/>
      <c r="E532" s="75"/>
      <c r="F532" s="76"/>
      <c r="G532" s="47"/>
      <c r="H532" s="47"/>
      <c r="I532" s="75"/>
      <c r="J532" s="76"/>
      <c r="K532" s="76"/>
      <c r="L532" s="75"/>
      <c r="M532" s="49"/>
      <c r="N532" s="76"/>
      <c r="O532" s="49"/>
      <c r="P532" s="77"/>
      <c r="Q532" s="53"/>
      <c r="R532" s="54"/>
      <c r="S532" s="55"/>
      <c r="T532" s="56"/>
      <c r="U532" s="56"/>
      <c r="V532" s="42"/>
      <c r="W532" s="57"/>
      <c r="X532" s="58"/>
      <c r="Y532" s="75"/>
      <c r="Z532" s="59"/>
      <c r="AA532" s="61"/>
      <c r="AB532" s="61"/>
      <c r="AC532" s="61"/>
      <c r="AD532" s="62"/>
      <c r="AE532" s="62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</row>
    <row r="533" spans="1:77" x14ac:dyDescent="0.3">
      <c r="A533" s="39"/>
      <c r="B533" s="42"/>
      <c r="C533" s="42"/>
      <c r="D533" s="75"/>
      <c r="E533" s="75"/>
      <c r="F533" s="76"/>
      <c r="G533" s="47"/>
      <c r="H533" s="47"/>
      <c r="I533" s="75"/>
      <c r="J533" s="76"/>
      <c r="K533" s="76"/>
      <c r="L533" s="75"/>
      <c r="M533" s="49"/>
      <c r="N533" s="76"/>
      <c r="O533" s="49"/>
      <c r="P533" s="77"/>
      <c r="Q533" s="53"/>
      <c r="R533" s="54"/>
      <c r="S533" s="55"/>
      <c r="T533" s="56"/>
      <c r="U533" s="56"/>
      <c r="V533" s="42"/>
      <c r="W533" s="57"/>
      <c r="X533" s="58"/>
      <c r="Y533" s="75"/>
      <c r="Z533" s="59"/>
      <c r="AA533" s="61"/>
      <c r="AB533" s="61"/>
      <c r="AC533" s="61"/>
      <c r="AD533" s="62"/>
      <c r="AE533" s="62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</row>
    <row r="534" spans="1:77" x14ac:dyDescent="0.3">
      <c r="A534" s="39"/>
      <c r="B534" s="42"/>
      <c r="C534" s="42"/>
      <c r="D534" s="75"/>
      <c r="E534" s="75"/>
      <c r="F534" s="76"/>
      <c r="G534" s="47"/>
      <c r="H534" s="47"/>
      <c r="I534" s="75"/>
      <c r="J534" s="76"/>
      <c r="K534" s="76"/>
      <c r="L534" s="75"/>
      <c r="M534" s="49"/>
      <c r="N534" s="76"/>
      <c r="O534" s="49"/>
      <c r="P534" s="77"/>
      <c r="Q534" s="53"/>
      <c r="R534" s="54"/>
      <c r="S534" s="55"/>
      <c r="T534" s="56"/>
      <c r="U534" s="56"/>
      <c r="V534" s="42"/>
      <c r="W534" s="57"/>
      <c r="X534" s="58"/>
      <c r="Y534" s="75"/>
      <c r="Z534" s="59"/>
      <c r="AA534" s="61"/>
      <c r="AB534" s="61"/>
      <c r="AC534" s="61"/>
      <c r="AD534" s="62"/>
      <c r="AE534" s="62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</row>
    <row r="535" spans="1:77" x14ac:dyDescent="0.3">
      <c r="A535" s="39"/>
      <c r="B535" s="42"/>
      <c r="C535" s="42"/>
      <c r="D535" s="75"/>
      <c r="E535" s="75"/>
      <c r="F535" s="76"/>
      <c r="G535" s="47"/>
      <c r="H535" s="47"/>
      <c r="I535" s="75"/>
      <c r="J535" s="76"/>
      <c r="K535" s="76"/>
      <c r="L535" s="75"/>
      <c r="M535" s="49"/>
      <c r="N535" s="76"/>
      <c r="O535" s="49"/>
      <c r="P535" s="77"/>
      <c r="Q535" s="53"/>
      <c r="R535" s="54"/>
      <c r="S535" s="55"/>
      <c r="T535" s="56"/>
      <c r="U535" s="56"/>
      <c r="V535" s="42"/>
      <c r="W535" s="57"/>
      <c r="X535" s="58"/>
      <c r="Y535" s="75"/>
      <c r="Z535" s="59"/>
      <c r="AA535" s="61"/>
      <c r="AB535" s="61"/>
      <c r="AC535" s="61"/>
      <c r="AD535" s="62"/>
      <c r="AE535" s="62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</row>
    <row r="536" spans="1:77" x14ac:dyDescent="0.3">
      <c r="A536" s="39"/>
      <c r="B536" s="42"/>
      <c r="C536" s="42"/>
      <c r="D536" s="75"/>
      <c r="E536" s="75"/>
      <c r="F536" s="76"/>
      <c r="G536" s="47"/>
      <c r="H536" s="47"/>
      <c r="I536" s="75"/>
      <c r="J536" s="76"/>
      <c r="K536" s="76"/>
      <c r="L536" s="75"/>
      <c r="M536" s="49"/>
      <c r="N536" s="76"/>
      <c r="O536" s="49"/>
      <c r="P536" s="77"/>
      <c r="Q536" s="53"/>
      <c r="R536" s="54"/>
      <c r="S536" s="55"/>
      <c r="T536" s="56"/>
      <c r="U536" s="56"/>
      <c r="V536" s="42"/>
      <c r="W536" s="57"/>
      <c r="X536" s="58"/>
      <c r="Y536" s="75"/>
      <c r="Z536" s="59"/>
      <c r="AA536" s="61"/>
      <c r="AB536" s="61"/>
      <c r="AC536" s="61"/>
      <c r="AD536" s="62"/>
      <c r="AE536" s="62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</row>
    <row r="537" spans="1:77" x14ac:dyDescent="0.3">
      <c r="A537" s="39"/>
      <c r="B537" s="42"/>
      <c r="C537" s="42"/>
      <c r="D537" s="75"/>
      <c r="E537" s="75"/>
      <c r="F537" s="76"/>
      <c r="G537" s="47"/>
      <c r="H537" s="47"/>
      <c r="I537" s="75"/>
      <c r="J537" s="76"/>
      <c r="K537" s="76"/>
      <c r="L537" s="75"/>
      <c r="M537" s="49"/>
      <c r="N537" s="76"/>
      <c r="O537" s="49"/>
      <c r="P537" s="77"/>
      <c r="Q537" s="53"/>
      <c r="R537" s="54"/>
      <c r="S537" s="55"/>
      <c r="T537" s="56"/>
      <c r="U537" s="56"/>
      <c r="V537" s="42"/>
      <c r="W537" s="57"/>
      <c r="X537" s="58"/>
      <c r="Y537" s="75"/>
      <c r="Z537" s="59"/>
      <c r="AA537" s="61"/>
      <c r="AB537" s="61"/>
      <c r="AC537" s="61"/>
      <c r="AD537" s="62"/>
      <c r="AE537" s="62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</row>
    <row r="538" spans="1:77" x14ac:dyDescent="0.3">
      <c r="A538" s="39"/>
      <c r="B538" s="42"/>
      <c r="C538" s="42"/>
      <c r="D538" s="75"/>
      <c r="E538" s="75"/>
      <c r="F538" s="76"/>
      <c r="G538" s="47"/>
      <c r="H538" s="47"/>
      <c r="I538" s="75"/>
      <c r="J538" s="76"/>
      <c r="K538" s="76"/>
      <c r="L538" s="75"/>
      <c r="M538" s="49"/>
      <c r="N538" s="76"/>
      <c r="O538" s="49"/>
      <c r="P538" s="77"/>
      <c r="Q538" s="53"/>
      <c r="R538" s="54"/>
      <c r="S538" s="55"/>
      <c r="T538" s="56"/>
      <c r="U538" s="56"/>
      <c r="V538" s="42"/>
      <c r="W538" s="57"/>
      <c r="X538" s="58"/>
      <c r="Y538" s="75"/>
      <c r="Z538" s="59"/>
      <c r="AA538" s="61"/>
      <c r="AB538" s="61"/>
      <c r="AC538" s="61"/>
      <c r="AD538" s="62"/>
      <c r="AE538" s="62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</row>
    <row r="539" spans="1:77" x14ac:dyDescent="0.3">
      <c r="A539" s="39"/>
      <c r="B539" s="42"/>
      <c r="C539" s="42"/>
      <c r="D539" s="75"/>
      <c r="E539" s="75"/>
      <c r="F539" s="76"/>
      <c r="G539" s="47"/>
      <c r="H539" s="47"/>
      <c r="I539" s="75"/>
      <c r="J539" s="76"/>
      <c r="K539" s="76"/>
      <c r="L539" s="75"/>
      <c r="M539" s="49"/>
      <c r="N539" s="76"/>
      <c r="O539" s="49"/>
      <c r="P539" s="77"/>
      <c r="Q539" s="53"/>
      <c r="R539" s="54"/>
      <c r="S539" s="55"/>
      <c r="T539" s="56"/>
      <c r="U539" s="56"/>
      <c r="V539" s="42"/>
      <c r="W539" s="57"/>
      <c r="X539" s="58"/>
      <c r="Y539" s="75"/>
      <c r="Z539" s="59"/>
      <c r="AA539" s="61"/>
      <c r="AB539" s="61"/>
      <c r="AC539" s="61"/>
      <c r="AD539" s="62"/>
      <c r="AE539" s="62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</row>
    <row r="540" spans="1:77" x14ac:dyDescent="0.3">
      <c r="A540" s="39"/>
      <c r="B540" s="42"/>
      <c r="C540" s="42"/>
      <c r="D540" s="75"/>
      <c r="E540" s="75"/>
      <c r="F540" s="76"/>
      <c r="G540" s="47"/>
      <c r="H540" s="47"/>
      <c r="I540" s="75"/>
      <c r="J540" s="76"/>
      <c r="K540" s="76"/>
      <c r="L540" s="75"/>
      <c r="M540" s="49"/>
      <c r="N540" s="76"/>
      <c r="O540" s="49"/>
      <c r="P540" s="77"/>
      <c r="Q540" s="53"/>
      <c r="R540" s="54"/>
      <c r="S540" s="55"/>
      <c r="T540" s="56"/>
      <c r="U540" s="56"/>
      <c r="V540" s="42"/>
      <c r="W540" s="57"/>
      <c r="X540" s="58"/>
      <c r="Y540" s="75"/>
      <c r="Z540" s="59"/>
      <c r="AA540" s="61"/>
      <c r="AB540" s="61"/>
      <c r="AC540" s="61"/>
      <c r="AD540" s="62"/>
      <c r="AE540" s="62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</row>
    <row r="541" spans="1:77" x14ac:dyDescent="0.3">
      <c r="A541" s="39"/>
      <c r="B541" s="42"/>
      <c r="C541" s="42"/>
      <c r="D541" s="75"/>
      <c r="E541" s="75"/>
      <c r="F541" s="76"/>
      <c r="G541" s="47"/>
      <c r="H541" s="47"/>
      <c r="I541" s="75"/>
      <c r="J541" s="76"/>
      <c r="K541" s="76"/>
      <c r="L541" s="75"/>
      <c r="M541" s="49"/>
      <c r="N541" s="76"/>
      <c r="O541" s="49"/>
      <c r="P541" s="77"/>
      <c r="Q541" s="53"/>
      <c r="R541" s="54"/>
      <c r="S541" s="55"/>
      <c r="T541" s="56"/>
      <c r="U541" s="56"/>
      <c r="V541" s="42"/>
      <c r="W541" s="57"/>
      <c r="X541" s="58"/>
      <c r="Y541" s="75"/>
      <c r="Z541" s="59"/>
      <c r="AA541" s="61"/>
      <c r="AB541" s="61"/>
      <c r="AC541" s="61"/>
      <c r="AD541" s="62"/>
      <c r="AE541" s="62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</row>
    <row r="542" spans="1:77" x14ac:dyDescent="0.3">
      <c r="A542" s="39"/>
      <c r="B542" s="42"/>
      <c r="C542" s="42"/>
      <c r="D542" s="75"/>
      <c r="E542" s="75"/>
      <c r="F542" s="76"/>
      <c r="G542" s="47"/>
      <c r="H542" s="47"/>
      <c r="I542" s="75"/>
      <c r="J542" s="76"/>
      <c r="K542" s="76"/>
      <c r="L542" s="75"/>
      <c r="M542" s="49"/>
      <c r="N542" s="76"/>
      <c r="O542" s="49"/>
      <c r="P542" s="77"/>
      <c r="Q542" s="53"/>
      <c r="R542" s="54"/>
      <c r="S542" s="55"/>
      <c r="T542" s="56"/>
      <c r="U542" s="56"/>
      <c r="V542" s="42"/>
      <c r="W542" s="57"/>
      <c r="X542" s="58"/>
      <c r="Y542" s="75"/>
      <c r="Z542" s="59"/>
      <c r="AA542" s="61"/>
      <c r="AB542" s="61"/>
      <c r="AC542" s="61"/>
      <c r="AD542" s="62"/>
      <c r="AE542" s="62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</row>
    <row r="543" spans="1:77" x14ac:dyDescent="0.3">
      <c r="A543" s="39"/>
      <c r="B543" s="42"/>
      <c r="C543" s="42"/>
      <c r="D543" s="75"/>
      <c r="E543" s="75"/>
      <c r="F543" s="76"/>
      <c r="G543" s="47"/>
      <c r="H543" s="47"/>
      <c r="I543" s="75"/>
      <c r="J543" s="76"/>
      <c r="K543" s="76"/>
      <c r="L543" s="75"/>
      <c r="M543" s="49"/>
      <c r="N543" s="76"/>
      <c r="O543" s="49"/>
      <c r="P543" s="77"/>
      <c r="Q543" s="53"/>
      <c r="R543" s="54"/>
      <c r="S543" s="55"/>
      <c r="T543" s="56"/>
      <c r="U543" s="56"/>
      <c r="V543" s="42"/>
      <c r="W543" s="57"/>
      <c r="X543" s="58"/>
      <c r="Y543" s="75"/>
      <c r="Z543" s="59"/>
      <c r="AA543" s="61"/>
      <c r="AB543" s="61"/>
      <c r="AC543" s="61"/>
      <c r="AD543" s="62"/>
      <c r="AE543" s="62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</row>
    <row r="544" spans="1:77" x14ac:dyDescent="0.3">
      <c r="A544" s="39"/>
      <c r="B544" s="42"/>
      <c r="C544" s="42"/>
      <c r="D544" s="75"/>
      <c r="E544" s="75"/>
      <c r="F544" s="76"/>
      <c r="G544" s="47"/>
      <c r="H544" s="47"/>
      <c r="I544" s="75"/>
      <c r="J544" s="76"/>
      <c r="K544" s="76"/>
      <c r="L544" s="75"/>
      <c r="M544" s="49"/>
      <c r="N544" s="76"/>
      <c r="O544" s="49"/>
      <c r="P544" s="77"/>
      <c r="Q544" s="53"/>
      <c r="R544" s="54"/>
      <c r="S544" s="55"/>
      <c r="T544" s="56"/>
      <c r="U544" s="56"/>
      <c r="V544" s="42"/>
      <c r="W544" s="57"/>
      <c r="X544" s="58"/>
      <c r="Y544" s="75"/>
      <c r="Z544" s="59"/>
      <c r="AA544" s="61"/>
      <c r="AB544" s="61"/>
      <c r="AC544" s="61"/>
      <c r="AD544" s="62"/>
      <c r="AE544" s="62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</row>
    <row r="545" spans="1:77" x14ac:dyDescent="0.3">
      <c r="A545" s="39"/>
      <c r="B545" s="42"/>
      <c r="C545" s="42"/>
      <c r="D545" s="75"/>
      <c r="E545" s="75"/>
      <c r="F545" s="76"/>
      <c r="G545" s="47"/>
      <c r="H545" s="47"/>
      <c r="I545" s="75"/>
      <c r="J545" s="76"/>
      <c r="K545" s="76"/>
      <c r="L545" s="75"/>
      <c r="M545" s="49"/>
      <c r="N545" s="76"/>
      <c r="O545" s="49"/>
      <c r="P545" s="77"/>
      <c r="Q545" s="53"/>
      <c r="R545" s="54"/>
      <c r="S545" s="55"/>
      <c r="T545" s="56"/>
      <c r="U545" s="56"/>
      <c r="V545" s="42"/>
      <c r="W545" s="57"/>
      <c r="X545" s="58"/>
      <c r="Y545" s="75"/>
      <c r="Z545" s="59"/>
      <c r="AA545" s="61"/>
      <c r="AB545" s="61"/>
      <c r="AC545" s="61"/>
      <c r="AD545" s="62"/>
      <c r="AE545" s="62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</row>
    <row r="546" spans="1:77" x14ac:dyDescent="0.3">
      <c r="A546" s="39"/>
      <c r="B546" s="42"/>
      <c r="C546" s="42"/>
      <c r="D546" s="75"/>
      <c r="E546" s="75"/>
      <c r="F546" s="76"/>
      <c r="G546" s="47"/>
      <c r="H546" s="47"/>
      <c r="I546" s="75"/>
      <c r="J546" s="76"/>
      <c r="K546" s="76"/>
      <c r="L546" s="75"/>
      <c r="M546" s="49"/>
      <c r="N546" s="76"/>
      <c r="O546" s="49"/>
      <c r="P546" s="77"/>
      <c r="Q546" s="53"/>
      <c r="R546" s="54"/>
      <c r="S546" s="55"/>
      <c r="T546" s="56"/>
      <c r="U546" s="56"/>
      <c r="V546" s="42"/>
      <c r="W546" s="57"/>
      <c r="X546" s="58"/>
      <c r="Y546" s="75"/>
      <c r="Z546" s="59"/>
      <c r="AA546" s="61"/>
      <c r="AB546" s="61"/>
      <c r="AC546" s="61"/>
      <c r="AD546" s="62"/>
      <c r="AE546" s="62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</row>
    <row r="547" spans="1:77" x14ac:dyDescent="0.3">
      <c r="A547" s="39"/>
      <c r="B547" s="42"/>
      <c r="C547" s="42"/>
      <c r="D547" s="75"/>
      <c r="E547" s="75"/>
      <c r="F547" s="76"/>
      <c r="G547" s="47"/>
      <c r="H547" s="47"/>
      <c r="I547" s="75"/>
      <c r="J547" s="76"/>
      <c r="K547" s="76"/>
      <c r="L547" s="75"/>
      <c r="M547" s="49"/>
      <c r="N547" s="76"/>
      <c r="O547" s="49"/>
      <c r="P547" s="77"/>
      <c r="Q547" s="53"/>
      <c r="R547" s="54"/>
      <c r="S547" s="55"/>
      <c r="T547" s="56"/>
      <c r="U547" s="56"/>
      <c r="V547" s="42"/>
      <c r="W547" s="57"/>
      <c r="X547" s="58"/>
      <c r="Y547" s="75"/>
      <c r="Z547" s="59"/>
      <c r="AA547" s="61"/>
      <c r="AB547" s="61"/>
      <c r="AC547" s="61"/>
      <c r="AD547" s="62"/>
      <c r="AE547" s="62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</row>
    <row r="548" spans="1:77" x14ac:dyDescent="0.3">
      <c r="A548" s="39"/>
      <c r="B548" s="42"/>
      <c r="C548" s="42"/>
      <c r="D548" s="75"/>
      <c r="E548" s="75"/>
      <c r="F548" s="76"/>
      <c r="G548" s="47"/>
      <c r="H548" s="47"/>
      <c r="I548" s="75"/>
      <c r="J548" s="76"/>
      <c r="K548" s="76"/>
      <c r="L548" s="75"/>
      <c r="M548" s="49"/>
      <c r="N548" s="76"/>
      <c r="O548" s="49"/>
      <c r="P548" s="77"/>
      <c r="Q548" s="53"/>
      <c r="R548" s="54"/>
      <c r="S548" s="55"/>
      <c r="T548" s="56"/>
      <c r="U548" s="56"/>
      <c r="V548" s="42"/>
      <c r="W548" s="57"/>
      <c r="X548" s="58"/>
      <c r="Y548" s="75"/>
      <c r="Z548" s="59"/>
      <c r="AA548" s="61"/>
      <c r="AB548" s="61"/>
      <c r="AC548" s="61"/>
      <c r="AD548" s="62"/>
      <c r="AE548" s="62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</row>
    <row r="549" spans="1:77" x14ac:dyDescent="0.3">
      <c r="A549" s="39"/>
      <c r="B549" s="42"/>
      <c r="C549" s="42"/>
      <c r="D549" s="75"/>
      <c r="E549" s="75"/>
      <c r="F549" s="76"/>
      <c r="G549" s="47"/>
      <c r="H549" s="47"/>
      <c r="I549" s="75"/>
      <c r="J549" s="76"/>
      <c r="K549" s="76"/>
      <c r="L549" s="75"/>
      <c r="M549" s="49"/>
      <c r="N549" s="76"/>
      <c r="O549" s="49"/>
      <c r="P549" s="77"/>
      <c r="Q549" s="53"/>
      <c r="R549" s="54"/>
      <c r="S549" s="55"/>
      <c r="T549" s="56"/>
      <c r="U549" s="56"/>
      <c r="V549" s="42"/>
      <c r="W549" s="57"/>
      <c r="X549" s="58"/>
      <c r="Y549" s="75"/>
      <c r="Z549" s="59"/>
      <c r="AA549" s="61"/>
      <c r="AB549" s="61"/>
      <c r="AC549" s="61"/>
      <c r="AD549" s="62"/>
      <c r="AE549" s="62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</row>
    <row r="550" spans="1:77" x14ac:dyDescent="0.3">
      <c r="A550" s="39"/>
      <c r="B550" s="42"/>
      <c r="C550" s="42"/>
      <c r="D550" s="75"/>
      <c r="E550" s="75"/>
      <c r="F550" s="76"/>
      <c r="G550" s="47"/>
      <c r="H550" s="47"/>
      <c r="I550" s="75"/>
      <c r="J550" s="76"/>
      <c r="K550" s="76"/>
      <c r="L550" s="75"/>
      <c r="M550" s="49"/>
      <c r="N550" s="76"/>
      <c r="O550" s="49"/>
      <c r="P550" s="77"/>
      <c r="Q550" s="53"/>
      <c r="R550" s="54"/>
      <c r="S550" s="55"/>
      <c r="T550" s="56"/>
      <c r="U550" s="56"/>
      <c r="V550" s="42"/>
      <c r="W550" s="57"/>
      <c r="X550" s="58"/>
      <c r="Y550" s="75"/>
      <c r="Z550" s="59"/>
      <c r="AA550" s="61"/>
      <c r="AB550" s="61"/>
      <c r="AC550" s="61"/>
      <c r="AD550" s="62"/>
      <c r="AE550" s="62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</row>
    <row r="551" spans="1:77" x14ac:dyDescent="0.3">
      <c r="A551" s="39"/>
      <c r="B551" s="42"/>
      <c r="C551" s="42"/>
      <c r="D551" s="75"/>
      <c r="E551" s="75"/>
      <c r="F551" s="76"/>
      <c r="G551" s="47"/>
      <c r="H551" s="47"/>
      <c r="I551" s="75"/>
      <c r="J551" s="76"/>
      <c r="K551" s="76"/>
      <c r="L551" s="75"/>
      <c r="M551" s="49"/>
      <c r="N551" s="76"/>
      <c r="O551" s="49"/>
      <c r="P551" s="77"/>
      <c r="Q551" s="53"/>
      <c r="R551" s="54"/>
      <c r="S551" s="55"/>
      <c r="T551" s="56"/>
      <c r="U551" s="56"/>
      <c r="V551" s="42"/>
      <c r="W551" s="57"/>
      <c r="X551" s="58"/>
      <c r="Y551" s="75"/>
      <c r="Z551" s="59"/>
      <c r="AA551" s="61"/>
      <c r="AB551" s="61"/>
      <c r="AC551" s="61"/>
      <c r="AD551" s="62"/>
      <c r="AE551" s="62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</row>
    <row r="552" spans="1:77" x14ac:dyDescent="0.3">
      <c r="A552" s="39"/>
      <c r="B552" s="42"/>
      <c r="C552" s="42"/>
      <c r="D552" s="75"/>
      <c r="E552" s="75"/>
      <c r="F552" s="76"/>
      <c r="G552" s="47"/>
      <c r="H552" s="47"/>
      <c r="I552" s="75"/>
      <c r="J552" s="76"/>
      <c r="K552" s="76"/>
      <c r="L552" s="75"/>
      <c r="M552" s="49"/>
      <c r="N552" s="76"/>
      <c r="O552" s="49"/>
      <c r="P552" s="77"/>
      <c r="Q552" s="53"/>
      <c r="R552" s="54"/>
      <c r="S552" s="55"/>
      <c r="T552" s="56"/>
      <c r="U552" s="56"/>
      <c r="V552" s="42"/>
      <c r="W552" s="57"/>
      <c r="X552" s="58"/>
      <c r="Y552" s="75"/>
      <c r="Z552" s="59"/>
      <c r="AA552" s="61"/>
      <c r="AB552" s="61"/>
      <c r="AC552" s="61"/>
      <c r="AD552" s="62"/>
      <c r="AE552" s="62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</row>
    <row r="553" spans="1:77" x14ac:dyDescent="0.3">
      <c r="A553" s="39"/>
      <c r="B553" s="42"/>
      <c r="C553" s="42"/>
      <c r="D553" s="75"/>
      <c r="E553" s="75"/>
      <c r="F553" s="76"/>
      <c r="G553" s="47"/>
      <c r="H553" s="47"/>
      <c r="I553" s="75"/>
      <c r="J553" s="76"/>
      <c r="K553" s="76"/>
      <c r="L553" s="75"/>
      <c r="M553" s="49"/>
      <c r="N553" s="76"/>
      <c r="O553" s="49"/>
      <c r="P553" s="77"/>
      <c r="Q553" s="53"/>
      <c r="R553" s="54"/>
      <c r="S553" s="55"/>
      <c r="T553" s="56"/>
      <c r="U553" s="56"/>
      <c r="V553" s="42"/>
      <c r="W553" s="57"/>
      <c r="X553" s="58"/>
      <c r="Y553" s="75"/>
      <c r="Z553" s="59"/>
      <c r="AA553" s="61"/>
      <c r="AB553" s="61"/>
      <c r="AC553" s="61"/>
      <c r="AD553" s="62"/>
      <c r="AE553" s="62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</row>
    <row r="554" spans="1:77" x14ac:dyDescent="0.3">
      <c r="A554" s="39"/>
      <c r="B554" s="42"/>
      <c r="C554" s="42"/>
      <c r="D554" s="75"/>
      <c r="E554" s="75"/>
      <c r="F554" s="76"/>
      <c r="G554" s="47"/>
      <c r="H554" s="47"/>
      <c r="I554" s="75"/>
      <c r="J554" s="76"/>
      <c r="K554" s="76"/>
      <c r="L554" s="75"/>
      <c r="M554" s="49"/>
      <c r="N554" s="76"/>
      <c r="O554" s="49"/>
      <c r="P554" s="77"/>
      <c r="Q554" s="53"/>
      <c r="R554" s="54"/>
      <c r="S554" s="55"/>
      <c r="T554" s="56"/>
      <c r="U554" s="56"/>
      <c r="V554" s="42"/>
      <c r="W554" s="57"/>
      <c r="X554" s="58"/>
      <c r="Y554" s="75"/>
      <c r="Z554" s="59"/>
      <c r="AA554" s="61"/>
      <c r="AB554" s="61"/>
      <c r="AC554" s="61"/>
      <c r="AD554" s="62"/>
      <c r="AE554" s="62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</row>
    <row r="555" spans="1:77" x14ac:dyDescent="0.3">
      <c r="A555" s="39"/>
      <c r="B555" s="42"/>
      <c r="C555" s="42"/>
      <c r="D555" s="75"/>
      <c r="E555" s="75"/>
      <c r="F555" s="76"/>
      <c r="G555" s="47"/>
      <c r="H555" s="47"/>
      <c r="I555" s="75"/>
      <c r="J555" s="76"/>
      <c r="K555" s="76"/>
      <c r="L555" s="75"/>
      <c r="M555" s="49"/>
      <c r="N555" s="76"/>
      <c r="O555" s="49"/>
      <c r="P555" s="77"/>
      <c r="Q555" s="53"/>
      <c r="R555" s="54"/>
      <c r="S555" s="55"/>
      <c r="T555" s="56"/>
      <c r="U555" s="56"/>
      <c r="V555" s="42"/>
      <c r="W555" s="57"/>
      <c r="X555" s="58"/>
      <c r="Y555" s="75"/>
      <c r="Z555" s="59"/>
      <c r="AA555" s="61"/>
      <c r="AB555" s="61"/>
      <c r="AC555" s="61"/>
      <c r="AD555" s="62"/>
      <c r="AE555" s="62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</row>
    <row r="556" spans="1:77" x14ac:dyDescent="0.3">
      <c r="A556" s="39"/>
      <c r="B556" s="42"/>
      <c r="C556" s="42"/>
      <c r="D556" s="75"/>
      <c r="E556" s="75"/>
      <c r="F556" s="76"/>
      <c r="G556" s="47"/>
      <c r="H556" s="47"/>
      <c r="I556" s="75"/>
      <c r="J556" s="76"/>
      <c r="K556" s="76"/>
      <c r="L556" s="75"/>
      <c r="M556" s="49"/>
      <c r="N556" s="76"/>
      <c r="O556" s="49"/>
      <c r="P556" s="77"/>
      <c r="Q556" s="53"/>
      <c r="R556" s="54"/>
      <c r="S556" s="55"/>
      <c r="T556" s="56"/>
      <c r="U556" s="56"/>
      <c r="V556" s="42"/>
      <c r="W556" s="57"/>
      <c r="X556" s="58"/>
      <c r="Y556" s="75"/>
      <c r="Z556" s="59"/>
      <c r="AA556" s="61"/>
      <c r="AB556" s="61"/>
      <c r="AC556" s="61"/>
      <c r="AD556" s="62"/>
      <c r="AE556" s="62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</row>
    <row r="557" spans="1:77" x14ac:dyDescent="0.3">
      <c r="A557" s="39"/>
      <c r="B557" s="42"/>
      <c r="C557" s="42"/>
      <c r="D557" s="75"/>
      <c r="E557" s="75"/>
      <c r="F557" s="76"/>
      <c r="G557" s="47"/>
      <c r="H557" s="47"/>
      <c r="I557" s="75"/>
      <c r="J557" s="76"/>
      <c r="K557" s="76"/>
      <c r="L557" s="75"/>
      <c r="M557" s="49"/>
      <c r="N557" s="76"/>
      <c r="O557" s="49"/>
      <c r="P557" s="77"/>
      <c r="Q557" s="53"/>
      <c r="R557" s="54"/>
      <c r="S557" s="55"/>
      <c r="T557" s="56"/>
      <c r="U557" s="56"/>
      <c r="V557" s="42"/>
      <c r="W557" s="57"/>
      <c r="X557" s="58"/>
      <c r="Y557" s="75"/>
      <c r="Z557" s="59"/>
      <c r="AA557" s="61"/>
      <c r="AB557" s="61"/>
      <c r="AC557" s="61"/>
      <c r="AD557" s="62"/>
      <c r="AE557" s="62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</row>
    <row r="558" spans="1:77" x14ac:dyDescent="0.3">
      <c r="A558" s="39"/>
      <c r="B558" s="42"/>
      <c r="C558" s="42"/>
      <c r="D558" s="75"/>
      <c r="E558" s="75"/>
      <c r="F558" s="76"/>
      <c r="G558" s="47"/>
      <c r="H558" s="47"/>
      <c r="I558" s="75"/>
      <c r="J558" s="76"/>
      <c r="K558" s="76"/>
      <c r="L558" s="75"/>
      <c r="M558" s="49"/>
      <c r="N558" s="76"/>
      <c r="O558" s="49"/>
      <c r="P558" s="77"/>
      <c r="Q558" s="53"/>
      <c r="R558" s="54"/>
      <c r="S558" s="55"/>
      <c r="T558" s="56"/>
      <c r="U558" s="56"/>
      <c r="V558" s="42"/>
      <c r="W558" s="57"/>
      <c r="X558" s="58"/>
      <c r="Y558" s="75"/>
      <c r="Z558" s="59"/>
      <c r="AA558" s="61"/>
      <c r="AB558" s="61"/>
      <c r="AC558" s="61"/>
      <c r="AD558" s="62"/>
      <c r="AE558" s="62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</row>
    <row r="559" spans="1:77" x14ac:dyDescent="0.3">
      <c r="A559" s="39"/>
      <c r="B559" s="42"/>
      <c r="C559" s="42"/>
      <c r="D559" s="75"/>
      <c r="E559" s="75"/>
      <c r="F559" s="76"/>
      <c r="G559" s="47"/>
      <c r="H559" s="47"/>
      <c r="I559" s="75"/>
      <c r="J559" s="76"/>
      <c r="K559" s="76"/>
      <c r="L559" s="75"/>
      <c r="M559" s="49"/>
      <c r="N559" s="76"/>
      <c r="O559" s="49"/>
      <c r="P559" s="77"/>
      <c r="Q559" s="53"/>
      <c r="R559" s="54"/>
      <c r="S559" s="55"/>
      <c r="T559" s="56"/>
      <c r="U559" s="56"/>
      <c r="V559" s="42"/>
      <c r="W559" s="57"/>
      <c r="X559" s="58"/>
      <c r="Y559" s="75"/>
      <c r="Z559" s="59"/>
      <c r="AA559" s="61"/>
      <c r="AB559" s="61"/>
      <c r="AC559" s="61"/>
      <c r="AD559" s="62"/>
      <c r="AE559" s="62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</row>
    <row r="560" spans="1:77" x14ac:dyDescent="0.3">
      <c r="A560" s="39"/>
      <c r="B560" s="42"/>
      <c r="C560" s="42"/>
      <c r="D560" s="75"/>
      <c r="E560" s="75"/>
      <c r="F560" s="76"/>
      <c r="G560" s="47"/>
      <c r="H560" s="47"/>
      <c r="I560" s="75"/>
      <c r="J560" s="76"/>
      <c r="K560" s="76"/>
      <c r="L560" s="75"/>
      <c r="M560" s="49"/>
      <c r="N560" s="76"/>
      <c r="O560" s="49"/>
      <c r="P560" s="77"/>
      <c r="Q560" s="53"/>
      <c r="R560" s="54"/>
      <c r="S560" s="55"/>
      <c r="T560" s="56"/>
      <c r="U560" s="56"/>
      <c r="V560" s="42"/>
      <c r="W560" s="57"/>
      <c r="X560" s="58"/>
      <c r="Y560" s="75"/>
      <c r="Z560" s="59"/>
      <c r="AA560" s="61"/>
      <c r="AB560" s="61"/>
      <c r="AC560" s="61"/>
      <c r="AD560" s="62"/>
      <c r="AE560" s="62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</row>
    <row r="561" spans="1:77" x14ac:dyDescent="0.3">
      <c r="A561" s="39"/>
      <c r="B561" s="42"/>
      <c r="C561" s="42"/>
      <c r="D561" s="75"/>
      <c r="E561" s="75"/>
      <c r="F561" s="76"/>
      <c r="G561" s="47"/>
      <c r="H561" s="47"/>
      <c r="I561" s="75"/>
      <c r="J561" s="76"/>
      <c r="K561" s="76"/>
      <c r="L561" s="75"/>
      <c r="M561" s="49"/>
      <c r="N561" s="76"/>
      <c r="O561" s="49"/>
      <c r="P561" s="77"/>
      <c r="Q561" s="53"/>
      <c r="R561" s="54"/>
      <c r="S561" s="55"/>
      <c r="T561" s="56"/>
      <c r="U561" s="56"/>
      <c r="V561" s="42"/>
      <c r="W561" s="57"/>
      <c r="X561" s="58"/>
      <c r="Y561" s="75"/>
      <c r="Z561" s="59"/>
      <c r="AA561" s="61"/>
      <c r="AB561" s="61"/>
      <c r="AC561" s="61"/>
      <c r="AD561" s="62"/>
      <c r="AE561" s="62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</row>
    <row r="562" spans="1:77" x14ac:dyDescent="0.3">
      <c r="A562" s="39"/>
      <c r="B562" s="42"/>
      <c r="C562" s="42"/>
      <c r="D562" s="75"/>
      <c r="E562" s="75"/>
      <c r="F562" s="76"/>
      <c r="G562" s="47"/>
      <c r="H562" s="47"/>
      <c r="I562" s="75"/>
      <c r="J562" s="76"/>
      <c r="K562" s="76"/>
      <c r="L562" s="75"/>
      <c r="M562" s="49"/>
      <c r="N562" s="76"/>
      <c r="O562" s="49"/>
      <c r="P562" s="77"/>
      <c r="Q562" s="53"/>
      <c r="R562" s="54"/>
      <c r="S562" s="55"/>
      <c r="T562" s="56"/>
      <c r="U562" s="56"/>
      <c r="V562" s="42"/>
      <c r="W562" s="57"/>
      <c r="X562" s="58"/>
      <c r="Y562" s="75"/>
      <c r="Z562" s="59"/>
      <c r="AA562" s="61"/>
      <c r="AB562" s="61"/>
      <c r="AC562" s="61"/>
      <c r="AD562" s="62"/>
      <c r="AE562" s="62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</row>
    <row r="563" spans="1:77" x14ac:dyDescent="0.3">
      <c r="A563" s="39"/>
      <c r="B563" s="42"/>
      <c r="C563" s="42"/>
      <c r="D563" s="75"/>
      <c r="E563" s="75"/>
      <c r="F563" s="76"/>
      <c r="G563" s="47"/>
      <c r="H563" s="47"/>
      <c r="I563" s="75"/>
      <c r="J563" s="76"/>
      <c r="K563" s="76"/>
      <c r="L563" s="75"/>
      <c r="M563" s="49"/>
      <c r="N563" s="76"/>
      <c r="O563" s="49"/>
      <c r="P563" s="77"/>
      <c r="Q563" s="53"/>
      <c r="R563" s="54"/>
      <c r="S563" s="55"/>
      <c r="T563" s="56"/>
      <c r="U563" s="56"/>
      <c r="V563" s="42"/>
      <c r="W563" s="57"/>
      <c r="X563" s="58"/>
      <c r="Y563" s="75"/>
      <c r="Z563" s="59"/>
      <c r="AA563" s="61"/>
      <c r="AB563" s="61"/>
      <c r="AC563" s="61"/>
      <c r="AD563" s="62"/>
      <c r="AE563" s="62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</row>
    <row r="564" spans="1:77" x14ac:dyDescent="0.3">
      <c r="A564" s="39"/>
      <c r="B564" s="42"/>
      <c r="C564" s="42"/>
      <c r="D564" s="75"/>
      <c r="E564" s="75"/>
      <c r="F564" s="76"/>
      <c r="G564" s="47"/>
      <c r="H564" s="47"/>
      <c r="I564" s="75"/>
      <c r="J564" s="76"/>
      <c r="K564" s="76"/>
      <c r="L564" s="75"/>
      <c r="M564" s="49"/>
      <c r="N564" s="76"/>
      <c r="O564" s="49"/>
      <c r="P564" s="77"/>
      <c r="Q564" s="53"/>
      <c r="R564" s="54"/>
      <c r="S564" s="55"/>
      <c r="T564" s="56"/>
      <c r="U564" s="56"/>
      <c r="V564" s="42"/>
      <c r="W564" s="57"/>
      <c r="X564" s="58"/>
      <c r="Y564" s="75"/>
      <c r="Z564" s="59"/>
      <c r="AA564" s="61"/>
      <c r="AB564" s="61"/>
      <c r="AC564" s="61"/>
      <c r="AD564" s="62"/>
      <c r="AE564" s="62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</row>
    <row r="565" spans="1:77" x14ac:dyDescent="0.3">
      <c r="A565" s="39"/>
      <c r="B565" s="42"/>
      <c r="C565" s="42"/>
      <c r="D565" s="75"/>
      <c r="E565" s="75"/>
      <c r="F565" s="76"/>
      <c r="G565" s="47"/>
      <c r="H565" s="47"/>
      <c r="I565" s="75"/>
      <c r="J565" s="76"/>
      <c r="K565" s="76"/>
      <c r="L565" s="75"/>
      <c r="M565" s="49"/>
      <c r="N565" s="76"/>
      <c r="O565" s="49"/>
      <c r="P565" s="77"/>
      <c r="Q565" s="53"/>
      <c r="R565" s="54"/>
      <c r="S565" s="55"/>
      <c r="T565" s="56"/>
      <c r="U565" s="56"/>
      <c r="V565" s="42"/>
      <c r="W565" s="57"/>
      <c r="X565" s="58"/>
      <c r="Y565" s="75"/>
      <c r="Z565" s="59"/>
      <c r="AA565" s="61"/>
      <c r="AB565" s="61"/>
      <c r="AC565" s="61"/>
      <c r="AD565" s="62"/>
      <c r="AE565" s="62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</row>
    <row r="566" spans="1:77" x14ac:dyDescent="0.3">
      <c r="A566" s="39"/>
      <c r="B566" s="42"/>
      <c r="C566" s="42"/>
      <c r="D566" s="75"/>
      <c r="E566" s="75"/>
      <c r="F566" s="76"/>
      <c r="G566" s="47"/>
      <c r="H566" s="47"/>
      <c r="I566" s="75"/>
      <c r="J566" s="76"/>
      <c r="K566" s="76"/>
      <c r="L566" s="75"/>
      <c r="M566" s="49"/>
      <c r="N566" s="76"/>
      <c r="O566" s="49"/>
      <c r="P566" s="77"/>
      <c r="Q566" s="53"/>
      <c r="R566" s="54"/>
      <c r="S566" s="55"/>
      <c r="T566" s="56"/>
      <c r="U566" s="56"/>
      <c r="V566" s="42"/>
      <c r="W566" s="57"/>
      <c r="X566" s="58"/>
      <c r="Y566" s="75"/>
      <c r="Z566" s="59"/>
      <c r="AA566" s="61"/>
      <c r="AB566" s="61"/>
      <c r="AC566" s="61"/>
      <c r="AD566" s="62"/>
      <c r="AE566" s="62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</row>
    <row r="567" spans="1:77" x14ac:dyDescent="0.3">
      <c r="A567" s="39"/>
      <c r="B567" s="42"/>
      <c r="C567" s="42"/>
      <c r="D567" s="75"/>
      <c r="E567" s="75"/>
      <c r="F567" s="76"/>
      <c r="G567" s="47"/>
      <c r="H567" s="47"/>
      <c r="I567" s="75"/>
      <c r="J567" s="76"/>
      <c r="K567" s="76"/>
      <c r="L567" s="75"/>
      <c r="M567" s="49"/>
      <c r="N567" s="76"/>
      <c r="O567" s="49"/>
      <c r="P567" s="77"/>
      <c r="Q567" s="53"/>
      <c r="R567" s="54"/>
      <c r="S567" s="55"/>
      <c r="T567" s="56"/>
      <c r="U567" s="56"/>
      <c r="V567" s="42"/>
      <c r="W567" s="57"/>
      <c r="X567" s="58"/>
      <c r="Y567" s="75"/>
      <c r="Z567" s="59"/>
      <c r="AA567" s="61"/>
      <c r="AB567" s="61"/>
      <c r="AC567" s="61"/>
      <c r="AD567" s="62"/>
      <c r="AE567" s="62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</row>
    <row r="568" spans="1:77" x14ac:dyDescent="0.3">
      <c r="A568" s="39"/>
      <c r="B568" s="42"/>
      <c r="C568" s="42"/>
      <c r="D568" s="75"/>
      <c r="E568" s="75"/>
      <c r="F568" s="76"/>
      <c r="G568" s="47"/>
      <c r="H568" s="47"/>
      <c r="I568" s="75"/>
      <c r="J568" s="76"/>
      <c r="K568" s="76"/>
      <c r="L568" s="75"/>
      <c r="M568" s="49"/>
      <c r="N568" s="76"/>
      <c r="O568" s="49"/>
      <c r="P568" s="77"/>
      <c r="Q568" s="53"/>
      <c r="R568" s="54"/>
      <c r="S568" s="55"/>
      <c r="T568" s="56"/>
      <c r="U568" s="56"/>
      <c r="V568" s="42"/>
      <c r="W568" s="57"/>
      <c r="X568" s="58"/>
      <c r="Y568" s="75"/>
      <c r="Z568" s="59"/>
      <c r="AA568" s="61"/>
      <c r="AB568" s="61"/>
      <c r="AC568" s="61"/>
      <c r="AD568" s="62"/>
      <c r="AE568" s="62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</row>
    <row r="569" spans="1:77" x14ac:dyDescent="0.3">
      <c r="A569" s="39"/>
      <c r="B569" s="42"/>
      <c r="C569" s="42"/>
      <c r="D569" s="75"/>
      <c r="E569" s="75"/>
      <c r="F569" s="76"/>
      <c r="G569" s="47"/>
      <c r="H569" s="47"/>
      <c r="I569" s="75"/>
      <c r="J569" s="76"/>
      <c r="K569" s="76"/>
      <c r="L569" s="75"/>
      <c r="M569" s="49"/>
      <c r="N569" s="76"/>
      <c r="O569" s="49"/>
      <c r="P569" s="77"/>
      <c r="Q569" s="53"/>
      <c r="R569" s="54"/>
      <c r="S569" s="55"/>
      <c r="T569" s="56"/>
      <c r="U569" s="56"/>
      <c r="V569" s="42"/>
      <c r="W569" s="57"/>
      <c r="X569" s="58"/>
      <c r="Y569" s="75"/>
      <c r="Z569" s="59"/>
      <c r="AA569" s="61"/>
      <c r="AB569" s="61"/>
      <c r="AC569" s="61"/>
      <c r="AD569" s="62"/>
      <c r="AE569" s="62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</row>
    <row r="570" spans="1:77" x14ac:dyDescent="0.3">
      <c r="A570" s="39"/>
      <c r="B570" s="42"/>
      <c r="C570" s="42"/>
      <c r="D570" s="75"/>
      <c r="E570" s="75"/>
      <c r="F570" s="76"/>
      <c r="G570" s="47"/>
      <c r="H570" s="47"/>
      <c r="I570" s="75"/>
      <c r="J570" s="76"/>
      <c r="K570" s="76"/>
      <c r="L570" s="75"/>
      <c r="M570" s="49"/>
      <c r="N570" s="76"/>
      <c r="O570" s="49"/>
      <c r="P570" s="77"/>
      <c r="Q570" s="53"/>
      <c r="R570" s="54"/>
      <c r="S570" s="55"/>
      <c r="T570" s="56"/>
      <c r="U570" s="56"/>
      <c r="V570" s="42"/>
      <c r="W570" s="57"/>
      <c r="X570" s="58"/>
      <c r="Y570" s="75"/>
      <c r="Z570" s="59"/>
      <c r="AA570" s="61"/>
      <c r="AB570" s="61"/>
      <c r="AC570" s="61"/>
      <c r="AD570" s="62"/>
      <c r="AE570" s="62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</row>
    <row r="571" spans="1:77" x14ac:dyDescent="0.3">
      <c r="A571" s="39"/>
      <c r="B571" s="42"/>
      <c r="C571" s="42"/>
      <c r="D571" s="75"/>
      <c r="E571" s="75"/>
      <c r="F571" s="76"/>
      <c r="G571" s="47"/>
      <c r="H571" s="47"/>
      <c r="I571" s="75"/>
      <c r="J571" s="76"/>
      <c r="K571" s="76"/>
      <c r="L571" s="75"/>
      <c r="M571" s="49"/>
      <c r="N571" s="76"/>
      <c r="O571" s="49"/>
      <c r="P571" s="77"/>
      <c r="Q571" s="53"/>
      <c r="R571" s="54"/>
      <c r="S571" s="55"/>
      <c r="T571" s="56"/>
      <c r="U571" s="56"/>
      <c r="V571" s="42"/>
      <c r="W571" s="57"/>
      <c r="X571" s="58"/>
      <c r="Y571" s="75"/>
      <c r="Z571" s="59"/>
      <c r="AA571" s="61"/>
      <c r="AB571" s="61"/>
      <c r="AC571" s="61"/>
      <c r="AD571" s="62"/>
      <c r="AE571" s="62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</row>
    <row r="572" spans="1:77" x14ac:dyDescent="0.3">
      <c r="A572" s="39"/>
      <c r="B572" s="42"/>
      <c r="C572" s="42"/>
      <c r="D572" s="75"/>
      <c r="E572" s="75"/>
      <c r="F572" s="76"/>
      <c r="G572" s="47"/>
      <c r="H572" s="47"/>
      <c r="I572" s="75"/>
      <c r="J572" s="76"/>
      <c r="K572" s="76"/>
      <c r="L572" s="75"/>
      <c r="M572" s="49"/>
      <c r="N572" s="76"/>
      <c r="O572" s="49"/>
      <c r="P572" s="77"/>
      <c r="Q572" s="53"/>
      <c r="R572" s="54"/>
      <c r="S572" s="55"/>
      <c r="T572" s="56"/>
      <c r="U572" s="56"/>
      <c r="V572" s="42"/>
      <c r="W572" s="57"/>
      <c r="X572" s="58"/>
      <c r="Y572" s="75"/>
      <c r="Z572" s="59"/>
      <c r="AA572" s="61"/>
      <c r="AB572" s="61"/>
      <c r="AC572" s="61"/>
      <c r="AD572" s="62"/>
      <c r="AE572" s="62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</row>
    <row r="573" spans="1:77" x14ac:dyDescent="0.3">
      <c r="A573" s="39"/>
      <c r="B573" s="42"/>
      <c r="C573" s="42"/>
      <c r="D573" s="75"/>
      <c r="E573" s="75"/>
      <c r="F573" s="76"/>
      <c r="G573" s="47"/>
      <c r="H573" s="47"/>
      <c r="I573" s="75"/>
      <c r="J573" s="76"/>
      <c r="K573" s="76"/>
      <c r="L573" s="75"/>
      <c r="M573" s="49"/>
      <c r="N573" s="76"/>
      <c r="O573" s="49"/>
      <c r="P573" s="77"/>
      <c r="Q573" s="53"/>
      <c r="R573" s="54"/>
      <c r="S573" s="55"/>
      <c r="T573" s="56"/>
      <c r="U573" s="56"/>
      <c r="V573" s="42"/>
      <c r="W573" s="57"/>
      <c r="X573" s="58"/>
      <c r="Y573" s="75"/>
      <c r="Z573" s="59"/>
      <c r="AA573" s="61"/>
      <c r="AB573" s="61"/>
      <c r="AC573" s="61"/>
      <c r="AD573" s="62"/>
      <c r="AE573" s="62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</row>
    <row r="574" spans="1:77" x14ac:dyDescent="0.3">
      <c r="A574" s="39"/>
      <c r="B574" s="42"/>
      <c r="C574" s="42"/>
      <c r="D574" s="75"/>
      <c r="E574" s="75"/>
      <c r="F574" s="76"/>
      <c r="G574" s="47"/>
      <c r="H574" s="47"/>
      <c r="I574" s="75"/>
      <c r="J574" s="76"/>
      <c r="K574" s="76"/>
      <c r="L574" s="75"/>
      <c r="M574" s="49"/>
      <c r="N574" s="76"/>
      <c r="O574" s="49"/>
      <c r="P574" s="77"/>
      <c r="Q574" s="53"/>
      <c r="R574" s="54"/>
      <c r="S574" s="55"/>
      <c r="T574" s="56"/>
      <c r="U574" s="56"/>
      <c r="V574" s="42"/>
      <c r="W574" s="57"/>
      <c r="X574" s="58"/>
      <c r="Y574" s="75"/>
      <c r="Z574" s="59"/>
      <c r="AA574" s="61"/>
      <c r="AB574" s="61"/>
      <c r="AC574" s="61"/>
      <c r="AD574" s="62"/>
      <c r="AE574" s="62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</row>
    <row r="575" spans="1:77" x14ac:dyDescent="0.3">
      <c r="A575" s="39"/>
      <c r="B575" s="42"/>
      <c r="C575" s="42"/>
      <c r="D575" s="75"/>
      <c r="E575" s="75"/>
      <c r="F575" s="76"/>
      <c r="G575" s="47"/>
      <c r="H575" s="47"/>
      <c r="I575" s="75"/>
      <c r="J575" s="76"/>
      <c r="K575" s="76"/>
      <c r="L575" s="75"/>
      <c r="M575" s="49"/>
      <c r="N575" s="76"/>
      <c r="O575" s="49"/>
      <c r="P575" s="77"/>
      <c r="Q575" s="53"/>
      <c r="R575" s="54"/>
      <c r="S575" s="55"/>
      <c r="T575" s="56"/>
      <c r="U575" s="56"/>
      <c r="V575" s="42"/>
      <c r="W575" s="57"/>
      <c r="X575" s="58"/>
      <c r="Y575" s="75"/>
      <c r="Z575" s="59"/>
      <c r="AA575" s="61"/>
      <c r="AB575" s="61"/>
      <c r="AC575" s="61"/>
      <c r="AD575" s="62"/>
      <c r="AE575" s="62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</row>
    <row r="576" spans="1:77" x14ac:dyDescent="0.3">
      <c r="A576" s="39"/>
      <c r="B576" s="42"/>
      <c r="C576" s="42"/>
      <c r="D576" s="75"/>
      <c r="E576" s="75"/>
      <c r="F576" s="76"/>
      <c r="G576" s="47"/>
      <c r="H576" s="47"/>
      <c r="I576" s="75"/>
      <c r="J576" s="76"/>
      <c r="K576" s="76"/>
      <c r="L576" s="75"/>
      <c r="M576" s="49"/>
      <c r="N576" s="76"/>
      <c r="O576" s="49"/>
      <c r="P576" s="77"/>
      <c r="Q576" s="53"/>
      <c r="R576" s="54"/>
      <c r="S576" s="55"/>
      <c r="T576" s="56"/>
      <c r="U576" s="56"/>
      <c r="V576" s="42"/>
      <c r="W576" s="57"/>
      <c r="X576" s="58"/>
      <c r="Y576" s="75"/>
      <c r="Z576" s="59"/>
      <c r="AA576" s="61"/>
      <c r="AB576" s="61"/>
      <c r="AC576" s="61"/>
      <c r="AD576" s="62"/>
      <c r="AE576" s="62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</row>
    <row r="577" spans="1:77" x14ac:dyDescent="0.3">
      <c r="A577" s="39"/>
      <c r="B577" s="42"/>
      <c r="C577" s="42"/>
      <c r="D577" s="75"/>
      <c r="E577" s="75"/>
      <c r="F577" s="76"/>
      <c r="G577" s="47"/>
      <c r="H577" s="47"/>
      <c r="I577" s="75"/>
      <c r="J577" s="76"/>
      <c r="K577" s="76"/>
      <c r="L577" s="75"/>
      <c r="M577" s="49"/>
      <c r="N577" s="76"/>
      <c r="O577" s="49"/>
      <c r="P577" s="77"/>
      <c r="Q577" s="53"/>
      <c r="R577" s="54"/>
      <c r="S577" s="55"/>
      <c r="T577" s="56"/>
      <c r="U577" s="56"/>
      <c r="V577" s="42"/>
      <c r="W577" s="57"/>
      <c r="X577" s="58"/>
      <c r="Y577" s="75"/>
      <c r="Z577" s="59"/>
      <c r="AA577" s="61"/>
      <c r="AB577" s="61"/>
      <c r="AC577" s="61"/>
      <c r="AD577" s="62"/>
      <c r="AE577" s="62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</row>
    <row r="578" spans="1:77" x14ac:dyDescent="0.3">
      <c r="A578" s="39"/>
      <c r="B578" s="42"/>
      <c r="C578" s="42"/>
      <c r="D578" s="75"/>
      <c r="E578" s="75"/>
      <c r="F578" s="76"/>
      <c r="G578" s="47"/>
      <c r="H578" s="47"/>
      <c r="I578" s="75"/>
      <c r="J578" s="76"/>
      <c r="K578" s="76"/>
      <c r="L578" s="75"/>
      <c r="M578" s="49"/>
      <c r="N578" s="76"/>
      <c r="O578" s="49"/>
      <c r="P578" s="77"/>
      <c r="Q578" s="53"/>
      <c r="R578" s="54"/>
      <c r="S578" s="55"/>
      <c r="T578" s="56"/>
      <c r="U578" s="56"/>
      <c r="V578" s="42"/>
      <c r="W578" s="57"/>
      <c r="X578" s="58"/>
      <c r="Y578" s="75"/>
      <c r="Z578" s="59"/>
      <c r="AA578" s="61"/>
      <c r="AB578" s="61"/>
      <c r="AC578" s="61"/>
      <c r="AD578" s="62"/>
      <c r="AE578" s="62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</row>
    <row r="579" spans="1:77" x14ac:dyDescent="0.3">
      <c r="A579" s="39"/>
      <c r="B579" s="42"/>
      <c r="C579" s="42"/>
      <c r="D579" s="75"/>
      <c r="E579" s="75"/>
      <c r="F579" s="76"/>
      <c r="G579" s="47"/>
      <c r="H579" s="47"/>
      <c r="I579" s="75"/>
      <c r="J579" s="76"/>
      <c r="K579" s="76"/>
      <c r="L579" s="75"/>
      <c r="M579" s="49"/>
      <c r="N579" s="76"/>
      <c r="O579" s="49"/>
      <c r="P579" s="77"/>
      <c r="Q579" s="53"/>
      <c r="R579" s="54"/>
      <c r="S579" s="55"/>
      <c r="T579" s="56"/>
      <c r="U579" s="56"/>
      <c r="V579" s="42"/>
      <c r="W579" s="57"/>
      <c r="X579" s="58"/>
      <c r="Y579" s="75"/>
      <c r="Z579" s="59"/>
      <c r="AA579" s="61"/>
      <c r="AB579" s="61"/>
      <c r="AC579" s="61"/>
      <c r="AD579" s="62"/>
      <c r="AE579" s="62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</row>
    <row r="580" spans="1:77" x14ac:dyDescent="0.3">
      <c r="A580" s="39"/>
      <c r="B580" s="42"/>
      <c r="C580" s="42"/>
      <c r="D580" s="75"/>
      <c r="E580" s="75"/>
      <c r="F580" s="76"/>
      <c r="G580" s="47"/>
      <c r="H580" s="47"/>
      <c r="I580" s="75"/>
      <c r="J580" s="76"/>
      <c r="K580" s="76"/>
      <c r="L580" s="75"/>
      <c r="M580" s="49"/>
      <c r="N580" s="76"/>
      <c r="O580" s="49"/>
      <c r="P580" s="77"/>
      <c r="Q580" s="53"/>
      <c r="R580" s="54"/>
      <c r="S580" s="55"/>
      <c r="T580" s="56"/>
      <c r="U580" s="56"/>
      <c r="V580" s="42"/>
      <c r="W580" s="57"/>
      <c r="X580" s="58"/>
      <c r="Y580" s="75"/>
      <c r="Z580" s="59"/>
      <c r="AA580" s="61"/>
      <c r="AB580" s="61"/>
      <c r="AC580" s="61"/>
      <c r="AD580" s="62"/>
      <c r="AE580" s="62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</row>
    <row r="581" spans="1:77" x14ac:dyDescent="0.3">
      <c r="A581" s="39"/>
      <c r="B581" s="42"/>
      <c r="C581" s="42"/>
      <c r="D581" s="75"/>
      <c r="E581" s="75"/>
      <c r="F581" s="76"/>
      <c r="G581" s="47"/>
      <c r="H581" s="47"/>
      <c r="I581" s="75"/>
      <c r="J581" s="76"/>
      <c r="K581" s="76"/>
      <c r="L581" s="75"/>
      <c r="M581" s="49"/>
      <c r="N581" s="76"/>
      <c r="O581" s="49"/>
      <c r="P581" s="77"/>
      <c r="Q581" s="53"/>
      <c r="R581" s="54"/>
      <c r="S581" s="55"/>
      <c r="T581" s="56"/>
      <c r="U581" s="56"/>
      <c r="V581" s="42"/>
      <c r="W581" s="57"/>
      <c r="X581" s="58"/>
      <c r="Y581" s="75"/>
      <c r="Z581" s="59"/>
      <c r="AA581" s="61"/>
      <c r="AB581" s="61"/>
      <c r="AC581" s="61"/>
      <c r="AD581" s="62"/>
      <c r="AE581" s="62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</row>
    <row r="582" spans="1:77" x14ac:dyDescent="0.3">
      <c r="A582" s="39"/>
      <c r="B582" s="42"/>
      <c r="C582" s="42"/>
      <c r="D582" s="75"/>
      <c r="E582" s="75"/>
      <c r="F582" s="76"/>
      <c r="G582" s="47"/>
      <c r="H582" s="47"/>
      <c r="I582" s="75"/>
      <c r="J582" s="76"/>
      <c r="K582" s="76"/>
      <c r="L582" s="75"/>
      <c r="M582" s="49"/>
      <c r="N582" s="76"/>
      <c r="O582" s="49"/>
      <c r="P582" s="77"/>
      <c r="Q582" s="53"/>
      <c r="R582" s="54"/>
      <c r="S582" s="55"/>
      <c r="T582" s="56"/>
      <c r="U582" s="56"/>
      <c r="V582" s="42"/>
      <c r="W582" s="57"/>
      <c r="X582" s="58"/>
      <c r="Y582" s="75"/>
      <c r="Z582" s="59"/>
      <c r="AA582" s="61"/>
      <c r="AB582" s="61"/>
      <c r="AC582" s="61"/>
      <c r="AD582" s="62"/>
      <c r="AE582" s="62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</row>
    <row r="583" spans="1:77" x14ac:dyDescent="0.3">
      <c r="A583" s="39"/>
      <c r="B583" s="42"/>
      <c r="C583" s="42"/>
      <c r="D583" s="75"/>
      <c r="E583" s="75"/>
      <c r="F583" s="76"/>
      <c r="G583" s="47"/>
      <c r="H583" s="47"/>
      <c r="I583" s="75"/>
      <c r="J583" s="76"/>
      <c r="K583" s="76"/>
      <c r="L583" s="75"/>
      <c r="M583" s="49"/>
      <c r="N583" s="76"/>
      <c r="O583" s="49"/>
      <c r="P583" s="77"/>
      <c r="Q583" s="53"/>
      <c r="R583" s="54"/>
      <c r="S583" s="55"/>
      <c r="T583" s="56"/>
      <c r="U583" s="56"/>
      <c r="V583" s="42"/>
      <c r="W583" s="57"/>
      <c r="X583" s="58"/>
      <c r="Y583" s="75"/>
      <c r="Z583" s="59"/>
      <c r="AA583" s="61"/>
      <c r="AB583" s="61"/>
      <c r="AC583" s="61"/>
      <c r="AD583" s="62"/>
      <c r="AE583" s="62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</row>
    <row r="584" spans="1:77" x14ac:dyDescent="0.3">
      <c r="A584" s="39"/>
      <c r="B584" s="42"/>
      <c r="C584" s="42"/>
      <c r="D584" s="75"/>
      <c r="E584" s="75"/>
      <c r="F584" s="76"/>
      <c r="G584" s="47"/>
      <c r="H584" s="47"/>
      <c r="I584" s="75"/>
      <c r="J584" s="76"/>
      <c r="K584" s="76"/>
      <c r="L584" s="75"/>
      <c r="M584" s="49"/>
      <c r="N584" s="76"/>
      <c r="O584" s="49"/>
      <c r="P584" s="77"/>
      <c r="Q584" s="53"/>
      <c r="R584" s="54"/>
      <c r="S584" s="55"/>
      <c r="T584" s="56"/>
      <c r="U584" s="56"/>
      <c r="V584" s="42"/>
      <c r="W584" s="57"/>
      <c r="X584" s="58"/>
      <c r="Y584" s="75"/>
      <c r="Z584" s="59"/>
      <c r="AA584" s="61"/>
      <c r="AB584" s="61"/>
      <c r="AC584" s="61"/>
      <c r="AD584" s="62"/>
      <c r="AE584" s="62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</row>
    <row r="585" spans="1:77" x14ac:dyDescent="0.3">
      <c r="A585" s="39"/>
      <c r="B585" s="42"/>
      <c r="C585" s="42"/>
      <c r="D585" s="75"/>
      <c r="E585" s="75"/>
      <c r="F585" s="76"/>
      <c r="G585" s="47"/>
      <c r="H585" s="47"/>
      <c r="I585" s="75"/>
      <c r="J585" s="76"/>
      <c r="K585" s="76"/>
      <c r="L585" s="75"/>
      <c r="M585" s="49"/>
      <c r="N585" s="76"/>
      <c r="O585" s="49"/>
      <c r="P585" s="77"/>
      <c r="Q585" s="53"/>
      <c r="R585" s="54"/>
      <c r="S585" s="55"/>
      <c r="T585" s="56"/>
      <c r="U585" s="56"/>
      <c r="V585" s="42"/>
      <c r="W585" s="57"/>
      <c r="X585" s="58"/>
      <c r="Y585" s="75"/>
      <c r="Z585" s="59"/>
      <c r="AA585" s="61"/>
      <c r="AB585" s="61"/>
      <c r="AC585" s="61"/>
      <c r="AD585" s="62"/>
      <c r="AE585" s="62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</row>
    <row r="586" spans="1:77" x14ac:dyDescent="0.3">
      <c r="A586" s="39"/>
      <c r="B586" s="42"/>
      <c r="C586" s="42"/>
      <c r="D586" s="75"/>
      <c r="E586" s="75"/>
      <c r="F586" s="76"/>
      <c r="G586" s="47"/>
      <c r="H586" s="47"/>
      <c r="I586" s="75"/>
      <c r="J586" s="76"/>
      <c r="K586" s="76"/>
      <c r="L586" s="75"/>
      <c r="M586" s="49"/>
      <c r="N586" s="76"/>
      <c r="O586" s="49"/>
      <c r="P586" s="77"/>
      <c r="Q586" s="53"/>
      <c r="R586" s="54"/>
      <c r="S586" s="55"/>
      <c r="T586" s="56"/>
      <c r="U586" s="56"/>
      <c r="V586" s="42"/>
      <c r="W586" s="57"/>
      <c r="X586" s="58"/>
      <c r="Y586" s="75"/>
      <c r="Z586" s="59"/>
      <c r="AA586" s="61"/>
      <c r="AB586" s="61"/>
      <c r="AC586" s="61"/>
      <c r="AD586" s="62"/>
      <c r="AE586" s="62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</row>
    <row r="587" spans="1:77" x14ac:dyDescent="0.3">
      <c r="A587" s="39"/>
      <c r="B587" s="42"/>
      <c r="C587" s="42"/>
      <c r="D587" s="75"/>
      <c r="E587" s="75"/>
      <c r="F587" s="76"/>
      <c r="G587" s="47"/>
      <c r="H587" s="47"/>
      <c r="I587" s="75"/>
      <c r="J587" s="76"/>
      <c r="K587" s="76"/>
      <c r="L587" s="75"/>
      <c r="M587" s="49"/>
      <c r="N587" s="76"/>
      <c r="O587" s="49"/>
      <c r="P587" s="77"/>
      <c r="Q587" s="53"/>
      <c r="R587" s="54"/>
      <c r="S587" s="55"/>
      <c r="T587" s="56"/>
      <c r="U587" s="56"/>
      <c r="V587" s="42"/>
      <c r="W587" s="57"/>
      <c r="X587" s="58"/>
      <c r="Y587" s="75"/>
      <c r="Z587" s="59"/>
      <c r="AA587" s="61"/>
      <c r="AB587" s="61"/>
      <c r="AC587" s="61"/>
      <c r="AD587" s="62"/>
      <c r="AE587" s="62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</row>
    <row r="588" spans="1:77" x14ac:dyDescent="0.3">
      <c r="A588" s="39"/>
      <c r="B588" s="42"/>
      <c r="C588" s="42"/>
      <c r="D588" s="75"/>
      <c r="E588" s="75"/>
      <c r="F588" s="76"/>
      <c r="G588" s="47"/>
      <c r="H588" s="47"/>
      <c r="I588" s="75"/>
      <c r="J588" s="76"/>
      <c r="K588" s="76"/>
      <c r="L588" s="75"/>
      <c r="M588" s="49"/>
      <c r="N588" s="76"/>
      <c r="O588" s="49"/>
      <c r="P588" s="77"/>
      <c r="Q588" s="53"/>
      <c r="R588" s="54"/>
      <c r="S588" s="55"/>
      <c r="T588" s="56"/>
      <c r="U588" s="56"/>
      <c r="V588" s="42"/>
      <c r="W588" s="57"/>
      <c r="X588" s="58"/>
      <c r="Y588" s="75"/>
      <c r="Z588" s="59"/>
      <c r="AA588" s="61"/>
      <c r="AB588" s="61"/>
      <c r="AC588" s="61"/>
      <c r="AD588" s="62"/>
      <c r="AE588" s="62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</row>
    <row r="589" spans="1:77" x14ac:dyDescent="0.3">
      <c r="A589" s="39"/>
      <c r="B589" s="42"/>
      <c r="C589" s="42"/>
      <c r="D589" s="75"/>
      <c r="E589" s="75"/>
      <c r="F589" s="76"/>
      <c r="G589" s="47"/>
      <c r="H589" s="47"/>
      <c r="I589" s="75"/>
      <c r="J589" s="76"/>
      <c r="K589" s="76"/>
      <c r="L589" s="75"/>
      <c r="M589" s="49"/>
      <c r="N589" s="76"/>
      <c r="O589" s="49"/>
      <c r="P589" s="77"/>
      <c r="Q589" s="53"/>
      <c r="R589" s="54"/>
      <c r="S589" s="55"/>
      <c r="T589" s="56"/>
      <c r="U589" s="56"/>
      <c r="V589" s="42"/>
      <c r="W589" s="57"/>
      <c r="X589" s="58"/>
      <c r="Y589" s="75"/>
      <c r="Z589" s="59"/>
      <c r="AA589" s="61"/>
      <c r="AB589" s="61"/>
      <c r="AC589" s="61"/>
      <c r="AD589" s="62"/>
      <c r="AE589" s="62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</row>
    <row r="590" spans="1:77" x14ac:dyDescent="0.3">
      <c r="A590" s="39"/>
      <c r="B590" s="42"/>
      <c r="C590" s="42"/>
      <c r="D590" s="75"/>
      <c r="E590" s="75"/>
      <c r="F590" s="76"/>
      <c r="G590" s="47"/>
      <c r="H590" s="47"/>
      <c r="I590" s="75"/>
      <c r="J590" s="76"/>
      <c r="K590" s="76"/>
      <c r="L590" s="75"/>
      <c r="M590" s="49"/>
      <c r="N590" s="76"/>
      <c r="O590" s="49"/>
      <c r="P590" s="77"/>
      <c r="Q590" s="53"/>
      <c r="R590" s="54"/>
      <c r="S590" s="55"/>
      <c r="T590" s="56"/>
      <c r="U590" s="56"/>
      <c r="V590" s="42"/>
      <c r="W590" s="57"/>
      <c r="X590" s="58"/>
      <c r="Y590" s="75"/>
      <c r="Z590" s="59"/>
      <c r="AA590" s="61"/>
      <c r="AB590" s="61"/>
      <c r="AC590" s="61"/>
      <c r="AD590" s="62"/>
      <c r="AE590" s="62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</row>
    <row r="591" spans="1:77" x14ac:dyDescent="0.3">
      <c r="A591" s="39"/>
      <c r="B591" s="42"/>
      <c r="C591" s="42"/>
      <c r="D591" s="75"/>
      <c r="E591" s="75"/>
      <c r="F591" s="76"/>
      <c r="G591" s="47"/>
      <c r="H591" s="47"/>
      <c r="I591" s="75"/>
      <c r="J591" s="76"/>
      <c r="K591" s="76"/>
      <c r="L591" s="75"/>
      <c r="M591" s="49"/>
      <c r="N591" s="76"/>
      <c r="O591" s="49"/>
      <c r="P591" s="77"/>
      <c r="Q591" s="53"/>
      <c r="R591" s="54"/>
      <c r="S591" s="55"/>
      <c r="T591" s="56"/>
      <c r="U591" s="56"/>
      <c r="V591" s="42"/>
      <c r="W591" s="57"/>
      <c r="X591" s="58"/>
      <c r="Y591" s="75"/>
      <c r="Z591" s="59"/>
      <c r="AA591" s="61"/>
      <c r="AB591" s="61"/>
      <c r="AC591" s="61"/>
      <c r="AD591" s="62"/>
      <c r="AE591" s="62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</row>
    <row r="592" spans="1:77" x14ac:dyDescent="0.3">
      <c r="A592" s="39"/>
      <c r="B592" s="42"/>
      <c r="C592" s="42"/>
      <c r="D592" s="75"/>
      <c r="E592" s="75"/>
      <c r="F592" s="76"/>
      <c r="G592" s="47"/>
      <c r="H592" s="47"/>
      <c r="I592" s="75"/>
      <c r="J592" s="76"/>
      <c r="K592" s="76"/>
      <c r="L592" s="75"/>
      <c r="M592" s="49"/>
      <c r="N592" s="76"/>
      <c r="O592" s="49"/>
      <c r="P592" s="77"/>
      <c r="Q592" s="53"/>
      <c r="R592" s="54"/>
      <c r="S592" s="55"/>
      <c r="T592" s="56"/>
      <c r="U592" s="56"/>
      <c r="V592" s="42"/>
      <c r="W592" s="57"/>
      <c r="X592" s="58"/>
      <c r="Y592" s="75"/>
      <c r="Z592" s="59"/>
      <c r="AA592" s="61"/>
      <c r="AB592" s="61"/>
      <c r="AC592" s="61"/>
      <c r="AD592" s="62"/>
      <c r="AE592" s="62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</row>
    <row r="593" spans="1:77" x14ac:dyDescent="0.3">
      <c r="A593" s="39"/>
      <c r="B593" s="42"/>
      <c r="C593" s="42"/>
      <c r="D593" s="75"/>
      <c r="E593" s="75"/>
      <c r="F593" s="76"/>
      <c r="G593" s="47"/>
      <c r="H593" s="47"/>
      <c r="I593" s="75"/>
      <c r="J593" s="76"/>
      <c r="K593" s="76"/>
      <c r="L593" s="75"/>
      <c r="M593" s="49"/>
      <c r="N593" s="76"/>
      <c r="O593" s="49"/>
      <c r="P593" s="77"/>
      <c r="Q593" s="53"/>
      <c r="R593" s="54"/>
      <c r="S593" s="55"/>
      <c r="T593" s="56"/>
      <c r="U593" s="56"/>
      <c r="V593" s="42"/>
      <c r="W593" s="57"/>
      <c r="X593" s="58"/>
      <c r="Y593" s="75"/>
      <c r="Z593" s="59"/>
      <c r="AA593" s="61"/>
      <c r="AB593" s="61"/>
      <c r="AC593" s="61"/>
      <c r="AD593" s="62"/>
      <c r="AE593" s="62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</row>
    <row r="594" spans="1:77" x14ac:dyDescent="0.3">
      <c r="A594" s="39"/>
      <c r="B594" s="42"/>
      <c r="C594" s="42"/>
      <c r="D594" s="75"/>
      <c r="E594" s="75"/>
      <c r="F594" s="76"/>
      <c r="G594" s="47"/>
      <c r="H594" s="47"/>
      <c r="I594" s="75"/>
      <c r="J594" s="76"/>
      <c r="K594" s="76"/>
      <c r="L594" s="75"/>
      <c r="M594" s="49"/>
      <c r="N594" s="76"/>
      <c r="O594" s="49"/>
      <c r="P594" s="77"/>
      <c r="Q594" s="53"/>
      <c r="R594" s="54"/>
      <c r="S594" s="55"/>
      <c r="T594" s="56"/>
      <c r="U594" s="56"/>
      <c r="V594" s="42"/>
      <c r="W594" s="57"/>
      <c r="X594" s="58"/>
      <c r="Y594" s="75"/>
      <c r="Z594" s="59"/>
      <c r="AA594" s="61"/>
      <c r="AB594" s="61"/>
      <c r="AC594" s="61"/>
      <c r="AD594" s="62"/>
      <c r="AE594" s="62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</row>
    <row r="595" spans="1:77" x14ac:dyDescent="0.3">
      <c r="A595" s="39"/>
      <c r="B595" s="42"/>
      <c r="C595" s="42"/>
      <c r="D595" s="75"/>
      <c r="E595" s="75"/>
      <c r="F595" s="76"/>
      <c r="G595" s="47"/>
      <c r="H595" s="47"/>
      <c r="I595" s="75"/>
      <c r="J595" s="76"/>
      <c r="K595" s="76"/>
      <c r="L595" s="75"/>
      <c r="M595" s="49"/>
      <c r="N595" s="76"/>
      <c r="O595" s="49"/>
      <c r="P595" s="77"/>
      <c r="Q595" s="53"/>
      <c r="R595" s="54"/>
      <c r="S595" s="55"/>
      <c r="T595" s="56"/>
      <c r="U595" s="56"/>
      <c r="V595" s="42"/>
      <c r="W595" s="57"/>
      <c r="X595" s="58"/>
      <c r="Y595" s="75"/>
      <c r="Z595" s="59"/>
      <c r="AA595" s="61"/>
      <c r="AB595" s="61"/>
      <c r="AC595" s="61"/>
      <c r="AD595" s="62"/>
      <c r="AE595" s="62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</row>
    <row r="596" spans="1:77" x14ac:dyDescent="0.3">
      <c r="A596" s="39"/>
      <c r="B596" s="42"/>
      <c r="C596" s="42"/>
      <c r="D596" s="75"/>
      <c r="E596" s="75"/>
      <c r="F596" s="76"/>
      <c r="G596" s="47"/>
      <c r="H596" s="47"/>
      <c r="I596" s="75"/>
      <c r="J596" s="76"/>
      <c r="K596" s="76"/>
      <c r="L596" s="75"/>
      <c r="M596" s="49"/>
      <c r="N596" s="76"/>
      <c r="O596" s="49"/>
      <c r="P596" s="77"/>
      <c r="Q596" s="53"/>
      <c r="R596" s="54"/>
      <c r="S596" s="55"/>
      <c r="T596" s="56"/>
      <c r="U596" s="56"/>
      <c r="V596" s="42"/>
      <c r="W596" s="57"/>
      <c r="X596" s="58"/>
      <c r="Y596" s="75"/>
      <c r="Z596" s="59"/>
      <c r="AA596" s="61"/>
      <c r="AB596" s="61"/>
      <c r="AC596" s="61"/>
      <c r="AD596" s="62"/>
      <c r="AE596" s="62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</row>
    <row r="597" spans="1:77" x14ac:dyDescent="0.3">
      <c r="A597" s="39"/>
      <c r="B597" s="42"/>
      <c r="C597" s="42"/>
      <c r="D597" s="75"/>
      <c r="E597" s="75"/>
      <c r="F597" s="76"/>
      <c r="G597" s="47"/>
      <c r="H597" s="47"/>
      <c r="I597" s="75"/>
      <c r="J597" s="76"/>
      <c r="K597" s="76"/>
      <c r="L597" s="75"/>
      <c r="M597" s="49"/>
      <c r="N597" s="76"/>
      <c r="O597" s="49"/>
      <c r="P597" s="77"/>
      <c r="Q597" s="53"/>
      <c r="R597" s="54"/>
      <c r="S597" s="55"/>
      <c r="T597" s="56"/>
      <c r="U597" s="56"/>
      <c r="V597" s="42"/>
      <c r="W597" s="57"/>
      <c r="X597" s="58"/>
      <c r="Y597" s="75"/>
      <c r="Z597" s="59"/>
      <c r="AA597" s="61"/>
      <c r="AB597" s="61"/>
      <c r="AC597" s="61"/>
      <c r="AD597" s="62"/>
      <c r="AE597" s="62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</row>
    <row r="598" spans="1:77" x14ac:dyDescent="0.3">
      <c r="A598" s="39"/>
      <c r="B598" s="42"/>
      <c r="C598" s="42"/>
      <c r="D598" s="75"/>
      <c r="E598" s="75"/>
      <c r="F598" s="76"/>
      <c r="G598" s="47"/>
      <c r="H598" s="47"/>
      <c r="I598" s="75"/>
      <c r="J598" s="76"/>
      <c r="K598" s="76"/>
      <c r="L598" s="75"/>
      <c r="M598" s="49"/>
      <c r="N598" s="76"/>
      <c r="O598" s="49"/>
      <c r="P598" s="77"/>
      <c r="Q598" s="53"/>
      <c r="R598" s="54"/>
      <c r="S598" s="55"/>
      <c r="T598" s="56"/>
      <c r="U598" s="56"/>
      <c r="V598" s="42"/>
      <c r="W598" s="57"/>
      <c r="X598" s="58"/>
      <c r="Y598" s="75"/>
      <c r="Z598" s="59"/>
      <c r="AA598" s="61"/>
      <c r="AB598" s="61"/>
      <c r="AC598" s="61"/>
      <c r="AD598" s="62"/>
      <c r="AE598" s="62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</row>
    <row r="599" spans="1:77" x14ac:dyDescent="0.3">
      <c r="A599" s="39"/>
      <c r="B599" s="42"/>
      <c r="C599" s="42"/>
      <c r="D599" s="75"/>
      <c r="E599" s="75"/>
      <c r="F599" s="76"/>
      <c r="G599" s="47"/>
      <c r="H599" s="47"/>
      <c r="I599" s="75"/>
      <c r="J599" s="76"/>
      <c r="K599" s="76"/>
      <c r="L599" s="75"/>
      <c r="M599" s="49"/>
      <c r="N599" s="76"/>
      <c r="O599" s="49"/>
      <c r="P599" s="77"/>
      <c r="Q599" s="53"/>
      <c r="R599" s="54"/>
      <c r="S599" s="55"/>
      <c r="T599" s="56"/>
      <c r="U599" s="56"/>
      <c r="V599" s="42"/>
      <c r="W599" s="57"/>
      <c r="X599" s="58"/>
      <c r="Y599" s="75"/>
      <c r="Z599" s="59"/>
      <c r="AA599" s="61"/>
      <c r="AB599" s="61"/>
      <c r="AC599" s="61"/>
      <c r="AD599" s="62"/>
      <c r="AE599" s="62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</row>
    <row r="600" spans="1:77" x14ac:dyDescent="0.3">
      <c r="A600" s="39"/>
      <c r="B600" s="42"/>
      <c r="C600" s="42"/>
      <c r="D600" s="75"/>
      <c r="E600" s="75"/>
      <c r="F600" s="76"/>
      <c r="G600" s="47"/>
      <c r="H600" s="47"/>
      <c r="I600" s="75"/>
      <c r="J600" s="76"/>
      <c r="K600" s="76"/>
      <c r="L600" s="75"/>
      <c r="M600" s="49"/>
      <c r="N600" s="76"/>
      <c r="O600" s="49"/>
      <c r="P600" s="77"/>
      <c r="Q600" s="53"/>
      <c r="R600" s="54"/>
      <c r="S600" s="55"/>
      <c r="T600" s="56"/>
      <c r="U600" s="56"/>
      <c r="V600" s="42"/>
      <c r="W600" s="57"/>
      <c r="X600" s="58"/>
      <c r="Y600" s="75"/>
      <c r="Z600" s="59"/>
      <c r="AA600" s="61"/>
      <c r="AB600" s="61"/>
      <c r="AC600" s="61"/>
      <c r="AD600" s="62"/>
      <c r="AE600" s="62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</row>
    <row r="601" spans="1:77" x14ac:dyDescent="0.3">
      <c r="A601" s="39"/>
      <c r="B601" s="42"/>
      <c r="C601" s="42"/>
      <c r="D601" s="75"/>
      <c r="E601" s="75"/>
      <c r="F601" s="76"/>
      <c r="G601" s="47"/>
      <c r="H601" s="47"/>
      <c r="I601" s="75"/>
      <c r="J601" s="76"/>
      <c r="K601" s="76"/>
      <c r="L601" s="75"/>
      <c r="M601" s="49"/>
      <c r="N601" s="76"/>
      <c r="O601" s="49"/>
      <c r="P601" s="77"/>
      <c r="Q601" s="53"/>
      <c r="R601" s="54"/>
      <c r="S601" s="55"/>
      <c r="T601" s="56"/>
      <c r="U601" s="56"/>
      <c r="V601" s="42"/>
      <c r="W601" s="57"/>
      <c r="X601" s="58"/>
      <c r="Y601" s="75"/>
      <c r="Z601" s="59"/>
      <c r="AA601" s="61"/>
      <c r="AB601" s="61"/>
      <c r="AC601" s="61"/>
      <c r="AD601" s="62"/>
      <c r="AE601" s="62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</row>
    <row r="602" spans="1:77" x14ac:dyDescent="0.3">
      <c r="A602" s="39"/>
      <c r="B602" s="42"/>
      <c r="C602" s="42"/>
      <c r="D602" s="75"/>
      <c r="E602" s="75"/>
      <c r="F602" s="76"/>
      <c r="G602" s="47"/>
      <c r="H602" s="47"/>
      <c r="I602" s="75"/>
      <c r="J602" s="76"/>
      <c r="K602" s="76"/>
      <c r="L602" s="75"/>
      <c r="M602" s="49"/>
      <c r="N602" s="76"/>
      <c r="O602" s="49"/>
      <c r="P602" s="77"/>
      <c r="Q602" s="53"/>
      <c r="R602" s="54"/>
      <c r="S602" s="55"/>
      <c r="T602" s="56"/>
      <c r="U602" s="56"/>
      <c r="V602" s="42"/>
      <c r="W602" s="57"/>
      <c r="X602" s="58"/>
      <c r="Y602" s="75"/>
      <c r="Z602" s="59"/>
      <c r="AA602" s="61"/>
      <c r="AB602" s="61"/>
      <c r="AC602" s="61"/>
      <c r="AD602" s="62"/>
      <c r="AE602" s="62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</row>
    <row r="603" spans="1:77" x14ac:dyDescent="0.3">
      <c r="A603" s="39"/>
      <c r="B603" s="42"/>
      <c r="C603" s="42"/>
      <c r="D603" s="75"/>
      <c r="E603" s="75"/>
      <c r="F603" s="76"/>
      <c r="G603" s="47"/>
      <c r="H603" s="47"/>
      <c r="I603" s="75"/>
      <c r="J603" s="76"/>
      <c r="K603" s="76"/>
      <c r="L603" s="75"/>
      <c r="M603" s="49"/>
      <c r="N603" s="76"/>
      <c r="O603" s="49"/>
      <c r="P603" s="77"/>
      <c r="Q603" s="53"/>
      <c r="R603" s="54"/>
      <c r="S603" s="55"/>
      <c r="T603" s="56"/>
      <c r="U603" s="56"/>
      <c r="V603" s="42"/>
      <c r="W603" s="57"/>
      <c r="X603" s="58"/>
      <c r="Y603" s="75"/>
      <c r="Z603" s="59"/>
      <c r="AA603" s="61"/>
      <c r="AB603" s="61"/>
      <c r="AC603" s="61"/>
      <c r="AD603" s="62"/>
      <c r="AE603" s="62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</row>
    <row r="604" spans="1:77" x14ac:dyDescent="0.3">
      <c r="A604" s="39"/>
      <c r="B604" s="42"/>
      <c r="C604" s="42"/>
      <c r="D604" s="75"/>
      <c r="E604" s="75"/>
      <c r="F604" s="76"/>
      <c r="G604" s="47"/>
      <c r="H604" s="47"/>
      <c r="I604" s="75"/>
      <c r="J604" s="76"/>
      <c r="K604" s="76"/>
      <c r="L604" s="75"/>
      <c r="M604" s="49"/>
      <c r="N604" s="76"/>
      <c r="O604" s="49"/>
      <c r="P604" s="77"/>
      <c r="Q604" s="53"/>
      <c r="R604" s="54"/>
      <c r="S604" s="55"/>
      <c r="T604" s="56"/>
      <c r="U604" s="56"/>
      <c r="V604" s="42"/>
      <c r="W604" s="57"/>
      <c r="X604" s="58"/>
      <c r="Y604" s="75"/>
      <c r="Z604" s="59"/>
      <c r="AA604" s="61"/>
      <c r="AB604" s="61"/>
      <c r="AC604" s="61"/>
      <c r="AD604" s="62"/>
      <c r="AE604" s="62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</row>
    <row r="605" spans="1:77" x14ac:dyDescent="0.3">
      <c r="A605" s="39"/>
      <c r="B605" s="42"/>
      <c r="C605" s="42"/>
      <c r="D605" s="75"/>
      <c r="E605" s="75"/>
      <c r="F605" s="76"/>
      <c r="G605" s="47"/>
      <c r="H605" s="47"/>
      <c r="I605" s="75"/>
      <c r="J605" s="76"/>
      <c r="K605" s="76"/>
      <c r="L605" s="75"/>
      <c r="M605" s="49"/>
      <c r="N605" s="76"/>
      <c r="O605" s="49"/>
      <c r="P605" s="77"/>
      <c r="Q605" s="53"/>
      <c r="R605" s="54"/>
      <c r="S605" s="55"/>
      <c r="T605" s="56"/>
      <c r="U605" s="56"/>
      <c r="V605" s="42"/>
      <c r="W605" s="57"/>
      <c r="X605" s="58"/>
      <c r="Y605" s="75"/>
      <c r="Z605" s="59"/>
      <c r="AA605" s="61"/>
      <c r="AB605" s="61"/>
      <c r="AC605" s="61"/>
      <c r="AD605" s="62"/>
      <c r="AE605" s="62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</row>
    <row r="606" spans="1:77" x14ac:dyDescent="0.3">
      <c r="A606" s="39"/>
      <c r="B606" s="42"/>
      <c r="C606" s="42"/>
      <c r="D606" s="75"/>
      <c r="E606" s="75"/>
      <c r="F606" s="76"/>
      <c r="G606" s="47"/>
      <c r="H606" s="47"/>
      <c r="I606" s="75"/>
      <c r="J606" s="76"/>
      <c r="K606" s="76"/>
      <c r="L606" s="75"/>
      <c r="M606" s="49"/>
      <c r="N606" s="76"/>
      <c r="O606" s="49"/>
      <c r="P606" s="77"/>
      <c r="Q606" s="53"/>
      <c r="R606" s="54"/>
      <c r="S606" s="55"/>
      <c r="T606" s="56"/>
      <c r="U606" s="56"/>
      <c r="V606" s="42"/>
      <c r="W606" s="57"/>
      <c r="X606" s="58"/>
      <c r="Y606" s="75"/>
      <c r="Z606" s="59"/>
      <c r="AA606" s="61"/>
      <c r="AB606" s="61"/>
      <c r="AC606" s="61"/>
      <c r="AD606" s="62"/>
      <c r="AE606" s="62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</row>
    <row r="607" spans="1:77" x14ac:dyDescent="0.3">
      <c r="A607" s="39"/>
      <c r="B607" s="42"/>
      <c r="C607" s="42"/>
      <c r="D607" s="75"/>
      <c r="E607" s="75"/>
      <c r="F607" s="76"/>
      <c r="G607" s="47"/>
      <c r="H607" s="47"/>
      <c r="I607" s="75"/>
      <c r="J607" s="76"/>
      <c r="K607" s="76"/>
      <c r="L607" s="75"/>
      <c r="M607" s="49"/>
      <c r="N607" s="76"/>
      <c r="O607" s="49"/>
      <c r="P607" s="77"/>
      <c r="Q607" s="53"/>
      <c r="R607" s="54"/>
      <c r="S607" s="55"/>
      <c r="T607" s="56"/>
      <c r="U607" s="56"/>
      <c r="V607" s="42"/>
      <c r="W607" s="57"/>
      <c r="X607" s="58"/>
      <c r="Y607" s="75"/>
      <c r="Z607" s="59"/>
      <c r="AA607" s="61"/>
      <c r="AB607" s="61"/>
      <c r="AC607" s="61"/>
      <c r="AD607" s="62"/>
      <c r="AE607" s="62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</row>
    <row r="608" spans="1:77" x14ac:dyDescent="0.3">
      <c r="A608" s="39"/>
      <c r="B608" s="42"/>
      <c r="C608" s="42"/>
      <c r="D608" s="75"/>
      <c r="E608" s="75"/>
      <c r="F608" s="76"/>
      <c r="G608" s="47"/>
      <c r="H608" s="47"/>
      <c r="I608" s="75"/>
      <c r="J608" s="76"/>
      <c r="K608" s="76"/>
      <c r="L608" s="75"/>
      <c r="M608" s="49"/>
      <c r="N608" s="76"/>
      <c r="O608" s="49"/>
      <c r="P608" s="77"/>
      <c r="Q608" s="53"/>
      <c r="R608" s="54"/>
      <c r="S608" s="55"/>
      <c r="T608" s="56"/>
      <c r="U608" s="56"/>
      <c r="V608" s="42"/>
      <c r="W608" s="57"/>
      <c r="X608" s="58"/>
      <c r="Y608" s="75"/>
      <c r="Z608" s="59"/>
      <c r="AA608" s="61"/>
      <c r="AB608" s="61"/>
      <c r="AC608" s="61"/>
      <c r="AD608" s="62"/>
      <c r="AE608" s="62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</row>
    <row r="609" spans="1:77" x14ac:dyDescent="0.3">
      <c r="A609" s="39"/>
      <c r="B609" s="42"/>
      <c r="C609" s="42"/>
      <c r="D609" s="75"/>
      <c r="E609" s="75"/>
      <c r="F609" s="76"/>
      <c r="G609" s="47"/>
      <c r="H609" s="47"/>
      <c r="I609" s="75"/>
      <c r="J609" s="76"/>
      <c r="K609" s="76"/>
      <c r="L609" s="75"/>
      <c r="M609" s="49"/>
      <c r="N609" s="76"/>
      <c r="O609" s="49"/>
      <c r="P609" s="77"/>
      <c r="Q609" s="53"/>
      <c r="R609" s="54"/>
      <c r="S609" s="55"/>
      <c r="T609" s="56"/>
      <c r="U609" s="56"/>
      <c r="V609" s="42"/>
      <c r="W609" s="57"/>
      <c r="X609" s="58"/>
      <c r="Y609" s="75"/>
      <c r="Z609" s="59"/>
      <c r="AA609" s="61"/>
      <c r="AB609" s="61"/>
      <c r="AC609" s="61"/>
      <c r="AD609" s="62"/>
      <c r="AE609" s="62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</row>
    <row r="610" spans="1:77" x14ac:dyDescent="0.3">
      <c r="A610" s="39"/>
      <c r="B610" s="42"/>
      <c r="C610" s="42"/>
      <c r="D610" s="75"/>
      <c r="E610" s="75"/>
      <c r="F610" s="76"/>
      <c r="G610" s="47"/>
      <c r="H610" s="47"/>
      <c r="I610" s="75"/>
      <c r="J610" s="76"/>
      <c r="K610" s="76"/>
      <c r="L610" s="75"/>
      <c r="M610" s="49"/>
      <c r="N610" s="76"/>
      <c r="O610" s="49"/>
      <c r="P610" s="77"/>
      <c r="Q610" s="53"/>
      <c r="R610" s="54"/>
      <c r="S610" s="55"/>
      <c r="T610" s="56"/>
      <c r="U610" s="56"/>
      <c r="V610" s="42"/>
      <c r="W610" s="57"/>
      <c r="X610" s="58"/>
      <c r="Y610" s="75"/>
      <c r="Z610" s="59"/>
      <c r="AA610" s="61"/>
      <c r="AB610" s="61"/>
      <c r="AC610" s="61"/>
      <c r="AD610" s="62"/>
      <c r="AE610" s="62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</row>
    <row r="611" spans="1:77" x14ac:dyDescent="0.3">
      <c r="A611" s="39"/>
      <c r="B611" s="42"/>
      <c r="C611" s="42"/>
      <c r="D611" s="75"/>
      <c r="E611" s="75"/>
      <c r="F611" s="76"/>
      <c r="G611" s="47"/>
      <c r="H611" s="47"/>
      <c r="I611" s="75"/>
      <c r="J611" s="76"/>
      <c r="K611" s="76"/>
      <c r="L611" s="75"/>
      <c r="M611" s="49"/>
      <c r="N611" s="76"/>
      <c r="O611" s="49"/>
      <c r="P611" s="77"/>
      <c r="Q611" s="53"/>
      <c r="R611" s="54"/>
      <c r="S611" s="55"/>
      <c r="T611" s="56"/>
      <c r="U611" s="56"/>
      <c r="V611" s="42"/>
      <c r="W611" s="57"/>
      <c r="X611" s="58"/>
      <c r="Y611" s="75"/>
      <c r="Z611" s="59"/>
      <c r="AA611" s="61"/>
      <c r="AB611" s="61"/>
      <c r="AC611" s="61"/>
      <c r="AD611" s="62"/>
      <c r="AE611" s="62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</row>
    <row r="612" spans="1:77" x14ac:dyDescent="0.3">
      <c r="A612" s="39"/>
      <c r="B612" s="42"/>
      <c r="C612" s="42"/>
      <c r="D612" s="75"/>
      <c r="E612" s="75"/>
      <c r="F612" s="76"/>
      <c r="G612" s="47"/>
      <c r="H612" s="47"/>
      <c r="I612" s="75"/>
      <c r="J612" s="76"/>
      <c r="K612" s="76"/>
      <c r="L612" s="75"/>
      <c r="M612" s="49"/>
      <c r="N612" s="76"/>
      <c r="O612" s="49"/>
      <c r="P612" s="77"/>
      <c r="Q612" s="53"/>
      <c r="R612" s="54"/>
      <c r="S612" s="55"/>
      <c r="T612" s="56"/>
      <c r="U612" s="56"/>
      <c r="V612" s="42"/>
      <c r="W612" s="57"/>
      <c r="X612" s="58"/>
      <c r="Y612" s="75"/>
      <c r="Z612" s="59"/>
      <c r="AA612" s="61"/>
      <c r="AB612" s="61"/>
      <c r="AC612" s="61"/>
      <c r="AD612" s="62"/>
      <c r="AE612" s="62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</row>
    <row r="613" spans="1:77" x14ac:dyDescent="0.3">
      <c r="A613" s="39"/>
      <c r="B613" s="42"/>
      <c r="C613" s="42"/>
      <c r="D613" s="75"/>
      <c r="E613" s="75"/>
      <c r="F613" s="76"/>
      <c r="G613" s="47"/>
      <c r="H613" s="47"/>
      <c r="I613" s="75"/>
      <c r="J613" s="76"/>
      <c r="K613" s="76"/>
      <c r="L613" s="75"/>
      <c r="M613" s="49"/>
      <c r="N613" s="76"/>
      <c r="O613" s="49"/>
      <c r="P613" s="77"/>
      <c r="Q613" s="53"/>
      <c r="R613" s="54"/>
      <c r="S613" s="55"/>
      <c r="T613" s="56"/>
      <c r="U613" s="56"/>
      <c r="V613" s="42"/>
      <c r="W613" s="57"/>
      <c r="X613" s="58"/>
      <c r="Y613" s="75"/>
      <c r="Z613" s="59"/>
      <c r="AA613" s="61"/>
      <c r="AB613" s="61"/>
      <c r="AC613" s="61"/>
      <c r="AD613" s="62"/>
      <c r="AE613" s="62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</row>
    <row r="614" spans="1:77" x14ac:dyDescent="0.3">
      <c r="A614" s="39"/>
      <c r="B614" s="42"/>
      <c r="C614" s="42"/>
      <c r="D614" s="75"/>
      <c r="E614" s="75"/>
      <c r="F614" s="76"/>
      <c r="G614" s="47"/>
      <c r="H614" s="47"/>
      <c r="I614" s="75"/>
      <c r="J614" s="76"/>
      <c r="K614" s="76"/>
      <c r="L614" s="75"/>
      <c r="M614" s="49"/>
      <c r="N614" s="76"/>
      <c r="O614" s="49"/>
      <c r="P614" s="77"/>
      <c r="Q614" s="53"/>
      <c r="R614" s="54"/>
      <c r="S614" s="55"/>
      <c r="T614" s="56"/>
      <c r="U614" s="56"/>
      <c r="V614" s="42"/>
      <c r="W614" s="57"/>
      <c r="X614" s="58"/>
      <c r="Y614" s="75"/>
      <c r="Z614" s="59"/>
      <c r="AA614" s="61"/>
      <c r="AB614" s="61"/>
      <c r="AC614" s="61"/>
      <c r="AD614" s="62"/>
      <c r="AE614" s="62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</row>
    <row r="615" spans="1:77" x14ac:dyDescent="0.3">
      <c r="A615" s="39"/>
      <c r="B615" s="42"/>
      <c r="C615" s="42"/>
      <c r="D615" s="75"/>
      <c r="E615" s="75"/>
      <c r="F615" s="76"/>
      <c r="G615" s="47"/>
      <c r="H615" s="47"/>
      <c r="I615" s="75"/>
      <c r="J615" s="76"/>
      <c r="K615" s="76"/>
      <c r="L615" s="75"/>
      <c r="M615" s="49"/>
      <c r="N615" s="76"/>
      <c r="O615" s="49"/>
      <c r="P615" s="77"/>
      <c r="Q615" s="53"/>
      <c r="R615" s="54"/>
      <c r="S615" s="55"/>
      <c r="T615" s="56"/>
      <c r="U615" s="56"/>
      <c r="V615" s="42"/>
      <c r="W615" s="57"/>
      <c r="X615" s="58"/>
      <c r="Y615" s="75"/>
      <c r="Z615" s="59"/>
      <c r="AA615" s="61"/>
      <c r="AB615" s="61"/>
      <c r="AC615" s="61"/>
      <c r="AD615" s="62"/>
      <c r="AE615" s="62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</row>
    <row r="616" spans="1:77" x14ac:dyDescent="0.3">
      <c r="A616" s="39"/>
      <c r="B616" s="42"/>
      <c r="C616" s="42"/>
      <c r="D616" s="75"/>
      <c r="E616" s="75"/>
      <c r="F616" s="76"/>
      <c r="G616" s="47"/>
      <c r="H616" s="47"/>
      <c r="I616" s="75"/>
      <c r="J616" s="76"/>
      <c r="K616" s="76"/>
      <c r="L616" s="75"/>
      <c r="M616" s="49"/>
      <c r="N616" s="76"/>
      <c r="O616" s="49"/>
      <c r="P616" s="77"/>
      <c r="Q616" s="53"/>
      <c r="R616" s="54"/>
      <c r="S616" s="55"/>
      <c r="T616" s="56"/>
      <c r="U616" s="56"/>
      <c r="V616" s="42"/>
      <c r="W616" s="57"/>
      <c r="X616" s="58"/>
      <c r="Y616" s="75"/>
      <c r="Z616" s="59"/>
      <c r="AA616" s="61"/>
      <c r="AB616" s="61"/>
      <c r="AC616" s="61"/>
      <c r="AD616" s="62"/>
      <c r="AE616" s="62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</row>
    <row r="617" spans="1:77" x14ac:dyDescent="0.3">
      <c r="A617" s="39"/>
      <c r="B617" s="42"/>
      <c r="C617" s="42"/>
      <c r="D617" s="75"/>
      <c r="E617" s="75"/>
      <c r="F617" s="76"/>
      <c r="G617" s="47"/>
      <c r="H617" s="47"/>
      <c r="I617" s="75"/>
      <c r="J617" s="76"/>
      <c r="K617" s="76"/>
      <c r="L617" s="75"/>
      <c r="M617" s="49"/>
      <c r="N617" s="76"/>
      <c r="O617" s="49"/>
      <c r="P617" s="77"/>
      <c r="Q617" s="53"/>
      <c r="R617" s="54"/>
      <c r="S617" s="55"/>
      <c r="T617" s="56"/>
      <c r="U617" s="56"/>
      <c r="V617" s="42"/>
      <c r="W617" s="57"/>
      <c r="X617" s="58"/>
      <c r="Y617" s="75"/>
      <c r="Z617" s="59"/>
      <c r="AA617" s="61"/>
      <c r="AB617" s="61"/>
      <c r="AC617" s="61"/>
      <c r="AD617" s="62"/>
      <c r="AE617" s="62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</row>
    <row r="618" spans="1:77" x14ac:dyDescent="0.3">
      <c r="A618" s="39"/>
      <c r="B618" s="42"/>
      <c r="C618" s="42"/>
      <c r="D618" s="75"/>
      <c r="E618" s="75"/>
      <c r="F618" s="76"/>
      <c r="G618" s="47"/>
      <c r="H618" s="47"/>
      <c r="I618" s="75"/>
      <c r="J618" s="76"/>
      <c r="K618" s="76"/>
      <c r="L618" s="75"/>
      <c r="M618" s="49"/>
      <c r="N618" s="76"/>
      <c r="O618" s="49"/>
      <c r="P618" s="77"/>
      <c r="Q618" s="53"/>
      <c r="R618" s="54"/>
      <c r="S618" s="55"/>
      <c r="T618" s="56"/>
      <c r="U618" s="56"/>
      <c r="V618" s="42"/>
      <c r="W618" s="57"/>
      <c r="X618" s="58"/>
      <c r="Y618" s="75"/>
      <c r="Z618" s="59"/>
      <c r="AA618" s="61"/>
      <c r="AB618" s="61"/>
      <c r="AC618" s="61"/>
      <c r="AD618" s="62"/>
      <c r="AE618" s="62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</row>
    <row r="619" spans="1:77" x14ac:dyDescent="0.3">
      <c r="A619" s="39"/>
      <c r="B619" s="42"/>
      <c r="C619" s="42"/>
      <c r="D619" s="75"/>
      <c r="E619" s="75"/>
      <c r="F619" s="76"/>
      <c r="G619" s="47"/>
      <c r="H619" s="47"/>
      <c r="I619" s="75"/>
      <c r="J619" s="76"/>
      <c r="K619" s="76"/>
      <c r="L619" s="75"/>
      <c r="M619" s="49"/>
      <c r="N619" s="76"/>
      <c r="O619" s="49"/>
      <c r="P619" s="77"/>
      <c r="Q619" s="53"/>
      <c r="R619" s="54"/>
      <c r="S619" s="55"/>
      <c r="T619" s="56"/>
      <c r="U619" s="56"/>
      <c r="V619" s="42"/>
      <c r="W619" s="57"/>
      <c r="X619" s="58"/>
      <c r="Y619" s="75"/>
      <c r="Z619" s="59"/>
      <c r="AA619" s="61"/>
      <c r="AB619" s="61"/>
      <c r="AC619" s="61"/>
      <c r="AD619" s="62"/>
      <c r="AE619" s="62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</row>
    <row r="620" spans="1:77" x14ac:dyDescent="0.3">
      <c r="A620" s="39"/>
      <c r="B620" s="42"/>
      <c r="C620" s="42"/>
      <c r="D620" s="75"/>
      <c r="E620" s="75"/>
      <c r="F620" s="76"/>
      <c r="G620" s="47"/>
      <c r="H620" s="47"/>
      <c r="I620" s="75"/>
      <c r="J620" s="76"/>
      <c r="K620" s="76"/>
      <c r="L620" s="75"/>
      <c r="M620" s="49"/>
      <c r="N620" s="76"/>
      <c r="O620" s="49"/>
      <c r="P620" s="77"/>
      <c r="Q620" s="53"/>
      <c r="R620" s="54"/>
      <c r="S620" s="55"/>
      <c r="T620" s="56"/>
      <c r="U620" s="56"/>
      <c r="V620" s="42"/>
      <c r="W620" s="57"/>
      <c r="X620" s="58"/>
      <c r="Y620" s="75"/>
      <c r="Z620" s="59"/>
      <c r="AA620" s="61"/>
      <c r="AB620" s="61"/>
      <c r="AC620" s="61"/>
      <c r="AD620" s="62"/>
      <c r="AE620" s="62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</row>
    <row r="621" spans="1:77" x14ac:dyDescent="0.3">
      <c r="A621" s="39"/>
      <c r="B621" s="42"/>
      <c r="C621" s="42"/>
      <c r="D621" s="75"/>
      <c r="E621" s="75"/>
      <c r="F621" s="76"/>
      <c r="G621" s="47"/>
      <c r="H621" s="47"/>
      <c r="I621" s="75"/>
      <c r="J621" s="76"/>
      <c r="K621" s="76"/>
      <c r="L621" s="75"/>
      <c r="M621" s="49"/>
      <c r="N621" s="76"/>
      <c r="O621" s="49"/>
      <c r="P621" s="77"/>
      <c r="Q621" s="53"/>
      <c r="R621" s="54"/>
      <c r="S621" s="55"/>
      <c r="T621" s="56"/>
      <c r="U621" s="56"/>
      <c r="V621" s="42"/>
      <c r="W621" s="57"/>
      <c r="X621" s="58"/>
      <c r="Y621" s="75"/>
      <c r="Z621" s="59"/>
      <c r="AA621" s="61"/>
      <c r="AB621" s="61"/>
      <c r="AC621" s="61"/>
      <c r="AD621" s="62"/>
      <c r="AE621" s="62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</row>
    <row r="622" spans="1:77" x14ac:dyDescent="0.3">
      <c r="A622" s="39"/>
      <c r="B622" s="42"/>
      <c r="C622" s="42"/>
      <c r="D622" s="75"/>
      <c r="E622" s="75"/>
      <c r="F622" s="76"/>
      <c r="G622" s="47"/>
      <c r="H622" s="47"/>
      <c r="I622" s="75"/>
      <c r="J622" s="76"/>
      <c r="K622" s="76"/>
      <c r="L622" s="75"/>
      <c r="M622" s="49"/>
      <c r="N622" s="76"/>
      <c r="O622" s="49"/>
      <c r="P622" s="77"/>
      <c r="Q622" s="53"/>
      <c r="R622" s="54"/>
      <c r="S622" s="55"/>
      <c r="T622" s="56"/>
      <c r="U622" s="56"/>
      <c r="V622" s="42"/>
      <c r="W622" s="57"/>
      <c r="X622" s="58"/>
      <c r="Y622" s="75"/>
      <c r="Z622" s="59"/>
      <c r="AA622" s="61"/>
      <c r="AB622" s="61"/>
      <c r="AC622" s="61"/>
      <c r="AD622" s="62"/>
      <c r="AE622" s="62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</row>
    <row r="623" spans="1:77" x14ac:dyDescent="0.3">
      <c r="A623" s="39"/>
      <c r="B623" s="42"/>
      <c r="C623" s="42"/>
      <c r="D623" s="75"/>
      <c r="E623" s="75"/>
      <c r="F623" s="76"/>
      <c r="G623" s="47"/>
      <c r="H623" s="47"/>
      <c r="I623" s="75"/>
      <c r="J623" s="76"/>
      <c r="K623" s="76"/>
      <c r="L623" s="75"/>
      <c r="M623" s="49"/>
      <c r="N623" s="76"/>
      <c r="O623" s="49"/>
      <c r="P623" s="77"/>
      <c r="Q623" s="53"/>
      <c r="R623" s="54"/>
      <c r="S623" s="55"/>
      <c r="T623" s="56"/>
      <c r="U623" s="56"/>
      <c r="V623" s="42"/>
      <c r="W623" s="57"/>
      <c r="X623" s="58"/>
      <c r="Y623" s="75"/>
      <c r="Z623" s="59"/>
      <c r="AA623" s="61"/>
      <c r="AB623" s="61"/>
      <c r="AC623" s="61"/>
      <c r="AD623" s="62"/>
      <c r="AE623" s="62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</row>
    <row r="624" spans="1:77" x14ac:dyDescent="0.3">
      <c r="A624" s="39"/>
      <c r="B624" s="42"/>
      <c r="C624" s="42"/>
      <c r="D624" s="75"/>
      <c r="E624" s="75"/>
      <c r="F624" s="76"/>
      <c r="G624" s="47"/>
      <c r="H624" s="47"/>
      <c r="I624" s="75"/>
      <c r="J624" s="76"/>
      <c r="K624" s="76"/>
      <c r="L624" s="75"/>
      <c r="M624" s="49"/>
      <c r="N624" s="76"/>
      <c r="O624" s="49"/>
      <c r="P624" s="77"/>
      <c r="Q624" s="53"/>
      <c r="R624" s="54"/>
      <c r="S624" s="55"/>
      <c r="T624" s="56"/>
      <c r="U624" s="56"/>
      <c r="V624" s="42"/>
      <c r="W624" s="57"/>
      <c r="X624" s="58"/>
      <c r="Y624" s="75"/>
      <c r="Z624" s="59"/>
      <c r="AA624" s="61"/>
      <c r="AB624" s="61"/>
      <c r="AC624" s="61"/>
      <c r="AD624" s="62"/>
      <c r="AE624" s="62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</row>
    <row r="625" spans="1:77" x14ac:dyDescent="0.3">
      <c r="A625" s="39"/>
      <c r="B625" s="42"/>
      <c r="C625" s="42"/>
      <c r="D625" s="75"/>
      <c r="E625" s="75"/>
      <c r="F625" s="76"/>
      <c r="G625" s="47"/>
      <c r="H625" s="47"/>
      <c r="I625" s="75"/>
      <c r="J625" s="76"/>
      <c r="K625" s="76"/>
      <c r="L625" s="75"/>
      <c r="M625" s="49"/>
      <c r="N625" s="76"/>
      <c r="O625" s="49"/>
      <c r="P625" s="77"/>
      <c r="Q625" s="53"/>
      <c r="R625" s="54"/>
      <c r="S625" s="55"/>
      <c r="T625" s="56"/>
      <c r="U625" s="56"/>
      <c r="V625" s="42"/>
      <c r="W625" s="57"/>
      <c r="X625" s="58"/>
      <c r="Y625" s="75"/>
      <c r="Z625" s="59"/>
      <c r="AA625" s="61"/>
      <c r="AB625" s="61"/>
      <c r="AC625" s="61"/>
      <c r="AD625" s="62"/>
      <c r="AE625" s="62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</row>
    <row r="626" spans="1:77" x14ac:dyDescent="0.3">
      <c r="A626" s="39"/>
      <c r="B626" s="42"/>
      <c r="C626" s="42"/>
      <c r="D626" s="75"/>
      <c r="E626" s="75"/>
      <c r="F626" s="76"/>
      <c r="G626" s="47"/>
      <c r="H626" s="47"/>
      <c r="I626" s="75"/>
      <c r="J626" s="76"/>
      <c r="K626" s="76"/>
      <c r="L626" s="75"/>
      <c r="M626" s="49"/>
      <c r="N626" s="76"/>
      <c r="O626" s="49"/>
      <c r="P626" s="77"/>
      <c r="Q626" s="53"/>
      <c r="R626" s="54"/>
      <c r="S626" s="55"/>
      <c r="T626" s="56"/>
      <c r="U626" s="56"/>
      <c r="V626" s="42"/>
      <c r="W626" s="57"/>
      <c r="X626" s="58"/>
      <c r="Y626" s="75"/>
      <c r="Z626" s="59"/>
      <c r="AA626" s="61"/>
      <c r="AB626" s="61"/>
      <c r="AC626" s="61"/>
      <c r="AD626" s="62"/>
      <c r="AE626" s="62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</row>
    <row r="627" spans="1:77" x14ac:dyDescent="0.3">
      <c r="A627" s="39"/>
      <c r="B627" s="42"/>
      <c r="C627" s="42"/>
      <c r="D627" s="75"/>
      <c r="E627" s="75"/>
      <c r="F627" s="76"/>
      <c r="G627" s="47"/>
      <c r="H627" s="47"/>
      <c r="I627" s="75"/>
      <c r="J627" s="76"/>
      <c r="K627" s="76"/>
      <c r="L627" s="75"/>
      <c r="M627" s="49"/>
      <c r="N627" s="76"/>
      <c r="O627" s="49"/>
      <c r="P627" s="77"/>
      <c r="Q627" s="53"/>
      <c r="R627" s="54"/>
      <c r="S627" s="55"/>
      <c r="T627" s="56"/>
      <c r="U627" s="56"/>
      <c r="V627" s="42"/>
      <c r="W627" s="57"/>
      <c r="X627" s="58"/>
      <c r="Y627" s="75"/>
      <c r="Z627" s="59"/>
      <c r="AA627" s="61"/>
      <c r="AB627" s="61"/>
      <c r="AC627" s="61"/>
      <c r="AD627" s="62"/>
      <c r="AE627" s="62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</row>
    <row r="628" spans="1:77" x14ac:dyDescent="0.3">
      <c r="A628" s="39"/>
      <c r="B628" s="42"/>
      <c r="C628" s="42"/>
      <c r="D628" s="75"/>
      <c r="E628" s="75"/>
      <c r="F628" s="76"/>
      <c r="G628" s="47"/>
      <c r="H628" s="47"/>
      <c r="I628" s="75"/>
      <c r="J628" s="76"/>
      <c r="K628" s="76"/>
      <c r="L628" s="75"/>
      <c r="M628" s="49"/>
      <c r="N628" s="76"/>
      <c r="O628" s="49"/>
      <c r="P628" s="77"/>
      <c r="Q628" s="53"/>
      <c r="R628" s="54"/>
      <c r="S628" s="55"/>
      <c r="T628" s="56"/>
      <c r="U628" s="56"/>
      <c r="V628" s="42"/>
      <c r="W628" s="57"/>
      <c r="X628" s="58"/>
      <c r="Y628" s="75"/>
      <c r="Z628" s="59"/>
      <c r="AA628" s="61"/>
      <c r="AB628" s="61"/>
      <c r="AC628" s="61"/>
      <c r="AD628" s="62"/>
      <c r="AE628" s="62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</row>
    <row r="629" spans="1:77" x14ac:dyDescent="0.3">
      <c r="A629" s="39"/>
      <c r="B629" s="42"/>
      <c r="C629" s="42"/>
      <c r="D629" s="75"/>
      <c r="E629" s="75"/>
      <c r="F629" s="76"/>
      <c r="G629" s="47"/>
      <c r="H629" s="47"/>
      <c r="I629" s="75"/>
      <c r="J629" s="76"/>
      <c r="K629" s="76"/>
      <c r="L629" s="75"/>
      <c r="M629" s="49"/>
      <c r="N629" s="76"/>
      <c r="O629" s="49"/>
      <c r="P629" s="77"/>
      <c r="Q629" s="53"/>
      <c r="R629" s="54"/>
      <c r="S629" s="55"/>
      <c r="T629" s="56"/>
      <c r="U629" s="56"/>
      <c r="V629" s="42"/>
      <c r="W629" s="57"/>
      <c r="X629" s="58"/>
      <c r="Y629" s="75"/>
      <c r="Z629" s="59"/>
      <c r="AA629" s="61"/>
      <c r="AB629" s="61"/>
      <c r="AC629" s="61"/>
      <c r="AD629" s="62"/>
      <c r="AE629" s="62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</row>
    <row r="630" spans="1:77" x14ac:dyDescent="0.3">
      <c r="A630" s="39"/>
      <c r="B630" s="42"/>
      <c r="C630" s="42"/>
      <c r="D630" s="75"/>
      <c r="E630" s="75"/>
      <c r="F630" s="76"/>
      <c r="G630" s="47"/>
      <c r="H630" s="47"/>
      <c r="I630" s="75"/>
      <c r="J630" s="76"/>
      <c r="K630" s="76"/>
      <c r="L630" s="75"/>
      <c r="M630" s="49"/>
      <c r="N630" s="76"/>
      <c r="O630" s="49"/>
      <c r="P630" s="77"/>
      <c r="Q630" s="53"/>
      <c r="R630" s="54"/>
      <c r="S630" s="55"/>
      <c r="T630" s="56"/>
      <c r="U630" s="56"/>
      <c r="V630" s="42"/>
      <c r="W630" s="57"/>
      <c r="X630" s="58"/>
      <c r="Y630" s="75"/>
      <c r="Z630" s="59"/>
      <c r="AA630" s="61"/>
      <c r="AB630" s="61"/>
      <c r="AC630" s="61"/>
      <c r="AD630" s="62"/>
      <c r="AE630" s="62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</row>
    <row r="631" spans="1:77" x14ac:dyDescent="0.3">
      <c r="A631" s="39"/>
      <c r="B631" s="42"/>
      <c r="C631" s="42"/>
      <c r="D631" s="75"/>
      <c r="E631" s="75"/>
      <c r="F631" s="76"/>
      <c r="G631" s="47"/>
      <c r="H631" s="47"/>
      <c r="I631" s="75"/>
      <c r="J631" s="76"/>
      <c r="K631" s="76"/>
      <c r="L631" s="75"/>
      <c r="M631" s="49"/>
      <c r="N631" s="76"/>
      <c r="O631" s="49"/>
      <c r="P631" s="77"/>
      <c r="Q631" s="53"/>
      <c r="R631" s="54"/>
      <c r="S631" s="55"/>
      <c r="T631" s="56"/>
      <c r="U631" s="56"/>
      <c r="V631" s="42"/>
      <c r="W631" s="57"/>
      <c r="X631" s="58"/>
      <c r="Y631" s="75"/>
      <c r="Z631" s="59"/>
      <c r="AA631" s="61"/>
      <c r="AB631" s="61"/>
      <c r="AC631" s="61"/>
      <c r="AD631" s="62"/>
      <c r="AE631" s="62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</row>
    <row r="632" spans="1:77" x14ac:dyDescent="0.3">
      <c r="A632" s="39"/>
      <c r="B632" s="42"/>
      <c r="C632" s="42"/>
      <c r="D632" s="75"/>
      <c r="E632" s="75"/>
      <c r="F632" s="76"/>
      <c r="G632" s="47"/>
      <c r="H632" s="47"/>
      <c r="I632" s="75"/>
      <c r="J632" s="76"/>
      <c r="K632" s="76"/>
      <c r="L632" s="75"/>
      <c r="M632" s="49"/>
      <c r="N632" s="76"/>
      <c r="O632" s="49"/>
      <c r="P632" s="77"/>
      <c r="Q632" s="53"/>
      <c r="R632" s="54"/>
      <c r="S632" s="55"/>
      <c r="T632" s="56"/>
      <c r="U632" s="56"/>
      <c r="V632" s="42"/>
      <c r="W632" s="57"/>
      <c r="X632" s="58"/>
      <c r="Y632" s="75"/>
      <c r="Z632" s="59"/>
      <c r="AA632" s="61"/>
      <c r="AB632" s="61"/>
      <c r="AC632" s="61"/>
      <c r="AD632" s="62"/>
      <c r="AE632" s="62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</row>
    <row r="633" spans="1:77" x14ac:dyDescent="0.3">
      <c r="A633" s="39"/>
      <c r="B633" s="42"/>
      <c r="C633" s="42"/>
      <c r="D633" s="75"/>
      <c r="E633" s="75"/>
      <c r="F633" s="76"/>
      <c r="G633" s="47"/>
      <c r="H633" s="47"/>
      <c r="I633" s="75"/>
      <c r="J633" s="76"/>
      <c r="K633" s="76"/>
      <c r="L633" s="75"/>
      <c r="M633" s="49"/>
      <c r="N633" s="76"/>
      <c r="O633" s="49"/>
      <c r="P633" s="77"/>
      <c r="Q633" s="53"/>
      <c r="R633" s="54"/>
      <c r="S633" s="55"/>
      <c r="T633" s="56"/>
      <c r="U633" s="56"/>
      <c r="V633" s="42"/>
      <c r="W633" s="57"/>
      <c r="X633" s="58"/>
      <c r="Y633" s="75"/>
      <c r="Z633" s="59"/>
      <c r="AA633" s="61"/>
      <c r="AB633" s="61"/>
      <c r="AC633" s="61"/>
      <c r="AD633" s="62"/>
      <c r="AE633" s="62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</row>
    <row r="634" spans="1:77" x14ac:dyDescent="0.3">
      <c r="A634" s="39"/>
      <c r="B634" s="42"/>
      <c r="C634" s="42"/>
      <c r="D634" s="75"/>
      <c r="E634" s="75"/>
      <c r="F634" s="76"/>
      <c r="G634" s="47"/>
      <c r="H634" s="47"/>
      <c r="I634" s="75"/>
      <c r="J634" s="76"/>
      <c r="K634" s="76"/>
      <c r="L634" s="75"/>
      <c r="M634" s="49"/>
      <c r="N634" s="76"/>
      <c r="O634" s="49"/>
      <c r="P634" s="77"/>
      <c r="Q634" s="53"/>
      <c r="R634" s="54"/>
      <c r="S634" s="55"/>
      <c r="T634" s="56"/>
      <c r="U634" s="56"/>
      <c r="V634" s="42"/>
      <c r="W634" s="57"/>
      <c r="X634" s="58"/>
      <c r="Y634" s="75"/>
      <c r="Z634" s="59"/>
      <c r="AA634" s="61"/>
      <c r="AB634" s="61"/>
      <c r="AC634" s="61"/>
      <c r="AD634" s="62"/>
      <c r="AE634" s="62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</row>
    <row r="635" spans="1:77" x14ac:dyDescent="0.3">
      <c r="A635" s="39"/>
      <c r="B635" s="42"/>
      <c r="C635" s="42"/>
      <c r="D635" s="75"/>
      <c r="E635" s="75"/>
      <c r="F635" s="76"/>
      <c r="G635" s="47"/>
      <c r="H635" s="47"/>
      <c r="I635" s="75"/>
      <c r="J635" s="76"/>
      <c r="K635" s="76"/>
      <c r="L635" s="75"/>
      <c r="M635" s="49"/>
      <c r="N635" s="76"/>
      <c r="O635" s="49"/>
      <c r="P635" s="77"/>
      <c r="Q635" s="53"/>
      <c r="R635" s="54"/>
      <c r="S635" s="55"/>
      <c r="T635" s="56"/>
      <c r="U635" s="56"/>
      <c r="V635" s="42"/>
      <c r="W635" s="57"/>
      <c r="X635" s="58"/>
      <c r="Y635" s="75"/>
      <c r="Z635" s="59"/>
      <c r="AA635" s="61"/>
      <c r="AB635" s="61"/>
      <c r="AC635" s="61"/>
      <c r="AD635" s="62"/>
      <c r="AE635" s="62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</row>
    <row r="636" spans="1:77" x14ac:dyDescent="0.3">
      <c r="A636" s="39"/>
      <c r="B636" s="42"/>
      <c r="C636" s="42"/>
      <c r="D636" s="75"/>
      <c r="E636" s="75"/>
      <c r="F636" s="76"/>
      <c r="G636" s="47"/>
      <c r="H636" s="47"/>
      <c r="I636" s="75"/>
      <c r="J636" s="76"/>
      <c r="K636" s="76"/>
      <c r="L636" s="75"/>
      <c r="M636" s="49"/>
      <c r="N636" s="76"/>
      <c r="O636" s="49"/>
      <c r="P636" s="77"/>
      <c r="Q636" s="53"/>
      <c r="R636" s="54"/>
      <c r="S636" s="55"/>
      <c r="T636" s="56"/>
      <c r="U636" s="56"/>
      <c r="V636" s="42"/>
      <c r="W636" s="57"/>
      <c r="X636" s="58"/>
      <c r="Y636" s="75"/>
      <c r="Z636" s="59"/>
      <c r="AA636" s="61"/>
      <c r="AB636" s="61"/>
      <c r="AC636" s="61"/>
      <c r="AD636" s="62"/>
      <c r="AE636" s="62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</row>
    <row r="637" spans="1:77" x14ac:dyDescent="0.3">
      <c r="A637" s="39"/>
      <c r="B637" s="42"/>
      <c r="C637" s="42"/>
      <c r="D637" s="75"/>
      <c r="E637" s="75"/>
      <c r="F637" s="76"/>
      <c r="G637" s="47"/>
      <c r="H637" s="47"/>
      <c r="I637" s="75"/>
      <c r="J637" s="76"/>
      <c r="K637" s="76"/>
      <c r="L637" s="75"/>
      <c r="M637" s="49"/>
      <c r="N637" s="76"/>
      <c r="O637" s="49"/>
      <c r="P637" s="77"/>
      <c r="Q637" s="53"/>
      <c r="R637" s="54"/>
      <c r="S637" s="55"/>
      <c r="T637" s="56"/>
      <c r="U637" s="56"/>
      <c r="V637" s="42"/>
      <c r="W637" s="57"/>
      <c r="X637" s="58"/>
      <c r="Y637" s="75"/>
      <c r="Z637" s="59"/>
      <c r="AA637" s="61"/>
      <c r="AB637" s="61"/>
      <c r="AC637" s="61"/>
      <c r="AD637" s="62"/>
      <c r="AE637" s="62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</row>
    <row r="638" spans="1:77" x14ac:dyDescent="0.3">
      <c r="A638" s="39"/>
      <c r="B638" s="42"/>
      <c r="C638" s="42"/>
      <c r="D638" s="75"/>
      <c r="E638" s="75"/>
      <c r="F638" s="76"/>
      <c r="G638" s="47"/>
      <c r="H638" s="47"/>
      <c r="I638" s="75"/>
      <c r="J638" s="76"/>
      <c r="K638" s="76"/>
      <c r="L638" s="75"/>
      <c r="M638" s="49"/>
      <c r="N638" s="76"/>
      <c r="O638" s="49"/>
      <c r="P638" s="77"/>
      <c r="Q638" s="53"/>
      <c r="R638" s="54"/>
      <c r="S638" s="55"/>
      <c r="T638" s="56"/>
      <c r="U638" s="56"/>
      <c r="V638" s="42"/>
      <c r="W638" s="57"/>
      <c r="X638" s="58"/>
      <c r="Y638" s="75"/>
      <c r="Z638" s="59"/>
      <c r="AA638" s="61"/>
      <c r="AB638" s="61"/>
      <c r="AC638" s="61"/>
      <c r="AD638" s="62"/>
      <c r="AE638" s="62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</row>
    <row r="639" spans="1:77" x14ac:dyDescent="0.3">
      <c r="A639" s="39"/>
      <c r="B639" s="42"/>
      <c r="C639" s="42"/>
      <c r="D639" s="75"/>
      <c r="E639" s="75"/>
      <c r="F639" s="76"/>
      <c r="G639" s="47"/>
      <c r="H639" s="47"/>
      <c r="I639" s="75"/>
      <c r="J639" s="76"/>
      <c r="K639" s="76"/>
      <c r="L639" s="75"/>
      <c r="M639" s="49"/>
      <c r="N639" s="76"/>
      <c r="O639" s="49"/>
      <c r="P639" s="77"/>
      <c r="Q639" s="53"/>
      <c r="R639" s="54"/>
      <c r="S639" s="55"/>
      <c r="T639" s="56"/>
      <c r="U639" s="56"/>
      <c r="V639" s="42"/>
      <c r="W639" s="57"/>
      <c r="X639" s="58"/>
      <c r="Y639" s="75"/>
      <c r="Z639" s="59"/>
      <c r="AA639" s="61"/>
      <c r="AB639" s="61"/>
      <c r="AC639" s="61"/>
      <c r="AD639" s="62"/>
      <c r="AE639" s="62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</row>
    <row r="640" spans="1:77" x14ac:dyDescent="0.3">
      <c r="A640" s="39"/>
      <c r="B640" s="42"/>
      <c r="C640" s="42"/>
      <c r="D640" s="75"/>
      <c r="E640" s="75"/>
      <c r="F640" s="76"/>
      <c r="G640" s="47"/>
      <c r="H640" s="47"/>
      <c r="I640" s="75"/>
      <c r="J640" s="76"/>
      <c r="K640" s="76"/>
      <c r="L640" s="75"/>
      <c r="M640" s="49"/>
      <c r="N640" s="76"/>
      <c r="O640" s="49"/>
      <c r="P640" s="77"/>
      <c r="Q640" s="53"/>
      <c r="R640" s="54"/>
      <c r="S640" s="55"/>
      <c r="T640" s="56"/>
      <c r="U640" s="56"/>
      <c r="V640" s="42"/>
      <c r="W640" s="57"/>
      <c r="X640" s="58"/>
      <c r="Y640" s="75"/>
      <c r="Z640" s="59"/>
      <c r="AA640" s="61"/>
      <c r="AB640" s="61"/>
      <c r="AC640" s="61"/>
      <c r="AD640" s="62"/>
      <c r="AE640" s="62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</row>
    <row r="641" spans="1:77" x14ac:dyDescent="0.3">
      <c r="A641" s="39"/>
      <c r="B641" s="42"/>
      <c r="C641" s="42"/>
      <c r="D641" s="75"/>
      <c r="E641" s="75"/>
      <c r="F641" s="76"/>
      <c r="G641" s="47"/>
      <c r="H641" s="47"/>
      <c r="I641" s="75"/>
      <c r="J641" s="76"/>
      <c r="K641" s="76"/>
      <c r="L641" s="75"/>
      <c r="M641" s="49"/>
      <c r="N641" s="76"/>
      <c r="O641" s="49"/>
      <c r="P641" s="77"/>
      <c r="Q641" s="53"/>
      <c r="R641" s="54"/>
      <c r="S641" s="55"/>
      <c r="T641" s="56"/>
      <c r="U641" s="56"/>
      <c r="V641" s="42"/>
      <c r="W641" s="57"/>
      <c r="X641" s="58"/>
      <c r="Y641" s="75"/>
      <c r="Z641" s="59"/>
      <c r="AA641" s="61"/>
      <c r="AB641" s="61"/>
      <c r="AC641" s="61"/>
      <c r="AD641" s="62"/>
      <c r="AE641" s="62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</row>
    <row r="642" spans="1:77" x14ac:dyDescent="0.3">
      <c r="A642" s="39"/>
      <c r="B642" s="42"/>
      <c r="C642" s="42"/>
      <c r="D642" s="75"/>
      <c r="E642" s="75"/>
      <c r="F642" s="76"/>
      <c r="G642" s="47"/>
      <c r="H642" s="47"/>
      <c r="I642" s="75"/>
      <c r="J642" s="76"/>
      <c r="K642" s="76"/>
      <c r="L642" s="75"/>
      <c r="M642" s="49"/>
      <c r="N642" s="76"/>
      <c r="O642" s="49"/>
      <c r="P642" s="77"/>
      <c r="Q642" s="53"/>
      <c r="R642" s="54"/>
      <c r="S642" s="55"/>
      <c r="T642" s="56"/>
      <c r="U642" s="56"/>
      <c r="V642" s="42"/>
      <c r="W642" s="57"/>
      <c r="X642" s="58"/>
      <c r="Y642" s="75"/>
      <c r="Z642" s="59"/>
      <c r="AA642" s="61"/>
      <c r="AB642" s="61"/>
      <c r="AC642" s="61"/>
      <c r="AD642" s="62"/>
      <c r="AE642" s="62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</row>
    <row r="643" spans="1:77" x14ac:dyDescent="0.3">
      <c r="A643" s="39"/>
      <c r="B643" s="42"/>
      <c r="C643" s="42"/>
      <c r="D643" s="75"/>
      <c r="E643" s="75"/>
      <c r="F643" s="76"/>
      <c r="G643" s="47"/>
      <c r="H643" s="47"/>
      <c r="I643" s="75"/>
      <c r="J643" s="76"/>
      <c r="K643" s="76"/>
      <c r="L643" s="75"/>
      <c r="M643" s="49"/>
      <c r="N643" s="76"/>
      <c r="O643" s="49"/>
      <c r="P643" s="77"/>
      <c r="Q643" s="53"/>
      <c r="R643" s="54"/>
      <c r="S643" s="55"/>
      <c r="T643" s="56"/>
      <c r="U643" s="56"/>
      <c r="V643" s="42"/>
      <c r="W643" s="57"/>
      <c r="X643" s="58"/>
      <c r="Y643" s="75"/>
      <c r="Z643" s="59"/>
      <c r="AA643" s="61"/>
      <c r="AB643" s="61"/>
      <c r="AC643" s="61"/>
      <c r="AD643" s="62"/>
      <c r="AE643" s="62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</row>
    <row r="644" spans="1:77" x14ac:dyDescent="0.3">
      <c r="A644" s="39"/>
      <c r="B644" s="42"/>
      <c r="C644" s="42"/>
      <c r="D644" s="75"/>
      <c r="E644" s="75"/>
      <c r="F644" s="76"/>
      <c r="G644" s="47"/>
      <c r="H644" s="47"/>
      <c r="I644" s="75"/>
      <c r="J644" s="76"/>
      <c r="K644" s="76"/>
      <c r="L644" s="75"/>
      <c r="M644" s="49"/>
      <c r="N644" s="76"/>
      <c r="O644" s="49"/>
      <c r="P644" s="77"/>
      <c r="Q644" s="53"/>
      <c r="R644" s="54"/>
      <c r="S644" s="55"/>
      <c r="T644" s="56"/>
      <c r="U644" s="56"/>
      <c r="V644" s="42"/>
      <c r="W644" s="57"/>
      <c r="X644" s="58"/>
      <c r="Y644" s="75"/>
      <c r="Z644" s="59"/>
      <c r="AA644" s="61"/>
      <c r="AB644" s="61"/>
      <c r="AC644" s="61"/>
      <c r="AD644" s="62"/>
      <c r="AE644" s="62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</row>
    <row r="645" spans="1:77" x14ac:dyDescent="0.3">
      <c r="A645" s="39"/>
      <c r="B645" s="42"/>
      <c r="C645" s="42"/>
      <c r="D645" s="75"/>
      <c r="E645" s="75"/>
      <c r="F645" s="76"/>
      <c r="G645" s="47"/>
      <c r="H645" s="47"/>
      <c r="I645" s="75"/>
      <c r="J645" s="76"/>
      <c r="K645" s="76"/>
      <c r="L645" s="75"/>
      <c r="M645" s="49"/>
      <c r="N645" s="76"/>
      <c r="O645" s="49"/>
      <c r="P645" s="77"/>
      <c r="Q645" s="53"/>
      <c r="R645" s="54"/>
      <c r="S645" s="55"/>
      <c r="T645" s="56"/>
      <c r="U645" s="56"/>
      <c r="V645" s="42"/>
      <c r="W645" s="57"/>
      <c r="X645" s="58"/>
      <c r="Y645" s="75"/>
      <c r="Z645" s="59"/>
      <c r="AA645" s="61"/>
      <c r="AB645" s="61"/>
      <c r="AC645" s="61"/>
      <c r="AD645" s="62"/>
      <c r="AE645" s="62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</row>
    <row r="646" spans="1:77" x14ac:dyDescent="0.3">
      <c r="A646" s="39"/>
      <c r="B646" s="42"/>
      <c r="C646" s="42"/>
      <c r="D646" s="75"/>
      <c r="E646" s="75"/>
      <c r="F646" s="76"/>
      <c r="G646" s="47"/>
      <c r="H646" s="47"/>
      <c r="I646" s="75"/>
      <c r="J646" s="76"/>
      <c r="K646" s="76"/>
      <c r="L646" s="75"/>
      <c r="M646" s="49"/>
      <c r="N646" s="76"/>
      <c r="O646" s="49"/>
      <c r="P646" s="77"/>
      <c r="Q646" s="53"/>
      <c r="R646" s="54"/>
      <c r="S646" s="55"/>
      <c r="T646" s="56"/>
      <c r="U646" s="56"/>
      <c r="V646" s="42"/>
      <c r="W646" s="57"/>
      <c r="X646" s="58"/>
      <c r="Y646" s="75"/>
      <c r="Z646" s="59"/>
      <c r="AA646" s="61"/>
      <c r="AB646" s="61"/>
      <c r="AC646" s="61"/>
      <c r="AD646" s="62"/>
      <c r="AE646" s="62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</row>
    <row r="647" spans="1:77" x14ac:dyDescent="0.3">
      <c r="A647" s="39"/>
      <c r="B647" s="42"/>
      <c r="C647" s="42"/>
      <c r="D647" s="75"/>
      <c r="E647" s="75"/>
      <c r="F647" s="76"/>
      <c r="G647" s="47"/>
      <c r="H647" s="47"/>
      <c r="I647" s="75"/>
      <c r="J647" s="76"/>
      <c r="K647" s="76"/>
      <c r="L647" s="75"/>
      <c r="M647" s="49"/>
      <c r="N647" s="76"/>
      <c r="O647" s="49"/>
      <c r="P647" s="77"/>
      <c r="Q647" s="53"/>
      <c r="R647" s="54"/>
      <c r="S647" s="55"/>
      <c r="T647" s="56"/>
      <c r="U647" s="56"/>
      <c r="V647" s="42"/>
      <c r="W647" s="57"/>
      <c r="X647" s="58"/>
      <c r="Y647" s="75"/>
      <c r="Z647" s="59"/>
      <c r="AA647" s="61"/>
      <c r="AB647" s="61"/>
      <c r="AC647" s="61"/>
      <c r="AD647" s="62"/>
      <c r="AE647" s="62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</row>
    <row r="648" spans="1:77" x14ac:dyDescent="0.3">
      <c r="A648" s="39"/>
      <c r="B648" s="42"/>
      <c r="C648" s="42"/>
      <c r="D648" s="75"/>
      <c r="E648" s="75"/>
      <c r="F648" s="76"/>
      <c r="G648" s="47"/>
      <c r="H648" s="47"/>
      <c r="I648" s="75"/>
      <c r="J648" s="76"/>
      <c r="K648" s="76"/>
      <c r="L648" s="75"/>
      <c r="M648" s="49"/>
      <c r="N648" s="76"/>
      <c r="O648" s="49"/>
      <c r="P648" s="77"/>
      <c r="Q648" s="53"/>
      <c r="R648" s="54"/>
      <c r="S648" s="55"/>
      <c r="T648" s="56"/>
      <c r="U648" s="56"/>
      <c r="V648" s="42"/>
      <c r="W648" s="57"/>
      <c r="X648" s="58"/>
      <c r="Y648" s="75"/>
      <c r="Z648" s="59"/>
      <c r="AA648" s="61"/>
      <c r="AB648" s="61"/>
      <c r="AC648" s="61"/>
      <c r="AD648" s="62"/>
      <c r="AE648" s="62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</row>
    <row r="649" spans="1:77" x14ac:dyDescent="0.3">
      <c r="A649" s="39"/>
      <c r="B649" s="42"/>
      <c r="C649" s="42"/>
      <c r="D649" s="75"/>
      <c r="E649" s="75"/>
      <c r="F649" s="76"/>
      <c r="G649" s="47"/>
      <c r="H649" s="47"/>
      <c r="I649" s="75"/>
      <c r="J649" s="76"/>
      <c r="K649" s="76"/>
      <c r="L649" s="75"/>
      <c r="M649" s="49"/>
      <c r="N649" s="76"/>
      <c r="O649" s="49"/>
      <c r="P649" s="77"/>
      <c r="Q649" s="53"/>
      <c r="R649" s="54"/>
      <c r="S649" s="55"/>
      <c r="T649" s="56"/>
      <c r="U649" s="56"/>
      <c r="V649" s="42"/>
      <c r="W649" s="57"/>
      <c r="X649" s="58"/>
      <c r="Y649" s="75"/>
      <c r="Z649" s="59"/>
      <c r="AA649" s="61"/>
      <c r="AB649" s="61"/>
      <c r="AC649" s="61"/>
      <c r="AD649" s="62"/>
      <c r="AE649" s="62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</row>
    <row r="650" spans="1:77" x14ac:dyDescent="0.3">
      <c r="A650" s="39"/>
      <c r="B650" s="42"/>
      <c r="C650" s="42"/>
      <c r="D650" s="75"/>
      <c r="E650" s="75"/>
      <c r="F650" s="76"/>
      <c r="G650" s="47"/>
      <c r="H650" s="47"/>
      <c r="I650" s="75"/>
      <c r="J650" s="76"/>
      <c r="K650" s="76"/>
      <c r="L650" s="75"/>
      <c r="M650" s="49"/>
      <c r="N650" s="76"/>
      <c r="O650" s="49"/>
      <c r="P650" s="77"/>
      <c r="Q650" s="53"/>
      <c r="R650" s="54"/>
      <c r="S650" s="55"/>
      <c r="T650" s="56"/>
      <c r="U650" s="56"/>
      <c r="V650" s="42"/>
      <c r="W650" s="57"/>
      <c r="X650" s="58"/>
      <c r="Y650" s="75"/>
      <c r="Z650" s="59"/>
      <c r="AA650" s="61"/>
      <c r="AB650" s="61"/>
      <c r="AC650" s="61"/>
      <c r="AD650" s="62"/>
      <c r="AE650" s="62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</row>
    <row r="651" spans="1:77" x14ac:dyDescent="0.3">
      <c r="A651" s="39"/>
      <c r="B651" s="42"/>
      <c r="C651" s="42"/>
      <c r="D651" s="75"/>
      <c r="E651" s="75"/>
      <c r="F651" s="76"/>
      <c r="G651" s="47"/>
      <c r="H651" s="47"/>
      <c r="I651" s="75"/>
      <c r="J651" s="76"/>
      <c r="K651" s="76"/>
      <c r="L651" s="75"/>
      <c r="M651" s="49"/>
      <c r="N651" s="76"/>
      <c r="O651" s="49"/>
      <c r="P651" s="77"/>
      <c r="Q651" s="53"/>
      <c r="R651" s="54"/>
      <c r="S651" s="55"/>
      <c r="T651" s="56"/>
      <c r="U651" s="56"/>
      <c r="V651" s="42"/>
      <c r="W651" s="57"/>
      <c r="X651" s="58"/>
      <c r="Y651" s="75"/>
      <c r="Z651" s="59"/>
      <c r="AA651" s="61"/>
      <c r="AB651" s="61"/>
      <c r="AC651" s="61"/>
      <c r="AD651" s="62"/>
      <c r="AE651" s="62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</row>
    <row r="652" spans="1:77" x14ac:dyDescent="0.3">
      <c r="A652" s="39"/>
      <c r="B652" s="42"/>
      <c r="C652" s="42"/>
      <c r="D652" s="75"/>
      <c r="E652" s="75"/>
      <c r="F652" s="76"/>
      <c r="G652" s="47"/>
      <c r="H652" s="47"/>
      <c r="I652" s="75"/>
      <c r="J652" s="76"/>
      <c r="K652" s="76"/>
      <c r="L652" s="75"/>
      <c r="M652" s="49"/>
      <c r="N652" s="76"/>
      <c r="O652" s="49"/>
      <c r="P652" s="77"/>
      <c r="Q652" s="53"/>
      <c r="R652" s="54"/>
      <c r="S652" s="55"/>
      <c r="T652" s="56"/>
      <c r="U652" s="56"/>
      <c r="V652" s="42"/>
      <c r="W652" s="57"/>
      <c r="X652" s="58"/>
      <c r="Y652" s="75"/>
      <c r="Z652" s="59"/>
      <c r="AA652" s="61"/>
      <c r="AB652" s="61"/>
      <c r="AC652" s="61"/>
      <c r="AD652" s="62"/>
      <c r="AE652" s="62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</row>
    <row r="653" spans="1:77" x14ac:dyDescent="0.3">
      <c r="A653" s="39"/>
      <c r="B653" s="42"/>
      <c r="C653" s="42"/>
      <c r="D653" s="75"/>
      <c r="E653" s="75"/>
      <c r="F653" s="76"/>
      <c r="G653" s="47"/>
      <c r="H653" s="47"/>
      <c r="I653" s="75"/>
      <c r="J653" s="76"/>
      <c r="K653" s="76"/>
      <c r="L653" s="75"/>
      <c r="M653" s="49"/>
      <c r="N653" s="76"/>
      <c r="O653" s="49"/>
      <c r="P653" s="77"/>
      <c r="Q653" s="53"/>
      <c r="R653" s="54"/>
      <c r="S653" s="55"/>
      <c r="T653" s="56"/>
      <c r="U653" s="56"/>
      <c r="V653" s="42"/>
      <c r="W653" s="57"/>
      <c r="X653" s="58"/>
      <c r="Y653" s="75"/>
      <c r="Z653" s="59"/>
      <c r="AA653" s="61"/>
      <c r="AB653" s="61"/>
      <c r="AC653" s="61"/>
      <c r="AD653" s="62"/>
      <c r="AE653" s="62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</row>
    <row r="654" spans="1:77" x14ac:dyDescent="0.3">
      <c r="A654" s="39"/>
      <c r="B654" s="42"/>
      <c r="C654" s="42"/>
      <c r="D654" s="75"/>
      <c r="E654" s="75"/>
      <c r="F654" s="76"/>
      <c r="G654" s="47"/>
      <c r="H654" s="47"/>
      <c r="I654" s="75"/>
      <c r="J654" s="76"/>
      <c r="K654" s="76"/>
      <c r="L654" s="75"/>
      <c r="M654" s="49"/>
      <c r="N654" s="76"/>
      <c r="O654" s="49"/>
      <c r="P654" s="77"/>
      <c r="Q654" s="53"/>
      <c r="R654" s="54"/>
      <c r="S654" s="55"/>
      <c r="T654" s="56"/>
      <c r="U654" s="56"/>
      <c r="V654" s="42"/>
      <c r="W654" s="57"/>
      <c r="X654" s="58"/>
      <c r="Y654" s="75"/>
      <c r="Z654" s="59"/>
      <c r="AA654" s="61"/>
      <c r="AB654" s="61"/>
      <c r="AC654" s="61"/>
      <c r="AD654" s="62"/>
      <c r="AE654" s="62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</row>
    <row r="655" spans="1:77" x14ac:dyDescent="0.3">
      <c r="A655" s="39"/>
      <c r="B655" s="42"/>
      <c r="C655" s="42"/>
      <c r="D655" s="75"/>
      <c r="E655" s="75"/>
      <c r="F655" s="76"/>
      <c r="G655" s="47"/>
      <c r="H655" s="47"/>
      <c r="I655" s="75"/>
      <c r="J655" s="76"/>
      <c r="K655" s="76"/>
      <c r="L655" s="75"/>
      <c r="M655" s="49"/>
      <c r="N655" s="76"/>
      <c r="O655" s="49"/>
      <c r="P655" s="77"/>
      <c r="Q655" s="53"/>
      <c r="R655" s="54"/>
      <c r="S655" s="55"/>
      <c r="T655" s="56"/>
      <c r="U655" s="56"/>
      <c r="V655" s="42"/>
      <c r="W655" s="57"/>
      <c r="X655" s="58"/>
      <c r="Y655" s="75"/>
      <c r="Z655" s="59"/>
      <c r="AA655" s="61"/>
      <c r="AB655" s="61"/>
      <c r="AC655" s="61"/>
      <c r="AD655" s="62"/>
      <c r="AE655" s="62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</row>
    <row r="656" spans="1:77" x14ac:dyDescent="0.3">
      <c r="A656" s="39"/>
      <c r="B656" s="42"/>
      <c r="C656" s="42"/>
      <c r="D656" s="75"/>
      <c r="E656" s="75"/>
      <c r="F656" s="76"/>
      <c r="G656" s="47"/>
      <c r="H656" s="47"/>
      <c r="I656" s="75"/>
      <c r="J656" s="76"/>
      <c r="K656" s="76"/>
      <c r="L656" s="75"/>
      <c r="M656" s="49"/>
      <c r="N656" s="76"/>
      <c r="O656" s="49"/>
      <c r="P656" s="77"/>
      <c r="Q656" s="53"/>
      <c r="R656" s="54"/>
      <c r="S656" s="55"/>
      <c r="T656" s="56"/>
      <c r="U656" s="56"/>
      <c r="V656" s="42"/>
      <c r="W656" s="57"/>
      <c r="X656" s="58"/>
      <c r="Y656" s="75"/>
      <c r="Z656" s="59"/>
      <c r="AA656" s="61"/>
      <c r="AB656" s="61"/>
      <c r="AC656" s="61"/>
      <c r="AD656" s="62"/>
      <c r="AE656" s="62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</row>
    <row r="657" spans="1:77" x14ac:dyDescent="0.3">
      <c r="A657" s="39"/>
      <c r="B657" s="42"/>
      <c r="C657" s="42"/>
      <c r="D657" s="75"/>
      <c r="E657" s="75"/>
      <c r="F657" s="76"/>
      <c r="G657" s="47"/>
      <c r="H657" s="47"/>
      <c r="I657" s="75"/>
      <c r="J657" s="76"/>
      <c r="K657" s="76"/>
      <c r="L657" s="75"/>
      <c r="M657" s="49"/>
      <c r="N657" s="76"/>
      <c r="O657" s="49"/>
      <c r="P657" s="77"/>
      <c r="Q657" s="53"/>
      <c r="R657" s="54"/>
      <c r="S657" s="55"/>
      <c r="T657" s="56"/>
      <c r="U657" s="56"/>
      <c r="V657" s="42"/>
      <c r="W657" s="57"/>
      <c r="X657" s="58"/>
      <c r="Y657" s="75"/>
      <c r="Z657" s="59"/>
      <c r="AA657" s="61"/>
      <c r="AB657" s="61"/>
      <c r="AC657" s="61"/>
      <c r="AD657" s="62"/>
      <c r="AE657" s="62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</row>
    <row r="658" spans="1:77" x14ac:dyDescent="0.3">
      <c r="A658" s="39"/>
      <c r="B658" s="42"/>
      <c r="C658" s="42"/>
      <c r="D658" s="75"/>
      <c r="E658" s="75"/>
      <c r="F658" s="76"/>
      <c r="G658" s="47"/>
      <c r="H658" s="47"/>
      <c r="I658" s="75"/>
      <c r="J658" s="76"/>
      <c r="K658" s="76"/>
      <c r="L658" s="75"/>
      <c r="M658" s="49"/>
      <c r="N658" s="76"/>
      <c r="O658" s="49"/>
      <c r="P658" s="77"/>
      <c r="Q658" s="53"/>
      <c r="R658" s="54"/>
      <c r="S658" s="55"/>
      <c r="T658" s="56"/>
      <c r="U658" s="56"/>
      <c r="V658" s="42"/>
      <c r="W658" s="57"/>
      <c r="X658" s="58"/>
      <c r="Y658" s="75"/>
      <c r="Z658" s="59"/>
      <c r="AA658" s="61"/>
      <c r="AB658" s="61"/>
      <c r="AC658" s="61"/>
      <c r="AD658" s="62"/>
      <c r="AE658" s="62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</row>
    <row r="659" spans="1:77" x14ac:dyDescent="0.3">
      <c r="A659" s="39"/>
      <c r="B659" s="42"/>
      <c r="C659" s="42"/>
      <c r="D659" s="75"/>
      <c r="E659" s="75"/>
      <c r="F659" s="76"/>
      <c r="G659" s="47"/>
      <c r="H659" s="47"/>
      <c r="I659" s="75"/>
      <c r="J659" s="76"/>
      <c r="K659" s="76"/>
      <c r="L659" s="75"/>
      <c r="M659" s="49"/>
      <c r="N659" s="76"/>
      <c r="O659" s="49"/>
      <c r="P659" s="77"/>
      <c r="Q659" s="53"/>
      <c r="R659" s="54"/>
      <c r="S659" s="55"/>
      <c r="T659" s="56"/>
      <c r="U659" s="56"/>
      <c r="V659" s="42"/>
      <c r="W659" s="57"/>
      <c r="X659" s="58"/>
      <c r="Y659" s="75"/>
      <c r="Z659" s="59"/>
      <c r="AA659" s="61"/>
      <c r="AB659" s="61"/>
      <c r="AC659" s="61"/>
      <c r="AD659" s="62"/>
      <c r="AE659" s="62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</row>
    <row r="660" spans="1:77" x14ac:dyDescent="0.3">
      <c r="A660" s="39"/>
      <c r="B660" s="42"/>
      <c r="C660" s="42"/>
      <c r="D660" s="75"/>
      <c r="E660" s="75"/>
      <c r="F660" s="76"/>
      <c r="G660" s="47"/>
      <c r="H660" s="47"/>
      <c r="I660" s="75"/>
      <c r="J660" s="76"/>
      <c r="K660" s="76"/>
      <c r="L660" s="75"/>
      <c r="M660" s="49"/>
      <c r="N660" s="76"/>
      <c r="O660" s="49"/>
      <c r="P660" s="77"/>
      <c r="Q660" s="53"/>
      <c r="R660" s="54"/>
      <c r="S660" s="55"/>
      <c r="T660" s="56"/>
      <c r="U660" s="56"/>
      <c r="V660" s="42"/>
      <c r="W660" s="57"/>
      <c r="X660" s="58"/>
      <c r="Y660" s="75"/>
      <c r="Z660" s="59"/>
      <c r="AA660" s="61"/>
      <c r="AB660" s="61"/>
      <c r="AC660" s="61"/>
      <c r="AD660" s="62"/>
      <c r="AE660" s="62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</row>
    <row r="661" spans="1:77" x14ac:dyDescent="0.3">
      <c r="A661" s="39"/>
      <c r="B661" s="42"/>
      <c r="C661" s="42"/>
      <c r="D661" s="75"/>
      <c r="E661" s="75"/>
      <c r="F661" s="76"/>
      <c r="G661" s="47"/>
      <c r="H661" s="47"/>
      <c r="I661" s="75"/>
      <c r="J661" s="76"/>
      <c r="K661" s="76"/>
      <c r="L661" s="75"/>
      <c r="M661" s="49"/>
      <c r="N661" s="76"/>
      <c r="O661" s="49"/>
      <c r="P661" s="77"/>
      <c r="Q661" s="53"/>
      <c r="R661" s="54"/>
      <c r="S661" s="55"/>
      <c r="T661" s="56"/>
      <c r="U661" s="56"/>
      <c r="V661" s="42"/>
      <c r="W661" s="57"/>
      <c r="X661" s="58"/>
      <c r="Y661" s="75"/>
      <c r="Z661" s="59"/>
      <c r="AA661" s="61"/>
      <c r="AB661" s="61"/>
      <c r="AC661" s="61"/>
      <c r="AD661" s="62"/>
      <c r="AE661" s="62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</row>
    <row r="662" spans="1:77" x14ac:dyDescent="0.3">
      <c r="A662" s="39"/>
      <c r="B662" s="42"/>
      <c r="C662" s="42"/>
      <c r="D662" s="75"/>
      <c r="E662" s="75"/>
      <c r="F662" s="76"/>
      <c r="G662" s="47"/>
      <c r="H662" s="47"/>
      <c r="I662" s="75"/>
      <c r="J662" s="76"/>
      <c r="K662" s="76"/>
      <c r="L662" s="75"/>
      <c r="M662" s="49"/>
      <c r="N662" s="76"/>
      <c r="O662" s="49"/>
      <c r="P662" s="77"/>
      <c r="Q662" s="53"/>
      <c r="R662" s="54"/>
      <c r="S662" s="55"/>
      <c r="T662" s="56"/>
      <c r="U662" s="56"/>
      <c r="V662" s="42"/>
      <c r="W662" s="57"/>
      <c r="X662" s="58"/>
      <c r="Y662" s="75"/>
      <c r="Z662" s="59"/>
      <c r="AA662" s="61"/>
      <c r="AB662" s="61"/>
      <c r="AC662" s="61"/>
      <c r="AD662" s="62"/>
      <c r="AE662" s="62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</row>
    <row r="663" spans="1:77" x14ac:dyDescent="0.3">
      <c r="A663" s="39"/>
      <c r="B663" s="42"/>
      <c r="C663" s="42"/>
      <c r="D663" s="75"/>
      <c r="E663" s="75"/>
      <c r="F663" s="76"/>
      <c r="G663" s="47"/>
      <c r="H663" s="47"/>
      <c r="I663" s="75"/>
      <c r="J663" s="76"/>
      <c r="K663" s="76"/>
      <c r="L663" s="75"/>
      <c r="M663" s="49"/>
      <c r="N663" s="76"/>
      <c r="O663" s="49"/>
      <c r="P663" s="77"/>
      <c r="Q663" s="53"/>
      <c r="R663" s="54"/>
      <c r="S663" s="55"/>
      <c r="T663" s="56"/>
      <c r="U663" s="56"/>
      <c r="V663" s="42"/>
      <c r="W663" s="57"/>
      <c r="X663" s="58"/>
      <c r="Y663" s="75"/>
      <c r="Z663" s="59"/>
      <c r="AA663" s="61"/>
      <c r="AB663" s="61"/>
      <c r="AC663" s="61"/>
      <c r="AD663" s="62"/>
      <c r="AE663" s="62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</row>
    <row r="664" spans="1:77" x14ac:dyDescent="0.3">
      <c r="A664" s="39"/>
      <c r="B664" s="42"/>
      <c r="C664" s="42"/>
      <c r="D664" s="75"/>
      <c r="E664" s="75"/>
      <c r="F664" s="76"/>
      <c r="G664" s="47"/>
      <c r="H664" s="47"/>
      <c r="I664" s="75"/>
      <c r="J664" s="76"/>
      <c r="K664" s="76"/>
      <c r="L664" s="75"/>
      <c r="M664" s="49"/>
      <c r="N664" s="76"/>
      <c r="O664" s="49"/>
      <c r="P664" s="77"/>
      <c r="Q664" s="53"/>
      <c r="R664" s="54"/>
      <c r="S664" s="55"/>
      <c r="T664" s="56"/>
      <c r="U664" s="56"/>
      <c r="V664" s="42"/>
      <c r="W664" s="57"/>
      <c r="X664" s="58"/>
      <c r="Y664" s="75"/>
      <c r="Z664" s="59"/>
      <c r="AA664" s="61"/>
      <c r="AB664" s="61"/>
      <c r="AC664" s="61"/>
      <c r="AD664" s="62"/>
      <c r="AE664" s="62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</row>
    <row r="665" spans="1:77" x14ac:dyDescent="0.3">
      <c r="A665" s="39"/>
      <c r="B665" s="42"/>
      <c r="C665" s="42"/>
      <c r="D665" s="75"/>
      <c r="E665" s="75"/>
      <c r="F665" s="76"/>
      <c r="G665" s="47"/>
      <c r="H665" s="47"/>
      <c r="I665" s="75"/>
      <c r="J665" s="76"/>
      <c r="K665" s="76"/>
      <c r="L665" s="75"/>
      <c r="M665" s="49"/>
      <c r="N665" s="76"/>
      <c r="O665" s="49"/>
      <c r="P665" s="77"/>
      <c r="Q665" s="53"/>
      <c r="R665" s="54"/>
      <c r="S665" s="55"/>
      <c r="T665" s="56"/>
      <c r="U665" s="56"/>
      <c r="V665" s="42"/>
      <c r="W665" s="57"/>
      <c r="X665" s="58"/>
      <c r="Y665" s="75"/>
      <c r="Z665" s="59"/>
      <c r="AA665" s="61"/>
      <c r="AB665" s="61"/>
      <c r="AC665" s="61"/>
      <c r="AD665" s="62"/>
      <c r="AE665" s="62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</row>
    <row r="666" spans="1:77" x14ac:dyDescent="0.3">
      <c r="A666" s="39"/>
      <c r="B666" s="42"/>
      <c r="C666" s="42"/>
      <c r="D666" s="75"/>
      <c r="E666" s="75"/>
      <c r="F666" s="76"/>
      <c r="G666" s="47"/>
      <c r="H666" s="47"/>
      <c r="I666" s="75"/>
      <c r="J666" s="76"/>
      <c r="K666" s="76"/>
      <c r="L666" s="75"/>
      <c r="M666" s="49"/>
      <c r="N666" s="76"/>
      <c r="O666" s="49"/>
      <c r="P666" s="77"/>
      <c r="Q666" s="53"/>
      <c r="R666" s="54"/>
      <c r="S666" s="55"/>
      <c r="T666" s="56"/>
      <c r="U666" s="56"/>
      <c r="V666" s="42"/>
      <c r="W666" s="57"/>
      <c r="X666" s="58"/>
      <c r="Y666" s="75"/>
      <c r="Z666" s="59"/>
      <c r="AA666" s="61"/>
      <c r="AB666" s="61"/>
      <c r="AC666" s="61"/>
      <c r="AD666" s="62"/>
      <c r="AE666" s="62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</row>
    <row r="667" spans="1:77" x14ac:dyDescent="0.3">
      <c r="A667" s="39"/>
      <c r="B667" s="42"/>
      <c r="C667" s="42"/>
      <c r="D667" s="75"/>
      <c r="E667" s="75"/>
      <c r="F667" s="76"/>
      <c r="G667" s="47"/>
      <c r="H667" s="47"/>
      <c r="I667" s="75"/>
      <c r="J667" s="76"/>
      <c r="K667" s="76"/>
      <c r="L667" s="75"/>
      <c r="M667" s="49"/>
      <c r="N667" s="76"/>
      <c r="O667" s="49"/>
      <c r="P667" s="77"/>
      <c r="Q667" s="53"/>
      <c r="R667" s="54"/>
      <c r="S667" s="55"/>
      <c r="T667" s="56"/>
      <c r="U667" s="56"/>
      <c r="V667" s="42"/>
      <c r="W667" s="57"/>
      <c r="X667" s="58"/>
      <c r="Y667" s="75"/>
      <c r="Z667" s="59"/>
      <c r="AA667" s="61"/>
      <c r="AB667" s="61"/>
      <c r="AC667" s="61"/>
      <c r="AD667" s="62"/>
      <c r="AE667" s="62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</row>
    <row r="668" spans="1:77" x14ac:dyDescent="0.3">
      <c r="A668" s="39"/>
      <c r="B668" s="42"/>
      <c r="C668" s="42"/>
      <c r="D668" s="75"/>
      <c r="E668" s="75"/>
      <c r="F668" s="76"/>
      <c r="G668" s="47"/>
      <c r="H668" s="47"/>
      <c r="I668" s="75"/>
      <c r="J668" s="76"/>
      <c r="K668" s="76"/>
      <c r="L668" s="75"/>
      <c r="M668" s="49"/>
      <c r="N668" s="76"/>
      <c r="O668" s="49"/>
      <c r="P668" s="77"/>
      <c r="Q668" s="53"/>
      <c r="R668" s="54"/>
      <c r="S668" s="55"/>
      <c r="T668" s="56"/>
      <c r="U668" s="56"/>
      <c r="V668" s="42"/>
      <c r="W668" s="57"/>
      <c r="X668" s="58"/>
      <c r="Y668" s="75"/>
      <c r="Z668" s="59"/>
      <c r="AA668" s="61"/>
      <c r="AB668" s="61"/>
      <c r="AC668" s="61"/>
      <c r="AD668" s="62"/>
      <c r="AE668" s="62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</row>
    <row r="669" spans="1:77" x14ac:dyDescent="0.3">
      <c r="A669" s="39"/>
      <c r="B669" s="42"/>
      <c r="C669" s="42"/>
      <c r="D669" s="75"/>
      <c r="E669" s="75"/>
      <c r="F669" s="76"/>
      <c r="G669" s="47"/>
      <c r="H669" s="47"/>
      <c r="I669" s="75"/>
      <c r="J669" s="76"/>
      <c r="K669" s="76"/>
      <c r="L669" s="75"/>
      <c r="M669" s="49"/>
      <c r="N669" s="76"/>
      <c r="O669" s="49"/>
      <c r="P669" s="77"/>
      <c r="Q669" s="53"/>
      <c r="R669" s="54"/>
      <c r="S669" s="55"/>
      <c r="T669" s="56"/>
      <c r="U669" s="56"/>
      <c r="V669" s="42"/>
      <c r="W669" s="57"/>
      <c r="X669" s="58"/>
      <c r="Y669" s="75"/>
      <c r="Z669" s="59"/>
      <c r="AA669" s="61"/>
      <c r="AB669" s="61"/>
      <c r="AC669" s="61"/>
      <c r="AD669" s="62"/>
      <c r="AE669" s="62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</row>
    <row r="670" spans="1:77" x14ac:dyDescent="0.3">
      <c r="A670" s="39"/>
      <c r="B670" s="42"/>
      <c r="C670" s="42"/>
      <c r="D670" s="75"/>
      <c r="E670" s="75"/>
      <c r="F670" s="76"/>
      <c r="G670" s="47"/>
      <c r="H670" s="47"/>
      <c r="I670" s="75"/>
      <c r="J670" s="76"/>
      <c r="K670" s="76"/>
      <c r="L670" s="75"/>
      <c r="M670" s="49"/>
      <c r="N670" s="76"/>
      <c r="O670" s="49"/>
      <c r="P670" s="77"/>
      <c r="Q670" s="53"/>
      <c r="R670" s="54"/>
      <c r="S670" s="55"/>
      <c r="T670" s="56"/>
      <c r="U670" s="56"/>
      <c r="V670" s="42"/>
      <c r="W670" s="57"/>
      <c r="X670" s="58"/>
      <c r="Y670" s="75"/>
      <c r="Z670" s="59"/>
      <c r="AA670" s="61"/>
      <c r="AB670" s="61"/>
      <c r="AC670" s="61"/>
      <c r="AD670" s="62"/>
      <c r="AE670" s="62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</row>
    <row r="671" spans="1:77" x14ac:dyDescent="0.3">
      <c r="A671" s="39"/>
      <c r="B671" s="42"/>
      <c r="C671" s="42"/>
      <c r="D671" s="75"/>
      <c r="E671" s="75"/>
      <c r="F671" s="76"/>
      <c r="G671" s="47"/>
      <c r="H671" s="47"/>
      <c r="I671" s="75"/>
      <c r="J671" s="76"/>
      <c r="K671" s="76"/>
      <c r="L671" s="75"/>
      <c r="M671" s="49"/>
      <c r="N671" s="76"/>
      <c r="O671" s="49"/>
      <c r="P671" s="77"/>
      <c r="Q671" s="53"/>
      <c r="R671" s="54"/>
      <c r="S671" s="55"/>
      <c r="T671" s="56"/>
      <c r="U671" s="56"/>
      <c r="V671" s="42"/>
      <c r="W671" s="57"/>
      <c r="X671" s="58"/>
      <c r="Y671" s="75"/>
      <c r="Z671" s="59"/>
      <c r="AA671" s="61"/>
      <c r="AB671" s="61"/>
      <c r="AC671" s="61"/>
      <c r="AD671" s="62"/>
      <c r="AE671" s="62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</row>
    <row r="672" spans="1:77" x14ac:dyDescent="0.3">
      <c r="A672" s="39"/>
      <c r="B672" s="42"/>
      <c r="C672" s="42"/>
      <c r="D672" s="75"/>
      <c r="E672" s="75"/>
      <c r="F672" s="76"/>
      <c r="G672" s="47"/>
      <c r="H672" s="47"/>
      <c r="I672" s="75"/>
      <c r="J672" s="76"/>
      <c r="K672" s="76"/>
      <c r="L672" s="75"/>
      <c r="M672" s="49"/>
      <c r="N672" s="76"/>
      <c r="O672" s="49"/>
      <c r="P672" s="77"/>
      <c r="Q672" s="53"/>
      <c r="R672" s="54"/>
      <c r="S672" s="55"/>
      <c r="T672" s="56"/>
      <c r="U672" s="56"/>
      <c r="V672" s="42"/>
      <c r="W672" s="57"/>
      <c r="X672" s="58"/>
      <c r="Y672" s="75"/>
      <c r="Z672" s="59"/>
      <c r="AA672" s="61"/>
      <c r="AB672" s="61"/>
      <c r="AC672" s="61"/>
      <c r="AD672" s="62"/>
      <c r="AE672" s="62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</row>
    <row r="673" spans="1:77" x14ac:dyDescent="0.3">
      <c r="A673" s="39"/>
      <c r="B673" s="42"/>
      <c r="C673" s="42"/>
      <c r="D673" s="75"/>
      <c r="E673" s="75"/>
      <c r="F673" s="76"/>
      <c r="G673" s="47"/>
      <c r="H673" s="47"/>
      <c r="I673" s="75"/>
      <c r="J673" s="76"/>
      <c r="K673" s="76"/>
      <c r="L673" s="75"/>
      <c r="M673" s="49"/>
      <c r="N673" s="76"/>
      <c r="O673" s="49"/>
      <c r="P673" s="77"/>
      <c r="Q673" s="53"/>
      <c r="R673" s="54"/>
      <c r="S673" s="55"/>
      <c r="T673" s="56"/>
      <c r="U673" s="56"/>
      <c r="V673" s="42"/>
      <c r="W673" s="57"/>
      <c r="X673" s="58"/>
      <c r="Y673" s="75"/>
      <c r="Z673" s="59"/>
      <c r="AA673" s="61"/>
      <c r="AB673" s="61"/>
      <c r="AC673" s="61"/>
      <c r="AD673" s="62"/>
      <c r="AE673" s="62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</row>
    <row r="674" spans="1:77" x14ac:dyDescent="0.3">
      <c r="A674" s="39"/>
      <c r="B674" s="42"/>
      <c r="C674" s="42"/>
      <c r="D674" s="75"/>
      <c r="E674" s="75"/>
      <c r="F674" s="76"/>
      <c r="G674" s="47"/>
      <c r="H674" s="47"/>
      <c r="I674" s="75"/>
      <c r="J674" s="76"/>
      <c r="K674" s="76"/>
      <c r="L674" s="75"/>
      <c r="M674" s="49"/>
      <c r="N674" s="76"/>
      <c r="O674" s="49"/>
      <c r="P674" s="77"/>
      <c r="Q674" s="53"/>
      <c r="R674" s="54"/>
      <c r="S674" s="55"/>
      <c r="T674" s="56"/>
      <c r="U674" s="56"/>
      <c r="V674" s="42"/>
      <c r="W674" s="57"/>
      <c r="X674" s="58"/>
      <c r="Y674" s="75"/>
      <c r="Z674" s="59"/>
      <c r="AA674" s="61"/>
      <c r="AB674" s="61"/>
      <c r="AC674" s="61"/>
      <c r="AD674" s="62"/>
      <c r="AE674" s="62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</row>
    <row r="675" spans="1:77" x14ac:dyDescent="0.3">
      <c r="A675" s="39"/>
      <c r="B675" s="42"/>
      <c r="C675" s="42"/>
      <c r="D675" s="75"/>
      <c r="E675" s="75"/>
      <c r="F675" s="76"/>
      <c r="G675" s="47"/>
      <c r="H675" s="47"/>
      <c r="I675" s="75"/>
      <c r="J675" s="76"/>
      <c r="K675" s="76"/>
      <c r="L675" s="75"/>
      <c r="M675" s="49"/>
      <c r="N675" s="76"/>
      <c r="O675" s="49"/>
      <c r="P675" s="77"/>
      <c r="Q675" s="53"/>
      <c r="R675" s="54"/>
      <c r="S675" s="55"/>
      <c r="T675" s="56"/>
      <c r="U675" s="56"/>
      <c r="V675" s="42"/>
      <c r="W675" s="57"/>
      <c r="X675" s="58"/>
      <c r="Y675" s="75"/>
      <c r="Z675" s="59"/>
      <c r="AA675" s="61"/>
      <c r="AB675" s="61"/>
      <c r="AC675" s="61"/>
      <c r="AD675" s="62"/>
      <c r="AE675" s="62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</row>
    <row r="676" spans="1:77" x14ac:dyDescent="0.3">
      <c r="A676" s="39"/>
      <c r="B676" s="42"/>
      <c r="C676" s="42"/>
      <c r="D676" s="75"/>
      <c r="E676" s="75"/>
      <c r="F676" s="76"/>
      <c r="G676" s="47"/>
      <c r="H676" s="47"/>
      <c r="I676" s="75"/>
      <c r="J676" s="76"/>
      <c r="K676" s="76"/>
      <c r="L676" s="75"/>
      <c r="M676" s="49"/>
      <c r="N676" s="76"/>
      <c r="O676" s="49"/>
      <c r="P676" s="77"/>
      <c r="Q676" s="53"/>
      <c r="R676" s="54"/>
      <c r="S676" s="55"/>
      <c r="T676" s="56"/>
      <c r="U676" s="56"/>
      <c r="V676" s="42"/>
      <c r="W676" s="57"/>
      <c r="X676" s="58"/>
      <c r="Y676" s="75"/>
      <c r="Z676" s="59"/>
      <c r="AA676" s="61"/>
      <c r="AB676" s="61"/>
      <c r="AC676" s="61"/>
      <c r="AD676" s="62"/>
      <c r="AE676" s="62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</row>
    <row r="677" spans="1:77" x14ac:dyDescent="0.3">
      <c r="A677" s="39"/>
      <c r="B677" s="42"/>
      <c r="C677" s="42"/>
      <c r="D677" s="75"/>
      <c r="E677" s="75"/>
      <c r="F677" s="76"/>
      <c r="G677" s="47"/>
      <c r="H677" s="47"/>
      <c r="I677" s="75"/>
      <c r="J677" s="76"/>
      <c r="K677" s="76"/>
      <c r="L677" s="75"/>
      <c r="M677" s="49"/>
      <c r="N677" s="76"/>
      <c r="O677" s="49"/>
      <c r="P677" s="77"/>
      <c r="Q677" s="53"/>
      <c r="R677" s="54"/>
      <c r="S677" s="55"/>
      <c r="T677" s="56"/>
      <c r="U677" s="56"/>
      <c r="V677" s="42"/>
      <c r="W677" s="57"/>
      <c r="X677" s="58"/>
      <c r="Y677" s="75"/>
      <c r="Z677" s="59"/>
      <c r="AA677" s="61"/>
      <c r="AB677" s="61"/>
      <c r="AC677" s="61"/>
      <c r="AD677" s="62"/>
      <c r="AE677" s="62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</row>
    <row r="678" spans="1:77" x14ac:dyDescent="0.3">
      <c r="A678" s="39"/>
      <c r="B678" s="42"/>
      <c r="C678" s="42"/>
      <c r="D678" s="75"/>
      <c r="E678" s="75"/>
      <c r="F678" s="76"/>
      <c r="G678" s="47"/>
      <c r="H678" s="47"/>
      <c r="I678" s="75"/>
      <c r="J678" s="76"/>
      <c r="K678" s="76"/>
      <c r="L678" s="75"/>
      <c r="M678" s="49"/>
      <c r="N678" s="76"/>
      <c r="O678" s="49"/>
      <c r="P678" s="77"/>
      <c r="Q678" s="53"/>
      <c r="R678" s="54"/>
      <c r="S678" s="55"/>
      <c r="T678" s="56"/>
      <c r="U678" s="56"/>
      <c r="V678" s="42"/>
      <c r="W678" s="57"/>
      <c r="X678" s="58"/>
      <c r="Y678" s="75"/>
      <c r="Z678" s="59"/>
      <c r="AA678" s="61"/>
      <c r="AB678" s="61"/>
      <c r="AC678" s="61"/>
      <c r="AD678" s="62"/>
      <c r="AE678" s="62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</row>
    <row r="679" spans="1:77" x14ac:dyDescent="0.3">
      <c r="A679" s="39"/>
      <c r="B679" s="42"/>
      <c r="C679" s="42"/>
      <c r="D679" s="75"/>
      <c r="E679" s="75"/>
      <c r="F679" s="76"/>
      <c r="G679" s="47"/>
      <c r="H679" s="47"/>
      <c r="I679" s="75"/>
      <c r="J679" s="76"/>
      <c r="K679" s="76"/>
      <c r="L679" s="75"/>
      <c r="M679" s="49"/>
      <c r="N679" s="76"/>
      <c r="O679" s="49"/>
      <c r="P679" s="77"/>
      <c r="Q679" s="53"/>
      <c r="R679" s="54"/>
      <c r="S679" s="55"/>
      <c r="T679" s="56"/>
      <c r="U679" s="56"/>
      <c r="V679" s="42"/>
      <c r="W679" s="57"/>
      <c r="X679" s="58"/>
      <c r="Y679" s="75"/>
      <c r="Z679" s="59"/>
      <c r="AA679" s="61"/>
      <c r="AB679" s="61"/>
      <c r="AC679" s="61"/>
      <c r="AD679" s="62"/>
      <c r="AE679" s="62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</row>
    <row r="680" spans="1:77" x14ac:dyDescent="0.3">
      <c r="A680" s="39"/>
      <c r="B680" s="42"/>
      <c r="C680" s="42"/>
      <c r="D680" s="75"/>
      <c r="E680" s="75"/>
      <c r="F680" s="76"/>
      <c r="G680" s="47"/>
      <c r="H680" s="47"/>
      <c r="I680" s="75"/>
      <c r="J680" s="76"/>
      <c r="K680" s="76"/>
      <c r="L680" s="75"/>
      <c r="M680" s="49"/>
      <c r="N680" s="76"/>
      <c r="O680" s="49"/>
      <c r="P680" s="77"/>
      <c r="Q680" s="53"/>
      <c r="R680" s="54"/>
      <c r="S680" s="55"/>
      <c r="T680" s="56"/>
      <c r="U680" s="56"/>
      <c r="V680" s="42"/>
      <c r="W680" s="57"/>
      <c r="X680" s="58"/>
      <c r="Y680" s="75"/>
      <c r="Z680" s="59"/>
      <c r="AA680" s="61"/>
      <c r="AB680" s="61"/>
      <c r="AC680" s="61"/>
      <c r="AD680" s="62"/>
      <c r="AE680" s="62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</row>
    <row r="681" spans="1:77" x14ac:dyDescent="0.3">
      <c r="A681" s="39"/>
      <c r="B681" s="42"/>
      <c r="C681" s="42"/>
      <c r="D681" s="75"/>
      <c r="E681" s="75"/>
      <c r="F681" s="76"/>
      <c r="G681" s="47"/>
      <c r="H681" s="47"/>
      <c r="I681" s="75"/>
      <c r="J681" s="76"/>
      <c r="K681" s="76"/>
      <c r="L681" s="75"/>
      <c r="M681" s="49"/>
      <c r="N681" s="76"/>
      <c r="O681" s="49"/>
      <c r="P681" s="77"/>
      <c r="Q681" s="53"/>
      <c r="R681" s="54"/>
      <c r="S681" s="55"/>
      <c r="T681" s="56"/>
      <c r="U681" s="56"/>
      <c r="V681" s="42"/>
      <c r="W681" s="57"/>
      <c r="X681" s="58"/>
      <c r="Y681" s="75"/>
      <c r="Z681" s="59"/>
      <c r="AA681" s="61"/>
      <c r="AB681" s="61"/>
      <c r="AC681" s="61"/>
      <c r="AD681" s="62"/>
      <c r="AE681" s="62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</row>
    <row r="682" spans="1:77" x14ac:dyDescent="0.3">
      <c r="A682" s="39"/>
      <c r="B682" s="42"/>
      <c r="C682" s="42"/>
      <c r="D682" s="75"/>
      <c r="E682" s="75"/>
      <c r="F682" s="76"/>
      <c r="G682" s="47"/>
      <c r="H682" s="47"/>
      <c r="I682" s="75"/>
      <c r="J682" s="76"/>
      <c r="K682" s="76"/>
      <c r="L682" s="75"/>
      <c r="M682" s="49"/>
      <c r="N682" s="76"/>
      <c r="O682" s="49"/>
      <c r="P682" s="77"/>
      <c r="Q682" s="53"/>
      <c r="R682" s="54"/>
      <c r="S682" s="55"/>
      <c r="T682" s="56"/>
      <c r="U682" s="56"/>
      <c r="V682" s="42"/>
      <c r="W682" s="57"/>
      <c r="X682" s="58"/>
      <c r="Y682" s="75"/>
      <c r="Z682" s="59"/>
      <c r="AA682" s="61"/>
      <c r="AB682" s="61"/>
      <c r="AC682" s="61"/>
      <c r="AD682" s="62"/>
      <c r="AE682" s="62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</row>
    <row r="683" spans="1:77" x14ac:dyDescent="0.3">
      <c r="A683" s="39"/>
      <c r="B683" s="42"/>
      <c r="C683" s="42"/>
      <c r="D683" s="75"/>
      <c r="E683" s="75"/>
      <c r="F683" s="76"/>
      <c r="G683" s="47"/>
      <c r="H683" s="47"/>
      <c r="I683" s="75"/>
      <c r="J683" s="76"/>
      <c r="K683" s="76"/>
      <c r="L683" s="75"/>
      <c r="M683" s="49"/>
      <c r="N683" s="76"/>
      <c r="O683" s="49"/>
      <c r="P683" s="77"/>
      <c r="Q683" s="53"/>
      <c r="R683" s="54"/>
      <c r="S683" s="55"/>
      <c r="T683" s="56"/>
      <c r="U683" s="56"/>
      <c r="V683" s="42"/>
      <c r="W683" s="57"/>
      <c r="X683" s="58"/>
      <c r="Y683" s="75"/>
      <c r="Z683" s="59"/>
      <c r="AA683" s="61"/>
      <c r="AB683" s="61"/>
      <c r="AC683" s="61"/>
      <c r="AD683" s="62"/>
      <c r="AE683" s="62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</row>
    <row r="684" spans="1:77" x14ac:dyDescent="0.3">
      <c r="A684" s="39"/>
      <c r="B684" s="42"/>
      <c r="C684" s="42"/>
      <c r="D684" s="75"/>
      <c r="E684" s="75"/>
      <c r="F684" s="76"/>
      <c r="G684" s="47"/>
      <c r="H684" s="47"/>
      <c r="I684" s="75"/>
      <c r="J684" s="76"/>
      <c r="K684" s="76"/>
      <c r="L684" s="75"/>
      <c r="M684" s="49"/>
      <c r="N684" s="76"/>
      <c r="O684" s="49"/>
      <c r="P684" s="77"/>
      <c r="Q684" s="53"/>
      <c r="R684" s="54"/>
      <c r="S684" s="55"/>
      <c r="T684" s="56"/>
      <c r="U684" s="56"/>
      <c r="V684" s="42"/>
      <c r="W684" s="57"/>
      <c r="X684" s="58"/>
      <c r="Y684" s="75"/>
      <c r="Z684" s="59"/>
      <c r="AA684" s="61"/>
      <c r="AB684" s="61"/>
      <c r="AC684" s="61"/>
      <c r="AD684" s="62"/>
      <c r="AE684" s="62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</row>
    <row r="685" spans="1:77" x14ac:dyDescent="0.3">
      <c r="A685" s="39"/>
      <c r="B685" s="42"/>
      <c r="C685" s="42"/>
      <c r="D685" s="75"/>
      <c r="E685" s="75"/>
      <c r="F685" s="76"/>
      <c r="G685" s="47"/>
      <c r="H685" s="47"/>
      <c r="I685" s="75"/>
      <c r="J685" s="76"/>
      <c r="K685" s="76"/>
      <c r="L685" s="75"/>
      <c r="M685" s="49"/>
      <c r="N685" s="76"/>
      <c r="O685" s="49"/>
      <c r="P685" s="77"/>
      <c r="Q685" s="53"/>
      <c r="R685" s="54"/>
      <c r="S685" s="55"/>
      <c r="T685" s="56"/>
      <c r="U685" s="56"/>
      <c r="V685" s="42"/>
      <c r="W685" s="57"/>
      <c r="X685" s="58"/>
      <c r="Y685" s="75"/>
      <c r="Z685" s="59"/>
      <c r="AA685" s="61"/>
      <c r="AB685" s="61"/>
      <c r="AC685" s="61"/>
      <c r="AD685" s="62"/>
      <c r="AE685" s="62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</row>
    <row r="686" spans="1:77" x14ac:dyDescent="0.3">
      <c r="A686" s="39"/>
      <c r="B686" s="42"/>
      <c r="C686" s="42"/>
      <c r="D686" s="75"/>
      <c r="E686" s="75"/>
      <c r="F686" s="76"/>
      <c r="G686" s="47"/>
      <c r="H686" s="47"/>
      <c r="I686" s="75"/>
      <c r="J686" s="76"/>
      <c r="K686" s="76"/>
      <c r="L686" s="75"/>
      <c r="M686" s="49"/>
      <c r="N686" s="76"/>
      <c r="O686" s="49"/>
      <c r="P686" s="77"/>
      <c r="Q686" s="53"/>
      <c r="R686" s="54"/>
      <c r="S686" s="55"/>
      <c r="T686" s="56"/>
      <c r="U686" s="56"/>
      <c r="V686" s="42"/>
      <c r="W686" s="57"/>
      <c r="X686" s="58"/>
      <c r="Y686" s="75"/>
      <c r="Z686" s="59"/>
      <c r="AA686" s="61"/>
      <c r="AB686" s="61"/>
      <c r="AC686" s="61"/>
      <c r="AD686" s="62"/>
      <c r="AE686" s="62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</row>
    <row r="687" spans="1:77" x14ac:dyDescent="0.3">
      <c r="A687" s="39"/>
      <c r="B687" s="42"/>
      <c r="C687" s="42"/>
      <c r="D687" s="75"/>
      <c r="E687" s="75"/>
      <c r="F687" s="76"/>
      <c r="G687" s="47"/>
      <c r="H687" s="47"/>
      <c r="I687" s="75"/>
      <c r="J687" s="76"/>
      <c r="K687" s="76"/>
      <c r="L687" s="75"/>
      <c r="M687" s="49"/>
      <c r="N687" s="76"/>
      <c r="O687" s="49"/>
      <c r="P687" s="77"/>
      <c r="Q687" s="53"/>
      <c r="R687" s="54"/>
      <c r="S687" s="55"/>
      <c r="T687" s="56"/>
      <c r="U687" s="56"/>
      <c r="V687" s="42"/>
      <c r="W687" s="57"/>
      <c r="X687" s="58"/>
      <c r="Y687" s="75"/>
      <c r="Z687" s="59"/>
      <c r="AA687" s="61"/>
      <c r="AB687" s="61"/>
      <c r="AC687" s="61"/>
      <c r="AD687" s="62"/>
      <c r="AE687" s="62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</row>
    <row r="688" spans="1:77" x14ac:dyDescent="0.3">
      <c r="A688" s="39"/>
      <c r="B688" s="42"/>
      <c r="C688" s="42"/>
      <c r="D688" s="75"/>
      <c r="E688" s="75"/>
      <c r="F688" s="76"/>
      <c r="G688" s="47"/>
      <c r="H688" s="47"/>
      <c r="I688" s="75"/>
      <c r="J688" s="76"/>
      <c r="K688" s="76"/>
      <c r="L688" s="75"/>
      <c r="M688" s="49"/>
      <c r="N688" s="76"/>
      <c r="O688" s="49"/>
      <c r="P688" s="77"/>
      <c r="Q688" s="53"/>
      <c r="R688" s="54"/>
      <c r="S688" s="55"/>
      <c r="T688" s="56"/>
      <c r="U688" s="56"/>
      <c r="V688" s="42"/>
      <c r="W688" s="57"/>
      <c r="X688" s="58"/>
      <c r="Y688" s="75"/>
      <c r="Z688" s="59"/>
      <c r="AA688" s="61"/>
      <c r="AB688" s="61"/>
      <c r="AC688" s="61"/>
      <c r="AD688" s="62"/>
      <c r="AE688" s="62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</row>
    <row r="689" spans="1:77" x14ac:dyDescent="0.3">
      <c r="A689" s="39"/>
      <c r="B689" s="42"/>
      <c r="C689" s="42"/>
      <c r="D689" s="75"/>
      <c r="E689" s="75"/>
      <c r="F689" s="76"/>
      <c r="G689" s="47"/>
      <c r="H689" s="47"/>
      <c r="I689" s="75"/>
      <c r="J689" s="76"/>
      <c r="K689" s="76"/>
      <c r="L689" s="75"/>
      <c r="M689" s="49"/>
      <c r="N689" s="76"/>
      <c r="O689" s="49"/>
      <c r="P689" s="77"/>
      <c r="Q689" s="53"/>
      <c r="R689" s="54"/>
      <c r="S689" s="55"/>
      <c r="T689" s="56"/>
      <c r="U689" s="56"/>
      <c r="V689" s="42"/>
      <c r="W689" s="57"/>
      <c r="X689" s="58"/>
      <c r="Y689" s="75"/>
      <c r="Z689" s="59"/>
      <c r="AA689" s="61"/>
      <c r="AB689" s="61"/>
      <c r="AC689" s="61"/>
      <c r="AD689" s="62"/>
      <c r="AE689" s="62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</row>
    <row r="690" spans="1:77" x14ac:dyDescent="0.3">
      <c r="A690" s="39"/>
      <c r="B690" s="42"/>
      <c r="C690" s="42"/>
      <c r="D690" s="75"/>
      <c r="E690" s="75"/>
      <c r="F690" s="76"/>
      <c r="G690" s="47"/>
      <c r="H690" s="47"/>
      <c r="I690" s="75"/>
      <c r="J690" s="76"/>
      <c r="K690" s="76"/>
      <c r="L690" s="75"/>
      <c r="M690" s="49"/>
      <c r="N690" s="76"/>
      <c r="O690" s="49"/>
      <c r="P690" s="77"/>
      <c r="Q690" s="53"/>
      <c r="R690" s="54"/>
      <c r="S690" s="55"/>
      <c r="T690" s="56"/>
      <c r="U690" s="56"/>
      <c r="V690" s="42"/>
      <c r="W690" s="57"/>
      <c r="X690" s="58"/>
      <c r="Y690" s="75"/>
      <c r="Z690" s="59"/>
      <c r="AA690" s="61"/>
      <c r="AB690" s="61"/>
      <c r="AC690" s="61"/>
      <c r="AD690" s="62"/>
      <c r="AE690" s="62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</row>
    <row r="691" spans="1:77" x14ac:dyDescent="0.3">
      <c r="A691" s="39"/>
      <c r="B691" s="42"/>
      <c r="C691" s="42"/>
      <c r="D691" s="75"/>
      <c r="E691" s="75"/>
      <c r="F691" s="76"/>
      <c r="G691" s="47"/>
      <c r="H691" s="47"/>
      <c r="I691" s="75"/>
      <c r="J691" s="76"/>
      <c r="K691" s="76"/>
      <c r="L691" s="75"/>
      <c r="M691" s="49"/>
      <c r="N691" s="76"/>
      <c r="O691" s="49"/>
      <c r="P691" s="77"/>
      <c r="Q691" s="53"/>
      <c r="R691" s="54"/>
      <c r="S691" s="55"/>
      <c r="T691" s="56"/>
      <c r="U691" s="56"/>
      <c r="V691" s="42"/>
      <c r="W691" s="57"/>
      <c r="X691" s="58"/>
      <c r="Y691" s="75"/>
      <c r="Z691" s="59"/>
      <c r="AA691" s="61"/>
      <c r="AB691" s="61"/>
      <c r="AC691" s="61"/>
      <c r="AD691" s="62"/>
      <c r="AE691" s="62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</row>
    <row r="692" spans="1:77" x14ac:dyDescent="0.3">
      <c r="A692" s="39"/>
      <c r="B692" s="42"/>
      <c r="C692" s="42"/>
      <c r="D692" s="75"/>
      <c r="E692" s="75"/>
      <c r="F692" s="76"/>
      <c r="G692" s="47"/>
      <c r="H692" s="47"/>
      <c r="I692" s="75"/>
      <c r="J692" s="76"/>
      <c r="K692" s="76"/>
      <c r="L692" s="75"/>
      <c r="M692" s="49"/>
      <c r="N692" s="76"/>
      <c r="O692" s="49"/>
      <c r="P692" s="77"/>
      <c r="Q692" s="53"/>
      <c r="R692" s="54"/>
      <c r="S692" s="55"/>
      <c r="T692" s="56"/>
      <c r="U692" s="56"/>
      <c r="V692" s="42"/>
      <c r="W692" s="57"/>
      <c r="X692" s="58"/>
      <c r="Y692" s="75"/>
      <c r="Z692" s="59"/>
      <c r="AA692" s="61"/>
      <c r="AB692" s="61"/>
      <c r="AC692" s="61"/>
      <c r="AD692" s="62"/>
      <c r="AE692" s="62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</row>
    <row r="693" spans="1:77" x14ac:dyDescent="0.3">
      <c r="A693" s="39"/>
      <c r="B693" s="42"/>
      <c r="C693" s="42"/>
      <c r="D693" s="75"/>
      <c r="E693" s="75"/>
      <c r="F693" s="76"/>
      <c r="G693" s="47"/>
      <c r="H693" s="47"/>
      <c r="I693" s="75"/>
      <c r="J693" s="76"/>
      <c r="K693" s="76"/>
      <c r="L693" s="75"/>
      <c r="M693" s="49"/>
      <c r="N693" s="76"/>
      <c r="O693" s="49"/>
      <c r="P693" s="77"/>
      <c r="Q693" s="53"/>
      <c r="R693" s="54"/>
      <c r="S693" s="55"/>
      <c r="T693" s="56"/>
      <c r="U693" s="56"/>
      <c r="V693" s="42"/>
      <c r="W693" s="57"/>
      <c r="X693" s="58"/>
      <c r="Y693" s="75"/>
      <c r="Z693" s="59"/>
      <c r="AA693" s="61"/>
      <c r="AB693" s="61"/>
      <c r="AC693" s="61"/>
      <c r="AD693" s="62"/>
      <c r="AE693" s="62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</row>
    <row r="694" spans="1:77" x14ac:dyDescent="0.3">
      <c r="A694" s="39"/>
      <c r="B694" s="42"/>
      <c r="C694" s="42"/>
      <c r="D694" s="75"/>
      <c r="E694" s="75"/>
      <c r="F694" s="76"/>
      <c r="G694" s="47"/>
      <c r="H694" s="47"/>
      <c r="I694" s="75"/>
      <c r="J694" s="76"/>
      <c r="K694" s="76"/>
      <c r="L694" s="75"/>
      <c r="M694" s="49"/>
      <c r="N694" s="76"/>
      <c r="O694" s="49"/>
      <c r="P694" s="77"/>
      <c r="Q694" s="53"/>
      <c r="R694" s="54"/>
      <c r="S694" s="55"/>
      <c r="T694" s="56"/>
      <c r="U694" s="56"/>
      <c r="V694" s="42"/>
      <c r="W694" s="57"/>
      <c r="X694" s="58"/>
      <c r="Y694" s="75"/>
      <c r="Z694" s="59"/>
      <c r="AA694" s="61"/>
      <c r="AB694" s="61"/>
      <c r="AC694" s="61"/>
      <c r="AD694" s="62"/>
      <c r="AE694" s="62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</row>
    <row r="695" spans="1:77" x14ac:dyDescent="0.3">
      <c r="A695" s="39"/>
      <c r="B695" s="42"/>
      <c r="C695" s="42"/>
      <c r="D695" s="75"/>
      <c r="E695" s="75"/>
      <c r="F695" s="76"/>
      <c r="G695" s="47"/>
      <c r="H695" s="47"/>
      <c r="I695" s="75"/>
      <c r="J695" s="76"/>
      <c r="K695" s="76"/>
      <c r="L695" s="75"/>
      <c r="M695" s="49"/>
      <c r="N695" s="76"/>
      <c r="O695" s="49"/>
      <c r="P695" s="77"/>
      <c r="Q695" s="53"/>
      <c r="R695" s="54"/>
      <c r="S695" s="55"/>
      <c r="T695" s="56"/>
      <c r="U695" s="56"/>
      <c r="V695" s="42"/>
      <c r="W695" s="57"/>
      <c r="X695" s="58"/>
      <c r="Y695" s="75"/>
      <c r="Z695" s="59"/>
      <c r="AA695" s="61"/>
      <c r="AB695" s="61"/>
      <c r="AC695" s="61"/>
      <c r="AD695" s="62"/>
      <c r="AE695" s="62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</row>
    <row r="696" spans="1:77" x14ac:dyDescent="0.3">
      <c r="A696" s="39"/>
      <c r="B696" s="42"/>
      <c r="C696" s="42"/>
      <c r="D696" s="75"/>
      <c r="E696" s="75"/>
      <c r="F696" s="76"/>
      <c r="G696" s="47"/>
      <c r="H696" s="47"/>
      <c r="I696" s="75"/>
      <c r="J696" s="76"/>
      <c r="K696" s="76"/>
      <c r="L696" s="75"/>
      <c r="M696" s="49"/>
      <c r="N696" s="76"/>
      <c r="O696" s="49"/>
      <c r="P696" s="77"/>
      <c r="Q696" s="53"/>
      <c r="R696" s="54"/>
      <c r="S696" s="55"/>
      <c r="T696" s="56"/>
      <c r="U696" s="56"/>
      <c r="V696" s="42"/>
      <c r="W696" s="57"/>
      <c r="X696" s="58"/>
      <c r="Y696" s="75"/>
      <c r="Z696" s="59"/>
      <c r="AA696" s="61"/>
      <c r="AB696" s="61"/>
      <c r="AC696" s="61"/>
      <c r="AD696" s="62"/>
      <c r="AE696" s="62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</row>
    <row r="697" spans="1:77" x14ac:dyDescent="0.3">
      <c r="A697" s="39"/>
      <c r="B697" s="42"/>
      <c r="C697" s="42"/>
      <c r="D697" s="75"/>
      <c r="E697" s="75"/>
      <c r="F697" s="76"/>
      <c r="G697" s="47"/>
      <c r="H697" s="47"/>
      <c r="I697" s="75"/>
      <c r="J697" s="76"/>
      <c r="K697" s="76"/>
      <c r="L697" s="75"/>
      <c r="M697" s="49"/>
      <c r="N697" s="76"/>
      <c r="O697" s="49"/>
      <c r="P697" s="77"/>
      <c r="Q697" s="53"/>
      <c r="R697" s="54"/>
      <c r="S697" s="55"/>
      <c r="T697" s="56"/>
      <c r="U697" s="56"/>
      <c r="V697" s="42"/>
      <c r="W697" s="57"/>
      <c r="X697" s="58"/>
      <c r="Y697" s="75"/>
      <c r="Z697" s="59"/>
      <c r="AA697" s="61"/>
      <c r="AB697" s="61"/>
      <c r="AC697" s="61"/>
      <c r="AD697" s="62"/>
      <c r="AE697" s="62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</row>
    <row r="698" spans="1:77" x14ac:dyDescent="0.3">
      <c r="A698" s="39"/>
      <c r="B698" s="42"/>
      <c r="C698" s="42"/>
      <c r="D698" s="75"/>
      <c r="E698" s="75"/>
      <c r="F698" s="76"/>
      <c r="G698" s="47"/>
      <c r="H698" s="47"/>
      <c r="I698" s="75"/>
      <c r="J698" s="76"/>
      <c r="K698" s="76"/>
      <c r="L698" s="75"/>
      <c r="M698" s="49"/>
      <c r="N698" s="76"/>
      <c r="O698" s="49"/>
      <c r="P698" s="77"/>
      <c r="Q698" s="53"/>
      <c r="R698" s="54"/>
      <c r="S698" s="55"/>
      <c r="T698" s="56"/>
      <c r="U698" s="56"/>
      <c r="V698" s="42"/>
      <c r="W698" s="57"/>
      <c r="X698" s="58"/>
      <c r="Y698" s="75"/>
      <c r="Z698" s="59"/>
      <c r="AA698" s="61"/>
      <c r="AB698" s="61"/>
      <c r="AC698" s="61"/>
      <c r="AD698" s="62"/>
      <c r="AE698" s="62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</row>
    <row r="699" spans="1:77" x14ac:dyDescent="0.3">
      <c r="A699" s="39"/>
      <c r="B699" s="42"/>
      <c r="C699" s="42"/>
      <c r="D699" s="75"/>
      <c r="E699" s="75"/>
      <c r="F699" s="76"/>
      <c r="G699" s="47"/>
      <c r="H699" s="47"/>
      <c r="I699" s="75"/>
      <c r="J699" s="76"/>
      <c r="K699" s="76"/>
      <c r="L699" s="75"/>
      <c r="M699" s="49"/>
      <c r="N699" s="76"/>
      <c r="O699" s="49"/>
      <c r="P699" s="77"/>
      <c r="Q699" s="53"/>
      <c r="R699" s="54"/>
      <c r="S699" s="55"/>
      <c r="T699" s="56"/>
      <c r="U699" s="56"/>
      <c r="V699" s="42"/>
      <c r="W699" s="57"/>
      <c r="X699" s="58"/>
      <c r="Y699" s="75"/>
      <c r="Z699" s="59"/>
      <c r="AA699" s="61"/>
      <c r="AB699" s="61"/>
      <c r="AC699" s="61"/>
      <c r="AD699" s="62"/>
      <c r="AE699" s="62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</row>
    <row r="700" spans="1:77" x14ac:dyDescent="0.3">
      <c r="A700" s="39"/>
      <c r="B700" s="42"/>
      <c r="C700" s="42"/>
      <c r="D700" s="75"/>
      <c r="E700" s="75"/>
      <c r="F700" s="76"/>
      <c r="G700" s="47"/>
      <c r="H700" s="47"/>
      <c r="I700" s="75"/>
      <c r="J700" s="76"/>
      <c r="K700" s="76"/>
      <c r="L700" s="75"/>
      <c r="M700" s="49"/>
      <c r="N700" s="76"/>
      <c r="O700" s="49"/>
      <c r="P700" s="77"/>
      <c r="Q700" s="53"/>
      <c r="R700" s="54"/>
      <c r="S700" s="55"/>
      <c r="T700" s="56"/>
      <c r="U700" s="56"/>
      <c r="V700" s="42"/>
      <c r="W700" s="57"/>
      <c r="X700" s="58"/>
      <c r="Y700" s="75"/>
      <c r="Z700" s="59"/>
      <c r="AA700" s="61"/>
      <c r="AB700" s="61"/>
      <c r="AC700" s="61"/>
      <c r="AD700" s="62"/>
      <c r="AE700" s="62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</row>
    <row r="701" spans="1:77" x14ac:dyDescent="0.3">
      <c r="A701" s="39"/>
      <c r="B701" s="42"/>
      <c r="C701" s="42"/>
      <c r="D701" s="75"/>
      <c r="E701" s="75"/>
      <c r="F701" s="76"/>
      <c r="G701" s="47"/>
      <c r="H701" s="47"/>
      <c r="I701" s="75"/>
      <c r="J701" s="76"/>
      <c r="K701" s="76"/>
      <c r="L701" s="75"/>
      <c r="M701" s="49"/>
      <c r="N701" s="76"/>
      <c r="O701" s="49"/>
      <c r="P701" s="77"/>
      <c r="Q701" s="53"/>
      <c r="R701" s="54"/>
      <c r="S701" s="55"/>
      <c r="T701" s="56"/>
      <c r="U701" s="56"/>
      <c r="V701" s="42"/>
      <c r="W701" s="57"/>
      <c r="X701" s="58"/>
      <c r="Y701" s="75"/>
      <c r="Z701" s="59"/>
      <c r="AA701" s="61"/>
      <c r="AB701" s="61"/>
      <c r="AC701" s="61"/>
      <c r="AD701" s="62"/>
      <c r="AE701" s="62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</row>
    <row r="702" spans="1:77" x14ac:dyDescent="0.3">
      <c r="A702" s="39"/>
      <c r="B702" s="42"/>
      <c r="C702" s="42"/>
      <c r="D702" s="75"/>
      <c r="E702" s="75"/>
      <c r="F702" s="76"/>
      <c r="G702" s="47"/>
      <c r="H702" s="47"/>
      <c r="I702" s="75"/>
      <c r="J702" s="76"/>
      <c r="K702" s="76"/>
      <c r="L702" s="75"/>
      <c r="M702" s="49"/>
      <c r="N702" s="76"/>
      <c r="O702" s="49"/>
      <c r="P702" s="77"/>
      <c r="Q702" s="53"/>
      <c r="R702" s="54"/>
      <c r="S702" s="55"/>
      <c r="T702" s="56"/>
      <c r="U702" s="56"/>
      <c r="V702" s="42"/>
      <c r="W702" s="57"/>
      <c r="X702" s="58"/>
      <c r="Y702" s="75"/>
      <c r="Z702" s="59"/>
      <c r="AA702" s="61"/>
      <c r="AB702" s="61"/>
      <c r="AC702" s="61"/>
      <c r="AD702" s="62"/>
      <c r="AE702" s="62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</row>
    <row r="703" spans="1:77" x14ac:dyDescent="0.3">
      <c r="A703" s="39"/>
      <c r="B703" s="42"/>
      <c r="C703" s="42"/>
      <c r="D703" s="75"/>
      <c r="E703" s="75"/>
      <c r="F703" s="76"/>
      <c r="G703" s="47"/>
      <c r="H703" s="47"/>
      <c r="I703" s="75"/>
      <c r="J703" s="76"/>
      <c r="K703" s="76"/>
      <c r="L703" s="75"/>
      <c r="M703" s="49"/>
      <c r="N703" s="76"/>
      <c r="O703" s="49"/>
      <c r="P703" s="77"/>
      <c r="Q703" s="53"/>
      <c r="R703" s="54"/>
      <c r="S703" s="55"/>
      <c r="T703" s="56"/>
      <c r="U703" s="56"/>
      <c r="V703" s="42"/>
      <c r="W703" s="57"/>
      <c r="X703" s="58"/>
      <c r="Y703" s="75"/>
      <c r="Z703" s="59"/>
      <c r="AA703" s="61"/>
      <c r="AB703" s="61"/>
      <c r="AC703" s="61"/>
      <c r="AD703" s="62"/>
      <c r="AE703" s="62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</row>
    <row r="704" spans="1:77" x14ac:dyDescent="0.3">
      <c r="A704" s="39"/>
      <c r="B704" s="42"/>
      <c r="C704" s="42"/>
      <c r="D704" s="75"/>
      <c r="E704" s="75"/>
      <c r="F704" s="76"/>
      <c r="G704" s="47"/>
      <c r="H704" s="47"/>
      <c r="I704" s="75"/>
      <c r="J704" s="76"/>
      <c r="K704" s="76"/>
      <c r="L704" s="75"/>
      <c r="M704" s="49"/>
      <c r="N704" s="76"/>
      <c r="O704" s="49"/>
      <c r="P704" s="77"/>
      <c r="Q704" s="53"/>
      <c r="R704" s="54"/>
      <c r="S704" s="55"/>
      <c r="T704" s="56"/>
      <c r="U704" s="56"/>
      <c r="V704" s="42"/>
      <c r="W704" s="57"/>
      <c r="X704" s="58"/>
      <c r="Y704" s="75"/>
      <c r="Z704" s="59"/>
      <c r="AA704" s="61"/>
      <c r="AB704" s="61"/>
      <c r="AC704" s="61"/>
      <c r="AD704" s="62"/>
      <c r="AE704" s="62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</row>
    <row r="705" spans="1:77" x14ac:dyDescent="0.3">
      <c r="A705" s="39"/>
      <c r="B705" s="42"/>
      <c r="C705" s="42"/>
      <c r="D705" s="75"/>
      <c r="E705" s="75"/>
      <c r="F705" s="76"/>
      <c r="G705" s="47"/>
      <c r="H705" s="47"/>
      <c r="I705" s="75"/>
      <c r="J705" s="76"/>
      <c r="K705" s="76"/>
      <c r="L705" s="75"/>
      <c r="M705" s="49"/>
      <c r="N705" s="76"/>
      <c r="O705" s="49"/>
      <c r="P705" s="77"/>
      <c r="Q705" s="53"/>
      <c r="R705" s="54"/>
      <c r="S705" s="55"/>
      <c r="T705" s="56"/>
      <c r="U705" s="56"/>
      <c r="V705" s="42"/>
      <c r="W705" s="57"/>
      <c r="X705" s="58"/>
      <c r="Y705" s="75"/>
      <c r="Z705" s="59"/>
      <c r="AA705" s="61"/>
      <c r="AB705" s="61"/>
      <c r="AC705" s="61"/>
      <c r="AD705" s="62"/>
      <c r="AE705" s="62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</row>
    <row r="706" spans="1:77" x14ac:dyDescent="0.3">
      <c r="A706" s="39"/>
      <c r="B706" s="42"/>
      <c r="C706" s="42"/>
      <c r="D706" s="75"/>
      <c r="E706" s="75"/>
      <c r="F706" s="76"/>
      <c r="G706" s="47"/>
      <c r="H706" s="47"/>
      <c r="I706" s="75"/>
      <c r="J706" s="76"/>
      <c r="K706" s="76"/>
      <c r="L706" s="75"/>
      <c r="M706" s="49"/>
      <c r="N706" s="76"/>
      <c r="O706" s="49"/>
      <c r="P706" s="77"/>
      <c r="Q706" s="53"/>
      <c r="R706" s="54"/>
      <c r="S706" s="55"/>
      <c r="T706" s="56"/>
      <c r="U706" s="56"/>
      <c r="V706" s="42"/>
      <c r="W706" s="57"/>
      <c r="X706" s="58"/>
      <c r="Y706" s="75"/>
      <c r="Z706" s="59"/>
      <c r="AA706" s="61"/>
      <c r="AB706" s="61"/>
      <c r="AC706" s="61"/>
      <c r="AD706" s="62"/>
      <c r="AE706" s="62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</row>
    <row r="707" spans="1:77" x14ac:dyDescent="0.3">
      <c r="A707" s="39"/>
      <c r="B707" s="42"/>
      <c r="C707" s="42"/>
      <c r="D707" s="75"/>
      <c r="E707" s="75"/>
      <c r="F707" s="76"/>
      <c r="G707" s="47"/>
      <c r="H707" s="47"/>
      <c r="I707" s="75"/>
      <c r="J707" s="76"/>
      <c r="K707" s="76"/>
      <c r="L707" s="75"/>
      <c r="M707" s="49"/>
      <c r="N707" s="76"/>
      <c r="O707" s="49"/>
      <c r="P707" s="77"/>
      <c r="Q707" s="53"/>
      <c r="R707" s="54"/>
      <c r="S707" s="55"/>
      <c r="T707" s="56"/>
      <c r="U707" s="56"/>
      <c r="V707" s="42"/>
      <c r="W707" s="57"/>
      <c r="X707" s="58"/>
      <c r="Y707" s="75"/>
      <c r="Z707" s="59"/>
      <c r="AA707" s="61"/>
      <c r="AB707" s="61"/>
      <c r="AC707" s="61"/>
      <c r="AD707" s="62"/>
      <c r="AE707" s="62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</row>
    <row r="708" spans="1:77" x14ac:dyDescent="0.3">
      <c r="A708" s="39"/>
      <c r="B708" s="42"/>
      <c r="C708" s="42"/>
      <c r="D708" s="75"/>
      <c r="E708" s="75"/>
      <c r="F708" s="76"/>
      <c r="G708" s="47"/>
      <c r="H708" s="47"/>
      <c r="I708" s="75"/>
      <c r="J708" s="76"/>
      <c r="K708" s="76"/>
      <c r="L708" s="75"/>
      <c r="M708" s="49"/>
      <c r="N708" s="76"/>
      <c r="O708" s="49"/>
      <c r="P708" s="77"/>
      <c r="Q708" s="53"/>
      <c r="R708" s="54"/>
      <c r="S708" s="55"/>
      <c r="T708" s="56"/>
      <c r="U708" s="56"/>
      <c r="V708" s="42"/>
      <c r="W708" s="57"/>
      <c r="X708" s="58"/>
      <c r="Y708" s="75"/>
      <c r="Z708" s="59"/>
      <c r="AA708" s="61"/>
      <c r="AB708" s="61"/>
      <c r="AC708" s="61"/>
      <c r="AD708" s="62"/>
      <c r="AE708" s="62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</row>
    <row r="709" spans="1:77" x14ac:dyDescent="0.3">
      <c r="A709" s="39"/>
      <c r="B709" s="42"/>
      <c r="C709" s="42"/>
      <c r="D709" s="75"/>
      <c r="E709" s="75"/>
      <c r="F709" s="76"/>
      <c r="G709" s="47"/>
      <c r="H709" s="47"/>
      <c r="I709" s="75"/>
      <c r="J709" s="76"/>
      <c r="K709" s="76"/>
      <c r="L709" s="75"/>
      <c r="M709" s="49"/>
      <c r="N709" s="76"/>
      <c r="O709" s="49"/>
      <c r="P709" s="77"/>
      <c r="Q709" s="53"/>
      <c r="R709" s="54"/>
      <c r="S709" s="55"/>
      <c r="T709" s="56"/>
      <c r="U709" s="56"/>
      <c r="V709" s="42"/>
      <c r="W709" s="57"/>
      <c r="X709" s="58"/>
      <c r="Y709" s="75"/>
      <c r="Z709" s="59"/>
      <c r="AA709" s="61"/>
      <c r="AB709" s="61"/>
      <c r="AC709" s="61"/>
      <c r="AD709" s="62"/>
      <c r="AE709" s="62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</row>
    <row r="710" spans="1:77" x14ac:dyDescent="0.3">
      <c r="A710" s="39"/>
      <c r="B710" s="42"/>
      <c r="C710" s="42"/>
      <c r="D710" s="75"/>
      <c r="E710" s="75"/>
      <c r="F710" s="76"/>
      <c r="G710" s="47"/>
      <c r="H710" s="47"/>
      <c r="I710" s="75"/>
      <c r="J710" s="76"/>
      <c r="K710" s="76"/>
      <c r="L710" s="75"/>
      <c r="M710" s="49"/>
      <c r="N710" s="76"/>
      <c r="O710" s="49"/>
      <c r="P710" s="77"/>
      <c r="Q710" s="53"/>
      <c r="R710" s="54"/>
      <c r="S710" s="55"/>
      <c r="T710" s="56"/>
      <c r="U710" s="56"/>
      <c r="V710" s="42"/>
      <c r="W710" s="57"/>
      <c r="X710" s="58"/>
      <c r="Y710" s="75"/>
      <c r="Z710" s="59"/>
      <c r="AA710" s="61"/>
      <c r="AB710" s="61"/>
      <c r="AC710" s="61"/>
      <c r="AD710" s="62"/>
      <c r="AE710" s="62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</row>
    <row r="711" spans="1:77" x14ac:dyDescent="0.3">
      <c r="A711" s="39"/>
      <c r="B711" s="42"/>
      <c r="C711" s="42"/>
      <c r="D711" s="75"/>
      <c r="E711" s="75"/>
      <c r="F711" s="76"/>
      <c r="G711" s="47"/>
      <c r="H711" s="47"/>
      <c r="I711" s="75"/>
      <c r="J711" s="76"/>
      <c r="K711" s="76"/>
      <c r="L711" s="75"/>
      <c r="M711" s="49"/>
      <c r="N711" s="76"/>
      <c r="O711" s="49"/>
      <c r="P711" s="77"/>
      <c r="Q711" s="53"/>
      <c r="R711" s="54"/>
      <c r="S711" s="55"/>
      <c r="T711" s="56"/>
      <c r="U711" s="56"/>
      <c r="V711" s="42"/>
      <c r="W711" s="57"/>
      <c r="X711" s="58"/>
      <c r="Y711" s="75"/>
      <c r="Z711" s="59"/>
      <c r="AA711" s="61"/>
      <c r="AB711" s="61"/>
      <c r="AC711" s="61"/>
      <c r="AD711" s="62"/>
      <c r="AE711" s="62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</row>
    <row r="712" spans="1:77" x14ac:dyDescent="0.3">
      <c r="A712" s="39"/>
      <c r="B712" s="42"/>
      <c r="C712" s="42"/>
      <c r="D712" s="75"/>
      <c r="E712" s="75"/>
      <c r="F712" s="76"/>
      <c r="G712" s="47"/>
      <c r="H712" s="47"/>
      <c r="I712" s="75"/>
      <c r="J712" s="76"/>
      <c r="K712" s="76"/>
      <c r="L712" s="75"/>
      <c r="M712" s="49"/>
      <c r="N712" s="76"/>
      <c r="O712" s="49"/>
      <c r="P712" s="77"/>
      <c r="Q712" s="53"/>
      <c r="R712" s="54"/>
      <c r="S712" s="55"/>
      <c r="T712" s="56"/>
      <c r="U712" s="56"/>
      <c r="V712" s="42"/>
      <c r="W712" s="57"/>
      <c r="X712" s="58"/>
      <c r="Y712" s="75"/>
      <c r="Z712" s="59"/>
      <c r="AA712" s="61"/>
      <c r="AB712" s="61"/>
      <c r="AC712" s="61"/>
      <c r="AD712" s="62"/>
      <c r="AE712" s="62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</row>
    <row r="713" spans="1:77" x14ac:dyDescent="0.3">
      <c r="A713" s="39"/>
      <c r="B713" s="42"/>
      <c r="C713" s="42"/>
      <c r="D713" s="75"/>
      <c r="E713" s="75"/>
      <c r="F713" s="76"/>
      <c r="G713" s="47"/>
      <c r="H713" s="47"/>
      <c r="I713" s="75"/>
      <c r="J713" s="76"/>
      <c r="K713" s="76"/>
      <c r="L713" s="75"/>
      <c r="M713" s="49"/>
      <c r="N713" s="76"/>
      <c r="O713" s="49"/>
      <c r="P713" s="77"/>
      <c r="Q713" s="53"/>
      <c r="R713" s="54"/>
      <c r="S713" s="55"/>
      <c r="T713" s="56"/>
      <c r="U713" s="56"/>
      <c r="V713" s="42"/>
      <c r="W713" s="57"/>
      <c r="X713" s="58"/>
      <c r="Y713" s="75"/>
      <c r="Z713" s="59"/>
      <c r="AA713" s="61"/>
      <c r="AB713" s="61"/>
      <c r="AC713" s="61"/>
      <c r="AD713" s="62"/>
      <c r="AE713" s="62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</row>
    <row r="714" spans="1:77" x14ac:dyDescent="0.3">
      <c r="A714" s="39"/>
      <c r="B714" s="42"/>
      <c r="C714" s="42"/>
      <c r="D714" s="75"/>
      <c r="E714" s="75"/>
      <c r="F714" s="76"/>
      <c r="G714" s="47"/>
      <c r="H714" s="47"/>
      <c r="I714" s="75"/>
      <c r="J714" s="76"/>
      <c r="K714" s="76"/>
      <c r="L714" s="75"/>
      <c r="M714" s="49"/>
      <c r="N714" s="76"/>
      <c r="O714" s="49"/>
      <c r="P714" s="77"/>
      <c r="Q714" s="53"/>
      <c r="R714" s="54"/>
      <c r="S714" s="55"/>
      <c r="T714" s="56"/>
      <c r="U714" s="56"/>
      <c r="V714" s="42"/>
      <c r="W714" s="57"/>
      <c r="X714" s="58"/>
      <c r="Y714" s="75"/>
      <c r="Z714" s="59"/>
      <c r="AA714" s="61"/>
      <c r="AB714" s="61"/>
      <c r="AC714" s="61"/>
      <c r="AD714" s="62"/>
      <c r="AE714" s="62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</row>
    <row r="715" spans="1:77" x14ac:dyDescent="0.3">
      <c r="A715" s="39"/>
      <c r="B715" s="42"/>
      <c r="C715" s="42"/>
      <c r="D715" s="75"/>
      <c r="E715" s="75"/>
      <c r="F715" s="76"/>
      <c r="G715" s="47"/>
      <c r="H715" s="47"/>
      <c r="I715" s="75"/>
      <c r="J715" s="76"/>
      <c r="K715" s="76"/>
      <c r="L715" s="75"/>
      <c r="M715" s="49"/>
      <c r="N715" s="76"/>
      <c r="O715" s="49"/>
      <c r="P715" s="77"/>
      <c r="Q715" s="53"/>
      <c r="R715" s="54"/>
      <c r="S715" s="55"/>
      <c r="T715" s="56"/>
      <c r="U715" s="56"/>
      <c r="V715" s="42"/>
      <c r="W715" s="57"/>
      <c r="X715" s="58"/>
      <c r="Y715" s="75"/>
      <c r="Z715" s="59"/>
      <c r="AA715" s="61"/>
      <c r="AB715" s="61"/>
      <c r="AC715" s="61"/>
      <c r="AD715" s="62"/>
      <c r="AE715" s="62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</row>
    <row r="716" spans="1:77" x14ac:dyDescent="0.3">
      <c r="A716" s="39"/>
      <c r="B716" s="42"/>
      <c r="C716" s="42"/>
      <c r="D716" s="75"/>
      <c r="E716" s="75"/>
      <c r="F716" s="76"/>
      <c r="G716" s="47"/>
      <c r="H716" s="47"/>
      <c r="I716" s="75"/>
      <c r="J716" s="76"/>
      <c r="K716" s="76"/>
      <c r="L716" s="75"/>
      <c r="M716" s="49"/>
      <c r="N716" s="76"/>
      <c r="O716" s="49"/>
      <c r="P716" s="77"/>
      <c r="Q716" s="53"/>
      <c r="R716" s="54"/>
      <c r="S716" s="55"/>
      <c r="T716" s="56"/>
      <c r="U716" s="56"/>
      <c r="V716" s="42"/>
      <c r="W716" s="57"/>
      <c r="X716" s="58"/>
      <c r="Y716" s="75"/>
      <c r="Z716" s="59"/>
      <c r="AA716" s="61"/>
      <c r="AB716" s="61"/>
      <c r="AC716" s="61"/>
      <c r="AD716" s="62"/>
      <c r="AE716" s="62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</row>
    <row r="717" spans="1:77" x14ac:dyDescent="0.3">
      <c r="A717" s="39"/>
      <c r="B717" s="42"/>
      <c r="C717" s="42"/>
      <c r="D717" s="75"/>
      <c r="E717" s="75"/>
      <c r="F717" s="76"/>
      <c r="G717" s="47"/>
      <c r="H717" s="47"/>
      <c r="I717" s="75"/>
      <c r="J717" s="76"/>
      <c r="K717" s="76"/>
      <c r="L717" s="75"/>
      <c r="M717" s="49"/>
      <c r="N717" s="76"/>
      <c r="O717" s="49"/>
      <c r="P717" s="77"/>
      <c r="Q717" s="53"/>
      <c r="R717" s="54"/>
      <c r="S717" s="55"/>
      <c r="T717" s="56"/>
      <c r="U717" s="56"/>
      <c r="V717" s="42"/>
      <c r="W717" s="57"/>
      <c r="X717" s="58"/>
      <c r="Y717" s="75"/>
      <c r="Z717" s="59"/>
      <c r="AA717" s="61"/>
      <c r="AB717" s="61"/>
      <c r="AC717" s="61"/>
      <c r="AD717" s="62"/>
      <c r="AE717" s="62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</row>
    <row r="718" spans="1:77" x14ac:dyDescent="0.3">
      <c r="A718" s="39"/>
      <c r="B718" s="42"/>
      <c r="C718" s="42"/>
      <c r="D718" s="75"/>
      <c r="E718" s="75"/>
      <c r="F718" s="76"/>
      <c r="G718" s="47"/>
      <c r="H718" s="47"/>
      <c r="I718" s="75"/>
      <c r="J718" s="76"/>
      <c r="K718" s="76"/>
      <c r="L718" s="75"/>
      <c r="M718" s="49"/>
      <c r="N718" s="76"/>
      <c r="O718" s="49"/>
      <c r="P718" s="77"/>
      <c r="Q718" s="53"/>
      <c r="R718" s="54"/>
      <c r="S718" s="55"/>
      <c r="T718" s="56"/>
      <c r="U718" s="56"/>
      <c r="V718" s="42"/>
      <c r="W718" s="57"/>
      <c r="X718" s="58"/>
      <c r="Y718" s="75"/>
      <c r="Z718" s="59"/>
      <c r="AA718" s="61"/>
      <c r="AB718" s="61"/>
      <c r="AC718" s="61"/>
      <c r="AD718" s="62"/>
      <c r="AE718" s="62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</row>
    <row r="719" spans="1:77" x14ac:dyDescent="0.3">
      <c r="A719" s="39"/>
      <c r="B719" s="42"/>
      <c r="C719" s="42"/>
      <c r="D719" s="75"/>
      <c r="E719" s="75"/>
      <c r="F719" s="76"/>
      <c r="G719" s="47"/>
      <c r="H719" s="47"/>
      <c r="I719" s="75"/>
      <c r="J719" s="76"/>
      <c r="K719" s="76"/>
      <c r="L719" s="75"/>
      <c r="M719" s="49"/>
      <c r="N719" s="76"/>
      <c r="O719" s="49"/>
      <c r="P719" s="77"/>
      <c r="Q719" s="53"/>
      <c r="R719" s="54"/>
      <c r="S719" s="55"/>
      <c r="T719" s="56"/>
      <c r="U719" s="56"/>
      <c r="V719" s="42"/>
      <c r="W719" s="57"/>
      <c r="X719" s="58"/>
      <c r="Y719" s="75"/>
      <c r="Z719" s="59"/>
      <c r="AA719" s="61"/>
      <c r="AB719" s="61"/>
      <c r="AC719" s="61"/>
      <c r="AD719" s="62"/>
      <c r="AE719" s="62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</row>
    <row r="720" spans="1:77" x14ac:dyDescent="0.3">
      <c r="A720" s="39"/>
      <c r="B720" s="42"/>
      <c r="C720" s="42"/>
      <c r="D720" s="75"/>
      <c r="E720" s="75"/>
      <c r="F720" s="76"/>
      <c r="G720" s="47"/>
      <c r="H720" s="47"/>
      <c r="I720" s="75"/>
      <c r="J720" s="76"/>
      <c r="K720" s="76"/>
      <c r="L720" s="75"/>
      <c r="M720" s="49"/>
      <c r="N720" s="76"/>
      <c r="O720" s="49"/>
      <c r="P720" s="77"/>
      <c r="Q720" s="53"/>
      <c r="R720" s="54"/>
      <c r="S720" s="55"/>
      <c r="T720" s="56"/>
      <c r="U720" s="56"/>
      <c r="V720" s="42"/>
      <c r="W720" s="57"/>
      <c r="X720" s="58"/>
      <c r="Y720" s="75"/>
      <c r="Z720" s="59"/>
      <c r="AA720" s="61"/>
      <c r="AB720" s="61"/>
      <c r="AC720" s="61"/>
      <c r="AD720" s="62"/>
      <c r="AE720" s="62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</row>
    <row r="721" spans="1:77" x14ac:dyDescent="0.3">
      <c r="A721" s="39"/>
      <c r="B721" s="42"/>
      <c r="C721" s="42"/>
      <c r="D721" s="75"/>
      <c r="E721" s="75"/>
      <c r="F721" s="76"/>
      <c r="G721" s="47"/>
      <c r="H721" s="47"/>
      <c r="I721" s="75"/>
      <c r="J721" s="76"/>
      <c r="K721" s="76"/>
      <c r="L721" s="75"/>
      <c r="M721" s="49"/>
      <c r="N721" s="76"/>
      <c r="O721" s="49"/>
      <c r="P721" s="77"/>
      <c r="Q721" s="53"/>
      <c r="R721" s="54"/>
      <c r="S721" s="55"/>
      <c r="T721" s="56"/>
      <c r="U721" s="56"/>
      <c r="V721" s="42"/>
      <c r="W721" s="57"/>
      <c r="X721" s="58"/>
      <c r="Y721" s="75"/>
      <c r="Z721" s="59"/>
      <c r="AA721" s="61"/>
      <c r="AB721" s="61"/>
      <c r="AC721" s="61"/>
      <c r="AD721" s="62"/>
      <c r="AE721" s="62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</row>
    <row r="722" spans="1:77" x14ac:dyDescent="0.3">
      <c r="A722" s="39"/>
      <c r="B722" s="42"/>
      <c r="C722" s="42"/>
      <c r="D722" s="75"/>
      <c r="E722" s="75"/>
      <c r="F722" s="76"/>
      <c r="G722" s="47"/>
      <c r="H722" s="47"/>
      <c r="I722" s="75"/>
      <c r="J722" s="76"/>
      <c r="K722" s="76"/>
      <c r="L722" s="75"/>
      <c r="M722" s="49"/>
      <c r="N722" s="76"/>
      <c r="O722" s="49"/>
      <c r="P722" s="77"/>
      <c r="Q722" s="53"/>
      <c r="R722" s="54"/>
      <c r="S722" s="55"/>
      <c r="T722" s="56"/>
      <c r="U722" s="56"/>
      <c r="V722" s="42"/>
      <c r="W722" s="57"/>
      <c r="X722" s="58"/>
      <c r="Y722" s="75"/>
      <c r="Z722" s="59"/>
      <c r="AA722" s="61"/>
      <c r="AB722" s="61"/>
      <c r="AC722" s="61"/>
      <c r="AD722" s="62"/>
      <c r="AE722" s="62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</row>
    <row r="723" spans="1:77" x14ac:dyDescent="0.3">
      <c r="A723" s="39"/>
      <c r="B723" s="42"/>
      <c r="C723" s="42"/>
      <c r="D723" s="75"/>
      <c r="E723" s="75"/>
      <c r="F723" s="76"/>
      <c r="G723" s="47"/>
      <c r="H723" s="47"/>
      <c r="I723" s="75"/>
      <c r="J723" s="76"/>
      <c r="K723" s="76"/>
      <c r="L723" s="75"/>
      <c r="M723" s="49"/>
      <c r="N723" s="76"/>
      <c r="O723" s="49"/>
      <c r="P723" s="77"/>
      <c r="Q723" s="53"/>
      <c r="R723" s="54"/>
      <c r="S723" s="55"/>
      <c r="T723" s="56"/>
      <c r="U723" s="56"/>
      <c r="V723" s="42"/>
      <c r="W723" s="57"/>
      <c r="X723" s="58"/>
      <c r="Y723" s="75"/>
      <c r="Z723" s="59"/>
      <c r="AA723" s="61"/>
      <c r="AB723" s="61"/>
      <c r="AC723" s="61"/>
      <c r="AD723" s="62"/>
      <c r="AE723" s="62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</row>
    <row r="724" spans="1:77" x14ac:dyDescent="0.3">
      <c r="A724" s="39"/>
      <c r="B724" s="42"/>
      <c r="C724" s="42"/>
      <c r="D724" s="75"/>
      <c r="E724" s="75"/>
      <c r="F724" s="76"/>
      <c r="G724" s="47"/>
      <c r="H724" s="47"/>
      <c r="I724" s="75"/>
      <c r="J724" s="76"/>
      <c r="K724" s="76"/>
      <c r="L724" s="75"/>
      <c r="M724" s="49"/>
      <c r="N724" s="76"/>
      <c r="O724" s="49"/>
      <c r="P724" s="77"/>
      <c r="Q724" s="53"/>
      <c r="R724" s="54"/>
      <c r="S724" s="55"/>
      <c r="T724" s="56"/>
      <c r="U724" s="56"/>
      <c r="V724" s="42"/>
      <c r="W724" s="57"/>
      <c r="X724" s="58"/>
      <c r="Y724" s="75"/>
      <c r="Z724" s="59"/>
      <c r="AA724" s="61"/>
      <c r="AB724" s="61"/>
      <c r="AC724" s="61"/>
      <c r="AD724" s="62"/>
      <c r="AE724" s="62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</row>
    <row r="725" spans="1:77" x14ac:dyDescent="0.3">
      <c r="A725" s="39"/>
      <c r="B725" s="42"/>
      <c r="C725" s="42"/>
      <c r="D725" s="75"/>
      <c r="E725" s="75"/>
      <c r="F725" s="76"/>
      <c r="G725" s="47"/>
      <c r="H725" s="47"/>
      <c r="I725" s="75"/>
      <c r="J725" s="76"/>
      <c r="K725" s="76"/>
      <c r="L725" s="75"/>
      <c r="M725" s="49"/>
      <c r="N725" s="76"/>
      <c r="O725" s="49"/>
      <c r="P725" s="77"/>
      <c r="Q725" s="53"/>
      <c r="R725" s="54"/>
      <c r="S725" s="55"/>
      <c r="T725" s="56"/>
      <c r="U725" s="56"/>
      <c r="V725" s="42"/>
      <c r="W725" s="57"/>
      <c r="X725" s="58"/>
      <c r="Y725" s="75"/>
      <c r="Z725" s="59"/>
      <c r="AA725" s="61"/>
      <c r="AB725" s="61"/>
      <c r="AC725" s="61"/>
      <c r="AD725" s="62"/>
      <c r="AE725" s="62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</row>
    <row r="726" spans="1:77" x14ac:dyDescent="0.3">
      <c r="A726" s="39"/>
      <c r="B726" s="42"/>
      <c r="C726" s="42"/>
      <c r="D726" s="75"/>
      <c r="E726" s="75"/>
      <c r="F726" s="76"/>
      <c r="G726" s="47"/>
      <c r="H726" s="47"/>
      <c r="I726" s="75"/>
      <c r="J726" s="76"/>
      <c r="K726" s="76"/>
      <c r="L726" s="75"/>
      <c r="M726" s="49"/>
      <c r="N726" s="76"/>
      <c r="O726" s="49"/>
      <c r="P726" s="77"/>
      <c r="Q726" s="53"/>
      <c r="R726" s="54"/>
      <c r="S726" s="55"/>
      <c r="T726" s="56"/>
      <c r="U726" s="56"/>
      <c r="V726" s="42"/>
      <c r="W726" s="57"/>
      <c r="X726" s="58"/>
      <c r="Y726" s="75"/>
      <c r="Z726" s="59"/>
      <c r="AA726" s="61"/>
      <c r="AB726" s="61"/>
      <c r="AC726" s="61"/>
      <c r="AD726" s="62"/>
      <c r="AE726" s="62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</row>
    <row r="727" spans="1:77" x14ac:dyDescent="0.3">
      <c r="A727" s="39"/>
      <c r="B727" s="42"/>
      <c r="C727" s="42"/>
      <c r="D727" s="75"/>
      <c r="E727" s="75"/>
      <c r="F727" s="76"/>
      <c r="G727" s="47"/>
      <c r="H727" s="47"/>
      <c r="I727" s="75"/>
      <c r="J727" s="76"/>
      <c r="K727" s="76"/>
      <c r="L727" s="75"/>
      <c r="M727" s="49"/>
      <c r="N727" s="76"/>
      <c r="O727" s="49"/>
      <c r="P727" s="77"/>
      <c r="Q727" s="53"/>
      <c r="R727" s="54"/>
      <c r="S727" s="55"/>
      <c r="T727" s="56"/>
      <c r="U727" s="56"/>
      <c r="V727" s="42"/>
      <c r="W727" s="57"/>
      <c r="X727" s="58"/>
      <c r="Y727" s="75"/>
      <c r="Z727" s="59"/>
      <c r="AA727" s="61"/>
      <c r="AB727" s="61"/>
      <c r="AC727" s="61"/>
      <c r="AD727" s="62"/>
      <c r="AE727" s="62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</row>
    <row r="728" spans="1:77" x14ac:dyDescent="0.3">
      <c r="A728" s="39"/>
      <c r="B728" s="42"/>
      <c r="C728" s="42"/>
      <c r="D728" s="75"/>
      <c r="E728" s="75"/>
      <c r="F728" s="76"/>
      <c r="G728" s="47"/>
      <c r="H728" s="47"/>
      <c r="I728" s="75"/>
      <c r="J728" s="76"/>
      <c r="K728" s="76"/>
      <c r="L728" s="75"/>
      <c r="M728" s="49"/>
      <c r="N728" s="76"/>
      <c r="O728" s="49"/>
      <c r="P728" s="77"/>
      <c r="Q728" s="53"/>
      <c r="R728" s="54"/>
      <c r="S728" s="55"/>
      <c r="T728" s="56"/>
      <c r="U728" s="56"/>
      <c r="V728" s="42"/>
      <c r="W728" s="57"/>
      <c r="X728" s="58"/>
      <c r="Y728" s="75"/>
      <c r="Z728" s="59"/>
      <c r="AA728" s="61"/>
      <c r="AB728" s="61"/>
      <c r="AC728" s="61"/>
      <c r="AD728" s="62"/>
      <c r="AE728" s="62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</row>
    <row r="729" spans="1:77" x14ac:dyDescent="0.3">
      <c r="A729" s="39"/>
      <c r="B729" s="42"/>
      <c r="C729" s="42"/>
      <c r="D729" s="75"/>
      <c r="E729" s="75"/>
      <c r="F729" s="76"/>
      <c r="G729" s="47"/>
      <c r="H729" s="47"/>
      <c r="I729" s="75"/>
      <c r="J729" s="76"/>
      <c r="K729" s="76"/>
      <c r="L729" s="75"/>
      <c r="M729" s="49"/>
      <c r="N729" s="76"/>
      <c r="O729" s="49"/>
      <c r="P729" s="77"/>
      <c r="Q729" s="53"/>
      <c r="R729" s="54"/>
      <c r="S729" s="55"/>
      <c r="T729" s="56"/>
      <c r="U729" s="56"/>
      <c r="V729" s="42"/>
      <c r="W729" s="57"/>
      <c r="X729" s="58"/>
      <c r="Y729" s="75"/>
      <c r="Z729" s="59"/>
      <c r="AA729" s="61"/>
      <c r="AB729" s="61"/>
      <c r="AC729" s="61"/>
      <c r="AD729" s="62"/>
      <c r="AE729" s="62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</row>
    <row r="730" spans="1:77" x14ac:dyDescent="0.3">
      <c r="A730" s="39"/>
      <c r="B730" s="42"/>
      <c r="C730" s="42"/>
      <c r="D730" s="75"/>
      <c r="E730" s="75"/>
      <c r="F730" s="76"/>
      <c r="G730" s="47"/>
      <c r="H730" s="47"/>
      <c r="I730" s="75"/>
      <c r="J730" s="76"/>
      <c r="K730" s="76"/>
      <c r="L730" s="75"/>
      <c r="M730" s="49"/>
      <c r="N730" s="76"/>
      <c r="O730" s="49"/>
      <c r="P730" s="77"/>
      <c r="Q730" s="53"/>
      <c r="R730" s="54"/>
      <c r="S730" s="55"/>
      <c r="T730" s="56"/>
      <c r="U730" s="56"/>
      <c r="V730" s="42"/>
      <c r="W730" s="57"/>
      <c r="X730" s="58"/>
      <c r="Y730" s="75"/>
      <c r="Z730" s="59"/>
      <c r="AA730" s="61"/>
      <c r="AB730" s="61"/>
      <c r="AC730" s="61"/>
      <c r="AD730" s="62"/>
      <c r="AE730" s="62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</row>
    <row r="731" spans="1:77" x14ac:dyDescent="0.3">
      <c r="A731" s="39"/>
      <c r="B731" s="42"/>
      <c r="C731" s="42"/>
      <c r="D731" s="75"/>
      <c r="E731" s="75"/>
      <c r="F731" s="76"/>
      <c r="G731" s="47"/>
      <c r="H731" s="47"/>
      <c r="I731" s="75"/>
      <c r="J731" s="76"/>
      <c r="K731" s="76"/>
      <c r="L731" s="75"/>
      <c r="M731" s="49"/>
      <c r="N731" s="76"/>
      <c r="O731" s="49"/>
      <c r="P731" s="77"/>
      <c r="Q731" s="53"/>
      <c r="R731" s="54"/>
      <c r="S731" s="55"/>
      <c r="T731" s="56"/>
      <c r="U731" s="56"/>
      <c r="V731" s="42"/>
      <c r="W731" s="57"/>
      <c r="X731" s="58"/>
      <c r="Y731" s="75"/>
      <c r="Z731" s="59"/>
      <c r="AA731" s="61"/>
      <c r="AB731" s="61"/>
      <c r="AC731" s="61"/>
      <c r="AD731" s="62"/>
      <c r="AE731" s="62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</row>
    <row r="732" spans="1:77" x14ac:dyDescent="0.3">
      <c r="A732" s="39"/>
      <c r="B732" s="42"/>
      <c r="C732" s="42"/>
      <c r="D732" s="75"/>
      <c r="E732" s="75"/>
      <c r="F732" s="76"/>
      <c r="G732" s="47"/>
      <c r="H732" s="47"/>
      <c r="I732" s="75"/>
      <c r="J732" s="76"/>
      <c r="K732" s="76"/>
      <c r="L732" s="75"/>
      <c r="M732" s="49"/>
      <c r="N732" s="76"/>
      <c r="O732" s="49"/>
      <c r="P732" s="77"/>
      <c r="Q732" s="53"/>
      <c r="R732" s="54"/>
      <c r="S732" s="55"/>
      <c r="T732" s="56"/>
      <c r="U732" s="56"/>
      <c r="V732" s="42"/>
      <c r="W732" s="57"/>
      <c r="X732" s="58"/>
      <c r="Y732" s="75"/>
      <c r="Z732" s="59"/>
      <c r="AA732" s="61"/>
      <c r="AB732" s="61"/>
      <c r="AC732" s="61"/>
      <c r="AD732" s="62"/>
      <c r="AE732" s="62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</row>
    <row r="733" spans="1:77" x14ac:dyDescent="0.3">
      <c r="A733" s="39"/>
      <c r="B733" s="42"/>
      <c r="C733" s="42"/>
      <c r="D733" s="75"/>
      <c r="E733" s="75"/>
      <c r="F733" s="76"/>
      <c r="G733" s="47"/>
      <c r="H733" s="47"/>
      <c r="I733" s="75"/>
      <c r="J733" s="76"/>
      <c r="K733" s="76"/>
      <c r="L733" s="75"/>
      <c r="M733" s="49"/>
      <c r="N733" s="76"/>
      <c r="O733" s="49"/>
      <c r="P733" s="77"/>
      <c r="Q733" s="53"/>
      <c r="R733" s="54"/>
      <c r="S733" s="55"/>
      <c r="T733" s="56"/>
      <c r="U733" s="56"/>
      <c r="V733" s="42"/>
      <c r="W733" s="57"/>
      <c r="X733" s="58"/>
      <c r="Y733" s="75"/>
      <c r="Z733" s="59"/>
      <c r="AA733" s="61"/>
      <c r="AB733" s="61"/>
      <c r="AC733" s="61"/>
      <c r="AD733" s="62"/>
      <c r="AE733" s="62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</row>
    <row r="734" spans="1:77" x14ac:dyDescent="0.3">
      <c r="A734" s="39"/>
      <c r="B734" s="42"/>
      <c r="C734" s="42"/>
      <c r="D734" s="75"/>
      <c r="E734" s="75"/>
      <c r="F734" s="76"/>
      <c r="G734" s="47"/>
      <c r="H734" s="47"/>
      <c r="I734" s="75"/>
      <c r="J734" s="76"/>
      <c r="K734" s="76"/>
      <c r="L734" s="75"/>
      <c r="M734" s="49"/>
      <c r="N734" s="76"/>
      <c r="O734" s="49"/>
      <c r="P734" s="77"/>
      <c r="Q734" s="53"/>
      <c r="R734" s="54"/>
      <c r="S734" s="55"/>
      <c r="T734" s="56"/>
      <c r="U734" s="56"/>
      <c r="V734" s="42"/>
      <c r="W734" s="57"/>
      <c r="X734" s="58"/>
      <c r="Y734" s="75"/>
      <c r="Z734" s="59"/>
      <c r="AA734" s="61"/>
      <c r="AB734" s="61"/>
      <c r="AC734" s="61"/>
      <c r="AD734" s="62"/>
      <c r="AE734" s="62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</row>
    <row r="735" spans="1:77" x14ac:dyDescent="0.3">
      <c r="A735" s="39"/>
      <c r="B735" s="42"/>
      <c r="C735" s="42"/>
      <c r="D735" s="75"/>
      <c r="E735" s="75"/>
      <c r="F735" s="76"/>
      <c r="G735" s="47"/>
      <c r="H735" s="47"/>
      <c r="I735" s="75"/>
      <c r="J735" s="76"/>
      <c r="K735" s="76"/>
      <c r="L735" s="75"/>
      <c r="M735" s="49"/>
      <c r="N735" s="76"/>
      <c r="O735" s="49"/>
      <c r="P735" s="77"/>
      <c r="Q735" s="53"/>
      <c r="R735" s="54"/>
      <c r="S735" s="55"/>
      <c r="T735" s="56"/>
      <c r="U735" s="56"/>
      <c r="V735" s="42"/>
      <c r="W735" s="57"/>
      <c r="X735" s="58"/>
      <c r="Y735" s="75"/>
      <c r="Z735" s="59"/>
      <c r="AA735" s="61"/>
      <c r="AB735" s="61"/>
      <c r="AC735" s="61"/>
      <c r="AD735" s="62"/>
      <c r="AE735" s="62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</row>
    <row r="736" spans="1:77" x14ac:dyDescent="0.3">
      <c r="A736" s="39"/>
      <c r="B736" s="42"/>
      <c r="C736" s="42"/>
      <c r="D736" s="75"/>
      <c r="E736" s="75"/>
      <c r="F736" s="76"/>
      <c r="G736" s="47"/>
      <c r="H736" s="47"/>
      <c r="I736" s="75"/>
      <c r="J736" s="76"/>
      <c r="K736" s="76"/>
      <c r="L736" s="75"/>
      <c r="M736" s="49"/>
      <c r="N736" s="76"/>
      <c r="O736" s="49"/>
      <c r="P736" s="77"/>
      <c r="Q736" s="53"/>
      <c r="R736" s="54"/>
      <c r="S736" s="55"/>
      <c r="T736" s="56"/>
      <c r="U736" s="56"/>
      <c r="V736" s="42"/>
      <c r="W736" s="57"/>
      <c r="X736" s="58"/>
      <c r="Y736" s="75"/>
      <c r="Z736" s="59"/>
      <c r="AA736" s="61"/>
      <c r="AB736" s="61"/>
      <c r="AC736" s="61"/>
      <c r="AD736" s="62"/>
      <c r="AE736" s="62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</row>
    <row r="737" spans="1:77" x14ac:dyDescent="0.3">
      <c r="A737" s="39"/>
      <c r="B737" s="42"/>
      <c r="C737" s="42"/>
      <c r="D737" s="75"/>
      <c r="E737" s="75"/>
      <c r="F737" s="76"/>
      <c r="G737" s="47"/>
      <c r="H737" s="47"/>
      <c r="I737" s="75"/>
      <c r="J737" s="76"/>
      <c r="K737" s="76"/>
      <c r="L737" s="75"/>
      <c r="M737" s="49"/>
      <c r="N737" s="76"/>
      <c r="O737" s="49"/>
      <c r="P737" s="77"/>
      <c r="Q737" s="53"/>
      <c r="R737" s="54"/>
      <c r="S737" s="55"/>
      <c r="T737" s="56"/>
      <c r="U737" s="56"/>
      <c r="V737" s="42"/>
      <c r="W737" s="57"/>
      <c r="X737" s="58"/>
      <c r="Y737" s="75"/>
      <c r="Z737" s="59"/>
      <c r="AA737" s="61"/>
      <c r="AB737" s="61"/>
      <c r="AC737" s="61"/>
      <c r="AD737" s="62"/>
      <c r="AE737" s="62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</row>
    <row r="738" spans="1:77" x14ac:dyDescent="0.3">
      <c r="A738" s="39"/>
      <c r="B738" s="42"/>
      <c r="C738" s="42"/>
      <c r="D738" s="75"/>
      <c r="E738" s="75"/>
      <c r="F738" s="76"/>
      <c r="G738" s="47"/>
      <c r="H738" s="47"/>
      <c r="I738" s="75"/>
      <c r="J738" s="76"/>
      <c r="K738" s="76"/>
      <c r="L738" s="75"/>
      <c r="M738" s="49"/>
      <c r="N738" s="76"/>
      <c r="O738" s="49"/>
      <c r="P738" s="77"/>
      <c r="Q738" s="53"/>
      <c r="R738" s="54"/>
      <c r="S738" s="55"/>
      <c r="T738" s="56"/>
      <c r="U738" s="56"/>
      <c r="V738" s="42"/>
      <c r="W738" s="57"/>
      <c r="X738" s="58"/>
      <c r="Y738" s="75"/>
      <c r="Z738" s="59"/>
      <c r="AA738" s="61"/>
      <c r="AB738" s="61"/>
      <c r="AC738" s="61"/>
      <c r="AD738" s="62"/>
      <c r="AE738" s="62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</row>
    <row r="739" spans="1:77" x14ac:dyDescent="0.3">
      <c r="A739" s="39"/>
      <c r="B739" s="42"/>
      <c r="C739" s="42"/>
      <c r="D739" s="75"/>
      <c r="E739" s="75"/>
      <c r="F739" s="76"/>
      <c r="G739" s="47"/>
      <c r="H739" s="47"/>
      <c r="I739" s="75"/>
      <c r="J739" s="76"/>
      <c r="K739" s="76"/>
      <c r="L739" s="75"/>
      <c r="M739" s="49"/>
      <c r="N739" s="76"/>
      <c r="O739" s="49"/>
      <c r="P739" s="77"/>
      <c r="Q739" s="53"/>
      <c r="R739" s="54"/>
      <c r="S739" s="55"/>
      <c r="T739" s="56"/>
      <c r="U739" s="56"/>
      <c r="V739" s="42"/>
      <c r="W739" s="57"/>
      <c r="X739" s="58"/>
      <c r="Y739" s="75"/>
      <c r="Z739" s="59"/>
      <c r="AA739" s="61"/>
      <c r="AB739" s="61"/>
      <c r="AC739" s="61"/>
      <c r="AD739" s="62"/>
      <c r="AE739" s="62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</row>
    <row r="740" spans="1:77" x14ac:dyDescent="0.3">
      <c r="A740" s="39"/>
      <c r="B740" s="42"/>
      <c r="C740" s="42"/>
      <c r="D740" s="75"/>
      <c r="E740" s="75"/>
      <c r="F740" s="76"/>
      <c r="G740" s="47"/>
      <c r="H740" s="47"/>
      <c r="I740" s="75"/>
      <c r="J740" s="76"/>
      <c r="K740" s="76"/>
      <c r="L740" s="75"/>
      <c r="M740" s="49"/>
      <c r="N740" s="76"/>
      <c r="O740" s="49"/>
      <c r="P740" s="77"/>
      <c r="Q740" s="53"/>
      <c r="R740" s="54"/>
      <c r="S740" s="55"/>
      <c r="T740" s="56"/>
      <c r="U740" s="56"/>
      <c r="V740" s="42"/>
      <c r="W740" s="57"/>
      <c r="X740" s="58"/>
      <c r="Y740" s="75"/>
      <c r="Z740" s="59"/>
      <c r="AA740" s="61"/>
      <c r="AB740" s="61"/>
      <c r="AC740" s="61"/>
      <c r="AD740" s="62"/>
      <c r="AE740" s="62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</row>
    <row r="741" spans="1:77" x14ac:dyDescent="0.3">
      <c r="A741" s="39"/>
      <c r="B741" s="42"/>
      <c r="C741" s="42"/>
      <c r="D741" s="75"/>
      <c r="E741" s="75"/>
      <c r="F741" s="76"/>
      <c r="G741" s="47"/>
      <c r="H741" s="47"/>
      <c r="I741" s="75"/>
      <c r="J741" s="76"/>
      <c r="K741" s="76"/>
      <c r="L741" s="75"/>
      <c r="M741" s="49"/>
      <c r="N741" s="76"/>
      <c r="O741" s="49"/>
      <c r="P741" s="77"/>
      <c r="Q741" s="53"/>
      <c r="R741" s="54"/>
      <c r="S741" s="55"/>
      <c r="T741" s="56"/>
      <c r="U741" s="56"/>
      <c r="V741" s="42"/>
      <c r="W741" s="57"/>
      <c r="X741" s="58"/>
      <c r="Y741" s="75"/>
      <c r="Z741" s="59"/>
      <c r="AA741" s="61"/>
      <c r="AB741" s="61"/>
      <c r="AC741" s="61"/>
      <c r="AD741" s="62"/>
      <c r="AE741" s="62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</row>
    <row r="742" spans="1:77" x14ac:dyDescent="0.3">
      <c r="A742" s="39"/>
      <c r="B742" s="42"/>
      <c r="C742" s="42"/>
      <c r="D742" s="75"/>
      <c r="E742" s="75"/>
      <c r="F742" s="76"/>
      <c r="G742" s="47"/>
      <c r="H742" s="47"/>
      <c r="I742" s="75"/>
      <c r="J742" s="76"/>
      <c r="K742" s="76"/>
      <c r="L742" s="75"/>
      <c r="M742" s="49"/>
      <c r="N742" s="76"/>
      <c r="O742" s="49"/>
      <c r="P742" s="77"/>
      <c r="Q742" s="53"/>
      <c r="R742" s="54"/>
      <c r="S742" s="55"/>
      <c r="T742" s="56"/>
      <c r="U742" s="56"/>
      <c r="V742" s="42"/>
      <c r="W742" s="57"/>
      <c r="X742" s="58"/>
      <c r="Y742" s="75"/>
      <c r="Z742" s="59"/>
      <c r="AA742" s="61"/>
      <c r="AB742" s="61"/>
      <c r="AC742" s="61"/>
      <c r="AD742" s="62"/>
      <c r="AE742" s="62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</row>
    <row r="743" spans="1:77" x14ac:dyDescent="0.3">
      <c r="A743" s="39"/>
      <c r="B743" s="42"/>
      <c r="C743" s="42"/>
      <c r="D743" s="75"/>
      <c r="E743" s="75"/>
      <c r="F743" s="76"/>
      <c r="G743" s="47"/>
      <c r="H743" s="47"/>
      <c r="I743" s="75"/>
      <c r="J743" s="76"/>
      <c r="K743" s="76"/>
      <c r="L743" s="75"/>
      <c r="M743" s="49"/>
      <c r="N743" s="76"/>
      <c r="O743" s="49"/>
      <c r="P743" s="77"/>
      <c r="Q743" s="53"/>
      <c r="R743" s="54"/>
      <c r="S743" s="55"/>
      <c r="T743" s="56"/>
      <c r="U743" s="56"/>
      <c r="V743" s="42"/>
      <c r="W743" s="57"/>
      <c r="X743" s="58"/>
      <c r="Y743" s="75"/>
      <c r="Z743" s="59"/>
      <c r="AA743" s="61"/>
      <c r="AB743" s="61"/>
      <c r="AC743" s="61"/>
      <c r="AD743" s="62"/>
      <c r="AE743" s="62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</row>
    <row r="744" spans="1:77" x14ac:dyDescent="0.3">
      <c r="A744" s="39"/>
      <c r="B744" s="42"/>
      <c r="C744" s="42"/>
      <c r="D744" s="75"/>
      <c r="E744" s="75"/>
      <c r="F744" s="76"/>
      <c r="G744" s="47"/>
      <c r="H744" s="47"/>
      <c r="I744" s="75"/>
      <c r="J744" s="76"/>
      <c r="K744" s="76"/>
      <c r="L744" s="75"/>
      <c r="M744" s="49"/>
      <c r="N744" s="76"/>
      <c r="O744" s="49"/>
      <c r="P744" s="77"/>
      <c r="Q744" s="53"/>
      <c r="R744" s="54"/>
      <c r="S744" s="55"/>
      <c r="T744" s="56"/>
      <c r="U744" s="56"/>
      <c r="V744" s="42"/>
      <c r="W744" s="57"/>
      <c r="X744" s="58"/>
      <c r="Y744" s="75"/>
      <c r="Z744" s="59"/>
      <c r="AA744" s="61"/>
      <c r="AB744" s="61"/>
      <c r="AC744" s="61"/>
      <c r="AD744" s="62"/>
      <c r="AE744" s="62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</row>
    <row r="745" spans="1:77" x14ac:dyDescent="0.3">
      <c r="A745" s="39"/>
      <c r="B745" s="42"/>
      <c r="C745" s="42"/>
      <c r="D745" s="75"/>
      <c r="E745" s="75"/>
      <c r="F745" s="76"/>
      <c r="G745" s="47"/>
      <c r="H745" s="47"/>
      <c r="I745" s="75"/>
      <c r="J745" s="76"/>
      <c r="K745" s="76"/>
      <c r="L745" s="75"/>
      <c r="M745" s="49"/>
      <c r="N745" s="76"/>
      <c r="O745" s="49"/>
      <c r="P745" s="77"/>
      <c r="Q745" s="53"/>
      <c r="R745" s="54"/>
      <c r="S745" s="55"/>
      <c r="T745" s="56"/>
      <c r="U745" s="56"/>
      <c r="V745" s="42"/>
      <c r="W745" s="57"/>
      <c r="X745" s="58"/>
      <c r="Y745" s="75"/>
      <c r="Z745" s="59"/>
      <c r="AA745" s="61"/>
      <c r="AB745" s="61"/>
      <c r="AC745" s="61"/>
      <c r="AD745" s="62"/>
      <c r="AE745" s="62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</row>
    <row r="746" spans="1:77" x14ac:dyDescent="0.3">
      <c r="A746" s="39"/>
      <c r="B746" s="42"/>
      <c r="C746" s="42"/>
      <c r="D746" s="75"/>
      <c r="E746" s="75"/>
      <c r="F746" s="76"/>
      <c r="G746" s="47"/>
      <c r="H746" s="47"/>
      <c r="I746" s="75"/>
      <c r="J746" s="76"/>
      <c r="K746" s="76"/>
      <c r="L746" s="75"/>
      <c r="M746" s="49"/>
      <c r="N746" s="76"/>
      <c r="O746" s="49"/>
      <c r="P746" s="77"/>
      <c r="Q746" s="53"/>
      <c r="R746" s="54"/>
      <c r="S746" s="55"/>
      <c r="T746" s="56"/>
      <c r="U746" s="56"/>
      <c r="V746" s="42"/>
      <c r="W746" s="57"/>
      <c r="X746" s="58"/>
      <c r="Y746" s="75"/>
      <c r="Z746" s="59"/>
      <c r="AA746" s="61"/>
      <c r="AB746" s="61"/>
      <c r="AC746" s="61"/>
      <c r="AD746" s="62"/>
      <c r="AE746" s="62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</row>
    <row r="747" spans="1:77" x14ac:dyDescent="0.3">
      <c r="A747" s="39"/>
      <c r="B747" s="42"/>
      <c r="C747" s="42"/>
      <c r="D747" s="75"/>
      <c r="E747" s="75"/>
      <c r="F747" s="76"/>
      <c r="G747" s="47"/>
      <c r="H747" s="47"/>
      <c r="I747" s="75"/>
      <c r="J747" s="76"/>
      <c r="K747" s="76"/>
      <c r="L747" s="75"/>
      <c r="M747" s="49"/>
      <c r="N747" s="76"/>
      <c r="O747" s="49"/>
      <c r="P747" s="77"/>
      <c r="Q747" s="53"/>
      <c r="R747" s="54"/>
      <c r="S747" s="55"/>
      <c r="T747" s="56"/>
      <c r="U747" s="56"/>
      <c r="V747" s="42"/>
      <c r="W747" s="57"/>
      <c r="X747" s="58"/>
      <c r="Y747" s="75"/>
      <c r="Z747" s="59"/>
      <c r="AA747" s="61"/>
      <c r="AB747" s="61"/>
      <c r="AC747" s="61"/>
      <c r="AD747" s="62"/>
      <c r="AE747" s="62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</row>
    <row r="748" spans="1:77" x14ac:dyDescent="0.3">
      <c r="A748" s="39"/>
      <c r="B748" s="42"/>
      <c r="C748" s="42"/>
      <c r="D748" s="75"/>
      <c r="E748" s="75"/>
      <c r="F748" s="76"/>
      <c r="G748" s="47"/>
      <c r="H748" s="47"/>
      <c r="I748" s="75"/>
      <c r="J748" s="76"/>
      <c r="K748" s="76"/>
      <c r="L748" s="75"/>
      <c r="M748" s="49"/>
      <c r="N748" s="76"/>
      <c r="O748" s="49"/>
      <c r="P748" s="77"/>
      <c r="Q748" s="53"/>
      <c r="R748" s="54"/>
      <c r="S748" s="55"/>
      <c r="T748" s="56"/>
      <c r="U748" s="56"/>
      <c r="V748" s="42"/>
      <c r="W748" s="57"/>
      <c r="X748" s="58"/>
      <c r="Y748" s="75"/>
      <c r="Z748" s="59"/>
      <c r="AA748" s="61"/>
      <c r="AB748" s="61"/>
      <c r="AC748" s="61"/>
      <c r="AD748" s="62"/>
      <c r="AE748" s="62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</row>
    <row r="749" spans="1:77" x14ac:dyDescent="0.3">
      <c r="A749" s="39"/>
      <c r="B749" s="42"/>
      <c r="C749" s="42"/>
      <c r="D749" s="75"/>
      <c r="E749" s="75"/>
      <c r="F749" s="76"/>
      <c r="G749" s="47"/>
      <c r="H749" s="47"/>
      <c r="I749" s="75"/>
      <c r="J749" s="76"/>
      <c r="K749" s="76"/>
      <c r="L749" s="75"/>
      <c r="M749" s="49"/>
      <c r="N749" s="76"/>
      <c r="O749" s="49"/>
      <c r="P749" s="77"/>
      <c r="Q749" s="53"/>
      <c r="R749" s="54"/>
      <c r="S749" s="55"/>
      <c r="T749" s="56"/>
      <c r="U749" s="56"/>
      <c r="V749" s="42"/>
      <c r="W749" s="57"/>
      <c r="X749" s="58"/>
      <c r="Y749" s="75"/>
      <c r="Z749" s="59"/>
      <c r="AA749" s="61"/>
      <c r="AB749" s="61"/>
      <c r="AC749" s="61"/>
      <c r="AD749" s="62"/>
      <c r="AE749" s="62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</row>
    <row r="750" spans="1:77" x14ac:dyDescent="0.3">
      <c r="A750" s="39"/>
      <c r="B750" s="42"/>
      <c r="C750" s="42"/>
      <c r="D750" s="75"/>
      <c r="E750" s="75"/>
      <c r="F750" s="76"/>
      <c r="G750" s="47"/>
      <c r="H750" s="47"/>
      <c r="I750" s="75"/>
      <c r="J750" s="76"/>
      <c r="K750" s="76"/>
      <c r="L750" s="75"/>
      <c r="M750" s="49"/>
      <c r="N750" s="76"/>
      <c r="O750" s="49"/>
      <c r="P750" s="77"/>
      <c r="Q750" s="53"/>
      <c r="R750" s="54"/>
      <c r="S750" s="55"/>
      <c r="T750" s="56"/>
      <c r="U750" s="56"/>
      <c r="V750" s="42"/>
      <c r="W750" s="57"/>
      <c r="X750" s="58"/>
      <c r="Y750" s="75"/>
      <c r="Z750" s="59"/>
      <c r="AA750" s="61"/>
      <c r="AB750" s="61"/>
      <c r="AC750" s="61"/>
      <c r="AD750" s="62"/>
      <c r="AE750" s="62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</row>
    <row r="751" spans="1:77" x14ac:dyDescent="0.3">
      <c r="A751" s="39"/>
      <c r="B751" s="42"/>
      <c r="C751" s="42"/>
      <c r="D751" s="75"/>
      <c r="E751" s="75"/>
      <c r="F751" s="76"/>
      <c r="G751" s="47"/>
      <c r="H751" s="47"/>
      <c r="I751" s="75"/>
      <c r="J751" s="76"/>
      <c r="K751" s="76"/>
      <c r="L751" s="75"/>
      <c r="M751" s="49"/>
      <c r="N751" s="76"/>
      <c r="O751" s="49"/>
      <c r="P751" s="77"/>
      <c r="Q751" s="53"/>
      <c r="R751" s="54"/>
      <c r="S751" s="55"/>
      <c r="T751" s="56"/>
      <c r="U751" s="56"/>
      <c r="V751" s="42"/>
      <c r="W751" s="57"/>
      <c r="X751" s="58"/>
      <c r="Y751" s="75"/>
      <c r="Z751" s="59"/>
      <c r="AA751" s="61"/>
      <c r="AB751" s="61"/>
      <c r="AC751" s="61"/>
      <c r="AD751" s="62"/>
      <c r="AE751" s="62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</row>
    <row r="752" spans="1:77" x14ac:dyDescent="0.3">
      <c r="A752" s="39"/>
      <c r="B752" s="42"/>
      <c r="C752" s="42"/>
      <c r="D752" s="75"/>
      <c r="E752" s="75"/>
      <c r="F752" s="76"/>
      <c r="G752" s="47"/>
      <c r="H752" s="47"/>
      <c r="I752" s="75"/>
      <c r="J752" s="76"/>
      <c r="K752" s="76"/>
      <c r="L752" s="75"/>
      <c r="M752" s="49"/>
      <c r="N752" s="76"/>
      <c r="O752" s="49"/>
      <c r="P752" s="77"/>
      <c r="Q752" s="53"/>
      <c r="R752" s="54"/>
      <c r="S752" s="55"/>
      <c r="T752" s="56"/>
      <c r="U752" s="56"/>
      <c r="V752" s="42"/>
      <c r="W752" s="57"/>
      <c r="X752" s="58"/>
      <c r="Y752" s="75"/>
      <c r="Z752" s="59"/>
      <c r="AA752" s="61"/>
      <c r="AB752" s="61"/>
      <c r="AC752" s="61"/>
      <c r="AD752" s="62"/>
      <c r="AE752" s="62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</row>
    <row r="753" spans="1:77" x14ac:dyDescent="0.3">
      <c r="A753" s="39"/>
      <c r="B753" s="42"/>
      <c r="C753" s="42"/>
      <c r="D753" s="75"/>
      <c r="E753" s="75"/>
      <c r="F753" s="76"/>
      <c r="G753" s="47"/>
      <c r="H753" s="47"/>
      <c r="I753" s="75"/>
      <c r="J753" s="76"/>
      <c r="K753" s="76"/>
      <c r="L753" s="75"/>
      <c r="M753" s="49"/>
      <c r="N753" s="76"/>
      <c r="O753" s="49"/>
      <c r="P753" s="77"/>
      <c r="Q753" s="53"/>
      <c r="R753" s="54"/>
      <c r="S753" s="55"/>
      <c r="T753" s="56"/>
      <c r="U753" s="56"/>
      <c r="V753" s="42"/>
      <c r="W753" s="57"/>
      <c r="X753" s="58"/>
      <c r="Y753" s="75"/>
      <c r="Z753" s="59"/>
      <c r="AA753" s="61"/>
      <c r="AB753" s="61"/>
      <c r="AC753" s="61"/>
      <c r="AD753" s="62"/>
      <c r="AE753" s="62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</row>
    <row r="754" spans="1:77" x14ac:dyDescent="0.3">
      <c r="A754" s="39"/>
      <c r="B754" s="42"/>
      <c r="C754" s="42"/>
      <c r="D754" s="75"/>
      <c r="E754" s="75"/>
      <c r="F754" s="76"/>
      <c r="G754" s="47"/>
      <c r="H754" s="47"/>
      <c r="I754" s="75"/>
      <c r="J754" s="76"/>
      <c r="K754" s="76"/>
      <c r="L754" s="75"/>
      <c r="M754" s="49"/>
      <c r="N754" s="76"/>
      <c r="O754" s="49"/>
      <c r="P754" s="77"/>
      <c r="Q754" s="53"/>
      <c r="R754" s="54"/>
      <c r="S754" s="55"/>
      <c r="T754" s="56"/>
      <c r="U754" s="56"/>
      <c r="V754" s="42"/>
      <c r="W754" s="57"/>
      <c r="X754" s="58"/>
      <c r="Y754" s="75"/>
      <c r="Z754" s="59"/>
      <c r="AA754" s="61"/>
      <c r="AB754" s="61"/>
      <c r="AC754" s="61"/>
      <c r="AD754" s="62"/>
      <c r="AE754" s="62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</row>
    <row r="755" spans="1:77" x14ac:dyDescent="0.3">
      <c r="A755" s="39"/>
      <c r="B755" s="42"/>
      <c r="C755" s="42"/>
      <c r="D755" s="75"/>
      <c r="E755" s="75"/>
      <c r="F755" s="76"/>
      <c r="G755" s="47"/>
      <c r="H755" s="47"/>
      <c r="I755" s="75"/>
      <c r="J755" s="76"/>
      <c r="K755" s="76"/>
      <c r="L755" s="75"/>
      <c r="M755" s="49"/>
      <c r="N755" s="76"/>
      <c r="O755" s="49"/>
      <c r="P755" s="77"/>
      <c r="Q755" s="53"/>
      <c r="R755" s="54"/>
      <c r="S755" s="55"/>
      <c r="T755" s="56"/>
      <c r="U755" s="56"/>
      <c r="V755" s="42"/>
      <c r="W755" s="57"/>
      <c r="X755" s="58"/>
      <c r="Y755" s="75"/>
      <c r="Z755" s="59"/>
      <c r="AA755" s="61"/>
      <c r="AB755" s="61"/>
      <c r="AC755" s="61"/>
      <c r="AD755" s="62"/>
      <c r="AE755" s="62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</row>
    <row r="756" spans="1:77" x14ac:dyDescent="0.3">
      <c r="A756" s="39"/>
      <c r="B756" s="42"/>
      <c r="C756" s="42"/>
      <c r="D756" s="75"/>
      <c r="E756" s="75"/>
      <c r="F756" s="76"/>
      <c r="G756" s="47"/>
      <c r="H756" s="47"/>
      <c r="I756" s="75"/>
      <c r="J756" s="76"/>
      <c r="K756" s="76"/>
      <c r="L756" s="75"/>
      <c r="M756" s="49"/>
      <c r="N756" s="76"/>
      <c r="O756" s="49"/>
      <c r="P756" s="77"/>
      <c r="Q756" s="53"/>
      <c r="R756" s="54"/>
      <c r="S756" s="55"/>
      <c r="T756" s="56"/>
      <c r="U756" s="56"/>
      <c r="V756" s="42"/>
      <c r="W756" s="57"/>
      <c r="X756" s="58"/>
      <c r="Y756" s="75"/>
      <c r="Z756" s="59"/>
      <c r="AA756" s="61"/>
      <c r="AB756" s="61"/>
      <c r="AC756" s="61"/>
      <c r="AD756" s="62"/>
      <c r="AE756" s="62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</row>
    <row r="757" spans="1:77" x14ac:dyDescent="0.3">
      <c r="A757" s="39"/>
      <c r="B757" s="42"/>
      <c r="C757" s="42"/>
      <c r="D757" s="75"/>
      <c r="E757" s="75"/>
      <c r="F757" s="76"/>
      <c r="G757" s="47"/>
      <c r="H757" s="47"/>
      <c r="I757" s="75"/>
      <c r="J757" s="76"/>
      <c r="K757" s="76"/>
      <c r="L757" s="75"/>
      <c r="M757" s="49"/>
      <c r="N757" s="76"/>
      <c r="O757" s="49"/>
      <c r="P757" s="77"/>
      <c r="Q757" s="53"/>
      <c r="R757" s="54"/>
      <c r="S757" s="55"/>
      <c r="T757" s="56"/>
      <c r="U757" s="56"/>
      <c r="V757" s="42"/>
      <c r="W757" s="57"/>
      <c r="X757" s="58"/>
      <c r="Y757" s="75"/>
      <c r="Z757" s="59"/>
      <c r="AA757" s="61"/>
      <c r="AB757" s="61"/>
      <c r="AC757" s="61"/>
      <c r="AD757" s="62"/>
      <c r="AE757" s="62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</row>
    <row r="758" spans="1:77" x14ac:dyDescent="0.3">
      <c r="A758" s="39"/>
      <c r="B758" s="42"/>
      <c r="C758" s="42"/>
      <c r="D758" s="75"/>
      <c r="E758" s="75"/>
      <c r="F758" s="76"/>
      <c r="G758" s="47"/>
      <c r="H758" s="47"/>
      <c r="I758" s="75"/>
      <c r="J758" s="76"/>
      <c r="K758" s="76"/>
      <c r="L758" s="75"/>
      <c r="M758" s="49"/>
      <c r="N758" s="76"/>
      <c r="O758" s="49"/>
      <c r="P758" s="77"/>
      <c r="Q758" s="53"/>
      <c r="R758" s="54"/>
      <c r="S758" s="55"/>
      <c r="T758" s="56"/>
      <c r="U758" s="56"/>
      <c r="V758" s="42"/>
      <c r="W758" s="57"/>
      <c r="X758" s="58"/>
      <c r="Y758" s="75"/>
      <c r="Z758" s="59"/>
      <c r="AA758" s="61"/>
      <c r="AB758" s="61"/>
      <c r="AC758" s="61"/>
      <c r="AD758" s="62"/>
      <c r="AE758" s="62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</row>
    <row r="759" spans="1:77" x14ac:dyDescent="0.3">
      <c r="A759" s="39"/>
      <c r="B759" s="42"/>
      <c r="C759" s="42"/>
      <c r="D759" s="75"/>
      <c r="E759" s="75"/>
      <c r="F759" s="76"/>
      <c r="G759" s="47"/>
      <c r="H759" s="47"/>
      <c r="I759" s="75"/>
      <c r="J759" s="76"/>
      <c r="K759" s="76"/>
      <c r="L759" s="75"/>
      <c r="M759" s="49"/>
      <c r="N759" s="76"/>
      <c r="O759" s="49"/>
      <c r="P759" s="77"/>
      <c r="Q759" s="53"/>
      <c r="R759" s="54"/>
      <c r="S759" s="55"/>
      <c r="T759" s="56"/>
      <c r="U759" s="56"/>
      <c r="V759" s="42"/>
      <c r="W759" s="57"/>
      <c r="X759" s="58"/>
      <c r="Y759" s="75"/>
      <c r="Z759" s="59"/>
      <c r="AA759" s="61"/>
      <c r="AB759" s="61"/>
      <c r="AC759" s="61"/>
      <c r="AD759" s="62"/>
      <c r="AE759" s="62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</row>
    <row r="760" spans="1:77" x14ac:dyDescent="0.3">
      <c r="A760" s="39"/>
      <c r="B760" s="42"/>
      <c r="C760" s="42"/>
      <c r="D760" s="75"/>
      <c r="E760" s="75"/>
      <c r="F760" s="76"/>
      <c r="G760" s="47"/>
      <c r="H760" s="47"/>
      <c r="I760" s="75"/>
      <c r="J760" s="76"/>
      <c r="K760" s="76"/>
      <c r="L760" s="75"/>
      <c r="M760" s="49"/>
      <c r="N760" s="76"/>
      <c r="O760" s="49"/>
      <c r="P760" s="77"/>
      <c r="Q760" s="53"/>
      <c r="R760" s="54"/>
      <c r="S760" s="55"/>
      <c r="T760" s="56"/>
      <c r="U760" s="56"/>
      <c r="V760" s="42"/>
      <c r="W760" s="57"/>
      <c r="X760" s="58"/>
      <c r="Y760" s="75"/>
      <c r="Z760" s="59"/>
      <c r="AA760" s="61"/>
      <c r="AB760" s="61"/>
      <c r="AC760" s="61"/>
      <c r="AD760" s="62"/>
      <c r="AE760" s="62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</row>
    <row r="761" spans="1:77" x14ac:dyDescent="0.3">
      <c r="A761" s="39"/>
      <c r="B761" s="42"/>
      <c r="C761" s="42"/>
      <c r="D761" s="75"/>
      <c r="E761" s="75"/>
      <c r="F761" s="76"/>
      <c r="G761" s="47"/>
      <c r="H761" s="47"/>
      <c r="I761" s="75"/>
      <c r="J761" s="76"/>
      <c r="K761" s="76"/>
      <c r="L761" s="75"/>
      <c r="M761" s="49"/>
      <c r="N761" s="76"/>
      <c r="O761" s="49"/>
      <c r="P761" s="77"/>
      <c r="Q761" s="53"/>
      <c r="R761" s="54"/>
      <c r="S761" s="55"/>
      <c r="T761" s="56"/>
      <c r="U761" s="56"/>
      <c r="V761" s="42"/>
      <c r="W761" s="57"/>
      <c r="X761" s="58"/>
      <c r="Y761" s="75"/>
      <c r="Z761" s="59"/>
      <c r="AA761" s="61"/>
      <c r="AB761" s="61"/>
      <c r="AC761" s="61"/>
      <c r="AD761" s="62"/>
      <c r="AE761" s="62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</row>
    <row r="762" spans="1:77" x14ac:dyDescent="0.3">
      <c r="A762" s="39"/>
      <c r="B762" s="42"/>
      <c r="C762" s="42"/>
      <c r="D762" s="75"/>
      <c r="E762" s="75"/>
      <c r="F762" s="76"/>
      <c r="G762" s="47"/>
      <c r="H762" s="47"/>
      <c r="I762" s="75"/>
      <c r="J762" s="76"/>
      <c r="K762" s="76"/>
      <c r="L762" s="75"/>
      <c r="M762" s="49"/>
      <c r="N762" s="76"/>
      <c r="O762" s="49"/>
      <c r="P762" s="77"/>
      <c r="Q762" s="53"/>
      <c r="R762" s="54"/>
      <c r="S762" s="55"/>
      <c r="T762" s="56"/>
      <c r="U762" s="56"/>
      <c r="V762" s="42"/>
      <c r="W762" s="57"/>
      <c r="X762" s="58"/>
      <c r="Y762" s="75"/>
      <c r="Z762" s="59"/>
      <c r="AA762" s="61"/>
      <c r="AB762" s="61"/>
      <c r="AC762" s="61"/>
      <c r="AD762" s="62"/>
      <c r="AE762" s="62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</row>
    <row r="763" spans="1:77" x14ac:dyDescent="0.3">
      <c r="A763" s="39"/>
      <c r="B763" s="42"/>
      <c r="C763" s="42"/>
      <c r="D763" s="75"/>
      <c r="E763" s="75"/>
      <c r="F763" s="76"/>
      <c r="G763" s="47"/>
      <c r="H763" s="47"/>
      <c r="I763" s="75"/>
      <c r="J763" s="76"/>
      <c r="K763" s="76"/>
      <c r="L763" s="75"/>
      <c r="M763" s="49"/>
      <c r="N763" s="76"/>
      <c r="O763" s="49"/>
      <c r="P763" s="77"/>
      <c r="Q763" s="53"/>
      <c r="R763" s="54"/>
      <c r="S763" s="55"/>
      <c r="T763" s="56"/>
      <c r="U763" s="56"/>
      <c r="V763" s="42"/>
      <c r="W763" s="57"/>
      <c r="X763" s="58"/>
      <c r="Y763" s="75"/>
      <c r="Z763" s="59"/>
      <c r="AA763" s="61"/>
      <c r="AB763" s="61"/>
      <c r="AC763" s="61"/>
      <c r="AD763" s="62"/>
      <c r="AE763" s="62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</row>
    <row r="764" spans="1:77" x14ac:dyDescent="0.3">
      <c r="A764" s="39"/>
      <c r="B764" s="42"/>
      <c r="C764" s="42"/>
      <c r="D764" s="75"/>
      <c r="E764" s="75"/>
      <c r="F764" s="76"/>
      <c r="G764" s="47"/>
      <c r="H764" s="47"/>
      <c r="I764" s="75"/>
      <c r="J764" s="76"/>
      <c r="K764" s="76"/>
      <c r="L764" s="75"/>
      <c r="M764" s="49"/>
      <c r="N764" s="76"/>
      <c r="O764" s="49"/>
      <c r="P764" s="77"/>
      <c r="Q764" s="53"/>
      <c r="R764" s="54"/>
      <c r="S764" s="55"/>
      <c r="T764" s="56"/>
      <c r="U764" s="56"/>
      <c r="V764" s="42"/>
      <c r="W764" s="57"/>
      <c r="X764" s="58"/>
      <c r="Y764" s="75"/>
      <c r="Z764" s="59"/>
      <c r="AA764" s="61"/>
      <c r="AB764" s="61"/>
      <c r="AC764" s="61"/>
      <c r="AD764" s="62"/>
      <c r="AE764" s="62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</row>
    <row r="765" spans="1:77" x14ac:dyDescent="0.3">
      <c r="A765" s="39"/>
      <c r="B765" s="42"/>
      <c r="C765" s="42"/>
      <c r="D765" s="75"/>
      <c r="E765" s="75"/>
      <c r="F765" s="76"/>
      <c r="G765" s="47"/>
      <c r="H765" s="47"/>
      <c r="I765" s="75"/>
      <c r="J765" s="76"/>
      <c r="K765" s="76"/>
      <c r="L765" s="75"/>
      <c r="M765" s="49"/>
      <c r="N765" s="76"/>
      <c r="O765" s="49"/>
      <c r="P765" s="77"/>
      <c r="Q765" s="53"/>
      <c r="R765" s="54"/>
      <c r="S765" s="55"/>
      <c r="T765" s="56"/>
      <c r="U765" s="56"/>
      <c r="V765" s="42"/>
      <c r="W765" s="57"/>
      <c r="X765" s="58"/>
      <c r="Y765" s="75"/>
      <c r="Z765" s="59"/>
      <c r="AA765" s="61"/>
      <c r="AB765" s="61"/>
      <c r="AC765" s="61"/>
      <c r="AD765" s="62"/>
      <c r="AE765" s="62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</row>
    <row r="766" spans="1:77" x14ac:dyDescent="0.3">
      <c r="A766" s="39"/>
      <c r="B766" s="42"/>
      <c r="C766" s="42"/>
      <c r="D766" s="75"/>
      <c r="E766" s="75"/>
      <c r="F766" s="76"/>
      <c r="G766" s="47"/>
      <c r="H766" s="47"/>
      <c r="I766" s="75"/>
      <c r="J766" s="76"/>
      <c r="K766" s="76"/>
      <c r="L766" s="75"/>
      <c r="M766" s="49"/>
      <c r="N766" s="76"/>
      <c r="O766" s="49"/>
      <c r="P766" s="77"/>
      <c r="Q766" s="53"/>
      <c r="R766" s="54"/>
      <c r="S766" s="55"/>
      <c r="T766" s="56"/>
      <c r="U766" s="56"/>
      <c r="V766" s="42"/>
      <c r="W766" s="57"/>
      <c r="X766" s="58"/>
      <c r="Y766" s="75"/>
      <c r="Z766" s="59"/>
      <c r="AA766" s="61"/>
      <c r="AB766" s="61"/>
      <c r="AC766" s="61"/>
      <c r="AD766" s="62"/>
      <c r="AE766" s="62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</row>
    <row r="767" spans="1:77" x14ac:dyDescent="0.3">
      <c r="A767" s="39"/>
      <c r="B767" s="42"/>
      <c r="C767" s="42"/>
      <c r="D767" s="75"/>
      <c r="E767" s="75"/>
      <c r="F767" s="76"/>
      <c r="G767" s="47"/>
      <c r="H767" s="47"/>
      <c r="I767" s="75"/>
      <c r="J767" s="76"/>
      <c r="K767" s="76"/>
      <c r="L767" s="75"/>
      <c r="M767" s="49"/>
      <c r="N767" s="76"/>
      <c r="O767" s="49"/>
      <c r="P767" s="77"/>
      <c r="Q767" s="53"/>
      <c r="R767" s="54"/>
      <c r="S767" s="55"/>
      <c r="T767" s="56"/>
      <c r="U767" s="56"/>
      <c r="V767" s="42"/>
      <c r="W767" s="57"/>
      <c r="X767" s="58"/>
      <c r="Y767" s="75"/>
      <c r="Z767" s="59"/>
      <c r="AA767" s="61"/>
      <c r="AB767" s="61"/>
      <c r="AC767" s="61"/>
      <c r="AD767" s="62"/>
      <c r="AE767" s="62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</row>
    <row r="768" spans="1:77" x14ac:dyDescent="0.3">
      <c r="A768" s="39"/>
      <c r="B768" s="42"/>
      <c r="C768" s="42"/>
      <c r="D768" s="75"/>
      <c r="E768" s="75"/>
      <c r="F768" s="76"/>
      <c r="G768" s="47"/>
      <c r="H768" s="47"/>
      <c r="I768" s="75"/>
      <c r="J768" s="76"/>
      <c r="K768" s="76"/>
      <c r="L768" s="75"/>
      <c r="M768" s="49"/>
      <c r="N768" s="76"/>
      <c r="O768" s="49"/>
      <c r="P768" s="77"/>
      <c r="Q768" s="53"/>
      <c r="R768" s="54"/>
      <c r="S768" s="55"/>
      <c r="T768" s="56"/>
      <c r="U768" s="56"/>
      <c r="V768" s="42"/>
      <c r="W768" s="57"/>
      <c r="X768" s="58"/>
      <c r="Y768" s="75"/>
      <c r="Z768" s="59"/>
      <c r="AA768" s="61"/>
      <c r="AB768" s="61"/>
      <c r="AC768" s="61"/>
      <c r="AD768" s="62"/>
      <c r="AE768" s="62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</row>
    <row r="769" spans="1:77" x14ac:dyDescent="0.3">
      <c r="A769" s="39"/>
      <c r="B769" s="42"/>
      <c r="C769" s="42"/>
      <c r="D769" s="75"/>
      <c r="E769" s="75"/>
      <c r="F769" s="76"/>
      <c r="G769" s="47"/>
      <c r="H769" s="47"/>
      <c r="I769" s="75"/>
      <c r="J769" s="76"/>
      <c r="K769" s="76"/>
      <c r="L769" s="75"/>
      <c r="M769" s="49"/>
      <c r="N769" s="76"/>
      <c r="O769" s="49"/>
      <c r="P769" s="77"/>
      <c r="Q769" s="53"/>
      <c r="R769" s="54"/>
      <c r="S769" s="55"/>
      <c r="T769" s="56"/>
      <c r="U769" s="56"/>
      <c r="V769" s="42"/>
      <c r="W769" s="57"/>
      <c r="X769" s="58"/>
      <c r="Y769" s="75"/>
      <c r="Z769" s="59"/>
      <c r="AA769" s="61"/>
      <c r="AB769" s="61"/>
      <c r="AC769" s="61"/>
      <c r="AD769" s="62"/>
      <c r="AE769" s="62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</row>
    <row r="770" spans="1:77" x14ac:dyDescent="0.3">
      <c r="A770" s="39"/>
      <c r="B770" s="42"/>
      <c r="C770" s="42"/>
      <c r="D770" s="75"/>
      <c r="E770" s="75"/>
      <c r="F770" s="76"/>
      <c r="G770" s="47"/>
      <c r="H770" s="47"/>
      <c r="I770" s="75"/>
      <c r="J770" s="76"/>
      <c r="K770" s="76"/>
      <c r="L770" s="75"/>
      <c r="M770" s="49"/>
      <c r="N770" s="76"/>
      <c r="O770" s="49"/>
      <c r="P770" s="77"/>
      <c r="Q770" s="53"/>
      <c r="R770" s="54"/>
      <c r="S770" s="55"/>
      <c r="T770" s="56"/>
      <c r="U770" s="56"/>
      <c r="V770" s="42"/>
      <c r="W770" s="57"/>
      <c r="X770" s="58"/>
      <c r="Y770" s="75"/>
      <c r="Z770" s="59"/>
      <c r="AA770" s="61"/>
      <c r="AB770" s="61"/>
      <c r="AC770" s="61"/>
      <c r="AD770" s="62"/>
      <c r="AE770" s="62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</row>
    <row r="771" spans="1:77" x14ac:dyDescent="0.3">
      <c r="A771" s="39"/>
      <c r="B771" s="42"/>
      <c r="C771" s="42"/>
      <c r="D771" s="75"/>
      <c r="E771" s="75"/>
      <c r="F771" s="76"/>
      <c r="G771" s="47"/>
      <c r="H771" s="47"/>
      <c r="I771" s="75"/>
      <c r="J771" s="76"/>
      <c r="K771" s="76"/>
      <c r="L771" s="75"/>
      <c r="M771" s="49"/>
      <c r="N771" s="76"/>
      <c r="O771" s="49"/>
      <c r="P771" s="77"/>
      <c r="Q771" s="53"/>
      <c r="R771" s="54"/>
      <c r="S771" s="55"/>
      <c r="T771" s="56"/>
      <c r="U771" s="56"/>
      <c r="V771" s="42"/>
      <c r="W771" s="57"/>
      <c r="X771" s="58"/>
      <c r="Y771" s="75"/>
      <c r="Z771" s="59"/>
      <c r="AA771" s="61"/>
      <c r="AB771" s="61"/>
      <c r="AC771" s="61"/>
      <c r="AD771" s="62"/>
      <c r="AE771" s="62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</row>
    <row r="772" spans="1:77" x14ac:dyDescent="0.3">
      <c r="A772" s="39"/>
      <c r="B772" s="42"/>
      <c r="C772" s="42"/>
      <c r="D772" s="75"/>
      <c r="E772" s="75"/>
      <c r="F772" s="76"/>
      <c r="G772" s="47"/>
      <c r="H772" s="47"/>
      <c r="I772" s="75"/>
      <c r="J772" s="76"/>
      <c r="K772" s="76"/>
      <c r="L772" s="75"/>
      <c r="M772" s="49"/>
      <c r="N772" s="76"/>
      <c r="O772" s="49"/>
      <c r="P772" s="77"/>
      <c r="Q772" s="53"/>
      <c r="R772" s="54"/>
      <c r="S772" s="55"/>
      <c r="T772" s="56"/>
      <c r="U772" s="56"/>
      <c r="V772" s="42"/>
      <c r="W772" s="57"/>
      <c r="X772" s="58"/>
      <c r="Y772" s="75"/>
      <c r="Z772" s="59"/>
      <c r="AA772" s="61"/>
      <c r="AB772" s="61"/>
      <c r="AC772" s="61"/>
      <c r="AD772" s="62"/>
      <c r="AE772" s="62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</row>
    <row r="773" spans="1:77" x14ac:dyDescent="0.3">
      <c r="A773" s="39"/>
      <c r="B773" s="42"/>
      <c r="C773" s="42"/>
      <c r="D773" s="75"/>
      <c r="E773" s="75"/>
      <c r="F773" s="76"/>
      <c r="G773" s="47"/>
      <c r="H773" s="47"/>
      <c r="I773" s="75"/>
      <c r="J773" s="76"/>
      <c r="K773" s="76"/>
      <c r="L773" s="75"/>
      <c r="M773" s="49"/>
      <c r="N773" s="76"/>
      <c r="O773" s="49"/>
      <c r="P773" s="77"/>
      <c r="Q773" s="53"/>
      <c r="R773" s="54"/>
      <c r="S773" s="55"/>
      <c r="T773" s="56"/>
      <c r="U773" s="56"/>
      <c r="V773" s="42"/>
      <c r="W773" s="57"/>
      <c r="X773" s="58"/>
      <c r="Y773" s="75"/>
      <c r="Z773" s="59"/>
      <c r="AA773" s="61"/>
      <c r="AB773" s="61"/>
      <c r="AC773" s="61"/>
      <c r="AD773" s="62"/>
      <c r="AE773" s="62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</row>
    <row r="774" spans="1:77" x14ac:dyDescent="0.3">
      <c r="A774" s="39"/>
      <c r="B774" s="42"/>
      <c r="C774" s="42"/>
      <c r="D774" s="75"/>
      <c r="E774" s="75"/>
      <c r="F774" s="76"/>
      <c r="G774" s="47"/>
      <c r="H774" s="47"/>
      <c r="I774" s="75"/>
      <c r="J774" s="76"/>
      <c r="K774" s="76"/>
      <c r="L774" s="75"/>
      <c r="M774" s="49"/>
      <c r="N774" s="76"/>
      <c r="O774" s="49"/>
      <c r="P774" s="77"/>
      <c r="Q774" s="53"/>
      <c r="R774" s="54"/>
      <c r="S774" s="55"/>
      <c r="T774" s="56"/>
      <c r="U774" s="56"/>
      <c r="V774" s="42"/>
      <c r="W774" s="57"/>
      <c r="X774" s="58"/>
      <c r="Y774" s="75"/>
      <c r="Z774" s="59"/>
      <c r="AA774" s="61"/>
      <c r="AB774" s="61"/>
      <c r="AC774" s="61"/>
      <c r="AD774" s="62"/>
      <c r="AE774" s="62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</row>
    <row r="775" spans="1:77" x14ac:dyDescent="0.3">
      <c r="A775" s="39"/>
      <c r="B775" s="42"/>
      <c r="C775" s="42"/>
      <c r="D775" s="75"/>
      <c r="E775" s="75"/>
      <c r="F775" s="76"/>
      <c r="G775" s="47"/>
      <c r="H775" s="47"/>
      <c r="I775" s="75"/>
      <c r="J775" s="76"/>
      <c r="K775" s="76"/>
      <c r="L775" s="75"/>
      <c r="M775" s="49"/>
      <c r="N775" s="76"/>
      <c r="O775" s="49"/>
      <c r="P775" s="77"/>
      <c r="Q775" s="53"/>
      <c r="R775" s="54"/>
      <c r="S775" s="55"/>
      <c r="T775" s="56"/>
      <c r="U775" s="56"/>
      <c r="V775" s="42"/>
      <c r="W775" s="57"/>
      <c r="X775" s="58"/>
      <c r="Y775" s="75"/>
      <c r="Z775" s="59"/>
      <c r="AA775" s="61"/>
      <c r="AB775" s="61"/>
      <c r="AC775" s="61"/>
      <c r="AD775" s="62"/>
      <c r="AE775" s="62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</row>
    <row r="776" spans="1:77" x14ac:dyDescent="0.3">
      <c r="A776" s="39"/>
      <c r="B776" s="42"/>
      <c r="C776" s="42"/>
      <c r="D776" s="75"/>
      <c r="E776" s="75"/>
      <c r="F776" s="76"/>
      <c r="G776" s="47"/>
      <c r="H776" s="47"/>
      <c r="I776" s="75"/>
      <c r="J776" s="76"/>
      <c r="K776" s="76"/>
      <c r="L776" s="75"/>
      <c r="M776" s="49"/>
      <c r="N776" s="76"/>
      <c r="O776" s="49"/>
      <c r="P776" s="77"/>
      <c r="Q776" s="53"/>
      <c r="R776" s="54"/>
      <c r="S776" s="55"/>
      <c r="T776" s="56"/>
      <c r="U776" s="56"/>
      <c r="V776" s="42"/>
      <c r="W776" s="57"/>
      <c r="X776" s="58"/>
      <c r="Y776" s="75"/>
      <c r="Z776" s="59"/>
      <c r="AA776" s="61"/>
      <c r="AB776" s="61"/>
      <c r="AC776" s="61"/>
      <c r="AD776" s="62"/>
      <c r="AE776" s="62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</row>
    <row r="777" spans="1:77" x14ac:dyDescent="0.3">
      <c r="A777" s="39"/>
      <c r="B777" s="42"/>
      <c r="C777" s="42"/>
      <c r="D777" s="75"/>
      <c r="E777" s="75"/>
      <c r="F777" s="76"/>
      <c r="G777" s="47"/>
      <c r="H777" s="47"/>
      <c r="I777" s="75"/>
      <c r="J777" s="76"/>
      <c r="K777" s="76"/>
      <c r="L777" s="75"/>
      <c r="M777" s="49"/>
      <c r="N777" s="76"/>
      <c r="O777" s="49"/>
      <c r="P777" s="77"/>
      <c r="Q777" s="53"/>
      <c r="R777" s="54"/>
      <c r="S777" s="55"/>
      <c r="T777" s="56"/>
      <c r="U777" s="56"/>
      <c r="V777" s="42"/>
      <c r="W777" s="57"/>
      <c r="X777" s="58"/>
      <c r="Y777" s="75"/>
      <c r="Z777" s="59"/>
      <c r="AA777" s="61"/>
      <c r="AB777" s="61"/>
      <c r="AC777" s="61"/>
      <c r="AD777" s="62"/>
      <c r="AE777" s="62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</row>
    <row r="778" spans="1:77" x14ac:dyDescent="0.3">
      <c r="A778" s="39"/>
      <c r="B778" s="42"/>
      <c r="C778" s="42"/>
      <c r="D778" s="75"/>
      <c r="E778" s="75"/>
      <c r="F778" s="76"/>
      <c r="G778" s="47"/>
      <c r="H778" s="47"/>
      <c r="I778" s="75"/>
      <c r="J778" s="76"/>
      <c r="K778" s="76"/>
      <c r="L778" s="75"/>
      <c r="M778" s="49"/>
      <c r="N778" s="76"/>
      <c r="O778" s="49"/>
      <c r="P778" s="77"/>
      <c r="Q778" s="53"/>
      <c r="R778" s="54"/>
      <c r="S778" s="55"/>
      <c r="T778" s="56"/>
      <c r="U778" s="56"/>
      <c r="V778" s="42"/>
      <c r="W778" s="57"/>
      <c r="X778" s="58"/>
      <c r="Y778" s="75"/>
      <c r="Z778" s="59"/>
      <c r="AA778" s="61"/>
      <c r="AB778" s="61"/>
      <c r="AC778" s="61"/>
      <c r="AD778" s="62"/>
      <c r="AE778" s="62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</row>
    <row r="779" spans="1:77" x14ac:dyDescent="0.3">
      <c r="A779" s="39"/>
      <c r="B779" s="42"/>
      <c r="C779" s="42"/>
      <c r="D779" s="75"/>
      <c r="E779" s="75"/>
      <c r="F779" s="76"/>
      <c r="G779" s="47"/>
      <c r="H779" s="47"/>
      <c r="I779" s="75"/>
      <c r="J779" s="76"/>
      <c r="K779" s="76"/>
      <c r="L779" s="75"/>
      <c r="M779" s="49"/>
      <c r="N779" s="76"/>
      <c r="O779" s="49"/>
      <c r="P779" s="77"/>
      <c r="Q779" s="53"/>
      <c r="R779" s="54"/>
      <c r="S779" s="55"/>
      <c r="T779" s="56"/>
      <c r="U779" s="56"/>
      <c r="V779" s="42"/>
      <c r="W779" s="57"/>
      <c r="X779" s="58"/>
      <c r="Y779" s="75"/>
      <c r="Z779" s="59"/>
      <c r="AA779" s="61"/>
      <c r="AB779" s="61"/>
      <c r="AC779" s="61"/>
      <c r="AD779" s="62"/>
      <c r="AE779" s="62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</row>
    <row r="780" spans="1:77" x14ac:dyDescent="0.3">
      <c r="A780" s="39"/>
      <c r="B780" s="42"/>
      <c r="C780" s="42"/>
      <c r="D780" s="75"/>
      <c r="E780" s="75"/>
      <c r="F780" s="76"/>
      <c r="G780" s="47"/>
      <c r="H780" s="47"/>
      <c r="I780" s="75"/>
      <c r="J780" s="76"/>
      <c r="K780" s="76"/>
      <c r="L780" s="75"/>
      <c r="M780" s="49"/>
      <c r="N780" s="76"/>
      <c r="O780" s="49"/>
      <c r="P780" s="77"/>
      <c r="Q780" s="53"/>
      <c r="R780" s="54"/>
      <c r="S780" s="55"/>
      <c r="T780" s="56"/>
      <c r="U780" s="56"/>
      <c r="V780" s="42"/>
      <c r="W780" s="57"/>
      <c r="X780" s="58"/>
      <c r="Y780" s="75"/>
      <c r="Z780" s="59"/>
      <c r="AA780" s="61"/>
      <c r="AB780" s="61"/>
      <c r="AC780" s="61"/>
      <c r="AD780" s="62"/>
      <c r="AE780" s="62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</row>
    <row r="781" spans="1:77" x14ac:dyDescent="0.3">
      <c r="A781" s="39"/>
      <c r="B781" s="42"/>
      <c r="C781" s="42"/>
      <c r="D781" s="75"/>
      <c r="E781" s="75"/>
      <c r="F781" s="76"/>
      <c r="G781" s="47"/>
      <c r="H781" s="47"/>
      <c r="I781" s="75"/>
      <c r="J781" s="76"/>
      <c r="K781" s="76"/>
      <c r="L781" s="75"/>
      <c r="M781" s="49"/>
      <c r="N781" s="76"/>
      <c r="O781" s="49"/>
      <c r="P781" s="77"/>
      <c r="Q781" s="53"/>
      <c r="R781" s="54"/>
      <c r="S781" s="55"/>
      <c r="T781" s="56"/>
      <c r="U781" s="56"/>
      <c r="V781" s="42"/>
      <c r="W781" s="57"/>
      <c r="X781" s="58"/>
      <c r="Y781" s="75"/>
      <c r="Z781" s="59"/>
      <c r="AA781" s="61"/>
      <c r="AB781" s="61"/>
      <c r="AC781" s="61"/>
      <c r="AD781" s="62"/>
      <c r="AE781" s="62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</row>
    <row r="782" spans="1:77" x14ac:dyDescent="0.3">
      <c r="A782" s="39"/>
      <c r="B782" s="42"/>
      <c r="C782" s="42"/>
      <c r="D782" s="75"/>
      <c r="E782" s="75"/>
      <c r="F782" s="76"/>
      <c r="G782" s="47"/>
      <c r="H782" s="47"/>
      <c r="I782" s="75"/>
      <c r="J782" s="76"/>
      <c r="K782" s="76"/>
      <c r="L782" s="75"/>
      <c r="M782" s="49"/>
      <c r="N782" s="76"/>
      <c r="O782" s="49"/>
      <c r="P782" s="77"/>
      <c r="Q782" s="53"/>
      <c r="R782" s="54"/>
      <c r="S782" s="55"/>
      <c r="T782" s="56"/>
      <c r="U782" s="56"/>
      <c r="V782" s="42"/>
      <c r="W782" s="57"/>
      <c r="X782" s="58"/>
      <c r="Y782" s="75"/>
      <c r="Z782" s="59"/>
      <c r="AA782" s="61"/>
      <c r="AB782" s="61"/>
      <c r="AC782" s="61"/>
      <c r="AD782" s="62"/>
      <c r="AE782" s="62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</row>
    <row r="783" spans="1:77" x14ac:dyDescent="0.3">
      <c r="A783" s="39"/>
      <c r="B783" s="42"/>
      <c r="C783" s="42"/>
      <c r="D783" s="75"/>
      <c r="E783" s="75"/>
      <c r="F783" s="76"/>
      <c r="G783" s="47"/>
      <c r="H783" s="47"/>
      <c r="I783" s="75"/>
      <c r="J783" s="76"/>
      <c r="K783" s="76"/>
      <c r="L783" s="75"/>
      <c r="M783" s="49"/>
      <c r="N783" s="76"/>
      <c r="O783" s="49"/>
      <c r="P783" s="77"/>
      <c r="Q783" s="53"/>
      <c r="R783" s="54"/>
      <c r="S783" s="55"/>
      <c r="T783" s="56"/>
      <c r="U783" s="56"/>
      <c r="V783" s="42"/>
      <c r="W783" s="57"/>
      <c r="X783" s="58"/>
      <c r="Y783" s="75"/>
      <c r="Z783" s="59"/>
      <c r="AA783" s="61"/>
      <c r="AB783" s="61"/>
      <c r="AC783" s="61"/>
      <c r="AD783" s="62"/>
      <c r="AE783" s="62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</row>
    <row r="784" spans="1:77" x14ac:dyDescent="0.3">
      <c r="A784" s="39"/>
      <c r="B784" s="42"/>
      <c r="C784" s="42"/>
      <c r="D784" s="75"/>
      <c r="E784" s="75"/>
      <c r="F784" s="76"/>
      <c r="G784" s="47"/>
      <c r="H784" s="47"/>
      <c r="I784" s="75"/>
      <c r="J784" s="76"/>
      <c r="K784" s="76"/>
      <c r="L784" s="75"/>
      <c r="M784" s="49"/>
      <c r="N784" s="76"/>
      <c r="O784" s="49"/>
      <c r="P784" s="77"/>
      <c r="Q784" s="53"/>
      <c r="R784" s="54"/>
      <c r="S784" s="55"/>
      <c r="T784" s="56"/>
      <c r="U784" s="56"/>
      <c r="V784" s="42"/>
      <c r="W784" s="57"/>
      <c r="X784" s="58"/>
      <c r="Y784" s="75"/>
      <c r="Z784" s="59"/>
      <c r="AA784" s="61"/>
      <c r="AB784" s="61"/>
      <c r="AC784" s="61"/>
      <c r="AD784" s="62"/>
      <c r="AE784" s="62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</row>
    <row r="785" spans="1:77" x14ac:dyDescent="0.3">
      <c r="A785" s="39"/>
      <c r="B785" s="42"/>
      <c r="C785" s="42"/>
      <c r="D785" s="75"/>
      <c r="E785" s="75"/>
      <c r="F785" s="76"/>
      <c r="G785" s="47"/>
      <c r="H785" s="47"/>
      <c r="I785" s="75"/>
      <c r="J785" s="76"/>
      <c r="K785" s="76"/>
      <c r="L785" s="75"/>
      <c r="M785" s="49"/>
      <c r="N785" s="76"/>
      <c r="O785" s="49"/>
      <c r="P785" s="77"/>
      <c r="Q785" s="53"/>
      <c r="R785" s="54"/>
      <c r="S785" s="55"/>
      <c r="T785" s="56"/>
      <c r="U785" s="56"/>
      <c r="V785" s="42"/>
      <c r="W785" s="57"/>
      <c r="X785" s="58"/>
      <c r="Y785" s="75"/>
      <c r="Z785" s="59"/>
      <c r="AA785" s="61"/>
      <c r="AB785" s="61"/>
      <c r="AC785" s="61"/>
      <c r="AD785" s="62"/>
      <c r="AE785" s="62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</row>
    <row r="786" spans="1:77" x14ac:dyDescent="0.3">
      <c r="A786" s="39"/>
      <c r="B786" s="42"/>
      <c r="C786" s="42"/>
      <c r="D786" s="75"/>
      <c r="E786" s="75"/>
      <c r="F786" s="76"/>
      <c r="G786" s="47"/>
      <c r="H786" s="47"/>
      <c r="I786" s="75"/>
      <c r="J786" s="76"/>
      <c r="K786" s="76"/>
      <c r="L786" s="75"/>
      <c r="M786" s="49"/>
      <c r="N786" s="76"/>
      <c r="O786" s="49"/>
      <c r="P786" s="77"/>
      <c r="Q786" s="53"/>
      <c r="R786" s="54"/>
      <c r="S786" s="55"/>
      <c r="T786" s="56"/>
      <c r="U786" s="56"/>
      <c r="V786" s="42"/>
      <c r="W786" s="57"/>
      <c r="X786" s="58"/>
      <c r="Y786" s="75"/>
      <c r="Z786" s="59"/>
      <c r="AA786" s="61"/>
      <c r="AB786" s="61"/>
      <c r="AC786" s="61"/>
      <c r="AD786" s="62"/>
      <c r="AE786" s="62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</row>
    <row r="787" spans="1:77" x14ac:dyDescent="0.3">
      <c r="A787" s="39"/>
      <c r="B787" s="42"/>
      <c r="C787" s="42"/>
      <c r="D787" s="75"/>
      <c r="E787" s="75"/>
      <c r="F787" s="76"/>
      <c r="G787" s="47"/>
      <c r="H787" s="47"/>
      <c r="I787" s="75"/>
      <c r="J787" s="76"/>
      <c r="K787" s="76"/>
      <c r="L787" s="75"/>
      <c r="M787" s="49"/>
      <c r="N787" s="76"/>
      <c r="O787" s="49"/>
      <c r="P787" s="77"/>
      <c r="Q787" s="53"/>
      <c r="R787" s="54"/>
      <c r="S787" s="55"/>
      <c r="T787" s="56"/>
      <c r="U787" s="56"/>
      <c r="V787" s="42"/>
      <c r="W787" s="57"/>
      <c r="X787" s="58"/>
      <c r="Y787" s="75"/>
      <c r="Z787" s="59"/>
      <c r="AA787" s="61"/>
      <c r="AB787" s="61"/>
      <c r="AC787" s="61"/>
      <c r="AD787" s="62"/>
      <c r="AE787" s="62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</row>
    <row r="788" spans="1:77" x14ac:dyDescent="0.3">
      <c r="A788" s="39"/>
      <c r="B788" s="42"/>
      <c r="C788" s="42"/>
      <c r="D788" s="75"/>
      <c r="E788" s="75"/>
      <c r="F788" s="76"/>
      <c r="G788" s="47"/>
      <c r="H788" s="47"/>
      <c r="I788" s="75"/>
      <c r="J788" s="76"/>
      <c r="K788" s="76"/>
      <c r="L788" s="75"/>
      <c r="M788" s="49"/>
      <c r="N788" s="76"/>
      <c r="O788" s="49"/>
      <c r="P788" s="77"/>
      <c r="Q788" s="53"/>
      <c r="R788" s="54"/>
      <c r="S788" s="55"/>
      <c r="T788" s="56"/>
      <c r="U788" s="56"/>
      <c r="V788" s="42"/>
      <c r="W788" s="57"/>
      <c r="X788" s="58"/>
      <c r="Y788" s="75"/>
      <c r="Z788" s="59"/>
      <c r="AA788" s="61"/>
      <c r="AB788" s="61"/>
      <c r="AC788" s="61"/>
      <c r="AD788" s="62"/>
      <c r="AE788" s="62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</row>
    <row r="789" spans="1:77" x14ac:dyDescent="0.3">
      <c r="A789" s="39"/>
      <c r="B789" s="42"/>
      <c r="C789" s="42"/>
      <c r="D789" s="75"/>
      <c r="E789" s="75"/>
      <c r="F789" s="76"/>
      <c r="G789" s="47"/>
      <c r="H789" s="47"/>
      <c r="I789" s="75"/>
      <c r="J789" s="76"/>
      <c r="K789" s="76"/>
      <c r="L789" s="75"/>
      <c r="M789" s="49"/>
      <c r="N789" s="76"/>
      <c r="O789" s="49"/>
      <c r="P789" s="77"/>
      <c r="Q789" s="53"/>
      <c r="R789" s="54"/>
      <c r="S789" s="55"/>
      <c r="T789" s="56"/>
      <c r="U789" s="56"/>
      <c r="V789" s="42"/>
      <c r="W789" s="57"/>
      <c r="X789" s="58"/>
      <c r="Y789" s="75"/>
      <c r="Z789" s="59"/>
      <c r="AA789" s="61"/>
      <c r="AB789" s="61"/>
      <c r="AC789" s="61"/>
      <c r="AD789" s="62"/>
      <c r="AE789" s="62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</row>
    <row r="790" spans="1:77" x14ac:dyDescent="0.3">
      <c r="A790" s="39"/>
      <c r="B790" s="42"/>
      <c r="C790" s="42"/>
      <c r="D790" s="75"/>
      <c r="E790" s="75"/>
      <c r="F790" s="76"/>
      <c r="G790" s="47"/>
      <c r="H790" s="47"/>
      <c r="I790" s="75"/>
      <c r="J790" s="76"/>
      <c r="K790" s="76"/>
      <c r="L790" s="75"/>
      <c r="M790" s="49"/>
      <c r="N790" s="76"/>
      <c r="O790" s="49"/>
      <c r="P790" s="77"/>
      <c r="Q790" s="53"/>
      <c r="R790" s="54"/>
      <c r="S790" s="55"/>
      <c r="T790" s="56"/>
      <c r="U790" s="56"/>
      <c r="V790" s="42"/>
      <c r="W790" s="57"/>
      <c r="X790" s="58"/>
      <c r="Y790" s="75"/>
      <c r="Z790" s="59"/>
      <c r="AA790" s="61"/>
      <c r="AB790" s="61"/>
      <c r="AC790" s="61"/>
      <c r="AD790" s="62"/>
      <c r="AE790" s="62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</row>
    <row r="791" spans="1:77" x14ac:dyDescent="0.3">
      <c r="A791" s="39"/>
      <c r="B791" s="42"/>
      <c r="C791" s="42"/>
      <c r="D791" s="75"/>
      <c r="E791" s="75"/>
      <c r="F791" s="76"/>
      <c r="G791" s="47"/>
      <c r="H791" s="47"/>
      <c r="I791" s="75"/>
      <c r="J791" s="76"/>
      <c r="K791" s="76"/>
      <c r="L791" s="75"/>
      <c r="M791" s="49"/>
      <c r="N791" s="76"/>
      <c r="O791" s="49"/>
      <c r="P791" s="77"/>
      <c r="Q791" s="53"/>
      <c r="R791" s="54"/>
      <c r="S791" s="55"/>
      <c r="T791" s="56"/>
      <c r="U791" s="56"/>
      <c r="V791" s="42"/>
      <c r="W791" s="57"/>
      <c r="X791" s="58"/>
      <c r="Y791" s="75"/>
      <c r="Z791" s="59"/>
      <c r="AA791" s="61"/>
      <c r="AB791" s="61"/>
      <c r="AC791" s="61"/>
      <c r="AD791" s="62"/>
      <c r="AE791" s="62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</row>
    <row r="792" spans="1:77" x14ac:dyDescent="0.3">
      <c r="A792" s="39"/>
      <c r="B792" s="42"/>
      <c r="C792" s="42"/>
      <c r="D792" s="75"/>
      <c r="E792" s="75"/>
      <c r="F792" s="76"/>
      <c r="G792" s="47"/>
      <c r="H792" s="47"/>
      <c r="I792" s="75"/>
      <c r="J792" s="76"/>
      <c r="K792" s="76"/>
      <c r="L792" s="75"/>
      <c r="M792" s="49"/>
      <c r="N792" s="76"/>
      <c r="O792" s="49"/>
      <c r="P792" s="77"/>
      <c r="Q792" s="53"/>
      <c r="R792" s="54"/>
      <c r="S792" s="55"/>
      <c r="T792" s="56"/>
      <c r="U792" s="56"/>
      <c r="V792" s="42"/>
      <c r="W792" s="57"/>
      <c r="X792" s="58"/>
      <c r="Y792" s="75"/>
      <c r="Z792" s="59"/>
      <c r="AA792" s="61"/>
      <c r="AB792" s="61"/>
      <c r="AC792" s="61"/>
      <c r="AD792" s="62"/>
      <c r="AE792" s="62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</row>
    <row r="793" spans="1:77" x14ac:dyDescent="0.3">
      <c r="A793" s="39"/>
      <c r="B793" s="42"/>
      <c r="C793" s="42"/>
      <c r="D793" s="75"/>
      <c r="E793" s="75"/>
      <c r="F793" s="76"/>
      <c r="G793" s="47"/>
      <c r="H793" s="47"/>
      <c r="I793" s="75"/>
      <c r="J793" s="76"/>
      <c r="K793" s="76"/>
      <c r="L793" s="75"/>
      <c r="M793" s="49"/>
      <c r="N793" s="76"/>
      <c r="O793" s="49"/>
      <c r="P793" s="77"/>
      <c r="Q793" s="53"/>
      <c r="R793" s="54"/>
      <c r="S793" s="55"/>
      <c r="T793" s="56"/>
      <c r="U793" s="56"/>
      <c r="V793" s="42"/>
      <c r="W793" s="57"/>
      <c r="X793" s="58"/>
      <c r="Y793" s="75"/>
      <c r="Z793" s="59"/>
      <c r="AA793" s="61"/>
      <c r="AB793" s="61"/>
      <c r="AC793" s="61"/>
      <c r="AD793" s="62"/>
      <c r="AE793" s="62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</row>
    <row r="794" spans="1:77" x14ac:dyDescent="0.3">
      <c r="A794" s="39"/>
      <c r="B794" s="42"/>
      <c r="C794" s="42"/>
      <c r="D794" s="75"/>
      <c r="E794" s="75"/>
      <c r="F794" s="76"/>
      <c r="G794" s="47"/>
      <c r="H794" s="47"/>
      <c r="I794" s="75"/>
      <c r="J794" s="76"/>
      <c r="K794" s="76"/>
      <c r="L794" s="75"/>
      <c r="M794" s="49"/>
      <c r="N794" s="76"/>
      <c r="O794" s="49"/>
      <c r="P794" s="77"/>
      <c r="Q794" s="53"/>
      <c r="R794" s="54"/>
      <c r="S794" s="55"/>
      <c r="T794" s="56"/>
      <c r="U794" s="56"/>
      <c r="V794" s="42"/>
      <c r="W794" s="57"/>
      <c r="X794" s="58"/>
      <c r="Y794" s="75"/>
      <c r="Z794" s="59"/>
      <c r="AA794" s="61"/>
      <c r="AB794" s="61"/>
      <c r="AC794" s="61"/>
      <c r="AD794" s="62"/>
      <c r="AE794" s="62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</row>
    <row r="795" spans="1:77" x14ac:dyDescent="0.3">
      <c r="A795" s="39"/>
      <c r="B795" s="42"/>
      <c r="C795" s="42"/>
      <c r="D795" s="75"/>
      <c r="E795" s="75"/>
      <c r="F795" s="76"/>
      <c r="G795" s="47"/>
      <c r="H795" s="47"/>
      <c r="I795" s="75"/>
      <c r="J795" s="76"/>
      <c r="K795" s="76"/>
      <c r="L795" s="75"/>
      <c r="M795" s="49"/>
      <c r="N795" s="76"/>
      <c r="O795" s="49"/>
      <c r="P795" s="77"/>
      <c r="Q795" s="53"/>
      <c r="R795" s="54"/>
      <c r="S795" s="55"/>
      <c r="T795" s="56"/>
      <c r="U795" s="56"/>
      <c r="V795" s="42"/>
      <c r="W795" s="57"/>
      <c r="X795" s="58"/>
      <c r="Y795" s="75"/>
      <c r="Z795" s="59"/>
      <c r="AA795" s="61"/>
      <c r="AB795" s="61"/>
      <c r="AC795" s="61"/>
      <c r="AD795" s="62"/>
      <c r="AE795" s="62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</row>
    <row r="796" spans="1:77" x14ac:dyDescent="0.3">
      <c r="A796" s="39"/>
      <c r="B796" s="42"/>
      <c r="C796" s="42"/>
      <c r="D796" s="75"/>
      <c r="E796" s="75"/>
      <c r="F796" s="76"/>
      <c r="G796" s="47"/>
      <c r="H796" s="47"/>
      <c r="I796" s="75"/>
      <c r="J796" s="76"/>
      <c r="K796" s="76"/>
      <c r="L796" s="75"/>
      <c r="M796" s="49"/>
      <c r="N796" s="76"/>
      <c r="O796" s="49"/>
      <c r="P796" s="77"/>
      <c r="Q796" s="53"/>
      <c r="R796" s="54"/>
      <c r="S796" s="55"/>
      <c r="T796" s="56"/>
      <c r="U796" s="56"/>
      <c r="V796" s="42"/>
      <c r="W796" s="57"/>
      <c r="X796" s="58"/>
      <c r="Y796" s="75"/>
      <c r="Z796" s="59"/>
      <c r="AA796" s="61"/>
      <c r="AB796" s="61"/>
      <c r="AC796" s="61"/>
      <c r="AD796" s="62"/>
      <c r="AE796" s="62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</row>
    <row r="797" spans="1:77" x14ac:dyDescent="0.3">
      <c r="A797" s="39"/>
      <c r="B797" s="42"/>
      <c r="C797" s="42"/>
      <c r="D797" s="75"/>
      <c r="E797" s="75"/>
      <c r="F797" s="76"/>
      <c r="G797" s="47"/>
      <c r="H797" s="47"/>
      <c r="I797" s="75"/>
      <c r="J797" s="76"/>
      <c r="K797" s="76"/>
      <c r="L797" s="75"/>
      <c r="M797" s="49"/>
      <c r="N797" s="76"/>
      <c r="O797" s="49"/>
      <c r="P797" s="77"/>
      <c r="Q797" s="53"/>
      <c r="R797" s="54"/>
      <c r="S797" s="55"/>
      <c r="T797" s="56"/>
      <c r="U797" s="56"/>
      <c r="V797" s="42"/>
      <c r="W797" s="57"/>
      <c r="X797" s="58"/>
      <c r="Y797" s="75"/>
      <c r="Z797" s="59"/>
      <c r="AA797" s="61"/>
      <c r="AB797" s="61"/>
      <c r="AC797" s="61"/>
      <c r="AD797" s="62"/>
      <c r="AE797" s="62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</row>
    <row r="798" spans="1:77" x14ac:dyDescent="0.3">
      <c r="A798" s="39"/>
      <c r="B798" s="42"/>
      <c r="C798" s="42"/>
      <c r="D798" s="75"/>
      <c r="E798" s="75"/>
      <c r="F798" s="76"/>
      <c r="G798" s="47"/>
      <c r="H798" s="47"/>
      <c r="I798" s="75"/>
      <c r="J798" s="76"/>
      <c r="K798" s="76"/>
      <c r="L798" s="75"/>
      <c r="M798" s="49"/>
      <c r="N798" s="76"/>
      <c r="O798" s="49"/>
      <c r="P798" s="77"/>
      <c r="Q798" s="53"/>
      <c r="R798" s="54"/>
      <c r="S798" s="55"/>
      <c r="T798" s="56"/>
      <c r="U798" s="56"/>
      <c r="V798" s="42"/>
      <c r="W798" s="57"/>
      <c r="X798" s="58"/>
      <c r="Y798" s="75"/>
      <c r="Z798" s="59"/>
      <c r="AA798" s="61"/>
      <c r="AB798" s="61"/>
      <c r="AC798" s="61"/>
      <c r="AD798" s="62"/>
      <c r="AE798" s="62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</row>
    <row r="799" spans="1:77" x14ac:dyDescent="0.3">
      <c r="A799" s="39"/>
      <c r="B799" s="42"/>
      <c r="C799" s="42"/>
      <c r="D799" s="75"/>
      <c r="E799" s="75"/>
      <c r="F799" s="76"/>
      <c r="G799" s="47"/>
      <c r="H799" s="47"/>
      <c r="I799" s="75"/>
      <c r="J799" s="76"/>
      <c r="K799" s="76"/>
      <c r="L799" s="75"/>
      <c r="M799" s="49"/>
      <c r="N799" s="76"/>
      <c r="O799" s="49"/>
      <c r="P799" s="77"/>
      <c r="Q799" s="53"/>
      <c r="R799" s="54"/>
      <c r="S799" s="55"/>
      <c r="T799" s="56"/>
      <c r="U799" s="56"/>
      <c r="V799" s="42"/>
      <c r="W799" s="57"/>
      <c r="X799" s="58"/>
      <c r="Y799" s="75"/>
      <c r="Z799" s="59"/>
      <c r="AA799" s="61"/>
      <c r="AB799" s="61"/>
      <c r="AC799" s="61"/>
      <c r="AD799" s="62"/>
      <c r="AE799" s="62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</row>
    <row r="800" spans="1:77" x14ac:dyDescent="0.3">
      <c r="A800" s="39"/>
      <c r="B800" s="42"/>
      <c r="C800" s="42"/>
      <c r="D800" s="75"/>
      <c r="E800" s="75"/>
      <c r="F800" s="76"/>
      <c r="G800" s="47"/>
      <c r="H800" s="47"/>
      <c r="I800" s="75"/>
      <c r="J800" s="76"/>
      <c r="K800" s="76"/>
      <c r="L800" s="75"/>
      <c r="M800" s="49"/>
      <c r="N800" s="76"/>
      <c r="O800" s="49"/>
      <c r="P800" s="77"/>
      <c r="Q800" s="53"/>
      <c r="R800" s="54"/>
      <c r="S800" s="55"/>
      <c r="T800" s="56"/>
      <c r="U800" s="56"/>
      <c r="V800" s="42"/>
      <c r="W800" s="57"/>
      <c r="X800" s="58"/>
      <c r="Y800" s="75"/>
      <c r="Z800" s="59"/>
      <c r="AA800" s="61"/>
      <c r="AB800" s="61"/>
      <c r="AC800" s="61"/>
      <c r="AD800" s="62"/>
      <c r="AE800" s="62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</row>
    <row r="801" spans="1:77" x14ac:dyDescent="0.3">
      <c r="A801" s="39"/>
      <c r="B801" s="42"/>
      <c r="C801" s="42"/>
      <c r="D801" s="75"/>
      <c r="E801" s="75"/>
      <c r="F801" s="76"/>
      <c r="G801" s="47"/>
      <c r="H801" s="47"/>
      <c r="I801" s="75"/>
      <c r="J801" s="76"/>
      <c r="K801" s="76"/>
      <c r="L801" s="75"/>
      <c r="M801" s="49"/>
      <c r="N801" s="76"/>
      <c r="O801" s="49"/>
      <c r="P801" s="77"/>
      <c r="Q801" s="53"/>
      <c r="R801" s="54"/>
      <c r="S801" s="55"/>
      <c r="T801" s="56"/>
      <c r="U801" s="56"/>
      <c r="V801" s="42"/>
      <c r="W801" s="57"/>
      <c r="X801" s="58"/>
      <c r="Y801" s="75"/>
      <c r="Z801" s="59"/>
      <c r="AA801" s="61"/>
      <c r="AB801" s="61"/>
      <c r="AC801" s="61"/>
      <c r="AD801" s="62"/>
      <c r="AE801" s="62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</row>
    <row r="802" spans="1:77" x14ac:dyDescent="0.3">
      <c r="A802" s="39"/>
      <c r="B802" s="42"/>
      <c r="C802" s="42"/>
      <c r="D802" s="75"/>
      <c r="E802" s="75"/>
      <c r="F802" s="76"/>
      <c r="G802" s="47"/>
      <c r="H802" s="47"/>
      <c r="I802" s="75"/>
      <c r="J802" s="76"/>
      <c r="K802" s="76"/>
      <c r="L802" s="75"/>
      <c r="M802" s="49"/>
      <c r="N802" s="76"/>
      <c r="O802" s="49"/>
      <c r="P802" s="77"/>
      <c r="Q802" s="53"/>
      <c r="R802" s="54"/>
      <c r="S802" s="55"/>
      <c r="T802" s="56"/>
      <c r="U802" s="56"/>
      <c r="V802" s="42"/>
      <c r="W802" s="57"/>
      <c r="X802" s="58"/>
      <c r="Y802" s="75"/>
      <c r="Z802" s="59"/>
      <c r="AA802" s="61"/>
      <c r="AB802" s="61"/>
      <c r="AC802" s="61"/>
      <c r="AD802" s="62"/>
      <c r="AE802" s="62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</row>
    <row r="803" spans="1:77" x14ac:dyDescent="0.3">
      <c r="A803" s="39"/>
      <c r="B803" s="42"/>
      <c r="C803" s="42"/>
      <c r="D803" s="75"/>
      <c r="E803" s="75"/>
      <c r="F803" s="76"/>
      <c r="G803" s="47"/>
      <c r="H803" s="47"/>
      <c r="I803" s="75"/>
      <c r="J803" s="76"/>
      <c r="K803" s="76"/>
      <c r="L803" s="75"/>
      <c r="M803" s="49"/>
      <c r="N803" s="76"/>
      <c r="O803" s="49"/>
      <c r="P803" s="77"/>
      <c r="Q803" s="53"/>
      <c r="R803" s="54"/>
      <c r="S803" s="55"/>
      <c r="T803" s="56"/>
      <c r="U803" s="56"/>
      <c r="V803" s="42"/>
      <c r="W803" s="57"/>
      <c r="X803" s="58"/>
      <c r="Y803" s="75"/>
      <c r="Z803" s="59"/>
      <c r="AA803" s="61"/>
      <c r="AB803" s="61"/>
      <c r="AC803" s="61"/>
      <c r="AD803" s="62"/>
      <c r="AE803" s="62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</row>
    <row r="804" spans="1:77" x14ac:dyDescent="0.3">
      <c r="A804" s="39"/>
      <c r="B804" s="42"/>
      <c r="C804" s="42"/>
      <c r="D804" s="75"/>
      <c r="E804" s="75"/>
      <c r="F804" s="76"/>
      <c r="G804" s="47"/>
      <c r="H804" s="47"/>
      <c r="I804" s="75"/>
      <c r="J804" s="76"/>
      <c r="K804" s="76"/>
      <c r="L804" s="75"/>
      <c r="M804" s="49"/>
      <c r="N804" s="76"/>
      <c r="O804" s="49"/>
      <c r="P804" s="77"/>
      <c r="Q804" s="53"/>
      <c r="R804" s="54"/>
      <c r="S804" s="55"/>
      <c r="T804" s="56"/>
      <c r="U804" s="56"/>
      <c r="V804" s="42"/>
      <c r="W804" s="57"/>
      <c r="X804" s="58"/>
      <c r="Y804" s="75"/>
      <c r="Z804" s="59"/>
      <c r="AA804" s="61"/>
      <c r="AB804" s="61"/>
      <c r="AC804" s="61"/>
      <c r="AD804" s="62"/>
      <c r="AE804" s="62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</row>
    <row r="805" spans="1:77" x14ac:dyDescent="0.3">
      <c r="A805" s="39"/>
      <c r="B805" s="42"/>
      <c r="C805" s="42"/>
      <c r="D805" s="75"/>
      <c r="E805" s="75"/>
      <c r="F805" s="76"/>
      <c r="G805" s="47"/>
      <c r="H805" s="47"/>
      <c r="I805" s="75"/>
      <c r="J805" s="76"/>
      <c r="K805" s="76"/>
      <c r="L805" s="75"/>
      <c r="M805" s="49"/>
      <c r="N805" s="76"/>
      <c r="O805" s="49"/>
      <c r="P805" s="77"/>
      <c r="Q805" s="53"/>
      <c r="R805" s="54"/>
      <c r="S805" s="55"/>
      <c r="T805" s="56"/>
      <c r="U805" s="56"/>
      <c r="V805" s="42"/>
      <c r="W805" s="57"/>
      <c r="X805" s="58"/>
      <c r="Y805" s="75"/>
      <c r="Z805" s="59"/>
      <c r="AA805" s="61"/>
      <c r="AB805" s="61"/>
      <c r="AC805" s="61"/>
      <c r="AD805" s="62"/>
      <c r="AE805" s="62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</row>
    <row r="806" spans="1:77" x14ac:dyDescent="0.3">
      <c r="A806" s="39"/>
      <c r="B806" s="42"/>
      <c r="C806" s="42"/>
      <c r="D806" s="75"/>
      <c r="E806" s="75"/>
      <c r="F806" s="76"/>
      <c r="G806" s="47"/>
      <c r="H806" s="47"/>
      <c r="I806" s="75"/>
      <c r="J806" s="76"/>
      <c r="K806" s="76"/>
      <c r="L806" s="75"/>
      <c r="M806" s="49"/>
      <c r="N806" s="76"/>
      <c r="O806" s="49"/>
      <c r="P806" s="77"/>
      <c r="Q806" s="53"/>
      <c r="R806" s="54"/>
      <c r="S806" s="55"/>
      <c r="T806" s="56"/>
      <c r="U806" s="56"/>
      <c r="V806" s="42"/>
      <c r="W806" s="57"/>
      <c r="X806" s="58"/>
      <c r="Y806" s="75"/>
      <c r="Z806" s="59"/>
      <c r="AA806" s="61"/>
      <c r="AB806" s="61"/>
      <c r="AC806" s="61"/>
      <c r="AD806" s="62"/>
      <c r="AE806" s="62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</row>
    <row r="807" spans="1:77" x14ac:dyDescent="0.3">
      <c r="A807" s="39"/>
      <c r="B807" s="42"/>
      <c r="C807" s="42"/>
      <c r="D807" s="75"/>
      <c r="E807" s="75"/>
      <c r="F807" s="76"/>
      <c r="G807" s="47"/>
      <c r="H807" s="47"/>
      <c r="I807" s="75"/>
      <c r="J807" s="76"/>
      <c r="K807" s="76"/>
      <c r="L807" s="75"/>
      <c r="M807" s="49"/>
      <c r="N807" s="76"/>
      <c r="O807" s="49"/>
      <c r="P807" s="77"/>
      <c r="Q807" s="53"/>
      <c r="R807" s="54"/>
      <c r="S807" s="55"/>
      <c r="T807" s="56"/>
      <c r="U807" s="56"/>
      <c r="V807" s="42"/>
      <c r="W807" s="57"/>
      <c r="X807" s="58"/>
      <c r="Y807" s="75"/>
      <c r="Z807" s="59"/>
      <c r="AA807" s="61"/>
      <c r="AB807" s="61"/>
      <c r="AC807" s="61"/>
      <c r="AD807" s="62"/>
      <c r="AE807" s="62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</row>
    <row r="808" spans="1:77" x14ac:dyDescent="0.3">
      <c r="A808" s="39"/>
      <c r="B808" s="42"/>
      <c r="C808" s="42"/>
      <c r="D808" s="75"/>
      <c r="E808" s="75"/>
      <c r="F808" s="76"/>
      <c r="G808" s="47"/>
      <c r="H808" s="47"/>
      <c r="I808" s="75"/>
      <c r="J808" s="76"/>
      <c r="K808" s="76"/>
      <c r="L808" s="75"/>
      <c r="M808" s="49"/>
      <c r="N808" s="76"/>
      <c r="O808" s="49"/>
      <c r="P808" s="77"/>
      <c r="Q808" s="53"/>
      <c r="R808" s="54"/>
      <c r="S808" s="55"/>
      <c r="T808" s="56"/>
      <c r="U808" s="56"/>
      <c r="V808" s="42"/>
      <c r="W808" s="57"/>
      <c r="X808" s="58"/>
      <c r="Y808" s="75"/>
      <c r="Z808" s="59"/>
      <c r="AA808" s="61"/>
      <c r="AB808" s="61"/>
      <c r="AC808" s="61"/>
      <c r="AD808" s="62"/>
      <c r="AE808" s="62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</row>
    <row r="809" spans="1:77" x14ac:dyDescent="0.3">
      <c r="A809" s="39"/>
      <c r="B809" s="42"/>
      <c r="C809" s="42"/>
      <c r="D809" s="75"/>
      <c r="E809" s="75"/>
      <c r="F809" s="76"/>
      <c r="G809" s="47"/>
      <c r="H809" s="47"/>
      <c r="I809" s="75"/>
      <c r="J809" s="76"/>
      <c r="K809" s="76"/>
      <c r="L809" s="75"/>
      <c r="M809" s="49"/>
      <c r="N809" s="76"/>
      <c r="O809" s="49"/>
      <c r="P809" s="77"/>
      <c r="Q809" s="53"/>
      <c r="R809" s="54"/>
      <c r="S809" s="55"/>
      <c r="T809" s="56"/>
      <c r="U809" s="56"/>
      <c r="V809" s="42"/>
      <c r="W809" s="57"/>
      <c r="X809" s="58"/>
      <c r="Y809" s="75"/>
      <c r="Z809" s="59"/>
      <c r="AA809" s="61"/>
      <c r="AB809" s="61"/>
      <c r="AC809" s="61"/>
      <c r="AD809" s="62"/>
      <c r="AE809" s="62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</row>
    <row r="810" spans="1:77" x14ac:dyDescent="0.3">
      <c r="A810" s="39"/>
      <c r="B810" s="42"/>
      <c r="C810" s="42"/>
      <c r="D810" s="75"/>
      <c r="E810" s="75"/>
      <c r="F810" s="76"/>
      <c r="G810" s="47"/>
      <c r="H810" s="47"/>
      <c r="I810" s="75"/>
      <c r="J810" s="76"/>
      <c r="K810" s="76"/>
      <c r="L810" s="75"/>
      <c r="M810" s="49"/>
      <c r="N810" s="76"/>
      <c r="O810" s="49"/>
      <c r="P810" s="77"/>
      <c r="Q810" s="53"/>
      <c r="R810" s="54"/>
      <c r="S810" s="55"/>
      <c r="T810" s="56"/>
      <c r="U810" s="56"/>
      <c r="V810" s="42"/>
      <c r="W810" s="57"/>
      <c r="X810" s="58"/>
      <c r="Y810" s="75"/>
      <c r="Z810" s="59"/>
      <c r="AA810" s="61"/>
      <c r="AB810" s="61"/>
      <c r="AC810" s="61"/>
      <c r="AD810" s="62"/>
      <c r="AE810" s="62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</row>
    <row r="811" spans="1:77" x14ac:dyDescent="0.3">
      <c r="A811" s="39"/>
      <c r="B811" s="42"/>
      <c r="C811" s="42"/>
      <c r="D811" s="75"/>
      <c r="E811" s="75"/>
      <c r="F811" s="76"/>
      <c r="G811" s="47"/>
      <c r="H811" s="47"/>
      <c r="I811" s="75"/>
      <c r="J811" s="76"/>
      <c r="K811" s="76"/>
      <c r="L811" s="75"/>
      <c r="M811" s="49"/>
      <c r="N811" s="76"/>
      <c r="O811" s="49"/>
      <c r="P811" s="77"/>
      <c r="Q811" s="53"/>
      <c r="R811" s="54"/>
      <c r="S811" s="55"/>
      <c r="T811" s="56"/>
      <c r="U811" s="56"/>
      <c r="V811" s="42"/>
      <c r="W811" s="57"/>
      <c r="X811" s="58"/>
      <c r="Y811" s="75"/>
      <c r="Z811" s="59"/>
      <c r="AA811" s="61"/>
      <c r="AB811" s="61"/>
      <c r="AC811" s="61"/>
      <c r="AD811" s="62"/>
      <c r="AE811" s="62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</row>
    <row r="812" spans="1:77" x14ac:dyDescent="0.3">
      <c r="A812" s="39"/>
      <c r="B812" s="42"/>
      <c r="C812" s="42"/>
      <c r="D812" s="75"/>
      <c r="E812" s="75"/>
      <c r="F812" s="76"/>
      <c r="G812" s="47"/>
      <c r="H812" s="47"/>
      <c r="I812" s="75"/>
      <c r="J812" s="76"/>
      <c r="K812" s="76"/>
      <c r="L812" s="75"/>
      <c r="M812" s="49"/>
      <c r="N812" s="76"/>
      <c r="O812" s="49"/>
      <c r="P812" s="77"/>
      <c r="Q812" s="53"/>
      <c r="R812" s="54"/>
      <c r="S812" s="55"/>
      <c r="T812" s="56"/>
      <c r="U812" s="56"/>
      <c r="V812" s="42"/>
      <c r="W812" s="57"/>
      <c r="X812" s="58"/>
      <c r="Y812" s="75"/>
      <c r="Z812" s="59"/>
      <c r="AA812" s="61"/>
      <c r="AB812" s="61"/>
      <c r="AC812" s="61"/>
      <c r="AD812" s="62"/>
      <c r="AE812" s="62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</row>
    <row r="813" spans="1:77" x14ac:dyDescent="0.3">
      <c r="A813" s="39"/>
      <c r="B813" s="42"/>
      <c r="C813" s="42"/>
      <c r="D813" s="75"/>
      <c r="E813" s="75"/>
      <c r="F813" s="76"/>
      <c r="G813" s="47"/>
      <c r="H813" s="47"/>
      <c r="I813" s="75"/>
      <c r="J813" s="76"/>
      <c r="K813" s="76"/>
      <c r="L813" s="75"/>
      <c r="M813" s="49"/>
      <c r="N813" s="76"/>
      <c r="O813" s="49"/>
      <c r="P813" s="77"/>
      <c r="Q813" s="53"/>
      <c r="R813" s="54"/>
      <c r="S813" s="55"/>
      <c r="T813" s="56"/>
      <c r="U813" s="56"/>
      <c r="V813" s="42"/>
      <c r="W813" s="57"/>
      <c r="X813" s="58"/>
      <c r="Y813" s="75"/>
      <c r="Z813" s="59"/>
      <c r="AA813" s="61"/>
      <c r="AB813" s="61"/>
      <c r="AC813" s="61"/>
      <c r="AD813" s="62"/>
      <c r="AE813" s="62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</row>
    <row r="814" spans="1:77" x14ac:dyDescent="0.3">
      <c r="A814" s="39"/>
      <c r="B814" s="42"/>
      <c r="C814" s="42"/>
      <c r="D814" s="75"/>
      <c r="E814" s="75"/>
      <c r="F814" s="76"/>
      <c r="G814" s="47"/>
      <c r="H814" s="47"/>
      <c r="I814" s="75"/>
      <c r="J814" s="76"/>
      <c r="K814" s="76"/>
      <c r="L814" s="75"/>
      <c r="M814" s="49"/>
      <c r="N814" s="76"/>
      <c r="O814" s="49"/>
      <c r="P814" s="77"/>
      <c r="Q814" s="53"/>
      <c r="R814" s="54"/>
      <c r="S814" s="55"/>
      <c r="T814" s="56"/>
      <c r="U814" s="56"/>
      <c r="V814" s="42"/>
      <c r="W814" s="57"/>
      <c r="X814" s="58"/>
      <c r="Y814" s="75"/>
      <c r="Z814" s="59"/>
      <c r="AA814" s="61"/>
      <c r="AB814" s="61"/>
      <c r="AC814" s="61"/>
      <c r="AD814" s="62"/>
      <c r="AE814" s="62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</row>
    <row r="815" spans="1:77" x14ac:dyDescent="0.3">
      <c r="A815" s="39"/>
      <c r="B815" s="42"/>
      <c r="C815" s="42"/>
      <c r="D815" s="75"/>
      <c r="E815" s="75"/>
      <c r="F815" s="76"/>
      <c r="G815" s="47"/>
      <c r="H815" s="47"/>
      <c r="I815" s="75"/>
      <c r="J815" s="76"/>
      <c r="K815" s="76"/>
      <c r="L815" s="75"/>
      <c r="M815" s="49"/>
      <c r="N815" s="76"/>
      <c r="O815" s="49"/>
      <c r="P815" s="77"/>
      <c r="Q815" s="53"/>
      <c r="R815" s="54"/>
      <c r="S815" s="55"/>
      <c r="T815" s="56"/>
      <c r="U815" s="56"/>
      <c r="V815" s="42"/>
      <c r="W815" s="57"/>
      <c r="X815" s="58"/>
      <c r="Y815" s="75"/>
      <c r="Z815" s="59"/>
      <c r="AA815" s="61"/>
      <c r="AB815" s="61"/>
      <c r="AC815" s="61"/>
      <c r="AD815" s="62"/>
      <c r="AE815" s="62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</row>
    <row r="816" spans="1:77" x14ac:dyDescent="0.3">
      <c r="A816" s="39"/>
      <c r="B816" s="42"/>
      <c r="C816" s="42"/>
      <c r="D816" s="75"/>
      <c r="E816" s="75"/>
      <c r="F816" s="76"/>
      <c r="G816" s="47"/>
      <c r="H816" s="47"/>
      <c r="I816" s="75"/>
      <c r="J816" s="76"/>
      <c r="K816" s="76"/>
      <c r="L816" s="75"/>
      <c r="M816" s="49"/>
      <c r="N816" s="76"/>
      <c r="O816" s="49"/>
      <c r="P816" s="77"/>
      <c r="Q816" s="53"/>
      <c r="R816" s="54"/>
      <c r="S816" s="55"/>
      <c r="T816" s="56"/>
      <c r="U816" s="56"/>
      <c r="V816" s="42"/>
      <c r="W816" s="57"/>
      <c r="X816" s="58"/>
      <c r="Y816" s="75"/>
      <c r="Z816" s="59"/>
      <c r="AA816" s="61"/>
      <c r="AB816" s="61"/>
      <c r="AC816" s="61"/>
      <c r="AD816" s="62"/>
      <c r="AE816" s="62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</row>
    <row r="817" spans="1:77" x14ac:dyDescent="0.3">
      <c r="A817" s="39"/>
      <c r="B817" s="42"/>
      <c r="C817" s="42"/>
      <c r="D817" s="75"/>
      <c r="E817" s="75"/>
      <c r="F817" s="76"/>
      <c r="G817" s="47"/>
      <c r="H817" s="47"/>
      <c r="I817" s="75"/>
      <c r="J817" s="76"/>
      <c r="K817" s="76"/>
      <c r="L817" s="75"/>
      <c r="M817" s="49"/>
      <c r="N817" s="76"/>
      <c r="O817" s="49"/>
      <c r="P817" s="77"/>
      <c r="Q817" s="53"/>
      <c r="R817" s="54"/>
      <c r="S817" s="55"/>
      <c r="T817" s="56"/>
      <c r="U817" s="56"/>
      <c r="V817" s="42"/>
      <c r="W817" s="57"/>
      <c r="X817" s="58"/>
      <c r="Y817" s="75"/>
      <c r="Z817" s="59"/>
      <c r="AA817" s="61"/>
      <c r="AB817" s="61"/>
      <c r="AC817" s="61"/>
      <c r="AD817" s="62"/>
      <c r="AE817" s="62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</row>
    <row r="818" spans="1:77" x14ac:dyDescent="0.3">
      <c r="A818" s="39"/>
      <c r="B818" s="42"/>
      <c r="C818" s="42"/>
      <c r="D818" s="75"/>
      <c r="E818" s="75"/>
      <c r="F818" s="76"/>
      <c r="G818" s="47"/>
      <c r="H818" s="47"/>
      <c r="I818" s="75"/>
      <c r="J818" s="76"/>
      <c r="K818" s="76"/>
      <c r="L818" s="75"/>
      <c r="M818" s="49"/>
      <c r="N818" s="76"/>
      <c r="O818" s="49"/>
      <c r="P818" s="77"/>
      <c r="Q818" s="53"/>
      <c r="R818" s="54"/>
      <c r="S818" s="55"/>
      <c r="T818" s="56"/>
      <c r="U818" s="56"/>
      <c r="V818" s="42"/>
      <c r="W818" s="57"/>
      <c r="X818" s="58"/>
      <c r="Y818" s="75"/>
      <c r="Z818" s="59"/>
      <c r="AA818" s="61"/>
      <c r="AB818" s="61"/>
      <c r="AC818" s="61"/>
      <c r="AD818" s="62"/>
      <c r="AE818" s="62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</row>
    <row r="819" spans="1:77" x14ac:dyDescent="0.3">
      <c r="A819" s="39"/>
      <c r="B819" s="42"/>
      <c r="C819" s="42"/>
      <c r="D819" s="75"/>
      <c r="E819" s="75"/>
      <c r="F819" s="76"/>
      <c r="G819" s="47"/>
      <c r="H819" s="47"/>
      <c r="I819" s="75"/>
      <c r="J819" s="76"/>
      <c r="K819" s="76"/>
      <c r="L819" s="75"/>
      <c r="M819" s="49"/>
      <c r="N819" s="76"/>
      <c r="O819" s="49"/>
      <c r="P819" s="77"/>
      <c r="Q819" s="53"/>
      <c r="R819" s="54"/>
      <c r="S819" s="55"/>
      <c r="T819" s="56"/>
      <c r="U819" s="56"/>
      <c r="V819" s="42"/>
      <c r="W819" s="57"/>
      <c r="X819" s="58"/>
      <c r="Y819" s="75"/>
      <c r="Z819" s="59"/>
      <c r="AA819" s="61"/>
      <c r="AB819" s="61"/>
      <c r="AC819" s="61"/>
      <c r="AD819" s="62"/>
      <c r="AE819" s="62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</row>
    <row r="820" spans="1:77" x14ac:dyDescent="0.3">
      <c r="A820" s="39"/>
      <c r="B820" s="42"/>
      <c r="C820" s="42"/>
      <c r="D820" s="75"/>
      <c r="E820" s="75"/>
      <c r="F820" s="76"/>
      <c r="G820" s="47"/>
      <c r="H820" s="47"/>
      <c r="I820" s="75"/>
      <c r="J820" s="76"/>
      <c r="K820" s="76"/>
      <c r="L820" s="75"/>
      <c r="M820" s="49"/>
      <c r="N820" s="76"/>
      <c r="O820" s="49"/>
      <c r="P820" s="77"/>
      <c r="Q820" s="53"/>
      <c r="R820" s="54"/>
      <c r="S820" s="55"/>
      <c r="T820" s="56"/>
      <c r="U820" s="56"/>
      <c r="V820" s="42"/>
      <c r="W820" s="57"/>
      <c r="X820" s="58"/>
      <c r="Y820" s="75"/>
      <c r="Z820" s="59"/>
      <c r="AA820" s="61"/>
      <c r="AB820" s="61"/>
      <c r="AC820" s="61"/>
      <c r="AD820" s="62"/>
      <c r="AE820" s="62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</row>
    <row r="821" spans="1:77" x14ac:dyDescent="0.3">
      <c r="A821" s="39"/>
      <c r="B821" s="42"/>
      <c r="C821" s="42"/>
      <c r="D821" s="75"/>
      <c r="E821" s="75"/>
      <c r="F821" s="76"/>
      <c r="G821" s="47"/>
      <c r="H821" s="47"/>
      <c r="I821" s="75"/>
      <c r="J821" s="76"/>
      <c r="K821" s="76"/>
      <c r="L821" s="75"/>
      <c r="M821" s="49"/>
      <c r="N821" s="76"/>
      <c r="O821" s="49"/>
      <c r="P821" s="77"/>
      <c r="Q821" s="53"/>
      <c r="R821" s="54"/>
      <c r="S821" s="55"/>
      <c r="T821" s="56"/>
      <c r="U821" s="56"/>
      <c r="V821" s="42"/>
      <c r="W821" s="57"/>
      <c r="X821" s="58"/>
      <c r="Y821" s="75"/>
      <c r="Z821" s="59"/>
      <c r="AA821" s="61"/>
      <c r="AB821" s="61"/>
      <c r="AC821" s="61"/>
      <c r="AD821" s="62"/>
      <c r="AE821" s="62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</row>
    <row r="822" spans="1:77" x14ac:dyDescent="0.3">
      <c r="A822" s="39"/>
      <c r="B822" s="42"/>
      <c r="C822" s="42"/>
      <c r="D822" s="75"/>
      <c r="E822" s="75"/>
      <c r="F822" s="76"/>
      <c r="G822" s="47"/>
      <c r="H822" s="47"/>
      <c r="I822" s="75"/>
      <c r="J822" s="76"/>
      <c r="K822" s="76"/>
      <c r="L822" s="75"/>
      <c r="M822" s="49"/>
      <c r="N822" s="76"/>
      <c r="O822" s="49"/>
      <c r="P822" s="77"/>
      <c r="Q822" s="53"/>
      <c r="R822" s="54"/>
      <c r="S822" s="55"/>
      <c r="T822" s="56"/>
      <c r="U822" s="56"/>
      <c r="V822" s="42"/>
      <c r="W822" s="57"/>
      <c r="X822" s="58"/>
      <c r="Y822" s="75"/>
      <c r="Z822" s="59"/>
      <c r="AA822" s="61"/>
      <c r="AB822" s="61"/>
      <c r="AC822" s="61"/>
      <c r="AD822" s="62"/>
      <c r="AE822" s="62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</row>
    <row r="823" spans="1:77" x14ac:dyDescent="0.3">
      <c r="A823" s="39"/>
      <c r="B823" s="42"/>
      <c r="C823" s="42"/>
      <c r="D823" s="75"/>
      <c r="E823" s="75"/>
      <c r="F823" s="76"/>
      <c r="G823" s="47"/>
      <c r="H823" s="47"/>
      <c r="I823" s="75"/>
      <c r="J823" s="76"/>
      <c r="K823" s="76"/>
      <c r="L823" s="75"/>
      <c r="M823" s="49"/>
      <c r="N823" s="76"/>
      <c r="O823" s="49"/>
      <c r="P823" s="77"/>
      <c r="Q823" s="53"/>
      <c r="R823" s="54"/>
      <c r="S823" s="55"/>
      <c r="T823" s="56"/>
      <c r="U823" s="56"/>
      <c r="V823" s="42"/>
      <c r="W823" s="57"/>
      <c r="X823" s="58"/>
      <c r="Y823" s="75"/>
      <c r="Z823" s="59"/>
      <c r="AA823" s="61"/>
      <c r="AB823" s="61"/>
      <c r="AC823" s="61"/>
      <c r="AD823" s="62"/>
      <c r="AE823" s="62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</row>
    <row r="824" spans="1:77" x14ac:dyDescent="0.3">
      <c r="A824" s="39"/>
      <c r="B824" s="42"/>
      <c r="C824" s="42"/>
      <c r="D824" s="75"/>
      <c r="E824" s="75"/>
      <c r="F824" s="76"/>
      <c r="G824" s="47"/>
      <c r="H824" s="47"/>
      <c r="I824" s="75"/>
      <c r="J824" s="76"/>
      <c r="K824" s="76"/>
      <c r="L824" s="75"/>
      <c r="M824" s="49"/>
      <c r="N824" s="76"/>
      <c r="O824" s="49"/>
      <c r="P824" s="77"/>
      <c r="Q824" s="53"/>
      <c r="R824" s="54"/>
      <c r="S824" s="55"/>
      <c r="T824" s="56"/>
      <c r="U824" s="56"/>
      <c r="V824" s="42"/>
      <c r="W824" s="57"/>
      <c r="X824" s="58"/>
      <c r="Y824" s="75"/>
      <c r="Z824" s="59"/>
      <c r="AA824" s="61"/>
      <c r="AB824" s="61"/>
      <c r="AC824" s="61"/>
      <c r="AD824" s="62"/>
      <c r="AE824" s="62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</row>
    <row r="825" spans="1:77" x14ac:dyDescent="0.3">
      <c r="A825" s="39"/>
      <c r="B825" s="42"/>
      <c r="C825" s="42"/>
      <c r="D825" s="75"/>
      <c r="E825" s="75"/>
      <c r="F825" s="76"/>
      <c r="G825" s="47"/>
      <c r="H825" s="47"/>
      <c r="I825" s="75"/>
      <c r="J825" s="76"/>
      <c r="K825" s="76"/>
      <c r="L825" s="75"/>
      <c r="M825" s="49"/>
      <c r="N825" s="76"/>
      <c r="O825" s="49"/>
      <c r="P825" s="77"/>
      <c r="Q825" s="53"/>
      <c r="R825" s="54"/>
      <c r="S825" s="55"/>
      <c r="T825" s="56"/>
      <c r="U825" s="56"/>
      <c r="V825" s="42"/>
      <c r="W825" s="57"/>
      <c r="X825" s="58"/>
      <c r="Y825" s="75"/>
      <c r="Z825" s="59"/>
      <c r="AA825" s="61"/>
      <c r="AB825" s="61"/>
      <c r="AC825" s="61"/>
      <c r="AD825" s="62"/>
      <c r="AE825" s="62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</row>
    <row r="826" spans="1:77" x14ac:dyDescent="0.3">
      <c r="A826" s="39"/>
      <c r="B826" s="42"/>
      <c r="C826" s="42"/>
      <c r="D826" s="75"/>
      <c r="E826" s="75"/>
      <c r="F826" s="76"/>
      <c r="G826" s="47"/>
      <c r="H826" s="47"/>
      <c r="I826" s="75"/>
      <c r="J826" s="76"/>
      <c r="K826" s="76"/>
      <c r="L826" s="75"/>
      <c r="M826" s="49"/>
      <c r="N826" s="76"/>
      <c r="O826" s="49"/>
      <c r="P826" s="77"/>
      <c r="Q826" s="53"/>
      <c r="R826" s="54"/>
      <c r="S826" s="55"/>
      <c r="T826" s="56"/>
      <c r="U826" s="56"/>
      <c r="V826" s="42"/>
      <c r="W826" s="57"/>
      <c r="X826" s="58"/>
      <c r="Y826" s="75"/>
      <c r="Z826" s="59"/>
      <c r="AA826" s="61"/>
      <c r="AB826" s="61"/>
      <c r="AC826" s="61"/>
      <c r="AD826" s="62"/>
      <c r="AE826" s="62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</row>
    <row r="827" spans="1:77" x14ac:dyDescent="0.3">
      <c r="A827" s="39"/>
      <c r="B827" s="42"/>
      <c r="C827" s="42"/>
      <c r="D827" s="75"/>
      <c r="E827" s="75"/>
      <c r="F827" s="76"/>
      <c r="G827" s="47"/>
      <c r="H827" s="47"/>
      <c r="I827" s="75"/>
      <c r="J827" s="76"/>
      <c r="K827" s="76"/>
      <c r="L827" s="75"/>
      <c r="M827" s="49"/>
      <c r="N827" s="76"/>
      <c r="O827" s="49"/>
      <c r="P827" s="77"/>
      <c r="Q827" s="53"/>
      <c r="R827" s="54"/>
      <c r="S827" s="55"/>
      <c r="T827" s="56"/>
      <c r="U827" s="56"/>
      <c r="V827" s="42"/>
      <c r="W827" s="57"/>
      <c r="X827" s="58"/>
      <c r="Y827" s="75"/>
      <c r="Z827" s="59"/>
      <c r="AA827" s="61"/>
      <c r="AB827" s="61"/>
      <c r="AC827" s="61"/>
      <c r="AD827" s="62"/>
      <c r="AE827" s="62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</row>
    <row r="828" spans="1:77" x14ac:dyDescent="0.3">
      <c r="A828" s="39"/>
      <c r="B828" s="42"/>
      <c r="C828" s="42"/>
      <c r="D828" s="75"/>
      <c r="E828" s="75"/>
      <c r="F828" s="76"/>
      <c r="G828" s="47"/>
      <c r="H828" s="47"/>
      <c r="I828" s="75"/>
      <c r="J828" s="76"/>
      <c r="K828" s="76"/>
      <c r="L828" s="75"/>
      <c r="M828" s="49"/>
      <c r="N828" s="76"/>
      <c r="O828" s="49"/>
      <c r="P828" s="77"/>
      <c r="Q828" s="53"/>
      <c r="R828" s="54"/>
      <c r="S828" s="55"/>
      <c r="T828" s="56"/>
      <c r="U828" s="56"/>
      <c r="V828" s="42"/>
      <c r="W828" s="57"/>
      <c r="X828" s="58"/>
      <c r="Y828" s="75"/>
      <c r="Z828" s="59"/>
      <c r="AA828" s="61"/>
      <c r="AB828" s="61"/>
      <c r="AC828" s="61"/>
      <c r="AD828" s="62"/>
      <c r="AE828" s="62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</row>
    <row r="829" spans="1:77" x14ac:dyDescent="0.3">
      <c r="A829" s="39"/>
      <c r="B829" s="42"/>
      <c r="C829" s="42"/>
      <c r="D829" s="75"/>
      <c r="E829" s="75"/>
      <c r="F829" s="76"/>
      <c r="G829" s="47"/>
      <c r="H829" s="47"/>
      <c r="I829" s="75"/>
      <c r="J829" s="76"/>
      <c r="K829" s="76"/>
      <c r="L829" s="75"/>
      <c r="M829" s="49"/>
      <c r="N829" s="76"/>
      <c r="O829" s="49"/>
      <c r="P829" s="77"/>
      <c r="Q829" s="53"/>
      <c r="R829" s="54"/>
      <c r="S829" s="55"/>
      <c r="T829" s="56"/>
      <c r="U829" s="56"/>
      <c r="V829" s="42"/>
      <c r="W829" s="57"/>
      <c r="X829" s="58"/>
      <c r="Y829" s="75"/>
      <c r="Z829" s="59"/>
      <c r="AA829" s="61"/>
      <c r="AB829" s="61"/>
      <c r="AC829" s="61"/>
      <c r="AD829" s="62"/>
      <c r="AE829" s="62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</row>
    <row r="830" spans="1:77" x14ac:dyDescent="0.3">
      <c r="A830" s="39"/>
      <c r="B830" s="42"/>
      <c r="C830" s="42"/>
      <c r="D830" s="75"/>
      <c r="E830" s="75"/>
      <c r="F830" s="76"/>
      <c r="G830" s="47"/>
      <c r="H830" s="47"/>
      <c r="I830" s="75"/>
      <c r="J830" s="76"/>
      <c r="K830" s="76"/>
      <c r="L830" s="75"/>
      <c r="M830" s="49"/>
      <c r="N830" s="76"/>
      <c r="O830" s="49"/>
      <c r="P830" s="77"/>
      <c r="Q830" s="53"/>
      <c r="R830" s="54"/>
      <c r="S830" s="55"/>
      <c r="T830" s="56"/>
      <c r="U830" s="56"/>
      <c r="V830" s="42"/>
      <c r="W830" s="57"/>
      <c r="X830" s="58"/>
      <c r="Y830" s="75"/>
      <c r="Z830" s="59"/>
      <c r="AA830" s="61"/>
      <c r="AB830" s="61"/>
      <c r="AC830" s="61"/>
      <c r="AD830" s="62"/>
      <c r="AE830" s="62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</row>
    <row r="831" spans="1:77" x14ac:dyDescent="0.3">
      <c r="A831" s="39"/>
      <c r="B831" s="42"/>
      <c r="C831" s="42"/>
      <c r="D831" s="75"/>
      <c r="E831" s="75"/>
      <c r="F831" s="76"/>
      <c r="G831" s="47"/>
      <c r="H831" s="47"/>
      <c r="I831" s="75"/>
      <c r="J831" s="76"/>
      <c r="K831" s="76"/>
      <c r="L831" s="75"/>
      <c r="M831" s="49"/>
      <c r="N831" s="76"/>
      <c r="O831" s="49"/>
      <c r="P831" s="77"/>
      <c r="Q831" s="53"/>
      <c r="R831" s="54"/>
      <c r="S831" s="55"/>
      <c r="T831" s="56"/>
      <c r="U831" s="56"/>
      <c r="V831" s="42"/>
      <c r="W831" s="57"/>
      <c r="X831" s="58"/>
      <c r="Y831" s="75"/>
      <c r="Z831" s="59"/>
      <c r="AA831" s="61"/>
      <c r="AB831" s="61"/>
      <c r="AC831" s="61"/>
      <c r="AD831" s="62"/>
      <c r="AE831" s="62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</row>
    <row r="832" spans="1:77" x14ac:dyDescent="0.3">
      <c r="A832" s="39"/>
      <c r="B832" s="42"/>
      <c r="C832" s="42"/>
      <c r="D832" s="75"/>
      <c r="E832" s="75"/>
      <c r="F832" s="76"/>
      <c r="G832" s="47"/>
      <c r="H832" s="47"/>
      <c r="I832" s="75"/>
      <c r="J832" s="76"/>
      <c r="K832" s="76"/>
      <c r="L832" s="75"/>
      <c r="M832" s="49"/>
      <c r="N832" s="76"/>
      <c r="O832" s="49"/>
      <c r="P832" s="77"/>
      <c r="Q832" s="53"/>
      <c r="R832" s="54"/>
      <c r="S832" s="55"/>
      <c r="T832" s="56"/>
      <c r="U832" s="56"/>
      <c r="V832" s="42"/>
      <c r="W832" s="57"/>
      <c r="X832" s="58"/>
      <c r="Y832" s="75"/>
      <c r="Z832" s="59"/>
      <c r="AA832" s="61"/>
      <c r="AB832" s="61"/>
      <c r="AC832" s="61"/>
      <c r="AD832" s="62"/>
      <c r="AE832" s="62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</row>
    <row r="833" spans="1:77" x14ac:dyDescent="0.3">
      <c r="A833" s="39"/>
      <c r="B833" s="42"/>
      <c r="C833" s="42"/>
      <c r="D833" s="75"/>
      <c r="E833" s="75"/>
      <c r="F833" s="76"/>
      <c r="G833" s="47"/>
      <c r="H833" s="47"/>
      <c r="I833" s="75"/>
      <c r="J833" s="76"/>
      <c r="K833" s="76"/>
      <c r="L833" s="75"/>
      <c r="M833" s="49"/>
      <c r="N833" s="76"/>
      <c r="O833" s="49"/>
      <c r="P833" s="77"/>
      <c r="Q833" s="53"/>
      <c r="R833" s="54"/>
      <c r="S833" s="55"/>
      <c r="T833" s="56"/>
      <c r="U833" s="56"/>
      <c r="V833" s="42"/>
      <c r="W833" s="57"/>
      <c r="X833" s="58"/>
      <c r="Y833" s="75"/>
      <c r="Z833" s="59"/>
      <c r="AA833" s="61"/>
      <c r="AB833" s="61"/>
      <c r="AC833" s="61"/>
      <c r="AD833" s="62"/>
      <c r="AE833" s="62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</row>
    <row r="834" spans="1:77" x14ac:dyDescent="0.3">
      <c r="A834" s="39"/>
      <c r="B834" s="42"/>
      <c r="C834" s="42"/>
      <c r="D834" s="75"/>
      <c r="E834" s="75"/>
      <c r="F834" s="76"/>
      <c r="G834" s="47"/>
      <c r="H834" s="47"/>
      <c r="I834" s="75"/>
      <c r="J834" s="76"/>
      <c r="K834" s="76"/>
      <c r="L834" s="75"/>
      <c r="M834" s="49"/>
      <c r="N834" s="76"/>
      <c r="O834" s="49"/>
      <c r="P834" s="77"/>
      <c r="Q834" s="53"/>
      <c r="R834" s="54"/>
      <c r="S834" s="55"/>
      <c r="T834" s="56"/>
      <c r="U834" s="56"/>
      <c r="V834" s="42"/>
      <c r="W834" s="57"/>
      <c r="X834" s="58"/>
      <c r="Y834" s="75"/>
      <c r="Z834" s="59"/>
      <c r="AA834" s="61"/>
      <c r="AB834" s="61"/>
      <c r="AC834" s="61"/>
      <c r="AD834" s="62"/>
      <c r="AE834" s="62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</row>
    <row r="835" spans="1:77" x14ac:dyDescent="0.3">
      <c r="A835" s="39"/>
      <c r="B835" s="42"/>
      <c r="C835" s="42"/>
      <c r="D835" s="75"/>
      <c r="E835" s="75"/>
      <c r="F835" s="76"/>
      <c r="G835" s="47"/>
      <c r="H835" s="47"/>
      <c r="I835" s="75"/>
      <c r="J835" s="76"/>
      <c r="K835" s="76"/>
      <c r="L835" s="75"/>
      <c r="M835" s="49"/>
      <c r="N835" s="76"/>
      <c r="O835" s="49"/>
      <c r="P835" s="77"/>
      <c r="Q835" s="53"/>
      <c r="R835" s="54"/>
      <c r="S835" s="55"/>
      <c r="T835" s="56"/>
      <c r="U835" s="56"/>
      <c r="V835" s="42"/>
      <c r="W835" s="57"/>
      <c r="X835" s="58"/>
      <c r="Y835" s="75"/>
      <c r="Z835" s="59"/>
      <c r="AA835" s="61"/>
      <c r="AB835" s="61"/>
      <c r="AC835" s="61"/>
      <c r="AD835" s="62"/>
      <c r="AE835" s="62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</row>
    <row r="836" spans="1:77" x14ac:dyDescent="0.3">
      <c r="A836" s="39"/>
      <c r="B836" s="42"/>
      <c r="C836" s="42"/>
      <c r="D836" s="75"/>
      <c r="E836" s="75"/>
      <c r="F836" s="76"/>
      <c r="G836" s="47"/>
      <c r="H836" s="47"/>
      <c r="I836" s="75"/>
      <c r="J836" s="76"/>
      <c r="K836" s="76"/>
      <c r="L836" s="75"/>
      <c r="M836" s="49"/>
      <c r="N836" s="76"/>
      <c r="O836" s="49"/>
      <c r="P836" s="77"/>
      <c r="Q836" s="53"/>
      <c r="R836" s="54"/>
      <c r="S836" s="55"/>
      <c r="T836" s="56"/>
      <c r="U836" s="56"/>
      <c r="V836" s="42"/>
      <c r="W836" s="57"/>
      <c r="X836" s="58"/>
      <c r="Y836" s="75"/>
      <c r="Z836" s="59"/>
      <c r="AA836" s="61"/>
      <c r="AB836" s="61"/>
      <c r="AC836" s="61"/>
      <c r="AD836" s="62"/>
      <c r="AE836" s="62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</row>
    <row r="837" spans="1:77" x14ac:dyDescent="0.3">
      <c r="A837" s="39"/>
      <c r="B837" s="42"/>
      <c r="C837" s="42"/>
      <c r="D837" s="75"/>
      <c r="E837" s="75"/>
      <c r="F837" s="76"/>
      <c r="G837" s="47"/>
      <c r="H837" s="47"/>
      <c r="I837" s="75"/>
      <c r="J837" s="76"/>
      <c r="K837" s="76"/>
      <c r="L837" s="75"/>
      <c r="M837" s="49"/>
      <c r="N837" s="76"/>
      <c r="O837" s="49"/>
      <c r="P837" s="77"/>
      <c r="Q837" s="53"/>
      <c r="R837" s="54"/>
      <c r="S837" s="55"/>
      <c r="T837" s="56"/>
      <c r="U837" s="56"/>
      <c r="V837" s="42"/>
      <c r="W837" s="57"/>
      <c r="X837" s="58"/>
      <c r="Y837" s="75"/>
      <c r="Z837" s="59"/>
      <c r="AA837" s="61"/>
      <c r="AB837" s="61"/>
      <c r="AC837" s="61"/>
      <c r="AD837" s="62"/>
      <c r="AE837" s="62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</row>
    <row r="838" spans="1:77" x14ac:dyDescent="0.3">
      <c r="A838" s="39"/>
      <c r="B838" s="42"/>
      <c r="C838" s="42"/>
      <c r="D838" s="75"/>
      <c r="E838" s="75"/>
      <c r="F838" s="76"/>
      <c r="G838" s="47"/>
      <c r="H838" s="47"/>
      <c r="I838" s="75"/>
      <c r="J838" s="76"/>
      <c r="K838" s="76"/>
      <c r="L838" s="75"/>
      <c r="M838" s="49"/>
      <c r="N838" s="76"/>
      <c r="O838" s="49"/>
      <c r="P838" s="77"/>
      <c r="Q838" s="53"/>
      <c r="R838" s="54"/>
      <c r="S838" s="55"/>
      <c r="T838" s="56"/>
      <c r="U838" s="56"/>
      <c r="V838" s="42"/>
      <c r="W838" s="57"/>
      <c r="X838" s="58"/>
      <c r="Y838" s="75"/>
      <c r="Z838" s="59"/>
      <c r="AA838" s="61"/>
      <c r="AB838" s="61"/>
      <c r="AC838" s="61"/>
      <c r="AD838" s="62"/>
      <c r="AE838" s="62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</row>
    <row r="839" spans="1:77" x14ac:dyDescent="0.3">
      <c r="A839" s="39"/>
      <c r="B839" s="42"/>
      <c r="C839" s="42"/>
      <c r="D839" s="75"/>
      <c r="E839" s="75"/>
      <c r="F839" s="76"/>
      <c r="G839" s="47"/>
      <c r="H839" s="47"/>
      <c r="I839" s="75"/>
      <c r="J839" s="76"/>
      <c r="K839" s="76"/>
      <c r="L839" s="75"/>
      <c r="M839" s="49"/>
      <c r="N839" s="76"/>
      <c r="O839" s="49"/>
      <c r="P839" s="77"/>
      <c r="Q839" s="53"/>
      <c r="R839" s="54"/>
      <c r="S839" s="55"/>
      <c r="T839" s="56"/>
      <c r="U839" s="56"/>
      <c r="V839" s="42"/>
      <c r="W839" s="57"/>
      <c r="X839" s="58"/>
      <c r="Y839" s="75"/>
      <c r="Z839" s="59"/>
      <c r="AA839" s="61"/>
      <c r="AB839" s="61"/>
      <c r="AC839" s="61"/>
      <c r="AD839" s="62"/>
      <c r="AE839" s="62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</row>
    <row r="840" spans="1:77" x14ac:dyDescent="0.3">
      <c r="A840" s="39"/>
      <c r="B840" s="42"/>
      <c r="C840" s="42"/>
      <c r="D840" s="75"/>
      <c r="E840" s="75"/>
      <c r="F840" s="76"/>
      <c r="G840" s="47"/>
      <c r="H840" s="47"/>
      <c r="I840" s="75"/>
      <c r="J840" s="76"/>
      <c r="K840" s="76"/>
      <c r="L840" s="75"/>
      <c r="M840" s="49"/>
      <c r="N840" s="76"/>
      <c r="O840" s="49"/>
      <c r="P840" s="77"/>
      <c r="Q840" s="53"/>
      <c r="R840" s="54"/>
      <c r="S840" s="55"/>
      <c r="T840" s="56"/>
      <c r="U840" s="56"/>
      <c r="V840" s="42"/>
      <c r="W840" s="57"/>
      <c r="X840" s="58"/>
      <c r="Y840" s="75"/>
      <c r="Z840" s="59"/>
      <c r="AA840" s="61"/>
      <c r="AB840" s="61"/>
      <c r="AC840" s="61"/>
      <c r="AD840" s="62"/>
      <c r="AE840" s="62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</row>
    <row r="841" spans="1:77" x14ac:dyDescent="0.3">
      <c r="A841" s="39"/>
      <c r="B841" s="42"/>
      <c r="C841" s="42"/>
      <c r="D841" s="75"/>
      <c r="E841" s="75"/>
      <c r="F841" s="76"/>
      <c r="G841" s="47"/>
      <c r="H841" s="47"/>
      <c r="I841" s="75"/>
      <c r="J841" s="76"/>
      <c r="K841" s="76"/>
      <c r="L841" s="75"/>
      <c r="M841" s="49"/>
      <c r="N841" s="76"/>
      <c r="O841" s="49"/>
      <c r="P841" s="77"/>
      <c r="Q841" s="53"/>
      <c r="R841" s="54"/>
      <c r="S841" s="55"/>
      <c r="T841" s="56"/>
      <c r="U841" s="56"/>
      <c r="V841" s="42"/>
      <c r="W841" s="57"/>
      <c r="X841" s="58"/>
      <c r="Y841" s="75"/>
      <c r="Z841" s="59"/>
      <c r="AA841" s="61"/>
      <c r="AB841" s="61"/>
      <c r="AC841" s="61"/>
      <c r="AD841" s="62"/>
      <c r="AE841" s="62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</row>
    <row r="842" spans="1:77" x14ac:dyDescent="0.3">
      <c r="A842" s="39"/>
      <c r="B842" s="42"/>
      <c r="C842" s="42"/>
      <c r="D842" s="75"/>
      <c r="E842" s="75"/>
      <c r="F842" s="76"/>
      <c r="G842" s="47"/>
      <c r="H842" s="47"/>
      <c r="I842" s="75"/>
      <c r="J842" s="76"/>
      <c r="K842" s="76"/>
      <c r="L842" s="75"/>
      <c r="M842" s="49"/>
      <c r="N842" s="76"/>
      <c r="O842" s="49"/>
      <c r="P842" s="77"/>
      <c r="Q842" s="53"/>
      <c r="R842" s="54"/>
      <c r="S842" s="55"/>
      <c r="T842" s="56"/>
      <c r="U842" s="56"/>
      <c r="V842" s="42"/>
      <c r="W842" s="57"/>
      <c r="X842" s="58"/>
      <c r="Y842" s="75"/>
      <c r="Z842" s="59"/>
      <c r="AA842" s="61"/>
      <c r="AB842" s="61"/>
      <c r="AC842" s="61"/>
      <c r="AD842" s="62"/>
      <c r="AE842" s="62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</row>
    <row r="843" spans="1:77" x14ac:dyDescent="0.3">
      <c r="A843" s="39"/>
      <c r="B843" s="42"/>
      <c r="C843" s="42"/>
      <c r="D843" s="75"/>
      <c r="E843" s="75"/>
      <c r="F843" s="76"/>
      <c r="G843" s="47"/>
      <c r="H843" s="47"/>
      <c r="I843" s="75"/>
      <c r="J843" s="76"/>
      <c r="K843" s="76"/>
      <c r="L843" s="75"/>
      <c r="M843" s="49"/>
      <c r="N843" s="76"/>
      <c r="O843" s="49"/>
      <c r="P843" s="77"/>
      <c r="Q843" s="53"/>
      <c r="R843" s="54"/>
      <c r="S843" s="55"/>
      <c r="T843" s="56"/>
      <c r="U843" s="56"/>
      <c r="V843" s="42"/>
      <c r="W843" s="57"/>
      <c r="X843" s="58"/>
      <c r="Y843" s="75"/>
      <c r="Z843" s="59"/>
      <c r="AA843" s="61"/>
      <c r="AB843" s="61"/>
      <c r="AC843" s="61"/>
      <c r="AD843" s="62"/>
      <c r="AE843" s="62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</row>
    <row r="844" spans="1:77" x14ac:dyDescent="0.3">
      <c r="A844" s="39"/>
      <c r="B844" s="42"/>
      <c r="C844" s="42"/>
      <c r="D844" s="75"/>
      <c r="E844" s="75"/>
      <c r="F844" s="76"/>
      <c r="G844" s="47"/>
      <c r="H844" s="47"/>
      <c r="I844" s="75"/>
      <c r="J844" s="76"/>
      <c r="K844" s="76"/>
      <c r="L844" s="75"/>
      <c r="M844" s="49"/>
      <c r="N844" s="76"/>
      <c r="O844" s="49"/>
      <c r="P844" s="77"/>
      <c r="Q844" s="53"/>
      <c r="R844" s="54"/>
      <c r="S844" s="55"/>
      <c r="T844" s="56"/>
      <c r="U844" s="56"/>
      <c r="V844" s="42"/>
      <c r="W844" s="57"/>
      <c r="X844" s="58"/>
      <c r="Y844" s="75"/>
      <c r="Z844" s="59"/>
      <c r="AA844" s="61"/>
      <c r="AB844" s="61"/>
      <c r="AC844" s="61"/>
      <c r="AD844" s="62"/>
      <c r="AE844" s="62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</row>
    <row r="845" spans="1:77" x14ac:dyDescent="0.3">
      <c r="A845" s="39"/>
      <c r="B845" s="42"/>
      <c r="C845" s="42"/>
      <c r="D845" s="75"/>
      <c r="E845" s="75"/>
      <c r="F845" s="76"/>
      <c r="G845" s="47"/>
      <c r="H845" s="47"/>
      <c r="I845" s="75"/>
      <c r="J845" s="76"/>
      <c r="K845" s="76"/>
      <c r="L845" s="75"/>
      <c r="M845" s="49"/>
      <c r="N845" s="76"/>
      <c r="O845" s="49"/>
      <c r="P845" s="77"/>
      <c r="Q845" s="53"/>
      <c r="R845" s="54"/>
      <c r="S845" s="55"/>
      <c r="T845" s="56"/>
      <c r="U845" s="56"/>
      <c r="V845" s="42"/>
      <c r="W845" s="57"/>
      <c r="X845" s="58"/>
      <c r="Y845" s="75"/>
      <c r="Z845" s="59"/>
      <c r="AA845" s="61"/>
      <c r="AB845" s="61"/>
      <c r="AC845" s="61"/>
      <c r="AD845" s="62"/>
      <c r="AE845" s="62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</row>
    <row r="846" spans="1:77" x14ac:dyDescent="0.3">
      <c r="A846" s="39"/>
      <c r="B846" s="42"/>
      <c r="C846" s="42"/>
      <c r="D846" s="75"/>
      <c r="E846" s="75"/>
      <c r="F846" s="76"/>
      <c r="G846" s="47"/>
      <c r="H846" s="47"/>
      <c r="I846" s="75"/>
      <c r="J846" s="76"/>
      <c r="K846" s="76"/>
      <c r="L846" s="75"/>
      <c r="M846" s="49"/>
      <c r="N846" s="76"/>
      <c r="O846" s="49"/>
      <c r="P846" s="77"/>
      <c r="Q846" s="53"/>
      <c r="R846" s="54"/>
      <c r="S846" s="55"/>
      <c r="T846" s="56"/>
      <c r="U846" s="56"/>
      <c r="V846" s="42"/>
      <c r="W846" s="57"/>
      <c r="X846" s="58"/>
      <c r="Y846" s="75"/>
      <c r="Z846" s="59"/>
      <c r="AA846" s="61"/>
      <c r="AB846" s="61"/>
      <c r="AC846" s="61"/>
      <c r="AD846" s="62"/>
      <c r="AE846" s="62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</row>
    <row r="847" spans="1:77" x14ac:dyDescent="0.3">
      <c r="A847" s="39"/>
      <c r="B847" s="42"/>
      <c r="C847" s="42"/>
      <c r="D847" s="75"/>
      <c r="E847" s="75"/>
      <c r="F847" s="76"/>
      <c r="G847" s="47"/>
      <c r="H847" s="47"/>
      <c r="I847" s="75"/>
      <c r="J847" s="76"/>
      <c r="K847" s="76"/>
      <c r="L847" s="75"/>
      <c r="M847" s="49"/>
      <c r="N847" s="76"/>
      <c r="O847" s="49"/>
      <c r="P847" s="77"/>
      <c r="Q847" s="53"/>
      <c r="R847" s="54"/>
      <c r="S847" s="55"/>
      <c r="T847" s="56"/>
      <c r="U847" s="56"/>
      <c r="V847" s="42"/>
      <c r="W847" s="57"/>
      <c r="X847" s="58"/>
      <c r="Y847" s="75"/>
      <c r="Z847" s="59"/>
      <c r="AA847" s="61"/>
      <c r="AB847" s="61"/>
      <c r="AC847" s="61"/>
      <c r="AD847" s="62"/>
      <c r="AE847" s="62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</row>
    <row r="848" spans="1:77" x14ac:dyDescent="0.3">
      <c r="A848" s="39"/>
      <c r="B848" s="42"/>
      <c r="C848" s="42"/>
      <c r="D848" s="75"/>
      <c r="E848" s="75"/>
      <c r="F848" s="76"/>
      <c r="G848" s="47"/>
      <c r="H848" s="47"/>
      <c r="I848" s="75"/>
      <c r="J848" s="76"/>
      <c r="K848" s="76"/>
      <c r="L848" s="75"/>
      <c r="M848" s="49"/>
      <c r="N848" s="76"/>
      <c r="O848" s="49"/>
      <c r="P848" s="77"/>
      <c r="Q848" s="53"/>
      <c r="R848" s="54"/>
      <c r="S848" s="55"/>
      <c r="T848" s="56"/>
      <c r="U848" s="56"/>
      <c r="V848" s="42"/>
      <c r="W848" s="57"/>
      <c r="X848" s="58"/>
      <c r="Y848" s="75"/>
      <c r="Z848" s="59"/>
      <c r="AA848" s="61"/>
      <c r="AB848" s="61"/>
      <c r="AC848" s="61"/>
      <c r="AD848" s="62"/>
      <c r="AE848" s="62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</row>
    <row r="849" spans="1:77" x14ac:dyDescent="0.3">
      <c r="A849" s="39"/>
      <c r="B849" s="42"/>
      <c r="C849" s="42"/>
      <c r="D849" s="75"/>
      <c r="E849" s="75"/>
      <c r="F849" s="76"/>
      <c r="G849" s="47"/>
      <c r="H849" s="47"/>
      <c r="I849" s="75"/>
      <c r="J849" s="76"/>
      <c r="K849" s="76"/>
      <c r="L849" s="75"/>
      <c r="M849" s="49"/>
      <c r="N849" s="76"/>
      <c r="O849" s="49"/>
      <c r="P849" s="77"/>
      <c r="Q849" s="53"/>
      <c r="R849" s="54"/>
      <c r="S849" s="55"/>
      <c r="T849" s="56"/>
      <c r="U849" s="56"/>
      <c r="V849" s="42"/>
      <c r="W849" s="57"/>
      <c r="X849" s="58"/>
      <c r="Y849" s="75"/>
      <c r="Z849" s="59"/>
      <c r="AA849" s="61"/>
      <c r="AB849" s="61"/>
      <c r="AC849" s="61"/>
      <c r="AD849" s="62"/>
      <c r="AE849" s="62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</row>
    <row r="850" spans="1:77" x14ac:dyDescent="0.3">
      <c r="A850" s="39"/>
      <c r="B850" s="42"/>
      <c r="C850" s="42"/>
      <c r="D850" s="75"/>
      <c r="E850" s="75"/>
      <c r="F850" s="76"/>
      <c r="G850" s="47"/>
      <c r="H850" s="47"/>
      <c r="I850" s="75"/>
      <c r="J850" s="76"/>
      <c r="K850" s="76"/>
      <c r="L850" s="75"/>
      <c r="M850" s="49"/>
      <c r="N850" s="76"/>
      <c r="O850" s="49"/>
      <c r="P850" s="77"/>
      <c r="Q850" s="53"/>
      <c r="R850" s="54"/>
      <c r="S850" s="55"/>
      <c r="T850" s="56"/>
      <c r="U850" s="56"/>
      <c r="V850" s="42"/>
      <c r="W850" s="57"/>
      <c r="X850" s="58"/>
      <c r="Y850" s="75"/>
      <c r="Z850" s="59"/>
      <c r="AA850" s="61"/>
      <c r="AB850" s="61"/>
      <c r="AC850" s="61"/>
      <c r="AD850" s="62"/>
      <c r="AE850" s="62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</row>
    <row r="851" spans="1:77" x14ac:dyDescent="0.3">
      <c r="A851" s="39"/>
      <c r="B851" s="42"/>
      <c r="C851" s="42"/>
      <c r="D851" s="75"/>
      <c r="E851" s="75"/>
      <c r="F851" s="76"/>
      <c r="G851" s="47"/>
      <c r="H851" s="47"/>
      <c r="I851" s="75"/>
      <c r="J851" s="76"/>
      <c r="K851" s="76"/>
      <c r="L851" s="75"/>
      <c r="M851" s="49"/>
      <c r="N851" s="76"/>
      <c r="O851" s="49"/>
      <c r="P851" s="77"/>
      <c r="Q851" s="53"/>
      <c r="R851" s="54"/>
      <c r="S851" s="55"/>
      <c r="T851" s="56"/>
      <c r="U851" s="56"/>
      <c r="V851" s="42"/>
      <c r="W851" s="57"/>
      <c r="X851" s="58"/>
      <c r="Y851" s="75"/>
      <c r="Z851" s="59"/>
      <c r="AA851" s="61"/>
      <c r="AB851" s="61"/>
      <c r="AC851" s="61"/>
      <c r="AD851" s="62"/>
      <c r="AE851" s="62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</row>
    <row r="852" spans="1:77" x14ac:dyDescent="0.3">
      <c r="A852" s="39"/>
      <c r="B852" s="42"/>
      <c r="C852" s="42"/>
      <c r="D852" s="75"/>
      <c r="E852" s="75"/>
      <c r="F852" s="76"/>
      <c r="G852" s="47"/>
      <c r="H852" s="47"/>
      <c r="I852" s="75"/>
      <c r="J852" s="76"/>
      <c r="K852" s="76"/>
      <c r="L852" s="75"/>
      <c r="M852" s="49"/>
      <c r="N852" s="76"/>
      <c r="O852" s="49"/>
      <c r="P852" s="77"/>
      <c r="Q852" s="53"/>
      <c r="R852" s="54"/>
      <c r="S852" s="55"/>
      <c r="T852" s="56"/>
      <c r="U852" s="56"/>
      <c r="V852" s="42"/>
      <c r="W852" s="57"/>
      <c r="X852" s="58"/>
      <c r="Y852" s="75"/>
      <c r="Z852" s="59"/>
      <c r="AA852" s="61"/>
      <c r="AB852" s="61"/>
      <c r="AC852" s="61"/>
      <c r="AD852" s="62"/>
      <c r="AE852" s="62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</row>
    <row r="853" spans="1:77" x14ac:dyDescent="0.3">
      <c r="A853" s="39"/>
      <c r="B853" s="42"/>
      <c r="C853" s="42"/>
      <c r="D853" s="75"/>
      <c r="E853" s="75"/>
      <c r="F853" s="76"/>
      <c r="G853" s="47"/>
      <c r="H853" s="47"/>
      <c r="I853" s="75"/>
      <c r="J853" s="76"/>
      <c r="K853" s="76"/>
      <c r="L853" s="75"/>
      <c r="M853" s="49"/>
      <c r="N853" s="76"/>
      <c r="O853" s="49"/>
      <c r="P853" s="77"/>
      <c r="Q853" s="53"/>
      <c r="R853" s="54"/>
      <c r="S853" s="55"/>
      <c r="T853" s="56"/>
      <c r="U853" s="56"/>
      <c r="V853" s="42"/>
      <c r="W853" s="57"/>
      <c r="X853" s="58"/>
      <c r="Y853" s="75"/>
      <c r="Z853" s="59"/>
      <c r="AA853" s="61"/>
      <c r="AB853" s="61"/>
      <c r="AC853" s="61"/>
      <c r="AD853" s="62"/>
      <c r="AE853" s="62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</row>
    <row r="854" spans="1:77" x14ac:dyDescent="0.3">
      <c r="A854" s="39"/>
      <c r="B854" s="42"/>
      <c r="C854" s="42"/>
      <c r="D854" s="75"/>
      <c r="E854" s="75"/>
      <c r="F854" s="76"/>
      <c r="G854" s="47"/>
      <c r="H854" s="47"/>
      <c r="I854" s="75"/>
      <c r="J854" s="76"/>
      <c r="K854" s="76"/>
      <c r="L854" s="75"/>
      <c r="M854" s="49"/>
      <c r="N854" s="76"/>
      <c r="O854" s="49"/>
      <c r="P854" s="77"/>
      <c r="Q854" s="53"/>
      <c r="R854" s="54"/>
      <c r="S854" s="55"/>
      <c r="T854" s="56"/>
      <c r="U854" s="56"/>
      <c r="V854" s="42"/>
      <c r="W854" s="57"/>
      <c r="X854" s="58"/>
      <c r="Y854" s="75"/>
      <c r="Z854" s="59"/>
      <c r="AA854" s="61"/>
      <c r="AB854" s="61"/>
      <c r="AC854" s="61"/>
      <c r="AD854" s="62"/>
      <c r="AE854" s="62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</row>
    <row r="855" spans="1:77" x14ac:dyDescent="0.3">
      <c r="A855" s="39"/>
      <c r="B855" s="42"/>
      <c r="C855" s="42"/>
      <c r="D855" s="75"/>
      <c r="E855" s="75"/>
      <c r="F855" s="76"/>
      <c r="G855" s="47"/>
      <c r="H855" s="47"/>
      <c r="I855" s="75"/>
      <c r="J855" s="76"/>
      <c r="K855" s="76"/>
      <c r="L855" s="75"/>
      <c r="M855" s="49"/>
      <c r="N855" s="76"/>
      <c r="O855" s="49"/>
      <c r="P855" s="77"/>
      <c r="Q855" s="53"/>
      <c r="R855" s="54"/>
      <c r="S855" s="55"/>
      <c r="T855" s="56"/>
      <c r="U855" s="56"/>
      <c r="V855" s="42"/>
      <c r="W855" s="57"/>
      <c r="X855" s="58"/>
      <c r="Y855" s="75"/>
      <c r="Z855" s="59"/>
      <c r="AA855" s="61"/>
      <c r="AB855" s="61"/>
      <c r="AC855" s="61"/>
      <c r="AD855" s="62"/>
      <c r="AE855" s="62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</row>
    <row r="856" spans="1:77" x14ac:dyDescent="0.3">
      <c r="A856" s="39"/>
      <c r="B856" s="42"/>
      <c r="C856" s="42"/>
      <c r="D856" s="75"/>
      <c r="E856" s="75"/>
      <c r="F856" s="76"/>
      <c r="G856" s="47"/>
      <c r="H856" s="47"/>
      <c r="I856" s="75"/>
      <c r="J856" s="76"/>
      <c r="K856" s="76"/>
      <c r="L856" s="75"/>
      <c r="M856" s="49"/>
      <c r="N856" s="76"/>
      <c r="O856" s="49"/>
      <c r="P856" s="77"/>
      <c r="Q856" s="53"/>
      <c r="R856" s="54"/>
      <c r="S856" s="55"/>
      <c r="T856" s="56"/>
      <c r="U856" s="56"/>
      <c r="V856" s="42"/>
      <c r="W856" s="57"/>
      <c r="X856" s="58"/>
      <c r="Y856" s="75"/>
      <c r="Z856" s="59"/>
      <c r="AA856" s="61"/>
      <c r="AB856" s="61"/>
      <c r="AC856" s="61"/>
      <c r="AD856" s="62"/>
      <c r="AE856" s="62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</row>
    <row r="857" spans="1:77" x14ac:dyDescent="0.3">
      <c r="A857" s="39"/>
      <c r="B857" s="42"/>
      <c r="C857" s="42"/>
      <c r="D857" s="75"/>
      <c r="E857" s="75"/>
      <c r="F857" s="76"/>
      <c r="G857" s="47"/>
      <c r="H857" s="47"/>
      <c r="I857" s="75"/>
      <c r="J857" s="76"/>
      <c r="K857" s="76"/>
      <c r="L857" s="75"/>
      <c r="M857" s="49"/>
      <c r="N857" s="76"/>
      <c r="O857" s="49"/>
      <c r="P857" s="77"/>
      <c r="Q857" s="53"/>
      <c r="R857" s="54"/>
      <c r="S857" s="55"/>
      <c r="T857" s="56"/>
      <c r="U857" s="56"/>
      <c r="V857" s="42"/>
      <c r="W857" s="57"/>
      <c r="X857" s="58"/>
      <c r="Y857" s="75"/>
      <c r="Z857" s="59"/>
      <c r="AA857" s="61"/>
      <c r="AB857" s="61"/>
      <c r="AC857" s="61"/>
      <c r="AD857" s="62"/>
      <c r="AE857" s="62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</row>
    <row r="858" spans="1:77" x14ac:dyDescent="0.3">
      <c r="A858" s="39"/>
      <c r="B858" s="42"/>
      <c r="C858" s="42"/>
      <c r="D858" s="75"/>
      <c r="E858" s="75"/>
      <c r="F858" s="76"/>
      <c r="G858" s="47"/>
      <c r="H858" s="47"/>
      <c r="I858" s="75"/>
      <c r="J858" s="76"/>
      <c r="K858" s="76"/>
      <c r="L858" s="75"/>
      <c r="M858" s="49"/>
      <c r="N858" s="76"/>
      <c r="O858" s="49"/>
      <c r="P858" s="77"/>
      <c r="Q858" s="53"/>
      <c r="R858" s="54"/>
      <c r="S858" s="55"/>
      <c r="T858" s="56"/>
      <c r="U858" s="56"/>
      <c r="V858" s="42"/>
      <c r="W858" s="57"/>
      <c r="X858" s="58"/>
      <c r="Y858" s="75"/>
      <c r="Z858" s="59"/>
      <c r="AA858" s="61"/>
      <c r="AB858" s="61"/>
      <c r="AC858" s="61"/>
      <c r="AD858" s="62"/>
      <c r="AE858" s="62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</row>
    <row r="859" spans="1:77" x14ac:dyDescent="0.3">
      <c r="A859" s="39"/>
      <c r="B859" s="42"/>
      <c r="C859" s="42"/>
      <c r="D859" s="75"/>
      <c r="E859" s="75"/>
      <c r="F859" s="76"/>
      <c r="G859" s="47"/>
      <c r="H859" s="47"/>
      <c r="I859" s="75"/>
      <c r="J859" s="76"/>
      <c r="K859" s="76"/>
      <c r="L859" s="75"/>
      <c r="M859" s="49"/>
      <c r="N859" s="76"/>
      <c r="O859" s="49"/>
      <c r="P859" s="77"/>
      <c r="Q859" s="53"/>
      <c r="R859" s="54"/>
      <c r="S859" s="55"/>
      <c r="T859" s="56"/>
      <c r="U859" s="56"/>
      <c r="V859" s="42"/>
      <c r="W859" s="57"/>
      <c r="X859" s="58"/>
      <c r="Y859" s="75"/>
      <c r="Z859" s="59"/>
      <c r="AA859" s="61"/>
      <c r="AB859" s="61"/>
      <c r="AC859" s="61"/>
      <c r="AD859" s="62"/>
      <c r="AE859" s="62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</row>
    <row r="860" spans="1:77" x14ac:dyDescent="0.3">
      <c r="A860" s="39"/>
      <c r="B860" s="42"/>
      <c r="C860" s="42"/>
      <c r="D860" s="75"/>
      <c r="E860" s="75"/>
      <c r="F860" s="76"/>
      <c r="G860" s="47"/>
      <c r="H860" s="47"/>
      <c r="I860" s="75"/>
      <c r="J860" s="76"/>
      <c r="K860" s="76"/>
      <c r="L860" s="75"/>
      <c r="M860" s="49"/>
      <c r="N860" s="76"/>
      <c r="O860" s="49"/>
      <c r="P860" s="77"/>
      <c r="Q860" s="53"/>
      <c r="R860" s="54"/>
      <c r="S860" s="55"/>
      <c r="T860" s="56"/>
      <c r="U860" s="56"/>
      <c r="V860" s="42"/>
      <c r="W860" s="57"/>
      <c r="X860" s="58"/>
      <c r="Y860" s="75"/>
      <c r="Z860" s="59"/>
      <c r="AA860" s="61"/>
      <c r="AB860" s="61"/>
      <c r="AC860" s="61"/>
      <c r="AD860" s="62"/>
      <c r="AE860" s="62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</row>
    <row r="861" spans="1:77" x14ac:dyDescent="0.3">
      <c r="A861" s="39"/>
      <c r="B861" s="42"/>
      <c r="C861" s="42"/>
      <c r="D861" s="75"/>
      <c r="E861" s="75"/>
      <c r="F861" s="76"/>
      <c r="G861" s="47"/>
      <c r="H861" s="47"/>
      <c r="I861" s="75"/>
      <c r="J861" s="76"/>
      <c r="K861" s="76"/>
      <c r="L861" s="75"/>
      <c r="M861" s="49"/>
      <c r="N861" s="76"/>
      <c r="O861" s="49"/>
      <c r="P861" s="77"/>
      <c r="Q861" s="53"/>
      <c r="R861" s="54"/>
      <c r="S861" s="55"/>
      <c r="T861" s="56"/>
      <c r="U861" s="56"/>
      <c r="V861" s="42"/>
      <c r="W861" s="57"/>
      <c r="X861" s="58"/>
      <c r="Y861" s="75"/>
      <c r="Z861" s="59"/>
      <c r="AA861" s="61"/>
      <c r="AB861" s="61"/>
      <c r="AC861" s="61"/>
      <c r="AD861" s="62"/>
      <c r="AE861" s="62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</row>
    <row r="862" spans="1:77" x14ac:dyDescent="0.3">
      <c r="A862" s="39"/>
      <c r="B862" s="42"/>
      <c r="C862" s="42"/>
      <c r="D862" s="75"/>
      <c r="E862" s="75"/>
      <c r="F862" s="76"/>
      <c r="G862" s="47"/>
      <c r="H862" s="47"/>
      <c r="I862" s="75"/>
      <c r="J862" s="76"/>
      <c r="K862" s="76"/>
      <c r="L862" s="75"/>
      <c r="M862" s="49"/>
      <c r="N862" s="76"/>
      <c r="O862" s="49"/>
      <c r="P862" s="77"/>
      <c r="Q862" s="53"/>
      <c r="R862" s="54"/>
      <c r="S862" s="55"/>
      <c r="T862" s="56"/>
      <c r="U862" s="56"/>
      <c r="V862" s="42"/>
      <c r="W862" s="57"/>
      <c r="X862" s="58"/>
      <c r="Y862" s="75"/>
      <c r="Z862" s="59"/>
      <c r="AA862" s="61"/>
      <c r="AB862" s="61"/>
      <c r="AC862" s="61"/>
      <c r="AD862" s="62"/>
      <c r="AE862" s="62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</row>
    <row r="863" spans="1:77" x14ac:dyDescent="0.3">
      <c r="A863" s="39"/>
      <c r="B863" s="42"/>
      <c r="C863" s="42"/>
      <c r="D863" s="75"/>
      <c r="E863" s="75"/>
      <c r="F863" s="76"/>
      <c r="G863" s="47"/>
      <c r="H863" s="47"/>
      <c r="I863" s="75"/>
      <c r="J863" s="76"/>
      <c r="K863" s="76"/>
      <c r="L863" s="75"/>
      <c r="M863" s="49"/>
      <c r="N863" s="76"/>
      <c r="O863" s="49"/>
      <c r="P863" s="77"/>
      <c r="Q863" s="53"/>
      <c r="R863" s="54"/>
      <c r="S863" s="55"/>
      <c r="T863" s="56"/>
      <c r="U863" s="56"/>
      <c r="V863" s="42"/>
      <c r="W863" s="57"/>
      <c r="X863" s="58"/>
      <c r="Y863" s="75"/>
      <c r="Z863" s="59"/>
      <c r="AA863" s="61"/>
      <c r="AB863" s="61"/>
      <c r="AC863" s="61"/>
      <c r="AD863" s="62"/>
      <c r="AE863" s="62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</row>
    <row r="864" spans="1:77" x14ac:dyDescent="0.3">
      <c r="A864" s="39"/>
      <c r="B864" s="42"/>
      <c r="C864" s="42"/>
      <c r="D864" s="75"/>
      <c r="E864" s="75"/>
      <c r="F864" s="76"/>
      <c r="G864" s="47"/>
      <c r="H864" s="47"/>
      <c r="I864" s="75"/>
      <c r="J864" s="76"/>
      <c r="K864" s="76"/>
      <c r="L864" s="75"/>
      <c r="M864" s="49"/>
      <c r="N864" s="76"/>
      <c r="O864" s="49"/>
      <c r="P864" s="77"/>
      <c r="Q864" s="53"/>
      <c r="R864" s="54"/>
      <c r="S864" s="55"/>
      <c r="T864" s="56"/>
      <c r="U864" s="56"/>
      <c r="V864" s="42"/>
      <c r="W864" s="57"/>
      <c r="X864" s="58"/>
      <c r="Y864" s="75"/>
      <c r="Z864" s="59"/>
      <c r="AA864" s="61"/>
      <c r="AB864" s="61"/>
      <c r="AC864" s="61"/>
      <c r="AD864" s="62"/>
      <c r="AE864" s="62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</row>
    <row r="865" spans="1:77" x14ac:dyDescent="0.3">
      <c r="A865" s="39"/>
      <c r="B865" s="42"/>
      <c r="C865" s="42"/>
      <c r="D865" s="75"/>
      <c r="E865" s="75"/>
      <c r="F865" s="76"/>
      <c r="G865" s="47"/>
      <c r="H865" s="47"/>
      <c r="I865" s="75"/>
      <c r="J865" s="76"/>
      <c r="K865" s="76"/>
      <c r="L865" s="75"/>
      <c r="M865" s="49"/>
      <c r="N865" s="76"/>
      <c r="O865" s="49"/>
      <c r="P865" s="77"/>
      <c r="Q865" s="53"/>
      <c r="R865" s="54"/>
      <c r="S865" s="55"/>
      <c r="T865" s="56"/>
      <c r="U865" s="56"/>
      <c r="V865" s="42"/>
      <c r="W865" s="57"/>
      <c r="X865" s="58"/>
      <c r="Y865" s="75"/>
      <c r="Z865" s="59"/>
      <c r="AA865" s="61"/>
      <c r="AB865" s="61"/>
      <c r="AC865" s="61"/>
      <c r="AD865" s="62"/>
      <c r="AE865" s="62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</row>
    <row r="866" spans="1:77" x14ac:dyDescent="0.3">
      <c r="A866" s="39"/>
      <c r="B866" s="42"/>
      <c r="C866" s="42"/>
      <c r="D866" s="75"/>
      <c r="E866" s="75"/>
      <c r="F866" s="76"/>
      <c r="G866" s="47"/>
      <c r="H866" s="47"/>
      <c r="I866" s="75"/>
      <c r="J866" s="76"/>
      <c r="K866" s="76"/>
      <c r="L866" s="75"/>
      <c r="M866" s="49"/>
      <c r="N866" s="76"/>
      <c r="O866" s="49"/>
      <c r="P866" s="77"/>
      <c r="Q866" s="53"/>
      <c r="R866" s="54"/>
      <c r="S866" s="55"/>
      <c r="T866" s="56"/>
      <c r="U866" s="56"/>
      <c r="V866" s="42"/>
      <c r="W866" s="57"/>
      <c r="X866" s="58"/>
      <c r="Y866" s="75"/>
      <c r="Z866" s="59"/>
      <c r="AA866" s="61"/>
      <c r="AB866" s="61"/>
      <c r="AC866" s="61"/>
      <c r="AD866" s="62"/>
      <c r="AE866" s="62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</row>
    <row r="867" spans="1:77" x14ac:dyDescent="0.3">
      <c r="A867" s="39"/>
      <c r="B867" s="42"/>
      <c r="C867" s="42"/>
      <c r="D867" s="75"/>
      <c r="E867" s="75"/>
      <c r="F867" s="76"/>
      <c r="G867" s="47"/>
      <c r="H867" s="47"/>
      <c r="I867" s="75"/>
      <c r="J867" s="76"/>
      <c r="K867" s="76"/>
      <c r="L867" s="75"/>
      <c r="M867" s="49"/>
      <c r="N867" s="76"/>
      <c r="O867" s="49"/>
      <c r="P867" s="77"/>
      <c r="Q867" s="53"/>
      <c r="R867" s="54"/>
      <c r="S867" s="55"/>
      <c r="T867" s="56"/>
      <c r="U867" s="56"/>
      <c r="V867" s="42"/>
      <c r="W867" s="57"/>
      <c r="X867" s="58"/>
      <c r="Y867" s="75"/>
      <c r="Z867" s="59"/>
      <c r="AA867" s="61"/>
      <c r="AB867" s="61"/>
      <c r="AC867" s="61"/>
      <c r="AD867" s="62"/>
      <c r="AE867" s="62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</row>
    <row r="868" spans="1:77" x14ac:dyDescent="0.3">
      <c r="A868" s="39"/>
      <c r="B868" s="42"/>
      <c r="C868" s="42"/>
      <c r="D868" s="75"/>
      <c r="E868" s="75"/>
      <c r="F868" s="76"/>
      <c r="G868" s="47"/>
      <c r="H868" s="47"/>
      <c r="I868" s="75"/>
      <c r="J868" s="76"/>
      <c r="K868" s="76"/>
      <c r="L868" s="75"/>
      <c r="M868" s="49"/>
      <c r="N868" s="76"/>
      <c r="O868" s="49"/>
      <c r="P868" s="77"/>
      <c r="Q868" s="53"/>
      <c r="R868" s="54"/>
      <c r="S868" s="55"/>
      <c r="T868" s="56"/>
      <c r="U868" s="56"/>
      <c r="V868" s="42"/>
      <c r="W868" s="57"/>
      <c r="X868" s="58"/>
      <c r="Y868" s="75"/>
      <c r="Z868" s="59"/>
      <c r="AA868" s="61"/>
      <c r="AB868" s="61"/>
      <c r="AC868" s="61"/>
      <c r="AD868" s="62"/>
      <c r="AE868" s="62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</row>
    <row r="869" spans="1:77" x14ac:dyDescent="0.3">
      <c r="A869" s="39"/>
      <c r="B869" s="42"/>
      <c r="C869" s="42"/>
      <c r="D869" s="75"/>
      <c r="E869" s="75"/>
      <c r="F869" s="76"/>
      <c r="G869" s="47"/>
      <c r="H869" s="47"/>
      <c r="I869" s="75"/>
      <c r="J869" s="76"/>
      <c r="K869" s="76"/>
      <c r="L869" s="75"/>
      <c r="M869" s="49"/>
      <c r="N869" s="76"/>
      <c r="O869" s="49"/>
      <c r="P869" s="77"/>
      <c r="Q869" s="53"/>
      <c r="R869" s="54"/>
      <c r="S869" s="55"/>
      <c r="T869" s="56"/>
      <c r="U869" s="56"/>
      <c r="V869" s="42"/>
      <c r="W869" s="57"/>
      <c r="X869" s="58"/>
      <c r="Y869" s="75"/>
      <c r="Z869" s="59"/>
      <c r="AA869" s="61"/>
      <c r="AB869" s="61"/>
      <c r="AC869" s="61"/>
      <c r="AD869" s="62"/>
      <c r="AE869" s="62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</row>
    <row r="870" spans="1:77" x14ac:dyDescent="0.3">
      <c r="A870" s="39"/>
      <c r="B870" s="42"/>
      <c r="C870" s="42"/>
      <c r="D870" s="75"/>
      <c r="E870" s="75"/>
      <c r="F870" s="76"/>
      <c r="G870" s="47"/>
      <c r="H870" s="47"/>
      <c r="I870" s="75"/>
      <c r="J870" s="76"/>
      <c r="K870" s="76"/>
      <c r="L870" s="75"/>
      <c r="M870" s="49"/>
      <c r="N870" s="76"/>
      <c r="O870" s="49"/>
      <c r="P870" s="77"/>
      <c r="Q870" s="53"/>
      <c r="R870" s="54"/>
      <c r="S870" s="55"/>
      <c r="T870" s="56"/>
      <c r="U870" s="56"/>
      <c r="V870" s="42"/>
      <c r="W870" s="57"/>
      <c r="X870" s="58"/>
      <c r="Y870" s="75"/>
      <c r="Z870" s="59"/>
      <c r="AA870" s="61"/>
      <c r="AB870" s="61"/>
      <c r="AC870" s="61"/>
      <c r="AD870" s="62"/>
      <c r="AE870" s="62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</row>
    <row r="871" spans="1:77" x14ac:dyDescent="0.3">
      <c r="A871" s="39"/>
      <c r="B871" s="42"/>
      <c r="C871" s="42"/>
      <c r="D871" s="75"/>
      <c r="E871" s="75"/>
      <c r="F871" s="76"/>
      <c r="G871" s="47"/>
      <c r="H871" s="47"/>
      <c r="I871" s="75"/>
      <c r="J871" s="76"/>
      <c r="K871" s="76"/>
      <c r="L871" s="75"/>
      <c r="M871" s="49"/>
      <c r="N871" s="76"/>
      <c r="O871" s="49"/>
      <c r="P871" s="77"/>
      <c r="Q871" s="53"/>
      <c r="R871" s="54"/>
      <c r="S871" s="55"/>
      <c r="T871" s="56"/>
      <c r="U871" s="56"/>
      <c r="V871" s="42"/>
      <c r="W871" s="57"/>
      <c r="X871" s="58"/>
      <c r="Y871" s="75"/>
      <c r="Z871" s="59"/>
      <c r="AA871" s="61"/>
      <c r="AB871" s="61"/>
      <c r="AC871" s="61"/>
      <c r="AD871" s="62"/>
      <c r="AE871" s="62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</row>
    <row r="872" spans="1:77" x14ac:dyDescent="0.3">
      <c r="A872" s="39"/>
      <c r="B872" s="42"/>
      <c r="C872" s="42"/>
      <c r="D872" s="75"/>
      <c r="E872" s="75"/>
      <c r="F872" s="76"/>
      <c r="G872" s="47"/>
      <c r="H872" s="47"/>
      <c r="I872" s="75"/>
      <c r="J872" s="76"/>
      <c r="K872" s="76"/>
      <c r="L872" s="75"/>
      <c r="M872" s="49"/>
      <c r="N872" s="76"/>
      <c r="O872" s="49"/>
      <c r="P872" s="77"/>
      <c r="Q872" s="53"/>
      <c r="R872" s="54"/>
      <c r="S872" s="55"/>
      <c r="T872" s="56"/>
      <c r="U872" s="56"/>
      <c r="V872" s="42"/>
      <c r="W872" s="57"/>
      <c r="X872" s="58"/>
      <c r="Y872" s="75"/>
      <c r="Z872" s="59"/>
      <c r="AA872" s="61"/>
      <c r="AB872" s="61"/>
      <c r="AC872" s="61"/>
      <c r="AD872" s="62"/>
      <c r="AE872" s="62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</row>
    <row r="873" spans="1:77" x14ac:dyDescent="0.3">
      <c r="A873" s="39"/>
      <c r="B873" s="42"/>
      <c r="C873" s="42"/>
      <c r="D873" s="75"/>
      <c r="E873" s="75"/>
      <c r="F873" s="76"/>
      <c r="G873" s="47"/>
      <c r="H873" s="47"/>
      <c r="I873" s="75"/>
      <c r="J873" s="76"/>
      <c r="K873" s="76"/>
      <c r="L873" s="75"/>
      <c r="M873" s="49"/>
      <c r="N873" s="76"/>
      <c r="O873" s="49"/>
      <c r="P873" s="77"/>
      <c r="Q873" s="53"/>
      <c r="R873" s="54"/>
      <c r="S873" s="55"/>
      <c r="T873" s="56"/>
      <c r="U873" s="56"/>
      <c r="V873" s="42"/>
      <c r="W873" s="57"/>
      <c r="X873" s="58"/>
      <c r="Y873" s="75"/>
      <c r="Z873" s="59"/>
      <c r="AA873" s="61"/>
      <c r="AB873" s="61"/>
      <c r="AC873" s="61"/>
      <c r="AD873" s="62"/>
      <c r="AE873" s="62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</row>
    <row r="874" spans="1:77" x14ac:dyDescent="0.3">
      <c r="A874" s="39"/>
      <c r="B874" s="42"/>
      <c r="C874" s="42"/>
      <c r="D874" s="75"/>
      <c r="E874" s="75"/>
      <c r="F874" s="76"/>
      <c r="G874" s="47"/>
      <c r="H874" s="47"/>
      <c r="I874" s="75"/>
      <c r="J874" s="76"/>
      <c r="K874" s="76"/>
      <c r="L874" s="75"/>
      <c r="M874" s="49"/>
      <c r="N874" s="76"/>
      <c r="O874" s="49"/>
      <c r="P874" s="77"/>
      <c r="Q874" s="53"/>
      <c r="R874" s="54"/>
      <c r="S874" s="55"/>
      <c r="T874" s="56"/>
      <c r="U874" s="56"/>
      <c r="V874" s="42"/>
      <c r="W874" s="57"/>
      <c r="X874" s="58"/>
      <c r="Y874" s="75"/>
      <c r="Z874" s="59"/>
      <c r="AA874" s="61"/>
      <c r="AB874" s="61"/>
      <c r="AC874" s="61"/>
      <c r="AD874" s="62"/>
      <c r="AE874" s="62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</row>
    <row r="875" spans="1:77" x14ac:dyDescent="0.3">
      <c r="A875" s="39"/>
      <c r="B875" s="42"/>
      <c r="C875" s="42"/>
      <c r="D875" s="75"/>
      <c r="E875" s="75"/>
      <c r="F875" s="76"/>
      <c r="G875" s="47"/>
      <c r="H875" s="47"/>
      <c r="I875" s="75"/>
      <c r="J875" s="76"/>
      <c r="K875" s="76"/>
      <c r="L875" s="75"/>
      <c r="M875" s="49"/>
      <c r="N875" s="76"/>
      <c r="O875" s="49"/>
      <c r="P875" s="77"/>
      <c r="Q875" s="53"/>
      <c r="R875" s="54"/>
      <c r="S875" s="55"/>
      <c r="T875" s="56"/>
      <c r="U875" s="56"/>
      <c r="V875" s="42"/>
      <c r="W875" s="57"/>
      <c r="X875" s="58"/>
      <c r="Y875" s="75"/>
      <c r="Z875" s="59"/>
      <c r="AA875" s="61"/>
      <c r="AB875" s="61"/>
      <c r="AC875" s="61"/>
      <c r="AD875" s="62"/>
      <c r="AE875" s="62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</row>
    <row r="876" spans="1:77" x14ac:dyDescent="0.3">
      <c r="A876" s="39"/>
      <c r="B876" s="42"/>
      <c r="C876" s="42"/>
      <c r="D876" s="75"/>
      <c r="E876" s="75"/>
      <c r="F876" s="76"/>
      <c r="G876" s="47"/>
      <c r="H876" s="47"/>
      <c r="I876" s="75"/>
      <c r="J876" s="76"/>
      <c r="K876" s="76"/>
      <c r="L876" s="75"/>
      <c r="M876" s="49"/>
      <c r="N876" s="76"/>
      <c r="O876" s="49"/>
      <c r="P876" s="77"/>
      <c r="Q876" s="53"/>
      <c r="R876" s="54"/>
      <c r="S876" s="55"/>
      <c r="T876" s="56"/>
      <c r="U876" s="56"/>
      <c r="V876" s="42"/>
      <c r="W876" s="57"/>
      <c r="X876" s="58"/>
      <c r="Y876" s="75"/>
      <c r="Z876" s="59"/>
      <c r="AA876" s="61"/>
      <c r="AB876" s="61"/>
      <c r="AC876" s="61"/>
      <c r="AD876" s="62"/>
      <c r="AE876" s="62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</row>
    <row r="877" spans="1:77" x14ac:dyDescent="0.3">
      <c r="A877" s="39"/>
      <c r="B877" s="42"/>
      <c r="C877" s="42"/>
      <c r="D877" s="75"/>
      <c r="E877" s="75"/>
      <c r="F877" s="76"/>
      <c r="G877" s="47"/>
      <c r="H877" s="47"/>
      <c r="I877" s="75"/>
      <c r="J877" s="76"/>
      <c r="K877" s="76"/>
      <c r="L877" s="75"/>
      <c r="M877" s="49"/>
      <c r="N877" s="76"/>
      <c r="O877" s="49"/>
      <c r="P877" s="77"/>
      <c r="Q877" s="53"/>
      <c r="R877" s="54"/>
      <c r="S877" s="55"/>
      <c r="T877" s="56"/>
      <c r="U877" s="56"/>
      <c r="V877" s="42"/>
      <c r="W877" s="57"/>
      <c r="X877" s="58"/>
      <c r="Y877" s="75"/>
      <c r="Z877" s="59"/>
      <c r="AA877" s="61"/>
      <c r="AB877" s="61"/>
      <c r="AC877" s="61"/>
      <c r="AD877" s="62"/>
      <c r="AE877" s="62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</row>
    <row r="878" spans="1:77" x14ac:dyDescent="0.3">
      <c r="A878" s="39"/>
      <c r="B878" s="42"/>
      <c r="C878" s="42"/>
      <c r="D878" s="75"/>
      <c r="E878" s="75"/>
      <c r="F878" s="76"/>
      <c r="G878" s="47"/>
      <c r="H878" s="47"/>
      <c r="I878" s="75"/>
      <c r="J878" s="76"/>
      <c r="K878" s="76"/>
      <c r="L878" s="75"/>
      <c r="M878" s="49"/>
      <c r="N878" s="76"/>
      <c r="O878" s="49"/>
      <c r="P878" s="77"/>
      <c r="Q878" s="53"/>
      <c r="R878" s="54"/>
      <c r="S878" s="55"/>
      <c r="T878" s="56"/>
      <c r="U878" s="56"/>
      <c r="V878" s="42"/>
      <c r="W878" s="57"/>
      <c r="X878" s="58"/>
      <c r="Y878" s="75"/>
      <c r="Z878" s="59"/>
      <c r="AA878" s="61"/>
      <c r="AB878" s="61"/>
      <c r="AC878" s="61"/>
      <c r="AD878" s="62"/>
      <c r="AE878" s="62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</row>
    <row r="879" spans="1:77" x14ac:dyDescent="0.3">
      <c r="A879" s="39"/>
      <c r="B879" s="42"/>
      <c r="C879" s="42"/>
      <c r="D879" s="75"/>
      <c r="E879" s="75"/>
      <c r="F879" s="76"/>
      <c r="G879" s="47"/>
      <c r="H879" s="47"/>
      <c r="I879" s="75"/>
      <c r="J879" s="76"/>
      <c r="K879" s="76"/>
      <c r="L879" s="75"/>
      <c r="M879" s="49"/>
      <c r="N879" s="76"/>
      <c r="O879" s="49"/>
      <c r="P879" s="77"/>
      <c r="Q879" s="53"/>
      <c r="R879" s="54"/>
      <c r="S879" s="55"/>
      <c r="T879" s="56"/>
      <c r="U879" s="56"/>
      <c r="V879" s="42"/>
      <c r="W879" s="57"/>
      <c r="X879" s="58"/>
      <c r="Y879" s="75"/>
      <c r="Z879" s="59"/>
      <c r="AA879" s="61"/>
      <c r="AB879" s="61"/>
      <c r="AC879" s="61"/>
      <c r="AD879" s="62"/>
      <c r="AE879" s="62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</row>
    <row r="880" spans="1:77" x14ac:dyDescent="0.3">
      <c r="A880" s="39"/>
      <c r="B880" s="42"/>
      <c r="C880" s="42"/>
      <c r="D880" s="75"/>
      <c r="E880" s="75"/>
      <c r="F880" s="76"/>
      <c r="G880" s="47"/>
      <c r="H880" s="47"/>
      <c r="I880" s="75"/>
      <c r="J880" s="76"/>
      <c r="K880" s="76"/>
      <c r="L880" s="75"/>
      <c r="M880" s="49"/>
      <c r="N880" s="76"/>
      <c r="O880" s="49"/>
      <c r="P880" s="77"/>
      <c r="Q880" s="53"/>
      <c r="R880" s="54"/>
      <c r="S880" s="55"/>
      <c r="T880" s="56"/>
      <c r="U880" s="56"/>
      <c r="V880" s="42"/>
      <c r="W880" s="57"/>
      <c r="X880" s="58"/>
      <c r="Y880" s="75"/>
      <c r="Z880" s="59"/>
      <c r="AA880" s="61"/>
      <c r="AB880" s="61"/>
      <c r="AC880" s="61"/>
      <c r="AD880" s="62"/>
      <c r="AE880" s="62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</row>
    <row r="881" spans="1:77" x14ac:dyDescent="0.3">
      <c r="A881" s="39"/>
      <c r="B881" s="42"/>
      <c r="C881" s="42"/>
      <c r="D881" s="75"/>
      <c r="E881" s="75"/>
      <c r="F881" s="76"/>
      <c r="G881" s="47"/>
      <c r="H881" s="47"/>
      <c r="I881" s="75"/>
      <c r="J881" s="76"/>
      <c r="K881" s="76"/>
      <c r="L881" s="75"/>
      <c r="M881" s="49"/>
      <c r="N881" s="76"/>
      <c r="O881" s="49"/>
      <c r="P881" s="77"/>
      <c r="Q881" s="53"/>
      <c r="R881" s="54"/>
      <c r="S881" s="55"/>
      <c r="T881" s="56"/>
      <c r="U881" s="56"/>
      <c r="V881" s="42"/>
      <c r="W881" s="57"/>
      <c r="X881" s="58"/>
      <c r="Y881" s="75"/>
      <c r="Z881" s="59"/>
      <c r="AA881" s="61"/>
      <c r="AB881" s="61"/>
      <c r="AC881" s="61"/>
      <c r="AD881" s="62"/>
      <c r="AE881" s="62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</row>
    <row r="882" spans="1:77" x14ac:dyDescent="0.3">
      <c r="A882" s="39"/>
      <c r="B882" s="42"/>
      <c r="C882" s="42"/>
      <c r="D882" s="75"/>
      <c r="E882" s="75"/>
      <c r="F882" s="76"/>
      <c r="G882" s="47"/>
      <c r="H882" s="47"/>
      <c r="I882" s="75"/>
      <c r="J882" s="76"/>
      <c r="K882" s="76"/>
      <c r="L882" s="75"/>
      <c r="M882" s="49"/>
      <c r="N882" s="76"/>
      <c r="O882" s="49"/>
      <c r="P882" s="77"/>
      <c r="Q882" s="53"/>
      <c r="R882" s="54"/>
      <c r="S882" s="55"/>
      <c r="T882" s="56"/>
      <c r="U882" s="56"/>
      <c r="V882" s="42"/>
      <c r="W882" s="57"/>
      <c r="X882" s="58"/>
      <c r="Y882" s="75"/>
      <c r="Z882" s="59"/>
      <c r="AA882" s="61"/>
      <c r="AB882" s="61"/>
      <c r="AC882" s="61"/>
      <c r="AD882" s="62"/>
      <c r="AE882" s="62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</row>
    <row r="883" spans="1:77" x14ac:dyDescent="0.3">
      <c r="A883" s="39"/>
      <c r="B883" s="42"/>
      <c r="C883" s="42"/>
      <c r="D883" s="75"/>
      <c r="E883" s="75"/>
      <c r="F883" s="76"/>
      <c r="G883" s="47"/>
      <c r="H883" s="47"/>
      <c r="I883" s="75"/>
      <c r="J883" s="76"/>
      <c r="K883" s="76"/>
      <c r="L883" s="75"/>
      <c r="M883" s="49"/>
      <c r="N883" s="76"/>
      <c r="O883" s="49"/>
      <c r="P883" s="77"/>
      <c r="Q883" s="53"/>
      <c r="R883" s="54"/>
      <c r="S883" s="55"/>
      <c r="T883" s="56"/>
      <c r="U883" s="56"/>
      <c r="V883" s="42"/>
      <c r="W883" s="57"/>
      <c r="X883" s="58"/>
      <c r="Y883" s="75"/>
      <c r="Z883" s="59"/>
      <c r="AA883" s="61"/>
      <c r="AB883" s="61"/>
      <c r="AC883" s="61"/>
      <c r="AD883" s="62"/>
      <c r="AE883" s="62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</row>
    <row r="884" spans="1:77" x14ac:dyDescent="0.3">
      <c r="A884" s="39"/>
      <c r="B884" s="42"/>
      <c r="C884" s="42"/>
      <c r="D884" s="75"/>
      <c r="E884" s="75"/>
      <c r="F884" s="76"/>
      <c r="G884" s="47"/>
      <c r="H884" s="47"/>
      <c r="I884" s="75"/>
      <c r="J884" s="76"/>
      <c r="K884" s="76"/>
      <c r="L884" s="75"/>
      <c r="M884" s="49"/>
      <c r="N884" s="76"/>
      <c r="O884" s="49"/>
      <c r="P884" s="77"/>
      <c r="Q884" s="53"/>
      <c r="R884" s="54"/>
      <c r="S884" s="55"/>
      <c r="T884" s="56"/>
      <c r="U884" s="56"/>
      <c r="V884" s="42"/>
      <c r="W884" s="57"/>
      <c r="X884" s="58"/>
      <c r="Y884" s="75"/>
      <c r="Z884" s="59"/>
      <c r="AA884" s="61"/>
      <c r="AB884" s="61"/>
      <c r="AC884" s="61"/>
      <c r="AD884" s="62"/>
      <c r="AE884" s="62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</row>
    <row r="885" spans="1:77" x14ac:dyDescent="0.3">
      <c r="A885" s="39"/>
      <c r="B885" s="42"/>
      <c r="C885" s="42"/>
      <c r="D885" s="75"/>
      <c r="E885" s="75"/>
      <c r="F885" s="76"/>
      <c r="G885" s="47"/>
      <c r="H885" s="47"/>
      <c r="I885" s="75"/>
      <c r="J885" s="76"/>
      <c r="K885" s="76"/>
      <c r="L885" s="75"/>
      <c r="M885" s="49"/>
      <c r="N885" s="76"/>
      <c r="O885" s="49"/>
      <c r="P885" s="77"/>
      <c r="Q885" s="53"/>
      <c r="R885" s="54"/>
      <c r="S885" s="55"/>
      <c r="T885" s="56"/>
      <c r="U885" s="56"/>
      <c r="V885" s="42"/>
      <c r="W885" s="57"/>
      <c r="X885" s="58"/>
      <c r="Y885" s="75"/>
      <c r="Z885" s="59"/>
      <c r="AA885" s="61"/>
      <c r="AB885" s="61"/>
      <c r="AC885" s="61"/>
      <c r="AD885" s="62"/>
      <c r="AE885" s="62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</row>
    <row r="886" spans="1:77" x14ac:dyDescent="0.3">
      <c r="A886" s="39"/>
      <c r="B886" s="42"/>
      <c r="C886" s="42"/>
      <c r="D886" s="75"/>
      <c r="E886" s="75"/>
      <c r="F886" s="76"/>
      <c r="G886" s="47"/>
      <c r="H886" s="47"/>
      <c r="I886" s="75"/>
      <c r="J886" s="76"/>
      <c r="K886" s="76"/>
      <c r="L886" s="75"/>
      <c r="M886" s="49"/>
      <c r="N886" s="76"/>
      <c r="O886" s="49"/>
      <c r="P886" s="77"/>
      <c r="Q886" s="53"/>
      <c r="R886" s="54"/>
      <c r="S886" s="55"/>
      <c r="T886" s="56"/>
      <c r="U886" s="56"/>
      <c r="V886" s="42"/>
      <c r="W886" s="57"/>
      <c r="X886" s="58"/>
      <c r="Y886" s="75"/>
      <c r="Z886" s="59"/>
      <c r="AA886" s="61"/>
      <c r="AB886" s="61"/>
      <c r="AC886" s="61"/>
      <c r="AD886" s="62"/>
      <c r="AE886" s="62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</row>
    <row r="887" spans="1:77" x14ac:dyDescent="0.3">
      <c r="A887" s="39"/>
      <c r="B887" s="42"/>
      <c r="C887" s="42"/>
      <c r="D887" s="75"/>
      <c r="E887" s="75"/>
      <c r="F887" s="76"/>
      <c r="G887" s="47"/>
      <c r="H887" s="47"/>
      <c r="I887" s="75"/>
      <c r="J887" s="76"/>
      <c r="K887" s="76"/>
      <c r="L887" s="75"/>
      <c r="M887" s="49"/>
      <c r="N887" s="76"/>
      <c r="O887" s="49"/>
      <c r="P887" s="77"/>
      <c r="Q887" s="53"/>
      <c r="R887" s="54"/>
      <c r="S887" s="55"/>
      <c r="T887" s="56"/>
      <c r="U887" s="56"/>
      <c r="V887" s="42"/>
      <c r="W887" s="57"/>
      <c r="X887" s="58"/>
      <c r="Y887" s="75"/>
      <c r="Z887" s="59"/>
      <c r="AA887" s="61"/>
      <c r="AB887" s="61"/>
      <c r="AC887" s="61"/>
      <c r="AD887" s="62"/>
      <c r="AE887" s="62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</row>
    <row r="888" spans="1:77" x14ac:dyDescent="0.3">
      <c r="A888" s="39"/>
      <c r="B888" s="42"/>
      <c r="C888" s="42"/>
      <c r="D888" s="75"/>
      <c r="E888" s="75"/>
      <c r="F888" s="76"/>
      <c r="G888" s="47"/>
      <c r="H888" s="47"/>
      <c r="I888" s="75"/>
      <c r="J888" s="76"/>
      <c r="K888" s="76"/>
      <c r="L888" s="75"/>
      <c r="M888" s="49"/>
      <c r="N888" s="76"/>
      <c r="O888" s="49"/>
      <c r="P888" s="77"/>
      <c r="Q888" s="53"/>
      <c r="R888" s="54"/>
      <c r="S888" s="55"/>
      <c r="T888" s="56"/>
      <c r="U888" s="56"/>
      <c r="V888" s="42"/>
      <c r="W888" s="57"/>
      <c r="X888" s="58"/>
      <c r="Y888" s="75"/>
      <c r="Z888" s="59"/>
      <c r="AA888" s="61"/>
      <c r="AB888" s="61"/>
      <c r="AC888" s="61"/>
      <c r="AD888" s="62"/>
      <c r="AE888" s="62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</row>
    <row r="889" spans="1:77" x14ac:dyDescent="0.3">
      <c r="A889" s="39"/>
      <c r="B889" s="42"/>
      <c r="C889" s="42"/>
      <c r="D889" s="75"/>
      <c r="E889" s="75"/>
      <c r="F889" s="76"/>
      <c r="G889" s="47"/>
      <c r="H889" s="47"/>
      <c r="I889" s="75"/>
      <c r="J889" s="76"/>
      <c r="K889" s="76"/>
      <c r="L889" s="75"/>
      <c r="M889" s="49"/>
      <c r="N889" s="76"/>
      <c r="O889" s="49"/>
      <c r="P889" s="77"/>
      <c r="Q889" s="53"/>
      <c r="R889" s="54"/>
      <c r="S889" s="55"/>
      <c r="T889" s="56"/>
      <c r="U889" s="56"/>
      <c r="V889" s="42"/>
      <c r="W889" s="57"/>
      <c r="X889" s="58"/>
      <c r="Y889" s="75"/>
      <c r="Z889" s="59"/>
      <c r="AA889" s="61"/>
      <c r="AB889" s="61"/>
      <c r="AC889" s="61"/>
      <c r="AD889" s="62"/>
      <c r="AE889" s="62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</row>
    <row r="890" spans="1:77" x14ac:dyDescent="0.3">
      <c r="A890" s="39"/>
      <c r="B890" s="42"/>
      <c r="C890" s="42"/>
      <c r="D890" s="75"/>
      <c r="E890" s="75"/>
      <c r="F890" s="76"/>
      <c r="G890" s="47"/>
      <c r="H890" s="47"/>
      <c r="I890" s="75"/>
      <c r="J890" s="76"/>
      <c r="K890" s="76"/>
      <c r="L890" s="75"/>
      <c r="M890" s="49"/>
      <c r="N890" s="76"/>
      <c r="O890" s="49"/>
      <c r="P890" s="77"/>
      <c r="Q890" s="53"/>
      <c r="R890" s="54"/>
      <c r="S890" s="55"/>
      <c r="T890" s="56"/>
      <c r="U890" s="56"/>
      <c r="V890" s="42"/>
      <c r="W890" s="57"/>
      <c r="X890" s="58"/>
      <c r="Y890" s="75"/>
      <c r="Z890" s="59"/>
      <c r="AA890" s="61"/>
      <c r="AB890" s="61"/>
      <c r="AC890" s="61"/>
      <c r="AD890" s="62"/>
      <c r="AE890" s="62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</row>
    <row r="891" spans="1:77" x14ac:dyDescent="0.3">
      <c r="A891" s="39"/>
      <c r="B891" s="42"/>
      <c r="C891" s="42"/>
      <c r="D891" s="75"/>
      <c r="E891" s="75"/>
      <c r="F891" s="76"/>
      <c r="G891" s="47"/>
      <c r="H891" s="47"/>
      <c r="I891" s="75"/>
      <c r="J891" s="76"/>
      <c r="K891" s="76"/>
      <c r="L891" s="75"/>
      <c r="M891" s="49"/>
      <c r="N891" s="76"/>
      <c r="O891" s="49"/>
      <c r="P891" s="77"/>
      <c r="Q891" s="53"/>
      <c r="R891" s="54"/>
      <c r="S891" s="55"/>
      <c r="T891" s="56"/>
      <c r="U891" s="56"/>
      <c r="V891" s="42"/>
      <c r="W891" s="57"/>
      <c r="X891" s="58"/>
      <c r="Y891" s="75"/>
      <c r="Z891" s="59"/>
      <c r="AA891" s="61"/>
      <c r="AB891" s="61"/>
      <c r="AC891" s="61"/>
      <c r="AD891" s="62"/>
      <c r="AE891" s="62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</row>
    <row r="892" spans="1:77" x14ac:dyDescent="0.3">
      <c r="A892" s="39"/>
      <c r="B892" s="42"/>
      <c r="C892" s="42"/>
      <c r="D892" s="75"/>
      <c r="E892" s="75"/>
      <c r="F892" s="76"/>
      <c r="G892" s="47"/>
      <c r="H892" s="47"/>
      <c r="I892" s="75"/>
      <c r="J892" s="76"/>
      <c r="K892" s="76"/>
      <c r="L892" s="75"/>
      <c r="M892" s="49"/>
      <c r="N892" s="76"/>
      <c r="O892" s="49"/>
      <c r="P892" s="77"/>
      <c r="Q892" s="53"/>
      <c r="R892" s="54"/>
      <c r="S892" s="55"/>
      <c r="T892" s="56"/>
      <c r="U892" s="56"/>
      <c r="V892" s="42"/>
      <c r="W892" s="57"/>
      <c r="X892" s="58"/>
      <c r="Y892" s="75"/>
      <c r="Z892" s="59"/>
      <c r="AA892" s="61"/>
      <c r="AB892" s="61"/>
      <c r="AC892" s="61"/>
      <c r="AD892" s="62"/>
      <c r="AE892" s="62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</row>
    <row r="893" spans="1:77" x14ac:dyDescent="0.3">
      <c r="A893" s="39"/>
      <c r="B893" s="42"/>
      <c r="C893" s="42"/>
      <c r="D893" s="75"/>
      <c r="E893" s="75"/>
      <c r="F893" s="76"/>
      <c r="G893" s="47"/>
      <c r="H893" s="47"/>
      <c r="I893" s="75"/>
      <c r="J893" s="76"/>
      <c r="K893" s="76"/>
      <c r="L893" s="75"/>
      <c r="M893" s="49"/>
      <c r="N893" s="76"/>
      <c r="O893" s="49"/>
      <c r="P893" s="77"/>
      <c r="Q893" s="53"/>
      <c r="R893" s="54"/>
      <c r="S893" s="55"/>
      <c r="T893" s="56"/>
      <c r="U893" s="56"/>
      <c r="V893" s="42"/>
      <c r="W893" s="57"/>
      <c r="X893" s="58"/>
      <c r="Y893" s="75"/>
      <c r="Z893" s="59"/>
      <c r="AA893" s="61"/>
      <c r="AB893" s="61"/>
      <c r="AC893" s="61"/>
      <c r="AD893" s="62"/>
      <c r="AE893" s="62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</row>
    <row r="894" spans="1:77" x14ac:dyDescent="0.3">
      <c r="A894" s="39"/>
      <c r="B894" s="42"/>
      <c r="C894" s="42"/>
      <c r="D894" s="75"/>
      <c r="E894" s="75"/>
      <c r="F894" s="76"/>
      <c r="G894" s="47"/>
      <c r="H894" s="47"/>
      <c r="I894" s="75"/>
      <c r="J894" s="76"/>
      <c r="K894" s="76"/>
      <c r="L894" s="75"/>
      <c r="M894" s="49"/>
      <c r="N894" s="76"/>
      <c r="O894" s="49"/>
      <c r="P894" s="77"/>
      <c r="Q894" s="53"/>
      <c r="R894" s="54"/>
      <c r="S894" s="55"/>
      <c r="T894" s="56"/>
      <c r="U894" s="56"/>
      <c r="V894" s="42"/>
      <c r="W894" s="57"/>
      <c r="X894" s="58"/>
      <c r="Y894" s="75"/>
      <c r="Z894" s="59"/>
      <c r="AA894" s="61"/>
      <c r="AB894" s="61"/>
      <c r="AC894" s="61"/>
      <c r="AD894" s="62"/>
      <c r="AE894" s="62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</row>
    <row r="895" spans="1:77" x14ac:dyDescent="0.3">
      <c r="A895" s="39"/>
      <c r="B895" s="42"/>
      <c r="C895" s="42"/>
      <c r="D895" s="75"/>
      <c r="E895" s="75"/>
      <c r="F895" s="76"/>
      <c r="G895" s="47"/>
      <c r="H895" s="47"/>
      <c r="I895" s="75"/>
      <c r="J895" s="76"/>
      <c r="K895" s="76"/>
      <c r="L895" s="75"/>
      <c r="M895" s="49"/>
      <c r="N895" s="76"/>
      <c r="O895" s="49"/>
      <c r="P895" s="77"/>
      <c r="Q895" s="53"/>
      <c r="R895" s="54"/>
      <c r="S895" s="55"/>
      <c r="T895" s="56"/>
      <c r="U895" s="56"/>
      <c r="V895" s="42"/>
      <c r="W895" s="57"/>
      <c r="X895" s="58"/>
      <c r="Y895" s="75"/>
      <c r="Z895" s="59"/>
      <c r="AA895" s="61"/>
      <c r="AB895" s="61"/>
      <c r="AC895" s="61"/>
      <c r="AD895" s="62"/>
      <c r="AE895" s="62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</row>
    <row r="896" spans="1:77" x14ac:dyDescent="0.3">
      <c r="A896" s="39"/>
      <c r="B896" s="42"/>
      <c r="C896" s="42"/>
      <c r="D896" s="75"/>
      <c r="E896" s="75"/>
      <c r="F896" s="76"/>
      <c r="G896" s="47"/>
      <c r="H896" s="47"/>
      <c r="I896" s="75"/>
      <c r="J896" s="76"/>
      <c r="K896" s="76"/>
      <c r="L896" s="75"/>
      <c r="M896" s="49"/>
      <c r="N896" s="76"/>
      <c r="O896" s="49"/>
      <c r="P896" s="77"/>
      <c r="Q896" s="53"/>
      <c r="R896" s="54"/>
      <c r="S896" s="55"/>
      <c r="T896" s="56"/>
      <c r="U896" s="56"/>
      <c r="V896" s="42"/>
      <c r="W896" s="57"/>
      <c r="X896" s="58"/>
      <c r="Y896" s="75"/>
      <c r="Z896" s="59"/>
      <c r="AA896" s="61"/>
      <c r="AB896" s="61"/>
      <c r="AC896" s="61"/>
      <c r="AD896" s="62"/>
      <c r="AE896" s="62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</row>
    <row r="897" spans="1:77" x14ac:dyDescent="0.3">
      <c r="A897" s="39"/>
      <c r="B897" s="42"/>
      <c r="C897" s="42"/>
      <c r="D897" s="75"/>
      <c r="E897" s="75"/>
      <c r="F897" s="76"/>
      <c r="G897" s="47"/>
      <c r="H897" s="47"/>
      <c r="I897" s="75"/>
      <c r="J897" s="76"/>
      <c r="K897" s="76"/>
      <c r="L897" s="75"/>
      <c r="M897" s="49"/>
      <c r="N897" s="76"/>
      <c r="O897" s="49"/>
      <c r="P897" s="77"/>
      <c r="Q897" s="53"/>
      <c r="R897" s="54"/>
      <c r="S897" s="55"/>
      <c r="T897" s="56"/>
      <c r="U897" s="56"/>
      <c r="V897" s="42"/>
      <c r="W897" s="57"/>
      <c r="X897" s="58"/>
      <c r="Y897" s="75"/>
      <c r="Z897" s="59"/>
      <c r="AA897" s="61"/>
      <c r="AB897" s="61"/>
      <c r="AC897" s="61"/>
      <c r="AD897" s="62"/>
      <c r="AE897" s="62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</row>
    <row r="898" spans="1:77" x14ac:dyDescent="0.3">
      <c r="A898" s="39"/>
      <c r="B898" s="42"/>
      <c r="C898" s="42"/>
      <c r="D898" s="75"/>
      <c r="E898" s="75"/>
      <c r="F898" s="76"/>
      <c r="G898" s="47"/>
      <c r="H898" s="47"/>
      <c r="I898" s="75"/>
      <c r="J898" s="76"/>
      <c r="K898" s="76"/>
      <c r="L898" s="75"/>
      <c r="M898" s="49"/>
      <c r="N898" s="76"/>
      <c r="O898" s="49"/>
      <c r="P898" s="77"/>
      <c r="Q898" s="53"/>
      <c r="R898" s="54"/>
      <c r="S898" s="55"/>
      <c r="T898" s="56"/>
      <c r="U898" s="56"/>
      <c r="V898" s="42"/>
      <c r="W898" s="57"/>
      <c r="X898" s="58"/>
      <c r="Y898" s="75"/>
      <c r="Z898" s="59"/>
      <c r="AA898" s="61"/>
      <c r="AB898" s="61"/>
      <c r="AC898" s="61"/>
      <c r="AD898" s="62"/>
      <c r="AE898" s="62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</row>
    <row r="899" spans="1:77" x14ac:dyDescent="0.3">
      <c r="A899" s="39"/>
      <c r="B899" s="42"/>
      <c r="C899" s="42"/>
      <c r="D899" s="75"/>
      <c r="E899" s="75"/>
      <c r="F899" s="76"/>
      <c r="G899" s="47"/>
      <c r="H899" s="47"/>
      <c r="I899" s="75"/>
      <c r="J899" s="76"/>
      <c r="K899" s="76"/>
      <c r="L899" s="75"/>
      <c r="M899" s="49"/>
      <c r="N899" s="76"/>
      <c r="O899" s="49"/>
      <c r="P899" s="77"/>
      <c r="Q899" s="53"/>
      <c r="R899" s="54"/>
      <c r="S899" s="55"/>
      <c r="T899" s="56"/>
      <c r="U899" s="56"/>
      <c r="V899" s="42"/>
      <c r="W899" s="57"/>
      <c r="X899" s="58"/>
      <c r="Y899" s="75"/>
      <c r="Z899" s="59"/>
      <c r="AA899" s="61"/>
      <c r="AB899" s="61"/>
      <c r="AC899" s="61"/>
      <c r="AD899" s="62"/>
      <c r="AE899" s="62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</row>
    <row r="900" spans="1:77" x14ac:dyDescent="0.3">
      <c r="A900" s="39"/>
      <c r="B900" s="42"/>
      <c r="C900" s="42"/>
      <c r="D900" s="75"/>
      <c r="E900" s="75"/>
      <c r="F900" s="76"/>
      <c r="G900" s="47"/>
      <c r="H900" s="47"/>
      <c r="I900" s="75"/>
      <c r="J900" s="76"/>
      <c r="K900" s="76"/>
      <c r="L900" s="75"/>
      <c r="M900" s="49"/>
      <c r="N900" s="76"/>
      <c r="O900" s="49"/>
      <c r="P900" s="77"/>
      <c r="Q900" s="53"/>
      <c r="R900" s="54"/>
      <c r="S900" s="55"/>
      <c r="T900" s="56"/>
      <c r="U900" s="56"/>
      <c r="V900" s="42"/>
      <c r="W900" s="57"/>
      <c r="X900" s="58"/>
      <c r="Y900" s="75"/>
      <c r="Z900" s="59"/>
      <c r="AA900" s="61"/>
      <c r="AB900" s="61"/>
      <c r="AC900" s="61"/>
      <c r="AD900" s="62"/>
      <c r="AE900" s="62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</row>
    <row r="901" spans="1:77" x14ac:dyDescent="0.3">
      <c r="A901" s="39"/>
      <c r="B901" s="42"/>
      <c r="C901" s="42"/>
      <c r="D901" s="75"/>
      <c r="E901" s="75"/>
      <c r="F901" s="76"/>
      <c r="G901" s="47"/>
      <c r="H901" s="47"/>
      <c r="I901" s="75"/>
      <c r="J901" s="76"/>
      <c r="K901" s="76"/>
      <c r="L901" s="75"/>
      <c r="M901" s="49"/>
      <c r="N901" s="76"/>
      <c r="O901" s="49"/>
      <c r="P901" s="77"/>
      <c r="Q901" s="53"/>
      <c r="R901" s="54"/>
      <c r="S901" s="55"/>
      <c r="T901" s="56"/>
      <c r="U901" s="56"/>
      <c r="V901" s="42"/>
      <c r="W901" s="57"/>
      <c r="X901" s="58"/>
      <c r="Y901" s="75"/>
      <c r="Z901" s="59"/>
      <c r="AA901" s="61"/>
      <c r="AB901" s="61"/>
      <c r="AC901" s="61"/>
      <c r="AD901" s="62"/>
      <c r="AE901" s="62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</row>
    <row r="902" spans="1:77" x14ac:dyDescent="0.3">
      <c r="A902" s="39"/>
      <c r="B902" s="42"/>
      <c r="C902" s="42"/>
      <c r="D902" s="75"/>
      <c r="E902" s="75"/>
      <c r="F902" s="76"/>
      <c r="G902" s="47"/>
      <c r="H902" s="47"/>
      <c r="I902" s="75"/>
      <c r="J902" s="76"/>
      <c r="K902" s="76"/>
      <c r="L902" s="75"/>
      <c r="M902" s="49"/>
      <c r="N902" s="76"/>
      <c r="O902" s="49"/>
      <c r="P902" s="77"/>
      <c r="Q902" s="53"/>
      <c r="R902" s="54"/>
      <c r="S902" s="55"/>
      <c r="T902" s="56"/>
      <c r="U902" s="56"/>
      <c r="V902" s="42"/>
      <c r="W902" s="57"/>
      <c r="X902" s="58"/>
      <c r="Y902" s="75"/>
      <c r="Z902" s="59"/>
      <c r="AA902" s="61"/>
      <c r="AB902" s="61"/>
      <c r="AC902" s="61"/>
      <c r="AD902" s="62"/>
      <c r="AE902" s="62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</row>
    <row r="903" spans="1:77" x14ac:dyDescent="0.3">
      <c r="A903" s="39"/>
      <c r="B903" s="42"/>
      <c r="C903" s="42"/>
      <c r="D903" s="75"/>
      <c r="E903" s="75"/>
      <c r="F903" s="76"/>
      <c r="G903" s="47"/>
      <c r="H903" s="47"/>
      <c r="I903" s="75"/>
      <c r="J903" s="76"/>
      <c r="K903" s="76"/>
      <c r="L903" s="75"/>
      <c r="M903" s="49"/>
      <c r="N903" s="76"/>
      <c r="O903" s="49"/>
      <c r="P903" s="77"/>
      <c r="Q903" s="53"/>
      <c r="R903" s="54"/>
      <c r="S903" s="55"/>
      <c r="T903" s="56"/>
      <c r="U903" s="56"/>
      <c r="V903" s="42"/>
      <c r="W903" s="57"/>
      <c r="X903" s="58"/>
      <c r="Y903" s="75"/>
      <c r="Z903" s="59"/>
      <c r="AA903" s="61"/>
      <c r="AB903" s="61"/>
      <c r="AC903" s="61"/>
      <c r="AD903" s="62"/>
      <c r="AE903" s="62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</row>
    <row r="904" spans="1:77" x14ac:dyDescent="0.3">
      <c r="A904" s="39"/>
      <c r="B904" s="42"/>
      <c r="C904" s="42"/>
      <c r="D904" s="75"/>
      <c r="E904" s="75"/>
      <c r="F904" s="76"/>
      <c r="G904" s="47"/>
      <c r="H904" s="47"/>
      <c r="I904" s="75"/>
      <c r="J904" s="76"/>
      <c r="K904" s="76"/>
      <c r="L904" s="75"/>
      <c r="M904" s="49"/>
      <c r="N904" s="76"/>
      <c r="O904" s="49"/>
      <c r="P904" s="77"/>
      <c r="Q904" s="53"/>
      <c r="R904" s="54"/>
      <c r="S904" s="55"/>
      <c r="T904" s="56"/>
      <c r="U904" s="56"/>
      <c r="V904" s="42"/>
      <c r="W904" s="57"/>
      <c r="X904" s="58"/>
      <c r="Y904" s="75"/>
      <c r="Z904" s="59"/>
      <c r="AA904" s="61"/>
      <c r="AB904" s="61"/>
      <c r="AC904" s="61"/>
      <c r="AD904" s="62"/>
      <c r="AE904" s="62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</row>
    <row r="905" spans="1:77" x14ac:dyDescent="0.3">
      <c r="A905" s="39"/>
      <c r="B905" s="42"/>
      <c r="C905" s="42"/>
      <c r="D905" s="75"/>
      <c r="E905" s="75"/>
      <c r="F905" s="76"/>
      <c r="G905" s="47"/>
      <c r="H905" s="47"/>
      <c r="I905" s="75"/>
      <c r="J905" s="76"/>
      <c r="K905" s="76"/>
      <c r="L905" s="75"/>
      <c r="M905" s="49"/>
      <c r="N905" s="76"/>
      <c r="O905" s="49"/>
      <c r="P905" s="77"/>
      <c r="Q905" s="53"/>
      <c r="R905" s="54"/>
      <c r="S905" s="55"/>
      <c r="T905" s="56"/>
      <c r="U905" s="56"/>
      <c r="V905" s="42"/>
      <c r="W905" s="57"/>
      <c r="X905" s="58"/>
      <c r="Y905" s="75"/>
      <c r="Z905" s="59"/>
      <c r="AA905" s="61"/>
      <c r="AB905" s="61"/>
      <c r="AC905" s="61"/>
      <c r="AD905" s="62"/>
      <c r="AE905" s="62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</row>
    <row r="906" spans="1:77" x14ac:dyDescent="0.3">
      <c r="A906" s="39"/>
      <c r="B906" s="42"/>
      <c r="C906" s="42"/>
      <c r="D906" s="75"/>
      <c r="E906" s="75"/>
      <c r="F906" s="76"/>
      <c r="G906" s="47"/>
      <c r="H906" s="47"/>
      <c r="I906" s="75"/>
      <c r="J906" s="76"/>
      <c r="K906" s="76"/>
      <c r="L906" s="75"/>
      <c r="M906" s="49"/>
      <c r="N906" s="76"/>
      <c r="O906" s="49"/>
      <c r="P906" s="77"/>
      <c r="Q906" s="53"/>
      <c r="R906" s="54"/>
      <c r="S906" s="55"/>
      <c r="T906" s="56"/>
      <c r="U906" s="56"/>
      <c r="V906" s="42"/>
      <c r="W906" s="57"/>
      <c r="X906" s="58"/>
      <c r="Y906" s="75"/>
      <c r="Z906" s="59"/>
      <c r="AA906" s="61"/>
      <c r="AB906" s="61"/>
      <c r="AC906" s="61"/>
      <c r="AD906" s="62"/>
      <c r="AE906" s="62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</row>
    <row r="907" spans="1:77" x14ac:dyDescent="0.3">
      <c r="A907" s="39"/>
      <c r="B907" s="42"/>
      <c r="C907" s="42"/>
      <c r="D907" s="75"/>
      <c r="E907" s="75"/>
      <c r="F907" s="76"/>
      <c r="G907" s="47"/>
      <c r="H907" s="47"/>
      <c r="I907" s="75"/>
      <c r="J907" s="76"/>
      <c r="K907" s="76"/>
      <c r="L907" s="75"/>
      <c r="M907" s="49"/>
      <c r="N907" s="76"/>
      <c r="O907" s="49"/>
      <c r="P907" s="77"/>
      <c r="Q907" s="53"/>
      <c r="R907" s="54"/>
      <c r="S907" s="55"/>
      <c r="T907" s="56"/>
      <c r="U907" s="56"/>
      <c r="V907" s="42"/>
      <c r="W907" s="57"/>
      <c r="X907" s="58"/>
      <c r="Y907" s="75"/>
      <c r="Z907" s="59"/>
      <c r="AA907" s="61"/>
      <c r="AB907" s="61"/>
      <c r="AC907" s="61"/>
      <c r="AD907" s="62"/>
      <c r="AE907" s="62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</row>
    <row r="908" spans="1:77" x14ac:dyDescent="0.3">
      <c r="A908" s="39"/>
      <c r="B908" s="42"/>
      <c r="C908" s="42"/>
      <c r="D908" s="75"/>
      <c r="E908" s="75"/>
      <c r="F908" s="76"/>
      <c r="G908" s="47"/>
      <c r="H908" s="47"/>
      <c r="I908" s="75"/>
      <c r="J908" s="76"/>
      <c r="K908" s="76"/>
      <c r="L908" s="75"/>
      <c r="M908" s="49"/>
      <c r="N908" s="76"/>
      <c r="O908" s="49"/>
      <c r="P908" s="77"/>
      <c r="Q908" s="53"/>
      <c r="R908" s="54"/>
      <c r="S908" s="55"/>
      <c r="T908" s="56"/>
      <c r="U908" s="56"/>
      <c r="V908" s="42"/>
      <c r="W908" s="57"/>
      <c r="X908" s="58"/>
      <c r="Y908" s="75"/>
      <c r="Z908" s="59"/>
      <c r="AA908" s="61"/>
      <c r="AB908" s="61"/>
      <c r="AC908" s="61"/>
      <c r="AD908" s="62"/>
      <c r="AE908" s="62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</row>
    <row r="909" spans="1:77" x14ac:dyDescent="0.3">
      <c r="A909" s="39"/>
      <c r="B909" s="42"/>
      <c r="C909" s="42"/>
      <c r="D909" s="75"/>
      <c r="E909" s="75"/>
      <c r="F909" s="76"/>
      <c r="G909" s="47"/>
      <c r="H909" s="47"/>
      <c r="I909" s="75"/>
      <c r="J909" s="76"/>
      <c r="K909" s="76"/>
      <c r="L909" s="75"/>
      <c r="M909" s="49"/>
      <c r="N909" s="76"/>
      <c r="O909" s="49"/>
      <c r="P909" s="77"/>
      <c r="Q909" s="53"/>
      <c r="R909" s="54"/>
      <c r="S909" s="55"/>
      <c r="T909" s="56"/>
      <c r="U909" s="56"/>
      <c r="V909" s="42"/>
      <c r="W909" s="57"/>
      <c r="X909" s="58"/>
      <c r="Y909" s="75"/>
      <c r="Z909" s="59"/>
      <c r="AA909" s="61"/>
      <c r="AB909" s="61"/>
      <c r="AC909" s="61"/>
      <c r="AD909" s="62"/>
      <c r="AE909" s="62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</row>
    <row r="910" spans="1:77" x14ac:dyDescent="0.3">
      <c r="A910" s="39"/>
      <c r="B910" s="42"/>
      <c r="C910" s="42"/>
      <c r="D910" s="75"/>
      <c r="E910" s="75"/>
      <c r="F910" s="76"/>
      <c r="G910" s="47"/>
      <c r="H910" s="47"/>
      <c r="I910" s="75"/>
      <c r="J910" s="76"/>
      <c r="K910" s="76"/>
      <c r="L910" s="75"/>
      <c r="M910" s="49"/>
      <c r="N910" s="76"/>
      <c r="O910" s="49"/>
      <c r="P910" s="77"/>
      <c r="Q910" s="53"/>
      <c r="R910" s="54"/>
      <c r="S910" s="55"/>
      <c r="T910" s="56"/>
      <c r="U910" s="56"/>
      <c r="V910" s="42"/>
      <c r="W910" s="57"/>
      <c r="X910" s="58"/>
      <c r="Y910" s="75"/>
      <c r="Z910" s="59"/>
      <c r="AA910" s="61"/>
      <c r="AB910" s="61"/>
      <c r="AC910" s="61"/>
      <c r="AD910" s="62"/>
      <c r="AE910" s="62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</row>
    <row r="911" spans="1:77" x14ac:dyDescent="0.3">
      <c r="A911" s="39"/>
      <c r="B911" s="42"/>
      <c r="C911" s="42"/>
      <c r="D911" s="75"/>
      <c r="E911" s="75"/>
      <c r="F911" s="76"/>
      <c r="G911" s="47"/>
      <c r="H911" s="47"/>
      <c r="I911" s="75"/>
      <c r="J911" s="76"/>
      <c r="K911" s="76"/>
      <c r="L911" s="75"/>
      <c r="M911" s="49"/>
      <c r="N911" s="76"/>
      <c r="O911" s="49"/>
      <c r="P911" s="77"/>
      <c r="Q911" s="53"/>
      <c r="R911" s="54"/>
      <c r="S911" s="55"/>
      <c r="T911" s="56"/>
      <c r="U911" s="56"/>
      <c r="V911" s="42"/>
      <c r="W911" s="57"/>
      <c r="X911" s="58"/>
      <c r="Y911" s="75"/>
      <c r="Z911" s="59"/>
      <c r="AA911" s="61"/>
      <c r="AB911" s="61"/>
      <c r="AC911" s="61"/>
      <c r="AD911" s="62"/>
      <c r="AE911" s="62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</row>
    <row r="912" spans="1:77" x14ac:dyDescent="0.3">
      <c r="A912" s="39"/>
      <c r="B912" s="42"/>
      <c r="C912" s="42"/>
      <c r="D912" s="75"/>
      <c r="E912" s="75"/>
      <c r="F912" s="76"/>
      <c r="G912" s="47"/>
      <c r="H912" s="47"/>
      <c r="I912" s="75"/>
      <c r="J912" s="76"/>
      <c r="K912" s="76"/>
      <c r="L912" s="75"/>
      <c r="M912" s="49"/>
      <c r="N912" s="76"/>
      <c r="O912" s="49"/>
      <c r="P912" s="77"/>
      <c r="Q912" s="53"/>
      <c r="R912" s="54"/>
      <c r="S912" s="55"/>
      <c r="T912" s="56"/>
      <c r="U912" s="56"/>
      <c r="V912" s="42"/>
      <c r="W912" s="57"/>
      <c r="X912" s="58"/>
      <c r="Y912" s="75"/>
      <c r="Z912" s="59"/>
      <c r="AA912" s="61"/>
      <c r="AB912" s="61"/>
      <c r="AC912" s="61"/>
      <c r="AD912" s="62"/>
      <c r="AE912" s="62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</row>
    <row r="913" spans="1:77" x14ac:dyDescent="0.3">
      <c r="A913" s="39"/>
      <c r="B913" s="42"/>
      <c r="C913" s="42"/>
      <c r="D913" s="75"/>
      <c r="E913" s="75"/>
      <c r="F913" s="76"/>
      <c r="G913" s="47"/>
      <c r="H913" s="47"/>
      <c r="I913" s="75"/>
      <c r="J913" s="76"/>
      <c r="K913" s="76"/>
      <c r="L913" s="75"/>
      <c r="M913" s="49"/>
      <c r="N913" s="76"/>
      <c r="O913" s="49"/>
      <c r="P913" s="77"/>
      <c r="Q913" s="53"/>
      <c r="R913" s="54"/>
      <c r="S913" s="55"/>
      <c r="T913" s="56"/>
      <c r="U913" s="56"/>
      <c r="V913" s="42"/>
      <c r="W913" s="57"/>
      <c r="X913" s="58"/>
      <c r="Y913" s="75"/>
      <c r="Z913" s="59"/>
      <c r="AA913" s="61"/>
      <c r="AB913" s="61"/>
      <c r="AC913" s="61"/>
      <c r="AD913" s="62"/>
      <c r="AE913" s="62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</row>
    <row r="914" spans="1:77" x14ac:dyDescent="0.3">
      <c r="A914" s="39"/>
      <c r="B914" s="42"/>
      <c r="C914" s="42"/>
      <c r="D914" s="75"/>
      <c r="E914" s="75"/>
      <c r="F914" s="76"/>
      <c r="G914" s="47"/>
      <c r="H914" s="47"/>
      <c r="I914" s="75"/>
      <c r="J914" s="76"/>
      <c r="K914" s="76"/>
      <c r="L914" s="75"/>
      <c r="M914" s="49"/>
      <c r="N914" s="76"/>
      <c r="O914" s="49"/>
      <c r="P914" s="77"/>
      <c r="Q914" s="53"/>
      <c r="R914" s="54"/>
      <c r="S914" s="55"/>
      <c r="T914" s="56"/>
      <c r="U914" s="56"/>
      <c r="V914" s="42"/>
      <c r="W914" s="57"/>
      <c r="X914" s="58"/>
      <c r="Y914" s="75"/>
      <c r="Z914" s="59"/>
      <c r="AA914" s="61"/>
      <c r="AB914" s="61"/>
      <c r="AC914" s="61"/>
      <c r="AD914" s="62"/>
      <c r="AE914" s="62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</row>
    <row r="915" spans="1:77" x14ac:dyDescent="0.3">
      <c r="A915" s="39"/>
      <c r="B915" s="42"/>
      <c r="C915" s="42"/>
      <c r="D915" s="75"/>
      <c r="E915" s="75"/>
      <c r="F915" s="76"/>
      <c r="G915" s="47"/>
      <c r="H915" s="47"/>
      <c r="I915" s="75"/>
      <c r="J915" s="76"/>
      <c r="K915" s="76"/>
      <c r="L915" s="75"/>
      <c r="M915" s="49"/>
      <c r="N915" s="76"/>
      <c r="O915" s="49"/>
      <c r="P915" s="77"/>
      <c r="Q915" s="53"/>
      <c r="R915" s="54"/>
      <c r="S915" s="55"/>
      <c r="T915" s="56"/>
      <c r="U915" s="56"/>
      <c r="V915" s="42"/>
      <c r="W915" s="57"/>
      <c r="X915" s="58"/>
      <c r="Y915" s="75"/>
      <c r="Z915" s="59"/>
      <c r="AA915" s="61"/>
      <c r="AB915" s="61"/>
      <c r="AC915" s="61"/>
      <c r="AD915" s="62"/>
      <c r="AE915" s="62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</row>
    <row r="916" spans="1:77" x14ac:dyDescent="0.3">
      <c r="A916" s="39"/>
      <c r="B916" s="42"/>
      <c r="C916" s="42"/>
      <c r="D916" s="75"/>
      <c r="E916" s="75"/>
      <c r="F916" s="76"/>
      <c r="G916" s="47"/>
      <c r="H916" s="47"/>
      <c r="I916" s="75"/>
      <c r="J916" s="76"/>
      <c r="K916" s="76"/>
      <c r="L916" s="75"/>
      <c r="M916" s="49"/>
      <c r="N916" s="76"/>
      <c r="O916" s="49"/>
      <c r="P916" s="77"/>
      <c r="Q916" s="53"/>
      <c r="R916" s="54"/>
      <c r="S916" s="55"/>
      <c r="T916" s="56"/>
      <c r="U916" s="56"/>
      <c r="V916" s="42"/>
      <c r="W916" s="57"/>
      <c r="X916" s="58"/>
      <c r="Y916" s="75"/>
      <c r="Z916" s="59"/>
      <c r="AA916" s="61"/>
      <c r="AB916" s="61"/>
      <c r="AC916" s="61"/>
      <c r="AD916" s="62"/>
      <c r="AE916" s="62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</row>
    <row r="917" spans="1:77" x14ac:dyDescent="0.3">
      <c r="A917" s="39"/>
      <c r="B917" s="42"/>
      <c r="C917" s="42"/>
      <c r="D917" s="75"/>
      <c r="E917" s="75"/>
      <c r="F917" s="76"/>
      <c r="G917" s="47"/>
      <c r="H917" s="47"/>
      <c r="I917" s="75"/>
      <c r="J917" s="76"/>
      <c r="K917" s="76"/>
      <c r="L917" s="75"/>
      <c r="M917" s="49"/>
      <c r="N917" s="76"/>
      <c r="O917" s="49"/>
      <c r="P917" s="77"/>
      <c r="Q917" s="53"/>
      <c r="R917" s="54"/>
      <c r="S917" s="55"/>
      <c r="T917" s="56"/>
      <c r="U917" s="56"/>
      <c r="V917" s="42"/>
      <c r="W917" s="57"/>
      <c r="X917" s="58"/>
      <c r="Y917" s="75"/>
      <c r="Z917" s="59"/>
      <c r="AA917" s="61"/>
      <c r="AB917" s="61"/>
      <c r="AC917" s="61"/>
      <c r="AD917" s="62"/>
      <c r="AE917" s="62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</row>
    <row r="918" spans="1:77" x14ac:dyDescent="0.3">
      <c r="A918" s="39"/>
      <c r="B918" s="42"/>
      <c r="C918" s="42"/>
      <c r="D918" s="75"/>
      <c r="E918" s="75"/>
      <c r="F918" s="76"/>
      <c r="G918" s="47"/>
      <c r="H918" s="47"/>
      <c r="I918" s="75"/>
      <c r="J918" s="76"/>
      <c r="K918" s="76"/>
      <c r="L918" s="75"/>
      <c r="M918" s="49"/>
      <c r="N918" s="76"/>
      <c r="O918" s="49"/>
      <c r="P918" s="77"/>
      <c r="Q918" s="53"/>
      <c r="R918" s="54"/>
      <c r="S918" s="55"/>
      <c r="T918" s="56"/>
      <c r="U918" s="56"/>
      <c r="V918" s="42"/>
      <c r="W918" s="57"/>
      <c r="X918" s="58"/>
      <c r="Y918" s="75"/>
      <c r="Z918" s="59"/>
      <c r="AA918" s="61"/>
      <c r="AB918" s="61"/>
      <c r="AC918" s="61"/>
      <c r="AD918" s="62"/>
      <c r="AE918" s="62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</row>
    <row r="919" spans="1:77" x14ac:dyDescent="0.3">
      <c r="A919" s="39"/>
      <c r="B919" s="42"/>
      <c r="C919" s="42"/>
      <c r="D919" s="75"/>
      <c r="E919" s="75"/>
      <c r="F919" s="76"/>
      <c r="G919" s="47"/>
      <c r="H919" s="47"/>
      <c r="I919" s="75"/>
      <c r="J919" s="76"/>
      <c r="K919" s="76"/>
      <c r="L919" s="75"/>
      <c r="M919" s="49"/>
      <c r="N919" s="76"/>
      <c r="O919" s="49"/>
      <c r="P919" s="77"/>
      <c r="Q919" s="53"/>
      <c r="R919" s="54"/>
      <c r="S919" s="55"/>
      <c r="T919" s="56"/>
      <c r="U919" s="56"/>
      <c r="V919" s="42"/>
      <c r="W919" s="57"/>
      <c r="X919" s="58"/>
      <c r="Y919" s="75"/>
      <c r="Z919" s="59"/>
      <c r="AA919" s="61"/>
      <c r="AB919" s="61"/>
      <c r="AC919" s="61"/>
      <c r="AD919" s="62"/>
      <c r="AE919" s="62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</row>
    <row r="920" spans="1:77" x14ac:dyDescent="0.3">
      <c r="A920" s="39"/>
      <c r="B920" s="42"/>
      <c r="C920" s="42"/>
      <c r="D920" s="75"/>
      <c r="E920" s="75"/>
      <c r="F920" s="76"/>
      <c r="G920" s="47"/>
      <c r="H920" s="47"/>
      <c r="I920" s="75"/>
      <c r="J920" s="76"/>
      <c r="K920" s="76"/>
      <c r="L920" s="75"/>
      <c r="M920" s="49"/>
      <c r="N920" s="76"/>
      <c r="O920" s="49"/>
      <c r="P920" s="77"/>
      <c r="Q920" s="53"/>
      <c r="R920" s="54"/>
      <c r="S920" s="55"/>
      <c r="T920" s="56"/>
      <c r="U920" s="56"/>
      <c r="V920" s="42"/>
      <c r="W920" s="57"/>
      <c r="X920" s="58"/>
      <c r="Y920" s="75"/>
      <c r="Z920" s="59"/>
      <c r="AA920" s="61"/>
      <c r="AB920" s="61"/>
      <c r="AC920" s="61"/>
      <c r="AD920" s="62"/>
      <c r="AE920" s="62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</row>
    <row r="921" spans="1:77" x14ac:dyDescent="0.3">
      <c r="A921" s="39"/>
      <c r="B921" s="42"/>
      <c r="C921" s="42"/>
      <c r="D921" s="75"/>
      <c r="E921" s="75"/>
      <c r="F921" s="76"/>
      <c r="G921" s="47"/>
      <c r="H921" s="47"/>
      <c r="I921" s="75"/>
      <c r="J921" s="76"/>
      <c r="K921" s="76"/>
      <c r="L921" s="75"/>
      <c r="M921" s="49"/>
      <c r="N921" s="76"/>
      <c r="O921" s="49"/>
      <c r="P921" s="77"/>
      <c r="Q921" s="53"/>
      <c r="R921" s="54"/>
      <c r="S921" s="55"/>
      <c r="T921" s="56"/>
      <c r="U921" s="56"/>
      <c r="V921" s="42"/>
      <c r="W921" s="57"/>
      <c r="X921" s="58"/>
      <c r="Y921" s="75"/>
      <c r="Z921" s="59"/>
      <c r="AA921" s="61"/>
      <c r="AB921" s="61"/>
      <c r="AC921" s="61"/>
      <c r="AD921" s="62"/>
      <c r="AE921" s="62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</row>
    <row r="922" spans="1:77" x14ac:dyDescent="0.3">
      <c r="A922" s="39"/>
      <c r="B922" s="42"/>
      <c r="C922" s="42"/>
      <c r="D922" s="75"/>
      <c r="E922" s="75"/>
      <c r="F922" s="76"/>
      <c r="G922" s="47"/>
      <c r="H922" s="47"/>
      <c r="I922" s="75"/>
      <c r="J922" s="76"/>
      <c r="K922" s="76"/>
      <c r="L922" s="75"/>
      <c r="M922" s="49"/>
      <c r="N922" s="76"/>
      <c r="O922" s="49"/>
      <c r="P922" s="77"/>
      <c r="Q922" s="53"/>
      <c r="R922" s="54"/>
      <c r="S922" s="55"/>
      <c r="T922" s="56"/>
      <c r="U922" s="56"/>
      <c r="V922" s="42"/>
      <c r="W922" s="57"/>
      <c r="X922" s="58"/>
      <c r="Y922" s="75"/>
      <c r="Z922" s="59"/>
      <c r="AA922" s="61"/>
      <c r="AB922" s="61"/>
      <c r="AC922" s="61"/>
      <c r="AD922" s="62"/>
      <c r="AE922" s="62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</row>
    <row r="923" spans="1:77" x14ac:dyDescent="0.3">
      <c r="A923" s="39"/>
      <c r="B923" s="42"/>
      <c r="C923" s="42"/>
      <c r="D923" s="75"/>
      <c r="E923" s="75"/>
      <c r="F923" s="76"/>
      <c r="G923" s="47"/>
      <c r="H923" s="47"/>
      <c r="I923" s="75"/>
      <c r="J923" s="76"/>
      <c r="K923" s="76"/>
      <c r="L923" s="75"/>
      <c r="M923" s="49"/>
      <c r="N923" s="76"/>
      <c r="O923" s="49"/>
      <c r="P923" s="77"/>
      <c r="Q923" s="53"/>
      <c r="R923" s="54"/>
      <c r="S923" s="55"/>
      <c r="T923" s="56"/>
      <c r="U923" s="56"/>
      <c r="V923" s="42"/>
      <c r="W923" s="57"/>
      <c r="X923" s="58"/>
      <c r="Y923" s="75"/>
      <c r="Z923" s="59"/>
      <c r="AA923" s="61"/>
      <c r="AB923" s="61"/>
      <c r="AC923" s="61"/>
      <c r="AD923" s="62"/>
      <c r="AE923" s="62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</row>
    <row r="924" spans="1:77" x14ac:dyDescent="0.3">
      <c r="A924" s="39"/>
      <c r="B924" s="42"/>
      <c r="C924" s="42"/>
      <c r="D924" s="75"/>
      <c r="E924" s="75"/>
      <c r="F924" s="76"/>
      <c r="G924" s="47"/>
      <c r="H924" s="47"/>
      <c r="I924" s="75"/>
      <c r="J924" s="76"/>
      <c r="K924" s="76"/>
      <c r="L924" s="75"/>
      <c r="M924" s="49"/>
      <c r="N924" s="76"/>
      <c r="O924" s="49"/>
      <c r="P924" s="77"/>
      <c r="Q924" s="53"/>
      <c r="R924" s="54"/>
      <c r="S924" s="55"/>
      <c r="T924" s="56"/>
      <c r="U924" s="56"/>
      <c r="V924" s="42"/>
      <c r="W924" s="57"/>
      <c r="X924" s="58"/>
      <c r="Y924" s="75"/>
      <c r="Z924" s="59"/>
      <c r="AA924" s="61"/>
      <c r="AB924" s="61"/>
      <c r="AC924" s="61"/>
      <c r="AD924" s="62"/>
      <c r="AE924" s="62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</row>
    <row r="925" spans="1:77" x14ac:dyDescent="0.3">
      <c r="A925" s="39"/>
      <c r="B925" s="42"/>
      <c r="C925" s="42"/>
      <c r="D925" s="75"/>
      <c r="E925" s="75"/>
      <c r="F925" s="76"/>
      <c r="G925" s="47"/>
      <c r="H925" s="47"/>
      <c r="I925" s="75"/>
      <c r="J925" s="76"/>
      <c r="K925" s="76"/>
      <c r="L925" s="75"/>
      <c r="M925" s="49"/>
      <c r="N925" s="76"/>
      <c r="O925" s="49"/>
      <c r="P925" s="77"/>
      <c r="Q925" s="53"/>
      <c r="R925" s="54"/>
      <c r="S925" s="55"/>
      <c r="T925" s="56"/>
      <c r="U925" s="56"/>
      <c r="V925" s="42"/>
      <c r="W925" s="57"/>
      <c r="X925" s="58"/>
      <c r="Y925" s="75"/>
      <c r="Z925" s="59"/>
      <c r="AA925" s="61"/>
      <c r="AB925" s="61"/>
      <c r="AC925" s="61"/>
      <c r="AD925" s="62"/>
      <c r="AE925" s="62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</row>
    <row r="926" spans="1:77" x14ac:dyDescent="0.3">
      <c r="A926" s="39"/>
      <c r="B926" s="42"/>
      <c r="C926" s="42"/>
      <c r="D926" s="75"/>
      <c r="E926" s="75"/>
      <c r="F926" s="76"/>
      <c r="G926" s="47"/>
      <c r="H926" s="47"/>
      <c r="I926" s="75"/>
      <c r="J926" s="76"/>
      <c r="K926" s="76"/>
      <c r="L926" s="75"/>
      <c r="M926" s="49"/>
      <c r="N926" s="76"/>
      <c r="O926" s="49"/>
      <c r="P926" s="77"/>
      <c r="Q926" s="53"/>
      <c r="R926" s="54"/>
      <c r="S926" s="55"/>
      <c r="T926" s="56"/>
      <c r="U926" s="56"/>
      <c r="V926" s="42"/>
      <c r="W926" s="57"/>
      <c r="X926" s="58"/>
      <c r="Y926" s="75"/>
      <c r="Z926" s="59"/>
      <c r="AA926" s="61"/>
      <c r="AB926" s="61"/>
      <c r="AC926" s="61"/>
      <c r="AD926" s="62"/>
      <c r="AE926" s="62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</row>
    <row r="927" spans="1:77" x14ac:dyDescent="0.3">
      <c r="A927" s="39"/>
      <c r="B927" s="42"/>
      <c r="C927" s="42"/>
      <c r="D927" s="75"/>
      <c r="E927" s="75"/>
      <c r="F927" s="76"/>
      <c r="G927" s="47"/>
      <c r="H927" s="47"/>
      <c r="I927" s="75"/>
      <c r="J927" s="76"/>
      <c r="K927" s="76"/>
      <c r="L927" s="75"/>
      <c r="M927" s="49"/>
      <c r="N927" s="76"/>
      <c r="O927" s="49"/>
      <c r="P927" s="77"/>
      <c r="Q927" s="53"/>
      <c r="R927" s="54"/>
      <c r="S927" s="55"/>
      <c r="T927" s="56"/>
      <c r="U927" s="56"/>
      <c r="V927" s="42"/>
      <c r="W927" s="57"/>
      <c r="X927" s="58"/>
      <c r="Y927" s="75"/>
      <c r="Z927" s="59"/>
      <c r="AA927" s="61"/>
      <c r="AB927" s="61"/>
      <c r="AC927" s="61"/>
      <c r="AD927" s="62"/>
      <c r="AE927" s="62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</row>
    <row r="928" spans="1:77" x14ac:dyDescent="0.3">
      <c r="A928" s="39"/>
      <c r="B928" s="42"/>
      <c r="C928" s="42"/>
      <c r="D928" s="75"/>
      <c r="E928" s="75"/>
      <c r="F928" s="76"/>
      <c r="G928" s="47"/>
      <c r="H928" s="47"/>
      <c r="I928" s="75"/>
      <c r="J928" s="76"/>
      <c r="K928" s="76"/>
      <c r="L928" s="75"/>
      <c r="M928" s="49"/>
      <c r="N928" s="76"/>
      <c r="O928" s="49"/>
      <c r="P928" s="77"/>
      <c r="Q928" s="53"/>
      <c r="R928" s="54"/>
      <c r="S928" s="55"/>
      <c r="T928" s="56"/>
      <c r="U928" s="56"/>
      <c r="V928" s="42"/>
      <c r="W928" s="57"/>
      <c r="X928" s="58"/>
      <c r="Y928" s="75"/>
      <c r="Z928" s="59"/>
      <c r="AA928" s="61"/>
      <c r="AB928" s="61"/>
      <c r="AC928" s="61"/>
      <c r="AD928" s="62"/>
      <c r="AE928" s="62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</row>
    <row r="929" spans="1:77" x14ac:dyDescent="0.3">
      <c r="A929" s="39"/>
      <c r="B929" s="42"/>
      <c r="C929" s="42"/>
      <c r="D929" s="75"/>
      <c r="E929" s="75"/>
      <c r="F929" s="76"/>
      <c r="G929" s="47"/>
      <c r="H929" s="47"/>
      <c r="I929" s="75"/>
      <c r="J929" s="76"/>
      <c r="K929" s="76"/>
      <c r="L929" s="75"/>
      <c r="M929" s="49"/>
      <c r="N929" s="76"/>
      <c r="O929" s="49"/>
      <c r="P929" s="77"/>
      <c r="Q929" s="53"/>
      <c r="R929" s="54"/>
      <c r="S929" s="55"/>
      <c r="T929" s="56"/>
      <c r="U929" s="56"/>
      <c r="V929" s="42"/>
      <c r="W929" s="57"/>
      <c r="X929" s="58"/>
      <c r="Y929" s="75"/>
      <c r="Z929" s="59"/>
      <c r="AA929" s="61"/>
      <c r="AB929" s="61"/>
      <c r="AC929" s="61"/>
      <c r="AD929" s="62"/>
      <c r="AE929" s="62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</row>
    <row r="930" spans="1:77" x14ac:dyDescent="0.3">
      <c r="A930" s="39"/>
      <c r="B930" s="42"/>
      <c r="C930" s="42"/>
      <c r="D930" s="75"/>
      <c r="E930" s="75"/>
      <c r="F930" s="76"/>
      <c r="G930" s="47"/>
      <c r="H930" s="47"/>
      <c r="I930" s="75"/>
      <c r="J930" s="76"/>
      <c r="K930" s="76"/>
      <c r="L930" s="75"/>
      <c r="M930" s="49"/>
      <c r="N930" s="76"/>
      <c r="O930" s="49"/>
      <c r="P930" s="77"/>
      <c r="Q930" s="53"/>
      <c r="R930" s="54"/>
      <c r="S930" s="55"/>
      <c r="T930" s="56"/>
      <c r="U930" s="56"/>
      <c r="V930" s="42"/>
      <c r="W930" s="57"/>
      <c r="X930" s="58"/>
      <c r="Y930" s="75"/>
      <c r="Z930" s="59"/>
      <c r="AA930" s="61"/>
      <c r="AB930" s="61"/>
      <c r="AC930" s="61"/>
      <c r="AD930" s="62"/>
      <c r="AE930" s="62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</row>
    <row r="931" spans="1:77" x14ac:dyDescent="0.3">
      <c r="A931" s="39"/>
      <c r="B931" s="42"/>
      <c r="C931" s="42"/>
      <c r="D931" s="75"/>
      <c r="E931" s="75"/>
      <c r="F931" s="76"/>
      <c r="G931" s="47"/>
      <c r="H931" s="47"/>
      <c r="I931" s="75"/>
      <c r="J931" s="76"/>
      <c r="K931" s="76"/>
      <c r="L931" s="75"/>
      <c r="M931" s="49"/>
      <c r="N931" s="76"/>
      <c r="O931" s="49"/>
      <c r="P931" s="77"/>
      <c r="Q931" s="53"/>
      <c r="R931" s="54"/>
      <c r="S931" s="55"/>
      <c r="T931" s="56"/>
      <c r="U931" s="56"/>
      <c r="V931" s="42"/>
      <c r="W931" s="57"/>
      <c r="X931" s="58"/>
      <c r="Y931" s="75"/>
      <c r="Z931" s="59"/>
      <c r="AA931" s="61"/>
      <c r="AB931" s="61"/>
      <c r="AC931" s="61"/>
      <c r="AD931" s="62"/>
      <c r="AE931" s="62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</row>
    <row r="932" spans="1:77" x14ac:dyDescent="0.3">
      <c r="A932" s="39"/>
      <c r="B932" s="42"/>
      <c r="C932" s="42"/>
      <c r="D932" s="75"/>
      <c r="E932" s="75"/>
      <c r="F932" s="76"/>
      <c r="G932" s="47"/>
      <c r="H932" s="47"/>
      <c r="I932" s="75"/>
      <c r="J932" s="76"/>
      <c r="K932" s="76"/>
      <c r="L932" s="75"/>
      <c r="M932" s="49"/>
      <c r="N932" s="76"/>
      <c r="O932" s="49"/>
      <c r="P932" s="77"/>
      <c r="Q932" s="53"/>
      <c r="R932" s="54"/>
      <c r="S932" s="55"/>
      <c r="T932" s="56"/>
      <c r="U932" s="56"/>
      <c r="V932" s="42"/>
      <c r="W932" s="57"/>
      <c r="X932" s="58"/>
      <c r="Y932" s="75"/>
      <c r="Z932" s="59"/>
      <c r="AA932" s="61"/>
      <c r="AB932" s="61"/>
      <c r="AC932" s="61"/>
      <c r="AD932" s="62"/>
      <c r="AE932" s="62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</row>
    <row r="933" spans="1:77" x14ac:dyDescent="0.3">
      <c r="A933" s="39"/>
      <c r="B933" s="42"/>
      <c r="C933" s="42"/>
      <c r="D933" s="75"/>
      <c r="E933" s="75"/>
      <c r="F933" s="76"/>
      <c r="G933" s="47"/>
      <c r="H933" s="47"/>
      <c r="I933" s="75"/>
      <c r="J933" s="76"/>
      <c r="K933" s="76"/>
      <c r="L933" s="75"/>
      <c r="M933" s="49"/>
      <c r="N933" s="76"/>
      <c r="O933" s="49"/>
      <c r="P933" s="77"/>
      <c r="Q933" s="53"/>
      <c r="R933" s="54"/>
      <c r="S933" s="55"/>
      <c r="T933" s="56"/>
      <c r="U933" s="56"/>
      <c r="V933" s="42"/>
      <c r="W933" s="57"/>
      <c r="X933" s="58"/>
      <c r="Y933" s="75"/>
      <c r="Z933" s="59"/>
      <c r="AA933" s="61"/>
      <c r="AB933" s="61"/>
      <c r="AC933" s="61"/>
      <c r="AD933" s="62"/>
      <c r="AE933" s="62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</row>
    <row r="934" spans="1:77" x14ac:dyDescent="0.3">
      <c r="A934" s="39"/>
      <c r="B934" s="42"/>
      <c r="C934" s="42"/>
      <c r="D934" s="75"/>
      <c r="E934" s="75"/>
      <c r="F934" s="76"/>
      <c r="G934" s="47"/>
      <c r="H934" s="47"/>
      <c r="I934" s="75"/>
      <c r="J934" s="76"/>
      <c r="K934" s="76"/>
      <c r="L934" s="75"/>
      <c r="M934" s="49"/>
      <c r="N934" s="76"/>
      <c r="O934" s="49"/>
      <c r="P934" s="77"/>
      <c r="Q934" s="53"/>
      <c r="R934" s="54"/>
      <c r="S934" s="55"/>
      <c r="T934" s="56"/>
      <c r="U934" s="56"/>
      <c r="V934" s="42"/>
      <c r="W934" s="57"/>
      <c r="X934" s="58"/>
      <c r="Y934" s="75"/>
      <c r="Z934" s="59"/>
      <c r="AA934" s="61"/>
      <c r="AB934" s="61"/>
      <c r="AC934" s="61"/>
      <c r="AD934" s="62"/>
      <c r="AE934" s="62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</row>
    <row r="935" spans="1:77" x14ac:dyDescent="0.3">
      <c r="A935" s="39"/>
      <c r="B935" s="42"/>
      <c r="C935" s="42"/>
      <c r="D935" s="75"/>
      <c r="E935" s="75"/>
      <c r="F935" s="76"/>
      <c r="G935" s="47"/>
      <c r="H935" s="47"/>
      <c r="I935" s="75"/>
      <c r="J935" s="76"/>
      <c r="K935" s="76"/>
      <c r="L935" s="75"/>
      <c r="M935" s="49"/>
      <c r="N935" s="76"/>
      <c r="O935" s="49"/>
      <c r="P935" s="77"/>
      <c r="Q935" s="53"/>
      <c r="R935" s="54"/>
      <c r="S935" s="55"/>
      <c r="T935" s="56"/>
      <c r="U935" s="56"/>
      <c r="V935" s="42"/>
      <c r="W935" s="57"/>
      <c r="X935" s="58"/>
      <c r="Y935" s="75"/>
      <c r="Z935" s="59"/>
      <c r="AA935" s="61"/>
      <c r="AB935" s="61"/>
      <c r="AC935" s="61"/>
      <c r="AD935" s="62"/>
      <c r="AE935" s="62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</row>
    <row r="936" spans="1:77" x14ac:dyDescent="0.3">
      <c r="A936" s="39"/>
      <c r="B936" s="42"/>
      <c r="C936" s="42"/>
      <c r="D936" s="75"/>
      <c r="E936" s="75"/>
      <c r="F936" s="76"/>
      <c r="G936" s="47"/>
      <c r="H936" s="47"/>
      <c r="I936" s="75"/>
      <c r="J936" s="76"/>
      <c r="K936" s="76"/>
      <c r="L936" s="75"/>
      <c r="M936" s="49"/>
      <c r="N936" s="76"/>
      <c r="O936" s="49"/>
      <c r="P936" s="77"/>
      <c r="Q936" s="53"/>
      <c r="R936" s="54"/>
      <c r="S936" s="55"/>
      <c r="T936" s="56"/>
      <c r="U936" s="56"/>
      <c r="V936" s="42"/>
      <c r="W936" s="57"/>
      <c r="X936" s="58"/>
      <c r="Y936" s="75"/>
      <c r="Z936" s="59"/>
      <c r="AA936" s="61"/>
      <c r="AB936" s="61"/>
      <c r="AC936" s="61"/>
      <c r="AD936" s="62"/>
      <c r="AE936" s="62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</row>
    <row r="937" spans="1:77" x14ac:dyDescent="0.3">
      <c r="A937" s="39"/>
      <c r="B937" s="42"/>
      <c r="C937" s="42"/>
      <c r="D937" s="75"/>
      <c r="E937" s="75"/>
      <c r="F937" s="76"/>
      <c r="G937" s="47"/>
      <c r="H937" s="47"/>
      <c r="I937" s="75"/>
      <c r="J937" s="76"/>
      <c r="K937" s="76"/>
      <c r="L937" s="75"/>
      <c r="M937" s="49"/>
      <c r="N937" s="76"/>
      <c r="O937" s="49"/>
      <c r="P937" s="77"/>
      <c r="Q937" s="53"/>
      <c r="R937" s="54"/>
      <c r="S937" s="55"/>
      <c r="T937" s="56"/>
      <c r="U937" s="56"/>
      <c r="V937" s="42"/>
      <c r="W937" s="57"/>
      <c r="X937" s="58"/>
      <c r="Y937" s="75"/>
      <c r="Z937" s="59"/>
      <c r="AA937" s="61"/>
      <c r="AB937" s="61"/>
      <c r="AC937" s="61"/>
      <c r="AD937" s="62"/>
      <c r="AE937" s="62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</row>
    <row r="938" spans="1:77" x14ac:dyDescent="0.3">
      <c r="A938" s="39"/>
      <c r="B938" s="42"/>
      <c r="C938" s="42"/>
      <c r="D938" s="75"/>
      <c r="E938" s="75"/>
      <c r="F938" s="76"/>
      <c r="G938" s="47"/>
      <c r="H938" s="47"/>
      <c r="I938" s="75"/>
      <c r="J938" s="76"/>
      <c r="K938" s="76"/>
      <c r="L938" s="75"/>
      <c r="M938" s="49"/>
      <c r="N938" s="76"/>
      <c r="O938" s="49"/>
      <c r="P938" s="77"/>
      <c r="Q938" s="53"/>
      <c r="R938" s="54"/>
      <c r="S938" s="55"/>
      <c r="T938" s="56"/>
      <c r="U938" s="56"/>
      <c r="V938" s="42"/>
      <c r="W938" s="57"/>
      <c r="X938" s="58"/>
      <c r="Y938" s="75"/>
      <c r="Z938" s="59"/>
      <c r="AA938" s="61"/>
      <c r="AB938" s="61"/>
      <c r="AC938" s="61"/>
      <c r="AD938" s="62"/>
      <c r="AE938" s="62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</row>
    <row r="939" spans="1:77" x14ac:dyDescent="0.3">
      <c r="A939" s="39"/>
      <c r="B939" s="42"/>
      <c r="C939" s="42"/>
      <c r="D939" s="75"/>
      <c r="E939" s="75"/>
      <c r="F939" s="76"/>
      <c r="G939" s="47"/>
      <c r="H939" s="47"/>
      <c r="I939" s="75"/>
      <c r="J939" s="76"/>
      <c r="K939" s="76"/>
      <c r="L939" s="75"/>
      <c r="M939" s="49"/>
      <c r="N939" s="76"/>
      <c r="O939" s="49"/>
      <c r="P939" s="77"/>
      <c r="Q939" s="53"/>
      <c r="R939" s="54"/>
      <c r="S939" s="55"/>
      <c r="T939" s="56"/>
      <c r="U939" s="56"/>
      <c r="V939" s="42"/>
      <c r="W939" s="57"/>
      <c r="X939" s="58"/>
      <c r="Y939" s="75"/>
      <c r="Z939" s="59"/>
      <c r="AA939" s="61"/>
      <c r="AB939" s="61"/>
      <c r="AC939" s="61"/>
      <c r="AD939" s="62"/>
      <c r="AE939" s="62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</row>
    <row r="940" spans="1:77" x14ac:dyDescent="0.3">
      <c r="A940" s="39"/>
      <c r="B940" s="42"/>
      <c r="C940" s="42"/>
      <c r="D940" s="75"/>
      <c r="E940" s="75"/>
      <c r="F940" s="76"/>
      <c r="G940" s="47"/>
      <c r="H940" s="47"/>
      <c r="I940" s="75"/>
      <c r="J940" s="76"/>
      <c r="K940" s="76"/>
      <c r="L940" s="75"/>
      <c r="M940" s="49"/>
      <c r="N940" s="76"/>
      <c r="O940" s="49"/>
      <c r="P940" s="77"/>
      <c r="Q940" s="53"/>
      <c r="R940" s="54"/>
      <c r="S940" s="55"/>
      <c r="T940" s="56"/>
      <c r="U940" s="56"/>
      <c r="V940" s="42"/>
      <c r="W940" s="57"/>
      <c r="X940" s="58"/>
      <c r="Y940" s="75"/>
      <c r="Z940" s="59"/>
      <c r="AA940" s="61"/>
      <c r="AB940" s="61"/>
      <c r="AC940" s="61"/>
      <c r="AD940" s="62"/>
      <c r="AE940" s="62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</row>
    <row r="941" spans="1:77" x14ac:dyDescent="0.3">
      <c r="A941" s="39"/>
      <c r="B941" s="42"/>
      <c r="C941" s="42"/>
      <c r="D941" s="75"/>
      <c r="E941" s="75"/>
      <c r="F941" s="76"/>
      <c r="G941" s="47"/>
      <c r="H941" s="47"/>
      <c r="I941" s="75"/>
      <c r="J941" s="76"/>
      <c r="K941" s="76"/>
      <c r="L941" s="75"/>
      <c r="M941" s="49"/>
      <c r="N941" s="76"/>
      <c r="O941" s="49"/>
      <c r="P941" s="77"/>
      <c r="Q941" s="53"/>
      <c r="R941" s="54"/>
      <c r="S941" s="55"/>
      <c r="T941" s="56"/>
      <c r="U941" s="56"/>
      <c r="V941" s="42"/>
      <c r="W941" s="57"/>
      <c r="X941" s="58"/>
      <c r="Y941" s="75"/>
      <c r="Z941" s="59"/>
      <c r="AA941" s="61"/>
      <c r="AB941" s="61"/>
      <c r="AC941" s="61"/>
      <c r="AD941" s="62"/>
      <c r="AE941" s="62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</row>
    <row r="942" spans="1:77" x14ac:dyDescent="0.3">
      <c r="A942" s="39"/>
      <c r="B942" s="42"/>
      <c r="C942" s="42"/>
      <c r="D942" s="75"/>
      <c r="E942" s="75"/>
      <c r="F942" s="76"/>
      <c r="G942" s="47"/>
      <c r="H942" s="47"/>
      <c r="I942" s="75"/>
      <c r="J942" s="76"/>
      <c r="K942" s="76"/>
      <c r="L942" s="75"/>
      <c r="M942" s="49"/>
      <c r="N942" s="76"/>
      <c r="O942" s="49"/>
      <c r="P942" s="77"/>
      <c r="Q942" s="53"/>
      <c r="R942" s="54"/>
      <c r="S942" s="55"/>
      <c r="T942" s="56"/>
      <c r="U942" s="56"/>
      <c r="V942" s="42"/>
      <c r="W942" s="57"/>
      <c r="X942" s="58"/>
      <c r="Y942" s="75"/>
      <c r="Z942" s="59"/>
      <c r="AA942" s="61"/>
      <c r="AB942" s="61"/>
      <c r="AC942" s="61"/>
      <c r="AD942" s="62"/>
      <c r="AE942" s="62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</row>
    <row r="943" spans="1:77" x14ac:dyDescent="0.3">
      <c r="A943" s="39"/>
      <c r="B943" s="42"/>
      <c r="C943" s="42"/>
      <c r="D943" s="75"/>
      <c r="E943" s="75"/>
      <c r="F943" s="76"/>
      <c r="G943" s="47"/>
      <c r="H943" s="47"/>
      <c r="I943" s="75"/>
      <c r="J943" s="76"/>
      <c r="K943" s="76"/>
      <c r="L943" s="75"/>
      <c r="M943" s="49"/>
      <c r="N943" s="76"/>
      <c r="O943" s="49"/>
      <c r="P943" s="77"/>
      <c r="Q943" s="53"/>
      <c r="R943" s="54"/>
      <c r="S943" s="55"/>
      <c r="T943" s="56"/>
      <c r="U943" s="56"/>
      <c r="V943" s="42"/>
      <c r="W943" s="57"/>
      <c r="X943" s="58"/>
      <c r="Y943" s="75"/>
      <c r="Z943" s="59"/>
      <c r="AA943" s="61"/>
      <c r="AB943" s="61"/>
      <c r="AC943" s="61"/>
      <c r="AD943" s="62"/>
      <c r="AE943" s="62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</row>
    <row r="944" spans="1:77" x14ac:dyDescent="0.3">
      <c r="A944" s="39"/>
      <c r="B944" s="42"/>
      <c r="C944" s="42"/>
      <c r="D944" s="75"/>
      <c r="E944" s="75"/>
      <c r="F944" s="76"/>
      <c r="G944" s="47"/>
      <c r="H944" s="47"/>
      <c r="I944" s="75"/>
      <c r="J944" s="76"/>
      <c r="K944" s="76"/>
      <c r="L944" s="75"/>
      <c r="M944" s="49"/>
      <c r="N944" s="76"/>
      <c r="O944" s="49"/>
      <c r="P944" s="77"/>
      <c r="Q944" s="53"/>
      <c r="R944" s="54"/>
      <c r="S944" s="55"/>
      <c r="T944" s="56"/>
      <c r="U944" s="56"/>
      <c r="V944" s="42"/>
      <c r="W944" s="57"/>
      <c r="X944" s="58"/>
      <c r="Y944" s="75"/>
      <c r="Z944" s="59"/>
      <c r="AA944" s="61"/>
      <c r="AB944" s="61"/>
      <c r="AC944" s="61"/>
      <c r="AD944" s="62"/>
      <c r="AE944" s="62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</row>
    <row r="945" spans="1:77" x14ac:dyDescent="0.3">
      <c r="A945" s="39"/>
      <c r="B945" s="42"/>
      <c r="C945" s="42"/>
      <c r="D945" s="75"/>
      <c r="E945" s="75"/>
      <c r="F945" s="76"/>
      <c r="G945" s="47"/>
      <c r="H945" s="47"/>
      <c r="I945" s="75"/>
      <c r="J945" s="76"/>
      <c r="K945" s="76"/>
      <c r="L945" s="75"/>
      <c r="M945" s="49"/>
      <c r="N945" s="76"/>
      <c r="O945" s="49"/>
      <c r="P945" s="77"/>
      <c r="Q945" s="53"/>
      <c r="R945" s="54"/>
      <c r="S945" s="55"/>
      <c r="T945" s="56"/>
      <c r="U945" s="56"/>
      <c r="V945" s="42"/>
      <c r="W945" s="57"/>
      <c r="X945" s="58"/>
      <c r="Y945" s="75"/>
      <c r="Z945" s="59"/>
      <c r="AA945" s="61"/>
      <c r="AB945" s="61"/>
      <c r="AC945" s="61"/>
      <c r="AD945" s="62"/>
      <c r="AE945" s="62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</row>
    <row r="946" spans="1:77" x14ac:dyDescent="0.3">
      <c r="A946" s="39"/>
      <c r="B946" s="42"/>
      <c r="C946" s="42"/>
      <c r="D946" s="75"/>
      <c r="E946" s="75"/>
      <c r="F946" s="76"/>
      <c r="G946" s="47"/>
      <c r="H946" s="47"/>
      <c r="I946" s="75"/>
      <c r="J946" s="76"/>
      <c r="K946" s="76"/>
      <c r="L946" s="75"/>
      <c r="M946" s="49"/>
      <c r="N946" s="76"/>
      <c r="O946" s="49"/>
      <c r="P946" s="77"/>
      <c r="Q946" s="53"/>
      <c r="R946" s="54"/>
      <c r="S946" s="55"/>
      <c r="T946" s="56"/>
      <c r="U946" s="56"/>
      <c r="V946" s="42"/>
      <c r="W946" s="57"/>
      <c r="X946" s="58"/>
      <c r="Y946" s="75"/>
      <c r="Z946" s="59"/>
      <c r="AA946" s="61"/>
      <c r="AB946" s="61"/>
      <c r="AC946" s="61"/>
      <c r="AD946" s="62"/>
      <c r="AE946" s="62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</row>
    <row r="947" spans="1:77" x14ac:dyDescent="0.3">
      <c r="A947" s="39"/>
      <c r="B947" s="42"/>
      <c r="C947" s="42"/>
      <c r="D947" s="75"/>
      <c r="E947" s="75"/>
      <c r="F947" s="76"/>
      <c r="G947" s="47"/>
      <c r="H947" s="47"/>
      <c r="I947" s="75"/>
      <c r="J947" s="76"/>
      <c r="K947" s="76"/>
      <c r="L947" s="75"/>
      <c r="M947" s="49"/>
      <c r="N947" s="76"/>
      <c r="O947" s="49"/>
      <c r="P947" s="77"/>
      <c r="Q947" s="53"/>
      <c r="R947" s="54"/>
      <c r="S947" s="55"/>
      <c r="T947" s="56"/>
      <c r="U947" s="56"/>
      <c r="V947" s="42"/>
      <c r="W947" s="57"/>
      <c r="X947" s="58"/>
      <c r="Y947" s="75"/>
      <c r="Z947" s="59"/>
      <c r="AA947" s="61"/>
      <c r="AB947" s="61"/>
      <c r="AC947" s="61"/>
      <c r="AD947" s="62"/>
      <c r="AE947" s="62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</row>
    <row r="948" spans="1:77" x14ac:dyDescent="0.3">
      <c r="A948" s="39"/>
      <c r="B948" s="42"/>
      <c r="C948" s="42"/>
      <c r="D948" s="75"/>
      <c r="E948" s="75"/>
      <c r="F948" s="76"/>
      <c r="G948" s="47"/>
      <c r="H948" s="47"/>
      <c r="I948" s="75"/>
      <c r="J948" s="76"/>
      <c r="K948" s="76"/>
      <c r="L948" s="75"/>
      <c r="M948" s="49"/>
      <c r="N948" s="76"/>
      <c r="O948" s="49"/>
      <c r="P948" s="77"/>
      <c r="Q948" s="53"/>
      <c r="R948" s="54"/>
      <c r="S948" s="55"/>
      <c r="T948" s="56"/>
      <c r="U948" s="56"/>
      <c r="V948" s="42"/>
      <c r="W948" s="57"/>
      <c r="X948" s="58"/>
      <c r="Y948" s="75"/>
      <c r="Z948" s="59"/>
      <c r="AA948" s="61"/>
      <c r="AB948" s="61"/>
      <c r="AC948" s="61"/>
      <c r="AD948" s="62"/>
      <c r="AE948" s="62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</row>
    <row r="949" spans="1:77" x14ac:dyDescent="0.3">
      <c r="A949" s="39"/>
      <c r="B949" s="42"/>
      <c r="C949" s="42"/>
      <c r="D949" s="75"/>
      <c r="E949" s="75"/>
      <c r="F949" s="76"/>
      <c r="G949" s="47"/>
      <c r="H949" s="47"/>
      <c r="I949" s="75"/>
      <c r="J949" s="76"/>
      <c r="K949" s="76"/>
      <c r="L949" s="75"/>
      <c r="M949" s="49"/>
      <c r="N949" s="76"/>
      <c r="O949" s="49"/>
      <c r="P949" s="77"/>
      <c r="Q949" s="53"/>
      <c r="R949" s="54"/>
      <c r="S949" s="55"/>
      <c r="T949" s="56"/>
      <c r="U949" s="56"/>
      <c r="V949" s="42"/>
      <c r="W949" s="57"/>
      <c r="X949" s="58"/>
      <c r="Y949" s="75"/>
      <c r="Z949" s="59"/>
      <c r="AA949" s="61"/>
      <c r="AB949" s="61"/>
      <c r="AC949" s="61"/>
      <c r="AD949" s="62"/>
      <c r="AE949" s="62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</row>
    <row r="950" spans="1:77" x14ac:dyDescent="0.3">
      <c r="A950" s="39"/>
      <c r="B950" s="42"/>
      <c r="C950" s="42"/>
      <c r="D950" s="75"/>
      <c r="E950" s="75"/>
      <c r="F950" s="76"/>
      <c r="G950" s="47"/>
      <c r="H950" s="47"/>
      <c r="I950" s="75"/>
      <c r="J950" s="76"/>
      <c r="K950" s="76"/>
      <c r="L950" s="75"/>
      <c r="M950" s="49"/>
      <c r="N950" s="76"/>
      <c r="O950" s="49"/>
      <c r="P950" s="77"/>
      <c r="Q950" s="53"/>
      <c r="R950" s="54"/>
      <c r="S950" s="55"/>
      <c r="T950" s="56"/>
      <c r="U950" s="56"/>
      <c r="V950" s="42"/>
      <c r="W950" s="57"/>
      <c r="X950" s="58"/>
      <c r="Y950" s="75"/>
      <c r="Z950" s="59"/>
      <c r="AA950" s="61"/>
      <c r="AB950" s="61"/>
      <c r="AC950" s="61"/>
      <c r="AD950" s="62"/>
      <c r="AE950" s="62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</row>
    <row r="951" spans="1:77" x14ac:dyDescent="0.3">
      <c r="A951" s="39"/>
      <c r="B951" s="42"/>
      <c r="C951" s="42"/>
      <c r="D951" s="75"/>
      <c r="E951" s="75"/>
      <c r="F951" s="76"/>
      <c r="G951" s="47"/>
      <c r="H951" s="47"/>
      <c r="I951" s="75"/>
      <c r="J951" s="76"/>
      <c r="K951" s="76"/>
      <c r="L951" s="75"/>
      <c r="M951" s="49"/>
      <c r="N951" s="76"/>
      <c r="O951" s="49"/>
      <c r="P951" s="77"/>
      <c r="Q951" s="53"/>
      <c r="R951" s="54"/>
      <c r="S951" s="55"/>
      <c r="T951" s="56"/>
      <c r="U951" s="56"/>
      <c r="V951" s="42"/>
      <c r="W951" s="57"/>
      <c r="X951" s="58"/>
      <c r="Y951" s="75"/>
      <c r="Z951" s="59"/>
      <c r="AA951" s="61"/>
      <c r="AB951" s="61"/>
      <c r="AC951" s="61"/>
      <c r="AD951" s="62"/>
      <c r="AE951" s="62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</row>
    <row r="952" spans="1:77" x14ac:dyDescent="0.3">
      <c r="A952" s="39"/>
      <c r="B952" s="42"/>
      <c r="C952" s="42"/>
      <c r="D952" s="75"/>
      <c r="E952" s="75"/>
      <c r="F952" s="76"/>
      <c r="G952" s="47"/>
      <c r="H952" s="47"/>
      <c r="I952" s="75"/>
      <c r="J952" s="76"/>
      <c r="K952" s="76"/>
      <c r="L952" s="75"/>
      <c r="M952" s="49"/>
      <c r="N952" s="76"/>
      <c r="O952" s="49"/>
      <c r="P952" s="77"/>
      <c r="Q952" s="53"/>
      <c r="R952" s="54"/>
      <c r="S952" s="55"/>
      <c r="T952" s="56"/>
      <c r="U952" s="56"/>
      <c r="V952" s="42"/>
      <c r="W952" s="57"/>
      <c r="X952" s="58"/>
      <c r="Y952" s="75"/>
      <c r="Z952" s="59"/>
      <c r="AA952" s="61"/>
      <c r="AB952" s="61"/>
      <c r="AC952" s="61"/>
      <c r="AD952" s="62"/>
      <c r="AE952" s="62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</row>
    <row r="953" spans="1:77" x14ac:dyDescent="0.3">
      <c r="A953" s="39"/>
      <c r="B953" s="42"/>
      <c r="C953" s="42"/>
      <c r="D953" s="75"/>
      <c r="E953" s="75"/>
      <c r="F953" s="76"/>
      <c r="G953" s="47"/>
      <c r="H953" s="47"/>
      <c r="I953" s="75"/>
      <c r="J953" s="76"/>
      <c r="K953" s="76"/>
      <c r="L953" s="75"/>
      <c r="M953" s="49"/>
      <c r="N953" s="76"/>
      <c r="O953" s="49"/>
      <c r="P953" s="77"/>
      <c r="Q953" s="53"/>
      <c r="R953" s="54"/>
      <c r="S953" s="55"/>
      <c r="T953" s="56"/>
      <c r="U953" s="56"/>
      <c r="V953" s="42"/>
      <c r="W953" s="57"/>
      <c r="X953" s="58"/>
      <c r="Y953" s="75"/>
      <c r="Z953" s="59"/>
      <c r="AA953" s="61"/>
      <c r="AB953" s="61"/>
      <c r="AC953" s="61"/>
      <c r="AD953" s="62"/>
      <c r="AE953" s="62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</row>
    <row r="954" spans="1:77" x14ac:dyDescent="0.3">
      <c r="A954" s="39"/>
      <c r="B954" s="42"/>
      <c r="C954" s="42"/>
      <c r="D954" s="75"/>
      <c r="E954" s="75"/>
      <c r="F954" s="76"/>
      <c r="G954" s="47"/>
      <c r="H954" s="47"/>
      <c r="I954" s="75"/>
      <c r="J954" s="76"/>
      <c r="K954" s="76"/>
      <c r="L954" s="75"/>
      <c r="M954" s="49"/>
      <c r="N954" s="76"/>
      <c r="O954" s="49"/>
      <c r="P954" s="77"/>
      <c r="Q954" s="53"/>
      <c r="R954" s="54"/>
      <c r="S954" s="55"/>
      <c r="T954" s="56"/>
      <c r="U954" s="56"/>
      <c r="V954" s="42"/>
      <c r="W954" s="57"/>
      <c r="X954" s="58"/>
      <c r="Y954" s="75"/>
      <c r="Z954" s="59"/>
      <c r="AA954" s="61"/>
      <c r="AB954" s="61"/>
      <c r="AC954" s="61"/>
      <c r="AD954" s="62"/>
      <c r="AE954" s="62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</row>
    <row r="955" spans="1:77" x14ac:dyDescent="0.3">
      <c r="A955" s="39"/>
      <c r="B955" s="42"/>
      <c r="C955" s="42"/>
      <c r="D955" s="75"/>
      <c r="E955" s="75"/>
      <c r="F955" s="76"/>
      <c r="G955" s="47"/>
      <c r="H955" s="47"/>
      <c r="I955" s="75"/>
      <c r="J955" s="76"/>
      <c r="K955" s="76"/>
      <c r="L955" s="75"/>
      <c r="M955" s="49"/>
      <c r="N955" s="76"/>
      <c r="O955" s="49"/>
      <c r="P955" s="77"/>
      <c r="Q955" s="53"/>
      <c r="R955" s="54"/>
      <c r="S955" s="55"/>
      <c r="T955" s="56"/>
      <c r="U955" s="56"/>
      <c r="V955" s="42"/>
      <c r="W955" s="57"/>
      <c r="X955" s="58"/>
      <c r="Y955" s="75"/>
      <c r="Z955" s="59"/>
      <c r="AA955" s="61"/>
      <c r="AB955" s="61"/>
      <c r="AC955" s="61"/>
      <c r="AD955" s="62"/>
      <c r="AE955" s="62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</row>
    <row r="956" spans="1:77" x14ac:dyDescent="0.3">
      <c r="A956" s="39"/>
      <c r="B956" s="42"/>
      <c r="C956" s="42"/>
      <c r="D956" s="75"/>
      <c r="E956" s="75"/>
      <c r="F956" s="76"/>
      <c r="G956" s="47"/>
      <c r="H956" s="47"/>
      <c r="I956" s="75"/>
      <c r="J956" s="76"/>
      <c r="K956" s="76"/>
      <c r="L956" s="75"/>
      <c r="M956" s="49"/>
      <c r="N956" s="76"/>
      <c r="O956" s="49"/>
      <c r="P956" s="77"/>
      <c r="Q956" s="53"/>
      <c r="R956" s="54"/>
      <c r="S956" s="55"/>
      <c r="T956" s="56"/>
      <c r="U956" s="56"/>
      <c r="V956" s="42"/>
      <c r="W956" s="57"/>
      <c r="X956" s="58"/>
      <c r="Y956" s="75"/>
      <c r="Z956" s="59"/>
      <c r="AA956" s="61"/>
      <c r="AB956" s="61"/>
      <c r="AC956" s="61"/>
      <c r="AD956" s="62"/>
      <c r="AE956" s="62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</row>
    <row r="957" spans="1:77" x14ac:dyDescent="0.3">
      <c r="A957" s="39"/>
      <c r="B957" s="42"/>
      <c r="C957" s="42"/>
      <c r="D957" s="75"/>
      <c r="E957" s="75"/>
      <c r="F957" s="76"/>
      <c r="G957" s="47"/>
      <c r="H957" s="47"/>
      <c r="I957" s="75"/>
      <c r="J957" s="76"/>
      <c r="K957" s="76"/>
      <c r="L957" s="75"/>
      <c r="M957" s="49"/>
      <c r="N957" s="76"/>
      <c r="O957" s="49"/>
      <c r="P957" s="77"/>
      <c r="Q957" s="53"/>
      <c r="R957" s="54"/>
      <c r="S957" s="55"/>
      <c r="T957" s="56"/>
      <c r="U957" s="56"/>
      <c r="V957" s="42"/>
      <c r="W957" s="57"/>
      <c r="X957" s="58"/>
      <c r="Y957" s="75"/>
      <c r="Z957" s="59"/>
      <c r="AA957" s="61"/>
      <c r="AB957" s="61"/>
      <c r="AC957" s="61"/>
      <c r="AD957" s="62"/>
      <c r="AE957" s="62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</row>
    <row r="958" spans="1:77" x14ac:dyDescent="0.3">
      <c r="A958" s="39"/>
      <c r="B958" s="42"/>
      <c r="C958" s="42"/>
      <c r="D958" s="75"/>
      <c r="E958" s="75"/>
      <c r="F958" s="76"/>
      <c r="G958" s="47"/>
      <c r="H958" s="47"/>
      <c r="I958" s="75"/>
      <c r="J958" s="76"/>
      <c r="K958" s="76"/>
      <c r="L958" s="75"/>
      <c r="M958" s="49"/>
      <c r="N958" s="76"/>
      <c r="O958" s="49"/>
      <c r="P958" s="77"/>
      <c r="Q958" s="53"/>
      <c r="R958" s="54"/>
      <c r="S958" s="55"/>
      <c r="T958" s="56"/>
      <c r="U958" s="56"/>
      <c r="V958" s="42"/>
      <c r="W958" s="57"/>
      <c r="X958" s="58"/>
      <c r="Y958" s="75"/>
      <c r="Z958" s="59"/>
      <c r="AA958" s="61"/>
      <c r="AB958" s="61"/>
      <c r="AC958" s="61"/>
      <c r="AD958" s="62"/>
      <c r="AE958" s="62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</row>
    <row r="959" spans="1:77" x14ac:dyDescent="0.3">
      <c r="A959" s="39"/>
      <c r="B959" s="42"/>
      <c r="C959" s="42"/>
      <c r="D959" s="75"/>
      <c r="E959" s="75"/>
      <c r="F959" s="76"/>
      <c r="G959" s="47"/>
      <c r="H959" s="47"/>
      <c r="I959" s="75"/>
      <c r="J959" s="76"/>
      <c r="K959" s="76"/>
      <c r="L959" s="75"/>
      <c r="M959" s="49"/>
      <c r="N959" s="76"/>
      <c r="O959" s="49"/>
      <c r="P959" s="77"/>
      <c r="Q959" s="53"/>
      <c r="R959" s="54"/>
      <c r="S959" s="55"/>
      <c r="T959" s="56"/>
      <c r="U959" s="56"/>
      <c r="V959" s="42"/>
      <c r="W959" s="57"/>
      <c r="X959" s="58"/>
      <c r="Y959" s="75"/>
      <c r="Z959" s="59"/>
      <c r="AA959" s="61"/>
      <c r="AB959" s="61"/>
      <c r="AC959" s="61"/>
      <c r="AD959" s="62"/>
      <c r="AE959" s="62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</row>
    <row r="960" spans="1:77" x14ac:dyDescent="0.3">
      <c r="A960" s="39"/>
      <c r="B960" s="42"/>
      <c r="C960" s="42"/>
      <c r="D960" s="75"/>
      <c r="E960" s="75"/>
      <c r="F960" s="76"/>
      <c r="G960" s="47"/>
      <c r="H960" s="47"/>
      <c r="I960" s="75"/>
      <c r="J960" s="76"/>
      <c r="K960" s="76"/>
      <c r="L960" s="75"/>
      <c r="M960" s="49"/>
      <c r="N960" s="76"/>
      <c r="O960" s="49"/>
      <c r="P960" s="77"/>
      <c r="Q960" s="53"/>
      <c r="R960" s="54"/>
      <c r="S960" s="55"/>
      <c r="T960" s="56"/>
      <c r="U960" s="56"/>
      <c r="V960" s="42"/>
      <c r="W960" s="57"/>
      <c r="X960" s="58"/>
      <c r="Y960" s="75"/>
      <c r="Z960" s="59"/>
      <c r="AA960" s="61"/>
      <c r="AB960" s="61"/>
      <c r="AC960" s="61"/>
      <c r="AD960" s="62"/>
      <c r="AE960" s="62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</row>
    <row r="961" spans="1:77" x14ac:dyDescent="0.3">
      <c r="A961" s="39"/>
      <c r="B961" s="42"/>
      <c r="C961" s="42"/>
      <c r="D961" s="75"/>
      <c r="E961" s="75"/>
      <c r="F961" s="76"/>
      <c r="G961" s="47"/>
      <c r="H961" s="47"/>
      <c r="I961" s="75"/>
      <c r="J961" s="76"/>
      <c r="K961" s="76"/>
      <c r="L961" s="75"/>
      <c r="M961" s="49"/>
      <c r="N961" s="76"/>
      <c r="O961" s="49"/>
      <c r="P961" s="77"/>
      <c r="Q961" s="53"/>
      <c r="R961" s="54"/>
      <c r="S961" s="55"/>
      <c r="T961" s="56"/>
      <c r="U961" s="56"/>
      <c r="V961" s="42"/>
      <c r="W961" s="57"/>
      <c r="X961" s="58"/>
      <c r="Y961" s="75"/>
      <c r="Z961" s="59"/>
      <c r="AA961" s="61"/>
      <c r="AB961" s="61"/>
      <c r="AC961" s="61"/>
      <c r="AD961" s="62"/>
      <c r="AE961" s="62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</row>
    <row r="962" spans="1:77" x14ac:dyDescent="0.3">
      <c r="A962" s="39"/>
      <c r="B962" s="42"/>
      <c r="C962" s="42"/>
      <c r="D962" s="75"/>
      <c r="E962" s="75"/>
      <c r="F962" s="76"/>
      <c r="G962" s="47"/>
      <c r="H962" s="47"/>
      <c r="I962" s="75"/>
      <c r="J962" s="76"/>
      <c r="K962" s="76"/>
      <c r="L962" s="75"/>
      <c r="M962" s="49"/>
      <c r="N962" s="76"/>
      <c r="O962" s="49"/>
      <c r="P962" s="77"/>
      <c r="Q962" s="53"/>
      <c r="R962" s="54"/>
      <c r="S962" s="55"/>
      <c r="T962" s="56"/>
      <c r="U962" s="56"/>
      <c r="V962" s="42"/>
      <c r="W962" s="57"/>
      <c r="X962" s="58"/>
      <c r="Y962" s="75"/>
      <c r="Z962" s="59"/>
      <c r="AA962" s="61"/>
      <c r="AB962" s="61"/>
      <c r="AC962" s="61"/>
      <c r="AD962" s="62"/>
      <c r="AE962" s="62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</row>
    <row r="963" spans="1:77" x14ac:dyDescent="0.3">
      <c r="A963" s="39"/>
      <c r="B963" s="42"/>
      <c r="C963" s="42"/>
      <c r="D963" s="75"/>
      <c r="E963" s="75"/>
      <c r="F963" s="76"/>
      <c r="G963" s="47"/>
      <c r="H963" s="47"/>
      <c r="I963" s="75"/>
      <c r="J963" s="76"/>
      <c r="K963" s="76"/>
      <c r="L963" s="75"/>
      <c r="M963" s="49"/>
      <c r="N963" s="76"/>
      <c r="O963" s="49"/>
      <c r="P963" s="77"/>
      <c r="Q963" s="53"/>
      <c r="R963" s="54"/>
      <c r="S963" s="55"/>
      <c r="T963" s="56"/>
      <c r="U963" s="56"/>
      <c r="V963" s="42"/>
      <c r="W963" s="57"/>
      <c r="X963" s="58"/>
      <c r="Y963" s="75"/>
      <c r="Z963" s="59"/>
      <c r="AA963" s="61"/>
      <c r="AB963" s="61"/>
      <c r="AC963" s="61"/>
      <c r="AD963" s="62"/>
      <c r="AE963" s="62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</row>
    <row r="964" spans="1:77" x14ac:dyDescent="0.3">
      <c r="A964" s="39"/>
      <c r="B964" s="42"/>
      <c r="C964" s="42"/>
      <c r="D964" s="75"/>
      <c r="E964" s="75"/>
      <c r="F964" s="76"/>
      <c r="G964" s="47"/>
      <c r="H964" s="47"/>
      <c r="I964" s="75"/>
      <c r="J964" s="76"/>
      <c r="K964" s="76"/>
      <c r="L964" s="75"/>
      <c r="M964" s="49"/>
      <c r="N964" s="76"/>
      <c r="O964" s="49"/>
      <c r="P964" s="77"/>
      <c r="Q964" s="53"/>
      <c r="R964" s="54"/>
      <c r="S964" s="55"/>
      <c r="T964" s="56"/>
      <c r="U964" s="56"/>
      <c r="V964" s="42"/>
      <c r="W964" s="57"/>
      <c r="X964" s="58"/>
      <c r="Y964" s="75"/>
      <c r="Z964" s="59"/>
      <c r="AA964" s="61"/>
      <c r="AB964" s="61"/>
      <c r="AC964" s="61"/>
      <c r="AD964" s="62"/>
      <c r="AE964" s="62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</row>
    <row r="965" spans="1:77" x14ac:dyDescent="0.3">
      <c r="A965" s="39"/>
      <c r="B965" s="42"/>
      <c r="C965" s="42"/>
      <c r="D965" s="75"/>
      <c r="E965" s="75"/>
      <c r="F965" s="76"/>
      <c r="G965" s="47"/>
      <c r="H965" s="47"/>
      <c r="I965" s="75"/>
      <c r="J965" s="76"/>
      <c r="K965" s="76"/>
      <c r="L965" s="75"/>
      <c r="M965" s="49"/>
      <c r="N965" s="76"/>
      <c r="O965" s="49"/>
      <c r="P965" s="77"/>
      <c r="Q965" s="53"/>
      <c r="R965" s="54"/>
      <c r="S965" s="55"/>
      <c r="T965" s="56"/>
      <c r="U965" s="56"/>
      <c r="V965" s="42"/>
      <c r="W965" s="57"/>
      <c r="X965" s="58"/>
      <c r="Y965" s="75"/>
      <c r="Z965" s="59"/>
      <c r="AA965" s="61"/>
      <c r="AB965" s="61"/>
      <c r="AC965" s="61"/>
      <c r="AD965" s="62"/>
      <c r="AE965" s="62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</row>
    <row r="966" spans="1:77" x14ac:dyDescent="0.3">
      <c r="A966" s="39"/>
      <c r="B966" s="42"/>
      <c r="C966" s="42"/>
      <c r="D966" s="75"/>
      <c r="E966" s="75"/>
      <c r="F966" s="76"/>
      <c r="G966" s="47"/>
      <c r="H966" s="47"/>
      <c r="I966" s="75"/>
      <c r="J966" s="76"/>
      <c r="K966" s="76"/>
      <c r="L966" s="75"/>
      <c r="M966" s="49"/>
      <c r="N966" s="76"/>
      <c r="O966" s="49"/>
      <c r="P966" s="77"/>
      <c r="Q966" s="53"/>
      <c r="R966" s="54"/>
      <c r="S966" s="55"/>
      <c r="T966" s="56"/>
      <c r="U966" s="56"/>
      <c r="V966" s="42"/>
      <c r="W966" s="57"/>
      <c r="X966" s="58"/>
      <c r="Y966" s="75"/>
      <c r="Z966" s="59"/>
      <c r="AA966" s="61"/>
      <c r="AB966" s="61"/>
      <c r="AC966" s="61"/>
      <c r="AD966" s="62"/>
      <c r="AE966" s="62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</row>
    <row r="967" spans="1:77" x14ac:dyDescent="0.3">
      <c r="A967" s="39"/>
      <c r="B967" s="42"/>
      <c r="C967" s="42"/>
      <c r="D967" s="75"/>
      <c r="E967" s="75"/>
      <c r="F967" s="76"/>
      <c r="G967" s="47"/>
      <c r="H967" s="47"/>
      <c r="I967" s="75"/>
      <c r="J967" s="76"/>
      <c r="K967" s="76"/>
      <c r="L967" s="75"/>
      <c r="M967" s="49"/>
      <c r="N967" s="76"/>
      <c r="O967" s="49"/>
      <c r="P967" s="77"/>
      <c r="Q967" s="53"/>
      <c r="R967" s="54"/>
      <c r="S967" s="55"/>
      <c r="T967" s="56"/>
      <c r="U967" s="56"/>
      <c r="V967" s="42"/>
      <c r="W967" s="57"/>
      <c r="X967" s="58"/>
      <c r="Y967" s="75"/>
      <c r="Z967" s="59"/>
      <c r="AA967" s="61"/>
      <c r="AB967" s="61"/>
      <c r="AC967" s="61"/>
      <c r="AD967" s="62"/>
      <c r="AE967" s="62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</row>
    <row r="968" spans="1:77" x14ac:dyDescent="0.3">
      <c r="A968" s="39"/>
      <c r="B968" s="42"/>
      <c r="C968" s="42"/>
      <c r="D968" s="75"/>
      <c r="E968" s="75"/>
      <c r="F968" s="76"/>
      <c r="G968" s="47"/>
      <c r="H968" s="47"/>
      <c r="I968" s="75"/>
      <c r="J968" s="76"/>
      <c r="K968" s="76"/>
      <c r="L968" s="75"/>
      <c r="M968" s="49"/>
      <c r="N968" s="76"/>
      <c r="O968" s="49"/>
      <c r="P968" s="77"/>
      <c r="Q968" s="53"/>
      <c r="R968" s="54"/>
      <c r="S968" s="55"/>
      <c r="T968" s="56"/>
      <c r="U968" s="56"/>
      <c r="V968" s="42"/>
      <c r="W968" s="57"/>
      <c r="X968" s="58"/>
      <c r="Y968" s="75"/>
      <c r="Z968" s="59"/>
      <c r="AA968" s="61"/>
      <c r="AB968" s="61"/>
      <c r="AC968" s="61"/>
      <c r="AD968" s="62"/>
      <c r="AE968" s="62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</row>
    <row r="969" spans="1:77" x14ac:dyDescent="0.3">
      <c r="A969" s="39"/>
      <c r="B969" s="42"/>
      <c r="C969" s="42"/>
      <c r="D969" s="75"/>
      <c r="E969" s="75"/>
      <c r="F969" s="76"/>
      <c r="G969" s="47"/>
      <c r="H969" s="47"/>
      <c r="I969" s="75"/>
      <c r="J969" s="76"/>
      <c r="K969" s="76"/>
      <c r="L969" s="75"/>
      <c r="M969" s="49"/>
      <c r="N969" s="76"/>
      <c r="O969" s="49"/>
      <c r="P969" s="77"/>
      <c r="Q969" s="53"/>
      <c r="R969" s="54"/>
      <c r="S969" s="55"/>
      <c r="T969" s="56"/>
      <c r="U969" s="56"/>
      <c r="V969" s="42"/>
      <c r="W969" s="57"/>
      <c r="X969" s="58"/>
      <c r="Y969" s="75"/>
      <c r="Z969" s="59"/>
      <c r="AA969" s="61"/>
      <c r="AB969" s="61"/>
      <c r="AC969" s="61"/>
      <c r="AD969" s="62"/>
      <c r="AE969" s="62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</row>
    <row r="970" spans="1:77" x14ac:dyDescent="0.3">
      <c r="A970" s="39"/>
      <c r="B970" s="42"/>
      <c r="C970" s="42"/>
      <c r="D970" s="75"/>
      <c r="E970" s="75"/>
      <c r="F970" s="76"/>
      <c r="G970" s="47"/>
      <c r="H970" s="47"/>
      <c r="I970" s="75"/>
      <c r="J970" s="76"/>
      <c r="K970" s="76"/>
      <c r="L970" s="75"/>
      <c r="M970" s="49"/>
      <c r="N970" s="76"/>
      <c r="O970" s="49"/>
      <c r="P970" s="77"/>
      <c r="Q970" s="53"/>
      <c r="R970" s="54"/>
      <c r="S970" s="55"/>
      <c r="T970" s="56"/>
      <c r="U970" s="56"/>
      <c r="V970" s="42"/>
      <c r="W970" s="57"/>
      <c r="X970" s="58"/>
      <c r="Y970" s="75"/>
      <c r="Z970" s="59"/>
      <c r="AA970" s="61"/>
      <c r="AB970" s="61"/>
      <c r="AC970" s="61"/>
      <c r="AD970" s="62"/>
      <c r="AE970" s="62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</row>
    <row r="971" spans="1:77" x14ac:dyDescent="0.3">
      <c r="A971" s="39"/>
      <c r="B971" s="42"/>
      <c r="C971" s="42"/>
      <c r="D971" s="75"/>
      <c r="E971" s="75"/>
      <c r="F971" s="76"/>
      <c r="G971" s="47"/>
      <c r="H971" s="47"/>
      <c r="I971" s="75"/>
      <c r="J971" s="76"/>
      <c r="K971" s="76"/>
      <c r="L971" s="75"/>
      <c r="M971" s="49"/>
      <c r="N971" s="76"/>
      <c r="O971" s="49"/>
      <c r="P971" s="77"/>
      <c r="Q971" s="53"/>
      <c r="R971" s="54"/>
      <c r="S971" s="55"/>
      <c r="T971" s="56"/>
      <c r="U971" s="56"/>
      <c r="V971" s="42"/>
      <c r="W971" s="57"/>
      <c r="X971" s="58"/>
      <c r="Y971" s="75"/>
      <c r="Z971" s="59"/>
      <c r="AA971" s="61"/>
      <c r="AB971" s="61"/>
      <c r="AC971" s="61"/>
      <c r="AD971" s="62"/>
      <c r="AE971" s="62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</row>
    <row r="972" spans="1:77" x14ac:dyDescent="0.3">
      <c r="A972" s="39"/>
      <c r="B972" s="42"/>
      <c r="C972" s="42"/>
      <c r="D972" s="75"/>
      <c r="E972" s="75"/>
      <c r="F972" s="76"/>
      <c r="G972" s="47"/>
      <c r="H972" s="47"/>
      <c r="I972" s="75"/>
      <c r="J972" s="76"/>
      <c r="K972" s="76"/>
      <c r="L972" s="75"/>
      <c r="M972" s="49"/>
      <c r="N972" s="76"/>
      <c r="O972" s="49"/>
      <c r="P972" s="77"/>
      <c r="Q972" s="53"/>
      <c r="R972" s="54"/>
      <c r="S972" s="55"/>
      <c r="T972" s="56"/>
      <c r="U972" s="56"/>
      <c r="V972" s="42"/>
      <c r="W972" s="57"/>
      <c r="X972" s="58"/>
      <c r="Y972" s="75"/>
      <c r="Z972" s="59"/>
      <c r="AA972" s="61"/>
      <c r="AB972" s="61"/>
      <c r="AC972" s="61"/>
      <c r="AD972" s="62"/>
      <c r="AE972" s="62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</row>
    <row r="973" spans="1:77" x14ac:dyDescent="0.3">
      <c r="A973" s="39"/>
      <c r="B973" s="42"/>
      <c r="C973" s="42"/>
      <c r="D973" s="75"/>
      <c r="E973" s="75"/>
      <c r="F973" s="76"/>
      <c r="G973" s="47"/>
      <c r="H973" s="47"/>
      <c r="I973" s="75"/>
      <c r="J973" s="76"/>
      <c r="K973" s="76"/>
      <c r="L973" s="75"/>
      <c r="M973" s="49"/>
      <c r="N973" s="76"/>
      <c r="O973" s="49"/>
      <c r="P973" s="77"/>
      <c r="Q973" s="53"/>
      <c r="R973" s="54"/>
      <c r="S973" s="55"/>
      <c r="T973" s="56"/>
      <c r="U973" s="56"/>
      <c r="V973" s="42"/>
      <c r="W973" s="57"/>
      <c r="X973" s="58"/>
      <c r="Y973" s="75"/>
      <c r="Z973" s="59"/>
      <c r="AA973" s="61"/>
      <c r="AB973" s="61"/>
      <c r="AC973" s="61"/>
      <c r="AD973" s="62"/>
      <c r="AE973" s="62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</row>
    <row r="974" spans="1:77" x14ac:dyDescent="0.3">
      <c r="A974" s="39"/>
      <c r="B974" s="42"/>
      <c r="C974" s="42"/>
      <c r="D974" s="75"/>
      <c r="E974" s="75"/>
      <c r="F974" s="76"/>
      <c r="G974" s="47"/>
      <c r="H974" s="47"/>
      <c r="I974" s="75"/>
      <c r="J974" s="76"/>
      <c r="K974" s="76"/>
      <c r="L974" s="75"/>
      <c r="M974" s="49"/>
      <c r="N974" s="76"/>
      <c r="O974" s="49"/>
      <c r="P974" s="77"/>
      <c r="Q974" s="53"/>
      <c r="R974" s="54"/>
      <c r="S974" s="55"/>
      <c r="T974" s="56"/>
      <c r="U974" s="56"/>
      <c r="V974" s="42"/>
      <c r="W974" s="57"/>
      <c r="X974" s="58"/>
      <c r="Y974" s="75"/>
      <c r="Z974" s="59"/>
      <c r="AA974" s="61"/>
      <c r="AB974" s="61"/>
      <c r="AC974" s="61"/>
      <c r="AD974" s="62"/>
      <c r="AE974" s="62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</row>
    <row r="975" spans="1:77" x14ac:dyDescent="0.3">
      <c r="A975" s="39"/>
      <c r="B975" s="42"/>
      <c r="C975" s="42"/>
      <c r="D975" s="75"/>
      <c r="E975" s="75"/>
      <c r="F975" s="76"/>
      <c r="G975" s="47"/>
      <c r="H975" s="47"/>
      <c r="I975" s="75"/>
      <c r="J975" s="76"/>
      <c r="K975" s="76"/>
      <c r="L975" s="75"/>
      <c r="M975" s="49"/>
      <c r="N975" s="76"/>
      <c r="O975" s="49"/>
      <c r="P975" s="77"/>
      <c r="Q975" s="53"/>
      <c r="R975" s="54"/>
      <c r="S975" s="55"/>
      <c r="T975" s="56"/>
      <c r="U975" s="56"/>
      <c r="V975" s="42"/>
      <c r="W975" s="57"/>
      <c r="X975" s="58"/>
      <c r="Y975" s="75"/>
      <c r="Z975" s="59"/>
      <c r="AA975" s="61"/>
      <c r="AB975" s="61"/>
      <c r="AC975" s="61"/>
      <c r="AD975" s="62"/>
      <c r="AE975" s="62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</row>
    <row r="976" spans="1:77" x14ac:dyDescent="0.3">
      <c r="A976" s="39"/>
      <c r="B976" s="42"/>
      <c r="C976" s="42"/>
      <c r="D976" s="75"/>
      <c r="E976" s="75"/>
      <c r="F976" s="76"/>
      <c r="G976" s="47"/>
      <c r="H976" s="47"/>
      <c r="I976" s="75"/>
      <c r="J976" s="76"/>
      <c r="K976" s="76"/>
      <c r="L976" s="75"/>
      <c r="M976" s="49"/>
      <c r="N976" s="76"/>
      <c r="O976" s="49"/>
      <c r="P976" s="77"/>
      <c r="Q976" s="53"/>
      <c r="R976" s="54"/>
      <c r="S976" s="55"/>
      <c r="T976" s="56"/>
      <c r="U976" s="56"/>
      <c r="V976" s="42"/>
      <c r="W976" s="57"/>
      <c r="X976" s="58"/>
      <c r="Y976" s="75"/>
      <c r="Z976" s="59"/>
      <c r="AA976" s="61"/>
      <c r="AB976" s="61"/>
      <c r="AC976" s="61"/>
      <c r="AD976" s="62"/>
      <c r="AE976" s="62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</row>
    <row r="977" spans="1:77" x14ac:dyDescent="0.3">
      <c r="A977" s="39"/>
      <c r="B977" s="42"/>
      <c r="C977" s="42"/>
      <c r="D977" s="75"/>
      <c r="E977" s="75"/>
      <c r="F977" s="76"/>
      <c r="G977" s="47"/>
      <c r="H977" s="47"/>
      <c r="I977" s="75"/>
      <c r="J977" s="76"/>
      <c r="K977" s="76"/>
      <c r="L977" s="75"/>
      <c r="M977" s="49"/>
      <c r="N977" s="76"/>
      <c r="O977" s="49"/>
      <c r="P977" s="77"/>
      <c r="Q977" s="53"/>
      <c r="R977" s="54"/>
      <c r="S977" s="55"/>
      <c r="T977" s="56"/>
      <c r="U977" s="56"/>
      <c r="V977" s="42"/>
      <c r="W977" s="57"/>
      <c r="X977" s="58"/>
      <c r="Y977" s="75"/>
      <c r="Z977" s="59"/>
      <c r="AA977" s="61"/>
      <c r="AB977" s="61"/>
      <c r="AC977" s="61"/>
      <c r="AD977" s="62"/>
      <c r="AE977" s="62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</row>
    <row r="978" spans="1:77" x14ac:dyDescent="0.3">
      <c r="A978" s="39"/>
      <c r="B978" s="42"/>
      <c r="C978" s="42"/>
      <c r="D978" s="75"/>
      <c r="E978" s="75"/>
      <c r="F978" s="76"/>
      <c r="G978" s="47"/>
      <c r="H978" s="47"/>
      <c r="I978" s="75"/>
      <c r="J978" s="76"/>
      <c r="K978" s="76"/>
      <c r="L978" s="75"/>
      <c r="M978" s="49"/>
      <c r="N978" s="76"/>
      <c r="O978" s="49"/>
      <c r="P978" s="77"/>
      <c r="Q978" s="53"/>
      <c r="R978" s="54"/>
      <c r="S978" s="55"/>
      <c r="T978" s="56"/>
      <c r="U978" s="56"/>
      <c r="V978" s="42"/>
      <c r="W978" s="57"/>
      <c r="X978" s="58"/>
      <c r="Y978" s="75"/>
      <c r="Z978" s="59"/>
      <c r="AA978" s="61"/>
      <c r="AB978" s="61"/>
      <c r="AC978" s="61"/>
      <c r="AD978" s="62"/>
      <c r="AE978" s="62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</row>
    <row r="979" spans="1:77" x14ac:dyDescent="0.3">
      <c r="A979" s="39"/>
      <c r="B979" s="42"/>
      <c r="C979" s="42"/>
      <c r="D979" s="75"/>
      <c r="E979" s="75"/>
      <c r="F979" s="76"/>
      <c r="G979" s="47"/>
      <c r="H979" s="47"/>
      <c r="I979" s="75"/>
      <c r="J979" s="76"/>
      <c r="K979" s="76"/>
      <c r="L979" s="75"/>
      <c r="M979" s="49"/>
      <c r="N979" s="76"/>
      <c r="O979" s="49"/>
      <c r="P979" s="77"/>
      <c r="Q979" s="53"/>
      <c r="R979" s="54"/>
      <c r="S979" s="55"/>
      <c r="T979" s="56"/>
      <c r="U979" s="56"/>
      <c r="V979" s="42"/>
      <c r="W979" s="57"/>
      <c r="X979" s="58"/>
      <c r="Y979" s="75"/>
      <c r="Z979" s="59"/>
      <c r="AA979" s="61"/>
      <c r="AB979" s="61"/>
      <c r="AC979" s="61"/>
      <c r="AD979" s="62"/>
      <c r="AE979" s="62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</row>
    <row r="980" spans="1:77" x14ac:dyDescent="0.3">
      <c r="A980" s="39"/>
      <c r="B980" s="42"/>
      <c r="C980" s="42"/>
      <c r="D980" s="75"/>
      <c r="E980" s="75"/>
      <c r="F980" s="76"/>
      <c r="G980" s="47"/>
      <c r="H980" s="47"/>
      <c r="I980" s="75"/>
      <c r="J980" s="76"/>
      <c r="K980" s="76"/>
      <c r="L980" s="75"/>
      <c r="M980" s="49"/>
      <c r="N980" s="76"/>
      <c r="O980" s="49"/>
      <c r="P980" s="77"/>
      <c r="Q980" s="53"/>
      <c r="R980" s="54"/>
      <c r="S980" s="55"/>
      <c r="T980" s="56"/>
      <c r="U980" s="56"/>
      <c r="V980" s="42"/>
      <c r="W980" s="57"/>
      <c r="X980" s="58"/>
      <c r="Y980" s="75"/>
      <c r="Z980" s="59"/>
      <c r="AA980" s="61"/>
      <c r="AB980" s="61"/>
      <c r="AC980" s="61"/>
      <c r="AD980" s="62"/>
      <c r="AE980" s="62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</row>
    <row r="981" spans="1:77" x14ac:dyDescent="0.3">
      <c r="A981" s="39"/>
      <c r="B981" s="42"/>
      <c r="C981" s="42"/>
      <c r="D981" s="75"/>
      <c r="E981" s="75"/>
      <c r="F981" s="76"/>
      <c r="G981" s="47"/>
      <c r="H981" s="47"/>
      <c r="I981" s="75"/>
      <c r="J981" s="76"/>
      <c r="K981" s="76"/>
      <c r="L981" s="75"/>
      <c r="M981" s="49"/>
      <c r="N981" s="76"/>
      <c r="O981" s="49"/>
      <c r="P981" s="77"/>
      <c r="Q981" s="53"/>
      <c r="R981" s="54"/>
      <c r="S981" s="55"/>
      <c r="T981" s="56"/>
      <c r="U981" s="56"/>
      <c r="V981" s="42"/>
      <c r="W981" s="57"/>
      <c r="X981" s="58"/>
      <c r="Y981" s="75"/>
      <c r="Z981" s="59"/>
      <c r="AA981" s="61"/>
      <c r="AB981" s="61"/>
      <c r="AC981" s="61"/>
      <c r="AD981" s="62"/>
      <c r="AE981" s="62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</row>
    <row r="982" spans="1:77" x14ac:dyDescent="0.3">
      <c r="A982" s="39"/>
      <c r="B982" s="42"/>
      <c r="C982" s="42"/>
      <c r="D982" s="75"/>
      <c r="E982" s="75"/>
      <c r="F982" s="76"/>
      <c r="G982" s="47"/>
      <c r="H982" s="47"/>
      <c r="I982" s="75"/>
      <c r="J982" s="76"/>
      <c r="K982" s="76"/>
      <c r="L982" s="75"/>
      <c r="M982" s="49"/>
      <c r="N982" s="76"/>
      <c r="O982" s="49"/>
      <c r="P982" s="77"/>
      <c r="Q982" s="53"/>
      <c r="R982" s="54"/>
      <c r="S982" s="55"/>
      <c r="T982" s="56"/>
      <c r="U982" s="56"/>
      <c r="V982" s="42"/>
      <c r="W982" s="57"/>
      <c r="X982" s="58"/>
      <c r="Y982" s="75"/>
      <c r="Z982" s="59"/>
      <c r="AA982" s="61"/>
      <c r="AB982" s="61"/>
      <c r="AC982" s="61"/>
      <c r="AD982" s="62"/>
      <c r="AE982" s="62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</row>
    <row r="983" spans="1:77" x14ac:dyDescent="0.3">
      <c r="A983" s="39"/>
      <c r="B983" s="42"/>
      <c r="C983" s="42"/>
      <c r="D983" s="75"/>
      <c r="E983" s="75"/>
      <c r="F983" s="76"/>
      <c r="G983" s="47"/>
      <c r="H983" s="47"/>
      <c r="I983" s="75"/>
      <c r="J983" s="76"/>
      <c r="K983" s="76"/>
      <c r="L983" s="75"/>
      <c r="M983" s="49"/>
      <c r="N983" s="76"/>
      <c r="O983" s="49"/>
      <c r="P983" s="77"/>
      <c r="Q983" s="53"/>
      <c r="R983" s="54"/>
      <c r="S983" s="55"/>
      <c r="T983" s="56"/>
      <c r="U983" s="56"/>
      <c r="V983" s="42"/>
      <c r="W983" s="57"/>
      <c r="X983" s="58"/>
      <c r="Y983" s="75"/>
      <c r="Z983" s="59"/>
      <c r="AA983" s="61"/>
      <c r="AB983" s="61"/>
      <c r="AC983" s="61"/>
      <c r="AD983" s="62"/>
      <c r="AE983" s="62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</row>
    <row r="984" spans="1:77" x14ac:dyDescent="0.3">
      <c r="A984" s="39"/>
      <c r="B984" s="42"/>
      <c r="C984" s="42"/>
      <c r="D984" s="75"/>
      <c r="E984" s="75"/>
      <c r="F984" s="76"/>
      <c r="G984" s="47"/>
      <c r="H984" s="47"/>
      <c r="I984" s="75"/>
      <c r="J984" s="76"/>
      <c r="K984" s="76"/>
      <c r="L984" s="75"/>
      <c r="M984" s="49"/>
      <c r="N984" s="76"/>
      <c r="O984" s="49"/>
      <c r="P984" s="77"/>
      <c r="Q984" s="53"/>
      <c r="R984" s="54"/>
      <c r="S984" s="55"/>
      <c r="T984" s="56"/>
      <c r="U984" s="56"/>
      <c r="V984" s="42"/>
      <c r="W984" s="57"/>
      <c r="X984" s="58"/>
      <c r="Y984" s="75"/>
      <c r="Z984" s="59"/>
      <c r="AA984" s="61"/>
      <c r="AB984" s="61"/>
      <c r="AC984" s="61"/>
      <c r="AD984" s="62"/>
      <c r="AE984" s="62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</row>
    <row r="985" spans="1:77" x14ac:dyDescent="0.3">
      <c r="A985" s="39"/>
      <c r="B985" s="42"/>
      <c r="C985" s="42"/>
      <c r="D985" s="75"/>
      <c r="E985" s="75"/>
      <c r="F985" s="76"/>
      <c r="G985" s="47"/>
      <c r="H985" s="47"/>
      <c r="I985" s="75"/>
      <c r="J985" s="76"/>
      <c r="K985" s="76"/>
      <c r="L985" s="75"/>
      <c r="M985" s="49"/>
      <c r="N985" s="76"/>
      <c r="O985" s="49"/>
      <c r="P985" s="77"/>
      <c r="Q985" s="53"/>
      <c r="R985" s="54"/>
      <c r="S985" s="55"/>
      <c r="T985" s="56"/>
      <c r="U985" s="56"/>
      <c r="V985" s="42"/>
      <c r="W985" s="57"/>
      <c r="X985" s="58"/>
      <c r="Y985" s="75"/>
      <c r="Z985" s="59"/>
      <c r="AA985" s="61"/>
      <c r="AB985" s="61"/>
      <c r="AC985" s="61"/>
      <c r="AD985" s="62"/>
      <c r="AE985" s="62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</row>
    <row r="986" spans="1:77" x14ac:dyDescent="0.3">
      <c r="A986" s="39"/>
      <c r="B986" s="42"/>
      <c r="C986" s="42"/>
      <c r="D986" s="75"/>
      <c r="E986" s="75"/>
      <c r="F986" s="76"/>
      <c r="G986" s="47"/>
      <c r="H986" s="47"/>
      <c r="I986" s="75"/>
      <c r="J986" s="76"/>
      <c r="K986" s="76"/>
      <c r="L986" s="75"/>
      <c r="M986" s="49"/>
      <c r="N986" s="76"/>
      <c r="O986" s="49"/>
      <c r="P986" s="77"/>
      <c r="Q986" s="53"/>
      <c r="R986" s="54"/>
      <c r="S986" s="55"/>
      <c r="T986" s="56"/>
      <c r="U986" s="56"/>
      <c r="V986" s="42"/>
      <c r="W986" s="57"/>
      <c r="X986" s="58"/>
      <c r="Y986" s="75"/>
      <c r="Z986" s="59"/>
      <c r="AA986" s="61"/>
      <c r="AB986" s="61"/>
      <c r="AC986" s="61"/>
      <c r="AD986" s="62"/>
      <c r="AE986" s="62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</row>
    <row r="987" spans="1:77" x14ac:dyDescent="0.3">
      <c r="A987" s="39"/>
      <c r="B987" s="42"/>
      <c r="C987" s="42"/>
      <c r="D987" s="75"/>
      <c r="E987" s="75"/>
      <c r="F987" s="76"/>
      <c r="G987" s="47"/>
      <c r="H987" s="47"/>
      <c r="I987" s="75"/>
      <c r="J987" s="76"/>
      <c r="K987" s="76"/>
      <c r="L987" s="75"/>
      <c r="M987" s="49"/>
      <c r="N987" s="76"/>
      <c r="O987" s="49"/>
      <c r="P987" s="77"/>
      <c r="Q987" s="53"/>
      <c r="R987" s="54"/>
      <c r="S987" s="55"/>
      <c r="T987" s="56"/>
      <c r="U987" s="56"/>
      <c r="V987" s="42"/>
      <c r="W987" s="57"/>
      <c r="X987" s="58"/>
      <c r="Y987" s="75"/>
      <c r="Z987" s="59"/>
      <c r="AA987" s="61"/>
      <c r="AB987" s="61"/>
      <c r="AC987" s="61"/>
      <c r="AD987" s="62"/>
      <c r="AE987" s="62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</row>
    <row r="988" spans="1:77" x14ac:dyDescent="0.3">
      <c r="A988" s="39"/>
      <c r="B988" s="42"/>
      <c r="C988" s="42"/>
      <c r="D988" s="75"/>
      <c r="E988" s="75"/>
      <c r="F988" s="76"/>
      <c r="G988" s="47"/>
      <c r="H988" s="47"/>
      <c r="I988" s="75"/>
      <c r="J988" s="76"/>
      <c r="K988" s="76"/>
      <c r="L988" s="75"/>
      <c r="M988" s="49"/>
      <c r="N988" s="76"/>
      <c r="O988" s="49"/>
      <c r="P988" s="77"/>
      <c r="Q988" s="53"/>
      <c r="R988" s="54"/>
      <c r="S988" s="55"/>
      <c r="T988" s="56"/>
      <c r="U988" s="56"/>
      <c r="V988" s="42"/>
      <c r="W988" s="57"/>
      <c r="X988" s="58"/>
      <c r="Y988" s="75"/>
      <c r="Z988" s="59"/>
      <c r="AA988" s="61"/>
      <c r="AB988" s="61"/>
      <c r="AC988" s="61"/>
      <c r="AD988" s="62"/>
      <c r="AE988" s="62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</row>
    <row r="989" spans="1:77" x14ac:dyDescent="0.3">
      <c r="A989" s="39"/>
      <c r="B989" s="42"/>
      <c r="C989" s="42"/>
      <c r="D989" s="75"/>
      <c r="E989" s="75"/>
      <c r="F989" s="76"/>
      <c r="G989" s="47"/>
      <c r="H989" s="47"/>
      <c r="I989" s="75"/>
      <c r="J989" s="76"/>
      <c r="K989" s="76"/>
      <c r="L989" s="75"/>
      <c r="M989" s="49"/>
      <c r="N989" s="76"/>
      <c r="O989" s="49"/>
      <c r="P989" s="77"/>
      <c r="Q989" s="53"/>
      <c r="R989" s="54"/>
      <c r="S989" s="55"/>
      <c r="T989" s="56"/>
      <c r="U989" s="56"/>
      <c r="V989" s="42"/>
      <c r="W989" s="57"/>
      <c r="X989" s="58"/>
      <c r="Y989" s="75"/>
      <c r="Z989" s="59"/>
      <c r="AA989" s="61"/>
      <c r="AB989" s="61"/>
      <c r="AC989" s="61"/>
      <c r="AD989" s="62"/>
      <c r="AE989" s="62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</row>
    <row r="990" spans="1:77" x14ac:dyDescent="0.3">
      <c r="A990" s="39"/>
      <c r="B990" s="42"/>
      <c r="C990" s="42"/>
      <c r="D990" s="75"/>
      <c r="E990" s="75"/>
      <c r="F990" s="76"/>
      <c r="G990" s="47"/>
      <c r="H990" s="47"/>
      <c r="I990" s="75"/>
      <c r="J990" s="76"/>
      <c r="K990" s="76"/>
      <c r="L990" s="75"/>
      <c r="M990" s="49"/>
      <c r="N990" s="76"/>
      <c r="O990" s="49"/>
      <c r="P990" s="77"/>
      <c r="Q990" s="53"/>
      <c r="R990" s="54"/>
      <c r="S990" s="55"/>
      <c r="T990" s="56"/>
      <c r="U990" s="56"/>
      <c r="V990" s="42"/>
      <c r="W990" s="57"/>
      <c r="X990" s="58"/>
      <c r="Y990" s="75"/>
      <c r="Z990" s="59"/>
      <c r="AA990" s="61"/>
      <c r="AB990" s="61"/>
      <c r="AC990" s="61"/>
      <c r="AD990" s="62"/>
      <c r="AE990" s="62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</row>
    <row r="991" spans="1:77" x14ac:dyDescent="0.3">
      <c r="A991" s="39"/>
      <c r="B991" s="42"/>
      <c r="C991" s="42"/>
      <c r="D991" s="75"/>
      <c r="E991" s="75"/>
      <c r="F991" s="76"/>
      <c r="G991" s="47"/>
      <c r="H991" s="47"/>
      <c r="I991" s="75"/>
      <c r="J991" s="76"/>
      <c r="K991" s="76"/>
      <c r="L991" s="75"/>
      <c r="M991" s="49"/>
      <c r="N991" s="76"/>
      <c r="O991" s="49"/>
      <c r="P991" s="77"/>
      <c r="Q991" s="53"/>
      <c r="R991" s="54"/>
      <c r="S991" s="55"/>
      <c r="T991" s="56"/>
      <c r="U991" s="56"/>
      <c r="V991" s="42"/>
      <c r="W991" s="57"/>
      <c r="X991" s="58"/>
      <c r="Y991" s="75"/>
      <c r="Z991" s="59"/>
      <c r="AA991" s="61"/>
      <c r="AB991" s="61"/>
      <c r="AC991" s="61"/>
      <c r="AD991" s="62"/>
      <c r="AE991" s="62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</row>
    <row r="992" spans="1:77" x14ac:dyDescent="0.3">
      <c r="A992" s="39"/>
      <c r="B992" s="42"/>
      <c r="C992" s="42"/>
      <c r="D992" s="75"/>
      <c r="E992" s="75"/>
      <c r="F992" s="76"/>
      <c r="G992" s="47"/>
      <c r="H992" s="47"/>
      <c r="I992" s="75"/>
      <c r="J992" s="76"/>
      <c r="K992" s="76"/>
      <c r="L992" s="75"/>
      <c r="M992" s="49"/>
      <c r="N992" s="76"/>
      <c r="O992" s="49"/>
      <c r="P992" s="77"/>
      <c r="Q992" s="53"/>
      <c r="R992" s="54"/>
      <c r="S992" s="55"/>
      <c r="T992" s="56"/>
      <c r="U992" s="56"/>
      <c r="V992" s="42"/>
      <c r="W992" s="57"/>
      <c r="X992" s="58"/>
      <c r="Y992" s="75"/>
      <c r="Z992" s="59"/>
      <c r="AA992" s="61"/>
      <c r="AB992" s="61"/>
      <c r="AC992" s="61"/>
      <c r="AD992" s="62"/>
      <c r="AE992" s="62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</row>
    <row r="993" spans="1:77" x14ac:dyDescent="0.3">
      <c r="A993" s="39"/>
      <c r="B993" s="42"/>
      <c r="C993" s="42"/>
      <c r="D993" s="75"/>
      <c r="E993" s="75"/>
      <c r="F993" s="76"/>
      <c r="G993" s="47"/>
      <c r="H993" s="47"/>
      <c r="I993" s="75"/>
      <c r="J993" s="76"/>
      <c r="K993" s="76"/>
      <c r="L993" s="75"/>
      <c r="M993" s="49"/>
      <c r="N993" s="76"/>
      <c r="O993" s="49"/>
      <c r="P993" s="77"/>
      <c r="Q993" s="53"/>
      <c r="R993" s="54"/>
      <c r="S993" s="55"/>
      <c r="T993" s="56"/>
      <c r="U993" s="56"/>
      <c r="V993" s="42"/>
      <c r="W993" s="57"/>
      <c r="X993" s="58"/>
      <c r="Y993" s="75"/>
      <c r="Z993" s="59"/>
      <c r="AA993" s="61"/>
      <c r="AB993" s="61"/>
      <c r="AC993" s="61"/>
      <c r="AD993" s="62"/>
      <c r="AE993" s="62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</row>
    <row r="994" spans="1:77" x14ac:dyDescent="0.3">
      <c r="A994" s="39"/>
      <c r="B994" s="42"/>
      <c r="C994" s="42"/>
      <c r="D994" s="75"/>
      <c r="E994" s="75"/>
      <c r="F994" s="76"/>
      <c r="G994" s="47"/>
      <c r="H994" s="47"/>
      <c r="I994" s="75"/>
      <c r="J994" s="76"/>
      <c r="K994" s="76"/>
      <c r="L994" s="75"/>
      <c r="M994" s="49"/>
      <c r="N994" s="76"/>
      <c r="O994" s="49"/>
      <c r="P994" s="77"/>
      <c r="Q994" s="53"/>
      <c r="R994" s="54"/>
      <c r="S994" s="55"/>
      <c r="T994" s="56"/>
      <c r="U994" s="56"/>
      <c r="V994" s="42"/>
      <c r="W994" s="57"/>
      <c r="X994" s="58"/>
      <c r="Y994" s="75"/>
      <c r="Z994" s="59"/>
      <c r="AA994" s="61"/>
      <c r="AB994" s="61"/>
      <c r="AC994" s="61"/>
      <c r="AD994" s="62"/>
      <c r="AE994" s="62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</row>
    <row r="995" spans="1:77" x14ac:dyDescent="0.3">
      <c r="A995" s="39"/>
      <c r="B995" s="42"/>
      <c r="C995" s="42"/>
      <c r="D995" s="75"/>
      <c r="E995" s="75"/>
      <c r="F995" s="76"/>
      <c r="G995" s="47"/>
      <c r="H995" s="47"/>
      <c r="I995" s="75"/>
      <c r="J995" s="76"/>
      <c r="K995" s="76"/>
      <c r="L995" s="75"/>
      <c r="M995" s="49"/>
      <c r="N995" s="76"/>
      <c r="O995" s="49"/>
      <c r="P995" s="77"/>
      <c r="Q995" s="53"/>
      <c r="R995" s="54"/>
      <c r="S995" s="55"/>
      <c r="T995" s="56"/>
      <c r="U995" s="56"/>
      <c r="V995" s="42"/>
      <c r="W995" s="57"/>
      <c r="X995" s="58"/>
      <c r="Y995" s="75"/>
      <c r="Z995" s="59"/>
      <c r="AA995" s="61"/>
      <c r="AB995" s="61"/>
      <c r="AC995" s="61"/>
      <c r="AD995" s="62"/>
      <c r="AE995" s="62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</row>
    <row r="996" spans="1:77" x14ac:dyDescent="0.3">
      <c r="A996" s="39"/>
      <c r="B996" s="42"/>
      <c r="C996" s="42"/>
      <c r="D996" s="75"/>
      <c r="E996" s="75"/>
      <c r="F996" s="76"/>
      <c r="G996" s="47"/>
      <c r="H996" s="47"/>
      <c r="I996" s="75"/>
      <c r="J996" s="76"/>
      <c r="K996" s="76"/>
      <c r="L996" s="75"/>
      <c r="M996" s="49"/>
      <c r="N996" s="76"/>
      <c r="O996" s="49"/>
      <c r="P996" s="77"/>
      <c r="Q996" s="53"/>
      <c r="R996" s="54"/>
      <c r="S996" s="55"/>
      <c r="T996" s="56"/>
      <c r="U996" s="56"/>
      <c r="V996" s="42"/>
      <c r="W996" s="57"/>
      <c r="X996" s="58"/>
      <c r="Y996" s="75"/>
      <c r="Z996" s="59"/>
      <c r="AA996" s="61"/>
      <c r="AB996" s="61"/>
      <c r="AC996" s="61"/>
      <c r="AD996" s="62"/>
      <c r="AE996" s="62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</row>
    <row r="997" spans="1:77" x14ac:dyDescent="0.3">
      <c r="A997" s="39"/>
      <c r="B997" s="42"/>
      <c r="C997" s="42"/>
      <c r="D997" s="75"/>
      <c r="E997" s="75"/>
      <c r="F997" s="76"/>
      <c r="G997" s="47"/>
      <c r="H997" s="47"/>
      <c r="I997" s="75"/>
      <c r="J997" s="76"/>
      <c r="K997" s="76"/>
      <c r="L997" s="75"/>
      <c r="M997" s="49"/>
      <c r="N997" s="76"/>
      <c r="O997" s="49"/>
      <c r="P997" s="77"/>
      <c r="Q997" s="53"/>
      <c r="R997" s="54"/>
      <c r="S997" s="55"/>
      <c r="T997" s="56"/>
      <c r="U997" s="56"/>
      <c r="V997" s="42"/>
      <c r="W997" s="57"/>
      <c r="X997" s="58"/>
      <c r="Y997" s="75"/>
      <c r="Z997" s="59"/>
      <c r="AA997" s="61"/>
      <c r="AB997" s="61"/>
      <c r="AC997" s="61"/>
      <c r="AD997" s="62"/>
      <c r="AE997" s="62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</row>
    <row r="998" spans="1:77" x14ac:dyDescent="0.3">
      <c r="A998" s="39"/>
      <c r="B998" s="42"/>
      <c r="C998" s="42"/>
      <c r="D998" s="75"/>
      <c r="E998" s="75"/>
      <c r="F998" s="76"/>
      <c r="G998" s="47"/>
      <c r="H998" s="47"/>
      <c r="I998" s="75"/>
      <c r="J998" s="76"/>
      <c r="K998" s="76"/>
      <c r="L998" s="75"/>
      <c r="M998" s="49"/>
      <c r="N998" s="76"/>
      <c r="O998" s="49"/>
      <c r="P998" s="77"/>
      <c r="Q998" s="53"/>
      <c r="R998" s="54"/>
      <c r="S998" s="55"/>
      <c r="T998" s="56"/>
      <c r="U998" s="56"/>
      <c r="V998" s="42"/>
      <c r="W998" s="57"/>
      <c r="X998" s="58"/>
      <c r="Y998" s="75"/>
      <c r="Z998" s="59"/>
      <c r="AA998" s="61"/>
      <c r="AB998" s="61"/>
      <c r="AC998" s="61"/>
      <c r="AD998" s="62"/>
      <c r="AE998" s="62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</row>
    <row r="999" spans="1:77" x14ac:dyDescent="0.3">
      <c r="A999" s="39"/>
      <c r="B999" s="42"/>
      <c r="C999" s="42"/>
      <c r="D999" s="75"/>
      <c r="E999" s="75"/>
      <c r="F999" s="76"/>
      <c r="G999" s="47"/>
      <c r="H999" s="47"/>
      <c r="I999" s="75"/>
      <c r="J999" s="76"/>
      <c r="K999" s="76"/>
      <c r="L999" s="75"/>
      <c r="M999" s="49"/>
      <c r="N999" s="76"/>
      <c r="O999" s="49"/>
      <c r="P999" s="77"/>
      <c r="Q999" s="53"/>
      <c r="R999" s="54"/>
      <c r="S999" s="55"/>
      <c r="T999" s="56"/>
      <c r="U999" s="56"/>
      <c r="V999" s="42"/>
      <c r="W999" s="57"/>
      <c r="X999" s="58"/>
      <c r="Y999" s="75"/>
      <c r="Z999" s="59"/>
      <c r="AA999" s="61"/>
      <c r="AB999" s="61"/>
      <c r="AC999" s="61"/>
      <c r="AD999" s="62"/>
      <c r="AE999" s="62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</row>
    <row r="1000" spans="1:77" x14ac:dyDescent="0.3">
      <c r="A1000" s="39"/>
      <c r="B1000" s="42"/>
      <c r="C1000" s="42"/>
      <c r="D1000" s="75"/>
      <c r="E1000" s="75"/>
      <c r="F1000" s="76"/>
      <c r="G1000" s="47"/>
      <c r="H1000" s="47"/>
      <c r="I1000" s="75"/>
      <c r="J1000" s="76"/>
      <c r="K1000" s="76"/>
      <c r="L1000" s="75"/>
      <c r="M1000" s="49"/>
      <c r="N1000" s="76"/>
      <c r="O1000" s="49"/>
      <c r="P1000" s="77"/>
      <c r="Q1000" s="53"/>
      <c r="R1000" s="54"/>
      <c r="S1000" s="55"/>
      <c r="T1000" s="56"/>
      <c r="U1000" s="56"/>
      <c r="V1000" s="42"/>
      <c r="W1000" s="57"/>
      <c r="X1000" s="58"/>
      <c r="Y1000" s="75"/>
      <c r="Z1000" s="59"/>
      <c r="AA1000" s="61"/>
      <c r="AB1000" s="61"/>
      <c r="AC1000" s="61"/>
      <c r="AD1000" s="62"/>
      <c r="AE1000" s="62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</row>
  </sheetData>
  <sheetProtection formatCells="0" formatColumns="0" formatRows="0" sort="0" autoFilter="0"/>
  <autoFilter ref="A2:AD1000" xr:uid="{00000000-0009-0000-0000-000004000000}"/>
  <mergeCells count="7">
    <mergeCell ref="W1:X1"/>
    <mergeCell ref="Y1:AD1"/>
    <mergeCell ref="A1:C1"/>
    <mergeCell ref="E1:H1"/>
    <mergeCell ref="I1:K1"/>
    <mergeCell ref="L1:O1"/>
    <mergeCell ref="R1:V1"/>
  </mergeCells>
  <phoneticPr fontId="3" type="noConversion"/>
  <conditionalFormatting sqref="A3:CA3000">
    <cfRule type="expression" dxfId="3" priority="1" stopIfTrue="1">
      <formula>$CA3="вводной узел"</formula>
    </cfRule>
    <cfRule type="expression" dxfId="2" priority="2" stopIfTrue="1">
      <formula>ODD($BZ3)</formula>
    </cfRule>
    <cfRule type="expression" dxfId="1" priority="3" stopIfTrue="1">
      <formula>AND($A3&lt;&gt;"",$A3&lt;&gt;$A2)</formula>
    </cfRule>
  </conditionalFormatting>
  <dataValidations count="6">
    <dataValidation type="list" allowBlank="1" sqref="E3:E1000" xr:uid="{00000000-0002-0000-0500-000000000000}">
      <formula1>Список_автоматов</formula1>
    </dataValidation>
    <dataValidation type="list" allowBlank="1" sqref="F3:F1000" xr:uid="{00000000-0002-0000-0500-000001000000}">
      <formula1>"да,нет"</formula1>
    </dataValidation>
    <dataValidation type="list" allowBlank="1" sqref="I3:K1000" xr:uid="{00000000-0002-0000-0500-000002000000}">
      <formula1>Список_аппаратов</formula1>
    </dataValidation>
    <dataValidation type="list" allowBlank="1" sqref="L3:L1000" xr:uid="{00000000-0002-0000-0500-000003000000}">
      <formula1>Список_модулей</formula1>
    </dataValidation>
    <dataValidation type="list" allowBlank="1" sqref="N3:N1000" xr:uid="{00000000-0002-0000-0500-000004000000}">
      <formula1>"+,=,р,б/к"</formula1>
    </dataValidation>
    <dataValidation type="list" allowBlank="1" sqref="Y3:Y1000" xr:uid="{00000000-0002-0000-0500-000005000000}">
      <formula1>"вручную"</formula1>
    </dataValidation>
  </dataValidations>
  <pageMargins left="0.4" right="0.4" top="0.5" bottom="0.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0EB94-868B-4CB7-82E0-F6999A4717AF}">
  <sheetPr codeName="Лист18">
    <tabColor rgb="FF00B050"/>
  </sheetPr>
  <dimension ref="B1:F334"/>
  <sheetViews>
    <sheetView showGridLines="0" workbookViewId="0"/>
  </sheetViews>
  <sheetFormatPr defaultRowHeight="13.2" x14ac:dyDescent="0.3"/>
  <cols>
    <col min="1" max="1" width="3.77734375" style="82" customWidth="1"/>
    <col min="2" max="2" width="30.77734375" style="82" customWidth="1"/>
    <col min="3" max="3" width="34.77734375" style="82" customWidth="1"/>
    <col min="4" max="4" width="22.77734375" style="82" customWidth="1"/>
    <col min="5" max="5" width="34.77734375" style="82" customWidth="1"/>
    <col min="6" max="6" width="22.77734375" style="82" customWidth="1"/>
    <col min="7" max="16384" width="8.88671875" style="82"/>
  </cols>
  <sheetData>
    <row r="1" spans="2:6" ht="13.5" customHeight="1" x14ac:dyDescent="0.3">
      <c r="B1" s="136" t="s">
        <v>2076</v>
      </c>
      <c r="C1" s="136"/>
      <c r="D1" s="136"/>
      <c r="E1" s="136"/>
      <c r="F1" s="136"/>
    </row>
    <row r="2" spans="2:6" ht="13.5" customHeight="1" x14ac:dyDescent="0.3">
      <c r="B2" s="93" t="s">
        <v>2077</v>
      </c>
      <c r="C2" s="93"/>
      <c r="D2" s="93"/>
      <c r="E2" s="93"/>
      <c r="F2" s="93"/>
    </row>
    <row r="3" spans="2:6" ht="13.5" customHeight="1" x14ac:dyDescent="0.3">
      <c r="B3" s="93" t="s">
        <v>2078</v>
      </c>
      <c r="C3" s="93"/>
      <c r="D3" s="93"/>
      <c r="E3" s="93"/>
      <c r="F3" s="93"/>
    </row>
    <row r="4" spans="2:6" ht="27" customHeight="1" x14ac:dyDescent="0.3">
      <c r="B4" s="93" t="s">
        <v>2079</v>
      </c>
      <c r="C4" s="93"/>
      <c r="D4" s="93"/>
      <c r="E4" s="93"/>
      <c r="F4" s="93"/>
    </row>
    <row r="5" spans="2:6" ht="13.5" customHeight="1" x14ac:dyDescent="0.3">
      <c r="B5" s="93" t="s">
        <v>2080</v>
      </c>
      <c r="C5" s="93"/>
      <c r="D5" s="93"/>
      <c r="E5" s="93"/>
      <c r="F5" s="93"/>
    </row>
    <row r="6" spans="2:6" ht="13.5" customHeight="1" x14ac:dyDescent="0.3">
      <c r="B6" s="93" t="s">
        <v>2081</v>
      </c>
      <c r="C6" s="93"/>
      <c r="D6" s="93"/>
      <c r="E6" s="93"/>
      <c r="F6" s="93"/>
    </row>
    <row r="7" spans="2:6" ht="40.5" customHeight="1" x14ac:dyDescent="0.3">
      <c r="B7" s="93" t="s">
        <v>2082</v>
      </c>
      <c r="C7" s="93"/>
      <c r="D7" s="93"/>
      <c r="E7" s="93"/>
      <c r="F7" s="93"/>
    </row>
    <row r="8" spans="2:6" ht="13.5" customHeight="1" x14ac:dyDescent="0.3">
      <c r="B8" s="93" t="s">
        <v>2083</v>
      </c>
      <c r="C8" s="93"/>
      <c r="D8" s="93"/>
      <c r="E8" s="93"/>
      <c r="F8" s="93"/>
    </row>
    <row r="9" spans="2:6" ht="13.5" customHeight="1" x14ac:dyDescent="0.3">
      <c r="B9" s="93" t="s">
        <v>2084</v>
      </c>
      <c r="C9" s="93"/>
      <c r="D9" s="93"/>
      <c r="E9" s="93"/>
      <c r="F9" s="93"/>
    </row>
    <row r="10" spans="2:6" x14ac:dyDescent="0.3">
      <c r="B10" s="87" t="s">
        <v>2085</v>
      </c>
      <c r="C10" s="87" t="s">
        <v>2086</v>
      </c>
      <c r="D10" s="87" t="s">
        <v>2087</v>
      </c>
    </row>
    <row r="11" spans="2:6" ht="39.6" x14ac:dyDescent="0.3">
      <c r="B11" s="89" t="s">
        <v>2088</v>
      </c>
      <c r="C11" s="89" t="s">
        <v>2089</v>
      </c>
      <c r="D11" s="89" t="s">
        <v>2090</v>
      </c>
    </row>
    <row r="12" spans="2:6" ht="39.6" x14ac:dyDescent="0.3">
      <c r="B12" s="89" t="s">
        <v>2091</v>
      </c>
      <c r="C12" s="89" t="s">
        <v>2092</v>
      </c>
      <c r="D12" s="89" t="s">
        <v>2093</v>
      </c>
    </row>
    <row r="13" spans="2:6" ht="39.6" x14ac:dyDescent="0.3">
      <c r="B13" s="89" t="s">
        <v>2094</v>
      </c>
      <c r="C13" s="89" t="s">
        <v>722</v>
      </c>
      <c r="D13" s="89" t="s">
        <v>2095</v>
      </c>
    </row>
    <row r="14" spans="2:6" ht="52.8" x14ac:dyDescent="0.3">
      <c r="B14" s="89" t="s">
        <v>2096</v>
      </c>
      <c r="C14" s="89" t="s">
        <v>722</v>
      </c>
      <c r="D14" s="89" t="s">
        <v>2097</v>
      </c>
    </row>
    <row r="15" spans="2:6" ht="52.8" x14ac:dyDescent="0.3">
      <c r="B15" s="89" t="s">
        <v>2098</v>
      </c>
      <c r="C15" s="89" t="s">
        <v>722</v>
      </c>
      <c r="D15" s="89" t="s">
        <v>2099</v>
      </c>
    </row>
    <row r="16" spans="2:6" ht="26.4" x14ac:dyDescent="0.3">
      <c r="B16" s="89" t="s">
        <v>2100</v>
      </c>
      <c r="C16" s="89" t="s">
        <v>722</v>
      </c>
      <c r="D16" s="89" t="s">
        <v>2101</v>
      </c>
    </row>
    <row r="17" spans="2:6" ht="26.4" x14ac:dyDescent="0.3">
      <c r="B17" s="89" t="s">
        <v>2102</v>
      </c>
      <c r="C17" s="89" t="s">
        <v>722</v>
      </c>
      <c r="D17" s="89" t="s">
        <v>2103</v>
      </c>
    </row>
    <row r="18" spans="2:6" ht="52.8" x14ac:dyDescent="0.3">
      <c r="B18" s="89" t="s">
        <v>2104</v>
      </c>
      <c r="C18" s="89" t="s">
        <v>722</v>
      </c>
      <c r="D18" s="89" t="s">
        <v>2105</v>
      </c>
    </row>
    <row r="20" spans="2:6" ht="27" customHeight="1" x14ac:dyDescent="0.3">
      <c r="B20" s="95" t="s">
        <v>2106</v>
      </c>
      <c r="C20" s="95"/>
      <c r="D20" s="95"/>
      <c r="E20" s="95"/>
      <c r="F20" s="95"/>
    </row>
    <row r="21" spans="2:6" ht="13.5" customHeight="1" x14ac:dyDescent="0.3">
      <c r="B21" s="93" t="s">
        <v>2107</v>
      </c>
      <c r="C21" s="93"/>
      <c r="D21" s="93"/>
      <c r="E21" s="93"/>
      <c r="F21" s="93"/>
    </row>
    <row r="22" spans="2:6" x14ac:dyDescent="0.3">
      <c r="B22" s="84"/>
      <c r="C22" s="84"/>
      <c r="D22" s="84"/>
      <c r="E22" s="84"/>
      <c r="F22" s="84"/>
    </row>
    <row r="23" spans="2:6" ht="13.5" customHeight="1" x14ac:dyDescent="0.3">
      <c r="B23" s="137" t="s">
        <v>2108</v>
      </c>
      <c r="C23" s="137"/>
      <c r="D23" s="137"/>
      <c r="E23" s="137"/>
      <c r="F23" s="137"/>
    </row>
    <row r="24" spans="2:6" x14ac:dyDescent="0.3">
      <c r="B24" s="87" t="s">
        <v>666</v>
      </c>
      <c r="C24" s="87" t="s">
        <v>2109</v>
      </c>
      <c r="D24" s="87" t="s">
        <v>2110</v>
      </c>
      <c r="E24" s="87" t="s">
        <v>2111</v>
      </c>
      <c r="F24" s="87" t="s">
        <v>2112</v>
      </c>
    </row>
    <row r="25" spans="2:6" x14ac:dyDescent="0.3">
      <c r="B25" s="89">
        <v>1</v>
      </c>
      <c r="C25" s="89" t="s">
        <v>2113</v>
      </c>
      <c r="D25" s="89" t="s">
        <v>2114</v>
      </c>
      <c r="E25" s="89" t="s">
        <v>2115</v>
      </c>
      <c r="F25" s="89" t="s">
        <v>2116</v>
      </c>
    </row>
    <row r="26" spans="2:6" ht="52.8" x14ac:dyDescent="0.3">
      <c r="B26" s="89">
        <v>2</v>
      </c>
      <c r="C26" s="89" t="s">
        <v>2117</v>
      </c>
      <c r="D26" s="89" t="s">
        <v>2118</v>
      </c>
      <c r="E26" s="89" t="s">
        <v>2119</v>
      </c>
      <c r="F26" s="89" t="s">
        <v>2120</v>
      </c>
    </row>
    <row r="27" spans="2:6" ht="26.4" x14ac:dyDescent="0.3">
      <c r="B27" s="89">
        <v>3</v>
      </c>
      <c r="C27" s="89" t="s">
        <v>2121</v>
      </c>
      <c r="D27" s="89" t="s">
        <v>2114</v>
      </c>
      <c r="E27" s="89" t="s">
        <v>2122</v>
      </c>
      <c r="F27" s="89" t="s">
        <v>2123</v>
      </c>
    </row>
    <row r="28" spans="2:6" ht="66" x14ac:dyDescent="0.3">
      <c r="B28" s="89">
        <v>4</v>
      </c>
      <c r="C28" s="89" t="s">
        <v>2124</v>
      </c>
      <c r="D28" s="89" t="s">
        <v>2118</v>
      </c>
      <c r="E28" s="89" t="s">
        <v>2125</v>
      </c>
      <c r="F28" s="89" t="s">
        <v>2126</v>
      </c>
    </row>
    <row r="29" spans="2:6" ht="26.4" x14ac:dyDescent="0.3">
      <c r="B29" s="89">
        <v>5</v>
      </c>
      <c r="C29" s="89" t="s">
        <v>2127</v>
      </c>
      <c r="D29" s="89" t="s">
        <v>2114</v>
      </c>
      <c r="E29" s="89" t="s">
        <v>2128</v>
      </c>
      <c r="F29" s="89" t="s">
        <v>2116</v>
      </c>
    </row>
    <row r="30" spans="2:6" x14ac:dyDescent="0.3">
      <c r="B30" s="89">
        <v>6</v>
      </c>
      <c r="C30" s="89" t="s">
        <v>2129</v>
      </c>
      <c r="D30" s="89" t="s">
        <v>2130</v>
      </c>
      <c r="E30" s="89" t="s">
        <v>2131</v>
      </c>
      <c r="F30" s="89" t="s">
        <v>2116</v>
      </c>
    </row>
    <row r="31" spans="2:6" ht="39.6" x14ac:dyDescent="0.3">
      <c r="B31" s="89">
        <v>7</v>
      </c>
      <c r="C31" s="89" t="s">
        <v>2132</v>
      </c>
      <c r="D31" s="89" t="s">
        <v>2114</v>
      </c>
      <c r="E31" s="89" t="s">
        <v>2133</v>
      </c>
      <c r="F31" s="89" t="s">
        <v>2134</v>
      </c>
    </row>
    <row r="32" spans="2:6" ht="26.4" x14ac:dyDescent="0.3">
      <c r="B32" s="89">
        <v>8</v>
      </c>
      <c r="C32" s="89" t="s">
        <v>2135</v>
      </c>
      <c r="D32" s="89" t="s">
        <v>2118</v>
      </c>
      <c r="E32" s="89" t="s">
        <v>2136</v>
      </c>
      <c r="F32" s="89" t="s">
        <v>2137</v>
      </c>
    </row>
    <row r="33" spans="2:6" ht="26.4" x14ac:dyDescent="0.3">
      <c r="B33" s="89">
        <v>9</v>
      </c>
      <c r="C33" s="89" t="s">
        <v>2138</v>
      </c>
      <c r="D33" s="89" t="s">
        <v>2139</v>
      </c>
      <c r="E33" s="89" t="s">
        <v>2140</v>
      </c>
      <c r="F33" s="89" t="s">
        <v>2141</v>
      </c>
    </row>
    <row r="34" spans="2:6" ht="39.6" x14ac:dyDescent="0.3">
      <c r="B34" s="89">
        <v>10</v>
      </c>
      <c r="C34" s="89" t="s">
        <v>2142</v>
      </c>
      <c r="D34" s="89" t="s">
        <v>2143</v>
      </c>
      <c r="E34" s="89" t="s">
        <v>2144</v>
      </c>
      <c r="F34" s="89" t="s">
        <v>2145</v>
      </c>
    </row>
    <row r="35" spans="2:6" ht="39.6" x14ac:dyDescent="0.3">
      <c r="B35" s="89">
        <v>11</v>
      </c>
      <c r="C35" s="89" t="s">
        <v>2146</v>
      </c>
      <c r="D35" s="89" t="s">
        <v>2118</v>
      </c>
      <c r="E35" s="89" t="s">
        <v>2147</v>
      </c>
      <c r="F35" s="89" t="s">
        <v>2148</v>
      </c>
    </row>
    <row r="36" spans="2:6" ht="52.8" x14ac:dyDescent="0.3">
      <c r="B36" s="89">
        <v>12</v>
      </c>
      <c r="C36" s="89" t="s">
        <v>2149</v>
      </c>
      <c r="D36" s="89" t="s">
        <v>2118</v>
      </c>
      <c r="E36" s="89" t="s">
        <v>2150</v>
      </c>
      <c r="F36" s="89" t="s">
        <v>2151</v>
      </c>
    </row>
    <row r="37" spans="2:6" ht="39.6" x14ac:dyDescent="0.3">
      <c r="B37" s="89">
        <v>13</v>
      </c>
      <c r="C37" s="89" t="s">
        <v>2152</v>
      </c>
      <c r="D37" s="89" t="s">
        <v>2118</v>
      </c>
      <c r="E37" s="89" t="s">
        <v>2153</v>
      </c>
      <c r="F37" s="89" t="s">
        <v>2154</v>
      </c>
    </row>
    <row r="38" spans="2:6" ht="26.4" x14ac:dyDescent="0.3">
      <c r="B38" s="89">
        <v>14</v>
      </c>
      <c r="C38" s="89" t="s">
        <v>2155</v>
      </c>
      <c r="D38" s="89" t="s">
        <v>2114</v>
      </c>
      <c r="E38" s="89" t="s">
        <v>2156</v>
      </c>
      <c r="F38" s="89" t="s">
        <v>2157</v>
      </c>
    </row>
    <row r="39" spans="2:6" ht="26.4" x14ac:dyDescent="0.3">
      <c r="B39" s="89">
        <v>15</v>
      </c>
      <c r="C39" s="89" t="s">
        <v>2158</v>
      </c>
      <c r="D39" s="89" t="s">
        <v>2118</v>
      </c>
      <c r="E39" s="89" t="s">
        <v>2159</v>
      </c>
      <c r="F39" s="89" t="s">
        <v>2160</v>
      </c>
    </row>
    <row r="40" spans="2:6" ht="26.4" x14ac:dyDescent="0.3">
      <c r="B40" s="89">
        <v>16</v>
      </c>
      <c r="C40" s="89" t="s">
        <v>168</v>
      </c>
      <c r="D40" s="89" t="s">
        <v>2114</v>
      </c>
      <c r="E40" s="89" t="s">
        <v>2161</v>
      </c>
      <c r="F40" s="89" t="s">
        <v>2116</v>
      </c>
    </row>
    <row r="41" spans="2:6" ht="26.4" x14ac:dyDescent="0.3">
      <c r="B41" s="89">
        <v>17</v>
      </c>
      <c r="C41" s="89" t="s">
        <v>2162</v>
      </c>
      <c r="D41" s="89" t="s">
        <v>2114</v>
      </c>
      <c r="E41" s="89" t="s">
        <v>2163</v>
      </c>
      <c r="F41" s="89" t="s">
        <v>2116</v>
      </c>
    </row>
    <row r="42" spans="2:6" ht="26.4" x14ac:dyDescent="0.3">
      <c r="B42" s="89">
        <v>18</v>
      </c>
      <c r="C42" s="89" t="s">
        <v>2164</v>
      </c>
      <c r="D42" s="89" t="s">
        <v>2118</v>
      </c>
      <c r="E42" s="89" t="s">
        <v>2165</v>
      </c>
      <c r="F42" s="89" t="s">
        <v>2166</v>
      </c>
    </row>
    <row r="43" spans="2:6" ht="39.6" x14ac:dyDescent="0.3">
      <c r="B43" s="89">
        <v>19</v>
      </c>
      <c r="C43" s="89" t="s">
        <v>2167</v>
      </c>
      <c r="D43" s="89" t="s">
        <v>2139</v>
      </c>
      <c r="E43" s="89" t="s">
        <v>2168</v>
      </c>
      <c r="F43" s="89" t="s">
        <v>2169</v>
      </c>
    </row>
    <row r="44" spans="2:6" x14ac:dyDescent="0.3">
      <c r="B44" s="89">
        <v>20</v>
      </c>
      <c r="C44" s="89" t="s">
        <v>2170</v>
      </c>
      <c r="D44" s="89" t="s">
        <v>2118</v>
      </c>
      <c r="E44" s="89" t="s">
        <v>2171</v>
      </c>
      <c r="F44" s="89" t="s">
        <v>2172</v>
      </c>
    </row>
    <row r="46" spans="2:6" ht="13.5" customHeight="1" x14ac:dyDescent="0.3">
      <c r="B46" s="93" t="s">
        <v>2107</v>
      </c>
      <c r="C46" s="93"/>
      <c r="D46" s="93"/>
      <c r="E46" s="93"/>
      <c r="F46" s="93"/>
    </row>
    <row r="47" spans="2:6" x14ac:dyDescent="0.3">
      <c r="B47" s="84"/>
      <c r="C47" s="84"/>
      <c r="D47" s="84"/>
      <c r="E47" s="84"/>
      <c r="F47" s="84"/>
    </row>
    <row r="48" spans="2:6" ht="13.5" customHeight="1" x14ac:dyDescent="0.3">
      <c r="B48" s="137" t="s">
        <v>2173</v>
      </c>
      <c r="C48" s="137"/>
      <c r="D48" s="137"/>
      <c r="E48" s="137"/>
      <c r="F48" s="137"/>
    </row>
    <row r="49" spans="2:6" ht="13.5" customHeight="1" x14ac:dyDescent="0.3">
      <c r="B49" s="93" t="s">
        <v>2174</v>
      </c>
      <c r="C49" s="93"/>
      <c r="D49" s="93"/>
      <c r="E49" s="93"/>
      <c r="F49" s="93"/>
    </row>
    <row r="50" spans="2:6" ht="13.5" customHeight="1" x14ac:dyDescent="0.3">
      <c r="B50" s="93" t="s">
        <v>2175</v>
      </c>
      <c r="C50" s="93"/>
      <c r="D50" s="93"/>
      <c r="E50" s="93"/>
      <c r="F50" s="93"/>
    </row>
    <row r="51" spans="2:6" x14ac:dyDescent="0.3">
      <c r="B51" s="87" t="s">
        <v>2176</v>
      </c>
      <c r="C51" s="87" t="s">
        <v>2177</v>
      </c>
      <c r="D51" s="87" t="s">
        <v>2178</v>
      </c>
    </row>
    <row r="52" spans="2:6" x14ac:dyDescent="0.3">
      <c r="B52" s="89" t="s">
        <v>6</v>
      </c>
      <c r="C52" s="89" t="s">
        <v>2179</v>
      </c>
      <c r="D52" s="89" t="s">
        <v>2180</v>
      </c>
    </row>
    <row r="53" spans="2:6" x14ac:dyDescent="0.3">
      <c r="B53" s="89" t="s">
        <v>900</v>
      </c>
      <c r="C53" s="89" t="s">
        <v>30</v>
      </c>
      <c r="D53" s="89" t="s">
        <v>2181</v>
      </c>
    </row>
    <row r="54" spans="2:6" ht="26.4" x14ac:dyDescent="0.3">
      <c r="B54" s="89" t="s">
        <v>2182</v>
      </c>
      <c r="C54" s="89" t="s">
        <v>2183</v>
      </c>
      <c r="D54" s="89" t="s">
        <v>2184</v>
      </c>
    </row>
    <row r="55" spans="2:6" ht="26.4" x14ac:dyDescent="0.3">
      <c r="B55" s="89" t="s">
        <v>2185</v>
      </c>
      <c r="C55" s="89" t="s">
        <v>2186</v>
      </c>
      <c r="D55" s="89" t="s">
        <v>2187</v>
      </c>
    </row>
    <row r="56" spans="2:6" ht="26.4" x14ac:dyDescent="0.3">
      <c r="B56" s="89" t="s">
        <v>2188</v>
      </c>
      <c r="C56" s="89" t="s">
        <v>2189</v>
      </c>
      <c r="D56" s="89" t="s">
        <v>2190</v>
      </c>
    </row>
    <row r="57" spans="2:6" ht="26.4" x14ac:dyDescent="0.3">
      <c r="B57" s="89" t="s">
        <v>2191</v>
      </c>
      <c r="C57" s="89" t="s">
        <v>499</v>
      </c>
      <c r="D57" s="89" t="s">
        <v>2192</v>
      </c>
    </row>
    <row r="58" spans="2:6" x14ac:dyDescent="0.3">
      <c r="B58" s="89" t="s">
        <v>537</v>
      </c>
      <c r="C58" s="89" t="s">
        <v>2193</v>
      </c>
      <c r="D58" s="89" t="s">
        <v>2194</v>
      </c>
    </row>
    <row r="59" spans="2:6" x14ac:dyDescent="0.3">
      <c r="B59" s="89" t="s">
        <v>849</v>
      </c>
      <c r="C59" s="89" t="s">
        <v>2195</v>
      </c>
      <c r="D59" s="89" t="s">
        <v>2196</v>
      </c>
    </row>
    <row r="60" spans="2:6" ht="26.4" x14ac:dyDescent="0.3">
      <c r="B60" s="89" t="s">
        <v>2197</v>
      </c>
      <c r="C60" s="89" t="s">
        <v>2198</v>
      </c>
      <c r="D60" s="89" t="s">
        <v>2199</v>
      </c>
    </row>
    <row r="62" spans="2:6" ht="13.5" customHeight="1" x14ac:dyDescent="0.3">
      <c r="B62" s="93" t="s">
        <v>2200</v>
      </c>
      <c r="C62" s="93"/>
      <c r="D62" s="93"/>
      <c r="E62" s="93"/>
      <c r="F62" s="93"/>
    </row>
    <row r="63" spans="2:6" ht="13.5" customHeight="1" x14ac:dyDescent="0.3">
      <c r="B63" s="93" t="s">
        <v>2107</v>
      </c>
      <c r="C63" s="93"/>
      <c r="D63" s="93"/>
      <c r="E63" s="93"/>
      <c r="F63" s="93"/>
    </row>
    <row r="64" spans="2:6" x14ac:dyDescent="0.3">
      <c r="B64" s="84"/>
      <c r="C64" s="84"/>
      <c r="D64" s="84"/>
      <c r="E64" s="84"/>
      <c r="F64" s="84"/>
    </row>
    <row r="65" spans="2:6" ht="13.5" customHeight="1" x14ac:dyDescent="0.3">
      <c r="B65" s="137" t="s">
        <v>2201</v>
      </c>
      <c r="C65" s="137"/>
      <c r="D65" s="137"/>
      <c r="E65" s="137"/>
      <c r="F65" s="137"/>
    </row>
    <row r="66" spans="2:6" ht="13.5" customHeight="1" x14ac:dyDescent="0.3">
      <c r="B66" s="93" t="s">
        <v>2202</v>
      </c>
      <c r="C66" s="93"/>
      <c r="D66" s="93"/>
      <c r="E66" s="93"/>
      <c r="F66" s="93"/>
    </row>
    <row r="67" spans="2:6" ht="13.5" customHeight="1" x14ac:dyDescent="0.3">
      <c r="B67" s="93" t="s">
        <v>2203</v>
      </c>
      <c r="C67" s="93"/>
      <c r="D67" s="93"/>
      <c r="E67" s="93"/>
      <c r="F67" s="93"/>
    </row>
    <row r="68" spans="2:6" ht="13.5" customHeight="1" x14ac:dyDescent="0.3">
      <c r="B68" s="93" t="s">
        <v>2204</v>
      </c>
      <c r="C68" s="93"/>
      <c r="D68" s="93"/>
      <c r="E68" s="93"/>
      <c r="F68" s="93"/>
    </row>
    <row r="69" spans="2:6" ht="13.5" customHeight="1" x14ac:dyDescent="0.3">
      <c r="B69" s="93" t="s">
        <v>2205</v>
      </c>
      <c r="C69" s="93"/>
      <c r="D69" s="93"/>
      <c r="E69" s="93"/>
      <c r="F69" s="93"/>
    </row>
    <row r="70" spans="2:6" ht="13.5" customHeight="1" x14ac:dyDescent="0.3">
      <c r="B70" s="93" t="s">
        <v>2206</v>
      </c>
      <c r="C70" s="93"/>
      <c r="D70" s="93"/>
      <c r="E70" s="93"/>
      <c r="F70" s="93"/>
    </row>
    <row r="71" spans="2:6" ht="13.5" customHeight="1" x14ac:dyDescent="0.3">
      <c r="B71" s="93" t="s">
        <v>2207</v>
      </c>
      <c r="C71" s="93"/>
      <c r="D71" s="93"/>
      <c r="E71" s="93"/>
      <c r="F71" s="93"/>
    </row>
    <row r="72" spans="2:6" ht="13.5" customHeight="1" x14ac:dyDescent="0.3">
      <c r="B72" s="138" t="s">
        <v>2208</v>
      </c>
      <c r="C72" s="138"/>
      <c r="D72" s="138"/>
      <c r="E72" s="138"/>
      <c r="F72" s="138"/>
    </row>
    <row r="73" spans="2:6" ht="13.5" customHeight="1" x14ac:dyDescent="0.3">
      <c r="B73" s="93" t="s">
        <v>2209</v>
      </c>
      <c r="C73" s="93"/>
      <c r="D73" s="93"/>
      <c r="E73" s="93"/>
      <c r="F73" s="93"/>
    </row>
    <row r="74" spans="2:6" ht="13.5" customHeight="1" x14ac:dyDescent="0.3">
      <c r="B74" s="93" t="s">
        <v>2210</v>
      </c>
      <c r="C74" s="93"/>
      <c r="D74" s="93"/>
      <c r="E74" s="93"/>
      <c r="F74" s="93"/>
    </row>
    <row r="75" spans="2:6" ht="13.5" customHeight="1" x14ac:dyDescent="0.3">
      <c r="B75" s="93" t="s">
        <v>2211</v>
      </c>
      <c r="C75" s="93"/>
      <c r="D75" s="93"/>
      <c r="E75" s="93"/>
      <c r="F75" s="93"/>
    </row>
    <row r="76" spans="2:6" ht="27" customHeight="1" x14ac:dyDescent="0.3">
      <c r="B76" s="93" t="s">
        <v>2212</v>
      </c>
      <c r="C76" s="93"/>
      <c r="D76" s="93"/>
      <c r="E76" s="93"/>
      <c r="F76" s="93"/>
    </row>
    <row r="77" spans="2:6" ht="13.5" customHeight="1" x14ac:dyDescent="0.3">
      <c r="B77" s="93" t="s">
        <v>2213</v>
      </c>
      <c r="C77" s="93"/>
      <c r="D77" s="93"/>
      <c r="E77" s="93"/>
      <c r="F77" s="93"/>
    </row>
    <row r="78" spans="2:6" ht="13.5" customHeight="1" x14ac:dyDescent="0.3">
      <c r="B78" s="93" t="s">
        <v>2214</v>
      </c>
      <c r="C78" s="93"/>
      <c r="D78" s="93"/>
      <c r="E78" s="93"/>
      <c r="F78" s="93"/>
    </row>
    <row r="79" spans="2:6" ht="13.5" customHeight="1" x14ac:dyDescent="0.3">
      <c r="B79" s="93" t="s">
        <v>2107</v>
      </c>
      <c r="C79" s="93"/>
      <c r="D79" s="93"/>
      <c r="E79" s="93"/>
      <c r="F79" s="93"/>
    </row>
    <row r="80" spans="2:6" x14ac:dyDescent="0.3">
      <c r="B80" s="84"/>
      <c r="C80" s="84"/>
      <c r="D80" s="84"/>
      <c r="E80" s="84"/>
      <c r="F80" s="84"/>
    </row>
    <row r="81" spans="2:6" ht="13.5" customHeight="1" x14ac:dyDescent="0.3">
      <c r="B81" s="137" t="s">
        <v>2215</v>
      </c>
      <c r="C81" s="137"/>
      <c r="D81" s="137"/>
      <c r="E81" s="137"/>
      <c r="F81" s="137"/>
    </row>
    <row r="82" spans="2:6" ht="13.5" customHeight="1" x14ac:dyDescent="0.3">
      <c r="B82" s="138" t="s">
        <v>2216</v>
      </c>
      <c r="C82" s="138"/>
      <c r="D82" s="138"/>
      <c r="E82" s="138"/>
      <c r="F82" s="138"/>
    </row>
    <row r="83" spans="2:6" ht="13.5" customHeight="1" x14ac:dyDescent="0.3">
      <c r="B83" s="93" t="s">
        <v>2217</v>
      </c>
      <c r="C83" s="93"/>
      <c r="D83" s="93"/>
      <c r="E83" s="93"/>
      <c r="F83" s="93"/>
    </row>
    <row r="84" spans="2:6" ht="13.5" customHeight="1" x14ac:dyDescent="0.3">
      <c r="B84" s="93" t="s">
        <v>2218</v>
      </c>
      <c r="C84" s="93"/>
      <c r="D84" s="93"/>
      <c r="E84" s="93"/>
      <c r="F84" s="93"/>
    </row>
    <row r="85" spans="2:6" ht="13.5" customHeight="1" x14ac:dyDescent="0.3">
      <c r="B85" s="93" t="s">
        <v>2219</v>
      </c>
      <c r="C85" s="93"/>
      <c r="D85" s="93"/>
      <c r="E85" s="93"/>
      <c r="F85" s="93"/>
    </row>
    <row r="86" spans="2:6" ht="13.5" customHeight="1" x14ac:dyDescent="0.3">
      <c r="B86" s="93" t="s">
        <v>2220</v>
      </c>
      <c r="C86" s="93"/>
      <c r="D86" s="93"/>
      <c r="E86" s="93"/>
      <c r="F86" s="93"/>
    </row>
    <row r="87" spans="2:6" ht="13.5" customHeight="1" x14ac:dyDescent="0.3">
      <c r="B87" s="93" t="s">
        <v>2221</v>
      </c>
      <c r="C87" s="93"/>
      <c r="D87" s="93"/>
      <c r="E87" s="93"/>
      <c r="F87" s="93"/>
    </row>
    <row r="88" spans="2:6" ht="13.5" customHeight="1" x14ac:dyDescent="0.3">
      <c r="B88" s="138" t="s">
        <v>2222</v>
      </c>
      <c r="C88" s="138"/>
      <c r="D88" s="138"/>
      <c r="E88" s="138"/>
      <c r="F88" s="138"/>
    </row>
    <row r="89" spans="2:6" ht="13.5" customHeight="1" x14ac:dyDescent="0.3">
      <c r="B89" s="93" t="s">
        <v>2223</v>
      </c>
      <c r="C89" s="93"/>
      <c r="D89" s="93"/>
      <c r="E89" s="93"/>
      <c r="F89" s="93"/>
    </row>
    <row r="90" spans="2:6" ht="13.5" customHeight="1" x14ac:dyDescent="0.3">
      <c r="B90" s="93" t="s">
        <v>2224</v>
      </c>
      <c r="C90" s="93"/>
      <c r="D90" s="93"/>
      <c r="E90" s="93"/>
      <c r="F90" s="93"/>
    </row>
    <row r="91" spans="2:6" ht="13.5" customHeight="1" x14ac:dyDescent="0.3">
      <c r="B91" s="93" t="s">
        <v>2225</v>
      </c>
      <c r="C91" s="93"/>
      <c r="D91" s="93"/>
      <c r="E91" s="93"/>
      <c r="F91" s="93"/>
    </row>
    <row r="92" spans="2:6" ht="13.5" customHeight="1" x14ac:dyDescent="0.3">
      <c r="B92" s="93" t="s">
        <v>2226</v>
      </c>
      <c r="C92" s="93"/>
      <c r="D92" s="93"/>
      <c r="E92" s="93"/>
      <c r="F92" s="93"/>
    </row>
    <row r="93" spans="2:6" ht="13.5" customHeight="1" x14ac:dyDescent="0.3">
      <c r="B93" s="93" t="s">
        <v>2227</v>
      </c>
      <c r="C93" s="93"/>
      <c r="D93" s="93"/>
      <c r="E93" s="93"/>
      <c r="F93" s="93"/>
    </row>
    <row r="94" spans="2:6" ht="13.5" customHeight="1" x14ac:dyDescent="0.3">
      <c r="B94" s="93" t="s">
        <v>2228</v>
      </c>
      <c r="C94" s="93"/>
      <c r="D94" s="93"/>
      <c r="E94" s="93"/>
      <c r="F94" s="93"/>
    </row>
    <row r="95" spans="2:6" ht="13.5" customHeight="1" x14ac:dyDescent="0.3">
      <c r="B95" s="93" t="s">
        <v>2229</v>
      </c>
      <c r="C95" s="93"/>
      <c r="D95" s="93"/>
      <c r="E95" s="93"/>
      <c r="F95" s="93"/>
    </row>
    <row r="96" spans="2:6" ht="13.5" customHeight="1" x14ac:dyDescent="0.3">
      <c r="B96" s="93" t="s">
        <v>2230</v>
      </c>
      <c r="C96" s="93"/>
      <c r="D96" s="93"/>
      <c r="E96" s="93"/>
      <c r="F96" s="93"/>
    </row>
    <row r="97" spans="2:6" ht="13.5" customHeight="1" x14ac:dyDescent="0.3">
      <c r="B97" s="93" t="s">
        <v>2231</v>
      </c>
      <c r="C97" s="93"/>
      <c r="D97" s="93"/>
      <c r="E97" s="93"/>
      <c r="F97" s="93"/>
    </row>
    <row r="98" spans="2:6" ht="27" customHeight="1" x14ac:dyDescent="0.3">
      <c r="B98" s="93" t="s">
        <v>2232</v>
      </c>
      <c r="C98" s="93"/>
      <c r="D98" s="93"/>
      <c r="E98" s="93"/>
      <c r="F98" s="93"/>
    </row>
    <row r="99" spans="2:6" ht="27" customHeight="1" x14ac:dyDescent="0.3">
      <c r="B99" s="93" t="s">
        <v>2233</v>
      </c>
      <c r="C99" s="93"/>
      <c r="D99" s="93"/>
      <c r="E99" s="93"/>
      <c r="F99" s="93"/>
    </row>
    <row r="100" spans="2:6" ht="27" customHeight="1" x14ac:dyDescent="0.3">
      <c r="B100" s="135" t="s">
        <v>2234</v>
      </c>
      <c r="C100" s="135"/>
      <c r="D100" s="135"/>
      <c r="E100" s="135"/>
      <c r="F100" s="135"/>
    </row>
    <row r="101" spans="2:6" ht="13.5" customHeight="1" x14ac:dyDescent="0.3">
      <c r="B101" s="138" t="s">
        <v>2235</v>
      </c>
      <c r="C101" s="138"/>
      <c r="D101" s="138"/>
      <c r="E101" s="138"/>
      <c r="F101" s="138"/>
    </row>
    <row r="102" spans="2:6" ht="27" customHeight="1" x14ac:dyDescent="0.3">
      <c r="B102" s="93" t="s">
        <v>2236</v>
      </c>
      <c r="C102" s="93"/>
      <c r="D102" s="93"/>
      <c r="E102" s="93"/>
      <c r="F102" s="93"/>
    </row>
    <row r="103" spans="2:6" ht="13.5" customHeight="1" x14ac:dyDescent="0.3">
      <c r="B103" s="93" t="s">
        <v>2237</v>
      </c>
      <c r="C103" s="93"/>
      <c r="D103" s="93"/>
      <c r="E103" s="93"/>
      <c r="F103" s="93"/>
    </row>
    <row r="104" spans="2:6" ht="13.5" customHeight="1" x14ac:dyDescent="0.3">
      <c r="B104" s="93" t="s">
        <v>2238</v>
      </c>
      <c r="C104" s="93"/>
      <c r="D104" s="93"/>
      <c r="E104" s="93"/>
      <c r="F104" s="93"/>
    </row>
    <row r="105" spans="2:6" ht="13.5" customHeight="1" x14ac:dyDescent="0.3">
      <c r="B105" s="93" t="s">
        <v>2239</v>
      </c>
      <c r="C105" s="93"/>
      <c r="D105" s="93"/>
      <c r="E105" s="93"/>
      <c r="F105" s="93"/>
    </row>
    <row r="106" spans="2:6" ht="13.5" customHeight="1" x14ac:dyDescent="0.3">
      <c r="B106" s="93" t="s">
        <v>2107</v>
      </c>
      <c r="C106" s="93"/>
      <c r="D106" s="93"/>
      <c r="E106" s="93"/>
      <c r="F106" s="93"/>
    </row>
    <row r="107" spans="2:6" x14ac:dyDescent="0.3">
      <c r="B107" s="84"/>
      <c r="C107" s="84"/>
      <c r="D107" s="84"/>
      <c r="E107" s="84"/>
      <c r="F107" s="84"/>
    </row>
    <row r="108" spans="2:6" ht="13.5" customHeight="1" x14ac:dyDescent="0.3">
      <c r="B108" s="137" t="s">
        <v>2240</v>
      </c>
      <c r="C108" s="137"/>
      <c r="D108" s="137"/>
      <c r="E108" s="137"/>
      <c r="F108" s="137"/>
    </row>
    <row r="109" spans="2:6" ht="13.5" customHeight="1" x14ac:dyDescent="0.3">
      <c r="B109" s="93" t="s">
        <v>2241</v>
      </c>
      <c r="C109" s="93"/>
      <c r="D109" s="93"/>
      <c r="E109" s="93"/>
      <c r="F109" s="93"/>
    </row>
    <row r="110" spans="2:6" ht="13.5" customHeight="1" x14ac:dyDescent="0.3">
      <c r="B110" s="93" t="s">
        <v>2242</v>
      </c>
      <c r="C110" s="93"/>
      <c r="D110" s="93"/>
      <c r="E110" s="93"/>
      <c r="F110" s="93"/>
    </row>
    <row r="111" spans="2:6" ht="13.5" customHeight="1" x14ac:dyDescent="0.3">
      <c r="B111" s="93" t="s">
        <v>2243</v>
      </c>
      <c r="C111" s="93"/>
      <c r="D111" s="93"/>
      <c r="E111" s="93"/>
      <c r="F111" s="93"/>
    </row>
    <row r="112" spans="2:6" ht="13.5" customHeight="1" x14ac:dyDescent="0.3">
      <c r="B112" s="93" t="s">
        <v>2244</v>
      </c>
      <c r="C112" s="93"/>
      <c r="D112" s="93"/>
      <c r="E112" s="93"/>
      <c r="F112" s="93"/>
    </row>
    <row r="113" spans="2:6" ht="13.5" customHeight="1" x14ac:dyDescent="0.3">
      <c r="B113" s="93" t="s">
        <v>2245</v>
      </c>
      <c r="C113" s="93"/>
      <c r="D113" s="93"/>
      <c r="E113" s="93"/>
      <c r="F113" s="93"/>
    </row>
    <row r="114" spans="2:6" ht="13.5" customHeight="1" x14ac:dyDescent="0.3">
      <c r="B114" s="93" t="s">
        <v>2246</v>
      </c>
      <c r="C114" s="93"/>
      <c r="D114" s="93"/>
      <c r="E114" s="93"/>
      <c r="F114" s="93"/>
    </row>
    <row r="115" spans="2:6" ht="13.5" customHeight="1" x14ac:dyDescent="0.3">
      <c r="B115" s="93" t="s">
        <v>2247</v>
      </c>
      <c r="C115" s="93"/>
      <c r="D115" s="93"/>
      <c r="E115" s="93"/>
      <c r="F115" s="93"/>
    </row>
    <row r="116" spans="2:6" ht="40.5" customHeight="1" x14ac:dyDescent="0.3">
      <c r="B116" s="93" t="s">
        <v>2248</v>
      </c>
      <c r="C116" s="93"/>
      <c r="D116" s="93"/>
      <c r="E116" s="93"/>
      <c r="F116" s="93"/>
    </row>
    <row r="117" spans="2:6" ht="27" customHeight="1" x14ac:dyDescent="0.3">
      <c r="B117" s="93" t="s">
        <v>2249</v>
      </c>
      <c r="C117" s="93"/>
      <c r="D117" s="93"/>
      <c r="E117" s="93"/>
      <c r="F117" s="93"/>
    </row>
    <row r="118" spans="2:6" ht="13.5" customHeight="1" x14ac:dyDescent="0.3">
      <c r="B118" s="93" t="s">
        <v>2250</v>
      </c>
      <c r="C118" s="93"/>
      <c r="D118" s="93"/>
      <c r="E118" s="93"/>
      <c r="F118" s="93"/>
    </row>
    <row r="119" spans="2:6" ht="27" customHeight="1" x14ac:dyDescent="0.3">
      <c r="B119" s="93" t="s">
        <v>2251</v>
      </c>
      <c r="C119" s="93"/>
      <c r="D119" s="93"/>
      <c r="E119" s="93"/>
      <c r="F119" s="93"/>
    </row>
    <row r="120" spans="2:6" ht="27" customHeight="1" x14ac:dyDescent="0.3">
      <c r="B120" s="93" t="s">
        <v>2252</v>
      </c>
      <c r="C120" s="93"/>
      <c r="D120" s="93"/>
      <c r="E120" s="93"/>
      <c r="F120" s="93"/>
    </row>
    <row r="121" spans="2:6" ht="13.5" customHeight="1" x14ac:dyDescent="0.3">
      <c r="B121" s="93" t="s">
        <v>2253</v>
      </c>
      <c r="C121" s="93"/>
      <c r="D121" s="93"/>
      <c r="E121" s="93"/>
      <c r="F121" s="93"/>
    </row>
    <row r="122" spans="2:6" ht="27" customHeight="1" x14ac:dyDescent="0.3">
      <c r="B122" s="93" t="s">
        <v>2254</v>
      </c>
      <c r="C122" s="93"/>
      <c r="D122" s="93"/>
      <c r="E122" s="93"/>
      <c r="F122" s="93"/>
    </row>
    <row r="123" spans="2:6" ht="13.5" customHeight="1" x14ac:dyDescent="0.3">
      <c r="B123" s="93" t="s">
        <v>2107</v>
      </c>
      <c r="C123" s="93"/>
      <c r="D123" s="93"/>
      <c r="E123" s="93"/>
      <c r="F123" s="93"/>
    </row>
    <row r="124" spans="2:6" x14ac:dyDescent="0.3">
      <c r="B124" s="84"/>
      <c r="C124" s="84"/>
      <c r="D124" s="84"/>
      <c r="E124" s="84"/>
      <c r="F124" s="84"/>
    </row>
    <row r="125" spans="2:6" ht="13.5" customHeight="1" x14ac:dyDescent="0.3">
      <c r="B125" s="137" t="s">
        <v>2255</v>
      </c>
      <c r="C125" s="137"/>
      <c r="D125" s="137"/>
      <c r="E125" s="137"/>
      <c r="F125" s="137"/>
    </row>
    <row r="126" spans="2:6" ht="13.5" customHeight="1" x14ac:dyDescent="0.3">
      <c r="B126" s="93" t="s">
        <v>2256</v>
      </c>
      <c r="C126" s="93"/>
      <c r="D126" s="93"/>
      <c r="E126" s="93"/>
      <c r="F126" s="93"/>
    </row>
    <row r="127" spans="2:6" ht="27" customHeight="1" x14ac:dyDescent="0.3">
      <c r="B127" s="93" t="s">
        <v>2257</v>
      </c>
      <c r="C127" s="93"/>
      <c r="D127" s="93"/>
      <c r="E127" s="93"/>
      <c r="F127" s="93"/>
    </row>
    <row r="128" spans="2:6" ht="13.5" customHeight="1" x14ac:dyDescent="0.3">
      <c r="B128" s="93" t="s">
        <v>2258</v>
      </c>
      <c r="C128" s="93"/>
      <c r="D128" s="93"/>
      <c r="E128" s="93"/>
      <c r="F128" s="93"/>
    </row>
    <row r="129" spans="2:6" ht="13.5" customHeight="1" x14ac:dyDescent="0.3">
      <c r="B129" s="93" t="s">
        <v>2259</v>
      </c>
      <c r="C129" s="93"/>
      <c r="D129" s="93"/>
      <c r="E129" s="93"/>
      <c r="F129" s="93"/>
    </row>
    <row r="130" spans="2:6" ht="13.5" customHeight="1" x14ac:dyDescent="0.3">
      <c r="B130" s="93" t="s">
        <v>2260</v>
      </c>
      <c r="C130" s="93"/>
      <c r="D130" s="93"/>
      <c r="E130" s="93"/>
      <c r="F130" s="93"/>
    </row>
    <row r="131" spans="2:6" ht="13.5" customHeight="1" x14ac:dyDescent="0.3">
      <c r="B131" s="93" t="s">
        <v>2261</v>
      </c>
      <c r="C131" s="93"/>
      <c r="D131" s="93"/>
      <c r="E131" s="93"/>
      <c r="F131" s="93"/>
    </row>
    <row r="132" spans="2:6" ht="13.5" customHeight="1" x14ac:dyDescent="0.3">
      <c r="B132" s="93" t="s">
        <v>2107</v>
      </c>
      <c r="C132" s="93"/>
      <c r="D132" s="93"/>
      <c r="E132" s="93"/>
      <c r="F132" s="93"/>
    </row>
    <row r="133" spans="2:6" x14ac:dyDescent="0.3">
      <c r="B133" s="84"/>
      <c r="C133" s="84"/>
      <c r="D133" s="84"/>
      <c r="E133" s="84"/>
      <c r="F133" s="84"/>
    </row>
    <row r="134" spans="2:6" ht="13.5" customHeight="1" x14ac:dyDescent="0.3">
      <c r="B134" s="137" t="s">
        <v>2262</v>
      </c>
      <c r="C134" s="137"/>
      <c r="D134" s="137"/>
      <c r="E134" s="137"/>
      <c r="F134" s="137"/>
    </row>
    <row r="135" spans="2:6" ht="13.5" customHeight="1" x14ac:dyDescent="0.3">
      <c r="B135" s="93" t="s">
        <v>2263</v>
      </c>
      <c r="C135" s="93"/>
      <c r="D135" s="93"/>
      <c r="E135" s="93"/>
      <c r="F135" s="93"/>
    </row>
    <row r="136" spans="2:6" ht="13.5" customHeight="1" x14ac:dyDescent="0.3">
      <c r="B136" s="93" t="s">
        <v>2264</v>
      </c>
      <c r="C136" s="93"/>
      <c r="D136" s="93"/>
      <c r="E136" s="93"/>
      <c r="F136" s="93"/>
    </row>
    <row r="137" spans="2:6" ht="13.5" customHeight="1" x14ac:dyDescent="0.3">
      <c r="B137" s="93" t="s">
        <v>2265</v>
      </c>
      <c r="C137" s="93"/>
      <c r="D137" s="93"/>
      <c r="E137" s="93"/>
      <c r="F137" s="93"/>
    </row>
    <row r="138" spans="2:6" ht="13.5" customHeight="1" x14ac:dyDescent="0.3">
      <c r="B138" s="93" t="s">
        <v>2266</v>
      </c>
      <c r="C138" s="93"/>
      <c r="D138" s="93"/>
      <c r="E138" s="93"/>
      <c r="F138" s="93"/>
    </row>
    <row r="139" spans="2:6" ht="13.5" customHeight="1" x14ac:dyDescent="0.3">
      <c r="B139" s="93" t="s">
        <v>2267</v>
      </c>
      <c r="C139" s="93"/>
      <c r="D139" s="93"/>
      <c r="E139" s="93"/>
      <c r="F139" s="93"/>
    </row>
    <row r="140" spans="2:6" ht="13.5" customHeight="1" x14ac:dyDescent="0.3">
      <c r="B140" s="93" t="s">
        <v>2268</v>
      </c>
      <c r="C140" s="93"/>
      <c r="D140" s="93"/>
      <c r="E140" s="93"/>
      <c r="F140" s="93"/>
    </row>
    <row r="141" spans="2:6" ht="13.5" customHeight="1" x14ac:dyDescent="0.3">
      <c r="B141" s="93" t="s">
        <v>2269</v>
      </c>
      <c r="C141" s="93"/>
      <c r="D141" s="93"/>
      <c r="E141" s="93"/>
      <c r="F141" s="93"/>
    </row>
    <row r="142" spans="2:6" ht="13.5" customHeight="1" x14ac:dyDescent="0.3">
      <c r="B142" s="93" t="s">
        <v>2270</v>
      </c>
      <c r="C142" s="93"/>
      <c r="D142" s="93"/>
      <c r="E142" s="93"/>
      <c r="F142" s="93"/>
    </row>
    <row r="143" spans="2:6" ht="13.5" customHeight="1" x14ac:dyDescent="0.3">
      <c r="B143" s="93" t="s">
        <v>2271</v>
      </c>
      <c r="C143" s="93"/>
      <c r="D143" s="93"/>
      <c r="E143" s="93"/>
      <c r="F143" s="93"/>
    </row>
    <row r="144" spans="2:6" ht="40.5" customHeight="1" x14ac:dyDescent="0.3">
      <c r="B144" s="93" t="s">
        <v>2272</v>
      </c>
      <c r="C144" s="93"/>
      <c r="D144" s="93"/>
      <c r="E144" s="93"/>
      <c r="F144" s="93"/>
    </row>
    <row r="145" spans="2:6" ht="13.5" customHeight="1" x14ac:dyDescent="0.3">
      <c r="B145" s="93" t="s">
        <v>2273</v>
      </c>
      <c r="C145" s="93"/>
      <c r="D145" s="93"/>
      <c r="E145" s="93"/>
      <c r="F145" s="93"/>
    </row>
    <row r="146" spans="2:6" ht="13.5" customHeight="1" x14ac:dyDescent="0.3">
      <c r="B146" s="93" t="s">
        <v>2274</v>
      </c>
      <c r="C146" s="93"/>
      <c r="D146" s="93"/>
      <c r="E146" s="93"/>
      <c r="F146" s="93"/>
    </row>
    <row r="147" spans="2:6" ht="13.5" customHeight="1" x14ac:dyDescent="0.3">
      <c r="B147" s="93" t="s">
        <v>2107</v>
      </c>
      <c r="C147" s="93"/>
      <c r="D147" s="93"/>
      <c r="E147" s="93"/>
      <c r="F147" s="93"/>
    </row>
    <row r="148" spans="2:6" x14ac:dyDescent="0.3">
      <c r="B148" s="84"/>
      <c r="C148" s="84"/>
      <c r="D148" s="84"/>
      <c r="E148" s="84"/>
      <c r="F148" s="84"/>
    </row>
    <row r="149" spans="2:6" ht="13.5" customHeight="1" x14ac:dyDescent="0.3">
      <c r="B149" s="137" t="s">
        <v>2275</v>
      </c>
      <c r="C149" s="137"/>
      <c r="D149" s="137"/>
      <c r="E149" s="137"/>
      <c r="F149" s="137"/>
    </row>
    <row r="150" spans="2:6" ht="13.5" customHeight="1" x14ac:dyDescent="0.3">
      <c r="B150" s="138" t="s">
        <v>2276</v>
      </c>
      <c r="C150" s="138"/>
      <c r="D150" s="138"/>
      <c r="E150" s="138"/>
      <c r="F150" s="138"/>
    </row>
    <row r="151" spans="2:6" ht="13.5" customHeight="1" x14ac:dyDescent="0.3">
      <c r="B151" s="93" t="s">
        <v>2277</v>
      </c>
      <c r="C151" s="93"/>
      <c r="D151" s="93"/>
      <c r="E151" s="93"/>
      <c r="F151" s="93"/>
    </row>
    <row r="152" spans="2:6" ht="13.5" customHeight="1" x14ac:dyDescent="0.3">
      <c r="B152" s="93" t="s">
        <v>2278</v>
      </c>
      <c r="C152" s="93"/>
      <c r="D152" s="93"/>
      <c r="E152" s="93"/>
      <c r="F152" s="93"/>
    </row>
    <row r="153" spans="2:6" ht="13.5" customHeight="1" x14ac:dyDescent="0.3">
      <c r="B153" s="93" t="s">
        <v>2279</v>
      </c>
      <c r="C153" s="93"/>
      <c r="D153" s="93"/>
      <c r="E153" s="93"/>
      <c r="F153" s="93"/>
    </row>
    <row r="154" spans="2:6" ht="13.5" customHeight="1" x14ac:dyDescent="0.3">
      <c r="B154" s="93" t="s">
        <v>2280</v>
      </c>
      <c r="C154" s="93"/>
      <c r="D154" s="93"/>
      <c r="E154" s="93"/>
      <c r="F154" s="93"/>
    </row>
    <row r="155" spans="2:6" ht="13.5" customHeight="1" x14ac:dyDescent="0.3">
      <c r="B155" s="93" t="s">
        <v>2281</v>
      </c>
      <c r="C155" s="93"/>
      <c r="D155" s="93"/>
      <c r="E155" s="93"/>
      <c r="F155" s="93"/>
    </row>
    <row r="156" spans="2:6" ht="13.5" customHeight="1" x14ac:dyDescent="0.3">
      <c r="B156" s="138" t="s">
        <v>2282</v>
      </c>
      <c r="C156" s="138"/>
      <c r="D156" s="138"/>
      <c r="E156" s="138"/>
      <c r="F156" s="138"/>
    </row>
    <row r="157" spans="2:6" ht="13.5" customHeight="1" x14ac:dyDescent="0.3">
      <c r="B157" s="93" t="s">
        <v>2283</v>
      </c>
      <c r="C157" s="93"/>
      <c r="D157" s="93"/>
      <c r="E157" s="93"/>
      <c r="F157" s="93"/>
    </row>
    <row r="158" spans="2:6" ht="13.5" customHeight="1" x14ac:dyDescent="0.3">
      <c r="B158" s="93" t="s">
        <v>2284</v>
      </c>
      <c r="C158" s="93"/>
      <c r="D158" s="93"/>
      <c r="E158" s="93"/>
      <c r="F158" s="93"/>
    </row>
    <row r="159" spans="2:6" ht="13.5" customHeight="1" x14ac:dyDescent="0.3">
      <c r="B159" s="138" t="s">
        <v>2285</v>
      </c>
      <c r="C159" s="138"/>
      <c r="D159" s="138"/>
      <c r="E159" s="138"/>
      <c r="F159" s="138"/>
    </row>
    <row r="160" spans="2:6" ht="13.5" customHeight="1" x14ac:dyDescent="0.3">
      <c r="B160" s="93" t="s">
        <v>2286</v>
      </c>
      <c r="C160" s="93"/>
      <c r="D160" s="93"/>
      <c r="E160" s="93"/>
      <c r="F160" s="93"/>
    </row>
    <row r="161" spans="2:6" ht="13.5" customHeight="1" x14ac:dyDescent="0.3">
      <c r="B161" s="93" t="s">
        <v>2287</v>
      </c>
      <c r="C161" s="93"/>
      <c r="D161" s="93"/>
      <c r="E161" s="93"/>
      <c r="F161" s="93"/>
    </row>
    <row r="162" spans="2:6" ht="27" customHeight="1" x14ac:dyDescent="0.3">
      <c r="B162" s="93" t="s">
        <v>2288</v>
      </c>
      <c r="C162" s="93"/>
      <c r="D162" s="93"/>
      <c r="E162" s="93"/>
      <c r="F162" s="93"/>
    </row>
    <row r="163" spans="2:6" ht="13.5" customHeight="1" x14ac:dyDescent="0.3">
      <c r="B163" s="93" t="s">
        <v>2289</v>
      </c>
      <c r="C163" s="93"/>
      <c r="D163" s="93"/>
      <c r="E163" s="93"/>
      <c r="F163" s="93"/>
    </row>
    <row r="164" spans="2:6" ht="40.5" customHeight="1" x14ac:dyDescent="0.3">
      <c r="B164" s="93" t="s">
        <v>2290</v>
      </c>
      <c r="C164" s="93"/>
      <c r="D164" s="93"/>
      <c r="E164" s="93"/>
      <c r="F164" s="93"/>
    </row>
    <row r="165" spans="2:6" ht="13.5" customHeight="1" x14ac:dyDescent="0.3">
      <c r="B165" s="93" t="s">
        <v>2250</v>
      </c>
      <c r="C165" s="93"/>
      <c r="D165" s="93"/>
      <c r="E165" s="93"/>
      <c r="F165" s="93"/>
    </row>
    <row r="166" spans="2:6" ht="13.5" customHeight="1" x14ac:dyDescent="0.3">
      <c r="B166" s="93" t="s">
        <v>2291</v>
      </c>
      <c r="C166" s="93"/>
      <c r="D166" s="93"/>
      <c r="E166" s="93"/>
      <c r="F166" s="93"/>
    </row>
    <row r="167" spans="2:6" ht="13.5" customHeight="1" x14ac:dyDescent="0.3">
      <c r="B167" s="93" t="s">
        <v>2292</v>
      </c>
      <c r="C167" s="93"/>
      <c r="D167" s="93"/>
      <c r="E167" s="93"/>
      <c r="F167" s="93"/>
    </row>
    <row r="168" spans="2:6" ht="13.5" customHeight="1" x14ac:dyDescent="0.3">
      <c r="B168" s="93" t="s">
        <v>2293</v>
      </c>
      <c r="C168" s="93"/>
      <c r="D168" s="93"/>
      <c r="E168" s="93"/>
      <c r="F168" s="93"/>
    </row>
    <row r="169" spans="2:6" ht="13.5" customHeight="1" x14ac:dyDescent="0.3">
      <c r="B169" s="93" t="s">
        <v>2294</v>
      </c>
      <c r="C169" s="93"/>
      <c r="D169" s="93"/>
      <c r="E169" s="93"/>
      <c r="F169" s="93"/>
    </row>
    <row r="170" spans="2:6" ht="13.5" customHeight="1" x14ac:dyDescent="0.3">
      <c r="B170" s="93" t="s">
        <v>2295</v>
      </c>
      <c r="C170" s="93"/>
      <c r="D170" s="93"/>
      <c r="E170" s="93"/>
      <c r="F170" s="93"/>
    </row>
    <row r="171" spans="2:6" ht="27" customHeight="1" x14ac:dyDescent="0.3">
      <c r="B171" s="93" t="s">
        <v>2296</v>
      </c>
      <c r="C171" s="93"/>
      <c r="D171" s="93"/>
      <c r="E171" s="93"/>
      <c r="F171" s="93"/>
    </row>
    <row r="172" spans="2:6" ht="13.5" customHeight="1" x14ac:dyDescent="0.3">
      <c r="B172" s="93" t="s">
        <v>2297</v>
      </c>
      <c r="C172" s="93"/>
      <c r="D172" s="93"/>
      <c r="E172" s="93"/>
      <c r="F172" s="93"/>
    </row>
    <row r="173" spans="2:6" ht="13.5" customHeight="1" x14ac:dyDescent="0.3">
      <c r="B173" s="138" t="s">
        <v>2298</v>
      </c>
      <c r="C173" s="138"/>
      <c r="D173" s="138"/>
      <c r="E173" s="138"/>
      <c r="F173" s="138"/>
    </row>
    <row r="174" spans="2:6" ht="13.5" customHeight="1" x14ac:dyDescent="0.3">
      <c r="B174" s="93" t="s">
        <v>2299</v>
      </c>
      <c r="C174" s="93"/>
      <c r="D174" s="93"/>
      <c r="E174" s="93"/>
      <c r="F174" s="93"/>
    </row>
    <row r="175" spans="2:6" ht="27" customHeight="1" x14ac:dyDescent="0.3">
      <c r="B175" s="93" t="s">
        <v>2300</v>
      </c>
      <c r="C175" s="93"/>
      <c r="D175" s="93"/>
      <c r="E175" s="93"/>
      <c r="F175" s="93"/>
    </row>
    <row r="176" spans="2:6" ht="27" customHeight="1" x14ac:dyDescent="0.3">
      <c r="B176" s="93" t="s">
        <v>2301</v>
      </c>
      <c r="C176" s="93"/>
      <c r="D176" s="93"/>
      <c r="E176" s="93"/>
      <c r="F176" s="93"/>
    </row>
    <row r="177" spans="2:6" ht="13.5" customHeight="1" x14ac:dyDescent="0.3">
      <c r="B177" s="93" t="s">
        <v>2302</v>
      </c>
      <c r="C177" s="93"/>
      <c r="D177" s="93"/>
      <c r="E177" s="93"/>
      <c r="F177" s="93"/>
    </row>
    <row r="178" spans="2:6" ht="13.5" customHeight="1" x14ac:dyDescent="0.3">
      <c r="B178" s="138" t="s">
        <v>2303</v>
      </c>
      <c r="C178" s="138"/>
      <c r="D178" s="138"/>
      <c r="E178" s="138"/>
      <c r="F178" s="138"/>
    </row>
    <row r="179" spans="2:6" ht="40.5" customHeight="1" x14ac:dyDescent="0.3">
      <c r="B179" s="95" t="s">
        <v>2304</v>
      </c>
      <c r="C179" s="95"/>
      <c r="D179" s="95"/>
      <c r="E179" s="95"/>
      <c r="F179" s="95"/>
    </row>
    <row r="180" spans="2:6" ht="13.5" customHeight="1" x14ac:dyDescent="0.3">
      <c r="B180" s="93" t="s">
        <v>2107</v>
      </c>
      <c r="C180" s="93"/>
      <c r="D180" s="93"/>
      <c r="E180" s="93"/>
      <c r="F180" s="93"/>
    </row>
    <row r="181" spans="2:6" x14ac:dyDescent="0.3">
      <c r="B181" s="84"/>
      <c r="C181" s="84"/>
      <c r="D181" s="84"/>
      <c r="E181" s="84"/>
      <c r="F181" s="84"/>
    </row>
    <row r="182" spans="2:6" ht="13.5" customHeight="1" x14ac:dyDescent="0.3">
      <c r="B182" s="137" t="s">
        <v>2305</v>
      </c>
      <c r="C182" s="137"/>
      <c r="D182" s="137"/>
      <c r="E182" s="137"/>
      <c r="F182" s="137"/>
    </row>
    <row r="183" spans="2:6" ht="13.5" customHeight="1" x14ac:dyDescent="0.3">
      <c r="B183" s="138" t="s">
        <v>2306</v>
      </c>
      <c r="C183" s="138"/>
      <c r="D183" s="138"/>
      <c r="E183" s="138"/>
      <c r="F183" s="138"/>
    </row>
    <row r="184" spans="2:6" x14ac:dyDescent="0.3">
      <c r="B184" s="87" t="s">
        <v>867</v>
      </c>
      <c r="C184" s="87" t="s">
        <v>2307</v>
      </c>
      <c r="D184" s="87" t="s">
        <v>2308</v>
      </c>
    </row>
    <row r="185" spans="2:6" ht="26.4" x14ac:dyDescent="0.3">
      <c r="B185" s="89" t="s">
        <v>564</v>
      </c>
      <c r="C185" s="89" t="s">
        <v>2309</v>
      </c>
      <c r="D185" s="89" t="s">
        <v>2310</v>
      </c>
    </row>
    <row r="186" spans="2:6" ht="52.8" x14ac:dyDescent="0.3">
      <c r="B186" s="89" t="s">
        <v>600</v>
      </c>
      <c r="C186" s="89" t="s">
        <v>2311</v>
      </c>
      <c r="D186" s="89" t="s">
        <v>2312</v>
      </c>
    </row>
    <row r="187" spans="2:6" ht="26.4" x14ac:dyDescent="0.3">
      <c r="B187" s="89" t="s">
        <v>575</v>
      </c>
      <c r="C187" s="89" t="s">
        <v>2313</v>
      </c>
      <c r="D187" s="89" t="s">
        <v>2314</v>
      </c>
    </row>
    <row r="188" spans="2:6" x14ac:dyDescent="0.3">
      <c r="B188" s="89" t="s">
        <v>549</v>
      </c>
      <c r="C188" s="89" t="s">
        <v>2315</v>
      </c>
      <c r="D188" s="89" t="s">
        <v>2316</v>
      </c>
    </row>
    <row r="189" spans="2:6" ht="26.4" x14ac:dyDescent="0.3">
      <c r="B189" s="89" t="s">
        <v>4</v>
      </c>
      <c r="C189" s="89" t="s">
        <v>2317</v>
      </c>
      <c r="D189" s="89" t="s">
        <v>2318</v>
      </c>
    </row>
    <row r="191" spans="2:6" ht="13.5" customHeight="1" x14ac:dyDescent="0.3">
      <c r="B191" s="138" t="s">
        <v>2319</v>
      </c>
      <c r="C191" s="138"/>
      <c r="D191" s="138"/>
      <c r="E191" s="138"/>
      <c r="F191" s="138"/>
    </row>
    <row r="192" spans="2:6" ht="13.5" customHeight="1" x14ac:dyDescent="0.3">
      <c r="B192" s="93" t="s">
        <v>2320</v>
      </c>
      <c r="C192" s="93"/>
      <c r="D192" s="93"/>
      <c r="E192" s="93"/>
      <c r="F192" s="93"/>
    </row>
    <row r="193" spans="2:6" ht="13.5" customHeight="1" x14ac:dyDescent="0.3">
      <c r="B193" s="93" t="s">
        <v>2321</v>
      </c>
      <c r="C193" s="93"/>
      <c r="D193" s="93"/>
      <c r="E193" s="93"/>
      <c r="F193" s="93"/>
    </row>
    <row r="194" spans="2:6" x14ac:dyDescent="0.3">
      <c r="B194" s="87" t="s">
        <v>543</v>
      </c>
      <c r="C194" s="87" t="s">
        <v>2322</v>
      </c>
      <c r="D194" s="87">
        <v>20</v>
      </c>
      <c r="E194" s="87">
        <v>30</v>
      </c>
      <c r="F194" s="87">
        <v>40</v>
      </c>
    </row>
    <row r="195" spans="2:6" x14ac:dyDescent="0.3">
      <c r="B195" s="89" t="s">
        <v>531</v>
      </c>
      <c r="C195" s="89" t="s">
        <v>2323</v>
      </c>
      <c r="D195" s="89" t="s">
        <v>2324</v>
      </c>
      <c r="E195" s="89" t="s">
        <v>2325</v>
      </c>
      <c r="F195" s="89" t="s">
        <v>2326</v>
      </c>
    </row>
    <row r="197" spans="2:6" ht="13.5" customHeight="1" x14ac:dyDescent="0.3">
      <c r="B197" s="93" t="s">
        <v>2327</v>
      </c>
      <c r="C197" s="93"/>
      <c r="D197" s="93"/>
      <c r="E197" s="93"/>
      <c r="F197" s="93"/>
    </row>
    <row r="198" spans="2:6" ht="13.5" customHeight="1" x14ac:dyDescent="0.3">
      <c r="B198" s="93" t="s">
        <v>2287</v>
      </c>
      <c r="C198" s="93"/>
      <c r="D198" s="93"/>
      <c r="E198" s="93"/>
      <c r="F198" s="93"/>
    </row>
    <row r="199" spans="2:6" ht="13.5" customHeight="1" x14ac:dyDescent="0.3">
      <c r="B199" s="93" t="s">
        <v>2328</v>
      </c>
      <c r="C199" s="93"/>
      <c r="D199" s="93"/>
      <c r="E199" s="93"/>
      <c r="F199" s="93"/>
    </row>
    <row r="200" spans="2:6" ht="27" customHeight="1" x14ac:dyDescent="0.3">
      <c r="B200" s="93" t="s">
        <v>2329</v>
      </c>
      <c r="C200" s="93"/>
      <c r="D200" s="93"/>
      <c r="E200" s="93"/>
      <c r="F200" s="93"/>
    </row>
    <row r="201" spans="2:6" ht="13.5" customHeight="1" x14ac:dyDescent="0.3">
      <c r="B201" s="93" t="s">
        <v>2330</v>
      </c>
      <c r="C201" s="93"/>
      <c r="D201" s="93"/>
      <c r="E201" s="93"/>
      <c r="F201" s="93"/>
    </row>
    <row r="202" spans="2:6" ht="27" customHeight="1" x14ac:dyDescent="0.3">
      <c r="B202" s="93" t="s">
        <v>2331</v>
      </c>
      <c r="C202" s="93"/>
      <c r="D202" s="93"/>
      <c r="E202" s="93"/>
      <c r="F202" s="93"/>
    </row>
    <row r="203" spans="2:6" ht="40.5" customHeight="1" x14ac:dyDescent="0.3">
      <c r="B203" s="93" t="s">
        <v>2332</v>
      </c>
      <c r="C203" s="93"/>
      <c r="D203" s="93"/>
      <c r="E203" s="93"/>
      <c r="F203" s="93"/>
    </row>
    <row r="204" spans="2:6" ht="13.5" customHeight="1" x14ac:dyDescent="0.3">
      <c r="B204" s="93" t="s">
        <v>2333</v>
      </c>
      <c r="C204" s="93"/>
      <c r="D204" s="93"/>
      <c r="E204" s="93"/>
      <c r="F204" s="93"/>
    </row>
    <row r="205" spans="2:6" ht="13.5" customHeight="1" x14ac:dyDescent="0.3">
      <c r="B205" s="93" t="s">
        <v>2334</v>
      </c>
      <c r="C205" s="93"/>
      <c r="D205" s="93"/>
      <c r="E205" s="93"/>
      <c r="F205" s="93"/>
    </row>
    <row r="206" spans="2:6" ht="13.5" customHeight="1" x14ac:dyDescent="0.3">
      <c r="B206" s="93" t="s">
        <v>2335</v>
      </c>
      <c r="C206" s="93"/>
      <c r="D206" s="93"/>
      <c r="E206" s="93"/>
      <c r="F206" s="93"/>
    </row>
    <row r="207" spans="2:6" ht="27" customHeight="1" x14ac:dyDescent="0.3">
      <c r="B207" s="93" t="s">
        <v>2336</v>
      </c>
      <c r="C207" s="93"/>
      <c r="D207" s="93"/>
      <c r="E207" s="93"/>
      <c r="F207" s="93"/>
    </row>
    <row r="208" spans="2:6" ht="27" customHeight="1" x14ac:dyDescent="0.3">
      <c r="B208" s="93" t="s">
        <v>2337</v>
      </c>
      <c r="C208" s="93"/>
      <c r="D208" s="93"/>
      <c r="E208" s="93"/>
      <c r="F208" s="93"/>
    </row>
    <row r="209" spans="2:6" ht="13.5" customHeight="1" x14ac:dyDescent="0.3">
      <c r="B209" s="93" t="s">
        <v>2338</v>
      </c>
      <c r="C209" s="93"/>
      <c r="D209" s="93"/>
      <c r="E209" s="93"/>
      <c r="F209" s="93"/>
    </row>
    <row r="210" spans="2:6" ht="13.5" customHeight="1" x14ac:dyDescent="0.3">
      <c r="B210" s="93" t="s">
        <v>2339</v>
      </c>
      <c r="C210" s="93"/>
      <c r="D210" s="93"/>
      <c r="E210" s="93"/>
      <c r="F210" s="93"/>
    </row>
    <row r="211" spans="2:6" ht="27" customHeight="1" x14ac:dyDescent="0.3">
      <c r="B211" s="93" t="s">
        <v>2340</v>
      </c>
      <c r="C211" s="93"/>
      <c r="D211" s="93"/>
      <c r="E211" s="93"/>
      <c r="F211" s="93"/>
    </row>
    <row r="212" spans="2:6" ht="13.5" customHeight="1" x14ac:dyDescent="0.3">
      <c r="B212" s="93" t="s">
        <v>2341</v>
      </c>
      <c r="C212" s="93"/>
      <c r="D212" s="93"/>
      <c r="E212" s="93"/>
      <c r="F212" s="93"/>
    </row>
    <row r="213" spans="2:6" ht="13.5" customHeight="1" x14ac:dyDescent="0.3">
      <c r="B213" s="93" t="s">
        <v>2342</v>
      </c>
      <c r="C213" s="93"/>
      <c r="D213" s="93"/>
      <c r="E213" s="93"/>
      <c r="F213" s="93"/>
    </row>
    <row r="214" spans="2:6" ht="13.5" customHeight="1" x14ac:dyDescent="0.3">
      <c r="B214" s="93" t="s">
        <v>2343</v>
      </c>
      <c r="C214" s="93"/>
      <c r="D214" s="93"/>
      <c r="E214" s="93"/>
      <c r="F214" s="93"/>
    </row>
    <row r="215" spans="2:6" ht="13.5" customHeight="1" x14ac:dyDescent="0.3">
      <c r="B215" s="138" t="s">
        <v>2344</v>
      </c>
      <c r="C215" s="138"/>
      <c r="D215" s="138"/>
      <c r="E215" s="138"/>
      <c r="F215" s="138"/>
    </row>
    <row r="216" spans="2:6" ht="27" customHeight="1" x14ac:dyDescent="0.3">
      <c r="B216" s="93" t="s">
        <v>2345</v>
      </c>
      <c r="C216" s="93"/>
      <c r="D216" s="93"/>
      <c r="E216" s="93"/>
      <c r="F216" s="93"/>
    </row>
    <row r="217" spans="2:6" ht="13.5" customHeight="1" x14ac:dyDescent="0.3">
      <c r="B217" s="93" t="s">
        <v>2346</v>
      </c>
      <c r="C217" s="93"/>
      <c r="D217" s="93"/>
      <c r="E217" s="93"/>
      <c r="F217" s="93"/>
    </row>
    <row r="218" spans="2:6" ht="13.5" customHeight="1" x14ac:dyDescent="0.3">
      <c r="B218" s="93" t="s">
        <v>2347</v>
      </c>
      <c r="C218" s="93"/>
      <c r="D218" s="93"/>
      <c r="E218" s="93"/>
      <c r="F218" s="93"/>
    </row>
    <row r="219" spans="2:6" ht="13.5" customHeight="1" x14ac:dyDescent="0.3">
      <c r="B219" s="93" t="s">
        <v>2348</v>
      </c>
      <c r="C219" s="93"/>
      <c r="D219" s="93"/>
      <c r="E219" s="93"/>
      <c r="F219" s="93"/>
    </row>
    <row r="220" spans="2:6" ht="27" customHeight="1" x14ac:dyDescent="0.3">
      <c r="B220" s="93" t="s">
        <v>2349</v>
      </c>
      <c r="C220" s="93"/>
      <c r="D220" s="93"/>
      <c r="E220" s="93"/>
      <c r="F220" s="93"/>
    </row>
    <row r="221" spans="2:6" ht="13.5" customHeight="1" x14ac:dyDescent="0.3">
      <c r="B221" s="138" t="s">
        <v>2350</v>
      </c>
      <c r="C221" s="138"/>
      <c r="D221" s="138"/>
      <c r="E221" s="138"/>
      <c r="F221" s="138"/>
    </row>
    <row r="222" spans="2:6" ht="13.5" customHeight="1" x14ac:dyDescent="0.3">
      <c r="B222" s="93" t="s">
        <v>2351</v>
      </c>
      <c r="C222" s="93"/>
      <c r="D222" s="93"/>
      <c r="E222" s="93"/>
      <c r="F222" s="93"/>
    </row>
    <row r="223" spans="2:6" ht="40.5" customHeight="1" x14ac:dyDescent="0.3">
      <c r="B223" s="93" t="s">
        <v>2352</v>
      </c>
      <c r="C223" s="93"/>
      <c r="D223" s="93"/>
      <c r="E223" s="93"/>
      <c r="F223" s="93"/>
    </row>
    <row r="224" spans="2:6" ht="13.5" customHeight="1" x14ac:dyDescent="0.3">
      <c r="B224" s="93" t="s">
        <v>2353</v>
      </c>
      <c r="C224" s="93"/>
      <c r="D224" s="93"/>
      <c r="E224" s="93"/>
      <c r="F224" s="93"/>
    </row>
    <row r="225" spans="2:6" ht="13.5" customHeight="1" x14ac:dyDescent="0.3">
      <c r="B225" s="93" t="s">
        <v>2107</v>
      </c>
      <c r="C225" s="93"/>
      <c r="D225" s="93"/>
      <c r="E225" s="93"/>
      <c r="F225" s="93"/>
    </row>
    <row r="226" spans="2:6" x14ac:dyDescent="0.3">
      <c r="B226" s="84"/>
      <c r="C226" s="84"/>
      <c r="D226" s="84"/>
      <c r="E226" s="84"/>
      <c r="F226" s="84"/>
    </row>
    <row r="227" spans="2:6" ht="13.5" customHeight="1" x14ac:dyDescent="0.3">
      <c r="B227" s="137" t="s">
        <v>2354</v>
      </c>
      <c r="C227" s="137"/>
      <c r="D227" s="137"/>
      <c r="E227" s="137"/>
      <c r="F227" s="137"/>
    </row>
    <row r="228" spans="2:6" x14ac:dyDescent="0.3">
      <c r="B228" s="87" t="s">
        <v>2355</v>
      </c>
      <c r="C228" s="87" t="s">
        <v>2356</v>
      </c>
      <c r="D228" s="87" t="s">
        <v>2357</v>
      </c>
      <c r="E228" s="87" t="s">
        <v>2358</v>
      </c>
      <c r="F228" s="87" t="s">
        <v>2110</v>
      </c>
    </row>
    <row r="229" spans="2:6" x14ac:dyDescent="0.3">
      <c r="B229" s="89" t="s">
        <v>2359</v>
      </c>
      <c r="C229" s="89" t="s">
        <v>2360</v>
      </c>
      <c r="D229" s="89" t="s">
        <v>2361</v>
      </c>
      <c r="E229" s="89" t="s">
        <v>2362</v>
      </c>
      <c r="F229" s="89" t="s">
        <v>722</v>
      </c>
    </row>
    <row r="230" spans="2:6" ht="52.8" x14ac:dyDescent="0.3">
      <c r="B230" s="89">
        <v>32</v>
      </c>
      <c r="C230" s="89" t="s">
        <v>805</v>
      </c>
      <c r="D230" s="89" t="s">
        <v>2363</v>
      </c>
      <c r="E230" s="89" t="s">
        <v>2364</v>
      </c>
      <c r="F230" s="89" t="s">
        <v>2114</v>
      </c>
    </row>
    <row r="231" spans="2:6" ht="26.4" x14ac:dyDescent="0.3">
      <c r="B231" s="89">
        <v>33</v>
      </c>
      <c r="C231" s="89" t="s">
        <v>1771</v>
      </c>
      <c r="D231" s="89" t="s">
        <v>2365</v>
      </c>
      <c r="E231" s="89" t="s">
        <v>2366</v>
      </c>
      <c r="F231" s="89" t="s">
        <v>2114</v>
      </c>
    </row>
    <row r="232" spans="2:6" x14ac:dyDescent="0.3">
      <c r="B232" s="89" t="s">
        <v>2367</v>
      </c>
      <c r="C232" s="89" t="s">
        <v>2368</v>
      </c>
      <c r="D232" s="89" t="s">
        <v>2369</v>
      </c>
      <c r="E232" s="89" t="s">
        <v>2370</v>
      </c>
      <c r="F232" s="89" t="s">
        <v>2118</v>
      </c>
    </row>
    <row r="233" spans="2:6" ht="52.8" x14ac:dyDescent="0.3">
      <c r="B233" s="89">
        <v>37</v>
      </c>
      <c r="C233" s="89" t="s">
        <v>2371</v>
      </c>
      <c r="D233" s="89" t="s">
        <v>2372</v>
      </c>
      <c r="E233" s="89" t="s">
        <v>2373</v>
      </c>
      <c r="F233" s="89" t="s">
        <v>2118</v>
      </c>
    </row>
    <row r="234" spans="2:6" x14ac:dyDescent="0.3">
      <c r="B234" s="89">
        <v>38</v>
      </c>
      <c r="C234" s="89" t="s">
        <v>2374</v>
      </c>
      <c r="D234" s="89"/>
      <c r="E234" s="89" t="s">
        <v>2375</v>
      </c>
      <c r="F234" s="89" t="s">
        <v>2114</v>
      </c>
    </row>
    <row r="235" spans="2:6" x14ac:dyDescent="0.3">
      <c r="B235" s="89">
        <v>39</v>
      </c>
      <c r="C235" s="89" t="s">
        <v>2376</v>
      </c>
      <c r="D235" s="89" t="s">
        <v>2377</v>
      </c>
      <c r="E235" s="89" t="s">
        <v>2378</v>
      </c>
      <c r="F235" s="89" t="s">
        <v>2114</v>
      </c>
    </row>
    <row r="236" spans="2:6" ht="66" x14ac:dyDescent="0.3">
      <c r="B236" s="89">
        <v>40</v>
      </c>
      <c r="C236" s="89" t="s">
        <v>2379</v>
      </c>
      <c r="D236" s="89" t="s">
        <v>2380</v>
      </c>
      <c r="E236" s="89" t="s">
        <v>2381</v>
      </c>
      <c r="F236" s="89" t="s">
        <v>2114</v>
      </c>
    </row>
    <row r="237" spans="2:6" ht="26.4" x14ac:dyDescent="0.3">
      <c r="B237" s="89">
        <v>41</v>
      </c>
      <c r="C237" s="89" t="s">
        <v>2382</v>
      </c>
      <c r="D237" s="89" t="s">
        <v>2383</v>
      </c>
      <c r="E237" s="89" t="s">
        <v>2384</v>
      </c>
      <c r="F237" s="89" t="s">
        <v>2118</v>
      </c>
    </row>
    <row r="239" spans="2:6" ht="13.5" customHeight="1" x14ac:dyDescent="0.3">
      <c r="B239" s="93" t="s">
        <v>2385</v>
      </c>
      <c r="C239" s="93"/>
      <c r="D239" s="93"/>
      <c r="E239" s="93"/>
      <c r="F239" s="93"/>
    </row>
    <row r="240" spans="2:6" ht="13.5" customHeight="1" x14ac:dyDescent="0.3">
      <c r="B240" s="93" t="s">
        <v>2386</v>
      </c>
      <c r="C240" s="93"/>
      <c r="D240" s="93"/>
      <c r="E240" s="93"/>
      <c r="F240" s="93"/>
    </row>
    <row r="241" spans="2:6" ht="13.5" customHeight="1" x14ac:dyDescent="0.3">
      <c r="B241" s="93" t="s">
        <v>2387</v>
      </c>
      <c r="C241" s="93"/>
      <c r="D241" s="93"/>
      <c r="E241" s="93"/>
      <c r="F241" s="93"/>
    </row>
    <row r="242" spans="2:6" ht="13.5" customHeight="1" x14ac:dyDescent="0.3">
      <c r="B242" s="93" t="s">
        <v>2107</v>
      </c>
      <c r="C242" s="93"/>
      <c r="D242" s="93"/>
      <c r="E242" s="93"/>
      <c r="F242" s="93"/>
    </row>
    <row r="243" spans="2:6" x14ac:dyDescent="0.3">
      <c r="B243" s="84"/>
      <c r="C243" s="84"/>
      <c r="D243" s="84"/>
      <c r="E243" s="84"/>
      <c r="F243" s="84"/>
    </row>
    <row r="244" spans="2:6" ht="13.5" customHeight="1" x14ac:dyDescent="0.3">
      <c r="B244" s="137" t="s">
        <v>2388</v>
      </c>
      <c r="C244" s="137"/>
      <c r="D244" s="137"/>
      <c r="E244" s="137"/>
      <c r="F244" s="137"/>
    </row>
    <row r="245" spans="2:6" ht="13.5" customHeight="1" x14ac:dyDescent="0.3">
      <c r="B245" s="93" t="s">
        <v>2389</v>
      </c>
      <c r="C245" s="93"/>
      <c r="D245" s="93"/>
      <c r="E245" s="93"/>
      <c r="F245" s="93"/>
    </row>
    <row r="246" spans="2:6" x14ac:dyDescent="0.3">
      <c r="B246" s="87" t="s">
        <v>871</v>
      </c>
      <c r="C246" s="87" t="s">
        <v>818</v>
      </c>
    </row>
    <row r="247" spans="2:6" ht="26.4" x14ac:dyDescent="0.3">
      <c r="B247" s="89" t="s">
        <v>872</v>
      </c>
      <c r="C247" s="89" t="s">
        <v>862</v>
      </c>
    </row>
    <row r="248" spans="2:6" ht="26.4" x14ac:dyDescent="0.3">
      <c r="B248" s="89" t="s">
        <v>2390</v>
      </c>
      <c r="C248" s="89" t="s">
        <v>815</v>
      </c>
    </row>
    <row r="249" spans="2:6" x14ac:dyDescent="0.3">
      <c r="B249" s="89" t="s">
        <v>873</v>
      </c>
      <c r="C249" s="89" t="s">
        <v>815</v>
      </c>
    </row>
    <row r="250" spans="2:6" x14ac:dyDescent="0.3">
      <c r="B250" s="89" t="s">
        <v>874</v>
      </c>
      <c r="C250" s="89" t="s">
        <v>861</v>
      </c>
    </row>
    <row r="251" spans="2:6" x14ac:dyDescent="0.3">
      <c r="B251" s="89" t="s">
        <v>2391</v>
      </c>
      <c r="C251" s="89" t="s">
        <v>860</v>
      </c>
    </row>
    <row r="253" spans="2:6" ht="13.5" customHeight="1" x14ac:dyDescent="0.3">
      <c r="B253" s="93" t="s">
        <v>2287</v>
      </c>
      <c r="C253" s="93"/>
      <c r="D253" s="93"/>
      <c r="E253" s="93"/>
      <c r="F253" s="93"/>
    </row>
    <row r="254" spans="2:6" ht="27" customHeight="1" x14ac:dyDescent="0.3">
      <c r="B254" s="93" t="s">
        <v>2392</v>
      </c>
      <c r="C254" s="93"/>
      <c r="D254" s="93"/>
      <c r="E254" s="93"/>
      <c r="F254" s="93"/>
    </row>
    <row r="255" spans="2:6" ht="27" customHeight="1" x14ac:dyDescent="0.3">
      <c r="B255" s="93" t="s">
        <v>2393</v>
      </c>
      <c r="C255" s="93"/>
      <c r="D255" s="93"/>
      <c r="E255" s="93"/>
      <c r="F255" s="93"/>
    </row>
    <row r="256" spans="2:6" ht="13.5" customHeight="1" x14ac:dyDescent="0.3">
      <c r="B256" s="93" t="s">
        <v>2394</v>
      </c>
      <c r="C256" s="93"/>
      <c r="D256" s="93"/>
      <c r="E256" s="93"/>
      <c r="F256" s="93"/>
    </row>
    <row r="257" spans="2:6" ht="13.5" customHeight="1" x14ac:dyDescent="0.3">
      <c r="B257" s="93" t="s">
        <v>2395</v>
      </c>
      <c r="C257" s="93"/>
      <c r="D257" s="93"/>
      <c r="E257" s="93"/>
      <c r="F257" s="93"/>
    </row>
    <row r="258" spans="2:6" ht="40.5" customHeight="1" x14ac:dyDescent="0.3">
      <c r="B258" s="93" t="s">
        <v>2396</v>
      </c>
      <c r="C258" s="93"/>
      <c r="D258" s="93"/>
      <c r="E258" s="93"/>
      <c r="F258" s="93"/>
    </row>
    <row r="259" spans="2:6" ht="13.5" customHeight="1" x14ac:dyDescent="0.3">
      <c r="B259" s="93" t="s">
        <v>2397</v>
      </c>
      <c r="C259" s="93"/>
      <c r="D259" s="93"/>
      <c r="E259" s="93"/>
      <c r="F259" s="93"/>
    </row>
    <row r="260" spans="2:6" ht="13.5" customHeight="1" x14ac:dyDescent="0.3">
      <c r="B260" s="93" t="s">
        <v>2398</v>
      </c>
      <c r="C260" s="93"/>
      <c r="D260" s="93"/>
      <c r="E260" s="93"/>
      <c r="F260" s="93"/>
    </row>
    <row r="261" spans="2:6" ht="13.5" customHeight="1" x14ac:dyDescent="0.3">
      <c r="B261" s="93" t="s">
        <v>2399</v>
      </c>
      <c r="C261" s="93"/>
      <c r="D261" s="93"/>
      <c r="E261" s="93"/>
      <c r="F261" s="93"/>
    </row>
    <row r="262" spans="2:6" ht="13.5" customHeight="1" x14ac:dyDescent="0.3">
      <c r="B262" s="93" t="s">
        <v>2400</v>
      </c>
      <c r="C262" s="93"/>
      <c r="D262" s="93"/>
      <c r="E262" s="93"/>
      <c r="F262" s="93"/>
    </row>
    <row r="263" spans="2:6" ht="13.5" customHeight="1" x14ac:dyDescent="0.3">
      <c r="B263" s="93" t="s">
        <v>2401</v>
      </c>
      <c r="C263" s="93"/>
      <c r="D263" s="93"/>
      <c r="E263" s="93"/>
      <c r="F263" s="93"/>
    </row>
    <row r="264" spans="2:6" ht="27" customHeight="1" x14ac:dyDescent="0.3">
      <c r="B264" s="93" t="s">
        <v>2402</v>
      </c>
      <c r="C264" s="93"/>
      <c r="D264" s="93"/>
      <c r="E264" s="93"/>
      <c r="F264" s="93"/>
    </row>
    <row r="265" spans="2:6" ht="13.5" customHeight="1" x14ac:dyDescent="0.3">
      <c r="B265" s="93" t="s">
        <v>2107</v>
      </c>
      <c r="C265" s="93"/>
      <c r="D265" s="93"/>
      <c r="E265" s="93"/>
      <c r="F265" s="93"/>
    </row>
    <row r="266" spans="2:6" x14ac:dyDescent="0.3">
      <c r="B266" s="84"/>
      <c r="C266" s="84"/>
      <c r="D266" s="84"/>
      <c r="E266" s="84"/>
      <c r="F266" s="84"/>
    </row>
    <row r="267" spans="2:6" ht="13.5" customHeight="1" x14ac:dyDescent="0.3">
      <c r="B267" s="137" t="s">
        <v>2403</v>
      </c>
      <c r="C267" s="137"/>
      <c r="D267" s="137"/>
      <c r="E267" s="137"/>
      <c r="F267" s="137"/>
    </row>
    <row r="268" spans="2:6" ht="27" customHeight="1" x14ac:dyDescent="0.3">
      <c r="B268" s="93" t="s">
        <v>2404</v>
      </c>
      <c r="C268" s="93"/>
      <c r="D268" s="93"/>
      <c r="E268" s="93"/>
      <c r="F268" s="93"/>
    </row>
    <row r="269" spans="2:6" ht="13.5" customHeight="1" x14ac:dyDescent="0.3">
      <c r="B269" s="93" t="s">
        <v>2405</v>
      </c>
      <c r="C269" s="93"/>
      <c r="D269" s="93"/>
      <c r="E269" s="93"/>
      <c r="F269" s="93"/>
    </row>
    <row r="270" spans="2:6" ht="40.5" customHeight="1" x14ac:dyDescent="0.3">
      <c r="B270" s="93" t="s">
        <v>2406</v>
      </c>
      <c r="C270" s="93"/>
      <c r="D270" s="93"/>
      <c r="E270" s="93"/>
      <c r="F270" s="93"/>
    </row>
    <row r="271" spans="2:6" ht="13.5" customHeight="1" x14ac:dyDescent="0.3">
      <c r="B271" s="93" t="s">
        <v>2407</v>
      </c>
      <c r="C271" s="93"/>
      <c r="D271" s="93"/>
      <c r="E271" s="93"/>
      <c r="F271" s="93"/>
    </row>
    <row r="272" spans="2:6" ht="13.5" customHeight="1" x14ac:dyDescent="0.3">
      <c r="B272" s="93" t="s">
        <v>2107</v>
      </c>
      <c r="C272" s="93"/>
      <c r="D272" s="93"/>
      <c r="E272" s="93"/>
      <c r="F272" s="93"/>
    </row>
    <row r="273" spans="2:6" x14ac:dyDescent="0.3">
      <c r="B273" s="84"/>
      <c r="C273" s="84"/>
      <c r="D273" s="84"/>
      <c r="E273" s="84"/>
      <c r="F273" s="84"/>
    </row>
    <row r="274" spans="2:6" ht="13.5" customHeight="1" x14ac:dyDescent="0.3">
      <c r="B274" s="137" t="s">
        <v>2408</v>
      </c>
      <c r="C274" s="137"/>
      <c r="D274" s="137"/>
      <c r="E274" s="137"/>
      <c r="F274" s="137"/>
    </row>
    <row r="275" spans="2:6" ht="27" customHeight="1" x14ac:dyDescent="0.3">
      <c r="B275" s="93" t="s">
        <v>2409</v>
      </c>
      <c r="C275" s="93"/>
      <c r="D275" s="93"/>
      <c r="E275" s="93"/>
      <c r="F275" s="93"/>
    </row>
    <row r="276" spans="2:6" ht="13.5" customHeight="1" x14ac:dyDescent="0.3">
      <c r="B276" s="93" t="s">
        <v>2410</v>
      </c>
      <c r="C276" s="93"/>
      <c r="D276" s="93"/>
      <c r="E276" s="93"/>
      <c r="F276" s="93"/>
    </row>
    <row r="277" spans="2:6" ht="13.5" customHeight="1" x14ac:dyDescent="0.3">
      <c r="B277" s="93" t="s">
        <v>2107</v>
      </c>
      <c r="C277" s="93"/>
      <c r="D277" s="93"/>
      <c r="E277" s="93"/>
      <c r="F277" s="93"/>
    </row>
    <row r="278" spans="2:6" x14ac:dyDescent="0.3">
      <c r="B278" s="84"/>
      <c r="C278" s="84"/>
      <c r="D278" s="84"/>
      <c r="E278" s="84"/>
      <c r="F278" s="84"/>
    </row>
    <row r="279" spans="2:6" ht="13.5" customHeight="1" x14ac:dyDescent="0.3">
      <c r="B279" s="137" t="s">
        <v>2411</v>
      </c>
      <c r="C279" s="137"/>
      <c r="D279" s="137"/>
      <c r="E279" s="137"/>
      <c r="F279" s="137"/>
    </row>
    <row r="280" spans="2:6" ht="27" customHeight="1" x14ac:dyDescent="0.3">
      <c r="B280" s="93" t="s">
        <v>2412</v>
      </c>
      <c r="C280" s="93"/>
      <c r="D280" s="93"/>
      <c r="E280" s="93"/>
      <c r="F280" s="93"/>
    </row>
    <row r="281" spans="2:6" ht="13.5" customHeight="1" x14ac:dyDescent="0.3">
      <c r="B281" s="93" t="s">
        <v>2413</v>
      </c>
      <c r="C281" s="93"/>
      <c r="D281" s="93"/>
      <c r="E281" s="93"/>
      <c r="F281" s="93"/>
    </row>
    <row r="282" spans="2:6" ht="13.5" customHeight="1" x14ac:dyDescent="0.3">
      <c r="B282" s="93" t="s">
        <v>2107</v>
      </c>
      <c r="C282" s="93"/>
      <c r="D282" s="93"/>
      <c r="E282" s="93"/>
      <c r="F282" s="93"/>
    </row>
    <row r="283" spans="2:6" x14ac:dyDescent="0.3">
      <c r="B283" s="84"/>
      <c r="C283" s="84"/>
      <c r="D283" s="84"/>
      <c r="E283" s="84"/>
      <c r="F283" s="84"/>
    </row>
    <row r="284" spans="2:6" ht="13.5" customHeight="1" x14ac:dyDescent="0.3">
      <c r="B284" s="137" t="s">
        <v>2414</v>
      </c>
      <c r="C284" s="137"/>
      <c r="D284" s="137"/>
      <c r="E284" s="137"/>
      <c r="F284" s="137"/>
    </row>
    <row r="285" spans="2:6" ht="27" customHeight="1" x14ac:dyDescent="0.3">
      <c r="B285" s="93" t="s">
        <v>2415</v>
      </c>
      <c r="C285" s="93"/>
      <c r="D285" s="93"/>
      <c r="E285" s="93"/>
      <c r="F285" s="93"/>
    </row>
    <row r="286" spans="2:6" x14ac:dyDescent="0.3">
      <c r="B286" s="87" t="s">
        <v>2416</v>
      </c>
      <c r="C286" s="87" t="s">
        <v>2109</v>
      </c>
      <c r="D286" s="87" t="s">
        <v>2417</v>
      </c>
      <c r="E286" s="87" t="s">
        <v>2418</v>
      </c>
    </row>
    <row r="287" spans="2:6" x14ac:dyDescent="0.3">
      <c r="B287" s="89" t="s">
        <v>5</v>
      </c>
      <c r="C287" s="89" t="s">
        <v>2419</v>
      </c>
      <c r="D287" s="89" t="s">
        <v>2420</v>
      </c>
      <c r="E287" s="89" t="s">
        <v>2421</v>
      </c>
    </row>
    <row r="288" spans="2:6" x14ac:dyDescent="0.3">
      <c r="B288" s="89" t="s">
        <v>2422</v>
      </c>
      <c r="C288" s="89" t="s">
        <v>2423</v>
      </c>
      <c r="D288" s="89" t="s">
        <v>2424</v>
      </c>
      <c r="E288" s="89" t="s">
        <v>2425</v>
      </c>
    </row>
    <row r="289" spans="2:6" x14ac:dyDescent="0.3">
      <c r="B289" s="89" t="s">
        <v>2426</v>
      </c>
      <c r="C289" s="89" t="s">
        <v>2427</v>
      </c>
      <c r="D289" s="89" t="s">
        <v>2428</v>
      </c>
      <c r="E289" s="89" t="s">
        <v>2429</v>
      </c>
    </row>
    <row r="290" spans="2:6" ht="26.4" x14ac:dyDescent="0.3">
      <c r="B290" s="89" t="s">
        <v>2430</v>
      </c>
      <c r="C290" s="89" t="s">
        <v>2431</v>
      </c>
      <c r="D290" s="89" t="s">
        <v>2432</v>
      </c>
      <c r="E290" s="89" t="s">
        <v>2433</v>
      </c>
    </row>
    <row r="291" spans="2:6" ht="26.4" x14ac:dyDescent="0.3">
      <c r="B291" s="89" t="s">
        <v>2434</v>
      </c>
      <c r="C291" s="89" t="s">
        <v>2435</v>
      </c>
      <c r="D291" s="89" t="s">
        <v>2436</v>
      </c>
      <c r="E291" s="89" t="s">
        <v>2437</v>
      </c>
    </row>
    <row r="292" spans="2:6" x14ac:dyDescent="0.3">
      <c r="B292" s="89" t="s">
        <v>2438</v>
      </c>
      <c r="C292" s="89" t="s">
        <v>2439</v>
      </c>
      <c r="D292" s="89" t="s">
        <v>2440</v>
      </c>
      <c r="E292" s="89" t="s">
        <v>2441</v>
      </c>
    </row>
    <row r="293" spans="2:6" x14ac:dyDescent="0.3">
      <c r="B293" s="89" t="s">
        <v>2442</v>
      </c>
      <c r="C293" s="89" t="s">
        <v>2443</v>
      </c>
      <c r="D293" s="89" t="s">
        <v>722</v>
      </c>
      <c r="E293" s="89" t="s">
        <v>2444</v>
      </c>
    </row>
    <row r="295" spans="2:6" ht="13.5" customHeight="1" x14ac:dyDescent="0.3">
      <c r="B295" s="93" t="s">
        <v>2445</v>
      </c>
      <c r="C295" s="93"/>
      <c r="D295" s="93"/>
      <c r="E295" s="93"/>
      <c r="F295" s="93"/>
    </row>
    <row r="296" spans="2:6" ht="27" customHeight="1" x14ac:dyDescent="0.3">
      <c r="B296" s="93" t="s">
        <v>2446</v>
      </c>
      <c r="C296" s="93"/>
      <c r="D296" s="93"/>
      <c r="E296" s="93"/>
      <c r="F296" s="93"/>
    </row>
    <row r="297" spans="2:6" ht="27" customHeight="1" x14ac:dyDescent="0.3">
      <c r="B297" s="93" t="s">
        <v>2447</v>
      </c>
      <c r="C297" s="93"/>
      <c r="D297" s="93"/>
      <c r="E297" s="93"/>
      <c r="F297" s="93"/>
    </row>
    <row r="298" spans="2:6" ht="27" customHeight="1" x14ac:dyDescent="0.3">
      <c r="B298" s="93" t="s">
        <v>2448</v>
      </c>
      <c r="C298" s="93"/>
      <c r="D298" s="93"/>
      <c r="E298" s="93"/>
      <c r="F298" s="93"/>
    </row>
    <row r="299" spans="2:6" ht="40.5" customHeight="1" x14ac:dyDescent="0.3">
      <c r="B299" s="95" t="s">
        <v>2449</v>
      </c>
      <c r="C299" s="95"/>
      <c r="D299" s="95"/>
      <c r="E299" s="95"/>
      <c r="F299" s="95"/>
    </row>
    <row r="300" spans="2:6" ht="13.5" customHeight="1" x14ac:dyDescent="0.3">
      <c r="B300" s="93" t="s">
        <v>2107</v>
      </c>
      <c r="C300" s="93"/>
      <c r="D300" s="93"/>
      <c r="E300" s="93"/>
      <c r="F300" s="93"/>
    </row>
    <row r="301" spans="2:6" x14ac:dyDescent="0.3">
      <c r="B301" s="84"/>
      <c r="C301" s="84"/>
      <c r="D301" s="84"/>
      <c r="E301" s="84"/>
      <c r="F301" s="84"/>
    </row>
    <row r="302" spans="2:6" ht="13.5" customHeight="1" x14ac:dyDescent="0.3">
      <c r="B302" s="137" t="s">
        <v>2450</v>
      </c>
      <c r="C302" s="137"/>
      <c r="D302" s="137"/>
      <c r="E302" s="137"/>
      <c r="F302" s="137"/>
    </row>
    <row r="303" spans="2:6" ht="13.5" customHeight="1" x14ac:dyDescent="0.3">
      <c r="B303" s="93" t="s">
        <v>2451</v>
      </c>
      <c r="C303" s="93"/>
      <c r="D303" s="93"/>
      <c r="E303" s="93"/>
      <c r="F303" s="93"/>
    </row>
    <row r="304" spans="2:6" ht="13.5" customHeight="1" x14ac:dyDescent="0.3">
      <c r="B304" s="93" t="s">
        <v>2452</v>
      </c>
      <c r="C304" s="93"/>
      <c r="D304" s="93"/>
      <c r="E304" s="93"/>
      <c r="F304" s="93"/>
    </row>
    <row r="305" spans="2:6" ht="13.5" customHeight="1" x14ac:dyDescent="0.3">
      <c r="B305" s="93" t="s">
        <v>2453</v>
      </c>
      <c r="C305" s="93"/>
      <c r="D305" s="93"/>
      <c r="E305" s="93"/>
      <c r="F305" s="93"/>
    </row>
    <row r="306" spans="2:6" ht="13.5" customHeight="1" x14ac:dyDescent="0.3">
      <c r="B306" s="93" t="s">
        <v>2454</v>
      </c>
      <c r="C306" s="93"/>
      <c r="D306" s="93"/>
      <c r="E306" s="93"/>
      <c r="F306" s="93"/>
    </row>
    <row r="307" spans="2:6" ht="13.5" customHeight="1" x14ac:dyDescent="0.3">
      <c r="B307" s="93" t="s">
        <v>2455</v>
      </c>
      <c r="C307" s="93"/>
      <c r="D307" s="93"/>
      <c r="E307" s="93"/>
      <c r="F307" s="93"/>
    </row>
    <row r="308" spans="2:6" ht="13.5" customHeight="1" x14ac:dyDescent="0.3">
      <c r="B308" s="93" t="s">
        <v>2456</v>
      </c>
      <c r="C308" s="93"/>
      <c r="D308" s="93"/>
      <c r="E308" s="93"/>
      <c r="F308" s="93"/>
    </row>
    <row r="309" spans="2:6" ht="13.5" customHeight="1" x14ac:dyDescent="0.3">
      <c r="B309" s="93" t="s">
        <v>2107</v>
      </c>
      <c r="C309" s="93"/>
      <c r="D309" s="93"/>
      <c r="E309" s="93"/>
      <c r="F309" s="93"/>
    </row>
    <row r="310" spans="2:6" x14ac:dyDescent="0.3">
      <c r="B310" s="84"/>
      <c r="C310" s="84"/>
      <c r="D310" s="84"/>
      <c r="E310" s="84"/>
      <c r="F310" s="84"/>
    </row>
    <row r="311" spans="2:6" ht="13.5" customHeight="1" x14ac:dyDescent="0.3">
      <c r="B311" s="137" t="s">
        <v>2457</v>
      </c>
      <c r="C311" s="137"/>
      <c r="D311" s="137"/>
      <c r="E311" s="137"/>
      <c r="F311" s="137"/>
    </row>
    <row r="312" spans="2:6" ht="27" customHeight="1" x14ac:dyDescent="0.3">
      <c r="B312" s="93" t="s">
        <v>2458</v>
      </c>
      <c r="C312" s="93"/>
      <c r="D312" s="93"/>
      <c r="E312" s="93"/>
      <c r="F312" s="93"/>
    </row>
    <row r="313" spans="2:6" x14ac:dyDescent="0.3">
      <c r="B313" s="87" t="s">
        <v>2109</v>
      </c>
      <c r="C313" s="87" t="s">
        <v>2459</v>
      </c>
      <c r="D313" s="87" t="s">
        <v>2460</v>
      </c>
    </row>
    <row r="314" spans="2:6" ht="26.4" x14ac:dyDescent="0.3">
      <c r="B314" s="89" t="s">
        <v>2461</v>
      </c>
      <c r="C314" s="89" t="s">
        <v>2462</v>
      </c>
      <c r="D314" s="89" t="s">
        <v>2463</v>
      </c>
    </row>
    <row r="315" spans="2:6" ht="52.8" x14ac:dyDescent="0.3">
      <c r="B315" s="89" t="s">
        <v>2464</v>
      </c>
      <c r="C315" s="89">
        <v>1</v>
      </c>
      <c r="D315" s="89" t="s">
        <v>2465</v>
      </c>
    </row>
    <row r="316" spans="2:6" ht="52.8" x14ac:dyDescent="0.3">
      <c r="B316" s="89" t="s">
        <v>2149</v>
      </c>
      <c r="C316" s="89" t="s">
        <v>2466</v>
      </c>
      <c r="D316" s="89" t="s">
        <v>2467</v>
      </c>
    </row>
    <row r="317" spans="2:6" ht="39.6" x14ac:dyDescent="0.3">
      <c r="B317" s="89" t="s">
        <v>2468</v>
      </c>
      <c r="C317" s="89" t="s">
        <v>2469</v>
      </c>
      <c r="D317" s="89" t="s">
        <v>2470</v>
      </c>
    </row>
    <row r="318" spans="2:6" ht="39.6" x14ac:dyDescent="0.3">
      <c r="B318" s="89" t="s">
        <v>2471</v>
      </c>
      <c r="C318" s="89" t="s">
        <v>2472</v>
      </c>
      <c r="D318" s="89" t="s">
        <v>2473</v>
      </c>
    </row>
    <row r="319" spans="2:6" ht="26.4" x14ac:dyDescent="0.3">
      <c r="B319" s="89" t="s">
        <v>2474</v>
      </c>
      <c r="C319" s="89" t="s">
        <v>486</v>
      </c>
      <c r="D319" s="89" t="s">
        <v>2475</v>
      </c>
    </row>
    <row r="320" spans="2:6" ht="39.6" x14ac:dyDescent="0.3">
      <c r="B320" s="89" t="s">
        <v>2476</v>
      </c>
      <c r="C320" s="89" t="s">
        <v>2477</v>
      </c>
      <c r="D320" s="89" t="s">
        <v>2478</v>
      </c>
    </row>
    <row r="321" spans="2:6" ht="52.8" x14ac:dyDescent="0.3">
      <c r="B321" s="89" t="s">
        <v>2479</v>
      </c>
      <c r="C321" s="89" t="s">
        <v>2480</v>
      </c>
      <c r="D321" s="89" t="s">
        <v>2481</v>
      </c>
    </row>
    <row r="323" spans="2:6" ht="40.5" customHeight="1" x14ac:dyDescent="0.3">
      <c r="B323" s="93" t="s">
        <v>2482</v>
      </c>
      <c r="C323" s="93"/>
      <c r="D323" s="93"/>
      <c r="E323" s="93"/>
      <c r="F323" s="93"/>
    </row>
    <row r="324" spans="2:6" ht="40.5" customHeight="1" x14ac:dyDescent="0.3">
      <c r="B324" s="93" t="s">
        <v>2483</v>
      </c>
      <c r="C324" s="93"/>
      <c r="D324" s="93"/>
      <c r="E324" s="93"/>
      <c r="F324" s="93"/>
    </row>
    <row r="325" spans="2:6" ht="40.5" customHeight="1" x14ac:dyDescent="0.3">
      <c r="B325" s="93" t="s">
        <v>2484</v>
      </c>
      <c r="C325" s="93"/>
      <c r="D325" s="93"/>
      <c r="E325" s="93"/>
      <c r="F325" s="93"/>
    </row>
    <row r="326" spans="2:6" x14ac:dyDescent="0.3">
      <c r="B326" s="84"/>
      <c r="C326" s="84"/>
      <c r="D326" s="84"/>
      <c r="E326" s="84"/>
      <c r="F326" s="84"/>
    </row>
    <row r="327" spans="2:6" ht="13.5" customHeight="1" x14ac:dyDescent="0.3">
      <c r="B327" s="137" t="s">
        <v>2485</v>
      </c>
      <c r="C327" s="137"/>
      <c r="D327" s="137"/>
      <c r="E327" s="137"/>
      <c r="F327" s="137"/>
    </row>
    <row r="328" spans="2:6" ht="27" customHeight="1" x14ac:dyDescent="0.3">
      <c r="B328" s="93" t="s">
        <v>2486</v>
      </c>
      <c r="C328" s="93"/>
      <c r="D328" s="93"/>
      <c r="E328" s="93"/>
      <c r="F328" s="93"/>
    </row>
    <row r="329" spans="2:6" ht="27" customHeight="1" x14ac:dyDescent="0.3">
      <c r="B329" s="93" t="s">
        <v>2487</v>
      </c>
      <c r="C329" s="93"/>
      <c r="D329" s="93"/>
      <c r="E329" s="93"/>
      <c r="F329" s="93"/>
    </row>
    <row r="330" spans="2:6" ht="27" customHeight="1" x14ac:dyDescent="0.3">
      <c r="B330" s="93" t="s">
        <v>2488</v>
      </c>
      <c r="C330" s="93"/>
      <c r="D330" s="93"/>
      <c r="E330" s="93"/>
      <c r="F330" s="93"/>
    </row>
    <row r="331" spans="2:6" ht="13.5" customHeight="1" x14ac:dyDescent="0.3">
      <c r="B331" s="93" t="s">
        <v>2489</v>
      </c>
      <c r="C331" s="93"/>
      <c r="D331" s="93"/>
      <c r="E331" s="93"/>
      <c r="F331" s="93"/>
    </row>
    <row r="332" spans="2:6" ht="13.5" customHeight="1" x14ac:dyDescent="0.3">
      <c r="B332" s="93" t="s">
        <v>2490</v>
      </c>
      <c r="C332" s="93"/>
      <c r="D332" s="93"/>
      <c r="E332" s="93"/>
      <c r="F332" s="93"/>
    </row>
    <row r="333" spans="2:6" ht="27" customHeight="1" x14ac:dyDescent="0.3">
      <c r="B333" s="93" t="s">
        <v>2491</v>
      </c>
      <c r="C333" s="93"/>
      <c r="D333" s="93"/>
      <c r="E333" s="93"/>
      <c r="F333" s="93"/>
    </row>
    <row r="334" spans="2:6" ht="27" customHeight="1" x14ac:dyDescent="0.3">
      <c r="B334" s="93" t="s">
        <v>2492</v>
      </c>
      <c r="C334" s="93"/>
      <c r="D334" s="93"/>
      <c r="E334" s="93"/>
      <c r="F334" s="93"/>
    </row>
  </sheetData>
  <mergeCells count="226">
    <mergeCell ref="B331:F331"/>
    <mergeCell ref="B332:F332"/>
    <mergeCell ref="B333:F333"/>
    <mergeCell ref="B334:F334"/>
    <mergeCell ref="B325:F325"/>
    <mergeCell ref="B327:F327"/>
    <mergeCell ref="B328:F328"/>
    <mergeCell ref="B329:F329"/>
    <mergeCell ref="B330:F330"/>
    <mergeCell ref="B309:F309"/>
    <mergeCell ref="B311:F311"/>
    <mergeCell ref="B312:F312"/>
    <mergeCell ref="B323:F323"/>
    <mergeCell ref="B324:F324"/>
    <mergeCell ref="B303:F303"/>
    <mergeCell ref="B304:F304"/>
    <mergeCell ref="B305:F305"/>
    <mergeCell ref="B306:F306"/>
    <mergeCell ref="B307:F307"/>
    <mergeCell ref="B308:F308"/>
    <mergeCell ref="B297:F297"/>
    <mergeCell ref="B298:F298"/>
    <mergeCell ref="B299:F299"/>
    <mergeCell ref="B300:F300"/>
    <mergeCell ref="B302:F302"/>
    <mergeCell ref="B282:F282"/>
    <mergeCell ref="B284:F284"/>
    <mergeCell ref="B285:F285"/>
    <mergeCell ref="B295:F295"/>
    <mergeCell ref="B296:F296"/>
    <mergeCell ref="B276:F276"/>
    <mergeCell ref="B277:F277"/>
    <mergeCell ref="B279:F279"/>
    <mergeCell ref="B280:F280"/>
    <mergeCell ref="B281:F281"/>
    <mergeCell ref="B270:F270"/>
    <mergeCell ref="B271:F271"/>
    <mergeCell ref="B272:F272"/>
    <mergeCell ref="B274:F274"/>
    <mergeCell ref="B275:F275"/>
    <mergeCell ref="B264:F264"/>
    <mergeCell ref="B265:F265"/>
    <mergeCell ref="B267:F267"/>
    <mergeCell ref="B268:F268"/>
    <mergeCell ref="B269:F269"/>
    <mergeCell ref="B258:F258"/>
    <mergeCell ref="B259:F259"/>
    <mergeCell ref="B260:F260"/>
    <mergeCell ref="B261:F261"/>
    <mergeCell ref="B262:F262"/>
    <mergeCell ref="B263:F263"/>
    <mergeCell ref="B245:F245"/>
    <mergeCell ref="B253:F253"/>
    <mergeCell ref="B254:F254"/>
    <mergeCell ref="B255:F255"/>
    <mergeCell ref="B256:F256"/>
    <mergeCell ref="B257:F257"/>
    <mergeCell ref="B239:F239"/>
    <mergeCell ref="B240:F240"/>
    <mergeCell ref="B241:F241"/>
    <mergeCell ref="B242:F242"/>
    <mergeCell ref="B244:F244"/>
    <mergeCell ref="B222:F222"/>
    <mergeCell ref="B223:F223"/>
    <mergeCell ref="B224:F224"/>
    <mergeCell ref="B225:F225"/>
    <mergeCell ref="B227:F227"/>
    <mergeCell ref="B216:F216"/>
    <mergeCell ref="B217:F217"/>
    <mergeCell ref="B218:F218"/>
    <mergeCell ref="B219:F219"/>
    <mergeCell ref="B220:F220"/>
    <mergeCell ref="B221:F221"/>
    <mergeCell ref="B210:F210"/>
    <mergeCell ref="B211:F211"/>
    <mergeCell ref="B212:F212"/>
    <mergeCell ref="B213:F213"/>
    <mergeCell ref="B214:F214"/>
    <mergeCell ref="B215:F215"/>
    <mergeCell ref="B204:F204"/>
    <mergeCell ref="B205:F205"/>
    <mergeCell ref="B206:F206"/>
    <mergeCell ref="B207:F207"/>
    <mergeCell ref="B208:F208"/>
    <mergeCell ref="B209:F209"/>
    <mergeCell ref="B198:F198"/>
    <mergeCell ref="B199:F199"/>
    <mergeCell ref="B200:F200"/>
    <mergeCell ref="B201:F201"/>
    <mergeCell ref="B202:F202"/>
    <mergeCell ref="B203:F203"/>
    <mergeCell ref="B182:F182"/>
    <mergeCell ref="B183:F183"/>
    <mergeCell ref="B191:F191"/>
    <mergeCell ref="B192:F192"/>
    <mergeCell ref="B193:F193"/>
    <mergeCell ref="B197:F197"/>
    <mergeCell ref="B176:F176"/>
    <mergeCell ref="B177:F177"/>
    <mergeCell ref="B178:F178"/>
    <mergeCell ref="B179:F179"/>
    <mergeCell ref="B180:F180"/>
    <mergeCell ref="B170:F170"/>
    <mergeCell ref="B171:F171"/>
    <mergeCell ref="B172:F172"/>
    <mergeCell ref="B173:F173"/>
    <mergeCell ref="B174:F174"/>
    <mergeCell ref="B175:F175"/>
    <mergeCell ref="B164:F164"/>
    <mergeCell ref="B165:F165"/>
    <mergeCell ref="B166:F166"/>
    <mergeCell ref="B167:F167"/>
    <mergeCell ref="B168:F168"/>
    <mergeCell ref="B169:F169"/>
    <mergeCell ref="B158:F158"/>
    <mergeCell ref="B159:F159"/>
    <mergeCell ref="B160:F160"/>
    <mergeCell ref="B161:F161"/>
    <mergeCell ref="B162:F162"/>
    <mergeCell ref="B163:F163"/>
    <mergeCell ref="B152:F152"/>
    <mergeCell ref="B153:F153"/>
    <mergeCell ref="B154:F154"/>
    <mergeCell ref="B155:F155"/>
    <mergeCell ref="B156:F156"/>
    <mergeCell ref="B157:F157"/>
    <mergeCell ref="B146:F146"/>
    <mergeCell ref="B147:F147"/>
    <mergeCell ref="B149:F149"/>
    <mergeCell ref="B150:F150"/>
    <mergeCell ref="B151:F151"/>
    <mergeCell ref="B140:F140"/>
    <mergeCell ref="B141:F141"/>
    <mergeCell ref="B142:F142"/>
    <mergeCell ref="B143:F143"/>
    <mergeCell ref="B144:F144"/>
    <mergeCell ref="B145:F145"/>
    <mergeCell ref="B134:F134"/>
    <mergeCell ref="B135:F135"/>
    <mergeCell ref="B136:F136"/>
    <mergeCell ref="B137:F137"/>
    <mergeCell ref="B138:F138"/>
    <mergeCell ref="B139:F139"/>
    <mergeCell ref="B128:F128"/>
    <mergeCell ref="B129:F129"/>
    <mergeCell ref="B130:F130"/>
    <mergeCell ref="B131:F131"/>
    <mergeCell ref="B132:F132"/>
    <mergeCell ref="B122:F122"/>
    <mergeCell ref="B123:F123"/>
    <mergeCell ref="B125:F125"/>
    <mergeCell ref="B126:F126"/>
    <mergeCell ref="B127:F127"/>
    <mergeCell ref="B116:F116"/>
    <mergeCell ref="B117:F117"/>
    <mergeCell ref="B118:F118"/>
    <mergeCell ref="B119:F119"/>
    <mergeCell ref="B120:F120"/>
    <mergeCell ref="B121:F121"/>
    <mergeCell ref="B110:F110"/>
    <mergeCell ref="B111:F111"/>
    <mergeCell ref="B112:F112"/>
    <mergeCell ref="B113:F113"/>
    <mergeCell ref="B114:F114"/>
    <mergeCell ref="B115:F115"/>
    <mergeCell ref="B104:F104"/>
    <mergeCell ref="B105:F105"/>
    <mergeCell ref="B106:F106"/>
    <mergeCell ref="B108:F108"/>
    <mergeCell ref="B109:F109"/>
    <mergeCell ref="B98:F98"/>
    <mergeCell ref="B99:F99"/>
    <mergeCell ref="B100:F100"/>
    <mergeCell ref="B101:F101"/>
    <mergeCell ref="B102:F102"/>
    <mergeCell ref="B103:F103"/>
    <mergeCell ref="B92:F92"/>
    <mergeCell ref="B93:F93"/>
    <mergeCell ref="B94:F94"/>
    <mergeCell ref="B95:F95"/>
    <mergeCell ref="B96:F96"/>
    <mergeCell ref="B97:F97"/>
    <mergeCell ref="B86:F86"/>
    <mergeCell ref="B87:F87"/>
    <mergeCell ref="B88:F88"/>
    <mergeCell ref="B89:F89"/>
    <mergeCell ref="B90:F90"/>
    <mergeCell ref="B91:F91"/>
    <mergeCell ref="B81:F81"/>
    <mergeCell ref="B82:F82"/>
    <mergeCell ref="B83:F83"/>
    <mergeCell ref="B84:F84"/>
    <mergeCell ref="B85:F85"/>
    <mergeCell ref="B74:F74"/>
    <mergeCell ref="B75:F75"/>
    <mergeCell ref="B76:F76"/>
    <mergeCell ref="B77:F77"/>
    <mergeCell ref="B78:F78"/>
    <mergeCell ref="B79:F79"/>
    <mergeCell ref="B68:F68"/>
    <mergeCell ref="B69:F69"/>
    <mergeCell ref="B70:F70"/>
    <mergeCell ref="B71:F71"/>
    <mergeCell ref="B72:F72"/>
    <mergeCell ref="B73:F73"/>
    <mergeCell ref="B62:F62"/>
    <mergeCell ref="B63:F63"/>
    <mergeCell ref="B65:F65"/>
    <mergeCell ref="B66:F66"/>
    <mergeCell ref="B67:F67"/>
    <mergeCell ref="B23:F23"/>
    <mergeCell ref="B46:F46"/>
    <mergeCell ref="B48:F48"/>
    <mergeCell ref="B49:F49"/>
    <mergeCell ref="B50:F50"/>
    <mergeCell ref="B7:F7"/>
    <mergeCell ref="B8:F8"/>
    <mergeCell ref="B9:F9"/>
    <mergeCell ref="B20:F20"/>
    <mergeCell ref="B21:F21"/>
    <mergeCell ref="B1:F1"/>
    <mergeCell ref="B2:F2"/>
    <mergeCell ref="B3:F3"/>
    <mergeCell ref="B4:F4"/>
    <mergeCell ref="B5:F5"/>
    <mergeCell ref="B6:F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4DD2-CE3E-49FC-9737-C2896BBDF5F2}">
  <sheetPr codeName="Лист19">
    <tabColor rgb="FFA6A6A6"/>
  </sheetPr>
  <dimension ref="A1:CA193"/>
  <sheetViews>
    <sheetView topLeftCell="Z1" zoomScale="70" zoomScaleNormal="70" workbookViewId="0">
      <selection activeCell="AE6" sqref="AE6"/>
    </sheetView>
  </sheetViews>
  <sheetFormatPr defaultRowHeight="14.4" x14ac:dyDescent="0.3"/>
  <cols>
    <col min="13" max="13" width="22" style="20" bestFit="1" customWidth="1"/>
    <col min="14" max="14" width="14" customWidth="1"/>
    <col min="17" max="17" width="38.109375" bestFit="1" customWidth="1"/>
    <col min="18" max="18" width="8.109375" customWidth="1"/>
    <col min="19" max="25" width="17.44140625" customWidth="1"/>
    <col min="26" max="26" width="22" customWidth="1"/>
    <col min="27" max="27" width="17.44140625" customWidth="1"/>
    <col min="28" max="28" width="25.6640625" bestFit="1" customWidth="1"/>
    <col min="31" max="31" width="17.88671875" customWidth="1"/>
    <col min="33" max="33" width="12.6640625" customWidth="1"/>
    <col min="36" max="36" width="28.44140625" customWidth="1"/>
    <col min="43" max="43" width="25.88671875" customWidth="1"/>
    <col min="44" max="44" width="20.33203125" customWidth="1"/>
    <col min="45" max="45" width="24.109375" customWidth="1"/>
    <col min="46" max="46" width="3" customWidth="1"/>
    <col min="47" max="47" width="12" customWidth="1"/>
    <col min="48" max="48" width="26" customWidth="1"/>
    <col min="49" max="49" width="7" customWidth="1"/>
    <col min="50" max="50" width="10" customWidth="1"/>
    <col min="51" max="51" width="12" customWidth="1"/>
    <col min="52" max="52" width="10" customWidth="1"/>
    <col min="53" max="53" width="28" customWidth="1"/>
    <col min="54" max="54" width="30" customWidth="1"/>
    <col min="55" max="55" width="14" customWidth="1"/>
    <col min="56" max="56" width="14.77734375" customWidth="1"/>
    <col min="57" max="57" width="48" customWidth="1"/>
    <col min="58" max="58" width="10" customWidth="1"/>
    <col min="59" max="59" width="3" customWidth="1"/>
    <col min="60" max="60" width="8" customWidth="1"/>
    <col min="61" max="61" width="9" customWidth="1"/>
    <col min="62" max="62" width="14" customWidth="1"/>
    <col min="63" max="63" width="9" customWidth="1"/>
    <col min="64" max="64" width="11" customWidth="1"/>
    <col min="65" max="66" width="10" customWidth="1"/>
    <col min="67" max="67" width="3" customWidth="1"/>
    <col min="68" max="68" width="13" customWidth="1"/>
    <col min="69" max="69" width="8" customWidth="1"/>
    <col min="70" max="70" width="110" customWidth="1"/>
    <col min="71" max="71" width="3" customWidth="1"/>
    <col min="72" max="72" width="40" customWidth="1"/>
    <col min="73" max="73" width="12" customWidth="1"/>
    <col min="74" max="74" width="60" customWidth="1"/>
    <col min="75" max="75" width="3" customWidth="1"/>
    <col min="76" max="76" width="10" customWidth="1"/>
    <col min="77" max="77" width="12" customWidth="1"/>
    <col min="78" max="79" width="16" customWidth="1"/>
  </cols>
  <sheetData>
    <row r="1" spans="1:79" ht="15" thickBot="1" x14ac:dyDescent="0.35">
      <c r="A1" s="142" t="s">
        <v>2514</v>
      </c>
    </row>
    <row r="2" spans="1:79" ht="15" thickBot="1" x14ac:dyDescent="0.35">
      <c r="I2" s="37"/>
      <c r="L2" s="97" t="s">
        <v>52</v>
      </c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9"/>
      <c r="AJ2" s="15" t="s">
        <v>60</v>
      </c>
      <c r="AK2" s="15"/>
      <c r="AQ2" s="100" t="s">
        <v>522</v>
      </c>
      <c r="AR2" s="100"/>
      <c r="AS2" s="100"/>
      <c r="AU2" s="73"/>
      <c r="AZ2" s="35"/>
      <c r="BA2" s="73" t="s">
        <v>532</v>
      </c>
      <c r="BD2" s="78"/>
      <c r="BE2" s="36" t="s">
        <v>533</v>
      </c>
      <c r="BP2" s="36" t="s">
        <v>534</v>
      </c>
      <c r="BT2" s="36"/>
      <c r="BX2" s="36" t="s">
        <v>535</v>
      </c>
    </row>
    <row r="3" spans="1:79" ht="28.05" customHeight="1" x14ac:dyDescent="0.3">
      <c r="B3" s="2" t="s">
        <v>3</v>
      </c>
      <c r="C3" s="2" t="s">
        <v>15</v>
      </c>
      <c r="D3" s="2" t="s">
        <v>536</v>
      </c>
      <c r="F3" s="2" t="s">
        <v>5</v>
      </c>
      <c r="G3" s="2" t="s">
        <v>7</v>
      </c>
      <c r="I3" s="2"/>
      <c r="J3" s="2"/>
      <c r="L3" s="11"/>
      <c r="M3" s="24"/>
      <c r="N3" s="12"/>
      <c r="P3" s="64"/>
      <c r="Q3" s="64"/>
      <c r="R3" s="64"/>
      <c r="S3" s="64"/>
      <c r="T3" s="65"/>
      <c r="U3" s="63"/>
      <c r="V3" s="63"/>
      <c r="W3" s="63"/>
      <c r="X3" s="63"/>
      <c r="Y3" s="63"/>
      <c r="Z3" s="35"/>
      <c r="AA3" s="11" t="s">
        <v>10</v>
      </c>
      <c r="AB3" s="11" t="s">
        <v>179</v>
      </c>
      <c r="AD3" s="11"/>
      <c r="AE3" s="11"/>
      <c r="AF3" s="11"/>
      <c r="AG3" s="12"/>
      <c r="AJ3" s="15" t="s">
        <v>9</v>
      </c>
      <c r="AK3" s="15" t="s">
        <v>61</v>
      </c>
      <c r="AL3" t="s">
        <v>145</v>
      </c>
      <c r="AM3" t="s">
        <v>14</v>
      </c>
      <c r="AN3" t="s">
        <v>3</v>
      </c>
      <c r="AO3" t="s">
        <v>146</v>
      </c>
      <c r="AQ3" s="67" t="s">
        <v>523</v>
      </c>
      <c r="AR3" s="67" t="s">
        <v>6</v>
      </c>
      <c r="AS3" s="67" t="s">
        <v>524</v>
      </c>
      <c r="AU3" s="64"/>
      <c r="AV3" s="64"/>
      <c r="AW3" s="64"/>
      <c r="AX3" s="64"/>
      <c r="AY3" s="64"/>
      <c r="AZ3" s="35"/>
      <c r="BA3" s="64" t="s">
        <v>538</v>
      </c>
      <c r="BB3" s="64" t="s">
        <v>539</v>
      </c>
      <c r="BC3" s="64" t="s">
        <v>540</v>
      </c>
      <c r="BD3" s="78"/>
      <c r="BE3" s="35" t="s">
        <v>541</v>
      </c>
      <c r="BF3" s="35"/>
      <c r="BH3" s="35" t="s">
        <v>542</v>
      </c>
      <c r="BI3" s="35"/>
      <c r="BJ3" s="35"/>
      <c r="BK3" s="35"/>
      <c r="BL3" s="35"/>
      <c r="BM3" s="35"/>
      <c r="BN3" s="35"/>
      <c r="BP3" s="35" t="s">
        <v>543</v>
      </c>
      <c r="BQ3" s="35" t="s">
        <v>531</v>
      </c>
      <c r="BR3" s="35" t="s">
        <v>544</v>
      </c>
      <c r="BT3" s="35"/>
      <c r="BU3" s="35"/>
      <c r="BV3" s="35"/>
      <c r="BX3" s="35" t="s">
        <v>545</v>
      </c>
      <c r="BY3" s="35" t="s">
        <v>546</v>
      </c>
      <c r="BZ3" s="35" t="s">
        <v>547</v>
      </c>
      <c r="CA3" s="35" t="s">
        <v>548</v>
      </c>
    </row>
    <row r="4" spans="1:79" ht="27.6" x14ac:dyDescent="0.3">
      <c r="B4" s="14">
        <v>0.75</v>
      </c>
      <c r="C4" s="14">
        <v>0.13</v>
      </c>
      <c r="D4" s="14">
        <v>2.2499999999999999E-2</v>
      </c>
      <c r="F4" s="14">
        <v>0</v>
      </c>
      <c r="G4" s="14">
        <v>6</v>
      </c>
      <c r="I4" s="14"/>
      <c r="J4" s="14"/>
      <c r="L4" s="16"/>
      <c r="M4" s="16"/>
      <c r="N4" s="16"/>
      <c r="O4" s="17"/>
      <c r="P4" s="26"/>
      <c r="Q4" s="26"/>
      <c r="R4" s="26"/>
      <c r="S4" s="26"/>
      <c r="T4" s="26"/>
      <c r="U4" s="26"/>
      <c r="V4" s="26"/>
      <c r="W4" s="26"/>
      <c r="X4" s="26"/>
      <c r="Y4" s="26"/>
      <c r="Z4" s="74"/>
      <c r="AA4" s="16" t="s">
        <v>180</v>
      </c>
      <c r="AB4" s="16" t="s">
        <v>182</v>
      </c>
      <c r="AC4" s="17"/>
      <c r="AD4" s="18"/>
      <c r="AE4" s="16"/>
      <c r="AF4" s="16"/>
      <c r="AG4" s="16"/>
      <c r="AJ4" s="13" t="str">
        <f>AL4&amp;" ("&amp;AM4&amp;"х"&amp;AN4&amp;") "&amp;AO4</f>
        <v>ВВГнг(А)-LS (2х1,5) 1</v>
      </c>
      <c r="AK4" s="14" t="s">
        <v>62</v>
      </c>
      <c r="AL4" t="s">
        <v>12</v>
      </c>
      <c r="AM4">
        <v>2</v>
      </c>
      <c r="AN4">
        <v>1.5</v>
      </c>
      <c r="AO4">
        <v>1</v>
      </c>
      <c r="AQ4" s="68" t="s">
        <v>517</v>
      </c>
      <c r="AR4" s="68" t="s">
        <v>525</v>
      </c>
      <c r="AS4" s="69"/>
      <c r="AU4" s="26"/>
      <c r="AY4" s="26"/>
      <c r="AZ4" s="74"/>
      <c r="BA4" s="26" t="s">
        <v>550</v>
      </c>
      <c r="BB4" s="26" t="s">
        <v>551</v>
      </c>
      <c r="BC4" s="26" t="s">
        <v>485</v>
      </c>
      <c r="BD4" s="79"/>
      <c r="BE4" s="37" t="s">
        <v>552</v>
      </c>
      <c r="BF4" s="74">
        <v>17</v>
      </c>
      <c r="BH4" s="35" t="s">
        <v>4</v>
      </c>
      <c r="BI4" s="35" t="s">
        <v>434</v>
      </c>
      <c r="BJ4" s="35" t="s">
        <v>482</v>
      </c>
      <c r="BK4" s="35" t="s">
        <v>483</v>
      </c>
      <c r="BL4" s="35" t="s">
        <v>553</v>
      </c>
      <c r="BM4" s="35" t="s">
        <v>554</v>
      </c>
      <c r="BN4" s="35" t="s">
        <v>555</v>
      </c>
      <c r="BP4" s="74">
        <v>0</v>
      </c>
      <c r="BQ4" s="74">
        <v>0.8</v>
      </c>
      <c r="BR4" s="37" t="s">
        <v>556</v>
      </c>
      <c r="BT4" s="74"/>
      <c r="BU4" s="74"/>
      <c r="BV4" s="37"/>
      <c r="BX4" s="74">
        <v>1.5</v>
      </c>
      <c r="BY4" s="74">
        <v>23</v>
      </c>
      <c r="BZ4" s="74">
        <v>19</v>
      </c>
      <c r="CA4" s="74">
        <v>19</v>
      </c>
    </row>
    <row r="5" spans="1:79" x14ac:dyDescent="0.3">
      <c r="B5" s="14">
        <v>1</v>
      </c>
      <c r="C5" s="14">
        <v>0.11</v>
      </c>
      <c r="D5" s="14">
        <v>2.2499999999999999E-2</v>
      </c>
      <c r="F5" s="14">
        <v>5.4</v>
      </c>
      <c r="G5" s="14">
        <v>10</v>
      </c>
      <c r="I5" s="14"/>
      <c r="J5" s="14"/>
      <c r="L5" s="16"/>
      <c r="M5" s="16"/>
      <c r="N5" s="16"/>
      <c r="O5" s="17"/>
      <c r="P5" s="26"/>
      <c r="Q5" s="26"/>
      <c r="R5" s="26"/>
      <c r="S5" s="26"/>
      <c r="T5" s="26"/>
      <c r="U5" s="26"/>
      <c r="V5" s="26"/>
      <c r="W5" s="26"/>
      <c r="X5" s="26"/>
      <c r="Y5" s="26"/>
      <c r="Z5" s="74"/>
      <c r="AA5" s="16" t="s">
        <v>181</v>
      </c>
      <c r="AB5" s="16" t="s">
        <v>183</v>
      </c>
      <c r="AC5" s="17"/>
      <c r="AD5" s="18"/>
      <c r="AE5" s="16"/>
      <c r="AF5" s="16"/>
      <c r="AG5" s="16"/>
      <c r="AJ5" s="13" t="str">
        <f t="shared" ref="AJ5:AJ68" si="0">AL5&amp;" ("&amp;AM5&amp;"х"&amp;AN5&amp;") "&amp;AO5</f>
        <v>ВВГнг(А)-LS (2х1,5) 2</v>
      </c>
      <c r="AK5" s="14" t="s">
        <v>63</v>
      </c>
      <c r="AL5" t="s">
        <v>12</v>
      </c>
      <c r="AM5">
        <v>2</v>
      </c>
      <c r="AN5">
        <v>1.5</v>
      </c>
      <c r="AO5">
        <v>2</v>
      </c>
      <c r="AQ5" s="68" t="s">
        <v>227</v>
      </c>
      <c r="AR5" s="68" t="s">
        <v>227</v>
      </c>
      <c r="AS5" s="70"/>
      <c r="AU5" s="26"/>
      <c r="AY5" s="26"/>
      <c r="AZ5" s="74"/>
      <c r="BA5" s="26" t="s">
        <v>558</v>
      </c>
      <c r="BB5" s="26" t="s">
        <v>559</v>
      </c>
      <c r="BC5" s="26" t="s">
        <v>494</v>
      </c>
      <c r="BD5" s="79"/>
      <c r="BE5" s="37" t="s">
        <v>487</v>
      </c>
      <c r="BF5" s="74">
        <v>10</v>
      </c>
      <c r="BH5" s="38" t="str">
        <f>IFERROR(INDEX(Однолинейка!$A$1:$A$1000,(MATCH(1,Однолинейка!$BS$1:$BS$1000,0))),"")</f>
        <v/>
      </c>
      <c r="BI5" s="38" t="str">
        <f>IFERROR(INDEX(Однолинейка!$AW$1:$AW$1000,(MATCH(1,Однолинейка!$BS$1:$BS$1000,0))),"")</f>
        <v/>
      </c>
      <c r="BJ5" s="38" t="str">
        <f>IF(BI5="","",INDEX(Однолинейка!$AI$1:$AI$1000,(MATCH(1,Однолинейка!$BS$1:$BS$1000,0))))</f>
        <v/>
      </c>
      <c r="BK5" s="38" t="str">
        <f t="shared" ref="BK5:BK39" si="1">IF(BI5="","",IFERROR(VLOOKUP(BJ5,Модули_спр,3,FALSE),""))</f>
        <v/>
      </c>
      <c r="BL5" s="38" t="str">
        <f>IF(BI5="","",_xlfn.MAXIFS(Однолинейка!$O$3:$O$1000,Однолинейка!$AH$3:$AH$1000,BI5,Однолинейка!$A$3:$A$1000,BH5))</f>
        <v/>
      </c>
      <c r="BM5" s="38" t="str">
        <f>IF(BI5="","",COUNTIFS(Однолинейка!$AH$3:$AH$1000,BI5,Однолинейка!$A$3:$A$1000,BH5,Однолинейка!$N$3:$N$1000,"р"))</f>
        <v/>
      </c>
      <c r="BN5" s="38" t="str">
        <f t="shared" ref="BN5:BN39" si="2">IF(OR(BI5="",BK5=""),"",BK5-BL5)</f>
        <v/>
      </c>
      <c r="BP5" s="74">
        <v>14</v>
      </c>
      <c r="BQ5" s="74">
        <v>0.8</v>
      </c>
      <c r="BT5" s="74"/>
      <c r="BU5" s="74"/>
      <c r="BV5" s="37"/>
      <c r="BX5" s="74">
        <v>2.5</v>
      </c>
      <c r="BY5" s="74">
        <v>30</v>
      </c>
      <c r="BZ5" s="74">
        <v>27</v>
      </c>
      <c r="CA5" s="74">
        <v>25</v>
      </c>
    </row>
    <row r="6" spans="1:79" x14ac:dyDescent="0.3">
      <c r="B6" s="14">
        <v>1.5</v>
      </c>
      <c r="C6" s="14">
        <v>0.11</v>
      </c>
      <c r="D6" s="14">
        <v>2.2499999999999999E-2</v>
      </c>
      <c r="F6" s="14">
        <v>9</v>
      </c>
      <c r="G6" s="14">
        <v>16</v>
      </c>
      <c r="I6" s="14"/>
      <c r="J6" s="14"/>
      <c r="L6" s="16"/>
      <c r="M6" s="16"/>
      <c r="N6" s="16"/>
      <c r="O6" s="17"/>
      <c r="P6" s="26"/>
      <c r="Q6" s="26"/>
      <c r="R6" s="26"/>
      <c r="S6" s="26"/>
      <c r="T6" s="26"/>
      <c r="U6" s="26"/>
      <c r="V6" s="26"/>
      <c r="W6" s="26"/>
      <c r="X6" s="26"/>
      <c r="Y6" s="26"/>
      <c r="Z6" s="74"/>
      <c r="AA6" s="16" t="s">
        <v>184</v>
      </c>
      <c r="AB6" s="16" t="s">
        <v>185</v>
      </c>
      <c r="AC6" s="17"/>
      <c r="AD6" s="18"/>
      <c r="AE6" s="16"/>
      <c r="AF6" s="16"/>
      <c r="AG6" s="16"/>
      <c r="AJ6" s="13" t="str">
        <f t="shared" si="0"/>
        <v>ВВГнг(А)-LS (2х2,5) 1</v>
      </c>
      <c r="AK6" s="14" t="s">
        <v>64</v>
      </c>
      <c r="AL6" t="s">
        <v>12</v>
      </c>
      <c r="AM6">
        <v>2</v>
      </c>
      <c r="AN6">
        <v>2.5</v>
      </c>
      <c r="AO6">
        <v>1</v>
      </c>
      <c r="AQ6" s="68" t="s">
        <v>526</v>
      </c>
      <c r="AR6" s="68" t="s">
        <v>527</v>
      </c>
      <c r="AS6" s="71"/>
      <c r="AU6" s="26"/>
      <c r="AY6" s="26"/>
      <c r="AZ6" s="74"/>
      <c r="BA6" s="26" t="s">
        <v>560</v>
      </c>
      <c r="BB6" s="26" t="s">
        <v>561</v>
      </c>
      <c r="BC6" s="26" t="s">
        <v>508</v>
      </c>
      <c r="BD6" s="79"/>
      <c r="BH6" s="38" t="str">
        <f>IFERROR(INDEX(Однолинейка!$A$1:$A$1000,(MATCH(2,Однолинейка!$BS$1:$BS$1000,0))),"")</f>
        <v/>
      </c>
      <c r="BI6" s="38" t="str">
        <f>IFERROR(INDEX(Однолинейка!$AW$1:$AW$1000,(MATCH(2,Однолинейка!$BS$1:$BS$1000,0))),"")</f>
        <v/>
      </c>
      <c r="BJ6" s="38" t="str">
        <f>IF(BI6="","",INDEX(Однолинейка!$AI$1:$AI$1000,(MATCH(2,Однолинейка!$BS$1:$BS$1000,0))))</f>
        <v/>
      </c>
      <c r="BK6" s="38" t="str">
        <f t="shared" si="1"/>
        <v/>
      </c>
      <c r="BL6" s="38" t="str">
        <f>IF(BI6="","",_xlfn.MAXIFS(Однолинейка!$O$3:$O$1000,Однолинейка!$AH$3:$AH$1000,BI6,Однолинейка!$A$3:$A$1000,BH6))</f>
        <v/>
      </c>
      <c r="BM6" s="38" t="str">
        <f>IF(BI6="","",COUNTIFS(Однолинейка!$AH$3:$AH$1000,BI6,Однолинейка!$A$3:$A$1000,BH6,Однолинейка!$N$3:$N$1000,"р"))</f>
        <v/>
      </c>
      <c r="BN6" s="38" t="str">
        <f t="shared" si="2"/>
        <v/>
      </c>
      <c r="BP6" s="74">
        <v>20</v>
      </c>
      <c r="BQ6" s="74">
        <v>0.65</v>
      </c>
      <c r="BT6" s="74"/>
      <c r="BU6" s="74"/>
      <c r="BX6" s="74">
        <v>4</v>
      </c>
      <c r="BY6" s="74">
        <v>41</v>
      </c>
      <c r="BZ6" s="74">
        <v>38</v>
      </c>
      <c r="CA6" s="74">
        <v>35</v>
      </c>
    </row>
    <row r="7" spans="1:79" ht="31.2" customHeight="1" x14ac:dyDescent="0.3">
      <c r="B7" s="14">
        <v>2.5</v>
      </c>
      <c r="C7" s="14">
        <v>0.1</v>
      </c>
      <c r="D7" s="14">
        <v>2.2499999999999999E-2</v>
      </c>
      <c r="F7" s="14">
        <v>14.4</v>
      </c>
      <c r="G7" s="14">
        <v>20</v>
      </c>
      <c r="I7" s="14"/>
      <c r="J7" s="14"/>
      <c r="L7" s="16"/>
      <c r="M7" s="16"/>
      <c r="N7" s="16"/>
      <c r="O7" s="17"/>
      <c r="P7" s="26"/>
      <c r="Q7" s="26"/>
      <c r="R7" s="26"/>
      <c r="S7" s="26"/>
      <c r="T7" s="26"/>
      <c r="U7" s="26"/>
      <c r="V7" s="26"/>
      <c r="W7" s="26"/>
      <c r="X7" s="26"/>
      <c r="Y7" s="26"/>
      <c r="Z7" s="74"/>
      <c r="AA7" s="16" t="s">
        <v>186</v>
      </c>
      <c r="AB7" s="16" t="s">
        <v>187</v>
      </c>
      <c r="AC7" s="17"/>
      <c r="AD7" s="18"/>
      <c r="AE7" s="16"/>
      <c r="AF7" s="16"/>
      <c r="AG7" s="16"/>
      <c r="AJ7" s="13" t="str">
        <f t="shared" si="0"/>
        <v>ВВГнг(А)-LS (2х2,5) 2</v>
      </c>
      <c r="AK7" s="14" t="s">
        <v>65</v>
      </c>
      <c r="AL7" t="s">
        <v>12</v>
      </c>
      <c r="AM7">
        <v>2</v>
      </c>
      <c r="AN7">
        <v>2.5</v>
      </c>
      <c r="AO7">
        <v>2</v>
      </c>
      <c r="AQ7" s="101" t="s">
        <v>528</v>
      </c>
      <c r="AR7" s="101"/>
      <c r="AS7" s="101"/>
      <c r="AU7" s="26"/>
      <c r="AV7" s="26"/>
      <c r="AW7" s="26"/>
      <c r="AX7" s="26"/>
      <c r="AY7" s="26"/>
      <c r="AZ7" s="74"/>
      <c r="BA7" s="26" t="s">
        <v>565</v>
      </c>
      <c r="BB7" s="26" t="s">
        <v>566</v>
      </c>
      <c r="BC7" s="26" t="s">
        <v>505</v>
      </c>
      <c r="BD7" s="79"/>
      <c r="BE7" s="35" t="s">
        <v>567</v>
      </c>
      <c r="BF7" s="35"/>
      <c r="BH7" s="38" t="str">
        <f>IFERROR(INDEX(Однолинейка!$A$1:$A$1000,(MATCH(3,Однолинейка!$BS$1:$BS$1000,0))),"")</f>
        <v/>
      </c>
      <c r="BI7" s="38" t="str">
        <f>IFERROR(INDEX(Однолинейка!$AW$1:$AW$1000,(MATCH(3,Однолинейка!$BS$1:$BS$1000,0))),"")</f>
        <v/>
      </c>
      <c r="BJ7" s="38" t="str">
        <f>IF(BI7="","",INDEX(Однолинейка!$AI$1:$AI$1000,(MATCH(3,Однолинейка!$BS$1:$BS$1000,0))))</f>
        <v/>
      </c>
      <c r="BK7" s="38" t="str">
        <f t="shared" si="1"/>
        <v/>
      </c>
      <c r="BL7" s="38" t="str">
        <f>IF(BI7="","",_xlfn.MAXIFS(Однолинейка!$O$3:$O$1000,Однолинейка!$AH$3:$AH$1000,BI7,Однолинейка!$A$3:$A$1000,BH7))</f>
        <v/>
      </c>
      <c r="BM7" s="38" t="str">
        <f>IF(BI7="","",COUNTIFS(Однолинейка!$AH$3:$AH$1000,BI7,Однолинейка!$A$3:$A$1000,BH7,Однолинейка!$N$3:$N$1000,"р"))</f>
        <v/>
      </c>
      <c r="BN7" s="38" t="str">
        <f t="shared" si="2"/>
        <v/>
      </c>
      <c r="BP7" s="74">
        <v>30</v>
      </c>
      <c r="BQ7" s="74">
        <v>0.6</v>
      </c>
      <c r="BT7" s="74"/>
      <c r="BU7" s="74"/>
      <c r="BX7" s="74">
        <v>6</v>
      </c>
      <c r="BY7" s="74">
        <v>50</v>
      </c>
      <c r="BZ7" s="74">
        <v>50</v>
      </c>
      <c r="CA7" s="74">
        <v>42</v>
      </c>
    </row>
    <row r="8" spans="1:79" x14ac:dyDescent="0.3">
      <c r="B8" s="14">
        <v>4</v>
      </c>
      <c r="C8" s="14">
        <v>9.5000000000000001E-2</v>
      </c>
      <c r="D8" s="14">
        <v>2.2499999999999999E-2</v>
      </c>
      <c r="F8" s="14">
        <v>18</v>
      </c>
      <c r="G8" s="14">
        <v>25</v>
      </c>
      <c r="I8" s="14"/>
      <c r="J8" s="14"/>
      <c r="L8" s="16"/>
      <c r="M8" s="16"/>
      <c r="N8" s="16"/>
      <c r="O8" s="17"/>
      <c r="P8" s="26"/>
      <c r="Q8" s="26"/>
      <c r="R8" s="26"/>
      <c r="S8" s="26"/>
      <c r="T8" s="26"/>
      <c r="U8" s="26"/>
      <c r="V8" s="26"/>
      <c r="W8" s="26"/>
      <c r="X8" s="26"/>
      <c r="Y8" s="26"/>
      <c r="Z8" s="74"/>
      <c r="AA8" s="16"/>
      <c r="AB8" s="16"/>
      <c r="AC8" s="17"/>
      <c r="AD8" s="18"/>
      <c r="AE8" s="16"/>
      <c r="AF8" s="16"/>
      <c r="AG8" s="16"/>
      <c r="AJ8" s="13" t="str">
        <f t="shared" si="0"/>
        <v>ВВГнг(А)-LS (3х1,5) 1</v>
      </c>
      <c r="AK8" s="14" t="s">
        <v>66</v>
      </c>
      <c r="AL8" t="s">
        <v>12</v>
      </c>
      <c r="AM8">
        <v>3</v>
      </c>
      <c r="AN8">
        <v>1.5</v>
      </c>
      <c r="AO8">
        <v>1</v>
      </c>
      <c r="AQ8" s="72"/>
      <c r="AR8" s="72"/>
      <c r="AS8" s="72"/>
      <c r="AU8" s="26"/>
      <c r="AV8" s="26"/>
      <c r="AW8" s="26"/>
      <c r="AX8" s="26"/>
      <c r="AY8" s="26"/>
      <c r="AZ8" s="74"/>
      <c r="BA8" s="26" t="s">
        <v>568</v>
      </c>
      <c r="BB8" s="26" t="s">
        <v>569</v>
      </c>
      <c r="BC8" s="26" t="s">
        <v>500</v>
      </c>
      <c r="BD8" s="79"/>
      <c r="BE8" s="37" t="s">
        <v>491</v>
      </c>
      <c r="BF8" s="38">
        <f>COUNTIF(Однолинейка!$E$3:$E$1000,"?*")</f>
        <v>327</v>
      </c>
      <c r="BH8" s="38" t="str">
        <f>IFERROR(INDEX(Однолинейка!$A$1:$A$1000,(MATCH(4,Однолинейка!$BS$1:$BS$1000,0))),"")</f>
        <v/>
      </c>
      <c r="BI8" s="38" t="str">
        <f>IFERROR(INDEX(Однолинейка!$AW$1:$AW$1000,(MATCH(4,Однолинейка!$BS$1:$BS$1000,0))),"")</f>
        <v/>
      </c>
      <c r="BJ8" s="38" t="str">
        <f>IF(BI8="","",INDEX(Однолинейка!$AI$1:$AI$1000,(MATCH(4,Однолинейка!$BS$1:$BS$1000,0))))</f>
        <v/>
      </c>
      <c r="BK8" s="38" t="str">
        <f t="shared" si="1"/>
        <v/>
      </c>
      <c r="BL8" s="38" t="str">
        <f>IF(BI8="","",_xlfn.MAXIFS(Однолинейка!$O$3:$O$1000,Однолинейка!$AH$3:$AH$1000,BI8,Однолинейка!$A$3:$A$1000,BH8))</f>
        <v/>
      </c>
      <c r="BM8" s="38" t="str">
        <f>IF(BI8="","",COUNTIFS(Однолинейка!$AH$3:$AH$1000,BI8,Однолинейка!$A$3:$A$1000,BH8,Однолинейка!$N$3:$N$1000,"р"))</f>
        <v/>
      </c>
      <c r="BN8" s="38" t="str">
        <f t="shared" si="2"/>
        <v/>
      </c>
      <c r="BP8" s="74">
        <v>40</v>
      </c>
      <c r="BQ8" s="74">
        <v>0.55000000000000004</v>
      </c>
      <c r="BT8" s="74"/>
      <c r="BU8" s="74"/>
      <c r="BX8" s="74">
        <v>10</v>
      </c>
      <c r="BY8" s="74">
        <v>80</v>
      </c>
      <c r="BZ8" s="74">
        <v>70</v>
      </c>
      <c r="CA8" s="74">
        <v>55</v>
      </c>
    </row>
    <row r="9" spans="1:79" x14ac:dyDescent="0.3">
      <c r="B9" s="14">
        <v>6</v>
      </c>
      <c r="C9" s="14">
        <v>0.09</v>
      </c>
      <c r="D9" s="14">
        <v>2.2499999999999999E-2</v>
      </c>
      <c r="F9" s="14">
        <v>22.5</v>
      </c>
      <c r="G9" s="14">
        <v>32</v>
      </c>
      <c r="I9" s="14"/>
      <c r="J9" s="14"/>
      <c r="L9" s="16"/>
      <c r="M9" s="16"/>
      <c r="N9" s="16"/>
      <c r="O9" s="17"/>
      <c r="P9" s="26"/>
      <c r="Q9" s="26"/>
      <c r="R9" s="26"/>
      <c r="S9" s="26"/>
      <c r="T9" s="26"/>
      <c r="U9" s="26"/>
      <c r="V9" s="26"/>
      <c r="W9" s="26"/>
      <c r="X9" s="26"/>
      <c r="Y9" s="26"/>
      <c r="Z9" s="74"/>
      <c r="AA9" s="16"/>
      <c r="AB9" s="16"/>
      <c r="AC9" s="17"/>
      <c r="AD9" s="18"/>
      <c r="AE9" s="16"/>
      <c r="AF9" s="16"/>
      <c r="AG9" s="16"/>
      <c r="AJ9" s="13" t="str">
        <f t="shared" si="0"/>
        <v>ВВГнг(А)-LS (3х1,5) 2</v>
      </c>
      <c r="AK9" s="14" t="s">
        <v>67</v>
      </c>
      <c r="AL9" t="s">
        <v>12</v>
      </c>
      <c r="AM9">
        <v>3</v>
      </c>
      <c r="AN9">
        <v>1.5</v>
      </c>
      <c r="AO9">
        <v>2</v>
      </c>
      <c r="AQ9" s="72"/>
      <c r="AR9" s="72"/>
      <c r="AS9" s="72"/>
      <c r="AU9" s="26"/>
      <c r="AV9" s="26"/>
      <c r="AW9" s="26"/>
      <c r="AX9" s="26"/>
      <c r="AY9" s="26"/>
      <c r="AZ9" s="74"/>
      <c r="BA9" s="26" t="s">
        <v>571</v>
      </c>
      <c r="BB9" s="26" t="s">
        <v>572</v>
      </c>
      <c r="BC9" s="26" t="s">
        <v>503</v>
      </c>
      <c r="BD9" s="79"/>
      <c r="BE9" s="37" t="s">
        <v>495</v>
      </c>
      <c r="BF9" s="38">
        <f>COUNTIF(Однолинейка!$AJ$3:$AJ$1000,"QFD*")</f>
        <v>143</v>
      </c>
      <c r="BH9" s="38" t="str">
        <f>IFERROR(INDEX(Однолинейка!$A$1:$A$1000,(MATCH(5,Однолинейка!$BS$1:$BS$1000,0))),"")</f>
        <v/>
      </c>
      <c r="BI9" s="38" t="str">
        <f>IFERROR(INDEX(Однолинейка!$AW$1:$AW$1000,(MATCH(5,Однолинейка!$BS$1:$BS$1000,0))),"")</f>
        <v/>
      </c>
      <c r="BJ9" s="38" t="str">
        <f>IF(BI9="","",INDEX(Однолинейка!$AI$1:$AI$1000,(MATCH(5,Однолинейка!$BS$1:$BS$1000,0))))</f>
        <v/>
      </c>
      <c r="BK9" s="38" t="str">
        <f t="shared" si="1"/>
        <v/>
      </c>
      <c r="BL9" s="38" t="str">
        <f>IF(BI9="","",_xlfn.MAXIFS(Однолинейка!$O$3:$O$1000,Однолинейка!$AH$3:$AH$1000,BI9,Однолинейка!$A$3:$A$1000,BH9))</f>
        <v/>
      </c>
      <c r="BM9" s="38" t="str">
        <f>IF(BI9="","",COUNTIFS(Однолинейка!$AH$3:$AH$1000,BI9,Однолинейка!$A$3:$A$1000,BH9,Однолинейка!$N$3:$N$1000,"р"))</f>
        <v/>
      </c>
      <c r="BN9" s="38" t="str">
        <f t="shared" si="2"/>
        <v/>
      </c>
      <c r="BP9" s="74">
        <v>50</v>
      </c>
      <c r="BQ9" s="74">
        <v>0.5</v>
      </c>
      <c r="BT9" s="74"/>
      <c r="BU9" s="74"/>
      <c r="BX9" s="74">
        <v>16</v>
      </c>
      <c r="BY9" s="74">
        <v>100</v>
      </c>
      <c r="BZ9" s="74">
        <v>90</v>
      </c>
      <c r="CA9" s="74">
        <v>75</v>
      </c>
    </row>
    <row r="10" spans="1:79" x14ac:dyDescent="0.3">
      <c r="B10" s="14">
        <v>10</v>
      </c>
      <c r="C10" s="14">
        <v>7.2999999999999995E-2</v>
      </c>
      <c r="D10" s="14">
        <v>2.2499999999999999E-2</v>
      </c>
      <c r="F10" s="14">
        <v>28.8</v>
      </c>
      <c r="G10" s="14">
        <v>40</v>
      </c>
      <c r="I10" s="14"/>
      <c r="J10" s="14"/>
      <c r="L10" s="16"/>
      <c r="M10" s="16"/>
      <c r="N10" s="16"/>
      <c r="O10" s="17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74"/>
      <c r="AA10" s="16"/>
      <c r="AB10" s="16"/>
      <c r="AC10" s="17"/>
      <c r="AD10" s="18"/>
      <c r="AE10" s="16"/>
      <c r="AF10" s="16"/>
      <c r="AG10" s="16"/>
      <c r="AJ10" s="13" t="str">
        <f t="shared" si="0"/>
        <v>ВВГнг(А)-LS (3х2,5) 1</v>
      </c>
      <c r="AK10" s="14" t="s">
        <v>68</v>
      </c>
      <c r="AL10" t="s">
        <v>12</v>
      </c>
      <c r="AM10">
        <v>3</v>
      </c>
      <c r="AN10">
        <v>2.5</v>
      </c>
      <c r="AO10">
        <v>1</v>
      </c>
      <c r="AU10" s="26"/>
      <c r="AV10" s="26"/>
      <c r="AW10" s="26"/>
      <c r="AX10" s="26"/>
      <c r="AY10" s="26"/>
      <c r="AZ10" s="74"/>
      <c r="BA10" s="26" t="s">
        <v>576</v>
      </c>
      <c r="BB10" s="26" t="s">
        <v>572</v>
      </c>
      <c r="BC10" s="26" t="s">
        <v>510</v>
      </c>
      <c r="BD10" s="79"/>
      <c r="BE10" s="37" t="s">
        <v>577</v>
      </c>
      <c r="BF10" s="38">
        <f>COUNTIF(Однолинейка!$AY$3:$AY$1000,1)</f>
        <v>305</v>
      </c>
      <c r="BH10" s="38" t="str">
        <f>IFERROR(INDEX(Однолинейка!$A$1:$A$1000,(MATCH(6,Однолинейка!$BS$1:$BS$1000,0))),"")</f>
        <v/>
      </c>
      <c r="BI10" s="38" t="str">
        <f>IFERROR(INDEX(Однолинейка!$AW$1:$AW$1000,(MATCH(6,Однолинейка!$BS$1:$BS$1000,0))),"")</f>
        <v/>
      </c>
      <c r="BJ10" s="38" t="str">
        <f>IF(BI10="","",INDEX(Однолинейка!$AI$1:$AI$1000,(MATCH(6,Однолинейка!$BS$1:$BS$1000,0))))</f>
        <v/>
      </c>
      <c r="BK10" s="38" t="str">
        <f t="shared" si="1"/>
        <v/>
      </c>
      <c r="BL10" s="38" t="str">
        <f>IF(BI10="","",_xlfn.MAXIFS(Однолинейка!$O$3:$O$1000,Однолинейка!$AH$3:$AH$1000,BI10,Однолинейка!$A$3:$A$1000,BH10))</f>
        <v/>
      </c>
      <c r="BM10" s="38" t="str">
        <f>IF(BI10="","",COUNTIFS(Однолинейка!$AH$3:$AH$1000,BI10,Однолинейка!$A$3:$A$1000,BH10,Однолинейка!$N$3:$N$1000,"р"))</f>
        <v/>
      </c>
      <c r="BN10" s="38" t="str">
        <f t="shared" si="2"/>
        <v/>
      </c>
      <c r="BP10" s="74">
        <v>60</v>
      </c>
      <c r="BQ10" s="74">
        <v>0.48</v>
      </c>
      <c r="BT10" s="74"/>
      <c r="BU10" s="74"/>
      <c r="BX10" s="74">
        <v>25</v>
      </c>
      <c r="BY10" s="74">
        <v>140</v>
      </c>
      <c r="BZ10" s="74">
        <v>115</v>
      </c>
      <c r="CA10" s="74">
        <v>95</v>
      </c>
    </row>
    <row r="11" spans="1:79" x14ac:dyDescent="0.3">
      <c r="B11" s="14">
        <v>16</v>
      </c>
      <c r="C11" s="14">
        <v>6.7500000000000004E-2</v>
      </c>
      <c r="D11" s="14">
        <v>2.2499999999999999E-2</v>
      </c>
      <c r="F11" s="14">
        <v>36</v>
      </c>
      <c r="G11" s="14">
        <v>50</v>
      </c>
      <c r="I11" s="14"/>
      <c r="J11" s="14"/>
      <c r="L11" s="16"/>
      <c r="M11" s="16"/>
      <c r="N11" s="16"/>
      <c r="O11" s="17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74"/>
      <c r="AA11" s="16"/>
      <c r="AB11" s="16"/>
      <c r="AC11" s="17"/>
      <c r="AD11" s="18"/>
      <c r="AE11" s="16"/>
      <c r="AF11" s="16"/>
      <c r="AG11" s="16"/>
      <c r="AJ11" s="13" t="str">
        <f t="shared" si="0"/>
        <v>ВВГнг(А)-LS (3х2,5) 2</v>
      </c>
      <c r="AK11" s="14" t="s">
        <v>69</v>
      </c>
      <c r="AL11" t="s">
        <v>12</v>
      </c>
      <c r="AM11">
        <v>3</v>
      </c>
      <c r="AN11">
        <v>2.5</v>
      </c>
      <c r="AO11">
        <v>2</v>
      </c>
      <c r="AU11" s="26"/>
      <c r="AV11" s="26"/>
      <c r="AW11" s="26"/>
      <c r="AX11" s="26"/>
      <c r="AY11" s="26"/>
      <c r="AZ11" s="74"/>
      <c r="BA11" s="26"/>
      <c r="BB11" s="26"/>
      <c r="BC11" s="26"/>
      <c r="BD11" s="79"/>
      <c r="BE11" s="37" t="s">
        <v>580</v>
      </c>
      <c r="BF11" s="38">
        <f>SUM(Однолинейка!$BW$3:$BW$1000)</f>
        <v>305</v>
      </c>
      <c r="BH11" s="38" t="str">
        <f>IFERROR(INDEX(Однолинейка!$A$1:$A$1000,(MATCH(7,Однолинейка!$BS$1:$BS$1000,0))),"")</f>
        <v/>
      </c>
      <c r="BI11" s="38" t="str">
        <f>IFERROR(INDEX(Однолинейка!$AW$1:$AW$1000,(MATCH(7,Однолинейка!$BS$1:$BS$1000,0))),"")</f>
        <v/>
      </c>
      <c r="BJ11" s="38" t="str">
        <f>IF(BI11="","",INDEX(Однолинейка!$AI$1:$AI$1000,(MATCH(7,Однолинейка!$BS$1:$BS$1000,0))))</f>
        <v/>
      </c>
      <c r="BK11" s="38" t="str">
        <f t="shared" si="1"/>
        <v/>
      </c>
      <c r="BL11" s="38" t="str">
        <f>IF(BI11="","",_xlfn.MAXIFS(Однолинейка!$O$3:$O$1000,Однолинейка!$AH$3:$AH$1000,BI11,Однолинейка!$A$3:$A$1000,BH11))</f>
        <v/>
      </c>
      <c r="BM11" s="38" t="str">
        <f>IF(BI11="","",COUNTIFS(Однолинейка!$AH$3:$AH$1000,BI11,Однолинейка!$A$3:$A$1000,BH11,Однолинейка!$N$3:$N$1000,"р"))</f>
        <v/>
      </c>
      <c r="BN11" s="38" t="str">
        <f t="shared" si="2"/>
        <v/>
      </c>
      <c r="BP11" s="74">
        <v>70</v>
      </c>
      <c r="BQ11" s="74">
        <v>0.45</v>
      </c>
      <c r="BR11" s="37" t="s">
        <v>581</v>
      </c>
      <c r="BT11" s="74"/>
      <c r="BU11" s="74"/>
      <c r="BX11" s="74">
        <v>35</v>
      </c>
      <c r="BY11" s="74">
        <v>170</v>
      </c>
      <c r="BZ11" s="74">
        <v>140</v>
      </c>
      <c r="CA11" s="74">
        <v>120</v>
      </c>
    </row>
    <row r="12" spans="1:79" x14ac:dyDescent="0.3">
      <c r="B12" s="14">
        <v>25</v>
      </c>
      <c r="C12" s="14">
        <v>6.6199999999999995E-2</v>
      </c>
      <c r="D12" s="14">
        <v>2.2499999999999999E-2</v>
      </c>
      <c r="F12" s="14">
        <v>45</v>
      </c>
      <c r="G12" s="14">
        <v>63</v>
      </c>
      <c r="I12" s="14"/>
      <c r="J12" s="14"/>
      <c r="L12" s="16"/>
      <c r="M12" s="16"/>
      <c r="N12" s="16"/>
      <c r="O12" s="17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74"/>
      <c r="AA12" s="16"/>
      <c r="AB12" s="16"/>
      <c r="AC12" s="17"/>
      <c r="AD12" s="18"/>
      <c r="AE12" s="16"/>
      <c r="AF12" s="16"/>
      <c r="AG12" s="16"/>
      <c r="AJ12" s="13" t="str">
        <f t="shared" si="0"/>
        <v>ВВГнг(А)-LS (3х4) 1</v>
      </c>
      <c r="AK12" s="14" t="s">
        <v>70</v>
      </c>
      <c r="AL12" t="s">
        <v>12</v>
      </c>
      <c r="AM12">
        <v>3</v>
      </c>
      <c r="AN12">
        <v>4</v>
      </c>
      <c r="AO12">
        <v>1</v>
      </c>
      <c r="AU12" s="26"/>
      <c r="AV12" s="26"/>
      <c r="AW12" s="26"/>
      <c r="AY12" s="26"/>
      <c r="AZ12" s="74"/>
      <c r="BA12" s="26"/>
      <c r="BB12" s="26"/>
      <c r="BC12" s="26"/>
      <c r="BD12" s="79"/>
      <c r="BE12" s="37" t="s">
        <v>583</v>
      </c>
      <c r="BF12" s="38">
        <f>SUM(Однолинейка!$BX$3:$BX$1000)</f>
        <v>50</v>
      </c>
      <c r="BH12" s="38" t="str">
        <f>IFERROR(INDEX(Однолинейка!$A$1:$A$1000,(MATCH(8,Однолинейка!$BS$1:$BS$1000,0))),"")</f>
        <v/>
      </c>
      <c r="BI12" s="38" t="str">
        <f>IFERROR(INDEX(Однолинейка!$AW$1:$AW$1000,(MATCH(8,Однолинейка!$BS$1:$BS$1000,0))),"")</f>
        <v/>
      </c>
      <c r="BJ12" s="38" t="str">
        <f>IF(BI12="","",INDEX(Однолинейка!$AI$1:$AI$1000,(MATCH(8,Однолинейка!$BS$1:$BS$1000,0))))</f>
        <v/>
      </c>
      <c r="BK12" s="38" t="str">
        <f t="shared" si="1"/>
        <v/>
      </c>
      <c r="BL12" s="38" t="str">
        <f>IF(BI12="","",_xlfn.MAXIFS(Однолинейка!$O$3:$O$1000,Однолинейка!$AH$3:$AH$1000,BI12,Однолинейка!$A$3:$A$1000,BH12))</f>
        <v/>
      </c>
      <c r="BM12" s="38" t="str">
        <f>IF(BI12="","",COUNTIFS(Однолинейка!$AH$3:$AH$1000,BI12,Однолинейка!$A$3:$A$1000,BH12,Однолинейка!$N$3:$N$1000,"р"))</f>
        <v/>
      </c>
      <c r="BN12" s="38" t="str">
        <f t="shared" si="2"/>
        <v/>
      </c>
      <c r="BT12" s="74"/>
      <c r="BU12" s="74"/>
      <c r="BX12" s="74">
        <v>50</v>
      </c>
      <c r="BY12" s="74">
        <v>215</v>
      </c>
      <c r="BZ12" s="74">
        <v>175</v>
      </c>
      <c r="CA12" s="74">
        <v>145</v>
      </c>
    </row>
    <row r="13" spans="1:79" x14ac:dyDescent="0.3">
      <c r="B13" s="14">
        <v>35</v>
      </c>
      <c r="C13" s="14">
        <v>6.3700000000000007E-2</v>
      </c>
      <c r="D13" s="14">
        <v>2.2499999999999999E-2</v>
      </c>
      <c r="F13" s="14">
        <v>56.7</v>
      </c>
      <c r="G13" s="14">
        <v>80</v>
      </c>
      <c r="I13" s="14"/>
      <c r="J13" s="14"/>
      <c r="L13" s="16"/>
      <c r="M13" s="3"/>
      <c r="N13" s="16"/>
      <c r="O13" s="17"/>
      <c r="P13" s="26"/>
      <c r="Q13" s="19"/>
      <c r="R13" s="26"/>
      <c r="S13" s="26"/>
      <c r="T13" s="26"/>
      <c r="U13" s="26"/>
      <c r="V13" s="26"/>
      <c r="W13" s="26"/>
      <c r="X13" s="26"/>
      <c r="Y13" s="26"/>
      <c r="Z13" s="74"/>
      <c r="AA13" s="16"/>
      <c r="AB13" s="16"/>
      <c r="AC13" s="17"/>
      <c r="AD13" s="18"/>
      <c r="AE13" s="16"/>
      <c r="AF13" s="16"/>
      <c r="AG13" s="16"/>
      <c r="AJ13" s="13" t="str">
        <f t="shared" si="0"/>
        <v>ВВГнг(А)-LS (3х4) 2</v>
      </c>
      <c r="AK13" s="14" t="s">
        <v>71</v>
      </c>
      <c r="AL13" t="s">
        <v>12</v>
      </c>
      <c r="AM13">
        <v>3</v>
      </c>
      <c r="AN13">
        <v>4</v>
      </c>
      <c r="AO13">
        <v>2</v>
      </c>
      <c r="AU13" s="26"/>
      <c r="AY13" s="26"/>
      <c r="AZ13" s="74"/>
      <c r="BA13" s="26"/>
      <c r="BB13" s="26"/>
      <c r="BC13" s="26"/>
      <c r="BD13" s="79"/>
      <c r="BE13" s="37" t="s">
        <v>501</v>
      </c>
      <c r="BF13" s="38">
        <f>COUNTIF(Однолинейка!$AW$3:$AW$1000,"?*")</f>
        <v>0</v>
      </c>
      <c r="BH13" s="38" t="str">
        <f>IFERROR(INDEX(Однолинейка!$A$1:$A$1000,(MATCH(9,Однолинейка!$BS$1:$BS$1000,0))),"")</f>
        <v/>
      </c>
      <c r="BI13" s="38" t="str">
        <f>IFERROR(INDEX(Однолинейка!$AW$1:$AW$1000,(MATCH(9,Однолинейка!$BS$1:$BS$1000,0))),"")</f>
        <v/>
      </c>
      <c r="BJ13" s="38" t="str">
        <f>IF(BI13="","",INDEX(Однолинейка!$AI$1:$AI$1000,(MATCH(9,Однолинейка!$BS$1:$BS$1000,0))))</f>
        <v/>
      </c>
      <c r="BK13" s="38" t="str">
        <f t="shared" si="1"/>
        <v/>
      </c>
      <c r="BL13" s="38" t="str">
        <f>IF(BI13="","",_xlfn.MAXIFS(Однолинейка!$O$3:$O$1000,Однолинейка!$AH$3:$AH$1000,BI13,Однолинейка!$A$3:$A$1000,BH13))</f>
        <v/>
      </c>
      <c r="BM13" s="38" t="str">
        <f>IF(BI13="","",COUNTIFS(Однолинейка!$AH$3:$AH$1000,BI13,Однолинейка!$A$3:$A$1000,BH13,Однолинейка!$N$3:$N$1000,"р"))</f>
        <v/>
      </c>
      <c r="BN13" s="38" t="str">
        <f t="shared" si="2"/>
        <v/>
      </c>
      <c r="BP13" s="35" t="s">
        <v>585</v>
      </c>
      <c r="BQ13" s="35"/>
      <c r="BT13" s="74"/>
      <c r="BU13" s="74"/>
      <c r="BX13" s="74">
        <v>70</v>
      </c>
      <c r="BY13" s="74">
        <v>270</v>
      </c>
      <c r="BZ13" s="74">
        <v>215</v>
      </c>
      <c r="CA13" s="74">
        <v>180</v>
      </c>
    </row>
    <row r="14" spans="1:79" x14ac:dyDescent="0.3">
      <c r="B14" s="14">
        <v>50</v>
      </c>
      <c r="C14" s="14">
        <v>6.25E-2</v>
      </c>
      <c r="D14" s="14">
        <v>2.2499999999999999E-2</v>
      </c>
      <c r="F14" s="14">
        <v>72</v>
      </c>
      <c r="G14" s="14">
        <v>100</v>
      </c>
      <c r="I14" s="14"/>
      <c r="J14" s="14"/>
      <c r="L14" s="16"/>
      <c r="M14" s="16"/>
      <c r="N14" s="16"/>
      <c r="O14" s="17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74"/>
      <c r="AA14" s="16"/>
      <c r="AB14" s="16"/>
      <c r="AC14" s="17"/>
      <c r="AD14" s="18"/>
      <c r="AE14" s="16"/>
      <c r="AF14" s="16"/>
      <c r="AG14" s="16"/>
      <c r="AJ14" s="13" t="str">
        <f t="shared" si="0"/>
        <v>ВВГнг(А)-LS (3х6) 1</v>
      </c>
      <c r="AK14" s="14" t="s">
        <v>72</v>
      </c>
      <c r="AL14" t="s">
        <v>12</v>
      </c>
      <c r="AM14">
        <v>3</v>
      </c>
      <c r="AN14">
        <v>6</v>
      </c>
      <c r="AO14">
        <v>1</v>
      </c>
      <c r="AU14" s="26"/>
      <c r="AV14" s="26"/>
      <c r="AW14" s="26"/>
      <c r="AY14" s="26"/>
      <c r="AZ14" s="74"/>
      <c r="BA14" s="26"/>
      <c r="BB14" s="26"/>
      <c r="BC14" s="26"/>
      <c r="BD14" s="79"/>
      <c r="BE14" s="37" t="s">
        <v>587</v>
      </c>
      <c r="BF14" s="38">
        <f>COUNTIF(Однолинейка!$BU$3:$BU$1000,2)</f>
        <v>5</v>
      </c>
      <c r="BH14" s="38" t="str">
        <f>IFERROR(INDEX(Однолинейка!$A$1:$A$1000,(MATCH(10,Однолинейка!$BS$1:$BS$1000,0))),"")</f>
        <v/>
      </c>
      <c r="BI14" s="38" t="str">
        <f>IFERROR(INDEX(Однолинейка!$AW$1:$AW$1000,(MATCH(10,Однолинейка!$BS$1:$BS$1000,0))),"")</f>
        <v/>
      </c>
      <c r="BJ14" s="38" t="str">
        <f>IF(BI14="","",INDEX(Однолинейка!$AI$1:$AI$1000,(MATCH(10,Однолинейка!$BS$1:$BS$1000,0))))</f>
        <v/>
      </c>
      <c r="BK14" s="38" t="str">
        <f t="shared" si="1"/>
        <v/>
      </c>
      <c r="BL14" s="38" t="str">
        <f>IF(BI14="","",_xlfn.MAXIFS(Однолинейка!$O$3:$O$1000,Однолинейка!$AH$3:$AH$1000,BI14,Однолинейка!$A$3:$A$1000,BH14))</f>
        <v/>
      </c>
      <c r="BM14" s="38" t="str">
        <f>IF(BI14="","",COUNTIFS(Однолинейка!$AH$3:$AH$1000,BI14,Однолинейка!$A$3:$A$1000,BH14,Однолинейка!$N$3:$N$1000,"р"))</f>
        <v/>
      </c>
      <c r="BN14" s="38" t="str">
        <f t="shared" si="2"/>
        <v/>
      </c>
      <c r="BP14" s="37" t="s">
        <v>588</v>
      </c>
      <c r="BQ14" s="74">
        <v>0.9</v>
      </c>
      <c r="BR14" s="37" t="s">
        <v>589</v>
      </c>
      <c r="BT14" s="74"/>
      <c r="BU14" s="74"/>
      <c r="BX14" s="74">
        <v>95</v>
      </c>
      <c r="BY14" s="74">
        <v>325</v>
      </c>
      <c r="BZ14" s="74">
        <v>260</v>
      </c>
      <c r="CA14" s="74">
        <v>220</v>
      </c>
    </row>
    <row r="15" spans="1:79" x14ac:dyDescent="0.3">
      <c r="B15" s="14">
        <v>70</v>
      </c>
      <c r="C15" s="14">
        <v>6.1199999999999997E-2</v>
      </c>
      <c r="D15" s="14">
        <v>2.2499999999999999E-2</v>
      </c>
      <c r="F15" s="14">
        <v>90</v>
      </c>
      <c r="G15" s="14">
        <v>125</v>
      </c>
      <c r="I15" s="14"/>
      <c r="J15" s="14"/>
      <c r="L15" s="16"/>
      <c r="M15" s="16"/>
      <c r="N15" s="16"/>
      <c r="O15" s="17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74"/>
      <c r="AA15" s="16"/>
      <c r="AB15" s="16"/>
      <c r="AC15" s="17"/>
      <c r="AD15" s="18"/>
      <c r="AE15" s="16"/>
      <c r="AF15" s="16"/>
      <c r="AG15" s="16"/>
      <c r="AJ15" s="13" t="str">
        <f t="shared" si="0"/>
        <v>ВВГнг(А)-LS (3х6) 2</v>
      </c>
      <c r="AK15" s="14" t="s">
        <v>73</v>
      </c>
      <c r="AL15" t="s">
        <v>12</v>
      </c>
      <c r="AM15">
        <v>3</v>
      </c>
      <c r="AN15">
        <v>6</v>
      </c>
      <c r="AO15">
        <v>2</v>
      </c>
      <c r="AU15" s="26"/>
      <c r="AV15" s="26"/>
      <c r="AW15" s="26"/>
      <c r="AY15" s="26"/>
      <c r="AZ15" s="74"/>
      <c r="BA15" s="26"/>
      <c r="BB15" s="26"/>
      <c r="BC15" s="26"/>
      <c r="BD15" s="79"/>
      <c r="BE15" s="37" t="s">
        <v>590</v>
      </c>
      <c r="BF15" s="38">
        <f>COUNTIF(Однолинейка!$BU$3:$BU$1000,1)</f>
        <v>26</v>
      </c>
      <c r="BH15" s="38" t="str">
        <f>IFERROR(INDEX(Однолинейка!$A$1:$A$1000,(MATCH(11,Однолинейка!$BS$1:$BS$1000,0))),"")</f>
        <v/>
      </c>
      <c r="BI15" s="38" t="str">
        <f>IFERROR(INDEX(Однолинейка!$AW$1:$AW$1000,(MATCH(11,Однолинейка!$BS$1:$BS$1000,0))),"")</f>
        <v/>
      </c>
      <c r="BJ15" s="38" t="str">
        <f>IF(BI15="","",INDEX(Однолинейка!$AI$1:$AI$1000,(MATCH(11,Однолинейка!$BS$1:$BS$1000,0))))</f>
        <v/>
      </c>
      <c r="BK15" s="38" t="str">
        <f t="shared" si="1"/>
        <v/>
      </c>
      <c r="BL15" s="38" t="str">
        <f>IF(BI15="","",_xlfn.MAXIFS(Однолинейка!$O$3:$O$1000,Однолинейка!$AH$3:$AH$1000,BI15,Однолинейка!$A$3:$A$1000,BH15))</f>
        <v/>
      </c>
      <c r="BM15" s="38" t="str">
        <f>IF(BI15="","",COUNTIFS(Однолинейка!$AH$3:$AH$1000,BI15,Однолинейка!$A$3:$A$1000,BH15,Однолинейка!$N$3:$N$1000,"р"))</f>
        <v/>
      </c>
      <c r="BN15" s="38" t="str">
        <f t="shared" si="2"/>
        <v/>
      </c>
      <c r="BT15" s="74"/>
      <c r="BU15" s="74"/>
      <c r="BX15" s="74">
        <v>120</v>
      </c>
      <c r="BY15" s="74">
        <v>385</v>
      </c>
      <c r="BZ15" s="74">
        <v>300</v>
      </c>
      <c r="CA15" s="74">
        <v>260</v>
      </c>
    </row>
    <row r="16" spans="1:79" x14ac:dyDescent="0.3">
      <c r="B16" s="14">
        <v>95</v>
      </c>
      <c r="C16" s="14">
        <v>6.0199999999999997E-2</v>
      </c>
      <c r="D16" s="14">
        <v>2.2499999999999999E-2</v>
      </c>
      <c r="F16" s="14">
        <v>112.5</v>
      </c>
      <c r="G16" s="14">
        <v>160</v>
      </c>
      <c r="I16" s="14"/>
      <c r="J16" s="14"/>
      <c r="L16" s="16"/>
      <c r="M16" s="21"/>
      <c r="N16" s="16"/>
      <c r="O16" s="17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74"/>
      <c r="AA16" s="16"/>
      <c r="AB16" s="16"/>
      <c r="AC16" s="17"/>
      <c r="AD16" s="18"/>
      <c r="AE16" s="16"/>
      <c r="AF16" s="16"/>
      <c r="AG16" s="16"/>
      <c r="AJ16" s="13" t="str">
        <f t="shared" si="0"/>
        <v>ВВГнг(А)-LS (5х1,5) 1</v>
      </c>
      <c r="AK16" s="14" t="s">
        <v>74</v>
      </c>
      <c r="AL16" t="s">
        <v>12</v>
      </c>
      <c r="AM16">
        <v>5</v>
      </c>
      <c r="AN16">
        <v>1.5</v>
      </c>
      <c r="AO16">
        <v>1</v>
      </c>
      <c r="AU16" s="26"/>
      <c r="AV16" s="26"/>
      <c r="AW16" s="26"/>
      <c r="AY16" s="26"/>
      <c r="AZ16" s="74"/>
      <c r="BA16" s="26"/>
      <c r="BB16" s="26"/>
      <c r="BC16" s="26"/>
      <c r="BD16" s="79"/>
      <c r="BE16" s="37" t="s">
        <v>841</v>
      </c>
      <c r="BF16" s="38" t="e">
        <f>COUNTIF(#REF!,"НЕ ОБЕСПЕЧЕНА")</f>
        <v>#REF!</v>
      </c>
      <c r="BH16" s="38" t="str">
        <f>IFERROR(INDEX(Однолинейка!$A$1:$A$1000,(MATCH(12,Однолинейка!$BS$1:$BS$1000,0))),"")</f>
        <v/>
      </c>
      <c r="BI16" s="38" t="str">
        <f>IFERROR(INDEX(Однолинейка!$AW$1:$AW$1000,(MATCH(12,Однолинейка!$BS$1:$BS$1000,0))),"")</f>
        <v/>
      </c>
      <c r="BJ16" s="38" t="str">
        <f>IF(BI16="","",INDEX(Однолинейка!$AI$1:$AI$1000,(MATCH(12,Однолинейка!$BS$1:$BS$1000,0))))</f>
        <v/>
      </c>
      <c r="BK16" s="38" t="str">
        <f t="shared" si="1"/>
        <v/>
      </c>
      <c r="BL16" s="38" t="str">
        <f>IF(BI16="","",_xlfn.MAXIFS(Однолинейка!$O$3:$O$1000,Однолинейка!$AH$3:$AH$1000,BI16,Однолинейка!$A$3:$A$1000,BH16))</f>
        <v/>
      </c>
      <c r="BM16" s="38" t="str">
        <f>IF(BI16="","",COUNTIFS(Однолинейка!$AH$3:$AH$1000,BI16,Однолинейка!$A$3:$A$1000,BH16,Однолинейка!$N$3:$N$1000,"р"))</f>
        <v/>
      </c>
      <c r="BN16" s="38" t="str">
        <f t="shared" si="2"/>
        <v/>
      </c>
      <c r="BP16" s="35" t="s">
        <v>591</v>
      </c>
      <c r="BQ16" s="35"/>
      <c r="BR16" s="35" t="s">
        <v>592</v>
      </c>
      <c r="BT16" s="74"/>
      <c r="BU16" s="74"/>
      <c r="BX16" s="74">
        <v>150</v>
      </c>
      <c r="BY16" s="74">
        <v>440</v>
      </c>
      <c r="BZ16" s="74">
        <v>350</v>
      </c>
      <c r="CA16" s="74">
        <v>305</v>
      </c>
    </row>
    <row r="17" spans="2:79" x14ac:dyDescent="0.3">
      <c r="B17" s="14">
        <v>150</v>
      </c>
      <c r="C17" s="14">
        <v>5.96E-2</v>
      </c>
      <c r="D17" s="14">
        <v>2.2499999999999999E-2</v>
      </c>
      <c r="F17" s="14">
        <v>144</v>
      </c>
      <c r="G17" s="14">
        <v>200</v>
      </c>
      <c r="I17" s="14"/>
      <c r="J17" s="14"/>
      <c r="L17" s="16"/>
      <c r="M17" s="16"/>
      <c r="N17" s="16"/>
      <c r="O17" s="17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74"/>
      <c r="AA17" s="23"/>
      <c r="AB17" s="23"/>
      <c r="AC17" s="17"/>
      <c r="AD17" s="18"/>
      <c r="AE17" s="16"/>
      <c r="AF17" s="16"/>
      <c r="AG17" s="16"/>
      <c r="AJ17" s="13" t="str">
        <f t="shared" si="0"/>
        <v>ВВГнг(А)-LS (5х1,5) 2</v>
      </c>
      <c r="AK17" s="14" t="s">
        <v>75</v>
      </c>
      <c r="AL17" t="s">
        <v>12</v>
      </c>
      <c r="AM17">
        <v>5</v>
      </c>
      <c r="AN17">
        <v>1.5</v>
      </c>
      <c r="AO17">
        <v>2</v>
      </c>
      <c r="AU17" s="26"/>
      <c r="AY17" s="26"/>
      <c r="AZ17" s="74"/>
      <c r="BA17" s="26"/>
      <c r="BB17" s="26"/>
      <c r="BC17" s="26"/>
      <c r="BD17" s="79"/>
      <c r="BH17" s="38" t="str">
        <f>IFERROR(INDEX(Однолинейка!$A$1:$A$1000,(MATCH(13,Однолинейка!$BS$1:$BS$1000,0))),"")</f>
        <v/>
      </c>
      <c r="BI17" s="38" t="str">
        <f>IFERROR(INDEX(Однолинейка!$AW$1:$AW$1000,(MATCH(13,Однолинейка!$BS$1:$BS$1000,0))),"")</f>
        <v/>
      </c>
      <c r="BJ17" s="38" t="str">
        <f>IF(BI17="","",INDEX(Однолинейка!$AI$1:$AI$1000,(MATCH(13,Однолинейка!$BS$1:$BS$1000,0))))</f>
        <v/>
      </c>
      <c r="BK17" s="38" t="str">
        <f t="shared" si="1"/>
        <v/>
      </c>
      <c r="BL17" s="38" t="str">
        <f>IF(BI17="","",_xlfn.MAXIFS(Однолинейка!$O$3:$O$1000,Однолинейка!$AH$3:$AH$1000,BI17,Однолинейка!$A$3:$A$1000,BH17))</f>
        <v/>
      </c>
      <c r="BM17" s="38" t="str">
        <f>IF(BI17="","",COUNTIFS(Однолинейка!$AH$3:$AH$1000,BI17,Однолинейка!$A$3:$A$1000,BH17,Однолинейка!$N$3:$N$1000,"р"))</f>
        <v/>
      </c>
      <c r="BN17" s="38" t="str">
        <f t="shared" si="2"/>
        <v/>
      </c>
      <c r="BP17" s="38" t="s">
        <v>564</v>
      </c>
      <c r="BR17" s="37" t="s">
        <v>595</v>
      </c>
      <c r="BT17" s="74"/>
      <c r="BU17" s="74"/>
      <c r="BX17" s="74">
        <v>185</v>
      </c>
      <c r="BY17" s="74">
        <v>510</v>
      </c>
      <c r="BZ17" s="74">
        <v>405</v>
      </c>
      <c r="CA17" s="74">
        <v>350</v>
      </c>
    </row>
    <row r="18" spans="2:79" x14ac:dyDescent="0.3">
      <c r="B18" s="14">
        <v>185</v>
      </c>
      <c r="C18" s="14">
        <v>5.96E-2</v>
      </c>
      <c r="D18" s="14">
        <v>2.2499999999999999E-2</v>
      </c>
      <c r="F18" s="14">
        <v>180</v>
      </c>
      <c r="G18" s="14">
        <v>250</v>
      </c>
      <c r="I18" s="14"/>
      <c r="J18" s="14"/>
      <c r="L18" s="16"/>
      <c r="M18" s="16"/>
      <c r="N18" s="16"/>
      <c r="O18" s="17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74"/>
      <c r="AA18" s="23"/>
      <c r="AB18" s="23"/>
      <c r="AC18" s="17"/>
      <c r="AD18" s="18"/>
      <c r="AE18" s="16"/>
      <c r="AF18" s="16"/>
      <c r="AG18" s="16"/>
      <c r="AJ18" s="13" t="str">
        <f t="shared" si="0"/>
        <v>ВВГнг(А)-LS (5х2,5) 1</v>
      </c>
      <c r="AK18" s="14" t="s">
        <v>76</v>
      </c>
      <c r="AL18" t="s">
        <v>12</v>
      </c>
      <c r="AM18">
        <v>5</v>
      </c>
      <c r="AN18">
        <v>2.5</v>
      </c>
      <c r="AO18">
        <v>1</v>
      </c>
      <c r="AU18" s="26"/>
      <c r="AV18" s="26"/>
      <c r="AW18" s="26"/>
      <c r="AY18" s="26"/>
      <c r="AZ18" s="74"/>
      <c r="BA18" s="26"/>
      <c r="BB18" s="26"/>
      <c r="BC18" s="26"/>
      <c r="BD18" s="79"/>
      <c r="BE18" s="35" t="s">
        <v>599</v>
      </c>
      <c r="BF18" s="35"/>
      <c r="BH18" s="38" t="str">
        <f>IFERROR(INDEX(Однолинейка!$A$1:$A$1000,(MATCH(14,Однолинейка!$BS$1:$BS$1000,0))),"")</f>
        <v/>
      </c>
      <c r="BI18" s="38" t="str">
        <f>IFERROR(INDEX(Однолинейка!$AW$1:$AW$1000,(MATCH(14,Однолинейка!$BS$1:$BS$1000,0))),"")</f>
        <v/>
      </c>
      <c r="BJ18" s="38" t="str">
        <f>IF(BI18="","",INDEX(Однолинейка!$AI$1:$AI$1000,(MATCH(14,Однолинейка!$BS$1:$BS$1000,0))))</f>
        <v/>
      </c>
      <c r="BK18" s="38" t="str">
        <f t="shared" si="1"/>
        <v/>
      </c>
      <c r="BL18" s="38" t="str">
        <f>IF(BI18="","",_xlfn.MAXIFS(Однолинейка!$O$3:$O$1000,Однолинейка!$AH$3:$AH$1000,BI18,Однолинейка!$A$3:$A$1000,BH18))</f>
        <v/>
      </c>
      <c r="BM18" s="38" t="str">
        <f>IF(BI18="","",COUNTIFS(Однолинейка!$AH$3:$AH$1000,BI18,Однолинейка!$A$3:$A$1000,BH18,Однолинейка!$N$3:$N$1000,"р"))</f>
        <v/>
      </c>
      <c r="BN18" s="38" t="str">
        <f t="shared" si="2"/>
        <v/>
      </c>
      <c r="BP18" s="38" t="s">
        <v>600</v>
      </c>
      <c r="BR18" s="37" t="s">
        <v>601</v>
      </c>
      <c r="BT18" s="74"/>
      <c r="BU18" s="74"/>
      <c r="BX18" s="74">
        <v>240</v>
      </c>
      <c r="BY18" s="74">
        <v>605</v>
      </c>
      <c r="BZ18" s="74"/>
      <c r="CA18" s="74"/>
    </row>
    <row r="19" spans="2:79" x14ac:dyDescent="0.3">
      <c r="B19" s="14">
        <v>240</v>
      </c>
      <c r="C19" s="14">
        <v>5.8700000000000002E-2</v>
      </c>
      <c r="D19" s="14">
        <v>2.2499999999999999E-2</v>
      </c>
      <c r="F19" s="14">
        <v>225</v>
      </c>
      <c r="G19" s="14">
        <v>315</v>
      </c>
      <c r="I19" s="14"/>
      <c r="J19" s="14"/>
      <c r="L19" s="16"/>
      <c r="M19" s="16"/>
      <c r="N19" s="16"/>
      <c r="O19" s="17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74"/>
      <c r="AA19" s="23"/>
      <c r="AB19" s="23"/>
      <c r="AC19" s="17"/>
      <c r="AD19" s="18"/>
      <c r="AE19" s="16"/>
      <c r="AF19" s="16"/>
      <c r="AG19" s="16"/>
      <c r="AJ19" s="13" t="str">
        <f t="shared" si="0"/>
        <v>ВВГнг(А)-LS (5х2,5) 2</v>
      </c>
      <c r="AK19" s="14" t="s">
        <v>77</v>
      </c>
      <c r="AL19" t="s">
        <v>12</v>
      </c>
      <c r="AM19">
        <v>5</v>
      </c>
      <c r="AN19">
        <v>2.5</v>
      </c>
      <c r="AO19">
        <v>2</v>
      </c>
      <c r="AU19" s="26"/>
      <c r="AV19" s="26"/>
      <c r="AW19" s="26"/>
      <c r="AX19" s="26"/>
      <c r="AY19" s="26"/>
      <c r="AZ19" s="74"/>
      <c r="BA19" s="26"/>
      <c r="BB19" s="26"/>
      <c r="BC19" s="26"/>
      <c r="BD19" s="79"/>
      <c r="BE19" s="37" t="s">
        <v>504</v>
      </c>
      <c r="BH19" s="38" t="str">
        <f>IFERROR(INDEX(Однолинейка!$A$1:$A$1000,(MATCH(15,Однолинейка!$BS$1:$BS$1000,0))),"")</f>
        <v/>
      </c>
      <c r="BI19" s="38" t="str">
        <f>IFERROR(INDEX(Однолинейка!$AW$1:$AW$1000,(MATCH(15,Однолинейка!$BS$1:$BS$1000,0))),"")</f>
        <v/>
      </c>
      <c r="BJ19" s="38" t="str">
        <f>IF(BI19="","",INDEX(Однолинейка!$AI$1:$AI$1000,(MATCH(15,Однолинейка!$BS$1:$BS$1000,0))))</f>
        <v/>
      </c>
      <c r="BK19" s="38" t="str">
        <f t="shared" si="1"/>
        <v/>
      </c>
      <c r="BL19" s="38" t="str">
        <f>IF(BI19="","",_xlfn.MAXIFS(Однолинейка!$O$3:$O$1000,Однолинейка!$AH$3:$AH$1000,BI19,Однолинейка!$A$3:$A$1000,BH19))</f>
        <v/>
      </c>
      <c r="BM19" s="38" t="str">
        <f>IF(BI19="","",COUNTIFS(Однолинейка!$AH$3:$AH$1000,BI19,Однолинейка!$A$3:$A$1000,BH19,Однолинейка!$N$3:$N$1000,"р"))</f>
        <v/>
      </c>
      <c r="BN19" s="38" t="str">
        <f t="shared" si="2"/>
        <v/>
      </c>
      <c r="BP19" s="38" t="s">
        <v>575</v>
      </c>
      <c r="BR19" s="37" t="s">
        <v>605</v>
      </c>
      <c r="BT19" s="74"/>
      <c r="BU19" s="74"/>
    </row>
    <row r="20" spans="2:79" x14ac:dyDescent="0.3">
      <c r="F20" s="14">
        <v>283.5</v>
      </c>
      <c r="G20" s="14">
        <v>400</v>
      </c>
      <c r="L20" s="16"/>
      <c r="M20" s="16"/>
      <c r="N20" s="16"/>
      <c r="O20" s="17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74"/>
      <c r="AA20" s="23"/>
      <c r="AB20" s="23"/>
      <c r="AC20" s="17"/>
      <c r="AD20" s="18"/>
      <c r="AE20" s="16"/>
      <c r="AF20" s="16"/>
      <c r="AG20" s="16"/>
      <c r="AJ20" s="13" t="str">
        <f t="shared" si="0"/>
        <v>ВВГнг(А)-LS (5х4) 1</v>
      </c>
      <c r="AK20" s="14" t="s">
        <v>78</v>
      </c>
      <c r="AL20" t="s">
        <v>12</v>
      </c>
      <c r="AM20">
        <v>5</v>
      </c>
      <c r="AN20">
        <v>4</v>
      </c>
      <c r="AO20">
        <v>1</v>
      </c>
      <c r="AU20" s="26"/>
      <c r="AV20" s="26"/>
      <c r="AW20" s="26"/>
      <c r="AX20" s="26"/>
      <c r="AY20" s="26"/>
      <c r="AZ20" s="74"/>
      <c r="BA20" s="26"/>
      <c r="BB20" s="26"/>
      <c r="BC20" s="26"/>
      <c r="BD20" s="79"/>
      <c r="BE20" s="37" t="s">
        <v>609</v>
      </c>
      <c r="BH20" s="38" t="str">
        <f>IFERROR(INDEX(Однолинейка!$A$1:$A$1000,(MATCH(16,Однолинейка!$BS$1:$BS$1000,0))),"")</f>
        <v/>
      </c>
      <c r="BI20" s="38" t="str">
        <f>IFERROR(INDEX(Однолинейка!$AW$1:$AW$1000,(MATCH(16,Однолинейка!$BS$1:$BS$1000,0))),"")</f>
        <v/>
      </c>
      <c r="BJ20" s="38" t="str">
        <f>IF(BI20="","",INDEX(Однолинейка!$AI$1:$AI$1000,(MATCH(16,Однолинейка!$BS$1:$BS$1000,0))))</f>
        <v/>
      </c>
      <c r="BK20" s="38" t="str">
        <f t="shared" si="1"/>
        <v/>
      </c>
      <c r="BL20" s="38" t="str">
        <f>IF(BI20="","",_xlfn.MAXIFS(Однолинейка!$O$3:$O$1000,Однолинейка!$AH$3:$AH$1000,BI20,Однолинейка!$A$3:$A$1000,BH20))</f>
        <v/>
      </c>
      <c r="BM20" s="38" t="str">
        <f>IF(BI20="","",COUNTIFS(Однолинейка!$AH$3:$AH$1000,BI20,Однолинейка!$A$3:$A$1000,BH20,Однолинейка!$N$3:$N$1000,"р"))</f>
        <v/>
      </c>
      <c r="BN20" s="38" t="str">
        <f t="shared" si="2"/>
        <v/>
      </c>
      <c r="BP20" s="38" t="s">
        <v>549</v>
      </c>
      <c r="BR20" s="37" t="s">
        <v>610</v>
      </c>
      <c r="BT20" s="74"/>
      <c r="BU20" s="74"/>
      <c r="BX20" s="37" t="s">
        <v>612</v>
      </c>
    </row>
    <row r="21" spans="2:79" x14ac:dyDescent="0.3">
      <c r="F21" s="14">
        <v>360</v>
      </c>
      <c r="G21" s="14">
        <v>500</v>
      </c>
      <c r="L21" s="16"/>
      <c r="M21" s="16"/>
      <c r="N21" s="16"/>
      <c r="O21" s="17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74"/>
      <c r="AA21" s="23"/>
      <c r="AB21" s="23"/>
      <c r="AC21" s="17"/>
      <c r="AD21" s="18"/>
      <c r="AE21" s="16"/>
      <c r="AF21" s="16"/>
      <c r="AG21" s="16"/>
      <c r="AJ21" s="13" t="str">
        <f t="shared" si="0"/>
        <v>ВВГнг(А)-LS (5х4) 2</v>
      </c>
      <c r="AK21" s="14" t="s">
        <v>79</v>
      </c>
      <c r="AL21" t="s">
        <v>12</v>
      </c>
      <c r="AM21">
        <v>5</v>
      </c>
      <c r="AN21">
        <v>4</v>
      </c>
      <c r="AO21">
        <v>2</v>
      </c>
      <c r="AU21" s="26"/>
      <c r="AY21" s="26"/>
      <c r="AZ21" s="74"/>
      <c r="BA21" s="26"/>
      <c r="BB21" s="26"/>
      <c r="BC21" s="26"/>
      <c r="BD21" s="79"/>
      <c r="BE21" s="37" t="s">
        <v>615</v>
      </c>
      <c r="BH21" s="38" t="str">
        <f>IFERROR(INDEX(Однолинейка!$A$1:$A$1000,(MATCH(17,Однолинейка!$BS$1:$BS$1000,0))),"")</f>
        <v/>
      </c>
      <c r="BI21" s="38" t="str">
        <f>IFERROR(INDEX(Однолинейка!$AW$1:$AW$1000,(MATCH(17,Однолинейка!$BS$1:$BS$1000,0))),"")</f>
        <v/>
      </c>
      <c r="BJ21" s="38" t="str">
        <f>IF(BI21="","",INDEX(Однолинейка!$AI$1:$AI$1000,(MATCH(17,Однолинейка!$BS$1:$BS$1000,0))))</f>
        <v/>
      </c>
      <c r="BK21" s="38" t="str">
        <f t="shared" si="1"/>
        <v/>
      </c>
      <c r="BL21" s="38" t="str">
        <f>IF(BI21="","",_xlfn.MAXIFS(Однолинейка!$O$3:$O$1000,Однолинейка!$AH$3:$AH$1000,BI21,Однолинейка!$A$3:$A$1000,BH21))</f>
        <v/>
      </c>
      <c r="BM21" s="38" t="str">
        <f>IF(BI21="","",COUNTIFS(Однолинейка!$AH$3:$AH$1000,BI21,Однолинейка!$A$3:$A$1000,BH21,Однолинейка!$N$3:$N$1000,"р"))</f>
        <v/>
      </c>
      <c r="BN21" s="38" t="str">
        <f t="shared" si="2"/>
        <v/>
      </c>
      <c r="BT21" s="74"/>
      <c r="BU21" s="74"/>
    </row>
    <row r="22" spans="2:79" x14ac:dyDescent="0.3">
      <c r="F22" s="14">
        <v>450</v>
      </c>
      <c r="G22" s="14">
        <v>630</v>
      </c>
      <c r="L22" s="16"/>
      <c r="M22" s="16"/>
      <c r="N22" s="16"/>
      <c r="O22" s="17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74"/>
      <c r="AA22" s="23"/>
      <c r="AB22" s="23"/>
      <c r="AC22" s="17"/>
      <c r="AD22" s="18"/>
      <c r="AE22" s="16"/>
      <c r="AF22" s="16"/>
      <c r="AG22" s="16"/>
      <c r="AJ22" s="13" t="str">
        <f t="shared" si="0"/>
        <v>ВВГнг(А)-LS (5х6) 1</v>
      </c>
      <c r="AK22" s="14" t="s">
        <v>80</v>
      </c>
      <c r="AL22" t="s">
        <v>12</v>
      </c>
      <c r="AM22">
        <v>5</v>
      </c>
      <c r="AN22">
        <v>6</v>
      </c>
      <c r="AO22">
        <v>1</v>
      </c>
      <c r="AU22" s="26"/>
      <c r="AV22" s="26"/>
      <c r="AW22" s="26"/>
      <c r="AY22" s="26"/>
      <c r="AZ22" s="74"/>
      <c r="BA22" s="26"/>
      <c r="BB22" s="26"/>
      <c r="BC22" s="26"/>
      <c r="BD22" s="79"/>
      <c r="BE22" s="37" t="s">
        <v>617</v>
      </c>
      <c r="BH22" s="38" t="str">
        <f>IFERROR(INDEX(Однолинейка!$A$1:$A$1000,(MATCH(18,Однолинейка!$BS$1:$BS$1000,0))),"")</f>
        <v/>
      </c>
      <c r="BI22" s="38" t="str">
        <f>IFERROR(INDEX(Однолинейка!$AW$1:$AW$1000,(MATCH(18,Однолинейка!$BS$1:$BS$1000,0))),"")</f>
        <v/>
      </c>
      <c r="BJ22" s="38" t="str">
        <f>IF(BI22="","",INDEX(Однолинейка!$AI$1:$AI$1000,(MATCH(18,Однолинейка!$BS$1:$BS$1000,0))))</f>
        <v/>
      </c>
      <c r="BK22" s="38" t="str">
        <f t="shared" si="1"/>
        <v/>
      </c>
      <c r="BL22" s="38" t="str">
        <f>IF(BI22="","",_xlfn.MAXIFS(Однолинейка!$O$3:$O$1000,Однолинейка!$AH$3:$AH$1000,BI22,Однолинейка!$A$3:$A$1000,BH22))</f>
        <v/>
      </c>
      <c r="BM22" s="38" t="str">
        <f>IF(BI22="","",COUNTIFS(Однолинейка!$AH$3:$AH$1000,BI22,Однолинейка!$A$3:$A$1000,BH22,Однолинейка!$N$3:$N$1000,"р"))</f>
        <v/>
      </c>
      <c r="BN22" s="38" t="str">
        <f t="shared" si="2"/>
        <v/>
      </c>
      <c r="BP22" s="35" t="s">
        <v>618</v>
      </c>
      <c r="BQ22" s="35"/>
      <c r="BT22" s="74"/>
      <c r="BU22" s="74"/>
    </row>
    <row r="23" spans="2:79" x14ac:dyDescent="0.3">
      <c r="F23" s="14">
        <v>567</v>
      </c>
      <c r="G23" s="14" t="s">
        <v>8</v>
      </c>
      <c r="L23" s="16"/>
      <c r="M23" s="16"/>
      <c r="N23" s="16"/>
      <c r="O23" s="17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74"/>
      <c r="AA23" s="23"/>
      <c r="AB23" s="23"/>
      <c r="AC23" s="17"/>
      <c r="AD23" s="18"/>
      <c r="AE23" s="16"/>
      <c r="AF23" s="16"/>
      <c r="AG23" s="16"/>
      <c r="AJ23" s="13" t="str">
        <f t="shared" si="0"/>
        <v>ВВГнг(А)-LS (5х6) 2</v>
      </c>
      <c r="AK23" s="14" t="s">
        <v>81</v>
      </c>
      <c r="AL23" t="s">
        <v>12</v>
      </c>
      <c r="AM23">
        <v>5</v>
      </c>
      <c r="AN23">
        <v>6</v>
      </c>
      <c r="AO23">
        <v>2</v>
      </c>
      <c r="AU23" s="26"/>
      <c r="AY23" s="26"/>
      <c r="AZ23" s="74"/>
      <c r="BA23" s="26"/>
      <c r="BB23" s="26"/>
      <c r="BC23" s="26"/>
      <c r="BD23" s="79"/>
      <c r="BE23" s="37" t="s">
        <v>620</v>
      </c>
      <c r="BH23" s="38" t="str">
        <f>IFERROR(INDEX(Однолинейка!$A$1:$A$1000,(MATCH(19,Однолинейка!$BS$1:$BS$1000,0))),"")</f>
        <v/>
      </c>
      <c r="BI23" s="38" t="str">
        <f>IFERROR(INDEX(Однолинейка!$AW$1:$AW$1000,(MATCH(19,Однолинейка!$BS$1:$BS$1000,0))),"")</f>
        <v/>
      </c>
      <c r="BJ23" s="38" t="str">
        <f>IF(BI23="","",INDEX(Однолинейка!$AI$1:$AI$1000,(MATCH(19,Однолинейка!$BS$1:$BS$1000,0))))</f>
        <v/>
      </c>
      <c r="BK23" s="38" t="str">
        <f t="shared" si="1"/>
        <v/>
      </c>
      <c r="BL23" s="38" t="str">
        <f>IF(BI23="","",_xlfn.MAXIFS(Однолинейка!$O$3:$O$1000,Однолинейка!$AH$3:$AH$1000,BI23,Однолинейка!$A$3:$A$1000,BH23))</f>
        <v/>
      </c>
      <c r="BM23" s="38" t="str">
        <f>IF(BI23="","",COUNTIFS(Однолинейка!$AH$3:$AH$1000,BI23,Однолинейка!$A$3:$A$1000,BH23,Однолинейка!$N$3:$N$1000,"р"))</f>
        <v/>
      </c>
      <c r="BN23" s="38" t="str">
        <f t="shared" si="2"/>
        <v/>
      </c>
      <c r="BR23" s="37" t="s">
        <v>621</v>
      </c>
      <c r="BT23" s="74"/>
      <c r="BU23" s="74"/>
    </row>
    <row r="24" spans="2:79" x14ac:dyDescent="0.3">
      <c r="L24" s="16"/>
      <c r="M24" s="16"/>
      <c r="N24" s="16"/>
      <c r="O24" s="17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74"/>
      <c r="AA24" s="23"/>
      <c r="AB24" s="23"/>
      <c r="AC24" s="17"/>
      <c r="AD24" s="18"/>
      <c r="AE24" s="16"/>
      <c r="AF24" s="16"/>
      <c r="AG24" s="16"/>
      <c r="AJ24" s="13" t="str">
        <f t="shared" si="0"/>
        <v>ВВГнг(А)-LS (5х10) 1</v>
      </c>
      <c r="AK24" s="14" t="s">
        <v>82</v>
      </c>
      <c r="AL24" t="s">
        <v>12</v>
      </c>
      <c r="AM24">
        <v>5</v>
      </c>
      <c r="AN24">
        <v>10</v>
      </c>
      <c r="AO24">
        <v>1</v>
      </c>
      <c r="AU24" s="26"/>
      <c r="AV24" s="26"/>
      <c r="AW24" s="26"/>
      <c r="AY24" s="26"/>
      <c r="AZ24" s="74"/>
      <c r="BA24" s="26"/>
      <c r="BB24" s="26"/>
      <c r="BC24" s="26"/>
      <c r="BD24" s="79"/>
      <c r="BE24" s="37" t="s">
        <v>623</v>
      </c>
      <c r="BH24" s="38" t="str">
        <f>IFERROR(INDEX(Однолинейка!$A$1:$A$1000,(MATCH(20,Однолинейка!$BS$1:$BS$1000,0))),"")</f>
        <v/>
      </c>
      <c r="BI24" s="38" t="str">
        <f>IFERROR(INDEX(Однолинейка!$AW$1:$AW$1000,(MATCH(20,Однолинейка!$BS$1:$BS$1000,0))),"")</f>
        <v/>
      </c>
      <c r="BJ24" s="38" t="str">
        <f>IF(BI24="","",INDEX(Однолинейка!$AI$1:$AI$1000,(MATCH(20,Однолинейка!$BS$1:$BS$1000,0))))</f>
        <v/>
      </c>
      <c r="BK24" s="38" t="str">
        <f t="shared" si="1"/>
        <v/>
      </c>
      <c r="BL24" s="38" t="str">
        <f>IF(BI24="","",_xlfn.MAXIFS(Однолинейка!$O$3:$O$1000,Однолинейка!$AH$3:$AH$1000,BI24,Однолинейка!$A$3:$A$1000,BH24))</f>
        <v/>
      </c>
      <c r="BM24" s="38" t="str">
        <f>IF(BI24="","",COUNTIFS(Однолинейка!$AH$3:$AH$1000,BI24,Однолинейка!$A$3:$A$1000,BH24,Однолинейка!$N$3:$N$1000,"р"))</f>
        <v/>
      </c>
      <c r="BN24" s="38" t="str">
        <f t="shared" si="2"/>
        <v/>
      </c>
      <c r="BR24" s="37" t="s">
        <v>624</v>
      </c>
      <c r="BT24" s="74"/>
      <c r="BU24" s="74"/>
    </row>
    <row r="25" spans="2:79" x14ac:dyDescent="0.3">
      <c r="L25" s="16"/>
      <c r="M25" s="16"/>
      <c r="N25" s="16"/>
      <c r="O25" s="17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74"/>
      <c r="AA25" s="23"/>
      <c r="AB25" s="23"/>
      <c r="AC25" s="17"/>
      <c r="AD25" s="18"/>
      <c r="AE25" s="16"/>
      <c r="AF25" s="16"/>
      <c r="AG25" s="16"/>
      <c r="AJ25" s="13" t="str">
        <f t="shared" si="0"/>
        <v>ВВГнг(А)-LS (5х10) 2</v>
      </c>
      <c r="AK25" s="14" t="s">
        <v>83</v>
      </c>
      <c r="AL25" t="s">
        <v>12</v>
      </c>
      <c r="AM25">
        <v>5</v>
      </c>
      <c r="AN25">
        <v>10</v>
      </c>
      <c r="AO25">
        <v>2</v>
      </c>
      <c r="AU25" s="26"/>
      <c r="AV25" s="26"/>
      <c r="AW25" s="26"/>
      <c r="AY25" s="26"/>
      <c r="AZ25" s="74"/>
      <c r="BA25" s="26"/>
      <c r="BB25" s="26"/>
      <c r="BC25" s="26"/>
      <c r="BD25" s="79"/>
      <c r="BE25" s="37" t="s">
        <v>625</v>
      </c>
      <c r="BH25" s="38" t="str">
        <f>IFERROR(INDEX(Однолинейка!$A$1:$A$1000,(MATCH(21,Однолинейка!$BS$1:$BS$1000,0))),"")</f>
        <v/>
      </c>
      <c r="BI25" s="38" t="str">
        <f>IFERROR(INDEX(Однолинейка!$AW$1:$AW$1000,(MATCH(21,Однолинейка!$BS$1:$BS$1000,0))),"")</f>
        <v/>
      </c>
      <c r="BJ25" s="38" t="str">
        <f>IF(BI25="","",INDEX(Однолинейка!$AI$1:$AI$1000,(MATCH(21,Однолинейка!$BS$1:$BS$1000,0))))</f>
        <v/>
      </c>
      <c r="BK25" s="38" t="str">
        <f t="shared" si="1"/>
        <v/>
      </c>
      <c r="BL25" s="38" t="str">
        <f>IF(BI25="","",_xlfn.MAXIFS(Однолинейка!$O$3:$O$1000,Однолинейка!$AH$3:$AH$1000,BI25,Однолинейка!$A$3:$A$1000,BH25))</f>
        <v/>
      </c>
      <c r="BM25" s="38" t="str">
        <f>IF(BI25="","",COUNTIFS(Однолинейка!$AH$3:$AH$1000,BI25,Однолинейка!$A$3:$A$1000,BH25,Однолинейка!$N$3:$N$1000,"р"))</f>
        <v/>
      </c>
      <c r="BN25" s="38" t="str">
        <f t="shared" si="2"/>
        <v/>
      </c>
      <c r="BR25" s="37" t="s">
        <v>626</v>
      </c>
      <c r="BT25" s="74"/>
      <c r="BU25" s="74"/>
    </row>
    <row r="26" spans="2:79" x14ac:dyDescent="0.3">
      <c r="L26" s="16"/>
      <c r="M26" s="16"/>
      <c r="N26" s="16"/>
      <c r="O26" s="17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74"/>
      <c r="AA26" s="23"/>
      <c r="AB26" s="23"/>
      <c r="AC26" s="17"/>
      <c r="AD26" s="17"/>
      <c r="AE26" s="17"/>
      <c r="AF26" s="17"/>
      <c r="AG26" s="17"/>
      <c r="AJ26" s="13" t="str">
        <f t="shared" si="0"/>
        <v>ВВГнг(А)-LS (5х16) 1</v>
      </c>
      <c r="AK26" s="14" t="s">
        <v>84</v>
      </c>
      <c r="AL26" t="s">
        <v>12</v>
      </c>
      <c r="AM26">
        <v>5</v>
      </c>
      <c r="AN26">
        <v>16</v>
      </c>
      <c r="AO26">
        <v>1</v>
      </c>
      <c r="AU26" s="26"/>
      <c r="AY26" s="26"/>
      <c r="AZ26" s="74"/>
      <c r="BA26" s="26"/>
      <c r="BB26" s="26"/>
      <c r="BC26" s="26"/>
      <c r="BD26" s="79"/>
      <c r="BE26" s="37" t="s">
        <v>627</v>
      </c>
      <c r="BH26" s="38" t="str">
        <f>IFERROR(INDEX(Однолинейка!$A$1:$A$1000,(MATCH(22,Однолинейка!$BS$1:$BS$1000,0))),"")</f>
        <v/>
      </c>
      <c r="BI26" s="38" t="str">
        <f>IFERROR(INDEX(Однолинейка!$AW$1:$AW$1000,(MATCH(22,Однолинейка!$BS$1:$BS$1000,0))),"")</f>
        <v/>
      </c>
      <c r="BJ26" s="38" t="str">
        <f>IF(BI26="","",INDEX(Однолинейка!$AI$1:$AI$1000,(MATCH(22,Однолинейка!$BS$1:$BS$1000,0))))</f>
        <v/>
      </c>
      <c r="BK26" s="38" t="str">
        <f t="shared" si="1"/>
        <v/>
      </c>
      <c r="BL26" s="38" t="str">
        <f>IF(BI26="","",_xlfn.MAXIFS(Однолинейка!$O$3:$O$1000,Однолинейка!$AH$3:$AH$1000,BI26,Однолинейка!$A$3:$A$1000,BH26))</f>
        <v/>
      </c>
      <c r="BM26" s="38" t="str">
        <f>IF(BI26="","",COUNTIFS(Однолинейка!$AH$3:$AH$1000,BI26,Однолинейка!$A$3:$A$1000,BH26,Однолинейка!$N$3:$N$1000,"р"))</f>
        <v/>
      </c>
      <c r="BN26" s="38" t="str">
        <f t="shared" si="2"/>
        <v/>
      </c>
      <c r="BR26" s="37" t="s">
        <v>628</v>
      </c>
      <c r="BT26" s="74"/>
      <c r="BU26" s="74"/>
    </row>
    <row r="27" spans="2:79" x14ac:dyDescent="0.3">
      <c r="L27" s="16"/>
      <c r="M27" s="16"/>
      <c r="N27" s="16"/>
      <c r="O27" s="17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74"/>
      <c r="AA27" s="23"/>
      <c r="AB27" s="23"/>
      <c r="AC27" s="17"/>
      <c r="AD27" s="17"/>
      <c r="AE27" s="17"/>
      <c r="AF27" s="17"/>
      <c r="AG27" s="17"/>
      <c r="AJ27" s="13" t="str">
        <f t="shared" si="0"/>
        <v>ВВГнг(А)-LS (5х16) 2</v>
      </c>
      <c r="AK27" s="14" t="s">
        <v>85</v>
      </c>
      <c r="AL27" t="s">
        <v>12</v>
      </c>
      <c r="AM27">
        <v>5</v>
      </c>
      <c r="AN27">
        <v>16</v>
      </c>
      <c r="AO27">
        <v>2</v>
      </c>
      <c r="AU27" s="26"/>
      <c r="AY27" s="26"/>
      <c r="AZ27" s="74"/>
      <c r="BA27" s="26"/>
      <c r="BB27" s="26"/>
      <c r="BC27" s="26"/>
      <c r="BD27" s="79"/>
      <c r="BH27" s="38" t="str">
        <f>IFERROR(INDEX(Однолинейка!$A$1:$A$1000,(MATCH(23,Однолинейка!$BS$1:$BS$1000,0))),"")</f>
        <v/>
      </c>
      <c r="BI27" s="38" t="str">
        <f>IFERROR(INDEX(Однолинейка!$AW$1:$AW$1000,(MATCH(23,Однолинейка!$BS$1:$BS$1000,0))),"")</f>
        <v/>
      </c>
      <c r="BJ27" s="38" t="str">
        <f>IF(BI27="","",INDEX(Однолинейка!$AI$1:$AI$1000,(MATCH(23,Однолинейка!$BS$1:$BS$1000,0))))</f>
        <v/>
      </c>
      <c r="BK27" s="38" t="str">
        <f t="shared" si="1"/>
        <v/>
      </c>
      <c r="BL27" s="38" t="str">
        <f>IF(BI27="","",_xlfn.MAXIFS(Однолинейка!$O$3:$O$1000,Однолинейка!$AH$3:$AH$1000,BI27,Однолинейка!$A$3:$A$1000,BH27))</f>
        <v/>
      </c>
      <c r="BM27" s="38" t="str">
        <f>IF(BI27="","",COUNTIFS(Однолинейка!$AH$3:$AH$1000,BI27,Однолинейка!$A$3:$A$1000,BH27,Однолинейка!$N$3:$N$1000,"р"))</f>
        <v/>
      </c>
      <c r="BN27" s="38" t="str">
        <f t="shared" si="2"/>
        <v/>
      </c>
      <c r="BT27" s="74"/>
      <c r="BU27" s="74"/>
    </row>
    <row r="28" spans="2:79" ht="27.6" x14ac:dyDescent="0.3">
      <c r="L28" s="16"/>
      <c r="M28" s="16"/>
      <c r="N28" s="16"/>
      <c r="O28" s="17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74"/>
      <c r="AA28" s="23"/>
      <c r="AB28" s="23"/>
      <c r="AC28" s="17"/>
      <c r="AD28" s="17"/>
      <c r="AE28" s="17"/>
      <c r="AF28" s="17"/>
      <c r="AG28" s="17"/>
      <c r="AJ28" s="13" t="str">
        <f t="shared" si="0"/>
        <v>ВВГнг(А)-LS (5х25) 1</v>
      </c>
      <c r="AK28" s="14" t="s">
        <v>86</v>
      </c>
      <c r="AL28" t="s">
        <v>12</v>
      </c>
      <c r="AM28">
        <v>5</v>
      </c>
      <c r="AN28">
        <v>25</v>
      </c>
      <c r="AO28">
        <v>1</v>
      </c>
      <c r="AU28" s="26"/>
      <c r="AY28" s="26"/>
      <c r="AZ28" s="74"/>
      <c r="BA28" s="26"/>
      <c r="BB28" s="26"/>
      <c r="BC28" s="26"/>
      <c r="BD28" s="79"/>
      <c r="BH28" s="38" t="str">
        <f>IFERROR(INDEX(Однолинейка!$A$1:$A$1000,(MATCH(24,Однолинейка!$BS$1:$BS$1000,0))),"")</f>
        <v/>
      </c>
      <c r="BI28" s="38" t="str">
        <f>IFERROR(INDEX(Однолинейка!$AW$1:$AW$1000,(MATCH(24,Однолинейка!$BS$1:$BS$1000,0))),"")</f>
        <v/>
      </c>
      <c r="BJ28" s="38" t="str">
        <f>IF(BI28="","",INDEX(Однолинейка!$AI$1:$AI$1000,(MATCH(24,Однолинейка!$BS$1:$BS$1000,0))))</f>
        <v/>
      </c>
      <c r="BK28" s="38" t="str">
        <f t="shared" si="1"/>
        <v/>
      </c>
      <c r="BL28" s="38" t="str">
        <f>IF(BI28="","",_xlfn.MAXIFS(Однолинейка!$O$3:$O$1000,Однолинейка!$AH$3:$AH$1000,BI28,Однолинейка!$A$3:$A$1000,BH28))</f>
        <v/>
      </c>
      <c r="BM28" s="38" t="str">
        <f>IF(BI28="","",COUNTIFS(Однолинейка!$AH$3:$AH$1000,BI28,Однолинейка!$A$3:$A$1000,BH28,Однолинейка!$N$3:$N$1000,"р"))</f>
        <v/>
      </c>
      <c r="BN28" s="38" t="str">
        <f t="shared" si="2"/>
        <v/>
      </c>
      <c r="BP28" s="35" t="s">
        <v>629</v>
      </c>
      <c r="BQ28" s="35"/>
      <c r="BT28" s="74"/>
      <c r="BU28" s="74"/>
    </row>
    <row r="29" spans="2:79" x14ac:dyDescent="0.3">
      <c r="L29" s="16"/>
      <c r="M29" s="16"/>
      <c r="N29" s="16"/>
      <c r="O29" s="17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74"/>
      <c r="AA29" s="23"/>
      <c r="AB29" s="23"/>
      <c r="AC29" s="17"/>
      <c r="AD29" s="17"/>
      <c r="AE29" s="17"/>
      <c r="AF29" s="17"/>
      <c r="AG29" s="17"/>
      <c r="AJ29" s="13" t="str">
        <f t="shared" si="0"/>
        <v>ВВГнг(А)-LS (5х25) 2</v>
      </c>
      <c r="AK29" s="14" t="s">
        <v>87</v>
      </c>
      <c r="AL29" t="s">
        <v>12</v>
      </c>
      <c r="AM29">
        <v>5</v>
      </c>
      <c r="AN29">
        <v>25</v>
      </c>
      <c r="AO29">
        <v>2</v>
      </c>
      <c r="AU29" s="26"/>
      <c r="AY29" s="26"/>
      <c r="AZ29" s="74"/>
      <c r="BA29" s="26"/>
      <c r="BB29" s="26"/>
      <c r="BC29" s="26"/>
      <c r="BD29" s="79"/>
      <c r="BH29" s="38" t="str">
        <f>IFERROR(INDEX(Однолинейка!$A$1:$A$1000,(MATCH(25,Однолинейка!$BS$1:$BS$1000,0))),"")</f>
        <v/>
      </c>
      <c r="BI29" s="38" t="str">
        <f>IFERROR(INDEX(Однолинейка!$AW$1:$AW$1000,(MATCH(25,Однолинейка!$BS$1:$BS$1000,0))),"")</f>
        <v/>
      </c>
      <c r="BJ29" s="38" t="str">
        <f>IF(BI29="","",INDEX(Однолинейка!$AI$1:$AI$1000,(MATCH(25,Однолинейка!$BS$1:$BS$1000,0))))</f>
        <v/>
      </c>
      <c r="BK29" s="38" t="str">
        <f t="shared" si="1"/>
        <v/>
      </c>
      <c r="BL29" s="38" t="str">
        <f>IF(BI29="","",_xlfn.MAXIFS(Однолинейка!$O$3:$O$1000,Однолинейка!$AH$3:$AH$1000,BI29,Однолинейка!$A$3:$A$1000,BH29))</f>
        <v/>
      </c>
      <c r="BM29" s="38" t="str">
        <f>IF(BI29="","",COUNTIFS(Однолинейка!$AH$3:$AH$1000,BI29,Однолинейка!$A$3:$A$1000,BH29,Однолинейка!$N$3:$N$1000,"р"))</f>
        <v/>
      </c>
      <c r="BN29" s="38" t="str">
        <f t="shared" si="2"/>
        <v/>
      </c>
      <c r="BP29" s="37" t="s">
        <v>630</v>
      </c>
      <c r="BQ29" s="74">
        <v>0.4</v>
      </c>
      <c r="BR29" s="37" t="s">
        <v>631</v>
      </c>
      <c r="BT29" s="74"/>
      <c r="BU29" s="74"/>
    </row>
    <row r="30" spans="2:79" x14ac:dyDescent="0.3">
      <c r="L30" s="16"/>
      <c r="M30" s="16"/>
      <c r="N30" s="16"/>
      <c r="O30" s="17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74"/>
      <c r="AA30" s="23"/>
      <c r="AB30" s="23"/>
      <c r="AC30" s="17"/>
      <c r="AD30" s="17"/>
      <c r="AE30" s="17"/>
      <c r="AF30" s="17"/>
      <c r="AG30" s="17"/>
      <c r="AJ30" s="13" t="str">
        <f t="shared" si="0"/>
        <v>ВВГнг(А)-LS (5х35) 1</v>
      </c>
      <c r="AK30" s="14" t="s">
        <v>88</v>
      </c>
      <c r="AL30" t="s">
        <v>12</v>
      </c>
      <c r="AM30">
        <v>5</v>
      </c>
      <c r="AN30">
        <v>35</v>
      </c>
      <c r="AO30">
        <v>1</v>
      </c>
      <c r="AU30" s="26"/>
      <c r="AV30" s="26"/>
      <c r="AW30" s="26"/>
      <c r="AX30" s="26"/>
      <c r="AY30" s="26"/>
      <c r="AZ30" s="74"/>
      <c r="BA30" s="26"/>
      <c r="BB30" s="26"/>
      <c r="BC30" s="26"/>
      <c r="BD30" s="79"/>
      <c r="BH30" s="38" t="str">
        <f>IFERROR(INDEX(Однолинейка!$A$1:$A$1000,(MATCH(26,Однолинейка!$BS$1:$BS$1000,0))),"")</f>
        <v/>
      </c>
      <c r="BI30" s="38" t="str">
        <f>IFERROR(INDEX(Однолинейка!$AW$1:$AW$1000,(MATCH(26,Однолинейка!$BS$1:$BS$1000,0))),"")</f>
        <v/>
      </c>
      <c r="BJ30" s="38" t="str">
        <f>IF(BI30="","",INDEX(Однолинейка!$AI$1:$AI$1000,(MATCH(26,Однолинейка!$BS$1:$BS$1000,0))))</f>
        <v/>
      </c>
      <c r="BK30" s="38" t="str">
        <f t="shared" si="1"/>
        <v/>
      </c>
      <c r="BL30" s="38" t="str">
        <f>IF(BI30="","",_xlfn.MAXIFS(Однолинейка!$O$3:$O$1000,Однолинейка!$AH$3:$AH$1000,BI30,Однолинейка!$A$3:$A$1000,BH30))</f>
        <v/>
      </c>
      <c r="BM30" s="38" t="str">
        <f>IF(BI30="","",COUNTIFS(Однолинейка!$AH$3:$AH$1000,BI30,Однолинейка!$A$3:$A$1000,BH30,Однолинейка!$N$3:$N$1000,"р"))</f>
        <v/>
      </c>
      <c r="BN30" s="38" t="str">
        <f t="shared" si="2"/>
        <v/>
      </c>
      <c r="BP30" s="37" t="s">
        <v>632</v>
      </c>
      <c r="BQ30" s="74">
        <v>1</v>
      </c>
      <c r="BR30" s="37" t="s">
        <v>633</v>
      </c>
      <c r="BT30" s="74"/>
      <c r="BU30" s="74"/>
    </row>
    <row r="31" spans="2:79" x14ac:dyDescent="0.3">
      <c r="L31" s="16"/>
      <c r="M31" s="16"/>
      <c r="N31" s="16"/>
      <c r="O31" s="17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74"/>
      <c r="AA31" s="23"/>
      <c r="AB31" s="23"/>
      <c r="AC31" s="17"/>
      <c r="AD31" s="17"/>
      <c r="AE31" s="17"/>
      <c r="AF31" s="17"/>
      <c r="AG31" s="17"/>
      <c r="AJ31" s="13" t="str">
        <f t="shared" si="0"/>
        <v>ВВГнг(А)-LS (5х35) 2</v>
      </c>
      <c r="AK31" s="14" t="s">
        <v>89</v>
      </c>
      <c r="AL31" t="s">
        <v>12</v>
      </c>
      <c r="AM31">
        <v>5</v>
      </c>
      <c r="AN31">
        <v>35</v>
      </c>
      <c r="AO31">
        <v>2</v>
      </c>
      <c r="AU31" s="26"/>
      <c r="AY31" s="26"/>
      <c r="AZ31" s="74"/>
      <c r="BD31" s="79"/>
      <c r="BH31" s="38" t="str">
        <f>IFERROR(INDEX(Однолинейка!$A$1:$A$1000,(MATCH(27,Однолинейка!$BS$1:$BS$1000,0))),"")</f>
        <v/>
      </c>
      <c r="BI31" s="38" t="str">
        <f>IFERROR(INDEX(Однолинейка!$AW$1:$AW$1000,(MATCH(27,Однолинейка!$BS$1:$BS$1000,0))),"")</f>
        <v/>
      </c>
      <c r="BJ31" s="38" t="str">
        <f>IF(BI31="","",INDEX(Однолинейка!$AI$1:$AI$1000,(MATCH(27,Однолинейка!$BS$1:$BS$1000,0))))</f>
        <v/>
      </c>
      <c r="BK31" s="38" t="str">
        <f t="shared" si="1"/>
        <v/>
      </c>
      <c r="BL31" s="38" t="str">
        <f>IF(BI31="","",_xlfn.MAXIFS(Однолинейка!$O$3:$O$1000,Однолинейка!$AH$3:$AH$1000,BI31,Однолинейка!$A$3:$A$1000,BH31))</f>
        <v/>
      </c>
      <c r="BM31" s="38" t="str">
        <f>IF(BI31="","",COUNTIFS(Однолинейка!$AH$3:$AH$1000,BI31,Однолинейка!$A$3:$A$1000,BH31,Однолинейка!$N$3:$N$1000,"р"))</f>
        <v/>
      </c>
      <c r="BN31" s="38" t="str">
        <f t="shared" si="2"/>
        <v/>
      </c>
      <c r="BP31" s="37"/>
      <c r="BQ31" s="74"/>
      <c r="BR31" s="37" t="s">
        <v>634</v>
      </c>
      <c r="BT31" s="74"/>
      <c r="BU31" s="74"/>
    </row>
    <row r="32" spans="2:79" x14ac:dyDescent="0.3">
      <c r="L32" s="16"/>
      <c r="M32" s="16"/>
      <c r="N32" s="16"/>
      <c r="O32" s="17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74"/>
      <c r="AA32" s="23"/>
      <c r="AB32" s="23"/>
      <c r="AC32" s="17"/>
      <c r="AD32" s="17"/>
      <c r="AE32" s="17"/>
      <c r="AF32" s="17"/>
      <c r="AG32" s="17"/>
      <c r="AJ32" s="13" t="str">
        <f t="shared" si="0"/>
        <v>ВВГнг(А)-LS (5х50) 1</v>
      </c>
      <c r="AK32" s="14" t="s">
        <v>90</v>
      </c>
      <c r="AL32" t="s">
        <v>12</v>
      </c>
      <c r="AM32">
        <v>5</v>
      </c>
      <c r="AN32">
        <v>50</v>
      </c>
      <c r="AO32">
        <v>1</v>
      </c>
      <c r="AU32" s="26"/>
      <c r="AV32" s="26"/>
      <c r="AW32" s="26"/>
      <c r="AY32" s="26"/>
      <c r="AZ32" s="74"/>
      <c r="BA32" s="26" t="s">
        <v>635</v>
      </c>
      <c r="BD32" s="79"/>
      <c r="BH32" s="38" t="str">
        <f>IFERROR(INDEX(Однолинейка!$A$1:$A$1000,(MATCH(28,Однолинейка!$BS$1:$BS$1000,0))),"")</f>
        <v/>
      </c>
      <c r="BI32" s="38" t="str">
        <f>IFERROR(INDEX(Однолинейка!$AW$1:$AW$1000,(MATCH(28,Однолинейка!$BS$1:$BS$1000,0))),"")</f>
        <v/>
      </c>
      <c r="BJ32" s="38" t="str">
        <f>IF(BI32="","",INDEX(Однолинейка!$AI$1:$AI$1000,(MATCH(28,Однолинейка!$BS$1:$BS$1000,0))))</f>
        <v/>
      </c>
      <c r="BK32" s="38" t="str">
        <f t="shared" si="1"/>
        <v/>
      </c>
      <c r="BL32" s="38" t="str">
        <f>IF(BI32="","",_xlfn.MAXIFS(Однолинейка!$O$3:$O$1000,Однолинейка!$AH$3:$AH$1000,BI32,Однолинейка!$A$3:$A$1000,BH32))</f>
        <v/>
      </c>
      <c r="BM32" s="38" t="str">
        <f>IF(BI32="","",COUNTIFS(Однолинейка!$AH$3:$AH$1000,BI32,Однолинейка!$A$3:$A$1000,BH32,Однолинейка!$N$3:$N$1000,"р"))</f>
        <v/>
      </c>
      <c r="BN32" s="38" t="str">
        <f t="shared" si="2"/>
        <v/>
      </c>
      <c r="BT32" s="74"/>
      <c r="BU32" s="74"/>
    </row>
    <row r="33" spans="12:73" x14ac:dyDescent="0.3">
      <c r="L33" s="16"/>
      <c r="M33" s="16"/>
      <c r="N33" s="16"/>
      <c r="O33" s="17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74"/>
      <c r="AA33" s="23"/>
      <c r="AB33" s="23"/>
      <c r="AC33" s="17"/>
      <c r="AD33" s="17"/>
      <c r="AE33" s="17"/>
      <c r="AF33" s="17"/>
      <c r="AG33" s="17"/>
      <c r="AJ33" s="13" t="str">
        <f t="shared" si="0"/>
        <v>ВВГнг(А)-LS (5х50) 2</v>
      </c>
      <c r="AK33" s="14" t="s">
        <v>91</v>
      </c>
      <c r="AL33" t="s">
        <v>12</v>
      </c>
      <c r="AM33">
        <v>5</v>
      </c>
      <c r="AN33">
        <v>50</v>
      </c>
      <c r="AO33">
        <v>2</v>
      </c>
      <c r="AU33" s="26"/>
      <c r="AV33" s="26"/>
      <c r="AW33" s="26"/>
      <c r="AX33" s="26"/>
      <c r="AY33" s="26"/>
      <c r="AZ33" s="74"/>
      <c r="BD33" s="79"/>
      <c r="BH33" s="38" t="str">
        <f>IFERROR(INDEX(Однолинейка!$A$1:$A$1000,(MATCH(29,Однолинейка!$BS$1:$BS$1000,0))),"")</f>
        <v/>
      </c>
      <c r="BI33" s="38" t="str">
        <f>IFERROR(INDEX(Однолинейка!$AW$1:$AW$1000,(MATCH(29,Однолинейка!$BS$1:$BS$1000,0))),"")</f>
        <v/>
      </c>
      <c r="BJ33" s="38" t="str">
        <f>IF(BI33="","",INDEX(Однолинейка!$AI$1:$AI$1000,(MATCH(29,Однолинейка!$BS$1:$BS$1000,0))))</f>
        <v/>
      </c>
      <c r="BK33" s="38" t="str">
        <f t="shared" si="1"/>
        <v/>
      </c>
      <c r="BL33" s="38" t="str">
        <f>IF(BI33="","",_xlfn.MAXIFS(Однолинейка!$O$3:$O$1000,Однолинейка!$AH$3:$AH$1000,BI33,Однолинейка!$A$3:$A$1000,BH33))</f>
        <v/>
      </c>
      <c r="BM33" s="38" t="str">
        <f>IF(BI33="","",COUNTIFS(Однолинейка!$AH$3:$AH$1000,BI33,Однолинейка!$A$3:$A$1000,BH33,Однолинейка!$N$3:$N$1000,"р"))</f>
        <v/>
      </c>
      <c r="BN33" s="38" t="str">
        <f t="shared" si="2"/>
        <v/>
      </c>
      <c r="BT33" s="74"/>
      <c r="BU33" s="74"/>
    </row>
    <row r="34" spans="12:73" x14ac:dyDescent="0.3">
      <c r="L34" s="16"/>
      <c r="M34" s="16"/>
      <c r="N34" s="16"/>
      <c r="O34" s="17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74"/>
      <c r="AA34" s="23"/>
      <c r="AB34" s="23"/>
      <c r="AC34" s="17"/>
      <c r="AD34" s="17"/>
      <c r="AE34" s="17"/>
      <c r="AF34" s="17"/>
      <c r="AG34" s="17"/>
      <c r="AJ34" s="13" t="str">
        <f t="shared" si="0"/>
        <v>ВВГнг(А)-LS (5х95) 1</v>
      </c>
      <c r="AK34" s="14" t="s">
        <v>92</v>
      </c>
      <c r="AL34" t="s">
        <v>12</v>
      </c>
      <c r="AM34">
        <v>5</v>
      </c>
      <c r="AN34">
        <v>95</v>
      </c>
      <c r="AO34">
        <v>1</v>
      </c>
      <c r="AU34" s="26"/>
      <c r="AV34" s="26"/>
      <c r="AW34" s="26"/>
      <c r="AY34" s="26"/>
      <c r="AZ34" s="74"/>
      <c r="BD34" s="79"/>
      <c r="BH34" s="38" t="str">
        <f>IFERROR(INDEX(Однолинейка!$A$1:$A$1000,(MATCH(30,Однолинейка!$BS$1:$BS$1000,0))),"")</f>
        <v/>
      </c>
      <c r="BI34" s="38" t="str">
        <f>IFERROR(INDEX(Однолинейка!$AW$1:$AW$1000,(MATCH(30,Однолинейка!$BS$1:$BS$1000,0))),"")</f>
        <v/>
      </c>
      <c r="BJ34" s="38" t="str">
        <f>IF(BI34="","",INDEX(Однолинейка!$AI$1:$AI$1000,(MATCH(30,Однолинейка!$BS$1:$BS$1000,0))))</f>
        <v/>
      </c>
      <c r="BK34" s="38" t="str">
        <f t="shared" si="1"/>
        <v/>
      </c>
      <c r="BL34" s="38" t="str">
        <f>IF(BI34="","",_xlfn.MAXIFS(Однолинейка!$O$3:$O$1000,Однолинейка!$AH$3:$AH$1000,BI34,Однолинейка!$A$3:$A$1000,BH34))</f>
        <v/>
      </c>
      <c r="BM34" s="38" t="str">
        <f>IF(BI34="","",COUNTIFS(Однолинейка!$AH$3:$AH$1000,BI34,Однолинейка!$A$3:$A$1000,BH34,Однолинейка!$N$3:$N$1000,"р"))</f>
        <v/>
      </c>
      <c r="BN34" s="38" t="str">
        <f t="shared" si="2"/>
        <v/>
      </c>
    </row>
    <row r="35" spans="12:73" x14ac:dyDescent="0.3">
      <c r="L35" s="16"/>
      <c r="M35" s="16"/>
      <c r="N35" s="16"/>
      <c r="O35" s="17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74"/>
      <c r="AA35" s="23"/>
      <c r="AB35" s="23"/>
      <c r="AC35" s="17"/>
      <c r="AD35" s="17"/>
      <c r="AE35" s="17"/>
      <c r="AF35" s="17"/>
      <c r="AG35" s="17"/>
      <c r="AJ35" s="13" t="str">
        <f t="shared" si="0"/>
        <v>ВВГнг(А)-LS (5х95) 2</v>
      </c>
      <c r="AK35" s="14" t="s">
        <v>93</v>
      </c>
      <c r="AL35" t="s">
        <v>12</v>
      </c>
      <c r="AM35">
        <v>5</v>
      </c>
      <c r="AN35">
        <v>95</v>
      </c>
      <c r="AO35">
        <v>2</v>
      </c>
      <c r="AU35" s="26"/>
      <c r="AY35" s="26"/>
      <c r="AZ35" s="74"/>
      <c r="BD35" s="79"/>
      <c r="BH35" s="38" t="str">
        <f>IFERROR(INDEX(Однолинейка!$A$1:$A$1000,(MATCH(31,Однолинейка!$BS$1:$BS$1000,0))),"")</f>
        <v/>
      </c>
      <c r="BI35" s="38" t="str">
        <f>IFERROR(INDEX(Однолинейка!$AW$1:$AW$1000,(MATCH(31,Однолинейка!$BS$1:$BS$1000,0))),"")</f>
        <v/>
      </c>
      <c r="BJ35" s="38" t="str">
        <f>IF(BI35="","",INDEX(Однолинейка!$AI$1:$AI$1000,(MATCH(31,Однолинейка!$BS$1:$BS$1000,0))))</f>
        <v/>
      </c>
      <c r="BK35" s="38" t="str">
        <f t="shared" si="1"/>
        <v/>
      </c>
      <c r="BL35" s="38" t="str">
        <f>IF(BI35="","",_xlfn.MAXIFS(Однолинейка!$O$3:$O$1000,Однолинейка!$AH$3:$AH$1000,BI35,Однолинейка!$A$3:$A$1000,BH35))</f>
        <v/>
      </c>
      <c r="BM35" s="38" t="str">
        <f>IF(BI35="","",COUNTIFS(Однолинейка!$AH$3:$AH$1000,BI35,Однолинейка!$A$3:$A$1000,BH35,Однолинейка!$N$3:$N$1000,"р"))</f>
        <v/>
      </c>
      <c r="BN35" s="38" t="str">
        <f t="shared" si="2"/>
        <v/>
      </c>
    </row>
    <row r="36" spans="12:73" x14ac:dyDescent="0.3">
      <c r="L36" s="16"/>
      <c r="M36" s="16"/>
      <c r="N36" s="16"/>
      <c r="O36" s="17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74"/>
      <c r="AA36" s="23"/>
      <c r="AB36" s="23"/>
      <c r="AC36" s="17"/>
      <c r="AD36" s="17"/>
      <c r="AE36" s="17"/>
      <c r="AF36" s="17"/>
      <c r="AG36" s="17"/>
      <c r="AJ36" s="13" t="str">
        <f t="shared" si="0"/>
        <v>ВВГнг(А)-LS (5х120) 1</v>
      </c>
      <c r="AK36" s="14" t="s">
        <v>94</v>
      </c>
      <c r="AL36" t="s">
        <v>12</v>
      </c>
      <c r="AM36">
        <v>5</v>
      </c>
      <c r="AN36">
        <v>120</v>
      </c>
      <c r="AO36">
        <v>1</v>
      </c>
      <c r="AU36" s="26"/>
      <c r="AY36" s="26"/>
      <c r="AZ36" s="74"/>
      <c r="BD36" s="79"/>
      <c r="BH36" s="38" t="str">
        <f>IFERROR(INDEX(Однолинейка!$A$1:$A$1000,(MATCH(32,Однолинейка!$BS$1:$BS$1000,0))),"")</f>
        <v/>
      </c>
      <c r="BI36" s="38" t="str">
        <f>IFERROR(INDEX(Однолинейка!$AW$1:$AW$1000,(MATCH(32,Однолинейка!$BS$1:$BS$1000,0))),"")</f>
        <v/>
      </c>
      <c r="BJ36" s="38" t="str">
        <f>IF(BI36="","",INDEX(Однолинейка!$AI$1:$AI$1000,(MATCH(32,Однолинейка!$BS$1:$BS$1000,0))))</f>
        <v/>
      </c>
      <c r="BK36" s="38" t="str">
        <f t="shared" si="1"/>
        <v/>
      </c>
      <c r="BL36" s="38" t="str">
        <f>IF(BI36="","",_xlfn.MAXIFS(Однолинейка!$O$3:$O$1000,Однолинейка!$AH$3:$AH$1000,BI36,Однолинейка!$A$3:$A$1000,BH36))</f>
        <v/>
      </c>
      <c r="BM36" s="38" t="str">
        <f>IF(BI36="","",COUNTIFS(Однолинейка!$AH$3:$AH$1000,BI36,Однолинейка!$A$3:$A$1000,BH36,Однолинейка!$N$3:$N$1000,"р"))</f>
        <v/>
      </c>
      <c r="BN36" s="38" t="str">
        <f t="shared" si="2"/>
        <v/>
      </c>
    </row>
    <row r="37" spans="12:73" x14ac:dyDescent="0.3">
      <c r="L37" s="16"/>
      <c r="M37" s="16"/>
      <c r="N37" s="16"/>
      <c r="O37" s="17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74"/>
      <c r="AA37" s="23"/>
      <c r="AB37" s="23"/>
      <c r="AC37" s="17"/>
      <c r="AD37" s="17"/>
      <c r="AE37" s="17"/>
      <c r="AF37" s="17"/>
      <c r="AG37" s="17"/>
      <c r="AJ37" s="13" t="str">
        <f t="shared" si="0"/>
        <v>ВВГнг(А)-LS (5х120) 2</v>
      </c>
      <c r="AK37" s="14" t="s">
        <v>95</v>
      </c>
      <c r="AL37" t="s">
        <v>12</v>
      </c>
      <c r="AM37">
        <v>5</v>
      </c>
      <c r="AN37">
        <v>120</v>
      </c>
      <c r="AO37">
        <v>2</v>
      </c>
      <c r="AU37" s="26"/>
      <c r="AY37" s="26"/>
      <c r="AZ37" s="74"/>
      <c r="BD37" s="79"/>
      <c r="BH37" s="38" t="str">
        <f>IFERROR(INDEX(Однолинейка!$A$1:$A$1000,(MATCH(33,Однолинейка!$BS$1:$BS$1000,0))),"")</f>
        <v/>
      </c>
      <c r="BI37" s="38" t="str">
        <f>IFERROR(INDEX(Однолинейка!$AW$1:$AW$1000,(MATCH(33,Однолинейка!$BS$1:$BS$1000,0))),"")</f>
        <v/>
      </c>
      <c r="BJ37" s="38" t="str">
        <f>IF(BI37="","",INDEX(Однолинейка!$AI$1:$AI$1000,(MATCH(33,Однолинейка!$BS$1:$BS$1000,0))))</f>
        <v/>
      </c>
      <c r="BK37" s="38" t="str">
        <f t="shared" si="1"/>
        <v/>
      </c>
      <c r="BL37" s="38" t="str">
        <f>IF(BI37="","",_xlfn.MAXIFS(Однолинейка!$O$3:$O$1000,Однолинейка!$AH$3:$AH$1000,BI37,Однолинейка!$A$3:$A$1000,BH37))</f>
        <v/>
      </c>
      <c r="BM37" s="38" t="str">
        <f>IF(BI37="","",COUNTIFS(Однолинейка!$AH$3:$AH$1000,BI37,Однолинейка!$A$3:$A$1000,BH37,Однолинейка!$N$3:$N$1000,"р"))</f>
        <v/>
      </c>
      <c r="BN37" s="38" t="str">
        <f t="shared" si="2"/>
        <v/>
      </c>
    </row>
    <row r="38" spans="12:73" x14ac:dyDescent="0.3">
      <c r="L38" s="16"/>
      <c r="M38" s="16"/>
      <c r="N38" s="16"/>
      <c r="O38" s="17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74"/>
      <c r="AA38" s="23"/>
      <c r="AB38" s="23"/>
      <c r="AC38" s="17"/>
      <c r="AD38" s="17"/>
      <c r="AE38" s="17"/>
      <c r="AF38" s="17"/>
      <c r="AG38" s="17"/>
      <c r="AJ38" s="13" t="str">
        <f t="shared" si="0"/>
        <v>ВВГнг(А)-LS (5х95) 1</v>
      </c>
      <c r="AK38" s="14" t="s">
        <v>96</v>
      </c>
      <c r="AL38" t="s">
        <v>12</v>
      </c>
      <c r="AM38">
        <v>5</v>
      </c>
      <c r="AN38">
        <v>95</v>
      </c>
      <c r="AO38">
        <v>1</v>
      </c>
      <c r="AU38" s="26"/>
      <c r="AY38" s="26"/>
      <c r="AZ38" s="74"/>
      <c r="BD38" s="79"/>
      <c r="BH38" s="38" t="str">
        <f>IFERROR(INDEX(Однолинейка!$A$1:$A$1000,(MATCH(34,Однолинейка!$BS$1:$BS$1000,0))),"")</f>
        <v/>
      </c>
      <c r="BI38" s="38" t="str">
        <f>IFERROR(INDEX(Однолинейка!$AW$1:$AW$1000,(MATCH(34,Однолинейка!$BS$1:$BS$1000,0))),"")</f>
        <v/>
      </c>
      <c r="BJ38" s="38" t="str">
        <f>IF(BI38="","",INDEX(Однолинейка!$AI$1:$AI$1000,(MATCH(34,Однолинейка!$BS$1:$BS$1000,0))))</f>
        <v/>
      </c>
      <c r="BK38" s="38" t="str">
        <f t="shared" si="1"/>
        <v/>
      </c>
      <c r="BL38" s="38" t="str">
        <f>IF(BI38="","",_xlfn.MAXIFS(Однолинейка!$O$3:$O$1000,Однолинейка!$AH$3:$AH$1000,BI38,Однолинейка!$A$3:$A$1000,BH38))</f>
        <v/>
      </c>
      <c r="BM38" s="38" t="str">
        <f>IF(BI38="","",COUNTIFS(Однолинейка!$AH$3:$AH$1000,BI38,Однолинейка!$A$3:$A$1000,BH38,Однолинейка!$N$3:$N$1000,"р"))</f>
        <v/>
      </c>
      <c r="BN38" s="38" t="str">
        <f t="shared" si="2"/>
        <v/>
      </c>
    </row>
    <row r="39" spans="12:73" x14ac:dyDescent="0.3">
      <c r="L39" s="16"/>
      <c r="M39" s="16"/>
      <c r="N39" s="16"/>
      <c r="O39" s="17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74"/>
      <c r="AA39" s="23"/>
      <c r="AB39" s="23"/>
      <c r="AC39" s="17"/>
      <c r="AD39" s="17"/>
      <c r="AE39" s="17"/>
      <c r="AF39" s="17"/>
      <c r="AG39" s="17"/>
      <c r="AJ39" s="13" t="str">
        <f t="shared" si="0"/>
        <v>ВВГнг(А)-LS (5х95) 2</v>
      </c>
      <c r="AK39" s="14" t="s">
        <v>97</v>
      </c>
      <c r="AL39" t="s">
        <v>12</v>
      </c>
      <c r="AM39">
        <v>5</v>
      </c>
      <c r="AN39">
        <v>95</v>
      </c>
      <c r="AO39">
        <v>2</v>
      </c>
      <c r="AU39" s="26"/>
      <c r="AY39" s="26"/>
      <c r="AZ39" s="74"/>
      <c r="BD39" s="79"/>
      <c r="BH39" s="38" t="str">
        <f>IFERROR(INDEX(Однолинейка!$A$1:$A$1000,(MATCH(35,Однолинейка!$BS$1:$BS$1000,0))),"")</f>
        <v/>
      </c>
      <c r="BI39" s="38" t="str">
        <f>IFERROR(INDEX(Однолинейка!$AW$1:$AW$1000,(MATCH(35,Однолинейка!$BS$1:$BS$1000,0))),"")</f>
        <v/>
      </c>
      <c r="BJ39" s="38" t="str">
        <f>IF(BI39="","",INDEX(Однолинейка!$AI$1:$AI$1000,(MATCH(35,Однолинейка!$BS$1:$BS$1000,0))))</f>
        <v/>
      </c>
      <c r="BK39" s="38" t="str">
        <f t="shared" si="1"/>
        <v/>
      </c>
      <c r="BL39" s="38" t="str">
        <f>IF(BI39="","",_xlfn.MAXIFS(Однолинейка!$O$3:$O$1000,Однолинейка!$AH$3:$AH$1000,BI39,Однолинейка!$A$3:$A$1000,BH39))</f>
        <v/>
      </c>
      <c r="BM39" s="38" t="str">
        <f>IF(BI39="","",COUNTIFS(Однолинейка!$AH$3:$AH$1000,BI39,Однолинейка!$A$3:$A$1000,BH39,Однолинейка!$N$3:$N$1000,"р"))</f>
        <v/>
      </c>
      <c r="BN39" s="38" t="str">
        <f t="shared" si="2"/>
        <v/>
      </c>
    </row>
    <row r="40" spans="12:73" x14ac:dyDescent="0.3">
      <c r="L40" s="16"/>
      <c r="M40" s="16"/>
      <c r="N40" s="16"/>
      <c r="O40" s="17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74"/>
      <c r="AA40" s="23"/>
      <c r="AB40" s="23"/>
      <c r="AC40" s="17"/>
      <c r="AD40" s="17"/>
      <c r="AE40" s="17"/>
      <c r="AF40" s="17"/>
      <c r="AG40" s="17"/>
      <c r="AJ40" s="13" t="str">
        <f t="shared" si="0"/>
        <v>ВВГнг(А)-LS (5х120) 1</v>
      </c>
      <c r="AK40" s="14" t="s">
        <v>98</v>
      </c>
      <c r="AL40" t="s">
        <v>12</v>
      </c>
      <c r="AM40">
        <v>5</v>
      </c>
      <c r="AN40">
        <v>120</v>
      </c>
      <c r="AO40">
        <v>1</v>
      </c>
      <c r="AU40" s="26"/>
      <c r="AY40" s="26"/>
      <c r="AZ40" s="74"/>
      <c r="BD40" s="79"/>
    </row>
    <row r="41" spans="12:73" ht="55.2" x14ac:dyDescent="0.3">
      <c r="L41" s="16"/>
      <c r="M41" s="16"/>
      <c r="N41" s="16"/>
      <c r="O41" s="17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74"/>
      <c r="AA41" s="23"/>
      <c r="AB41" s="23"/>
      <c r="AC41" s="17"/>
      <c r="AD41" s="17"/>
      <c r="AE41" s="17"/>
      <c r="AF41" s="17"/>
      <c r="AG41" s="17"/>
      <c r="AJ41" s="13" t="str">
        <f t="shared" si="0"/>
        <v>ВВГнг(А)-LS (5х120) 2</v>
      </c>
      <c r="AK41" s="14" t="s">
        <v>99</v>
      </c>
      <c r="AL41" t="s">
        <v>12</v>
      </c>
      <c r="AM41">
        <v>5</v>
      </c>
      <c r="AN41">
        <v>120</v>
      </c>
      <c r="AO41">
        <v>2</v>
      </c>
      <c r="AU41" s="26"/>
      <c r="AY41" s="26"/>
      <c r="AZ41" s="74"/>
      <c r="BD41" s="79"/>
      <c r="BH41" s="35" t="s">
        <v>636</v>
      </c>
      <c r="BI41" s="35"/>
      <c r="BJ41" s="35"/>
      <c r="BK41" s="35"/>
      <c r="BL41" s="35"/>
      <c r="BM41" s="35"/>
      <c r="BN41" s="35">
        <f>SUM(BN5:BN39)</f>
        <v>0</v>
      </c>
    </row>
    <row r="42" spans="12:73" x14ac:dyDescent="0.3">
      <c r="L42" s="16"/>
      <c r="M42" s="16"/>
      <c r="N42" s="16"/>
      <c r="O42" s="17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74"/>
      <c r="AA42" s="23"/>
      <c r="AB42" s="23"/>
      <c r="AC42" s="17"/>
      <c r="AD42" s="17"/>
      <c r="AE42" s="17"/>
      <c r="AF42" s="17"/>
      <c r="AG42" s="17"/>
      <c r="AJ42" s="13" t="str">
        <f t="shared" si="0"/>
        <v>ВБШВнг(А)-LS (5х10) 1</v>
      </c>
      <c r="AK42" s="14" t="s">
        <v>137</v>
      </c>
      <c r="AL42" t="s">
        <v>148</v>
      </c>
      <c r="AM42">
        <v>5</v>
      </c>
      <c r="AN42">
        <v>10</v>
      </c>
      <c r="AO42">
        <v>1</v>
      </c>
      <c r="AU42" s="26"/>
      <c r="AY42" s="26"/>
      <c r="AZ42" s="74"/>
      <c r="BD42" s="79"/>
    </row>
    <row r="43" spans="12:73" x14ac:dyDescent="0.3">
      <c r="L43" s="16"/>
      <c r="M43" s="16"/>
      <c r="N43" s="16"/>
      <c r="O43" s="17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74"/>
      <c r="AA43" s="23"/>
      <c r="AB43" s="23"/>
      <c r="AC43" s="17"/>
      <c r="AD43" s="17"/>
      <c r="AE43" s="17"/>
      <c r="AF43" s="17"/>
      <c r="AG43" s="17"/>
      <c r="AJ43" s="13" t="str">
        <f t="shared" si="0"/>
        <v>ВБШВнг(А)-LS (5х10) 2</v>
      </c>
      <c r="AK43" s="14" t="s">
        <v>100</v>
      </c>
      <c r="AL43" t="s">
        <v>148</v>
      </c>
      <c r="AM43">
        <v>5</v>
      </c>
      <c r="AN43">
        <v>10</v>
      </c>
      <c r="AO43">
        <v>2</v>
      </c>
      <c r="AU43" s="26"/>
      <c r="AY43" s="26"/>
      <c r="AZ43" s="74"/>
      <c r="BD43" s="79"/>
    </row>
    <row r="44" spans="12:73" x14ac:dyDescent="0.3">
      <c r="L44" s="16"/>
      <c r="M44" s="16"/>
      <c r="N44" s="16"/>
      <c r="O44" s="17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74"/>
      <c r="AA44" s="23"/>
      <c r="AB44" s="23"/>
      <c r="AC44" s="17"/>
      <c r="AD44" s="17"/>
      <c r="AE44" s="17"/>
      <c r="AF44" s="17"/>
      <c r="AG44" s="17"/>
      <c r="AJ44" s="13" t="str">
        <f t="shared" si="0"/>
        <v>ВБШВнг(А)-LS (5х16) 1</v>
      </c>
      <c r="AK44" s="14" t="s">
        <v>101</v>
      </c>
      <c r="AL44" t="s">
        <v>148</v>
      </c>
      <c r="AM44">
        <v>5</v>
      </c>
      <c r="AN44">
        <v>16</v>
      </c>
      <c r="AO44">
        <v>1</v>
      </c>
      <c r="AU44" s="26"/>
      <c r="AY44" s="26"/>
      <c r="AZ44" s="74"/>
      <c r="BD44" s="79"/>
    </row>
    <row r="45" spans="12:73" x14ac:dyDescent="0.3">
      <c r="L45" s="16"/>
      <c r="M45" s="16"/>
      <c r="N45" s="16"/>
      <c r="O45" s="17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74"/>
      <c r="AA45" s="23"/>
      <c r="AB45" s="23"/>
      <c r="AC45" s="17"/>
      <c r="AD45" s="17"/>
      <c r="AE45" s="17"/>
      <c r="AF45" s="17"/>
      <c r="AG45" s="17"/>
      <c r="AJ45" s="13" t="str">
        <f t="shared" si="0"/>
        <v>ВБШВнг(А)-LS (5х16) 2</v>
      </c>
      <c r="AK45" s="14" t="s">
        <v>102</v>
      </c>
      <c r="AL45" t="s">
        <v>148</v>
      </c>
      <c r="AM45">
        <v>5</v>
      </c>
      <c r="AN45">
        <v>16</v>
      </c>
      <c r="AO45">
        <v>2</v>
      </c>
      <c r="AU45" s="26"/>
      <c r="AY45" s="26"/>
      <c r="AZ45" s="74"/>
      <c r="BD45" s="79"/>
    </row>
    <row r="46" spans="12:73" x14ac:dyDescent="0.3">
      <c r="L46" s="16"/>
      <c r="M46" s="16"/>
      <c r="N46" s="16"/>
      <c r="O46" s="17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74"/>
      <c r="AA46" s="23"/>
      <c r="AB46" s="23"/>
      <c r="AC46" s="17"/>
      <c r="AD46" s="17"/>
      <c r="AE46" s="17"/>
      <c r="AF46" s="17"/>
      <c r="AG46" s="17"/>
      <c r="AJ46" s="13" t="str">
        <f t="shared" si="0"/>
        <v>ВБШВнг(А)-LS (5х25) 1</v>
      </c>
      <c r="AK46" s="14" t="s">
        <v>103</v>
      </c>
      <c r="AL46" t="s">
        <v>148</v>
      </c>
      <c r="AM46">
        <v>5</v>
      </c>
      <c r="AN46">
        <v>25</v>
      </c>
      <c r="AO46">
        <v>1</v>
      </c>
      <c r="AU46" s="26"/>
      <c r="AY46" s="26"/>
      <c r="AZ46" s="74"/>
      <c r="BD46" s="79"/>
    </row>
    <row r="47" spans="12:73" x14ac:dyDescent="0.3">
      <c r="L47" s="16"/>
      <c r="M47" s="16"/>
      <c r="N47" s="16"/>
      <c r="O47" s="17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74"/>
      <c r="AA47" s="23"/>
      <c r="AB47" s="23"/>
      <c r="AC47" s="17"/>
      <c r="AD47" s="17"/>
      <c r="AE47" s="17"/>
      <c r="AF47" s="17"/>
      <c r="AG47" s="17"/>
      <c r="AJ47" s="13" t="str">
        <f t="shared" si="0"/>
        <v>ВБШВнг(А)-LS (5х25) 2</v>
      </c>
      <c r="AK47" s="14" t="s">
        <v>104</v>
      </c>
      <c r="AL47" t="s">
        <v>148</v>
      </c>
      <c r="AM47">
        <v>5</v>
      </c>
      <c r="AN47">
        <v>25</v>
      </c>
      <c r="AO47">
        <v>2</v>
      </c>
      <c r="AU47" s="26"/>
      <c r="AY47" s="26"/>
      <c r="AZ47" s="74"/>
      <c r="BD47" s="79"/>
    </row>
    <row r="48" spans="12:73" x14ac:dyDescent="0.3">
      <c r="L48" s="16"/>
      <c r="M48" s="16"/>
      <c r="N48" s="16"/>
      <c r="O48" s="17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74"/>
      <c r="AA48" s="23"/>
      <c r="AB48" s="23"/>
      <c r="AC48" s="17"/>
      <c r="AD48" s="17"/>
      <c r="AE48" s="17"/>
      <c r="AF48" s="17"/>
      <c r="AG48" s="17"/>
      <c r="AJ48" s="13" t="str">
        <f t="shared" si="0"/>
        <v>ВБШВнг(А)-LS (5х35) 1</v>
      </c>
      <c r="AK48" s="14" t="s">
        <v>105</v>
      </c>
      <c r="AL48" t="s">
        <v>148</v>
      </c>
      <c r="AM48">
        <v>5</v>
      </c>
      <c r="AN48">
        <v>35</v>
      </c>
      <c r="AO48">
        <v>1</v>
      </c>
      <c r="AU48" s="26"/>
      <c r="AY48" s="26"/>
      <c r="AZ48" s="74"/>
      <c r="BD48" s="79"/>
    </row>
    <row r="49" spans="12:56" x14ac:dyDescent="0.3">
      <c r="L49" s="16"/>
      <c r="M49" s="16"/>
      <c r="N49" s="16"/>
      <c r="O49" s="17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74"/>
      <c r="AA49" s="23"/>
      <c r="AB49" s="23"/>
      <c r="AC49" s="17"/>
      <c r="AD49" s="17"/>
      <c r="AE49" s="17"/>
      <c r="AF49" s="17"/>
      <c r="AG49" s="17"/>
      <c r="AJ49" s="13" t="str">
        <f t="shared" si="0"/>
        <v>ВБШВнг(А)-LS (5х35) 2</v>
      </c>
      <c r="AK49" s="14" t="s">
        <v>106</v>
      </c>
      <c r="AL49" t="s">
        <v>148</v>
      </c>
      <c r="AM49">
        <v>5</v>
      </c>
      <c r="AN49">
        <v>35</v>
      </c>
      <c r="AO49">
        <v>2</v>
      </c>
      <c r="AU49" s="26"/>
      <c r="AY49" s="26"/>
      <c r="AZ49" s="74"/>
      <c r="BD49" s="79"/>
    </row>
    <row r="50" spans="12:56" x14ac:dyDescent="0.3">
      <c r="L50" s="16"/>
      <c r="M50" s="16"/>
      <c r="N50" s="16"/>
      <c r="O50" s="17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74"/>
      <c r="AA50" s="23"/>
      <c r="AB50" s="23"/>
      <c r="AC50" s="17"/>
      <c r="AD50" s="17"/>
      <c r="AE50" s="17"/>
      <c r="AF50" s="17"/>
      <c r="AG50" s="17"/>
      <c r="AJ50" s="13" t="str">
        <f t="shared" si="0"/>
        <v>ВБШВнг(А)-LS (5х50) 1</v>
      </c>
      <c r="AK50" s="14" t="s">
        <v>107</v>
      </c>
      <c r="AL50" t="s">
        <v>148</v>
      </c>
      <c r="AM50">
        <v>5</v>
      </c>
      <c r="AN50">
        <v>50</v>
      </c>
      <c r="AO50">
        <v>1</v>
      </c>
      <c r="AU50" s="26"/>
      <c r="AY50" s="26"/>
      <c r="AZ50" s="74"/>
      <c r="BD50" s="79"/>
    </row>
    <row r="51" spans="12:56" x14ac:dyDescent="0.3">
      <c r="L51" s="16"/>
      <c r="M51" s="16"/>
      <c r="N51" s="16"/>
      <c r="O51" s="17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74"/>
      <c r="AA51" s="23"/>
      <c r="AB51" s="23"/>
      <c r="AC51" s="17"/>
      <c r="AD51" s="17"/>
      <c r="AE51" s="17"/>
      <c r="AF51" s="17"/>
      <c r="AG51" s="17"/>
      <c r="AJ51" s="13" t="str">
        <f t="shared" si="0"/>
        <v>ВБШВнг(А)-LS (5х50) 2</v>
      </c>
      <c r="AK51" s="14" t="s">
        <v>108</v>
      </c>
      <c r="AL51" t="s">
        <v>148</v>
      </c>
      <c r="AM51">
        <v>5</v>
      </c>
      <c r="AN51">
        <v>50</v>
      </c>
      <c r="AO51">
        <v>2</v>
      </c>
      <c r="AU51" s="26"/>
      <c r="AY51" s="26"/>
      <c r="AZ51" s="74"/>
      <c r="BD51" s="79"/>
    </row>
    <row r="52" spans="12:56" x14ac:dyDescent="0.3">
      <c r="AJ52" s="13" t="str">
        <f t="shared" si="0"/>
        <v>ВБШВнг(А)-LS (5х95) 1</v>
      </c>
      <c r="AK52" s="14" t="s">
        <v>109</v>
      </c>
      <c r="AL52" t="s">
        <v>148</v>
      </c>
      <c r="AM52">
        <v>5</v>
      </c>
      <c r="AN52">
        <v>95</v>
      </c>
      <c r="AO52">
        <v>1</v>
      </c>
      <c r="AY52" s="26"/>
      <c r="BD52" s="80"/>
    </row>
    <row r="53" spans="12:56" x14ac:dyDescent="0.3">
      <c r="AJ53" s="13" t="str">
        <f t="shared" si="0"/>
        <v>ВБШВнг(А)-LS (5х95) 2</v>
      </c>
      <c r="AK53" s="14" t="s">
        <v>110</v>
      </c>
      <c r="AL53" t="s">
        <v>148</v>
      </c>
      <c r="AM53">
        <v>5</v>
      </c>
      <c r="AN53">
        <v>95</v>
      </c>
      <c r="AO53">
        <v>2</v>
      </c>
      <c r="AU53" s="64"/>
    </row>
    <row r="54" spans="12:56" x14ac:dyDescent="0.3">
      <c r="AJ54" s="13" t="str">
        <f t="shared" si="0"/>
        <v>ВБШВнг(А)-LS (5х120) 1</v>
      </c>
      <c r="AK54" s="14" t="s">
        <v>111</v>
      </c>
      <c r="AL54" t="s">
        <v>148</v>
      </c>
      <c r="AM54">
        <v>5</v>
      </c>
      <c r="AN54">
        <v>120</v>
      </c>
      <c r="AO54">
        <v>1</v>
      </c>
      <c r="AU54" s="26"/>
      <c r="AV54" s="26"/>
      <c r="AW54" s="26"/>
      <c r="AY54" s="26"/>
    </row>
    <row r="55" spans="12:56" x14ac:dyDescent="0.3">
      <c r="AJ55" s="13" t="str">
        <f t="shared" si="0"/>
        <v>ВБШВнг(А)-LS (5х120) 2</v>
      </c>
      <c r="AK55" s="14" t="s">
        <v>112</v>
      </c>
      <c r="AL55" t="s">
        <v>148</v>
      </c>
      <c r="AM55">
        <v>5</v>
      </c>
      <c r="AN55">
        <v>120</v>
      </c>
      <c r="AO55">
        <v>2</v>
      </c>
      <c r="AU55" s="26"/>
      <c r="AV55" s="26"/>
      <c r="AW55" s="26"/>
      <c r="AY55" s="26"/>
    </row>
    <row r="56" spans="12:56" x14ac:dyDescent="0.3">
      <c r="AJ56" s="13" t="str">
        <f t="shared" si="0"/>
        <v>КГВВнг(А)-LS (2х0,75) 1</v>
      </c>
      <c r="AK56" s="14" t="s">
        <v>113</v>
      </c>
      <c r="AL56" t="s">
        <v>138</v>
      </c>
      <c r="AM56">
        <v>2</v>
      </c>
      <c r="AN56">
        <v>0.75</v>
      </c>
      <c r="AO56">
        <v>1</v>
      </c>
      <c r="AU56" s="26"/>
      <c r="AV56" s="26"/>
      <c r="AW56" s="26"/>
      <c r="AY56" s="26"/>
    </row>
    <row r="57" spans="12:56" x14ac:dyDescent="0.3">
      <c r="AJ57" s="13" t="str">
        <f t="shared" si="0"/>
        <v>КГВВнг(А)-LS (2х0,75) 2</v>
      </c>
      <c r="AK57" s="14" t="s">
        <v>114</v>
      </c>
      <c r="AL57" t="s">
        <v>138</v>
      </c>
      <c r="AM57">
        <v>2</v>
      </c>
      <c r="AN57">
        <v>0.75</v>
      </c>
      <c r="AO57">
        <v>2</v>
      </c>
      <c r="AU57" s="26"/>
      <c r="AV57" s="26"/>
      <c r="AW57" s="26"/>
      <c r="AY57" s="26"/>
    </row>
    <row r="58" spans="12:56" x14ac:dyDescent="0.3">
      <c r="AJ58" s="13" t="str">
        <f t="shared" si="0"/>
        <v>КГВВнг(А)-LS (2х1,5) 1</v>
      </c>
      <c r="AK58" s="14" t="s">
        <v>113</v>
      </c>
      <c r="AL58" t="s">
        <v>138</v>
      </c>
      <c r="AM58">
        <v>2</v>
      </c>
      <c r="AN58">
        <v>1.5</v>
      </c>
      <c r="AO58">
        <v>1</v>
      </c>
      <c r="AY58" s="26"/>
    </row>
    <row r="59" spans="12:56" x14ac:dyDescent="0.3">
      <c r="AJ59" s="13" t="str">
        <f t="shared" si="0"/>
        <v>КГВВнг(А)-LS (2х1,5) 2</v>
      </c>
      <c r="AK59" s="14" t="s">
        <v>114</v>
      </c>
      <c r="AL59" t="s">
        <v>138</v>
      </c>
      <c r="AM59">
        <v>2</v>
      </c>
      <c r="AN59">
        <v>1.5</v>
      </c>
      <c r="AO59">
        <v>2</v>
      </c>
      <c r="AY59" s="26"/>
    </row>
    <row r="60" spans="12:56" x14ac:dyDescent="0.3">
      <c r="AJ60" s="13" t="str">
        <f t="shared" si="0"/>
        <v>КГВВнг(А)-LS (2х2,5) 1</v>
      </c>
      <c r="AK60" s="14" t="s">
        <v>115</v>
      </c>
      <c r="AL60" t="s">
        <v>138</v>
      </c>
      <c r="AM60">
        <v>2</v>
      </c>
      <c r="AN60">
        <v>2.5</v>
      </c>
      <c r="AO60">
        <v>1</v>
      </c>
      <c r="AY60" s="26"/>
    </row>
    <row r="61" spans="12:56" x14ac:dyDescent="0.3">
      <c r="AJ61" s="13" t="str">
        <f t="shared" si="0"/>
        <v>КГВВнг(А)-LS (2х2,5) 2</v>
      </c>
      <c r="AK61" s="14" t="s">
        <v>116</v>
      </c>
      <c r="AL61" t="s">
        <v>138</v>
      </c>
      <c r="AM61">
        <v>2</v>
      </c>
      <c r="AN61">
        <v>2.5</v>
      </c>
      <c r="AO61">
        <v>2</v>
      </c>
      <c r="AY61" s="26"/>
    </row>
    <row r="62" spans="12:56" x14ac:dyDescent="0.3">
      <c r="AJ62" s="13" t="str">
        <f t="shared" si="0"/>
        <v>КГВВнг(А)-LS (3х1,5) 1</v>
      </c>
      <c r="AK62" s="14" t="s">
        <v>117</v>
      </c>
      <c r="AL62" t="s">
        <v>138</v>
      </c>
      <c r="AM62">
        <v>3</v>
      </c>
      <c r="AN62">
        <v>1.5</v>
      </c>
      <c r="AO62">
        <v>1</v>
      </c>
      <c r="AY62" s="26"/>
    </row>
    <row r="63" spans="12:56" x14ac:dyDescent="0.3">
      <c r="AJ63" s="13" t="str">
        <f t="shared" si="0"/>
        <v>КГВВнг(А)-LS (3х1,5) 2</v>
      </c>
      <c r="AK63" s="14" t="s">
        <v>118</v>
      </c>
      <c r="AL63" t="s">
        <v>138</v>
      </c>
      <c r="AM63">
        <v>3</v>
      </c>
      <c r="AN63">
        <v>1.5</v>
      </c>
      <c r="AO63">
        <v>2</v>
      </c>
      <c r="AY63" s="26"/>
    </row>
    <row r="64" spans="12:56" x14ac:dyDescent="0.3">
      <c r="AJ64" s="13" t="str">
        <f t="shared" si="0"/>
        <v>КГВВнг(А)-LS (3х2,5) 1</v>
      </c>
      <c r="AK64" s="14" t="s">
        <v>119</v>
      </c>
      <c r="AL64" t="s">
        <v>138</v>
      </c>
      <c r="AM64">
        <v>3</v>
      </c>
      <c r="AN64">
        <v>2.5</v>
      </c>
      <c r="AO64">
        <v>1</v>
      </c>
      <c r="AY64" s="26"/>
    </row>
    <row r="65" spans="36:51" x14ac:dyDescent="0.3">
      <c r="AJ65" s="13" t="str">
        <f t="shared" si="0"/>
        <v>КГВВнг(А)-LS (3х2,5) 2</v>
      </c>
      <c r="AK65" s="14" t="s">
        <v>120</v>
      </c>
      <c r="AL65" t="s">
        <v>138</v>
      </c>
      <c r="AM65">
        <v>3</v>
      </c>
      <c r="AN65">
        <v>2.5</v>
      </c>
      <c r="AO65">
        <v>2</v>
      </c>
      <c r="AY65" s="26"/>
    </row>
    <row r="66" spans="36:51" x14ac:dyDescent="0.3">
      <c r="AJ66" s="13" t="str">
        <f t="shared" si="0"/>
        <v>КГВВнг(А)-LS (5х1,5) 1</v>
      </c>
      <c r="AK66" s="14" t="s">
        <v>121</v>
      </c>
      <c r="AL66" t="s">
        <v>138</v>
      </c>
      <c r="AM66">
        <v>5</v>
      </c>
      <c r="AN66">
        <v>1.5</v>
      </c>
      <c r="AO66">
        <v>1</v>
      </c>
      <c r="AY66" s="26"/>
    </row>
    <row r="67" spans="36:51" x14ac:dyDescent="0.3">
      <c r="AJ67" s="13" t="str">
        <f t="shared" si="0"/>
        <v>КГВВнг(А)-LS (5х1,5) 2</v>
      </c>
      <c r="AK67" s="14" t="s">
        <v>122</v>
      </c>
      <c r="AL67" t="s">
        <v>138</v>
      </c>
      <c r="AM67">
        <v>5</v>
      </c>
      <c r="AN67">
        <v>1.5</v>
      </c>
      <c r="AO67">
        <v>2</v>
      </c>
      <c r="AY67" s="26"/>
    </row>
    <row r="68" spans="36:51" x14ac:dyDescent="0.3">
      <c r="AJ68" s="13" t="str">
        <f t="shared" si="0"/>
        <v>КГВВнг(А)-LS (5х2,5) 1</v>
      </c>
      <c r="AK68" s="14" t="s">
        <v>123</v>
      </c>
      <c r="AL68" t="s">
        <v>138</v>
      </c>
      <c r="AM68">
        <v>5</v>
      </c>
      <c r="AN68">
        <v>2.5</v>
      </c>
      <c r="AO68">
        <v>1</v>
      </c>
      <c r="AY68" s="26"/>
    </row>
    <row r="69" spans="36:51" x14ac:dyDescent="0.3">
      <c r="AJ69" s="13" t="str">
        <f t="shared" ref="AJ69:AJ132" si="3">AL69&amp;" ("&amp;AM69&amp;"х"&amp;AN69&amp;") "&amp;AO69</f>
        <v>КГВВнг(А)-LS (5х2,5) 2</v>
      </c>
      <c r="AK69" s="14" t="s">
        <v>124</v>
      </c>
      <c r="AL69" t="s">
        <v>138</v>
      </c>
      <c r="AM69">
        <v>5</v>
      </c>
      <c r="AN69">
        <v>2.5</v>
      </c>
      <c r="AO69">
        <v>2</v>
      </c>
      <c r="AY69" s="26"/>
    </row>
    <row r="70" spans="36:51" x14ac:dyDescent="0.3">
      <c r="AJ70" s="13" t="str">
        <f t="shared" si="3"/>
        <v>КГВВнг(А)-LS (5х4) 1</v>
      </c>
      <c r="AK70" s="14" t="s">
        <v>125</v>
      </c>
      <c r="AL70" t="s">
        <v>138</v>
      </c>
      <c r="AM70">
        <v>5</v>
      </c>
      <c r="AN70">
        <v>4</v>
      </c>
      <c r="AO70">
        <v>1</v>
      </c>
      <c r="AY70" s="26"/>
    </row>
    <row r="71" spans="36:51" x14ac:dyDescent="0.3">
      <c r="AJ71" s="13" t="str">
        <f t="shared" si="3"/>
        <v>КГВВнг(А)-LS (5х4) 2</v>
      </c>
      <c r="AK71" s="14" t="s">
        <v>126</v>
      </c>
      <c r="AL71" t="s">
        <v>138</v>
      </c>
      <c r="AM71">
        <v>5</v>
      </c>
      <c r="AN71">
        <v>4</v>
      </c>
      <c r="AO71">
        <v>2</v>
      </c>
      <c r="AY71" s="26"/>
    </row>
    <row r="72" spans="36:51" x14ac:dyDescent="0.3">
      <c r="AJ72" s="13" t="str">
        <f t="shared" si="3"/>
        <v>КГВВнг(А)-LS (5х6) 1</v>
      </c>
      <c r="AK72" s="14" t="s">
        <v>127</v>
      </c>
      <c r="AL72" t="s">
        <v>138</v>
      </c>
      <c r="AM72">
        <v>5</v>
      </c>
      <c r="AN72">
        <v>6</v>
      </c>
      <c r="AO72">
        <v>1</v>
      </c>
      <c r="AY72" s="26"/>
    </row>
    <row r="73" spans="36:51" x14ac:dyDescent="0.3">
      <c r="AJ73" s="13" t="str">
        <f t="shared" si="3"/>
        <v>КГВВнг(А)-LS (5х6) 2</v>
      </c>
      <c r="AK73" s="14" t="s">
        <v>128</v>
      </c>
      <c r="AL73" t="s">
        <v>138</v>
      </c>
      <c r="AM73">
        <v>5</v>
      </c>
      <c r="AN73">
        <v>6</v>
      </c>
      <c r="AO73">
        <v>2</v>
      </c>
    </row>
    <row r="74" spans="36:51" x14ac:dyDescent="0.3">
      <c r="AJ74" s="13" t="str">
        <f t="shared" si="3"/>
        <v>КГВВнг(А)-LS (4х0,75) 1</v>
      </c>
      <c r="AK74" s="14" t="s">
        <v>129</v>
      </c>
      <c r="AL74" t="s">
        <v>138</v>
      </c>
      <c r="AM74">
        <v>4</v>
      </c>
      <c r="AN74">
        <v>0.75</v>
      </c>
      <c r="AO74">
        <v>1</v>
      </c>
    </row>
    <row r="75" spans="36:51" x14ac:dyDescent="0.3">
      <c r="AJ75" s="13" t="str">
        <f t="shared" si="3"/>
        <v>КГВВнг(А)-LS (4х0,75) 2</v>
      </c>
      <c r="AK75" s="14" t="s">
        <v>130</v>
      </c>
      <c r="AL75" t="s">
        <v>138</v>
      </c>
      <c r="AM75">
        <v>4</v>
      </c>
      <c r="AN75">
        <v>0.75</v>
      </c>
      <c r="AO75">
        <v>2</v>
      </c>
      <c r="AU75" s="26"/>
    </row>
    <row r="76" spans="36:51" x14ac:dyDescent="0.3">
      <c r="AJ76" s="13" t="str">
        <f t="shared" si="3"/>
        <v>ПУГВ (1х2,5) 1</v>
      </c>
      <c r="AK76" s="14" t="s">
        <v>131</v>
      </c>
      <c r="AL76" t="s">
        <v>58</v>
      </c>
      <c r="AM76">
        <v>1</v>
      </c>
      <c r="AN76">
        <v>2.5</v>
      </c>
      <c r="AO76">
        <v>1</v>
      </c>
    </row>
    <row r="77" spans="36:51" x14ac:dyDescent="0.3">
      <c r="AJ77" s="13" t="str">
        <f t="shared" si="3"/>
        <v>ПУГВ (1х2,5) 2</v>
      </c>
      <c r="AK77" s="14" t="s">
        <v>132</v>
      </c>
      <c r="AL77" t="s">
        <v>58</v>
      </c>
      <c r="AM77">
        <v>1</v>
      </c>
      <c r="AN77">
        <v>2.5</v>
      </c>
      <c r="AO77">
        <v>2</v>
      </c>
    </row>
    <row r="78" spans="36:51" x14ac:dyDescent="0.3">
      <c r="AJ78" s="13" t="str">
        <f t="shared" si="3"/>
        <v>ПУГВ (1х4) 1</v>
      </c>
      <c r="AK78" s="14" t="s">
        <v>131</v>
      </c>
      <c r="AL78" t="s">
        <v>58</v>
      </c>
      <c r="AM78">
        <v>1</v>
      </c>
      <c r="AN78">
        <v>4</v>
      </c>
      <c r="AO78">
        <v>1</v>
      </c>
    </row>
    <row r="79" spans="36:51" x14ac:dyDescent="0.3">
      <c r="AJ79" s="13" t="str">
        <f t="shared" si="3"/>
        <v>ПУГВ (1х4) 2</v>
      </c>
      <c r="AK79" s="14" t="s">
        <v>132</v>
      </c>
      <c r="AL79" t="s">
        <v>58</v>
      </c>
      <c r="AM79">
        <v>1</v>
      </c>
      <c r="AN79">
        <v>4</v>
      </c>
      <c r="AO79">
        <v>2</v>
      </c>
    </row>
    <row r="80" spans="36:51" x14ac:dyDescent="0.3">
      <c r="AJ80" s="13" t="str">
        <f t="shared" si="3"/>
        <v>ПУГВ (1х6) 1</v>
      </c>
      <c r="AK80" s="14" t="s">
        <v>131</v>
      </c>
      <c r="AL80" t="s">
        <v>58</v>
      </c>
      <c r="AM80">
        <v>1</v>
      </c>
      <c r="AN80">
        <v>6</v>
      </c>
      <c r="AO80">
        <v>1</v>
      </c>
    </row>
    <row r="81" spans="36:41" x14ac:dyDescent="0.3">
      <c r="AJ81" s="13" t="str">
        <f t="shared" si="3"/>
        <v>ПУГВ (1х6) 2</v>
      </c>
      <c r="AK81" s="14" t="s">
        <v>132</v>
      </c>
      <c r="AL81" t="s">
        <v>58</v>
      </c>
      <c r="AM81">
        <v>1</v>
      </c>
      <c r="AN81">
        <v>6</v>
      </c>
      <c r="AO81">
        <v>2</v>
      </c>
    </row>
    <row r="82" spans="36:41" x14ac:dyDescent="0.3">
      <c r="AJ82" s="13" t="str">
        <f t="shared" si="3"/>
        <v>ПУГВ (1х10) 1</v>
      </c>
      <c r="AK82" s="14" t="s">
        <v>133</v>
      </c>
      <c r="AL82" t="s">
        <v>58</v>
      </c>
      <c r="AM82">
        <v>1</v>
      </c>
      <c r="AN82">
        <v>10</v>
      </c>
      <c r="AO82">
        <v>1</v>
      </c>
    </row>
    <row r="83" spans="36:41" x14ac:dyDescent="0.3">
      <c r="AJ83" s="13" t="str">
        <f t="shared" si="3"/>
        <v>ПУГВ (1х10) 2</v>
      </c>
      <c r="AK83" s="14" t="s">
        <v>134</v>
      </c>
      <c r="AL83" t="s">
        <v>58</v>
      </c>
      <c r="AM83">
        <v>1</v>
      </c>
      <c r="AN83">
        <v>10</v>
      </c>
      <c r="AO83">
        <v>2</v>
      </c>
    </row>
    <row r="84" spans="36:41" x14ac:dyDescent="0.3">
      <c r="AJ84" s="13" t="str">
        <f t="shared" si="3"/>
        <v>ПУГВ (1х25) 1</v>
      </c>
      <c r="AK84" s="14" t="s">
        <v>133</v>
      </c>
      <c r="AL84" t="s">
        <v>58</v>
      </c>
      <c r="AM84">
        <v>1</v>
      </c>
      <c r="AN84">
        <v>25</v>
      </c>
      <c r="AO84">
        <v>1</v>
      </c>
    </row>
    <row r="85" spans="36:41" x14ac:dyDescent="0.3">
      <c r="AJ85" s="13" t="str">
        <f t="shared" si="3"/>
        <v>ПУГВ (1х25) 2</v>
      </c>
      <c r="AK85" s="14" t="s">
        <v>134</v>
      </c>
      <c r="AL85" t="s">
        <v>58</v>
      </c>
      <c r="AM85">
        <v>1</v>
      </c>
      <c r="AN85">
        <v>25</v>
      </c>
      <c r="AO85">
        <v>2</v>
      </c>
    </row>
    <row r="86" spans="36:41" x14ac:dyDescent="0.3">
      <c r="AJ86" s="13" t="str">
        <f t="shared" si="3"/>
        <v>КВБбШвнг(А)-LS (14х2,5) 1</v>
      </c>
      <c r="AK86" s="14" t="s">
        <v>64</v>
      </c>
      <c r="AL86" t="s">
        <v>149</v>
      </c>
      <c r="AM86">
        <v>14</v>
      </c>
      <c r="AN86">
        <v>2.5</v>
      </c>
      <c r="AO86">
        <v>1</v>
      </c>
    </row>
    <row r="87" spans="36:41" x14ac:dyDescent="0.3">
      <c r="AJ87" s="13" t="str">
        <f t="shared" si="3"/>
        <v>КВБбШвнг(А)-LS (14х2,5) 2</v>
      </c>
      <c r="AK87" s="14" t="s">
        <v>65</v>
      </c>
      <c r="AL87" t="s">
        <v>149</v>
      </c>
      <c r="AM87">
        <v>14</v>
      </c>
      <c r="AN87">
        <v>2.5</v>
      </c>
      <c r="AO87">
        <v>2</v>
      </c>
    </row>
    <row r="88" spans="36:41" x14ac:dyDescent="0.3">
      <c r="AJ88" s="13" t="str">
        <f t="shared" si="3"/>
        <v>ППГнг(А)-FRHF (2х1,5) 1</v>
      </c>
      <c r="AK88" s="14" t="s">
        <v>62</v>
      </c>
      <c r="AL88" t="s">
        <v>142</v>
      </c>
      <c r="AM88">
        <v>2</v>
      </c>
      <c r="AN88">
        <v>1.5</v>
      </c>
      <c r="AO88">
        <v>1</v>
      </c>
    </row>
    <row r="89" spans="36:41" x14ac:dyDescent="0.3">
      <c r="AJ89" s="13" t="str">
        <f t="shared" si="3"/>
        <v>ППГнг(А)-FRHF (2х1,5) 2</v>
      </c>
      <c r="AK89" s="14" t="s">
        <v>63</v>
      </c>
      <c r="AL89" t="s">
        <v>142</v>
      </c>
      <c r="AM89">
        <v>2</v>
      </c>
      <c r="AN89">
        <v>1.5</v>
      </c>
      <c r="AO89">
        <v>2</v>
      </c>
    </row>
    <row r="90" spans="36:41" x14ac:dyDescent="0.3">
      <c r="AJ90" s="13" t="str">
        <f t="shared" si="3"/>
        <v>ППГнг(А)-FRHF (2х2,5) 1</v>
      </c>
      <c r="AK90" s="14" t="s">
        <v>64</v>
      </c>
      <c r="AL90" t="s">
        <v>142</v>
      </c>
      <c r="AM90">
        <v>2</v>
      </c>
      <c r="AN90">
        <v>2.5</v>
      </c>
      <c r="AO90">
        <v>1</v>
      </c>
    </row>
    <row r="91" spans="36:41" x14ac:dyDescent="0.3">
      <c r="AJ91" s="13" t="str">
        <f t="shared" si="3"/>
        <v>ППГнг(А)-FRHF (2х2,5) 2</v>
      </c>
      <c r="AK91" s="14" t="s">
        <v>65</v>
      </c>
      <c r="AL91" t="s">
        <v>142</v>
      </c>
      <c r="AM91">
        <v>2</v>
      </c>
      <c r="AN91">
        <v>2.5</v>
      </c>
      <c r="AO91">
        <v>2</v>
      </c>
    </row>
    <row r="92" spans="36:41" x14ac:dyDescent="0.3">
      <c r="AJ92" s="13" t="str">
        <f t="shared" si="3"/>
        <v>ППГнг(А)-FRHF (3х1,5) 1</v>
      </c>
      <c r="AK92" s="14" t="s">
        <v>66</v>
      </c>
      <c r="AL92" t="s">
        <v>142</v>
      </c>
      <c r="AM92">
        <v>3</v>
      </c>
      <c r="AN92">
        <v>1.5</v>
      </c>
      <c r="AO92">
        <v>1</v>
      </c>
    </row>
    <row r="93" spans="36:41" x14ac:dyDescent="0.3">
      <c r="AJ93" s="13" t="str">
        <f t="shared" si="3"/>
        <v>ППГнг(А)-FRHF (3х1,5) 2</v>
      </c>
      <c r="AK93" s="14" t="s">
        <v>67</v>
      </c>
      <c r="AL93" t="s">
        <v>142</v>
      </c>
      <c r="AM93">
        <v>3</v>
      </c>
      <c r="AN93">
        <v>1.5</v>
      </c>
      <c r="AO93">
        <v>2</v>
      </c>
    </row>
    <row r="94" spans="36:41" x14ac:dyDescent="0.3">
      <c r="AJ94" s="13" t="str">
        <f t="shared" si="3"/>
        <v>ППГнг(А)-FRHF (3х2,5) 1</v>
      </c>
      <c r="AK94" s="14" t="s">
        <v>68</v>
      </c>
      <c r="AL94" t="s">
        <v>142</v>
      </c>
      <c r="AM94">
        <v>3</v>
      </c>
      <c r="AN94">
        <v>2.5</v>
      </c>
      <c r="AO94">
        <v>1</v>
      </c>
    </row>
    <row r="95" spans="36:41" x14ac:dyDescent="0.3">
      <c r="AJ95" s="13" t="str">
        <f t="shared" si="3"/>
        <v>ППГнг(А)-FRHF (3х2,5) 2</v>
      </c>
      <c r="AK95" s="14" t="s">
        <v>69</v>
      </c>
      <c r="AL95" t="s">
        <v>142</v>
      </c>
      <c r="AM95">
        <v>3</v>
      </c>
      <c r="AN95">
        <v>2.5</v>
      </c>
      <c r="AO95">
        <v>2</v>
      </c>
    </row>
    <row r="96" spans="36:41" x14ac:dyDescent="0.3">
      <c r="AJ96" s="13" t="str">
        <f t="shared" si="3"/>
        <v>ППГнг(А)-FRHF (3х4) 1</v>
      </c>
      <c r="AK96" s="14" t="s">
        <v>70</v>
      </c>
      <c r="AL96" t="s">
        <v>142</v>
      </c>
      <c r="AM96">
        <v>3</v>
      </c>
      <c r="AN96">
        <v>4</v>
      </c>
      <c r="AO96">
        <v>1</v>
      </c>
    </row>
    <row r="97" spans="36:41" x14ac:dyDescent="0.3">
      <c r="AJ97" s="13" t="str">
        <f t="shared" si="3"/>
        <v>ППГнг(А)-FRHF (3х4) 2</v>
      </c>
      <c r="AK97" s="14" t="s">
        <v>71</v>
      </c>
      <c r="AL97" t="s">
        <v>142</v>
      </c>
      <c r="AM97">
        <v>3</v>
      </c>
      <c r="AN97">
        <v>4</v>
      </c>
      <c r="AO97">
        <v>2</v>
      </c>
    </row>
    <row r="98" spans="36:41" x14ac:dyDescent="0.3">
      <c r="AJ98" s="13" t="str">
        <f t="shared" si="3"/>
        <v>ППГнг(А)-FRHF (3х6) 1</v>
      </c>
      <c r="AK98" s="14" t="s">
        <v>72</v>
      </c>
      <c r="AL98" t="s">
        <v>142</v>
      </c>
      <c r="AM98">
        <v>3</v>
      </c>
      <c r="AN98">
        <v>6</v>
      </c>
      <c r="AO98">
        <v>1</v>
      </c>
    </row>
    <row r="99" spans="36:41" x14ac:dyDescent="0.3">
      <c r="AJ99" s="13" t="str">
        <f t="shared" si="3"/>
        <v>ППГнг(А)-FRHF (3х6) 2</v>
      </c>
      <c r="AK99" s="14" t="s">
        <v>73</v>
      </c>
      <c r="AL99" t="s">
        <v>142</v>
      </c>
      <c r="AM99">
        <v>3</v>
      </c>
      <c r="AN99">
        <v>6</v>
      </c>
      <c r="AO99">
        <v>2</v>
      </c>
    </row>
    <row r="100" spans="36:41" x14ac:dyDescent="0.3">
      <c r="AJ100" s="13" t="str">
        <f t="shared" si="3"/>
        <v>ППГнг(А)-FRHF (5х1,5) 1</v>
      </c>
      <c r="AK100" s="14" t="s">
        <v>74</v>
      </c>
      <c r="AL100" t="s">
        <v>142</v>
      </c>
      <c r="AM100">
        <v>5</v>
      </c>
      <c r="AN100">
        <v>1.5</v>
      </c>
      <c r="AO100">
        <v>1</v>
      </c>
    </row>
    <row r="101" spans="36:41" x14ac:dyDescent="0.3">
      <c r="AJ101" s="13" t="str">
        <f t="shared" si="3"/>
        <v>ППГнг(А)-FRHF (5х1,5) 2</v>
      </c>
      <c r="AK101" s="14" t="s">
        <v>75</v>
      </c>
      <c r="AL101" t="s">
        <v>142</v>
      </c>
      <c r="AM101">
        <v>5</v>
      </c>
      <c r="AN101">
        <v>1.5</v>
      </c>
      <c r="AO101">
        <v>2</v>
      </c>
    </row>
    <row r="102" spans="36:41" x14ac:dyDescent="0.3">
      <c r="AJ102" s="13" t="str">
        <f t="shared" si="3"/>
        <v>ППГнг(А)-FRHF (5х2,5) 1</v>
      </c>
      <c r="AK102" s="14" t="s">
        <v>76</v>
      </c>
      <c r="AL102" t="s">
        <v>142</v>
      </c>
      <c r="AM102">
        <v>5</v>
      </c>
      <c r="AN102">
        <v>2.5</v>
      </c>
      <c r="AO102">
        <v>1</v>
      </c>
    </row>
    <row r="103" spans="36:41" x14ac:dyDescent="0.3">
      <c r="AJ103" s="13" t="str">
        <f t="shared" si="3"/>
        <v>ППГнг(А)-FRHF (5х2,5) 2</v>
      </c>
      <c r="AK103" s="14" t="s">
        <v>77</v>
      </c>
      <c r="AL103" t="s">
        <v>142</v>
      </c>
      <c r="AM103">
        <v>5</v>
      </c>
      <c r="AN103">
        <v>2.5</v>
      </c>
      <c r="AO103">
        <v>2</v>
      </c>
    </row>
    <row r="104" spans="36:41" x14ac:dyDescent="0.3">
      <c r="AJ104" s="13" t="str">
        <f t="shared" si="3"/>
        <v>ППГнг(А)-FRHF (5х4) 1</v>
      </c>
      <c r="AK104" s="14" t="s">
        <v>78</v>
      </c>
      <c r="AL104" t="s">
        <v>142</v>
      </c>
      <c r="AM104">
        <v>5</v>
      </c>
      <c r="AN104">
        <v>4</v>
      </c>
      <c r="AO104">
        <v>1</v>
      </c>
    </row>
    <row r="105" spans="36:41" x14ac:dyDescent="0.3">
      <c r="AJ105" s="13" t="str">
        <f t="shared" si="3"/>
        <v>ППГнг(А)-FRHF (5х4) 2</v>
      </c>
      <c r="AK105" s="14" t="s">
        <v>79</v>
      </c>
      <c r="AL105" t="s">
        <v>142</v>
      </c>
      <c r="AM105">
        <v>5</v>
      </c>
      <c r="AN105">
        <v>4</v>
      </c>
      <c r="AO105">
        <v>2</v>
      </c>
    </row>
    <row r="106" spans="36:41" x14ac:dyDescent="0.3">
      <c r="AJ106" s="13" t="str">
        <f t="shared" si="3"/>
        <v>ППГнг(А)-FRHF (5х6) 1</v>
      </c>
      <c r="AK106" s="14" t="s">
        <v>80</v>
      </c>
      <c r="AL106" t="s">
        <v>142</v>
      </c>
      <c r="AM106">
        <v>5</v>
      </c>
      <c r="AN106">
        <v>6</v>
      </c>
      <c r="AO106">
        <v>1</v>
      </c>
    </row>
    <row r="107" spans="36:41" x14ac:dyDescent="0.3">
      <c r="AJ107" s="13" t="str">
        <f t="shared" si="3"/>
        <v>ППГнг(А)-FRHF (5х6) 2</v>
      </c>
      <c r="AK107" s="14" t="s">
        <v>81</v>
      </c>
      <c r="AL107" t="s">
        <v>142</v>
      </c>
      <c r="AM107">
        <v>5</v>
      </c>
      <c r="AN107">
        <v>6</v>
      </c>
      <c r="AO107">
        <v>2</v>
      </c>
    </row>
    <row r="108" spans="36:41" x14ac:dyDescent="0.3">
      <c r="AJ108" s="13" t="str">
        <f t="shared" si="3"/>
        <v>ППГнг(А)-FRHF (5х10) 1</v>
      </c>
      <c r="AK108" s="14" t="s">
        <v>82</v>
      </c>
      <c r="AL108" t="s">
        <v>142</v>
      </c>
      <c r="AM108">
        <v>5</v>
      </c>
      <c r="AN108">
        <v>10</v>
      </c>
      <c r="AO108">
        <v>1</v>
      </c>
    </row>
    <row r="109" spans="36:41" x14ac:dyDescent="0.3">
      <c r="AJ109" s="13" t="str">
        <f t="shared" si="3"/>
        <v>ППГнг(А)-FRHF (5х10) 2</v>
      </c>
      <c r="AK109" s="14" t="s">
        <v>83</v>
      </c>
      <c r="AL109" t="s">
        <v>142</v>
      </c>
      <c r="AM109">
        <v>5</v>
      </c>
      <c r="AN109">
        <v>10</v>
      </c>
      <c r="AO109">
        <v>2</v>
      </c>
    </row>
    <row r="110" spans="36:41" x14ac:dyDescent="0.3">
      <c r="AJ110" s="13" t="str">
        <f t="shared" si="3"/>
        <v>ППГнг(А)-FRHF (5х16) 1</v>
      </c>
      <c r="AK110" s="14" t="s">
        <v>84</v>
      </c>
      <c r="AL110" t="s">
        <v>142</v>
      </c>
      <c r="AM110">
        <v>5</v>
      </c>
      <c r="AN110">
        <v>16</v>
      </c>
      <c r="AO110">
        <v>1</v>
      </c>
    </row>
    <row r="111" spans="36:41" x14ac:dyDescent="0.3">
      <c r="AJ111" s="13" t="str">
        <f t="shared" si="3"/>
        <v>ППГнг(А)-FRHF (5х16) 2</v>
      </c>
      <c r="AK111" s="14" t="s">
        <v>85</v>
      </c>
      <c r="AL111" t="s">
        <v>142</v>
      </c>
      <c r="AM111">
        <v>5</v>
      </c>
      <c r="AN111">
        <v>16</v>
      </c>
      <c r="AO111">
        <v>2</v>
      </c>
    </row>
    <row r="112" spans="36:41" x14ac:dyDescent="0.3">
      <c r="AJ112" s="13" t="str">
        <f t="shared" si="3"/>
        <v>ППГнг(А)-FRHF (5х25) 1</v>
      </c>
      <c r="AK112" s="14" t="s">
        <v>86</v>
      </c>
      <c r="AL112" t="s">
        <v>142</v>
      </c>
      <c r="AM112">
        <v>5</v>
      </c>
      <c r="AN112">
        <v>25</v>
      </c>
      <c r="AO112">
        <v>1</v>
      </c>
    </row>
    <row r="113" spans="36:41" x14ac:dyDescent="0.3">
      <c r="AJ113" s="13" t="str">
        <f t="shared" si="3"/>
        <v>ППГнг(А)-FRHF (5х25) 2</v>
      </c>
      <c r="AK113" s="14" t="s">
        <v>87</v>
      </c>
      <c r="AL113" t="s">
        <v>142</v>
      </c>
      <c r="AM113">
        <v>5</v>
      </c>
      <c r="AN113">
        <v>25</v>
      </c>
      <c r="AO113">
        <v>2</v>
      </c>
    </row>
    <row r="114" spans="36:41" x14ac:dyDescent="0.3">
      <c r="AJ114" s="13" t="str">
        <f t="shared" si="3"/>
        <v>ППГнг(А)-FRHF (5х35) 1</v>
      </c>
      <c r="AK114" s="14" t="s">
        <v>88</v>
      </c>
      <c r="AL114" t="s">
        <v>142</v>
      </c>
      <c r="AM114">
        <v>5</v>
      </c>
      <c r="AN114">
        <v>35</v>
      </c>
      <c r="AO114">
        <v>1</v>
      </c>
    </row>
    <row r="115" spans="36:41" x14ac:dyDescent="0.3">
      <c r="AJ115" s="13" t="str">
        <f t="shared" si="3"/>
        <v>ППГнг(А)-FRHF (5х35) 1</v>
      </c>
      <c r="AK115" s="14" t="s">
        <v>89</v>
      </c>
      <c r="AL115" t="s">
        <v>142</v>
      </c>
      <c r="AM115">
        <v>5</v>
      </c>
      <c r="AN115">
        <v>35</v>
      </c>
      <c r="AO115">
        <v>1</v>
      </c>
    </row>
    <row r="116" spans="36:41" x14ac:dyDescent="0.3">
      <c r="AJ116" s="13" t="str">
        <f t="shared" si="3"/>
        <v>ППГнг(А)-FRHF (5х50) 1</v>
      </c>
      <c r="AK116" s="14" t="s">
        <v>90</v>
      </c>
      <c r="AL116" t="s">
        <v>142</v>
      </c>
      <c r="AM116">
        <v>5</v>
      </c>
      <c r="AN116">
        <v>50</v>
      </c>
      <c r="AO116">
        <v>1</v>
      </c>
    </row>
    <row r="117" spans="36:41" x14ac:dyDescent="0.3">
      <c r="AJ117" s="13" t="str">
        <f t="shared" si="3"/>
        <v>ППГнг(А)-FRHF (5х50) 2</v>
      </c>
      <c r="AK117" s="14" t="s">
        <v>91</v>
      </c>
      <c r="AL117" t="s">
        <v>142</v>
      </c>
      <c r="AM117">
        <v>5</v>
      </c>
      <c r="AN117">
        <v>50</v>
      </c>
      <c r="AO117">
        <v>2</v>
      </c>
    </row>
    <row r="118" spans="36:41" x14ac:dyDescent="0.3">
      <c r="AJ118" s="13" t="str">
        <f t="shared" si="3"/>
        <v>ППГнг(А)-FRHF (5х95) 1</v>
      </c>
      <c r="AK118" s="14" t="s">
        <v>92</v>
      </c>
      <c r="AL118" t="s">
        <v>142</v>
      </c>
      <c r="AM118">
        <v>5</v>
      </c>
      <c r="AN118">
        <v>95</v>
      </c>
      <c r="AO118">
        <v>1</v>
      </c>
    </row>
    <row r="119" spans="36:41" x14ac:dyDescent="0.3">
      <c r="AJ119" s="13" t="str">
        <f t="shared" si="3"/>
        <v>ППГнг(А)-FRHF (5х95) 2</v>
      </c>
      <c r="AK119" s="14" t="s">
        <v>93</v>
      </c>
      <c r="AL119" t="s">
        <v>142</v>
      </c>
      <c r="AM119">
        <v>5</v>
      </c>
      <c r="AN119">
        <v>95</v>
      </c>
      <c r="AO119">
        <v>2</v>
      </c>
    </row>
    <row r="120" spans="36:41" x14ac:dyDescent="0.3">
      <c r="AJ120" s="13" t="str">
        <f t="shared" si="3"/>
        <v>ППГнг(А)-FRHF (5х120) 1</v>
      </c>
      <c r="AK120" s="14" t="s">
        <v>94</v>
      </c>
      <c r="AL120" t="s">
        <v>142</v>
      </c>
      <c r="AM120">
        <v>5</v>
      </c>
      <c r="AN120">
        <v>120</v>
      </c>
      <c r="AO120">
        <v>1</v>
      </c>
    </row>
    <row r="121" spans="36:41" x14ac:dyDescent="0.3">
      <c r="AJ121" s="13" t="str">
        <f t="shared" si="3"/>
        <v>ППГнг(А)-FRHF (5х120) 2</v>
      </c>
      <c r="AK121" s="14" t="s">
        <v>95</v>
      </c>
      <c r="AL121" t="s">
        <v>142</v>
      </c>
      <c r="AM121">
        <v>5</v>
      </c>
      <c r="AN121">
        <v>120</v>
      </c>
      <c r="AO121">
        <v>2</v>
      </c>
    </row>
    <row r="122" spans="36:41" x14ac:dyDescent="0.3">
      <c r="AJ122" s="13" t="str">
        <f t="shared" si="3"/>
        <v>ППГнг(А)-HF (2х1,5) 1</v>
      </c>
      <c r="AK122" s="14" t="s">
        <v>62</v>
      </c>
      <c r="AL122" t="s">
        <v>144</v>
      </c>
      <c r="AM122">
        <v>2</v>
      </c>
      <c r="AN122">
        <v>1.5</v>
      </c>
      <c r="AO122">
        <v>1</v>
      </c>
    </row>
    <row r="123" spans="36:41" x14ac:dyDescent="0.3">
      <c r="AJ123" s="13" t="str">
        <f t="shared" si="3"/>
        <v>ППГнг(А)-HF (2х1,5) 2</v>
      </c>
      <c r="AK123" s="14" t="s">
        <v>63</v>
      </c>
      <c r="AL123" t="s">
        <v>144</v>
      </c>
      <c r="AM123">
        <v>2</v>
      </c>
      <c r="AN123">
        <v>1.5</v>
      </c>
      <c r="AO123">
        <v>2</v>
      </c>
    </row>
    <row r="124" spans="36:41" x14ac:dyDescent="0.3">
      <c r="AJ124" s="13" t="str">
        <f t="shared" si="3"/>
        <v>ППГнг(А)-HF (2х2,5) 1</v>
      </c>
      <c r="AK124" s="14" t="s">
        <v>64</v>
      </c>
      <c r="AL124" t="s">
        <v>144</v>
      </c>
      <c r="AM124">
        <v>2</v>
      </c>
      <c r="AN124">
        <v>2.5</v>
      </c>
      <c r="AO124">
        <v>1</v>
      </c>
    </row>
    <row r="125" spans="36:41" x14ac:dyDescent="0.3">
      <c r="AJ125" s="13" t="str">
        <f t="shared" si="3"/>
        <v>ППГнг(А)-HF (2х2,5) 2</v>
      </c>
      <c r="AK125" s="14" t="s">
        <v>65</v>
      </c>
      <c r="AL125" t="s">
        <v>144</v>
      </c>
      <c r="AM125">
        <v>2</v>
      </c>
      <c r="AN125">
        <v>2.5</v>
      </c>
      <c r="AO125">
        <v>2</v>
      </c>
    </row>
    <row r="126" spans="36:41" x14ac:dyDescent="0.3">
      <c r="AJ126" s="13" t="str">
        <f t="shared" si="3"/>
        <v>ППГнг(А)-HF (3х1,5) 1</v>
      </c>
      <c r="AK126" s="14" t="s">
        <v>66</v>
      </c>
      <c r="AL126" t="s">
        <v>144</v>
      </c>
      <c r="AM126">
        <v>3</v>
      </c>
      <c r="AN126">
        <v>1.5</v>
      </c>
      <c r="AO126">
        <v>1</v>
      </c>
    </row>
    <row r="127" spans="36:41" x14ac:dyDescent="0.3">
      <c r="AJ127" s="13" t="str">
        <f t="shared" si="3"/>
        <v>ППГнг(А)-HF (3х1,5) 2</v>
      </c>
      <c r="AK127" s="14" t="s">
        <v>67</v>
      </c>
      <c r="AL127" t="s">
        <v>144</v>
      </c>
      <c r="AM127">
        <v>3</v>
      </c>
      <c r="AN127">
        <v>1.5</v>
      </c>
      <c r="AO127">
        <v>2</v>
      </c>
    </row>
    <row r="128" spans="36:41" x14ac:dyDescent="0.3">
      <c r="AJ128" s="13" t="str">
        <f t="shared" si="3"/>
        <v>ППГнг(А)-HF (3х2,5) 1</v>
      </c>
      <c r="AK128" s="14" t="s">
        <v>68</v>
      </c>
      <c r="AL128" t="s">
        <v>144</v>
      </c>
      <c r="AM128">
        <v>3</v>
      </c>
      <c r="AN128">
        <v>2.5</v>
      </c>
      <c r="AO128">
        <v>1</v>
      </c>
    </row>
    <row r="129" spans="36:41" x14ac:dyDescent="0.3">
      <c r="AJ129" s="13" t="str">
        <f t="shared" si="3"/>
        <v>ППГнг(А)-HF (3х2,5) 2</v>
      </c>
      <c r="AK129" s="14" t="s">
        <v>69</v>
      </c>
      <c r="AL129" t="s">
        <v>144</v>
      </c>
      <c r="AM129">
        <v>3</v>
      </c>
      <c r="AN129">
        <v>2.5</v>
      </c>
      <c r="AO129">
        <v>2</v>
      </c>
    </row>
    <row r="130" spans="36:41" x14ac:dyDescent="0.3">
      <c r="AJ130" s="13" t="str">
        <f t="shared" si="3"/>
        <v>ППГнг(А)-HF (3х4) 1</v>
      </c>
      <c r="AK130" s="14" t="s">
        <v>70</v>
      </c>
      <c r="AL130" t="s">
        <v>144</v>
      </c>
      <c r="AM130">
        <v>3</v>
      </c>
      <c r="AN130">
        <v>4</v>
      </c>
      <c r="AO130">
        <v>1</v>
      </c>
    </row>
    <row r="131" spans="36:41" x14ac:dyDescent="0.3">
      <c r="AJ131" s="13" t="str">
        <f t="shared" si="3"/>
        <v>ППГнг(А)-HF (3х4) 2</v>
      </c>
      <c r="AK131" s="14" t="s">
        <v>71</v>
      </c>
      <c r="AL131" t="s">
        <v>144</v>
      </c>
      <c r="AM131">
        <v>3</v>
      </c>
      <c r="AN131">
        <v>4</v>
      </c>
      <c r="AO131">
        <v>2</v>
      </c>
    </row>
    <row r="132" spans="36:41" x14ac:dyDescent="0.3">
      <c r="AJ132" s="13" t="str">
        <f t="shared" si="3"/>
        <v>ППГнг(А)-HF (3х6) 1</v>
      </c>
      <c r="AK132" s="14" t="s">
        <v>72</v>
      </c>
      <c r="AL132" t="s">
        <v>144</v>
      </c>
      <c r="AM132">
        <v>3</v>
      </c>
      <c r="AN132">
        <v>6</v>
      </c>
      <c r="AO132">
        <v>1</v>
      </c>
    </row>
    <row r="133" spans="36:41" x14ac:dyDescent="0.3">
      <c r="AJ133" s="13" t="str">
        <f t="shared" ref="AJ133:AJ193" si="4">AL133&amp;" ("&amp;AM133&amp;"х"&amp;AN133&amp;") "&amp;AO133</f>
        <v>ППГнг(А)-HF (3х6) 2</v>
      </c>
      <c r="AK133" s="14" t="s">
        <v>73</v>
      </c>
      <c r="AL133" t="s">
        <v>144</v>
      </c>
      <c r="AM133">
        <v>3</v>
      </c>
      <c r="AN133">
        <v>6</v>
      </c>
      <c r="AO133">
        <v>2</v>
      </c>
    </row>
    <row r="134" spans="36:41" x14ac:dyDescent="0.3">
      <c r="AJ134" s="13" t="str">
        <f t="shared" si="4"/>
        <v>ППГнг(А)-HF (5х1,5) 1</v>
      </c>
      <c r="AK134" s="14" t="s">
        <v>74</v>
      </c>
      <c r="AL134" t="s">
        <v>144</v>
      </c>
      <c r="AM134">
        <v>5</v>
      </c>
      <c r="AN134">
        <v>1.5</v>
      </c>
      <c r="AO134">
        <v>1</v>
      </c>
    </row>
    <row r="135" spans="36:41" x14ac:dyDescent="0.3">
      <c r="AJ135" s="13" t="str">
        <f t="shared" si="4"/>
        <v>ППГнг(А)-HF (5х1,5) 2</v>
      </c>
      <c r="AK135" s="14" t="s">
        <v>75</v>
      </c>
      <c r="AL135" t="s">
        <v>144</v>
      </c>
      <c r="AM135">
        <v>5</v>
      </c>
      <c r="AN135">
        <v>1.5</v>
      </c>
      <c r="AO135">
        <v>2</v>
      </c>
    </row>
    <row r="136" spans="36:41" x14ac:dyDescent="0.3">
      <c r="AJ136" s="13" t="str">
        <f t="shared" si="4"/>
        <v>ППГнг(А)-HF (5х2,5) 1</v>
      </c>
      <c r="AK136" s="14" t="s">
        <v>76</v>
      </c>
      <c r="AL136" t="s">
        <v>144</v>
      </c>
      <c r="AM136">
        <v>5</v>
      </c>
      <c r="AN136">
        <v>2.5</v>
      </c>
      <c r="AO136">
        <v>1</v>
      </c>
    </row>
    <row r="137" spans="36:41" x14ac:dyDescent="0.3">
      <c r="AJ137" s="13" t="str">
        <f t="shared" si="4"/>
        <v>ППГнг(А)-HF (5х2,5) 2</v>
      </c>
      <c r="AK137" s="14" t="s">
        <v>77</v>
      </c>
      <c r="AL137" t="s">
        <v>144</v>
      </c>
      <c r="AM137">
        <v>5</v>
      </c>
      <c r="AN137">
        <v>2.5</v>
      </c>
      <c r="AO137">
        <v>2</v>
      </c>
    </row>
    <row r="138" spans="36:41" x14ac:dyDescent="0.3">
      <c r="AJ138" s="13" t="str">
        <f t="shared" si="4"/>
        <v>ППГнг(А)-HF (5х4) 1</v>
      </c>
      <c r="AK138" s="14" t="s">
        <v>78</v>
      </c>
      <c r="AL138" t="s">
        <v>144</v>
      </c>
      <c r="AM138">
        <v>5</v>
      </c>
      <c r="AN138">
        <v>4</v>
      </c>
      <c r="AO138">
        <v>1</v>
      </c>
    </row>
    <row r="139" spans="36:41" x14ac:dyDescent="0.3">
      <c r="AJ139" s="13" t="str">
        <f t="shared" si="4"/>
        <v>ППГнг(А)-HF (5х4) 2</v>
      </c>
      <c r="AK139" s="14" t="s">
        <v>79</v>
      </c>
      <c r="AL139" t="s">
        <v>144</v>
      </c>
      <c r="AM139">
        <v>5</v>
      </c>
      <c r="AN139">
        <v>4</v>
      </c>
      <c r="AO139">
        <v>2</v>
      </c>
    </row>
    <row r="140" spans="36:41" x14ac:dyDescent="0.3">
      <c r="AJ140" s="13" t="str">
        <f t="shared" si="4"/>
        <v>ППГнг(А)-HF (5х6) 1</v>
      </c>
      <c r="AK140" s="14" t="s">
        <v>80</v>
      </c>
      <c r="AL140" t="s">
        <v>144</v>
      </c>
      <c r="AM140">
        <v>5</v>
      </c>
      <c r="AN140">
        <v>6</v>
      </c>
      <c r="AO140">
        <v>1</v>
      </c>
    </row>
    <row r="141" spans="36:41" x14ac:dyDescent="0.3">
      <c r="AJ141" s="13" t="str">
        <f t="shared" si="4"/>
        <v>ППГнг(А)-HF (5х6) 2</v>
      </c>
      <c r="AK141" s="14" t="s">
        <v>81</v>
      </c>
      <c r="AL141" t="s">
        <v>144</v>
      </c>
      <c r="AM141">
        <v>5</v>
      </c>
      <c r="AN141">
        <v>6</v>
      </c>
      <c r="AO141">
        <v>2</v>
      </c>
    </row>
    <row r="142" spans="36:41" x14ac:dyDescent="0.3">
      <c r="AJ142" s="13" t="str">
        <f t="shared" si="4"/>
        <v>ППГнг(А)-HF (5х10) 1</v>
      </c>
      <c r="AK142" s="14" t="s">
        <v>82</v>
      </c>
      <c r="AL142" t="s">
        <v>144</v>
      </c>
      <c r="AM142">
        <v>5</v>
      </c>
      <c r="AN142">
        <v>10</v>
      </c>
      <c r="AO142">
        <v>1</v>
      </c>
    </row>
    <row r="143" spans="36:41" x14ac:dyDescent="0.3">
      <c r="AJ143" s="13" t="str">
        <f t="shared" si="4"/>
        <v>ППГнг(А)-HF (5х10) 2</v>
      </c>
      <c r="AK143" s="14" t="s">
        <v>83</v>
      </c>
      <c r="AL143" t="s">
        <v>144</v>
      </c>
      <c r="AM143">
        <v>5</v>
      </c>
      <c r="AN143">
        <v>10</v>
      </c>
      <c r="AO143">
        <v>2</v>
      </c>
    </row>
    <row r="144" spans="36:41" x14ac:dyDescent="0.3">
      <c r="AJ144" s="13" t="str">
        <f t="shared" si="4"/>
        <v>ППГнг(А)-HF (5х16) 1</v>
      </c>
      <c r="AK144" s="14" t="s">
        <v>84</v>
      </c>
      <c r="AL144" t="s">
        <v>144</v>
      </c>
      <c r="AM144">
        <v>5</v>
      </c>
      <c r="AN144">
        <v>16</v>
      </c>
      <c r="AO144">
        <v>1</v>
      </c>
    </row>
    <row r="145" spans="36:41" x14ac:dyDescent="0.3">
      <c r="AJ145" s="13" t="str">
        <f t="shared" si="4"/>
        <v>ППГнг(А)-HF (5х16) 2</v>
      </c>
      <c r="AK145" s="14" t="s">
        <v>85</v>
      </c>
      <c r="AL145" t="s">
        <v>144</v>
      </c>
      <c r="AM145">
        <v>5</v>
      </c>
      <c r="AN145">
        <v>16</v>
      </c>
      <c r="AO145">
        <v>2</v>
      </c>
    </row>
    <row r="146" spans="36:41" x14ac:dyDescent="0.3">
      <c r="AJ146" s="13" t="str">
        <f t="shared" si="4"/>
        <v>ППГнг(А)-HF (5х25) 1</v>
      </c>
      <c r="AK146" s="14" t="s">
        <v>86</v>
      </c>
      <c r="AL146" t="s">
        <v>144</v>
      </c>
      <c r="AM146">
        <v>5</v>
      </c>
      <c r="AN146">
        <v>25</v>
      </c>
      <c r="AO146">
        <v>1</v>
      </c>
    </row>
    <row r="147" spans="36:41" x14ac:dyDescent="0.3">
      <c r="AJ147" s="13" t="str">
        <f t="shared" si="4"/>
        <v>ППГнг(А)-HF (5х25) 2</v>
      </c>
      <c r="AK147" s="14" t="s">
        <v>87</v>
      </c>
      <c r="AL147" t="s">
        <v>144</v>
      </c>
      <c r="AM147">
        <v>5</v>
      </c>
      <c r="AN147">
        <v>25</v>
      </c>
      <c r="AO147">
        <v>2</v>
      </c>
    </row>
    <row r="148" spans="36:41" x14ac:dyDescent="0.3">
      <c r="AJ148" s="13" t="str">
        <f t="shared" si="4"/>
        <v>ППГнг(А)-HF (5х35) 1</v>
      </c>
      <c r="AK148" s="14" t="s">
        <v>88</v>
      </c>
      <c r="AL148" t="s">
        <v>144</v>
      </c>
      <c r="AM148">
        <v>5</v>
      </c>
      <c r="AN148">
        <v>35</v>
      </c>
      <c r="AO148">
        <v>1</v>
      </c>
    </row>
    <row r="149" spans="36:41" x14ac:dyDescent="0.3">
      <c r="AJ149" s="13" t="str">
        <f t="shared" si="4"/>
        <v>ППГнг(А)-HF (5х35) 2</v>
      </c>
      <c r="AK149" s="14" t="s">
        <v>89</v>
      </c>
      <c r="AL149" t="s">
        <v>144</v>
      </c>
      <c r="AM149">
        <v>5</v>
      </c>
      <c r="AN149">
        <v>35</v>
      </c>
      <c r="AO149">
        <v>2</v>
      </c>
    </row>
    <row r="150" spans="36:41" x14ac:dyDescent="0.3">
      <c r="AJ150" s="13" t="str">
        <f t="shared" si="4"/>
        <v>ППГнг(А)-HF (5х50) 1</v>
      </c>
      <c r="AK150" s="14" t="s">
        <v>90</v>
      </c>
      <c r="AL150" t="s">
        <v>144</v>
      </c>
      <c r="AM150">
        <v>5</v>
      </c>
      <c r="AN150">
        <v>50</v>
      </c>
      <c r="AO150">
        <v>1</v>
      </c>
    </row>
    <row r="151" spans="36:41" x14ac:dyDescent="0.3">
      <c r="AJ151" s="13" t="str">
        <f t="shared" si="4"/>
        <v>ППГнг(А)-HF (5х50) 2</v>
      </c>
      <c r="AK151" s="14" t="s">
        <v>91</v>
      </c>
      <c r="AL151" t="s">
        <v>144</v>
      </c>
      <c r="AM151">
        <v>5</v>
      </c>
      <c r="AN151">
        <v>50</v>
      </c>
      <c r="AO151">
        <v>2</v>
      </c>
    </row>
    <row r="152" spans="36:41" x14ac:dyDescent="0.3">
      <c r="AJ152" s="13" t="str">
        <f t="shared" si="4"/>
        <v>ППГнг(А)-HF (5х95) 1</v>
      </c>
      <c r="AK152" s="14" t="s">
        <v>92</v>
      </c>
      <c r="AL152" t="s">
        <v>144</v>
      </c>
      <c r="AM152">
        <v>5</v>
      </c>
      <c r="AN152">
        <v>95</v>
      </c>
      <c r="AO152">
        <v>1</v>
      </c>
    </row>
    <row r="153" spans="36:41" x14ac:dyDescent="0.3">
      <c r="AJ153" s="13" t="str">
        <f t="shared" si="4"/>
        <v>ППГнг(А)-HF (5х95) 2</v>
      </c>
      <c r="AK153" s="14" t="s">
        <v>93</v>
      </c>
      <c r="AL153" t="s">
        <v>144</v>
      </c>
      <c r="AM153">
        <v>5</v>
      </c>
      <c r="AN153">
        <v>95</v>
      </c>
      <c r="AO153">
        <v>2</v>
      </c>
    </row>
    <row r="154" spans="36:41" x14ac:dyDescent="0.3">
      <c r="AJ154" s="13" t="str">
        <f t="shared" si="4"/>
        <v>ППГнг(А)-HF (5х120) 1</v>
      </c>
      <c r="AK154" s="14" t="s">
        <v>94</v>
      </c>
      <c r="AL154" t="s">
        <v>144</v>
      </c>
      <c r="AM154">
        <v>5</v>
      </c>
      <c r="AN154">
        <v>120</v>
      </c>
      <c r="AO154">
        <v>1</v>
      </c>
    </row>
    <row r="155" spans="36:41" x14ac:dyDescent="0.3">
      <c r="AJ155" s="13" t="str">
        <f t="shared" si="4"/>
        <v>ППГнг(А)-HF (5х120) 2</v>
      </c>
      <c r="AK155" s="14" t="s">
        <v>95</v>
      </c>
      <c r="AL155" t="s">
        <v>144</v>
      </c>
      <c r="AM155">
        <v>5</v>
      </c>
      <c r="AN155">
        <v>120</v>
      </c>
      <c r="AO155">
        <v>2</v>
      </c>
    </row>
    <row r="156" spans="36:41" x14ac:dyDescent="0.3">
      <c r="AJ156" s="13" t="str">
        <f t="shared" si="4"/>
        <v>ВВГнг(А)-FRLS (2х1,5) 1</v>
      </c>
      <c r="AK156" s="14" t="s">
        <v>62</v>
      </c>
      <c r="AL156" t="s">
        <v>147</v>
      </c>
      <c r="AM156">
        <v>2</v>
      </c>
      <c r="AN156">
        <v>1.5</v>
      </c>
      <c r="AO156">
        <v>1</v>
      </c>
    </row>
    <row r="157" spans="36:41" x14ac:dyDescent="0.3">
      <c r="AJ157" s="13" t="str">
        <f t="shared" si="4"/>
        <v>ВВГнг(А)-FRLS (2х1,5) 2</v>
      </c>
      <c r="AK157" s="14" t="s">
        <v>63</v>
      </c>
      <c r="AL157" t="s">
        <v>147</v>
      </c>
      <c r="AM157">
        <v>2</v>
      </c>
      <c r="AN157">
        <v>1.5</v>
      </c>
      <c r="AO157">
        <v>2</v>
      </c>
    </row>
    <row r="158" spans="36:41" x14ac:dyDescent="0.3">
      <c r="AJ158" s="13" t="str">
        <f t="shared" si="4"/>
        <v>ВВГнг(А)-FRLS (2х2,5) 1</v>
      </c>
      <c r="AK158" s="14" t="s">
        <v>64</v>
      </c>
      <c r="AL158" t="s">
        <v>147</v>
      </c>
      <c r="AM158">
        <v>2</v>
      </c>
      <c r="AN158">
        <v>2.5</v>
      </c>
      <c r="AO158">
        <v>1</v>
      </c>
    </row>
    <row r="159" spans="36:41" x14ac:dyDescent="0.3">
      <c r="AJ159" s="13" t="str">
        <f t="shared" si="4"/>
        <v>ВВГнг(А)-FRLS (2х2,5) 2</v>
      </c>
      <c r="AK159" s="14" t="s">
        <v>65</v>
      </c>
      <c r="AL159" t="s">
        <v>147</v>
      </c>
      <c r="AM159">
        <v>2</v>
      </c>
      <c r="AN159">
        <v>2.5</v>
      </c>
      <c r="AO159">
        <v>2</v>
      </c>
    </row>
    <row r="160" spans="36:41" x14ac:dyDescent="0.3">
      <c r="AJ160" s="13" t="str">
        <f t="shared" si="4"/>
        <v>ВВГнг(А)-FRLS (3х1,5) 1</v>
      </c>
      <c r="AK160" s="14" t="s">
        <v>66</v>
      </c>
      <c r="AL160" t="s">
        <v>147</v>
      </c>
      <c r="AM160">
        <v>3</v>
      </c>
      <c r="AN160">
        <v>1.5</v>
      </c>
      <c r="AO160">
        <v>1</v>
      </c>
    </row>
    <row r="161" spans="36:41" x14ac:dyDescent="0.3">
      <c r="AJ161" s="13" t="str">
        <f t="shared" si="4"/>
        <v>ВВГнг(А)-FRLS (3х1,5) 2</v>
      </c>
      <c r="AK161" s="14" t="s">
        <v>67</v>
      </c>
      <c r="AL161" t="s">
        <v>147</v>
      </c>
      <c r="AM161">
        <v>3</v>
      </c>
      <c r="AN161">
        <v>1.5</v>
      </c>
      <c r="AO161">
        <v>2</v>
      </c>
    </row>
    <row r="162" spans="36:41" x14ac:dyDescent="0.3">
      <c r="AJ162" s="13" t="str">
        <f t="shared" si="4"/>
        <v>ВВГнг(А)-FRLS (3х2,5) 1</v>
      </c>
      <c r="AK162" s="14" t="s">
        <v>68</v>
      </c>
      <c r="AL162" t="s">
        <v>147</v>
      </c>
      <c r="AM162">
        <v>3</v>
      </c>
      <c r="AN162">
        <v>2.5</v>
      </c>
      <c r="AO162">
        <v>1</v>
      </c>
    </row>
    <row r="163" spans="36:41" x14ac:dyDescent="0.3">
      <c r="AJ163" s="13" t="str">
        <f t="shared" si="4"/>
        <v>ВВГнг(А)-FRLS (3х2,5) 2</v>
      </c>
      <c r="AK163" s="14" t="s">
        <v>69</v>
      </c>
      <c r="AL163" t="s">
        <v>147</v>
      </c>
      <c r="AM163">
        <v>3</v>
      </c>
      <c r="AN163">
        <v>2.5</v>
      </c>
      <c r="AO163">
        <v>2</v>
      </c>
    </row>
    <row r="164" spans="36:41" x14ac:dyDescent="0.3">
      <c r="AJ164" s="13" t="str">
        <f t="shared" si="4"/>
        <v>ВВГнг(А)-FRLS (3х4) 1</v>
      </c>
      <c r="AK164" s="14" t="s">
        <v>70</v>
      </c>
      <c r="AL164" t="s">
        <v>147</v>
      </c>
      <c r="AM164">
        <v>3</v>
      </c>
      <c r="AN164">
        <v>4</v>
      </c>
      <c r="AO164">
        <v>1</v>
      </c>
    </row>
    <row r="165" spans="36:41" x14ac:dyDescent="0.3">
      <c r="AJ165" s="13" t="str">
        <f t="shared" si="4"/>
        <v>ВВГнг(А)-FRLS (3х4) 2</v>
      </c>
      <c r="AK165" s="14" t="s">
        <v>71</v>
      </c>
      <c r="AL165" t="s">
        <v>147</v>
      </c>
      <c r="AM165">
        <v>3</v>
      </c>
      <c r="AN165">
        <v>4</v>
      </c>
      <c r="AO165">
        <v>2</v>
      </c>
    </row>
    <row r="166" spans="36:41" x14ac:dyDescent="0.3">
      <c r="AJ166" s="13" t="str">
        <f t="shared" si="4"/>
        <v>ВВГнг(А)-FRLS (3х6) 1</v>
      </c>
      <c r="AK166" s="14" t="s">
        <v>72</v>
      </c>
      <c r="AL166" t="s">
        <v>147</v>
      </c>
      <c r="AM166">
        <v>3</v>
      </c>
      <c r="AN166">
        <v>6</v>
      </c>
      <c r="AO166">
        <v>1</v>
      </c>
    </row>
    <row r="167" spans="36:41" x14ac:dyDescent="0.3">
      <c r="AJ167" s="13" t="str">
        <f t="shared" si="4"/>
        <v>ВВГнг(А)-FRLS (3х6) 2</v>
      </c>
      <c r="AK167" s="14" t="s">
        <v>73</v>
      </c>
      <c r="AL167" t="s">
        <v>147</v>
      </c>
      <c r="AM167">
        <v>3</v>
      </c>
      <c r="AN167">
        <v>6</v>
      </c>
      <c r="AO167">
        <v>2</v>
      </c>
    </row>
    <row r="168" spans="36:41" x14ac:dyDescent="0.3">
      <c r="AJ168" s="13" t="str">
        <f t="shared" si="4"/>
        <v>ВВГнг(А)-FRLS (5х1,5) 1</v>
      </c>
      <c r="AK168" s="14" t="s">
        <v>74</v>
      </c>
      <c r="AL168" t="s">
        <v>147</v>
      </c>
      <c r="AM168">
        <v>5</v>
      </c>
      <c r="AN168">
        <v>1.5</v>
      </c>
      <c r="AO168">
        <v>1</v>
      </c>
    </row>
    <row r="169" spans="36:41" x14ac:dyDescent="0.3">
      <c r="AJ169" s="13" t="str">
        <f t="shared" si="4"/>
        <v>ВВГнг(А)-FRLS (5х1,5) 2</v>
      </c>
      <c r="AK169" s="14" t="s">
        <v>75</v>
      </c>
      <c r="AL169" t="s">
        <v>147</v>
      </c>
      <c r="AM169">
        <v>5</v>
      </c>
      <c r="AN169">
        <v>1.5</v>
      </c>
      <c r="AO169">
        <v>2</v>
      </c>
    </row>
    <row r="170" spans="36:41" x14ac:dyDescent="0.3">
      <c r="AJ170" s="13" t="str">
        <f t="shared" si="4"/>
        <v>ВВГнг(А)-FRLS (5х2,5) 1</v>
      </c>
      <c r="AK170" s="14" t="s">
        <v>76</v>
      </c>
      <c r="AL170" t="s">
        <v>147</v>
      </c>
      <c r="AM170">
        <v>5</v>
      </c>
      <c r="AN170">
        <v>2.5</v>
      </c>
      <c r="AO170">
        <v>1</v>
      </c>
    </row>
    <row r="171" spans="36:41" x14ac:dyDescent="0.3">
      <c r="AJ171" s="13" t="str">
        <f t="shared" si="4"/>
        <v>ВВГнг(А)-FRLS (5х2,5) 2</v>
      </c>
      <c r="AK171" s="14" t="s">
        <v>77</v>
      </c>
      <c r="AL171" t="s">
        <v>147</v>
      </c>
      <c r="AM171">
        <v>5</v>
      </c>
      <c r="AN171">
        <v>2.5</v>
      </c>
      <c r="AO171">
        <v>2</v>
      </c>
    </row>
    <row r="172" spans="36:41" x14ac:dyDescent="0.3">
      <c r="AJ172" s="13" t="str">
        <f t="shared" si="4"/>
        <v>ВВГнг(А)-FRLS (5х4) 1</v>
      </c>
      <c r="AK172" s="14" t="s">
        <v>78</v>
      </c>
      <c r="AL172" t="s">
        <v>147</v>
      </c>
      <c r="AM172">
        <v>5</v>
      </c>
      <c r="AN172">
        <v>4</v>
      </c>
      <c r="AO172">
        <v>1</v>
      </c>
    </row>
    <row r="173" spans="36:41" x14ac:dyDescent="0.3">
      <c r="AJ173" s="13" t="str">
        <f t="shared" si="4"/>
        <v>ВВГнг(А)-FRLS (5х4) 1</v>
      </c>
      <c r="AK173" s="14" t="s">
        <v>79</v>
      </c>
      <c r="AL173" t="s">
        <v>147</v>
      </c>
      <c r="AM173">
        <v>5</v>
      </c>
      <c r="AN173">
        <v>4</v>
      </c>
      <c r="AO173">
        <v>1</v>
      </c>
    </row>
    <row r="174" spans="36:41" x14ac:dyDescent="0.3">
      <c r="AJ174" s="13" t="str">
        <f t="shared" si="4"/>
        <v>ВВГнг(А)-FRLS (5х6) 1</v>
      </c>
      <c r="AK174" s="14" t="s">
        <v>80</v>
      </c>
      <c r="AL174" t="s">
        <v>147</v>
      </c>
      <c r="AM174">
        <v>5</v>
      </c>
      <c r="AN174">
        <v>6</v>
      </c>
      <c r="AO174">
        <v>1</v>
      </c>
    </row>
    <row r="175" spans="36:41" x14ac:dyDescent="0.3">
      <c r="AJ175" s="13" t="str">
        <f t="shared" si="4"/>
        <v>ВВГнг(А)-FRLS (5х6) 2</v>
      </c>
      <c r="AK175" s="14" t="s">
        <v>81</v>
      </c>
      <c r="AL175" t="s">
        <v>147</v>
      </c>
      <c r="AM175">
        <v>5</v>
      </c>
      <c r="AN175">
        <v>6</v>
      </c>
      <c r="AO175">
        <v>2</v>
      </c>
    </row>
    <row r="176" spans="36:41" x14ac:dyDescent="0.3">
      <c r="AJ176" s="13" t="str">
        <f t="shared" si="4"/>
        <v>ВВГнг(А)-FRLS (5х10) 1</v>
      </c>
      <c r="AK176" s="14" t="s">
        <v>82</v>
      </c>
      <c r="AL176" t="s">
        <v>147</v>
      </c>
      <c r="AM176">
        <v>5</v>
      </c>
      <c r="AN176">
        <v>10</v>
      </c>
      <c r="AO176">
        <v>1</v>
      </c>
    </row>
    <row r="177" spans="36:41" x14ac:dyDescent="0.3">
      <c r="AJ177" s="13" t="str">
        <f t="shared" si="4"/>
        <v>ВВГнг(А)-FRLS (5х10) 2</v>
      </c>
      <c r="AK177" s="14" t="s">
        <v>83</v>
      </c>
      <c r="AL177" t="s">
        <v>147</v>
      </c>
      <c r="AM177">
        <v>5</v>
      </c>
      <c r="AN177">
        <v>10</v>
      </c>
      <c r="AO177">
        <v>2</v>
      </c>
    </row>
    <row r="178" spans="36:41" x14ac:dyDescent="0.3">
      <c r="AJ178" s="13" t="str">
        <f t="shared" si="4"/>
        <v>ВВГнг(А)-FRLS (5х16) 1</v>
      </c>
      <c r="AK178" s="14" t="s">
        <v>84</v>
      </c>
      <c r="AL178" t="s">
        <v>147</v>
      </c>
      <c r="AM178">
        <v>5</v>
      </c>
      <c r="AN178">
        <v>16</v>
      </c>
      <c r="AO178">
        <v>1</v>
      </c>
    </row>
    <row r="179" spans="36:41" x14ac:dyDescent="0.3">
      <c r="AJ179" s="13" t="str">
        <f t="shared" si="4"/>
        <v>ВВГнг(А)-FRLS (5х16) 2</v>
      </c>
      <c r="AK179" s="14" t="s">
        <v>85</v>
      </c>
      <c r="AL179" t="s">
        <v>147</v>
      </c>
      <c r="AM179">
        <v>5</v>
      </c>
      <c r="AN179">
        <v>16</v>
      </c>
      <c r="AO179">
        <v>2</v>
      </c>
    </row>
    <row r="180" spans="36:41" x14ac:dyDescent="0.3">
      <c r="AJ180" s="13" t="str">
        <f t="shared" si="4"/>
        <v>ВВГнг(А)-FRLS (5х25) 1</v>
      </c>
      <c r="AK180" s="14" t="s">
        <v>86</v>
      </c>
      <c r="AL180" t="s">
        <v>147</v>
      </c>
      <c r="AM180">
        <v>5</v>
      </c>
      <c r="AN180">
        <v>25</v>
      </c>
      <c r="AO180">
        <v>1</v>
      </c>
    </row>
    <row r="181" spans="36:41" x14ac:dyDescent="0.3">
      <c r="AJ181" s="13" t="str">
        <f t="shared" si="4"/>
        <v>ВВГнг(А)-FRLS (5х25) 2</v>
      </c>
      <c r="AK181" s="14" t="s">
        <v>87</v>
      </c>
      <c r="AL181" t="s">
        <v>147</v>
      </c>
      <c r="AM181">
        <v>5</v>
      </c>
      <c r="AN181">
        <v>25</v>
      </c>
      <c r="AO181">
        <v>2</v>
      </c>
    </row>
    <row r="182" spans="36:41" x14ac:dyDescent="0.3">
      <c r="AJ182" s="13" t="str">
        <f t="shared" si="4"/>
        <v>ВВГнг(А)-FRLS (5х35) 1</v>
      </c>
      <c r="AK182" s="14" t="s">
        <v>88</v>
      </c>
      <c r="AL182" t="s">
        <v>147</v>
      </c>
      <c r="AM182">
        <v>5</v>
      </c>
      <c r="AN182">
        <v>35</v>
      </c>
      <c r="AO182">
        <v>1</v>
      </c>
    </row>
    <row r="183" spans="36:41" x14ac:dyDescent="0.3">
      <c r="AJ183" s="13" t="str">
        <f t="shared" si="4"/>
        <v>ВВГнг(А)-FRLS (5х35) 2</v>
      </c>
      <c r="AK183" s="14" t="s">
        <v>89</v>
      </c>
      <c r="AL183" t="s">
        <v>147</v>
      </c>
      <c r="AM183">
        <v>5</v>
      </c>
      <c r="AN183">
        <v>35</v>
      </c>
      <c r="AO183">
        <v>2</v>
      </c>
    </row>
    <row r="184" spans="36:41" x14ac:dyDescent="0.3">
      <c r="AJ184" s="13" t="str">
        <f t="shared" si="4"/>
        <v>ВВГнг(А)-FRLS (5х50) 1</v>
      </c>
      <c r="AK184" s="14" t="s">
        <v>90</v>
      </c>
      <c r="AL184" t="s">
        <v>147</v>
      </c>
      <c r="AM184">
        <v>5</v>
      </c>
      <c r="AN184">
        <v>50</v>
      </c>
      <c r="AO184">
        <v>1</v>
      </c>
    </row>
    <row r="185" spans="36:41" x14ac:dyDescent="0.3">
      <c r="AJ185" s="13" t="str">
        <f t="shared" si="4"/>
        <v>ВВГнг(А)-FRLS (5х50) 2</v>
      </c>
      <c r="AK185" s="14" t="s">
        <v>91</v>
      </c>
      <c r="AL185" t="s">
        <v>147</v>
      </c>
      <c r="AM185">
        <v>5</v>
      </c>
      <c r="AN185">
        <v>50</v>
      </c>
      <c r="AO185">
        <v>2</v>
      </c>
    </row>
    <row r="186" spans="36:41" x14ac:dyDescent="0.3">
      <c r="AJ186" s="13" t="str">
        <f t="shared" si="4"/>
        <v>ВВГнг(А)-FRLS (5х95) 1</v>
      </c>
      <c r="AK186" s="14" t="s">
        <v>92</v>
      </c>
      <c r="AL186" t="s">
        <v>147</v>
      </c>
      <c r="AM186">
        <v>5</v>
      </c>
      <c r="AN186">
        <v>95</v>
      </c>
      <c r="AO186">
        <v>1</v>
      </c>
    </row>
    <row r="187" spans="36:41" x14ac:dyDescent="0.3">
      <c r="AJ187" s="13" t="str">
        <f t="shared" si="4"/>
        <v>ВВГнг(А)-FRLS (5х95) 2</v>
      </c>
      <c r="AK187" s="14" t="s">
        <v>93</v>
      </c>
      <c r="AL187" t="s">
        <v>147</v>
      </c>
      <c r="AM187">
        <v>5</v>
      </c>
      <c r="AN187">
        <v>95</v>
      </c>
      <c r="AO187">
        <v>2</v>
      </c>
    </row>
    <row r="188" spans="36:41" x14ac:dyDescent="0.3">
      <c r="AJ188" s="13" t="str">
        <f t="shared" si="4"/>
        <v>ВВГнг(А)-FRLS (5х120) 1</v>
      </c>
      <c r="AK188" s="14" t="s">
        <v>94</v>
      </c>
      <c r="AL188" t="s">
        <v>147</v>
      </c>
      <c r="AM188">
        <v>5</v>
      </c>
      <c r="AN188">
        <v>120</v>
      </c>
      <c r="AO188">
        <v>1</v>
      </c>
    </row>
    <row r="189" spans="36:41" x14ac:dyDescent="0.3">
      <c r="AJ189" s="13" t="str">
        <f t="shared" si="4"/>
        <v>ВВГнг(А)-FRLS (5х120) 2</v>
      </c>
      <c r="AK189" s="14" t="s">
        <v>95</v>
      </c>
      <c r="AL189" t="s">
        <v>147</v>
      </c>
      <c r="AM189">
        <v>5</v>
      </c>
      <c r="AN189">
        <v>120</v>
      </c>
      <c r="AO189">
        <v>2</v>
      </c>
    </row>
    <row r="190" spans="36:41" x14ac:dyDescent="0.3">
      <c r="AJ190" s="13" t="str">
        <f t="shared" si="4"/>
        <v>ВВГнг(А)-FRLS (5х95) 1</v>
      </c>
      <c r="AK190" s="14" t="s">
        <v>96</v>
      </c>
      <c r="AL190" t="s">
        <v>147</v>
      </c>
      <c r="AM190">
        <v>5</v>
      </c>
      <c r="AN190">
        <v>95</v>
      </c>
      <c r="AO190">
        <v>1</v>
      </c>
    </row>
    <row r="191" spans="36:41" x14ac:dyDescent="0.3">
      <c r="AJ191" s="13" t="str">
        <f t="shared" si="4"/>
        <v>ВВГнг(А)-FRLS (5х95) 2</v>
      </c>
      <c r="AK191" s="14" t="s">
        <v>97</v>
      </c>
      <c r="AL191" t="s">
        <v>147</v>
      </c>
      <c r="AM191">
        <v>5</v>
      </c>
      <c r="AN191">
        <v>95</v>
      </c>
      <c r="AO191">
        <v>2</v>
      </c>
    </row>
    <row r="192" spans="36:41" x14ac:dyDescent="0.3">
      <c r="AJ192" s="13" t="str">
        <f t="shared" si="4"/>
        <v>ВВГнг(А)-FRLS (5х120) 1</v>
      </c>
      <c r="AK192" s="14" t="s">
        <v>98</v>
      </c>
      <c r="AL192" t="s">
        <v>147</v>
      </c>
      <c r="AM192">
        <v>5</v>
      </c>
      <c r="AN192">
        <v>120</v>
      </c>
      <c r="AO192">
        <v>1</v>
      </c>
    </row>
    <row r="193" spans="36:41" x14ac:dyDescent="0.3">
      <c r="AJ193" s="13" t="str">
        <f t="shared" si="4"/>
        <v>ВВГнг(А)-FRLS (5х120) 2</v>
      </c>
      <c r="AK193" s="14" t="s">
        <v>99</v>
      </c>
      <c r="AL193" t="s">
        <v>147</v>
      </c>
      <c r="AM193">
        <v>5</v>
      </c>
      <c r="AN193">
        <v>120</v>
      </c>
      <c r="AO193">
        <v>2</v>
      </c>
    </row>
  </sheetData>
  <sheetProtection formatCells="0" formatColumns="0" formatRows="0"/>
  <mergeCells count="3">
    <mergeCell ref="L2:AG2"/>
    <mergeCell ref="AQ2:AS2"/>
    <mergeCell ref="AQ7:AS7"/>
  </mergeCells>
  <conditionalFormatting sqref="P9">
    <cfRule type="duplicateValues" dxfId="42" priority="23"/>
    <cfRule type="expression" dxfId="41" priority="24">
      <formula>_xlfn.ISFORMULA(P9)=TRUE</formula>
    </cfRule>
    <cfRule type="duplicateValues" dxfId="40" priority="25"/>
    <cfRule type="expression" dxfId="39" priority="26">
      <formula>_xlfn.ISFORMULA(P9)=TRUE</formula>
    </cfRule>
  </conditionalFormatting>
  <conditionalFormatting sqref="P12">
    <cfRule type="duplicateValues" dxfId="38" priority="18"/>
    <cfRule type="duplicateValues" dxfId="37" priority="19"/>
    <cfRule type="duplicateValues" dxfId="36" priority="20"/>
    <cfRule type="duplicateValues" dxfId="35" priority="21"/>
    <cfRule type="expression" dxfId="34" priority="22">
      <formula>_xlfn.ISFORMULA(P12)=TRUE</formula>
    </cfRule>
  </conditionalFormatting>
  <conditionalFormatting sqref="P14">
    <cfRule type="duplicateValues" dxfId="33" priority="14"/>
    <cfRule type="duplicateValues" dxfId="32" priority="15"/>
    <cfRule type="duplicateValues" dxfId="31" priority="16"/>
    <cfRule type="expression" dxfId="30" priority="17">
      <formula>_xlfn.ISFORMULA(P14)=TRUE</formula>
    </cfRule>
  </conditionalFormatting>
  <conditionalFormatting sqref="P18">
    <cfRule type="duplicateValues" dxfId="29" priority="6"/>
    <cfRule type="duplicateValues" dxfId="28" priority="7"/>
    <cfRule type="duplicateValues" dxfId="27" priority="8"/>
    <cfRule type="expression" dxfId="26" priority="9">
      <formula>_xlfn.ISFORMULA(P18)=TRUE</formula>
    </cfRule>
  </conditionalFormatting>
  <conditionalFormatting sqref="P45">
    <cfRule type="duplicateValues" dxfId="25" priority="31"/>
    <cfRule type="duplicateValues" dxfId="24" priority="32"/>
    <cfRule type="duplicateValues" dxfId="23" priority="33"/>
    <cfRule type="expression" dxfId="22" priority="34">
      <formula>_xlfn.ISFORMULA(P45)=TRUE</formula>
    </cfRule>
  </conditionalFormatting>
  <conditionalFormatting sqref="Q14">
    <cfRule type="duplicateValues" dxfId="21" priority="10"/>
    <cfRule type="duplicateValues" dxfId="20" priority="11"/>
    <cfRule type="duplicateValues" dxfId="19" priority="12"/>
    <cfRule type="expression" dxfId="18" priority="13">
      <formula>_xlfn.ISFORMULA(Q14)=TRUE</formula>
    </cfRule>
  </conditionalFormatting>
  <conditionalFormatting sqref="Q22:Q25">
    <cfRule type="expression" dxfId="17" priority="2">
      <formula>_xlfn.ISFORMULA(Q22)=TRUE</formula>
    </cfRule>
  </conditionalFormatting>
  <conditionalFormatting sqref="Q28">
    <cfRule type="expression" dxfId="16" priority="1">
      <formula>_xlfn.ISFORMULA(Q28)=TRUE</formula>
    </cfRule>
  </conditionalFormatting>
  <conditionalFormatting sqref="AV4:AV51">
    <cfRule type="expression" dxfId="15" priority="35">
      <formula>AND($AU4&lt;&gt;"",$AV4="")</formula>
    </cfRule>
  </conditionalFormatting>
  <dataValidations count="3">
    <dataValidation type="list" allowBlank="1" sqref="AV4:AV72" xr:uid="{00000000-0002-0000-0100-000000000000}">
      <formula1>$BA$4:$BA$30</formula1>
    </dataValidation>
    <dataValidation type="list" allowBlank="1" sqref="AW4:AW72" xr:uid="{00000000-0002-0000-0100-000001000000}">
      <formula1>"да,нет"</formula1>
    </dataValidation>
    <dataValidation type="list" allowBlank="1" showInputMessage="1" showErrorMessage="1" sqref="BD4:BD51" xr:uid="{AAC5CEFD-CD4F-4B7C-BC57-8D7418F9F485}">
      <formula1>"да,нет"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460DF-5547-4C44-98CC-F4B5A8B0B139}">
  <sheetPr codeName="Лист20">
    <tabColor rgb="FFA6A6A6"/>
  </sheetPr>
  <dimension ref="B1:AF503"/>
  <sheetViews>
    <sheetView workbookViewId="0"/>
  </sheetViews>
  <sheetFormatPr defaultRowHeight="14.4" x14ac:dyDescent="0.3"/>
  <cols>
    <col min="2" max="2" width="18.109375" customWidth="1"/>
    <col min="3" max="3" width="7" bestFit="1" customWidth="1"/>
    <col min="4" max="4" width="9" bestFit="1" customWidth="1"/>
    <col min="5" max="6" width="6.109375" bestFit="1" customWidth="1"/>
    <col min="8" max="8" width="8.5546875" bestFit="1" customWidth="1"/>
    <col min="10" max="10" width="8.5546875" bestFit="1" customWidth="1"/>
    <col min="11" max="11" width="9.5546875" bestFit="1" customWidth="1"/>
    <col min="13" max="13" width="14.5546875" bestFit="1" customWidth="1"/>
    <col min="17" max="17" width="19.33203125" customWidth="1"/>
    <col min="18" max="18" width="15" customWidth="1"/>
    <col min="20" max="20" width="20.88671875" style="22" bestFit="1" customWidth="1"/>
    <col min="21" max="21" width="19" bestFit="1" customWidth="1"/>
    <col min="22" max="22" width="17.33203125" bestFit="1" customWidth="1"/>
    <col min="23" max="24" width="17.33203125" customWidth="1"/>
    <col min="26" max="26" width="10.88671875" bestFit="1" customWidth="1"/>
    <col min="27" max="27" width="7.88671875" bestFit="1" customWidth="1"/>
    <col min="30" max="30" width="11.33203125" bestFit="1" customWidth="1"/>
    <col min="31" max="31" width="10.88671875" bestFit="1" customWidth="1"/>
  </cols>
  <sheetData>
    <row r="1" spans="2:32" x14ac:dyDescent="0.3">
      <c r="T1" s="22">
        <v>1</v>
      </c>
      <c r="U1">
        <v>2</v>
      </c>
      <c r="V1">
        <v>3</v>
      </c>
      <c r="W1">
        <v>4</v>
      </c>
      <c r="X1">
        <v>5</v>
      </c>
    </row>
    <row r="2" spans="2:32" x14ac:dyDescent="0.3">
      <c r="B2" s="3" t="s">
        <v>158</v>
      </c>
      <c r="C2" s="20"/>
      <c r="D2" s="20"/>
      <c r="E2" s="20"/>
      <c r="F2" s="20"/>
      <c r="M2" s="3" t="s">
        <v>159</v>
      </c>
      <c r="Q2" s="3" t="s">
        <v>169</v>
      </c>
      <c r="Z2" s="3" t="s">
        <v>176</v>
      </c>
      <c r="AA2" t="s">
        <v>177</v>
      </c>
      <c r="AD2" s="3" t="s">
        <v>175</v>
      </c>
      <c r="AE2" t="s">
        <v>178</v>
      </c>
    </row>
    <row r="3" spans="2:32" x14ac:dyDescent="0.3">
      <c r="B3" s="3" t="s">
        <v>1</v>
      </c>
      <c r="C3" s="3" t="s">
        <v>164</v>
      </c>
      <c r="D3" s="3" t="s">
        <v>165</v>
      </c>
      <c r="E3" s="3" t="s">
        <v>166</v>
      </c>
      <c r="F3" s="3" t="s">
        <v>167</v>
      </c>
      <c r="G3" s="3" t="s">
        <v>155</v>
      </c>
      <c r="H3" s="3" t="s">
        <v>161</v>
      </c>
      <c r="I3" s="3" t="s">
        <v>156</v>
      </c>
      <c r="J3" s="3" t="s">
        <v>160</v>
      </c>
      <c r="K3" s="3" t="s">
        <v>157</v>
      </c>
      <c r="M3" s="3" t="s">
        <v>1</v>
      </c>
      <c r="N3" s="3" t="s">
        <v>162</v>
      </c>
      <c r="O3" s="3" t="s">
        <v>163</v>
      </c>
      <c r="Q3" s="3" t="s">
        <v>27</v>
      </c>
      <c r="R3" s="3" t="s">
        <v>170</v>
      </c>
      <c r="S3" s="3" t="s">
        <v>3</v>
      </c>
      <c r="T3" s="3" t="s">
        <v>9</v>
      </c>
      <c r="U3" s="3" t="s">
        <v>171</v>
      </c>
      <c r="V3" s="3" t="s">
        <v>189</v>
      </c>
      <c r="W3" s="3" t="s">
        <v>199</v>
      </c>
      <c r="X3" s="3" t="s">
        <v>200</v>
      </c>
      <c r="Z3" s="3" t="s">
        <v>174</v>
      </c>
      <c r="AA3" s="3" t="s">
        <v>154</v>
      </c>
      <c r="AB3" s="3" t="s">
        <v>173</v>
      </c>
      <c r="AD3" s="3" t="s">
        <v>174</v>
      </c>
      <c r="AE3" s="3" t="s">
        <v>154</v>
      </c>
      <c r="AF3" s="3" t="s">
        <v>173</v>
      </c>
    </row>
    <row r="4" spans="2:32" x14ac:dyDescent="0.3">
      <c r="B4" s="3">
        <v>0.09</v>
      </c>
      <c r="C4" s="3">
        <v>0.37</v>
      </c>
      <c r="D4" s="3">
        <v>1.67</v>
      </c>
      <c r="E4" s="3">
        <f>ROUNDUP(B4/G4/K4/0.22,2)</f>
        <v>0.85</v>
      </c>
      <c r="F4" s="3">
        <f>ROUNDUP(E4*J4,2)</f>
        <v>2.98</v>
      </c>
      <c r="G4" s="3">
        <v>0.56999999999999995</v>
      </c>
      <c r="H4" s="3">
        <v>4.5</v>
      </c>
      <c r="I4" s="3">
        <v>0.65</v>
      </c>
      <c r="J4" s="3">
        <v>3.5</v>
      </c>
      <c r="K4" s="3">
        <v>0.85</v>
      </c>
      <c r="M4" s="3">
        <v>0.01</v>
      </c>
      <c r="N4" s="3">
        <v>40</v>
      </c>
      <c r="O4" s="3">
        <v>0.11</v>
      </c>
      <c r="Q4" s="3" t="s">
        <v>12</v>
      </c>
      <c r="R4" s="3">
        <v>1</v>
      </c>
      <c r="S4" s="3">
        <v>1.5</v>
      </c>
      <c r="T4" s="21" t="str">
        <f>Q4&amp;" ("&amp;R4&amp;"х"&amp;S4&amp;")"</f>
        <v>ВВГнг(А)-LS (1х1,5)</v>
      </c>
      <c r="U4" s="3">
        <v>5.4</v>
      </c>
      <c r="V4" s="3">
        <f>IF((U4*1.2)&lt;14,14,U4*1.2)</f>
        <v>14</v>
      </c>
      <c r="W4" s="3" t="str">
        <f>"Ø"&amp;VLOOKUP(V4,$Z$4:$AA$10,2,TRUE)</f>
        <v>Ø20</v>
      </c>
      <c r="X4" s="3" t="str">
        <f>"Ø"&amp;VLOOKUP(V4,$AD$4:$AE$10,2,TRUE)</f>
        <v>Ø20</v>
      </c>
      <c r="Z4" s="3">
        <v>0</v>
      </c>
      <c r="AA4" s="3">
        <v>16</v>
      </c>
      <c r="AB4" s="3">
        <v>16</v>
      </c>
      <c r="AD4" s="3">
        <v>0</v>
      </c>
      <c r="AE4" s="3">
        <v>16</v>
      </c>
      <c r="AF4" s="3">
        <v>16</v>
      </c>
    </row>
    <row r="5" spans="2:32" x14ac:dyDescent="0.3">
      <c r="B5" s="3">
        <v>0.12</v>
      </c>
      <c r="C5" s="3">
        <v>0.49</v>
      </c>
      <c r="D5" s="3">
        <v>2.4500000000000002</v>
      </c>
      <c r="E5" s="3">
        <f t="shared" ref="E5:E16" si="0">ROUNDUP(B5/G5/K5/0.22,2)</f>
        <v>1.1300000000000001</v>
      </c>
      <c r="F5" s="3">
        <f t="shared" ref="F5:F16" si="1">ROUNDUP(E5*J5,2)</f>
        <v>3.96</v>
      </c>
      <c r="G5" s="3">
        <v>0.56999999999999995</v>
      </c>
      <c r="H5" s="3">
        <v>5</v>
      </c>
      <c r="I5" s="3">
        <v>0.66</v>
      </c>
      <c r="J5" s="3">
        <v>3.5</v>
      </c>
      <c r="K5" s="3">
        <v>0.85</v>
      </c>
      <c r="M5" s="3">
        <v>1.2E-2</v>
      </c>
      <c r="N5" s="3">
        <v>40</v>
      </c>
      <c r="O5" s="3">
        <v>0.13</v>
      </c>
      <c r="Q5" s="3" t="s">
        <v>12</v>
      </c>
      <c r="R5" s="3">
        <v>2</v>
      </c>
      <c r="S5" s="3">
        <v>1.5</v>
      </c>
      <c r="T5" s="21" t="str">
        <f t="shared" ref="T5:T23" si="2">Q5&amp;" ("&amp;R5&amp;"х"&amp;S5&amp;")"</f>
        <v>ВВГнг(А)-LS (2х1,5)</v>
      </c>
      <c r="U5" s="3">
        <v>9</v>
      </c>
      <c r="V5" s="3">
        <f t="shared" ref="V5:V68" si="3">IF((U5*1.2)&lt;14,14,U5*1.2)</f>
        <v>14</v>
      </c>
      <c r="W5" s="3" t="str">
        <f t="shared" ref="W5:W68" si="4">"Ø"&amp;VLOOKUP(V5,$Z$4:$AA$10,2,TRUE)</f>
        <v>Ø20</v>
      </c>
      <c r="X5" s="3" t="str">
        <f t="shared" ref="X5:X68" si="5">"Ø"&amp;VLOOKUP(V5,$AD$4:$AE$10,2,TRUE)</f>
        <v>Ø20</v>
      </c>
      <c r="Z5" s="3">
        <v>11.5</v>
      </c>
      <c r="AA5" s="3">
        <v>20</v>
      </c>
      <c r="AB5" s="3">
        <v>20</v>
      </c>
      <c r="AD5" s="3">
        <v>11.3</v>
      </c>
      <c r="AE5" s="3">
        <v>20</v>
      </c>
      <c r="AF5" s="3">
        <v>20</v>
      </c>
    </row>
    <row r="6" spans="2:32" x14ac:dyDescent="0.3">
      <c r="B6" s="3">
        <v>0.18</v>
      </c>
      <c r="C6" s="3">
        <v>0.67</v>
      </c>
      <c r="D6" s="3">
        <v>3.35</v>
      </c>
      <c r="E6" s="3">
        <f t="shared" si="0"/>
        <v>1.57</v>
      </c>
      <c r="F6" s="3">
        <f t="shared" si="1"/>
        <v>5.5</v>
      </c>
      <c r="G6" s="3">
        <v>0.6</v>
      </c>
      <c r="H6" s="3">
        <v>5</v>
      </c>
      <c r="I6" s="3">
        <v>0.68</v>
      </c>
      <c r="J6" s="3">
        <v>3.5</v>
      </c>
      <c r="K6" s="3">
        <v>0.87</v>
      </c>
      <c r="M6" s="3">
        <v>1.4999999999999999E-2</v>
      </c>
      <c r="N6" s="3">
        <v>45</v>
      </c>
      <c r="O6" s="3">
        <v>0.16</v>
      </c>
      <c r="Q6" s="3" t="s">
        <v>12</v>
      </c>
      <c r="R6" s="3">
        <v>3</v>
      </c>
      <c r="S6" s="3">
        <v>1.5</v>
      </c>
      <c r="T6" s="21" t="str">
        <f t="shared" si="2"/>
        <v>ВВГнг(А)-LS (3х1,5)</v>
      </c>
      <c r="U6" s="3">
        <v>9.4</v>
      </c>
      <c r="V6" s="3">
        <f t="shared" si="3"/>
        <v>14</v>
      </c>
      <c r="W6" s="3" t="str">
        <f t="shared" si="4"/>
        <v>Ø20</v>
      </c>
      <c r="X6" s="3" t="str">
        <f t="shared" si="5"/>
        <v>Ø20</v>
      </c>
      <c r="Z6" s="3">
        <v>14.9</v>
      </c>
      <c r="AA6" s="3">
        <v>25</v>
      </c>
      <c r="AB6" s="3">
        <v>25</v>
      </c>
      <c r="AD6" s="3">
        <v>14.5</v>
      </c>
      <c r="AE6" s="3">
        <v>25</v>
      </c>
      <c r="AF6" s="3">
        <v>25</v>
      </c>
    </row>
    <row r="7" spans="2:32" x14ac:dyDescent="0.3">
      <c r="B7" s="3">
        <v>0.25</v>
      </c>
      <c r="C7" s="3">
        <v>0.87</v>
      </c>
      <c r="D7" s="3">
        <v>4.3499999999999996</v>
      </c>
      <c r="E7" s="3">
        <f t="shared" si="0"/>
        <v>1.95</v>
      </c>
      <c r="F7" s="3">
        <f t="shared" si="1"/>
        <v>6.83</v>
      </c>
      <c r="G7" s="3">
        <v>0.65</v>
      </c>
      <c r="H7" s="3">
        <v>5</v>
      </c>
      <c r="I7" s="3">
        <v>0.67</v>
      </c>
      <c r="J7" s="3">
        <v>3.5</v>
      </c>
      <c r="K7" s="3">
        <v>0.9</v>
      </c>
      <c r="M7" s="3">
        <v>0.02</v>
      </c>
      <c r="N7" s="3">
        <v>45</v>
      </c>
      <c r="O7" s="3">
        <v>0.22</v>
      </c>
      <c r="Q7" s="3" t="s">
        <v>12</v>
      </c>
      <c r="R7" s="3">
        <v>4</v>
      </c>
      <c r="S7" s="3">
        <v>1.5</v>
      </c>
      <c r="T7" s="21" t="str">
        <f t="shared" si="2"/>
        <v>ВВГнг(А)-LS (4х1,5)</v>
      </c>
      <c r="U7" s="3">
        <v>10.199999999999999</v>
      </c>
      <c r="V7" s="3">
        <f t="shared" si="3"/>
        <v>14</v>
      </c>
      <c r="W7" s="3" t="str">
        <f t="shared" si="4"/>
        <v>Ø20</v>
      </c>
      <c r="X7" s="3" t="str">
        <f t="shared" si="5"/>
        <v>Ø20</v>
      </c>
      <c r="Z7" s="3">
        <v>19</v>
      </c>
      <c r="AA7" s="3">
        <v>32</v>
      </c>
      <c r="AB7" s="3">
        <v>32</v>
      </c>
      <c r="AD7" s="3">
        <v>18.7</v>
      </c>
      <c r="AE7" s="3">
        <v>32</v>
      </c>
      <c r="AF7" s="3">
        <v>32</v>
      </c>
    </row>
    <row r="8" spans="2:32" x14ac:dyDescent="0.3">
      <c r="B8" s="3">
        <v>0.37</v>
      </c>
      <c r="C8" s="3">
        <v>1.18</v>
      </c>
      <c r="D8" s="3">
        <v>5.8999999999999995</v>
      </c>
      <c r="E8" s="3">
        <f t="shared" si="0"/>
        <v>2.69</v>
      </c>
      <c r="F8" s="3">
        <f t="shared" si="1"/>
        <v>9.42</v>
      </c>
      <c r="G8" s="3">
        <v>0.68</v>
      </c>
      <c r="H8" s="3">
        <v>5</v>
      </c>
      <c r="I8" s="3">
        <v>0.7</v>
      </c>
      <c r="J8" s="3">
        <v>3.5</v>
      </c>
      <c r="K8" s="3">
        <v>0.92</v>
      </c>
      <c r="M8" s="3">
        <v>0.03</v>
      </c>
      <c r="N8" s="3">
        <v>50</v>
      </c>
      <c r="O8" s="3">
        <v>0.31</v>
      </c>
      <c r="Q8" s="3" t="s">
        <v>12</v>
      </c>
      <c r="R8" s="3">
        <v>5</v>
      </c>
      <c r="S8" s="3">
        <v>1.5</v>
      </c>
      <c r="T8" s="21" t="str">
        <f t="shared" si="2"/>
        <v>ВВГнг(А)-LS (5х1,5)</v>
      </c>
      <c r="U8" s="3">
        <v>11</v>
      </c>
      <c r="V8" s="3">
        <f t="shared" si="3"/>
        <v>14</v>
      </c>
      <c r="W8" s="3" t="str">
        <f t="shared" si="4"/>
        <v>Ø20</v>
      </c>
      <c r="X8" s="3" t="str">
        <f t="shared" si="5"/>
        <v>Ø20</v>
      </c>
      <c r="Z8" s="3">
        <v>24.9</v>
      </c>
      <c r="AA8" s="3">
        <v>40</v>
      </c>
      <c r="AB8" s="3">
        <v>40</v>
      </c>
      <c r="AD8" s="3">
        <v>24.3</v>
      </c>
      <c r="AE8" s="3">
        <v>40</v>
      </c>
      <c r="AF8" s="3">
        <v>40</v>
      </c>
    </row>
    <row r="9" spans="2:32" x14ac:dyDescent="0.3">
      <c r="B9" s="3">
        <v>0.55000000000000004</v>
      </c>
      <c r="C9" s="3">
        <v>1.66</v>
      </c>
      <c r="D9" s="3">
        <v>8.2999999999999989</v>
      </c>
      <c r="E9" s="3">
        <f t="shared" si="0"/>
        <v>3.7899999999999996</v>
      </c>
      <c r="F9" s="3">
        <f t="shared" si="1"/>
        <v>13.27</v>
      </c>
      <c r="G9" s="3">
        <v>0.71</v>
      </c>
      <c r="H9" s="3">
        <v>5</v>
      </c>
      <c r="I9" s="3">
        <v>0.71</v>
      </c>
      <c r="J9" s="3">
        <v>3.5</v>
      </c>
      <c r="K9" s="3">
        <v>0.93</v>
      </c>
      <c r="M9" s="3">
        <v>3.5999999999999997E-2</v>
      </c>
      <c r="N9" s="3">
        <v>50</v>
      </c>
      <c r="O9" s="3">
        <v>0.38</v>
      </c>
      <c r="Q9" s="3" t="s">
        <v>12</v>
      </c>
      <c r="R9" s="3">
        <v>1</v>
      </c>
      <c r="S9" s="3">
        <v>2.5</v>
      </c>
      <c r="T9" s="21" t="str">
        <f t="shared" si="2"/>
        <v>ВВГнг(А)-LS (1х2,5)</v>
      </c>
      <c r="U9" s="3">
        <v>5.8</v>
      </c>
      <c r="V9" s="3">
        <f t="shared" si="3"/>
        <v>14</v>
      </c>
      <c r="W9" s="3" t="str">
        <f t="shared" si="4"/>
        <v>Ø20</v>
      </c>
      <c r="X9" s="3" t="str">
        <f t="shared" si="5"/>
        <v>Ø20</v>
      </c>
      <c r="Z9" s="3">
        <v>31.8</v>
      </c>
      <c r="AA9" s="3">
        <v>50</v>
      </c>
      <c r="AB9" s="3">
        <v>50</v>
      </c>
      <c r="AD9" s="3">
        <v>30.7</v>
      </c>
      <c r="AE9" s="3">
        <v>50</v>
      </c>
      <c r="AF9" s="3">
        <v>50</v>
      </c>
    </row>
    <row r="10" spans="2:32" x14ac:dyDescent="0.3">
      <c r="B10" s="3">
        <v>0.75</v>
      </c>
      <c r="C10" s="3">
        <v>2.08</v>
      </c>
      <c r="D10" s="3">
        <v>10.4</v>
      </c>
      <c r="E10" s="3">
        <f t="shared" si="0"/>
        <v>4.97</v>
      </c>
      <c r="F10" s="3">
        <f t="shared" si="1"/>
        <v>17.400000000000002</v>
      </c>
      <c r="G10" s="3">
        <v>0.73</v>
      </c>
      <c r="H10" s="3">
        <v>5</v>
      </c>
      <c r="I10" s="3">
        <v>0.75</v>
      </c>
      <c r="J10" s="3">
        <v>3.5</v>
      </c>
      <c r="K10" s="3">
        <v>0.94</v>
      </c>
      <c r="M10" s="3">
        <v>0.04</v>
      </c>
      <c r="N10" s="3">
        <v>50</v>
      </c>
      <c r="O10" s="3">
        <v>0.4</v>
      </c>
      <c r="Q10" s="3" t="s">
        <v>12</v>
      </c>
      <c r="R10" s="3">
        <v>2</v>
      </c>
      <c r="S10" s="3">
        <v>2.5</v>
      </c>
      <c r="T10" s="21" t="str">
        <f t="shared" si="2"/>
        <v>ВВГнг(А)-LS (2х2,5)</v>
      </c>
      <c r="U10" s="3">
        <v>9.6999999999999993</v>
      </c>
      <c r="V10" s="3">
        <f t="shared" si="3"/>
        <v>14</v>
      </c>
      <c r="W10" s="3" t="str">
        <f t="shared" si="4"/>
        <v>Ø20</v>
      </c>
      <c r="X10" s="3" t="str">
        <f t="shared" si="5"/>
        <v>Ø20</v>
      </c>
      <c r="Z10" s="3">
        <v>40.200000000000003</v>
      </c>
      <c r="AA10" s="3" t="s">
        <v>201</v>
      </c>
      <c r="AB10" s="3" t="s">
        <v>201</v>
      </c>
      <c r="AD10" s="3">
        <v>38.9</v>
      </c>
      <c r="AE10" s="3" t="s">
        <v>201</v>
      </c>
      <c r="AF10" s="3" t="s">
        <v>201</v>
      </c>
    </row>
    <row r="11" spans="2:32" x14ac:dyDescent="0.3">
      <c r="B11" s="3">
        <v>1.1000000000000001</v>
      </c>
      <c r="C11" s="3">
        <v>2.85</v>
      </c>
      <c r="D11" s="3">
        <v>14.25</v>
      </c>
      <c r="E11" s="3">
        <f t="shared" si="0"/>
        <v>6.91</v>
      </c>
      <c r="F11" s="3">
        <f t="shared" si="1"/>
        <v>24.19</v>
      </c>
      <c r="G11" s="3">
        <v>0.76200000000000001</v>
      </c>
      <c r="H11" s="3">
        <v>5</v>
      </c>
      <c r="I11" s="3">
        <v>0.77</v>
      </c>
      <c r="J11" s="3">
        <v>3.5</v>
      </c>
      <c r="K11" s="3">
        <v>0.95</v>
      </c>
      <c r="M11" s="3">
        <v>4.4999999999999998E-2</v>
      </c>
      <c r="N11" s="3">
        <v>50</v>
      </c>
      <c r="O11" s="3">
        <v>0.45</v>
      </c>
      <c r="Q11" s="3" t="s">
        <v>12</v>
      </c>
      <c r="R11" s="3">
        <v>3</v>
      </c>
      <c r="S11" s="3">
        <v>2.5</v>
      </c>
      <c r="T11" s="21" t="str">
        <f t="shared" si="2"/>
        <v>ВВГнг(А)-LS (3х2,5)</v>
      </c>
      <c r="U11" s="3">
        <v>10.199999999999999</v>
      </c>
      <c r="V11" s="3">
        <f t="shared" si="3"/>
        <v>14</v>
      </c>
      <c r="W11" s="3" t="str">
        <f t="shared" si="4"/>
        <v>Ø20</v>
      </c>
      <c r="X11" s="3" t="str">
        <f t="shared" si="5"/>
        <v>Ø20</v>
      </c>
    </row>
    <row r="12" spans="2:32" x14ac:dyDescent="0.3">
      <c r="B12" s="3">
        <v>1.5</v>
      </c>
      <c r="C12" s="3">
        <v>3.63</v>
      </c>
      <c r="D12" s="3">
        <v>19.239999999999998</v>
      </c>
      <c r="E12" s="3">
        <f t="shared" si="0"/>
        <v>9.15</v>
      </c>
      <c r="F12" s="3">
        <f t="shared" si="1"/>
        <v>32.03</v>
      </c>
      <c r="G12" s="3">
        <v>0.78500000000000003</v>
      </c>
      <c r="H12" s="3">
        <v>5.3</v>
      </c>
      <c r="I12" s="3">
        <v>0.8</v>
      </c>
      <c r="J12" s="3">
        <v>3.5</v>
      </c>
      <c r="K12" s="3">
        <v>0.95</v>
      </c>
      <c r="M12" s="3">
        <v>0.06</v>
      </c>
      <c r="N12" s="3">
        <v>50</v>
      </c>
      <c r="O12" s="3">
        <v>0.75</v>
      </c>
      <c r="Q12" s="3" t="s">
        <v>12</v>
      </c>
      <c r="R12" s="3">
        <v>4</v>
      </c>
      <c r="S12" s="3">
        <v>2.5</v>
      </c>
      <c r="T12" s="21" t="str">
        <f t="shared" si="2"/>
        <v>ВВГнг(А)-LS (4х2,5)</v>
      </c>
      <c r="U12" s="3">
        <v>11.1</v>
      </c>
      <c r="V12" s="3">
        <f t="shared" si="3"/>
        <v>14</v>
      </c>
      <c r="W12" s="3" t="str">
        <f t="shared" si="4"/>
        <v>Ø20</v>
      </c>
      <c r="X12" s="3" t="str">
        <f t="shared" si="5"/>
        <v>Ø20</v>
      </c>
    </row>
    <row r="13" spans="2:32" x14ac:dyDescent="0.3">
      <c r="B13" s="3">
        <v>2.2000000000000002</v>
      </c>
      <c r="C13" s="3">
        <v>5.29</v>
      </c>
      <c r="D13" s="3">
        <v>31.740000000000002</v>
      </c>
      <c r="E13" s="3">
        <f t="shared" si="0"/>
        <v>13.16</v>
      </c>
      <c r="F13" s="3">
        <f t="shared" si="1"/>
        <v>46.06</v>
      </c>
      <c r="G13" s="3">
        <v>0.8</v>
      </c>
      <c r="H13" s="3">
        <v>6</v>
      </c>
      <c r="I13" s="3">
        <v>0.79</v>
      </c>
      <c r="J13" s="3">
        <v>3.5</v>
      </c>
      <c r="K13" s="3">
        <v>0.95</v>
      </c>
      <c r="M13" s="3">
        <v>0.08</v>
      </c>
      <c r="N13" s="3">
        <v>50</v>
      </c>
      <c r="O13" s="3">
        <v>0.81</v>
      </c>
      <c r="Q13" s="3" t="s">
        <v>12</v>
      </c>
      <c r="R13" s="3">
        <v>5</v>
      </c>
      <c r="S13" s="3">
        <v>2.5</v>
      </c>
      <c r="T13" s="21" t="str">
        <f t="shared" si="2"/>
        <v>ВВГнг(А)-LS (5х2,5)</v>
      </c>
      <c r="U13" s="3">
        <v>12</v>
      </c>
      <c r="V13" s="3">
        <f t="shared" si="3"/>
        <v>14.399999999999999</v>
      </c>
      <c r="W13" s="3" t="str">
        <f t="shared" si="4"/>
        <v>Ø20</v>
      </c>
      <c r="X13" s="3" t="str">
        <f t="shared" si="5"/>
        <v>Ø20</v>
      </c>
    </row>
    <row r="14" spans="2:32" x14ac:dyDescent="0.3">
      <c r="B14" s="3">
        <v>3</v>
      </c>
      <c r="C14" s="3">
        <v>6.73</v>
      </c>
      <c r="D14" s="3">
        <v>47.11</v>
      </c>
      <c r="E14" s="3">
        <f t="shared" si="0"/>
        <v>17.380000000000003</v>
      </c>
      <c r="F14" s="3">
        <f t="shared" si="1"/>
        <v>60.83</v>
      </c>
      <c r="G14" s="3">
        <v>0.82599999999999996</v>
      </c>
      <c r="H14" s="3">
        <v>7</v>
      </c>
      <c r="I14" s="3">
        <v>0.82</v>
      </c>
      <c r="J14" s="3">
        <v>3.5</v>
      </c>
      <c r="K14" s="3">
        <v>0.95</v>
      </c>
      <c r="M14" s="3">
        <v>0.1</v>
      </c>
      <c r="N14" s="3">
        <v>50</v>
      </c>
      <c r="O14" s="3">
        <v>1</v>
      </c>
      <c r="Q14" s="3" t="s">
        <v>12</v>
      </c>
      <c r="R14" s="3">
        <v>1</v>
      </c>
      <c r="S14" s="3">
        <v>4</v>
      </c>
      <c r="T14" s="21" t="str">
        <f t="shared" si="2"/>
        <v>ВВГнг(А)-LS (1х4)</v>
      </c>
      <c r="U14" s="3">
        <v>6.6</v>
      </c>
      <c r="V14" s="3">
        <f t="shared" si="3"/>
        <v>14</v>
      </c>
      <c r="W14" s="3" t="str">
        <f t="shared" si="4"/>
        <v>Ø20</v>
      </c>
      <c r="X14" s="3" t="str">
        <f t="shared" si="5"/>
        <v>Ø20</v>
      </c>
    </row>
    <row r="15" spans="2:32" x14ac:dyDescent="0.3">
      <c r="B15" s="3">
        <v>3.7</v>
      </c>
      <c r="C15" s="3">
        <v>8.1199999999999992</v>
      </c>
      <c r="D15" s="3">
        <v>56.839999999999996</v>
      </c>
      <c r="E15" s="3">
        <f t="shared" si="0"/>
        <v>21.23</v>
      </c>
      <c r="F15" s="3">
        <f t="shared" si="1"/>
        <v>74.31</v>
      </c>
      <c r="G15" s="3">
        <v>0.83400000000000007</v>
      </c>
      <c r="H15" s="3">
        <v>7</v>
      </c>
      <c r="I15" s="3">
        <v>0.83</v>
      </c>
      <c r="J15" s="3">
        <v>3.5</v>
      </c>
      <c r="K15" s="3">
        <v>0.95</v>
      </c>
      <c r="M15" s="3">
        <v>0.15</v>
      </c>
      <c r="N15" s="3">
        <v>65</v>
      </c>
      <c r="O15" s="3">
        <v>1.6</v>
      </c>
      <c r="Q15" s="3" t="s">
        <v>12</v>
      </c>
      <c r="R15" s="3">
        <v>2</v>
      </c>
      <c r="S15" s="3">
        <v>4</v>
      </c>
      <c r="T15" s="21" t="str">
        <f t="shared" si="2"/>
        <v>ВВГнг(А)-LS (2х4)</v>
      </c>
      <c r="U15" s="3">
        <v>11.4</v>
      </c>
      <c r="V15" s="3">
        <f t="shared" si="3"/>
        <v>14</v>
      </c>
      <c r="W15" s="3" t="str">
        <f t="shared" si="4"/>
        <v>Ø20</v>
      </c>
      <c r="X15" s="3" t="str">
        <f t="shared" si="5"/>
        <v>Ø20</v>
      </c>
    </row>
    <row r="16" spans="2:32" x14ac:dyDescent="0.3">
      <c r="B16" s="3">
        <v>4</v>
      </c>
      <c r="C16" s="3">
        <v>8.59</v>
      </c>
      <c r="D16" s="3">
        <v>60.129999999999995</v>
      </c>
      <c r="E16" s="3">
        <f t="shared" si="0"/>
        <v>22.740000000000002</v>
      </c>
      <c r="F16" s="3">
        <f t="shared" si="1"/>
        <v>79.59</v>
      </c>
      <c r="G16" s="3">
        <v>0.84200000000000008</v>
      </c>
      <c r="H16" s="3">
        <v>7</v>
      </c>
      <c r="I16" s="3">
        <v>0.84</v>
      </c>
      <c r="J16" s="3">
        <v>3.5</v>
      </c>
      <c r="K16" s="3">
        <v>0.95</v>
      </c>
      <c r="M16" s="3">
        <v>0.2</v>
      </c>
      <c r="N16" s="3">
        <v>65</v>
      </c>
      <c r="O16" s="3">
        <v>2</v>
      </c>
      <c r="Q16" s="3" t="s">
        <v>12</v>
      </c>
      <c r="R16" s="3">
        <v>3</v>
      </c>
      <c r="S16" s="3">
        <v>4</v>
      </c>
      <c r="T16" s="21" t="str">
        <f t="shared" si="2"/>
        <v>ВВГнг(А)-LS (3х4)</v>
      </c>
      <c r="U16" s="3">
        <v>12.1</v>
      </c>
      <c r="V16" s="3">
        <f t="shared" si="3"/>
        <v>14.52</v>
      </c>
      <c r="W16" s="3" t="str">
        <f t="shared" si="4"/>
        <v>Ø20</v>
      </c>
      <c r="X16" s="3" t="str">
        <f t="shared" si="5"/>
        <v>Ø25</v>
      </c>
    </row>
    <row r="17" spans="2:24" x14ac:dyDescent="0.3">
      <c r="B17" s="3">
        <v>5.5</v>
      </c>
      <c r="C17" s="3">
        <v>11.34</v>
      </c>
      <c r="D17" s="3">
        <v>79.38</v>
      </c>
      <c r="E17" s="3">
        <f t="shared" ref="E17" si="6">ROUNDUP(B17/G17/K17/0.22,2)</f>
        <v>30.71</v>
      </c>
      <c r="F17" s="3">
        <f t="shared" ref="F17" si="7">ROUNDUP(E17*J17,2)</f>
        <v>199.62</v>
      </c>
      <c r="G17" s="3">
        <v>0.85699999999999998</v>
      </c>
      <c r="H17" s="3">
        <v>7</v>
      </c>
      <c r="I17" s="3">
        <v>0.86</v>
      </c>
      <c r="J17" s="3">
        <v>6.5</v>
      </c>
      <c r="K17" s="3">
        <v>0.95</v>
      </c>
      <c r="M17" s="3">
        <v>0.25</v>
      </c>
      <c r="N17" s="3">
        <v>65</v>
      </c>
      <c r="O17" s="3">
        <v>2.6</v>
      </c>
      <c r="Q17" s="3" t="s">
        <v>12</v>
      </c>
      <c r="R17" s="3">
        <v>4</v>
      </c>
      <c r="S17" s="3">
        <v>4</v>
      </c>
      <c r="T17" s="21" t="str">
        <f t="shared" si="2"/>
        <v>ВВГнг(А)-LS (4х4)</v>
      </c>
      <c r="U17" s="3">
        <v>13.2</v>
      </c>
      <c r="V17" s="3">
        <f t="shared" si="3"/>
        <v>15.839999999999998</v>
      </c>
      <c r="W17" s="3" t="str">
        <f t="shared" si="4"/>
        <v>Ø25</v>
      </c>
      <c r="X17" s="3" t="str">
        <f t="shared" si="5"/>
        <v>Ø25</v>
      </c>
    </row>
    <row r="18" spans="2:24" x14ac:dyDescent="0.3">
      <c r="B18" s="3">
        <v>7.5</v>
      </c>
      <c r="C18" s="3">
        <v>15.23</v>
      </c>
      <c r="D18" s="3">
        <v>114.26</v>
      </c>
      <c r="E18" s="3"/>
      <c r="F18" s="3"/>
      <c r="G18" s="3">
        <v>0.87</v>
      </c>
      <c r="H18" s="3">
        <v>7.5</v>
      </c>
      <c r="I18" s="3">
        <v>0.86</v>
      </c>
      <c r="J18" s="3"/>
      <c r="K18" s="3"/>
      <c r="M18" s="3">
        <v>0.3</v>
      </c>
      <c r="N18" s="3">
        <v>70</v>
      </c>
      <c r="O18" s="3">
        <v>2.8</v>
      </c>
      <c r="Q18" s="3" t="s">
        <v>12</v>
      </c>
      <c r="R18" s="3">
        <v>5</v>
      </c>
      <c r="S18" s="3">
        <v>4</v>
      </c>
      <c r="T18" s="21" t="str">
        <f t="shared" si="2"/>
        <v>ВВГнг(А)-LS (5х4)</v>
      </c>
      <c r="U18" s="3">
        <v>14.4</v>
      </c>
      <c r="V18" s="3">
        <f t="shared" si="3"/>
        <v>17.28</v>
      </c>
      <c r="W18" s="3" t="str">
        <f t="shared" si="4"/>
        <v>Ø25</v>
      </c>
      <c r="X18" s="3" t="str">
        <f t="shared" si="5"/>
        <v>Ø25</v>
      </c>
    </row>
    <row r="19" spans="2:24" x14ac:dyDescent="0.3">
      <c r="B19" s="3">
        <v>9.1999999999999993</v>
      </c>
      <c r="C19" s="3">
        <v>18.79</v>
      </c>
      <c r="D19" s="3">
        <v>131.53</v>
      </c>
      <c r="E19" s="3"/>
      <c r="F19" s="3"/>
      <c r="G19" s="3">
        <v>0.875</v>
      </c>
      <c r="H19" s="3">
        <v>7</v>
      </c>
      <c r="I19" s="3">
        <v>0.85</v>
      </c>
      <c r="J19" s="3"/>
      <c r="K19" s="3"/>
      <c r="M19" s="3">
        <v>0.4</v>
      </c>
      <c r="N19" s="3">
        <v>70</v>
      </c>
      <c r="O19" s="3">
        <v>3.6</v>
      </c>
      <c r="Q19" s="3" t="s">
        <v>12</v>
      </c>
      <c r="R19" s="3">
        <v>1</v>
      </c>
      <c r="S19" s="3">
        <v>6</v>
      </c>
      <c r="T19" s="21" t="str">
        <f t="shared" si="2"/>
        <v>ВВГнг(А)-LS (1х6)</v>
      </c>
      <c r="U19" s="3">
        <v>7.1</v>
      </c>
      <c r="V19" s="3">
        <f t="shared" si="3"/>
        <v>14</v>
      </c>
      <c r="W19" s="3" t="str">
        <f t="shared" si="4"/>
        <v>Ø20</v>
      </c>
      <c r="X19" s="3" t="str">
        <f t="shared" si="5"/>
        <v>Ø20</v>
      </c>
    </row>
    <row r="20" spans="2:24" x14ac:dyDescent="0.3">
      <c r="B20" s="3">
        <v>11</v>
      </c>
      <c r="C20" s="3">
        <v>22.24</v>
      </c>
      <c r="D20" s="3">
        <v>166.79999999999998</v>
      </c>
      <c r="E20" s="3"/>
      <c r="F20" s="3"/>
      <c r="G20" s="3">
        <v>0.88400000000000001</v>
      </c>
      <c r="H20" s="3">
        <v>7.5</v>
      </c>
      <c r="I20" s="3">
        <v>0.85</v>
      </c>
      <c r="J20" s="3"/>
      <c r="K20" s="3"/>
      <c r="Q20" s="3" t="s">
        <v>12</v>
      </c>
      <c r="R20" s="3">
        <v>2</v>
      </c>
      <c r="S20" s="3">
        <v>6</v>
      </c>
      <c r="T20" s="21" t="str">
        <f t="shared" si="2"/>
        <v>ВВГнг(А)-LS (2х6)</v>
      </c>
      <c r="U20" s="3">
        <v>12.4</v>
      </c>
      <c r="V20" s="3">
        <f t="shared" si="3"/>
        <v>14.879999999999999</v>
      </c>
      <c r="W20" s="3" t="str">
        <f t="shared" si="4"/>
        <v>Ø20</v>
      </c>
      <c r="X20" s="3" t="str">
        <f t="shared" si="5"/>
        <v>Ø25</v>
      </c>
    </row>
    <row r="21" spans="2:24" x14ac:dyDescent="0.3">
      <c r="B21" s="3">
        <v>15</v>
      </c>
      <c r="C21" s="3">
        <v>29.3</v>
      </c>
      <c r="D21" s="3">
        <v>205.1</v>
      </c>
      <c r="E21" s="3"/>
      <c r="F21" s="3"/>
      <c r="G21" s="3">
        <v>0.89400000000000002</v>
      </c>
      <c r="H21" s="3">
        <v>7</v>
      </c>
      <c r="I21" s="3">
        <v>0.87</v>
      </c>
      <c r="J21" s="3"/>
      <c r="K21" s="3"/>
      <c r="Q21" s="3" t="s">
        <v>12</v>
      </c>
      <c r="R21" s="3">
        <v>3</v>
      </c>
      <c r="S21" s="3">
        <v>6</v>
      </c>
      <c r="T21" s="21" t="str">
        <f t="shared" si="2"/>
        <v>ВВГнг(А)-LS (3х6)</v>
      </c>
      <c r="U21" s="3">
        <v>13.1</v>
      </c>
      <c r="V21" s="3">
        <f t="shared" si="3"/>
        <v>15.719999999999999</v>
      </c>
      <c r="W21" s="3" t="str">
        <f t="shared" si="4"/>
        <v>Ø25</v>
      </c>
      <c r="X21" s="3" t="str">
        <f t="shared" si="5"/>
        <v>Ø25</v>
      </c>
    </row>
    <row r="22" spans="2:24" x14ac:dyDescent="0.3">
      <c r="B22" s="3">
        <v>18.5</v>
      </c>
      <c r="C22" s="3">
        <v>35.9</v>
      </c>
      <c r="D22" s="3">
        <v>251.29999999999998</v>
      </c>
      <c r="E22" s="3"/>
      <c r="F22" s="3"/>
      <c r="G22" s="3">
        <v>0.9</v>
      </c>
      <c r="H22" s="3">
        <v>7</v>
      </c>
      <c r="I22" s="3">
        <v>0.87</v>
      </c>
      <c r="J22" s="3"/>
      <c r="K22" s="3"/>
      <c r="Q22" s="3" t="s">
        <v>12</v>
      </c>
      <c r="R22" s="3">
        <v>4</v>
      </c>
      <c r="S22" s="3">
        <v>6</v>
      </c>
      <c r="T22" s="21" t="str">
        <f t="shared" si="2"/>
        <v>ВВГнг(А)-LS (4х6)</v>
      </c>
      <c r="U22" s="3">
        <v>14.4</v>
      </c>
      <c r="V22" s="3">
        <f t="shared" si="3"/>
        <v>17.28</v>
      </c>
      <c r="W22" s="3" t="str">
        <f t="shared" si="4"/>
        <v>Ø25</v>
      </c>
      <c r="X22" s="3" t="str">
        <f t="shared" si="5"/>
        <v>Ø25</v>
      </c>
    </row>
    <row r="23" spans="2:24" x14ac:dyDescent="0.3">
      <c r="B23" s="3">
        <v>22</v>
      </c>
      <c r="C23" s="3">
        <v>42.45</v>
      </c>
      <c r="D23" s="3">
        <v>297.15000000000003</v>
      </c>
      <c r="E23" s="3"/>
      <c r="F23" s="3"/>
      <c r="G23" s="3">
        <v>0.90500000000000003</v>
      </c>
      <c r="H23" s="3">
        <v>7</v>
      </c>
      <c r="I23" s="3">
        <v>0.87</v>
      </c>
      <c r="J23" s="3"/>
      <c r="K23" s="3"/>
      <c r="Q23" s="3" t="s">
        <v>12</v>
      </c>
      <c r="R23" s="3">
        <v>5</v>
      </c>
      <c r="S23" s="3">
        <v>6</v>
      </c>
      <c r="T23" s="21" t="str">
        <f t="shared" si="2"/>
        <v>ВВГнг(А)-LS (5х6)</v>
      </c>
      <c r="U23" s="3">
        <v>15.7</v>
      </c>
      <c r="V23" s="3">
        <f t="shared" si="3"/>
        <v>18.84</v>
      </c>
      <c r="W23" s="3" t="str">
        <f t="shared" si="4"/>
        <v>Ø25</v>
      </c>
      <c r="X23" s="3" t="str">
        <f t="shared" si="5"/>
        <v>Ø32</v>
      </c>
    </row>
    <row r="24" spans="2:24" x14ac:dyDescent="0.3">
      <c r="B24" s="3">
        <v>27</v>
      </c>
      <c r="C24" s="3">
        <v>51.82</v>
      </c>
      <c r="D24" s="3">
        <v>362.74</v>
      </c>
      <c r="E24" s="3"/>
      <c r="F24" s="3"/>
      <c r="G24" s="3">
        <v>0.91</v>
      </c>
      <c r="H24" s="3">
        <v>7</v>
      </c>
      <c r="I24" s="3">
        <v>0.87</v>
      </c>
      <c r="J24" s="3"/>
      <c r="K24" s="3"/>
      <c r="Q24" s="3" t="s">
        <v>147</v>
      </c>
      <c r="R24" s="3">
        <v>1</v>
      </c>
      <c r="S24" s="3">
        <v>1.5</v>
      </c>
      <c r="T24" s="21" t="str">
        <f>Q24&amp;" ("&amp;R24&amp;"х"&amp;S24&amp;")"</f>
        <v>ВВГнг(А)-FRLS (1х1,5)</v>
      </c>
      <c r="U24" s="3">
        <v>7.2</v>
      </c>
      <c r="V24" s="3">
        <f t="shared" si="3"/>
        <v>14</v>
      </c>
      <c r="W24" s="3" t="str">
        <f t="shared" si="4"/>
        <v>Ø20</v>
      </c>
      <c r="X24" s="3" t="str">
        <f t="shared" si="5"/>
        <v>Ø20</v>
      </c>
    </row>
    <row r="25" spans="2:24" x14ac:dyDescent="0.3">
      <c r="B25" s="3">
        <v>30</v>
      </c>
      <c r="C25" s="3">
        <v>56.03</v>
      </c>
      <c r="D25" s="3">
        <v>392.21000000000004</v>
      </c>
      <c r="E25" s="3"/>
      <c r="F25" s="3"/>
      <c r="G25" s="3">
        <v>0.91400000000000003</v>
      </c>
      <c r="H25" s="3">
        <v>7</v>
      </c>
      <c r="I25" s="3">
        <v>0.89</v>
      </c>
      <c r="J25" s="3"/>
      <c r="K25" s="3"/>
      <c r="Q25" s="3" t="s">
        <v>147</v>
      </c>
      <c r="R25" s="3">
        <v>2</v>
      </c>
      <c r="S25" s="3">
        <v>1.5</v>
      </c>
      <c r="T25" s="21" t="str">
        <f t="shared" ref="T25:T43" si="8">Q25&amp;" ("&amp;R25&amp;"х"&amp;S25&amp;")"</f>
        <v>ВВГнг(А)-FRLS (2х1,5)</v>
      </c>
      <c r="U25" s="3">
        <v>14.1</v>
      </c>
      <c r="V25" s="3">
        <f t="shared" si="3"/>
        <v>16.919999999999998</v>
      </c>
      <c r="W25" s="3" t="str">
        <f t="shared" si="4"/>
        <v>Ø25</v>
      </c>
      <c r="X25" s="3" t="str">
        <f t="shared" si="5"/>
        <v>Ø25</v>
      </c>
    </row>
    <row r="26" spans="2:24" x14ac:dyDescent="0.3">
      <c r="B26" s="3">
        <v>37</v>
      </c>
      <c r="C26" s="3">
        <v>68.66</v>
      </c>
      <c r="D26" s="3">
        <v>514.94999999999993</v>
      </c>
      <c r="E26" s="3"/>
      <c r="F26" s="3"/>
      <c r="G26" s="3">
        <v>0.92</v>
      </c>
      <c r="H26" s="3">
        <v>7.5</v>
      </c>
      <c r="I26" s="3">
        <v>0.89</v>
      </c>
      <c r="J26" s="3"/>
      <c r="K26" s="3"/>
      <c r="Q26" s="3" t="s">
        <v>147</v>
      </c>
      <c r="R26" s="3">
        <v>3</v>
      </c>
      <c r="S26" s="3">
        <v>1.5</v>
      </c>
      <c r="T26" s="21" t="str">
        <f t="shared" si="8"/>
        <v>ВВГнг(А)-FRLS (3х1,5)</v>
      </c>
      <c r="U26" s="3">
        <v>14.8</v>
      </c>
      <c r="V26" s="3">
        <f t="shared" si="3"/>
        <v>17.760000000000002</v>
      </c>
      <c r="W26" s="3" t="str">
        <f t="shared" si="4"/>
        <v>Ø25</v>
      </c>
      <c r="X26" s="3" t="str">
        <f t="shared" si="5"/>
        <v>Ø25</v>
      </c>
    </row>
    <row r="27" spans="2:24" x14ac:dyDescent="0.3">
      <c r="B27" s="3">
        <v>45</v>
      </c>
      <c r="C27" s="3">
        <v>83.05</v>
      </c>
      <c r="D27" s="3">
        <v>622.86</v>
      </c>
      <c r="E27" s="3"/>
      <c r="F27" s="3"/>
      <c r="G27" s="3">
        <v>0.92500000000000004</v>
      </c>
      <c r="H27" s="3">
        <v>7.5</v>
      </c>
      <c r="I27" s="3">
        <v>0.89</v>
      </c>
      <c r="J27" s="3"/>
      <c r="K27" s="3"/>
      <c r="Q27" s="3" t="s">
        <v>147</v>
      </c>
      <c r="R27" s="3">
        <v>4</v>
      </c>
      <c r="S27" s="3">
        <v>1.5</v>
      </c>
      <c r="T27" s="21" t="str">
        <f t="shared" si="8"/>
        <v>ВВГнг(А)-FRLS (4х1,5)</v>
      </c>
      <c r="U27" s="3">
        <v>15.9</v>
      </c>
      <c r="V27" s="3">
        <f t="shared" si="3"/>
        <v>19.079999999999998</v>
      </c>
      <c r="W27" s="3" t="str">
        <f t="shared" si="4"/>
        <v>Ø32</v>
      </c>
      <c r="X27" s="3" t="str">
        <f t="shared" si="5"/>
        <v>Ø32</v>
      </c>
    </row>
    <row r="28" spans="2:24" x14ac:dyDescent="0.3">
      <c r="B28" s="3">
        <v>55</v>
      </c>
      <c r="C28" s="3">
        <v>100.96</v>
      </c>
      <c r="D28" s="3">
        <v>706.71999999999991</v>
      </c>
      <c r="E28" s="3"/>
      <c r="F28" s="3"/>
      <c r="G28" s="3">
        <v>0.93</v>
      </c>
      <c r="H28" s="3">
        <v>7</v>
      </c>
      <c r="I28" s="3">
        <v>0.89</v>
      </c>
      <c r="J28" s="3"/>
      <c r="K28" s="3"/>
      <c r="Q28" s="3" t="s">
        <v>147</v>
      </c>
      <c r="R28" s="3">
        <v>5</v>
      </c>
      <c r="S28" s="3">
        <v>1.5</v>
      </c>
      <c r="T28" s="21" t="str">
        <f t="shared" si="8"/>
        <v>ВВГнг(А)-FRLS (5х1,5)</v>
      </c>
      <c r="U28" s="3">
        <v>17.2</v>
      </c>
      <c r="V28" s="3">
        <f t="shared" si="3"/>
        <v>20.639999999999997</v>
      </c>
      <c r="W28" s="3" t="str">
        <f t="shared" si="4"/>
        <v>Ø32</v>
      </c>
      <c r="X28" s="3" t="str">
        <f t="shared" si="5"/>
        <v>Ø32</v>
      </c>
    </row>
    <row r="29" spans="2:24" x14ac:dyDescent="0.3">
      <c r="B29" s="3">
        <v>75</v>
      </c>
      <c r="C29" s="3">
        <v>138.35</v>
      </c>
      <c r="D29" s="3">
        <v>1037.6300000000001</v>
      </c>
      <c r="E29" s="3"/>
      <c r="F29" s="3"/>
      <c r="G29" s="3">
        <v>0.93599999999999994</v>
      </c>
      <c r="H29" s="3">
        <v>7.5</v>
      </c>
      <c r="I29" s="3">
        <v>0.88</v>
      </c>
      <c r="J29" s="3"/>
      <c r="K29" s="3"/>
      <c r="Q29" s="3" t="s">
        <v>147</v>
      </c>
      <c r="R29" s="3">
        <v>1</v>
      </c>
      <c r="S29" s="3">
        <v>2.5</v>
      </c>
      <c r="T29" s="21" t="str">
        <f t="shared" si="8"/>
        <v>ВВГнг(А)-FRLS (1х2,5)</v>
      </c>
      <c r="U29" s="3">
        <v>7.6</v>
      </c>
      <c r="V29" s="3">
        <f t="shared" si="3"/>
        <v>14</v>
      </c>
      <c r="W29" s="3" t="str">
        <f t="shared" si="4"/>
        <v>Ø20</v>
      </c>
      <c r="X29" s="3" t="str">
        <f t="shared" si="5"/>
        <v>Ø20</v>
      </c>
    </row>
    <row r="30" spans="2:24" x14ac:dyDescent="0.3">
      <c r="B30" s="3">
        <v>76</v>
      </c>
      <c r="C30" s="3">
        <v>140.19</v>
      </c>
      <c r="D30" s="3">
        <v>1051.43</v>
      </c>
      <c r="E30" s="3"/>
      <c r="F30" s="3"/>
      <c r="G30" s="3">
        <v>0.93599999999999994</v>
      </c>
      <c r="H30" s="3">
        <v>7.5</v>
      </c>
      <c r="I30" s="3">
        <v>0.88</v>
      </c>
      <c r="J30" s="3"/>
      <c r="K30" s="3"/>
      <c r="Q30" s="3" t="s">
        <v>147</v>
      </c>
      <c r="R30" s="3">
        <v>2</v>
      </c>
      <c r="S30" s="3">
        <v>2.5</v>
      </c>
      <c r="T30" s="21" t="str">
        <f t="shared" si="8"/>
        <v>ВВГнг(А)-FRLS (2х2,5)</v>
      </c>
      <c r="U30" s="3">
        <v>14.9</v>
      </c>
      <c r="V30" s="3">
        <f t="shared" si="3"/>
        <v>17.88</v>
      </c>
      <c r="W30" s="3" t="str">
        <f t="shared" si="4"/>
        <v>Ø25</v>
      </c>
      <c r="X30" s="3" t="str">
        <f t="shared" si="5"/>
        <v>Ø25</v>
      </c>
    </row>
    <row r="31" spans="2:24" x14ac:dyDescent="0.3">
      <c r="B31" s="3">
        <v>90</v>
      </c>
      <c r="C31" s="3">
        <v>163.63</v>
      </c>
      <c r="D31" s="3">
        <v>1227.23</v>
      </c>
      <c r="E31" s="3"/>
      <c r="F31" s="3"/>
      <c r="G31" s="3">
        <v>0.93900000000000006</v>
      </c>
      <c r="H31" s="3">
        <v>7.5</v>
      </c>
      <c r="I31" s="3">
        <v>0.89</v>
      </c>
      <c r="J31" s="3"/>
      <c r="K31" s="3"/>
      <c r="Q31" s="3" t="s">
        <v>147</v>
      </c>
      <c r="R31" s="3">
        <v>3</v>
      </c>
      <c r="S31" s="3">
        <v>2.5</v>
      </c>
      <c r="T31" s="21" t="str">
        <f t="shared" si="8"/>
        <v>ВВГнг(А)-FRLS (3х2,5)</v>
      </c>
      <c r="U31" s="3">
        <v>15.6</v>
      </c>
      <c r="V31" s="3">
        <f t="shared" si="3"/>
        <v>18.72</v>
      </c>
      <c r="W31" s="3" t="str">
        <f t="shared" si="4"/>
        <v>Ø25</v>
      </c>
      <c r="X31" s="3" t="str">
        <f t="shared" si="5"/>
        <v>Ø32</v>
      </c>
    </row>
    <row r="32" spans="2:24" x14ac:dyDescent="0.3">
      <c r="B32" s="3">
        <v>110</v>
      </c>
      <c r="C32" s="3">
        <v>198.72</v>
      </c>
      <c r="D32" s="3">
        <v>1291.68</v>
      </c>
      <c r="E32" s="3"/>
      <c r="F32" s="3"/>
      <c r="G32" s="3">
        <v>0.94499999999999995</v>
      </c>
      <c r="H32" s="3">
        <v>6.5</v>
      </c>
      <c r="I32" s="3">
        <v>0.89</v>
      </c>
      <c r="J32" s="3"/>
      <c r="K32" s="3"/>
      <c r="Q32" s="3" t="s">
        <v>147</v>
      </c>
      <c r="R32" s="3">
        <v>4</v>
      </c>
      <c r="S32" s="3">
        <v>2.5</v>
      </c>
      <c r="T32" s="21" t="str">
        <f t="shared" si="8"/>
        <v>ВВГнг(А)-FRLS (4х2,5)</v>
      </c>
      <c r="U32" s="3">
        <v>16.8</v>
      </c>
      <c r="V32" s="3">
        <f t="shared" si="3"/>
        <v>20.16</v>
      </c>
      <c r="W32" s="3" t="str">
        <f t="shared" si="4"/>
        <v>Ø32</v>
      </c>
      <c r="X32" s="3" t="str">
        <f t="shared" si="5"/>
        <v>Ø32</v>
      </c>
    </row>
    <row r="33" spans="2:24" x14ac:dyDescent="0.3">
      <c r="B33" s="3">
        <v>132</v>
      </c>
      <c r="C33" s="3">
        <v>237.71</v>
      </c>
      <c r="D33" s="3">
        <v>1545.12</v>
      </c>
      <c r="E33" s="3"/>
      <c r="F33" s="3"/>
      <c r="G33" s="3">
        <v>0.94799999999999995</v>
      </c>
      <c r="H33" s="3">
        <v>6.5</v>
      </c>
      <c r="I33" s="3">
        <v>0.89</v>
      </c>
      <c r="J33" s="3"/>
      <c r="K33" s="3"/>
      <c r="Q33" s="3" t="s">
        <v>147</v>
      </c>
      <c r="R33" s="3">
        <v>5</v>
      </c>
      <c r="S33" s="3">
        <v>2.5</v>
      </c>
      <c r="T33" s="21" t="str">
        <f t="shared" si="8"/>
        <v>ВВГнг(А)-FRLS (5х2,5)</v>
      </c>
      <c r="U33" s="3">
        <v>18.2</v>
      </c>
      <c r="V33" s="3">
        <f t="shared" si="3"/>
        <v>21.84</v>
      </c>
      <c r="W33" s="3" t="str">
        <f t="shared" si="4"/>
        <v>Ø32</v>
      </c>
      <c r="X33" s="3" t="str">
        <f t="shared" si="5"/>
        <v>Ø32</v>
      </c>
    </row>
    <row r="34" spans="2:24" x14ac:dyDescent="0.3">
      <c r="B34" s="3">
        <v>160</v>
      </c>
      <c r="C34" s="3">
        <v>281.5</v>
      </c>
      <c r="D34" s="3">
        <v>1548.25</v>
      </c>
      <c r="E34" s="3"/>
      <c r="F34" s="3"/>
      <c r="G34" s="3">
        <v>0.94900000000000007</v>
      </c>
      <c r="H34" s="3">
        <v>5.5</v>
      </c>
      <c r="I34" s="3">
        <v>0.91</v>
      </c>
      <c r="J34" s="3"/>
      <c r="K34" s="3"/>
      <c r="Q34" s="3" t="s">
        <v>147</v>
      </c>
      <c r="R34" s="3">
        <v>1</v>
      </c>
      <c r="S34" s="3">
        <v>4</v>
      </c>
      <c r="T34" s="21" t="str">
        <f t="shared" si="8"/>
        <v>ВВГнг(А)-FRLS (1х4)</v>
      </c>
      <c r="U34" s="3">
        <v>8.5</v>
      </c>
      <c r="V34" s="3">
        <f t="shared" si="3"/>
        <v>14</v>
      </c>
      <c r="W34" s="3" t="str">
        <f t="shared" si="4"/>
        <v>Ø20</v>
      </c>
      <c r="X34" s="3" t="str">
        <f t="shared" si="5"/>
        <v>Ø20</v>
      </c>
    </row>
    <row r="35" spans="2:24" x14ac:dyDescent="0.3">
      <c r="B35" s="3">
        <v>200</v>
      </c>
      <c r="C35" s="3">
        <v>348.05</v>
      </c>
      <c r="D35" s="3">
        <v>1914.26</v>
      </c>
      <c r="E35" s="3"/>
      <c r="F35" s="3"/>
      <c r="G35" s="3">
        <v>0.94900000000000007</v>
      </c>
      <c r="H35" s="3">
        <v>5.5</v>
      </c>
      <c r="I35" s="3">
        <v>0.92</v>
      </c>
      <c r="J35" s="3"/>
      <c r="K35" s="3"/>
      <c r="Q35" s="3" t="s">
        <v>147</v>
      </c>
      <c r="R35" s="3">
        <v>2</v>
      </c>
      <c r="S35" s="3">
        <v>4</v>
      </c>
      <c r="T35" s="21" t="str">
        <f t="shared" si="8"/>
        <v>ВВГнг(А)-FRLS (2х4)</v>
      </c>
      <c r="U35" s="3">
        <v>16.600000000000001</v>
      </c>
      <c r="V35" s="3">
        <f t="shared" si="3"/>
        <v>19.920000000000002</v>
      </c>
      <c r="W35" s="3" t="str">
        <f t="shared" si="4"/>
        <v>Ø32</v>
      </c>
      <c r="X35" s="3" t="str">
        <f t="shared" si="5"/>
        <v>Ø32</v>
      </c>
    </row>
    <row r="36" spans="2:24" x14ac:dyDescent="0.3">
      <c r="B36" s="3">
        <v>250</v>
      </c>
      <c r="C36" s="3">
        <v>433.69</v>
      </c>
      <c r="D36" s="3">
        <v>2992.46</v>
      </c>
      <c r="E36" s="3"/>
      <c r="F36" s="3"/>
      <c r="G36" s="3">
        <v>0.95200000000000007</v>
      </c>
      <c r="H36" s="3">
        <v>6.9</v>
      </c>
      <c r="I36" s="3">
        <v>0.92</v>
      </c>
      <c r="J36" s="3"/>
      <c r="K36" s="3"/>
      <c r="Q36" s="3" t="s">
        <v>147</v>
      </c>
      <c r="R36" s="3">
        <v>3</v>
      </c>
      <c r="S36" s="3">
        <v>4</v>
      </c>
      <c r="T36" s="21" t="str">
        <f t="shared" si="8"/>
        <v>ВВГнг(А)-FRLS (3х4)</v>
      </c>
      <c r="U36" s="3">
        <v>17.5</v>
      </c>
      <c r="V36" s="3">
        <f t="shared" si="3"/>
        <v>21</v>
      </c>
      <c r="W36" s="3" t="str">
        <f t="shared" si="4"/>
        <v>Ø32</v>
      </c>
      <c r="X36" s="3" t="str">
        <f t="shared" si="5"/>
        <v>Ø32</v>
      </c>
    </row>
    <row r="37" spans="2:24" x14ac:dyDescent="0.3">
      <c r="B37" s="3">
        <v>315</v>
      </c>
      <c r="C37" s="3">
        <v>546.45000000000005</v>
      </c>
      <c r="D37" s="3">
        <v>3770.51</v>
      </c>
      <c r="E37" s="3"/>
      <c r="F37" s="3"/>
      <c r="G37" s="3">
        <v>0.95200000000000007</v>
      </c>
      <c r="H37" s="3">
        <v>6.9</v>
      </c>
      <c r="I37" s="3">
        <v>0.92</v>
      </c>
      <c r="J37" s="3"/>
      <c r="K37" s="3"/>
      <c r="Q37" s="3" t="s">
        <v>147</v>
      </c>
      <c r="R37" s="3">
        <v>4</v>
      </c>
      <c r="S37" s="3">
        <v>4</v>
      </c>
      <c r="T37" s="21" t="str">
        <f t="shared" si="8"/>
        <v>ВВГнг(А)-FRLS (4х4)</v>
      </c>
      <c r="U37" s="3">
        <v>18.899999999999999</v>
      </c>
      <c r="V37" s="3">
        <f t="shared" si="3"/>
        <v>22.679999999999996</v>
      </c>
      <c r="W37" s="3" t="str">
        <f t="shared" si="4"/>
        <v>Ø32</v>
      </c>
      <c r="X37" s="3" t="str">
        <f t="shared" si="5"/>
        <v>Ø32</v>
      </c>
    </row>
    <row r="38" spans="2:24" x14ac:dyDescent="0.3">
      <c r="Q38" s="3" t="s">
        <v>147</v>
      </c>
      <c r="R38" s="3">
        <v>5</v>
      </c>
      <c r="S38" s="3">
        <v>4</v>
      </c>
      <c r="T38" s="21" t="str">
        <f t="shared" si="8"/>
        <v>ВВГнг(А)-FRLS (5х4)</v>
      </c>
      <c r="U38" s="3">
        <v>20.6</v>
      </c>
      <c r="V38" s="3">
        <f t="shared" si="3"/>
        <v>24.720000000000002</v>
      </c>
      <c r="W38" s="3" t="str">
        <f t="shared" si="4"/>
        <v>Ø32</v>
      </c>
      <c r="X38" s="3" t="str">
        <f t="shared" si="5"/>
        <v>Ø40</v>
      </c>
    </row>
    <row r="39" spans="2:24" x14ac:dyDescent="0.3">
      <c r="Q39" s="3" t="s">
        <v>147</v>
      </c>
      <c r="R39" s="3">
        <v>1</v>
      </c>
      <c r="S39" s="3">
        <v>6</v>
      </c>
      <c r="T39" s="21" t="str">
        <f t="shared" si="8"/>
        <v>ВВГнг(А)-FRLS (1х6)</v>
      </c>
      <c r="U39" s="3">
        <v>9.1999999999999993</v>
      </c>
      <c r="V39" s="3">
        <f t="shared" si="3"/>
        <v>14</v>
      </c>
      <c r="W39" s="3" t="str">
        <f t="shared" si="4"/>
        <v>Ø20</v>
      </c>
      <c r="X39" s="3" t="str">
        <f t="shared" si="5"/>
        <v>Ø20</v>
      </c>
    </row>
    <row r="40" spans="2:24" x14ac:dyDescent="0.3">
      <c r="Q40" s="3" t="s">
        <v>147</v>
      </c>
      <c r="R40" s="3">
        <v>2</v>
      </c>
      <c r="S40" s="3">
        <v>6</v>
      </c>
      <c r="T40" s="21" t="str">
        <f t="shared" si="8"/>
        <v>ВВГнг(А)-FRLS (2х6)</v>
      </c>
      <c r="U40" s="3">
        <v>17.600000000000001</v>
      </c>
      <c r="V40" s="3">
        <f t="shared" si="3"/>
        <v>21.12</v>
      </c>
      <c r="W40" s="3" t="str">
        <f t="shared" si="4"/>
        <v>Ø32</v>
      </c>
      <c r="X40" s="3" t="str">
        <f t="shared" si="5"/>
        <v>Ø32</v>
      </c>
    </row>
    <row r="41" spans="2:24" x14ac:dyDescent="0.3">
      <c r="Q41" s="3" t="s">
        <v>147</v>
      </c>
      <c r="R41" s="3">
        <v>3</v>
      </c>
      <c r="S41" s="3">
        <v>6</v>
      </c>
      <c r="T41" s="21" t="str">
        <f t="shared" si="8"/>
        <v>ВВГнг(А)-FRLS (3х6)</v>
      </c>
      <c r="U41" s="3">
        <v>18.5</v>
      </c>
      <c r="V41" s="3">
        <f t="shared" si="3"/>
        <v>22.2</v>
      </c>
      <c r="W41" s="3" t="str">
        <f t="shared" si="4"/>
        <v>Ø32</v>
      </c>
      <c r="X41" s="3" t="str">
        <f t="shared" si="5"/>
        <v>Ø32</v>
      </c>
    </row>
    <row r="42" spans="2:24" x14ac:dyDescent="0.3">
      <c r="Q42" s="3" t="s">
        <v>147</v>
      </c>
      <c r="R42" s="3">
        <v>4</v>
      </c>
      <c r="S42" s="3">
        <v>6</v>
      </c>
      <c r="T42" s="21" t="str">
        <f t="shared" si="8"/>
        <v>ВВГнг(А)-FRLS (4х6)</v>
      </c>
      <c r="U42" s="3">
        <v>20.100000000000001</v>
      </c>
      <c r="V42" s="3">
        <f t="shared" si="3"/>
        <v>24.12</v>
      </c>
      <c r="W42" s="3" t="str">
        <f t="shared" si="4"/>
        <v>Ø32</v>
      </c>
      <c r="X42" s="3" t="str">
        <f t="shared" si="5"/>
        <v>Ø32</v>
      </c>
    </row>
    <row r="43" spans="2:24" x14ac:dyDescent="0.3">
      <c r="Q43" s="3" t="s">
        <v>147</v>
      </c>
      <c r="R43" s="3">
        <v>5</v>
      </c>
      <c r="S43" s="3">
        <v>6</v>
      </c>
      <c r="T43" s="21" t="str">
        <f t="shared" si="8"/>
        <v>ВВГнг(А)-FRLS (5х6)</v>
      </c>
      <c r="U43" s="3">
        <v>21.9</v>
      </c>
      <c r="V43" s="3">
        <f t="shared" si="3"/>
        <v>26.279999999999998</v>
      </c>
      <c r="W43" s="3" t="str">
        <f t="shared" si="4"/>
        <v>Ø40</v>
      </c>
      <c r="X43" s="3" t="str">
        <f t="shared" si="5"/>
        <v>Ø40</v>
      </c>
    </row>
    <row r="44" spans="2:24" x14ac:dyDescent="0.3">
      <c r="Q44" s="3" t="s">
        <v>144</v>
      </c>
      <c r="R44" s="3">
        <v>1</v>
      </c>
      <c r="S44" s="3">
        <v>1.5</v>
      </c>
      <c r="T44" s="21" t="str">
        <f>Q44&amp;" ("&amp;R44&amp;"х"&amp;S44&amp;")"</f>
        <v>ППГнг(А)-HF (1х1,5)</v>
      </c>
      <c r="U44" s="3">
        <v>5.5</v>
      </c>
      <c r="V44" s="3">
        <f t="shared" si="3"/>
        <v>14</v>
      </c>
      <c r="W44" s="3" t="str">
        <f t="shared" si="4"/>
        <v>Ø20</v>
      </c>
      <c r="X44" s="3" t="str">
        <f t="shared" si="5"/>
        <v>Ø20</v>
      </c>
    </row>
    <row r="45" spans="2:24" x14ac:dyDescent="0.3">
      <c r="Q45" s="3" t="s">
        <v>144</v>
      </c>
      <c r="R45" s="3">
        <v>2</v>
      </c>
      <c r="S45" s="3">
        <v>1.5</v>
      </c>
      <c r="T45" s="21" t="str">
        <f t="shared" ref="T45:T63" si="9">Q45&amp;" ("&amp;R45&amp;"х"&amp;S45&amp;")"</f>
        <v>ППГнг(А)-HF (2х1,5)</v>
      </c>
      <c r="U45" s="3">
        <v>9</v>
      </c>
      <c r="V45" s="3">
        <f t="shared" si="3"/>
        <v>14</v>
      </c>
      <c r="W45" s="3" t="str">
        <f t="shared" si="4"/>
        <v>Ø20</v>
      </c>
      <c r="X45" s="3" t="str">
        <f t="shared" si="5"/>
        <v>Ø20</v>
      </c>
    </row>
    <row r="46" spans="2:24" x14ac:dyDescent="0.3">
      <c r="Q46" s="3" t="s">
        <v>144</v>
      </c>
      <c r="R46" s="3">
        <v>3</v>
      </c>
      <c r="S46" s="3">
        <v>1.5</v>
      </c>
      <c r="T46" s="21" t="str">
        <f t="shared" si="9"/>
        <v>ППГнг(А)-HF (3х1,5)</v>
      </c>
      <c r="U46" s="3">
        <v>9.4</v>
      </c>
      <c r="V46" s="3">
        <f t="shared" si="3"/>
        <v>14</v>
      </c>
      <c r="W46" s="3" t="str">
        <f t="shared" si="4"/>
        <v>Ø20</v>
      </c>
      <c r="X46" s="3" t="str">
        <f t="shared" si="5"/>
        <v>Ø20</v>
      </c>
    </row>
    <row r="47" spans="2:24" x14ac:dyDescent="0.3">
      <c r="Q47" s="3" t="s">
        <v>144</v>
      </c>
      <c r="R47" s="3">
        <v>4</v>
      </c>
      <c r="S47" s="3">
        <v>1.5</v>
      </c>
      <c r="T47" s="21" t="str">
        <f t="shared" si="9"/>
        <v>ППГнг(А)-HF (4х1,5)</v>
      </c>
      <c r="U47" s="3">
        <v>10.1</v>
      </c>
      <c r="V47" s="3">
        <f t="shared" si="3"/>
        <v>14</v>
      </c>
      <c r="W47" s="3" t="str">
        <f t="shared" si="4"/>
        <v>Ø20</v>
      </c>
      <c r="X47" s="3" t="str">
        <f t="shared" si="5"/>
        <v>Ø20</v>
      </c>
    </row>
    <row r="48" spans="2:24" x14ac:dyDescent="0.3">
      <c r="Q48" s="3" t="s">
        <v>144</v>
      </c>
      <c r="R48" s="3">
        <v>5</v>
      </c>
      <c r="S48" s="3">
        <v>1.5</v>
      </c>
      <c r="T48" s="21" t="str">
        <f t="shared" si="9"/>
        <v>ППГнг(А)-HF (5х1,5)</v>
      </c>
      <c r="U48" s="3">
        <v>10.8</v>
      </c>
      <c r="V48" s="3">
        <f t="shared" si="3"/>
        <v>14</v>
      </c>
      <c r="W48" s="3" t="str">
        <f t="shared" si="4"/>
        <v>Ø20</v>
      </c>
      <c r="X48" s="3" t="str">
        <f t="shared" si="5"/>
        <v>Ø20</v>
      </c>
    </row>
    <row r="49" spans="17:24" x14ac:dyDescent="0.3">
      <c r="Q49" s="3" t="s">
        <v>144</v>
      </c>
      <c r="R49" s="3">
        <v>1</v>
      </c>
      <c r="S49" s="3">
        <v>2.5</v>
      </c>
      <c r="T49" s="21" t="str">
        <f t="shared" si="9"/>
        <v>ППГнг(А)-HF (1х2,5)</v>
      </c>
      <c r="U49" s="3">
        <v>5.9</v>
      </c>
      <c r="V49" s="3">
        <f t="shared" si="3"/>
        <v>14</v>
      </c>
      <c r="W49" s="3" t="str">
        <f t="shared" si="4"/>
        <v>Ø20</v>
      </c>
      <c r="X49" s="3" t="str">
        <f t="shared" si="5"/>
        <v>Ø20</v>
      </c>
    </row>
    <row r="50" spans="17:24" x14ac:dyDescent="0.3">
      <c r="Q50" s="3" t="s">
        <v>144</v>
      </c>
      <c r="R50" s="3">
        <v>2</v>
      </c>
      <c r="S50" s="3">
        <v>2.5</v>
      </c>
      <c r="T50" s="21" t="str">
        <f t="shared" si="9"/>
        <v>ППГнг(А)-HF (2х2,5)</v>
      </c>
      <c r="U50" s="3">
        <v>9.6999999999999993</v>
      </c>
      <c r="V50" s="3">
        <f t="shared" si="3"/>
        <v>14</v>
      </c>
      <c r="W50" s="3" t="str">
        <f t="shared" si="4"/>
        <v>Ø20</v>
      </c>
      <c r="X50" s="3" t="str">
        <f t="shared" si="5"/>
        <v>Ø20</v>
      </c>
    </row>
    <row r="51" spans="17:24" x14ac:dyDescent="0.3">
      <c r="Q51" s="3" t="s">
        <v>144</v>
      </c>
      <c r="R51" s="3">
        <v>3</v>
      </c>
      <c r="S51" s="3">
        <v>2.5</v>
      </c>
      <c r="T51" s="21" t="str">
        <f t="shared" si="9"/>
        <v>ППГнг(А)-HF (3х2,5)</v>
      </c>
      <c r="U51" s="3">
        <v>10.199999999999999</v>
      </c>
      <c r="V51" s="3">
        <f t="shared" si="3"/>
        <v>14</v>
      </c>
      <c r="W51" s="3" t="str">
        <f t="shared" si="4"/>
        <v>Ø20</v>
      </c>
      <c r="X51" s="3" t="str">
        <f t="shared" si="5"/>
        <v>Ø20</v>
      </c>
    </row>
    <row r="52" spans="17:24" x14ac:dyDescent="0.3">
      <c r="Q52" s="3" t="s">
        <v>144</v>
      </c>
      <c r="R52" s="3">
        <v>4</v>
      </c>
      <c r="S52" s="3">
        <v>2.5</v>
      </c>
      <c r="T52" s="21" t="str">
        <f t="shared" si="9"/>
        <v>ППГнг(А)-HF (4х2,5)</v>
      </c>
      <c r="U52" s="3">
        <v>11</v>
      </c>
      <c r="V52" s="3">
        <f t="shared" si="3"/>
        <v>14</v>
      </c>
      <c r="W52" s="3" t="str">
        <f t="shared" si="4"/>
        <v>Ø20</v>
      </c>
      <c r="X52" s="3" t="str">
        <f t="shared" si="5"/>
        <v>Ø20</v>
      </c>
    </row>
    <row r="53" spans="17:24" x14ac:dyDescent="0.3">
      <c r="Q53" s="3" t="s">
        <v>144</v>
      </c>
      <c r="R53" s="3">
        <v>5</v>
      </c>
      <c r="S53" s="3">
        <v>2.5</v>
      </c>
      <c r="T53" s="21" t="str">
        <f t="shared" si="9"/>
        <v>ППГнг(А)-HF (5х2,5)</v>
      </c>
      <c r="U53" s="3">
        <v>11.9</v>
      </c>
      <c r="V53" s="3">
        <f t="shared" si="3"/>
        <v>14.28</v>
      </c>
      <c r="W53" s="3" t="str">
        <f t="shared" si="4"/>
        <v>Ø20</v>
      </c>
      <c r="X53" s="3" t="str">
        <f t="shared" si="5"/>
        <v>Ø20</v>
      </c>
    </row>
    <row r="54" spans="17:24" x14ac:dyDescent="0.3">
      <c r="Q54" s="3" t="s">
        <v>144</v>
      </c>
      <c r="R54" s="3">
        <v>1</v>
      </c>
      <c r="S54" s="3">
        <v>4</v>
      </c>
      <c r="T54" s="21" t="str">
        <f t="shared" si="9"/>
        <v>ППГнг(А)-HF (1х4)</v>
      </c>
      <c r="U54" s="3">
        <v>6.5</v>
      </c>
      <c r="V54" s="3">
        <f t="shared" si="3"/>
        <v>14</v>
      </c>
      <c r="W54" s="3" t="str">
        <f t="shared" si="4"/>
        <v>Ø20</v>
      </c>
      <c r="X54" s="3" t="str">
        <f t="shared" si="5"/>
        <v>Ø20</v>
      </c>
    </row>
    <row r="55" spans="17:24" x14ac:dyDescent="0.3">
      <c r="Q55" s="3" t="s">
        <v>144</v>
      </c>
      <c r="R55" s="3">
        <v>2</v>
      </c>
      <c r="S55" s="3">
        <v>4</v>
      </c>
      <c r="T55" s="21" t="str">
        <f t="shared" si="9"/>
        <v>ППГнг(А)-HF (2х4)</v>
      </c>
      <c r="U55" s="3">
        <v>11.1</v>
      </c>
      <c r="V55" s="3">
        <f t="shared" si="3"/>
        <v>14</v>
      </c>
      <c r="W55" s="3" t="str">
        <f t="shared" si="4"/>
        <v>Ø20</v>
      </c>
      <c r="X55" s="3" t="str">
        <f t="shared" si="5"/>
        <v>Ø20</v>
      </c>
    </row>
    <row r="56" spans="17:24" x14ac:dyDescent="0.3">
      <c r="Q56" s="3" t="s">
        <v>144</v>
      </c>
      <c r="R56" s="3">
        <v>3</v>
      </c>
      <c r="S56" s="3">
        <v>4</v>
      </c>
      <c r="T56" s="21" t="str">
        <f t="shared" si="9"/>
        <v>ППГнг(А)-HF (3х4)</v>
      </c>
      <c r="U56" s="3">
        <v>11.6</v>
      </c>
      <c r="V56" s="3">
        <f t="shared" si="3"/>
        <v>14</v>
      </c>
      <c r="W56" s="3" t="str">
        <f t="shared" si="4"/>
        <v>Ø20</v>
      </c>
      <c r="X56" s="3" t="str">
        <f t="shared" si="5"/>
        <v>Ø20</v>
      </c>
    </row>
    <row r="57" spans="17:24" x14ac:dyDescent="0.3">
      <c r="Q57" s="3" t="s">
        <v>144</v>
      </c>
      <c r="R57" s="3">
        <v>4</v>
      </c>
      <c r="S57" s="3">
        <v>4</v>
      </c>
      <c r="T57" s="21" t="str">
        <f t="shared" si="9"/>
        <v>ППГнг(А)-HF (4х4)</v>
      </c>
      <c r="U57" s="3">
        <v>12.6</v>
      </c>
      <c r="V57" s="3">
        <f t="shared" si="3"/>
        <v>15.12</v>
      </c>
      <c r="W57" s="3" t="str">
        <f t="shared" si="4"/>
        <v>Ø25</v>
      </c>
      <c r="X57" s="3" t="str">
        <f t="shared" si="5"/>
        <v>Ø25</v>
      </c>
    </row>
    <row r="58" spans="17:24" x14ac:dyDescent="0.3">
      <c r="Q58" s="3" t="s">
        <v>144</v>
      </c>
      <c r="R58" s="3">
        <v>5</v>
      </c>
      <c r="S58" s="3">
        <v>4</v>
      </c>
      <c r="T58" s="21" t="str">
        <f t="shared" si="9"/>
        <v>ППГнг(А)-HF (5х4)</v>
      </c>
      <c r="U58" s="3">
        <v>13.7</v>
      </c>
      <c r="V58" s="3">
        <f t="shared" si="3"/>
        <v>16.439999999999998</v>
      </c>
      <c r="W58" s="3" t="str">
        <f t="shared" si="4"/>
        <v>Ø25</v>
      </c>
      <c r="X58" s="3" t="str">
        <f t="shared" si="5"/>
        <v>Ø25</v>
      </c>
    </row>
    <row r="59" spans="17:24" x14ac:dyDescent="0.3">
      <c r="Q59" s="3" t="s">
        <v>144</v>
      </c>
      <c r="R59" s="3">
        <v>1</v>
      </c>
      <c r="S59" s="3">
        <v>6</v>
      </c>
      <c r="T59" s="21" t="str">
        <f t="shared" si="9"/>
        <v>ППГнг(А)-HF (1х6)</v>
      </c>
      <c r="U59" s="3">
        <v>7</v>
      </c>
      <c r="V59" s="3">
        <f t="shared" si="3"/>
        <v>14</v>
      </c>
      <c r="W59" s="3" t="str">
        <f t="shared" si="4"/>
        <v>Ø20</v>
      </c>
      <c r="X59" s="3" t="str">
        <f t="shared" si="5"/>
        <v>Ø20</v>
      </c>
    </row>
    <row r="60" spans="17:24" x14ac:dyDescent="0.3">
      <c r="Q60" s="3" t="s">
        <v>144</v>
      </c>
      <c r="R60" s="3">
        <v>2</v>
      </c>
      <c r="S60" s="3">
        <v>6</v>
      </c>
      <c r="T60" s="21" t="str">
        <f t="shared" si="9"/>
        <v>ППГнг(А)-HF (2х6)</v>
      </c>
      <c r="U60" s="3">
        <v>12.1</v>
      </c>
      <c r="V60" s="3">
        <f t="shared" si="3"/>
        <v>14.52</v>
      </c>
      <c r="W60" s="3" t="str">
        <f t="shared" si="4"/>
        <v>Ø20</v>
      </c>
      <c r="X60" s="3" t="str">
        <f t="shared" si="5"/>
        <v>Ø25</v>
      </c>
    </row>
    <row r="61" spans="17:24" x14ac:dyDescent="0.3">
      <c r="Q61" s="3" t="s">
        <v>144</v>
      </c>
      <c r="R61" s="3">
        <v>3</v>
      </c>
      <c r="S61" s="3">
        <v>6</v>
      </c>
      <c r="T61" s="21" t="str">
        <f t="shared" si="9"/>
        <v>ППГнг(А)-HF (3х6)</v>
      </c>
      <c r="U61" s="3">
        <v>12.7</v>
      </c>
      <c r="V61" s="3">
        <f t="shared" si="3"/>
        <v>15.239999999999998</v>
      </c>
      <c r="W61" s="3" t="str">
        <f t="shared" si="4"/>
        <v>Ø25</v>
      </c>
      <c r="X61" s="3" t="str">
        <f t="shared" si="5"/>
        <v>Ø25</v>
      </c>
    </row>
    <row r="62" spans="17:24" x14ac:dyDescent="0.3">
      <c r="Q62" s="3" t="s">
        <v>144</v>
      </c>
      <c r="R62" s="3">
        <v>4</v>
      </c>
      <c r="S62" s="3">
        <v>6</v>
      </c>
      <c r="T62" s="21" t="str">
        <f t="shared" si="9"/>
        <v>ППГнг(А)-HF (4х6)</v>
      </c>
      <c r="U62" s="3">
        <v>13.8</v>
      </c>
      <c r="V62" s="3">
        <f t="shared" si="3"/>
        <v>16.559999999999999</v>
      </c>
      <c r="W62" s="3" t="str">
        <f t="shared" si="4"/>
        <v>Ø25</v>
      </c>
      <c r="X62" s="3" t="str">
        <f t="shared" si="5"/>
        <v>Ø25</v>
      </c>
    </row>
    <row r="63" spans="17:24" x14ac:dyDescent="0.3">
      <c r="Q63" s="3" t="s">
        <v>144</v>
      </c>
      <c r="R63" s="3">
        <v>5</v>
      </c>
      <c r="S63" s="3">
        <v>6</v>
      </c>
      <c r="T63" s="21" t="str">
        <f t="shared" si="9"/>
        <v>ППГнг(А)-HF (5х6)</v>
      </c>
      <c r="U63" s="3">
        <v>15</v>
      </c>
      <c r="V63" s="3">
        <f t="shared" si="3"/>
        <v>18</v>
      </c>
      <c r="W63" s="3" t="str">
        <f t="shared" si="4"/>
        <v>Ø25</v>
      </c>
      <c r="X63" s="3" t="str">
        <f t="shared" si="5"/>
        <v>Ø25</v>
      </c>
    </row>
    <row r="64" spans="17:24" x14ac:dyDescent="0.3">
      <c r="Q64" s="3" t="s">
        <v>142</v>
      </c>
      <c r="R64" s="3">
        <v>1</v>
      </c>
      <c r="S64" s="3">
        <v>1.5</v>
      </c>
      <c r="T64" s="21" t="str">
        <f>Q64&amp;" ("&amp;R64&amp;"х"&amp;S64&amp;")"</f>
        <v>ППГнг(А)-FRHF (1х1,5)</v>
      </c>
      <c r="U64" s="3">
        <v>6.5</v>
      </c>
      <c r="V64" s="3">
        <f t="shared" si="3"/>
        <v>14</v>
      </c>
      <c r="W64" s="3" t="str">
        <f t="shared" si="4"/>
        <v>Ø20</v>
      </c>
      <c r="X64" s="3" t="str">
        <f t="shared" si="5"/>
        <v>Ø20</v>
      </c>
    </row>
    <row r="65" spans="17:24" x14ac:dyDescent="0.3">
      <c r="Q65" s="3" t="s">
        <v>142</v>
      </c>
      <c r="R65" s="3">
        <v>2</v>
      </c>
      <c r="S65" s="3">
        <v>1.5</v>
      </c>
      <c r="T65" s="21" t="str">
        <f t="shared" ref="T65:T91" si="10">Q65&amp;" ("&amp;R65&amp;"х"&amp;S65&amp;")"</f>
        <v>ППГнг(А)-FRHF (2х1,5)</v>
      </c>
      <c r="U65" s="3">
        <v>10.3</v>
      </c>
      <c r="V65" s="3">
        <f t="shared" si="3"/>
        <v>14</v>
      </c>
      <c r="W65" s="3" t="str">
        <f t="shared" si="4"/>
        <v>Ø20</v>
      </c>
      <c r="X65" s="3" t="str">
        <f t="shared" si="5"/>
        <v>Ø20</v>
      </c>
    </row>
    <row r="66" spans="17:24" x14ac:dyDescent="0.3">
      <c r="Q66" s="3" t="s">
        <v>142</v>
      </c>
      <c r="R66" s="3">
        <v>3</v>
      </c>
      <c r="S66" s="3">
        <v>1.5</v>
      </c>
      <c r="T66" s="21" t="str">
        <f t="shared" si="10"/>
        <v>ППГнг(А)-FRHF (3х1,5)</v>
      </c>
      <c r="U66" s="3">
        <v>10.8</v>
      </c>
      <c r="V66" s="3">
        <f t="shared" si="3"/>
        <v>14</v>
      </c>
      <c r="W66" s="3" t="str">
        <f t="shared" si="4"/>
        <v>Ø20</v>
      </c>
      <c r="X66" s="3" t="str">
        <f t="shared" si="5"/>
        <v>Ø20</v>
      </c>
    </row>
    <row r="67" spans="17:24" x14ac:dyDescent="0.3">
      <c r="Q67" s="3" t="s">
        <v>142</v>
      </c>
      <c r="R67" s="3">
        <v>4</v>
      </c>
      <c r="S67" s="3">
        <v>1.5</v>
      </c>
      <c r="T67" s="21" t="str">
        <f t="shared" si="10"/>
        <v>ППГнг(А)-FRHF (4х1,5)</v>
      </c>
      <c r="U67" s="3">
        <v>11.7</v>
      </c>
      <c r="V67" s="3">
        <f t="shared" si="3"/>
        <v>14.04</v>
      </c>
      <c r="W67" s="3" t="str">
        <f t="shared" si="4"/>
        <v>Ø20</v>
      </c>
      <c r="X67" s="3" t="str">
        <f t="shared" si="5"/>
        <v>Ø20</v>
      </c>
    </row>
    <row r="68" spans="17:24" x14ac:dyDescent="0.3">
      <c r="Q68" s="3" t="s">
        <v>142</v>
      </c>
      <c r="R68" s="3">
        <v>5</v>
      </c>
      <c r="S68" s="3">
        <v>1.5</v>
      </c>
      <c r="T68" s="21" t="str">
        <f t="shared" si="10"/>
        <v>ППГнг(А)-FRHF (5х1,5)</v>
      </c>
      <c r="U68" s="3">
        <v>13.1</v>
      </c>
      <c r="V68" s="3">
        <f t="shared" si="3"/>
        <v>15.719999999999999</v>
      </c>
      <c r="W68" s="3" t="str">
        <f t="shared" si="4"/>
        <v>Ø25</v>
      </c>
      <c r="X68" s="3" t="str">
        <f t="shared" si="5"/>
        <v>Ø25</v>
      </c>
    </row>
    <row r="69" spans="17:24" x14ac:dyDescent="0.3">
      <c r="Q69" s="3" t="s">
        <v>142</v>
      </c>
      <c r="R69" s="3">
        <v>1</v>
      </c>
      <c r="S69" s="3">
        <v>2.5</v>
      </c>
      <c r="T69" s="21" t="str">
        <f t="shared" si="10"/>
        <v>ППГнг(А)-FRHF (1х2,5)</v>
      </c>
      <c r="U69" s="3">
        <v>6.9</v>
      </c>
      <c r="V69" s="3">
        <f t="shared" ref="V69:V132" si="11">IF((U69*1.2)&lt;14,14,U69*1.2)</f>
        <v>14</v>
      </c>
      <c r="W69" s="3" t="str">
        <f t="shared" ref="W69:W132" si="12">"Ø"&amp;VLOOKUP(V69,$Z$4:$AA$10,2,TRUE)</f>
        <v>Ø20</v>
      </c>
      <c r="X69" s="3" t="str">
        <f t="shared" ref="X69:X132" si="13">"Ø"&amp;VLOOKUP(V69,$AD$4:$AE$10,2,TRUE)</f>
        <v>Ø20</v>
      </c>
    </row>
    <row r="70" spans="17:24" x14ac:dyDescent="0.3">
      <c r="Q70" s="3" t="s">
        <v>142</v>
      </c>
      <c r="R70" s="3">
        <v>2</v>
      </c>
      <c r="S70" s="3">
        <v>2.5</v>
      </c>
      <c r="T70" s="21" t="str">
        <f t="shared" si="10"/>
        <v>ППГнг(А)-FRHF (2х2,5)</v>
      </c>
      <c r="U70" s="3">
        <v>11.1</v>
      </c>
      <c r="V70" s="3">
        <f t="shared" si="11"/>
        <v>14</v>
      </c>
      <c r="W70" s="3" t="str">
        <f t="shared" si="12"/>
        <v>Ø20</v>
      </c>
      <c r="X70" s="3" t="str">
        <f t="shared" si="13"/>
        <v>Ø20</v>
      </c>
    </row>
    <row r="71" spans="17:24" x14ac:dyDescent="0.3">
      <c r="Q71" s="3" t="s">
        <v>142</v>
      </c>
      <c r="R71" s="3">
        <v>3</v>
      </c>
      <c r="S71" s="3">
        <v>2.5</v>
      </c>
      <c r="T71" s="21" t="str">
        <f t="shared" si="10"/>
        <v>ППГнг(А)-FRHF (3х2,5)</v>
      </c>
      <c r="U71" s="3">
        <v>11.6</v>
      </c>
      <c r="V71" s="3">
        <f t="shared" si="11"/>
        <v>14</v>
      </c>
      <c r="W71" s="3" t="str">
        <f t="shared" si="12"/>
        <v>Ø20</v>
      </c>
      <c r="X71" s="3" t="str">
        <f t="shared" si="13"/>
        <v>Ø20</v>
      </c>
    </row>
    <row r="72" spans="17:24" x14ac:dyDescent="0.3">
      <c r="Q72" s="3" t="s">
        <v>142</v>
      </c>
      <c r="R72" s="3">
        <v>4</v>
      </c>
      <c r="S72" s="3">
        <v>2.5</v>
      </c>
      <c r="T72" s="21" t="str">
        <f t="shared" si="10"/>
        <v>ППГнг(А)-FRHF (4х2,5)</v>
      </c>
      <c r="U72" s="3">
        <v>12.5</v>
      </c>
      <c r="V72" s="3">
        <f t="shared" si="11"/>
        <v>15</v>
      </c>
      <c r="W72" s="3" t="str">
        <f t="shared" si="12"/>
        <v>Ø25</v>
      </c>
      <c r="X72" s="3" t="str">
        <f t="shared" si="13"/>
        <v>Ø25</v>
      </c>
    </row>
    <row r="73" spans="17:24" x14ac:dyDescent="0.3">
      <c r="Q73" s="3" t="s">
        <v>142</v>
      </c>
      <c r="R73" s="3">
        <v>5</v>
      </c>
      <c r="S73" s="3">
        <v>2.5</v>
      </c>
      <c r="T73" s="21" t="str">
        <f t="shared" si="10"/>
        <v>ППГнг(А)-FRHF (5х2,5)</v>
      </c>
      <c r="U73" s="3">
        <v>13.6</v>
      </c>
      <c r="V73" s="3">
        <f t="shared" si="11"/>
        <v>16.32</v>
      </c>
      <c r="W73" s="3" t="str">
        <f t="shared" si="12"/>
        <v>Ø25</v>
      </c>
      <c r="X73" s="3" t="str">
        <f t="shared" si="13"/>
        <v>Ø25</v>
      </c>
    </row>
    <row r="74" spans="17:24" x14ac:dyDescent="0.3">
      <c r="Q74" s="3" t="s">
        <v>142</v>
      </c>
      <c r="R74" s="3">
        <v>1</v>
      </c>
      <c r="S74" s="3">
        <v>4</v>
      </c>
      <c r="T74" s="21" t="str">
        <f t="shared" si="10"/>
        <v>ППГнг(А)-FRHF (1х4)</v>
      </c>
      <c r="U74" s="3">
        <v>7.6</v>
      </c>
      <c r="V74" s="3">
        <f t="shared" si="11"/>
        <v>14</v>
      </c>
      <c r="W74" s="3" t="str">
        <f t="shared" si="12"/>
        <v>Ø20</v>
      </c>
      <c r="X74" s="3" t="str">
        <f t="shared" si="13"/>
        <v>Ø20</v>
      </c>
    </row>
    <row r="75" spans="17:24" x14ac:dyDescent="0.3">
      <c r="Q75" s="3" t="s">
        <v>142</v>
      </c>
      <c r="R75" s="3">
        <v>2</v>
      </c>
      <c r="S75" s="3">
        <v>4</v>
      </c>
      <c r="T75" s="21" t="str">
        <f t="shared" si="10"/>
        <v>ППГнг(А)-FRHF (2х4)</v>
      </c>
      <c r="U75" s="3">
        <v>12.4</v>
      </c>
      <c r="V75" s="3">
        <f t="shared" si="11"/>
        <v>14.879999999999999</v>
      </c>
      <c r="W75" s="3" t="str">
        <f t="shared" si="12"/>
        <v>Ø20</v>
      </c>
      <c r="X75" s="3" t="str">
        <f t="shared" si="13"/>
        <v>Ø25</v>
      </c>
    </row>
    <row r="76" spans="17:24" x14ac:dyDescent="0.3">
      <c r="Q76" s="3" t="s">
        <v>142</v>
      </c>
      <c r="R76" s="3">
        <v>3</v>
      </c>
      <c r="S76" s="3">
        <v>4</v>
      </c>
      <c r="T76" s="21" t="str">
        <f t="shared" si="10"/>
        <v>ППГнг(А)-FRHF (3х4)</v>
      </c>
      <c r="U76" s="3">
        <v>13.1</v>
      </c>
      <c r="V76" s="3">
        <f t="shared" si="11"/>
        <v>15.719999999999999</v>
      </c>
      <c r="W76" s="3" t="str">
        <f t="shared" si="12"/>
        <v>Ø25</v>
      </c>
      <c r="X76" s="3" t="str">
        <f t="shared" si="13"/>
        <v>Ø25</v>
      </c>
    </row>
    <row r="77" spans="17:24" x14ac:dyDescent="0.3">
      <c r="Q77" s="3" t="s">
        <v>142</v>
      </c>
      <c r="R77" s="3">
        <v>4</v>
      </c>
      <c r="S77" s="3">
        <v>4</v>
      </c>
      <c r="T77" s="21" t="str">
        <f t="shared" si="10"/>
        <v>ППГнг(А)-FRHF (4х4)</v>
      </c>
      <c r="U77" s="3">
        <v>14.2</v>
      </c>
      <c r="V77" s="3">
        <f t="shared" si="11"/>
        <v>17.04</v>
      </c>
      <c r="W77" s="3" t="str">
        <f t="shared" si="12"/>
        <v>Ø25</v>
      </c>
      <c r="X77" s="3" t="str">
        <f t="shared" si="13"/>
        <v>Ø25</v>
      </c>
    </row>
    <row r="78" spans="17:24" x14ac:dyDescent="0.3">
      <c r="Q78" s="3" t="s">
        <v>142</v>
      </c>
      <c r="R78" s="3">
        <v>5</v>
      </c>
      <c r="S78" s="3">
        <v>4</v>
      </c>
      <c r="T78" s="21" t="str">
        <f t="shared" si="10"/>
        <v>ППГнг(А)-FRHF (5х4)</v>
      </c>
      <c r="U78" s="3">
        <v>15.4</v>
      </c>
      <c r="V78" s="3">
        <f t="shared" si="11"/>
        <v>18.48</v>
      </c>
      <c r="W78" s="3" t="str">
        <f t="shared" si="12"/>
        <v>Ø25</v>
      </c>
      <c r="X78" s="3" t="str">
        <f t="shared" si="13"/>
        <v>Ø25</v>
      </c>
    </row>
    <row r="79" spans="17:24" x14ac:dyDescent="0.3">
      <c r="Q79" s="3" t="s">
        <v>142</v>
      </c>
      <c r="R79" s="3">
        <v>1</v>
      </c>
      <c r="S79" s="3">
        <v>6</v>
      </c>
      <c r="T79" s="21" t="str">
        <f t="shared" si="10"/>
        <v>ППГнг(А)-FRHF (1х6)</v>
      </c>
      <c r="U79" s="3">
        <v>9</v>
      </c>
      <c r="V79" s="3">
        <f t="shared" si="11"/>
        <v>14</v>
      </c>
      <c r="W79" s="3" t="str">
        <f t="shared" si="12"/>
        <v>Ø20</v>
      </c>
      <c r="X79" s="3" t="str">
        <f t="shared" si="13"/>
        <v>Ø20</v>
      </c>
    </row>
    <row r="80" spans="17:24" x14ac:dyDescent="0.3">
      <c r="Q80" s="3" t="s">
        <v>142</v>
      </c>
      <c r="R80" s="3">
        <v>2</v>
      </c>
      <c r="S80" s="3">
        <v>6</v>
      </c>
      <c r="T80" s="21" t="str">
        <f t="shared" si="10"/>
        <v>ППГнг(А)-FRHF (2х6)</v>
      </c>
      <c r="U80" s="3">
        <v>14</v>
      </c>
      <c r="V80" s="3">
        <f t="shared" si="11"/>
        <v>16.8</v>
      </c>
      <c r="W80" s="3" t="str">
        <f t="shared" si="12"/>
        <v>Ø25</v>
      </c>
      <c r="X80" s="3" t="str">
        <f t="shared" si="13"/>
        <v>Ø25</v>
      </c>
    </row>
    <row r="81" spans="17:24" x14ac:dyDescent="0.3">
      <c r="Q81" s="3" t="s">
        <v>142</v>
      </c>
      <c r="R81" s="3">
        <v>3</v>
      </c>
      <c r="S81" s="3">
        <v>6</v>
      </c>
      <c r="T81" s="21" t="str">
        <f t="shared" si="10"/>
        <v>ППГнг(А)-FRHF (3х6)</v>
      </c>
      <c r="U81" s="3">
        <v>14.8</v>
      </c>
      <c r="V81" s="3">
        <f t="shared" si="11"/>
        <v>17.760000000000002</v>
      </c>
      <c r="W81" s="3" t="str">
        <f t="shared" si="12"/>
        <v>Ø25</v>
      </c>
      <c r="X81" s="3" t="str">
        <f t="shared" si="13"/>
        <v>Ø25</v>
      </c>
    </row>
    <row r="82" spans="17:24" x14ac:dyDescent="0.3">
      <c r="Q82" s="3" t="s">
        <v>142</v>
      </c>
      <c r="R82" s="3">
        <v>4</v>
      </c>
      <c r="S82" s="3">
        <v>6</v>
      </c>
      <c r="T82" s="21" t="str">
        <f t="shared" si="10"/>
        <v>ППГнг(А)-FRHF (4х6)</v>
      </c>
      <c r="U82" s="3">
        <v>16.100000000000001</v>
      </c>
      <c r="V82" s="3">
        <f t="shared" si="11"/>
        <v>19.32</v>
      </c>
      <c r="W82" s="3" t="str">
        <f t="shared" si="12"/>
        <v>Ø32</v>
      </c>
      <c r="X82" s="3" t="str">
        <f t="shared" si="13"/>
        <v>Ø32</v>
      </c>
    </row>
    <row r="83" spans="17:24" x14ac:dyDescent="0.3">
      <c r="Q83" s="3" t="s">
        <v>142</v>
      </c>
      <c r="R83" s="3">
        <v>5</v>
      </c>
      <c r="S83" s="3">
        <v>6</v>
      </c>
      <c r="T83" s="21" t="str">
        <f t="shared" si="10"/>
        <v>ППГнг(А)-FRHF (5х6)</v>
      </c>
      <c r="U83" s="3">
        <v>17.600000000000001</v>
      </c>
      <c r="V83" s="3">
        <f t="shared" si="11"/>
        <v>21.12</v>
      </c>
      <c r="W83" s="3" t="str">
        <f t="shared" si="12"/>
        <v>Ø32</v>
      </c>
      <c r="X83" s="3" t="str">
        <f t="shared" si="13"/>
        <v>Ø32</v>
      </c>
    </row>
    <row r="84" spans="17:24" x14ac:dyDescent="0.3">
      <c r="Q84" s="3" t="s">
        <v>138</v>
      </c>
      <c r="R84" s="3">
        <v>1</v>
      </c>
      <c r="S84" s="3">
        <v>0.75</v>
      </c>
      <c r="T84" s="21" t="str">
        <f t="shared" si="10"/>
        <v>КГВВнг(А)-LS (1х0,75)</v>
      </c>
      <c r="U84" s="3">
        <v>2.2999999999999998</v>
      </c>
      <c r="V84" s="3">
        <f t="shared" si="11"/>
        <v>14</v>
      </c>
      <c r="W84" s="3" t="str">
        <f t="shared" si="12"/>
        <v>Ø20</v>
      </c>
      <c r="X84" s="3" t="str">
        <f t="shared" si="13"/>
        <v>Ø20</v>
      </c>
    </row>
    <row r="85" spans="17:24" x14ac:dyDescent="0.3">
      <c r="Q85" s="25" t="s">
        <v>138</v>
      </c>
      <c r="R85" s="3">
        <v>2</v>
      </c>
      <c r="S85" s="3">
        <v>0.75</v>
      </c>
      <c r="T85" s="21" t="str">
        <f t="shared" si="10"/>
        <v>КГВВнг(А)-LS (2х0,75)</v>
      </c>
      <c r="U85" s="3">
        <v>7</v>
      </c>
      <c r="V85" s="3">
        <f t="shared" si="11"/>
        <v>14</v>
      </c>
      <c r="W85" s="3" t="str">
        <f t="shared" si="12"/>
        <v>Ø20</v>
      </c>
      <c r="X85" s="3" t="str">
        <f t="shared" si="13"/>
        <v>Ø20</v>
      </c>
    </row>
    <row r="86" spans="17:24" x14ac:dyDescent="0.3">
      <c r="Q86" s="25" t="s">
        <v>138</v>
      </c>
      <c r="R86" s="3">
        <v>3</v>
      </c>
      <c r="S86" s="3">
        <v>0.75</v>
      </c>
      <c r="T86" s="21" t="str">
        <f t="shared" si="10"/>
        <v>КГВВнг(А)-LS (3х0,75)</v>
      </c>
      <c r="U86" s="3">
        <v>7.3</v>
      </c>
      <c r="V86" s="3">
        <f t="shared" si="11"/>
        <v>14</v>
      </c>
      <c r="W86" s="3" t="str">
        <f t="shared" si="12"/>
        <v>Ø20</v>
      </c>
      <c r="X86" s="3" t="str">
        <f t="shared" si="13"/>
        <v>Ø20</v>
      </c>
    </row>
    <row r="87" spans="17:24" x14ac:dyDescent="0.3">
      <c r="Q87" s="25" t="s">
        <v>138</v>
      </c>
      <c r="R87" s="3">
        <v>4</v>
      </c>
      <c r="S87" s="3">
        <v>0.75</v>
      </c>
      <c r="T87" s="21" t="str">
        <f t="shared" si="10"/>
        <v>КГВВнг(А)-LS (4х0,75)</v>
      </c>
      <c r="U87" s="3">
        <v>7.9</v>
      </c>
      <c r="V87" s="3">
        <f t="shared" si="11"/>
        <v>14</v>
      </c>
      <c r="W87" s="3" t="str">
        <f t="shared" si="12"/>
        <v>Ø20</v>
      </c>
      <c r="X87" s="3" t="str">
        <f t="shared" si="13"/>
        <v>Ø20</v>
      </c>
    </row>
    <row r="88" spans="17:24" x14ac:dyDescent="0.3">
      <c r="Q88" s="25" t="s">
        <v>138</v>
      </c>
      <c r="R88" s="3">
        <v>5</v>
      </c>
      <c r="S88" s="3">
        <v>0.75</v>
      </c>
      <c r="T88" s="21" t="str">
        <f t="shared" si="10"/>
        <v>КГВВнг(А)-LS (5х0,75)</v>
      </c>
      <c r="U88" s="3">
        <v>9.1999999999999993</v>
      </c>
      <c r="V88" s="3">
        <f t="shared" si="11"/>
        <v>14</v>
      </c>
      <c r="W88" s="3" t="str">
        <f t="shared" si="12"/>
        <v>Ø20</v>
      </c>
      <c r="X88" s="3" t="str">
        <f t="shared" si="13"/>
        <v>Ø20</v>
      </c>
    </row>
    <row r="89" spans="17:24" x14ac:dyDescent="0.3">
      <c r="Q89" s="25" t="s">
        <v>138</v>
      </c>
      <c r="R89" s="3">
        <v>6</v>
      </c>
      <c r="S89" s="3">
        <v>0.75</v>
      </c>
      <c r="T89" s="21" t="str">
        <f t="shared" si="10"/>
        <v>КГВВнг(А)-LS (6х0,75)</v>
      </c>
      <c r="U89" s="3">
        <v>9.6</v>
      </c>
      <c r="V89" s="3">
        <f t="shared" si="11"/>
        <v>14</v>
      </c>
      <c r="W89" s="3" t="str">
        <f t="shared" si="12"/>
        <v>Ø20</v>
      </c>
      <c r="X89" s="3" t="str">
        <f t="shared" si="13"/>
        <v>Ø20</v>
      </c>
    </row>
    <row r="90" spans="17:24" x14ac:dyDescent="0.3">
      <c r="Q90" s="25" t="s">
        <v>138</v>
      </c>
      <c r="R90" s="3">
        <v>7</v>
      </c>
      <c r="S90" s="3">
        <v>0.75</v>
      </c>
      <c r="T90" s="21" t="str">
        <f t="shared" si="10"/>
        <v>КГВВнг(А)-LS (7х0,75)</v>
      </c>
      <c r="U90" s="3">
        <v>9.9</v>
      </c>
      <c r="V90" s="3">
        <f t="shared" si="11"/>
        <v>14</v>
      </c>
      <c r="W90" s="3" t="str">
        <f t="shared" si="12"/>
        <v>Ø20</v>
      </c>
      <c r="X90" s="3" t="str">
        <f t="shared" si="13"/>
        <v>Ø20</v>
      </c>
    </row>
    <row r="91" spans="17:24" x14ac:dyDescent="0.3">
      <c r="Q91" s="25" t="s">
        <v>138</v>
      </c>
      <c r="R91" s="3">
        <v>10</v>
      </c>
      <c r="S91" s="3">
        <v>0.75</v>
      </c>
      <c r="T91" s="21" t="str">
        <f t="shared" si="10"/>
        <v>КГВВнг(А)-LS (10х0,75)</v>
      </c>
      <c r="U91" s="3">
        <v>11.6</v>
      </c>
      <c r="V91" s="3">
        <f t="shared" si="11"/>
        <v>14</v>
      </c>
      <c r="W91" s="3" t="str">
        <f t="shared" si="12"/>
        <v>Ø20</v>
      </c>
      <c r="X91" s="3" t="str">
        <f t="shared" si="13"/>
        <v>Ø20</v>
      </c>
    </row>
    <row r="92" spans="17:24" x14ac:dyDescent="0.3">
      <c r="Q92" s="25" t="s">
        <v>138</v>
      </c>
      <c r="R92" s="3">
        <v>14</v>
      </c>
      <c r="S92" s="3">
        <v>0.75</v>
      </c>
      <c r="T92" s="21" t="str">
        <f t="shared" ref="T92:T96" si="14">Q92&amp;" ("&amp;R92&amp;"х"&amp;S92&amp;")"</f>
        <v>КГВВнг(А)-LS (14х0,75)</v>
      </c>
      <c r="U92" s="3">
        <v>13.1</v>
      </c>
      <c r="V92" s="3">
        <f t="shared" si="11"/>
        <v>15.719999999999999</v>
      </c>
      <c r="W92" s="3" t="str">
        <f t="shared" si="12"/>
        <v>Ø25</v>
      </c>
      <c r="X92" s="3" t="str">
        <f t="shared" si="13"/>
        <v>Ø25</v>
      </c>
    </row>
    <row r="93" spans="17:24" x14ac:dyDescent="0.3">
      <c r="Q93" s="25" t="s">
        <v>138</v>
      </c>
      <c r="R93" s="3">
        <v>19</v>
      </c>
      <c r="S93" s="3">
        <v>0.75</v>
      </c>
      <c r="T93" s="21" t="str">
        <f t="shared" si="14"/>
        <v>КГВВнг(А)-LS (19х0,75)</v>
      </c>
      <c r="U93" s="3">
        <v>14.5</v>
      </c>
      <c r="V93" s="3">
        <f t="shared" si="11"/>
        <v>17.399999999999999</v>
      </c>
      <c r="W93" s="3" t="str">
        <f t="shared" si="12"/>
        <v>Ø25</v>
      </c>
      <c r="X93" s="3" t="str">
        <f t="shared" si="13"/>
        <v>Ø25</v>
      </c>
    </row>
    <row r="94" spans="17:24" x14ac:dyDescent="0.3">
      <c r="Q94" s="25" t="s">
        <v>138</v>
      </c>
      <c r="R94" s="3">
        <v>27</v>
      </c>
      <c r="S94" s="3">
        <v>0.75</v>
      </c>
      <c r="T94" s="21" t="str">
        <f t="shared" si="14"/>
        <v>КГВВнг(А)-LS (27х0,75)</v>
      </c>
      <c r="U94" s="3">
        <v>17.2</v>
      </c>
      <c r="V94" s="3">
        <f t="shared" si="11"/>
        <v>20.639999999999997</v>
      </c>
      <c r="W94" s="3" t="str">
        <f t="shared" si="12"/>
        <v>Ø32</v>
      </c>
      <c r="X94" s="3" t="str">
        <f t="shared" si="13"/>
        <v>Ø32</v>
      </c>
    </row>
    <row r="95" spans="17:24" x14ac:dyDescent="0.3">
      <c r="Q95" s="25" t="s">
        <v>138</v>
      </c>
      <c r="R95" s="3">
        <v>37</v>
      </c>
      <c r="S95" s="3">
        <v>0.75</v>
      </c>
      <c r="T95" s="21" t="str">
        <f t="shared" si="14"/>
        <v>КГВВнг(А)-LS (37х0,75)</v>
      </c>
      <c r="U95" s="3">
        <v>18.5</v>
      </c>
      <c r="V95" s="3">
        <f t="shared" si="11"/>
        <v>22.2</v>
      </c>
      <c r="W95" s="3" t="str">
        <f t="shared" si="12"/>
        <v>Ø32</v>
      </c>
      <c r="X95" s="3" t="str">
        <f t="shared" si="13"/>
        <v>Ø32</v>
      </c>
    </row>
    <row r="96" spans="17:24" x14ac:dyDescent="0.3">
      <c r="Q96" s="25" t="s">
        <v>138</v>
      </c>
      <c r="R96" s="3">
        <v>52</v>
      </c>
      <c r="S96" s="3">
        <v>0.75</v>
      </c>
      <c r="T96" s="21" t="str">
        <f t="shared" si="14"/>
        <v>КГВВнг(А)-LS (52х0,75)</v>
      </c>
      <c r="U96" s="3">
        <v>21.6</v>
      </c>
      <c r="V96" s="3">
        <f t="shared" si="11"/>
        <v>25.92</v>
      </c>
      <c r="W96" s="3" t="str">
        <f t="shared" si="12"/>
        <v>Ø40</v>
      </c>
      <c r="X96" s="3" t="str">
        <f t="shared" si="13"/>
        <v>Ø40</v>
      </c>
    </row>
    <row r="97" spans="17:24" x14ac:dyDescent="0.3">
      <c r="Q97" s="25" t="s">
        <v>138</v>
      </c>
      <c r="R97" s="3">
        <v>1</v>
      </c>
      <c r="S97" s="3">
        <v>1</v>
      </c>
      <c r="T97" s="21" t="str">
        <f t="shared" ref="T97:T101" si="15">Q97&amp;" ("&amp;R97&amp;"х"&amp;S97&amp;")"</f>
        <v>КГВВнг(А)-LS (1х1)</v>
      </c>
      <c r="U97" s="3">
        <v>2.8</v>
      </c>
      <c r="V97" s="3">
        <f t="shared" si="11"/>
        <v>14</v>
      </c>
      <c r="W97" s="3" t="str">
        <f t="shared" si="12"/>
        <v>Ø20</v>
      </c>
      <c r="X97" s="3" t="str">
        <f t="shared" si="13"/>
        <v>Ø20</v>
      </c>
    </row>
    <row r="98" spans="17:24" x14ac:dyDescent="0.3">
      <c r="Q98" s="25" t="s">
        <v>138</v>
      </c>
      <c r="R98" s="3">
        <v>2</v>
      </c>
      <c r="S98" s="3">
        <v>1</v>
      </c>
      <c r="T98" s="21" t="str">
        <f t="shared" si="15"/>
        <v>КГВВнг(А)-LS (2х1)</v>
      </c>
      <c r="U98" s="3">
        <v>7.3</v>
      </c>
      <c r="V98" s="3">
        <f t="shared" si="11"/>
        <v>14</v>
      </c>
      <c r="W98" s="3" t="str">
        <f t="shared" si="12"/>
        <v>Ø20</v>
      </c>
      <c r="X98" s="3" t="str">
        <f t="shared" si="13"/>
        <v>Ø20</v>
      </c>
    </row>
    <row r="99" spans="17:24" x14ac:dyDescent="0.3">
      <c r="Q99" s="25" t="s">
        <v>138</v>
      </c>
      <c r="R99" s="3">
        <v>3</v>
      </c>
      <c r="S99" s="3">
        <v>1</v>
      </c>
      <c r="T99" s="21" t="str">
        <f t="shared" si="15"/>
        <v>КГВВнг(А)-LS (3х1)</v>
      </c>
      <c r="U99" s="3">
        <v>7.7</v>
      </c>
      <c r="V99" s="3">
        <f t="shared" si="11"/>
        <v>14</v>
      </c>
      <c r="W99" s="3" t="str">
        <f t="shared" si="12"/>
        <v>Ø20</v>
      </c>
      <c r="X99" s="3" t="str">
        <f t="shared" si="13"/>
        <v>Ø20</v>
      </c>
    </row>
    <row r="100" spans="17:24" x14ac:dyDescent="0.3">
      <c r="Q100" s="25" t="s">
        <v>138</v>
      </c>
      <c r="R100" s="3">
        <v>4</v>
      </c>
      <c r="S100" s="3">
        <v>1</v>
      </c>
      <c r="T100" s="21" t="str">
        <f t="shared" si="15"/>
        <v>КГВВнг(А)-LS (4х1)</v>
      </c>
      <c r="U100" s="3">
        <v>8.3000000000000007</v>
      </c>
      <c r="V100" s="3">
        <f t="shared" si="11"/>
        <v>14</v>
      </c>
      <c r="W100" s="3" t="str">
        <f t="shared" si="12"/>
        <v>Ø20</v>
      </c>
      <c r="X100" s="3" t="str">
        <f t="shared" si="13"/>
        <v>Ø20</v>
      </c>
    </row>
    <row r="101" spans="17:24" x14ac:dyDescent="0.3">
      <c r="Q101" s="25" t="s">
        <v>138</v>
      </c>
      <c r="R101" s="3">
        <v>5</v>
      </c>
      <c r="S101" s="3">
        <v>1</v>
      </c>
      <c r="T101" s="21" t="str">
        <f t="shared" si="15"/>
        <v>КГВВнг(А)-LS (5х1)</v>
      </c>
      <c r="U101" s="3">
        <v>9.6</v>
      </c>
      <c r="V101" s="3">
        <f t="shared" si="11"/>
        <v>14</v>
      </c>
      <c r="W101" s="3" t="str">
        <f t="shared" si="12"/>
        <v>Ø20</v>
      </c>
      <c r="X101" s="3" t="str">
        <f t="shared" si="13"/>
        <v>Ø20</v>
      </c>
    </row>
    <row r="102" spans="17:24" x14ac:dyDescent="0.3">
      <c r="Q102" s="25" t="s">
        <v>138</v>
      </c>
      <c r="R102" s="3">
        <v>7</v>
      </c>
      <c r="S102" s="3">
        <v>1</v>
      </c>
      <c r="T102" s="21" t="str">
        <f t="shared" ref="T102:T113" si="16">Q102&amp;" ("&amp;R102&amp;"х"&amp;S102&amp;")"</f>
        <v>КГВВнг(А)-LS (7х1)</v>
      </c>
      <c r="U102" s="3">
        <v>10.4</v>
      </c>
      <c r="V102" s="3">
        <f t="shared" si="11"/>
        <v>14</v>
      </c>
      <c r="W102" s="3" t="str">
        <f t="shared" si="12"/>
        <v>Ø20</v>
      </c>
      <c r="X102" s="3" t="str">
        <f t="shared" si="13"/>
        <v>Ø20</v>
      </c>
    </row>
    <row r="103" spans="17:24" x14ac:dyDescent="0.3">
      <c r="Q103" s="25" t="s">
        <v>138</v>
      </c>
      <c r="R103" s="3">
        <v>10</v>
      </c>
      <c r="S103" s="3">
        <v>1</v>
      </c>
      <c r="T103" s="21" t="str">
        <f t="shared" si="16"/>
        <v>КГВВнг(А)-LS (10х1)</v>
      </c>
      <c r="U103" s="3">
        <v>12.8</v>
      </c>
      <c r="V103" s="3">
        <f t="shared" si="11"/>
        <v>15.36</v>
      </c>
      <c r="W103" s="3" t="str">
        <f t="shared" si="12"/>
        <v>Ø25</v>
      </c>
      <c r="X103" s="3" t="str">
        <f t="shared" si="13"/>
        <v>Ø25</v>
      </c>
    </row>
    <row r="104" spans="17:24" x14ac:dyDescent="0.3">
      <c r="Q104" s="25" t="s">
        <v>138</v>
      </c>
      <c r="R104" s="3">
        <v>14</v>
      </c>
      <c r="S104" s="3">
        <v>1</v>
      </c>
      <c r="T104" s="21" t="str">
        <f t="shared" si="16"/>
        <v>КГВВнг(А)-LS (14х1)</v>
      </c>
      <c r="U104" s="3">
        <v>13.9</v>
      </c>
      <c r="V104" s="3">
        <f t="shared" si="11"/>
        <v>16.68</v>
      </c>
      <c r="W104" s="3" t="str">
        <f t="shared" si="12"/>
        <v>Ø25</v>
      </c>
      <c r="X104" s="3" t="str">
        <f t="shared" si="13"/>
        <v>Ø25</v>
      </c>
    </row>
    <row r="105" spans="17:24" x14ac:dyDescent="0.3">
      <c r="Q105" s="25" t="s">
        <v>138</v>
      </c>
      <c r="R105" s="3">
        <v>19</v>
      </c>
      <c r="S105" s="3">
        <v>1</v>
      </c>
      <c r="T105" s="21" t="str">
        <f t="shared" si="16"/>
        <v>КГВВнг(А)-LS (19х1)</v>
      </c>
      <c r="U105" s="3">
        <v>14.6</v>
      </c>
      <c r="V105" s="3">
        <f t="shared" si="11"/>
        <v>17.52</v>
      </c>
      <c r="W105" s="3" t="str">
        <f t="shared" si="12"/>
        <v>Ø25</v>
      </c>
      <c r="X105" s="3" t="str">
        <f t="shared" si="13"/>
        <v>Ø25</v>
      </c>
    </row>
    <row r="106" spans="17:24" x14ac:dyDescent="0.3">
      <c r="Q106" s="25" t="s">
        <v>138</v>
      </c>
      <c r="R106" s="3">
        <v>27</v>
      </c>
      <c r="S106" s="3">
        <v>1</v>
      </c>
      <c r="T106" s="21" t="str">
        <f t="shared" si="16"/>
        <v>КГВВнг(А)-LS (27х1)</v>
      </c>
      <c r="U106" s="3">
        <v>17.3</v>
      </c>
      <c r="V106" s="3">
        <f t="shared" si="11"/>
        <v>20.76</v>
      </c>
      <c r="W106" s="3" t="str">
        <f t="shared" si="12"/>
        <v>Ø32</v>
      </c>
      <c r="X106" s="3" t="str">
        <f t="shared" si="13"/>
        <v>Ø32</v>
      </c>
    </row>
    <row r="107" spans="17:24" x14ac:dyDescent="0.3">
      <c r="Q107" s="25" t="s">
        <v>138</v>
      </c>
      <c r="R107" s="3">
        <v>37</v>
      </c>
      <c r="S107" s="3">
        <v>1</v>
      </c>
      <c r="T107" s="21" t="str">
        <f t="shared" si="16"/>
        <v>КГВВнг(А)-LS (37х1)</v>
      </c>
      <c r="U107" s="3">
        <v>19.600000000000001</v>
      </c>
      <c r="V107" s="3">
        <f t="shared" si="11"/>
        <v>23.52</v>
      </c>
      <c r="W107" s="3" t="str">
        <f t="shared" si="12"/>
        <v>Ø32</v>
      </c>
      <c r="X107" s="3" t="str">
        <f t="shared" si="13"/>
        <v>Ø32</v>
      </c>
    </row>
    <row r="108" spans="17:24" x14ac:dyDescent="0.3">
      <c r="Q108" s="25" t="s">
        <v>138</v>
      </c>
      <c r="R108" s="3">
        <v>52</v>
      </c>
      <c r="S108" s="3">
        <v>1</v>
      </c>
      <c r="T108" s="21" t="str">
        <f t="shared" si="16"/>
        <v>КГВВнг(А)-LS (52х1)</v>
      </c>
      <c r="U108" s="3">
        <v>22.9</v>
      </c>
      <c r="V108" s="3">
        <f t="shared" si="11"/>
        <v>27.479999999999997</v>
      </c>
      <c r="W108" s="3" t="str">
        <f t="shared" si="12"/>
        <v>Ø40</v>
      </c>
      <c r="X108" s="3" t="str">
        <f t="shared" si="13"/>
        <v>Ø40</v>
      </c>
    </row>
    <row r="109" spans="17:24" x14ac:dyDescent="0.3">
      <c r="Q109" s="25" t="s">
        <v>138</v>
      </c>
      <c r="R109" s="3">
        <v>1</v>
      </c>
      <c r="S109" s="3">
        <v>1.5</v>
      </c>
      <c r="T109" s="21" t="str">
        <f t="shared" si="16"/>
        <v>КГВВнг(А)-LS (1х1,5)</v>
      </c>
      <c r="U109" s="3">
        <v>5.6</v>
      </c>
      <c r="V109" s="3">
        <f t="shared" si="11"/>
        <v>14</v>
      </c>
      <c r="W109" s="3" t="str">
        <f t="shared" si="12"/>
        <v>Ø20</v>
      </c>
      <c r="X109" s="3" t="str">
        <f t="shared" si="13"/>
        <v>Ø20</v>
      </c>
    </row>
    <row r="110" spans="17:24" x14ac:dyDescent="0.3">
      <c r="Q110" s="25" t="s">
        <v>138</v>
      </c>
      <c r="R110" s="3">
        <v>2</v>
      </c>
      <c r="S110" s="3">
        <v>1.5</v>
      </c>
      <c r="T110" s="21" t="str">
        <f t="shared" si="16"/>
        <v>КГВВнг(А)-LS (2х1,5)</v>
      </c>
      <c r="U110" s="3">
        <v>8.1999999999999993</v>
      </c>
      <c r="V110" s="3">
        <f t="shared" si="11"/>
        <v>14</v>
      </c>
      <c r="W110" s="3" t="str">
        <f t="shared" si="12"/>
        <v>Ø20</v>
      </c>
      <c r="X110" s="3" t="str">
        <f t="shared" si="13"/>
        <v>Ø20</v>
      </c>
    </row>
    <row r="111" spans="17:24" x14ac:dyDescent="0.3">
      <c r="Q111" s="25" t="s">
        <v>138</v>
      </c>
      <c r="R111" s="3">
        <v>3</v>
      </c>
      <c r="S111" s="3">
        <v>1.5</v>
      </c>
      <c r="T111" s="21" t="str">
        <f t="shared" si="16"/>
        <v>КГВВнг(А)-LS (3х1,5)</v>
      </c>
      <c r="U111" s="3">
        <v>9.3000000000000007</v>
      </c>
      <c r="V111" s="3">
        <f t="shared" si="11"/>
        <v>14</v>
      </c>
      <c r="W111" s="3" t="str">
        <f t="shared" si="12"/>
        <v>Ø20</v>
      </c>
      <c r="X111" s="3" t="str">
        <f t="shared" si="13"/>
        <v>Ø20</v>
      </c>
    </row>
    <row r="112" spans="17:24" x14ac:dyDescent="0.3">
      <c r="Q112" s="25" t="s">
        <v>138</v>
      </c>
      <c r="R112" s="3">
        <v>4</v>
      </c>
      <c r="S112" s="3">
        <v>1.5</v>
      </c>
      <c r="T112" s="21" t="str">
        <f t="shared" si="16"/>
        <v>КГВВнг(А)-LS (4х1,5)</v>
      </c>
      <c r="U112" s="3">
        <v>10</v>
      </c>
      <c r="V112" s="3">
        <f t="shared" si="11"/>
        <v>14</v>
      </c>
      <c r="W112" s="3" t="str">
        <f t="shared" si="12"/>
        <v>Ø20</v>
      </c>
      <c r="X112" s="3" t="str">
        <f t="shared" si="13"/>
        <v>Ø20</v>
      </c>
    </row>
    <row r="113" spans="17:24" x14ac:dyDescent="0.3">
      <c r="Q113" s="25" t="s">
        <v>138</v>
      </c>
      <c r="R113" s="3">
        <v>5</v>
      </c>
      <c r="S113" s="3">
        <v>1.5</v>
      </c>
      <c r="T113" s="21" t="str">
        <f t="shared" si="16"/>
        <v>КГВВнг(А)-LS (5х1,5)</v>
      </c>
      <c r="U113" s="3">
        <v>11.2</v>
      </c>
      <c r="V113" s="3">
        <f t="shared" si="11"/>
        <v>14</v>
      </c>
      <c r="W113" s="3" t="str">
        <f t="shared" si="12"/>
        <v>Ø20</v>
      </c>
      <c r="X113" s="3" t="str">
        <f t="shared" si="13"/>
        <v>Ø20</v>
      </c>
    </row>
    <row r="114" spans="17:24" x14ac:dyDescent="0.3">
      <c r="Q114" s="25" t="s">
        <v>138</v>
      </c>
      <c r="R114" s="3">
        <v>7</v>
      </c>
      <c r="S114" s="3">
        <v>1.5</v>
      </c>
      <c r="T114" s="21" t="str">
        <f t="shared" ref="T114:T158" si="17">Q114&amp;" ("&amp;R114&amp;"х"&amp;S114&amp;")"</f>
        <v>КГВВнг(А)-LS (7х1,5)</v>
      </c>
      <c r="U114" s="3">
        <v>11.8</v>
      </c>
      <c r="V114" s="3">
        <f t="shared" si="11"/>
        <v>14.16</v>
      </c>
      <c r="W114" s="3" t="str">
        <f t="shared" si="12"/>
        <v>Ø20</v>
      </c>
      <c r="X114" s="3" t="str">
        <f t="shared" si="13"/>
        <v>Ø20</v>
      </c>
    </row>
    <row r="115" spans="17:24" x14ac:dyDescent="0.3">
      <c r="Q115" s="25" t="s">
        <v>138</v>
      </c>
      <c r="R115" s="3">
        <v>10</v>
      </c>
      <c r="S115" s="3">
        <v>1.5</v>
      </c>
      <c r="T115" s="21" t="str">
        <f t="shared" si="17"/>
        <v>КГВВнг(А)-LS (10х1,5)</v>
      </c>
      <c r="U115" s="3">
        <v>14.7</v>
      </c>
      <c r="V115" s="3">
        <f t="shared" si="11"/>
        <v>17.639999999999997</v>
      </c>
      <c r="W115" s="3" t="str">
        <f t="shared" si="12"/>
        <v>Ø25</v>
      </c>
      <c r="X115" s="3" t="str">
        <f t="shared" si="13"/>
        <v>Ø25</v>
      </c>
    </row>
    <row r="116" spans="17:24" x14ac:dyDescent="0.3">
      <c r="Q116" s="25" t="s">
        <v>138</v>
      </c>
      <c r="R116" s="3">
        <v>14</v>
      </c>
      <c r="S116" s="3">
        <v>1.5</v>
      </c>
      <c r="T116" s="21" t="str">
        <f t="shared" si="17"/>
        <v>КГВВнг(А)-LS (14х1,5)</v>
      </c>
      <c r="U116" s="3">
        <v>15.9</v>
      </c>
      <c r="V116" s="3">
        <f t="shared" si="11"/>
        <v>19.079999999999998</v>
      </c>
      <c r="W116" s="3" t="str">
        <f t="shared" si="12"/>
        <v>Ø32</v>
      </c>
      <c r="X116" s="3" t="str">
        <f t="shared" si="13"/>
        <v>Ø32</v>
      </c>
    </row>
    <row r="117" spans="17:24" x14ac:dyDescent="0.3">
      <c r="Q117" s="25" t="s">
        <v>138</v>
      </c>
      <c r="R117" s="3">
        <v>19</v>
      </c>
      <c r="S117" s="3">
        <v>1.5</v>
      </c>
      <c r="T117" s="21" t="str">
        <f t="shared" si="17"/>
        <v>КГВВнг(А)-LS (19х1,5)</v>
      </c>
      <c r="U117" s="3">
        <v>17.600000000000001</v>
      </c>
      <c r="V117" s="3">
        <f t="shared" si="11"/>
        <v>21.12</v>
      </c>
      <c r="W117" s="3" t="str">
        <f t="shared" si="12"/>
        <v>Ø32</v>
      </c>
      <c r="X117" s="3" t="str">
        <f t="shared" si="13"/>
        <v>Ø32</v>
      </c>
    </row>
    <row r="118" spans="17:24" x14ac:dyDescent="0.3">
      <c r="Q118" s="25" t="s">
        <v>138</v>
      </c>
      <c r="R118" s="3">
        <v>27</v>
      </c>
      <c r="S118" s="3">
        <v>1.5</v>
      </c>
      <c r="T118" s="21" t="str">
        <f t="shared" si="17"/>
        <v>КГВВнг(А)-LS (27х1,5)</v>
      </c>
      <c r="U118" s="3">
        <v>21.4</v>
      </c>
      <c r="V118" s="3">
        <f t="shared" si="11"/>
        <v>25.679999999999996</v>
      </c>
      <c r="W118" s="3" t="str">
        <f t="shared" si="12"/>
        <v>Ø40</v>
      </c>
      <c r="X118" s="3" t="str">
        <f t="shared" si="13"/>
        <v>Ø40</v>
      </c>
    </row>
    <row r="119" spans="17:24" x14ac:dyDescent="0.3">
      <c r="Q119" s="25" t="s">
        <v>138</v>
      </c>
      <c r="R119" s="3">
        <v>37</v>
      </c>
      <c r="S119" s="3">
        <v>1.5</v>
      </c>
      <c r="T119" s="21" t="str">
        <f t="shared" si="17"/>
        <v>КГВВнг(А)-LS (37х1,5)</v>
      </c>
      <c r="U119" s="3">
        <v>22.3</v>
      </c>
      <c r="V119" s="3">
        <f t="shared" si="11"/>
        <v>26.76</v>
      </c>
      <c r="W119" s="3" t="str">
        <f t="shared" si="12"/>
        <v>Ø40</v>
      </c>
      <c r="X119" s="3" t="str">
        <f t="shared" si="13"/>
        <v>Ø40</v>
      </c>
    </row>
    <row r="120" spans="17:24" x14ac:dyDescent="0.3">
      <c r="Q120" s="25" t="s">
        <v>138</v>
      </c>
      <c r="R120" s="3">
        <v>52</v>
      </c>
      <c r="S120" s="3">
        <v>1.5</v>
      </c>
      <c r="T120" s="21" t="str">
        <f t="shared" si="17"/>
        <v>КГВВнг(А)-LS (52х1,5)</v>
      </c>
      <c r="U120" s="3">
        <v>25.3</v>
      </c>
      <c r="V120" s="3">
        <f t="shared" si="11"/>
        <v>30.36</v>
      </c>
      <c r="W120" s="3" t="str">
        <f t="shared" si="12"/>
        <v>Ø40</v>
      </c>
      <c r="X120" s="3" t="str">
        <f t="shared" si="13"/>
        <v>Ø40</v>
      </c>
    </row>
    <row r="121" spans="17:24" x14ac:dyDescent="0.3">
      <c r="Q121" s="25" t="s">
        <v>138</v>
      </c>
      <c r="R121" s="3">
        <v>1</v>
      </c>
      <c r="S121" s="3">
        <v>2.5</v>
      </c>
      <c r="T121" s="21" t="str">
        <f t="shared" si="17"/>
        <v>КГВВнг(А)-LS (1х2,5)</v>
      </c>
      <c r="U121" s="3">
        <v>6.1</v>
      </c>
      <c r="V121" s="3">
        <f t="shared" si="11"/>
        <v>14</v>
      </c>
      <c r="W121" s="3" t="str">
        <f t="shared" si="12"/>
        <v>Ø20</v>
      </c>
      <c r="X121" s="3" t="str">
        <f t="shared" si="13"/>
        <v>Ø20</v>
      </c>
    </row>
    <row r="122" spans="17:24" x14ac:dyDescent="0.3">
      <c r="Q122" s="25" t="s">
        <v>138</v>
      </c>
      <c r="R122" s="3">
        <v>2</v>
      </c>
      <c r="S122" s="3">
        <v>2.5</v>
      </c>
      <c r="T122" s="21" t="str">
        <f t="shared" si="17"/>
        <v>КГВВнг(А)-LS (2х2,5)</v>
      </c>
      <c r="U122" s="3">
        <v>10.1</v>
      </c>
      <c r="V122" s="3">
        <f t="shared" si="11"/>
        <v>14</v>
      </c>
      <c r="W122" s="3" t="str">
        <f t="shared" si="12"/>
        <v>Ø20</v>
      </c>
      <c r="X122" s="3" t="str">
        <f t="shared" si="13"/>
        <v>Ø20</v>
      </c>
    </row>
    <row r="123" spans="17:24" x14ac:dyDescent="0.3">
      <c r="Q123" s="25" t="s">
        <v>138</v>
      </c>
      <c r="R123" s="3">
        <v>3</v>
      </c>
      <c r="S123" s="3">
        <v>2.5</v>
      </c>
      <c r="T123" s="21" t="str">
        <f t="shared" si="17"/>
        <v>КГВВнг(А)-LS (3х2,5)</v>
      </c>
      <c r="U123" s="3">
        <v>10.6</v>
      </c>
      <c r="V123" s="3">
        <f t="shared" si="11"/>
        <v>14</v>
      </c>
      <c r="W123" s="3" t="str">
        <f t="shared" si="12"/>
        <v>Ø20</v>
      </c>
      <c r="X123" s="3" t="str">
        <f t="shared" si="13"/>
        <v>Ø20</v>
      </c>
    </row>
    <row r="124" spans="17:24" x14ac:dyDescent="0.3">
      <c r="Q124" s="25" t="s">
        <v>138</v>
      </c>
      <c r="R124" s="3">
        <v>4</v>
      </c>
      <c r="S124" s="3">
        <v>2.5</v>
      </c>
      <c r="T124" s="21" t="str">
        <f t="shared" si="17"/>
        <v>КГВВнг(А)-LS (4х2,5)</v>
      </c>
      <c r="U124" s="3">
        <v>11.6</v>
      </c>
      <c r="V124" s="3">
        <f t="shared" si="11"/>
        <v>14</v>
      </c>
      <c r="W124" s="3" t="str">
        <f t="shared" si="12"/>
        <v>Ø20</v>
      </c>
      <c r="X124" s="3" t="str">
        <f t="shared" si="13"/>
        <v>Ø20</v>
      </c>
    </row>
    <row r="125" spans="17:24" x14ac:dyDescent="0.3">
      <c r="Q125" s="25" t="s">
        <v>138</v>
      </c>
      <c r="R125" s="3">
        <v>5</v>
      </c>
      <c r="S125" s="3">
        <v>2.5</v>
      </c>
      <c r="T125" s="21" t="str">
        <f t="shared" si="17"/>
        <v>КГВВнг(А)-LS (5х2,5)</v>
      </c>
      <c r="U125" s="3">
        <v>11</v>
      </c>
      <c r="V125" s="3">
        <f t="shared" si="11"/>
        <v>14</v>
      </c>
      <c r="W125" s="3" t="str">
        <f t="shared" si="12"/>
        <v>Ø20</v>
      </c>
      <c r="X125" s="3" t="str">
        <f t="shared" si="13"/>
        <v>Ø20</v>
      </c>
    </row>
    <row r="126" spans="17:24" x14ac:dyDescent="0.3">
      <c r="Q126" s="25" t="s">
        <v>138</v>
      </c>
      <c r="R126" s="3">
        <v>7</v>
      </c>
      <c r="S126" s="3">
        <v>2.5</v>
      </c>
      <c r="T126" s="21" t="str">
        <f t="shared" si="17"/>
        <v>КГВВнг(А)-LS (7х2,5)</v>
      </c>
      <c r="U126" s="3">
        <v>11.8</v>
      </c>
      <c r="V126" s="3">
        <f t="shared" si="11"/>
        <v>14.16</v>
      </c>
      <c r="W126" s="3" t="str">
        <f t="shared" si="12"/>
        <v>Ø20</v>
      </c>
      <c r="X126" s="3" t="str">
        <f t="shared" si="13"/>
        <v>Ø20</v>
      </c>
    </row>
    <row r="127" spans="17:24" x14ac:dyDescent="0.3">
      <c r="Q127" s="25" t="s">
        <v>138</v>
      </c>
      <c r="R127" s="3">
        <v>10</v>
      </c>
      <c r="S127" s="3">
        <v>2.5</v>
      </c>
      <c r="T127" s="21" t="str">
        <f t="shared" si="17"/>
        <v>КГВВнг(А)-LS (10х2,5)</v>
      </c>
      <c r="U127" s="3">
        <v>14.8</v>
      </c>
      <c r="V127" s="3">
        <f t="shared" si="11"/>
        <v>17.760000000000002</v>
      </c>
      <c r="W127" s="3" t="str">
        <f t="shared" si="12"/>
        <v>Ø25</v>
      </c>
      <c r="X127" s="3" t="str">
        <f t="shared" si="13"/>
        <v>Ø25</v>
      </c>
    </row>
    <row r="128" spans="17:24" x14ac:dyDescent="0.3">
      <c r="Q128" s="25" t="s">
        <v>138</v>
      </c>
      <c r="R128" s="3">
        <v>14</v>
      </c>
      <c r="S128" s="3">
        <v>2.5</v>
      </c>
      <c r="T128" s="21" t="str">
        <f t="shared" si="17"/>
        <v>КГВВнг(А)-LS (14х2,5)</v>
      </c>
      <c r="U128" s="3">
        <v>16</v>
      </c>
      <c r="V128" s="3">
        <f t="shared" si="11"/>
        <v>19.2</v>
      </c>
      <c r="W128" s="3" t="str">
        <f t="shared" si="12"/>
        <v>Ø32</v>
      </c>
      <c r="X128" s="3" t="str">
        <f t="shared" si="13"/>
        <v>Ø32</v>
      </c>
    </row>
    <row r="129" spans="17:24" x14ac:dyDescent="0.3">
      <c r="Q129" s="25" t="s">
        <v>138</v>
      </c>
      <c r="R129" s="3">
        <v>19</v>
      </c>
      <c r="S129" s="3">
        <v>2.5</v>
      </c>
      <c r="T129" s="21" t="str">
        <f t="shared" si="17"/>
        <v>КГВВнг(А)-LS (19х2,5)</v>
      </c>
      <c r="U129" s="3">
        <v>17.7</v>
      </c>
      <c r="V129" s="3">
        <f t="shared" si="11"/>
        <v>21.24</v>
      </c>
      <c r="W129" s="3" t="str">
        <f t="shared" si="12"/>
        <v>Ø32</v>
      </c>
      <c r="X129" s="3" t="str">
        <f t="shared" si="13"/>
        <v>Ø32</v>
      </c>
    </row>
    <row r="130" spans="17:24" x14ac:dyDescent="0.3">
      <c r="Q130" s="25" t="s">
        <v>138</v>
      </c>
      <c r="R130" s="3">
        <v>27</v>
      </c>
      <c r="S130" s="3">
        <v>2.5</v>
      </c>
      <c r="T130" s="21" t="str">
        <f t="shared" si="17"/>
        <v>КГВВнг(А)-LS (27х2,5)</v>
      </c>
      <c r="U130" s="3">
        <v>21.5</v>
      </c>
      <c r="V130" s="3">
        <f t="shared" si="11"/>
        <v>25.8</v>
      </c>
      <c r="W130" s="3" t="str">
        <f t="shared" si="12"/>
        <v>Ø40</v>
      </c>
      <c r="X130" s="3" t="str">
        <f t="shared" si="13"/>
        <v>Ø40</v>
      </c>
    </row>
    <row r="131" spans="17:24" x14ac:dyDescent="0.3">
      <c r="Q131" s="25" t="s">
        <v>138</v>
      </c>
      <c r="R131" s="3">
        <v>37</v>
      </c>
      <c r="S131" s="3">
        <v>2.5</v>
      </c>
      <c r="T131" s="21" t="str">
        <f t="shared" si="17"/>
        <v>КГВВнг(А)-LS (37х2,5)</v>
      </c>
      <c r="U131" s="3">
        <v>24.4</v>
      </c>
      <c r="V131" s="3">
        <f t="shared" si="11"/>
        <v>29.279999999999998</v>
      </c>
      <c r="W131" s="3" t="str">
        <f t="shared" si="12"/>
        <v>Ø40</v>
      </c>
      <c r="X131" s="3" t="str">
        <f t="shared" si="13"/>
        <v>Ø40</v>
      </c>
    </row>
    <row r="132" spans="17:24" x14ac:dyDescent="0.3">
      <c r="Q132" s="25" t="s">
        <v>138</v>
      </c>
      <c r="R132" s="3">
        <v>1</v>
      </c>
      <c r="S132" s="3">
        <v>4</v>
      </c>
      <c r="T132" s="21" t="str">
        <f t="shared" si="17"/>
        <v>КГВВнг(А)-LS (1х4)</v>
      </c>
      <c r="U132" s="3">
        <v>6.8</v>
      </c>
      <c r="V132" s="3">
        <f t="shared" si="11"/>
        <v>14</v>
      </c>
      <c r="W132" s="3" t="str">
        <f t="shared" si="12"/>
        <v>Ø20</v>
      </c>
      <c r="X132" s="3" t="str">
        <f t="shared" si="13"/>
        <v>Ø20</v>
      </c>
    </row>
    <row r="133" spans="17:24" x14ac:dyDescent="0.3">
      <c r="Q133" s="25" t="s">
        <v>138</v>
      </c>
      <c r="R133" s="3">
        <v>2</v>
      </c>
      <c r="S133" s="3">
        <v>4</v>
      </c>
      <c r="T133" s="21" t="str">
        <f t="shared" si="17"/>
        <v>КГВВнг(А)-LS (2х4)</v>
      </c>
      <c r="U133" s="3">
        <v>11.1</v>
      </c>
      <c r="V133" s="3">
        <f t="shared" ref="V133:V158" si="18">IF((U133*1.2)&lt;14,14,U133*1.2)</f>
        <v>14</v>
      </c>
      <c r="W133" s="3" t="str">
        <f t="shared" ref="W133:W196" si="19">"Ø"&amp;VLOOKUP(V133,$Z$4:$AA$10,2,TRUE)</f>
        <v>Ø20</v>
      </c>
      <c r="X133" s="3" t="str">
        <f t="shared" ref="X133:X196" si="20">"Ø"&amp;VLOOKUP(V133,$AD$4:$AE$10,2,TRUE)</f>
        <v>Ø20</v>
      </c>
    </row>
    <row r="134" spans="17:24" x14ac:dyDescent="0.3">
      <c r="Q134" s="25" t="s">
        <v>138</v>
      </c>
      <c r="R134" s="3">
        <v>3</v>
      </c>
      <c r="S134" s="3">
        <v>4</v>
      </c>
      <c r="T134" s="21" t="str">
        <f t="shared" si="17"/>
        <v>КГВВнг(А)-LS (3х4)</v>
      </c>
      <c r="U134" s="3">
        <v>11.8</v>
      </c>
      <c r="V134" s="3">
        <f t="shared" si="18"/>
        <v>14.16</v>
      </c>
      <c r="W134" s="3" t="str">
        <f t="shared" si="19"/>
        <v>Ø20</v>
      </c>
      <c r="X134" s="3" t="str">
        <f t="shared" si="20"/>
        <v>Ø20</v>
      </c>
    </row>
    <row r="135" spans="17:24" x14ac:dyDescent="0.3">
      <c r="Q135" s="25" t="s">
        <v>138</v>
      </c>
      <c r="R135" s="3">
        <v>4</v>
      </c>
      <c r="S135" s="3">
        <v>4</v>
      </c>
      <c r="T135" s="21" t="str">
        <f t="shared" si="17"/>
        <v>КГВВнг(А)-LS (4х4)</v>
      </c>
      <c r="U135" s="3">
        <v>12.8</v>
      </c>
      <c r="V135" s="3">
        <f t="shared" si="18"/>
        <v>15.36</v>
      </c>
      <c r="W135" s="3" t="str">
        <f t="shared" si="19"/>
        <v>Ø25</v>
      </c>
      <c r="X135" s="3" t="str">
        <f t="shared" si="20"/>
        <v>Ø25</v>
      </c>
    </row>
    <row r="136" spans="17:24" x14ac:dyDescent="0.3">
      <c r="Q136" s="25" t="s">
        <v>138</v>
      </c>
      <c r="R136" s="3">
        <v>5</v>
      </c>
      <c r="S136" s="3">
        <v>4</v>
      </c>
      <c r="T136" s="21" t="str">
        <f t="shared" si="17"/>
        <v>КГВВнг(А)-LS (5х4)</v>
      </c>
      <c r="U136" s="3">
        <v>14</v>
      </c>
      <c r="V136" s="3">
        <f t="shared" si="18"/>
        <v>16.8</v>
      </c>
      <c r="W136" s="3" t="str">
        <f t="shared" si="19"/>
        <v>Ø25</v>
      </c>
      <c r="X136" s="3" t="str">
        <f t="shared" si="20"/>
        <v>Ø25</v>
      </c>
    </row>
    <row r="137" spans="17:24" x14ac:dyDescent="0.3">
      <c r="Q137" s="25" t="s">
        <v>138</v>
      </c>
      <c r="R137" s="3">
        <v>7</v>
      </c>
      <c r="S137" s="3">
        <v>4</v>
      </c>
      <c r="T137" s="21" t="str">
        <f t="shared" si="17"/>
        <v>КГВВнг(А)-LS (7х4)</v>
      </c>
      <c r="U137" s="3">
        <v>15.1</v>
      </c>
      <c r="V137" s="3">
        <f t="shared" si="18"/>
        <v>18.119999999999997</v>
      </c>
      <c r="W137" s="3" t="str">
        <f t="shared" si="19"/>
        <v>Ø25</v>
      </c>
      <c r="X137" s="3" t="str">
        <f t="shared" si="20"/>
        <v>Ø25</v>
      </c>
    </row>
    <row r="138" spans="17:24" x14ac:dyDescent="0.3">
      <c r="Q138" s="25" t="s">
        <v>138</v>
      </c>
      <c r="R138" s="3">
        <v>10</v>
      </c>
      <c r="S138" s="3">
        <v>4</v>
      </c>
      <c r="T138" s="21" t="str">
        <f t="shared" si="17"/>
        <v>КГВВнг(А)-LS (10х4)</v>
      </c>
      <c r="U138" s="3">
        <v>17.600000000000001</v>
      </c>
      <c r="V138" s="3">
        <f t="shared" si="18"/>
        <v>21.12</v>
      </c>
      <c r="W138" s="3" t="str">
        <f t="shared" si="19"/>
        <v>Ø32</v>
      </c>
      <c r="X138" s="3" t="str">
        <f t="shared" si="20"/>
        <v>Ø32</v>
      </c>
    </row>
    <row r="139" spans="17:24" x14ac:dyDescent="0.3">
      <c r="Q139" s="25" t="s">
        <v>138</v>
      </c>
      <c r="R139" s="3">
        <v>1</v>
      </c>
      <c r="S139" s="3">
        <v>6</v>
      </c>
      <c r="T139" s="21" t="str">
        <f t="shared" si="17"/>
        <v>КГВВнг(А)-LS (1х6)</v>
      </c>
      <c r="U139" s="3">
        <v>7.3</v>
      </c>
      <c r="V139" s="3">
        <f t="shared" si="18"/>
        <v>14</v>
      </c>
      <c r="W139" s="3" t="str">
        <f t="shared" si="19"/>
        <v>Ø20</v>
      </c>
      <c r="X139" s="3" t="str">
        <f t="shared" si="20"/>
        <v>Ø20</v>
      </c>
    </row>
    <row r="140" spans="17:24" x14ac:dyDescent="0.3">
      <c r="Q140" s="25" t="s">
        <v>138</v>
      </c>
      <c r="R140" s="3">
        <v>2</v>
      </c>
      <c r="S140" s="3">
        <v>6</v>
      </c>
      <c r="T140" s="21" t="str">
        <f t="shared" si="17"/>
        <v>КГВВнг(А)-LS (2х6)</v>
      </c>
      <c r="U140" s="3">
        <v>12.3</v>
      </c>
      <c r="V140" s="3">
        <f t="shared" si="18"/>
        <v>14.76</v>
      </c>
      <c r="W140" s="3" t="str">
        <f t="shared" si="19"/>
        <v>Ø20</v>
      </c>
      <c r="X140" s="3" t="str">
        <f t="shared" si="20"/>
        <v>Ø25</v>
      </c>
    </row>
    <row r="141" spans="17:24" x14ac:dyDescent="0.3">
      <c r="Q141" s="25" t="s">
        <v>138</v>
      </c>
      <c r="R141" s="3">
        <v>3</v>
      </c>
      <c r="S141" s="3">
        <v>6</v>
      </c>
      <c r="T141" s="21" t="str">
        <f t="shared" si="17"/>
        <v>КГВВнг(А)-LS (3х6)</v>
      </c>
      <c r="U141" s="3">
        <v>13</v>
      </c>
      <c r="V141" s="3">
        <f t="shared" si="18"/>
        <v>15.6</v>
      </c>
      <c r="W141" s="3" t="str">
        <f t="shared" si="19"/>
        <v>Ø25</v>
      </c>
      <c r="X141" s="3" t="str">
        <f t="shared" si="20"/>
        <v>Ø25</v>
      </c>
    </row>
    <row r="142" spans="17:24" x14ac:dyDescent="0.3">
      <c r="Q142" s="25" t="s">
        <v>138</v>
      </c>
      <c r="R142" s="3">
        <v>4</v>
      </c>
      <c r="S142" s="3">
        <v>6</v>
      </c>
      <c r="T142" s="21" t="str">
        <f t="shared" si="17"/>
        <v>КГВВнг(А)-LS (4х6)</v>
      </c>
      <c r="U142" s="3">
        <v>14.2</v>
      </c>
      <c r="V142" s="3">
        <f t="shared" si="18"/>
        <v>17.04</v>
      </c>
      <c r="W142" s="3" t="str">
        <f t="shared" si="19"/>
        <v>Ø25</v>
      </c>
      <c r="X142" s="3" t="str">
        <f t="shared" si="20"/>
        <v>Ø25</v>
      </c>
    </row>
    <row r="143" spans="17:24" x14ac:dyDescent="0.3">
      <c r="Q143" s="25" t="s">
        <v>138</v>
      </c>
      <c r="R143" s="3">
        <v>5</v>
      </c>
      <c r="S143" s="3">
        <v>6</v>
      </c>
      <c r="T143" s="21" t="str">
        <f t="shared" si="17"/>
        <v>КГВВнг(А)-LS (5х6)</v>
      </c>
      <c r="U143" s="3">
        <v>15.6</v>
      </c>
      <c r="V143" s="3">
        <f t="shared" si="18"/>
        <v>18.72</v>
      </c>
      <c r="W143" s="3" t="str">
        <f t="shared" si="19"/>
        <v>Ø25</v>
      </c>
      <c r="X143" s="3" t="str">
        <f t="shared" si="20"/>
        <v>Ø32</v>
      </c>
    </row>
    <row r="144" spans="17:24" x14ac:dyDescent="0.3">
      <c r="Q144" s="3" t="s">
        <v>172</v>
      </c>
      <c r="R144" s="3">
        <v>1</v>
      </c>
      <c r="S144" s="3">
        <v>1.5</v>
      </c>
      <c r="T144" s="21" t="str">
        <f t="shared" si="17"/>
        <v>ПуГВ (1х1,5)</v>
      </c>
      <c r="U144" s="3">
        <v>3</v>
      </c>
      <c r="V144" s="3">
        <f t="shared" si="18"/>
        <v>14</v>
      </c>
      <c r="W144" s="3" t="str">
        <f t="shared" si="19"/>
        <v>Ø20</v>
      </c>
      <c r="X144" s="3" t="str">
        <f t="shared" si="20"/>
        <v>Ø20</v>
      </c>
    </row>
    <row r="145" spans="17:24" x14ac:dyDescent="0.3">
      <c r="Q145" s="3" t="s">
        <v>172</v>
      </c>
      <c r="R145" s="3">
        <v>1</v>
      </c>
      <c r="S145" s="3">
        <v>2.5</v>
      </c>
      <c r="T145" s="21" t="str">
        <f t="shared" si="17"/>
        <v>ПуГВ (1х2,5)</v>
      </c>
      <c r="U145" s="3">
        <v>3.6</v>
      </c>
      <c r="V145" s="3">
        <f t="shared" si="18"/>
        <v>14</v>
      </c>
      <c r="W145" s="3" t="str">
        <f t="shared" si="19"/>
        <v>Ø20</v>
      </c>
      <c r="X145" s="3" t="str">
        <f t="shared" si="20"/>
        <v>Ø20</v>
      </c>
    </row>
    <row r="146" spans="17:24" x14ac:dyDescent="0.3">
      <c r="Q146" s="3" t="s">
        <v>172</v>
      </c>
      <c r="R146" s="3">
        <v>1</v>
      </c>
      <c r="S146" s="3">
        <v>4</v>
      </c>
      <c r="T146" s="21" t="str">
        <f t="shared" si="17"/>
        <v>ПуГВ (1х4)</v>
      </c>
      <c r="U146" s="3">
        <v>3.9</v>
      </c>
      <c r="V146" s="3">
        <f t="shared" si="18"/>
        <v>14</v>
      </c>
      <c r="W146" s="3" t="str">
        <f t="shared" si="19"/>
        <v>Ø20</v>
      </c>
      <c r="X146" s="3" t="str">
        <f t="shared" si="20"/>
        <v>Ø20</v>
      </c>
    </row>
    <row r="147" spans="17:24" x14ac:dyDescent="0.3">
      <c r="Q147" s="3" t="s">
        <v>172</v>
      </c>
      <c r="R147" s="3">
        <v>1</v>
      </c>
      <c r="S147" s="3">
        <v>6</v>
      </c>
      <c r="T147" s="21" t="str">
        <f t="shared" si="17"/>
        <v>ПуГВ (1х6)</v>
      </c>
      <c r="U147" s="3">
        <v>4.7</v>
      </c>
      <c r="V147" s="3">
        <f t="shared" si="18"/>
        <v>14</v>
      </c>
      <c r="W147" s="3" t="str">
        <f t="shared" si="19"/>
        <v>Ø20</v>
      </c>
      <c r="X147" s="3" t="str">
        <f t="shared" si="20"/>
        <v>Ø20</v>
      </c>
    </row>
    <row r="148" spans="17:24" x14ac:dyDescent="0.3">
      <c r="Q148" s="3" t="s">
        <v>172</v>
      </c>
      <c r="R148" s="3">
        <v>1</v>
      </c>
      <c r="S148" s="3">
        <v>10</v>
      </c>
      <c r="T148" s="21" t="str">
        <f t="shared" si="17"/>
        <v>ПуГВ (1х10)</v>
      </c>
      <c r="U148" s="3">
        <v>6</v>
      </c>
      <c r="V148" s="3">
        <f t="shared" si="18"/>
        <v>14</v>
      </c>
      <c r="W148" s="3" t="str">
        <f t="shared" si="19"/>
        <v>Ø20</v>
      </c>
      <c r="X148" s="3" t="str">
        <f t="shared" si="20"/>
        <v>Ø20</v>
      </c>
    </row>
    <row r="149" spans="17:24" x14ac:dyDescent="0.3">
      <c r="Q149" s="3" t="s">
        <v>172</v>
      </c>
      <c r="R149" s="3">
        <v>1</v>
      </c>
      <c r="S149" s="3">
        <v>16</v>
      </c>
      <c r="T149" s="21" t="str">
        <f t="shared" si="17"/>
        <v>ПуГВ (1х16)</v>
      </c>
      <c r="U149" s="3">
        <v>7.6</v>
      </c>
      <c r="V149" s="3">
        <f t="shared" si="18"/>
        <v>14</v>
      </c>
      <c r="W149" s="3" t="str">
        <f t="shared" si="19"/>
        <v>Ø20</v>
      </c>
      <c r="X149" s="3" t="str">
        <f t="shared" si="20"/>
        <v>Ø20</v>
      </c>
    </row>
    <row r="150" spans="17:24" x14ac:dyDescent="0.3">
      <c r="Q150" s="3" t="s">
        <v>172</v>
      </c>
      <c r="R150" s="3">
        <v>1</v>
      </c>
      <c r="S150" s="3">
        <v>25</v>
      </c>
      <c r="T150" s="21" t="str">
        <f t="shared" si="17"/>
        <v>ПуГВ (1х25)</v>
      </c>
      <c r="U150" s="3">
        <v>9.6</v>
      </c>
      <c r="V150" s="3">
        <f t="shared" si="18"/>
        <v>14</v>
      </c>
      <c r="W150" s="3" t="str">
        <f t="shared" si="19"/>
        <v>Ø20</v>
      </c>
      <c r="X150" s="3" t="str">
        <f t="shared" si="20"/>
        <v>Ø20</v>
      </c>
    </row>
    <row r="151" spans="17:24" x14ac:dyDescent="0.3">
      <c r="Q151" s="3" t="s">
        <v>172</v>
      </c>
      <c r="R151" s="3">
        <v>1</v>
      </c>
      <c r="S151" s="3">
        <v>35</v>
      </c>
      <c r="T151" s="21" t="str">
        <f t="shared" si="17"/>
        <v>ПуГВ (1х35)</v>
      </c>
      <c r="U151" s="3">
        <v>10.9</v>
      </c>
      <c r="V151" s="3">
        <f t="shared" si="18"/>
        <v>14</v>
      </c>
      <c r="W151" s="3" t="str">
        <f t="shared" si="19"/>
        <v>Ø20</v>
      </c>
      <c r="X151" s="3" t="str">
        <f t="shared" si="20"/>
        <v>Ø20</v>
      </c>
    </row>
    <row r="152" spans="17:24" x14ac:dyDescent="0.3">
      <c r="Q152" s="3" t="s">
        <v>172</v>
      </c>
      <c r="R152" s="3">
        <v>1</v>
      </c>
      <c r="S152" s="3">
        <v>50</v>
      </c>
      <c r="T152" s="21" t="str">
        <f t="shared" si="17"/>
        <v>ПуГВ (1х50)</v>
      </c>
      <c r="U152" s="3">
        <v>12.6</v>
      </c>
      <c r="V152" s="3">
        <f t="shared" si="18"/>
        <v>15.12</v>
      </c>
      <c r="W152" s="3" t="str">
        <f t="shared" si="19"/>
        <v>Ø25</v>
      </c>
      <c r="X152" s="3" t="str">
        <f t="shared" si="20"/>
        <v>Ø25</v>
      </c>
    </row>
    <row r="153" spans="17:24" x14ac:dyDescent="0.3">
      <c r="Q153" s="3" t="s">
        <v>172</v>
      </c>
      <c r="R153" s="3">
        <v>1</v>
      </c>
      <c r="S153" s="3">
        <v>70</v>
      </c>
      <c r="T153" s="21" t="str">
        <f t="shared" si="17"/>
        <v>ПуГВ (1х70)</v>
      </c>
      <c r="U153" s="3">
        <v>14.6</v>
      </c>
      <c r="V153" s="3">
        <f t="shared" si="18"/>
        <v>17.52</v>
      </c>
      <c r="W153" s="3" t="str">
        <f t="shared" si="19"/>
        <v>Ø25</v>
      </c>
      <c r="X153" s="3" t="str">
        <f t="shared" si="20"/>
        <v>Ø25</v>
      </c>
    </row>
    <row r="154" spans="17:24" x14ac:dyDescent="0.3">
      <c r="Q154" s="3" t="s">
        <v>172</v>
      </c>
      <c r="R154" s="3">
        <v>1</v>
      </c>
      <c r="S154" s="3">
        <v>95</v>
      </c>
      <c r="T154" s="21" t="str">
        <f t="shared" si="17"/>
        <v>ПуГВ (1х95)</v>
      </c>
      <c r="U154" s="3">
        <v>17.2</v>
      </c>
      <c r="V154" s="3">
        <f t="shared" si="18"/>
        <v>20.639999999999997</v>
      </c>
      <c r="W154" s="3" t="str">
        <f t="shared" si="19"/>
        <v>Ø32</v>
      </c>
      <c r="X154" s="3" t="str">
        <f t="shared" si="20"/>
        <v>Ø32</v>
      </c>
    </row>
    <row r="155" spans="17:24" x14ac:dyDescent="0.3">
      <c r="Q155" s="3" t="s">
        <v>172</v>
      </c>
      <c r="R155" s="3">
        <v>1</v>
      </c>
      <c r="S155" s="3">
        <v>120</v>
      </c>
      <c r="T155" s="21" t="str">
        <f t="shared" si="17"/>
        <v>ПуГВ (1х120)</v>
      </c>
      <c r="U155" s="3">
        <v>18.8</v>
      </c>
      <c r="V155" s="3">
        <f t="shared" si="18"/>
        <v>22.56</v>
      </c>
      <c r="W155" s="3" t="str">
        <f t="shared" si="19"/>
        <v>Ø32</v>
      </c>
      <c r="X155" s="3" t="str">
        <f t="shared" si="20"/>
        <v>Ø32</v>
      </c>
    </row>
    <row r="156" spans="17:24" x14ac:dyDescent="0.3">
      <c r="Q156" s="3" t="s">
        <v>172</v>
      </c>
      <c r="R156" s="3">
        <v>1</v>
      </c>
      <c r="S156" s="3">
        <v>150</v>
      </c>
      <c r="T156" s="21" t="str">
        <f t="shared" si="17"/>
        <v>ПуГВ (1х150)</v>
      </c>
      <c r="U156" s="3">
        <v>21</v>
      </c>
      <c r="V156" s="3">
        <f t="shared" si="18"/>
        <v>25.2</v>
      </c>
      <c r="W156" s="3" t="str">
        <f t="shared" si="19"/>
        <v>Ø40</v>
      </c>
      <c r="X156" s="3" t="str">
        <f t="shared" si="20"/>
        <v>Ø40</v>
      </c>
    </row>
    <row r="157" spans="17:24" x14ac:dyDescent="0.3">
      <c r="Q157" s="3" t="s">
        <v>172</v>
      </c>
      <c r="R157" s="3">
        <v>1</v>
      </c>
      <c r="S157" s="3">
        <v>185</v>
      </c>
      <c r="T157" s="21" t="str">
        <f t="shared" si="17"/>
        <v>ПуГВ (1х185)</v>
      </c>
      <c r="U157" s="3">
        <v>23.4</v>
      </c>
      <c r="V157" s="3">
        <f t="shared" si="18"/>
        <v>28.08</v>
      </c>
      <c r="W157" s="3" t="str">
        <f t="shared" si="19"/>
        <v>Ø40</v>
      </c>
      <c r="X157" s="3" t="str">
        <f t="shared" si="20"/>
        <v>Ø40</v>
      </c>
    </row>
    <row r="158" spans="17:24" x14ac:dyDescent="0.3">
      <c r="Q158" s="3" t="s">
        <v>172</v>
      </c>
      <c r="R158" s="3">
        <v>1</v>
      </c>
      <c r="S158" s="3">
        <v>240</v>
      </c>
      <c r="T158" s="21" t="str">
        <f t="shared" si="17"/>
        <v>ПуГВ (1х240)</v>
      </c>
      <c r="U158" s="3">
        <v>27.3</v>
      </c>
      <c r="V158" s="3">
        <f t="shared" si="18"/>
        <v>32.76</v>
      </c>
      <c r="W158" s="3" t="str">
        <f t="shared" si="19"/>
        <v>Ø50</v>
      </c>
      <c r="X158" s="3" t="str">
        <f t="shared" si="20"/>
        <v>Ø50</v>
      </c>
    </row>
    <row r="159" spans="17:24" x14ac:dyDescent="0.3">
      <c r="Q159" s="3"/>
      <c r="R159" s="3"/>
      <c r="S159" s="3"/>
      <c r="T159" s="21" t="s">
        <v>224</v>
      </c>
      <c r="U159" s="3">
        <v>4.9000000000000004</v>
      </c>
      <c r="V159" s="3">
        <f t="shared" ref="V159:V196" si="21">U159*1.2</f>
        <v>5.88</v>
      </c>
      <c r="W159" s="3" t="str">
        <f t="shared" si="19"/>
        <v>Ø16</v>
      </c>
      <c r="X159" s="3" t="str">
        <f t="shared" si="20"/>
        <v>Ø16</v>
      </c>
    </row>
    <row r="160" spans="17:24" x14ac:dyDescent="0.3">
      <c r="Q160" s="3"/>
      <c r="R160" s="3"/>
      <c r="S160" s="3"/>
      <c r="T160" s="21" t="s">
        <v>205</v>
      </c>
      <c r="U160" s="3">
        <v>7</v>
      </c>
      <c r="V160" s="3">
        <f t="shared" si="21"/>
        <v>8.4</v>
      </c>
      <c r="W160" s="3" t="str">
        <f t="shared" si="19"/>
        <v>Ø16</v>
      </c>
      <c r="X160" s="3" t="str">
        <f t="shared" si="20"/>
        <v>Ø16</v>
      </c>
    </row>
    <row r="161" spans="17:24" x14ac:dyDescent="0.3">
      <c r="Q161" s="3"/>
      <c r="R161" s="3"/>
      <c r="S161" s="3"/>
      <c r="T161" s="21" t="s">
        <v>195</v>
      </c>
      <c r="U161" s="3"/>
      <c r="V161" s="3">
        <f t="shared" si="21"/>
        <v>0</v>
      </c>
      <c r="W161" s="3" t="str">
        <f t="shared" si="19"/>
        <v>Ø16</v>
      </c>
      <c r="X161" s="3" t="str">
        <f t="shared" si="20"/>
        <v>Ø16</v>
      </c>
    </row>
    <row r="162" spans="17:24" x14ac:dyDescent="0.3">
      <c r="Q162" s="3"/>
      <c r="R162" s="3"/>
      <c r="S162" s="3"/>
      <c r="T162" s="21" t="s">
        <v>196</v>
      </c>
      <c r="U162" s="3"/>
      <c r="V162" s="3">
        <f t="shared" si="21"/>
        <v>0</v>
      </c>
      <c r="W162" s="3" t="str">
        <f t="shared" si="19"/>
        <v>Ø16</v>
      </c>
      <c r="X162" s="3" t="str">
        <f t="shared" si="20"/>
        <v>Ø16</v>
      </c>
    </row>
    <row r="163" spans="17:24" x14ac:dyDescent="0.3">
      <c r="Q163" s="3"/>
      <c r="R163" s="3"/>
      <c r="S163" s="3"/>
      <c r="T163" s="21" t="s">
        <v>207</v>
      </c>
      <c r="U163" s="3"/>
      <c r="V163" s="3">
        <f t="shared" si="21"/>
        <v>0</v>
      </c>
      <c r="W163" s="3" t="str">
        <f t="shared" si="19"/>
        <v>Ø16</v>
      </c>
      <c r="X163" s="3" t="str">
        <f t="shared" si="20"/>
        <v>Ø16</v>
      </c>
    </row>
    <row r="164" spans="17:24" x14ac:dyDescent="0.3">
      <c r="Q164" s="3" t="s">
        <v>191</v>
      </c>
      <c r="R164" s="3"/>
      <c r="S164" s="3"/>
      <c r="T164" s="21"/>
      <c r="U164" s="3"/>
      <c r="V164" s="3">
        <f t="shared" si="21"/>
        <v>0</v>
      </c>
      <c r="W164" s="3" t="str">
        <f t="shared" si="19"/>
        <v>Ø16</v>
      </c>
      <c r="X164" s="3" t="str">
        <f t="shared" si="20"/>
        <v>Ø16</v>
      </c>
    </row>
    <row r="165" spans="17:24" x14ac:dyDescent="0.3">
      <c r="Q165" s="3"/>
      <c r="R165" s="3"/>
      <c r="S165" s="3"/>
      <c r="T165" s="21"/>
      <c r="U165" s="3"/>
      <c r="V165" s="3">
        <f t="shared" si="21"/>
        <v>0</v>
      </c>
      <c r="W165" s="3" t="str">
        <f t="shared" si="19"/>
        <v>Ø16</v>
      </c>
      <c r="X165" s="3" t="str">
        <f t="shared" si="20"/>
        <v>Ø16</v>
      </c>
    </row>
    <row r="166" spans="17:24" x14ac:dyDescent="0.3">
      <c r="Q166" s="3"/>
      <c r="R166" s="3"/>
      <c r="S166" s="3"/>
      <c r="T166" s="21"/>
      <c r="U166" s="3"/>
      <c r="V166" s="3">
        <f t="shared" si="21"/>
        <v>0</v>
      </c>
      <c r="W166" s="3" t="str">
        <f t="shared" si="19"/>
        <v>Ø16</v>
      </c>
      <c r="X166" s="3" t="str">
        <f t="shared" si="20"/>
        <v>Ø16</v>
      </c>
    </row>
    <row r="167" spans="17:24" x14ac:dyDescent="0.3">
      <c r="Q167" s="3" t="s">
        <v>192</v>
      </c>
      <c r="R167" s="3"/>
      <c r="S167" s="3"/>
      <c r="T167" s="21"/>
      <c r="U167" s="3"/>
      <c r="V167" s="3">
        <f t="shared" si="21"/>
        <v>0</v>
      </c>
      <c r="W167" s="3" t="str">
        <f t="shared" si="19"/>
        <v>Ø16</v>
      </c>
      <c r="X167" s="3" t="str">
        <f t="shared" si="20"/>
        <v>Ø16</v>
      </c>
    </row>
    <row r="168" spans="17:24" x14ac:dyDescent="0.3">
      <c r="Q168" s="3" t="s">
        <v>194</v>
      </c>
      <c r="R168" s="3"/>
      <c r="S168" s="3"/>
      <c r="T168" s="21"/>
      <c r="U168" s="3"/>
      <c r="V168" s="3">
        <f t="shared" si="21"/>
        <v>0</v>
      </c>
      <c r="W168" s="3" t="str">
        <f t="shared" si="19"/>
        <v>Ø16</v>
      </c>
      <c r="X168" s="3" t="str">
        <f t="shared" si="20"/>
        <v>Ø16</v>
      </c>
    </row>
    <row r="169" spans="17:24" x14ac:dyDescent="0.3">
      <c r="Q169" s="3"/>
      <c r="R169" s="3"/>
      <c r="S169" s="3"/>
      <c r="T169" s="21"/>
      <c r="U169" s="3"/>
      <c r="V169" s="3">
        <f t="shared" si="21"/>
        <v>0</v>
      </c>
      <c r="W169" s="3" t="str">
        <f t="shared" si="19"/>
        <v>Ø16</v>
      </c>
      <c r="X169" s="3" t="str">
        <f t="shared" si="20"/>
        <v>Ø16</v>
      </c>
    </row>
    <row r="170" spans="17:24" x14ac:dyDescent="0.3">
      <c r="Q170" s="3"/>
      <c r="R170" s="3"/>
      <c r="S170" s="3"/>
      <c r="T170" s="21" t="s">
        <v>193</v>
      </c>
      <c r="U170" s="3"/>
      <c r="V170" s="3">
        <f t="shared" si="21"/>
        <v>0</v>
      </c>
      <c r="W170" s="3" t="str">
        <f t="shared" si="19"/>
        <v>Ø16</v>
      </c>
      <c r="X170" s="3" t="str">
        <f t="shared" si="20"/>
        <v>Ø16</v>
      </c>
    </row>
    <row r="171" spans="17:24" x14ac:dyDescent="0.3">
      <c r="Q171" s="3"/>
      <c r="R171" s="3"/>
      <c r="S171" s="3"/>
      <c r="T171" s="21"/>
      <c r="U171" s="3"/>
      <c r="V171" s="3">
        <f t="shared" si="21"/>
        <v>0</v>
      </c>
      <c r="W171" s="3" t="str">
        <f t="shared" si="19"/>
        <v>Ø16</v>
      </c>
      <c r="X171" s="3" t="str">
        <f t="shared" si="20"/>
        <v>Ø16</v>
      </c>
    </row>
    <row r="172" spans="17:24" x14ac:dyDescent="0.3">
      <c r="Q172" s="3"/>
      <c r="R172" s="3"/>
      <c r="S172" s="3"/>
      <c r="T172" s="21"/>
      <c r="U172" s="25"/>
      <c r="V172" s="25"/>
      <c r="W172" s="25"/>
      <c r="X172" s="25"/>
    </row>
    <row r="173" spans="17:24" x14ac:dyDescent="0.3">
      <c r="Q173" s="3"/>
      <c r="R173" s="3"/>
      <c r="S173" s="3"/>
      <c r="T173" s="21"/>
      <c r="U173" s="3"/>
      <c r="V173" s="3">
        <f t="shared" si="21"/>
        <v>0</v>
      </c>
      <c r="W173" s="3" t="str">
        <f t="shared" si="19"/>
        <v>Ø16</v>
      </c>
      <c r="X173" s="3" t="str">
        <f t="shared" si="20"/>
        <v>Ø16</v>
      </c>
    </row>
    <row r="174" spans="17:24" x14ac:dyDescent="0.3">
      <c r="Q174" s="3"/>
      <c r="R174" s="3"/>
      <c r="S174" s="3"/>
      <c r="T174" s="21"/>
      <c r="U174" s="3"/>
      <c r="V174" s="3">
        <f t="shared" si="21"/>
        <v>0</v>
      </c>
      <c r="W174" s="3" t="str">
        <f t="shared" si="19"/>
        <v>Ø16</v>
      </c>
      <c r="X174" s="3" t="str">
        <f t="shared" si="20"/>
        <v>Ø16</v>
      </c>
    </row>
    <row r="175" spans="17:24" x14ac:dyDescent="0.3">
      <c r="Q175" s="3"/>
      <c r="R175" s="3"/>
      <c r="S175" s="3"/>
      <c r="T175" s="21"/>
      <c r="U175" s="3"/>
      <c r="V175" s="3">
        <f t="shared" si="21"/>
        <v>0</v>
      </c>
      <c r="W175" s="3" t="str">
        <f t="shared" si="19"/>
        <v>Ø16</v>
      </c>
      <c r="X175" s="3" t="str">
        <f t="shared" si="20"/>
        <v>Ø16</v>
      </c>
    </row>
    <row r="176" spans="17:24" x14ac:dyDescent="0.3">
      <c r="Q176" s="3"/>
      <c r="R176" s="3"/>
      <c r="S176" s="3"/>
      <c r="T176" s="21"/>
      <c r="U176" s="3"/>
      <c r="V176" s="3">
        <f t="shared" si="21"/>
        <v>0</v>
      </c>
      <c r="W176" s="3" t="str">
        <f t="shared" si="19"/>
        <v>Ø16</v>
      </c>
      <c r="X176" s="3" t="str">
        <f t="shared" si="20"/>
        <v>Ø16</v>
      </c>
    </row>
    <row r="177" spans="17:24" x14ac:dyDescent="0.3">
      <c r="Q177" s="3"/>
      <c r="R177" s="3"/>
      <c r="S177" s="3"/>
      <c r="T177" s="21"/>
      <c r="U177" s="3"/>
      <c r="V177" s="3">
        <f t="shared" si="21"/>
        <v>0</v>
      </c>
      <c r="W177" s="3" t="str">
        <f t="shared" si="19"/>
        <v>Ø16</v>
      </c>
      <c r="X177" s="3" t="str">
        <f t="shared" si="20"/>
        <v>Ø16</v>
      </c>
    </row>
    <row r="178" spans="17:24" x14ac:dyDescent="0.3">
      <c r="Q178" s="3"/>
      <c r="R178" s="3"/>
      <c r="S178" s="3"/>
      <c r="T178" s="21"/>
      <c r="U178" s="3"/>
      <c r="V178" s="3">
        <f t="shared" si="21"/>
        <v>0</v>
      </c>
      <c r="W178" s="3" t="str">
        <f t="shared" si="19"/>
        <v>Ø16</v>
      </c>
      <c r="X178" s="3" t="str">
        <f t="shared" si="20"/>
        <v>Ø16</v>
      </c>
    </row>
    <row r="179" spans="17:24" x14ac:dyDescent="0.3">
      <c r="Q179" s="3"/>
      <c r="R179" s="3"/>
      <c r="S179" s="3"/>
      <c r="T179" s="21"/>
      <c r="U179" s="3"/>
      <c r="V179" s="3">
        <f t="shared" si="21"/>
        <v>0</v>
      </c>
      <c r="W179" s="3" t="str">
        <f t="shared" si="19"/>
        <v>Ø16</v>
      </c>
      <c r="X179" s="3" t="str">
        <f t="shared" si="20"/>
        <v>Ø16</v>
      </c>
    </row>
    <row r="180" spans="17:24" x14ac:dyDescent="0.3">
      <c r="Q180" s="3"/>
      <c r="R180" s="3"/>
      <c r="S180" s="3"/>
      <c r="T180" s="21"/>
      <c r="U180" s="3"/>
      <c r="V180" s="3">
        <f t="shared" si="21"/>
        <v>0</v>
      </c>
      <c r="W180" s="3" t="str">
        <f t="shared" si="19"/>
        <v>Ø16</v>
      </c>
      <c r="X180" s="3" t="str">
        <f t="shared" si="20"/>
        <v>Ø16</v>
      </c>
    </row>
    <row r="181" spans="17:24" x14ac:dyDescent="0.3">
      <c r="Q181" s="3"/>
      <c r="R181" s="3"/>
      <c r="S181" s="3"/>
      <c r="T181" s="21"/>
      <c r="U181" s="3"/>
      <c r="V181" s="3">
        <f t="shared" si="21"/>
        <v>0</v>
      </c>
      <c r="W181" s="3" t="str">
        <f t="shared" si="19"/>
        <v>Ø16</v>
      </c>
      <c r="X181" s="3" t="str">
        <f t="shared" si="20"/>
        <v>Ø16</v>
      </c>
    </row>
    <row r="182" spans="17:24" x14ac:dyDescent="0.3">
      <c r="Q182" s="3"/>
      <c r="R182" s="3"/>
      <c r="S182" s="3"/>
      <c r="T182" s="21"/>
      <c r="U182" s="3"/>
      <c r="V182" s="3">
        <f t="shared" si="21"/>
        <v>0</v>
      </c>
      <c r="W182" s="3" t="str">
        <f t="shared" si="19"/>
        <v>Ø16</v>
      </c>
      <c r="X182" s="3" t="str">
        <f t="shared" si="20"/>
        <v>Ø16</v>
      </c>
    </row>
    <row r="183" spans="17:24" x14ac:dyDescent="0.3">
      <c r="Q183" s="3"/>
      <c r="R183" s="3"/>
      <c r="S183" s="3"/>
      <c r="T183" s="21"/>
      <c r="U183" s="3"/>
      <c r="V183" s="3">
        <f t="shared" si="21"/>
        <v>0</v>
      </c>
      <c r="W183" s="3" t="str">
        <f t="shared" si="19"/>
        <v>Ø16</v>
      </c>
      <c r="X183" s="3" t="str">
        <f t="shared" si="20"/>
        <v>Ø16</v>
      </c>
    </row>
    <row r="184" spans="17:24" x14ac:dyDescent="0.3">
      <c r="Q184" s="3"/>
      <c r="R184" s="3"/>
      <c r="S184" s="3"/>
      <c r="T184" s="21"/>
      <c r="U184" s="3"/>
      <c r="V184" s="3">
        <f t="shared" si="21"/>
        <v>0</v>
      </c>
      <c r="W184" s="3" t="str">
        <f t="shared" si="19"/>
        <v>Ø16</v>
      </c>
      <c r="X184" s="3" t="str">
        <f t="shared" si="20"/>
        <v>Ø16</v>
      </c>
    </row>
    <row r="185" spans="17:24" x14ac:dyDescent="0.3">
      <c r="Q185" s="3"/>
      <c r="R185" s="3"/>
      <c r="S185" s="3"/>
      <c r="T185" s="21"/>
      <c r="U185" s="3"/>
      <c r="V185" s="3">
        <f t="shared" si="21"/>
        <v>0</v>
      </c>
      <c r="W185" s="3" t="str">
        <f t="shared" si="19"/>
        <v>Ø16</v>
      </c>
      <c r="X185" s="3" t="str">
        <f t="shared" si="20"/>
        <v>Ø16</v>
      </c>
    </row>
    <row r="186" spans="17:24" x14ac:dyDescent="0.3">
      <c r="Q186" s="3"/>
      <c r="R186" s="3"/>
      <c r="S186" s="3"/>
      <c r="T186" s="21"/>
      <c r="U186" s="3"/>
      <c r="V186" s="3">
        <f t="shared" si="21"/>
        <v>0</v>
      </c>
      <c r="W186" s="3" t="str">
        <f t="shared" si="19"/>
        <v>Ø16</v>
      </c>
      <c r="X186" s="3" t="str">
        <f t="shared" si="20"/>
        <v>Ø16</v>
      </c>
    </row>
    <row r="187" spans="17:24" x14ac:dyDescent="0.3">
      <c r="Q187" s="3"/>
      <c r="R187" s="3"/>
      <c r="S187" s="3"/>
      <c r="T187" s="21"/>
      <c r="U187" s="3"/>
      <c r="V187" s="3">
        <f t="shared" si="21"/>
        <v>0</v>
      </c>
      <c r="W187" s="3" t="str">
        <f t="shared" si="19"/>
        <v>Ø16</v>
      </c>
      <c r="X187" s="3" t="str">
        <f t="shared" si="20"/>
        <v>Ø16</v>
      </c>
    </row>
    <row r="188" spans="17:24" x14ac:dyDescent="0.3">
      <c r="Q188" s="3"/>
      <c r="R188" s="3"/>
      <c r="S188" s="3"/>
      <c r="T188" s="21"/>
      <c r="U188" s="3"/>
      <c r="V188" s="3">
        <f t="shared" si="21"/>
        <v>0</v>
      </c>
      <c r="W188" s="3" t="str">
        <f t="shared" si="19"/>
        <v>Ø16</v>
      </c>
      <c r="X188" s="3" t="str">
        <f t="shared" si="20"/>
        <v>Ø16</v>
      </c>
    </row>
    <row r="189" spans="17:24" x14ac:dyDescent="0.3">
      <c r="Q189" s="3"/>
      <c r="R189" s="3"/>
      <c r="S189" s="3"/>
      <c r="T189" s="21"/>
      <c r="U189" s="3"/>
      <c r="V189" s="3">
        <f t="shared" si="21"/>
        <v>0</v>
      </c>
      <c r="W189" s="3" t="str">
        <f t="shared" si="19"/>
        <v>Ø16</v>
      </c>
      <c r="X189" s="3" t="str">
        <f t="shared" si="20"/>
        <v>Ø16</v>
      </c>
    </row>
    <row r="190" spans="17:24" x14ac:dyDescent="0.3">
      <c r="Q190" s="3"/>
      <c r="R190" s="3"/>
      <c r="S190" s="3"/>
      <c r="T190" s="21"/>
      <c r="U190" s="3"/>
      <c r="V190" s="3">
        <f t="shared" si="21"/>
        <v>0</v>
      </c>
      <c r="W190" s="3" t="str">
        <f t="shared" si="19"/>
        <v>Ø16</v>
      </c>
      <c r="X190" s="3" t="str">
        <f t="shared" si="20"/>
        <v>Ø16</v>
      </c>
    </row>
    <row r="191" spans="17:24" x14ac:dyDescent="0.3">
      <c r="Q191" s="3"/>
      <c r="R191" s="3"/>
      <c r="S191" s="3"/>
      <c r="T191" s="21"/>
      <c r="U191" s="3"/>
      <c r="V191" s="3">
        <f t="shared" si="21"/>
        <v>0</v>
      </c>
      <c r="W191" s="3" t="str">
        <f t="shared" si="19"/>
        <v>Ø16</v>
      </c>
      <c r="X191" s="3" t="str">
        <f t="shared" si="20"/>
        <v>Ø16</v>
      </c>
    </row>
    <row r="192" spans="17:24" x14ac:dyDescent="0.3">
      <c r="Q192" s="3"/>
      <c r="R192" s="3"/>
      <c r="S192" s="3"/>
      <c r="T192" s="21"/>
      <c r="U192" s="3"/>
      <c r="V192" s="3">
        <f t="shared" si="21"/>
        <v>0</v>
      </c>
      <c r="W192" s="3" t="str">
        <f t="shared" si="19"/>
        <v>Ø16</v>
      </c>
      <c r="X192" s="3" t="str">
        <f t="shared" si="20"/>
        <v>Ø16</v>
      </c>
    </row>
    <row r="193" spans="17:24" x14ac:dyDescent="0.3">
      <c r="Q193" s="3"/>
      <c r="R193" s="3"/>
      <c r="S193" s="3"/>
      <c r="T193" s="21"/>
      <c r="U193" s="3"/>
      <c r="V193" s="3">
        <f t="shared" si="21"/>
        <v>0</v>
      </c>
      <c r="W193" s="3" t="str">
        <f t="shared" si="19"/>
        <v>Ø16</v>
      </c>
      <c r="X193" s="3" t="str">
        <f t="shared" si="20"/>
        <v>Ø16</v>
      </c>
    </row>
    <row r="194" spans="17:24" x14ac:dyDescent="0.3">
      <c r="Q194" s="3"/>
      <c r="R194" s="3"/>
      <c r="S194" s="3"/>
      <c r="T194" s="21"/>
      <c r="U194" s="3"/>
      <c r="V194" s="3">
        <f t="shared" si="21"/>
        <v>0</v>
      </c>
      <c r="W194" s="3" t="str">
        <f t="shared" si="19"/>
        <v>Ø16</v>
      </c>
      <c r="X194" s="3" t="str">
        <f t="shared" si="20"/>
        <v>Ø16</v>
      </c>
    </row>
    <row r="195" spans="17:24" x14ac:dyDescent="0.3">
      <c r="Q195" s="3"/>
      <c r="R195" s="3"/>
      <c r="S195" s="3"/>
      <c r="T195" s="21"/>
      <c r="U195" s="3"/>
      <c r="V195" s="3">
        <f t="shared" si="21"/>
        <v>0</v>
      </c>
      <c r="W195" s="3" t="str">
        <f t="shared" si="19"/>
        <v>Ø16</v>
      </c>
      <c r="X195" s="3" t="str">
        <f t="shared" si="20"/>
        <v>Ø16</v>
      </c>
    </row>
    <row r="196" spans="17:24" x14ac:dyDescent="0.3">
      <c r="Q196" s="3"/>
      <c r="R196" s="3"/>
      <c r="S196" s="3"/>
      <c r="T196" s="21"/>
      <c r="U196" s="3"/>
      <c r="V196" s="3">
        <f t="shared" si="21"/>
        <v>0</v>
      </c>
      <c r="W196" s="3" t="str">
        <f t="shared" si="19"/>
        <v>Ø16</v>
      </c>
      <c r="X196" s="3" t="str">
        <f t="shared" si="20"/>
        <v>Ø16</v>
      </c>
    </row>
    <row r="197" spans="17:24" x14ac:dyDescent="0.3">
      <c r="Q197" s="3"/>
      <c r="R197" s="3"/>
      <c r="S197" s="3"/>
      <c r="T197" s="21"/>
      <c r="U197" s="3"/>
      <c r="V197" s="3">
        <f t="shared" ref="V197:V260" si="22">U197*1.2</f>
        <v>0</v>
      </c>
      <c r="W197" s="3" t="str">
        <f t="shared" ref="W197:W260" si="23">"Ø"&amp;VLOOKUP(V197,$Z$4:$AA$10,2,TRUE)</f>
        <v>Ø16</v>
      </c>
      <c r="X197" s="3" t="str">
        <f t="shared" ref="X197:X260" si="24">"Ø"&amp;VLOOKUP(V197,$AD$4:$AE$10,2,TRUE)</f>
        <v>Ø16</v>
      </c>
    </row>
    <row r="198" spans="17:24" x14ac:dyDescent="0.3">
      <c r="Q198" s="3"/>
      <c r="R198" s="3"/>
      <c r="S198" s="3"/>
      <c r="T198" s="21"/>
      <c r="U198" s="3"/>
      <c r="V198" s="3">
        <f t="shared" si="22"/>
        <v>0</v>
      </c>
      <c r="W198" s="3" t="str">
        <f t="shared" si="23"/>
        <v>Ø16</v>
      </c>
      <c r="X198" s="3" t="str">
        <f t="shared" si="24"/>
        <v>Ø16</v>
      </c>
    </row>
    <row r="199" spans="17:24" x14ac:dyDescent="0.3">
      <c r="Q199" s="3"/>
      <c r="R199" s="3"/>
      <c r="S199" s="3"/>
      <c r="T199" s="21"/>
      <c r="U199" s="3"/>
      <c r="V199" s="3">
        <f t="shared" si="22"/>
        <v>0</v>
      </c>
      <c r="W199" s="3" t="str">
        <f t="shared" si="23"/>
        <v>Ø16</v>
      </c>
      <c r="X199" s="3" t="str">
        <f t="shared" si="24"/>
        <v>Ø16</v>
      </c>
    </row>
    <row r="200" spans="17:24" x14ac:dyDescent="0.3">
      <c r="Q200" s="3"/>
      <c r="R200" s="3"/>
      <c r="S200" s="3"/>
      <c r="T200" s="21"/>
      <c r="U200" s="3"/>
      <c r="V200" s="3">
        <f t="shared" si="22"/>
        <v>0</v>
      </c>
      <c r="W200" s="3" t="str">
        <f t="shared" si="23"/>
        <v>Ø16</v>
      </c>
      <c r="X200" s="3" t="str">
        <f t="shared" si="24"/>
        <v>Ø16</v>
      </c>
    </row>
    <row r="201" spans="17:24" x14ac:dyDescent="0.3">
      <c r="Q201" s="3"/>
      <c r="R201" s="3"/>
      <c r="S201" s="3"/>
      <c r="T201" s="21"/>
      <c r="U201" s="3"/>
      <c r="V201" s="3">
        <f t="shared" si="22"/>
        <v>0</v>
      </c>
      <c r="W201" s="3" t="str">
        <f t="shared" si="23"/>
        <v>Ø16</v>
      </c>
      <c r="X201" s="3" t="str">
        <f t="shared" si="24"/>
        <v>Ø16</v>
      </c>
    </row>
    <row r="202" spans="17:24" x14ac:dyDescent="0.3">
      <c r="Q202" s="3"/>
      <c r="R202" s="3"/>
      <c r="S202" s="3"/>
      <c r="T202" s="21"/>
      <c r="U202" s="3"/>
      <c r="V202" s="3">
        <f t="shared" si="22"/>
        <v>0</v>
      </c>
      <c r="W202" s="3" t="str">
        <f t="shared" si="23"/>
        <v>Ø16</v>
      </c>
      <c r="X202" s="3" t="str">
        <f t="shared" si="24"/>
        <v>Ø16</v>
      </c>
    </row>
    <row r="203" spans="17:24" x14ac:dyDescent="0.3">
      <c r="Q203" s="3"/>
      <c r="R203" s="3"/>
      <c r="S203" s="3"/>
      <c r="T203" s="21"/>
      <c r="U203" s="3"/>
      <c r="V203" s="3">
        <f t="shared" si="22"/>
        <v>0</v>
      </c>
      <c r="W203" s="3" t="str">
        <f t="shared" si="23"/>
        <v>Ø16</v>
      </c>
      <c r="X203" s="3" t="str">
        <f t="shared" si="24"/>
        <v>Ø16</v>
      </c>
    </row>
    <row r="204" spans="17:24" x14ac:dyDescent="0.3">
      <c r="Q204" s="3"/>
      <c r="R204" s="3"/>
      <c r="S204" s="3"/>
      <c r="T204" s="21"/>
      <c r="U204" s="3"/>
      <c r="V204" s="3">
        <f t="shared" si="22"/>
        <v>0</v>
      </c>
      <c r="W204" s="3" t="str">
        <f t="shared" si="23"/>
        <v>Ø16</v>
      </c>
      <c r="X204" s="3" t="str">
        <f t="shared" si="24"/>
        <v>Ø16</v>
      </c>
    </row>
    <row r="205" spans="17:24" x14ac:dyDescent="0.3">
      <c r="Q205" s="3"/>
      <c r="R205" s="3"/>
      <c r="S205" s="3"/>
      <c r="T205" s="21"/>
      <c r="U205" s="3"/>
      <c r="V205" s="3">
        <f t="shared" si="22"/>
        <v>0</v>
      </c>
      <c r="W205" s="3" t="str">
        <f t="shared" si="23"/>
        <v>Ø16</v>
      </c>
      <c r="X205" s="3" t="str">
        <f t="shared" si="24"/>
        <v>Ø16</v>
      </c>
    </row>
    <row r="206" spans="17:24" x14ac:dyDescent="0.3">
      <c r="Q206" s="3"/>
      <c r="R206" s="3"/>
      <c r="S206" s="3"/>
      <c r="T206" s="21"/>
      <c r="U206" s="3"/>
      <c r="V206" s="3">
        <f t="shared" si="22"/>
        <v>0</v>
      </c>
      <c r="W206" s="3" t="str">
        <f t="shared" si="23"/>
        <v>Ø16</v>
      </c>
      <c r="X206" s="3" t="str">
        <f t="shared" si="24"/>
        <v>Ø16</v>
      </c>
    </row>
    <row r="207" spans="17:24" x14ac:dyDescent="0.3">
      <c r="Q207" s="3"/>
      <c r="R207" s="3"/>
      <c r="S207" s="3"/>
      <c r="T207" s="21"/>
      <c r="U207" s="3"/>
      <c r="V207" s="3">
        <f t="shared" si="22"/>
        <v>0</v>
      </c>
      <c r="W207" s="3" t="str">
        <f t="shared" si="23"/>
        <v>Ø16</v>
      </c>
      <c r="X207" s="3" t="str">
        <f t="shared" si="24"/>
        <v>Ø16</v>
      </c>
    </row>
    <row r="208" spans="17:24" x14ac:dyDescent="0.3">
      <c r="Q208" s="3"/>
      <c r="R208" s="3"/>
      <c r="S208" s="3"/>
      <c r="T208" s="21"/>
      <c r="U208" s="3"/>
      <c r="V208" s="3">
        <f t="shared" si="22"/>
        <v>0</v>
      </c>
      <c r="W208" s="3" t="str">
        <f t="shared" si="23"/>
        <v>Ø16</v>
      </c>
      <c r="X208" s="3" t="str">
        <f t="shared" si="24"/>
        <v>Ø16</v>
      </c>
    </row>
    <row r="209" spans="17:24" x14ac:dyDescent="0.3">
      <c r="Q209" s="3"/>
      <c r="R209" s="3"/>
      <c r="S209" s="3"/>
      <c r="T209" s="21"/>
      <c r="U209" s="3"/>
      <c r="V209" s="3">
        <f t="shared" si="22"/>
        <v>0</v>
      </c>
      <c r="W209" s="3" t="str">
        <f t="shared" si="23"/>
        <v>Ø16</v>
      </c>
      <c r="X209" s="3" t="str">
        <f t="shared" si="24"/>
        <v>Ø16</v>
      </c>
    </row>
    <row r="210" spans="17:24" x14ac:dyDescent="0.3">
      <c r="Q210" s="3"/>
      <c r="R210" s="3"/>
      <c r="S210" s="3"/>
      <c r="T210" s="21"/>
      <c r="U210" s="3"/>
      <c r="V210" s="3">
        <f t="shared" si="22"/>
        <v>0</v>
      </c>
      <c r="W210" s="3" t="str">
        <f t="shared" si="23"/>
        <v>Ø16</v>
      </c>
      <c r="X210" s="3" t="str">
        <f t="shared" si="24"/>
        <v>Ø16</v>
      </c>
    </row>
    <row r="211" spans="17:24" x14ac:dyDescent="0.3">
      <c r="Q211" s="3"/>
      <c r="R211" s="3"/>
      <c r="S211" s="3"/>
      <c r="T211" s="21"/>
      <c r="U211" s="3"/>
      <c r="V211" s="3">
        <f t="shared" si="22"/>
        <v>0</v>
      </c>
      <c r="W211" s="3" t="str">
        <f t="shared" si="23"/>
        <v>Ø16</v>
      </c>
      <c r="X211" s="3" t="str">
        <f t="shared" si="24"/>
        <v>Ø16</v>
      </c>
    </row>
    <row r="212" spans="17:24" x14ac:dyDescent="0.3">
      <c r="Q212" s="3"/>
      <c r="R212" s="3"/>
      <c r="S212" s="3"/>
      <c r="T212" s="21"/>
      <c r="U212" s="3"/>
      <c r="V212" s="3">
        <f t="shared" si="22"/>
        <v>0</v>
      </c>
      <c r="W212" s="3" t="str">
        <f t="shared" si="23"/>
        <v>Ø16</v>
      </c>
      <c r="X212" s="3" t="str">
        <f t="shared" si="24"/>
        <v>Ø16</v>
      </c>
    </row>
    <row r="213" spans="17:24" x14ac:dyDescent="0.3">
      <c r="Q213" s="3"/>
      <c r="R213" s="3"/>
      <c r="S213" s="3"/>
      <c r="T213" s="21"/>
      <c r="U213" s="3"/>
      <c r="V213" s="3">
        <f t="shared" si="22"/>
        <v>0</v>
      </c>
      <c r="W213" s="3" t="str">
        <f t="shared" si="23"/>
        <v>Ø16</v>
      </c>
      <c r="X213" s="3" t="str">
        <f t="shared" si="24"/>
        <v>Ø16</v>
      </c>
    </row>
    <row r="214" spans="17:24" x14ac:dyDescent="0.3">
      <c r="Q214" s="3"/>
      <c r="R214" s="3"/>
      <c r="S214" s="3"/>
      <c r="T214" s="21"/>
      <c r="U214" s="3"/>
      <c r="V214" s="3">
        <f t="shared" si="22"/>
        <v>0</v>
      </c>
      <c r="W214" s="3" t="str">
        <f t="shared" si="23"/>
        <v>Ø16</v>
      </c>
      <c r="X214" s="3" t="str">
        <f t="shared" si="24"/>
        <v>Ø16</v>
      </c>
    </row>
    <row r="215" spans="17:24" x14ac:dyDescent="0.3">
      <c r="Q215" s="3"/>
      <c r="R215" s="3"/>
      <c r="S215" s="3"/>
      <c r="T215" s="21"/>
      <c r="U215" s="3"/>
      <c r="V215" s="3">
        <f t="shared" si="22"/>
        <v>0</v>
      </c>
      <c r="W215" s="3" t="str">
        <f t="shared" si="23"/>
        <v>Ø16</v>
      </c>
      <c r="X215" s="3" t="str">
        <f t="shared" si="24"/>
        <v>Ø16</v>
      </c>
    </row>
    <row r="216" spans="17:24" x14ac:dyDescent="0.3">
      <c r="Q216" s="3"/>
      <c r="R216" s="3"/>
      <c r="S216" s="3"/>
      <c r="T216" s="21"/>
      <c r="U216" s="3"/>
      <c r="V216" s="3">
        <f t="shared" si="22"/>
        <v>0</v>
      </c>
      <c r="W216" s="3" t="str">
        <f t="shared" si="23"/>
        <v>Ø16</v>
      </c>
      <c r="X216" s="3" t="str">
        <f t="shared" si="24"/>
        <v>Ø16</v>
      </c>
    </row>
    <row r="217" spans="17:24" x14ac:dyDescent="0.3">
      <c r="Q217" s="3"/>
      <c r="R217" s="3"/>
      <c r="S217" s="3"/>
      <c r="T217" s="21"/>
      <c r="U217" s="3"/>
      <c r="V217" s="3">
        <f t="shared" si="22"/>
        <v>0</v>
      </c>
      <c r="W217" s="3" t="str">
        <f t="shared" si="23"/>
        <v>Ø16</v>
      </c>
      <c r="X217" s="3" t="str">
        <f t="shared" si="24"/>
        <v>Ø16</v>
      </c>
    </row>
    <row r="218" spans="17:24" x14ac:dyDescent="0.3">
      <c r="Q218" s="3"/>
      <c r="R218" s="3"/>
      <c r="S218" s="3"/>
      <c r="T218" s="21"/>
      <c r="U218" s="3"/>
      <c r="V218" s="3">
        <f t="shared" si="22"/>
        <v>0</v>
      </c>
      <c r="W218" s="3" t="str">
        <f t="shared" si="23"/>
        <v>Ø16</v>
      </c>
      <c r="X218" s="3" t="str">
        <f t="shared" si="24"/>
        <v>Ø16</v>
      </c>
    </row>
    <row r="219" spans="17:24" x14ac:dyDescent="0.3">
      <c r="Q219" s="3"/>
      <c r="R219" s="3"/>
      <c r="S219" s="3"/>
      <c r="T219" s="21"/>
      <c r="U219" s="3"/>
      <c r="V219" s="3">
        <f t="shared" si="22"/>
        <v>0</v>
      </c>
      <c r="W219" s="3" t="str">
        <f t="shared" si="23"/>
        <v>Ø16</v>
      </c>
      <c r="X219" s="3" t="str">
        <f t="shared" si="24"/>
        <v>Ø16</v>
      </c>
    </row>
    <row r="220" spans="17:24" x14ac:dyDescent="0.3">
      <c r="Q220" s="3"/>
      <c r="R220" s="3"/>
      <c r="S220" s="3"/>
      <c r="T220" s="21"/>
      <c r="U220" s="3"/>
      <c r="V220" s="3">
        <f t="shared" si="22"/>
        <v>0</v>
      </c>
      <c r="W220" s="3" t="str">
        <f t="shared" si="23"/>
        <v>Ø16</v>
      </c>
      <c r="X220" s="3" t="str">
        <f t="shared" si="24"/>
        <v>Ø16</v>
      </c>
    </row>
    <row r="221" spans="17:24" x14ac:dyDescent="0.3">
      <c r="Q221" s="3"/>
      <c r="R221" s="3"/>
      <c r="S221" s="3"/>
      <c r="T221" s="21"/>
      <c r="U221" s="3"/>
      <c r="V221" s="3">
        <f t="shared" si="22"/>
        <v>0</v>
      </c>
      <c r="W221" s="3" t="str">
        <f t="shared" si="23"/>
        <v>Ø16</v>
      </c>
      <c r="X221" s="3" t="str">
        <f t="shared" si="24"/>
        <v>Ø16</v>
      </c>
    </row>
    <row r="222" spans="17:24" x14ac:dyDescent="0.3">
      <c r="Q222" s="3"/>
      <c r="R222" s="3"/>
      <c r="S222" s="3"/>
      <c r="T222" s="21"/>
      <c r="U222" s="3"/>
      <c r="V222" s="3">
        <f t="shared" si="22"/>
        <v>0</v>
      </c>
      <c r="W222" s="3" t="str">
        <f t="shared" si="23"/>
        <v>Ø16</v>
      </c>
      <c r="X222" s="3" t="str">
        <f t="shared" si="24"/>
        <v>Ø16</v>
      </c>
    </row>
    <row r="223" spans="17:24" x14ac:dyDescent="0.3">
      <c r="Q223" s="3"/>
      <c r="R223" s="3"/>
      <c r="S223" s="3"/>
      <c r="T223" s="21"/>
      <c r="U223" s="3"/>
      <c r="V223" s="3">
        <f t="shared" si="22"/>
        <v>0</v>
      </c>
      <c r="W223" s="3" t="str">
        <f t="shared" si="23"/>
        <v>Ø16</v>
      </c>
      <c r="X223" s="3" t="str">
        <f t="shared" si="24"/>
        <v>Ø16</v>
      </c>
    </row>
    <row r="224" spans="17:24" x14ac:dyDescent="0.3">
      <c r="Q224" s="3"/>
      <c r="R224" s="3"/>
      <c r="S224" s="3"/>
      <c r="T224" s="21"/>
      <c r="U224" s="3"/>
      <c r="V224" s="3">
        <f t="shared" si="22"/>
        <v>0</v>
      </c>
      <c r="W224" s="3" t="str">
        <f t="shared" si="23"/>
        <v>Ø16</v>
      </c>
      <c r="X224" s="3" t="str">
        <f t="shared" si="24"/>
        <v>Ø16</v>
      </c>
    </row>
    <row r="225" spans="17:24" x14ac:dyDescent="0.3">
      <c r="Q225" s="3"/>
      <c r="R225" s="3"/>
      <c r="S225" s="3"/>
      <c r="T225" s="21"/>
      <c r="U225" s="3"/>
      <c r="V225" s="3">
        <f t="shared" si="22"/>
        <v>0</v>
      </c>
      <c r="W225" s="3" t="str">
        <f t="shared" si="23"/>
        <v>Ø16</v>
      </c>
      <c r="X225" s="3" t="str">
        <f t="shared" si="24"/>
        <v>Ø16</v>
      </c>
    </row>
    <row r="226" spans="17:24" x14ac:dyDescent="0.3">
      <c r="Q226" s="3"/>
      <c r="R226" s="3"/>
      <c r="S226" s="3"/>
      <c r="T226" s="21"/>
      <c r="U226" s="3"/>
      <c r="V226" s="3">
        <f t="shared" si="22"/>
        <v>0</v>
      </c>
      <c r="W226" s="3" t="str">
        <f t="shared" si="23"/>
        <v>Ø16</v>
      </c>
      <c r="X226" s="3" t="str">
        <f t="shared" si="24"/>
        <v>Ø16</v>
      </c>
    </row>
    <row r="227" spans="17:24" x14ac:dyDescent="0.3">
      <c r="Q227" s="3"/>
      <c r="R227" s="3"/>
      <c r="S227" s="3"/>
      <c r="T227" s="21"/>
      <c r="U227" s="3"/>
      <c r="V227" s="3">
        <f t="shared" si="22"/>
        <v>0</v>
      </c>
      <c r="W227" s="3" t="str">
        <f t="shared" si="23"/>
        <v>Ø16</v>
      </c>
      <c r="X227" s="3" t="str">
        <f t="shared" si="24"/>
        <v>Ø16</v>
      </c>
    </row>
    <row r="228" spans="17:24" x14ac:dyDescent="0.3">
      <c r="Q228" s="3"/>
      <c r="R228" s="3"/>
      <c r="S228" s="3"/>
      <c r="T228" s="21"/>
      <c r="U228" s="3"/>
      <c r="V228" s="3">
        <f t="shared" si="22"/>
        <v>0</v>
      </c>
      <c r="W228" s="3" t="str">
        <f t="shared" si="23"/>
        <v>Ø16</v>
      </c>
      <c r="X228" s="3" t="str">
        <f t="shared" si="24"/>
        <v>Ø16</v>
      </c>
    </row>
    <row r="229" spans="17:24" x14ac:dyDescent="0.3">
      <c r="Q229" s="3"/>
      <c r="R229" s="3"/>
      <c r="S229" s="3"/>
      <c r="T229" s="21"/>
      <c r="U229" s="3"/>
      <c r="V229" s="3">
        <f t="shared" si="22"/>
        <v>0</v>
      </c>
      <c r="W229" s="3" t="str">
        <f t="shared" si="23"/>
        <v>Ø16</v>
      </c>
      <c r="X229" s="3" t="str">
        <f t="shared" si="24"/>
        <v>Ø16</v>
      </c>
    </row>
    <row r="230" spans="17:24" x14ac:dyDescent="0.3">
      <c r="Q230" s="3"/>
      <c r="R230" s="3"/>
      <c r="S230" s="3"/>
      <c r="T230" s="21"/>
      <c r="U230" s="3"/>
      <c r="V230" s="3">
        <f t="shared" si="22"/>
        <v>0</v>
      </c>
      <c r="W230" s="3" t="str">
        <f t="shared" si="23"/>
        <v>Ø16</v>
      </c>
      <c r="X230" s="3" t="str">
        <f t="shared" si="24"/>
        <v>Ø16</v>
      </c>
    </row>
    <row r="231" spans="17:24" x14ac:dyDescent="0.3">
      <c r="Q231" s="3"/>
      <c r="R231" s="3"/>
      <c r="S231" s="3"/>
      <c r="T231" s="21"/>
      <c r="U231" s="3"/>
      <c r="V231" s="3">
        <f t="shared" si="22"/>
        <v>0</v>
      </c>
      <c r="W231" s="3" t="str">
        <f t="shared" si="23"/>
        <v>Ø16</v>
      </c>
      <c r="X231" s="3" t="str">
        <f t="shared" si="24"/>
        <v>Ø16</v>
      </c>
    </row>
    <row r="232" spans="17:24" x14ac:dyDescent="0.3">
      <c r="Q232" s="3"/>
      <c r="R232" s="3"/>
      <c r="S232" s="3"/>
      <c r="T232" s="21"/>
      <c r="U232" s="3"/>
      <c r="V232" s="3">
        <f t="shared" si="22"/>
        <v>0</v>
      </c>
      <c r="W232" s="3" t="str">
        <f t="shared" si="23"/>
        <v>Ø16</v>
      </c>
      <c r="X232" s="3" t="str">
        <f t="shared" si="24"/>
        <v>Ø16</v>
      </c>
    </row>
    <row r="233" spans="17:24" x14ac:dyDescent="0.3">
      <c r="Q233" s="3"/>
      <c r="R233" s="3"/>
      <c r="S233" s="3"/>
      <c r="T233" s="21"/>
      <c r="U233" s="3"/>
      <c r="V233" s="3">
        <f t="shared" si="22"/>
        <v>0</v>
      </c>
      <c r="W233" s="3" t="str">
        <f t="shared" si="23"/>
        <v>Ø16</v>
      </c>
      <c r="X233" s="3" t="str">
        <f t="shared" si="24"/>
        <v>Ø16</v>
      </c>
    </row>
    <row r="234" spans="17:24" x14ac:dyDescent="0.3">
      <c r="Q234" s="3"/>
      <c r="R234" s="3"/>
      <c r="S234" s="3"/>
      <c r="T234" s="21"/>
      <c r="U234" s="3"/>
      <c r="V234" s="3">
        <f t="shared" si="22"/>
        <v>0</v>
      </c>
      <c r="W234" s="3" t="str">
        <f t="shared" si="23"/>
        <v>Ø16</v>
      </c>
      <c r="X234" s="3" t="str">
        <f t="shared" si="24"/>
        <v>Ø16</v>
      </c>
    </row>
    <row r="235" spans="17:24" x14ac:dyDescent="0.3">
      <c r="Q235" s="3"/>
      <c r="R235" s="3"/>
      <c r="S235" s="3"/>
      <c r="T235" s="21"/>
      <c r="U235" s="3"/>
      <c r="V235" s="3">
        <f t="shared" si="22"/>
        <v>0</v>
      </c>
      <c r="W235" s="3" t="str">
        <f t="shared" si="23"/>
        <v>Ø16</v>
      </c>
      <c r="X235" s="3" t="str">
        <f t="shared" si="24"/>
        <v>Ø16</v>
      </c>
    </row>
    <row r="236" spans="17:24" x14ac:dyDescent="0.3">
      <c r="Q236" s="3"/>
      <c r="R236" s="3"/>
      <c r="S236" s="3"/>
      <c r="T236" s="21"/>
      <c r="U236" s="3"/>
      <c r="V236" s="3">
        <f t="shared" si="22"/>
        <v>0</v>
      </c>
      <c r="W236" s="3" t="str">
        <f t="shared" si="23"/>
        <v>Ø16</v>
      </c>
      <c r="X236" s="3" t="str">
        <f t="shared" si="24"/>
        <v>Ø16</v>
      </c>
    </row>
    <row r="237" spans="17:24" x14ac:dyDescent="0.3">
      <c r="Q237" s="3"/>
      <c r="R237" s="3"/>
      <c r="S237" s="3"/>
      <c r="T237" s="21"/>
      <c r="U237" s="3"/>
      <c r="V237" s="3">
        <f t="shared" si="22"/>
        <v>0</v>
      </c>
      <c r="W237" s="3" t="str">
        <f t="shared" si="23"/>
        <v>Ø16</v>
      </c>
      <c r="X237" s="3" t="str">
        <f t="shared" si="24"/>
        <v>Ø16</v>
      </c>
    </row>
    <row r="238" spans="17:24" x14ac:dyDescent="0.3">
      <c r="Q238" s="3"/>
      <c r="R238" s="3"/>
      <c r="S238" s="3"/>
      <c r="T238" s="21"/>
      <c r="U238" s="3"/>
      <c r="V238" s="3">
        <f t="shared" si="22"/>
        <v>0</v>
      </c>
      <c r="W238" s="3" t="str">
        <f t="shared" si="23"/>
        <v>Ø16</v>
      </c>
      <c r="X238" s="3" t="str">
        <f t="shared" si="24"/>
        <v>Ø16</v>
      </c>
    </row>
    <row r="239" spans="17:24" x14ac:dyDescent="0.3">
      <c r="Q239" s="3"/>
      <c r="R239" s="3"/>
      <c r="S239" s="3"/>
      <c r="T239" s="21"/>
      <c r="U239" s="3"/>
      <c r="V239" s="3">
        <f t="shared" si="22"/>
        <v>0</v>
      </c>
      <c r="W239" s="3" t="str">
        <f t="shared" si="23"/>
        <v>Ø16</v>
      </c>
      <c r="X239" s="3" t="str">
        <f t="shared" si="24"/>
        <v>Ø16</v>
      </c>
    </row>
    <row r="240" spans="17:24" x14ac:dyDescent="0.3">
      <c r="Q240" s="3"/>
      <c r="R240" s="3"/>
      <c r="S240" s="3"/>
      <c r="T240" s="21"/>
      <c r="U240" s="3"/>
      <c r="V240" s="3">
        <f t="shared" si="22"/>
        <v>0</v>
      </c>
      <c r="W240" s="3" t="str">
        <f t="shared" si="23"/>
        <v>Ø16</v>
      </c>
      <c r="X240" s="3" t="str">
        <f t="shared" si="24"/>
        <v>Ø16</v>
      </c>
    </row>
    <row r="241" spans="17:24" x14ac:dyDescent="0.3">
      <c r="Q241" s="3"/>
      <c r="R241" s="3"/>
      <c r="S241" s="3"/>
      <c r="T241" s="21"/>
      <c r="U241" s="3"/>
      <c r="V241" s="3">
        <f t="shared" si="22"/>
        <v>0</v>
      </c>
      <c r="W241" s="3" t="str">
        <f t="shared" si="23"/>
        <v>Ø16</v>
      </c>
      <c r="X241" s="3" t="str">
        <f t="shared" si="24"/>
        <v>Ø16</v>
      </c>
    </row>
    <row r="242" spans="17:24" x14ac:dyDescent="0.3">
      <c r="Q242" s="3"/>
      <c r="R242" s="3"/>
      <c r="S242" s="3"/>
      <c r="T242" s="21"/>
      <c r="U242" s="3"/>
      <c r="V242" s="3">
        <f t="shared" si="22"/>
        <v>0</v>
      </c>
      <c r="W242" s="3" t="str">
        <f t="shared" si="23"/>
        <v>Ø16</v>
      </c>
      <c r="X242" s="3" t="str">
        <f t="shared" si="24"/>
        <v>Ø16</v>
      </c>
    </row>
    <row r="243" spans="17:24" x14ac:dyDescent="0.3">
      <c r="Q243" s="3"/>
      <c r="R243" s="3"/>
      <c r="S243" s="3"/>
      <c r="T243" s="21"/>
      <c r="U243" s="3"/>
      <c r="V243" s="3">
        <f t="shared" si="22"/>
        <v>0</v>
      </c>
      <c r="W243" s="3" t="str">
        <f t="shared" si="23"/>
        <v>Ø16</v>
      </c>
      <c r="X243" s="3" t="str">
        <f t="shared" si="24"/>
        <v>Ø16</v>
      </c>
    </row>
    <row r="244" spans="17:24" x14ac:dyDescent="0.3">
      <c r="Q244" s="3"/>
      <c r="R244" s="3"/>
      <c r="S244" s="3"/>
      <c r="T244" s="21"/>
      <c r="U244" s="3"/>
      <c r="V244" s="3">
        <f t="shared" si="22"/>
        <v>0</v>
      </c>
      <c r="W244" s="3" t="str">
        <f t="shared" si="23"/>
        <v>Ø16</v>
      </c>
      <c r="X244" s="3" t="str">
        <f t="shared" si="24"/>
        <v>Ø16</v>
      </c>
    </row>
    <row r="245" spans="17:24" x14ac:dyDescent="0.3">
      <c r="Q245" s="3"/>
      <c r="R245" s="3"/>
      <c r="S245" s="3"/>
      <c r="T245" s="21"/>
      <c r="U245" s="3"/>
      <c r="V245" s="3">
        <f t="shared" si="22"/>
        <v>0</v>
      </c>
      <c r="W245" s="3" t="str">
        <f t="shared" si="23"/>
        <v>Ø16</v>
      </c>
      <c r="X245" s="3" t="str">
        <f t="shared" si="24"/>
        <v>Ø16</v>
      </c>
    </row>
    <row r="246" spans="17:24" x14ac:dyDescent="0.3">
      <c r="Q246" s="3"/>
      <c r="R246" s="3"/>
      <c r="S246" s="3"/>
      <c r="T246" s="21"/>
      <c r="U246" s="3"/>
      <c r="V246" s="3">
        <f t="shared" si="22"/>
        <v>0</v>
      </c>
      <c r="W246" s="3" t="str">
        <f t="shared" si="23"/>
        <v>Ø16</v>
      </c>
      <c r="X246" s="3" t="str">
        <f t="shared" si="24"/>
        <v>Ø16</v>
      </c>
    </row>
    <row r="247" spans="17:24" x14ac:dyDescent="0.3">
      <c r="Q247" s="3"/>
      <c r="R247" s="3"/>
      <c r="S247" s="3"/>
      <c r="T247" s="21"/>
      <c r="U247" s="3"/>
      <c r="V247" s="3">
        <f t="shared" si="22"/>
        <v>0</v>
      </c>
      <c r="W247" s="3" t="str">
        <f t="shared" si="23"/>
        <v>Ø16</v>
      </c>
      <c r="X247" s="3" t="str">
        <f t="shared" si="24"/>
        <v>Ø16</v>
      </c>
    </row>
    <row r="248" spans="17:24" x14ac:dyDescent="0.3">
      <c r="Q248" s="3"/>
      <c r="R248" s="3"/>
      <c r="S248" s="3"/>
      <c r="T248" s="21"/>
      <c r="U248" s="3"/>
      <c r="V248" s="3">
        <f t="shared" si="22"/>
        <v>0</v>
      </c>
      <c r="W248" s="3" t="str">
        <f t="shared" si="23"/>
        <v>Ø16</v>
      </c>
      <c r="X248" s="3" t="str">
        <f t="shared" si="24"/>
        <v>Ø16</v>
      </c>
    </row>
    <row r="249" spans="17:24" x14ac:dyDescent="0.3">
      <c r="Q249" s="3"/>
      <c r="R249" s="3"/>
      <c r="S249" s="3"/>
      <c r="T249" s="21"/>
      <c r="U249" s="3"/>
      <c r="V249" s="3">
        <f t="shared" si="22"/>
        <v>0</v>
      </c>
      <c r="W249" s="3" t="str">
        <f t="shared" si="23"/>
        <v>Ø16</v>
      </c>
      <c r="X249" s="3" t="str">
        <f t="shared" si="24"/>
        <v>Ø16</v>
      </c>
    </row>
    <row r="250" spans="17:24" x14ac:dyDescent="0.3">
      <c r="Q250" s="3"/>
      <c r="R250" s="3"/>
      <c r="S250" s="3"/>
      <c r="T250" s="21"/>
      <c r="U250" s="3"/>
      <c r="V250" s="3">
        <f t="shared" si="22"/>
        <v>0</v>
      </c>
      <c r="W250" s="3" t="str">
        <f t="shared" si="23"/>
        <v>Ø16</v>
      </c>
      <c r="X250" s="3" t="str">
        <f t="shared" si="24"/>
        <v>Ø16</v>
      </c>
    </row>
    <row r="251" spans="17:24" x14ac:dyDescent="0.3">
      <c r="Q251" s="3"/>
      <c r="R251" s="3"/>
      <c r="S251" s="3"/>
      <c r="T251" s="21"/>
      <c r="U251" s="3"/>
      <c r="V251" s="3">
        <f t="shared" si="22"/>
        <v>0</v>
      </c>
      <c r="W251" s="3" t="str">
        <f t="shared" si="23"/>
        <v>Ø16</v>
      </c>
      <c r="X251" s="3" t="str">
        <f t="shared" si="24"/>
        <v>Ø16</v>
      </c>
    </row>
    <row r="252" spans="17:24" x14ac:dyDescent="0.3">
      <c r="Q252" s="3"/>
      <c r="R252" s="3"/>
      <c r="S252" s="3"/>
      <c r="T252" s="21"/>
      <c r="U252" s="3"/>
      <c r="V252" s="3">
        <f t="shared" si="22"/>
        <v>0</v>
      </c>
      <c r="W252" s="3" t="str">
        <f t="shared" si="23"/>
        <v>Ø16</v>
      </c>
      <c r="X252" s="3" t="str">
        <f t="shared" si="24"/>
        <v>Ø16</v>
      </c>
    </row>
    <row r="253" spans="17:24" x14ac:dyDescent="0.3">
      <c r="Q253" s="3"/>
      <c r="R253" s="3"/>
      <c r="S253" s="3"/>
      <c r="T253" s="21"/>
      <c r="U253" s="3"/>
      <c r="V253" s="3">
        <f t="shared" si="22"/>
        <v>0</v>
      </c>
      <c r="W253" s="3" t="str">
        <f t="shared" si="23"/>
        <v>Ø16</v>
      </c>
      <c r="X253" s="3" t="str">
        <f t="shared" si="24"/>
        <v>Ø16</v>
      </c>
    </row>
    <row r="254" spans="17:24" x14ac:dyDescent="0.3">
      <c r="Q254" s="3"/>
      <c r="R254" s="3"/>
      <c r="S254" s="3"/>
      <c r="T254" s="21"/>
      <c r="U254" s="3"/>
      <c r="V254" s="3">
        <f t="shared" si="22"/>
        <v>0</v>
      </c>
      <c r="W254" s="3" t="str">
        <f t="shared" si="23"/>
        <v>Ø16</v>
      </c>
      <c r="X254" s="3" t="str">
        <f t="shared" si="24"/>
        <v>Ø16</v>
      </c>
    </row>
    <row r="255" spans="17:24" x14ac:dyDescent="0.3">
      <c r="Q255" s="3"/>
      <c r="R255" s="3"/>
      <c r="S255" s="3"/>
      <c r="T255" s="21"/>
      <c r="U255" s="3"/>
      <c r="V255" s="3">
        <f t="shared" si="22"/>
        <v>0</v>
      </c>
      <c r="W255" s="3" t="str">
        <f t="shared" si="23"/>
        <v>Ø16</v>
      </c>
      <c r="X255" s="3" t="str">
        <f t="shared" si="24"/>
        <v>Ø16</v>
      </c>
    </row>
    <row r="256" spans="17:24" x14ac:dyDescent="0.3">
      <c r="Q256" s="3"/>
      <c r="R256" s="3"/>
      <c r="S256" s="3"/>
      <c r="T256" s="21"/>
      <c r="U256" s="3"/>
      <c r="V256" s="3">
        <f t="shared" si="22"/>
        <v>0</v>
      </c>
      <c r="W256" s="3" t="str">
        <f t="shared" si="23"/>
        <v>Ø16</v>
      </c>
      <c r="X256" s="3" t="str">
        <f t="shared" si="24"/>
        <v>Ø16</v>
      </c>
    </row>
    <row r="257" spans="17:24" x14ac:dyDescent="0.3">
      <c r="Q257" s="3"/>
      <c r="R257" s="3"/>
      <c r="S257" s="3"/>
      <c r="T257" s="21"/>
      <c r="U257" s="3"/>
      <c r="V257" s="3">
        <f t="shared" si="22"/>
        <v>0</v>
      </c>
      <c r="W257" s="3" t="str">
        <f t="shared" si="23"/>
        <v>Ø16</v>
      </c>
      <c r="X257" s="3" t="str">
        <f t="shared" si="24"/>
        <v>Ø16</v>
      </c>
    </row>
    <row r="258" spans="17:24" x14ac:dyDescent="0.3">
      <c r="Q258" s="3"/>
      <c r="R258" s="3"/>
      <c r="S258" s="3"/>
      <c r="T258" s="21"/>
      <c r="U258" s="3"/>
      <c r="V258" s="3">
        <f t="shared" si="22"/>
        <v>0</v>
      </c>
      <c r="W258" s="3" t="str">
        <f t="shared" si="23"/>
        <v>Ø16</v>
      </c>
      <c r="X258" s="3" t="str">
        <f t="shared" si="24"/>
        <v>Ø16</v>
      </c>
    </row>
    <row r="259" spans="17:24" x14ac:dyDescent="0.3">
      <c r="Q259" s="3"/>
      <c r="R259" s="3"/>
      <c r="S259" s="3"/>
      <c r="T259" s="21"/>
      <c r="U259" s="3"/>
      <c r="V259" s="3">
        <f t="shared" si="22"/>
        <v>0</v>
      </c>
      <c r="W259" s="3" t="str">
        <f t="shared" si="23"/>
        <v>Ø16</v>
      </c>
      <c r="X259" s="3" t="str">
        <f t="shared" si="24"/>
        <v>Ø16</v>
      </c>
    </row>
    <row r="260" spans="17:24" x14ac:dyDescent="0.3">
      <c r="Q260" s="3"/>
      <c r="R260" s="3"/>
      <c r="S260" s="3"/>
      <c r="T260" s="21"/>
      <c r="U260" s="3"/>
      <c r="V260" s="3">
        <f t="shared" si="22"/>
        <v>0</v>
      </c>
      <c r="W260" s="3" t="str">
        <f t="shared" si="23"/>
        <v>Ø16</v>
      </c>
      <c r="X260" s="3" t="str">
        <f t="shared" si="24"/>
        <v>Ø16</v>
      </c>
    </row>
    <row r="261" spans="17:24" x14ac:dyDescent="0.3">
      <c r="Q261" s="3"/>
      <c r="R261" s="3"/>
      <c r="S261" s="3"/>
      <c r="T261" s="21"/>
      <c r="U261" s="3"/>
      <c r="V261" s="3">
        <f t="shared" ref="V261:V324" si="25">U261*1.2</f>
        <v>0</v>
      </c>
      <c r="W261" s="3" t="str">
        <f t="shared" ref="W261:W324" si="26">"Ø"&amp;VLOOKUP(V261,$Z$4:$AA$10,2,TRUE)</f>
        <v>Ø16</v>
      </c>
      <c r="X261" s="3" t="str">
        <f t="shared" ref="X261:X324" si="27">"Ø"&amp;VLOOKUP(V261,$AD$4:$AE$10,2,TRUE)</f>
        <v>Ø16</v>
      </c>
    </row>
    <row r="262" spans="17:24" x14ac:dyDescent="0.3">
      <c r="Q262" s="3"/>
      <c r="R262" s="3"/>
      <c r="S262" s="3"/>
      <c r="T262" s="21"/>
      <c r="U262" s="3"/>
      <c r="V262" s="3">
        <f t="shared" si="25"/>
        <v>0</v>
      </c>
      <c r="W262" s="3" t="str">
        <f t="shared" si="26"/>
        <v>Ø16</v>
      </c>
      <c r="X262" s="3" t="str">
        <f t="shared" si="27"/>
        <v>Ø16</v>
      </c>
    </row>
    <row r="263" spans="17:24" x14ac:dyDescent="0.3">
      <c r="Q263" s="3"/>
      <c r="R263" s="3"/>
      <c r="S263" s="3"/>
      <c r="T263" s="21"/>
      <c r="U263" s="3"/>
      <c r="V263" s="3">
        <f t="shared" si="25"/>
        <v>0</v>
      </c>
      <c r="W263" s="3" t="str">
        <f t="shared" si="26"/>
        <v>Ø16</v>
      </c>
      <c r="X263" s="3" t="str">
        <f t="shared" si="27"/>
        <v>Ø16</v>
      </c>
    </row>
    <row r="264" spans="17:24" x14ac:dyDescent="0.3">
      <c r="Q264" s="3"/>
      <c r="R264" s="3"/>
      <c r="S264" s="3"/>
      <c r="T264" s="21"/>
      <c r="U264" s="3"/>
      <c r="V264" s="3">
        <f t="shared" si="25"/>
        <v>0</v>
      </c>
      <c r="W264" s="3" t="str">
        <f t="shared" si="26"/>
        <v>Ø16</v>
      </c>
      <c r="X264" s="3" t="str">
        <f t="shared" si="27"/>
        <v>Ø16</v>
      </c>
    </row>
    <row r="265" spans="17:24" x14ac:dyDescent="0.3">
      <c r="Q265" s="3"/>
      <c r="R265" s="3"/>
      <c r="S265" s="3"/>
      <c r="T265" s="21"/>
      <c r="U265" s="3"/>
      <c r="V265" s="3">
        <f t="shared" si="25"/>
        <v>0</v>
      </c>
      <c r="W265" s="3" t="str">
        <f t="shared" si="26"/>
        <v>Ø16</v>
      </c>
      <c r="X265" s="3" t="str">
        <f t="shared" si="27"/>
        <v>Ø16</v>
      </c>
    </row>
    <row r="266" spans="17:24" x14ac:dyDescent="0.3">
      <c r="Q266" s="3"/>
      <c r="R266" s="3"/>
      <c r="S266" s="3"/>
      <c r="T266" s="21"/>
      <c r="U266" s="3"/>
      <c r="V266" s="3">
        <f t="shared" si="25"/>
        <v>0</v>
      </c>
      <c r="W266" s="3" t="str">
        <f t="shared" si="26"/>
        <v>Ø16</v>
      </c>
      <c r="X266" s="3" t="str">
        <f t="shared" si="27"/>
        <v>Ø16</v>
      </c>
    </row>
    <row r="267" spans="17:24" x14ac:dyDescent="0.3">
      <c r="Q267" s="3"/>
      <c r="R267" s="3"/>
      <c r="S267" s="3"/>
      <c r="T267" s="21"/>
      <c r="U267" s="3"/>
      <c r="V267" s="3">
        <f t="shared" si="25"/>
        <v>0</v>
      </c>
      <c r="W267" s="3" t="str">
        <f t="shared" si="26"/>
        <v>Ø16</v>
      </c>
      <c r="X267" s="3" t="str">
        <f t="shared" si="27"/>
        <v>Ø16</v>
      </c>
    </row>
    <row r="268" spans="17:24" x14ac:dyDescent="0.3">
      <c r="Q268" s="3"/>
      <c r="R268" s="3"/>
      <c r="S268" s="3"/>
      <c r="T268" s="21"/>
      <c r="U268" s="3"/>
      <c r="V268" s="3">
        <f t="shared" si="25"/>
        <v>0</v>
      </c>
      <c r="W268" s="3" t="str">
        <f t="shared" si="26"/>
        <v>Ø16</v>
      </c>
      <c r="X268" s="3" t="str">
        <f t="shared" si="27"/>
        <v>Ø16</v>
      </c>
    </row>
    <row r="269" spans="17:24" x14ac:dyDescent="0.3">
      <c r="Q269" s="3"/>
      <c r="R269" s="3"/>
      <c r="S269" s="3"/>
      <c r="T269" s="21"/>
      <c r="U269" s="3"/>
      <c r="V269" s="3">
        <f t="shared" si="25"/>
        <v>0</v>
      </c>
      <c r="W269" s="3" t="str">
        <f t="shared" si="26"/>
        <v>Ø16</v>
      </c>
      <c r="X269" s="3" t="str">
        <f t="shared" si="27"/>
        <v>Ø16</v>
      </c>
    </row>
    <row r="270" spans="17:24" x14ac:dyDescent="0.3">
      <c r="Q270" s="3"/>
      <c r="R270" s="3"/>
      <c r="S270" s="3"/>
      <c r="T270" s="21"/>
      <c r="U270" s="3"/>
      <c r="V270" s="3">
        <f t="shared" si="25"/>
        <v>0</v>
      </c>
      <c r="W270" s="3" t="str">
        <f t="shared" si="26"/>
        <v>Ø16</v>
      </c>
      <c r="X270" s="3" t="str">
        <f t="shared" si="27"/>
        <v>Ø16</v>
      </c>
    </row>
    <row r="271" spans="17:24" x14ac:dyDescent="0.3">
      <c r="Q271" s="3"/>
      <c r="R271" s="3"/>
      <c r="S271" s="3"/>
      <c r="T271" s="21"/>
      <c r="U271" s="3"/>
      <c r="V271" s="3">
        <f t="shared" si="25"/>
        <v>0</v>
      </c>
      <c r="W271" s="3" t="str">
        <f t="shared" si="26"/>
        <v>Ø16</v>
      </c>
      <c r="X271" s="3" t="str">
        <f t="shared" si="27"/>
        <v>Ø16</v>
      </c>
    </row>
    <row r="272" spans="17:24" x14ac:dyDescent="0.3">
      <c r="Q272" s="3"/>
      <c r="R272" s="3"/>
      <c r="S272" s="3"/>
      <c r="T272" s="21"/>
      <c r="U272" s="3"/>
      <c r="V272" s="3">
        <f t="shared" si="25"/>
        <v>0</v>
      </c>
      <c r="W272" s="3" t="str">
        <f t="shared" si="26"/>
        <v>Ø16</v>
      </c>
      <c r="X272" s="3" t="str">
        <f t="shared" si="27"/>
        <v>Ø16</v>
      </c>
    </row>
    <row r="273" spans="17:24" x14ac:dyDescent="0.3">
      <c r="Q273" s="3"/>
      <c r="R273" s="3"/>
      <c r="S273" s="3"/>
      <c r="T273" s="21"/>
      <c r="U273" s="3"/>
      <c r="V273" s="3">
        <f t="shared" si="25"/>
        <v>0</v>
      </c>
      <c r="W273" s="3" t="str">
        <f t="shared" si="26"/>
        <v>Ø16</v>
      </c>
      <c r="X273" s="3" t="str">
        <f t="shared" si="27"/>
        <v>Ø16</v>
      </c>
    </row>
    <row r="274" spans="17:24" x14ac:dyDescent="0.3">
      <c r="Q274" s="3"/>
      <c r="R274" s="3"/>
      <c r="S274" s="3"/>
      <c r="T274" s="21"/>
      <c r="U274" s="3"/>
      <c r="V274" s="3">
        <f t="shared" si="25"/>
        <v>0</v>
      </c>
      <c r="W274" s="3" t="str">
        <f t="shared" si="26"/>
        <v>Ø16</v>
      </c>
      <c r="X274" s="3" t="str">
        <f t="shared" si="27"/>
        <v>Ø16</v>
      </c>
    </row>
    <row r="275" spans="17:24" x14ac:dyDescent="0.3">
      <c r="Q275" s="3"/>
      <c r="R275" s="3"/>
      <c r="S275" s="3"/>
      <c r="T275" s="21"/>
      <c r="U275" s="3"/>
      <c r="V275" s="3">
        <f t="shared" si="25"/>
        <v>0</v>
      </c>
      <c r="W275" s="3" t="str">
        <f t="shared" si="26"/>
        <v>Ø16</v>
      </c>
      <c r="X275" s="3" t="str">
        <f t="shared" si="27"/>
        <v>Ø16</v>
      </c>
    </row>
    <row r="276" spans="17:24" x14ac:dyDescent="0.3">
      <c r="Q276" s="3"/>
      <c r="R276" s="3"/>
      <c r="S276" s="3"/>
      <c r="T276" s="21"/>
      <c r="U276" s="3"/>
      <c r="V276" s="3">
        <f t="shared" si="25"/>
        <v>0</v>
      </c>
      <c r="W276" s="3" t="str">
        <f t="shared" si="26"/>
        <v>Ø16</v>
      </c>
      <c r="X276" s="3" t="str">
        <f t="shared" si="27"/>
        <v>Ø16</v>
      </c>
    </row>
    <row r="277" spans="17:24" x14ac:dyDescent="0.3">
      <c r="Q277" s="3"/>
      <c r="R277" s="3"/>
      <c r="S277" s="3"/>
      <c r="T277" s="21"/>
      <c r="U277" s="3"/>
      <c r="V277" s="3">
        <f t="shared" si="25"/>
        <v>0</v>
      </c>
      <c r="W277" s="3" t="str">
        <f t="shared" si="26"/>
        <v>Ø16</v>
      </c>
      <c r="X277" s="3" t="str">
        <f t="shared" si="27"/>
        <v>Ø16</v>
      </c>
    </row>
    <row r="278" spans="17:24" x14ac:dyDescent="0.3">
      <c r="Q278" s="3"/>
      <c r="R278" s="3"/>
      <c r="S278" s="3"/>
      <c r="T278" s="21"/>
      <c r="U278" s="3"/>
      <c r="V278" s="3">
        <f t="shared" si="25"/>
        <v>0</v>
      </c>
      <c r="W278" s="3" t="str">
        <f t="shared" si="26"/>
        <v>Ø16</v>
      </c>
      <c r="X278" s="3" t="str">
        <f t="shared" si="27"/>
        <v>Ø16</v>
      </c>
    </row>
    <row r="279" spans="17:24" x14ac:dyDescent="0.3">
      <c r="Q279" s="3"/>
      <c r="R279" s="3"/>
      <c r="S279" s="3"/>
      <c r="T279" s="21"/>
      <c r="U279" s="3"/>
      <c r="V279" s="3">
        <f t="shared" si="25"/>
        <v>0</v>
      </c>
      <c r="W279" s="3" t="str">
        <f t="shared" si="26"/>
        <v>Ø16</v>
      </c>
      <c r="X279" s="3" t="str">
        <f t="shared" si="27"/>
        <v>Ø16</v>
      </c>
    </row>
    <row r="280" spans="17:24" x14ac:dyDescent="0.3">
      <c r="Q280" s="3"/>
      <c r="R280" s="3"/>
      <c r="S280" s="3"/>
      <c r="T280" s="21"/>
      <c r="U280" s="3"/>
      <c r="V280" s="3">
        <f t="shared" si="25"/>
        <v>0</v>
      </c>
      <c r="W280" s="3" t="str">
        <f t="shared" si="26"/>
        <v>Ø16</v>
      </c>
      <c r="X280" s="3" t="str">
        <f t="shared" si="27"/>
        <v>Ø16</v>
      </c>
    </row>
    <row r="281" spans="17:24" x14ac:dyDescent="0.3">
      <c r="Q281" s="3"/>
      <c r="R281" s="3"/>
      <c r="S281" s="3"/>
      <c r="T281" s="21"/>
      <c r="U281" s="3"/>
      <c r="V281" s="3">
        <f t="shared" si="25"/>
        <v>0</v>
      </c>
      <c r="W281" s="3" t="str">
        <f t="shared" si="26"/>
        <v>Ø16</v>
      </c>
      <c r="X281" s="3" t="str">
        <f t="shared" si="27"/>
        <v>Ø16</v>
      </c>
    </row>
    <row r="282" spans="17:24" x14ac:dyDescent="0.3">
      <c r="Q282" s="3"/>
      <c r="R282" s="3"/>
      <c r="S282" s="3"/>
      <c r="T282" s="21"/>
      <c r="U282" s="3"/>
      <c r="V282" s="3">
        <f t="shared" si="25"/>
        <v>0</v>
      </c>
      <c r="W282" s="3" t="str">
        <f t="shared" si="26"/>
        <v>Ø16</v>
      </c>
      <c r="X282" s="3" t="str">
        <f t="shared" si="27"/>
        <v>Ø16</v>
      </c>
    </row>
    <row r="283" spans="17:24" x14ac:dyDescent="0.3">
      <c r="Q283" s="3"/>
      <c r="R283" s="3"/>
      <c r="S283" s="3"/>
      <c r="T283" s="21"/>
      <c r="U283" s="3"/>
      <c r="V283" s="3">
        <f t="shared" si="25"/>
        <v>0</v>
      </c>
      <c r="W283" s="3" t="str">
        <f t="shared" si="26"/>
        <v>Ø16</v>
      </c>
      <c r="X283" s="3" t="str">
        <f t="shared" si="27"/>
        <v>Ø16</v>
      </c>
    </row>
    <row r="284" spans="17:24" x14ac:dyDescent="0.3">
      <c r="Q284" s="3"/>
      <c r="R284" s="3"/>
      <c r="S284" s="3"/>
      <c r="T284" s="21"/>
      <c r="U284" s="3"/>
      <c r="V284" s="3">
        <f t="shared" si="25"/>
        <v>0</v>
      </c>
      <c r="W284" s="3" t="str">
        <f t="shared" si="26"/>
        <v>Ø16</v>
      </c>
      <c r="X284" s="3" t="str">
        <f t="shared" si="27"/>
        <v>Ø16</v>
      </c>
    </row>
    <row r="285" spans="17:24" x14ac:dyDescent="0.3">
      <c r="Q285" s="3"/>
      <c r="R285" s="3"/>
      <c r="S285" s="3"/>
      <c r="T285" s="21"/>
      <c r="U285" s="3"/>
      <c r="V285" s="3">
        <f t="shared" si="25"/>
        <v>0</v>
      </c>
      <c r="W285" s="3" t="str">
        <f t="shared" si="26"/>
        <v>Ø16</v>
      </c>
      <c r="X285" s="3" t="str">
        <f t="shared" si="27"/>
        <v>Ø16</v>
      </c>
    </row>
    <row r="286" spans="17:24" x14ac:dyDescent="0.3">
      <c r="Q286" s="3"/>
      <c r="R286" s="3"/>
      <c r="S286" s="3"/>
      <c r="T286" s="21"/>
      <c r="U286" s="3"/>
      <c r="V286" s="3">
        <f t="shared" si="25"/>
        <v>0</v>
      </c>
      <c r="W286" s="3" t="str">
        <f t="shared" si="26"/>
        <v>Ø16</v>
      </c>
      <c r="X286" s="3" t="str">
        <f t="shared" si="27"/>
        <v>Ø16</v>
      </c>
    </row>
    <row r="287" spans="17:24" x14ac:dyDescent="0.3">
      <c r="Q287" s="3"/>
      <c r="R287" s="3"/>
      <c r="S287" s="3"/>
      <c r="T287" s="21"/>
      <c r="U287" s="3"/>
      <c r="V287" s="3">
        <f t="shared" si="25"/>
        <v>0</v>
      </c>
      <c r="W287" s="3" t="str">
        <f t="shared" si="26"/>
        <v>Ø16</v>
      </c>
      <c r="X287" s="3" t="str">
        <f t="shared" si="27"/>
        <v>Ø16</v>
      </c>
    </row>
    <row r="288" spans="17:24" x14ac:dyDescent="0.3">
      <c r="Q288" s="3"/>
      <c r="R288" s="3"/>
      <c r="S288" s="3"/>
      <c r="T288" s="21"/>
      <c r="U288" s="3"/>
      <c r="V288" s="3">
        <f t="shared" si="25"/>
        <v>0</v>
      </c>
      <c r="W288" s="3" t="str">
        <f t="shared" si="26"/>
        <v>Ø16</v>
      </c>
      <c r="X288" s="3" t="str">
        <f t="shared" si="27"/>
        <v>Ø16</v>
      </c>
    </row>
    <row r="289" spans="17:24" x14ac:dyDescent="0.3">
      <c r="Q289" s="3"/>
      <c r="R289" s="3"/>
      <c r="S289" s="3"/>
      <c r="T289" s="21"/>
      <c r="U289" s="3"/>
      <c r="V289" s="3">
        <f t="shared" si="25"/>
        <v>0</v>
      </c>
      <c r="W289" s="3" t="str">
        <f t="shared" si="26"/>
        <v>Ø16</v>
      </c>
      <c r="X289" s="3" t="str">
        <f t="shared" si="27"/>
        <v>Ø16</v>
      </c>
    </row>
    <row r="290" spans="17:24" x14ac:dyDescent="0.3">
      <c r="Q290" s="3"/>
      <c r="R290" s="3"/>
      <c r="S290" s="3"/>
      <c r="T290" s="21"/>
      <c r="U290" s="3"/>
      <c r="V290" s="3">
        <f t="shared" si="25"/>
        <v>0</v>
      </c>
      <c r="W290" s="3" t="str">
        <f t="shared" si="26"/>
        <v>Ø16</v>
      </c>
      <c r="X290" s="3" t="str">
        <f t="shared" si="27"/>
        <v>Ø16</v>
      </c>
    </row>
    <row r="291" spans="17:24" x14ac:dyDescent="0.3">
      <c r="Q291" s="3"/>
      <c r="R291" s="3"/>
      <c r="S291" s="3"/>
      <c r="T291" s="21"/>
      <c r="U291" s="3"/>
      <c r="V291" s="3">
        <f t="shared" si="25"/>
        <v>0</v>
      </c>
      <c r="W291" s="3" t="str">
        <f t="shared" si="26"/>
        <v>Ø16</v>
      </c>
      <c r="X291" s="3" t="str">
        <f t="shared" si="27"/>
        <v>Ø16</v>
      </c>
    </row>
    <row r="292" spans="17:24" x14ac:dyDescent="0.3">
      <c r="Q292" s="3"/>
      <c r="R292" s="3"/>
      <c r="S292" s="3"/>
      <c r="T292" s="21"/>
      <c r="U292" s="3"/>
      <c r="V292" s="3">
        <f t="shared" si="25"/>
        <v>0</v>
      </c>
      <c r="W292" s="3" t="str">
        <f t="shared" si="26"/>
        <v>Ø16</v>
      </c>
      <c r="X292" s="3" t="str">
        <f t="shared" si="27"/>
        <v>Ø16</v>
      </c>
    </row>
    <row r="293" spans="17:24" x14ac:dyDescent="0.3">
      <c r="Q293" s="3"/>
      <c r="R293" s="3"/>
      <c r="S293" s="3"/>
      <c r="T293" s="21"/>
      <c r="U293" s="3"/>
      <c r="V293" s="3">
        <f t="shared" si="25"/>
        <v>0</v>
      </c>
      <c r="W293" s="3" t="str">
        <f t="shared" si="26"/>
        <v>Ø16</v>
      </c>
      <c r="X293" s="3" t="str">
        <f t="shared" si="27"/>
        <v>Ø16</v>
      </c>
    </row>
    <row r="294" spans="17:24" x14ac:dyDescent="0.3">
      <c r="Q294" s="3"/>
      <c r="R294" s="3"/>
      <c r="S294" s="3"/>
      <c r="T294" s="21"/>
      <c r="U294" s="3"/>
      <c r="V294" s="3">
        <f t="shared" si="25"/>
        <v>0</v>
      </c>
      <c r="W294" s="3" t="str">
        <f t="shared" si="26"/>
        <v>Ø16</v>
      </c>
      <c r="X294" s="3" t="str">
        <f t="shared" si="27"/>
        <v>Ø16</v>
      </c>
    </row>
    <row r="295" spans="17:24" x14ac:dyDescent="0.3">
      <c r="Q295" s="3"/>
      <c r="R295" s="3"/>
      <c r="S295" s="3"/>
      <c r="T295" s="21"/>
      <c r="U295" s="3"/>
      <c r="V295" s="3">
        <f t="shared" si="25"/>
        <v>0</v>
      </c>
      <c r="W295" s="3" t="str">
        <f t="shared" si="26"/>
        <v>Ø16</v>
      </c>
      <c r="X295" s="3" t="str">
        <f t="shared" si="27"/>
        <v>Ø16</v>
      </c>
    </row>
    <row r="296" spans="17:24" x14ac:dyDescent="0.3">
      <c r="Q296" s="3"/>
      <c r="R296" s="3"/>
      <c r="S296" s="3"/>
      <c r="T296" s="21"/>
      <c r="U296" s="3"/>
      <c r="V296" s="3">
        <f t="shared" si="25"/>
        <v>0</v>
      </c>
      <c r="W296" s="3" t="str">
        <f t="shared" si="26"/>
        <v>Ø16</v>
      </c>
      <c r="X296" s="3" t="str">
        <f t="shared" si="27"/>
        <v>Ø16</v>
      </c>
    </row>
    <row r="297" spans="17:24" x14ac:dyDescent="0.3">
      <c r="Q297" s="3"/>
      <c r="R297" s="3"/>
      <c r="S297" s="3"/>
      <c r="T297" s="21"/>
      <c r="U297" s="3"/>
      <c r="V297" s="3">
        <f t="shared" si="25"/>
        <v>0</v>
      </c>
      <c r="W297" s="3" t="str">
        <f t="shared" si="26"/>
        <v>Ø16</v>
      </c>
      <c r="X297" s="3" t="str">
        <f t="shared" si="27"/>
        <v>Ø16</v>
      </c>
    </row>
    <row r="298" spans="17:24" x14ac:dyDescent="0.3">
      <c r="Q298" s="3"/>
      <c r="R298" s="3"/>
      <c r="S298" s="3"/>
      <c r="T298" s="21"/>
      <c r="U298" s="3"/>
      <c r="V298" s="3">
        <f t="shared" si="25"/>
        <v>0</v>
      </c>
      <c r="W298" s="3" t="str">
        <f t="shared" si="26"/>
        <v>Ø16</v>
      </c>
      <c r="X298" s="3" t="str">
        <f t="shared" si="27"/>
        <v>Ø16</v>
      </c>
    </row>
    <row r="299" spans="17:24" x14ac:dyDescent="0.3">
      <c r="Q299" s="3"/>
      <c r="R299" s="3"/>
      <c r="S299" s="3"/>
      <c r="T299" s="21"/>
      <c r="U299" s="3"/>
      <c r="V299" s="3">
        <f t="shared" si="25"/>
        <v>0</v>
      </c>
      <c r="W299" s="3" t="str">
        <f t="shared" si="26"/>
        <v>Ø16</v>
      </c>
      <c r="X299" s="3" t="str">
        <f t="shared" si="27"/>
        <v>Ø16</v>
      </c>
    </row>
    <row r="300" spans="17:24" x14ac:dyDescent="0.3">
      <c r="Q300" s="3"/>
      <c r="R300" s="3"/>
      <c r="S300" s="3"/>
      <c r="T300" s="21"/>
      <c r="U300" s="3"/>
      <c r="V300" s="3">
        <f t="shared" si="25"/>
        <v>0</v>
      </c>
      <c r="W300" s="3" t="str">
        <f t="shared" si="26"/>
        <v>Ø16</v>
      </c>
      <c r="X300" s="3" t="str">
        <f t="shared" si="27"/>
        <v>Ø16</v>
      </c>
    </row>
    <row r="301" spans="17:24" x14ac:dyDescent="0.3">
      <c r="Q301" s="3"/>
      <c r="R301" s="3"/>
      <c r="S301" s="3"/>
      <c r="T301" s="21"/>
      <c r="U301" s="3"/>
      <c r="V301" s="3">
        <f t="shared" si="25"/>
        <v>0</v>
      </c>
      <c r="W301" s="3" t="str">
        <f t="shared" si="26"/>
        <v>Ø16</v>
      </c>
      <c r="X301" s="3" t="str">
        <f t="shared" si="27"/>
        <v>Ø16</v>
      </c>
    </row>
    <row r="302" spans="17:24" x14ac:dyDescent="0.3">
      <c r="Q302" s="3"/>
      <c r="R302" s="3"/>
      <c r="S302" s="3"/>
      <c r="T302" s="21"/>
      <c r="U302" s="3"/>
      <c r="V302" s="3">
        <f t="shared" si="25"/>
        <v>0</v>
      </c>
      <c r="W302" s="3" t="str">
        <f t="shared" si="26"/>
        <v>Ø16</v>
      </c>
      <c r="X302" s="3" t="str">
        <f t="shared" si="27"/>
        <v>Ø16</v>
      </c>
    </row>
    <row r="303" spans="17:24" x14ac:dyDescent="0.3">
      <c r="Q303" s="3"/>
      <c r="R303" s="3"/>
      <c r="S303" s="3"/>
      <c r="T303" s="21"/>
      <c r="U303" s="3"/>
      <c r="V303" s="3">
        <f t="shared" si="25"/>
        <v>0</v>
      </c>
      <c r="W303" s="3" t="str">
        <f t="shared" si="26"/>
        <v>Ø16</v>
      </c>
      <c r="X303" s="3" t="str">
        <f t="shared" si="27"/>
        <v>Ø16</v>
      </c>
    </row>
    <row r="304" spans="17:24" x14ac:dyDescent="0.3">
      <c r="Q304" s="3"/>
      <c r="R304" s="3"/>
      <c r="S304" s="3"/>
      <c r="T304" s="21"/>
      <c r="U304" s="3"/>
      <c r="V304" s="3">
        <f t="shared" si="25"/>
        <v>0</v>
      </c>
      <c r="W304" s="3" t="str">
        <f t="shared" si="26"/>
        <v>Ø16</v>
      </c>
      <c r="X304" s="3" t="str">
        <f t="shared" si="27"/>
        <v>Ø16</v>
      </c>
    </row>
    <row r="305" spans="17:24" x14ac:dyDescent="0.3">
      <c r="Q305" s="3"/>
      <c r="R305" s="3"/>
      <c r="S305" s="3"/>
      <c r="T305" s="21"/>
      <c r="U305" s="3"/>
      <c r="V305" s="3">
        <f t="shared" si="25"/>
        <v>0</v>
      </c>
      <c r="W305" s="3" t="str">
        <f t="shared" si="26"/>
        <v>Ø16</v>
      </c>
      <c r="X305" s="3" t="str">
        <f t="shared" si="27"/>
        <v>Ø16</v>
      </c>
    </row>
    <row r="306" spans="17:24" x14ac:dyDescent="0.3">
      <c r="Q306" s="3"/>
      <c r="R306" s="3"/>
      <c r="S306" s="3"/>
      <c r="T306" s="21"/>
      <c r="U306" s="3"/>
      <c r="V306" s="3">
        <f t="shared" si="25"/>
        <v>0</v>
      </c>
      <c r="W306" s="3" t="str">
        <f t="shared" si="26"/>
        <v>Ø16</v>
      </c>
      <c r="X306" s="3" t="str">
        <f t="shared" si="27"/>
        <v>Ø16</v>
      </c>
    </row>
    <row r="307" spans="17:24" x14ac:dyDescent="0.3">
      <c r="Q307" s="3"/>
      <c r="R307" s="3"/>
      <c r="S307" s="3"/>
      <c r="T307" s="21"/>
      <c r="U307" s="3"/>
      <c r="V307" s="3">
        <f t="shared" si="25"/>
        <v>0</v>
      </c>
      <c r="W307" s="3" t="str">
        <f t="shared" si="26"/>
        <v>Ø16</v>
      </c>
      <c r="X307" s="3" t="str">
        <f t="shared" si="27"/>
        <v>Ø16</v>
      </c>
    </row>
    <row r="308" spans="17:24" x14ac:dyDescent="0.3">
      <c r="Q308" s="3"/>
      <c r="R308" s="3"/>
      <c r="S308" s="3"/>
      <c r="T308" s="21"/>
      <c r="U308" s="3"/>
      <c r="V308" s="3">
        <f t="shared" si="25"/>
        <v>0</v>
      </c>
      <c r="W308" s="3" t="str">
        <f t="shared" si="26"/>
        <v>Ø16</v>
      </c>
      <c r="X308" s="3" t="str">
        <f t="shared" si="27"/>
        <v>Ø16</v>
      </c>
    </row>
    <row r="309" spans="17:24" x14ac:dyDescent="0.3">
      <c r="Q309" s="3"/>
      <c r="R309" s="3"/>
      <c r="S309" s="3"/>
      <c r="T309" s="21"/>
      <c r="U309" s="3"/>
      <c r="V309" s="3">
        <f t="shared" si="25"/>
        <v>0</v>
      </c>
      <c r="W309" s="3" t="str">
        <f t="shared" si="26"/>
        <v>Ø16</v>
      </c>
      <c r="X309" s="3" t="str">
        <f t="shared" si="27"/>
        <v>Ø16</v>
      </c>
    </row>
    <row r="310" spans="17:24" x14ac:dyDescent="0.3">
      <c r="Q310" s="3"/>
      <c r="R310" s="3"/>
      <c r="S310" s="3"/>
      <c r="T310" s="21"/>
      <c r="U310" s="3"/>
      <c r="V310" s="3">
        <f t="shared" si="25"/>
        <v>0</v>
      </c>
      <c r="W310" s="3" t="str">
        <f t="shared" si="26"/>
        <v>Ø16</v>
      </c>
      <c r="X310" s="3" t="str">
        <f t="shared" si="27"/>
        <v>Ø16</v>
      </c>
    </row>
    <row r="311" spans="17:24" x14ac:dyDescent="0.3">
      <c r="Q311" s="3"/>
      <c r="R311" s="3"/>
      <c r="S311" s="3"/>
      <c r="T311" s="21"/>
      <c r="U311" s="3"/>
      <c r="V311" s="3">
        <f t="shared" si="25"/>
        <v>0</v>
      </c>
      <c r="W311" s="3" t="str">
        <f t="shared" si="26"/>
        <v>Ø16</v>
      </c>
      <c r="X311" s="3" t="str">
        <f t="shared" si="27"/>
        <v>Ø16</v>
      </c>
    </row>
    <row r="312" spans="17:24" x14ac:dyDescent="0.3">
      <c r="Q312" s="3"/>
      <c r="R312" s="3"/>
      <c r="S312" s="3"/>
      <c r="T312" s="21"/>
      <c r="U312" s="3"/>
      <c r="V312" s="3">
        <f t="shared" si="25"/>
        <v>0</v>
      </c>
      <c r="W312" s="3" t="str">
        <f t="shared" si="26"/>
        <v>Ø16</v>
      </c>
      <c r="X312" s="3" t="str">
        <f t="shared" si="27"/>
        <v>Ø16</v>
      </c>
    </row>
    <row r="313" spans="17:24" x14ac:dyDescent="0.3">
      <c r="Q313" s="3"/>
      <c r="R313" s="3"/>
      <c r="S313" s="3"/>
      <c r="T313" s="21"/>
      <c r="U313" s="3"/>
      <c r="V313" s="3">
        <f t="shared" si="25"/>
        <v>0</v>
      </c>
      <c r="W313" s="3" t="str">
        <f t="shared" si="26"/>
        <v>Ø16</v>
      </c>
      <c r="X313" s="3" t="str">
        <f t="shared" si="27"/>
        <v>Ø16</v>
      </c>
    </row>
    <row r="314" spans="17:24" x14ac:dyDescent="0.3">
      <c r="Q314" s="3"/>
      <c r="R314" s="3"/>
      <c r="S314" s="3"/>
      <c r="T314" s="21"/>
      <c r="U314" s="3"/>
      <c r="V314" s="3">
        <f t="shared" si="25"/>
        <v>0</v>
      </c>
      <c r="W314" s="3" t="str">
        <f t="shared" si="26"/>
        <v>Ø16</v>
      </c>
      <c r="X314" s="3" t="str">
        <f t="shared" si="27"/>
        <v>Ø16</v>
      </c>
    </row>
    <row r="315" spans="17:24" x14ac:dyDescent="0.3">
      <c r="Q315" s="3"/>
      <c r="R315" s="3"/>
      <c r="S315" s="3"/>
      <c r="T315" s="21"/>
      <c r="U315" s="3"/>
      <c r="V315" s="3">
        <f t="shared" si="25"/>
        <v>0</v>
      </c>
      <c r="W315" s="3" t="str">
        <f t="shared" si="26"/>
        <v>Ø16</v>
      </c>
      <c r="X315" s="3" t="str">
        <f t="shared" si="27"/>
        <v>Ø16</v>
      </c>
    </row>
    <row r="316" spans="17:24" x14ac:dyDescent="0.3">
      <c r="Q316" s="3"/>
      <c r="R316" s="3"/>
      <c r="S316" s="3"/>
      <c r="T316" s="21"/>
      <c r="U316" s="3"/>
      <c r="V316" s="3">
        <f t="shared" si="25"/>
        <v>0</v>
      </c>
      <c r="W316" s="3" t="str">
        <f t="shared" si="26"/>
        <v>Ø16</v>
      </c>
      <c r="X316" s="3" t="str">
        <f t="shared" si="27"/>
        <v>Ø16</v>
      </c>
    </row>
    <row r="317" spans="17:24" x14ac:dyDescent="0.3">
      <c r="Q317" s="3"/>
      <c r="R317" s="3"/>
      <c r="S317" s="3"/>
      <c r="T317" s="21"/>
      <c r="U317" s="3"/>
      <c r="V317" s="3">
        <f t="shared" si="25"/>
        <v>0</v>
      </c>
      <c r="W317" s="3" t="str">
        <f t="shared" si="26"/>
        <v>Ø16</v>
      </c>
      <c r="X317" s="3" t="str">
        <f t="shared" si="27"/>
        <v>Ø16</v>
      </c>
    </row>
    <row r="318" spans="17:24" x14ac:dyDescent="0.3">
      <c r="Q318" s="3"/>
      <c r="R318" s="3"/>
      <c r="S318" s="3"/>
      <c r="T318" s="21"/>
      <c r="U318" s="3"/>
      <c r="V318" s="3">
        <f t="shared" si="25"/>
        <v>0</v>
      </c>
      <c r="W318" s="3" t="str">
        <f t="shared" si="26"/>
        <v>Ø16</v>
      </c>
      <c r="X318" s="3" t="str">
        <f t="shared" si="27"/>
        <v>Ø16</v>
      </c>
    </row>
    <row r="319" spans="17:24" x14ac:dyDescent="0.3">
      <c r="Q319" s="3"/>
      <c r="R319" s="3"/>
      <c r="S319" s="3"/>
      <c r="T319" s="21"/>
      <c r="U319" s="3"/>
      <c r="V319" s="3">
        <f t="shared" si="25"/>
        <v>0</v>
      </c>
      <c r="W319" s="3" t="str">
        <f t="shared" si="26"/>
        <v>Ø16</v>
      </c>
      <c r="X319" s="3" t="str">
        <f t="shared" si="27"/>
        <v>Ø16</v>
      </c>
    </row>
    <row r="320" spans="17:24" x14ac:dyDescent="0.3">
      <c r="Q320" s="3"/>
      <c r="R320" s="3"/>
      <c r="S320" s="3"/>
      <c r="T320" s="21"/>
      <c r="U320" s="3"/>
      <c r="V320" s="3">
        <f t="shared" si="25"/>
        <v>0</v>
      </c>
      <c r="W320" s="3" t="str">
        <f t="shared" si="26"/>
        <v>Ø16</v>
      </c>
      <c r="X320" s="3" t="str">
        <f t="shared" si="27"/>
        <v>Ø16</v>
      </c>
    </row>
    <row r="321" spans="17:24" x14ac:dyDescent="0.3">
      <c r="Q321" s="3"/>
      <c r="R321" s="3"/>
      <c r="S321" s="3"/>
      <c r="T321" s="21"/>
      <c r="U321" s="3"/>
      <c r="V321" s="3">
        <f t="shared" si="25"/>
        <v>0</v>
      </c>
      <c r="W321" s="3" t="str">
        <f t="shared" si="26"/>
        <v>Ø16</v>
      </c>
      <c r="X321" s="3" t="str">
        <f t="shared" si="27"/>
        <v>Ø16</v>
      </c>
    </row>
    <row r="322" spans="17:24" x14ac:dyDescent="0.3">
      <c r="Q322" s="3"/>
      <c r="R322" s="3"/>
      <c r="S322" s="3"/>
      <c r="T322" s="21"/>
      <c r="U322" s="3"/>
      <c r="V322" s="3">
        <f t="shared" si="25"/>
        <v>0</v>
      </c>
      <c r="W322" s="3" t="str">
        <f t="shared" si="26"/>
        <v>Ø16</v>
      </c>
      <c r="X322" s="3" t="str">
        <f t="shared" si="27"/>
        <v>Ø16</v>
      </c>
    </row>
    <row r="323" spans="17:24" x14ac:dyDescent="0.3">
      <c r="Q323" s="3"/>
      <c r="R323" s="3"/>
      <c r="S323" s="3"/>
      <c r="T323" s="21"/>
      <c r="U323" s="3"/>
      <c r="V323" s="3">
        <f t="shared" si="25"/>
        <v>0</v>
      </c>
      <c r="W323" s="3" t="str">
        <f t="shared" si="26"/>
        <v>Ø16</v>
      </c>
      <c r="X323" s="3" t="str">
        <f t="shared" si="27"/>
        <v>Ø16</v>
      </c>
    </row>
    <row r="324" spans="17:24" x14ac:dyDescent="0.3">
      <c r="Q324" s="3"/>
      <c r="R324" s="3"/>
      <c r="S324" s="3"/>
      <c r="T324" s="21"/>
      <c r="U324" s="3"/>
      <c r="V324" s="3">
        <f t="shared" si="25"/>
        <v>0</v>
      </c>
      <c r="W324" s="3" t="str">
        <f t="shared" si="26"/>
        <v>Ø16</v>
      </c>
      <c r="X324" s="3" t="str">
        <f t="shared" si="27"/>
        <v>Ø16</v>
      </c>
    </row>
    <row r="325" spans="17:24" x14ac:dyDescent="0.3">
      <c r="Q325" s="3"/>
      <c r="R325" s="3"/>
      <c r="S325" s="3"/>
      <c r="T325" s="21"/>
      <c r="U325" s="3"/>
      <c r="V325" s="3">
        <f t="shared" ref="V325:V388" si="28">U325*1.2</f>
        <v>0</v>
      </c>
      <c r="W325" s="3" t="str">
        <f t="shared" ref="W325:W388" si="29">"Ø"&amp;VLOOKUP(V325,$Z$4:$AA$10,2,TRUE)</f>
        <v>Ø16</v>
      </c>
      <c r="X325" s="3" t="str">
        <f t="shared" ref="X325:X388" si="30">"Ø"&amp;VLOOKUP(V325,$AD$4:$AE$10,2,TRUE)</f>
        <v>Ø16</v>
      </c>
    </row>
    <row r="326" spans="17:24" x14ac:dyDescent="0.3">
      <c r="Q326" s="3"/>
      <c r="R326" s="3"/>
      <c r="S326" s="3"/>
      <c r="T326" s="21"/>
      <c r="U326" s="3"/>
      <c r="V326" s="3">
        <f t="shared" si="28"/>
        <v>0</v>
      </c>
      <c r="W326" s="3" t="str">
        <f t="shared" si="29"/>
        <v>Ø16</v>
      </c>
      <c r="X326" s="3" t="str">
        <f t="shared" si="30"/>
        <v>Ø16</v>
      </c>
    </row>
    <row r="327" spans="17:24" x14ac:dyDescent="0.3">
      <c r="Q327" s="3"/>
      <c r="R327" s="3"/>
      <c r="S327" s="3"/>
      <c r="T327" s="21"/>
      <c r="U327" s="3"/>
      <c r="V327" s="3">
        <f t="shared" si="28"/>
        <v>0</v>
      </c>
      <c r="W327" s="3" t="str">
        <f t="shared" si="29"/>
        <v>Ø16</v>
      </c>
      <c r="X327" s="3" t="str">
        <f t="shared" si="30"/>
        <v>Ø16</v>
      </c>
    </row>
    <row r="328" spans="17:24" x14ac:dyDescent="0.3">
      <c r="Q328" s="3"/>
      <c r="R328" s="3"/>
      <c r="S328" s="3"/>
      <c r="T328" s="21"/>
      <c r="U328" s="3"/>
      <c r="V328" s="3">
        <f t="shared" si="28"/>
        <v>0</v>
      </c>
      <c r="W328" s="3" t="str">
        <f t="shared" si="29"/>
        <v>Ø16</v>
      </c>
      <c r="X328" s="3" t="str">
        <f t="shared" si="30"/>
        <v>Ø16</v>
      </c>
    </row>
    <row r="329" spans="17:24" x14ac:dyDescent="0.3">
      <c r="Q329" s="3"/>
      <c r="R329" s="3"/>
      <c r="S329" s="3"/>
      <c r="T329" s="21"/>
      <c r="U329" s="3"/>
      <c r="V329" s="3">
        <f t="shared" si="28"/>
        <v>0</v>
      </c>
      <c r="W329" s="3" t="str">
        <f t="shared" si="29"/>
        <v>Ø16</v>
      </c>
      <c r="X329" s="3" t="str">
        <f t="shared" si="30"/>
        <v>Ø16</v>
      </c>
    </row>
    <row r="330" spans="17:24" x14ac:dyDescent="0.3">
      <c r="Q330" s="3"/>
      <c r="R330" s="3"/>
      <c r="S330" s="3"/>
      <c r="T330" s="21"/>
      <c r="U330" s="3"/>
      <c r="V330" s="3">
        <f t="shared" si="28"/>
        <v>0</v>
      </c>
      <c r="W330" s="3" t="str">
        <f t="shared" si="29"/>
        <v>Ø16</v>
      </c>
      <c r="X330" s="3" t="str">
        <f t="shared" si="30"/>
        <v>Ø16</v>
      </c>
    </row>
    <row r="331" spans="17:24" x14ac:dyDescent="0.3">
      <c r="Q331" s="3"/>
      <c r="R331" s="3"/>
      <c r="S331" s="3"/>
      <c r="T331" s="21"/>
      <c r="U331" s="3"/>
      <c r="V331" s="3">
        <f t="shared" si="28"/>
        <v>0</v>
      </c>
      <c r="W331" s="3" t="str">
        <f t="shared" si="29"/>
        <v>Ø16</v>
      </c>
      <c r="X331" s="3" t="str">
        <f t="shared" si="30"/>
        <v>Ø16</v>
      </c>
    </row>
    <row r="332" spans="17:24" x14ac:dyDescent="0.3">
      <c r="Q332" s="3"/>
      <c r="R332" s="3"/>
      <c r="S332" s="3"/>
      <c r="T332" s="21"/>
      <c r="U332" s="3"/>
      <c r="V332" s="3">
        <f t="shared" si="28"/>
        <v>0</v>
      </c>
      <c r="W332" s="3" t="str">
        <f t="shared" si="29"/>
        <v>Ø16</v>
      </c>
      <c r="X332" s="3" t="str">
        <f t="shared" si="30"/>
        <v>Ø16</v>
      </c>
    </row>
    <row r="333" spans="17:24" x14ac:dyDescent="0.3">
      <c r="Q333" s="3"/>
      <c r="R333" s="3"/>
      <c r="S333" s="3"/>
      <c r="T333" s="21"/>
      <c r="U333" s="3"/>
      <c r="V333" s="3">
        <f t="shared" si="28"/>
        <v>0</v>
      </c>
      <c r="W333" s="3" t="str">
        <f t="shared" si="29"/>
        <v>Ø16</v>
      </c>
      <c r="X333" s="3" t="str">
        <f t="shared" si="30"/>
        <v>Ø16</v>
      </c>
    </row>
    <row r="334" spans="17:24" x14ac:dyDescent="0.3">
      <c r="Q334" s="3"/>
      <c r="R334" s="3"/>
      <c r="S334" s="3"/>
      <c r="T334" s="21"/>
      <c r="U334" s="3"/>
      <c r="V334" s="3">
        <f t="shared" si="28"/>
        <v>0</v>
      </c>
      <c r="W334" s="3" t="str">
        <f t="shared" si="29"/>
        <v>Ø16</v>
      </c>
      <c r="X334" s="3" t="str">
        <f t="shared" si="30"/>
        <v>Ø16</v>
      </c>
    </row>
    <row r="335" spans="17:24" x14ac:dyDescent="0.3">
      <c r="Q335" s="3"/>
      <c r="R335" s="3"/>
      <c r="S335" s="3"/>
      <c r="T335" s="21"/>
      <c r="U335" s="3"/>
      <c r="V335" s="3">
        <f t="shared" si="28"/>
        <v>0</v>
      </c>
      <c r="W335" s="3" t="str">
        <f t="shared" si="29"/>
        <v>Ø16</v>
      </c>
      <c r="X335" s="3" t="str">
        <f t="shared" si="30"/>
        <v>Ø16</v>
      </c>
    </row>
    <row r="336" spans="17:24" x14ac:dyDescent="0.3">
      <c r="Q336" s="3"/>
      <c r="R336" s="3"/>
      <c r="S336" s="3"/>
      <c r="T336" s="21"/>
      <c r="U336" s="3"/>
      <c r="V336" s="3">
        <f t="shared" si="28"/>
        <v>0</v>
      </c>
      <c r="W336" s="3" t="str">
        <f t="shared" si="29"/>
        <v>Ø16</v>
      </c>
      <c r="X336" s="3" t="str">
        <f t="shared" si="30"/>
        <v>Ø16</v>
      </c>
    </row>
    <row r="337" spans="17:24" x14ac:dyDescent="0.3">
      <c r="Q337" s="3"/>
      <c r="R337" s="3"/>
      <c r="S337" s="3"/>
      <c r="T337" s="21"/>
      <c r="U337" s="3"/>
      <c r="V337" s="3">
        <f t="shared" si="28"/>
        <v>0</v>
      </c>
      <c r="W337" s="3" t="str">
        <f t="shared" si="29"/>
        <v>Ø16</v>
      </c>
      <c r="X337" s="3" t="str">
        <f t="shared" si="30"/>
        <v>Ø16</v>
      </c>
    </row>
    <row r="338" spans="17:24" x14ac:dyDescent="0.3">
      <c r="Q338" s="3"/>
      <c r="R338" s="3"/>
      <c r="S338" s="3"/>
      <c r="T338" s="21"/>
      <c r="U338" s="3"/>
      <c r="V338" s="3">
        <f t="shared" si="28"/>
        <v>0</v>
      </c>
      <c r="W338" s="3" t="str">
        <f t="shared" si="29"/>
        <v>Ø16</v>
      </c>
      <c r="X338" s="3" t="str">
        <f t="shared" si="30"/>
        <v>Ø16</v>
      </c>
    </row>
    <row r="339" spans="17:24" x14ac:dyDescent="0.3">
      <c r="Q339" s="3"/>
      <c r="R339" s="3"/>
      <c r="S339" s="3"/>
      <c r="T339" s="21"/>
      <c r="U339" s="3"/>
      <c r="V339" s="3">
        <f t="shared" si="28"/>
        <v>0</v>
      </c>
      <c r="W339" s="3" t="str">
        <f t="shared" si="29"/>
        <v>Ø16</v>
      </c>
      <c r="X339" s="3" t="str">
        <f t="shared" si="30"/>
        <v>Ø16</v>
      </c>
    </row>
    <row r="340" spans="17:24" x14ac:dyDescent="0.3">
      <c r="Q340" s="3"/>
      <c r="R340" s="3"/>
      <c r="S340" s="3"/>
      <c r="T340" s="21"/>
      <c r="U340" s="3"/>
      <c r="V340" s="3">
        <f t="shared" si="28"/>
        <v>0</v>
      </c>
      <c r="W340" s="3" t="str">
        <f t="shared" si="29"/>
        <v>Ø16</v>
      </c>
      <c r="X340" s="3" t="str">
        <f t="shared" si="30"/>
        <v>Ø16</v>
      </c>
    </row>
    <row r="341" spans="17:24" x14ac:dyDescent="0.3">
      <c r="Q341" s="3"/>
      <c r="R341" s="3"/>
      <c r="S341" s="3"/>
      <c r="T341" s="21"/>
      <c r="U341" s="3"/>
      <c r="V341" s="3">
        <f t="shared" si="28"/>
        <v>0</v>
      </c>
      <c r="W341" s="3" t="str">
        <f t="shared" si="29"/>
        <v>Ø16</v>
      </c>
      <c r="X341" s="3" t="str">
        <f t="shared" si="30"/>
        <v>Ø16</v>
      </c>
    </row>
    <row r="342" spans="17:24" x14ac:dyDescent="0.3">
      <c r="Q342" s="3"/>
      <c r="R342" s="3"/>
      <c r="S342" s="3"/>
      <c r="T342" s="21"/>
      <c r="U342" s="3"/>
      <c r="V342" s="3">
        <f t="shared" si="28"/>
        <v>0</v>
      </c>
      <c r="W342" s="3" t="str">
        <f t="shared" si="29"/>
        <v>Ø16</v>
      </c>
      <c r="X342" s="3" t="str">
        <f t="shared" si="30"/>
        <v>Ø16</v>
      </c>
    </row>
    <row r="343" spans="17:24" x14ac:dyDescent="0.3">
      <c r="Q343" s="3"/>
      <c r="R343" s="3"/>
      <c r="S343" s="3"/>
      <c r="T343" s="21"/>
      <c r="U343" s="3"/>
      <c r="V343" s="3">
        <f t="shared" si="28"/>
        <v>0</v>
      </c>
      <c r="W343" s="3" t="str">
        <f t="shared" si="29"/>
        <v>Ø16</v>
      </c>
      <c r="X343" s="3" t="str">
        <f t="shared" si="30"/>
        <v>Ø16</v>
      </c>
    </row>
    <row r="344" spans="17:24" x14ac:dyDescent="0.3">
      <c r="Q344" s="3"/>
      <c r="R344" s="3"/>
      <c r="S344" s="3"/>
      <c r="T344" s="21"/>
      <c r="U344" s="3"/>
      <c r="V344" s="3">
        <f t="shared" si="28"/>
        <v>0</v>
      </c>
      <c r="W344" s="3" t="str">
        <f t="shared" si="29"/>
        <v>Ø16</v>
      </c>
      <c r="X344" s="3" t="str">
        <f t="shared" si="30"/>
        <v>Ø16</v>
      </c>
    </row>
    <row r="345" spans="17:24" x14ac:dyDescent="0.3">
      <c r="Q345" s="3"/>
      <c r="R345" s="3"/>
      <c r="S345" s="3"/>
      <c r="T345" s="21"/>
      <c r="U345" s="3"/>
      <c r="V345" s="3">
        <f t="shared" si="28"/>
        <v>0</v>
      </c>
      <c r="W345" s="3" t="str">
        <f t="shared" si="29"/>
        <v>Ø16</v>
      </c>
      <c r="X345" s="3" t="str">
        <f t="shared" si="30"/>
        <v>Ø16</v>
      </c>
    </row>
    <row r="346" spans="17:24" x14ac:dyDescent="0.3">
      <c r="Q346" s="3"/>
      <c r="R346" s="3"/>
      <c r="S346" s="3"/>
      <c r="T346" s="21"/>
      <c r="U346" s="3"/>
      <c r="V346" s="3">
        <f t="shared" si="28"/>
        <v>0</v>
      </c>
      <c r="W346" s="3" t="str">
        <f t="shared" si="29"/>
        <v>Ø16</v>
      </c>
      <c r="X346" s="3" t="str">
        <f t="shared" si="30"/>
        <v>Ø16</v>
      </c>
    </row>
    <row r="347" spans="17:24" x14ac:dyDescent="0.3">
      <c r="Q347" s="3"/>
      <c r="R347" s="3"/>
      <c r="S347" s="3"/>
      <c r="T347" s="21"/>
      <c r="U347" s="3"/>
      <c r="V347" s="3">
        <f t="shared" si="28"/>
        <v>0</v>
      </c>
      <c r="W347" s="3" t="str">
        <f t="shared" si="29"/>
        <v>Ø16</v>
      </c>
      <c r="X347" s="3" t="str">
        <f t="shared" si="30"/>
        <v>Ø16</v>
      </c>
    </row>
    <row r="348" spans="17:24" x14ac:dyDescent="0.3">
      <c r="Q348" s="3"/>
      <c r="R348" s="3"/>
      <c r="S348" s="3"/>
      <c r="T348" s="21"/>
      <c r="U348" s="3"/>
      <c r="V348" s="3">
        <f t="shared" si="28"/>
        <v>0</v>
      </c>
      <c r="W348" s="3" t="str">
        <f t="shared" si="29"/>
        <v>Ø16</v>
      </c>
      <c r="X348" s="3" t="str">
        <f t="shared" si="30"/>
        <v>Ø16</v>
      </c>
    </row>
    <row r="349" spans="17:24" x14ac:dyDescent="0.3">
      <c r="Q349" s="3"/>
      <c r="R349" s="3"/>
      <c r="S349" s="3"/>
      <c r="T349" s="21"/>
      <c r="U349" s="3"/>
      <c r="V349" s="3">
        <f t="shared" si="28"/>
        <v>0</v>
      </c>
      <c r="W349" s="3" t="str">
        <f t="shared" si="29"/>
        <v>Ø16</v>
      </c>
      <c r="X349" s="3" t="str">
        <f t="shared" si="30"/>
        <v>Ø16</v>
      </c>
    </row>
    <row r="350" spans="17:24" x14ac:dyDescent="0.3">
      <c r="Q350" s="3"/>
      <c r="R350" s="3"/>
      <c r="S350" s="3"/>
      <c r="T350" s="21"/>
      <c r="U350" s="3"/>
      <c r="V350" s="3">
        <f t="shared" si="28"/>
        <v>0</v>
      </c>
      <c r="W350" s="3" t="str">
        <f t="shared" si="29"/>
        <v>Ø16</v>
      </c>
      <c r="X350" s="3" t="str">
        <f t="shared" si="30"/>
        <v>Ø16</v>
      </c>
    </row>
    <row r="351" spans="17:24" x14ac:dyDescent="0.3">
      <c r="Q351" s="3"/>
      <c r="R351" s="3"/>
      <c r="S351" s="3"/>
      <c r="T351" s="21"/>
      <c r="U351" s="3"/>
      <c r="V351" s="3">
        <f t="shared" si="28"/>
        <v>0</v>
      </c>
      <c r="W351" s="3" t="str">
        <f t="shared" si="29"/>
        <v>Ø16</v>
      </c>
      <c r="X351" s="3" t="str">
        <f t="shared" si="30"/>
        <v>Ø16</v>
      </c>
    </row>
    <row r="352" spans="17:24" x14ac:dyDescent="0.3">
      <c r="Q352" s="3"/>
      <c r="R352" s="3"/>
      <c r="S352" s="3"/>
      <c r="T352" s="21"/>
      <c r="U352" s="3"/>
      <c r="V352" s="3">
        <f t="shared" si="28"/>
        <v>0</v>
      </c>
      <c r="W352" s="3" t="str">
        <f t="shared" si="29"/>
        <v>Ø16</v>
      </c>
      <c r="X352" s="3" t="str">
        <f t="shared" si="30"/>
        <v>Ø16</v>
      </c>
    </row>
    <row r="353" spans="17:24" x14ac:dyDescent="0.3">
      <c r="Q353" s="3"/>
      <c r="R353" s="3"/>
      <c r="S353" s="3"/>
      <c r="T353" s="21"/>
      <c r="U353" s="3"/>
      <c r="V353" s="3">
        <f t="shared" si="28"/>
        <v>0</v>
      </c>
      <c r="W353" s="3" t="str">
        <f t="shared" si="29"/>
        <v>Ø16</v>
      </c>
      <c r="X353" s="3" t="str">
        <f t="shared" si="30"/>
        <v>Ø16</v>
      </c>
    </row>
    <row r="354" spans="17:24" x14ac:dyDescent="0.3">
      <c r="Q354" s="3"/>
      <c r="R354" s="3"/>
      <c r="S354" s="3"/>
      <c r="T354" s="21"/>
      <c r="U354" s="3"/>
      <c r="V354" s="3">
        <f t="shared" si="28"/>
        <v>0</v>
      </c>
      <c r="W354" s="3" t="str">
        <f t="shared" si="29"/>
        <v>Ø16</v>
      </c>
      <c r="X354" s="3" t="str">
        <f t="shared" si="30"/>
        <v>Ø16</v>
      </c>
    </row>
    <row r="355" spans="17:24" x14ac:dyDescent="0.3">
      <c r="Q355" s="3"/>
      <c r="R355" s="3"/>
      <c r="S355" s="3"/>
      <c r="T355" s="21"/>
      <c r="U355" s="3"/>
      <c r="V355" s="3">
        <f t="shared" si="28"/>
        <v>0</v>
      </c>
      <c r="W355" s="3" t="str">
        <f t="shared" si="29"/>
        <v>Ø16</v>
      </c>
      <c r="X355" s="3" t="str">
        <f t="shared" si="30"/>
        <v>Ø16</v>
      </c>
    </row>
    <row r="356" spans="17:24" x14ac:dyDescent="0.3">
      <c r="Q356" s="3"/>
      <c r="R356" s="3"/>
      <c r="S356" s="3"/>
      <c r="T356" s="21"/>
      <c r="U356" s="3"/>
      <c r="V356" s="3">
        <f t="shared" si="28"/>
        <v>0</v>
      </c>
      <c r="W356" s="3" t="str">
        <f t="shared" si="29"/>
        <v>Ø16</v>
      </c>
      <c r="X356" s="3" t="str">
        <f t="shared" si="30"/>
        <v>Ø16</v>
      </c>
    </row>
    <row r="357" spans="17:24" x14ac:dyDescent="0.3">
      <c r="Q357" s="3"/>
      <c r="R357" s="3"/>
      <c r="S357" s="3"/>
      <c r="T357" s="21"/>
      <c r="U357" s="3"/>
      <c r="V357" s="3">
        <f t="shared" si="28"/>
        <v>0</v>
      </c>
      <c r="W357" s="3" t="str">
        <f t="shared" si="29"/>
        <v>Ø16</v>
      </c>
      <c r="X357" s="3" t="str">
        <f t="shared" si="30"/>
        <v>Ø16</v>
      </c>
    </row>
    <row r="358" spans="17:24" x14ac:dyDescent="0.3">
      <c r="Q358" s="3"/>
      <c r="R358" s="3"/>
      <c r="S358" s="3"/>
      <c r="T358" s="21"/>
      <c r="U358" s="3"/>
      <c r="V358" s="3">
        <f t="shared" si="28"/>
        <v>0</v>
      </c>
      <c r="W358" s="3" t="str">
        <f t="shared" si="29"/>
        <v>Ø16</v>
      </c>
      <c r="X358" s="3" t="str">
        <f t="shared" si="30"/>
        <v>Ø16</v>
      </c>
    </row>
    <row r="359" spans="17:24" x14ac:dyDescent="0.3">
      <c r="Q359" s="3"/>
      <c r="R359" s="3"/>
      <c r="S359" s="3"/>
      <c r="T359" s="21"/>
      <c r="U359" s="3"/>
      <c r="V359" s="3">
        <f t="shared" si="28"/>
        <v>0</v>
      </c>
      <c r="W359" s="3" t="str">
        <f t="shared" si="29"/>
        <v>Ø16</v>
      </c>
      <c r="X359" s="3" t="str">
        <f t="shared" si="30"/>
        <v>Ø16</v>
      </c>
    </row>
    <row r="360" spans="17:24" x14ac:dyDescent="0.3">
      <c r="Q360" s="3"/>
      <c r="R360" s="3"/>
      <c r="S360" s="3"/>
      <c r="T360" s="21"/>
      <c r="U360" s="3"/>
      <c r="V360" s="3">
        <f t="shared" si="28"/>
        <v>0</v>
      </c>
      <c r="W360" s="3" t="str">
        <f t="shared" si="29"/>
        <v>Ø16</v>
      </c>
      <c r="X360" s="3" t="str">
        <f t="shared" si="30"/>
        <v>Ø16</v>
      </c>
    </row>
    <row r="361" spans="17:24" x14ac:dyDescent="0.3">
      <c r="Q361" s="3"/>
      <c r="R361" s="3"/>
      <c r="S361" s="3"/>
      <c r="T361" s="21"/>
      <c r="U361" s="3"/>
      <c r="V361" s="3">
        <f t="shared" si="28"/>
        <v>0</v>
      </c>
      <c r="W361" s="3" t="str">
        <f t="shared" si="29"/>
        <v>Ø16</v>
      </c>
      <c r="X361" s="3" t="str">
        <f t="shared" si="30"/>
        <v>Ø16</v>
      </c>
    </row>
    <row r="362" spans="17:24" x14ac:dyDescent="0.3">
      <c r="Q362" s="3"/>
      <c r="R362" s="3"/>
      <c r="S362" s="3"/>
      <c r="T362" s="21"/>
      <c r="U362" s="3"/>
      <c r="V362" s="3">
        <f t="shared" si="28"/>
        <v>0</v>
      </c>
      <c r="W362" s="3" t="str">
        <f t="shared" si="29"/>
        <v>Ø16</v>
      </c>
      <c r="X362" s="3" t="str">
        <f t="shared" si="30"/>
        <v>Ø16</v>
      </c>
    </row>
    <row r="363" spans="17:24" x14ac:dyDescent="0.3">
      <c r="Q363" s="3"/>
      <c r="R363" s="3"/>
      <c r="S363" s="3"/>
      <c r="T363" s="21"/>
      <c r="U363" s="3"/>
      <c r="V363" s="3">
        <f t="shared" si="28"/>
        <v>0</v>
      </c>
      <c r="W363" s="3" t="str">
        <f t="shared" si="29"/>
        <v>Ø16</v>
      </c>
      <c r="X363" s="3" t="str">
        <f t="shared" si="30"/>
        <v>Ø16</v>
      </c>
    </row>
    <row r="364" spans="17:24" x14ac:dyDescent="0.3">
      <c r="Q364" s="3"/>
      <c r="R364" s="3"/>
      <c r="S364" s="3"/>
      <c r="T364" s="21"/>
      <c r="U364" s="3"/>
      <c r="V364" s="3">
        <f t="shared" si="28"/>
        <v>0</v>
      </c>
      <c r="W364" s="3" t="str">
        <f t="shared" si="29"/>
        <v>Ø16</v>
      </c>
      <c r="X364" s="3" t="str">
        <f t="shared" si="30"/>
        <v>Ø16</v>
      </c>
    </row>
    <row r="365" spans="17:24" x14ac:dyDescent="0.3">
      <c r="Q365" s="3"/>
      <c r="R365" s="3"/>
      <c r="S365" s="3"/>
      <c r="T365" s="21"/>
      <c r="U365" s="3"/>
      <c r="V365" s="3">
        <f t="shared" si="28"/>
        <v>0</v>
      </c>
      <c r="W365" s="3" t="str">
        <f t="shared" si="29"/>
        <v>Ø16</v>
      </c>
      <c r="X365" s="3" t="str">
        <f t="shared" si="30"/>
        <v>Ø16</v>
      </c>
    </row>
    <row r="366" spans="17:24" x14ac:dyDescent="0.3">
      <c r="Q366" s="3"/>
      <c r="R366" s="3"/>
      <c r="S366" s="3"/>
      <c r="T366" s="21"/>
      <c r="U366" s="3"/>
      <c r="V366" s="3">
        <f t="shared" si="28"/>
        <v>0</v>
      </c>
      <c r="W366" s="3" t="str">
        <f t="shared" si="29"/>
        <v>Ø16</v>
      </c>
      <c r="X366" s="3" t="str">
        <f t="shared" si="30"/>
        <v>Ø16</v>
      </c>
    </row>
    <row r="367" spans="17:24" x14ac:dyDescent="0.3">
      <c r="Q367" s="3"/>
      <c r="R367" s="3"/>
      <c r="S367" s="3"/>
      <c r="T367" s="21"/>
      <c r="U367" s="3"/>
      <c r="V367" s="3">
        <f t="shared" si="28"/>
        <v>0</v>
      </c>
      <c r="W367" s="3" t="str">
        <f t="shared" si="29"/>
        <v>Ø16</v>
      </c>
      <c r="X367" s="3" t="str">
        <f t="shared" si="30"/>
        <v>Ø16</v>
      </c>
    </row>
    <row r="368" spans="17:24" x14ac:dyDescent="0.3">
      <c r="Q368" s="3"/>
      <c r="R368" s="3"/>
      <c r="S368" s="3"/>
      <c r="T368" s="21"/>
      <c r="U368" s="3"/>
      <c r="V368" s="3">
        <f t="shared" si="28"/>
        <v>0</v>
      </c>
      <c r="W368" s="3" t="str">
        <f t="shared" si="29"/>
        <v>Ø16</v>
      </c>
      <c r="X368" s="3" t="str">
        <f t="shared" si="30"/>
        <v>Ø16</v>
      </c>
    </row>
    <row r="369" spans="17:24" x14ac:dyDescent="0.3">
      <c r="Q369" s="3"/>
      <c r="R369" s="3"/>
      <c r="S369" s="3"/>
      <c r="T369" s="21"/>
      <c r="U369" s="3"/>
      <c r="V369" s="3">
        <f t="shared" si="28"/>
        <v>0</v>
      </c>
      <c r="W369" s="3" t="str">
        <f t="shared" si="29"/>
        <v>Ø16</v>
      </c>
      <c r="X369" s="3" t="str">
        <f t="shared" si="30"/>
        <v>Ø16</v>
      </c>
    </row>
    <row r="370" spans="17:24" x14ac:dyDescent="0.3">
      <c r="Q370" s="3"/>
      <c r="R370" s="3"/>
      <c r="S370" s="3"/>
      <c r="T370" s="21"/>
      <c r="U370" s="3"/>
      <c r="V370" s="3">
        <f t="shared" si="28"/>
        <v>0</v>
      </c>
      <c r="W370" s="3" t="str">
        <f t="shared" si="29"/>
        <v>Ø16</v>
      </c>
      <c r="X370" s="3" t="str">
        <f t="shared" si="30"/>
        <v>Ø16</v>
      </c>
    </row>
    <row r="371" spans="17:24" x14ac:dyDescent="0.3">
      <c r="Q371" s="3"/>
      <c r="R371" s="3"/>
      <c r="S371" s="3"/>
      <c r="T371" s="21"/>
      <c r="U371" s="3"/>
      <c r="V371" s="3">
        <f t="shared" si="28"/>
        <v>0</v>
      </c>
      <c r="W371" s="3" t="str">
        <f t="shared" si="29"/>
        <v>Ø16</v>
      </c>
      <c r="X371" s="3" t="str">
        <f t="shared" si="30"/>
        <v>Ø16</v>
      </c>
    </row>
    <row r="372" spans="17:24" x14ac:dyDescent="0.3">
      <c r="Q372" s="3"/>
      <c r="R372" s="3"/>
      <c r="S372" s="3"/>
      <c r="T372" s="21"/>
      <c r="U372" s="3"/>
      <c r="V372" s="3">
        <f t="shared" si="28"/>
        <v>0</v>
      </c>
      <c r="W372" s="3" t="str">
        <f t="shared" si="29"/>
        <v>Ø16</v>
      </c>
      <c r="X372" s="3" t="str">
        <f t="shared" si="30"/>
        <v>Ø16</v>
      </c>
    </row>
    <row r="373" spans="17:24" x14ac:dyDescent="0.3">
      <c r="Q373" s="3"/>
      <c r="R373" s="3"/>
      <c r="S373" s="3"/>
      <c r="T373" s="21"/>
      <c r="U373" s="3"/>
      <c r="V373" s="3">
        <f t="shared" si="28"/>
        <v>0</v>
      </c>
      <c r="W373" s="3" t="str">
        <f t="shared" si="29"/>
        <v>Ø16</v>
      </c>
      <c r="X373" s="3" t="str">
        <f t="shared" si="30"/>
        <v>Ø16</v>
      </c>
    </row>
    <row r="374" spans="17:24" x14ac:dyDescent="0.3">
      <c r="Q374" s="3"/>
      <c r="R374" s="3"/>
      <c r="S374" s="3"/>
      <c r="T374" s="21"/>
      <c r="U374" s="3"/>
      <c r="V374" s="3">
        <f t="shared" si="28"/>
        <v>0</v>
      </c>
      <c r="W374" s="3" t="str">
        <f t="shared" si="29"/>
        <v>Ø16</v>
      </c>
      <c r="X374" s="3" t="str">
        <f t="shared" si="30"/>
        <v>Ø16</v>
      </c>
    </row>
    <row r="375" spans="17:24" x14ac:dyDescent="0.3">
      <c r="Q375" s="3"/>
      <c r="R375" s="3"/>
      <c r="S375" s="3"/>
      <c r="T375" s="21"/>
      <c r="U375" s="3"/>
      <c r="V375" s="3">
        <f t="shared" si="28"/>
        <v>0</v>
      </c>
      <c r="W375" s="3" t="str">
        <f t="shared" si="29"/>
        <v>Ø16</v>
      </c>
      <c r="X375" s="3" t="str">
        <f t="shared" si="30"/>
        <v>Ø16</v>
      </c>
    </row>
    <row r="376" spans="17:24" x14ac:dyDescent="0.3">
      <c r="Q376" s="3"/>
      <c r="R376" s="3"/>
      <c r="S376" s="3"/>
      <c r="T376" s="21"/>
      <c r="U376" s="3"/>
      <c r="V376" s="3">
        <f t="shared" si="28"/>
        <v>0</v>
      </c>
      <c r="W376" s="3" t="str">
        <f t="shared" si="29"/>
        <v>Ø16</v>
      </c>
      <c r="X376" s="3" t="str">
        <f t="shared" si="30"/>
        <v>Ø16</v>
      </c>
    </row>
    <row r="377" spans="17:24" x14ac:dyDescent="0.3">
      <c r="Q377" s="3"/>
      <c r="R377" s="3"/>
      <c r="S377" s="3"/>
      <c r="T377" s="21"/>
      <c r="U377" s="3"/>
      <c r="V377" s="3">
        <f t="shared" si="28"/>
        <v>0</v>
      </c>
      <c r="W377" s="3" t="str">
        <f t="shared" si="29"/>
        <v>Ø16</v>
      </c>
      <c r="X377" s="3" t="str">
        <f t="shared" si="30"/>
        <v>Ø16</v>
      </c>
    </row>
    <row r="378" spans="17:24" x14ac:dyDescent="0.3">
      <c r="Q378" s="3"/>
      <c r="R378" s="3"/>
      <c r="S378" s="3"/>
      <c r="T378" s="21"/>
      <c r="U378" s="3"/>
      <c r="V378" s="3">
        <f t="shared" si="28"/>
        <v>0</v>
      </c>
      <c r="W378" s="3" t="str">
        <f t="shared" si="29"/>
        <v>Ø16</v>
      </c>
      <c r="X378" s="3" t="str">
        <f t="shared" si="30"/>
        <v>Ø16</v>
      </c>
    </row>
    <row r="379" spans="17:24" x14ac:dyDescent="0.3">
      <c r="Q379" s="3"/>
      <c r="R379" s="3"/>
      <c r="S379" s="3"/>
      <c r="T379" s="21"/>
      <c r="U379" s="3"/>
      <c r="V379" s="3">
        <f t="shared" si="28"/>
        <v>0</v>
      </c>
      <c r="W379" s="3" t="str">
        <f t="shared" si="29"/>
        <v>Ø16</v>
      </c>
      <c r="X379" s="3" t="str">
        <f t="shared" si="30"/>
        <v>Ø16</v>
      </c>
    </row>
    <row r="380" spans="17:24" x14ac:dyDescent="0.3">
      <c r="Q380" s="3"/>
      <c r="R380" s="3"/>
      <c r="S380" s="3"/>
      <c r="T380" s="21"/>
      <c r="U380" s="3"/>
      <c r="V380" s="3">
        <f t="shared" si="28"/>
        <v>0</v>
      </c>
      <c r="W380" s="3" t="str">
        <f t="shared" si="29"/>
        <v>Ø16</v>
      </c>
      <c r="X380" s="3" t="str">
        <f t="shared" si="30"/>
        <v>Ø16</v>
      </c>
    </row>
    <row r="381" spans="17:24" x14ac:dyDescent="0.3">
      <c r="Q381" s="3"/>
      <c r="R381" s="3"/>
      <c r="S381" s="3"/>
      <c r="T381" s="21"/>
      <c r="U381" s="3"/>
      <c r="V381" s="3">
        <f t="shared" si="28"/>
        <v>0</v>
      </c>
      <c r="W381" s="3" t="str">
        <f t="shared" si="29"/>
        <v>Ø16</v>
      </c>
      <c r="X381" s="3" t="str">
        <f t="shared" si="30"/>
        <v>Ø16</v>
      </c>
    </row>
    <row r="382" spans="17:24" x14ac:dyDescent="0.3">
      <c r="Q382" s="3"/>
      <c r="R382" s="3"/>
      <c r="S382" s="3"/>
      <c r="T382" s="21"/>
      <c r="U382" s="3"/>
      <c r="V382" s="3">
        <f t="shared" si="28"/>
        <v>0</v>
      </c>
      <c r="W382" s="3" t="str">
        <f t="shared" si="29"/>
        <v>Ø16</v>
      </c>
      <c r="X382" s="3" t="str">
        <f t="shared" si="30"/>
        <v>Ø16</v>
      </c>
    </row>
    <row r="383" spans="17:24" x14ac:dyDescent="0.3">
      <c r="Q383" s="3"/>
      <c r="R383" s="3"/>
      <c r="S383" s="3"/>
      <c r="T383" s="21"/>
      <c r="U383" s="3"/>
      <c r="V383" s="3">
        <f t="shared" si="28"/>
        <v>0</v>
      </c>
      <c r="W383" s="3" t="str">
        <f t="shared" si="29"/>
        <v>Ø16</v>
      </c>
      <c r="X383" s="3" t="str">
        <f t="shared" si="30"/>
        <v>Ø16</v>
      </c>
    </row>
    <row r="384" spans="17:24" x14ac:dyDescent="0.3">
      <c r="Q384" s="3"/>
      <c r="R384" s="3"/>
      <c r="S384" s="3"/>
      <c r="T384" s="21"/>
      <c r="U384" s="3"/>
      <c r="V384" s="3">
        <f t="shared" si="28"/>
        <v>0</v>
      </c>
      <c r="W384" s="3" t="str">
        <f t="shared" si="29"/>
        <v>Ø16</v>
      </c>
      <c r="X384" s="3" t="str">
        <f t="shared" si="30"/>
        <v>Ø16</v>
      </c>
    </row>
    <row r="385" spans="17:24" x14ac:dyDescent="0.3">
      <c r="Q385" s="3"/>
      <c r="R385" s="3"/>
      <c r="S385" s="3"/>
      <c r="T385" s="21"/>
      <c r="U385" s="3"/>
      <c r="V385" s="3">
        <f t="shared" si="28"/>
        <v>0</v>
      </c>
      <c r="W385" s="3" t="str">
        <f t="shared" si="29"/>
        <v>Ø16</v>
      </c>
      <c r="X385" s="3" t="str">
        <f t="shared" si="30"/>
        <v>Ø16</v>
      </c>
    </row>
    <row r="386" spans="17:24" x14ac:dyDescent="0.3">
      <c r="Q386" s="3"/>
      <c r="R386" s="3"/>
      <c r="S386" s="3"/>
      <c r="T386" s="21"/>
      <c r="U386" s="3"/>
      <c r="V386" s="3">
        <f t="shared" si="28"/>
        <v>0</v>
      </c>
      <c r="W386" s="3" t="str">
        <f t="shared" si="29"/>
        <v>Ø16</v>
      </c>
      <c r="X386" s="3" t="str">
        <f t="shared" si="30"/>
        <v>Ø16</v>
      </c>
    </row>
    <row r="387" spans="17:24" x14ac:dyDescent="0.3">
      <c r="Q387" s="3"/>
      <c r="R387" s="3"/>
      <c r="S387" s="3"/>
      <c r="T387" s="21"/>
      <c r="U387" s="3"/>
      <c r="V387" s="3">
        <f t="shared" si="28"/>
        <v>0</v>
      </c>
      <c r="W387" s="3" t="str">
        <f t="shared" si="29"/>
        <v>Ø16</v>
      </c>
      <c r="X387" s="3" t="str">
        <f t="shared" si="30"/>
        <v>Ø16</v>
      </c>
    </row>
    <row r="388" spans="17:24" x14ac:dyDescent="0.3">
      <c r="Q388" s="3"/>
      <c r="R388" s="3"/>
      <c r="S388" s="3"/>
      <c r="T388" s="21"/>
      <c r="U388" s="3"/>
      <c r="V388" s="3">
        <f t="shared" si="28"/>
        <v>0</v>
      </c>
      <c r="W388" s="3" t="str">
        <f t="shared" si="29"/>
        <v>Ø16</v>
      </c>
      <c r="X388" s="3" t="str">
        <f t="shared" si="30"/>
        <v>Ø16</v>
      </c>
    </row>
    <row r="389" spans="17:24" x14ac:dyDescent="0.3">
      <c r="Q389" s="3"/>
      <c r="R389" s="3"/>
      <c r="S389" s="3"/>
      <c r="T389" s="21"/>
      <c r="U389" s="3"/>
      <c r="V389" s="3">
        <f t="shared" ref="V389:V452" si="31">U389*1.2</f>
        <v>0</v>
      </c>
      <c r="W389" s="3" t="str">
        <f t="shared" ref="W389:W452" si="32">"Ø"&amp;VLOOKUP(V389,$Z$4:$AA$10,2,TRUE)</f>
        <v>Ø16</v>
      </c>
      <c r="X389" s="3" t="str">
        <f t="shared" ref="X389:X452" si="33">"Ø"&amp;VLOOKUP(V389,$AD$4:$AE$10,2,TRUE)</f>
        <v>Ø16</v>
      </c>
    </row>
    <row r="390" spans="17:24" x14ac:dyDescent="0.3">
      <c r="Q390" s="3"/>
      <c r="R390" s="3"/>
      <c r="S390" s="3"/>
      <c r="T390" s="21"/>
      <c r="U390" s="3"/>
      <c r="V390" s="3">
        <f t="shared" si="31"/>
        <v>0</v>
      </c>
      <c r="W390" s="3" t="str">
        <f t="shared" si="32"/>
        <v>Ø16</v>
      </c>
      <c r="X390" s="3" t="str">
        <f t="shared" si="33"/>
        <v>Ø16</v>
      </c>
    </row>
    <row r="391" spans="17:24" x14ac:dyDescent="0.3">
      <c r="Q391" s="3"/>
      <c r="R391" s="3"/>
      <c r="S391" s="3"/>
      <c r="T391" s="21"/>
      <c r="U391" s="3"/>
      <c r="V391" s="3">
        <f t="shared" si="31"/>
        <v>0</v>
      </c>
      <c r="W391" s="3" t="str">
        <f t="shared" si="32"/>
        <v>Ø16</v>
      </c>
      <c r="X391" s="3" t="str">
        <f t="shared" si="33"/>
        <v>Ø16</v>
      </c>
    </row>
    <row r="392" spans="17:24" x14ac:dyDescent="0.3">
      <c r="Q392" s="3"/>
      <c r="R392" s="3"/>
      <c r="S392" s="3"/>
      <c r="T392" s="21"/>
      <c r="U392" s="3"/>
      <c r="V392" s="3">
        <f t="shared" si="31"/>
        <v>0</v>
      </c>
      <c r="W392" s="3" t="str">
        <f t="shared" si="32"/>
        <v>Ø16</v>
      </c>
      <c r="X392" s="3" t="str">
        <f t="shared" si="33"/>
        <v>Ø16</v>
      </c>
    </row>
    <row r="393" spans="17:24" x14ac:dyDescent="0.3">
      <c r="Q393" s="3"/>
      <c r="R393" s="3"/>
      <c r="S393" s="3"/>
      <c r="T393" s="21"/>
      <c r="U393" s="3"/>
      <c r="V393" s="3">
        <f t="shared" si="31"/>
        <v>0</v>
      </c>
      <c r="W393" s="3" t="str">
        <f t="shared" si="32"/>
        <v>Ø16</v>
      </c>
      <c r="X393" s="3" t="str">
        <f t="shared" si="33"/>
        <v>Ø16</v>
      </c>
    </row>
    <row r="394" spans="17:24" x14ac:dyDescent="0.3">
      <c r="Q394" s="3"/>
      <c r="R394" s="3"/>
      <c r="S394" s="3"/>
      <c r="T394" s="21"/>
      <c r="U394" s="3"/>
      <c r="V394" s="3">
        <f t="shared" si="31"/>
        <v>0</v>
      </c>
      <c r="W394" s="3" t="str">
        <f t="shared" si="32"/>
        <v>Ø16</v>
      </c>
      <c r="X394" s="3" t="str">
        <f t="shared" si="33"/>
        <v>Ø16</v>
      </c>
    </row>
    <row r="395" spans="17:24" x14ac:dyDescent="0.3">
      <c r="Q395" s="3"/>
      <c r="R395" s="3"/>
      <c r="S395" s="3"/>
      <c r="T395" s="21"/>
      <c r="U395" s="3"/>
      <c r="V395" s="3">
        <f t="shared" si="31"/>
        <v>0</v>
      </c>
      <c r="W395" s="3" t="str">
        <f t="shared" si="32"/>
        <v>Ø16</v>
      </c>
      <c r="X395" s="3" t="str">
        <f t="shared" si="33"/>
        <v>Ø16</v>
      </c>
    </row>
    <row r="396" spans="17:24" x14ac:dyDescent="0.3">
      <c r="Q396" s="3"/>
      <c r="R396" s="3"/>
      <c r="S396" s="3"/>
      <c r="T396" s="21"/>
      <c r="U396" s="3"/>
      <c r="V396" s="3">
        <f t="shared" si="31"/>
        <v>0</v>
      </c>
      <c r="W396" s="3" t="str">
        <f t="shared" si="32"/>
        <v>Ø16</v>
      </c>
      <c r="X396" s="3" t="str">
        <f t="shared" si="33"/>
        <v>Ø16</v>
      </c>
    </row>
    <row r="397" spans="17:24" x14ac:dyDescent="0.3">
      <c r="Q397" s="3"/>
      <c r="R397" s="3"/>
      <c r="S397" s="3"/>
      <c r="T397" s="21"/>
      <c r="U397" s="3"/>
      <c r="V397" s="3">
        <f t="shared" si="31"/>
        <v>0</v>
      </c>
      <c r="W397" s="3" t="str">
        <f t="shared" si="32"/>
        <v>Ø16</v>
      </c>
      <c r="X397" s="3" t="str">
        <f t="shared" si="33"/>
        <v>Ø16</v>
      </c>
    </row>
    <row r="398" spans="17:24" x14ac:dyDescent="0.3">
      <c r="Q398" s="3"/>
      <c r="R398" s="3"/>
      <c r="S398" s="3"/>
      <c r="T398" s="21"/>
      <c r="U398" s="3"/>
      <c r="V398" s="3">
        <f t="shared" si="31"/>
        <v>0</v>
      </c>
      <c r="W398" s="3" t="str">
        <f t="shared" si="32"/>
        <v>Ø16</v>
      </c>
      <c r="X398" s="3" t="str">
        <f t="shared" si="33"/>
        <v>Ø16</v>
      </c>
    </row>
    <row r="399" spans="17:24" x14ac:dyDescent="0.3">
      <c r="Q399" s="3"/>
      <c r="R399" s="3"/>
      <c r="S399" s="3"/>
      <c r="T399" s="21"/>
      <c r="U399" s="3"/>
      <c r="V399" s="3">
        <f t="shared" si="31"/>
        <v>0</v>
      </c>
      <c r="W399" s="3" t="str">
        <f t="shared" si="32"/>
        <v>Ø16</v>
      </c>
      <c r="X399" s="3" t="str">
        <f t="shared" si="33"/>
        <v>Ø16</v>
      </c>
    </row>
    <row r="400" spans="17:24" x14ac:dyDescent="0.3">
      <c r="Q400" s="3"/>
      <c r="R400" s="3"/>
      <c r="S400" s="3"/>
      <c r="T400" s="21"/>
      <c r="U400" s="3"/>
      <c r="V400" s="3">
        <f t="shared" si="31"/>
        <v>0</v>
      </c>
      <c r="W400" s="3" t="str">
        <f t="shared" si="32"/>
        <v>Ø16</v>
      </c>
      <c r="X400" s="3" t="str">
        <f t="shared" si="33"/>
        <v>Ø16</v>
      </c>
    </row>
    <row r="401" spans="17:24" x14ac:dyDescent="0.3">
      <c r="Q401" s="3"/>
      <c r="R401" s="3"/>
      <c r="S401" s="3"/>
      <c r="T401" s="21"/>
      <c r="U401" s="3"/>
      <c r="V401" s="3">
        <f t="shared" si="31"/>
        <v>0</v>
      </c>
      <c r="W401" s="3" t="str">
        <f t="shared" si="32"/>
        <v>Ø16</v>
      </c>
      <c r="X401" s="3" t="str">
        <f t="shared" si="33"/>
        <v>Ø16</v>
      </c>
    </row>
    <row r="402" spans="17:24" x14ac:dyDescent="0.3">
      <c r="Q402" s="3"/>
      <c r="R402" s="3"/>
      <c r="S402" s="3"/>
      <c r="T402" s="21"/>
      <c r="U402" s="3"/>
      <c r="V402" s="3">
        <f t="shared" si="31"/>
        <v>0</v>
      </c>
      <c r="W402" s="3" t="str">
        <f t="shared" si="32"/>
        <v>Ø16</v>
      </c>
      <c r="X402" s="3" t="str">
        <f t="shared" si="33"/>
        <v>Ø16</v>
      </c>
    </row>
    <row r="403" spans="17:24" x14ac:dyDescent="0.3">
      <c r="Q403" s="3"/>
      <c r="R403" s="3"/>
      <c r="S403" s="3"/>
      <c r="T403" s="21"/>
      <c r="U403" s="3"/>
      <c r="V403" s="3">
        <f t="shared" si="31"/>
        <v>0</v>
      </c>
      <c r="W403" s="3" t="str">
        <f t="shared" si="32"/>
        <v>Ø16</v>
      </c>
      <c r="X403" s="3" t="str">
        <f t="shared" si="33"/>
        <v>Ø16</v>
      </c>
    </row>
    <row r="404" spans="17:24" x14ac:dyDescent="0.3">
      <c r="Q404" s="3"/>
      <c r="R404" s="3"/>
      <c r="S404" s="3"/>
      <c r="T404" s="21"/>
      <c r="U404" s="3"/>
      <c r="V404" s="3">
        <f t="shared" si="31"/>
        <v>0</v>
      </c>
      <c r="W404" s="3" t="str">
        <f t="shared" si="32"/>
        <v>Ø16</v>
      </c>
      <c r="X404" s="3" t="str">
        <f t="shared" si="33"/>
        <v>Ø16</v>
      </c>
    </row>
    <row r="405" spans="17:24" x14ac:dyDescent="0.3">
      <c r="Q405" s="3"/>
      <c r="R405" s="3"/>
      <c r="S405" s="3"/>
      <c r="T405" s="21"/>
      <c r="U405" s="3"/>
      <c r="V405" s="3">
        <f t="shared" si="31"/>
        <v>0</v>
      </c>
      <c r="W405" s="3" t="str">
        <f t="shared" si="32"/>
        <v>Ø16</v>
      </c>
      <c r="X405" s="3" t="str">
        <f t="shared" si="33"/>
        <v>Ø16</v>
      </c>
    </row>
    <row r="406" spans="17:24" x14ac:dyDescent="0.3">
      <c r="Q406" s="3"/>
      <c r="R406" s="3"/>
      <c r="S406" s="3"/>
      <c r="T406" s="21"/>
      <c r="U406" s="3"/>
      <c r="V406" s="3">
        <f t="shared" si="31"/>
        <v>0</v>
      </c>
      <c r="W406" s="3" t="str">
        <f t="shared" si="32"/>
        <v>Ø16</v>
      </c>
      <c r="X406" s="3" t="str">
        <f t="shared" si="33"/>
        <v>Ø16</v>
      </c>
    </row>
    <row r="407" spans="17:24" x14ac:dyDescent="0.3">
      <c r="Q407" s="3"/>
      <c r="R407" s="3"/>
      <c r="S407" s="3"/>
      <c r="T407" s="21"/>
      <c r="U407" s="3"/>
      <c r="V407" s="3">
        <f t="shared" si="31"/>
        <v>0</v>
      </c>
      <c r="W407" s="3" t="str">
        <f t="shared" si="32"/>
        <v>Ø16</v>
      </c>
      <c r="X407" s="3" t="str">
        <f t="shared" si="33"/>
        <v>Ø16</v>
      </c>
    </row>
    <row r="408" spans="17:24" x14ac:dyDescent="0.3">
      <c r="Q408" s="3"/>
      <c r="R408" s="3"/>
      <c r="S408" s="3"/>
      <c r="T408" s="21"/>
      <c r="U408" s="3"/>
      <c r="V408" s="3">
        <f t="shared" si="31"/>
        <v>0</v>
      </c>
      <c r="W408" s="3" t="str">
        <f t="shared" si="32"/>
        <v>Ø16</v>
      </c>
      <c r="X408" s="3" t="str">
        <f t="shared" si="33"/>
        <v>Ø16</v>
      </c>
    </row>
    <row r="409" spans="17:24" x14ac:dyDescent="0.3">
      <c r="Q409" s="3"/>
      <c r="R409" s="3"/>
      <c r="S409" s="3"/>
      <c r="T409" s="21"/>
      <c r="U409" s="3"/>
      <c r="V409" s="3">
        <f t="shared" si="31"/>
        <v>0</v>
      </c>
      <c r="W409" s="3" t="str">
        <f t="shared" si="32"/>
        <v>Ø16</v>
      </c>
      <c r="X409" s="3" t="str">
        <f t="shared" si="33"/>
        <v>Ø16</v>
      </c>
    </row>
    <row r="410" spans="17:24" x14ac:dyDescent="0.3">
      <c r="Q410" s="3"/>
      <c r="R410" s="3"/>
      <c r="S410" s="3"/>
      <c r="T410" s="21"/>
      <c r="U410" s="3"/>
      <c r="V410" s="3">
        <f t="shared" si="31"/>
        <v>0</v>
      </c>
      <c r="W410" s="3" t="str">
        <f t="shared" si="32"/>
        <v>Ø16</v>
      </c>
      <c r="X410" s="3" t="str">
        <f t="shared" si="33"/>
        <v>Ø16</v>
      </c>
    </row>
    <row r="411" spans="17:24" x14ac:dyDescent="0.3">
      <c r="Q411" s="3"/>
      <c r="R411" s="3"/>
      <c r="S411" s="3"/>
      <c r="T411" s="21"/>
      <c r="U411" s="3"/>
      <c r="V411" s="3">
        <f t="shared" si="31"/>
        <v>0</v>
      </c>
      <c r="W411" s="3" t="str">
        <f t="shared" si="32"/>
        <v>Ø16</v>
      </c>
      <c r="X411" s="3" t="str">
        <f t="shared" si="33"/>
        <v>Ø16</v>
      </c>
    </row>
    <row r="412" spans="17:24" x14ac:dyDescent="0.3">
      <c r="Q412" s="3"/>
      <c r="R412" s="3"/>
      <c r="S412" s="3"/>
      <c r="T412" s="21"/>
      <c r="U412" s="3"/>
      <c r="V412" s="3">
        <f t="shared" si="31"/>
        <v>0</v>
      </c>
      <c r="W412" s="3" t="str">
        <f t="shared" si="32"/>
        <v>Ø16</v>
      </c>
      <c r="X412" s="3" t="str">
        <f t="shared" si="33"/>
        <v>Ø16</v>
      </c>
    </row>
    <row r="413" spans="17:24" x14ac:dyDescent="0.3">
      <c r="Q413" s="3"/>
      <c r="R413" s="3"/>
      <c r="S413" s="3"/>
      <c r="T413" s="21"/>
      <c r="U413" s="3"/>
      <c r="V413" s="3">
        <f t="shared" si="31"/>
        <v>0</v>
      </c>
      <c r="W413" s="3" t="str">
        <f t="shared" si="32"/>
        <v>Ø16</v>
      </c>
      <c r="X413" s="3" t="str">
        <f t="shared" si="33"/>
        <v>Ø16</v>
      </c>
    </row>
    <row r="414" spans="17:24" x14ac:dyDescent="0.3">
      <c r="Q414" s="3"/>
      <c r="R414" s="3"/>
      <c r="S414" s="3"/>
      <c r="T414" s="21"/>
      <c r="U414" s="3"/>
      <c r="V414" s="3">
        <f t="shared" si="31"/>
        <v>0</v>
      </c>
      <c r="W414" s="3" t="str">
        <f t="shared" si="32"/>
        <v>Ø16</v>
      </c>
      <c r="X414" s="3" t="str">
        <f t="shared" si="33"/>
        <v>Ø16</v>
      </c>
    </row>
    <row r="415" spans="17:24" x14ac:dyDescent="0.3">
      <c r="Q415" s="3"/>
      <c r="R415" s="3"/>
      <c r="S415" s="3"/>
      <c r="T415" s="21"/>
      <c r="U415" s="3"/>
      <c r="V415" s="3">
        <f t="shared" si="31"/>
        <v>0</v>
      </c>
      <c r="W415" s="3" t="str">
        <f t="shared" si="32"/>
        <v>Ø16</v>
      </c>
      <c r="X415" s="3" t="str">
        <f t="shared" si="33"/>
        <v>Ø16</v>
      </c>
    </row>
    <row r="416" spans="17:24" x14ac:dyDescent="0.3">
      <c r="Q416" s="3"/>
      <c r="R416" s="3"/>
      <c r="S416" s="3"/>
      <c r="T416" s="21"/>
      <c r="U416" s="3"/>
      <c r="V416" s="3">
        <f t="shared" si="31"/>
        <v>0</v>
      </c>
      <c r="W416" s="3" t="str">
        <f t="shared" si="32"/>
        <v>Ø16</v>
      </c>
      <c r="X416" s="3" t="str">
        <f t="shared" si="33"/>
        <v>Ø16</v>
      </c>
    </row>
    <row r="417" spans="17:24" x14ac:dyDescent="0.3">
      <c r="Q417" s="3"/>
      <c r="R417" s="3"/>
      <c r="S417" s="3"/>
      <c r="T417" s="21"/>
      <c r="U417" s="3"/>
      <c r="V417" s="3">
        <f t="shared" si="31"/>
        <v>0</v>
      </c>
      <c r="W417" s="3" t="str">
        <f t="shared" si="32"/>
        <v>Ø16</v>
      </c>
      <c r="X417" s="3" t="str">
        <f t="shared" si="33"/>
        <v>Ø16</v>
      </c>
    </row>
    <row r="418" spans="17:24" x14ac:dyDescent="0.3">
      <c r="Q418" s="3"/>
      <c r="R418" s="3"/>
      <c r="S418" s="3"/>
      <c r="T418" s="21"/>
      <c r="U418" s="3"/>
      <c r="V418" s="3">
        <f t="shared" si="31"/>
        <v>0</v>
      </c>
      <c r="W418" s="3" t="str">
        <f t="shared" si="32"/>
        <v>Ø16</v>
      </c>
      <c r="X418" s="3" t="str">
        <f t="shared" si="33"/>
        <v>Ø16</v>
      </c>
    </row>
    <row r="419" spans="17:24" x14ac:dyDescent="0.3">
      <c r="Q419" s="3"/>
      <c r="R419" s="3"/>
      <c r="S419" s="3"/>
      <c r="T419" s="21"/>
      <c r="U419" s="3"/>
      <c r="V419" s="3">
        <f t="shared" si="31"/>
        <v>0</v>
      </c>
      <c r="W419" s="3" t="str">
        <f t="shared" si="32"/>
        <v>Ø16</v>
      </c>
      <c r="X419" s="3" t="str">
        <f t="shared" si="33"/>
        <v>Ø16</v>
      </c>
    </row>
    <row r="420" spans="17:24" x14ac:dyDescent="0.3">
      <c r="Q420" s="3"/>
      <c r="R420" s="3"/>
      <c r="S420" s="3"/>
      <c r="T420" s="21"/>
      <c r="U420" s="3"/>
      <c r="V420" s="3">
        <f t="shared" si="31"/>
        <v>0</v>
      </c>
      <c r="W420" s="3" t="str">
        <f t="shared" si="32"/>
        <v>Ø16</v>
      </c>
      <c r="X420" s="3" t="str">
        <f t="shared" si="33"/>
        <v>Ø16</v>
      </c>
    </row>
    <row r="421" spans="17:24" x14ac:dyDescent="0.3">
      <c r="Q421" s="3"/>
      <c r="R421" s="3"/>
      <c r="S421" s="3"/>
      <c r="T421" s="21"/>
      <c r="U421" s="3"/>
      <c r="V421" s="3">
        <f t="shared" si="31"/>
        <v>0</v>
      </c>
      <c r="W421" s="3" t="str">
        <f t="shared" si="32"/>
        <v>Ø16</v>
      </c>
      <c r="X421" s="3" t="str">
        <f t="shared" si="33"/>
        <v>Ø16</v>
      </c>
    </row>
    <row r="422" spans="17:24" x14ac:dyDescent="0.3">
      <c r="Q422" s="3"/>
      <c r="R422" s="3"/>
      <c r="S422" s="3"/>
      <c r="T422" s="21"/>
      <c r="U422" s="3"/>
      <c r="V422" s="3">
        <f t="shared" si="31"/>
        <v>0</v>
      </c>
      <c r="W422" s="3" t="str">
        <f t="shared" si="32"/>
        <v>Ø16</v>
      </c>
      <c r="X422" s="3" t="str">
        <f t="shared" si="33"/>
        <v>Ø16</v>
      </c>
    </row>
    <row r="423" spans="17:24" x14ac:dyDescent="0.3">
      <c r="Q423" s="3"/>
      <c r="R423" s="3"/>
      <c r="S423" s="3"/>
      <c r="T423" s="21"/>
      <c r="U423" s="3"/>
      <c r="V423" s="3">
        <f t="shared" si="31"/>
        <v>0</v>
      </c>
      <c r="W423" s="3" t="str">
        <f t="shared" si="32"/>
        <v>Ø16</v>
      </c>
      <c r="X423" s="3" t="str">
        <f t="shared" si="33"/>
        <v>Ø16</v>
      </c>
    </row>
    <row r="424" spans="17:24" x14ac:dyDescent="0.3">
      <c r="Q424" s="3"/>
      <c r="R424" s="3"/>
      <c r="S424" s="3"/>
      <c r="T424" s="21"/>
      <c r="U424" s="3"/>
      <c r="V424" s="3">
        <f t="shared" si="31"/>
        <v>0</v>
      </c>
      <c r="W424" s="3" t="str">
        <f t="shared" si="32"/>
        <v>Ø16</v>
      </c>
      <c r="X424" s="3" t="str">
        <f t="shared" si="33"/>
        <v>Ø16</v>
      </c>
    </row>
    <row r="425" spans="17:24" x14ac:dyDescent="0.3">
      <c r="Q425" s="3"/>
      <c r="R425" s="3"/>
      <c r="S425" s="3"/>
      <c r="T425" s="21"/>
      <c r="U425" s="3"/>
      <c r="V425" s="3">
        <f t="shared" si="31"/>
        <v>0</v>
      </c>
      <c r="W425" s="3" t="str">
        <f t="shared" si="32"/>
        <v>Ø16</v>
      </c>
      <c r="X425" s="3" t="str">
        <f t="shared" si="33"/>
        <v>Ø16</v>
      </c>
    </row>
    <row r="426" spans="17:24" x14ac:dyDescent="0.3">
      <c r="Q426" s="3"/>
      <c r="R426" s="3"/>
      <c r="S426" s="3"/>
      <c r="T426" s="21"/>
      <c r="U426" s="3"/>
      <c r="V426" s="3">
        <f t="shared" si="31"/>
        <v>0</v>
      </c>
      <c r="W426" s="3" t="str">
        <f t="shared" si="32"/>
        <v>Ø16</v>
      </c>
      <c r="X426" s="3" t="str">
        <f t="shared" si="33"/>
        <v>Ø16</v>
      </c>
    </row>
    <row r="427" spans="17:24" x14ac:dyDescent="0.3">
      <c r="Q427" s="3"/>
      <c r="R427" s="3"/>
      <c r="S427" s="3"/>
      <c r="T427" s="21"/>
      <c r="U427" s="3"/>
      <c r="V427" s="3">
        <f t="shared" si="31"/>
        <v>0</v>
      </c>
      <c r="W427" s="3" t="str">
        <f t="shared" si="32"/>
        <v>Ø16</v>
      </c>
      <c r="X427" s="3" t="str">
        <f t="shared" si="33"/>
        <v>Ø16</v>
      </c>
    </row>
    <row r="428" spans="17:24" x14ac:dyDescent="0.3">
      <c r="Q428" s="3"/>
      <c r="R428" s="3"/>
      <c r="S428" s="3"/>
      <c r="T428" s="21"/>
      <c r="U428" s="3"/>
      <c r="V428" s="3">
        <f t="shared" si="31"/>
        <v>0</v>
      </c>
      <c r="W428" s="3" t="str">
        <f t="shared" si="32"/>
        <v>Ø16</v>
      </c>
      <c r="X428" s="3" t="str">
        <f t="shared" si="33"/>
        <v>Ø16</v>
      </c>
    </row>
    <row r="429" spans="17:24" x14ac:dyDescent="0.3">
      <c r="Q429" s="3"/>
      <c r="R429" s="3"/>
      <c r="S429" s="3"/>
      <c r="T429" s="21"/>
      <c r="U429" s="3"/>
      <c r="V429" s="3">
        <f t="shared" si="31"/>
        <v>0</v>
      </c>
      <c r="W429" s="3" t="str">
        <f t="shared" si="32"/>
        <v>Ø16</v>
      </c>
      <c r="X429" s="3" t="str">
        <f t="shared" si="33"/>
        <v>Ø16</v>
      </c>
    </row>
    <row r="430" spans="17:24" x14ac:dyDescent="0.3">
      <c r="Q430" s="3"/>
      <c r="R430" s="3"/>
      <c r="S430" s="3"/>
      <c r="T430" s="21"/>
      <c r="U430" s="3"/>
      <c r="V430" s="3">
        <f t="shared" si="31"/>
        <v>0</v>
      </c>
      <c r="W430" s="3" t="str">
        <f t="shared" si="32"/>
        <v>Ø16</v>
      </c>
      <c r="X430" s="3" t="str">
        <f t="shared" si="33"/>
        <v>Ø16</v>
      </c>
    </row>
    <row r="431" spans="17:24" x14ac:dyDescent="0.3">
      <c r="Q431" s="3"/>
      <c r="R431" s="3"/>
      <c r="S431" s="3"/>
      <c r="T431" s="21"/>
      <c r="U431" s="3"/>
      <c r="V431" s="3">
        <f t="shared" si="31"/>
        <v>0</v>
      </c>
      <c r="W431" s="3" t="str">
        <f t="shared" si="32"/>
        <v>Ø16</v>
      </c>
      <c r="X431" s="3" t="str">
        <f t="shared" si="33"/>
        <v>Ø16</v>
      </c>
    </row>
    <row r="432" spans="17:24" x14ac:dyDescent="0.3">
      <c r="Q432" s="3"/>
      <c r="R432" s="3"/>
      <c r="S432" s="3"/>
      <c r="T432" s="21"/>
      <c r="U432" s="3"/>
      <c r="V432" s="3">
        <f t="shared" si="31"/>
        <v>0</v>
      </c>
      <c r="W432" s="3" t="str">
        <f t="shared" si="32"/>
        <v>Ø16</v>
      </c>
      <c r="X432" s="3" t="str">
        <f t="shared" si="33"/>
        <v>Ø16</v>
      </c>
    </row>
    <row r="433" spans="17:24" x14ac:dyDescent="0.3">
      <c r="Q433" s="3"/>
      <c r="R433" s="3"/>
      <c r="S433" s="3"/>
      <c r="T433" s="21"/>
      <c r="U433" s="3"/>
      <c r="V433" s="3">
        <f t="shared" si="31"/>
        <v>0</v>
      </c>
      <c r="W433" s="3" t="str">
        <f t="shared" si="32"/>
        <v>Ø16</v>
      </c>
      <c r="X433" s="3" t="str">
        <f t="shared" si="33"/>
        <v>Ø16</v>
      </c>
    </row>
    <row r="434" spans="17:24" x14ac:dyDescent="0.3">
      <c r="Q434" s="3"/>
      <c r="R434" s="3"/>
      <c r="S434" s="3"/>
      <c r="T434" s="21"/>
      <c r="U434" s="3"/>
      <c r="V434" s="3">
        <f t="shared" si="31"/>
        <v>0</v>
      </c>
      <c r="W434" s="3" t="str">
        <f t="shared" si="32"/>
        <v>Ø16</v>
      </c>
      <c r="X434" s="3" t="str">
        <f t="shared" si="33"/>
        <v>Ø16</v>
      </c>
    </row>
    <row r="435" spans="17:24" x14ac:dyDescent="0.3">
      <c r="Q435" s="3"/>
      <c r="R435" s="3"/>
      <c r="S435" s="3"/>
      <c r="T435" s="21"/>
      <c r="U435" s="3"/>
      <c r="V435" s="3">
        <f t="shared" si="31"/>
        <v>0</v>
      </c>
      <c r="W435" s="3" t="str">
        <f t="shared" si="32"/>
        <v>Ø16</v>
      </c>
      <c r="X435" s="3" t="str">
        <f t="shared" si="33"/>
        <v>Ø16</v>
      </c>
    </row>
    <row r="436" spans="17:24" x14ac:dyDescent="0.3">
      <c r="Q436" s="3"/>
      <c r="R436" s="3"/>
      <c r="S436" s="3"/>
      <c r="T436" s="21"/>
      <c r="U436" s="3"/>
      <c r="V436" s="3">
        <f t="shared" si="31"/>
        <v>0</v>
      </c>
      <c r="W436" s="3" t="str">
        <f t="shared" si="32"/>
        <v>Ø16</v>
      </c>
      <c r="X436" s="3" t="str">
        <f t="shared" si="33"/>
        <v>Ø16</v>
      </c>
    </row>
    <row r="437" spans="17:24" x14ac:dyDescent="0.3">
      <c r="Q437" s="3"/>
      <c r="R437" s="3"/>
      <c r="S437" s="3"/>
      <c r="T437" s="21"/>
      <c r="U437" s="3"/>
      <c r="V437" s="3">
        <f t="shared" si="31"/>
        <v>0</v>
      </c>
      <c r="W437" s="3" t="str">
        <f t="shared" si="32"/>
        <v>Ø16</v>
      </c>
      <c r="X437" s="3" t="str">
        <f t="shared" si="33"/>
        <v>Ø16</v>
      </c>
    </row>
    <row r="438" spans="17:24" x14ac:dyDescent="0.3">
      <c r="Q438" s="3"/>
      <c r="R438" s="3"/>
      <c r="S438" s="3"/>
      <c r="T438" s="21"/>
      <c r="U438" s="3"/>
      <c r="V438" s="3">
        <f t="shared" si="31"/>
        <v>0</v>
      </c>
      <c r="W438" s="3" t="str">
        <f t="shared" si="32"/>
        <v>Ø16</v>
      </c>
      <c r="X438" s="3" t="str">
        <f t="shared" si="33"/>
        <v>Ø16</v>
      </c>
    </row>
    <row r="439" spans="17:24" x14ac:dyDescent="0.3">
      <c r="Q439" s="3"/>
      <c r="R439" s="3"/>
      <c r="S439" s="3"/>
      <c r="T439" s="21"/>
      <c r="U439" s="3"/>
      <c r="V439" s="3">
        <f t="shared" si="31"/>
        <v>0</v>
      </c>
      <c r="W439" s="3" t="str">
        <f t="shared" si="32"/>
        <v>Ø16</v>
      </c>
      <c r="X439" s="3" t="str">
        <f t="shared" si="33"/>
        <v>Ø16</v>
      </c>
    </row>
    <row r="440" spans="17:24" x14ac:dyDescent="0.3">
      <c r="Q440" s="3"/>
      <c r="R440" s="3"/>
      <c r="S440" s="3"/>
      <c r="T440" s="21"/>
      <c r="U440" s="3"/>
      <c r="V440" s="3">
        <f t="shared" si="31"/>
        <v>0</v>
      </c>
      <c r="W440" s="3" t="str">
        <f t="shared" si="32"/>
        <v>Ø16</v>
      </c>
      <c r="X440" s="3" t="str">
        <f t="shared" si="33"/>
        <v>Ø16</v>
      </c>
    </row>
    <row r="441" spans="17:24" x14ac:dyDescent="0.3">
      <c r="Q441" s="3"/>
      <c r="R441" s="3"/>
      <c r="S441" s="3"/>
      <c r="T441" s="21"/>
      <c r="U441" s="3"/>
      <c r="V441" s="3">
        <f t="shared" si="31"/>
        <v>0</v>
      </c>
      <c r="W441" s="3" t="str">
        <f t="shared" si="32"/>
        <v>Ø16</v>
      </c>
      <c r="X441" s="3" t="str">
        <f t="shared" si="33"/>
        <v>Ø16</v>
      </c>
    </row>
    <row r="442" spans="17:24" x14ac:dyDescent="0.3">
      <c r="Q442" s="3"/>
      <c r="R442" s="3"/>
      <c r="S442" s="3"/>
      <c r="T442" s="21"/>
      <c r="U442" s="3"/>
      <c r="V442" s="3">
        <f t="shared" si="31"/>
        <v>0</v>
      </c>
      <c r="W442" s="3" t="str">
        <f t="shared" si="32"/>
        <v>Ø16</v>
      </c>
      <c r="X442" s="3" t="str">
        <f t="shared" si="33"/>
        <v>Ø16</v>
      </c>
    </row>
    <row r="443" spans="17:24" x14ac:dyDescent="0.3">
      <c r="Q443" s="3"/>
      <c r="R443" s="3"/>
      <c r="S443" s="3"/>
      <c r="T443" s="21"/>
      <c r="U443" s="3"/>
      <c r="V443" s="3">
        <f t="shared" si="31"/>
        <v>0</v>
      </c>
      <c r="W443" s="3" t="str">
        <f t="shared" si="32"/>
        <v>Ø16</v>
      </c>
      <c r="X443" s="3" t="str">
        <f t="shared" si="33"/>
        <v>Ø16</v>
      </c>
    </row>
    <row r="444" spans="17:24" x14ac:dyDescent="0.3">
      <c r="Q444" s="3"/>
      <c r="R444" s="3"/>
      <c r="S444" s="3"/>
      <c r="T444" s="21"/>
      <c r="U444" s="3"/>
      <c r="V444" s="3">
        <f t="shared" si="31"/>
        <v>0</v>
      </c>
      <c r="W444" s="3" t="str">
        <f t="shared" si="32"/>
        <v>Ø16</v>
      </c>
      <c r="X444" s="3" t="str">
        <f t="shared" si="33"/>
        <v>Ø16</v>
      </c>
    </row>
    <row r="445" spans="17:24" x14ac:dyDescent="0.3">
      <c r="Q445" s="3"/>
      <c r="R445" s="3"/>
      <c r="S445" s="3"/>
      <c r="T445" s="21"/>
      <c r="U445" s="3"/>
      <c r="V445" s="3">
        <f t="shared" si="31"/>
        <v>0</v>
      </c>
      <c r="W445" s="3" t="str">
        <f t="shared" si="32"/>
        <v>Ø16</v>
      </c>
      <c r="X445" s="3" t="str">
        <f t="shared" si="33"/>
        <v>Ø16</v>
      </c>
    </row>
    <row r="446" spans="17:24" x14ac:dyDescent="0.3">
      <c r="Q446" s="3"/>
      <c r="R446" s="3"/>
      <c r="S446" s="3"/>
      <c r="T446" s="21"/>
      <c r="U446" s="3"/>
      <c r="V446" s="3">
        <f t="shared" si="31"/>
        <v>0</v>
      </c>
      <c r="W446" s="3" t="str">
        <f t="shared" si="32"/>
        <v>Ø16</v>
      </c>
      <c r="X446" s="3" t="str">
        <f t="shared" si="33"/>
        <v>Ø16</v>
      </c>
    </row>
    <row r="447" spans="17:24" x14ac:dyDescent="0.3">
      <c r="Q447" s="3"/>
      <c r="R447" s="3"/>
      <c r="S447" s="3"/>
      <c r="T447" s="21"/>
      <c r="U447" s="3"/>
      <c r="V447" s="3">
        <f t="shared" si="31"/>
        <v>0</v>
      </c>
      <c r="W447" s="3" t="str">
        <f t="shared" si="32"/>
        <v>Ø16</v>
      </c>
      <c r="X447" s="3" t="str">
        <f t="shared" si="33"/>
        <v>Ø16</v>
      </c>
    </row>
    <row r="448" spans="17:24" x14ac:dyDescent="0.3">
      <c r="Q448" s="3"/>
      <c r="R448" s="3"/>
      <c r="S448" s="3"/>
      <c r="T448" s="21"/>
      <c r="U448" s="3"/>
      <c r="V448" s="3">
        <f t="shared" si="31"/>
        <v>0</v>
      </c>
      <c r="W448" s="3" t="str">
        <f t="shared" si="32"/>
        <v>Ø16</v>
      </c>
      <c r="X448" s="3" t="str">
        <f t="shared" si="33"/>
        <v>Ø16</v>
      </c>
    </row>
    <row r="449" spans="17:24" x14ac:dyDescent="0.3">
      <c r="Q449" s="3"/>
      <c r="R449" s="3"/>
      <c r="S449" s="3"/>
      <c r="T449" s="21"/>
      <c r="U449" s="3"/>
      <c r="V449" s="3">
        <f t="shared" si="31"/>
        <v>0</v>
      </c>
      <c r="W449" s="3" t="str">
        <f t="shared" si="32"/>
        <v>Ø16</v>
      </c>
      <c r="X449" s="3" t="str">
        <f t="shared" si="33"/>
        <v>Ø16</v>
      </c>
    </row>
    <row r="450" spans="17:24" x14ac:dyDescent="0.3">
      <c r="Q450" s="3"/>
      <c r="R450" s="3"/>
      <c r="S450" s="3"/>
      <c r="T450" s="21"/>
      <c r="U450" s="3"/>
      <c r="V450" s="3">
        <f t="shared" si="31"/>
        <v>0</v>
      </c>
      <c r="W450" s="3" t="str">
        <f t="shared" si="32"/>
        <v>Ø16</v>
      </c>
      <c r="X450" s="3" t="str">
        <f t="shared" si="33"/>
        <v>Ø16</v>
      </c>
    </row>
    <row r="451" spans="17:24" x14ac:dyDescent="0.3">
      <c r="Q451" s="3"/>
      <c r="R451" s="3"/>
      <c r="S451" s="3"/>
      <c r="T451" s="21"/>
      <c r="U451" s="3"/>
      <c r="V451" s="3">
        <f t="shared" si="31"/>
        <v>0</v>
      </c>
      <c r="W451" s="3" t="str">
        <f t="shared" si="32"/>
        <v>Ø16</v>
      </c>
      <c r="X451" s="3" t="str">
        <f t="shared" si="33"/>
        <v>Ø16</v>
      </c>
    </row>
    <row r="452" spans="17:24" x14ac:dyDescent="0.3">
      <c r="Q452" s="3"/>
      <c r="R452" s="3"/>
      <c r="S452" s="3"/>
      <c r="T452" s="21"/>
      <c r="U452" s="3"/>
      <c r="V452" s="3">
        <f t="shared" si="31"/>
        <v>0</v>
      </c>
      <c r="W452" s="3" t="str">
        <f t="shared" si="32"/>
        <v>Ø16</v>
      </c>
      <c r="X452" s="3" t="str">
        <f t="shared" si="33"/>
        <v>Ø16</v>
      </c>
    </row>
    <row r="453" spans="17:24" x14ac:dyDescent="0.3">
      <c r="Q453" s="3"/>
      <c r="R453" s="3"/>
      <c r="S453" s="3"/>
      <c r="T453" s="21"/>
      <c r="U453" s="3"/>
      <c r="V453" s="3">
        <f t="shared" ref="V453:V503" si="34">U453*1.2</f>
        <v>0</v>
      </c>
      <c r="W453" s="3" t="str">
        <f t="shared" ref="W453:W503" si="35">"Ø"&amp;VLOOKUP(V453,$Z$4:$AA$10,2,TRUE)</f>
        <v>Ø16</v>
      </c>
      <c r="X453" s="3" t="str">
        <f t="shared" ref="X453:X503" si="36">"Ø"&amp;VLOOKUP(V453,$AD$4:$AE$10,2,TRUE)</f>
        <v>Ø16</v>
      </c>
    </row>
    <row r="454" spans="17:24" x14ac:dyDescent="0.3">
      <c r="Q454" s="3"/>
      <c r="R454" s="3"/>
      <c r="S454" s="3"/>
      <c r="T454" s="21"/>
      <c r="U454" s="3"/>
      <c r="V454" s="3">
        <f t="shared" si="34"/>
        <v>0</v>
      </c>
      <c r="W454" s="3" t="str">
        <f t="shared" si="35"/>
        <v>Ø16</v>
      </c>
      <c r="X454" s="3" t="str">
        <f t="shared" si="36"/>
        <v>Ø16</v>
      </c>
    </row>
    <row r="455" spans="17:24" x14ac:dyDescent="0.3">
      <c r="Q455" s="3"/>
      <c r="R455" s="3"/>
      <c r="S455" s="3"/>
      <c r="T455" s="21"/>
      <c r="U455" s="3"/>
      <c r="V455" s="3">
        <f t="shared" si="34"/>
        <v>0</v>
      </c>
      <c r="W455" s="3" t="str">
        <f t="shared" si="35"/>
        <v>Ø16</v>
      </c>
      <c r="X455" s="3" t="str">
        <f t="shared" si="36"/>
        <v>Ø16</v>
      </c>
    </row>
    <row r="456" spans="17:24" x14ac:dyDescent="0.3">
      <c r="Q456" s="3"/>
      <c r="R456" s="3"/>
      <c r="S456" s="3"/>
      <c r="T456" s="21"/>
      <c r="U456" s="3"/>
      <c r="V456" s="3">
        <f t="shared" si="34"/>
        <v>0</v>
      </c>
      <c r="W456" s="3" t="str">
        <f t="shared" si="35"/>
        <v>Ø16</v>
      </c>
      <c r="X456" s="3" t="str">
        <f t="shared" si="36"/>
        <v>Ø16</v>
      </c>
    </row>
    <row r="457" spans="17:24" x14ac:dyDescent="0.3">
      <c r="Q457" s="3"/>
      <c r="R457" s="3"/>
      <c r="S457" s="3"/>
      <c r="T457" s="21"/>
      <c r="U457" s="3"/>
      <c r="V457" s="3">
        <f t="shared" si="34"/>
        <v>0</v>
      </c>
      <c r="W457" s="3" t="str">
        <f t="shared" si="35"/>
        <v>Ø16</v>
      </c>
      <c r="X457" s="3" t="str">
        <f t="shared" si="36"/>
        <v>Ø16</v>
      </c>
    </row>
    <row r="458" spans="17:24" x14ac:dyDescent="0.3">
      <c r="Q458" s="3"/>
      <c r="R458" s="3"/>
      <c r="S458" s="3"/>
      <c r="T458" s="21"/>
      <c r="U458" s="3"/>
      <c r="V458" s="3">
        <f t="shared" si="34"/>
        <v>0</v>
      </c>
      <c r="W458" s="3" t="str">
        <f t="shared" si="35"/>
        <v>Ø16</v>
      </c>
      <c r="X458" s="3" t="str">
        <f t="shared" si="36"/>
        <v>Ø16</v>
      </c>
    </row>
    <row r="459" spans="17:24" x14ac:dyDescent="0.3">
      <c r="Q459" s="3"/>
      <c r="R459" s="3"/>
      <c r="S459" s="3"/>
      <c r="T459" s="21"/>
      <c r="U459" s="3"/>
      <c r="V459" s="3">
        <f t="shared" si="34"/>
        <v>0</v>
      </c>
      <c r="W459" s="3" t="str">
        <f t="shared" si="35"/>
        <v>Ø16</v>
      </c>
      <c r="X459" s="3" t="str">
        <f t="shared" si="36"/>
        <v>Ø16</v>
      </c>
    </row>
    <row r="460" spans="17:24" x14ac:dyDescent="0.3">
      <c r="Q460" s="3"/>
      <c r="R460" s="3"/>
      <c r="S460" s="3"/>
      <c r="T460" s="21"/>
      <c r="U460" s="3"/>
      <c r="V460" s="3">
        <f t="shared" si="34"/>
        <v>0</v>
      </c>
      <c r="W460" s="3" t="str">
        <f t="shared" si="35"/>
        <v>Ø16</v>
      </c>
      <c r="X460" s="3" t="str">
        <f t="shared" si="36"/>
        <v>Ø16</v>
      </c>
    </row>
    <row r="461" spans="17:24" x14ac:dyDescent="0.3">
      <c r="Q461" s="3"/>
      <c r="R461" s="3"/>
      <c r="S461" s="3"/>
      <c r="T461" s="21"/>
      <c r="U461" s="3"/>
      <c r="V461" s="3">
        <f t="shared" si="34"/>
        <v>0</v>
      </c>
      <c r="W461" s="3" t="str">
        <f t="shared" si="35"/>
        <v>Ø16</v>
      </c>
      <c r="X461" s="3" t="str">
        <f t="shared" si="36"/>
        <v>Ø16</v>
      </c>
    </row>
    <row r="462" spans="17:24" x14ac:dyDescent="0.3">
      <c r="Q462" s="3"/>
      <c r="R462" s="3"/>
      <c r="S462" s="3"/>
      <c r="T462" s="21"/>
      <c r="U462" s="3"/>
      <c r="V462" s="3">
        <f t="shared" si="34"/>
        <v>0</v>
      </c>
      <c r="W462" s="3" t="str">
        <f t="shared" si="35"/>
        <v>Ø16</v>
      </c>
      <c r="X462" s="3" t="str">
        <f t="shared" si="36"/>
        <v>Ø16</v>
      </c>
    </row>
    <row r="463" spans="17:24" x14ac:dyDescent="0.3">
      <c r="Q463" s="3"/>
      <c r="R463" s="3"/>
      <c r="S463" s="3"/>
      <c r="T463" s="21"/>
      <c r="U463" s="3"/>
      <c r="V463" s="3">
        <f t="shared" si="34"/>
        <v>0</v>
      </c>
      <c r="W463" s="3" t="str">
        <f t="shared" si="35"/>
        <v>Ø16</v>
      </c>
      <c r="X463" s="3" t="str">
        <f t="shared" si="36"/>
        <v>Ø16</v>
      </c>
    </row>
    <row r="464" spans="17:24" x14ac:dyDescent="0.3">
      <c r="Q464" s="3"/>
      <c r="R464" s="3"/>
      <c r="S464" s="3"/>
      <c r="T464" s="21"/>
      <c r="U464" s="3"/>
      <c r="V464" s="3">
        <f t="shared" si="34"/>
        <v>0</v>
      </c>
      <c r="W464" s="3" t="str">
        <f t="shared" si="35"/>
        <v>Ø16</v>
      </c>
      <c r="X464" s="3" t="str">
        <f t="shared" si="36"/>
        <v>Ø16</v>
      </c>
    </row>
    <row r="465" spans="17:24" x14ac:dyDescent="0.3">
      <c r="Q465" s="3"/>
      <c r="R465" s="3"/>
      <c r="S465" s="3"/>
      <c r="T465" s="21"/>
      <c r="U465" s="3"/>
      <c r="V465" s="3">
        <f t="shared" si="34"/>
        <v>0</v>
      </c>
      <c r="W465" s="3" t="str">
        <f t="shared" si="35"/>
        <v>Ø16</v>
      </c>
      <c r="X465" s="3" t="str">
        <f t="shared" si="36"/>
        <v>Ø16</v>
      </c>
    </row>
    <row r="466" spans="17:24" x14ac:dyDescent="0.3">
      <c r="Q466" s="3"/>
      <c r="R466" s="3"/>
      <c r="S466" s="3"/>
      <c r="T466" s="21"/>
      <c r="U466" s="3"/>
      <c r="V466" s="3">
        <f t="shared" si="34"/>
        <v>0</v>
      </c>
      <c r="W466" s="3" t="str">
        <f t="shared" si="35"/>
        <v>Ø16</v>
      </c>
      <c r="X466" s="3" t="str">
        <f t="shared" si="36"/>
        <v>Ø16</v>
      </c>
    </row>
    <row r="467" spans="17:24" x14ac:dyDescent="0.3">
      <c r="Q467" s="3"/>
      <c r="R467" s="3"/>
      <c r="S467" s="3"/>
      <c r="T467" s="21"/>
      <c r="U467" s="3"/>
      <c r="V467" s="3">
        <f t="shared" si="34"/>
        <v>0</v>
      </c>
      <c r="W467" s="3" t="str">
        <f t="shared" si="35"/>
        <v>Ø16</v>
      </c>
      <c r="X467" s="3" t="str">
        <f t="shared" si="36"/>
        <v>Ø16</v>
      </c>
    </row>
    <row r="468" spans="17:24" x14ac:dyDescent="0.3">
      <c r="Q468" s="3"/>
      <c r="R468" s="3"/>
      <c r="S468" s="3"/>
      <c r="T468" s="21"/>
      <c r="U468" s="3"/>
      <c r="V468" s="3">
        <f t="shared" si="34"/>
        <v>0</v>
      </c>
      <c r="W468" s="3" t="str">
        <f t="shared" si="35"/>
        <v>Ø16</v>
      </c>
      <c r="X468" s="3" t="str">
        <f t="shared" si="36"/>
        <v>Ø16</v>
      </c>
    </row>
    <row r="469" spans="17:24" x14ac:dyDescent="0.3">
      <c r="Q469" s="3"/>
      <c r="R469" s="3"/>
      <c r="S469" s="3"/>
      <c r="T469" s="21"/>
      <c r="U469" s="3"/>
      <c r="V469" s="3">
        <f t="shared" si="34"/>
        <v>0</v>
      </c>
      <c r="W469" s="3" t="str">
        <f t="shared" si="35"/>
        <v>Ø16</v>
      </c>
      <c r="X469" s="3" t="str">
        <f t="shared" si="36"/>
        <v>Ø16</v>
      </c>
    </row>
    <row r="470" spans="17:24" x14ac:dyDescent="0.3">
      <c r="Q470" s="3"/>
      <c r="R470" s="3"/>
      <c r="S470" s="3"/>
      <c r="T470" s="21"/>
      <c r="U470" s="3"/>
      <c r="V470" s="3">
        <f t="shared" si="34"/>
        <v>0</v>
      </c>
      <c r="W470" s="3" t="str">
        <f t="shared" si="35"/>
        <v>Ø16</v>
      </c>
      <c r="X470" s="3" t="str">
        <f t="shared" si="36"/>
        <v>Ø16</v>
      </c>
    </row>
    <row r="471" spans="17:24" x14ac:dyDescent="0.3">
      <c r="Q471" s="3"/>
      <c r="R471" s="3"/>
      <c r="S471" s="3"/>
      <c r="T471" s="21"/>
      <c r="U471" s="3"/>
      <c r="V471" s="3">
        <f t="shared" si="34"/>
        <v>0</v>
      </c>
      <c r="W471" s="3" t="str">
        <f t="shared" si="35"/>
        <v>Ø16</v>
      </c>
      <c r="X471" s="3" t="str">
        <f t="shared" si="36"/>
        <v>Ø16</v>
      </c>
    </row>
    <row r="472" spans="17:24" x14ac:dyDescent="0.3">
      <c r="Q472" s="3"/>
      <c r="R472" s="3"/>
      <c r="S472" s="3"/>
      <c r="T472" s="21"/>
      <c r="U472" s="3"/>
      <c r="V472" s="3">
        <f t="shared" si="34"/>
        <v>0</v>
      </c>
      <c r="W472" s="3" t="str">
        <f t="shared" si="35"/>
        <v>Ø16</v>
      </c>
      <c r="X472" s="3" t="str">
        <f t="shared" si="36"/>
        <v>Ø16</v>
      </c>
    </row>
    <row r="473" spans="17:24" x14ac:dyDescent="0.3">
      <c r="Q473" s="3"/>
      <c r="R473" s="3"/>
      <c r="S473" s="3"/>
      <c r="T473" s="21"/>
      <c r="U473" s="3"/>
      <c r="V473" s="3">
        <f t="shared" si="34"/>
        <v>0</v>
      </c>
      <c r="W473" s="3" t="str">
        <f t="shared" si="35"/>
        <v>Ø16</v>
      </c>
      <c r="X473" s="3" t="str">
        <f t="shared" si="36"/>
        <v>Ø16</v>
      </c>
    </row>
    <row r="474" spans="17:24" x14ac:dyDescent="0.3">
      <c r="Q474" s="3"/>
      <c r="R474" s="3"/>
      <c r="S474" s="3"/>
      <c r="T474" s="21"/>
      <c r="U474" s="3"/>
      <c r="V474" s="3">
        <f t="shared" si="34"/>
        <v>0</v>
      </c>
      <c r="W474" s="3" t="str">
        <f t="shared" si="35"/>
        <v>Ø16</v>
      </c>
      <c r="X474" s="3" t="str">
        <f t="shared" si="36"/>
        <v>Ø16</v>
      </c>
    </row>
    <row r="475" spans="17:24" x14ac:dyDescent="0.3">
      <c r="Q475" s="3"/>
      <c r="R475" s="3"/>
      <c r="S475" s="3"/>
      <c r="T475" s="21"/>
      <c r="U475" s="3"/>
      <c r="V475" s="3">
        <f t="shared" si="34"/>
        <v>0</v>
      </c>
      <c r="W475" s="3" t="str">
        <f t="shared" si="35"/>
        <v>Ø16</v>
      </c>
      <c r="X475" s="3" t="str">
        <f t="shared" si="36"/>
        <v>Ø16</v>
      </c>
    </row>
    <row r="476" spans="17:24" x14ac:dyDescent="0.3">
      <c r="Q476" s="3"/>
      <c r="R476" s="3"/>
      <c r="S476" s="3"/>
      <c r="T476" s="21"/>
      <c r="U476" s="3"/>
      <c r="V476" s="3">
        <f t="shared" si="34"/>
        <v>0</v>
      </c>
      <c r="W476" s="3" t="str">
        <f t="shared" si="35"/>
        <v>Ø16</v>
      </c>
      <c r="X476" s="3" t="str">
        <f t="shared" si="36"/>
        <v>Ø16</v>
      </c>
    </row>
    <row r="477" spans="17:24" x14ac:dyDescent="0.3">
      <c r="Q477" s="3"/>
      <c r="R477" s="3"/>
      <c r="S477" s="3"/>
      <c r="T477" s="21"/>
      <c r="U477" s="3"/>
      <c r="V477" s="3">
        <f t="shared" si="34"/>
        <v>0</v>
      </c>
      <c r="W477" s="3" t="str">
        <f t="shared" si="35"/>
        <v>Ø16</v>
      </c>
      <c r="X477" s="3" t="str">
        <f t="shared" si="36"/>
        <v>Ø16</v>
      </c>
    </row>
    <row r="478" spans="17:24" x14ac:dyDescent="0.3">
      <c r="Q478" s="3"/>
      <c r="R478" s="3"/>
      <c r="S478" s="3"/>
      <c r="T478" s="21"/>
      <c r="U478" s="3"/>
      <c r="V478" s="3">
        <f t="shared" si="34"/>
        <v>0</v>
      </c>
      <c r="W478" s="3" t="str">
        <f t="shared" si="35"/>
        <v>Ø16</v>
      </c>
      <c r="X478" s="3" t="str">
        <f t="shared" si="36"/>
        <v>Ø16</v>
      </c>
    </row>
    <row r="479" spans="17:24" x14ac:dyDescent="0.3">
      <c r="Q479" s="3"/>
      <c r="R479" s="3"/>
      <c r="S479" s="3"/>
      <c r="T479" s="21"/>
      <c r="U479" s="3"/>
      <c r="V479" s="3">
        <f t="shared" si="34"/>
        <v>0</v>
      </c>
      <c r="W479" s="3" t="str">
        <f t="shared" si="35"/>
        <v>Ø16</v>
      </c>
      <c r="X479" s="3" t="str">
        <f t="shared" si="36"/>
        <v>Ø16</v>
      </c>
    </row>
    <row r="480" spans="17:24" x14ac:dyDescent="0.3">
      <c r="Q480" s="3"/>
      <c r="R480" s="3"/>
      <c r="S480" s="3"/>
      <c r="T480" s="21"/>
      <c r="U480" s="3"/>
      <c r="V480" s="3">
        <f t="shared" si="34"/>
        <v>0</v>
      </c>
      <c r="W480" s="3" t="str">
        <f t="shared" si="35"/>
        <v>Ø16</v>
      </c>
      <c r="X480" s="3" t="str">
        <f t="shared" si="36"/>
        <v>Ø16</v>
      </c>
    </row>
    <row r="481" spans="17:24" x14ac:dyDescent="0.3">
      <c r="Q481" s="3"/>
      <c r="R481" s="3"/>
      <c r="S481" s="3"/>
      <c r="T481" s="21"/>
      <c r="U481" s="3"/>
      <c r="V481" s="3">
        <f t="shared" si="34"/>
        <v>0</v>
      </c>
      <c r="W481" s="3" t="str">
        <f t="shared" si="35"/>
        <v>Ø16</v>
      </c>
      <c r="X481" s="3" t="str">
        <f t="shared" si="36"/>
        <v>Ø16</v>
      </c>
    </row>
    <row r="482" spans="17:24" x14ac:dyDescent="0.3">
      <c r="Q482" s="3"/>
      <c r="R482" s="3"/>
      <c r="S482" s="3"/>
      <c r="T482" s="21"/>
      <c r="U482" s="3"/>
      <c r="V482" s="3">
        <f t="shared" si="34"/>
        <v>0</v>
      </c>
      <c r="W482" s="3" t="str">
        <f t="shared" si="35"/>
        <v>Ø16</v>
      </c>
      <c r="X482" s="3" t="str">
        <f t="shared" si="36"/>
        <v>Ø16</v>
      </c>
    </row>
    <row r="483" spans="17:24" x14ac:dyDescent="0.3">
      <c r="Q483" s="3"/>
      <c r="R483" s="3"/>
      <c r="S483" s="3"/>
      <c r="T483" s="21"/>
      <c r="U483" s="3"/>
      <c r="V483" s="3">
        <f t="shared" si="34"/>
        <v>0</v>
      </c>
      <c r="W483" s="3" t="str">
        <f t="shared" si="35"/>
        <v>Ø16</v>
      </c>
      <c r="X483" s="3" t="str">
        <f t="shared" si="36"/>
        <v>Ø16</v>
      </c>
    </row>
    <row r="484" spans="17:24" x14ac:dyDescent="0.3">
      <c r="Q484" s="3"/>
      <c r="R484" s="3"/>
      <c r="S484" s="3"/>
      <c r="T484" s="21"/>
      <c r="U484" s="3"/>
      <c r="V484" s="3">
        <f t="shared" si="34"/>
        <v>0</v>
      </c>
      <c r="W484" s="3" t="str">
        <f t="shared" si="35"/>
        <v>Ø16</v>
      </c>
      <c r="X484" s="3" t="str">
        <f t="shared" si="36"/>
        <v>Ø16</v>
      </c>
    </row>
    <row r="485" spans="17:24" x14ac:dyDescent="0.3">
      <c r="Q485" s="3"/>
      <c r="R485" s="3"/>
      <c r="S485" s="3"/>
      <c r="T485" s="21"/>
      <c r="U485" s="3"/>
      <c r="V485" s="3">
        <f t="shared" si="34"/>
        <v>0</v>
      </c>
      <c r="W485" s="3" t="str">
        <f t="shared" si="35"/>
        <v>Ø16</v>
      </c>
      <c r="X485" s="3" t="str">
        <f t="shared" si="36"/>
        <v>Ø16</v>
      </c>
    </row>
    <row r="486" spans="17:24" x14ac:dyDescent="0.3">
      <c r="Q486" s="3"/>
      <c r="R486" s="3"/>
      <c r="S486" s="3"/>
      <c r="T486" s="21"/>
      <c r="U486" s="3"/>
      <c r="V486" s="3">
        <f t="shared" si="34"/>
        <v>0</v>
      </c>
      <c r="W486" s="3" t="str">
        <f t="shared" si="35"/>
        <v>Ø16</v>
      </c>
      <c r="X486" s="3" t="str">
        <f t="shared" si="36"/>
        <v>Ø16</v>
      </c>
    </row>
    <row r="487" spans="17:24" x14ac:dyDescent="0.3">
      <c r="Q487" s="3"/>
      <c r="R487" s="3"/>
      <c r="S487" s="3"/>
      <c r="T487" s="21"/>
      <c r="U487" s="3"/>
      <c r="V487" s="3">
        <f t="shared" si="34"/>
        <v>0</v>
      </c>
      <c r="W487" s="3" t="str">
        <f t="shared" si="35"/>
        <v>Ø16</v>
      </c>
      <c r="X487" s="3" t="str">
        <f t="shared" si="36"/>
        <v>Ø16</v>
      </c>
    </row>
    <row r="488" spans="17:24" x14ac:dyDescent="0.3">
      <c r="Q488" s="3"/>
      <c r="R488" s="3"/>
      <c r="S488" s="3"/>
      <c r="T488" s="21"/>
      <c r="U488" s="3"/>
      <c r="V488" s="3">
        <f t="shared" si="34"/>
        <v>0</v>
      </c>
      <c r="W488" s="3" t="str">
        <f t="shared" si="35"/>
        <v>Ø16</v>
      </c>
      <c r="X488" s="3" t="str">
        <f t="shared" si="36"/>
        <v>Ø16</v>
      </c>
    </row>
    <row r="489" spans="17:24" x14ac:dyDescent="0.3">
      <c r="Q489" s="3"/>
      <c r="R489" s="3"/>
      <c r="S489" s="3"/>
      <c r="T489" s="21"/>
      <c r="U489" s="3"/>
      <c r="V489" s="3">
        <f t="shared" si="34"/>
        <v>0</v>
      </c>
      <c r="W489" s="3" t="str">
        <f t="shared" si="35"/>
        <v>Ø16</v>
      </c>
      <c r="X489" s="3" t="str">
        <f t="shared" si="36"/>
        <v>Ø16</v>
      </c>
    </row>
    <row r="490" spans="17:24" x14ac:dyDescent="0.3">
      <c r="Q490" s="3"/>
      <c r="R490" s="3"/>
      <c r="S490" s="3"/>
      <c r="T490" s="21"/>
      <c r="U490" s="3"/>
      <c r="V490" s="3">
        <f t="shared" si="34"/>
        <v>0</v>
      </c>
      <c r="W490" s="3" t="str">
        <f t="shared" si="35"/>
        <v>Ø16</v>
      </c>
      <c r="X490" s="3" t="str">
        <f t="shared" si="36"/>
        <v>Ø16</v>
      </c>
    </row>
    <row r="491" spans="17:24" x14ac:dyDescent="0.3">
      <c r="Q491" s="3"/>
      <c r="R491" s="3"/>
      <c r="S491" s="3"/>
      <c r="T491" s="21"/>
      <c r="U491" s="3"/>
      <c r="V491" s="3">
        <f t="shared" si="34"/>
        <v>0</v>
      </c>
      <c r="W491" s="3" t="str">
        <f t="shared" si="35"/>
        <v>Ø16</v>
      </c>
      <c r="X491" s="3" t="str">
        <f t="shared" si="36"/>
        <v>Ø16</v>
      </c>
    </row>
    <row r="492" spans="17:24" x14ac:dyDescent="0.3">
      <c r="Q492" s="3"/>
      <c r="R492" s="3"/>
      <c r="S492" s="3"/>
      <c r="T492" s="21"/>
      <c r="U492" s="3"/>
      <c r="V492" s="3">
        <f t="shared" si="34"/>
        <v>0</v>
      </c>
      <c r="W492" s="3" t="str">
        <f t="shared" si="35"/>
        <v>Ø16</v>
      </c>
      <c r="X492" s="3" t="str">
        <f t="shared" si="36"/>
        <v>Ø16</v>
      </c>
    </row>
    <row r="493" spans="17:24" x14ac:dyDescent="0.3">
      <c r="Q493" s="3"/>
      <c r="R493" s="3"/>
      <c r="S493" s="3"/>
      <c r="T493" s="21"/>
      <c r="U493" s="3"/>
      <c r="V493" s="3">
        <f t="shared" si="34"/>
        <v>0</v>
      </c>
      <c r="W493" s="3" t="str">
        <f t="shared" si="35"/>
        <v>Ø16</v>
      </c>
      <c r="X493" s="3" t="str">
        <f t="shared" si="36"/>
        <v>Ø16</v>
      </c>
    </row>
    <row r="494" spans="17:24" x14ac:dyDescent="0.3">
      <c r="Q494" s="3"/>
      <c r="R494" s="3"/>
      <c r="S494" s="3"/>
      <c r="T494" s="21"/>
      <c r="U494" s="3"/>
      <c r="V494" s="3">
        <f t="shared" si="34"/>
        <v>0</v>
      </c>
      <c r="W494" s="3" t="str">
        <f t="shared" si="35"/>
        <v>Ø16</v>
      </c>
      <c r="X494" s="3" t="str">
        <f t="shared" si="36"/>
        <v>Ø16</v>
      </c>
    </row>
    <row r="495" spans="17:24" x14ac:dyDescent="0.3">
      <c r="Q495" s="3"/>
      <c r="R495" s="3"/>
      <c r="S495" s="3"/>
      <c r="T495" s="21"/>
      <c r="U495" s="3"/>
      <c r="V495" s="3">
        <f t="shared" si="34"/>
        <v>0</v>
      </c>
      <c r="W495" s="3" t="str">
        <f t="shared" si="35"/>
        <v>Ø16</v>
      </c>
      <c r="X495" s="3" t="str">
        <f t="shared" si="36"/>
        <v>Ø16</v>
      </c>
    </row>
    <row r="496" spans="17:24" x14ac:dyDescent="0.3">
      <c r="Q496" s="3"/>
      <c r="R496" s="3"/>
      <c r="S496" s="3"/>
      <c r="T496" s="21"/>
      <c r="U496" s="3"/>
      <c r="V496" s="3">
        <f t="shared" si="34"/>
        <v>0</v>
      </c>
      <c r="W496" s="3" t="str">
        <f t="shared" si="35"/>
        <v>Ø16</v>
      </c>
      <c r="X496" s="3" t="str">
        <f t="shared" si="36"/>
        <v>Ø16</v>
      </c>
    </row>
    <row r="497" spans="17:24" x14ac:dyDescent="0.3">
      <c r="Q497" s="3"/>
      <c r="R497" s="3"/>
      <c r="S497" s="3"/>
      <c r="T497" s="21"/>
      <c r="U497" s="3"/>
      <c r="V497" s="3">
        <f t="shared" si="34"/>
        <v>0</v>
      </c>
      <c r="W497" s="3" t="str">
        <f t="shared" si="35"/>
        <v>Ø16</v>
      </c>
      <c r="X497" s="3" t="str">
        <f t="shared" si="36"/>
        <v>Ø16</v>
      </c>
    </row>
    <row r="498" spans="17:24" x14ac:dyDescent="0.3">
      <c r="Q498" s="3"/>
      <c r="R498" s="3"/>
      <c r="S498" s="3"/>
      <c r="T498" s="21"/>
      <c r="U498" s="3"/>
      <c r="V498" s="3">
        <f t="shared" si="34"/>
        <v>0</v>
      </c>
      <c r="W498" s="3" t="str">
        <f t="shared" si="35"/>
        <v>Ø16</v>
      </c>
      <c r="X498" s="3" t="str">
        <f t="shared" si="36"/>
        <v>Ø16</v>
      </c>
    </row>
    <row r="499" spans="17:24" x14ac:dyDescent="0.3">
      <c r="Q499" s="3"/>
      <c r="R499" s="3"/>
      <c r="S499" s="3"/>
      <c r="T499" s="21"/>
      <c r="U499" s="3"/>
      <c r="V499" s="3">
        <f t="shared" si="34"/>
        <v>0</v>
      </c>
      <c r="W499" s="3" t="str">
        <f t="shared" si="35"/>
        <v>Ø16</v>
      </c>
      <c r="X499" s="3" t="str">
        <f t="shared" si="36"/>
        <v>Ø16</v>
      </c>
    </row>
    <row r="500" spans="17:24" x14ac:dyDescent="0.3">
      <c r="Q500" s="3"/>
      <c r="R500" s="3"/>
      <c r="S500" s="3"/>
      <c r="T500" s="21"/>
      <c r="U500" s="3"/>
      <c r="V500" s="3">
        <f t="shared" si="34"/>
        <v>0</v>
      </c>
      <c r="W500" s="3" t="str">
        <f t="shared" si="35"/>
        <v>Ø16</v>
      </c>
      <c r="X500" s="3" t="str">
        <f t="shared" si="36"/>
        <v>Ø16</v>
      </c>
    </row>
    <row r="501" spans="17:24" x14ac:dyDescent="0.3">
      <c r="Q501" s="3"/>
      <c r="R501" s="3"/>
      <c r="S501" s="3"/>
      <c r="T501" s="21"/>
      <c r="U501" s="3"/>
      <c r="V501" s="3">
        <f t="shared" si="34"/>
        <v>0</v>
      </c>
      <c r="W501" s="3" t="str">
        <f t="shared" si="35"/>
        <v>Ø16</v>
      </c>
      <c r="X501" s="3" t="str">
        <f t="shared" si="36"/>
        <v>Ø16</v>
      </c>
    </row>
    <row r="502" spans="17:24" x14ac:dyDescent="0.3">
      <c r="Q502" s="3"/>
      <c r="R502" s="3"/>
      <c r="S502" s="3"/>
      <c r="T502" s="21"/>
      <c r="U502" s="3"/>
      <c r="V502" s="3">
        <f t="shared" si="34"/>
        <v>0</v>
      </c>
      <c r="W502" s="3" t="str">
        <f t="shared" si="35"/>
        <v>Ø16</v>
      </c>
      <c r="X502" s="3" t="str">
        <f t="shared" si="36"/>
        <v>Ø16</v>
      </c>
    </row>
    <row r="503" spans="17:24" x14ac:dyDescent="0.3">
      <c r="Q503" s="3"/>
      <c r="R503" s="3"/>
      <c r="S503" s="3"/>
      <c r="T503" s="21"/>
      <c r="U503" s="3"/>
      <c r="V503" s="3">
        <f t="shared" si="34"/>
        <v>0</v>
      </c>
      <c r="W503" s="3" t="str">
        <f t="shared" si="35"/>
        <v>Ø16</v>
      </c>
      <c r="X503" s="3" t="str">
        <f t="shared" si="36"/>
        <v>Ø16</v>
      </c>
    </row>
  </sheetData>
  <sortState xmlns:xlrd2="http://schemas.microsoft.com/office/spreadsheetml/2017/richdata2" ref="B4:K38">
    <sortCondition ref="K38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819BD-7591-43EA-8F08-B273F33B0CFD}">
  <sheetPr codeName="Лист21"/>
  <dimension ref="A1:D227"/>
  <sheetViews>
    <sheetView workbookViewId="0"/>
  </sheetViews>
  <sheetFormatPr defaultRowHeight="14.4" x14ac:dyDescent="0.3"/>
  <sheetData>
    <row r="1" spans="1:4" x14ac:dyDescent="0.3">
      <c r="A1" t="s">
        <v>1781</v>
      </c>
      <c r="B1" t="s">
        <v>1782</v>
      </c>
      <c r="C1" t="s">
        <v>1783</v>
      </c>
      <c r="D1" t="s">
        <v>1784</v>
      </c>
    </row>
    <row r="2" spans="1:4" x14ac:dyDescent="0.3">
      <c r="A2" t="s">
        <v>6</v>
      </c>
      <c r="B2" s="114" t="s">
        <v>1785</v>
      </c>
      <c r="C2" t="s">
        <v>1786</v>
      </c>
      <c r="D2" t="s">
        <v>1125</v>
      </c>
    </row>
    <row r="3" spans="1:4" x14ac:dyDescent="0.3">
      <c r="A3" t="s">
        <v>439</v>
      </c>
      <c r="B3" s="114" t="s">
        <v>1787</v>
      </c>
      <c r="C3" t="s">
        <v>1786</v>
      </c>
      <c r="D3" t="s">
        <v>1133</v>
      </c>
    </row>
    <row r="4" spans="1:4" x14ac:dyDescent="0.3">
      <c r="A4" t="s">
        <v>7</v>
      </c>
      <c r="B4" s="114" t="s">
        <v>1788</v>
      </c>
      <c r="C4" t="s">
        <v>1786</v>
      </c>
      <c r="D4" t="s">
        <v>1167</v>
      </c>
    </row>
    <row r="5" spans="1:4" x14ac:dyDescent="0.3">
      <c r="A5" t="s">
        <v>1109</v>
      </c>
      <c r="B5" s="114" t="s">
        <v>1789</v>
      </c>
      <c r="C5" t="s">
        <v>1786</v>
      </c>
      <c r="D5" t="s">
        <v>1152</v>
      </c>
    </row>
    <row r="6" spans="1:4" x14ac:dyDescent="0.3">
      <c r="A6" t="s">
        <v>908</v>
      </c>
      <c r="B6" s="114" t="s">
        <v>1790</v>
      </c>
      <c r="C6" t="s">
        <v>1786</v>
      </c>
      <c r="D6" t="s">
        <v>1161</v>
      </c>
    </row>
    <row r="7" spans="1:4" x14ac:dyDescent="0.3">
      <c r="A7" t="s">
        <v>909</v>
      </c>
      <c r="B7" s="114" t="s">
        <v>1791</v>
      </c>
      <c r="C7" t="s">
        <v>1786</v>
      </c>
      <c r="D7" t="s">
        <v>1157</v>
      </c>
    </row>
    <row r="8" spans="1:4" x14ac:dyDescent="0.3">
      <c r="A8" t="s">
        <v>545</v>
      </c>
      <c r="B8" s="114" t="s">
        <v>1792</v>
      </c>
      <c r="C8" t="s">
        <v>1786</v>
      </c>
      <c r="D8" t="s">
        <v>1191</v>
      </c>
    </row>
    <row r="9" spans="1:4" x14ac:dyDescent="0.3">
      <c r="A9" t="s">
        <v>1110</v>
      </c>
      <c r="B9" s="114" t="s">
        <v>1793</v>
      </c>
      <c r="C9" t="s">
        <v>1786</v>
      </c>
      <c r="D9" t="s">
        <v>1186</v>
      </c>
    </row>
    <row r="10" spans="1:4" x14ac:dyDescent="0.3">
      <c r="A10" t="s">
        <v>441</v>
      </c>
      <c r="B10" s="114" t="s">
        <v>1794</v>
      </c>
      <c r="C10" t="s">
        <v>1786</v>
      </c>
      <c r="D10" t="s">
        <v>1217</v>
      </c>
    </row>
    <row r="11" spans="1:4" x14ac:dyDescent="0.3">
      <c r="A11" t="s">
        <v>437</v>
      </c>
      <c r="B11" s="114" t="s">
        <v>1795</v>
      </c>
      <c r="C11" t="s">
        <v>1786</v>
      </c>
      <c r="D11" t="s">
        <v>1251</v>
      </c>
    </row>
    <row r="12" spans="1:4" x14ac:dyDescent="0.3">
      <c r="A12" t="s">
        <v>1111</v>
      </c>
      <c r="B12" s="114" t="s">
        <v>1796</v>
      </c>
      <c r="C12" t="s">
        <v>1797</v>
      </c>
    </row>
    <row r="13" spans="1:4" x14ac:dyDescent="0.3">
      <c r="A13" t="s">
        <v>810</v>
      </c>
      <c r="B13" s="114" t="s">
        <v>1798</v>
      </c>
      <c r="C13" t="s">
        <v>1797</v>
      </c>
    </row>
    <row r="14" spans="1:4" x14ac:dyDescent="0.3">
      <c r="A14" t="s">
        <v>28</v>
      </c>
      <c r="B14" s="114" t="s">
        <v>1799</v>
      </c>
      <c r="C14" t="s">
        <v>1797</v>
      </c>
    </row>
    <row r="15" spans="1:4" x14ac:dyDescent="0.3">
      <c r="A15" t="s">
        <v>737</v>
      </c>
      <c r="B15" s="114" t="s">
        <v>1800</v>
      </c>
      <c r="C15" t="s">
        <v>1797</v>
      </c>
    </row>
    <row r="16" spans="1:4" x14ac:dyDescent="0.3">
      <c r="A16" t="s">
        <v>9</v>
      </c>
      <c r="B16" s="114" t="s">
        <v>1801</v>
      </c>
      <c r="C16" t="s">
        <v>1797</v>
      </c>
    </row>
    <row r="17" spans="1:4" x14ac:dyDescent="0.3">
      <c r="A17" t="s">
        <v>1112</v>
      </c>
      <c r="B17" s="114" t="s">
        <v>1802</v>
      </c>
      <c r="C17" t="s">
        <v>1797</v>
      </c>
    </row>
    <row r="18" spans="1:4" x14ac:dyDescent="0.3">
      <c r="A18" t="s">
        <v>2</v>
      </c>
      <c r="B18" s="114" t="s">
        <v>1803</v>
      </c>
      <c r="C18" t="s">
        <v>1804</v>
      </c>
      <c r="D18" t="s">
        <v>1138</v>
      </c>
    </row>
    <row r="19" spans="1:4" x14ac:dyDescent="0.3">
      <c r="A19" t="s">
        <v>188</v>
      </c>
      <c r="B19" s="114" t="s">
        <v>1805</v>
      </c>
      <c r="C19" t="s">
        <v>1804</v>
      </c>
      <c r="D19" t="s">
        <v>1136</v>
      </c>
    </row>
    <row r="20" spans="1:4" x14ac:dyDescent="0.3">
      <c r="A20" t="s">
        <v>537</v>
      </c>
      <c r="B20" s="114" t="s">
        <v>1806</v>
      </c>
      <c r="C20" t="s">
        <v>1804</v>
      </c>
      <c r="D20" t="s">
        <v>1206</v>
      </c>
    </row>
    <row r="21" spans="1:4" x14ac:dyDescent="0.3">
      <c r="A21" t="s">
        <v>518</v>
      </c>
      <c r="B21" s="114" t="s">
        <v>1807</v>
      </c>
      <c r="C21" t="s">
        <v>1804</v>
      </c>
      <c r="D21" t="s">
        <v>1139</v>
      </c>
    </row>
    <row r="22" spans="1:4" x14ac:dyDescent="0.3">
      <c r="A22" t="s">
        <v>14</v>
      </c>
      <c r="B22" s="114" t="s">
        <v>1808</v>
      </c>
      <c r="C22" t="s">
        <v>1804</v>
      </c>
      <c r="D22" t="s">
        <v>1141</v>
      </c>
    </row>
    <row r="23" spans="1:4" x14ac:dyDescent="0.3">
      <c r="A23" t="s">
        <v>1121</v>
      </c>
      <c r="B23" s="114" t="s">
        <v>1809</v>
      </c>
      <c r="C23" t="s">
        <v>1810</v>
      </c>
    </row>
    <row r="24" spans="1:4" x14ac:dyDescent="0.3">
      <c r="A24" t="s">
        <v>899</v>
      </c>
      <c r="B24" s="114" t="s">
        <v>1811</v>
      </c>
      <c r="C24" t="s">
        <v>1810</v>
      </c>
    </row>
    <row r="25" spans="1:4" x14ac:dyDescent="0.3">
      <c r="A25" t="s">
        <v>1122</v>
      </c>
      <c r="B25" s="114" t="s">
        <v>1812</v>
      </c>
      <c r="C25" t="s">
        <v>1810</v>
      </c>
    </row>
    <row r="26" spans="1:4" x14ac:dyDescent="0.3">
      <c r="A26" t="s">
        <v>54</v>
      </c>
      <c r="B26" s="114" t="s">
        <v>1813</v>
      </c>
      <c r="C26" t="s">
        <v>1810</v>
      </c>
    </row>
    <row r="27" spans="1:4" x14ac:dyDescent="0.3">
      <c r="A27" t="s">
        <v>1123</v>
      </c>
      <c r="B27" s="114" t="s">
        <v>1814</v>
      </c>
      <c r="C27" t="s">
        <v>1810</v>
      </c>
    </row>
    <row r="28" spans="1:4" x14ac:dyDescent="0.3">
      <c r="A28" t="s">
        <v>53</v>
      </c>
      <c r="B28" s="114" t="s">
        <v>1813</v>
      </c>
      <c r="C28" t="s">
        <v>1810</v>
      </c>
    </row>
    <row r="29" spans="1:4" x14ac:dyDescent="0.3">
      <c r="A29" t="s">
        <v>1124</v>
      </c>
      <c r="B29" s="114" t="s">
        <v>1815</v>
      </c>
      <c r="C29" t="s">
        <v>1810</v>
      </c>
    </row>
    <row r="30" spans="1:4" x14ac:dyDescent="0.3">
      <c r="A30" t="s">
        <v>1125</v>
      </c>
      <c r="B30" s="114" t="s">
        <v>1816</v>
      </c>
      <c r="C30" t="s">
        <v>1810</v>
      </c>
    </row>
    <row r="31" spans="1:4" x14ac:dyDescent="0.3">
      <c r="A31" t="s">
        <v>1126</v>
      </c>
      <c r="B31" s="114" t="s">
        <v>1817</v>
      </c>
      <c r="C31" t="s">
        <v>1810</v>
      </c>
    </row>
    <row r="32" spans="1:4" x14ac:dyDescent="0.3">
      <c r="A32" t="s">
        <v>1127</v>
      </c>
      <c r="B32" s="114" t="s">
        <v>1818</v>
      </c>
      <c r="C32" t="s">
        <v>1810</v>
      </c>
    </row>
    <row r="33" spans="1:3" x14ac:dyDescent="0.3">
      <c r="A33" t="s">
        <v>1128</v>
      </c>
      <c r="B33" s="114" t="s">
        <v>1819</v>
      </c>
      <c r="C33" t="s">
        <v>1810</v>
      </c>
    </row>
    <row r="34" spans="1:3" x14ac:dyDescent="0.3">
      <c r="A34" t="s">
        <v>1129</v>
      </c>
      <c r="B34" s="114" t="s">
        <v>1820</v>
      </c>
      <c r="C34" t="s">
        <v>1810</v>
      </c>
    </row>
    <row r="35" spans="1:3" x14ac:dyDescent="0.3">
      <c r="A35" t="s">
        <v>1130</v>
      </c>
      <c r="B35" s="114" t="s">
        <v>1821</v>
      </c>
      <c r="C35" t="s">
        <v>1810</v>
      </c>
    </row>
    <row r="36" spans="1:3" x14ac:dyDescent="0.3">
      <c r="A36" t="s">
        <v>1131</v>
      </c>
      <c r="B36" s="114" t="s">
        <v>1822</v>
      </c>
      <c r="C36" t="s">
        <v>1810</v>
      </c>
    </row>
    <row r="37" spans="1:3" x14ac:dyDescent="0.3">
      <c r="A37" t="s">
        <v>1132</v>
      </c>
      <c r="B37" s="114" t="s">
        <v>1823</v>
      </c>
      <c r="C37" t="s">
        <v>1810</v>
      </c>
    </row>
    <row r="38" spans="1:3" x14ac:dyDescent="0.3">
      <c r="A38" t="s">
        <v>1133</v>
      </c>
      <c r="B38" s="114" t="s">
        <v>1824</v>
      </c>
      <c r="C38" t="s">
        <v>1810</v>
      </c>
    </row>
    <row r="39" spans="1:3" x14ac:dyDescent="0.3">
      <c r="A39" t="s">
        <v>1134</v>
      </c>
      <c r="B39" s="114" t="s">
        <v>1825</v>
      </c>
      <c r="C39" t="s">
        <v>1810</v>
      </c>
    </row>
    <row r="40" spans="1:3" x14ac:dyDescent="0.3">
      <c r="A40" t="s">
        <v>1135</v>
      </c>
      <c r="B40" s="114" t="s">
        <v>1826</v>
      </c>
      <c r="C40" t="s">
        <v>1810</v>
      </c>
    </row>
    <row r="41" spans="1:3" x14ac:dyDescent="0.3">
      <c r="A41" t="s">
        <v>1136</v>
      </c>
      <c r="B41" s="114" t="s">
        <v>1827</v>
      </c>
      <c r="C41" t="s">
        <v>1810</v>
      </c>
    </row>
    <row r="42" spans="1:3" x14ac:dyDescent="0.3">
      <c r="A42" t="s">
        <v>1137</v>
      </c>
      <c r="B42" s="114" t="s">
        <v>1828</v>
      </c>
      <c r="C42" t="s">
        <v>1810</v>
      </c>
    </row>
    <row r="43" spans="1:3" x14ac:dyDescent="0.3">
      <c r="A43" t="s">
        <v>1138</v>
      </c>
      <c r="B43" s="114" t="s">
        <v>1829</v>
      </c>
      <c r="C43" t="s">
        <v>1810</v>
      </c>
    </row>
    <row r="44" spans="1:3" x14ac:dyDescent="0.3">
      <c r="A44" t="s">
        <v>903</v>
      </c>
      <c r="B44" s="114" t="s">
        <v>1830</v>
      </c>
      <c r="C44" t="s">
        <v>1810</v>
      </c>
    </row>
    <row r="45" spans="1:3" x14ac:dyDescent="0.3">
      <c r="A45" t="s">
        <v>1139</v>
      </c>
      <c r="B45" s="114" t="s">
        <v>1831</v>
      </c>
      <c r="C45" t="s">
        <v>1810</v>
      </c>
    </row>
    <row r="46" spans="1:3" x14ac:dyDescent="0.3">
      <c r="A46" t="s">
        <v>1140</v>
      </c>
      <c r="B46" s="114" t="s">
        <v>1832</v>
      </c>
      <c r="C46" t="s">
        <v>1810</v>
      </c>
    </row>
    <row r="47" spans="1:3" x14ac:dyDescent="0.3">
      <c r="A47" t="s">
        <v>1141</v>
      </c>
      <c r="B47" s="114" t="s">
        <v>1833</v>
      </c>
      <c r="C47" t="s">
        <v>1810</v>
      </c>
    </row>
    <row r="48" spans="1:3" x14ac:dyDescent="0.3">
      <c r="A48" t="s">
        <v>902</v>
      </c>
      <c r="B48" s="114" t="s">
        <v>1834</v>
      </c>
      <c r="C48" t="s">
        <v>1810</v>
      </c>
    </row>
    <row r="49" spans="1:3" x14ac:dyDescent="0.3">
      <c r="A49" t="s">
        <v>1142</v>
      </c>
      <c r="B49" s="114" t="s">
        <v>1835</v>
      </c>
      <c r="C49" t="s">
        <v>1810</v>
      </c>
    </row>
    <row r="50" spans="1:3" x14ac:dyDescent="0.3">
      <c r="A50" t="s">
        <v>1143</v>
      </c>
      <c r="B50" s="114" t="s">
        <v>1836</v>
      </c>
      <c r="C50" t="s">
        <v>1810</v>
      </c>
    </row>
    <row r="51" spans="1:3" x14ac:dyDescent="0.3">
      <c r="A51" t="s">
        <v>804</v>
      </c>
      <c r="B51" s="114" t="s">
        <v>1837</v>
      </c>
      <c r="C51" t="s">
        <v>1810</v>
      </c>
    </row>
    <row r="52" spans="1:3" x14ac:dyDescent="0.3">
      <c r="A52" t="s">
        <v>1144</v>
      </c>
      <c r="B52" s="114" t="s">
        <v>1838</v>
      </c>
      <c r="C52" t="s">
        <v>1810</v>
      </c>
    </row>
    <row r="53" spans="1:3" x14ac:dyDescent="0.3">
      <c r="A53" t="s">
        <v>1145</v>
      </c>
      <c r="B53" s="114" t="s">
        <v>1839</v>
      </c>
      <c r="C53" t="s">
        <v>1810</v>
      </c>
    </row>
    <row r="54" spans="1:3" x14ac:dyDescent="0.3">
      <c r="A54" t="s">
        <v>1146</v>
      </c>
      <c r="B54" s="114" t="s">
        <v>1840</v>
      </c>
      <c r="C54" t="s">
        <v>1810</v>
      </c>
    </row>
    <row r="55" spans="1:3" x14ac:dyDescent="0.3">
      <c r="A55" t="s">
        <v>1147</v>
      </c>
      <c r="B55" s="114" t="s">
        <v>1841</v>
      </c>
      <c r="C55" t="s">
        <v>1810</v>
      </c>
    </row>
    <row r="56" spans="1:3" x14ac:dyDescent="0.3">
      <c r="A56" t="s">
        <v>1148</v>
      </c>
      <c r="B56" s="114" t="s">
        <v>1842</v>
      </c>
      <c r="C56" t="s">
        <v>1810</v>
      </c>
    </row>
    <row r="57" spans="1:3" x14ac:dyDescent="0.3">
      <c r="A57" t="s">
        <v>1149</v>
      </c>
      <c r="B57" s="114" t="s">
        <v>1843</v>
      </c>
      <c r="C57" t="s">
        <v>1810</v>
      </c>
    </row>
    <row r="58" spans="1:3" x14ac:dyDescent="0.3">
      <c r="A58" t="s">
        <v>1150</v>
      </c>
      <c r="B58" s="114" t="s">
        <v>1844</v>
      </c>
      <c r="C58" t="s">
        <v>1810</v>
      </c>
    </row>
    <row r="59" spans="1:3" x14ac:dyDescent="0.3">
      <c r="A59" t="s">
        <v>1151</v>
      </c>
      <c r="B59" s="114" t="s">
        <v>1845</v>
      </c>
      <c r="C59" t="s">
        <v>1810</v>
      </c>
    </row>
    <row r="60" spans="1:3" x14ac:dyDescent="0.3">
      <c r="A60" t="s">
        <v>1152</v>
      </c>
      <c r="B60" s="114" t="s">
        <v>1846</v>
      </c>
      <c r="C60" t="s">
        <v>1810</v>
      </c>
    </row>
    <row r="61" spans="1:3" x14ac:dyDescent="0.3">
      <c r="A61" t="s">
        <v>1153</v>
      </c>
      <c r="B61" s="114" t="s">
        <v>1847</v>
      </c>
      <c r="C61" t="s">
        <v>1810</v>
      </c>
    </row>
    <row r="62" spans="1:3" x14ac:dyDescent="0.3">
      <c r="A62" t="s">
        <v>1154</v>
      </c>
      <c r="B62" s="114" t="s">
        <v>1848</v>
      </c>
      <c r="C62" t="s">
        <v>1810</v>
      </c>
    </row>
    <row r="63" spans="1:3" x14ac:dyDescent="0.3">
      <c r="A63" t="s">
        <v>1155</v>
      </c>
      <c r="B63" s="114" t="s">
        <v>1849</v>
      </c>
      <c r="C63" t="s">
        <v>1810</v>
      </c>
    </row>
    <row r="64" spans="1:3" x14ac:dyDescent="0.3">
      <c r="A64" t="s">
        <v>1156</v>
      </c>
      <c r="B64" s="114" t="s">
        <v>1850</v>
      </c>
      <c r="C64" t="s">
        <v>1810</v>
      </c>
    </row>
    <row r="65" spans="1:3" x14ac:dyDescent="0.3">
      <c r="A65" t="s">
        <v>1157</v>
      </c>
      <c r="B65" s="114" t="s">
        <v>1851</v>
      </c>
      <c r="C65" t="s">
        <v>1810</v>
      </c>
    </row>
    <row r="66" spans="1:3" x14ac:dyDescent="0.3">
      <c r="A66" t="s">
        <v>1158</v>
      </c>
      <c r="B66" s="114" t="s">
        <v>1852</v>
      </c>
      <c r="C66" t="s">
        <v>1810</v>
      </c>
    </row>
    <row r="67" spans="1:3" x14ac:dyDescent="0.3">
      <c r="A67" t="s">
        <v>1159</v>
      </c>
      <c r="B67" s="114" t="s">
        <v>1853</v>
      </c>
      <c r="C67" t="s">
        <v>1810</v>
      </c>
    </row>
    <row r="68" spans="1:3" x14ac:dyDescent="0.3">
      <c r="A68" t="s">
        <v>431</v>
      </c>
      <c r="B68" s="114" t="s">
        <v>1854</v>
      </c>
      <c r="C68" t="s">
        <v>1810</v>
      </c>
    </row>
    <row r="69" spans="1:3" x14ac:dyDescent="0.3">
      <c r="A69" t="s">
        <v>432</v>
      </c>
      <c r="B69" s="114" t="s">
        <v>1855</v>
      </c>
      <c r="C69" t="s">
        <v>1810</v>
      </c>
    </row>
    <row r="70" spans="1:3" x14ac:dyDescent="0.3">
      <c r="A70" t="s">
        <v>1160</v>
      </c>
      <c r="B70" s="114" t="s">
        <v>1856</v>
      </c>
      <c r="C70" t="s">
        <v>1810</v>
      </c>
    </row>
    <row r="71" spans="1:3" x14ac:dyDescent="0.3">
      <c r="A71" t="s">
        <v>1161</v>
      </c>
      <c r="B71" s="114" t="s">
        <v>1857</v>
      </c>
      <c r="C71" t="s">
        <v>1810</v>
      </c>
    </row>
    <row r="72" spans="1:3" x14ac:dyDescent="0.3">
      <c r="A72" t="s">
        <v>1162</v>
      </c>
      <c r="B72" s="114" t="s">
        <v>1858</v>
      </c>
      <c r="C72" t="s">
        <v>1810</v>
      </c>
    </row>
    <row r="73" spans="1:3" x14ac:dyDescent="0.3">
      <c r="A73" t="s">
        <v>1163</v>
      </c>
      <c r="B73" s="114" t="s">
        <v>1859</v>
      </c>
      <c r="C73" t="s">
        <v>1810</v>
      </c>
    </row>
    <row r="74" spans="1:3" x14ac:dyDescent="0.3">
      <c r="A74" t="s">
        <v>1164</v>
      </c>
      <c r="B74" s="114" t="s">
        <v>1860</v>
      </c>
      <c r="C74" t="s">
        <v>1810</v>
      </c>
    </row>
    <row r="75" spans="1:3" x14ac:dyDescent="0.3">
      <c r="A75" t="s">
        <v>1165</v>
      </c>
      <c r="B75" s="114" t="s">
        <v>1861</v>
      </c>
      <c r="C75" t="s">
        <v>1810</v>
      </c>
    </row>
    <row r="76" spans="1:3" x14ac:dyDescent="0.3">
      <c r="A76" t="s">
        <v>1166</v>
      </c>
      <c r="B76" s="114" t="s">
        <v>1862</v>
      </c>
      <c r="C76" t="s">
        <v>1810</v>
      </c>
    </row>
    <row r="77" spans="1:3" x14ac:dyDescent="0.3">
      <c r="A77" t="s">
        <v>1167</v>
      </c>
      <c r="B77" s="114" t="s">
        <v>1863</v>
      </c>
      <c r="C77" t="s">
        <v>1810</v>
      </c>
    </row>
    <row r="78" spans="1:3" x14ac:dyDescent="0.3">
      <c r="A78" t="s">
        <v>1168</v>
      </c>
      <c r="B78" s="114" t="s">
        <v>1864</v>
      </c>
      <c r="C78" t="s">
        <v>1810</v>
      </c>
    </row>
    <row r="79" spans="1:3" x14ac:dyDescent="0.3">
      <c r="A79" t="s">
        <v>1169</v>
      </c>
      <c r="B79" s="114" t="s">
        <v>1865</v>
      </c>
      <c r="C79" t="s">
        <v>1810</v>
      </c>
    </row>
    <row r="80" spans="1:3" x14ac:dyDescent="0.3">
      <c r="A80" t="s">
        <v>1170</v>
      </c>
      <c r="B80" s="114" t="s">
        <v>1866</v>
      </c>
      <c r="C80" t="s">
        <v>1810</v>
      </c>
    </row>
    <row r="81" spans="1:3" x14ac:dyDescent="0.3">
      <c r="A81" t="s">
        <v>1171</v>
      </c>
      <c r="B81" s="114" t="s">
        <v>1867</v>
      </c>
      <c r="C81" t="s">
        <v>1810</v>
      </c>
    </row>
    <row r="82" spans="1:3" x14ac:dyDescent="0.3">
      <c r="A82" t="s">
        <v>1172</v>
      </c>
      <c r="B82" s="114" t="s">
        <v>1868</v>
      </c>
      <c r="C82" t="s">
        <v>1810</v>
      </c>
    </row>
    <row r="83" spans="1:3" x14ac:dyDescent="0.3">
      <c r="A83" t="s">
        <v>1173</v>
      </c>
      <c r="B83" s="114" t="s">
        <v>1869</v>
      </c>
      <c r="C83" t="s">
        <v>1810</v>
      </c>
    </row>
    <row r="84" spans="1:3" x14ac:dyDescent="0.3">
      <c r="A84" t="s">
        <v>1174</v>
      </c>
      <c r="B84" s="114" t="s">
        <v>1870</v>
      </c>
      <c r="C84" t="s">
        <v>1810</v>
      </c>
    </row>
    <row r="85" spans="1:3" x14ac:dyDescent="0.3">
      <c r="A85" t="s">
        <v>1175</v>
      </c>
      <c r="B85" s="114" t="s">
        <v>1871</v>
      </c>
      <c r="C85" t="s">
        <v>1810</v>
      </c>
    </row>
    <row r="86" spans="1:3" x14ac:dyDescent="0.3">
      <c r="A86" t="s">
        <v>1176</v>
      </c>
      <c r="B86" s="114" t="s">
        <v>1872</v>
      </c>
      <c r="C86" t="s">
        <v>1810</v>
      </c>
    </row>
    <row r="87" spans="1:3" x14ac:dyDescent="0.3">
      <c r="A87" t="s">
        <v>1177</v>
      </c>
      <c r="B87" s="114" t="s">
        <v>1873</v>
      </c>
      <c r="C87" t="s">
        <v>1810</v>
      </c>
    </row>
    <row r="88" spans="1:3" x14ac:dyDescent="0.3">
      <c r="A88" t="s">
        <v>1178</v>
      </c>
      <c r="B88" s="114" t="s">
        <v>1874</v>
      </c>
      <c r="C88" t="s">
        <v>1810</v>
      </c>
    </row>
    <row r="89" spans="1:3" x14ac:dyDescent="0.3">
      <c r="A89" t="s">
        <v>1179</v>
      </c>
      <c r="B89" s="114" t="s">
        <v>1875</v>
      </c>
      <c r="C89" t="s">
        <v>1810</v>
      </c>
    </row>
    <row r="90" spans="1:3" x14ac:dyDescent="0.3">
      <c r="A90" t="s">
        <v>1180</v>
      </c>
      <c r="B90" s="114" t="s">
        <v>1876</v>
      </c>
      <c r="C90" t="s">
        <v>1810</v>
      </c>
    </row>
    <row r="91" spans="1:3" x14ac:dyDescent="0.3">
      <c r="A91" t="s">
        <v>1181</v>
      </c>
      <c r="B91" s="114" t="s">
        <v>1877</v>
      </c>
      <c r="C91" t="s">
        <v>1810</v>
      </c>
    </row>
    <row r="92" spans="1:3" x14ac:dyDescent="0.3">
      <c r="A92" t="s">
        <v>1182</v>
      </c>
      <c r="B92" s="114" t="s">
        <v>1878</v>
      </c>
      <c r="C92" t="s">
        <v>1810</v>
      </c>
    </row>
    <row r="93" spans="1:3" x14ac:dyDescent="0.3">
      <c r="A93" t="s">
        <v>1183</v>
      </c>
      <c r="B93" s="114" t="s">
        <v>1879</v>
      </c>
      <c r="C93" t="s">
        <v>1810</v>
      </c>
    </row>
    <row r="94" spans="1:3" x14ac:dyDescent="0.3">
      <c r="A94" t="s">
        <v>1184</v>
      </c>
      <c r="B94" s="114" t="s">
        <v>1880</v>
      </c>
      <c r="C94" t="s">
        <v>1810</v>
      </c>
    </row>
    <row r="95" spans="1:3" x14ac:dyDescent="0.3">
      <c r="A95" t="s">
        <v>1185</v>
      </c>
      <c r="B95" s="114" t="s">
        <v>1881</v>
      </c>
      <c r="C95" t="s">
        <v>1810</v>
      </c>
    </row>
    <row r="96" spans="1:3" x14ac:dyDescent="0.3">
      <c r="A96" t="s">
        <v>1186</v>
      </c>
      <c r="B96" s="114" t="s">
        <v>1882</v>
      </c>
      <c r="C96" t="s">
        <v>1810</v>
      </c>
    </row>
    <row r="97" spans="1:3" x14ac:dyDescent="0.3">
      <c r="A97" t="s">
        <v>1187</v>
      </c>
      <c r="B97" s="114" t="s">
        <v>1883</v>
      </c>
      <c r="C97" t="s">
        <v>1810</v>
      </c>
    </row>
    <row r="98" spans="1:3" x14ac:dyDescent="0.3">
      <c r="A98" t="s">
        <v>1188</v>
      </c>
      <c r="B98" s="114" t="s">
        <v>1884</v>
      </c>
      <c r="C98" t="s">
        <v>1810</v>
      </c>
    </row>
    <row r="99" spans="1:3" x14ac:dyDescent="0.3">
      <c r="A99" t="s">
        <v>1189</v>
      </c>
      <c r="B99" s="114" t="s">
        <v>1885</v>
      </c>
      <c r="C99" t="s">
        <v>1810</v>
      </c>
    </row>
    <row r="100" spans="1:3" x14ac:dyDescent="0.3">
      <c r="A100" t="s">
        <v>1190</v>
      </c>
      <c r="B100" s="114" t="s">
        <v>1886</v>
      </c>
      <c r="C100" t="s">
        <v>1810</v>
      </c>
    </row>
    <row r="101" spans="1:3" x14ac:dyDescent="0.3">
      <c r="A101" t="s">
        <v>1191</v>
      </c>
      <c r="B101" s="114" t="s">
        <v>1887</v>
      </c>
      <c r="C101" t="s">
        <v>1810</v>
      </c>
    </row>
    <row r="102" spans="1:3" x14ac:dyDescent="0.3">
      <c r="A102" t="s">
        <v>3</v>
      </c>
      <c r="B102" s="114" t="s">
        <v>1888</v>
      </c>
      <c r="C102" t="s">
        <v>1810</v>
      </c>
    </row>
    <row r="103" spans="1:3" x14ac:dyDescent="0.3">
      <c r="A103" t="s">
        <v>1192</v>
      </c>
      <c r="B103" s="114" t="s">
        <v>1889</v>
      </c>
      <c r="C103" t="s">
        <v>1810</v>
      </c>
    </row>
    <row r="104" spans="1:3" x14ac:dyDescent="0.3">
      <c r="A104" t="s">
        <v>1193</v>
      </c>
      <c r="B104" s="114" t="s">
        <v>1890</v>
      </c>
      <c r="C104" t="s">
        <v>1810</v>
      </c>
    </row>
    <row r="105" spans="1:3" x14ac:dyDescent="0.3">
      <c r="A105" t="s">
        <v>1194</v>
      </c>
      <c r="B105" s="114" t="s">
        <v>1891</v>
      </c>
      <c r="C105" t="s">
        <v>1810</v>
      </c>
    </row>
    <row r="106" spans="1:3" x14ac:dyDescent="0.3">
      <c r="A106" t="s">
        <v>1195</v>
      </c>
      <c r="B106" s="114" t="s">
        <v>1892</v>
      </c>
      <c r="C106" t="s">
        <v>1810</v>
      </c>
    </row>
    <row r="107" spans="1:3" x14ac:dyDescent="0.3">
      <c r="A107" t="s">
        <v>1196</v>
      </c>
      <c r="B107" s="114" t="s">
        <v>1893</v>
      </c>
      <c r="C107" t="s">
        <v>1810</v>
      </c>
    </row>
    <row r="108" spans="1:3" x14ac:dyDescent="0.3">
      <c r="A108" t="s">
        <v>1197</v>
      </c>
      <c r="B108" s="114" t="s">
        <v>1894</v>
      </c>
      <c r="C108" t="s">
        <v>1810</v>
      </c>
    </row>
    <row r="109" spans="1:3" x14ac:dyDescent="0.3">
      <c r="A109" t="s">
        <v>1198</v>
      </c>
      <c r="B109" s="114" t="s">
        <v>1895</v>
      </c>
      <c r="C109" t="s">
        <v>1810</v>
      </c>
    </row>
    <row r="110" spans="1:3" x14ac:dyDescent="0.3">
      <c r="A110" t="s">
        <v>1199</v>
      </c>
      <c r="B110" s="114" t="s">
        <v>1896</v>
      </c>
      <c r="C110" t="s">
        <v>1810</v>
      </c>
    </row>
    <row r="111" spans="1:3" x14ac:dyDescent="0.3">
      <c r="A111" t="s">
        <v>1200</v>
      </c>
      <c r="B111" s="114" t="s">
        <v>1897</v>
      </c>
      <c r="C111" t="s">
        <v>1810</v>
      </c>
    </row>
    <row r="112" spans="1:3" x14ac:dyDescent="0.3">
      <c r="A112" t="s">
        <v>1201</v>
      </c>
      <c r="B112" s="114" t="s">
        <v>1898</v>
      </c>
      <c r="C112" t="s">
        <v>1810</v>
      </c>
    </row>
    <row r="113" spans="1:3" x14ac:dyDescent="0.3">
      <c r="A113" t="s">
        <v>1202</v>
      </c>
      <c r="B113" s="114" t="s">
        <v>1899</v>
      </c>
      <c r="C113" t="s">
        <v>1810</v>
      </c>
    </row>
    <row r="114" spans="1:3" x14ac:dyDescent="0.3">
      <c r="A114" t="s">
        <v>1203</v>
      </c>
      <c r="B114" s="114" t="s">
        <v>1900</v>
      </c>
      <c r="C114" t="s">
        <v>1810</v>
      </c>
    </row>
    <row r="115" spans="1:3" x14ac:dyDescent="0.3">
      <c r="A115" t="s">
        <v>1204</v>
      </c>
      <c r="B115" s="114" t="s">
        <v>1901</v>
      </c>
      <c r="C115" t="s">
        <v>1810</v>
      </c>
    </row>
    <row r="116" spans="1:3" x14ac:dyDescent="0.3">
      <c r="A116" t="s">
        <v>1205</v>
      </c>
      <c r="B116" s="114" t="s">
        <v>1902</v>
      </c>
      <c r="C116" t="s">
        <v>1810</v>
      </c>
    </row>
    <row r="117" spans="1:3" x14ac:dyDescent="0.3">
      <c r="A117" t="s">
        <v>740</v>
      </c>
      <c r="B117" s="114" t="s">
        <v>1903</v>
      </c>
      <c r="C117" t="s">
        <v>1810</v>
      </c>
    </row>
    <row r="118" spans="1:3" x14ac:dyDescent="0.3">
      <c r="A118" t="s">
        <v>738</v>
      </c>
      <c r="B118" s="114" t="s">
        <v>1904</v>
      </c>
      <c r="C118" t="s">
        <v>1810</v>
      </c>
    </row>
    <row r="119" spans="1:3" x14ac:dyDescent="0.3">
      <c r="A119" t="s">
        <v>741</v>
      </c>
      <c r="B119" s="114" t="s">
        <v>1905</v>
      </c>
      <c r="C119" t="s">
        <v>1810</v>
      </c>
    </row>
    <row r="120" spans="1:3" x14ac:dyDescent="0.3">
      <c r="A120" t="s">
        <v>1206</v>
      </c>
      <c r="B120" s="114" t="s">
        <v>1906</v>
      </c>
      <c r="C120" t="s">
        <v>1810</v>
      </c>
    </row>
    <row r="121" spans="1:3" x14ac:dyDescent="0.3">
      <c r="A121" t="s">
        <v>736</v>
      </c>
      <c r="B121" s="114" t="s">
        <v>1907</v>
      </c>
      <c r="C121" t="s">
        <v>1810</v>
      </c>
    </row>
    <row r="122" spans="1:3" x14ac:dyDescent="0.3">
      <c r="A122" t="s">
        <v>531</v>
      </c>
      <c r="B122" s="114" t="s">
        <v>1908</v>
      </c>
      <c r="C122" t="s">
        <v>1810</v>
      </c>
    </row>
    <row r="123" spans="1:3" x14ac:dyDescent="0.3">
      <c r="A123" t="s">
        <v>813</v>
      </c>
      <c r="B123" s="114" t="s">
        <v>1909</v>
      </c>
      <c r="C123" t="s">
        <v>1810</v>
      </c>
    </row>
    <row r="124" spans="1:3" x14ac:dyDescent="0.3">
      <c r="A124" t="s">
        <v>1207</v>
      </c>
      <c r="B124" s="114" t="s">
        <v>1910</v>
      </c>
      <c r="C124" t="s">
        <v>1810</v>
      </c>
    </row>
    <row r="125" spans="1:3" x14ac:dyDescent="0.3">
      <c r="A125" t="s">
        <v>1208</v>
      </c>
      <c r="B125" s="114" t="s">
        <v>1911</v>
      </c>
      <c r="C125" t="s">
        <v>1810</v>
      </c>
    </row>
    <row r="126" spans="1:3" x14ac:dyDescent="0.3">
      <c r="A126" t="s">
        <v>1209</v>
      </c>
      <c r="B126" s="114" t="s">
        <v>1912</v>
      </c>
      <c r="C126" t="s">
        <v>1810</v>
      </c>
    </row>
    <row r="127" spans="1:3" x14ac:dyDescent="0.3">
      <c r="A127" t="s">
        <v>1210</v>
      </c>
      <c r="B127" s="114" t="s">
        <v>1913</v>
      </c>
      <c r="C127" t="s">
        <v>1810</v>
      </c>
    </row>
    <row r="128" spans="1:3" x14ac:dyDescent="0.3">
      <c r="A128" t="s">
        <v>1211</v>
      </c>
      <c r="B128" s="114" t="s">
        <v>1914</v>
      </c>
      <c r="C128" t="s">
        <v>1810</v>
      </c>
    </row>
    <row r="129" spans="1:3" x14ac:dyDescent="0.3">
      <c r="A129" t="s">
        <v>1212</v>
      </c>
      <c r="B129" s="114" t="s">
        <v>1915</v>
      </c>
      <c r="C129" t="s">
        <v>1810</v>
      </c>
    </row>
    <row r="130" spans="1:3" x14ac:dyDescent="0.3">
      <c r="A130" t="s">
        <v>1213</v>
      </c>
      <c r="B130" s="114" t="s">
        <v>1916</v>
      </c>
      <c r="C130" t="s">
        <v>1810</v>
      </c>
    </row>
    <row r="131" spans="1:3" x14ac:dyDescent="0.3">
      <c r="A131" t="s">
        <v>1214</v>
      </c>
      <c r="B131" s="114" t="s">
        <v>1917</v>
      </c>
      <c r="C131" t="s">
        <v>1810</v>
      </c>
    </row>
    <row r="132" spans="1:3" x14ac:dyDescent="0.3">
      <c r="A132" t="s">
        <v>1215</v>
      </c>
      <c r="B132" s="114" t="s">
        <v>1918</v>
      </c>
      <c r="C132" t="s">
        <v>1810</v>
      </c>
    </row>
    <row r="133" spans="1:3" x14ac:dyDescent="0.3">
      <c r="A133" t="s">
        <v>1216</v>
      </c>
      <c r="B133" s="114" t="s">
        <v>1919</v>
      </c>
      <c r="C133" t="s">
        <v>1810</v>
      </c>
    </row>
    <row r="134" spans="1:3" x14ac:dyDescent="0.3">
      <c r="A134" t="s">
        <v>1217</v>
      </c>
      <c r="B134" s="114" t="s">
        <v>1920</v>
      </c>
      <c r="C134" t="s">
        <v>1810</v>
      </c>
    </row>
    <row r="135" spans="1:3" x14ac:dyDescent="0.3">
      <c r="A135" t="s">
        <v>1218</v>
      </c>
      <c r="B135" s="114" t="s">
        <v>1921</v>
      </c>
      <c r="C135" t="s">
        <v>1810</v>
      </c>
    </row>
    <row r="136" spans="1:3" x14ac:dyDescent="0.3">
      <c r="A136" t="s">
        <v>1219</v>
      </c>
      <c r="B136" s="114" t="s">
        <v>1922</v>
      </c>
      <c r="C136" t="s">
        <v>1810</v>
      </c>
    </row>
    <row r="137" spans="1:3" x14ac:dyDescent="0.3">
      <c r="A137" t="s">
        <v>1220</v>
      </c>
      <c r="B137" s="114" t="s">
        <v>1923</v>
      </c>
      <c r="C137" t="s">
        <v>1810</v>
      </c>
    </row>
    <row r="138" spans="1:3" x14ac:dyDescent="0.3">
      <c r="A138" t="s">
        <v>1221</v>
      </c>
      <c r="B138" s="114" t="s">
        <v>1924</v>
      </c>
      <c r="C138" t="s">
        <v>1810</v>
      </c>
    </row>
    <row r="139" spans="1:3" x14ac:dyDescent="0.3">
      <c r="A139" t="s">
        <v>1222</v>
      </c>
      <c r="B139" s="114" t="s">
        <v>1925</v>
      </c>
      <c r="C139" t="s">
        <v>1810</v>
      </c>
    </row>
    <row r="140" spans="1:3" x14ac:dyDescent="0.3">
      <c r="A140" t="s">
        <v>844</v>
      </c>
      <c r="B140" s="114" t="s">
        <v>1926</v>
      </c>
      <c r="C140" t="s">
        <v>1810</v>
      </c>
    </row>
    <row r="141" spans="1:3" x14ac:dyDescent="0.3">
      <c r="A141" t="s">
        <v>845</v>
      </c>
      <c r="B141" s="114" t="s">
        <v>1927</v>
      </c>
      <c r="C141" t="s">
        <v>1810</v>
      </c>
    </row>
    <row r="142" spans="1:3" x14ac:dyDescent="0.3">
      <c r="A142" t="s">
        <v>1223</v>
      </c>
      <c r="B142" s="114" t="s">
        <v>1928</v>
      </c>
      <c r="C142" t="s">
        <v>1810</v>
      </c>
    </row>
    <row r="143" spans="1:3" x14ac:dyDescent="0.3">
      <c r="A143" t="s">
        <v>1224</v>
      </c>
      <c r="B143" s="114" t="s">
        <v>1929</v>
      </c>
      <c r="C143" t="s">
        <v>1810</v>
      </c>
    </row>
    <row r="144" spans="1:3" x14ac:dyDescent="0.3">
      <c r="A144" t="s">
        <v>1225</v>
      </c>
      <c r="B144" s="114" t="s">
        <v>1930</v>
      </c>
      <c r="C144" t="s">
        <v>1810</v>
      </c>
    </row>
    <row r="145" spans="1:3" x14ac:dyDescent="0.3">
      <c r="A145" t="s">
        <v>843</v>
      </c>
      <c r="B145" s="114" t="s">
        <v>1931</v>
      </c>
      <c r="C145" t="s">
        <v>1810</v>
      </c>
    </row>
    <row r="146" spans="1:3" x14ac:dyDescent="0.3">
      <c r="A146" t="s">
        <v>846</v>
      </c>
      <c r="B146" s="114" t="s">
        <v>1932</v>
      </c>
      <c r="C146" t="s">
        <v>1810</v>
      </c>
    </row>
    <row r="147" spans="1:3" x14ac:dyDescent="0.3">
      <c r="A147" t="s">
        <v>847</v>
      </c>
      <c r="B147" s="114" t="s">
        <v>1933</v>
      </c>
      <c r="C147" t="s">
        <v>1810</v>
      </c>
    </row>
    <row r="148" spans="1:3" x14ac:dyDescent="0.3">
      <c r="A148" t="s">
        <v>1226</v>
      </c>
      <c r="B148" s="114" t="s">
        <v>1934</v>
      </c>
      <c r="C148" t="s">
        <v>1810</v>
      </c>
    </row>
    <row r="149" spans="1:3" x14ac:dyDescent="0.3">
      <c r="A149" t="s">
        <v>1227</v>
      </c>
      <c r="B149" s="114" t="s">
        <v>1935</v>
      </c>
      <c r="C149" t="s">
        <v>1810</v>
      </c>
    </row>
    <row r="150" spans="1:3" x14ac:dyDescent="0.3">
      <c r="A150" t="s">
        <v>848</v>
      </c>
      <c r="B150" s="114" t="s">
        <v>1936</v>
      </c>
      <c r="C150" t="s">
        <v>1810</v>
      </c>
    </row>
    <row r="151" spans="1:3" x14ac:dyDescent="0.3">
      <c r="A151" t="s">
        <v>1228</v>
      </c>
      <c r="B151" s="114" t="s">
        <v>1937</v>
      </c>
      <c r="C151" t="s">
        <v>1810</v>
      </c>
    </row>
    <row r="152" spans="1:3" x14ac:dyDescent="0.3">
      <c r="A152" t="s">
        <v>1229</v>
      </c>
      <c r="B152" s="114" t="s">
        <v>1938</v>
      </c>
      <c r="C152" t="s">
        <v>1810</v>
      </c>
    </row>
    <row r="153" spans="1:3" x14ac:dyDescent="0.3">
      <c r="A153" t="s">
        <v>1230</v>
      </c>
      <c r="B153" s="114" t="s">
        <v>1939</v>
      </c>
      <c r="C153" t="s">
        <v>1810</v>
      </c>
    </row>
    <row r="154" spans="1:3" x14ac:dyDescent="0.3">
      <c r="A154" t="s">
        <v>1231</v>
      </c>
      <c r="B154" s="114" t="s">
        <v>1940</v>
      </c>
      <c r="C154" t="s">
        <v>1810</v>
      </c>
    </row>
    <row r="155" spans="1:3" x14ac:dyDescent="0.3">
      <c r="A155" t="s">
        <v>1232</v>
      </c>
      <c r="B155" s="114" t="s">
        <v>1941</v>
      </c>
      <c r="C155" t="s">
        <v>1810</v>
      </c>
    </row>
    <row r="156" spans="1:3" x14ac:dyDescent="0.3">
      <c r="A156" t="s">
        <v>1233</v>
      </c>
      <c r="B156" s="114" t="s">
        <v>1942</v>
      </c>
      <c r="C156" t="s">
        <v>1810</v>
      </c>
    </row>
    <row r="157" spans="1:3" x14ac:dyDescent="0.3">
      <c r="A157" t="s">
        <v>1234</v>
      </c>
      <c r="B157" s="114" t="s">
        <v>1943</v>
      </c>
      <c r="C157" t="s">
        <v>1810</v>
      </c>
    </row>
    <row r="158" spans="1:3" x14ac:dyDescent="0.3">
      <c r="A158" t="s">
        <v>1235</v>
      </c>
      <c r="B158" s="114" t="s">
        <v>1944</v>
      </c>
      <c r="C158" t="s">
        <v>1810</v>
      </c>
    </row>
    <row r="159" spans="1:3" x14ac:dyDescent="0.3">
      <c r="A159" t="s">
        <v>1236</v>
      </c>
      <c r="B159" s="114" t="s">
        <v>1945</v>
      </c>
      <c r="C159" t="s">
        <v>1810</v>
      </c>
    </row>
    <row r="160" spans="1:3" x14ac:dyDescent="0.3">
      <c r="A160" t="s">
        <v>1237</v>
      </c>
      <c r="B160" s="114" t="s">
        <v>1946</v>
      </c>
      <c r="C160" t="s">
        <v>1810</v>
      </c>
    </row>
    <row r="161" spans="1:3" x14ac:dyDescent="0.3">
      <c r="A161" t="s">
        <v>1238</v>
      </c>
      <c r="B161" s="114" t="s">
        <v>1947</v>
      </c>
      <c r="C161" t="s">
        <v>1810</v>
      </c>
    </row>
    <row r="162" spans="1:3" x14ac:dyDescent="0.3">
      <c r="A162" t="s">
        <v>1239</v>
      </c>
      <c r="B162" s="114" t="s">
        <v>1948</v>
      </c>
      <c r="C162" t="s">
        <v>1810</v>
      </c>
    </row>
    <row r="163" spans="1:3" x14ac:dyDescent="0.3">
      <c r="A163" t="s">
        <v>1240</v>
      </c>
      <c r="B163" s="114" t="s">
        <v>1949</v>
      </c>
      <c r="C163" t="s">
        <v>1810</v>
      </c>
    </row>
    <row r="164" spans="1:3" x14ac:dyDescent="0.3">
      <c r="A164" t="s">
        <v>1241</v>
      </c>
      <c r="B164" s="114" t="s">
        <v>1950</v>
      </c>
      <c r="C164" t="s">
        <v>1810</v>
      </c>
    </row>
    <row r="165" spans="1:3" x14ac:dyDescent="0.3">
      <c r="A165" t="s">
        <v>1242</v>
      </c>
      <c r="B165" s="114" t="s">
        <v>1951</v>
      </c>
      <c r="C165" t="s">
        <v>1810</v>
      </c>
    </row>
    <row r="166" spans="1:3" x14ac:dyDescent="0.3">
      <c r="A166" t="s">
        <v>1243</v>
      </c>
      <c r="B166" s="114" t="s">
        <v>1952</v>
      </c>
      <c r="C166" t="s">
        <v>1810</v>
      </c>
    </row>
    <row r="167" spans="1:3" x14ac:dyDescent="0.3">
      <c r="A167" t="s">
        <v>1244</v>
      </c>
      <c r="B167" s="114" t="s">
        <v>1953</v>
      </c>
      <c r="C167" t="s">
        <v>1810</v>
      </c>
    </row>
    <row r="168" spans="1:3" x14ac:dyDescent="0.3">
      <c r="A168" t="s">
        <v>1245</v>
      </c>
      <c r="B168" s="114" t="s">
        <v>1954</v>
      </c>
      <c r="C168" t="s">
        <v>1810</v>
      </c>
    </row>
    <row r="169" spans="1:3" x14ac:dyDescent="0.3">
      <c r="A169" t="s">
        <v>1246</v>
      </c>
      <c r="B169" s="114" t="s">
        <v>1955</v>
      </c>
      <c r="C169" t="s">
        <v>1810</v>
      </c>
    </row>
    <row r="170" spans="1:3" x14ac:dyDescent="0.3">
      <c r="A170" t="s">
        <v>1247</v>
      </c>
      <c r="B170" s="114" t="s">
        <v>1956</v>
      </c>
      <c r="C170" t="s">
        <v>1810</v>
      </c>
    </row>
    <row r="171" spans="1:3" x14ac:dyDescent="0.3">
      <c r="A171" t="s">
        <v>1248</v>
      </c>
      <c r="B171" s="114" t="s">
        <v>1957</v>
      </c>
      <c r="C171" t="s">
        <v>1810</v>
      </c>
    </row>
    <row r="172" spans="1:3" x14ac:dyDescent="0.3">
      <c r="A172" t="s">
        <v>1249</v>
      </c>
      <c r="B172" s="114" t="s">
        <v>1958</v>
      </c>
      <c r="C172" t="s">
        <v>1810</v>
      </c>
    </row>
    <row r="173" spans="1:3" x14ac:dyDescent="0.3">
      <c r="A173" t="s">
        <v>1250</v>
      </c>
      <c r="B173" s="114" t="s">
        <v>1959</v>
      </c>
      <c r="C173" t="s">
        <v>1810</v>
      </c>
    </row>
    <row r="174" spans="1:3" x14ac:dyDescent="0.3">
      <c r="A174" t="s">
        <v>1251</v>
      </c>
      <c r="B174" s="114" t="s">
        <v>1960</v>
      </c>
      <c r="C174" t="s">
        <v>1810</v>
      </c>
    </row>
    <row r="175" spans="1:3" x14ac:dyDescent="0.3">
      <c r="A175" t="s">
        <v>1252</v>
      </c>
      <c r="B175" s="114" t="s">
        <v>1961</v>
      </c>
      <c r="C175" t="s">
        <v>1810</v>
      </c>
    </row>
    <row r="176" spans="1:3" x14ac:dyDescent="0.3">
      <c r="A176" t="s">
        <v>429</v>
      </c>
      <c r="B176" s="114" t="s">
        <v>1962</v>
      </c>
      <c r="C176" t="s">
        <v>1810</v>
      </c>
    </row>
    <row r="177" spans="1:3" x14ac:dyDescent="0.3">
      <c r="A177" t="s">
        <v>1253</v>
      </c>
      <c r="B177" s="114" t="s">
        <v>1963</v>
      </c>
      <c r="C177" t="s">
        <v>1810</v>
      </c>
    </row>
    <row r="178" spans="1:3" x14ac:dyDescent="0.3">
      <c r="A178" t="s">
        <v>1254</v>
      </c>
      <c r="B178" s="114" t="s">
        <v>1964</v>
      </c>
      <c r="C178" t="s">
        <v>1810</v>
      </c>
    </row>
    <row r="179" spans="1:3" x14ac:dyDescent="0.3">
      <c r="A179" t="s">
        <v>1255</v>
      </c>
      <c r="B179" s="114" t="s">
        <v>1965</v>
      </c>
      <c r="C179" t="s">
        <v>1810</v>
      </c>
    </row>
    <row r="180" spans="1:3" x14ac:dyDescent="0.3">
      <c r="A180" t="s">
        <v>739</v>
      </c>
      <c r="B180" s="114" t="s">
        <v>1966</v>
      </c>
      <c r="C180" t="s">
        <v>1810</v>
      </c>
    </row>
    <row r="181" spans="1:3" x14ac:dyDescent="0.3">
      <c r="A181" t="s">
        <v>1256</v>
      </c>
      <c r="B181" s="114" t="s">
        <v>1967</v>
      </c>
      <c r="C181" t="s">
        <v>1810</v>
      </c>
    </row>
    <row r="182" spans="1:3" x14ac:dyDescent="0.3">
      <c r="A182" t="s">
        <v>1257</v>
      </c>
      <c r="B182" s="114" t="s">
        <v>1968</v>
      </c>
      <c r="C182" t="s">
        <v>1810</v>
      </c>
    </row>
    <row r="183" spans="1:3" x14ac:dyDescent="0.3">
      <c r="A183" t="s">
        <v>1258</v>
      </c>
      <c r="B183" s="114" t="s">
        <v>1969</v>
      </c>
      <c r="C183" t="s">
        <v>1810</v>
      </c>
    </row>
    <row r="184" spans="1:3" x14ac:dyDescent="0.3">
      <c r="A184" t="s">
        <v>1259</v>
      </c>
      <c r="B184" s="114" t="s">
        <v>1970</v>
      </c>
      <c r="C184" t="s">
        <v>1810</v>
      </c>
    </row>
    <row r="185" spans="1:3" x14ac:dyDescent="0.3">
      <c r="A185" t="s">
        <v>1260</v>
      </c>
      <c r="B185" s="114" t="s">
        <v>1971</v>
      </c>
      <c r="C185" t="s">
        <v>1810</v>
      </c>
    </row>
    <row r="186" spans="1:3" x14ac:dyDescent="0.3">
      <c r="A186" t="s">
        <v>1261</v>
      </c>
      <c r="B186" s="114" t="s">
        <v>1972</v>
      </c>
      <c r="C186" t="s">
        <v>1810</v>
      </c>
    </row>
    <row r="187" spans="1:3" x14ac:dyDescent="0.3">
      <c r="A187" t="s">
        <v>1262</v>
      </c>
      <c r="B187" s="114" t="s">
        <v>1973</v>
      </c>
      <c r="C187" t="s">
        <v>1810</v>
      </c>
    </row>
    <row r="188" spans="1:3" x14ac:dyDescent="0.3">
      <c r="A188" t="s">
        <v>1263</v>
      </c>
      <c r="B188" s="114" t="s">
        <v>1974</v>
      </c>
      <c r="C188" t="s">
        <v>1810</v>
      </c>
    </row>
    <row r="189" spans="1:3" x14ac:dyDescent="0.3">
      <c r="A189" t="s">
        <v>1264</v>
      </c>
      <c r="B189" s="114" t="s">
        <v>1975</v>
      </c>
      <c r="C189" t="s">
        <v>1810</v>
      </c>
    </row>
    <row r="190" spans="1:3" x14ac:dyDescent="0.3">
      <c r="A190" t="s">
        <v>1265</v>
      </c>
      <c r="B190" s="114" t="s">
        <v>1976</v>
      </c>
      <c r="C190" t="s">
        <v>1810</v>
      </c>
    </row>
    <row r="191" spans="1:3" x14ac:dyDescent="0.3">
      <c r="A191" t="s">
        <v>1266</v>
      </c>
      <c r="B191" s="114" t="s">
        <v>1977</v>
      </c>
      <c r="C191" t="s">
        <v>1810</v>
      </c>
    </row>
    <row r="192" spans="1:3" x14ac:dyDescent="0.3">
      <c r="A192" t="s">
        <v>1267</v>
      </c>
      <c r="B192" s="114" t="s">
        <v>1978</v>
      </c>
      <c r="C192" t="s">
        <v>1810</v>
      </c>
    </row>
    <row r="193" spans="1:3" x14ac:dyDescent="0.3">
      <c r="A193" t="s">
        <v>1268</v>
      </c>
      <c r="B193" s="114" t="s">
        <v>1979</v>
      </c>
      <c r="C193" t="s">
        <v>1810</v>
      </c>
    </row>
    <row r="194" spans="1:3" x14ac:dyDescent="0.3">
      <c r="A194" t="s">
        <v>1269</v>
      </c>
      <c r="B194" s="114" t="s">
        <v>1980</v>
      </c>
      <c r="C194" t="s">
        <v>1810</v>
      </c>
    </row>
    <row r="195" spans="1:3" x14ac:dyDescent="0.3">
      <c r="A195" t="s">
        <v>1270</v>
      </c>
      <c r="B195" s="114" t="s">
        <v>1981</v>
      </c>
      <c r="C195" t="s">
        <v>1810</v>
      </c>
    </row>
    <row r="196" spans="1:3" x14ac:dyDescent="0.3">
      <c r="A196" t="s">
        <v>1271</v>
      </c>
      <c r="B196" s="114" t="s">
        <v>1982</v>
      </c>
      <c r="C196" t="s">
        <v>1810</v>
      </c>
    </row>
    <row r="197" spans="1:3" x14ac:dyDescent="0.3">
      <c r="A197" t="s">
        <v>1272</v>
      </c>
      <c r="B197" s="114" t="s">
        <v>1983</v>
      </c>
      <c r="C197" t="s">
        <v>1810</v>
      </c>
    </row>
    <row r="198" spans="1:3" x14ac:dyDescent="0.3">
      <c r="A198" t="s">
        <v>1273</v>
      </c>
      <c r="B198" s="114" t="s">
        <v>1984</v>
      </c>
      <c r="C198" t="s">
        <v>1810</v>
      </c>
    </row>
    <row r="199" spans="1:3" x14ac:dyDescent="0.3">
      <c r="A199" t="s">
        <v>1274</v>
      </c>
      <c r="B199" s="114" t="s">
        <v>1985</v>
      </c>
      <c r="C199" t="s">
        <v>1810</v>
      </c>
    </row>
    <row r="200" spans="1:3" x14ac:dyDescent="0.3">
      <c r="A200" t="s">
        <v>1275</v>
      </c>
      <c r="B200" s="114" t="s">
        <v>1986</v>
      </c>
      <c r="C200" t="s">
        <v>1810</v>
      </c>
    </row>
    <row r="201" spans="1:3" x14ac:dyDescent="0.3">
      <c r="A201" t="s">
        <v>1276</v>
      </c>
      <c r="B201" s="114" t="s">
        <v>1987</v>
      </c>
      <c r="C201" t="s">
        <v>1810</v>
      </c>
    </row>
    <row r="202" spans="1:3" x14ac:dyDescent="0.3">
      <c r="A202" t="s">
        <v>1277</v>
      </c>
      <c r="B202" s="114" t="s">
        <v>1988</v>
      </c>
      <c r="C202" t="s">
        <v>1810</v>
      </c>
    </row>
    <row r="203" spans="1:3" x14ac:dyDescent="0.3">
      <c r="A203" t="s">
        <v>1278</v>
      </c>
      <c r="B203" s="114" t="s">
        <v>1989</v>
      </c>
      <c r="C203" t="s">
        <v>1810</v>
      </c>
    </row>
    <row r="204" spans="1:3" x14ac:dyDescent="0.3">
      <c r="A204" t="s">
        <v>1279</v>
      </c>
      <c r="B204" s="114" t="s">
        <v>1990</v>
      </c>
      <c r="C204" t="s">
        <v>1810</v>
      </c>
    </row>
    <row r="205" spans="1:3" x14ac:dyDescent="0.3">
      <c r="A205" t="s">
        <v>1280</v>
      </c>
      <c r="B205" s="114" t="s">
        <v>1991</v>
      </c>
      <c r="C205" t="s">
        <v>1810</v>
      </c>
    </row>
    <row r="206" spans="1:3" x14ac:dyDescent="0.3">
      <c r="A206" t="s">
        <v>1281</v>
      </c>
      <c r="B206" s="114" t="s">
        <v>1992</v>
      </c>
      <c r="C206" t="s">
        <v>1810</v>
      </c>
    </row>
    <row r="207" spans="1:3" x14ac:dyDescent="0.3">
      <c r="A207" t="s">
        <v>1282</v>
      </c>
      <c r="B207" s="114" t="s">
        <v>1992</v>
      </c>
      <c r="C207" t="s">
        <v>1810</v>
      </c>
    </row>
    <row r="208" spans="1:3" x14ac:dyDescent="0.3">
      <c r="A208" t="s">
        <v>1283</v>
      </c>
      <c r="B208" s="114" t="s">
        <v>1992</v>
      </c>
      <c r="C208" t="s">
        <v>1810</v>
      </c>
    </row>
    <row r="209" spans="1:3" x14ac:dyDescent="0.3">
      <c r="A209" t="s">
        <v>1284</v>
      </c>
      <c r="B209" s="114" t="s">
        <v>1993</v>
      </c>
      <c r="C209" t="s">
        <v>1810</v>
      </c>
    </row>
    <row r="210" spans="1:3" x14ac:dyDescent="0.3">
      <c r="A210" t="s">
        <v>1285</v>
      </c>
      <c r="B210" s="114" t="s">
        <v>1994</v>
      </c>
      <c r="C210" t="s">
        <v>1810</v>
      </c>
    </row>
    <row r="211" spans="1:3" x14ac:dyDescent="0.3">
      <c r="A211" t="s">
        <v>1286</v>
      </c>
      <c r="B211" s="114" t="s">
        <v>1995</v>
      </c>
      <c r="C211" t="s">
        <v>1810</v>
      </c>
    </row>
    <row r="212" spans="1:3" x14ac:dyDescent="0.3">
      <c r="A212" t="s">
        <v>1287</v>
      </c>
      <c r="B212" s="114" t="s">
        <v>1996</v>
      </c>
      <c r="C212" t="s">
        <v>1810</v>
      </c>
    </row>
    <row r="213" spans="1:3" x14ac:dyDescent="0.3">
      <c r="A213" t="s">
        <v>1288</v>
      </c>
      <c r="B213" s="114" t="s">
        <v>1997</v>
      </c>
      <c r="C213" t="s">
        <v>1810</v>
      </c>
    </row>
    <row r="214" spans="1:3" x14ac:dyDescent="0.3">
      <c r="A214" t="s">
        <v>1289</v>
      </c>
      <c r="B214" s="114" t="s">
        <v>1998</v>
      </c>
      <c r="C214" t="s">
        <v>1810</v>
      </c>
    </row>
    <row r="215" spans="1:3" x14ac:dyDescent="0.3">
      <c r="A215" t="s">
        <v>1290</v>
      </c>
      <c r="B215" s="114" t="s">
        <v>1999</v>
      </c>
      <c r="C215" t="s">
        <v>1810</v>
      </c>
    </row>
    <row r="216" spans="1:3" x14ac:dyDescent="0.3">
      <c r="A216" t="s">
        <v>1291</v>
      </c>
      <c r="B216" s="114" t="s">
        <v>2000</v>
      </c>
      <c r="C216" t="s">
        <v>1810</v>
      </c>
    </row>
    <row r="217" spans="1:3" x14ac:dyDescent="0.3">
      <c r="A217" t="s">
        <v>1292</v>
      </c>
      <c r="B217" s="114" t="s">
        <v>2001</v>
      </c>
      <c r="C217" t="s">
        <v>1810</v>
      </c>
    </row>
    <row r="218" spans="1:3" x14ac:dyDescent="0.3">
      <c r="A218" t="s">
        <v>1293</v>
      </c>
      <c r="B218" s="114" t="s">
        <v>2002</v>
      </c>
      <c r="C218" t="s">
        <v>1810</v>
      </c>
    </row>
    <row r="219" spans="1:3" x14ac:dyDescent="0.3">
      <c r="A219" t="s">
        <v>1294</v>
      </c>
      <c r="B219" s="114" t="s">
        <v>2003</v>
      </c>
      <c r="C219" t="s">
        <v>1810</v>
      </c>
    </row>
    <row r="220" spans="1:3" x14ac:dyDescent="0.3">
      <c r="A220" t="s">
        <v>1295</v>
      </c>
      <c r="B220" s="114" t="s">
        <v>2004</v>
      </c>
      <c r="C220" t="s">
        <v>1810</v>
      </c>
    </row>
    <row r="221" spans="1:3" x14ac:dyDescent="0.3">
      <c r="A221" t="s">
        <v>1296</v>
      </c>
      <c r="B221" s="114" t="s">
        <v>2005</v>
      </c>
      <c r="C221" t="s">
        <v>1810</v>
      </c>
    </row>
    <row r="222" spans="1:3" x14ac:dyDescent="0.3">
      <c r="A222" t="s">
        <v>1297</v>
      </c>
      <c r="B222" s="114" t="s">
        <v>2006</v>
      </c>
      <c r="C222" t="s">
        <v>1810</v>
      </c>
    </row>
    <row r="223" spans="1:3" x14ac:dyDescent="0.3">
      <c r="A223" t="s">
        <v>1298</v>
      </c>
      <c r="B223" s="114" t="s">
        <v>2007</v>
      </c>
      <c r="C223" t="s">
        <v>1810</v>
      </c>
    </row>
    <row r="224" spans="1:3" x14ac:dyDescent="0.3">
      <c r="A224" t="s">
        <v>1299</v>
      </c>
      <c r="B224" s="114" t="s">
        <v>2008</v>
      </c>
      <c r="C224" t="s">
        <v>1810</v>
      </c>
    </row>
    <row r="225" spans="1:3" x14ac:dyDescent="0.3">
      <c r="A225" t="s">
        <v>1300</v>
      </c>
      <c r="B225" s="114" t="s">
        <v>2009</v>
      </c>
      <c r="C225" t="s">
        <v>1810</v>
      </c>
    </row>
    <row r="226" spans="1:3" x14ac:dyDescent="0.3">
      <c r="A226" t="s">
        <v>1301</v>
      </c>
      <c r="B226" s="114" t="s">
        <v>2010</v>
      </c>
      <c r="C226" t="s">
        <v>1810</v>
      </c>
    </row>
    <row r="227" spans="1:3" x14ac:dyDescent="0.3">
      <c r="A227" t="s">
        <v>1302</v>
      </c>
      <c r="B227" s="114" t="s">
        <v>2011</v>
      </c>
      <c r="C227" t="s">
        <v>1810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65</vt:i4>
      </vt:variant>
    </vt:vector>
  </HeadingPairs>
  <TitlesOfParts>
    <vt:vector size="85" baseType="lpstr">
      <vt:lpstr>Гайд</vt:lpstr>
      <vt:lpstr>Проверка</vt:lpstr>
      <vt:lpstr>Объект</vt:lpstr>
      <vt:lpstr>Щиты</vt:lpstr>
      <vt:lpstr>Линии</vt:lpstr>
      <vt:lpstr>Коды</vt:lpstr>
      <vt:lpstr>Экспликация</vt:lpstr>
      <vt:lpstr>Шины</vt:lpstr>
      <vt:lpstr>Итоги_щитов</vt:lpstr>
      <vt:lpstr>Режимы</vt:lpstr>
      <vt:lpstr>Расчёт_нагрузок</vt:lpstr>
      <vt:lpstr>Кабельный_журнал</vt:lpstr>
      <vt:lpstr>Спецификация</vt:lpstr>
      <vt:lpstr>Бирки</vt:lpstr>
      <vt:lpstr>Каталог</vt:lpstr>
      <vt:lpstr>Спецификация_авто</vt:lpstr>
      <vt:lpstr>Однолинейка</vt:lpstr>
      <vt:lpstr>Методика</vt:lpstr>
      <vt:lpstr>Таблицы_норм</vt:lpstr>
      <vt:lpstr>Справочная_потребители</vt:lpstr>
      <vt:lpstr>c_min</vt:lpstr>
      <vt:lpstr>dU_пит</vt:lpstr>
      <vt:lpstr>Iдоп_1ж</vt:lpstr>
      <vt:lpstr>Iдоп_2ж</vt:lpstr>
      <vt:lpstr>Iдоп_3ж</vt:lpstr>
      <vt:lpstr>Iдоп_S</vt:lpstr>
      <vt:lpstr>k_пк</vt:lpstr>
      <vt:lpstr>R_пер</vt:lpstr>
      <vt:lpstr>Uн_лин</vt:lpstr>
      <vt:lpstr>ρкз_Al</vt:lpstr>
      <vt:lpstr>ρкз_Cu</vt:lpstr>
      <vt:lpstr>Автомат_номиналы</vt:lpstr>
      <vt:lpstr>гофра_пвх</vt:lpstr>
      <vt:lpstr>гофра_пнд</vt:lpstr>
      <vt:lpstr>Запас_кабеля</vt:lpstr>
      <vt:lpstr>ИБП_cos_вх</vt:lpstr>
      <vt:lpstr>ИБП_cos_вых</vt:lpstr>
      <vt:lpstr>ИБП_k</vt:lpstr>
      <vt:lpstr>ИБП_t</vt:lpstr>
      <vt:lpstr>ИБП_U</vt:lpstr>
      <vt:lpstr>ИБП_загрузка</vt:lpstr>
      <vt:lpstr>ИБП_заряд</vt:lpstr>
      <vt:lpstr>ИБП_КПД</vt:lpstr>
      <vt:lpstr>ИБП_ряд</vt:lpstr>
      <vt:lpstr>Имя_пом</vt:lpstr>
      <vt:lpstr>Имя_режим</vt:lpstr>
      <vt:lpstr>К_прокл</vt:lpstr>
      <vt:lpstr>Кабель_диаметр</vt:lpstr>
      <vt:lpstr>Кабель_номиналы</vt:lpstr>
      <vt:lpstr>Кабель_обозначение</vt:lpstr>
      <vt:lpstr>Кабель_сопротивление</vt:lpstr>
      <vt:lpstr>Категории_ПЗ</vt:lpstr>
      <vt:lpstr>Ко_сил</vt:lpstr>
      <vt:lpstr>Коды_апп</vt:lpstr>
      <vt:lpstr>Коды_вид</vt:lpstr>
      <vt:lpstr>Коды_группа</vt:lpstr>
      <vt:lpstr>Коды_имя</vt:lpstr>
      <vt:lpstr>Коды_квт</vt:lpstr>
      <vt:lpstr>Коды_код</vt:lpstr>
      <vt:lpstr>Коды_пожарная</vt:lpstr>
      <vt:lpstr>Коды_режим</vt:lpstr>
      <vt:lpstr>Коды_упр</vt:lpstr>
      <vt:lpstr>Коды_утечка</vt:lpstr>
      <vt:lpstr>Коды_хар</vt:lpstr>
      <vt:lpstr>Кс_К</vt:lpstr>
      <vt:lpstr>Кс_Р</vt:lpstr>
      <vt:lpstr>Кс75_k</vt:lpstr>
      <vt:lpstr>Кс75_n</vt:lpstr>
      <vt:lpstr>Марка_пож</vt:lpstr>
      <vt:lpstr>Методика</vt:lpstr>
      <vt:lpstr>Мин_автомат_БП</vt:lpstr>
      <vt:lpstr>Модули_спр</vt:lpstr>
      <vt:lpstr>Потребители_обозначение</vt:lpstr>
      <vt:lpstr>Спецификация</vt:lpstr>
      <vt:lpstr>Список_марок</vt:lpstr>
      <vt:lpstr>Список_щитов</vt:lpstr>
      <vt:lpstr>Справочная_двигатели</vt:lpstr>
      <vt:lpstr>Справочная_ЛЭД</vt:lpstr>
      <vt:lpstr>Справочная_ПТО</vt:lpstr>
      <vt:lpstr>Столбцов_на_лист</vt:lpstr>
      <vt:lpstr>УГО_блоки</vt:lpstr>
      <vt:lpstr>УГО_спр</vt:lpstr>
      <vt:lpstr>Управление_цвета</vt:lpstr>
      <vt:lpstr>Щит_спец</vt:lpstr>
      <vt:lpstr>Этаж_обозначение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Une-com</dc:creator>
  <cp:lastModifiedBy>marat</cp:lastModifiedBy>
  <dcterms:created xsi:type="dcterms:W3CDTF">2015-06-05T18:19:34Z</dcterms:created>
  <dcterms:modified xsi:type="dcterms:W3CDTF">2026-10-04T14:06:34Z</dcterms:modified>
</cp:coreProperties>
</file>